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omments4.xml" ContentType="application/vnd.openxmlformats-officedocument.spreadsheetml.comments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pivotTables/pivotTable3.xml" ContentType="application/vnd.openxmlformats-officedocument.spreadsheetml.pivotTab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15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J:\GER4\1.Projetos Federais\Parques Federais\03. Contrato 3 Parques + MTUR\Jericoacoara\Edital\Edital Segundo\Versão em Word\"/>
    </mc:Choice>
  </mc:AlternateContent>
  <xr:revisionPtr revIDLastSave="0" documentId="13_ncr:1_{8D4EFECC-9E82-457E-9C9E-7512158E7E66}" xr6:coauthVersionLast="47" xr6:coauthVersionMax="47" xr10:uidLastSave="{00000000-0000-0000-0000-000000000000}"/>
  <bookViews>
    <workbookView xWindow="-110" yWindow="-110" windowWidth="19420" windowHeight="10420" tabRatio="849" firstSheet="1" activeTab="1" xr2:uid="{00000000-000D-0000-FFFF-FFFF00000000}"/>
  </bookViews>
  <sheets>
    <sheet name="hist1" sheetId="37" state="hidden" r:id="rId1"/>
    <sheet name="Painel de controle" sheetId="2" r:id="rId2"/>
    <sheet name="A1 - Serviços e demanda" sheetId="3" r:id="rId3"/>
    <sheet name="A2 - Preços" sheetId="4" r:id="rId4"/>
    <sheet name="A3 - Demanda Anual Agregada " sheetId="5" r:id="rId5"/>
    <sheet name="A4 - Previsão de Receita Bruta" sheetId="6" r:id="rId6"/>
    <sheet name="B1 - Matriz de custos diretos" sheetId="7" r:id="rId7"/>
    <sheet name="B2 - Custos diretos totais" sheetId="8" r:id="rId8"/>
    <sheet name="B3 - Custos despesas indiretos" sheetId="9" r:id="rId9"/>
    <sheet name="C1 - Cargos e Salários" sheetId="10" r:id="rId10"/>
    <sheet name="C2 - Funcionários #" sheetId="11" r:id="rId11"/>
    <sheet name="C3 - Funcionários $" sheetId="12" r:id="rId12"/>
    <sheet name="D1 - Capex Matriz" sheetId="13" r:id="rId13"/>
    <sheet name="D2 - Capex uso" sheetId="14" r:id="rId14"/>
    <sheet name="D2 - Capex Resumo" sheetId="43" r:id="rId15"/>
    <sheet name="E1-Obrigações sobre faturamento" sheetId="16" r:id="rId16"/>
    <sheet name="E2 - Tributos" sheetId="17" r:id="rId17"/>
    <sheet name="E3 - Capital de Giro" sheetId="18" r:id="rId18"/>
    <sheet name="E4 - Financiamento" sheetId="19" r:id="rId19"/>
    <sheet name="F1 - FCL" sheetId="20" r:id="rId20"/>
    <sheet name="F2 - DRE 30 anos" sheetId="21" r:id="rId21"/>
    <sheet name="opex_resumo" sheetId="49" r:id="rId22"/>
    <sheet name="G1 - Gastos com Veículos" sheetId="22" r:id="rId23"/>
    <sheet name="WACC" sheetId="23" r:id="rId24"/>
    <sheet name="Z 1 - Listas" sheetId="24" r:id="rId25"/>
    <sheet name="Memória Pessoal" sheetId="25" r:id="rId26"/>
    <sheet name="charts" sheetId="27" r:id="rId27"/>
    <sheet name="consol_capex1" sheetId="44" r:id="rId28"/>
    <sheet name="consol_capex2" sheetId="45" r:id="rId29"/>
    <sheet name="consol_capex3" sheetId="46" r:id="rId30"/>
    <sheet name="capex-chart" sheetId="26" r:id="rId31"/>
    <sheet name="memória CAPEX - orc consol" sheetId="28" r:id="rId32"/>
    <sheet name="memória CAPEX - memorial descri" sheetId="29" r:id="rId33"/>
    <sheet name="mc_piso_intertravado" sheetId="50" r:id="rId34"/>
  </sheets>
  <definedNames>
    <definedName name="_xlnm._FilterDatabase" localSheetId="6" hidden="1">'B1 - Matriz de custos diretos'!$A$2:$G$496</definedName>
    <definedName name="_xlnm._FilterDatabase" localSheetId="8" hidden="1">'B3 - Custos despesas indiretos'!$A$4:$BO$150</definedName>
    <definedName name="_xlnm._FilterDatabase" localSheetId="9" hidden="1">'C1 - Cargos e Salários'!$B$7:$M$105</definedName>
    <definedName name="_xlnm._FilterDatabase" localSheetId="10" hidden="1">'C2 - Funcionários #'!$B$6:$AZ$124</definedName>
    <definedName name="_xlnm._FilterDatabase" localSheetId="11" hidden="1">'C3 - Funcionários $'!$B$5:$Z$125</definedName>
    <definedName name="_xlnm._FilterDatabase" localSheetId="12" hidden="1">'D1 - Capex Matriz'!$A$3:$K$190</definedName>
    <definedName name="_xlnm._FilterDatabase" localSheetId="13" hidden="1">'D2 - Capex uso'!$A$5:$JT$179</definedName>
    <definedName name="AdicionalIRPJ">'Z 1 - Listas'!$R$19</definedName>
    <definedName name="Administrativo" localSheetId="9">'C1 - Cargos e Salários'!$B$107</definedName>
    <definedName name="Administrativo">'C1 - Cargos e Salários'!$B$107</definedName>
    <definedName name="airpj" localSheetId="16">'E2 - Tributos'!$D$26</definedName>
    <definedName name="airpj">'E2 - Tributos'!$D$26</definedName>
    <definedName name="AlavCapex">'Painel de controle'!$B$7</definedName>
    <definedName name="AlavCG" localSheetId="23">#REF!</definedName>
    <definedName name="AlavCG">#REF!</definedName>
    <definedName name="AliqICMS">'E2 - Tributos'!$C$126:$E$152</definedName>
    <definedName name="AliqPorTipo">'E2 - Tributos'!$B$161:$T$166</definedName>
    <definedName name="AliqSuperSimples">'E2 - Tributos'!$G$94:$AJ$94</definedName>
    <definedName name="AltCen">'Painel de controle'!$I$3:$I$6</definedName>
    <definedName name="beneficios">'C1 - Cargos e Salários'!$D$127:$D$134</definedName>
    <definedName name="CAP_00">'A1 - Serviços e demanda'!$W$19</definedName>
    <definedName name="CAP_01">'A1 - Serviços e demanda'!$W$20</definedName>
    <definedName name="CAP_02">'A1 - Serviços e demanda'!$W$21</definedName>
    <definedName name="CAP_03">'A1 - Serviços e demanda'!$W$22</definedName>
    <definedName name="CAP_04">'A1 - Serviços e demanda'!$W$23</definedName>
    <definedName name="CAP_05">'A1 - Serviços e demanda'!$W$24</definedName>
    <definedName name="CAP_06">'A1 - Serviços e demanda'!$W$25</definedName>
    <definedName name="CAP_07">'A1 - Serviços e demanda'!$W$26</definedName>
    <definedName name="CAP_08">'A1 - Serviços e demanda'!$W$27</definedName>
    <definedName name="CAP_09">'A1 - Serviços e demanda'!$W$28</definedName>
    <definedName name="CAP_10">'A1 - Serviços e demanda'!$W$29</definedName>
    <definedName name="CAP_11">'A1 - Serviços e demanda'!$W$30</definedName>
    <definedName name="CAP_12">'A1 - Serviços e demanda'!$W$31</definedName>
    <definedName name="CAP_13">'A1 - Serviços e demanda'!$W$32</definedName>
    <definedName name="CAP_14">'A1 - Serviços e demanda'!$W$33</definedName>
    <definedName name="CAP_15">'A1 - Serviços e demanda'!$W$34</definedName>
    <definedName name="CAP_16">'A1 - Serviços e demanda'!$W$35</definedName>
    <definedName name="CAP_17">'A1 - Serviços e demanda'!$W$36</definedName>
    <definedName name="CAP_18">'A1 - Serviços e demanda'!$W$37</definedName>
    <definedName name="CAP_19">'A1 - Serviços e demanda'!$W$38</definedName>
    <definedName name="CAP_20">'A1 - Serviços e demanda'!$W$39</definedName>
    <definedName name="CatInvest">'Z 1 - Listas'!$I$2:$I$9</definedName>
    <definedName name="CatReceita">'Z 1 - Listas'!$D$2:$D$7</definedName>
    <definedName name="CatSN">'E2 - Tributos'!$D$85</definedName>
    <definedName name="Cenarios">'A1 - Serviços e demanda'!$A$11:$AE$13</definedName>
    <definedName name="CenarioSel">'A1 - Serviços e demanda'!$B$6</definedName>
    <definedName name="CENREALISTA">'A1 - Serviços e demanda'!$A$97:$AE$117</definedName>
    <definedName name="CenSelecionado">'A1 - Serviços e demanda'!$A$44:$AE$64</definedName>
    <definedName name="CorrDemanda">'Painel de controle'!$B$29</definedName>
    <definedName name="CorrInvest">'Painel de controle'!$B$30</definedName>
    <definedName name="CredSN" localSheetId="23">#REF!</definedName>
    <definedName name="CredSN">#REF!</definedName>
    <definedName name="csll" localSheetId="16">'E2 - Tributos'!$D$27</definedName>
    <definedName name="CustoDiretoTotal">'B2 - Custos diretos totais'!$B$4:$AF$23</definedName>
    <definedName name="DemandaBase">'A1 - Serviços e demanda'!$B$5</definedName>
    <definedName name="Divisor">'Z 1 - Listas'!$R$22</definedName>
    <definedName name="Encargo">'Z 1 - Listas'!$F$2:$F$16</definedName>
    <definedName name="encargos">'C1 - Cargos e Salários'!$C$113:$C$126</definedName>
    <definedName name="ImpostoSobreFaturamento">'E2 - Tributos'!$B$172:$AG$191</definedName>
    <definedName name="Ingresso">'Painel de controle'!$B$10</definedName>
    <definedName name="Investimentos">'D2 - Capex uso'!$A$6:$JJ$176</definedName>
    <definedName name="IOF" localSheetId="23">#REF!</definedName>
    <definedName name="IOF">#REF!</definedName>
    <definedName name="irpj" localSheetId="16">'E2 - Tributos'!$D$25</definedName>
    <definedName name="irpj">'E2 - Tributos'!$D$25</definedName>
    <definedName name="irpjlr">'E2 - Tributos'!$D$24</definedName>
    <definedName name="LimLP">'Z 1 - Listas'!$R$24</definedName>
    <definedName name="ListaCapex">'Z 1 - Listas'!$O$3</definedName>
    <definedName name="ListaInvestimentos">'D1 - Capex Matriz'!$A$4:$I$190</definedName>
    <definedName name="ListaUGC">'Z 1 - Listas'!$O$2</definedName>
    <definedName name="LPFat">'E2 - Tributos'!$B$172:$AG$191</definedName>
    <definedName name="LRFat">'E2 - Tributos'!$B$252:$AG$271</definedName>
    <definedName name="LstCatSN">'Z 1 - Listas'!$Q$13:$R$17</definedName>
    <definedName name="LstCstDireto">'Z 1 - Listas'!$G$2:$G$4</definedName>
    <definedName name="LstModoTrib">'Z 1 - Listas'!$A$2:$A$5</definedName>
    <definedName name="LstPeriod">'Z 1 - Listas'!$K$2:$K$5</definedName>
    <definedName name="LstUF">'E2 - Tributos'!$C$126:$C$152</definedName>
    <definedName name="Macrotemas">'Painel de controle'!$B$5</definedName>
    <definedName name="MetodoFin">'E4 - Financiamento'!$C$19</definedName>
    <definedName name="modo_trib">'E2 - Tributos'!$E$4</definedName>
    <definedName name="ModoTrib">'Painel de controle'!$B$6</definedName>
    <definedName name="Operacional">'A1 - Serviços e demanda'!$A$20:$A$39</definedName>
    <definedName name="OTIMISTA">'A1 - Serviços e demanda'!$A$147:$AE$167</definedName>
    <definedName name="Outorga">'Painel de controle'!$B$4</definedName>
    <definedName name="OutSobreRec">'E1-Obrigações sobre faturamento'!$B$14</definedName>
    <definedName name="PESSIMISTA">'A1 - Serviços e demanda'!$A$122:$AE$142</definedName>
    <definedName name="PrazoCred" localSheetId="23">#REF!</definedName>
    <definedName name="PrazoCred">#REF!</definedName>
    <definedName name="prop_financ" localSheetId="18">'E4 - Financiamento'!$I$6</definedName>
    <definedName name="prop_financ" localSheetId="23">#REF!</definedName>
    <definedName name="prop_financ">#REF!</definedName>
    <definedName name="PropCred" localSheetId="23">#REF!</definedName>
    <definedName name="PropCred">#REF!</definedName>
    <definedName name="PropFin">'E4 - Financiamento'!$I$5</definedName>
    <definedName name="PropFinanc">'E4 - Financiamento'!$C$9</definedName>
    <definedName name="PropManej">#REF!</definedName>
    <definedName name="PropPagto" localSheetId="23">#REF!</definedName>
    <definedName name="PropPagto">#REF!</definedName>
    <definedName name="QuadroPessoal">'C1 - Cargos e Salários'!$B$8:$L$105</definedName>
    <definedName name="ReceitaBruta">'A4 - Previsão de Receita Bruta'!$B$7:$AF$26</definedName>
    <definedName name="ReceitaPorTipo">'A1 - Serviços e demanda'!$A$19:$Z$39</definedName>
    <definedName name="RegOutRecBruta">'Z 1 - Listas'!$J$2:$J$6</definedName>
    <definedName name="SN_UGC">'A1 - Serviços e demanda'!$A$20:$AB$39</definedName>
    <definedName name="SNAnexoI">'Z 1 - Listas'!$S$5:$T$10</definedName>
    <definedName name="SNAnexoII">'Z 1 - Listas'!$U$5:$V$10</definedName>
    <definedName name="SNAnexoIII">'Z 1 - Listas'!$W$5:$X$10</definedName>
    <definedName name="SNAnexoIV">'Z 1 - Listas'!$Y$5:$Z$10</definedName>
    <definedName name="SNAnexoV">'Z 1 - Listas'!$AA$5:$AB$10</definedName>
    <definedName name="SNFat">'E2 - Tributos'!$B$99:$AG$118</definedName>
    <definedName name="TipoTrib">'Z 1 - Listas'!$A$2:$C$5</definedName>
    <definedName name="TipoUGC">'Z 1 - Listas'!$H$2:$H$7</definedName>
    <definedName name="TMA">'Painel de controle'!#REF!</definedName>
    <definedName name="UFoper">'E2 - Tributos'!$E$156</definedName>
    <definedName name="WACC">'Painel de controle'!$B$8</definedName>
  </definedNames>
  <calcPr calcId="191028"/>
  <pivotCaches>
    <pivotCache cacheId="16661" r:id="rId3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39" roundtripDataSignature="AMtx7mirvRxzRSRfu5jxZH/GKw5YPd3sRg=="/>
    </ext>
  </extLst>
</workbook>
</file>

<file path=xl/calcChain.xml><?xml version="1.0" encoding="utf-8"?>
<calcChain xmlns="http://schemas.openxmlformats.org/spreadsheetml/2006/main">
  <c r="B23" i="2" l="1"/>
  <c r="N89" i="14"/>
  <c r="E7" i="50"/>
  <c r="E89" i="14" s="1"/>
  <c r="F7" i="50"/>
  <c r="F89" i="14" s="1"/>
  <c r="G7" i="50"/>
  <c r="G89" i="14" s="1"/>
  <c r="H7" i="50"/>
  <c r="H89" i="14" s="1"/>
  <c r="I7" i="50"/>
  <c r="I89" i="14" s="1"/>
  <c r="J7" i="50"/>
  <c r="J89" i="14" s="1"/>
  <c r="K7" i="50"/>
  <c r="K89" i="14" s="1"/>
  <c r="L7" i="50"/>
  <c r="L89" i="14" s="1"/>
  <c r="M7" i="50"/>
  <c r="M89" i="14" s="1"/>
  <c r="N7" i="50"/>
  <c r="O7" i="50"/>
  <c r="O89" i="14" s="1"/>
  <c r="P7" i="50"/>
  <c r="P89" i="14" s="1"/>
  <c r="Q7" i="50"/>
  <c r="Q89" i="14" s="1"/>
  <c r="R7" i="50"/>
  <c r="R89" i="14" s="1"/>
  <c r="S7" i="50"/>
  <c r="S89" i="14" s="1"/>
  <c r="T7" i="50"/>
  <c r="T89" i="14" s="1"/>
  <c r="U7" i="50"/>
  <c r="U89" i="14" s="1"/>
  <c r="V7" i="50"/>
  <c r="V89" i="14" s="1"/>
  <c r="W7" i="50"/>
  <c r="W89" i="14" s="1"/>
  <c r="X7" i="50"/>
  <c r="X89" i="14" s="1"/>
  <c r="Y7" i="50"/>
  <c r="Y89" i="14" s="1"/>
  <c r="Z7" i="50"/>
  <c r="Z89" i="14" s="1"/>
  <c r="AA7" i="50"/>
  <c r="AA89" i="14" s="1"/>
  <c r="AB7" i="50"/>
  <c r="AB89" i="14" s="1"/>
  <c r="AC7" i="50"/>
  <c r="AC89" i="14" s="1"/>
  <c r="AD7" i="50"/>
  <c r="AD89" i="14" s="1"/>
  <c r="AE7" i="50"/>
  <c r="AE89" i="14" s="1"/>
  <c r="AF7" i="50"/>
  <c r="AF89" i="14" s="1"/>
  <c r="AG7" i="50"/>
  <c r="AG89" i="14" s="1"/>
  <c r="D7" i="50"/>
  <c r="D89" i="14" s="1"/>
  <c r="AE7" i="49"/>
  <c r="AD7" i="49"/>
  <c r="AC7" i="49"/>
  <c r="AB7" i="49"/>
  <c r="AA7" i="49"/>
  <c r="Z7" i="49"/>
  <c r="Y7" i="49"/>
  <c r="X7" i="49"/>
  <c r="W7" i="49"/>
  <c r="V7" i="49"/>
  <c r="U7" i="49"/>
  <c r="T7" i="49"/>
  <c r="S7" i="49"/>
  <c r="R7" i="49"/>
  <c r="Q7" i="49"/>
  <c r="P7" i="49"/>
  <c r="O7" i="49"/>
  <c r="N7" i="49"/>
  <c r="M7" i="49"/>
  <c r="L7" i="49"/>
  <c r="K7" i="49"/>
  <c r="J7" i="49"/>
  <c r="I7" i="49"/>
  <c r="H7" i="49"/>
  <c r="G7" i="49"/>
  <c r="F7" i="49"/>
  <c r="E7" i="49"/>
  <c r="D7" i="49"/>
  <c r="C7" i="49"/>
  <c r="B7" i="49"/>
  <c r="AE6" i="49"/>
  <c r="AE11" i="49" s="1"/>
  <c r="AD6" i="49"/>
  <c r="AD11" i="49" s="1"/>
  <c r="AC6" i="49"/>
  <c r="AB6" i="49"/>
  <c r="AA6" i="49"/>
  <c r="Z6" i="49"/>
  <c r="Z11" i="49" s="1"/>
  <c r="Y6" i="49"/>
  <c r="X6" i="49"/>
  <c r="W6" i="49"/>
  <c r="V6" i="49"/>
  <c r="V11" i="49" s="1"/>
  <c r="U6" i="49"/>
  <c r="T6" i="49"/>
  <c r="S6" i="49"/>
  <c r="R6" i="49"/>
  <c r="R11" i="49" s="1"/>
  <c r="Q6" i="49"/>
  <c r="P6" i="49"/>
  <c r="O6" i="49"/>
  <c r="O11" i="49" s="1"/>
  <c r="N6" i="49"/>
  <c r="N11" i="49" s="1"/>
  <c r="M6" i="49"/>
  <c r="L6" i="49"/>
  <c r="K6" i="49"/>
  <c r="K11" i="49" s="1"/>
  <c r="J6" i="49"/>
  <c r="J11" i="49" s="1"/>
  <c r="I6" i="49"/>
  <c r="H6" i="49"/>
  <c r="G6" i="49"/>
  <c r="F6" i="49"/>
  <c r="F11" i="49" s="1"/>
  <c r="E6" i="49"/>
  <c r="D6" i="49"/>
  <c r="C6" i="49"/>
  <c r="C11" i="49" s="1"/>
  <c r="B6" i="49"/>
  <c r="B11" i="49" s="1"/>
  <c r="AE5" i="49"/>
  <c r="AD5" i="49"/>
  <c r="AC5" i="49"/>
  <c r="AB5" i="49"/>
  <c r="AA5" i="49"/>
  <c r="Z5" i="49"/>
  <c r="Y5" i="49"/>
  <c r="X5" i="49"/>
  <c r="W5" i="49"/>
  <c r="V5" i="49"/>
  <c r="U5" i="49"/>
  <c r="T5" i="49"/>
  <c r="S5" i="49"/>
  <c r="R5" i="49"/>
  <c r="Q5" i="49"/>
  <c r="P5" i="49"/>
  <c r="O5" i="49"/>
  <c r="N5" i="49"/>
  <c r="M5" i="49"/>
  <c r="L5" i="49"/>
  <c r="K5" i="49"/>
  <c r="J5" i="49"/>
  <c r="I5" i="49"/>
  <c r="H5" i="49"/>
  <c r="G5" i="49"/>
  <c r="F5" i="49"/>
  <c r="E5" i="49"/>
  <c r="D5" i="49"/>
  <c r="C5" i="49"/>
  <c r="B5" i="49"/>
  <c r="AE4" i="49"/>
  <c r="AD4" i="49"/>
  <c r="AC4" i="49"/>
  <c r="AB4" i="49"/>
  <c r="AA4" i="49"/>
  <c r="Z4" i="49"/>
  <c r="Y4" i="49"/>
  <c r="X4" i="49"/>
  <c r="W4" i="49"/>
  <c r="V4" i="49"/>
  <c r="U4" i="49"/>
  <c r="T4" i="49"/>
  <c r="S4" i="49"/>
  <c r="R4" i="49"/>
  <c r="Q4" i="49"/>
  <c r="P4" i="49"/>
  <c r="O4" i="49"/>
  <c r="N4" i="49"/>
  <c r="M4" i="49"/>
  <c r="L4" i="49"/>
  <c r="K4" i="49"/>
  <c r="J4" i="49"/>
  <c r="I4" i="49"/>
  <c r="H4" i="49"/>
  <c r="G4" i="49"/>
  <c r="F4" i="49"/>
  <c r="AE3" i="49"/>
  <c r="AD3" i="49"/>
  <c r="AC3" i="49"/>
  <c r="AB3" i="49"/>
  <c r="AA3" i="49"/>
  <c r="Z3" i="49"/>
  <c r="Y3" i="49"/>
  <c r="X3" i="49"/>
  <c r="W3" i="49"/>
  <c r="V3" i="49"/>
  <c r="U3" i="49"/>
  <c r="T3" i="49"/>
  <c r="S3" i="49"/>
  <c r="R3" i="49"/>
  <c r="Q3" i="49"/>
  <c r="P3" i="49"/>
  <c r="O3" i="49"/>
  <c r="N3" i="49"/>
  <c r="M3" i="49"/>
  <c r="L3" i="49"/>
  <c r="K3" i="49"/>
  <c r="J3" i="49"/>
  <c r="I3" i="49"/>
  <c r="H3" i="49"/>
  <c r="G3" i="49"/>
  <c r="F3" i="49"/>
  <c r="E3" i="49"/>
  <c r="D3" i="49"/>
  <c r="C3" i="49"/>
  <c r="B3" i="49"/>
  <c r="AE2" i="49"/>
  <c r="AE10" i="49" s="1"/>
  <c r="AD2" i="49"/>
  <c r="AC2" i="49"/>
  <c r="AB2" i="49"/>
  <c r="AA2" i="49"/>
  <c r="AA10" i="49" s="1"/>
  <c r="Z2" i="49"/>
  <c r="Z10" i="49" s="1"/>
  <c r="Y2" i="49"/>
  <c r="X2" i="49"/>
  <c r="W2" i="49"/>
  <c r="V2" i="49"/>
  <c r="V10" i="49" s="1"/>
  <c r="U2" i="49"/>
  <c r="U10" i="49" s="1"/>
  <c r="T2" i="49"/>
  <c r="S2" i="49"/>
  <c r="S10" i="49" s="1"/>
  <c r="R2" i="49"/>
  <c r="Q2" i="49"/>
  <c r="P2" i="49"/>
  <c r="O2" i="49"/>
  <c r="N2" i="49"/>
  <c r="N10" i="49" s="1"/>
  <c r="M2" i="49"/>
  <c r="L2" i="49"/>
  <c r="K2" i="49"/>
  <c r="K10" i="49" s="1"/>
  <c r="J2" i="49"/>
  <c r="J10" i="49" s="1"/>
  <c r="J12" i="49" s="1"/>
  <c r="I2" i="49"/>
  <c r="H2" i="49"/>
  <c r="G2" i="49"/>
  <c r="F2" i="49"/>
  <c r="E2" i="49"/>
  <c r="D2" i="49"/>
  <c r="C2" i="49"/>
  <c r="C10" i="49" s="1"/>
  <c r="C12" i="49" s="1"/>
  <c r="B2" i="49"/>
  <c r="B10" i="49" s="1"/>
  <c r="G18" i="49"/>
  <c r="W10" i="49"/>
  <c r="I10" i="49"/>
  <c r="Y10" i="49"/>
  <c r="G11" i="49"/>
  <c r="M11" i="49"/>
  <c r="W11" i="49"/>
  <c r="AC11" i="49"/>
  <c r="B13" i="6"/>
  <c r="B14" i="6"/>
  <c r="B15" i="6"/>
  <c r="B20" i="6"/>
  <c r="B21" i="6"/>
  <c r="B5" i="3"/>
  <c r="Y11" i="49" l="1"/>
  <c r="P10" i="49"/>
  <c r="D10" i="49"/>
  <c r="AB10" i="49"/>
  <c r="AB12" i="49" s="1"/>
  <c r="H11" i="49"/>
  <c r="T11" i="49"/>
  <c r="E10" i="49"/>
  <c r="Q10" i="49"/>
  <c r="I11" i="49"/>
  <c r="U11" i="49"/>
  <c r="U12" i="49" s="1"/>
  <c r="F10" i="49"/>
  <c r="R10" i="49"/>
  <c r="AD10" i="49"/>
  <c r="L10" i="49"/>
  <c r="L12" i="49" s="1"/>
  <c r="X10" i="49"/>
  <c r="D11" i="49"/>
  <c r="AB11" i="49"/>
  <c r="E11" i="49"/>
  <c r="H10" i="49"/>
  <c r="L11" i="49"/>
  <c r="X11" i="49"/>
  <c r="X12" i="49" s="1"/>
  <c r="R12" i="49"/>
  <c r="Y12" i="49"/>
  <c r="T10" i="49"/>
  <c r="T12" i="49" s="1"/>
  <c r="P11" i="49"/>
  <c r="M10" i="49"/>
  <c r="M12" i="49" s="1"/>
  <c r="AC10" i="49"/>
  <c r="AC12" i="49" s="1"/>
  <c r="G10" i="49"/>
  <c r="O10" i="49"/>
  <c r="O12" i="49" s="1"/>
  <c r="Q11" i="49"/>
  <c r="S11" i="49"/>
  <c r="S12" i="49" s="1"/>
  <c r="AA11" i="49"/>
  <c r="AA12" i="49" s="1"/>
  <c r="Z12" i="49"/>
  <c r="E12" i="49"/>
  <c r="F12" i="49"/>
  <c r="P12" i="49"/>
  <c r="B12" i="49"/>
  <c r="I12" i="49"/>
  <c r="H12" i="49"/>
  <c r="G12" i="49"/>
  <c r="V12" i="49"/>
  <c r="W12" i="49"/>
  <c r="N12" i="49"/>
  <c r="AD12" i="49"/>
  <c r="AE12" i="49"/>
  <c r="K12" i="49"/>
  <c r="D1" i="43"/>
  <c r="A2" i="43"/>
  <c r="B2" i="43"/>
  <c r="C2" i="43"/>
  <c r="A3" i="43"/>
  <c r="B3" i="43"/>
  <c r="C3" i="43"/>
  <c r="A4" i="43"/>
  <c r="B4" i="43"/>
  <c r="C4" i="43"/>
  <c r="A5" i="43"/>
  <c r="B5" i="43"/>
  <c r="C5" i="43"/>
  <c r="A6" i="43"/>
  <c r="B6" i="43"/>
  <c r="C6" i="43"/>
  <c r="A7" i="43"/>
  <c r="B7" i="43"/>
  <c r="C7" i="43"/>
  <c r="A8" i="43"/>
  <c r="B8" i="43"/>
  <c r="C8" i="43"/>
  <c r="A9" i="43"/>
  <c r="B9" i="43"/>
  <c r="C9" i="43"/>
  <c r="A10" i="43"/>
  <c r="B10" i="43"/>
  <c r="C10" i="43"/>
  <c r="A11" i="43"/>
  <c r="B11" i="43"/>
  <c r="C11" i="43"/>
  <c r="A12" i="43"/>
  <c r="B12" i="43"/>
  <c r="C12" i="43"/>
  <c r="A13" i="43"/>
  <c r="B13" i="43"/>
  <c r="C13" i="43"/>
  <c r="A14" i="43"/>
  <c r="B14" i="43"/>
  <c r="C14" i="43"/>
  <c r="A15" i="43"/>
  <c r="B15" i="43"/>
  <c r="C15" i="43"/>
  <c r="A16" i="43"/>
  <c r="B16" i="43"/>
  <c r="C16" i="43"/>
  <c r="A17" i="43"/>
  <c r="B17" i="43"/>
  <c r="C17" i="43"/>
  <c r="A18" i="43"/>
  <c r="B18" i="43"/>
  <c r="C18" i="43"/>
  <c r="A19" i="43"/>
  <c r="B19" i="43"/>
  <c r="C19" i="43"/>
  <c r="A20" i="43"/>
  <c r="B20" i="43"/>
  <c r="C20" i="43"/>
  <c r="A21" i="43"/>
  <c r="B21" i="43"/>
  <c r="C21" i="43"/>
  <c r="A22" i="43"/>
  <c r="B22" i="43"/>
  <c r="C22" i="43"/>
  <c r="A23" i="43"/>
  <c r="B23" i="43"/>
  <c r="C23" i="43"/>
  <c r="A24" i="43"/>
  <c r="B24" i="43"/>
  <c r="C24" i="43"/>
  <c r="A25" i="43"/>
  <c r="B25" i="43"/>
  <c r="C25" i="43"/>
  <c r="A26" i="43"/>
  <c r="B26" i="43"/>
  <c r="C26" i="43"/>
  <c r="A27" i="43"/>
  <c r="B27" i="43"/>
  <c r="C27" i="43"/>
  <c r="A28" i="43"/>
  <c r="B28" i="43"/>
  <c r="C28" i="43"/>
  <c r="A29" i="43"/>
  <c r="B29" i="43"/>
  <c r="C29" i="43"/>
  <c r="A30" i="43"/>
  <c r="B30" i="43"/>
  <c r="C30" i="43"/>
  <c r="A31" i="43"/>
  <c r="B31" i="43"/>
  <c r="C31" i="43"/>
  <c r="A32" i="43"/>
  <c r="B32" i="43"/>
  <c r="C32" i="43"/>
  <c r="A33" i="43"/>
  <c r="B33" i="43"/>
  <c r="C33" i="43"/>
  <c r="A34" i="43"/>
  <c r="B34" i="43"/>
  <c r="C34" i="43"/>
  <c r="A35" i="43"/>
  <c r="B35" i="43"/>
  <c r="C35" i="43"/>
  <c r="A36" i="43"/>
  <c r="B36" i="43"/>
  <c r="C36" i="43"/>
  <c r="A37" i="43"/>
  <c r="B37" i="43"/>
  <c r="C37" i="43"/>
  <c r="A38" i="43"/>
  <c r="B38" i="43"/>
  <c r="C38" i="43"/>
  <c r="A39" i="43"/>
  <c r="B39" i="43"/>
  <c r="C39" i="43"/>
  <c r="A40" i="43"/>
  <c r="B40" i="43"/>
  <c r="C40" i="43"/>
  <c r="A41" i="43"/>
  <c r="B41" i="43"/>
  <c r="C41" i="43"/>
  <c r="A42" i="43"/>
  <c r="B42" i="43"/>
  <c r="C42" i="43"/>
  <c r="A43" i="43"/>
  <c r="B43" i="43"/>
  <c r="C43" i="43"/>
  <c r="A44" i="43"/>
  <c r="B44" i="43"/>
  <c r="C44" i="43"/>
  <c r="A45" i="43"/>
  <c r="B45" i="43"/>
  <c r="C45" i="43"/>
  <c r="A46" i="43"/>
  <c r="B46" i="43"/>
  <c r="C46" i="43"/>
  <c r="A47" i="43"/>
  <c r="B47" i="43"/>
  <c r="C47" i="43"/>
  <c r="A48" i="43"/>
  <c r="B48" i="43"/>
  <c r="C48" i="43"/>
  <c r="A49" i="43"/>
  <c r="B49" i="43"/>
  <c r="C49" i="43"/>
  <c r="A50" i="43"/>
  <c r="B50" i="43"/>
  <c r="C50" i="43"/>
  <c r="A51" i="43"/>
  <c r="B51" i="43"/>
  <c r="C51" i="43"/>
  <c r="A52" i="43"/>
  <c r="B52" i="43"/>
  <c r="C52" i="43"/>
  <c r="A53" i="43"/>
  <c r="B53" i="43"/>
  <c r="C53" i="43"/>
  <c r="A54" i="43"/>
  <c r="B54" i="43"/>
  <c r="C54" i="43"/>
  <c r="A55" i="43"/>
  <c r="B55" i="43"/>
  <c r="C55" i="43"/>
  <c r="A56" i="43"/>
  <c r="B56" i="43"/>
  <c r="C56" i="43"/>
  <c r="A57" i="43"/>
  <c r="B57" i="43"/>
  <c r="C57" i="43"/>
  <c r="A58" i="43"/>
  <c r="B58" i="43"/>
  <c r="C58" i="43"/>
  <c r="A59" i="43"/>
  <c r="B59" i="43"/>
  <c r="C59" i="43"/>
  <c r="A60" i="43"/>
  <c r="B60" i="43"/>
  <c r="C60" i="43"/>
  <c r="A61" i="43"/>
  <c r="B61" i="43"/>
  <c r="C61" i="43"/>
  <c r="A62" i="43"/>
  <c r="B62" i="43"/>
  <c r="C62" i="43"/>
  <c r="A63" i="43"/>
  <c r="B63" i="43"/>
  <c r="C63" i="43"/>
  <c r="A64" i="43"/>
  <c r="B64" i="43"/>
  <c r="C64" i="43"/>
  <c r="A65" i="43"/>
  <c r="B65" i="43"/>
  <c r="C65" i="43"/>
  <c r="A66" i="43"/>
  <c r="B66" i="43"/>
  <c r="C66" i="43"/>
  <c r="A67" i="43"/>
  <c r="B67" i="43"/>
  <c r="C67" i="43"/>
  <c r="A68" i="43"/>
  <c r="B68" i="43"/>
  <c r="C68" i="43"/>
  <c r="A69" i="43"/>
  <c r="B69" i="43"/>
  <c r="C69" i="43"/>
  <c r="A70" i="43"/>
  <c r="B70" i="43"/>
  <c r="C70" i="43"/>
  <c r="A71" i="43"/>
  <c r="B71" i="43"/>
  <c r="C71" i="43"/>
  <c r="A72" i="43"/>
  <c r="B72" i="43"/>
  <c r="C72" i="43"/>
  <c r="A73" i="43"/>
  <c r="B73" i="43"/>
  <c r="C73" i="43"/>
  <c r="A74" i="43"/>
  <c r="B74" i="43"/>
  <c r="C74" i="43"/>
  <c r="A75" i="43"/>
  <c r="B75" i="43"/>
  <c r="C75" i="43"/>
  <c r="A76" i="43"/>
  <c r="B76" i="43"/>
  <c r="C76" i="43"/>
  <c r="A77" i="43"/>
  <c r="B77" i="43"/>
  <c r="C77" i="43"/>
  <c r="A78" i="43"/>
  <c r="B78" i="43"/>
  <c r="C78" i="43"/>
  <c r="A79" i="43"/>
  <c r="B79" i="43"/>
  <c r="C79" i="43"/>
  <c r="A80" i="43"/>
  <c r="B80" i="43"/>
  <c r="C80" i="43"/>
  <c r="A81" i="43"/>
  <c r="B81" i="43"/>
  <c r="C81" i="43"/>
  <c r="A82" i="43"/>
  <c r="B82" i="43"/>
  <c r="C82" i="43"/>
  <c r="A83" i="43"/>
  <c r="B83" i="43"/>
  <c r="C83" i="43"/>
  <c r="A84" i="43"/>
  <c r="B84" i="43"/>
  <c r="C84" i="43"/>
  <c r="A85" i="43"/>
  <c r="B85" i="43"/>
  <c r="C85" i="43"/>
  <c r="A86" i="43"/>
  <c r="B86" i="43"/>
  <c r="C86" i="43"/>
  <c r="A87" i="43"/>
  <c r="B87" i="43"/>
  <c r="C87" i="43"/>
  <c r="A88" i="43"/>
  <c r="B88" i="43"/>
  <c r="C88" i="43"/>
  <c r="A89" i="43"/>
  <c r="B89" i="43"/>
  <c r="C89" i="43"/>
  <c r="A90" i="43"/>
  <c r="B90" i="43"/>
  <c r="C90" i="43"/>
  <c r="A91" i="43"/>
  <c r="B91" i="43"/>
  <c r="C91" i="43"/>
  <c r="A92" i="43"/>
  <c r="B92" i="43"/>
  <c r="C92" i="43"/>
  <c r="A93" i="43"/>
  <c r="B93" i="43"/>
  <c r="C93" i="43"/>
  <c r="A94" i="43"/>
  <c r="B94" i="43"/>
  <c r="C94" i="43"/>
  <c r="A95" i="43"/>
  <c r="B95" i="43"/>
  <c r="C95" i="43"/>
  <c r="A96" i="43"/>
  <c r="B96" i="43"/>
  <c r="C96" i="43"/>
  <c r="A97" i="43"/>
  <c r="B97" i="43"/>
  <c r="C97" i="43"/>
  <c r="A98" i="43"/>
  <c r="B98" i="43"/>
  <c r="C98" i="43"/>
  <c r="A99" i="43"/>
  <c r="B99" i="43"/>
  <c r="C99" i="43"/>
  <c r="A100" i="43"/>
  <c r="B100" i="43"/>
  <c r="C100" i="43"/>
  <c r="A101" i="43"/>
  <c r="B101" i="43"/>
  <c r="C101" i="43"/>
  <c r="A102" i="43"/>
  <c r="B102" i="43"/>
  <c r="C102" i="43"/>
  <c r="A103" i="43"/>
  <c r="B103" i="43"/>
  <c r="C103" i="43"/>
  <c r="A104" i="43"/>
  <c r="B104" i="43"/>
  <c r="C104" i="43"/>
  <c r="X1" i="43"/>
  <c r="Y1" i="43"/>
  <c r="Z1" i="43"/>
  <c r="AA1" i="43"/>
  <c r="AB1" i="43"/>
  <c r="AC1" i="43"/>
  <c r="AD1" i="43"/>
  <c r="AE1" i="43"/>
  <c r="AF1" i="43"/>
  <c r="AG1" i="43"/>
  <c r="AH1" i="43"/>
  <c r="S1" i="43"/>
  <c r="T1" i="43"/>
  <c r="U1" i="43"/>
  <c r="V1" i="43"/>
  <c r="W1" i="43"/>
  <c r="F1" i="43"/>
  <c r="G1" i="43"/>
  <c r="H1" i="43"/>
  <c r="I1" i="43"/>
  <c r="J1" i="43"/>
  <c r="K1" i="43"/>
  <c r="L1" i="43"/>
  <c r="M1" i="43"/>
  <c r="N1" i="43"/>
  <c r="O1" i="43"/>
  <c r="P1" i="43"/>
  <c r="Q1" i="43"/>
  <c r="R1" i="43"/>
  <c r="E1" i="43"/>
  <c r="B1" i="43"/>
  <c r="C1" i="43"/>
  <c r="A1" i="43"/>
  <c r="B44" i="37"/>
  <c r="C13" i="37" s="1"/>
  <c r="Q12" i="49" l="1"/>
  <c r="D12" i="49"/>
  <c r="C29" i="37"/>
  <c r="C21" i="37"/>
  <c r="C16" i="37"/>
  <c r="C3" i="37"/>
  <c r="C27" i="37"/>
  <c r="C20" i="37"/>
  <c r="C32" i="37"/>
  <c r="C11" i="37"/>
  <c r="C43" i="37"/>
  <c r="C12" i="37"/>
  <c r="C9" i="37"/>
  <c r="C17" i="37"/>
  <c r="C25" i="37"/>
  <c r="C33" i="37"/>
  <c r="C41" i="37"/>
  <c r="C10" i="37"/>
  <c r="C18" i="37"/>
  <c r="C26" i="37"/>
  <c r="C34" i="37"/>
  <c r="C42" i="37"/>
  <c r="C19" i="37"/>
  <c r="C35" i="37"/>
  <c r="C4" i="37"/>
  <c r="C28" i="37"/>
  <c r="C6" i="37"/>
  <c r="C14" i="37"/>
  <c r="C22" i="37"/>
  <c r="C30" i="37"/>
  <c r="C38" i="37"/>
  <c r="C7" i="37"/>
  <c r="C15" i="37"/>
  <c r="C23" i="37"/>
  <c r="C31" i="37"/>
  <c r="C39" i="37"/>
  <c r="C8" i="37"/>
  <c r="C24" i="37"/>
  <c r="C40" i="37"/>
  <c r="C2" i="37"/>
  <c r="C37" i="37"/>
  <c r="C5" i="37"/>
  <c r="C36" i="37"/>
  <c r="C13" i="23"/>
  <c r="C14" i="23" s="1"/>
  <c r="C8" i="23"/>
  <c r="C5" i="23"/>
  <c r="D2" i="37" l="1"/>
  <c r="D3" i="37" s="1"/>
  <c r="D4" i="37" s="1"/>
  <c r="D5" i="37" s="1"/>
  <c r="D6" i="37" s="1"/>
  <c r="D7" i="37" s="1"/>
  <c r="D8" i="37" s="1"/>
  <c r="D9" i="37" s="1"/>
  <c r="D10" i="37" s="1"/>
  <c r="D11" i="37" s="1"/>
  <c r="D12" i="37" s="1"/>
  <c r="D13" i="37" s="1"/>
  <c r="D14" i="37" s="1"/>
  <c r="D15" i="37" s="1"/>
  <c r="D16" i="37" s="1"/>
  <c r="D17" i="37" s="1"/>
  <c r="D18" i="37" s="1"/>
  <c r="D19" i="37" s="1"/>
  <c r="D20" i="37" s="1"/>
  <c r="D21" i="37" s="1"/>
  <c r="D22" i="37" s="1"/>
  <c r="D23" i="37" s="1"/>
  <c r="D24" i="37" s="1"/>
  <c r="D25" i="37" s="1"/>
  <c r="D26" i="37" s="1"/>
  <c r="D27" i="37" s="1"/>
  <c r="D28" i="37" s="1"/>
  <c r="D29" i="37" s="1"/>
  <c r="D30" i="37" s="1"/>
  <c r="D31" i="37" s="1"/>
  <c r="D32" i="37" s="1"/>
  <c r="D33" i="37" s="1"/>
  <c r="D34" i="37" s="1"/>
  <c r="D35" i="37" s="1"/>
  <c r="D36" i="37" s="1"/>
  <c r="D37" i="37" s="1"/>
  <c r="D38" i="37" s="1"/>
  <c r="D39" i="37" s="1"/>
  <c r="D40" i="37" s="1"/>
  <c r="D41" i="37" s="1"/>
  <c r="D42" i="37" s="1"/>
  <c r="D43" i="37" s="1"/>
  <c r="C44" i="37"/>
  <c r="F140" i="28"/>
  <c r="F139" i="28"/>
  <c r="D138" i="28"/>
  <c r="F138" i="28" s="1"/>
  <c r="F136" i="28"/>
  <c r="F133" i="28"/>
  <c r="F132" i="28"/>
  <c r="F131" i="28"/>
  <c r="F130" i="28"/>
  <c r="F129" i="28"/>
  <c r="F128" i="28"/>
  <c r="D28" i="28"/>
  <c r="C23" i="27" l="1"/>
  <c r="D23" i="27"/>
  <c r="E23" i="27"/>
  <c r="F23" i="27"/>
  <c r="G23" i="27"/>
  <c r="H23" i="27"/>
  <c r="I23" i="27"/>
  <c r="J23" i="27"/>
  <c r="K23" i="27"/>
  <c r="L23" i="27"/>
  <c r="M23" i="27"/>
  <c r="N23" i="27"/>
  <c r="O23" i="27"/>
  <c r="P23" i="27"/>
  <c r="Q23" i="27"/>
  <c r="R23" i="27"/>
  <c r="S23" i="27"/>
  <c r="T23" i="27"/>
  <c r="U23" i="27"/>
  <c r="V23" i="27"/>
  <c r="W23" i="27"/>
  <c r="X23" i="27"/>
  <c r="Y23" i="27"/>
  <c r="Z23" i="27"/>
  <c r="AA23" i="27"/>
  <c r="AB23" i="27"/>
  <c r="AC23" i="27"/>
  <c r="AD23" i="27"/>
  <c r="AE23" i="27"/>
  <c r="AF23" i="27"/>
  <c r="C24" i="27"/>
  <c r="D24" i="27"/>
  <c r="E24" i="27"/>
  <c r="F24" i="27"/>
  <c r="G24" i="27"/>
  <c r="H24" i="27"/>
  <c r="I24" i="27"/>
  <c r="J24" i="27"/>
  <c r="K24" i="27"/>
  <c r="L24" i="27"/>
  <c r="M24" i="27"/>
  <c r="N24" i="27"/>
  <c r="O24" i="27"/>
  <c r="P24" i="27"/>
  <c r="Q24" i="27"/>
  <c r="R24" i="27"/>
  <c r="S24" i="27"/>
  <c r="T24" i="27"/>
  <c r="U24" i="27"/>
  <c r="V24" i="27"/>
  <c r="W24" i="27"/>
  <c r="X24" i="27"/>
  <c r="Y24" i="27"/>
  <c r="Z24" i="27"/>
  <c r="AA24" i="27"/>
  <c r="AB24" i="27"/>
  <c r="AC24" i="27"/>
  <c r="AD24" i="27"/>
  <c r="AE24" i="27"/>
  <c r="AF24" i="27"/>
  <c r="C25" i="27"/>
  <c r="D25" i="27"/>
  <c r="E25" i="27"/>
  <c r="F25" i="27"/>
  <c r="G25" i="27"/>
  <c r="H25" i="27"/>
  <c r="I25" i="27"/>
  <c r="J25" i="27"/>
  <c r="K25" i="27"/>
  <c r="L25" i="27"/>
  <c r="M25" i="27"/>
  <c r="N25" i="27"/>
  <c r="O25" i="27"/>
  <c r="P25" i="27"/>
  <c r="Q25" i="27"/>
  <c r="R25" i="27"/>
  <c r="S25" i="27"/>
  <c r="T25" i="27"/>
  <c r="U25" i="27"/>
  <c r="V25" i="27"/>
  <c r="W25" i="27"/>
  <c r="X25" i="27"/>
  <c r="Y25" i="27"/>
  <c r="Z25" i="27"/>
  <c r="AA25" i="27"/>
  <c r="AB25" i="27"/>
  <c r="AC25" i="27"/>
  <c r="AD25" i="27"/>
  <c r="AE25" i="27"/>
  <c r="AF25" i="27"/>
  <c r="D22" i="27"/>
  <c r="E22" i="27"/>
  <c r="F22" i="27"/>
  <c r="G22" i="27"/>
  <c r="H22" i="27"/>
  <c r="I22" i="27"/>
  <c r="J22" i="27"/>
  <c r="K22" i="27"/>
  <c r="K26" i="27" s="1"/>
  <c r="L22" i="27"/>
  <c r="M22" i="27"/>
  <c r="N22" i="27"/>
  <c r="O22" i="27"/>
  <c r="P22" i="27"/>
  <c r="Q22" i="27"/>
  <c r="Q26" i="27" s="1"/>
  <c r="R22" i="27"/>
  <c r="S22" i="27"/>
  <c r="T22" i="27"/>
  <c r="T26" i="27" s="1"/>
  <c r="U22" i="27"/>
  <c r="V22" i="27"/>
  <c r="W22" i="27"/>
  <c r="X22" i="27"/>
  <c r="Y22" i="27"/>
  <c r="Y26" i="27" s="1"/>
  <c r="Z22" i="27"/>
  <c r="AA22" i="27"/>
  <c r="AB22" i="27"/>
  <c r="AC22" i="27"/>
  <c r="AD22" i="27"/>
  <c r="AE22" i="27"/>
  <c r="AF22" i="27"/>
  <c r="C22" i="27"/>
  <c r="C26" i="27" s="1"/>
  <c r="D19" i="27"/>
  <c r="E19" i="27"/>
  <c r="F19" i="27"/>
  <c r="G19" i="27"/>
  <c r="H19" i="27"/>
  <c r="I19" i="27"/>
  <c r="J19" i="27"/>
  <c r="K19" i="27"/>
  <c r="L19" i="27"/>
  <c r="M19" i="27"/>
  <c r="N19" i="27"/>
  <c r="O19" i="27"/>
  <c r="P19" i="27"/>
  <c r="Q19" i="27"/>
  <c r="R19" i="27"/>
  <c r="S19" i="27"/>
  <c r="T19" i="27"/>
  <c r="U19" i="27"/>
  <c r="V19" i="27"/>
  <c r="W19" i="27"/>
  <c r="X19" i="27"/>
  <c r="Y19" i="27"/>
  <c r="Z19" i="27"/>
  <c r="AA19" i="27"/>
  <c r="AB19" i="27"/>
  <c r="AC19" i="27"/>
  <c r="AD19" i="27"/>
  <c r="AE19" i="27"/>
  <c r="AF19" i="27"/>
  <c r="C19" i="27"/>
  <c r="AI67" i="3"/>
  <c r="T27" i="27" l="1"/>
  <c r="L26" i="27"/>
  <c r="L27" i="27" s="1"/>
  <c r="AB26" i="27"/>
  <c r="AB27" i="27" s="1"/>
  <c r="P26" i="27"/>
  <c r="P27" i="27" s="1"/>
  <c r="AE26" i="27"/>
  <c r="AE27" i="27" s="1"/>
  <c r="O26" i="27"/>
  <c r="O27" i="27" s="1"/>
  <c r="G26" i="27"/>
  <c r="G27" i="27" s="1"/>
  <c r="I26" i="27"/>
  <c r="I27" i="27" s="1"/>
  <c r="X26" i="27"/>
  <c r="X27" i="27" s="1"/>
  <c r="H26" i="27"/>
  <c r="H27" i="27" s="1"/>
  <c r="W26" i="27"/>
  <c r="W27" i="27" s="1"/>
  <c r="D26" i="27"/>
  <c r="D27" i="27" s="1"/>
  <c r="C27" i="27"/>
  <c r="Y27" i="27"/>
  <c r="Q27" i="27"/>
  <c r="AD26" i="27"/>
  <c r="AD27" i="27" s="1"/>
  <c r="V26" i="27"/>
  <c r="V27" i="27" s="1"/>
  <c r="N26" i="27"/>
  <c r="N27" i="27" s="1"/>
  <c r="F26" i="27"/>
  <c r="F27" i="27" s="1"/>
  <c r="AC26" i="27"/>
  <c r="AC27" i="27" s="1"/>
  <c r="U26" i="27"/>
  <c r="U27" i="27" s="1"/>
  <c r="M26" i="27"/>
  <c r="M27" i="27" s="1"/>
  <c r="E26" i="27"/>
  <c r="E27" i="27" s="1"/>
  <c r="S26" i="27"/>
  <c r="S27" i="27" s="1"/>
  <c r="AA26" i="27"/>
  <c r="AA27" i="27" s="1"/>
  <c r="K27" i="27"/>
  <c r="Z26" i="27"/>
  <c r="Z27" i="27" s="1"/>
  <c r="R26" i="27"/>
  <c r="R27" i="27" s="1"/>
  <c r="J26" i="27"/>
  <c r="J27" i="27" s="1"/>
  <c r="AF26" i="27"/>
  <c r="AF27" i="27" s="1"/>
  <c r="I3" i="5"/>
  <c r="AG26" i="27" l="1"/>
  <c r="E108" i="14"/>
  <c r="D108" i="14"/>
  <c r="E107" i="14"/>
  <c r="F107" i="14"/>
  <c r="D107" i="14"/>
  <c r="F106" i="14" l="1"/>
  <c r="E106" i="14"/>
  <c r="D106" i="14"/>
  <c r="K6" i="25"/>
  <c r="K5" i="25"/>
  <c r="K4" i="25"/>
  <c r="K3" i="25"/>
  <c r="K2" i="25"/>
  <c r="Q10" i="24"/>
  <c r="Q9" i="24"/>
  <c r="Q8" i="24"/>
  <c r="Q7" i="24"/>
  <c r="Q6" i="24"/>
  <c r="O3" i="24"/>
  <c r="O2" i="24"/>
  <c r="C17" i="23"/>
  <c r="C16" i="23" s="1"/>
  <c r="C22" i="23"/>
  <c r="C47" i="22"/>
  <c r="B47" i="22"/>
  <c r="F38" i="22"/>
  <c r="E38" i="22"/>
  <c r="D38" i="22"/>
  <c r="C38" i="22"/>
  <c r="F32" i="22"/>
  <c r="E32" i="22"/>
  <c r="D32" i="22"/>
  <c r="C32" i="22"/>
  <c r="F28" i="22"/>
  <c r="F29" i="22" s="1"/>
  <c r="E28" i="22"/>
  <c r="E29" i="22" s="1"/>
  <c r="D28" i="22"/>
  <c r="D29" i="22" s="1"/>
  <c r="C28" i="22"/>
  <c r="C29" i="22" s="1"/>
  <c r="F23" i="22"/>
  <c r="E23" i="22"/>
  <c r="D23" i="22"/>
  <c r="C23" i="22"/>
  <c r="F18" i="22"/>
  <c r="F19" i="22" s="1"/>
  <c r="E18" i="22"/>
  <c r="E19" i="22" s="1"/>
  <c r="D18" i="22"/>
  <c r="D19" i="22" s="1"/>
  <c r="C18" i="22"/>
  <c r="C15" i="22"/>
  <c r="F12" i="22"/>
  <c r="F13" i="22" s="1"/>
  <c r="E12" i="22"/>
  <c r="E13" i="22" s="1"/>
  <c r="D12" i="22"/>
  <c r="D13" i="22" s="1"/>
  <c r="C12" i="22"/>
  <c r="C13" i="22" s="1"/>
  <c r="AF1" i="21"/>
  <c r="AG459" i="20"/>
  <c r="AE440" i="20"/>
  <c r="AD440" i="20"/>
  <c r="AC440" i="20"/>
  <c r="AB440" i="20"/>
  <c r="AA440" i="20"/>
  <c r="Z440" i="20"/>
  <c r="Y440" i="20"/>
  <c r="X440" i="20"/>
  <c r="W440" i="20"/>
  <c r="V440" i="20"/>
  <c r="U440" i="20"/>
  <c r="T440" i="20"/>
  <c r="S440" i="20"/>
  <c r="R440" i="20"/>
  <c r="Q440" i="20"/>
  <c r="P440" i="20"/>
  <c r="O440" i="20"/>
  <c r="N440" i="20"/>
  <c r="M440" i="20"/>
  <c r="L440" i="20"/>
  <c r="K440" i="20"/>
  <c r="J440" i="20"/>
  <c r="I440" i="20"/>
  <c r="H440" i="20"/>
  <c r="G440" i="20"/>
  <c r="F440" i="20"/>
  <c r="E440" i="20"/>
  <c r="D440" i="20"/>
  <c r="C440" i="20"/>
  <c r="B440" i="20"/>
  <c r="AE431" i="20"/>
  <c r="AD431" i="20"/>
  <c r="AC431" i="20"/>
  <c r="AB431" i="20"/>
  <c r="AA431" i="20"/>
  <c r="Z431" i="20"/>
  <c r="Y431" i="20"/>
  <c r="X431" i="20"/>
  <c r="W431" i="20"/>
  <c r="V431" i="20"/>
  <c r="U431" i="20"/>
  <c r="T431" i="20"/>
  <c r="S431" i="20"/>
  <c r="R431" i="20"/>
  <c r="Q431" i="20"/>
  <c r="P431" i="20"/>
  <c r="O431" i="20"/>
  <c r="N431" i="20"/>
  <c r="M431" i="20"/>
  <c r="L431" i="20"/>
  <c r="K431" i="20"/>
  <c r="J431" i="20"/>
  <c r="I431" i="20"/>
  <c r="H431" i="20"/>
  <c r="G431" i="20"/>
  <c r="F431" i="20"/>
  <c r="E431" i="20"/>
  <c r="D431" i="20"/>
  <c r="C431" i="20"/>
  <c r="B431" i="20"/>
  <c r="AE425" i="20"/>
  <c r="AD425" i="20"/>
  <c r="AC425" i="20"/>
  <c r="AB425" i="20"/>
  <c r="AA425" i="20"/>
  <c r="Z425" i="20"/>
  <c r="Y425" i="20"/>
  <c r="X425" i="20"/>
  <c r="W425" i="20"/>
  <c r="V425" i="20"/>
  <c r="U425" i="20"/>
  <c r="T425" i="20"/>
  <c r="S425" i="20"/>
  <c r="R425" i="20"/>
  <c r="Q425" i="20"/>
  <c r="P425" i="20"/>
  <c r="O425" i="20"/>
  <c r="N425" i="20"/>
  <c r="M425" i="20"/>
  <c r="L425" i="20"/>
  <c r="K425" i="20"/>
  <c r="J425" i="20"/>
  <c r="I425" i="20"/>
  <c r="H425" i="20"/>
  <c r="G425" i="20"/>
  <c r="F425" i="20"/>
  <c r="E425" i="20"/>
  <c r="D425" i="20"/>
  <c r="C425" i="20"/>
  <c r="B425" i="20"/>
  <c r="AE422" i="20"/>
  <c r="AD422" i="20"/>
  <c r="AC422" i="20"/>
  <c r="AB422" i="20"/>
  <c r="AA422" i="20"/>
  <c r="Z422" i="20"/>
  <c r="Y422" i="20"/>
  <c r="X422" i="20"/>
  <c r="W422" i="20"/>
  <c r="V422" i="20"/>
  <c r="U422" i="20"/>
  <c r="T422" i="20"/>
  <c r="S422" i="20"/>
  <c r="R422" i="20"/>
  <c r="Q422" i="20"/>
  <c r="P422" i="20"/>
  <c r="O422" i="20"/>
  <c r="N422" i="20"/>
  <c r="M422" i="20"/>
  <c r="L422" i="20"/>
  <c r="K422" i="20"/>
  <c r="J422" i="20"/>
  <c r="I422" i="20"/>
  <c r="H422" i="20"/>
  <c r="G422" i="20"/>
  <c r="F422" i="20"/>
  <c r="E422" i="20"/>
  <c r="D422" i="20"/>
  <c r="C422" i="20"/>
  <c r="B422" i="20"/>
  <c r="AE413" i="20"/>
  <c r="AD413" i="20"/>
  <c r="AC413" i="20"/>
  <c r="AB413" i="20"/>
  <c r="AA413" i="20"/>
  <c r="Z413" i="20"/>
  <c r="Y413" i="20"/>
  <c r="X413" i="20"/>
  <c r="W413" i="20"/>
  <c r="V413" i="20"/>
  <c r="U413" i="20"/>
  <c r="T413" i="20"/>
  <c r="S413" i="20"/>
  <c r="R413" i="20"/>
  <c r="Q413" i="20"/>
  <c r="P413" i="20"/>
  <c r="O413" i="20"/>
  <c r="N413" i="20"/>
  <c r="M413" i="20"/>
  <c r="L413" i="20"/>
  <c r="K413" i="20"/>
  <c r="J413" i="20"/>
  <c r="I413" i="20"/>
  <c r="H413" i="20"/>
  <c r="G413" i="20"/>
  <c r="F413" i="20"/>
  <c r="E413" i="20"/>
  <c r="D413" i="20"/>
  <c r="C413" i="20"/>
  <c r="B413" i="20"/>
  <c r="AE410" i="20"/>
  <c r="AD410" i="20"/>
  <c r="AC410" i="20"/>
  <c r="AB410" i="20"/>
  <c r="AA410" i="20"/>
  <c r="Z410" i="20"/>
  <c r="Y410" i="20"/>
  <c r="X410" i="20"/>
  <c r="W410" i="20"/>
  <c r="V410" i="20"/>
  <c r="U410" i="20"/>
  <c r="T410" i="20"/>
  <c r="S410" i="20"/>
  <c r="R410" i="20"/>
  <c r="Q410" i="20"/>
  <c r="P410" i="20"/>
  <c r="O410" i="20"/>
  <c r="N410" i="20"/>
  <c r="M410" i="20"/>
  <c r="L410" i="20"/>
  <c r="K410" i="20"/>
  <c r="J410" i="20"/>
  <c r="I410" i="20"/>
  <c r="H410" i="20"/>
  <c r="G410" i="20"/>
  <c r="F410" i="20"/>
  <c r="E410" i="20"/>
  <c r="D410" i="20"/>
  <c r="C410" i="20"/>
  <c r="B410" i="20"/>
  <c r="AG403" i="20"/>
  <c r="AG384" i="20"/>
  <c r="BM384" i="20" s="1"/>
  <c r="X381" i="20"/>
  <c r="E371" i="20"/>
  <c r="AE365" i="20"/>
  <c r="A365" i="20"/>
  <c r="U383" i="20" s="1"/>
  <c r="X363" i="20"/>
  <c r="D352" i="20"/>
  <c r="O346" i="20"/>
  <c r="A346" i="20"/>
  <c r="Z363" i="20" s="1"/>
  <c r="A327" i="20"/>
  <c r="AG327" i="20" s="1"/>
  <c r="BM327" i="20" s="1"/>
  <c r="A308" i="20"/>
  <c r="AG308" i="20" s="1"/>
  <c r="BM308" i="20" s="1"/>
  <c r="A289" i="20"/>
  <c r="AG289" i="20" s="1"/>
  <c r="BM289" i="20" s="1"/>
  <c r="A270" i="20"/>
  <c r="A251" i="20"/>
  <c r="A232" i="20"/>
  <c r="AG232" i="20" s="1"/>
  <c r="BM232" i="20" s="1"/>
  <c r="A213" i="20"/>
  <c r="A194" i="20"/>
  <c r="A175" i="20"/>
  <c r="AG175" i="20" s="1"/>
  <c r="BM175" i="20" s="1"/>
  <c r="A156" i="20"/>
  <c r="A137" i="20"/>
  <c r="AG137" i="20" s="1"/>
  <c r="BM137" i="20" s="1"/>
  <c r="A118" i="20"/>
  <c r="V136" i="20" s="1"/>
  <c r="A99" i="20"/>
  <c r="B116" i="20" s="1"/>
  <c r="A80" i="20"/>
  <c r="A61" i="20"/>
  <c r="AG61" i="20" s="1"/>
  <c r="BM61" i="20" s="1"/>
  <c r="A42" i="20"/>
  <c r="AG42" i="20" s="1"/>
  <c r="BM42" i="20" s="1"/>
  <c r="A23" i="20"/>
  <c r="A4" i="20"/>
  <c r="AG4" i="20" s="1"/>
  <c r="BM4" i="20" s="1"/>
  <c r="AG49" i="19"/>
  <c r="AF49" i="19"/>
  <c r="AE49" i="19"/>
  <c r="AD49" i="19"/>
  <c r="AC49" i="19"/>
  <c r="AB49" i="19"/>
  <c r="AA49" i="19"/>
  <c r="Z49" i="19"/>
  <c r="Y49" i="19"/>
  <c r="X49" i="19"/>
  <c r="W49" i="19"/>
  <c r="V49" i="19"/>
  <c r="U49" i="19"/>
  <c r="T49" i="19"/>
  <c r="S49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AG43" i="19"/>
  <c r="AF43" i="19"/>
  <c r="AE43" i="19"/>
  <c r="AD43" i="19"/>
  <c r="AC43" i="19"/>
  <c r="AB43" i="19"/>
  <c r="AA43" i="19"/>
  <c r="Z43" i="19"/>
  <c r="Y43" i="19"/>
  <c r="X43" i="19"/>
  <c r="W43" i="19"/>
  <c r="V43" i="19"/>
  <c r="U43" i="19"/>
  <c r="T43" i="19"/>
  <c r="S43" i="19"/>
  <c r="AG42" i="19"/>
  <c r="AF42" i="19"/>
  <c r="AE42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AG41" i="19"/>
  <c r="AF41" i="19"/>
  <c r="AE41" i="19"/>
  <c r="AD41" i="19"/>
  <c r="AC41" i="19"/>
  <c r="AB41" i="19"/>
  <c r="AA41" i="19"/>
  <c r="Z41" i="19"/>
  <c r="Y41" i="19"/>
  <c r="X41" i="19"/>
  <c r="W41" i="19"/>
  <c r="V41" i="19"/>
  <c r="U41" i="19"/>
  <c r="T41" i="19"/>
  <c r="S41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AG27" i="19"/>
  <c r="AG62" i="19" s="1"/>
  <c r="AF19" i="21" s="1"/>
  <c r="AF27" i="19"/>
  <c r="AF62" i="19" s="1"/>
  <c r="AE19" i="21" s="1"/>
  <c r="AE27" i="19"/>
  <c r="AE62" i="19" s="1"/>
  <c r="AD19" i="21" s="1"/>
  <c r="AD27" i="19"/>
  <c r="AD62" i="19" s="1"/>
  <c r="AC19" i="21" s="1"/>
  <c r="AC27" i="19"/>
  <c r="AC62" i="19" s="1"/>
  <c r="AB19" i="21" s="1"/>
  <c r="AB27" i="19"/>
  <c r="AB62" i="19" s="1"/>
  <c r="AA19" i="21" s="1"/>
  <c r="AA27" i="19"/>
  <c r="AA62" i="19" s="1"/>
  <c r="Z19" i="21" s="1"/>
  <c r="Z27" i="19"/>
  <c r="Z62" i="19" s="1"/>
  <c r="Y19" i="21" s="1"/>
  <c r="Y27" i="19"/>
  <c r="Y62" i="19" s="1"/>
  <c r="X19" i="21" s="1"/>
  <c r="X27" i="19"/>
  <c r="X62" i="19" s="1"/>
  <c r="W19" i="21" s="1"/>
  <c r="W27" i="19"/>
  <c r="W62" i="19" s="1"/>
  <c r="V19" i="21" s="1"/>
  <c r="V27" i="19"/>
  <c r="V62" i="19" s="1"/>
  <c r="U19" i="21" s="1"/>
  <c r="U27" i="19"/>
  <c r="U62" i="19" s="1"/>
  <c r="T19" i="21" s="1"/>
  <c r="T27" i="19"/>
  <c r="T62" i="19" s="1"/>
  <c r="S19" i="21" s="1"/>
  <c r="S27" i="19"/>
  <c r="S62" i="19" s="1"/>
  <c r="R19" i="21" s="1"/>
  <c r="AG26" i="19"/>
  <c r="AG61" i="19" s="1"/>
  <c r="AF17" i="21" s="1"/>
  <c r="AF26" i="19"/>
  <c r="AF61" i="19" s="1"/>
  <c r="AE17" i="21" s="1"/>
  <c r="AE26" i="19"/>
  <c r="AE61" i="19" s="1"/>
  <c r="AD17" i="21" s="1"/>
  <c r="AD26" i="19"/>
  <c r="AD61" i="19" s="1"/>
  <c r="AC17" i="21" s="1"/>
  <c r="AC26" i="19"/>
  <c r="AC61" i="19" s="1"/>
  <c r="AB17" i="21" s="1"/>
  <c r="AB26" i="19"/>
  <c r="AB61" i="19" s="1"/>
  <c r="AA17" i="21" s="1"/>
  <c r="AA26" i="19"/>
  <c r="AA61" i="19" s="1"/>
  <c r="Z17" i="21" s="1"/>
  <c r="Z26" i="19"/>
  <c r="Z61" i="19" s="1"/>
  <c r="Y17" i="21" s="1"/>
  <c r="Y26" i="19"/>
  <c r="Y61" i="19" s="1"/>
  <c r="X17" i="21" s="1"/>
  <c r="X26" i="19"/>
  <c r="X61" i="19" s="1"/>
  <c r="W17" i="21" s="1"/>
  <c r="W26" i="19"/>
  <c r="W61" i="19" s="1"/>
  <c r="V17" i="21" s="1"/>
  <c r="V26" i="19"/>
  <c r="V61" i="19" s="1"/>
  <c r="U17" i="21" s="1"/>
  <c r="U26" i="19"/>
  <c r="U61" i="19" s="1"/>
  <c r="T17" i="21" s="1"/>
  <c r="T26" i="19"/>
  <c r="T61" i="19" s="1"/>
  <c r="S17" i="21" s="1"/>
  <c r="S26" i="19"/>
  <c r="S61" i="19" s="1"/>
  <c r="R17" i="21" s="1"/>
  <c r="C18" i="19"/>
  <c r="C16" i="19" s="1"/>
  <c r="I5" i="19"/>
  <c r="D35" i="18"/>
  <c r="E35" i="18" s="1"/>
  <c r="F35" i="18" s="1"/>
  <c r="G35" i="18" s="1"/>
  <c r="H35" i="18" s="1"/>
  <c r="I35" i="18" s="1"/>
  <c r="J35" i="18" s="1"/>
  <c r="K35" i="18" s="1"/>
  <c r="L35" i="18" s="1"/>
  <c r="M35" i="18" s="1"/>
  <c r="N35" i="18" s="1"/>
  <c r="O35" i="18" s="1"/>
  <c r="P35" i="18" s="1"/>
  <c r="Q35" i="18" s="1"/>
  <c r="R35" i="18" s="1"/>
  <c r="S35" i="18" s="1"/>
  <c r="T35" i="18" s="1"/>
  <c r="U35" i="18" s="1"/>
  <c r="V35" i="18" s="1"/>
  <c r="W35" i="18" s="1"/>
  <c r="X35" i="18" s="1"/>
  <c r="Y35" i="18" s="1"/>
  <c r="Z35" i="18" s="1"/>
  <c r="AA35" i="18" s="1"/>
  <c r="AB35" i="18" s="1"/>
  <c r="AC35" i="18" s="1"/>
  <c r="AD35" i="18" s="1"/>
  <c r="AE35" i="18" s="1"/>
  <c r="AF35" i="18" s="1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B18" i="18"/>
  <c r="B33" i="18" s="1"/>
  <c r="C290" i="17"/>
  <c r="C289" i="17"/>
  <c r="C288" i="17"/>
  <c r="AG276" i="17"/>
  <c r="AF276" i="17"/>
  <c r="AE276" i="17"/>
  <c r="AD276" i="17"/>
  <c r="AC276" i="17"/>
  <c r="AB276" i="17"/>
  <c r="AA276" i="17"/>
  <c r="Z276" i="17"/>
  <c r="Y276" i="17"/>
  <c r="X276" i="17"/>
  <c r="W276" i="17"/>
  <c r="V276" i="17"/>
  <c r="U276" i="17"/>
  <c r="T276" i="17"/>
  <c r="S276" i="17"/>
  <c r="R276" i="17"/>
  <c r="Q276" i="17"/>
  <c r="P276" i="17"/>
  <c r="O276" i="17"/>
  <c r="N276" i="17"/>
  <c r="M276" i="17"/>
  <c r="L276" i="17"/>
  <c r="K276" i="17"/>
  <c r="J276" i="17"/>
  <c r="I276" i="17"/>
  <c r="H276" i="17"/>
  <c r="G276" i="17"/>
  <c r="F276" i="17"/>
  <c r="E276" i="17"/>
  <c r="D276" i="17"/>
  <c r="C218" i="17"/>
  <c r="AG196" i="17"/>
  <c r="AG222" i="17" s="1"/>
  <c r="AF196" i="17"/>
  <c r="AF222" i="17" s="1"/>
  <c r="AE196" i="17"/>
  <c r="AE222" i="17" s="1"/>
  <c r="AD196" i="17"/>
  <c r="AD222" i="17" s="1"/>
  <c r="AC196" i="17"/>
  <c r="AC222" i="17" s="1"/>
  <c r="AB196" i="17"/>
  <c r="AB222" i="17" s="1"/>
  <c r="AA196" i="17"/>
  <c r="AA222" i="17" s="1"/>
  <c r="Z196" i="17"/>
  <c r="Z222" i="17" s="1"/>
  <c r="Y196" i="17"/>
  <c r="Y222" i="17" s="1"/>
  <c r="X196" i="17"/>
  <c r="X222" i="17" s="1"/>
  <c r="W196" i="17"/>
  <c r="W222" i="17" s="1"/>
  <c r="V196" i="17"/>
  <c r="V222" i="17" s="1"/>
  <c r="U196" i="17"/>
  <c r="U222" i="17" s="1"/>
  <c r="T196" i="17"/>
  <c r="T222" i="17" s="1"/>
  <c r="S196" i="17"/>
  <c r="S222" i="17" s="1"/>
  <c r="R196" i="17"/>
  <c r="R222" i="17" s="1"/>
  <c r="Q196" i="17"/>
  <c r="Q222" i="17" s="1"/>
  <c r="P196" i="17"/>
  <c r="P222" i="17" s="1"/>
  <c r="O196" i="17"/>
  <c r="O222" i="17" s="1"/>
  <c r="N196" i="17"/>
  <c r="N222" i="17" s="1"/>
  <c r="M196" i="17"/>
  <c r="M222" i="17" s="1"/>
  <c r="L196" i="17"/>
  <c r="L222" i="17" s="1"/>
  <c r="K196" i="17"/>
  <c r="K222" i="17" s="1"/>
  <c r="J196" i="17"/>
  <c r="J222" i="17" s="1"/>
  <c r="I196" i="17"/>
  <c r="I222" i="17" s="1"/>
  <c r="H196" i="17"/>
  <c r="H222" i="17" s="1"/>
  <c r="G196" i="17"/>
  <c r="G222" i="17" s="1"/>
  <c r="F196" i="17"/>
  <c r="F222" i="17" s="1"/>
  <c r="E196" i="17"/>
  <c r="E222" i="17" s="1"/>
  <c r="D196" i="17"/>
  <c r="D222" i="17" s="1"/>
  <c r="T166" i="17"/>
  <c r="K166" i="17" s="1"/>
  <c r="L166" i="17"/>
  <c r="J166" i="17"/>
  <c r="I166" i="17"/>
  <c r="T165" i="17"/>
  <c r="C165" i="17" s="1"/>
  <c r="L165" i="17"/>
  <c r="J165" i="17"/>
  <c r="I165" i="17"/>
  <c r="D165" i="17" s="1"/>
  <c r="T164" i="17"/>
  <c r="C164" i="17" s="1"/>
  <c r="L164" i="17"/>
  <c r="J164" i="17"/>
  <c r="I164" i="17"/>
  <c r="T163" i="17"/>
  <c r="K163" i="17" s="1"/>
  <c r="L163" i="17"/>
  <c r="J163" i="17"/>
  <c r="I163" i="17"/>
  <c r="T162" i="17"/>
  <c r="C162" i="17" s="1"/>
  <c r="L162" i="17"/>
  <c r="J162" i="17"/>
  <c r="I162" i="17"/>
  <c r="T161" i="17"/>
  <c r="C161" i="17" s="1"/>
  <c r="L161" i="17"/>
  <c r="C9" i="23" s="1"/>
  <c r="J161" i="17"/>
  <c r="I161" i="17"/>
  <c r="D93" i="17"/>
  <c r="C93" i="17"/>
  <c r="D92" i="17"/>
  <c r="C92" i="17"/>
  <c r="D91" i="17"/>
  <c r="C91" i="17"/>
  <c r="D90" i="17"/>
  <c r="C90" i="17"/>
  <c r="D89" i="17"/>
  <c r="C89" i="17"/>
  <c r="D88" i="17"/>
  <c r="C88" i="17"/>
  <c r="X76" i="17"/>
  <c r="W76" i="17"/>
  <c r="V76" i="17"/>
  <c r="U76" i="17"/>
  <c r="T76" i="17"/>
  <c r="S76" i="17"/>
  <c r="R76" i="17"/>
  <c r="Q76" i="17"/>
  <c r="P76" i="17"/>
  <c r="O76" i="17"/>
  <c r="N76" i="17"/>
  <c r="M76" i="17"/>
  <c r="L76" i="17"/>
  <c r="K76" i="17"/>
  <c r="J76" i="17"/>
  <c r="I76" i="17"/>
  <c r="H76" i="17"/>
  <c r="G76" i="17"/>
  <c r="F76" i="17"/>
  <c r="E76" i="17"/>
  <c r="X75" i="17"/>
  <c r="W75" i="17"/>
  <c r="V75" i="17"/>
  <c r="U75" i="17"/>
  <c r="T75" i="17"/>
  <c r="S75" i="17"/>
  <c r="R75" i="17"/>
  <c r="Q75" i="17"/>
  <c r="P75" i="17"/>
  <c r="O75" i="17"/>
  <c r="N75" i="17"/>
  <c r="M75" i="17"/>
  <c r="L75" i="17"/>
  <c r="K75" i="17"/>
  <c r="J75" i="17"/>
  <c r="I75" i="17"/>
  <c r="H75" i="17"/>
  <c r="G75" i="17"/>
  <c r="F75" i="17"/>
  <c r="E75" i="17"/>
  <c r="X74" i="17"/>
  <c r="W74" i="17"/>
  <c r="V74" i="17"/>
  <c r="U74" i="17"/>
  <c r="T74" i="17"/>
  <c r="S74" i="17"/>
  <c r="R74" i="17"/>
  <c r="Q74" i="17"/>
  <c r="P74" i="17"/>
  <c r="O74" i="17"/>
  <c r="N74" i="17"/>
  <c r="M74" i="17"/>
  <c r="L74" i="17"/>
  <c r="K74" i="17"/>
  <c r="J74" i="17"/>
  <c r="I74" i="17"/>
  <c r="H74" i="17"/>
  <c r="G74" i="17"/>
  <c r="F74" i="17"/>
  <c r="E74" i="17"/>
  <c r="X73" i="17"/>
  <c r="W73" i="17"/>
  <c r="V73" i="17"/>
  <c r="U73" i="17"/>
  <c r="T73" i="17"/>
  <c r="S73" i="17"/>
  <c r="R73" i="17"/>
  <c r="Q73" i="17"/>
  <c r="P73" i="17"/>
  <c r="O73" i="17"/>
  <c r="N73" i="17"/>
  <c r="M73" i="17"/>
  <c r="L73" i="17"/>
  <c r="K73" i="17"/>
  <c r="J73" i="17"/>
  <c r="I73" i="17"/>
  <c r="H73" i="17"/>
  <c r="G73" i="17"/>
  <c r="F73" i="17"/>
  <c r="E73" i="17"/>
  <c r="X72" i="17"/>
  <c r="W72" i="17"/>
  <c r="V72" i="17"/>
  <c r="U72" i="17"/>
  <c r="T72" i="17"/>
  <c r="S72" i="17"/>
  <c r="R72" i="17"/>
  <c r="Q72" i="17"/>
  <c r="P72" i="17"/>
  <c r="O72" i="17"/>
  <c r="N72" i="17"/>
  <c r="M72" i="17"/>
  <c r="L72" i="17"/>
  <c r="K72" i="17"/>
  <c r="J72" i="17"/>
  <c r="I72" i="17"/>
  <c r="H72" i="17"/>
  <c r="G72" i="17"/>
  <c r="F72" i="17"/>
  <c r="E72" i="17"/>
  <c r="X71" i="17"/>
  <c r="W71" i="17"/>
  <c r="V71" i="17"/>
  <c r="U71" i="17"/>
  <c r="T71" i="17"/>
  <c r="S71" i="17"/>
  <c r="R71" i="17"/>
  <c r="Q71" i="17"/>
  <c r="P71" i="17"/>
  <c r="O71" i="17"/>
  <c r="N71" i="17"/>
  <c r="M71" i="17"/>
  <c r="L71" i="17"/>
  <c r="K71" i="17"/>
  <c r="J71" i="17"/>
  <c r="I71" i="17"/>
  <c r="H71" i="17"/>
  <c r="G71" i="17"/>
  <c r="F71" i="17"/>
  <c r="E71" i="17"/>
  <c r="X70" i="17"/>
  <c r="W70" i="17"/>
  <c r="V70" i="17"/>
  <c r="U70" i="17"/>
  <c r="T70" i="17"/>
  <c r="S70" i="17"/>
  <c r="R70" i="17"/>
  <c r="Q70" i="17"/>
  <c r="P70" i="17"/>
  <c r="O70" i="17"/>
  <c r="N70" i="17"/>
  <c r="M70" i="17"/>
  <c r="L70" i="17"/>
  <c r="K70" i="17"/>
  <c r="J70" i="17"/>
  <c r="I70" i="17"/>
  <c r="H70" i="17"/>
  <c r="G70" i="17"/>
  <c r="F70" i="17"/>
  <c r="E70" i="17"/>
  <c r="X62" i="17"/>
  <c r="W62" i="17"/>
  <c r="V62" i="17"/>
  <c r="U62" i="17"/>
  <c r="T62" i="17"/>
  <c r="S62" i="17"/>
  <c r="R62" i="17"/>
  <c r="Q62" i="17"/>
  <c r="P62" i="17"/>
  <c r="O62" i="17"/>
  <c r="N62" i="17"/>
  <c r="M62" i="17"/>
  <c r="L62" i="17"/>
  <c r="K62" i="17"/>
  <c r="J62" i="17"/>
  <c r="I62" i="17"/>
  <c r="H62" i="17"/>
  <c r="G62" i="17"/>
  <c r="F62" i="17"/>
  <c r="E62" i="17"/>
  <c r="X61" i="17"/>
  <c r="W61" i="17"/>
  <c r="V61" i="17"/>
  <c r="U61" i="17"/>
  <c r="T61" i="17"/>
  <c r="S61" i="17"/>
  <c r="R61" i="17"/>
  <c r="Q61" i="17"/>
  <c r="P61" i="17"/>
  <c r="O61" i="17"/>
  <c r="N61" i="17"/>
  <c r="M61" i="17"/>
  <c r="L61" i="17"/>
  <c r="K61" i="17"/>
  <c r="J61" i="17"/>
  <c r="I61" i="17"/>
  <c r="H61" i="17"/>
  <c r="G61" i="17"/>
  <c r="F61" i="17"/>
  <c r="E61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C4" i="17"/>
  <c r="E4" i="17" s="1"/>
  <c r="A57" i="16"/>
  <c r="A56" i="16"/>
  <c r="A55" i="16"/>
  <c r="A54" i="16"/>
  <c r="A48" i="16"/>
  <c r="A47" i="16"/>
  <c r="A46" i="16"/>
  <c r="A45" i="16"/>
  <c r="AG39" i="16"/>
  <c r="AF39" i="16"/>
  <c r="AE39" i="16"/>
  <c r="AD39" i="16"/>
  <c r="AC39" i="16"/>
  <c r="AB39" i="16"/>
  <c r="AA39" i="16"/>
  <c r="Z39" i="16"/>
  <c r="Y39" i="16"/>
  <c r="X39" i="16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39" i="16"/>
  <c r="AG38" i="16"/>
  <c r="AF38" i="16"/>
  <c r="AE38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38" i="16"/>
  <c r="AG37" i="16"/>
  <c r="AF37" i="16"/>
  <c r="AE37" i="16"/>
  <c r="AD37" i="16"/>
  <c r="AC37" i="16"/>
  <c r="AB37" i="16"/>
  <c r="AA37" i="16"/>
  <c r="Z37" i="16"/>
  <c r="Y37" i="16"/>
  <c r="X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37" i="16"/>
  <c r="AG36" i="16"/>
  <c r="AF36" i="16"/>
  <c r="AE36" i="16"/>
  <c r="AD36" i="16"/>
  <c r="AC36" i="16"/>
  <c r="AB36" i="16"/>
  <c r="AA36" i="16"/>
  <c r="Z36" i="16"/>
  <c r="Y36" i="16"/>
  <c r="X36" i="16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36" i="16"/>
  <c r="AG35" i="16"/>
  <c r="AF35" i="16"/>
  <c r="AE35" i="16"/>
  <c r="AD35" i="16"/>
  <c r="AC35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35" i="16"/>
  <c r="AG34" i="16"/>
  <c r="AF34" i="16"/>
  <c r="AE34" i="16"/>
  <c r="AD34" i="16"/>
  <c r="AC34" i="16"/>
  <c r="AB34" i="16"/>
  <c r="AA34" i="16"/>
  <c r="Z34" i="16"/>
  <c r="Y34" i="16"/>
  <c r="X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34" i="16"/>
  <c r="AG33" i="16"/>
  <c r="AF33" i="16"/>
  <c r="AE33" i="16"/>
  <c r="AD33" i="16"/>
  <c r="AC33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33" i="16"/>
  <c r="AG32" i="16"/>
  <c r="AF32" i="16"/>
  <c r="AE32" i="16"/>
  <c r="AD32" i="16"/>
  <c r="AC32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32" i="16"/>
  <c r="AG31" i="16"/>
  <c r="AF31" i="16"/>
  <c r="AE31" i="16"/>
  <c r="AD31" i="16"/>
  <c r="AC31" i="16"/>
  <c r="AB31" i="16"/>
  <c r="AA31" i="16"/>
  <c r="Z31" i="16"/>
  <c r="Y31" i="16"/>
  <c r="X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31" i="16"/>
  <c r="AG30" i="16"/>
  <c r="AF30" i="16"/>
  <c r="AE30" i="16"/>
  <c r="AD30" i="16"/>
  <c r="AC30" i="16"/>
  <c r="AB30" i="16"/>
  <c r="AA30" i="16"/>
  <c r="Z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30" i="16"/>
  <c r="AG29" i="16"/>
  <c r="AF29" i="16"/>
  <c r="AE29" i="16"/>
  <c r="AD29" i="16"/>
  <c r="AC29" i="16"/>
  <c r="AB29" i="16"/>
  <c r="AA29" i="16"/>
  <c r="Z29" i="16"/>
  <c r="Y29" i="16"/>
  <c r="X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29" i="16"/>
  <c r="AG28" i="16"/>
  <c r="AF28" i="16"/>
  <c r="AE28" i="16"/>
  <c r="AD28" i="16"/>
  <c r="AC28" i="16"/>
  <c r="AB28" i="16"/>
  <c r="AA28" i="16"/>
  <c r="Z28" i="16"/>
  <c r="Y28" i="16"/>
  <c r="X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28" i="16"/>
  <c r="AG27" i="16"/>
  <c r="AF27" i="16"/>
  <c r="AE27" i="16"/>
  <c r="AD27" i="16"/>
  <c r="AC27" i="16"/>
  <c r="AB27" i="16"/>
  <c r="AA27" i="16"/>
  <c r="Z27" i="16"/>
  <c r="Y27" i="16"/>
  <c r="X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27" i="16"/>
  <c r="AG26" i="16"/>
  <c r="AF26" i="16"/>
  <c r="AE26" i="16"/>
  <c r="AD26" i="16"/>
  <c r="AC26" i="16"/>
  <c r="AB26" i="16"/>
  <c r="AA26" i="16"/>
  <c r="Z26" i="16"/>
  <c r="Y26" i="16"/>
  <c r="X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26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25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24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23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22" i="16"/>
  <c r="AG21" i="16"/>
  <c r="AF21" i="16"/>
  <c r="AE21" i="16"/>
  <c r="AD21" i="16"/>
  <c r="AC21" i="16"/>
  <c r="AB21" i="16"/>
  <c r="AA21" i="16"/>
  <c r="Z21" i="16"/>
  <c r="Y21" i="16"/>
  <c r="X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21" i="16"/>
  <c r="AG20" i="16"/>
  <c r="AF20" i="16"/>
  <c r="AE20" i="16"/>
  <c r="AD20" i="16"/>
  <c r="AC20" i="16"/>
  <c r="AB20" i="16"/>
  <c r="AA20" i="16"/>
  <c r="Z20" i="16"/>
  <c r="Y20" i="16"/>
  <c r="X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20" i="16"/>
  <c r="C18" i="16"/>
  <c r="D12" i="16"/>
  <c r="AG10" i="16"/>
  <c r="AF10" i="16"/>
  <c r="AE10" i="16"/>
  <c r="AD10" i="16"/>
  <c r="AC10" i="16"/>
  <c r="AB10" i="16"/>
  <c r="AA10" i="16"/>
  <c r="Z10" i="16"/>
  <c r="Y10" i="16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JT176" i="14"/>
  <c r="JS176" i="14"/>
  <c r="JR176" i="14"/>
  <c r="JQ176" i="14"/>
  <c r="JP176" i="14"/>
  <c r="JO176" i="14"/>
  <c r="JN176" i="14"/>
  <c r="JM176" i="14"/>
  <c r="JL176" i="14"/>
  <c r="JK176" i="14"/>
  <c r="JJ176" i="14"/>
  <c r="JI176" i="14"/>
  <c r="JH176" i="14"/>
  <c r="JG176" i="14"/>
  <c r="JF176" i="14"/>
  <c r="JE176" i="14"/>
  <c r="JD176" i="14"/>
  <c r="JC176" i="14"/>
  <c r="JB176" i="14"/>
  <c r="JA176" i="14"/>
  <c r="IZ176" i="14"/>
  <c r="IY176" i="14"/>
  <c r="IX176" i="14"/>
  <c r="IW176" i="14"/>
  <c r="IV176" i="14"/>
  <c r="IU176" i="14"/>
  <c r="IT176" i="14"/>
  <c r="IS176" i="14"/>
  <c r="IR176" i="14"/>
  <c r="IQ176" i="14"/>
  <c r="IP176" i="14"/>
  <c r="IO176" i="14"/>
  <c r="IN176" i="14"/>
  <c r="IM176" i="14"/>
  <c r="IL176" i="14"/>
  <c r="IK176" i="14"/>
  <c r="IJ176" i="14"/>
  <c r="II176" i="14"/>
  <c r="IH176" i="14"/>
  <c r="IG176" i="14"/>
  <c r="IF176" i="14"/>
  <c r="IE176" i="14"/>
  <c r="ID176" i="14"/>
  <c r="IC176" i="14"/>
  <c r="IB176" i="14"/>
  <c r="IA176" i="14"/>
  <c r="HZ176" i="14"/>
  <c r="HY176" i="14"/>
  <c r="HX176" i="14"/>
  <c r="HW176" i="14"/>
  <c r="HV176" i="14"/>
  <c r="HU176" i="14"/>
  <c r="HT176" i="14"/>
  <c r="HS176" i="14"/>
  <c r="HR176" i="14"/>
  <c r="HQ176" i="14"/>
  <c r="HP176" i="14"/>
  <c r="HO176" i="14"/>
  <c r="HN176" i="14"/>
  <c r="HM176" i="14"/>
  <c r="GH176" i="14"/>
  <c r="GG176" i="14"/>
  <c r="GF176" i="14"/>
  <c r="GE176" i="14"/>
  <c r="GD176" i="14"/>
  <c r="GC176" i="14"/>
  <c r="GB176" i="14"/>
  <c r="GA176" i="14"/>
  <c r="FZ176" i="14"/>
  <c r="FY176" i="14"/>
  <c r="FX176" i="14"/>
  <c r="FW176" i="14"/>
  <c r="FV176" i="14"/>
  <c r="FU176" i="14"/>
  <c r="FT176" i="14"/>
  <c r="FS176" i="14"/>
  <c r="FR176" i="14"/>
  <c r="FQ176" i="14"/>
  <c r="FP176" i="14"/>
  <c r="FO176" i="14"/>
  <c r="FN176" i="14"/>
  <c r="FM176" i="14"/>
  <c r="FL176" i="14"/>
  <c r="FK176" i="14"/>
  <c r="FJ176" i="14"/>
  <c r="FI176" i="14"/>
  <c r="FH176" i="14"/>
  <c r="FG176" i="14"/>
  <c r="FF176" i="14"/>
  <c r="FE176" i="14"/>
  <c r="CV176" i="14"/>
  <c r="CU176" i="14"/>
  <c r="CT176" i="14"/>
  <c r="CS176" i="14"/>
  <c r="CR176" i="14"/>
  <c r="CQ176" i="14"/>
  <c r="CP176" i="14"/>
  <c r="CO176" i="14"/>
  <c r="CN176" i="14"/>
  <c r="CM176" i="14"/>
  <c r="CL176" i="14"/>
  <c r="CK176" i="14"/>
  <c r="CJ176" i="14"/>
  <c r="CI176" i="14"/>
  <c r="CH176" i="14"/>
  <c r="CG176" i="14"/>
  <c r="CF176" i="14"/>
  <c r="CE176" i="14"/>
  <c r="CD176" i="14"/>
  <c r="CC176" i="14"/>
  <c r="CB176" i="14"/>
  <c r="CA176" i="14"/>
  <c r="BZ176" i="14"/>
  <c r="BY176" i="14"/>
  <c r="BX176" i="14"/>
  <c r="BW176" i="14"/>
  <c r="BV176" i="14"/>
  <c r="BU176" i="14"/>
  <c r="BT176" i="14"/>
  <c r="BS176" i="14"/>
  <c r="BR176" i="14" a="1"/>
  <c r="BR176" i="14" s="1"/>
  <c r="BQ176" i="14" a="1"/>
  <c r="BQ176" i="14" s="1"/>
  <c r="BP176" i="14" a="1"/>
  <c r="BP176" i="14" s="1"/>
  <c r="BO176" i="14" a="1"/>
  <c r="BO176" i="14" s="1"/>
  <c r="BN176" i="14" a="1"/>
  <c r="BN176" i="14" s="1"/>
  <c r="BM176" i="14" a="1"/>
  <c r="BM176" i="14" s="1"/>
  <c r="BL176" i="14" a="1"/>
  <c r="BL176" i="14" s="1"/>
  <c r="BK176" i="14" a="1"/>
  <c r="BK176" i="14" s="1"/>
  <c r="BJ176" i="14" a="1"/>
  <c r="BJ176" i="14" s="1"/>
  <c r="BI176" i="14" a="1"/>
  <c r="BI176" i="14" s="1"/>
  <c r="BH176" i="14" a="1"/>
  <c r="BH176" i="14" s="1"/>
  <c r="BG176" i="14" a="1"/>
  <c r="BG176" i="14" s="1"/>
  <c r="BF176" i="14" a="1"/>
  <c r="BF176" i="14" s="1"/>
  <c r="BE176" i="14" a="1"/>
  <c r="BE176" i="14" s="1"/>
  <c r="BD176" i="14" a="1"/>
  <c r="BD176" i="14" s="1"/>
  <c r="BC176" i="14" a="1"/>
  <c r="BC176" i="14" s="1"/>
  <c r="BB176" i="14" a="1"/>
  <c r="BB176" i="14" s="1"/>
  <c r="BA176" i="14" a="1"/>
  <c r="BA176" i="14" s="1"/>
  <c r="AZ176" i="14" a="1"/>
  <c r="AZ176" i="14" s="1"/>
  <c r="AY176" i="14" a="1"/>
  <c r="AY176" i="14" s="1"/>
  <c r="AX176" i="14" a="1"/>
  <c r="AX176" i="14" s="1"/>
  <c r="AW176" i="14" a="1"/>
  <c r="AW176" i="14" s="1"/>
  <c r="AV176" i="14" a="1"/>
  <c r="AV176" i="14" s="1"/>
  <c r="AU176" i="14" a="1"/>
  <c r="AU176" i="14" s="1"/>
  <c r="AT176" i="14" a="1"/>
  <c r="AT176" i="14" s="1"/>
  <c r="AS176" i="14" a="1"/>
  <c r="AS176" i="14" s="1"/>
  <c r="AR176" i="14" a="1"/>
  <c r="AR176" i="14" s="1"/>
  <c r="AQ176" i="14" a="1"/>
  <c r="AQ176" i="14" s="1"/>
  <c r="AP176" i="14" a="1"/>
  <c r="AP176" i="14" s="1"/>
  <c r="AO176" i="14" a="1"/>
  <c r="AO176" i="14" s="1"/>
  <c r="AN176" i="14"/>
  <c r="AM176" i="14"/>
  <c r="AL176" i="14"/>
  <c r="AK176" i="14"/>
  <c r="AJ176" i="14"/>
  <c r="AI176" i="14"/>
  <c r="FD176" i="14" s="1"/>
  <c r="AH176" i="14"/>
  <c r="JT175" i="14"/>
  <c r="JS175" i="14"/>
  <c r="JR175" i="14"/>
  <c r="JQ175" i="14"/>
  <c r="JP175" i="14"/>
  <c r="JO175" i="14"/>
  <c r="JN175" i="14"/>
  <c r="JM175" i="14"/>
  <c r="JL175" i="14"/>
  <c r="JK175" i="14"/>
  <c r="JJ175" i="14"/>
  <c r="JI175" i="14"/>
  <c r="JH175" i="14"/>
  <c r="JG175" i="14"/>
  <c r="JF175" i="14"/>
  <c r="JE175" i="14"/>
  <c r="JD175" i="14"/>
  <c r="JC175" i="14"/>
  <c r="JB175" i="14"/>
  <c r="JA175" i="14"/>
  <c r="IZ175" i="14"/>
  <c r="IY175" i="14"/>
  <c r="IX175" i="14"/>
  <c r="IW175" i="14"/>
  <c r="IV175" i="14"/>
  <c r="IU175" i="14"/>
  <c r="IT175" i="14"/>
  <c r="IS175" i="14"/>
  <c r="IR175" i="14"/>
  <c r="IQ175" i="14"/>
  <c r="IP175" i="14"/>
  <c r="IO175" i="14"/>
  <c r="IN175" i="14"/>
  <c r="IM175" i="14"/>
  <c r="IL175" i="14"/>
  <c r="IK175" i="14"/>
  <c r="IJ175" i="14"/>
  <c r="II175" i="14"/>
  <c r="IH175" i="14"/>
  <c r="IG175" i="14"/>
  <c r="IF175" i="14"/>
  <c r="IE175" i="14"/>
  <c r="ID175" i="14"/>
  <c r="IC175" i="14"/>
  <c r="IB175" i="14"/>
  <c r="IA175" i="14"/>
  <c r="HZ175" i="14"/>
  <c r="HY175" i="14"/>
  <c r="HX175" i="14"/>
  <c r="HW175" i="14"/>
  <c r="HV175" i="14"/>
  <c r="HU175" i="14"/>
  <c r="HT175" i="14"/>
  <c r="HS175" i="14"/>
  <c r="HR175" i="14"/>
  <c r="HQ175" i="14"/>
  <c r="HP175" i="14"/>
  <c r="HO175" i="14"/>
  <c r="HN175" i="14"/>
  <c r="HM175" i="14"/>
  <c r="GH175" i="14"/>
  <c r="GG175" i="14"/>
  <c r="GF175" i="14"/>
  <c r="GE175" i="14"/>
  <c r="GD175" i="14"/>
  <c r="GC175" i="14"/>
  <c r="GB175" i="14"/>
  <c r="GA175" i="14"/>
  <c r="FZ175" i="14"/>
  <c r="FY175" i="14"/>
  <c r="FX175" i="14"/>
  <c r="FW175" i="14"/>
  <c r="FV175" i="14"/>
  <c r="FU175" i="14"/>
  <c r="FT175" i="14"/>
  <c r="FS175" i="14"/>
  <c r="FR175" i="14"/>
  <c r="FQ175" i="14"/>
  <c r="FP175" i="14"/>
  <c r="FO175" i="14"/>
  <c r="FN175" i="14"/>
  <c r="FM175" i="14"/>
  <c r="FL175" i="14"/>
  <c r="FK175" i="14"/>
  <c r="FJ175" i="14"/>
  <c r="FI175" i="14"/>
  <c r="FH175" i="14"/>
  <c r="FG175" i="14"/>
  <c r="FF175" i="14"/>
  <c r="FE175" i="14"/>
  <c r="CV175" i="14"/>
  <c r="CU175" i="14"/>
  <c r="CT175" i="14"/>
  <c r="CS175" i="14"/>
  <c r="CR175" i="14"/>
  <c r="CQ175" i="14"/>
  <c r="CP175" i="14"/>
  <c r="CO175" i="14"/>
  <c r="CN175" i="14"/>
  <c r="CM175" i="14"/>
  <c r="CL175" i="14"/>
  <c r="CK175" i="14"/>
  <c r="CJ175" i="14"/>
  <c r="CI175" i="14"/>
  <c r="CH175" i="14"/>
  <c r="CG175" i="14"/>
  <c r="CF175" i="14"/>
  <c r="CE175" i="14"/>
  <c r="CD175" i="14"/>
  <c r="CC175" i="14"/>
  <c r="CB175" i="14"/>
  <c r="CA175" i="14"/>
  <c r="BZ175" i="14"/>
  <c r="BY175" i="14"/>
  <c r="BX175" i="14"/>
  <c r="BW175" i="14"/>
  <c r="BV175" i="14"/>
  <c r="BU175" i="14"/>
  <c r="BT175" i="14"/>
  <c r="BS175" i="14"/>
  <c r="BR175" i="14" a="1"/>
  <c r="BR175" i="14" s="1"/>
  <c r="BQ175" i="14" a="1"/>
  <c r="BQ175" i="14" s="1"/>
  <c r="BP175" i="14" a="1"/>
  <c r="BP175" i="14" s="1"/>
  <c r="BO175" i="14" a="1"/>
  <c r="BO175" i="14" s="1"/>
  <c r="BN175" i="14" a="1"/>
  <c r="BN175" i="14" s="1"/>
  <c r="BM175" i="14" a="1"/>
  <c r="BM175" i="14" s="1"/>
  <c r="BL175" i="14" a="1"/>
  <c r="BL175" i="14" s="1"/>
  <c r="BK175" i="14" a="1"/>
  <c r="BK175" i="14" s="1"/>
  <c r="BJ175" i="14" a="1"/>
  <c r="BJ175" i="14" s="1"/>
  <c r="BI175" i="14" a="1"/>
  <c r="BI175" i="14" s="1"/>
  <c r="BH175" i="14" a="1"/>
  <c r="BH175" i="14" s="1"/>
  <c r="BG175" i="14" a="1"/>
  <c r="BG175" i="14" s="1"/>
  <c r="BF175" i="14" a="1"/>
  <c r="BF175" i="14" s="1"/>
  <c r="BE175" i="14" a="1"/>
  <c r="BE175" i="14" s="1"/>
  <c r="BD175" i="14" a="1"/>
  <c r="BD175" i="14" s="1"/>
  <c r="BC175" i="14" a="1"/>
  <c r="BC175" i="14" s="1"/>
  <c r="BB175" i="14" a="1"/>
  <c r="BB175" i="14" s="1"/>
  <c r="BA175" i="14" a="1"/>
  <c r="BA175" i="14" s="1"/>
  <c r="AZ175" i="14" a="1"/>
  <c r="AZ175" i="14" s="1"/>
  <c r="AY175" i="14" a="1"/>
  <c r="AY175" i="14" s="1"/>
  <c r="AX175" i="14" a="1"/>
  <c r="AX175" i="14" s="1"/>
  <c r="AW175" i="14" a="1"/>
  <c r="AW175" i="14" s="1"/>
  <c r="AV175" i="14" a="1"/>
  <c r="AV175" i="14" s="1"/>
  <c r="AU175" i="14" a="1"/>
  <c r="AU175" i="14" s="1"/>
  <c r="AT175" i="14" a="1"/>
  <c r="AT175" i="14" s="1"/>
  <c r="AS175" i="14" a="1"/>
  <c r="AS175" i="14" s="1"/>
  <c r="AR175" i="14" a="1"/>
  <c r="AR175" i="14" s="1"/>
  <c r="AQ175" i="14" a="1"/>
  <c r="AQ175" i="14" s="1"/>
  <c r="AP175" i="14" a="1"/>
  <c r="AP175" i="14" s="1"/>
  <c r="AO175" i="14" a="1"/>
  <c r="AO175" i="14" s="1"/>
  <c r="AN175" i="14"/>
  <c r="AM175" i="14"/>
  <c r="AL175" i="14"/>
  <c r="AK175" i="14"/>
  <c r="AJ175" i="14"/>
  <c r="AI175" i="14"/>
  <c r="EY175" i="14" s="1"/>
  <c r="AH175" i="14"/>
  <c r="JT174" i="14"/>
  <c r="JS174" i="14"/>
  <c r="JR174" i="14"/>
  <c r="JQ174" i="14"/>
  <c r="JP174" i="14"/>
  <c r="JO174" i="14"/>
  <c r="JN174" i="14"/>
  <c r="JM174" i="14"/>
  <c r="JL174" i="14"/>
  <c r="JK174" i="14"/>
  <c r="JJ174" i="14"/>
  <c r="JI174" i="14"/>
  <c r="JH174" i="14"/>
  <c r="JG174" i="14"/>
  <c r="JF174" i="14"/>
  <c r="JE174" i="14"/>
  <c r="JD174" i="14"/>
  <c r="JC174" i="14"/>
  <c r="JB174" i="14"/>
  <c r="JA174" i="14"/>
  <c r="IZ174" i="14"/>
  <c r="IY174" i="14"/>
  <c r="IX174" i="14"/>
  <c r="IW174" i="14"/>
  <c r="IV174" i="14"/>
  <c r="IU174" i="14"/>
  <c r="IT174" i="14"/>
  <c r="IS174" i="14"/>
  <c r="IR174" i="14"/>
  <c r="IQ174" i="14"/>
  <c r="IP174" i="14"/>
  <c r="IO174" i="14"/>
  <c r="IN174" i="14"/>
  <c r="IM174" i="14"/>
  <c r="IL174" i="14"/>
  <c r="IK174" i="14"/>
  <c r="IJ174" i="14"/>
  <c r="II174" i="14"/>
  <c r="IH174" i="14"/>
  <c r="IG174" i="14"/>
  <c r="IF174" i="14"/>
  <c r="IE174" i="14"/>
  <c r="ID174" i="14"/>
  <c r="IC174" i="14"/>
  <c r="IB174" i="14"/>
  <c r="IA174" i="14"/>
  <c r="HZ174" i="14"/>
  <c r="HY174" i="14"/>
  <c r="HX174" i="14"/>
  <c r="HW174" i="14"/>
  <c r="HV174" i="14"/>
  <c r="HU174" i="14"/>
  <c r="HT174" i="14"/>
  <c r="HS174" i="14"/>
  <c r="HR174" i="14"/>
  <c r="HQ174" i="14"/>
  <c r="HP174" i="14"/>
  <c r="HO174" i="14"/>
  <c r="HN174" i="14"/>
  <c r="HM174" i="14"/>
  <c r="GH174" i="14"/>
  <c r="GG174" i="14"/>
  <c r="GF174" i="14"/>
  <c r="GE174" i="14"/>
  <c r="GD174" i="14"/>
  <c r="GC174" i="14"/>
  <c r="GB174" i="14"/>
  <c r="GA174" i="14"/>
  <c r="FZ174" i="14"/>
  <c r="FY174" i="14"/>
  <c r="FX174" i="14"/>
  <c r="FW174" i="14"/>
  <c r="FV174" i="14"/>
  <c r="FU174" i="14"/>
  <c r="FT174" i="14"/>
  <c r="FS174" i="14"/>
  <c r="FR174" i="14"/>
  <c r="FQ174" i="14"/>
  <c r="FP174" i="14"/>
  <c r="FO174" i="14"/>
  <c r="FN174" i="14"/>
  <c r="FM174" i="14"/>
  <c r="FL174" i="14"/>
  <c r="FK174" i="14"/>
  <c r="FJ174" i="14"/>
  <c r="FI174" i="14"/>
  <c r="FH174" i="14"/>
  <c r="FG174" i="14"/>
  <c r="FF174" i="14"/>
  <c r="FE174" i="14"/>
  <c r="CV174" i="14"/>
  <c r="CU174" i="14"/>
  <c r="CT174" i="14"/>
  <c r="CS174" i="14"/>
  <c r="CR174" i="14"/>
  <c r="CQ174" i="14"/>
  <c r="CP174" i="14"/>
  <c r="CO174" i="14"/>
  <c r="CN174" i="14"/>
  <c r="CM174" i="14"/>
  <c r="CL174" i="14"/>
  <c r="CK174" i="14"/>
  <c r="CJ174" i="14"/>
  <c r="CI174" i="14"/>
  <c r="CH174" i="14"/>
  <c r="CG174" i="14"/>
  <c r="CF174" i="14"/>
  <c r="CE174" i="14"/>
  <c r="CD174" i="14"/>
  <c r="CC174" i="14"/>
  <c r="CB174" i="14"/>
  <c r="CA174" i="14"/>
  <c r="BZ174" i="14"/>
  <c r="BY174" i="14"/>
  <c r="BX174" i="14"/>
  <c r="BW174" i="14"/>
  <c r="BV174" i="14"/>
  <c r="BU174" i="14"/>
  <c r="BT174" i="14"/>
  <c r="BS174" i="14"/>
  <c r="BR174" i="14" a="1"/>
  <c r="BR174" i="14" s="1"/>
  <c r="BQ174" i="14" a="1"/>
  <c r="BQ174" i="14" s="1"/>
  <c r="BP174" i="14" a="1"/>
  <c r="BP174" i="14" s="1"/>
  <c r="BO174" i="14" a="1"/>
  <c r="BO174" i="14" s="1"/>
  <c r="BN174" i="14" a="1"/>
  <c r="BN174" i="14" s="1"/>
  <c r="BM174" i="14" a="1"/>
  <c r="BM174" i="14" s="1"/>
  <c r="BL174" i="14" a="1"/>
  <c r="BL174" i="14" s="1"/>
  <c r="BK174" i="14" a="1"/>
  <c r="BK174" i="14" s="1"/>
  <c r="BJ174" i="14" a="1"/>
  <c r="BJ174" i="14" s="1"/>
  <c r="BI174" i="14" a="1"/>
  <c r="BI174" i="14" s="1"/>
  <c r="BH174" i="14" a="1"/>
  <c r="BH174" i="14" s="1"/>
  <c r="BG174" i="14" a="1"/>
  <c r="BG174" i="14" s="1"/>
  <c r="BF174" i="14" a="1"/>
  <c r="BF174" i="14" s="1"/>
  <c r="BE174" i="14" a="1"/>
  <c r="BE174" i="14" s="1"/>
  <c r="BD174" i="14" a="1"/>
  <c r="BD174" i="14" s="1"/>
  <c r="BC174" i="14" a="1"/>
  <c r="BC174" i="14" s="1"/>
  <c r="BB174" i="14" a="1"/>
  <c r="BB174" i="14" s="1"/>
  <c r="BA174" i="14" a="1"/>
  <c r="BA174" i="14" s="1"/>
  <c r="AZ174" i="14" a="1"/>
  <c r="AZ174" i="14" s="1"/>
  <c r="AY174" i="14" a="1"/>
  <c r="AY174" i="14" s="1"/>
  <c r="AX174" i="14" a="1"/>
  <c r="AX174" i="14" s="1"/>
  <c r="AW174" i="14" a="1"/>
  <c r="AW174" i="14" s="1"/>
  <c r="AV174" i="14" a="1"/>
  <c r="AV174" i="14" s="1"/>
  <c r="AU174" i="14" a="1"/>
  <c r="AU174" i="14" s="1"/>
  <c r="AT174" i="14" a="1"/>
  <c r="AT174" i="14" s="1"/>
  <c r="AS174" i="14" a="1"/>
  <c r="AS174" i="14" s="1"/>
  <c r="AR174" i="14" a="1"/>
  <c r="AR174" i="14" s="1"/>
  <c r="AQ174" i="14" a="1"/>
  <c r="AQ174" i="14" s="1"/>
  <c r="AP174" i="14" a="1"/>
  <c r="AP174" i="14" s="1"/>
  <c r="AO174" i="14" a="1"/>
  <c r="AO174" i="14" s="1"/>
  <c r="AN174" i="14"/>
  <c r="AM174" i="14"/>
  <c r="AL174" i="14"/>
  <c r="AK174" i="14"/>
  <c r="AJ174" i="14"/>
  <c r="AI174" i="14"/>
  <c r="EE174" i="14" s="1"/>
  <c r="AH174" i="14"/>
  <c r="JT173" i="14"/>
  <c r="JS173" i="14"/>
  <c r="JR173" i="14"/>
  <c r="JQ173" i="14"/>
  <c r="JP173" i="14"/>
  <c r="JO173" i="14"/>
  <c r="JN173" i="14"/>
  <c r="JM173" i="14"/>
  <c r="JL173" i="14"/>
  <c r="JK173" i="14"/>
  <c r="JJ173" i="14"/>
  <c r="JI173" i="14"/>
  <c r="JH173" i="14"/>
  <c r="JG173" i="14"/>
  <c r="JF173" i="14"/>
  <c r="JE173" i="14"/>
  <c r="JD173" i="14"/>
  <c r="JC173" i="14"/>
  <c r="JB173" i="14"/>
  <c r="JA173" i="14"/>
  <c r="IZ173" i="14"/>
  <c r="IY173" i="14"/>
  <c r="IX173" i="14"/>
  <c r="IW173" i="14"/>
  <c r="IV173" i="14"/>
  <c r="IU173" i="14"/>
  <c r="IT173" i="14"/>
  <c r="IS173" i="14"/>
  <c r="IR173" i="14"/>
  <c r="IQ173" i="14"/>
  <c r="IP173" i="14"/>
  <c r="IO173" i="14"/>
  <c r="IN173" i="14"/>
  <c r="IM173" i="14"/>
  <c r="IL173" i="14"/>
  <c r="IK173" i="14"/>
  <c r="IJ173" i="14"/>
  <c r="II173" i="14"/>
  <c r="IH173" i="14"/>
  <c r="IG173" i="14"/>
  <c r="IF173" i="14"/>
  <c r="IE173" i="14"/>
  <c r="ID173" i="14"/>
  <c r="IC173" i="14"/>
  <c r="IB173" i="14"/>
  <c r="IA173" i="14"/>
  <c r="HZ173" i="14"/>
  <c r="HY173" i="14"/>
  <c r="HX173" i="14"/>
  <c r="HW173" i="14"/>
  <c r="HV173" i="14"/>
  <c r="HU173" i="14"/>
  <c r="HT173" i="14"/>
  <c r="HS173" i="14"/>
  <c r="HR173" i="14"/>
  <c r="HQ173" i="14"/>
  <c r="HP173" i="14"/>
  <c r="HO173" i="14"/>
  <c r="HN173" i="14"/>
  <c r="HM173" i="14"/>
  <c r="GH173" i="14"/>
  <c r="GG173" i="14"/>
  <c r="GF173" i="14"/>
  <c r="GE173" i="14"/>
  <c r="GD173" i="14"/>
  <c r="GC173" i="14"/>
  <c r="GB173" i="14"/>
  <c r="GA173" i="14"/>
  <c r="FZ173" i="14"/>
  <c r="FY173" i="14"/>
  <c r="FX173" i="14"/>
  <c r="FW173" i="14"/>
  <c r="FV173" i="14"/>
  <c r="FU173" i="14"/>
  <c r="FT173" i="14"/>
  <c r="FS173" i="14"/>
  <c r="FR173" i="14"/>
  <c r="FQ173" i="14"/>
  <c r="FP173" i="14"/>
  <c r="FO173" i="14"/>
  <c r="FN173" i="14"/>
  <c r="FM173" i="14"/>
  <c r="FL173" i="14"/>
  <c r="FK173" i="14"/>
  <c r="FJ173" i="14"/>
  <c r="FI173" i="14"/>
  <c r="FH173" i="14"/>
  <c r="FG173" i="14"/>
  <c r="FF173" i="14"/>
  <c r="FE173" i="14"/>
  <c r="CV173" i="14"/>
  <c r="CU173" i="14"/>
  <c r="CT173" i="14"/>
  <c r="CS173" i="14"/>
  <c r="CR173" i="14"/>
  <c r="CQ173" i="14"/>
  <c r="CP173" i="14"/>
  <c r="CO173" i="14"/>
  <c r="CN173" i="14"/>
  <c r="CM173" i="14"/>
  <c r="CL173" i="14"/>
  <c r="CK173" i="14"/>
  <c r="CJ173" i="14"/>
  <c r="CI173" i="14"/>
  <c r="CH173" i="14"/>
  <c r="CG173" i="14"/>
  <c r="CF173" i="14"/>
  <c r="CE173" i="14"/>
  <c r="CD173" i="14"/>
  <c r="CC173" i="14"/>
  <c r="CB173" i="14"/>
  <c r="CA173" i="14"/>
  <c r="BZ173" i="14"/>
  <c r="BY173" i="14"/>
  <c r="BX173" i="14"/>
  <c r="BW173" i="14"/>
  <c r="BV173" i="14"/>
  <c r="BU173" i="14"/>
  <c r="BT173" i="14"/>
  <c r="BS173" i="14"/>
  <c r="BR173" i="14" a="1"/>
  <c r="BR173" i="14" s="1"/>
  <c r="BQ173" i="14" a="1"/>
  <c r="BQ173" i="14" s="1"/>
  <c r="BP173" i="14" a="1"/>
  <c r="BP173" i="14" s="1"/>
  <c r="BO173" i="14" a="1"/>
  <c r="BO173" i="14" s="1"/>
  <c r="BN173" i="14" a="1"/>
  <c r="BN173" i="14" s="1"/>
  <c r="BM173" i="14" a="1"/>
  <c r="BM173" i="14" s="1"/>
  <c r="BL173" i="14" a="1"/>
  <c r="BL173" i="14" s="1"/>
  <c r="BK173" i="14" a="1"/>
  <c r="BK173" i="14" s="1"/>
  <c r="BJ173" i="14" a="1"/>
  <c r="BJ173" i="14" s="1"/>
  <c r="BI173" i="14" a="1"/>
  <c r="BI173" i="14" s="1"/>
  <c r="BH173" i="14" a="1"/>
  <c r="BH173" i="14" s="1"/>
  <c r="BG173" i="14" a="1"/>
  <c r="BG173" i="14" s="1"/>
  <c r="BF173" i="14" a="1"/>
  <c r="BF173" i="14" s="1"/>
  <c r="BE173" i="14" a="1"/>
  <c r="BE173" i="14" s="1"/>
  <c r="BD173" i="14" a="1"/>
  <c r="BD173" i="14" s="1"/>
  <c r="BC173" i="14" a="1"/>
  <c r="BC173" i="14" s="1"/>
  <c r="BB173" i="14" a="1"/>
  <c r="BB173" i="14" s="1"/>
  <c r="BA173" i="14" a="1"/>
  <c r="BA173" i="14" s="1"/>
  <c r="AZ173" i="14" a="1"/>
  <c r="AZ173" i="14" s="1"/>
  <c r="AY173" i="14" a="1"/>
  <c r="AY173" i="14" s="1"/>
  <c r="AX173" i="14" a="1"/>
  <c r="AX173" i="14" s="1"/>
  <c r="AW173" i="14" a="1"/>
  <c r="AW173" i="14" s="1"/>
  <c r="AV173" i="14" a="1"/>
  <c r="AV173" i="14" s="1"/>
  <c r="AU173" i="14" a="1"/>
  <c r="AU173" i="14" s="1"/>
  <c r="AT173" i="14" a="1"/>
  <c r="AT173" i="14" s="1"/>
  <c r="AS173" i="14" a="1"/>
  <c r="AS173" i="14" s="1"/>
  <c r="AR173" i="14" a="1"/>
  <c r="AR173" i="14" s="1"/>
  <c r="AQ173" i="14" a="1"/>
  <c r="AQ173" i="14" s="1"/>
  <c r="AP173" i="14" a="1"/>
  <c r="AP173" i="14" s="1"/>
  <c r="AO173" i="14" a="1"/>
  <c r="AO173" i="14" s="1"/>
  <c r="AN173" i="14"/>
  <c r="AM173" i="14"/>
  <c r="AL173" i="14"/>
  <c r="AK173" i="14"/>
  <c r="AJ173" i="14"/>
  <c r="AI173" i="14"/>
  <c r="FC173" i="14" s="1"/>
  <c r="AH173" i="14"/>
  <c r="JT172" i="14"/>
  <c r="JS172" i="14"/>
  <c r="JR172" i="14"/>
  <c r="JQ172" i="14"/>
  <c r="JP172" i="14"/>
  <c r="JO172" i="14"/>
  <c r="JN172" i="14"/>
  <c r="JM172" i="14"/>
  <c r="JL172" i="14"/>
  <c r="JK172" i="14"/>
  <c r="JJ172" i="14"/>
  <c r="JI172" i="14"/>
  <c r="JH172" i="14"/>
  <c r="JG172" i="14"/>
  <c r="JF172" i="14"/>
  <c r="JE172" i="14"/>
  <c r="JD172" i="14"/>
  <c r="JC172" i="14"/>
  <c r="JB172" i="14"/>
  <c r="JA172" i="14"/>
  <c r="IZ172" i="14"/>
  <c r="IY172" i="14"/>
  <c r="IX172" i="14"/>
  <c r="IW172" i="14"/>
  <c r="IV172" i="14"/>
  <c r="IU172" i="14"/>
  <c r="IT172" i="14"/>
  <c r="IS172" i="14"/>
  <c r="IR172" i="14"/>
  <c r="IQ172" i="14"/>
  <c r="IP172" i="14"/>
  <c r="IO172" i="14"/>
  <c r="IN172" i="14"/>
  <c r="IM172" i="14"/>
  <c r="IL172" i="14"/>
  <c r="IK172" i="14"/>
  <c r="IJ172" i="14"/>
  <c r="II172" i="14"/>
  <c r="IH172" i="14"/>
  <c r="IG172" i="14"/>
  <c r="IF172" i="14"/>
  <c r="IE172" i="14"/>
  <c r="ID172" i="14"/>
  <c r="IC172" i="14"/>
  <c r="IB172" i="14"/>
  <c r="IA172" i="14"/>
  <c r="HZ172" i="14"/>
  <c r="HY172" i="14"/>
  <c r="HX172" i="14"/>
  <c r="HW172" i="14"/>
  <c r="HV172" i="14"/>
  <c r="HU172" i="14"/>
  <c r="HT172" i="14"/>
  <c r="HS172" i="14"/>
  <c r="HR172" i="14"/>
  <c r="HQ172" i="14"/>
  <c r="HP172" i="14"/>
  <c r="HO172" i="14"/>
  <c r="HN172" i="14"/>
  <c r="HM172" i="14"/>
  <c r="GH172" i="14"/>
  <c r="GG172" i="14"/>
  <c r="GF172" i="14"/>
  <c r="GE172" i="14"/>
  <c r="GD172" i="14"/>
  <c r="GC172" i="14"/>
  <c r="GB172" i="14"/>
  <c r="GA172" i="14"/>
  <c r="FZ172" i="14"/>
  <c r="FY172" i="14"/>
  <c r="FX172" i="14"/>
  <c r="FW172" i="14"/>
  <c r="FV172" i="14"/>
  <c r="FU172" i="14"/>
  <c r="FT172" i="14"/>
  <c r="FS172" i="14"/>
  <c r="FR172" i="14"/>
  <c r="FQ172" i="14"/>
  <c r="FP172" i="14"/>
  <c r="FO172" i="14"/>
  <c r="FN172" i="14"/>
  <c r="FM172" i="14"/>
  <c r="FL172" i="14"/>
  <c r="FK172" i="14"/>
  <c r="FJ172" i="14"/>
  <c r="FI172" i="14"/>
  <c r="FH172" i="14"/>
  <c r="FG172" i="14"/>
  <c r="FF172" i="14"/>
  <c r="FE172" i="14"/>
  <c r="CV172" i="14"/>
  <c r="CU172" i="14"/>
  <c r="CT172" i="14"/>
  <c r="CS172" i="14"/>
  <c r="CR172" i="14"/>
  <c r="CQ172" i="14"/>
  <c r="CP172" i="14"/>
  <c r="CO172" i="14"/>
  <c r="CN172" i="14"/>
  <c r="CM172" i="14"/>
  <c r="CL172" i="14"/>
  <c r="CK172" i="14"/>
  <c r="CJ172" i="14"/>
  <c r="CI172" i="14"/>
  <c r="CH172" i="14"/>
  <c r="CG172" i="14"/>
  <c r="CF172" i="14"/>
  <c r="CE172" i="14"/>
  <c r="CD172" i="14"/>
  <c r="CC172" i="14"/>
  <c r="CB172" i="14"/>
  <c r="CA172" i="14"/>
  <c r="BZ172" i="14"/>
  <c r="BY172" i="14"/>
  <c r="BX172" i="14"/>
  <c r="BW172" i="14"/>
  <c r="BV172" i="14"/>
  <c r="BU172" i="14"/>
  <c r="BT172" i="14"/>
  <c r="BS172" i="14"/>
  <c r="BR172" i="14" a="1"/>
  <c r="BR172" i="14" s="1"/>
  <c r="BQ172" i="14" a="1"/>
  <c r="BQ172" i="14" s="1"/>
  <c r="BP172" i="14" a="1"/>
  <c r="BP172" i="14" s="1"/>
  <c r="BO172" i="14" a="1"/>
  <c r="BO172" i="14" s="1"/>
  <c r="BN172" i="14" a="1"/>
  <c r="BN172" i="14" s="1"/>
  <c r="BM172" i="14" a="1"/>
  <c r="BM172" i="14" s="1"/>
  <c r="BL172" i="14" a="1"/>
  <c r="BL172" i="14" s="1"/>
  <c r="BK172" i="14" a="1"/>
  <c r="BK172" i="14" s="1"/>
  <c r="BJ172" i="14" a="1"/>
  <c r="BJ172" i="14" s="1"/>
  <c r="BI172" i="14" a="1"/>
  <c r="BI172" i="14" s="1"/>
  <c r="BH172" i="14" a="1"/>
  <c r="BH172" i="14" s="1"/>
  <c r="BG172" i="14" a="1"/>
  <c r="BG172" i="14" s="1"/>
  <c r="BF172" i="14" a="1"/>
  <c r="BF172" i="14" s="1"/>
  <c r="BE172" i="14" a="1"/>
  <c r="BE172" i="14" s="1"/>
  <c r="BD172" i="14" a="1"/>
  <c r="BD172" i="14" s="1"/>
  <c r="BC172" i="14" a="1"/>
  <c r="BC172" i="14" s="1"/>
  <c r="BB172" i="14" a="1"/>
  <c r="BB172" i="14" s="1"/>
  <c r="BA172" i="14" a="1"/>
  <c r="BA172" i="14" s="1"/>
  <c r="AZ172" i="14" a="1"/>
  <c r="AZ172" i="14" s="1"/>
  <c r="AY172" i="14" a="1"/>
  <c r="AY172" i="14" s="1"/>
  <c r="AX172" i="14" a="1"/>
  <c r="AX172" i="14" s="1"/>
  <c r="AW172" i="14" a="1"/>
  <c r="AW172" i="14" s="1"/>
  <c r="AV172" i="14" a="1"/>
  <c r="AV172" i="14" s="1"/>
  <c r="AU172" i="14" a="1"/>
  <c r="AU172" i="14" s="1"/>
  <c r="AT172" i="14" a="1"/>
  <c r="AT172" i="14" s="1"/>
  <c r="AS172" i="14" a="1"/>
  <c r="AS172" i="14" s="1"/>
  <c r="AR172" i="14" a="1"/>
  <c r="AR172" i="14" s="1"/>
  <c r="AQ172" i="14" a="1"/>
  <c r="AQ172" i="14" s="1"/>
  <c r="AP172" i="14" a="1"/>
  <c r="AP172" i="14" s="1"/>
  <c r="AO172" i="14" a="1"/>
  <c r="AO172" i="14" s="1"/>
  <c r="AN172" i="14"/>
  <c r="AM172" i="14"/>
  <c r="AL172" i="14"/>
  <c r="AK172" i="14"/>
  <c r="AJ172" i="14"/>
  <c r="AI172" i="14"/>
  <c r="AH172" i="14"/>
  <c r="JT171" i="14"/>
  <c r="JS171" i="14"/>
  <c r="JR171" i="14"/>
  <c r="JQ171" i="14"/>
  <c r="JP171" i="14"/>
  <c r="JO171" i="14"/>
  <c r="JN171" i="14"/>
  <c r="JM171" i="14"/>
  <c r="JL171" i="14"/>
  <c r="JK171" i="14"/>
  <c r="JJ171" i="14"/>
  <c r="JI171" i="14"/>
  <c r="JH171" i="14"/>
  <c r="JG171" i="14"/>
  <c r="JF171" i="14"/>
  <c r="JE171" i="14"/>
  <c r="JD171" i="14"/>
  <c r="JC171" i="14"/>
  <c r="JB171" i="14"/>
  <c r="JA171" i="14"/>
  <c r="IZ171" i="14"/>
  <c r="IY171" i="14"/>
  <c r="IX171" i="14"/>
  <c r="IW171" i="14"/>
  <c r="IV171" i="14"/>
  <c r="IU171" i="14"/>
  <c r="IT171" i="14"/>
  <c r="IS171" i="14"/>
  <c r="IR171" i="14"/>
  <c r="IQ171" i="14"/>
  <c r="IP171" i="14"/>
  <c r="IO171" i="14"/>
  <c r="IN171" i="14"/>
  <c r="IM171" i="14"/>
  <c r="IL171" i="14"/>
  <c r="IK171" i="14"/>
  <c r="IJ171" i="14"/>
  <c r="II171" i="14"/>
  <c r="IH171" i="14"/>
  <c r="IG171" i="14"/>
  <c r="IF171" i="14"/>
  <c r="IE171" i="14"/>
  <c r="ID171" i="14"/>
  <c r="IC171" i="14"/>
  <c r="IB171" i="14"/>
  <c r="IA171" i="14"/>
  <c r="HZ171" i="14"/>
  <c r="HY171" i="14"/>
  <c r="HX171" i="14"/>
  <c r="HW171" i="14"/>
  <c r="HV171" i="14"/>
  <c r="HU171" i="14"/>
  <c r="HT171" i="14"/>
  <c r="HS171" i="14"/>
  <c r="HR171" i="14"/>
  <c r="HQ171" i="14"/>
  <c r="HP171" i="14"/>
  <c r="HO171" i="14"/>
  <c r="HN171" i="14"/>
  <c r="HM171" i="14"/>
  <c r="GH171" i="14"/>
  <c r="GG171" i="14"/>
  <c r="GF171" i="14"/>
  <c r="GE171" i="14"/>
  <c r="GD171" i="14"/>
  <c r="GC171" i="14"/>
  <c r="GB171" i="14"/>
  <c r="GA171" i="14"/>
  <c r="FZ171" i="14"/>
  <c r="FY171" i="14"/>
  <c r="FX171" i="14"/>
  <c r="FW171" i="14"/>
  <c r="FV171" i="14"/>
  <c r="FU171" i="14"/>
  <c r="FT171" i="14"/>
  <c r="FS171" i="14"/>
  <c r="FR171" i="14"/>
  <c r="FQ171" i="14"/>
  <c r="FP171" i="14"/>
  <c r="FO171" i="14"/>
  <c r="FN171" i="14"/>
  <c r="FM171" i="14"/>
  <c r="FL171" i="14"/>
  <c r="FK171" i="14"/>
  <c r="FJ171" i="14"/>
  <c r="FI171" i="14"/>
  <c r="FH171" i="14"/>
  <c r="FG171" i="14"/>
  <c r="FF171" i="14"/>
  <c r="FE171" i="14"/>
  <c r="CV171" i="14"/>
  <c r="CU171" i="14"/>
  <c r="CT171" i="14"/>
  <c r="CS171" i="14"/>
  <c r="CR171" i="14"/>
  <c r="CQ171" i="14"/>
  <c r="CP171" i="14"/>
  <c r="CO171" i="14"/>
  <c r="CN171" i="14"/>
  <c r="CM171" i="14"/>
  <c r="CL171" i="14"/>
  <c r="CK171" i="14"/>
  <c r="CJ171" i="14"/>
  <c r="CI171" i="14"/>
  <c r="CH171" i="14"/>
  <c r="CG171" i="14"/>
  <c r="CF171" i="14"/>
  <c r="CE171" i="14"/>
  <c r="CD171" i="14"/>
  <c r="CC171" i="14"/>
  <c r="CB171" i="14"/>
  <c r="CA171" i="14"/>
  <c r="BZ171" i="14"/>
  <c r="BY171" i="14"/>
  <c r="BX171" i="14"/>
  <c r="BW171" i="14"/>
  <c r="BV171" i="14"/>
  <c r="BU171" i="14"/>
  <c r="BT171" i="14"/>
  <c r="BS171" i="14"/>
  <c r="BR171" i="14" a="1"/>
  <c r="BR171" i="14" s="1"/>
  <c r="BQ171" i="14" a="1"/>
  <c r="BQ171" i="14" s="1"/>
  <c r="BP171" i="14" a="1"/>
  <c r="BP171" i="14" s="1"/>
  <c r="BO171" i="14" a="1"/>
  <c r="BO171" i="14" s="1"/>
  <c r="BN171" i="14" a="1"/>
  <c r="BN171" i="14" s="1"/>
  <c r="BM171" i="14" a="1"/>
  <c r="BM171" i="14" s="1"/>
  <c r="BL171" i="14" a="1"/>
  <c r="BL171" i="14" s="1"/>
  <c r="BK171" i="14" a="1"/>
  <c r="BK171" i="14" s="1"/>
  <c r="BJ171" i="14" a="1"/>
  <c r="BJ171" i="14" s="1"/>
  <c r="BI171" i="14" a="1"/>
  <c r="BI171" i="14" s="1"/>
  <c r="BH171" i="14" a="1"/>
  <c r="BH171" i="14" s="1"/>
  <c r="BG171" i="14" a="1"/>
  <c r="BG171" i="14" s="1"/>
  <c r="BF171" i="14" a="1"/>
  <c r="BF171" i="14" s="1"/>
  <c r="BE171" i="14" a="1"/>
  <c r="BE171" i="14" s="1"/>
  <c r="BD171" i="14" a="1"/>
  <c r="BD171" i="14" s="1"/>
  <c r="BC171" i="14" a="1"/>
  <c r="BC171" i="14" s="1"/>
  <c r="BB171" i="14" a="1"/>
  <c r="BB171" i="14" s="1"/>
  <c r="BA171" i="14" a="1"/>
  <c r="BA171" i="14" s="1"/>
  <c r="AZ171" i="14" a="1"/>
  <c r="AZ171" i="14" s="1"/>
  <c r="AY171" i="14" a="1"/>
  <c r="AY171" i="14" s="1"/>
  <c r="AX171" i="14" a="1"/>
  <c r="AX171" i="14" s="1"/>
  <c r="AW171" i="14" a="1"/>
  <c r="AW171" i="14" s="1"/>
  <c r="AV171" i="14" a="1"/>
  <c r="AV171" i="14" s="1"/>
  <c r="AU171" i="14" a="1"/>
  <c r="AU171" i="14" s="1"/>
  <c r="AT171" i="14" a="1"/>
  <c r="AT171" i="14" s="1"/>
  <c r="AS171" i="14" a="1"/>
  <c r="AS171" i="14" s="1"/>
  <c r="AR171" i="14" a="1"/>
  <c r="AR171" i="14" s="1"/>
  <c r="AQ171" i="14" a="1"/>
  <c r="AQ171" i="14" s="1"/>
  <c r="AP171" i="14" a="1"/>
  <c r="AP171" i="14" s="1"/>
  <c r="AO171" i="14" a="1"/>
  <c r="AO171" i="14" s="1"/>
  <c r="AN171" i="14"/>
  <c r="AM171" i="14"/>
  <c r="AL171" i="14"/>
  <c r="AK171" i="14"/>
  <c r="AJ171" i="14"/>
  <c r="AI171" i="14"/>
  <c r="ER171" i="14" s="1"/>
  <c r="AH171" i="14"/>
  <c r="JT170" i="14"/>
  <c r="JS170" i="14"/>
  <c r="JR170" i="14"/>
  <c r="JQ170" i="14"/>
  <c r="JP170" i="14"/>
  <c r="JO170" i="14"/>
  <c r="JN170" i="14"/>
  <c r="JM170" i="14"/>
  <c r="JL170" i="14"/>
  <c r="JK170" i="14"/>
  <c r="JJ170" i="14"/>
  <c r="JI170" i="14"/>
  <c r="JH170" i="14"/>
  <c r="JG170" i="14"/>
  <c r="JF170" i="14"/>
  <c r="JE170" i="14"/>
  <c r="JD170" i="14"/>
  <c r="JC170" i="14"/>
  <c r="JB170" i="14"/>
  <c r="JA170" i="14"/>
  <c r="IZ170" i="14"/>
  <c r="IY170" i="14"/>
  <c r="IX170" i="14"/>
  <c r="IW170" i="14"/>
  <c r="IV170" i="14"/>
  <c r="IU170" i="14"/>
  <c r="IT170" i="14"/>
  <c r="IS170" i="14"/>
  <c r="IR170" i="14"/>
  <c r="IQ170" i="14"/>
  <c r="IP170" i="14"/>
  <c r="IO170" i="14"/>
  <c r="IN170" i="14"/>
  <c r="IM170" i="14"/>
  <c r="IL170" i="14"/>
  <c r="IK170" i="14"/>
  <c r="IJ170" i="14"/>
  <c r="II170" i="14"/>
  <c r="IH170" i="14"/>
  <c r="IG170" i="14"/>
  <c r="IF170" i="14"/>
  <c r="IE170" i="14"/>
  <c r="ID170" i="14"/>
  <c r="IC170" i="14"/>
  <c r="IB170" i="14"/>
  <c r="IA170" i="14"/>
  <c r="HZ170" i="14"/>
  <c r="HY170" i="14"/>
  <c r="HX170" i="14"/>
  <c r="HW170" i="14"/>
  <c r="HV170" i="14"/>
  <c r="HU170" i="14"/>
  <c r="HT170" i="14"/>
  <c r="HS170" i="14"/>
  <c r="HR170" i="14"/>
  <c r="HQ170" i="14"/>
  <c r="HP170" i="14"/>
  <c r="HO170" i="14"/>
  <c r="HN170" i="14"/>
  <c r="HM170" i="14"/>
  <c r="GH170" i="14"/>
  <c r="GG170" i="14"/>
  <c r="GF170" i="14"/>
  <c r="GE170" i="14"/>
  <c r="GD170" i="14"/>
  <c r="GC170" i="14"/>
  <c r="GB170" i="14"/>
  <c r="GA170" i="14"/>
  <c r="FZ170" i="14"/>
  <c r="FY170" i="14"/>
  <c r="FX170" i="14"/>
  <c r="FW170" i="14"/>
  <c r="FV170" i="14"/>
  <c r="FU170" i="14"/>
  <c r="FT170" i="14"/>
  <c r="FS170" i="14"/>
  <c r="FR170" i="14"/>
  <c r="FQ170" i="14"/>
  <c r="FP170" i="14"/>
  <c r="FO170" i="14"/>
  <c r="FN170" i="14"/>
  <c r="FM170" i="14"/>
  <c r="FL170" i="14"/>
  <c r="FK170" i="14"/>
  <c r="FJ170" i="14"/>
  <c r="FI170" i="14"/>
  <c r="FH170" i="14"/>
  <c r="FG170" i="14"/>
  <c r="FF170" i="14"/>
  <c r="FE170" i="14"/>
  <c r="CV170" i="14"/>
  <c r="CU170" i="14"/>
  <c r="CT170" i="14"/>
  <c r="CS170" i="14"/>
  <c r="CR170" i="14"/>
  <c r="CQ170" i="14"/>
  <c r="CP170" i="14"/>
  <c r="CO170" i="14"/>
  <c r="CN170" i="14"/>
  <c r="CM170" i="14"/>
  <c r="CL170" i="14"/>
  <c r="CK170" i="14"/>
  <c r="CJ170" i="14"/>
  <c r="CI170" i="14"/>
  <c r="CH170" i="14"/>
  <c r="CG170" i="14"/>
  <c r="CF170" i="14"/>
  <c r="CE170" i="14"/>
  <c r="CD170" i="14"/>
  <c r="CC170" i="14"/>
  <c r="CB170" i="14"/>
  <c r="CA170" i="14"/>
  <c r="BZ170" i="14"/>
  <c r="BY170" i="14"/>
  <c r="BX170" i="14"/>
  <c r="BW170" i="14"/>
  <c r="BV170" i="14"/>
  <c r="BU170" i="14"/>
  <c r="BT170" i="14"/>
  <c r="BS170" i="14"/>
  <c r="BR170" i="14" a="1"/>
  <c r="BR170" i="14" s="1"/>
  <c r="BQ170" i="14" a="1"/>
  <c r="BQ170" i="14" s="1"/>
  <c r="BP170" i="14" a="1"/>
  <c r="BP170" i="14" s="1"/>
  <c r="BO170" i="14" a="1"/>
  <c r="BO170" i="14" s="1"/>
  <c r="BN170" i="14" a="1"/>
  <c r="BN170" i="14" s="1"/>
  <c r="BM170" i="14" a="1"/>
  <c r="BM170" i="14" s="1"/>
  <c r="BL170" i="14" a="1"/>
  <c r="BL170" i="14" s="1"/>
  <c r="BK170" i="14" a="1"/>
  <c r="BK170" i="14" s="1"/>
  <c r="BJ170" i="14" a="1"/>
  <c r="BJ170" i="14" s="1"/>
  <c r="BI170" i="14" a="1"/>
  <c r="BI170" i="14" s="1"/>
  <c r="BH170" i="14" a="1"/>
  <c r="BH170" i="14" s="1"/>
  <c r="BG170" i="14" a="1"/>
  <c r="BG170" i="14" s="1"/>
  <c r="BF170" i="14" a="1"/>
  <c r="BF170" i="14" s="1"/>
  <c r="BE170" i="14" a="1"/>
  <c r="BE170" i="14" s="1"/>
  <c r="BD170" i="14" a="1"/>
  <c r="BD170" i="14" s="1"/>
  <c r="BC170" i="14" a="1"/>
  <c r="BC170" i="14" s="1"/>
  <c r="BB170" i="14" a="1"/>
  <c r="BB170" i="14" s="1"/>
  <c r="BA170" i="14" a="1"/>
  <c r="BA170" i="14" s="1"/>
  <c r="AZ170" i="14" a="1"/>
  <c r="AZ170" i="14" s="1"/>
  <c r="AY170" i="14" a="1"/>
  <c r="AY170" i="14" s="1"/>
  <c r="AX170" i="14" a="1"/>
  <c r="AX170" i="14" s="1"/>
  <c r="AW170" i="14" a="1"/>
  <c r="AW170" i="14" s="1"/>
  <c r="AV170" i="14" a="1"/>
  <c r="AV170" i="14" s="1"/>
  <c r="AU170" i="14" a="1"/>
  <c r="AU170" i="14" s="1"/>
  <c r="AT170" i="14" a="1"/>
  <c r="AT170" i="14" s="1"/>
  <c r="AS170" i="14" a="1"/>
  <c r="AS170" i="14" s="1"/>
  <c r="AR170" i="14" a="1"/>
  <c r="AR170" i="14" s="1"/>
  <c r="AQ170" i="14" a="1"/>
  <c r="AQ170" i="14" s="1"/>
  <c r="AP170" i="14" a="1"/>
  <c r="AP170" i="14" s="1"/>
  <c r="AO170" i="14" a="1"/>
  <c r="AO170" i="14" s="1"/>
  <c r="AN170" i="14"/>
  <c r="AM170" i="14"/>
  <c r="AL170" i="14"/>
  <c r="AK170" i="14"/>
  <c r="AJ170" i="14"/>
  <c r="AI170" i="14"/>
  <c r="EW170" i="14" s="1"/>
  <c r="AH170" i="14"/>
  <c r="JT169" i="14"/>
  <c r="JS169" i="14"/>
  <c r="JR169" i="14"/>
  <c r="JQ169" i="14"/>
  <c r="JP169" i="14"/>
  <c r="JO169" i="14"/>
  <c r="JN169" i="14"/>
  <c r="JM169" i="14"/>
  <c r="JL169" i="14"/>
  <c r="JK169" i="14"/>
  <c r="JJ169" i="14"/>
  <c r="JI169" i="14"/>
  <c r="JH169" i="14"/>
  <c r="JG169" i="14"/>
  <c r="JF169" i="14"/>
  <c r="JE169" i="14"/>
  <c r="JD169" i="14"/>
  <c r="JC169" i="14"/>
  <c r="JB169" i="14"/>
  <c r="JA169" i="14"/>
  <c r="IZ169" i="14"/>
  <c r="IY169" i="14"/>
  <c r="IX169" i="14"/>
  <c r="IW169" i="14"/>
  <c r="IV169" i="14"/>
  <c r="IU169" i="14"/>
  <c r="IT169" i="14"/>
  <c r="IS169" i="14"/>
  <c r="IR169" i="14"/>
  <c r="IQ169" i="14"/>
  <c r="IP169" i="14"/>
  <c r="IO169" i="14"/>
  <c r="IN169" i="14"/>
  <c r="IM169" i="14"/>
  <c r="IL169" i="14"/>
  <c r="IK169" i="14"/>
  <c r="IJ169" i="14"/>
  <c r="II169" i="14"/>
  <c r="IH169" i="14"/>
  <c r="IG169" i="14"/>
  <c r="IF169" i="14"/>
  <c r="IE169" i="14"/>
  <c r="ID169" i="14"/>
  <c r="IC169" i="14"/>
  <c r="IB169" i="14"/>
  <c r="IA169" i="14"/>
  <c r="HZ169" i="14"/>
  <c r="HY169" i="14"/>
  <c r="HX169" i="14"/>
  <c r="HW169" i="14"/>
  <c r="HV169" i="14"/>
  <c r="HU169" i="14"/>
  <c r="HT169" i="14"/>
  <c r="HS169" i="14"/>
  <c r="HR169" i="14"/>
  <c r="HQ169" i="14"/>
  <c r="HP169" i="14"/>
  <c r="HO169" i="14"/>
  <c r="HN169" i="14"/>
  <c r="HM169" i="14"/>
  <c r="GH169" i="14"/>
  <c r="GG169" i="14"/>
  <c r="GF169" i="14"/>
  <c r="GE169" i="14"/>
  <c r="GD169" i="14"/>
  <c r="GC169" i="14"/>
  <c r="GB169" i="14"/>
  <c r="GA169" i="14"/>
  <c r="FZ169" i="14"/>
  <c r="FY169" i="14"/>
  <c r="FX169" i="14"/>
  <c r="FW169" i="14"/>
  <c r="FV169" i="14"/>
  <c r="FU169" i="14"/>
  <c r="FT169" i="14"/>
  <c r="FS169" i="14"/>
  <c r="FR169" i="14"/>
  <c r="FQ169" i="14"/>
  <c r="FP169" i="14"/>
  <c r="FO169" i="14"/>
  <c r="FN169" i="14"/>
  <c r="FM169" i="14"/>
  <c r="FL169" i="14"/>
  <c r="FK169" i="14"/>
  <c r="FJ169" i="14"/>
  <c r="FI169" i="14"/>
  <c r="FH169" i="14"/>
  <c r="FG169" i="14"/>
  <c r="FF169" i="14"/>
  <c r="FE169" i="14"/>
  <c r="CV169" i="14"/>
  <c r="CU169" i="14"/>
  <c r="CT169" i="14"/>
  <c r="CS169" i="14"/>
  <c r="CR169" i="14"/>
  <c r="CQ169" i="14"/>
  <c r="CP169" i="14"/>
  <c r="CO169" i="14"/>
  <c r="CN169" i="14"/>
  <c r="CM169" i="14"/>
  <c r="CL169" i="14"/>
  <c r="CK169" i="14"/>
  <c r="CJ169" i="14"/>
  <c r="CI169" i="14"/>
  <c r="CH169" i="14"/>
  <c r="CG169" i="14"/>
  <c r="CF169" i="14"/>
  <c r="CE169" i="14"/>
  <c r="CD169" i="14"/>
  <c r="CC169" i="14"/>
  <c r="CB169" i="14"/>
  <c r="CA169" i="14"/>
  <c r="BZ169" i="14"/>
  <c r="BY169" i="14"/>
  <c r="BX169" i="14"/>
  <c r="BW169" i="14"/>
  <c r="BV169" i="14"/>
  <c r="BU169" i="14"/>
  <c r="BT169" i="14"/>
  <c r="BS169" i="14"/>
  <c r="BR169" i="14" a="1"/>
  <c r="BR169" i="14" s="1"/>
  <c r="BQ169" i="14" a="1"/>
  <c r="BQ169" i="14" s="1"/>
  <c r="BP169" i="14" a="1"/>
  <c r="BP169" i="14" s="1"/>
  <c r="BO169" i="14" a="1"/>
  <c r="BO169" i="14" s="1"/>
  <c r="BN169" i="14" a="1"/>
  <c r="BN169" i="14" s="1"/>
  <c r="BM169" i="14" a="1"/>
  <c r="BM169" i="14" s="1"/>
  <c r="BL169" i="14" a="1"/>
  <c r="BL169" i="14" s="1"/>
  <c r="BK169" i="14" a="1"/>
  <c r="BK169" i="14" s="1"/>
  <c r="BJ169" i="14" a="1"/>
  <c r="BJ169" i="14" s="1"/>
  <c r="BI169" i="14" a="1"/>
  <c r="BI169" i="14" s="1"/>
  <c r="BH169" i="14" a="1"/>
  <c r="BH169" i="14" s="1"/>
  <c r="BG169" i="14" a="1"/>
  <c r="BG169" i="14" s="1"/>
  <c r="BF169" i="14" a="1"/>
  <c r="BF169" i="14" s="1"/>
  <c r="BE169" i="14" a="1"/>
  <c r="BE169" i="14" s="1"/>
  <c r="BD169" i="14" a="1"/>
  <c r="BD169" i="14" s="1"/>
  <c r="BC169" i="14" a="1"/>
  <c r="BC169" i="14" s="1"/>
  <c r="BB169" i="14" a="1"/>
  <c r="BB169" i="14" s="1"/>
  <c r="BA169" i="14" a="1"/>
  <c r="BA169" i="14" s="1"/>
  <c r="AZ169" i="14" a="1"/>
  <c r="AZ169" i="14" s="1"/>
  <c r="AY169" i="14" a="1"/>
  <c r="AY169" i="14" s="1"/>
  <c r="AX169" i="14" a="1"/>
  <c r="AX169" i="14" s="1"/>
  <c r="AW169" i="14" a="1"/>
  <c r="AW169" i="14" s="1"/>
  <c r="AV169" i="14" a="1"/>
  <c r="AV169" i="14" s="1"/>
  <c r="AU169" i="14" a="1"/>
  <c r="AU169" i="14" s="1"/>
  <c r="AT169" i="14" a="1"/>
  <c r="AT169" i="14" s="1"/>
  <c r="AS169" i="14" a="1"/>
  <c r="AS169" i="14" s="1"/>
  <c r="AR169" i="14" a="1"/>
  <c r="AR169" i="14" s="1"/>
  <c r="AQ169" i="14" a="1"/>
  <c r="AQ169" i="14" s="1"/>
  <c r="AP169" i="14" a="1"/>
  <c r="AP169" i="14" s="1"/>
  <c r="AO169" i="14" a="1"/>
  <c r="AO169" i="14" s="1"/>
  <c r="AN169" i="14"/>
  <c r="AM169" i="14"/>
  <c r="AL169" i="14"/>
  <c r="AK169" i="14"/>
  <c r="AJ169" i="14"/>
  <c r="AI169" i="14"/>
  <c r="FA169" i="14" s="1"/>
  <c r="AH169" i="14"/>
  <c r="JT168" i="14"/>
  <c r="JS168" i="14"/>
  <c r="JR168" i="14"/>
  <c r="JQ168" i="14"/>
  <c r="JP168" i="14"/>
  <c r="JO168" i="14"/>
  <c r="JN168" i="14"/>
  <c r="JM168" i="14"/>
  <c r="JL168" i="14"/>
  <c r="JK168" i="14"/>
  <c r="JJ168" i="14"/>
  <c r="JI168" i="14"/>
  <c r="JH168" i="14"/>
  <c r="JG168" i="14"/>
  <c r="JF168" i="14"/>
  <c r="JE168" i="14"/>
  <c r="JD168" i="14"/>
  <c r="JC168" i="14"/>
  <c r="JB168" i="14"/>
  <c r="JA168" i="14"/>
  <c r="IZ168" i="14"/>
  <c r="IY168" i="14"/>
  <c r="IX168" i="14"/>
  <c r="IW168" i="14"/>
  <c r="IV168" i="14"/>
  <c r="IU168" i="14"/>
  <c r="IT168" i="14"/>
  <c r="IS168" i="14"/>
  <c r="IR168" i="14"/>
  <c r="IQ168" i="14"/>
  <c r="IP168" i="14"/>
  <c r="IO168" i="14"/>
  <c r="IN168" i="14"/>
  <c r="IM168" i="14"/>
  <c r="IL168" i="14"/>
  <c r="IK168" i="14"/>
  <c r="IJ168" i="14"/>
  <c r="II168" i="14"/>
  <c r="IH168" i="14"/>
  <c r="IG168" i="14"/>
  <c r="IF168" i="14"/>
  <c r="IE168" i="14"/>
  <c r="ID168" i="14"/>
  <c r="IC168" i="14"/>
  <c r="IB168" i="14"/>
  <c r="IA168" i="14"/>
  <c r="HZ168" i="14"/>
  <c r="HY168" i="14"/>
  <c r="HX168" i="14"/>
  <c r="HW168" i="14"/>
  <c r="HV168" i="14"/>
  <c r="HU168" i="14"/>
  <c r="HT168" i="14"/>
  <c r="HS168" i="14"/>
  <c r="HR168" i="14"/>
  <c r="HQ168" i="14"/>
  <c r="HP168" i="14"/>
  <c r="HO168" i="14"/>
  <c r="HN168" i="14"/>
  <c r="HM168" i="14"/>
  <c r="GH168" i="14"/>
  <c r="GG168" i="14"/>
  <c r="GF168" i="14"/>
  <c r="GE168" i="14"/>
  <c r="GD168" i="14"/>
  <c r="GC168" i="14"/>
  <c r="GB168" i="14"/>
  <c r="GA168" i="14"/>
  <c r="FZ168" i="14"/>
  <c r="FY168" i="14"/>
  <c r="FX168" i="14"/>
  <c r="FW168" i="14"/>
  <c r="FV168" i="14"/>
  <c r="FU168" i="14"/>
  <c r="FT168" i="14"/>
  <c r="FS168" i="14"/>
  <c r="FR168" i="14"/>
  <c r="FQ168" i="14"/>
  <c r="FP168" i="14"/>
  <c r="FO168" i="14"/>
  <c r="FN168" i="14"/>
  <c r="FM168" i="14"/>
  <c r="FL168" i="14"/>
  <c r="FK168" i="14"/>
  <c r="FJ168" i="14"/>
  <c r="FI168" i="14"/>
  <c r="FH168" i="14"/>
  <c r="FG168" i="14"/>
  <c r="FF168" i="14"/>
  <c r="FE168" i="14"/>
  <c r="CV168" i="14"/>
  <c r="CU168" i="14"/>
  <c r="CT168" i="14"/>
  <c r="CS168" i="14"/>
  <c r="CR168" i="14"/>
  <c r="CQ168" i="14"/>
  <c r="CP168" i="14"/>
  <c r="CO168" i="14"/>
  <c r="CN168" i="14"/>
  <c r="CM168" i="14"/>
  <c r="CL168" i="14"/>
  <c r="CK168" i="14"/>
  <c r="CJ168" i="14"/>
  <c r="CI168" i="14"/>
  <c r="CH168" i="14"/>
  <c r="CG168" i="14"/>
  <c r="CF168" i="14"/>
  <c r="CE168" i="14"/>
  <c r="CD168" i="14"/>
  <c r="CC168" i="14"/>
  <c r="CB168" i="14"/>
  <c r="CA168" i="14"/>
  <c r="BZ168" i="14"/>
  <c r="BY168" i="14"/>
  <c r="BX168" i="14"/>
  <c r="BW168" i="14"/>
  <c r="BV168" i="14"/>
  <c r="BU168" i="14"/>
  <c r="BT168" i="14"/>
  <c r="BS168" i="14"/>
  <c r="BR168" i="14" a="1"/>
  <c r="BR168" i="14" s="1"/>
  <c r="BQ168" i="14" a="1"/>
  <c r="BQ168" i="14" s="1"/>
  <c r="BP168" i="14" a="1"/>
  <c r="BP168" i="14" s="1"/>
  <c r="BO168" i="14" a="1"/>
  <c r="BO168" i="14" s="1"/>
  <c r="BN168" i="14" a="1"/>
  <c r="BN168" i="14" s="1"/>
  <c r="BM168" i="14" a="1"/>
  <c r="BM168" i="14" s="1"/>
  <c r="BL168" i="14" a="1"/>
  <c r="BL168" i="14" s="1"/>
  <c r="BK168" i="14" a="1"/>
  <c r="BK168" i="14" s="1"/>
  <c r="BJ168" i="14" a="1"/>
  <c r="BJ168" i="14" s="1"/>
  <c r="BI168" i="14" a="1"/>
  <c r="BI168" i="14" s="1"/>
  <c r="BH168" i="14" a="1"/>
  <c r="BH168" i="14" s="1"/>
  <c r="BG168" i="14" a="1"/>
  <c r="BG168" i="14" s="1"/>
  <c r="BF168" i="14" a="1"/>
  <c r="BF168" i="14" s="1"/>
  <c r="BE168" i="14" a="1"/>
  <c r="BE168" i="14" s="1"/>
  <c r="BD168" i="14" a="1"/>
  <c r="BD168" i="14" s="1"/>
  <c r="BC168" i="14" a="1"/>
  <c r="BC168" i="14" s="1"/>
  <c r="BB168" i="14" a="1"/>
  <c r="BB168" i="14" s="1"/>
  <c r="BA168" i="14" a="1"/>
  <c r="BA168" i="14" s="1"/>
  <c r="AZ168" i="14" a="1"/>
  <c r="AZ168" i="14" s="1"/>
  <c r="AY168" i="14" a="1"/>
  <c r="AY168" i="14" s="1"/>
  <c r="AX168" i="14" a="1"/>
  <c r="AX168" i="14" s="1"/>
  <c r="AW168" i="14" a="1"/>
  <c r="AW168" i="14" s="1"/>
  <c r="AV168" i="14" a="1"/>
  <c r="AV168" i="14" s="1"/>
  <c r="AU168" i="14" a="1"/>
  <c r="AU168" i="14" s="1"/>
  <c r="AT168" i="14" a="1"/>
  <c r="AT168" i="14" s="1"/>
  <c r="AS168" i="14" a="1"/>
  <c r="AS168" i="14" s="1"/>
  <c r="AR168" i="14" a="1"/>
  <c r="AR168" i="14" s="1"/>
  <c r="AQ168" i="14" a="1"/>
  <c r="AQ168" i="14" s="1"/>
  <c r="AP168" i="14" a="1"/>
  <c r="AP168" i="14" s="1"/>
  <c r="AO168" i="14" a="1"/>
  <c r="AO168" i="14" s="1"/>
  <c r="AN168" i="14"/>
  <c r="AM168" i="14"/>
  <c r="AL168" i="14"/>
  <c r="AK168" i="14"/>
  <c r="AJ168" i="14"/>
  <c r="AI168" i="14"/>
  <c r="EY168" i="14" s="1"/>
  <c r="AH168" i="14"/>
  <c r="JT167" i="14"/>
  <c r="JS167" i="14"/>
  <c r="JR167" i="14"/>
  <c r="JQ167" i="14"/>
  <c r="JP167" i="14"/>
  <c r="JO167" i="14"/>
  <c r="JN167" i="14"/>
  <c r="JM167" i="14"/>
  <c r="JL167" i="14"/>
  <c r="JK167" i="14"/>
  <c r="JJ167" i="14"/>
  <c r="JI167" i="14"/>
  <c r="JH167" i="14"/>
  <c r="JG167" i="14"/>
  <c r="JF167" i="14"/>
  <c r="JE167" i="14"/>
  <c r="JD167" i="14"/>
  <c r="JC167" i="14"/>
  <c r="JB167" i="14"/>
  <c r="JA167" i="14"/>
  <c r="IZ167" i="14"/>
  <c r="IY167" i="14"/>
  <c r="IX167" i="14"/>
  <c r="IW167" i="14"/>
  <c r="IV167" i="14"/>
  <c r="IU167" i="14"/>
  <c r="IT167" i="14"/>
  <c r="IS167" i="14"/>
  <c r="IR167" i="14"/>
  <c r="IQ167" i="14"/>
  <c r="IP167" i="14"/>
  <c r="IO167" i="14"/>
  <c r="IN167" i="14"/>
  <c r="IM167" i="14"/>
  <c r="IL167" i="14"/>
  <c r="IK167" i="14"/>
  <c r="IJ167" i="14"/>
  <c r="II167" i="14"/>
  <c r="IH167" i="14"/>
  <c r="IG167" i="14"/>
  <c r="IF167" i="14"/>
  <c r="IE167" i="14"/>
  <c r="ID167" i="14"/>
  <c r="IC167" i="14"/>
  <c r="IB167" i="14"/>
  <c r="IA167" i="14"/>
  <c r="HZ167" i="14"/>
  <c r="HY167" i="14"/>
  <c r="HX167" i="14"/>
  <c r="HW167" i="14"/>
  <c r="HV167" i="14"/>
  <c r="HU167" i="14"/>
  <c r="HT167" i="14"/>
  <c r="HS167" i="14"/>
  <c r="HR167" i="14"/>
  <c r="HQ167" i="14"/>
  <c r="HP167" i="14"/>
  <c r="HO167" i="14"/>
  <c r="HN167" i="14"/>
  <c r="HM167" i="14"/>
  <c r="GH167" i="14"/>
  <c r="GG167" i="14"/>
  <c r="GF167" i="14"/>
  <c r="GE167" i="14"/>
  <c r="GD167" i="14"/>
  <c r="GC167" i="14"/>
  <c r="GB167" i="14"/>
  <c r="GA167" i="14"/>
  <c r="FZ167" i="14"/>
  <c r="FY167" i="14"/>
  <c r="FX167" i="14"/>
  <c r="FW167" i="14"/>
  <c r="FV167" i="14"/>
  <c r="FU167" i="14"/>
  <c r="FT167" i="14"/>
  <c r="FS167" i="14"/>
  <c r="FR167" i="14"/>
  <c r="FQ167" i="14"/>
  <c r="FP167" i="14"/>
  <c r="FO167" i="14"/>
  <c r="FN167" i="14"/>
  <c r="FM167" i="14"/>
  <c r="FL167" i="14"/>
  <c r="FK167" i="14"/>
  <c r="FJ167" i="14"/>
  <c r="FI167" i="14"/>
  <c r="FH167" i="14"/>
  <c r="FG167" i="14"/>
  <c r="FF167" i="14"/>
  <c r="FE167" i="14"/>
  <c r="CV167" i="14"/>
  <c r="CU167" i="14"/>
  <c r="CT167" i="14"/>
  <c r="CS167" i="14"/>
  <c r="CR167" i="14"/>
  <c r="CQ167" i="14"/>
  <c r="CP167" i="14"/>
  <c r="CO167" i="14"/>
  <c r="CN167" i="14"/>
  <c r="CM167" i="14"/>
  <c r="CL167" i="14"/>
  <c r="CK167" i="14"/>
  <c r="CJ167" i="14"/>
  <c r="CI167" i="14"/>
  <c r="CH167" i="14"/>
  <c r="CG167" i="14"/>
  <c r="CF167" i="14"/>
  <c r="CE167" i="14"/>
  <c r="CD167" i="14"/>
  <c r="CC167" i="14"/>
  <c r="CB167" i="14"/>
  <c r="CA167" i="14"/>
  <c r="BZ167" i="14"/>
  <c r="BY167" i="14"/>
  <c r="BX167" i="14"/>
  <c r="BW167" i="14"/>
  <c r="BV167" i="14"/>
  <c r="BU167" i="14"/>
  <c r="BT167" i="14"/>
  <c r="BS167" i="14"/>
  <c r="BR167" i="14" a="1"/>
  <c r="BR167" i="14" s="1"/>
  <c r="BQ167" i="14" a="1"/>
  <c r="BQ167" i="14" s="1"/>
  <c r="BP167" i="14" a="1"/>
  <c r="BP167" i="14" s="1"/>
  <c r="BO167" i="14" a="1"/>
  <c r="BO167" i="14" s="1"/>
  <c r="BN167" i="14" a="1"/>
  <c r="BN167" i="14" s="1"/>
  <c r="BM167" i="14" a="1"/>
  <c r="BM167" i="14" s="1"/>
  <c r="BL167" i="14" a="1"/>
  <c r="BL167" i="14" s="1"/>
  <c r="BK167" i="14" a="1"/>
  <c r="BK167" i="14" s="1"/>
  <c r="BJ167" i="14" a="1"/>
  <c r="BJ167" i="14" s="1"/>
  <c r="BI167" i="14" a="1"/>
  <c r="BI167" i="14" s="1"/>
  <c r="BH167" i="14" a="1"/>
  <c r="BH167" i="14" s="1"/>
  <c r="BG167" i="14" a="1"/>
  <c r="BG167" i="14" s="1"/>
  <c r="BF167" i="14" a="1"/>
  <c r="BF167" i="14" s="1"/>
  <c r="BE167" i="14" a="1"/>
  <c r="BE167" i="14" s="1"/>
  <c r="BD167" i="14" a="1"/>
  <c r="BD167" i="14" s="1"/>
  <c r="BC167" i="14" a="1"/>
  <c r="BC167" i="14" s="1"/>
  <c r="BB167" i="14" a="1"/>
  <c r="BB167" i="14" s="1"/>
  <c r="BA167" i="14" a="1"/>
  <c r="BA167" i="14" s="1"/>
  <c r="AZ167" i="14" a="1"/>
  <c r="AZ167" i="14" s="1"/>
  <c r="AY167" i="14" a="1"/>
  <c r="AY167" i="14" s="1"/>
  <c r="AX167" i="14" a="1"/>
  <c r="AX167" i="14" s="1"/>
  <c r="AW167" i="14" a="1"/>
  <c r="AW167" i="14" s="1"/>
  <c r="AV167" i="14" a="1"/>
  <c r="AV167" i="14" s="1"/>
  <c r="AU167" i="14" a="1"/>
  <c r="AU167" i="14" s="1"/>
  <c r="AT167" i="14" a="1"/>
  <c r="AT167" i="14" s="1"/>
  <c r="AS167" i="14" a="1"/>
  <c r="AS167" i="14" s="1"/>
  <c r="AR167" i="14" a="1"/>
  <c r="AR167" i="14" s="1"/>
  <c r="AQ167" i="14" a="1"/>
  <c r="AQ167" i="14" s="1"/>
  <c r="AP167" i="14" a="1"/>
  <c r="AP167" i="14" s="1"/>
  <c r="AO167" i="14" a="1"/>
  <c r="AO167" i="14" s="1"/>
  <c r="AN167" i="14"/>
  <c r="AM167" i="14"/>
  <c r="AL167" i="14"/>
  <c r="AK167" i="14"/>
  <c r="AJ167" i="14"/>
  <c r="AI167" i="14"/>
  <c r="ED167" i="14" s="1"/>
  <c r="AH167" i="14"/>
  <c r="JT166" i="14"/>
  <c r="JS166" i="14"/>
  <c r="JR166" i="14"/>
  <c r="JQ166" i="14"/>
  <c r="JP166" i="14"/>
  <c r="JO166" i="14"/>
  <c r="JN166" i="14"/>
  <c r="JM166" i="14"/>
  <c r="JL166" i="14"/>
  <c r="JK166" i="14"/>
  <c r="JJ166" i="14"/>
  <c r="JI166" i="14"/>
  <c r="JH166" i="14"/>
  <c r="JG166" i="14"/>
  <c r="JF166" i="14"/>
  <c r="JE166" i="14"/>
  <c r="JD166" i="14"/>
  <c r="JC166" i="14"/>
  <c r="JB166" i="14"/>
  <c r="JA166" i="14"/>
  <c r="IZ166" i="14"/>
  <c r="IY166" i="14"/>
  <c r="IX166" i="14"/>
  <c r="IW166" i="14"/>
  <c r="IV166" i="14"/>
  <c r="IU166" i="14"/>
  <c r="IT166" i="14"/>
  <c r="IS166" i="14"/>
  <c r="IR166" i="14"/>
  <c r="IQ166" i="14"/>
  <c r="IP166" i="14"/>
  <c r="IO166" i="14"/>
  <c r="IN166" i="14"/>
  <c r="IM166" i="14"/>
  <c r="IL166" i="14"/>
  <c r="IK166" i="14"/>
  <c r="IJ166" i="14"/>
  <c r="II166" i="14"/>
  <c r="IH166" i="14"/>
  <c r="IG166" i="14"/>
  <c r="IF166" i="14"/>
  <c r="IE166" i="14"/>
  <c r="ID166" i="14"/>
  <c r="IC166" i="14"/>
  <c r="IB166" i="14"/>
  <c r="IA166" i="14"/>
  <c r="HZ166" i="14"/>
  <c r="HY166" i="14"/>
  <c r="HX166" i="14"/>
  <c r="HW166" i="14"/>
  <c r="HV166" i="14"/>
  <c r="HU166" i="14"/>
  <c r="HT166" i="14"/>
  <c r="HS166" i="14"/>
  <c r="HR166" i="14"/>
  <c r="HQ166" i="14"/>
  <c r="HP166" i="14"/>
  <c r="HO166" i="14"/>
  <c r="HN166" i="14"/>
  <c r="HM166" i="14"/>
  <c r="GH166" i="14"/>
  <c r="GG166" i="14"/>
  <c r="GF166" i="14"/>
  <c r="GE166" i="14"/>
  <c r="GD166" i="14"/>
  <c r="GC166" i="14"/>
  <c r="GB166" i="14"/>
  <c r="GA166" i="14"/>
  <c r="FZ166" i="14"/>
  <c r="FY166" i="14"/>
  <c r="FX166" i="14"/>
  <c r="FW166" i="14"/>
  <c r="FV166" i="14"/>
  <c r="FU166" i="14"/>
  <c r="FT166" i="14"/>
  <c r="FS166" i="14"/>
  <c r="FR166" i="14"/>
  <c r="FQ166" i="14"/>
  <c r="FP166" i="14"/>
  <c r="FO166" i="14"/>
  <c r="FN166" i="14"/>
  <c r="FM166" i="14"/>
  <c r="FL166" i="14"/>
  <c r="FK166" i="14"/>
  <c r="FJ166" i="14"/>
  <c r="FI166" i="14"/>
  <c r="FH166" i="14"/>
  <c r="FG166" i="14"/>
  <c r="FF166" i="14"/>
  <c r="FE166" i="14"/>
  <c r="CV166" i="14"/>
  <c r="CU166" i="14"/>
  <c r="CT166" i="14"/>
  <c r="CS166" i="14"/>
  <c r="CR166" i="14"/>
  <c r="CQ166" i="14"/>
  <c r="CP166" i="14"/>
  <c r="CO166" i="14"/>
  <c r="CN166" i="14"/>
  <c r="CM166" i="14"/>
  <c r="CL166" i="14"/>
  <c r="CK166" i="14"/>
  <c r="CJ166" i="14"/>
  <c r="CI166" i="14"/>
  <c r="CH166" i="14"/>
  <c r="CG166" i="14"/>
  <c r="CF166" i="14"/>
  <c r="CE166" i="14"/>
  <c r="CD166" i="14"/>
  <c r="CC166" i="14"/>
  <c r="CB166" i="14"/>
  <c r="CA166" i="14"/>
  <c r="BZ166" i="14"/>
  <c r="BY166" i="14"/>
  <c r="BX166" i="14"/>
  <c r="BW166" i="14"/>
  <c r="BV166" i="14"/>
  <c r="BU166" i="14"/>
  <c r="BT166" i="14"/>
  <c r="BS166" i="14"/>
  <c r="BR166" i="14" a="1"/>
  <c r="BR166" i="14" s="1"/>
  <c r="BQ166" i="14" a="1"/>
  <c r="BQ166" i="14" s="1"/>
  <c r="BP166" i="14" a="1"/>
  <c r="BP166" i="14" s="1"/>
  <c r="BO166" i="14" a="1"/>
  <c r="BO166" i="14" s="1"/>
  <c r="BN166" i="14" a="1"/>
  <c r="BN166" i="14" s="1"/>
  <c r="BM166" i="14" a="1"/>
  <c r="BM166" i="14" s="1"/>
  <c r="BL166" i="14" a="1"/>
  <c r="BL166" i="14" s="1"/>
  <c r="BK166" i="14" a="1"/>
  <c r="BK166" i="14" s="1"/>
  <c r="BJ166" i="14" a="1"/>
  <c r="BJ166" i="14" s="1"/>
  <c r="BI166" i="14" a="1"/>
  <c r="BI166" i="14" s="1"/>
  <c r="BH166" i="14" a="1"/>
  <c r="BH166" i="14" s="1"/>
  <c r="BG166" i="14" a="1"/>
  <c r="BG166" i="14" s="1"/>
  <c r="BF166" i="14" a="1"/>
  <c r="BF166" i="14" s="1"/>
  <c r="BE166" i="14" a="1"/>
  <c r="BE166" i="14" s="1"/>
  <c r="BD166" i="14" a="1"/>
  <c r="BD166" i="14" s="1"/>
  <c r="BC166" i="14" a="1"/>
  <c r="BC166" i="14" s="1"/>
  <c r="BB166" i="14" a="1"/>
  <c r="BB166" i="14" s="1"/>
  <c r="BA166" i="14" a="1"/>
  <c r="BA166" i="14" s="1"/>
  <c r="AZ166" i="14" a="1"/>
  <c r="AZ166" i="14" s="1"/>
  <c r="AY166" i="14" a="1"/>
  <c r="AY166" i="14" s="1"/>
  <c r="AX166" i="14" a="1"/>
  <c r="AX166" i="14" s="1"/>
  <c r="AW166" i="14" a="1"/>
  <c r="AW166" i="14" s="1"/>
  <c r="AV166" i="14" a="1"/>
  <c r="AV166" i="14" s="1"/>
  <c r="AU166" i="14" a="1"/>
  <c r="AU166" i="14" s="1"/>
  <c r="AT166" i="14" a="1"/>
  <c r="AT166" i="14" s="1"/>
  <c r="AS166" i="14" a="1"/>
  <c r="AS166" i="14" s="1"/>
  <c r="AR166" i="14" a="1"/>
  <c r="AR166" i="14" s="1"/>
  <c r="AQ166" i="14" a="1"/>
  <c r="AQ166" i="14" s="1"/>
  <c r="AP166" i="14" a="1"/>
  <c r="AP166" i="14" s="1"/>
  <c r="AO166" i="14" a="1"/>
  <c r="AO166" i="14" s="1"/>
  <c r="AN166" i="14"/>
  <c r="AM166" i="14"/>
  <c r="AL166" i="14"/>
  <c r="AK166" i="14"/>
  <c r="AJ166" i="14"/>
  <c r="AI166" i="14"/>
  <c r="EN166" i="14" s="1"/>
  <c r="AH166" i="14"/>
  <c r="JT165" i="14"/>
  <c r="JS165" i="14"/>
  <c r="JR165" i="14"/>
  <c r="JQ165" i="14"/>
  <c r="JP165" i="14"/>
  <c r="JO165" i="14"/>
  <c r="JN165" i="14"/>
  <c r="JM165" i="14"/>
  <c r="JL165" i="14"/>
  <c r="JK165" i="14"/>
  <c r="JJ165" i="14"/>
  <c r="JI165" i="14"/>
  <c r="JH165" i="14"/>
  <c r="JG165" i="14"/>
  <c r="JF165" i="14"/>
  <c r="JE165" i="14"/>
  <c r="JD165" i="14"/>
  <c r="JC165" i="14"/>
  <c r="JB165" i="14"/>
  <c r="JA165" i="14"/>
  <c r="IZ165" i="14"/>
  <c r="IY165" i="14"/>
  <c r="IX165" i="14"/>
  <c r="IW165" i="14"/>
  <c r="IV165" i="14"/>
  <c r="IU165" i="14"/>
  <c r="IT165" i="14"/>
  <c r="IS165" i="14"/>
  <c r="IR165" i="14"/>
  <c r="IQ165" i="14"/>
  <c r="IP165" i="14"/>
  <c r="IO165" i="14"/>
  <c r="IN165" i="14"/>
  <c r="IM165" i="14"/>
  <c r="IL165" i="14"/>
  <c r="IK165" i="14"/>
  <c r="IJ165" i="14"/>
  <c r="II165" i="14"/>
  <c r="IH165" i="14"/>
  <c r="IG165" i="14"/>
  <c r="IF165" i="14"/>
  <c r="IE165" i="14"/>
  <c r="ID165" i="14"/>
  <c r="IC165" i="14"/>
  <c r="IB165" i="14"/>
  <c r="IA165" i="14"/>
  <c r="HZ165" i="14"/>
  <c r="HY165" i="14"/>
  <c r="HX165" i="14"/>
  <c r="HW165" i="14"/>
  <c r="HV165" i="14"/>
  <c r="HU165" i="14"/>
  <c r="HT165" i="14"/>
  <c r="HS165" i="14"/>
  <c r="HR165" i="14"/>
  <c r="HQ165" i="14"/>
  <c r="HP165" i="14"/>
  <c r="HO165" i="14"/>
  <c r="HN165" i="14"/>
  <c r="HM165" i="14"/>
  <c r="GH165" i="14"/>
  <c r="GG165" i="14"/>
  <c r="GF165" i="14"/>
  <c r="GE165" i="14"/>
  <c r="GD165" i="14"/>
  <c r="GC165" i="14"/>
  <c r="GB165" i="14"/>
  <c r="GA165" i="14"/>
  <c r="FZ165" i="14"/>
  <c r="FY165" i="14"/>
  <c r="FX165" i="14"/>
  <c r="FW165" i="14"/>
  <c r="FV165" i="14"/>
  <c r="FU165" i="14"/>
  <c r="FT165" i="14"/>
  <c r="FS165" i="14"/>
  <c r="FR165" i="14"/>
  <c r="FQ165" i="14"/>
  <c r="FP165" i="14"/>
  <c r="FO165" i="14"/>
  <c r="FN165" i="14"/>
  <c r="FM165" i="14"/>
  <c r="FL165" i="14"/>
  <c r="FK165" i="14"/>
  <c r="FJ165" i="14"/>
  <c r="FI165" i="14"/>
  <c r="FH165" i="14"/>
  <c r="FG165" i="14"/>
  <c r="FF165" i="14"/>
  <c r="FE165" i="14"/>
  <c r="CV165" i="14"/>
  <c r="CU165" i="14"/>
  <c r="CT165" i="14"/>
  <c r="CS165" i="14"/>
  <c r="CR165" i="14"/>
  <c r="CQ165" i="14"/>
  <c r="CP165" i="14"/>
  <c r="CO165" i="14"/>
  <c r="CN165" i="14"/>
  <c r="CM165" i="14"/>
  <c r="CL165" i="14"/>
  <c r="CK165" i="14"/>
  <c r="CJ165" i="14"/>
  <c r="CI165" i="14"/>
  <c r="CH165" i="14"/>
  <c r="CG165" i="14"/>
  <c r="CF165" i="14"/>
  <c r="CE165" i="14"/>
  <c r="CD165" i="14"/>
  <c r="CC165" i="14"/>
  <c r="CB165" i="14"/>
  <c r="CA165" i="14"/>
  <c r="BZ165" i="14"/>
  <c r="BY165" i="14"/>
  <c r="BX165" i="14"/>
  <c r="BW165" i="14"/>
  <c r="BV165" i="14"/>
  <c r="BU165" i="14"/>
  <c r="BT165" i="14"/>
  <c r="BS165" i="14"/>
  <c r="BR165" i="14" a="1"/>
  <c r="BR165" i="14" s="1"/>
  <c r="BQ165" i="14" a="1"/>
  <c r="BQ165" i="14" s="1"/>
  <c r="BP165" i="14" a="1"/>
  <c r="BP165" i="14" s="1"/>
  <c r="BO165" i="14" a="1"/>
  <c r="BO165" i="14" s="1"/>
  <c r="BN165" i="14" a="1"/>
  <c r="BN165" i="14" s="1"/>
  <c r="BM165" i="14" a="1"/>
  <c r="BM165" i="14" s="1"/>
  <c r="BL165" i="14" a="1"/>
  <c r="BL165" i="14" s="1"/>
  <c r="BK165" i="14" a="1"/>
  <c r="BK165" i="14" s="1"/>
  <c r="BJ165" i="14" a="1"/>
  <c r="BJ165" i="14" s="1"/>
  <c r="BI165" i="14" a="1"/>
  <c r="BI165" i="14" s="1"/>
  <c r="BH165" i="14" a="1"/>
  <c r="BH165" i="14" s="1"/>
  <c r="BG165" i="14" a="1"/>
  <c r="BG165" i="14" s="1"/>
  <c r="BF165" i="14" a="1"/>
  <c r="BF165" i="14" s="1"/>
  <c r="BE165" i="14" a="1"/>
  <c r="BE165" i="14" s="1"/>
  <c r="BD165" i="14" a="1"/>
  <c r="BD165" i="14" s="1"/>
  <c r="BC165" i="14" a="1"/>
  <c r="BC165" i="14" s="1"/>
  <c r="BB165" i="14" a="1"/>
  <c r="BB165" i="14" s="1"/>
  <c r="BA165" i="14" a="1"/>
  <c r="BA165" i="14" s="1"/>
  <c r="AZ165" i="14" a="1"/>
  <c r="AZ165" i="14" s="1"/>
  <c r="AY165" i="14" a="1"/>
  <c r="AY165" i="14" s="1"/>
  <c r="AX165" i="14" a="1"/>
  <c r="AX165" i="14" s="1"/>
  <c r="AW165" i="14" a="1"/>
  <c r="AW165" i="14" s="1"/>
  <c r="AV165" i="14" a="1"/>
  <c r="AV165" i="14" s="1"/>
  <c r="AU165" i="14" a="1"/>
  <c r="AU165" i="14" s="1"/>
  <c r="AT165" i="14" a="1"/>
  <c r="AT165" i="14" s="1"/>
  <c r="AS165" i="14" a="1"/>
  <c r="AS165" i="14" s="1"/>
  <c r="AR165" i="14" a="1"/>
  <c r="AR165" i="14" s="1"/>
  <c r="AQ165" i="14" a="1"/>
  <c r="AQ165" i="14" s="1"/>
  <c r="AP165" i="14" a="1"/>
  <c r="AP165" i="14" s="1"/>
  <c r="AO165" i="14" a="1"/>
  <c r="AO165" i="14" s="1"/>
  <c r="AN165" i="14"/>
  <c r="AM165" i="14"/>
  <c r="AL165" i="14"/>
  <c r="AK165" i="14"/>
  <c r="AJ165" i="14"/>
  <c r="AI165" i="14"/>
  <c r="EW165" i="14" s="1"/>
  <c r="AH165" i="14"/>
  <c r="JT164" i="14"/>
  <c r="JS164" i="14"/>
  <c r="JR164" i="14"/>
  <c r="JQ164" i="14"/>
  <c r="JP164" i="14"/>
  <c r="JO164" i="14"/>
  <c r="JN164" i="14"/>
  <c r="JM164" i="14"/>
  <c r="JL164" i="14"/>
  <c r="JK164" i="14"/>
  <c r="JJ164" i="14"/>
  <c r="JI164" i="14"/>
  <c r="JH164" i="14"/>
  <c r="JG164" i="14"/>
  <c r="JF164" i="14"/>
  <c r="JE164" i="14"/>
  <c r="JD164" i="14"/>
  <c r="JC164" i="14"/>
  <c r="JB164" i="14"/>
  <c r="JA164" i="14"/>
  <c r="IZ164" i="14"/>
  <c r="IY164" i="14"/>
  <c r="IX164" i="14"/>
  <c r="IW164" i="14"/>
  <c r="IV164" i="14"/>
  <c r="IU164" i="14"/>
  <c r="IT164" i="14"/>
  <c r="IS164" i="14"/>
  <c r="IR164" i="14"/>
  <c r="IQ164" i="14"/>
  <c r="IP164" i="14"/>
  <c r="IO164" i="14"/>
  <c r="IN164" i="14"/>
  <c r="IM164" i="14"/>
  <c r="IL164" i="14"/>
  <c r="IK164" i="14"/>
  <c r="IJ164" i="14"/>
  <c r="II164" i="14"/>
  <c r="IH164" i="14"/>
  <c r="IG164" i="14"/>
  <c r="IF164" i="14"/>
  <c r="IE164" i="14"/>
  <c r="ID164" i="14"/>
  <c r="IC164" i="14"/>
  <c r="IB164" i="14"/>
  <c r="IA164" i="14"/>
  <c r="HZ164" i="14"/>
  <c r="HY164" i="14"/>
  <c r="HX164" i="14"/>
  <c r="HW164" i="14"/>
  <c r="HV164" i="14"/>
  <c r="HU164" i="14"/>
  <c r="HT164" i="14"/>
  <c r="HS164" i="14"/>
  <c r="HR164" i="14"/>
  <c r="HQ164" i="14"/>
  <c r="HP164" i="14"/>
  <c r="HO164" i="14"/>
  <c r="HN164" i="14"/>
  <c r="HM164" i="14"/>
  <c r="GH164" i="14"/>
  <c r="GG164" i="14"/>
  <c r="GF164" i="14"/>
  <c r="GE164" i="14"/>
  <c r="GD164" i="14"/>
  <c r="GC164" i="14"/>
  <c r="GB164" i="14"/>
  <c r="GA164" i="14"/>
  <c r="FZ164" i="14"/>
  <c r="FY164" i="14"/>
  <c r="FX164" i="14"/>
  <c r="FW164" i="14"/>
  <c r="FV164" i="14"/>
  <c r="FU164" i="14"/>
  <c r="FT164" i="14"/>
  <c r="FS164" i="14"/>
  <c r="FR164" i="14"/>
  <c r="FQ164" i="14"/>
  <c r="FP164" i="14"/>
  <c r="FO164" i="14"/>
  <c r="FN164" i="14"/>
  <c r="FM164" i="14"/>
  <c r="FL164" i="14"/>
  <c r="FK164" i="14"/>
  <c r="FJ164" i="14"/>
  <c r="FI164" i="14"/>
  <c r="FH164" i="14"/>
  <c r="FG164" i="14"/>
  <c r="FF164" i="14"/>
  <c r="FE164" i="14"/>
  <c r="CV164" i="14"/>
  <c r="CU164" i="14"/>
  <c r="CT164" i="14"/>
  <c r="CS164" i="14"/>
  <c r="CR164" i="14"/>
  <c r="CQ164" i="14"/>
  <c r="CP164" i="14"/>
  <c r="CO164" i="14"/>
  <c r="CN164" i="14"/>
  <c r="CM164" i="14"/>
  <c r="CL164" i="14"/>
  <c r="CK164" i="14"/>
  <c r="CJ164" i="14"/>
  <c r="CI164" i="14"/>
  <c r="CH164" i="14"/>
  <c r="CG164" i="14"/>
  <c r="CF164" i="14"/>
  <c r="CE164" i="14"/>
  <c r="CD164" i="14"/>
  <c r="CC164" i="14"/>
  <c r="CB164" i="14"/>
  <c r="CA164" i="14"/>
  <c r="BZ164" i="14"/>
  <c r="BY164" i="14"/>
  <c r="BX164" i="14"/>
  <c r="BW164" i="14"/>
  <c r="BV164" i="14"/>
  <c r="BU164" i="14"/>
  <c r="BT164" i="14"/>
  <c r="BS164" i="14"/>
  <c r="BR164" i="14" a="1"/>
  <c r="BR164" i="14" s="1"/>
  <c r="BQ164" i="14" a="1"/>
  <c r="BQ164" i="14" s="1"/>
  <c r="BP164" i="14" a="1"/>
  <c r="BP164" i="14" s="1"/>
  <c r="BO164" i="14" a="1"/>
  <c r="BO164" i="14" s="1"/>
  <c r="BN164" i="14" a="1"/>
  <c r="BN164" i="14" s="1"/>
  <c r="BM164" i="14" a="1"/>
  <c r="BM164" i="14" s="1"/>
  <c r="BL164" i="14" a="1"/>
  <c r="BL164" i="14" s="1"/>
  <c r="BK164" i="14" a="1"/>
  <c r="BK164" i="14" s="1"/>
  <c r="BJ164" i="14" a="1"/>
  <c r="BJ164" i="14" s="1"/>
  <c r="BI164" i="14" a="1"/>
  <c r="BI164" i="14" s="1"/>
  <c r="BH164" i="14" a="1"/>
  <c r="BH164" i="14" s="1"/>
  <c r="BG164" i="14" a="1"/>
  <c r="BG164" i="14" s="1"/>
  <c r="BF164" i="14" a="1"/>
  <c r="BF164" i="14" s="1"/>
  <c r="BE164" i="14" a="1"/>
  <c r="BE164" i="14" s="1"/>
  <c r="BD164" i="14" a="1"/>
  <c r="BD164" i="14" s="1"/>
  <c r="BC164" i="14" a="1"/>
  <c r="BC164" i="14" s="1"/>
  <c r="BB164" i="14" a="1"/>
  <c r="BB164" i="14" s="1"/>
  <c r="BA164" i="14" a="1"/>
  <c r="BA164" i="14" s="1"/>
  <c r="AZ164" i="14" a="1"/>
  <c r="AZ164" i="14" s="1"/>
  <c r="AY164" i="14" a="1"/>
  <c r="AY164" i="14" s="1"/>
  <c r="AX164" i="14" a="1"/>
  <c r="AX164" i="14" s="1"/>
  <c r="AW164" i="14" a="1"/>
  <c r="AW164" i="14" s="1"/>
  <c r="AV164" i="14" a="1"/>
  <c r="AV164" i="14" s="1"/>
  <c r="AU164" i="14" a="1"/>
  <c r="AU164" i="14" s="1"/>
  <c r="AT164" i="14" a="1"/>
  <c r="AT164" i="14" s="1"/>
  <c r="AS164" i="14" a="1"/>
  <c r="AS164" i="14" s="1"/>
  <c r="AR164" i="14" a="1"/>
  <c r="AR164" i="14" s="1"/>
  <c r="AQ164" i="14" a="1"/>
  <c r="AQ164" i="14" s="1"/>
  <c r="AP164" i="14" a="1"/>
  <c r="AP164" i="14" s="1"/>
  <c r="AO164" i="14" a="1"/>
  <c r="AO164" i="14" s="1"/>
  <c r="AN164" i="14"/>
  <c r="AM164" i="14"/>
  <c r="AL164" i="14"/>
  <c r="AK164" i="14"/>
  <c r="AJ164" i="14"/>
  <c r="AI164" i="14"/>
  <c r="EX164" i="14" s="1"/>
  <c r="AH164" i="14"/>
  <c r="JT163" i="14"/>
  <c r="JS163" i="14"/>
  <c r="JR163" i="14"/>
  <c r="JQ163" i="14"/>
  <c r="JP163" i="14"/>
  <c r="JO163" i="14"/>
  <c r="JN163" i="14"/>
  <c r="JM163" i="14"/>
  <c r="JL163" i="14"/>
  <c r="JK163" i="14"/>
  <c r="JJ163" i="14"/>
  <c r="JI163" i="14"/>
  <c r="JH163" i="14"/>
  <c r="JG163" i="14"/>
  <c r="JF163" i="14"/>
  <c r="JE163" i="14"/>
  <c r="JD163" i="14"/>
  <c r="JC163" i="14"/>
  <c r="JB163" i="14"/>
  <c r="JA163" i="14"/>
  <c r="IZ163" i="14"/>
  <c r="IY163" i="14"/>
  <c r="IX163" i="14"/>
  <c r="IW163" i="14"/>
  <c r="IV163" i="14"/>
  <c r="IU163" i="14"/>
  <c r="IT163" i="14"/>
  <c r="IS163" i="14"/>
  <c r="IR163" i="14"/>
  <c r="IQ163" i="14"/>
  <c r="IP163" i="14"/>
  <c r="IO163" i="14"/>
  <c r="IN163" i="14"/>
  <c r="IM163" i="14"/>
  <c r="IL163" i="14"/>
  <c r="IK163" i="14"/>
  <c r="IJ163" i="14"/>
  <c r="II163" i="14"/>
  <c r="IH163" i="14"/>
  <c r="IG163" i="14"/>
  <c r="IF163" i="14"/>
  <c r="IE163" i="14"/>
  <c r="ID163" i="14"/>
  <c r="IC163" i="14"/>
  <c r="IB163" i="14"/>
  <c r="IA163" i="14"/>
  <c r="HZ163" i="14"/>
  <c r="HY163" i="14"/>
  <c r="HX163" i="14"/>
  <c r="HW163" i="14"/>
  <c r="HV163" i="14"/>
  <c r="HU163" i="14"/>
  <c r="HT163" i="14"/>
  <c r="HS163" i="14"/>
  <c r="HR163" i="14"/>
  <c r="HQ163" i="14"/>
  <c r="HP163" i="14"/>
  <c r="HO163" i="14"/>
  <c r="HN163" i="14"/>
  <c r="HM163" i="14"/>
  <c r="GH163" i="14"/>
  <c r="GG163" i="14"/>
  <c r="GF163" i="14"/>
  <c r="GE163" i="14"/>
  <c r="GD163" i="14"/>
  <c r="GC163" i="14"/>
  <c r="GB163" i="14"/>
  <c r="GA163" i="14"/>
  <c r="FZ163" i="14"/>
  <c r="FY163" i="14"/>
  <c r="FX163" i="14"/>
  <c r="FW163" i="14"/>
  <c r="FV163" i="14"/>
  <c r="FU163" i="14"/>
  <c r="FT163" i="14"/>
  <c r="FS163" i="14"/>
  <c r="FR163" i="14"/>
  <c r="FQ163" i="14"/>
  <c r="FP163" i="14"/>
  <c r="FO163" i="14"/>
  <c r="FN163" i="14"/>
  <c r="FM163" i="14"/>
  <c r="FL163" i="14"/>
  <c r="FK163" i="14"/>
  <c r="FJ163" i="14"/>
  <c r="FI163" i="14"/>
  <c r="FH163" i="14"/>
  <c r="FG163" i="14"/>
  <c r="FF163" i="14"/>
  <c r="FE163" i="14"/>
  <c r="CV163" i="14"/>
  <c r="CU163" i="14"/>
  <c r="CT163" i="14"/>
  <c r="CS163" i="14"/>
  <c r="CR163" i="14"/>
  <c r="CQ163" i="14"/>
  <c r="CP163" i="14"/>
  <c r="CO163" i="14"/>
  <c r="CN163" i="14"/>
  <c r="CM163" i="14"/>
  <c r="CL163" i="14"/>
  <c r="CK163" i="14"/>
  <c r="CJ163" i="14"/>
  <c r="CI163" i="14"/>
  <c r="CH163" i="14"/>
  <c r="CG163" i="14"/>
  <c r="CF163" i="14"/>
  <c r="CE163" i="14"/>
  <c r="CD163" i="14"/>
  <c r="CC163" i="14"/>
  <c r="CB163" i="14"/>
  <c r="CA163" i="14"/>
  <c r="BZ163" i="14"/>
  <c r="BY163" i="14"/>
  <c r="BX163" i="14"/>
  <c r="BW163" i="14"/>
  <c r="BV163" i="14"/>
  <c r="BU163" i="14"/>
  <c r="BT163" i="14"/>
  <c r="BS163" i="14"/>
  <c r="BR163" i="14" a="1"/>
  <c r="BR163" i="14" s="1"/>
  <c r="BQ163" i="14" a="1"/>
  <c r="BQ163" i="14" s="1"/>
  <c r="BP163" i="14" a="1"/>
  <c r="BP163" i="14" s="1"/>
  <c r="BO163" i="14" a="1"/>
  <c r="BO163" i="14" s="1"/>
  <c r="BN163" i="14" a="1"/>
  <c r="BN163" i="14" s="1"/>
  <c r="BM163" i="14" a="1"/>
  <c r="BM163" i="14" s="1"/>
  <c r="BL163" i="14" a="1"/>
  <c r="BL163" i="14" s="1"/>
  <c r="BK163" i="14" a="1"/>
  <c r="BK163" i="14" s="1"/>
  <c r="BJ163" i="14" a="1"/>
  <c r="BJ163" i="14" s="1"/>
  <c r="BI163" i="14" a="1"/>
  <c r="BI163" i="14" s="1"/>
  <c r="BH163" i="14" a="1"/>
  <c r="BH163" i="14" s="1"/>
  <c r="BG163" i="14" a="1"/>
  <c r="BG163" i="14" s="1"/>
  <c r="BF163" i="14" a="1"/>
  <c r="BF163" i="14" s="1"/>
  <c r="BE163" i="14" a="1"/>
  <c r="BE163" i="14" s="1"/>
  <c r="BD163" i="14" a="1"/>
  <c r="BD163" i="14" s="1"/>
  <c r="BC163" i="14" a="1"/>
  <c r="BC163" i="14" s="1"/>
  <c r="BB163" i="14" a="1"/>
  <c r="BB163" i="14" s="1"/>
  <c r="BA163" i="14" a="1"/>
  <c r="BA163" i="14" s="1"/>
  <c r="AZ163" i="14" a="1"/>
  <c r="AZ163" i="14" s="1"/>
  <c r="AY163" i="14" a="1"/>
  <c r="AY163" i="14" s="1"/>
  <c r="AX163" i="14" a="1"/>
  <c r="AX163" i="14" s="1"/>
  <c r="AW163" i="14" a="1"/>
  <c r="AW163" i="14" s="1"/>
  <c r="AV163" i="14" a="1"/>
  <c r="AV163" i="14" s="1"/>
  <c r="AU163" i="14" a="1"/>
  <c r="AU163" i="14" s="1"/>
  <c r="AT163" i="14" a="1"/>
  <c r="AT163" i="14" s="1"/>
  <c r="AS163" i="14" a="1"/>
  <c r="AS163" i="14" s="1"/>
  <c r="AR163" i="14" a="1"/>
  <c r="AR163" i="14" s="1"/>
  <c r="AQ163" i="14" a="1"/>
  <c r="AQ163" i="14" s="1"/>
  <c r="AP163" i="14" a="1"/>
  <c r="AP163" i="14" s="1"/>
  <c r="AO163" i="14" a="1"/>
  <c r="AO163" i="14" s="1"/>
  <c r="AN163" i="14"/>
  <c r="AM163" i="14"/>
  <c r="AL163" i="14"/>
  <c r="AK163" i="14"/>
  <c r="AJ163" i="14"/>
  <c r="AI163" i="14"/>
  <c r="EJ163" i="14" s="1"/>
  <c r="AH163" i="14"/>
  <c r="JT162" i="14"/>
  <c r="JS162" i="14"/>
  <c r="JR162" i="14"/>
  <c r="JQ162" i="14"/>
  <c r="JP162" i="14"/>
  <c r="JO162" i="14"/>
  <c r="JN162" i="14"/>
  <c r="JM162" i="14"/>
  <c r="JL162" i="14"/>
  <c r="JK162" i="14"/>
  <c r="JJ162" i="14"/>
  <c r="JI162" i="14"/>
  <c r="JH162" i="14"/>
  <c r="JG162" i="14"/>
  <c r="JF162" i="14"/>
  <c r="JE162" i="14"/>
  <c r="JD162" i="14"/>
  <c r="JC162" i="14"/>
  <c r="JB162" i="14"/>
  <c r="JA162" i="14"/>
  <c r="IZ162" i="14"/>
  <c r="IY162" i="14"/>
  <c r="IX162" i="14"/>
  <c r="IW162" i="14"/>
  <c r="IV162" i="14"/>
  <c r="IU162" i="14"/>
  <c r="IT162" i="14"/>
  <c r="IS162" i="14"/>
  <c r="IR162" i="14"/>
  <c r="IQ162" i="14"/>
  <c r="IP162" i="14"/>
  <c r="IO162" i="14"/>
  <c r="IN162" i="14"/>
  <c r="IM162" i="14"/>
  <c r="IL162" i="14"/>
  <c r="IK162" i="14"/>
  <c r="IJ162" i="14"/>
  <c r="II162" i="14"/>
  <c r="IH162" i="14"/>
  <c r="IG162" i="14"/>
  <c r="IF162" i="14"/>
  <c r="IE162" i="14"/>
  <c r="ID162" i="14"/>
  <c r="IC162" i="14"/>
  <c r="IB162" i="14"/>
  <c r="IA162" i="14"/>
  <c r="HZ162" i="14"/>
  <c r="HY162" i="14"/>
  <c r="HX162" i="14"/>
  <c r="HW162" i="14"/>
  <c r="HV162" i="14"/>
  <c r="HU162" i="14"/>
  <c r="HT162" i="14"/>
  <c r="HS162" i="14"/>
  <c r="HR162" i="14"/>
  <c r="HQ162" i="14"/>
  <c r="HP162" i="14"/>
  <c r="HO162" i="14"/>
  <c r="HN162" i="14"/>
  <c r="HM162" i="14"/>
  <c r="GH162" i="14"/>
  <c r="GG162" i="14"/>
  <c r="GF162" i="14"/>
  <c r="GE162" i="14"/>
  <c r="GD162" i="14"/>
  <c r="GC162" i="14"/>
  <c r="GB162" i="14"/>
  <c r="GA162" i="14"/>
  <c r="FZ162" i="14"/>
  <c r="FY162" i="14"/>
  <c r="FX162" i="14"/>
  <c r="FW162" i="14"/>
  <c r="FV162" i="14"/>
  <c r="FU162" i="14"/>
  <c r="FT162" i="14"/>
  <c r="FS162" i="14"/>
  <c r="FR162" i="14"/>
  <c r="FQ162" i="14"/>
  <c r="FP162" i="14"/>
  <c r="FO162" i="14"/>
  <c r="FN162" i="14"/>
  <c r="FM162" i="14"/>
  <c r="FL162" i="14"/>
  <c r="FK162" i="14"/>
  <c r="FJ162" i="14"/>
  <c r="FI162" i="14"/>
  <c r="FH162" i="14"/>
  <c r="FG162" i="14"/>
  <c r="FF162" i="14"/>
  <c r="FE162" i="14"/>
  <c r="CV162" i="14"/>
  <c r="CU162" i="14"/>
  <c r="CT162" i="14"/>
  <c r="CS162" i="14"/>
  <c r="CR162" i="14"/>
  <c r="CQ162" i="14"/>
  <c r="CP162" i="14"/>
  <c r="CO162" i="14"/>
  <c r="CN162" i="14"/>
  <c r="CM162" i="14"/>
  <c r="CL162" i="14"/>
  <c r="CK162" i="14"/>
  <c r="CJ162" i="14"/>
  <c r="CI162" i="14"/>
  <c r="CH162" i="14"/>
  <c r="CG162" i="14"/>
  <c r="CF162" i="14"/>
  <c r="CE162" i="14"/>
  <c r="CD162" i="14"/>
  <c r="CC162" i="14"/>
  <c r="CB162" i="14"/>
  <c r="CA162" i="14"/>
  <c r="BZ162" i="14"/>
  <c r="BY162" i="14"/>
  <c r="BX162" i="14"/>
  <c r="BW162" i="14"/>
  <c r="BV162" i="14"/>
  <c r="BU162" i="14"/>
  <c r="BT162" i="14"/>
  <c r="BS162" i="14"/>
  <c r="BR162" i="14" a="1"/>
  <c r="BR162" i="14" s="1"/>
  <c r="BQ162" i="14" a="1"/>
  <c r="BQ162" i="14" s="1"/>
  <c r="BP162" i="14" a="1"/>
  <c r="BP162" i="14" s="1"/>
  <c r="BO162" i="14" a="1"/>
  <c r="BO162" i="14" s="1"/>
  <c r="BN162" i="14" a="1"/>
  <c r="BN162" i="14" s="1"/>
  <c r="BM162" i="14" a="1"/>
  <c r="BM162" i="14" s="1"/>
  <c r="BL162" i="14" a="1"/>
  <c r="BL162" i="14" s="1"/>
  <c r="BK162" i="14" a="1"/>
  <c r="BK162" i="14" s="1"/>
  <c r="BJ162" i="14" a="1"/>
  <c r="BJ162" i="14" s="1"/>
  <c r="BI162" i="14" a="1"/>
  <c r="BI162" i="14" s="1"/>
  <c r="BH162" i="14" a="1"/>
  <c r="BH162" i="14" s="1"/>
  <c r="BG162" i="14" a="1"/>
  <c r="BG162" i="14" s="1"/>
  <c r="BF162" i="14" a="1"/>
  <c r="BF162" i="14" s="1"/>
  <c r="BE162" i="14" a="1"/>
  <c r="BE162" i="14" s="1"/>
  <c r="BD162" i="14" a="1"/>
  <c r="BD162" i="14" s="1"/>
  <c r="BC162" i="14" a="1"/>
  <c r="BC162" i="14" s="1"/>
  <c r="BB162" i="14" a="1"/>
  <c r="BB162" i="14" s="1"/>
  <c r="BA162" i="14" a="1"/>
  <c r="BA162" i="14" s="1"/>
  <c r="AZ162" i="14" a="1"/>
  <c r="AZ162" i="14" s="1"/>
  <c r="AY162" i="14" a="1"/>
  <c r="AY162" i="14" s="1"/>
  <c r="AX162" i="14" a="1"/>
  <c r="AX162" i="14" s="1"/>
  <c r="AW162" i="14" a="1"/>
  <c r="AW162" i="14" s="1"/>
  <c r="AV162" i="14" a="1"/>
  <c r="AV162" i="14" s="1"/>
  <c r="AU162" i="14" a="1"/>
  <c r="AU162" i="14" s="1"/>
  <c r="AT162" i="14" a="1"/>
  <c r="AT162" i="14" s="1"/>
  <c r="AS162" i="14" a="1"/>
  <c r="AS162" i="14" s="1"/>
  <c r="AR162" i="14" a="1"/>
  <c r="AR162" i="14" s="1"/>
  <c r="AQ162" i="14" a="1"/>
  <c r="AQ162" i="14" s="1"/>
  <c r="AP162" i="14" a="1"/>
  <c r="AP162" i="14" s="1"/>
  <c r="AO162" i="14" a="1"/>
  <c r="AO162" i="14" s="1"/>
  <c r="AN162" i="14"/>
  <c r="AM162" i="14"/>
  <c r="AL162" i="14"/>
  <c r="AK162" i="14"/>
  <c r="AJ162" i="14"/>
  <c r="AI162" i="14"/>
  <c r="EE162" i="14" s="1"/>
  <c r="AH162" i="14"/>
  <c r="JT161" i="14"/>
  <c r="JS161" i="14"/>
  <c r="JR161" i="14"/>
  <c r="JQ161" i="14"/>
  <c r="JP161" i="14"/>
  <c r="JO161" i="14"/>
  <c r="JN161" i="14"/>
  <c r="JM161" i="14"/>
  <c r="JL161" i="14"/>
  <c r="JK161" i="14"/>
  <c r="JJ161" i="14"/>
  <c r="JI161" i="14"/>
  <c r="JH161" i="14"/>
  <c r="JG161" i="14"/>
  <c r="JF161" i="14"/>
  <c r="JE161" i="14"/>
  <c r="JD161" i="14"/>
  <c r="JC161" i="14"/>
  <c r="JB161" i="14"/>
  <c r="JA161" i="14"/>
  <c r="IZ161" i="14"/>
  <c r="IY161" i="14"/>
  <c r="IX161" i="14"/>
  <c r="IW161" i="14"/>
  <c r="IV161" i="14"/>
  <c r="IU161" i="14"/>
  <c r="IT161" i="14"/>
  <c r="IS161" i="14"/>
  <c r="IR161" i="14"/>
  <c r="IQ161" i="14"/>
  <c r="IP161" i="14"/>
  <c r="IO161" i="14"/>
  <c r="IN161" i="14"/>
  <c r="IM161" i="14"/>
  <c r="IL161" i="14"/>
  <c r="IK161" i="14"/>
  <c r="IJ161" i="14"/>
  <c r="II161" i="14"/>
  <c r="IH161" i="14"/>
  <c r="IG161" i="14"/>
  <c r="IF161" i="14"/>
  <c r="IE161" i="14"/>
  <c r="ID161" i="14"/>
  <c r="IC161" i="14"/>
  <c r="IB161" i="14"/>
  <c r="IA161" i="14"/>
  <c r="HZ161" i="14"/>
  <c r="HY161" i="14"/>
  <c r="HX161" i="14"/>
  <c r="HW161" i="14"/>
  <c r="HV161" i="14"/>
  <c r="HU161" i="14"/>
  <c r="HT161" i="14"/>
  <c r="HS161" i="14"/>
  <c r="HR161" i="14"/>
  <c r="HQ161" i="14"/>
  <c r="HP161" i="14"/>
  <c r="HO161" i="14"/>
  <c r="HN161" i="14"/>
  <c r="HM161" i="14"/>
  <c r="GH161" i="14"/>
  <c r="GG161" i="14"/>
  <c r="GF161" i="14"/>
  <c r="GE161" i="14"/>
  <c r="GD161" i="14"/>
  <c r="GC161" i="14"/>
  <c r="GB161" i="14"/>
  <c r="GA161" i="14"/>
  <c r="FZ161" i="14"/>
  <c r="FY161" i="14"/>
  <c r="FX161" i="14"/>
  <c r="FW161" i="14"/>
  <c r="FV161" i="14"/>
  <c r="FU161" i="14"/>
  <c r="FT161" i="14"/>
  <c r="FS161" i="14"/>
  <c r="FR161" i="14"/>
  <c r="FQ161" i="14"/>
  <c r="FP161" i="14"/>
  <c r="FO161" i="14"/>
  <c r="FN161" i="14"/>
  <c r="FM161" i="14"/>
  <c r="FL161" i="14"/>
  <c r="FK161" i="14"/>
  <c r="FJ161" i="14"/>
  <c r="FI161" i="14"/>
  <c r="FH161" i="14"/>
  <c r="FG161" i="14"/>
  <c r="FF161" i="14"/>
  <c r="FE161" i="14"/>
  <c r="CV161" i="14"/>
  <c r="CU161" i="14"/>
  <c r="CT161" i="14"/>
  <c r="CS161" i="14"/>
  <c r="CR161" i="14"/>
  <c r="CQ161" i="14"/>
  <c r="CP161" i="14"/>
  <c r="CO161" i="14"/>
  <c r="CN161" i="14"/>
  <c r="CM161" i="14"/>
  <c r="CL161" i="14"/>
  <c r="CK161" i="14"/>
  <c r="CJ161" i="14"/>
  <c r="CI161" i="14"/>
  <c r="CH161" i="14"/>
  <c r="CG161" i="14"/>
  <c r="CF161" i="14"/>
  <c r="CE161" i="14"/>
  <c r="CD161" i="14"/>
  <c r="CC161" i="14"/>
  <c r="CB161" i="14"/>
  <c r="CA161" i="14"/>
  <c r="BZ161" i="14"/>
  <c r="BY161" i="14"/>
  <c r="BX161" i="14"/>
  <c r="BW161" i="14"/>
  <c r="BV161" i="14"/>
  <c r="BU161" i="14"/>
  <c r="BT161" i="14"/>
  <c r="BS161" i="14"/>
  <c r="BR161" i="14" a="1"/>
  <c r="BR161" i="14" s="1"/>
  <c r="BQ161" i="14" a="1"/>
  <c r="BQ161" i="14" s="1"/>
  <c r="BP161" i="14" a="1"/>
  <c r="BP161" i="14" s="1"/>
  <c r="BO161" i="14" a="1"/>
  <c r="BO161" i="14" s="1"/>
  <c r="BN161" i="14" a="1"/>
  <c r="BN161" i="14" s="1"/>
  <c r="BM161" i="14" a="1"/>
  <c r="BM161" i="14" s="1"/>
  <c r="BL161" i="14" a="1"/>
  <c r="BL161" i="14" s="1"/>
  <c r="BK161" i="14" a="1"/>
  <c r="BK161" i="14" s="1"/>
  <c r="BJ161" i="14" a="1"/>
  <c r="BJ161" i="14" s="1"/>
  <c r="BI161" i="14" a="1"/>
  <c r="BI161" i="14" s="1"/>
  <c r="BH161" i="14" a="1"/>
  <c r="BH161" i="14" s="1"/>
  <c r="BG161" i="14" a="1"/>
  <c r="BG161" i="14" s="1"/>
  <c r="BF161" i="14" a="1"/>
  <c r="BF161" i="14" s="1"/>
  <c r="BE161" i="14" a="1"/>
  <c r="BE161" i="14" s="1"/>
  <c r="BD161" i="14" a="1"/>
  <c r="BD161" i="14" s="1"/>
  <c r="BC161" i="14" a="1"/>
  <c r="BC161" i="14" s="1"/>
  <c r="BB161" i="14" a="1"/>
  <c r="BB161" i="14" s="1"/>
  <c r="BA161" i="14" a="1"/>
  <c r="BA161" i="14" s="1"/>
  <c r="AZ161" i="14" a="1"/>
  <c r="AZ161" i="14" s="1"/>
  <c r="AY161" i="14" a="1"/>
  <c r="AY161" i="14" s="1"/>
  <c r="AX161" i="14" a="1"/>
  <c r="AX161" i="14" s="1"/>
  <c r="AW161" i="14" a="1"/>
  <c r="AW161" i="14" s="1"/>
  <c r="AV161" i="14" a="1"/>
  <c r="AV161" i="14" s="1"/>
  <c r="AU161" i="14" a="1"/>
  <c r="AU161" i="14" s="1"/>
  <c r="AT161" i="14" a="1"/>
  <c r="AT161" i="14" s="1"/>
  <c r="AS161" i="14" a="1"/>
  <c r="AS161" i="14" s="1"/>
  <c r="AR161" i="14" a="1"/>
  <c r="AR161" i="14" s="1"/>
  <c r="AQ161" i="14" a="1"/>
  <c r="AQ161" i="14" s="1"/>
  <c r="AP161" i="14" a="1"/>
  <c r="AP161" i="14" s="1"/>
  <c r="AO161" i="14" a="1"/>
  <c r="AO161" i="14" s="1"/>
  <c r="AN161" i="14"/>
  <c r="AM161" i="14"/>
  <c r="AL161" i="14"/>
  <c r="AK161" i="14"/>
  <c r="AJ161" i="14"/>
  <c r="AI161" i="14"/>
  <c r="ES161" i="14" s="1"/>
  <c r="AH161" i="14"/>
  <c r="JT160" i="14"/>
  <c r="JS160" i="14"/>
  <c r="JR160" i="14"/>
  <c r="JQ160" i="14"/>
  <c r="JP160" i="14"/>
  <c r="JO160" i="14"/>
  <c r="JN160" i="14"/>
  <c r="JM160" i="14"/>
  <c r="JL160" i="14"/>
  <c r="JK160" i="14"/>
  <c r="JJ160" i="14"/>
  <c r="JI160" i="14"/>
  <c r="JH160" i="14"/>
  <c r="JG160" i="14"/>
  <c r="JF160" i="14"/>
  <c r="JE160" i="14"/>
  <c r="JD160" i="14"/>
  <c r="JC160" i="14"/>
  <c r="JB160" i="14"/>
  <c r="JA160" i="14"/>
  <c r="IZ160" i="14"/>
  <c r="IY160" i="14"/>
  <c r="IX160" i="14"/>
  <c r="IW160" i="14"/>
  <c r="IV160" i="14"/>
  <c r="IU160" i="14"/>
  <c r="IT160" i="14"/>
  <c r="IS160" i="14"/>
  <c r="IR160" i="14"/>
  <c r="IQ160" i="14"/>
  <c r="IP160" i="14"/>
  <c r="IO160" i="14"/>
  <c r="IN160" i="14"/>
  <c r="IM160" i="14"/>
  <c r="IL160" i="14"/>
  <c r="IK160" i="14"/>
  <c r="IJ160" i="14"/>
  <c r="II160" i="14"/>
  <c r="IH160" i="14"/>
  <c r="IG160" i="14"/>
  <c r="IF160" i="14"/>
  <c r="IE160" i="14"/>
  <c r="ID160" i="14"/>
  <c r="IC160" i="14"/>
  <c r="IB160" i="14"/>
  <c r="IA160" i="14"/>
  <c r="HZ160" i="14"/>
  <c r="HY160" i="14"/>
  <c r="HX160" i="14"/>
  <c r="HW160" i="14"/>
  <c r="HV160" i="14"/>
  <c r="HU160" i="14"/>
  <c r="HT160" i="14"/>
  <c r="HS160" i="14"/>
  <c r="HR160" i="14"/>
  <c r="HQ160" i="14"/>
  <c r="HP160" i="14"/>
  <c r="HO160" i="14"/>
  <c r="HN160" i="14"/>
  <c r="HM160" i="14"/>
  <c r="GH160" i="14"/>
  <c r="GG160" i="14"/>
  <c r="GF160" i="14"/>
  <c r="GE160" i="14"/>
  <c r="GD160" i="14"/>
  <c r="GC160" i="14"/>
  <c r="GB160" i="14"/>
  <c r="GA160" i="14"/>
  <c r="FZ160" i="14"/>
  <c r="FY160" i="14"/>
  <c r="FX160" i="14"/>
  <c r="FW160" i="14"/>
  <c r="FV160" i="14"/>
  <c r="FU160" i="14"/>
  <c r="FT160" i="14"/>
  <c r="FS160" i="14"/>
  <c r="FR160" i="14"/>
  <c r="FQ160" i="14"/>
  <c r="FP160" i="14"/>
  <c r="FO160" i="14"/>
  <c r="FN160" i="14"/>
  <c r="FM160" i="14"/>
  <c r="FL160" i="14"/>
  <c r="FK160" i="14"/>
  <c r="FJ160" i="14"/>
  <c r="FI160" i="14"/>
  <c r="FH160" i="14"/>
  <c r="FG160" i="14"/>
  <c r="FF160" i="14"/>
  <c r="FE160" i="14"/>
  <c r="CV160" i="14"/>
  <c r="CU160" i="14"/>
  <c r="CT160" i="14"/>
  <c r="CS160" i="14"/>
  <c r="CR160" i="14"/>
  <c r="CQ160" i="14"/>
  <c r="CP160" i="14"/>
  <c r="CO160" i="14"/>
  <c r="CN160" i="14"/>
  <c r="CM160" i="14"/>
  <c r="CL160" i="14"/>
  <c r="CK160" i="14"/>
  <c r="CJ160" i="14"/>
  <c r="CI160" i="14"/>
  <c r="CH160" i="14"/>
  <c r="CG160" i="14"/>
  <c r="CF160" i="14"/>
  <c r="CE160" i="14"/>
  <c r="CD160" i="14"/>
  <c r="CC160" i="14"/>
  <c r="CB160" i="14"/>
  <c r="CA160" i="14"/>
  <c r="BZ160" i="14"/>
  <c r="BY160" i="14"/>
  <c r="BX160" i="14"/>
  <c r="BW160" i="14"/>
  <c r="BV160" i="14"/>
  <c r="BU160" i="14"/>
  <c r="BT160" i="14"/>
  <c r="BS160" i="14"/>
  <c r="BR160" i="14" a="1"/>
  <c r="BR160" i="14" s="1"/>
  <c r="BQ160" i="14" a="1"/>
  <c r="BQ160" i="14" s="1"/>
  <c r="BP160" i="14" a="1"/>
  <c r="BP160" i="14" s="1"/>
  <c r="BO160" i="14" a="1"/>
  <c r="BO160" i="14" s="1"/>
  <c r="BN160" i="14" a="1"/>
  <c r="BN160" i="14" s="1"/>
  <c r="BM160" i="14" a="1"/>
  <c r="BM160" i="14" s="1"/>
  <c r="BL160" i="14" a="1"/>
  <c r="BL160" i="14" s="1"/>
  <c r="BK160" i="14" a="1"/>
  <c r="BK160" i="14" s="1"/>
  <c r="BJ160" i="14" a="1"/>
  <c r="BJ160" i="14" s="1"/>
  <c r="BI160" i="14" a="1"/>
  <c r="BI160" i="14" s="1"/>
  <c r="BH160" i="14" a="1"/>
  <c r="BH160" i="14" s="1"/>
  <c r="BG160" i="14" a="1"/>
  <c r="BG160" i="14" s="1"/>
  <c r="BF160" i="14" a="1"/>
  <c r="BF160" i="14" s="1"/>
  <c r="BE160" i="14" a="1"/>
  <c r="BE160" i="14" s="1"/>
  <c r="BD160" i="14" a="1"/>
  <c r="BD160" i="14" s="1"/>
  <c r="BC160" i="14" a="1"/>
  <c r="BC160" i="14" s="1"/>
  <c r="BB160" i="14" a="1"/>
  <c r="BB160" i="14" s="1"/>
  <c r="BA160" i="14" a="1"/>
  <c r="BA160" i="14" s="1"/>
  <c r="AZ160" i="14" a="1"/>
  <c r="AZ160" i="14" s="1"/>
  <c r="AY160" i="14" a="1"/>
  <c r="AY160" i="14" s="1"/>
  <c r="AX160" i="14" a="1"/>
  <c r="AX160" i="14" s="1"/>
  <c r="AW160" i="14" a="1"/>
  <c r="AW160" i="14" s="1"/>
  <c r="AV160" i="14" a="1"/>
  <c r="AV160" i="14" s="1"/>
  <c r="AU160" i="14" a="1"/>
  <c r="AU160" i="14" s="1"/>
  <c r="AT160" i="14" a="1"/>
  <c r="AT160" i="14" s="1"/>
  <c r="AS160" i="14" a="1"/>
  <c r="AS160" i="14" s="1"/>
  <c r="AR160" i="14" a="1"/>
  <c r="AR160" i="14" s="1"/>
  <c r="AQ160" i="14" a="1"/>
  <c r="AQ160" i="14" s="1"/>
  <c r="AP160" i="14" a="1"/>
  <c r="AP160" i="14" s="1"/>
  <c r="AO160" i="14" a="1"/>
  <c r="AO160" i="14" s="1"/>
  <c r="AN160" i="14"/>
  <c r="AM160" i="14"/>
  <c r="AL160" i="14"/>
  <c r="AK160" i="14"/>
  <c r="AJ160" i="14"/>
  <c r="AI160" i="14"/>
  <c r="EK160" i="14" s="1"/>
  <c r="AH160" i="14"/>
  <c r="JT159" i="14"/>
  <c r="JS159" i="14"/>
  <c r="JR159" i="14"/>
  <c r="JQ159" i="14"/>
  <c r="JP159" i="14"/>
  <c r="JO159" i="14"/>
  <c r="JN159" i="14"/>
  <c r="JM159" i="14"/>
  <c r="JL159" i="14"/>
  <c r="JK159" i="14"/>
  <c r="JJ159" i="14"/>
  <c r="JI159" i="14"/>
  <c r="JH159" i="14"/>
  <c r="JG159" i="14"/>
  <c r="JF159" i="14"/>
  <c r="JE159" i="14"/>
  <c r="JD159" i="14"/>
  <c r="JC159" i="14"/>
  <c r="JB159" i="14"/>
  <c r="JA159" i="14"/>
  <c r="IZ159" i="14"/>
  <c r="IY159" i="14"/>
  <c r="IX159" i="14"/>
  <c r="IW159" i="14"/>
  <c r="IV159" i="14"/>
  <c r="IU159" i="14"/>
  <c r="IT159" i="14"/>
  <c r="IS159" i="14"/>
  <c r="IR159" i="14"/>
  <c r="IQ159" i="14"/>
  <c r="IP159" i="14"/>
  <c r="IO159" i="14"/>
  <c r="IN159" i="14"/>
  <c r="IM159" i="14"/>
  <c r="IL159" i="14"/>
  <c r="IK159" i="14"/>
  <c r="IJ159" i="14"/>
  <c r="II159" i="14"/>
  <c r="IH159" i="14"/>
  <c r="IG159" i="14"/>
  <c r="IF159" i="14"/>
  <c r="IE159" i="14"/>
  <c r="ID159" i="14"/>
  <c r="IC159" i="14"/>
  <c r="IB159" i="14"/>
  <c r="IA159" i="14"/>
  <c r="HZ159" i="14"/>
  <c r="HY159" i="14"/>
  <c r="HX159" i="14"/>
  <c r="HW159" i="14"/>
  <c r="HV159" i="14"/>
  <c r="HU159" i="14"/>
  <c r="HT159" i="14"/>
  <c r="HS159" i="14"/>
  <c r="HR159" i="14"/>
  <c r="HQ159" i="14"/>
  <c r="HP159" i="14"/>
  <c r="HO159" i="14"/>
  <c r="HN159" i="14"/>
  <c r="HM159" i="14"/>
  <c r="GH159" i="14"/>
  <c r="GG159" i="14"/>
  <c r="GF159" i="14"/>
  <c r="GE159" i="14"/>
  <c r="GD159" i="14"/>
  <c r="GC159" i="14"/>
  <c r="GB159" i="14"/>
  <c r="GA159" i="14"/>
  <c r="FZ159" i="14"/>
  <c r="FY159" i="14"/>
  <c r="FX159" i="14"/>
  <c r="FW159" i="14"/>
  <c r="FV159" i="14"/>
  <c r="FU159" i="14"/>
  <c r="FT159" i="14"/>
  <c r="FS159" i="14"/>
  <c r="FR159" i="14"/>
  <c r="FQ159" i="14"/>
  <c r="FP159" i="14"/>
  <c r="FO159" i="14"/>
  <c r="FN159" i="14"/>
  <c r="FM159" i="14"/>
  <c r="FL159" i="14"/>
  <c r="FK159" i="14"/>
  <c r="FJ159" i="14"/>
  <c r="FI159" i="14"/>
  <c r="FH159" i="14"/>
  <c r="FG159" i="14"/>
  <c r="FF159" i="14"/>
  <c r="FE159" i="14"/>
  <c r="CV159" i="14"/>
  <c r="CU159" i="14"/>
  <c r="CT159" i="14"/>
  <c r="CS159" i="14"/>
  <c r="CR159" i="14"/>
  <c r="CQ159" i="14"/>
  <c r="CP159" i="14"/>
  <c r="CO159" i="14"/>
  <c r="CN159" i="14"/>
  <c r="CM159" i="14"/>
  <c r="CL159" i="14"/>
  <c r="CK159" i="14"/>
  <c r="CJ159" i="14"/>
  <c r="CI159" i="14"/>
  <c r="CH159" i="14"/>
  <c r="CG159" i="14"/>
  <c r="CF159" i="14"/>
  <c r="CE159" i="14"/>
  <c r="CD159" i="14"/>
  <c r="CC159" i="14"/>
  <c r="CB159" i="14"/>
  <c r="CA159" i="14"/>
  <c r="BZ159" i="14"/>
  <c r="BY159" i="14"/>
  <c r="BX159" i="14"/>
  <c r="BW159" i="14"/>
  <c r="BV159" i="14"/>
  <c r="BU159" i="14"/>
  <c r="BT159" i="14"/>
  <c r="BS159" i="14"/>
  <c r="BR159" i="14" a="1"/>
  <c r="BR159" i="14" s="1"/>
  <c r="BQ159" i="14" a="1"/>
  <c r="BQ159" i="14" s="1"/>
  <c r="BP159" i="14" a="1"/>
  <c r="BP159" i="14" s="1"/>
  <c r="BO159" i="14" a="1"/>
  <c r="BO159" i="14" s="1"/>
  <c r="BN159" i="14" a="1"/>
  <c r="BN159" i="14" s="1"/>
  <c r="BM159" i="14" a="1"/>
  <c r="BM159" i="14" s="1"/>
  <c r="BL159" i="14" a="1"/>
  <c r="BL159" i="14" s="1"/>
  <c r="BK159" i="14" a="1"/>
  <c r="BK159" i="14" s="1"/>
  <c r="BJ159" i="14" a="1"/>
  <c r="BJ159" i="14" s="1"/>
  <c r="BI159" i="14" a="1"/>
  <c r="BI159" i="14" s="1"/>
  <c r="BH159" i="14" a="1"/>
  <c r="BH159" i="14" s="1"/>
  <c r="BG159" i="14" a="1"/>
  <c r="BG159" i="14" s="1"/>
  <c r="BF159" i="14" a="1"/>
  <c r="BF159" i="14" s="1"/>
  <c r="BE159" i="14" a="1"/>
  <c r="BE159" i="14" s="1"/>
  <c r="BD159" i="14" a="1"/>
  <c r="BD159" i="14" s="1"/>
  <c r="BC159" i="14" a="1"/>
  <c r="BC159" i="14" s="1"/>
  <c r="BB159" i="14" a="1"/>
  <c r="BB159" i="14" s="1"/>
  <c r="BA159" i="14" a="1"/>
  <c r="BA159" i="14" s="1"/>
  <c r="AZ159" i="14" a="1"/>
  <c r="AZ159" i="14" s="1"/>
  <c r="AY159" i="14" a="1"/>
  <c r="AY159" i="14" s="1"/>
  <c r="AX159" i="14" a="1"/>
  <c r="AX159" i="14" s="1"/>
  <c r="AW159" i="14" a="1"/>
  <c r="AW159" i="14" s="1"/>
  <c r="AV159" i="14" a="1"/>
  <c r="AV159" i="14" s="1"/>
  <c r="AU159" i="14" a="1"/>
  <c r="AU159" i="14" s="1"/>
  <c r="AT159" i="14" a="1"/>
  <c r="AT159" i="14" s="1"/>
  <c r="AS159" i="14" a="1"/>
  <c r="AS159" i="14" s="1"/>
  <c r="AR159" i="14" a="1"/>
  <c r="AR159" i="14" s="1"/>
  <c r="AQ159" i="14" a="1"/>
  <c r="AQ159" i="14" s="1"/>
  <c r="AP159" i="14" a="1"/>
  <c r="AP159" i="14" s="1"/>
  <c r="AO159" i="14" a="1"/>
  <c r="AO159" i="14" s="1"/>
  <c r="AN159" i="14"/>
  <c r="AM159" i="14"/>
  <c r="AL159" i="14"/>
  <c r="AK159" i="14"/>
  <c r="AJ159" i="14"/>
  <c r="AI159" i="14"/>
  <c r="EX159" i="14" s="1"/>
  <c r="AH159" i="14"/>
  <c r="JT158" i="14"/>
  <c r="JS158" i="14"/>
  <c r="JR158" i="14"/>
  <c r="JQ158" i="14"/>
  <c r="JP158" i="14"/>
  <c r="JO158" i="14"/>
  <c r="JN158" i="14"/>
  <c r="JM158" i="14"/>
  <c r="JL158" i="14"/>
  <c r="JK158" i="14"/>
  <c r="JJ158" i="14"/>
  <c r="JI158" i="14"/>
  <c r="JH158" i="14"/>
  <c r="JG158" i="14"/>
  <c r="JF158" i="14"/>
  <c r="JE158" i="14"/>
  <c r="JD158" i="14"/>
  <c r="JC158" i="14"/>
  <c r="JB158" i="14"/>
  <c r="JA158" i="14"/>
  <c r="IZ158" i="14"/>
  <c r="IY158" i="14"/>
  <c r="IX158" i="14"/>
  <c r="IW158" i="14"/>
  <c r="IV158" i="14"/>
  <c r="IU158" i="14"/>
  <c r="IT158" i="14"/>
  <c r="IS158" i="14"/>
  <c r="IR158" i="14"/>
  <c r="IQ158" i="14"/>
  <c r="IP158" i="14"/>
  <c r="IO158" i="14"/>
  <c r="IN158" i="14"/>
  <c r="IM158" i="14"/>
  <c r="IL158" i="14"/>
  <c r="IK158" i="14"/>
  <c r="IJ158" i="14"/>
  <c r="II158" i="14"/>
  <c r="IH158" i="14"/>
  <c r="IG158" i="14"/>
  <c r="IF158" i="14"/>
  <c r="IE158" i="14"/>
  <c r="ID158" i="14"/>
  <c r="IC158" i="14"/>
  <c r="IB158" i="14"/>
  <c r="IA158" i="14"/>
  <c r="HZ158" i="14"/>
  <c r="HY158" i="14"/>
  <c r="HX158" i="14"/>
  <c r="HW158" i="14"/>
  <c r="HV158" i="14"/>
  <c r="HU158" i="14"/>
  <c r="HT158" i="14"/>
  <c r="HS158" i="14"/>
  <c r="HR158" i="14"/>
  <c r="HQ158" i="14"/>
  <c r="HP158" i="14"/>
  <c r="HO158" i="14"/>
  <c r="HN158" i="14"/>
  <c r="HM158" i="14"/>
  <c r="GH158" i="14"/>
  <c r="GG158" i="14"/>
  <c r="GF158" i="14"/>
  <c r="GE158" i="14"/>
  <c r="GD158" i="14"/>
  <c r="GC158" i="14"/>
  <c r="GB158" i="14"/>
  <c r="GA158" i="14"/>
  <c r="FZ158" i="14"/>
  <c r="FY158" i="14"/>
  <c r="FX158" i="14"/>
  <c r="FW158" i="14"/>
  <c r="FV158" i="14"/>
  <c r="FU158" i="14"/>
  <c r="FT158" i="14"/>
  <c r="FS158" i="14"/>
  <c r="FR158" i="14"/>
  <c r="FQ158" i="14"/>
  <c r="FP158" i="14"/>
  <c r="FO158" i="14"/>
  <c r="FN158" i="14"/>
  <c r="FM158" i="14"/>
  <c r="FL158" i="14"/>
  <c r="FK158" i="14"/>
  <c r="FJ158" i="14"/>
  <c r="FI158" i="14"/>
  <c r="FH158" i="14"/>
  <c r="FG158" i="14"/>
  <c r="FF158" i="14"/>
  <c r="FE158" i="14"/>
  <c r="CV158" i="14"/>
  <c r="CU158" i="14"/>
  <c r="CT158" i="14"/>
  <c r="CS158" i="14"/>
  <c r="CR158" i="14"/>
  <c r="CQ158" i="14"/>
  <c r="CP158" i="14"/>
  <c r="CO158" i="14"/>
  <c r="CN158" i="14"/>
  <c r="CM158" i="14"/>
  <c r="CL158" i="14"/>
  <c r="CK158" i="14"/>
  <c r="CJ158" i="14"/>
  <c r="CI158" i="14"/>
  <c r="CH158" i="14"/>
  <c r="CG158" i="14"/>
  <c r="CF158" i="14"/>
  <c r="CE158" i="14"/>
  <c r="CD158" i="14"/>
  <c r="CC158" i="14"/>
  <c r="CB158" i="14"/>
  <c r="CA158" i="14"/>
  <c r="BZ158" i="14"/>
  <c r="BY158" i="14"/>
  <c r="BX158" i="14"/>
  <c r="BW158" i="14"/>
  <c r="BV158" i="14"/>
  <c r="BU158" i="14"/>
  <c r="BT158" i="14"/>
  <c r="BS158" i="14"/>
  <c r="BR158" i="14" a="1"/>
  <c r="BR158" i="14" s="1"/>
  <c r="BQ158" i="14" a="1"/>
  <c r="BQ158" i="14" s="1"/>
  <c r="BP158" i="14" a="1"/>
  <c r="BP158" i="14" s="1"/>
  <c r="BO158" i="14" a="1"/>
  <c r="BO158" i="14" s="1"/>
  <c r="BN158" i="14" a="1"/>
  <c r="BN158" i="14" s="1"/>
  <c r="BM158" i="14" a="1"/>
  <c r="BM158" i="14" s="1"/>
  <c r="BL158" i="14" a="1"/>
  <c r="BL158" i="14" s="1"/>
  <c r="BK158" i="14" a="1"/>
  <c r="BK158" i="14" s="1"/>
  <c r="BJ158" i="14" a="1"/>
  <c r="BJ158" i="14" s="1"/>
  <c r="BI158" i="14" a="1"/>
  <c r="BI158" i="14" s="1"/>
  <c r="BH158" i="14" a="1"/>
  <c r="BH158" i="14" s="1"/>
  <c r="BG158" i="14" a="1"/>
  <c r="BG158" i="14" s="1"/>
  <c r="BF158" i="14" a="1"/>
  <c r="BF158" i="14" s="1"/>
  <c r="BE158" i="14" a="1"/>
  <c r="BE158" i="14" s="1"/>
  <c r="BD158" i="14" a="1"/>
  <c r="BD158" i="14" s="1"/>
  <c r="BC158" i="14" a="1"/>
  <c r="BC158" i="14" s="1"/>
  <c r="BB158" i="14" a="1"/>
  <c r="BB158" i="14" s="1"/>
  <c r="BA158" i="14" a="1"/>
  <c r="BA158" i="14" s="1"/>
  <c r="AZ158" i="14" a="1"/>
  <c r="AZ158" i="14" s="1"/>
  <c r="AY158" i="14" a="1"/>
  <c r="AY158" i="14" s="1"/>
  <c r="AX158" i="14" a="1"/>
  <c r="AX158" i="14" s="1"/>
  <c r="AW158" i="14" a="1"/>
  <c r="AW158" i="14" s="1"/>
  <c r="AV158" i="14" a="1"/>
  <c r="AV158" i="14" s="1"/>
  <c r="AU158" i="14" a="1"/>
  <c r="AU158" i="14" s="1"/>
  <c r="AT158" i="14" a="1"/>
  <c r="AT158" i="14" s="1"/>
  <c r="AS158" i="14" a="1"/>
  <c r="AS158" i="14" s="1"/>
  <c r="AR158" i="14" a="1"/>
  <c r="AR158" i="14" s="1"/>
  <c r="AQ158" i="14" a="1"/>
  <c r="AQ158" i="14" s="1"/>
  <c r="AP158" i="14" a="1"/>
  <c r="AP158" i="14" s="1"/>
  <c r="AO158" i="14" a="1"/>
  <c r="AO158" i="14" s="1"/>
  <c r="AN158" i="14"/>
  <c r="AM158" i="14"/>
  <c r="AL158" i="14"/>
  <c r="AK158" i="14"/>
  <c r="AJ158" i="14"/>
  <c r="AI158" i="14"/>
  <c r="AH158" i="14"/>
  <c r="JT157" i="14"/>
  <c r="JS157" i="14"/>
  <c r="JR157" i="14"/>
  <c r="JQ157" i="14"/>
  <c r="JP157" i="14"/>
  <c r="JO157" i="14"/>
  <c r="JN157" i="14"/>
  <c r="JM157" i="14"/>
  <c r="JL157" i="14"/>
  <c r="JK157" i="14"/>
  <c r="JJ157" i="14"/>
  <c r="JI157" i="14"/>
  <c r="JH157" i="14"/>
  <c r="JG157" i="14"/>
  <c r="JF157" i="14"/>
  <c r="JE157" i="14"/>
  <c r="JD157" i="14"/>
  <c r="JC157" i="14"/>
  <c r="JB157" i="14"/>
  <c r="JA157" i="14"/>
  <c r="IZ157" i="14"/>
  <c r="IY157" i="14"/>
  <c r="IX157" i="14"/>
  <c r="IW157" i="14"/>
  <c r="IV157" i="14"/>
  <c r="IU157" i="14"/>
  <c r="IT157" i="14"/>
  <c r="IS157" i="14"/>
  <c r="IR157" i="14"/>
  <c r="IQ157" i="14"/>
  <c r="IP157" i="14"/>
  <c r="IO157" i="14"/>
  <c r="IN157" i="14"/>
  <c r="IM157" i="14"/>
  <c r="IL157" i="14"/>
  <c r="IK157" i="14"/>
  <c r="IJ157" i="14"/>
  <c r="II157" i="14"/>
  <c r="IH157" i="14"/>
  <c r="IG157" i="14"/>
  <c r="IF157" i="14"/>
  <c r="IE157" i="14"/>
  <c r="ID157" i="14"/>
  <c r="IC157" i="14"/>
  <c r="IB157" i="14"/>
  <c r="IA157" i="14"/>
  <c r="HZ157" i="14"/>
  <c r="HY157" i="14"/>
  <c r="HX157" i="14"/>
  <c r="HW157" i="14"/>
  <c r="HV157" i="14"/>
  <c r="HU157" i="14"/>
  <c r="HT157" i="14"/>
  <c r="HS157" i="14"/>
  <c r="HR157" i="14"/>
  <c r="HQ157" i="14"/>
  <c r="HP157" i="14"/>
  <c r="HO157" i="14"/>
  <c r="HN157" i="14"/>
  <c r="HM157" i="14"/>
  <c r="GH157" i="14"/>
  <c r="GG157" i="14"/>
  <c r="GF157" i="14"/>
  <c r="GE157" i="14"/>
  <c r="GD157" i="14"/>
  <c r="GC157" i="14"/>
  <c r="GB157" i="14"/>
  <c r="GA157" i="14"/>
  <c r="FZ157" i="14"/>
  <c r="FY157" i="14"/>
  <c r="FX157" i="14"/>
  <c r="FW157" i="14"/>
  <c r="FV157" i="14"/>
  <c r="FU157" i="14"/>
  <c r="FT157" i="14"/>
  <c r="FS157" i="14"/>
  <c r="FR157" i="14"/>
  <c r="FQ157" i="14"/>
  <c r="FP157" i="14"/>
  <c r="FO157" i="14"/>
  <c r="FN157" i="14"/>
  <c r="FM157" i="14"/>
  <c r="FL157" i="14"/>
  <c r="FK157" i="14"/>
  <c r="FJ157" i="14"/>
  <c r="FI157" i="14"/>
  <c r="FH157" i="14"/>
  <c r="FG157" i="14"/>
  <c r="FF157" i="14"/>
  <c r="FE157" i="14"/>
  <c r="CV157" i="14"/>
  <c r="CU157" i="14"/>
  <c r="CT157" i="14"/>
  <c r="CS157" i="14"/>
  <c r="CR157" i="14"/>
  <c r="CQ157" i="14"/>
  <c r="CP157" i="14"/>
  <c r="CO157" i="14"/>
  <c r="CN157" i="14"/>
  <c r="CM157" i="14"/>
  <c r="CL157" i="14"/>
  <c r="CK157" i="14"/>
  <c r="CJ157" i="14"/>
  <c r="CI157" i="14"/>
  <c r="CH157" i="14"/>
  <c r="CG157" i="14"/>
  <c r="CF157" i="14"/>
  <c r="CE157" i="14"/>
  <c r="CD157" i="14"/>
  <c r="CC157" i="14"/>
  <c r="CB157" i="14"/>
  <c r="CA157" i="14"/>
  <c r="BZ157" i="14"/>
  <c r="BY157" i="14"/>
  <c r="BX157" i="14"/>
  <c r="BW157" i="14"/>
  <c r="BV157" i="14"/>
  <c r="BU157" i="14"/>
  <c r="BT157" i="14"/>
  <c r="BS157" i="14"/>
  <c r="BR157" i="14" a="1"/>
  <c r="BR157" i="14" s="1"/>
  <c r="BQ157" i="14" a="1"/>
  <c r="BQ157" i="14" s="1"/>
  <c r="BP157" i="14" a="1"/>
  <c r="BP157" i="14" s="1"/>
  <c r="BO157" i="14" a="1"/>
  <c r="BO157" i="14" s="1"/>
  <c r="BN157" i="14" a="1"/>
  <c r="BN157" i="14" s="1"/>
  <c r="BM157" i="14" a="1"/>
  <c r="BM157" i="14" s="1"/>
  <c r="BL157" i="14" a="1"/>
  <c r="BL157" i="14" s="1"/>
  <c r="BK157" i="14" a="1"/>
  <c r="BK157" i="14" s="1"/>
  <c r="BJ157" i="14" a="1"/>
  <c r="BJ157" i="14" s="1"/>
  <c r="BI157" i="14" a="1"/>
  <c r="BI157" i="14" s="1"/>
  <c r="BH157" i="14" a="1"/>
  <c r="BH157" i="14" s="1"/>
  <c r="BG157" i="14" a="1"/>
  <c r="BG157" i="14" s="1"/>
  <c r="BF157" i="14" a="1"/>
  <c r="BF157" i="14" s="1"/>
  <c r="BE157" i="14" a="1"/>
  <c r="BE157" i="14" s="1"/>
  <c r="BD157" i="14" a="1"/>
  <c r="BD157" i="14" s="1"/>
  <c r="BC157" i="14" a="1"/>
  <c r="BC157" i="14" s="1"/>
  <c r="BB157" i="14" a="1"/>
  <c r="BB157" i="14" s="1"/>
  <c r="BA157" i="14" a="1"/>
  <c r="BA157" i="14" s="1"/>
  <c r="AZ157" i="14" a="1"/>
  <c r="AZ157" i="14" s="1"/>
  <c r="AY157" i="14" a="1"/>
  <c r="AY157" i="14" s="1"/>
  <c r="AX157" i="14" a="1"/>
  <c r="AX157" i="14" s="1"/>
  <c r="AW157" i="14" a="1"/>
  <c r="AW157" i="14" s="1"/>
  <c r="AV157" i="14" a="1"/>
  <c r="AV157" i="14" s="1"/>
  <c r="AU157" i="14" a="1"/>
  <c r="AU157" i="14" s="1"/>
  <c r="AT157" i="14" a="1"/>
  <c r="AT157" i="14" s="1"/>
  <c r="AS157" i="14" a="1"/>
  <c r="AS157" i="14" s="1"/>
  <c r="AR157" i="14" a="1"/>
  <c r="AR157" i="14" s="1"/>
  <c r="AQ157" i="14" a="1"/>
  <c r="AQ157" i="14" s="1"/>
  <c r="AP157" i="14" a="1"/>
  <c r="AP157" i="14" s="1"/>
  <c r="AO157" i="14" a="1"/>
  <c r="AO157" i="14" s="1"/>
  <c r="AN157" i="14"/>
  <c r="AM157" i="14"/>
  <c r="AL157" i="14"/>
  <c r="AK157" i="14"/>
  <c r="AJ157" i="14"/>
  <c r="AI157" i="14"/>
  <c r="ET157" i="14" s="1"/>
  <c r="AH157" i="14"/>
  <c r="JT156" i="14"/>
  <c r="JS156" i="14"/>
  <c r="JR156" i="14"/>
  <c r="JQ156" i="14"/>
  <c r="JP156" i="14"/>
  <c r="JO156" i="14"/>
  <c r="JN156" i="14"/>
  <c r="JM156" i="14"/>
  <c r="JL156" i="14"/>
  <c r="JK156" i="14"/>
  <c r="JJ156" i="14"/>
  <c r="JI156" i="14"/>
  <c r="JH156" i="14"/>
  <c r="JG156" i="14"/>
  <c r="JF156" i="14"/>
  <c r="JE156" i="14"/>
  <c r="JD156" i="14"/>
  <c r="JC156" i="14"/>
  <c r="JB156" i="14"/>
  <c r="JA156" i="14"/>
  <c r="IZ156" i="14"/>
  <c r="IY156" i="14"/>
  <c r="IX156" i="14"/>
  <c r="IW156" i="14"/>
  <c r="IV156" i="14"/>
  <c r="IU156" i="14"/>
  <c r="IT156" i="14"/>
  <c r="IS156" i="14"/>
  <c r="IR156" i="14"/>
  <c r="IQ156" i="14"/>
  <c r="IP156" i="14"/>
  <c r="IO156" i="14"/>
  <c r="IN156" i="14"/>
  <c r="IM156" i="14"/>
  <c r="IL156" i="14"/>
  <c r="IK156" i="14"/>
  <c r="IJ156" i="14"/>
  <c r="II156" i="14"/>
  <c r="IH156" i="14"/>
  <c r="IG156" i="14"/>
  <c r="IF156" i="14"/>
  <c r="IE156" i="14"/>
  <c r="ID156" i="14"/>
  <c r="IC156" i="14"/>
  <c r="IB156" i="14"/>
  <c r="IA156" i="14"/>
  <c r="HZ156" i="14"/>
  <c r="HY156" i="14"/>
  <c r="HX156" i="14"/>
  <c r="HW156" i="14"/>
  <c r="HV156" i="14"/>
  <c r="HU156" i="14"/>
  <c r="HT156" i="14"/>
  <c r="HS156" i="14"/>
  <c r="HR156" i="14"/>
  <c r="HQ156" i="14"/>
  <c r="HP156" i="14"/>
  <c r="HO156" i="14"/>
  <c r="HN156" i="14"/>
  <c r="HM156" i="14"/>
  <c r="GH156" i="14"/>
  <c r="GG156" i="14"/>
  <c r="GF156" i="14"/>
  <c r="GE156" i="14"/>
  <c r="GD156" i="14"/>
  <c r="GC156" i="14"/>
  <c r="GB156" i="14"/>
  <c r="GA156" i="14"/>
  <c r="FZ156" i="14"/>
  <c r="FY156" i="14"/>
  <c r="FX156" i="14"/>
  <c r="FW156" i="14"/>
  <c r="FV156" i="14"/>
  <c r="FU156" i="14"/>
  <c r="FT156" i="14"/>
  <c r="FS156" i="14"/>
  <c r="FR156" i="14"/>
  <c r="FQ156" i="14"/>
  <c r="FP156" i="14"/>
  <c r="FO156" i="14"/>
  <c r="FN156" i="14"/>
  <c r="FM156" i="14"/>
  <c r="FL156" i="14"/>
  <c r="FK156" i="14"/>
  <c r="FJ156" i="14"/>
  <c r="FI156" i="14"/>
  <c r="FH156" i="14"/>
  <c r="FG156" i="14"/>
  <c r="FF156" i="14"/>
  <c r="FE156" i="14"/>
  <c r="CV156" i="14"/>
  <c r="CU156" i="14"/>
  <c r="CT156" i="14"/>
  <c r="CS156" i="14"/>
  <c r="CR156" i="14"/>
  <c r="CQ156" i="14"/>
  <c r="CP156" i="14"/>
  <c r="CO156" i="14"/>
  <c r="CN156" i="14"/>
  <c r="CM156" i="14"/>
  <c r="CL156" i="14"/>
  <c r="CK156" i="14"/>
  <c r="CJ156" i="14"/>
  <c r="CI156" i="14"/>
  <c r="CH156" i="14"/>
  <c r="CG156" i="14"/>
  <c r="CF156" i="14"/>
  <c r="CE156" i="14"/>
  <c r="CD156" i="14"/>
  <c r="CC156" i="14"/>
  <c r="CB156" i="14"/>
  <c r="CA156" i="14"/>
  <c r="BZ156" i="14"/>
  <c r="BY156" i="14"/>
  <c r="BX156" i="14"/>
  <c r="BW156" i="14"/>
  <c r="BV156" i="14"/>
  <c r="BU156" i="14"/>
  <c r="BT156" i="14"/>
  <c r="BS156" i="14"/>
  <c r="BR156" i="14" a="1"/>
  <c r="BR156" i="14" s="1"/>
  <c r="BQ156" i="14" a="1"/>
  <c r="BQ156" i="14" s="1"/>
  <c r="BP156" i="14" a="1"/>
  <c r="BP156" i="14" s="1"/>
  <c r="BO156" i="14" a="1"/>
  <c r="BO156" i="14" s="1"/>
  <c r="BN156" i="14" a="1"/>
  <c r="BN156" i="14" s="1"/>
  <c r="BM156" i="14" a="1"/>
  <c r="BM156" i="14" s="1"/>
  <c r="BL156" i="14" a="1"/>
  <c r="BL156" i="14" s="1"/>
  <c r="BK156" i="14" a="1"/>
  <c r="BK156" i="14" s="1"/>
  <c r="BJ156" i="14" a="1"/>
  <c r="BJ156" i="14" s="1"/>
  <c r="BI156" i="14" a="1"/>
  <c r="BI156" i="14" s="1"/>
  <c r="BH156" i="14" a="1"/>
  <c r="BH156" i="14" s="1"/>
  <c r="BG156" i="14" a="1"/>
  <c r="BG156" i="14" s="1"/>
  <c r="BF156" i="14" a="1"/>
  <c r="BF156" i="14" s="1"/>
  <c r="BE156" i="14" a="1"/>
  <c r="BE156" i="14" s="1"/>
  <c r="BD156" i="14" a="1"/>
  <c r="BD156" i="14" s="1"/>
  <c r="BC156" i="14" a="1"/>
  <c r="BC156" i="14" s="1"/>
  <c r="BB156" i="14" a="1"/>
  <c r="BB156" i="14" s="1"/>
  <c r="BA156" i="14" a="1"/>
  <c r="BA156" i="14" s="1"/>
  <c r="AZ156" i="14" a="1"/>
  <c r="AZ156" i="14" s="1"/>
  <c r="AY156" i="14" a="1"/>
  <c r="AY156" i="14" s="1"/>
  <c r="AX156" i="14" a="1"/>
  <c r="AX156" i="14" s="1"/>
  <c r="AW156" i="14" a="1"/>
  <c r="AW156" i="14" s="1"/>
  <c r="AV156" i="14" a="1"/>
  <c r="AV156" i="14" s="1"/>
  <c r="AU156" i="14" a="1"/>
  <c r="AU156" i="14" s="1"/>
  <c r="AT156" i="14" a="1"/>
  <c r="AT156" i="14" s="1"/>
  <c r="AS156" i="14" a="1"/>
  <c r="AS156" i="14" s="1"/>
  <c r="AR156" i="14" a="1"/>
  <c r="AR156" i="14" s="1"/>
  <c r="AQ156" i="14" a="1"/>
  <c r="AQ156" i="14" s="1"/>
  <c r="AP156" i="14" a="1"/>
  <c r="AP156" i="14" s="1"/>
  <c r="AO156" i="14" a="1"/>
  <c r="AO156" i="14" s="1"/>
  <c r="AN156" i="14"/>
  <c r="AM156" i="14"/>
  <c r="AL156" i="14"/>
  <c r="AK156" i="14"/>
  <c r="AJ156" i="14"/>
  <c r="AI156" i="14"/>
  <c r="EN156" i="14" s="1"/>
  <c r="AH156" i="14"/>
  <c r="JT155" i="14"/>
  <c r="JS155" i="14"/>
  <c r="JR155" i="14"/>
  <c r="JQ155" i="14"/>
  <c r="JP155" i="14"/>
  <c r="JO155" i="14"/>
  <c r="JN155" i="14"/>
  <c r="JM155" i="14"/>
  <c r="JL155" i="14"/>
  <c r="JK155" i="14"/>
  <c r="JJ155" i="14"/>
  <c r="JI155" i="14"/>
  <c r="JH155" i="14"/>
  <c r="JG155" i="14"/>
  <c r="JF155" i="14"/>
  <c r="JE155" i="14"/>
  <c r="JD155" i="14"/>
  <c r="JC155" i="14"/>
  <c r="JB155" i="14"/>
  <c r="JA155" i="14"/>
  <c r="IZ155" i="14"/>
  <c r="IY155" i="14"/>
  <c r="IX155" i="14"/>
  <c r="IW155" i="14"/>
  <c r="IV155" i="14"/>
  <c r="IU155" i="14"/>
  <c r="IT155" i="14"/>
  <c r="IS155" i="14"/>
  <c r="IR155" i="14"/>
  <c r="IQ155" i="14"/>
  <c r="IP155" i="14"/>
  <c r="IO155" i="14"/>
  <c r="IN155" i="14"/>
  <c r="IM155" i="14"/>
  <c r="IL155" i="14"/>
  <c r="IK155" i="14"/>
  <c r="IJ155" i="14"/>
  <c r="II155" i="14"/>
  <c r="IH155" i="14"/>
  <c r="IG155" i="14"/>
  <c r="IF155" i="14"/>
  <c r="IE155" i="14"/>
  <c r="ID155" i="14"/>
  <c r="IC155" i="14"/>
  <c r="IB155" i="14"/>
  <c r="IA155" i="14"/>
  <c r="HZ155" i="14"/>
  <c r="HY155" i="14"/>
  <c r="HX155" i="14"/>
  <c r="HW155" i="14"/>
  <c r="HV155" i="14"/>
  <c r="HU155" i="14"/>
  <c r="HT155" i="14"/>
  <c r="HS155" i="14"/>
  <c r="HR155" i="14"/>
  <c r="HQ155" i="14"/>
  <c r="HP155" i="14"/>
  <c r="HO155" i="14"/>
  <c r="HN155" i="14"/>
  <c r="HM155" i="14"/>
  <c r="GH155" i="14"/>
  <c r="GG155" i="14"/>
  <c r="GF155" i="14"/>
  <c r="GE155" i="14"/>
  <c r="GD155" i="14"/>
  <c r="GC155" i="14"/>
  <c r="GB155" i="14"/>
  <c r="GA155" i="14"/>
  <c r="FZ155" i="14"/>
  <c r="FY155" i="14"/>
  <c r="FX155" i="14"/>
  <c r="FW155" i="14"/>
  <c r="FV155" i="14"/>
  <c r="FU155" i="14"/>
  <c r="FT155" i="14"/>
  <c r="FS155" i="14"/>
  <c r="FR155" i="14"/>
  <c r="FQ155" i="14"/>
  <c r="FP155" i="14"/>
  <c r="FO155" i="14"/>
  <c r="FN155" i="14"/>
  <c r="FM155" i="14"/>
  <c r="FL155" i="14"/>
  <c r="FK155" i="14"/>
  <c r="FJ155" i="14"/>
  <c r="FI155" i="14"/>
  <c r="FH155" i="14"/>
  <c r="FG155" i="14"/>
  <c r="FF155" i="14"/>
  <c r="FE155" i="14"/>
  <c r="CV155" i="14"/>
  <c r="CU155" i="14"/>
  <c r="CT155" i="14"/>
  <c r="CS155" i="14"/>
  <c r="CR155" i="14"/>
  <c r="CQ155" i="14"/>
  <c r="CP155" i="14"/>
  <c r="CO155" i="14"/>
  <c r="CN155" i="14"/>
  <c r="CM155" i="14"/>
  <c r="CL155" i="14"/>
  <c r="CK155" i="14"/>
  <c r="CJ155" i="14"/>
  <c r="CI155" i="14"/>
  <c r="CH155" i="14"/>
  <c r="CG155" i="14"/>
  <c r="CF155" i="14"/>
  <c r="CE155" i="14"/>
  <c r="CD155" i="14"/>
  <c r="CC155" i="14"/>
  <c r="CB155" i="14"/>
  <c r="CA155" i="14"/>
  <c r="BZ155" i="14"/>
  <c r="BY155" i="14"/>
  <c r="BX155" i="14"/>
  <c r="BW155" i="14"/>
  <c r="BV155" i="14"/>
  <c r="BU155" i="14"/>
  <c r="BT155" i="14"/>
  <c r="BS155" i="14"/>
  <c r="BR155" i="14" a="1"/>
  <c r="BR155" i="14" s="1"/>
  <c r="BQ155" i="14" a="1"/>
  <c r="BQ155" i="14" s="1"/>
  <c r="BP155" i="14" a="1"/>
  <c r="BP155" i="14" s="1"/>
  <c r="BO155" i="14" a="1"/>
  <c r="BO155" i="14" s="1"/>
  <c r="BN155" i="14" a="1"/>
  <c r="BN155" i="14" s="1"/>
  <c r="BM155" i="14" a="1"/>
  <c r="BM155" i="14" s="1"/>
  <c r="BL155" i="14" a="1"/>
  <c r="BL155" i="14" s="1"/>
  <c r="BK155" i="14" a="1"/>
  <c r="BK155" i="14" s="1"/>
  <c r="BJ155" i="14" a="1"/>
  <c r="BJ155" i="14" s="1"/>
  <c r="BI155" i="14" a="1"/>
  <c r="BI155" i="14" s="1"/>
  <c r="BH155" i="14" a="1"/>
  <c r="BH155" i="14" s="1"/>
  <c r="BG155" i="14" a="1"/>
  <c r="BG155" i="14" s="1"/>
  <c r="BF155" i="14" a="1"/>
  <c r="BF155" i="14" s="1"/>
  <c r="BE155" i="14" a="1"/>
  <c r="BE155" i="14" s="1"/>
  <c r="BD155" i="14" a="1"/>
  <c r="BD155" i="14" s="1"/>
  <c r="BC155" i="14" a="1"/>
  <c r="BC155" i="14" s="1"/>
  <c r="BB155" i="14" a="1"/>
  <c r="BB155" i="14" s="1"/>
  <c r="BA155" i="14" a="1"/>
  <c r="BA155" i="14" s="1"/>
  <c r="AZ155" i="14" a="1"/>
  <c r="AZ155" i="14" s="1"/>
  <c r="AY155" i="14" a="1"/>
  <c r="AY155" i="14" s="1"/>
  <c r="AX155" i="14" a="1"/>
  <c r="AX155" i="14" s="1"/>
  <c r="AW155" i="14" a="1"/>
  <c r="AW155" i="14" s="1"/>
  <c r="AV155" i="14" a="1"/>
  <c r="AV155" i="14" s="1"/>
  <c r="AU155" i="14" a="1"/>
  <c r="AU155" i="14" s="1"/>
  <c r="AT155" i="14" a="1"/>
  <c r="AT155" i="14" s="1"/>
  <c r="AS155" i="14" a="1"/>
  <c r="AS155" i="14" s="1"/>
  <c r="AR155" i="14" a="1"/>
  <c r="AR155" i="14" s="1"/>
  <c r="AQ155" i="14" a="1"/>
  <c r="AQ155" i="14" s="1"/>
  <c r="AP155" i="14" a="1"/>
  <c r="AP155" i="14" s="1"/>
  <c r="AO155" i="14" a="1"/>
  <c r="AO155" i="14" s="1"/>
  <c r="AN155" i="14"/>
  <c r="AM155" i="14"/>
  <c r="AL155" i="14"/>
  <c r="AK155" i="14"/>
  <c r="AJ155" i="14"/>
  <c r="AI155" i="14"/>
  <c r="AH155" i="14"/>
  <c r="JT154" i="14"/>
  <c r="JS154" i="14"/>
  <c r="JR154" i="14"/>
  <c r="JQ154" i="14"/>
  <c r="JP154" i="14"/>
  <c r="JO154" i="14"/>
  <c r="JN154" i="14"/>
  <c r="JM154" i="14"/>
  <c r="JL154" i="14"/>
  <c r="JK154" i="14"/>
  <c r="JJ154" i="14"/>
  <c r="JI154" i="14"/>
  <c r="JH154" i="14"/>
  <c r="JG154" i="14"/>
  <c r="JF154" i="14"/>
  <c r="JE154" i="14"/>
  <c r="JD154" i="14"/>
  <c r="JC154" i="14"/>
  <c r="JB154" i="14"/>
  <c r="JA154" i="14"/>
  <c r="IZ154" i="14"/>
  <c r="IY154" i="14"/>
  <c r="IX154" i="14"/>
  <c r="IW154" i="14"/>
  <c r="IV154" i="14"/>
  <c r="IU154" i="14"/>
  <c r="IT154" i="14"/>
  <c r="IS154" i="14"/>
  <c r="IR154" i="14"/>
  <c r="IQ154" i="14"/>
  <c r="IP154" i="14"/>
  <c r="IO154" i="14"/>
  <c r="IN154" i="14"/>
  <c r="IM154" i="14"/>
  <c r="IL154" i="14"/>
  <c r="IK154" i="14"/>
  <c r="IJ154" i="14"/>
  <c r="II154" i="14"/>
  <c r="IH154" i="14"/>
  <c r="IG154" i="14"/>
  <c r="IF154" i="14"/>
  <c r="IE154" i="14"/>
  <c r="ID154" i="14"/>
  <c r="IC154" i="14"/>
  <c r="IB154" i="14"/>
  <c r="IA154" i="14"/>
  <c r="HZ154" i="14"/>
  <c r="HY154" i="14"/>
  <c r="HX154" i="14"/>
  <c r="HW154" i="14"/>
  <c r="HV154" i="14"/>
  <c r="HU154" i="14"/>
  <c r="HT154" i="14"/>
  <c r="HS154" i="14"/>
  <c r="HR154" i="14"/>
  <c r="HQ154" i="14"/>
  <c r="HP154" i="14"/>
  <c r="HO154" i="14"/>
  <c r="HN154" i="14"/>
  <c r="HM154" i="14"/>
  <c r="GH154" i="14"/>
  <c r="GG154" i="14"/>
  <c r="GF154" i="14"/>
  <c r="GE154" i="14"/>
  <c r="GD154" i="14"/>
  <c r="GC154" i="14"/>
  <c r="GB154" i="14"/>
  <c r="GA154" i="14"/>
  <c r="FZ154" i="14"/>
  <c r="FY154" i="14"/>
  <c r="FX154" i="14"/>
  <c r="FW154" i="14"/>
  <c r="FV154" i="14"/>
  <c r="FU154" i="14"/>
  <c r="FT154" i="14"/>
  <c r="FS154" i="14"/>
  <c r="FR154" i="14"/>
  <c r="FQ154" i="14"/>
  <c r="FP154" i="14"/>
  <c r="FO154" i="14"/>
  <c r="FN154" i="14"/>
  <c r="FM154" i="14"/>
  <c r="FL154" i="14"/>
  <c r="FK154" i="14"/>
  <c r="FJ154" i="14"/>
  <c r="FI154" i="14"/>
  <c r="FH154" i="14"/>
  <c r="FG154" i="14"/>
  <c r="FF154" i="14"/>
  <c r="FE154" i="14"/>
  <c r="CV154" i="14"/>
  <c r="CU154" i="14"/>
  <c r="CT154" i="14"/>
  <c r="CS154" i="14"/>
  <c r="CR154" i="14"/>
  <c r="CQ154" i="14"/>
  <c r="CP154" i="14"/>
  <c r="CO154" i="14"/>
  <c r="CN154" i="14"/>
  <c r="CM154" i="14"/>
  <c r="CL154" i="14"/>
  <c r="CK154" i="14"/>
  <c r="CJ154" i="14"/>
  <c r="CI154" i="14"/>
  <c r="CH154" i="14"/>
  <c r="CG154" i="14"/>
  <c r="CF154" i="14"/>
  <c r="CE154" i="14"/>
  <c r="CD154" i="14"/>
  <c r="CC154" i="14"/>
  <c r="CB154" i="14"/>
  <c r="CA154" i="14"/>
  <c r="BZ154" i="14"/>
  <c r="BY154" i="14"/>
  <c r="BX154" i="14"/>
  <c r="BW154" i="14"/>
  <c r="BV154" i="14"/>
  <c r="BU154" i="14"/>
  <c r="BT154" i="14"/>
  <c r="BS154" i="14"/>
  <c r="BR154" i="14" a="1"/>
  <c r="BR154" i="14" s="1"/>
  <c r="BQ154" i="14" a="1"/>
  <c r="BQ154" i="14" s="1"/>
  <c r="BP154" i="14" a="1"/>
  <c r="BP154" i="14" s="1"/>
  <c r="BO154" i="14" a="1"/>
  <c r="BO154" i="14" s="1"/>
  <c r="BN154" i="14" a="1"/>
  <c r="BN154" i="14" s="1"/>
  <c r="BM154" i="14" a="1"/>
  <c r="BM154" i="14" s="1"/>
  <c r="BL154" i="14" a="1"/>
  <c r="BL154" i="14" s="1"/>
  <c r="BK154" i="14" a="1"/>
  <c r="BK154" i="14" s="1"/>
  <c r="BJ154" i="14" a="1"/>
  <c r="BJ154" i="14" s="1"/>
  <c r="BI154" i="14" a="1"/>
  <c r="BI154" i="14" s="1"/>
  <c r="BH154" i="14" a="1"/>
  <c r="BH154" i="14" s="1"/>
  <c r="BG154" i="14" a="1"/>
  <c r="BG154" i="14" s="1"/>
  <c r="BF154" i="14" a="1"/>
  <c r="BF154" i="14" s="1"/>
  <c r="BE154" i="14" a="1"/>
  <c r="BE154" i="14" s="1"/>
  <c r="BD154" i="14" a="1"/>
  <c r="BD154" i="14" s="1"/>
  <c r="BC154" i="14" a="1"/>
  <c r="BC154" i="14" s="1"/>
  <c r="BB154" i="14" a="1"/>
  <c r="BB154" i="14" s="1"/>
  <c r="BA154" i="14" a="1"/>
  <c r="BA154" i="14" s="1"/>
  <c r="AZ154" i="14" a="1"/>
  <c r="AZ154" i="14" s="1"/>
  <c r="AY154" i="14" a="1"/>
  <c r="AY154" i="14" s="1"/>
  <c r="AX154" i="14" a="1"/>
  <c r="AX154" i="14" s="1"/>
  <c r="AW154" i="14" a="1"/>
  <c r="AW154" i="14" s="1"/>
  <c r="AV154" i="14" a="1"/>
  <c r="AV154" i="14" s="1"/>
  <c r="AU154" i="14" a="1"/>
  <c r="AU154" i="14" s="1"/>
  <c r="AT154" i="14" a="1"/>
  <c r="AT154" i="14" s="1"/>
  <c r="AS154" i="14" a="1"/>
  <c r="AS154" i="14" s="1"/>
  <c r="AR154" i="14" a="1"/>
  <c r="AR154" i="14" s="1"/>
  <c r="AQ154" i="14" a="1"/>
  <c r="AQ154" i="14" s="1"/>
  <c r="AP154" i="14" a="1"/>
  <c r="AP154" i="14" s="1"/>
  <c r="AO154" i="14" a="1"/>
  <c r="AO154" i="14" s="1"/>
  <c r="AN154" i="14"/>
  <c r="AM154" i="14"/>
  <c r="AL154" i="14"/>
  <c r="AK154" i="14"/>
  <c r="AJ154" i="14"/>
  <c r="AI154" i="14"/>
  <c r="AH154" i="14"/>
  <c r="JT153" i="14"/>
  <c r="JS153" i="14"/>
  <c r="JR153" i="14"/>
  <c r="JQ153" i="14"/>
  <c r="JP153" i="14"/>
  <c r="JO153" i="14"/>
  <c r="JN153" i="14"/>
  <c r="JM153" i="14"/>
  <c r="JL153" i="14"/>
  <c r="JK153" i="14"/>
  <c r="JJ153" i="14"/>
  <c r="JI153" i="14"/>
  <c r="JH153" i="14"/>
  <c r="JG153" i="14"/>
  <c r="JF153" i="14"/>
  <c r="JE153" i="14"/>
  <c r="JD153" i="14"/>
  <c r="JC153" i="14"/>
  <c r="JB153" i="14"/>
  <c r="JA153" i="14"/>
  <c r="IZ153" i="14"/>
  <c r="IY153" i="14"/>
  <c r="IX153" i="14"/>
  <c r="IW153" i="14"/>
  <c r="IV153" i="14"/>
  <c r="IU153" i="14"/>
  <c r="IT153" i="14"/>
  <c r="IS153" i="14"/>
  <c r="IR153" i="14"/>
  <c r="IQ153" i="14"/>
  <c r="IP153" i="14"/>
  <c r="IO153" i="14"/>
  <c r="IN153" i="14"/>
  <c r="IM153" i="14"/>
  <c r="IL153" i="14"/>
  <c r="IK153" i="14"/>
  <c r="IJ153" i="14"/>
  <c r="II153" i="14"/>
  <c r="IH153" i="14"/>
  <c r="IG153" i="14"/>
  <c r="IF153" i="14"/>
  <c r="IE153" i="14"/>
  <c r="ID153" i="14"/>
  <c r="IC153" i="14"/>
  <c r="IB153" i="14"/>
  <c r="IA153" i="14"/>
  <c r="HZ153" i="14"/>
  <c r="HY153" i="14"/>
  <c r="HX153" i="14"/>
  <c r="HW153" i="14"/>
  <c r="HV153" i="14"/>
  <c r="HU153" i="14"/>
  <c r="HT153" i="14"/>
  <c r="HS153" i="14"/>
  <c r="HR153" i="14"/>
  <c r="HQ153" i="14"/>
  <c r="HP153" i="14"/>
  <c r="HO153" i="14"/>
  <c r="HN153" i="14"/>
  <c r="HM153" i="14"/>
  <c r="GH153" i="14"/>
  <c r="GG153" i="14"/>
  <c r="GF153" i="14"/>
  <c r="GE153" i="14"/>
  <c r="GD153" i="14"/>
  <c r="GC153" i="14"/>
  <c r="GB153" i="14"/>
  <c r="GA153" i="14"/>
  <c r="FZ153" i="14"/>
  <c r="FY153" i="14"/>
  <c r="FX153" i="14"/>
  <c r="FW153" i="14"/>
  <c r="FV153" i="14"/>
  <c r="FU153" i="14"/>
  <c r="FT153" i="14"/>
  <c r="FS153" i="14"/>
  <c r="FR153" i="14"/>
  <c r="FQ153" i="14"/>
  <c r="FP153" i="14"/>
  <c r="FO153" i="14"/>
  <c r="FN153" i="14"/>
  <c r="FM153" i="14"/>
  <c r="FL153" i="14"/>
  <c r="FK153" i="14"/>
  <c r="FJ153" i="14"/>
  <c r="FI153" i="14"/>
  <c r="FH153" i="14"/>
  <c r="FG153" i="14"/>
  <c r="FF153" i="14"/>
  <c r="FE153" i="14"/>
  <c r="CV153" i="14"/>
  <c r="CU153" i="14"/>
  <c r="CT153" i="14"/>
  <c r="CS153" i="14"/>
  <c r="CR153" i="14"/>
  <c r="CQ153" i="14"/>
  <c r="CP153" i="14"/>
  <c r="CO153" i="14"/>
  <c r="CN153" i="14"/>
  <c r="CM153" i="14"/>
  <c r="CL153" i="14"/>
  <c r="CK153" i="14"/>
  <c r="CJ153" i="14"/>
  <c r="CI153" i="14"/>
  <c r="CH153" i="14"/>
  <c r="CG153" i="14"/>
  <c r="CF153" i="14"/>
  <c r="CE153" i="14"/>
  <c r="CD153" i="14"/>
  <c r="CC153" i="14"/>
  <c r="CB153" i="14"/>
  <c r="CA153" i="14"/>
  <c r="BZ153" i="14"/>
  <c r="BY153" i="14"/>
  <c r="BX153" i="14"/>
  <c r="BW153" i="14"/>
  <c r="BV153" i="14"/>
  <c r="BU153" i="14"/>
  <c r="BT153" i="14"/>
  <c r="BS153" i="14"/>
  <c r="BR153" i="14" a="1"/>
  <c r="BR153" i="14" s="1"/>
  <c r="BQ153" i="14" a="1"/>
  <c r="BQ153" i="14" s="1"/>
  <c r="BP153" i="14" a="1"/>
  <c r="BP153" i="14" s="1"/>
  <c r="BO153" i="14" a="1"/>
  <c r="BO153" i="14" s="1"/>
  <c r="BN153" i="14" a="1"/>
  <c r="BN153" i="14" s="1"/>
  <c r="BM153" i="14" a="1"/>
  <c r="BM153" i="14" s="1"/>
  <c r="BL153" i="14" a="1"/>
  <c r="BL153" i="14" s="1"/>
  <c r="BK153" i="14" a="1"/>
  <c r="BK153" i="14" s="1"/>
  <c r="BJ153" i="14" a="1"/>
  <c r="BJ153" i="14" s="1"/>
  <c r="BI153" i="14" a="1"/>
  <c r="BI153" i="14" s="1"/>
  <c r="BH153" i="14" a="1"/>
  <c r="BH153" i="14" s="1"/>
  <c r="BG153" i="14" a="1"/>
  <c r="BG153" i="14" s="1"/>
  <c r="BF153" i="14" a="1"/>
  <c r="BF153" i="14" s="1"/>
  <c r="BE153" i="14" a="1"/>
  <c r="BE153" i="14" s="1"/>
  <c r="BD153" i="14" a="1"/>
  <c r="BD153" i="14" s="1"/>
  <c r="BC153" i="14" a="1"/>
  <c r="BC153" i="14" s="1"/>
  <c r="BB153" i="14" a="1"/>
  <c r="BB153" i="14" s="1"/>
  <c r="BA153" i="14" a="1"/>
  <c r="BA153" i="14" s="1"/>
  <c r="AZ153" i="14" a="1"/>
  <c r="AZ153" i="14" s="1"/>
  <c r="AY153" i="14" a="1"/>
  <c r="AY153" i="14" s="1"/>
  <c r="AX153" i="14" a="1"/>
  <c r="AX153" i="14" s="1"/>
  <c r="AW153" i="14" a="1"/>
  <c r="AW153" i="14" s="1"/>
  <c r="AV153" i="14" a="1"/>
  <c r="AV153" i="14" s="1"/>
  <c r="AU153" i="14" a="1"/>
  <c r="AU153" i="14" s="1"/>
  <c r="AT153" i="14" a="1"/>
  <c r="AT153" i="14" s="1"/>
  <c r="AS153" i="14" a="1"/>
  <c r="AS153" i="14" s="1"/>
  <c r="AR153" i="14" a="1"/>
  <c r="AR153" i="14" s="1"/>
  <c r="AQ153" i="14" a="1"/>
  <c r="AQ153" i="14" s="1"/>
  <c r="AP153" i="14" a="1"/>
  <c r="AP153" i="14" s="1"/>
  <c r="AO153" i="14" a="1"/>
  <c r="AO153" i="14" s="1"/>
  <c r="AN153" i="14"/>
  <c r="AM153" i="14"/>
  <c r="AL153" i="14"/>
  <c r="AK153" i="14"/>
  <c r="AJ153" i="14"/>
  <c r="AI153" i="14"/>
  <c r="ER153" i="14" s="1"/>
  <c r="AH153" i="14"/>
  <c r="JT152" i="14"/>
  <c r="JS152" i="14"/>
  <c r="JR152" i="14"/>
  <c r="JQ152" i="14"/>
  <c r="JP152" i="14"/>
  <c r="JO152" i="14"/>
  <c r="JN152" i="14"/>
  <c r="JM152" i="14"/>
  <c r="JL152" i="14"/>
  <c r="JK152" i="14"/>
  <c r="JJ152" i="14"/>
  <c r="JI152" i="14"/>
  <c r="JH152" i="14"/>
  <c r="JG152" i="14"/>
  <c r="JF152" i="14"/>
  <c r="JE152" i="14"/>
  <c r="JD152" i="14"/>
  <c r="JC152" i="14"/>
  <c r="JB152" i="14"/>
  <c r="JA152" i="14"/>
  <c r="IZ152" i="14"/>
  <c r="IY152" i="14"/>
  <c r="IX152" i="14"/>
  <c r="IW152" i="14"/>
  <c r="IV152" i="14"/>
  <c r="IU152" i="14"/>
  <c r="IT152" i="14"/>
  <c r="IS152" i="14"/>
  <c r="IR152" i="14"/>
  <c r="IQ152" i="14"/>
  <c r="IP152" i="14"/>
  <c r="IO152" i="14"/>
  <c r="IN152" i="14"/>
  <c r="IM152" i="14"/>
  <c r="IL152" i="14"/>
  <c r="IK152" i="14"/>
  <c r="IJ152" i="14"/>
  <c r="II152" i="14"/>
  <c r="IH152" i="14"/>
  <c r="IG152" i="14"/>
  <c r="IF152" i="14"/>
  <c r="IE152" i="14"/>
  <c r="ID152" i="14"/>
  <c r="IC152" i="14"/>
  <c r="IB152" i="14"/>
  <c r="IA152" i="14"/>
  <c r="HZ152" i="14"/>
  <c r="HY152" i="14"/>
  <c r="HX152" i="14"/>
  <c r="HW152" i="14"/>
  <c r="HV152" i="14"/>
  <c r="HU152" i="14"/>
  <c r="HT152" i="14"/>
  <c r="HS152" i="14"/>
  <c r="HR152" i="14"/>
  <c r="HQ152" i="14"/>
  <c r="HP152" i="14"/>
  <c r="HO152" i="14"/>
  <c r="HN152" i="14"/>
  <c r="HM152" i="14"/>
  <c r="GH152" i="14"/>
  <c r="GG152" i="14"/>
  <c r="GF152" i="14"/>
  <c r="GE152" i="14"/>
  <c r="GD152" i="14"/>
  <c r="GC152" i="14"/>
  <c r="GB152" i="14"/>
  <c r="GA152" i="14"/>
  <c r="FZ152" i="14"/>
  <c r="FY152" i="14"/>
  <c r="FX152" i="14"/>
  <c r="FW152" i="14"/>
  <c r="FV152" i="14"/>
  <c r="FU152" i="14"/>
  <c r="FT152" i="14"/>
  <c r="FS152" i="14"/>
  <c r="FR152" i="14"/>
  <c r="FQ152" i="14"/>
  <c r="FP152" i="14"/>
  <c r="FO152" i="14"/>
  <c r="FN152" i="14"/>
  <c r="FM152" i="14"/>
  <c r="FL152" i="14"/>
  <c r="FK152" i="14"/>
  <c r="FJ152" i="14"/>
  <c r="FI152" i="14"/>
  <c r="FH152" i="14"/>
  <c r="FG152" i="14"/>
  <c r="FF152" i="14"/>
  <c r="FE152" i="14"/>
  <c r="CV152" i="14"/>
  <c r="CU152" i="14"/>
  <c r="CT152" i="14"/>
  <c r="CS152" i="14"/>
  <c r="CR152" i="14"/>
  <c r="CQ152" i="14"/>
  <c r="CP152" i="14"/>
  <c r="CO152" i="14"/>
  <c r="CN152" i="14"/>
  <c r="CM152" i="14"/>
  <c r="CL152" i="14"/>
  <c r="CK152" i="14"/>
  <c r="CJ152" i="14"/>
  <c r="CI152" i="14"/>
  <c r="CH152" i="14"/>
  <c r="CG152" i="14"/>
  <c r="CF152" i="14"/>
  <c r="CE152" i="14"/>
  <c r="CD152" i="14"/>
  <c r="CC152" i="14"/>
  <c r="CB152" i="14"/>
  <c r="CA152" i="14"/>
  <c r="BZ152" i="14"/>
  <c r="BY152" i="14"/>
  <c r="BX152" i="14"/>
  <c r="BW152" i="14"/>
  <c r="BV152" i="14"/>
  <c r="BU152" i="14"/>
  <c r="BT152" i="14"/>
  <c r="BS152" i="14"/>
  <c r="BR152" i="14" a="1"/>
  <c r="BR152" i="14" s="1"/>
  <c r="BQ152" i="14" a="1"/>
  <c r="BQ152" i="14" s="1"/>
  <c r="BP152" i="14" a="1"/>
  <c r="BP152" i="14" s="1"/>
  <c r="BO152" i="14" a="1"/>
  <c r="BO152" i="14" s="1"/>
  <c r="BN152" i="14" a="1"/>
  <c r="BN152" i="14" s="1"/>
  <c r="BM152" i="14" a="1"/>
  <c r="BM152" i="14" s="1"/>
  <c r="BL152" i="14" a="1"/>
  <c r="BL152" i="14" s="1"/>
  <c r="BK152" i="14" a="1"/>
  <c r="BK152" i="14" s="1"/>
  <c r="BJ152" i="14" a="1"/>
  <c r="BJ152" i="14" s="1"/>
  <c r="BI152" i="14" a="1"/>
  <c r="BI152" i="14" s="1"/>
  <c r="BH152" i="14" a="1"/>
  <c r="BH152" i="14" s="1"/>
  <c r="BG152" i="14" a="1"/>
  <c r="BG152" i="14" s="1"/>
  <c r="BF152" i="14" a="1"/>
  <c r="BF152" i="14" s="1"/>
  <c r="BE152" i="14" a="1"/>
  <c r="BE152" i="14" s="1"/>
  <c r="BD152" i="14" a="1"/>
  <c r="BD152" i="14" s="1"/>
  <c r="BC152" i="14" a="1"/>
  <c r="BC152" i="14" s="1"/>
  <c r="BB152" i="14" a="1"/>
  <c r="BB152" i="14" s="1"/>
  <c r="BA152" i="14" a="1"/>
  <c r="BA152" i="14" s="1"/>
  <c r="AZ152" i="14" a="1"/>
  <c r="AZ152" i="14" s="1"/>
  <c r="AY152" i="14" a="1"/>
  <c r="AY152" i="14" s="1"/>
  <c r="AX152" i="14" a="1"/>
  <c r="AX152" i="14" s="1"/>
  <c r="AW152" i="14" a="1"/>
  <c r="AW152" i="14" s="1"/>
  <c r="AV152" i="14" a="1"/>
  <c r="AV152" i="14" s="1"/>
  <c r="AU152" i="14" a="1"/>
  <c r="AU152" i="14" s="1"/>
  <c r="AT152" i="14" a="1"/>
  <c r="AT152" i="14" s="1"/>
  <c r="AS152" i="14" a="1"/>
  <c r="AS152" i="14" s="1"/>
  <c r="AR152" i="14" a="1"/>
  <c r="AR152" i="14" s="1"/>
  <c r="AQ152" i="14" a="1"/>
  <c r="AQ152" i="14" s="1"/>
  <c r="AP152" i="14" a="1"/>
  <c r="AP152" i="14" s="1"/>
  <c r="AO152" i="14" a="1"/>
  <c r="AO152" i="14" s="1"/>
  <c r="AN152" i="14"/>
  <c r="AM152" i="14"/>
  <c r="AL152" i="14"/>
  <c r="AK152" i="14"/>
  <c r="AJ152" i="14"/>
  <c r="AI152" i="14"/>
  <c r="EH152" i="14" s="1"/>
  <c r="AH152" i="14"/>
  <c r="JT151" i="14"/>
  <c r="JS151" i="14"/>
  <c r="JR151" i="14"/>
  <c r="JQ151" i="14"/>
  <c r="JP151" i="14"/>
  <c r="JO151" i="14"/>
  <c r="JN151" i="14"/>
  <c r="JM151" i="14"/>
  <c r="JL151" i="14"/>
  <c r="JK151" i="14"/>
  <c r="JJ151" i="14"/>
  <c r="JI151" i="14"/>
  <c r="JH151" i="14"/>
  <c r="JG151" i="14"/>
  <c r="JF151" i="14"/>
  <c r="JE151" i="14"/>
  <c r="JD151" i="14"/>
  <c r="JC151" i="14"/>
  <c r="JB151" i="14"/>
  <c r="JA151" i="14"/>
  <c r="IZ151" i="14"/>
  <c r="IY151" i="14"/>
  <c r="IX151" i="14"/>
  <c r="IW151" i="14"/>
  <c r="IV151" i="14"/>
  <c r="IU151" i="14"/>
  <c r="IT151" i="14"/>
  <c r="IS151" i="14"/>
  <c r="IR151" i="14"/>
  <c r="IQ151" i="14"/>
  <c r="IP151" i="14"/>
  <c r="IO151" i="14"/>
  <c r="IN151" i="14"/>
  <c r="IM151" i="14"/>
  <c r="IL151" i="14"/>
  <c r="IK151" i="14"/>
  <c r="IJ151" i="14"/>
  <c r="II151" i="14"/>
  <c r="IH151" i="14"/>
  <c r="IG151" i="14"/>
  <c r="IF151" i="14"/>
  <c r="IE151" i="14"/>
  <c r="ID151" i="14"/>
  <c r="IC151" i="14"/>
  <c r="IB151" i="14"/>
  <c r="IA151" i="14"/>
  <c r="HZ151" i="14"/>
  <c r="HY151" i="14"/>
  <c r="HX151" i="14"/>
  <c r="HW151" i="14"/>
  <c r="HV151" i="14"/>
  <c r="HU151" i="14"/>
  <c r="HT151" i="14"/>
  <c r="HS151" i="14"/>
  <c r="HR151" i="14"/>
  <c r="HQ151" i="14"/>
  <c r="HP151" i="14"/>
  <c r="HO151" i="14"/>
  <c r="HN151" i="14"/>
  <c r="HM151" i="14"/>
  <c r="GH151" i="14"/>
  <c r="GG151" i="14"/>
  <c r="GF151" i="14"/>
  <c r="GE151" i="14"/>
  <c r="GD151" i="14"/>
  <c r="GC151" i="14"/>
  <c r="GB151" i="14"/>
  <c r="GA151" i="14"/>
  <c r="FZ151" i="14"/>
  <c r="FY151" i="14"/>
  <c r="FX151" i="14"/>
  <c r="FW151" i="14"/>
  <c r="FV151" i="14"/>
  <c r="FU151" i="14"/>
  <c r="FT151" i="14"/>
  <c r="FS151" i="14"/>
  <c r="FR151" i="14"/>
  <c r="FQ151" i="14"/>
  <c r="FP151" i="14"/>
  <c r="FO151" i="14"/>
  <c r="FN151" i="14"/>
  <c r="FM151" i="14"/>
  <c r="FL151" i="14"/>
  <c r="FK151" i="14"/>
  <c r="FJ151" i="14"/>
  <c r="FI151" i="14"/>
  <c r="FH151" i="14"/>
  <c r="FG151" i="14"/>
  <c r="FF151" i="14"/>
  <c r="FE151" i="14"/>
  <c r="CV151" i="14"/>
  <c r="CU151" i="14"/>
  <c r="CT151" i="14"/>
  <c r="CS151" i="14"/>
  <c r="CR151" i="14"/>
  <c r="CQ151" i="14"/>
  <c r="CP151" i="14"/>
  <c r="CO151" i="14"/>
  <c r="CN151" i="14"/>
  <c r="CM151" i="14"/>
  <c r="CL151" i="14"/>
  <c r="CK151" i="14"/>
  <c r="CJ151" i="14"/>
  <c r="CI151" i="14"/>
  <c r="CH151" i="14"/>
  <c r="CG151" i="14"/>
  <c r="CF151" i="14"/>
  <c r="CE151" i="14"/>
  <c r="CD151" i="14"/>
  <c r="CC151" i="14"/>
  <c r="CB151" i="14"/>
  <c r="CA151" i="14"/>
  <c r="BZ151" i="14"/>
  <c r="BY151" i="14"/>
  <c r="BX151" i="14"/>
  <c r="BW151" i="14"/>
  <c r="BV151" i="14"/>
  <c r="BU151" i="14"/>
  <c r="BT151" i="14"/>
  <c r="BS151" i="14"/>
  <c r="BR151" i="14" a="1"/>
  <c r="BR151" i="14" s="1"/>
  <c r="BQ151" i="14" a="1"/>
  <c r="BQ151" i="14" s="1"/>
  <c r="BP151" i="14" a="1"/>
  <c r="BP151" i="14" s="1"/>
  <c r="BO151" i="14" a="1"/>
  <c r="BO151" i="14" s="1"/>
  <c r="BN151" i="14" a="1"/>
  <c r="BN151" i="14" s="1"/>
  <c r="BM151" i="14" a="1"/>
  <c r="BM151" i="14" s="1"/>
  <c r="BL151" i="14" a="1"/>
  <c r="BL151" i="14" s="1"/>
  <c r="BK151" i="14" a="1"/>
  <c r="BK151" i="14" s="1"/>
  <c r="BJ151" i="14" a="1"/>
  <c r="BJ151" i="14" s="1"/>
  <c r="BI151" i="14" a="1"/>
  <c r="BI151" i="14" s="1"/>
  <c r="BH151" i="14" a="1"/>
  <c r="BH151" i="14" s="1"/>
  <c r="BG151" i="14" a="1"/>
  <c r="BG151" i="14" s="1"/>
  <c r="BF151" i="14" a="1"/>
  <c r="BF151" i="14" s="1"/>
  <c r="BE151" i="14" a="1"/>
  <c r="BE151" i="14" s="1"/>
  <c r="BD151" i="14" a="1"/>
  <c r="BD151" i="14" s="1"/>
  <c r="BC151" i="14" a="1"/>
  <c r="BC151" i="14" s="1"/>
  <c r="BB151" i="14" a="1"/>
  <c r="BB151" i="14" s="1"/>
  <c r="BA151" i="14" a="1"/>
  <c r="BA151" i="14" s="1"/>
  <c r="AZ151" i="14" a="1"/>
  <c r="AZ151" i="14" s="1"/>
  <c r="AY151" i="14" a="1"/>
  <c r="AY151" i="14" s="1"/>
  <c r="AX151" i="14" a="1"/>
  <c r="AX151" i="14" s="1"/>
  <c r="AW151" i="14" a="1"/>
  <c r="AW151" i="14" s="1"/>
  <c r="AV151" i="14" a="1"/>
  <c r="AV151" i="14" s="1"/>
  <c r="AU151" i="14" a="1"/>
  <c r="AU151" i="14" s="1"/>
  <c r="AT151" i="14" a="1"/>
  <c r="AT151" i="14" s="1"/>
  <c r="AS151" i="14" a="1"/>
  <c r="AS151" i="14" s="1"/>
  <c r="AR151" i="14" a="1"/>
  <c r="AR151" i="14" s="1"/>
  <c r="AQ151" i="14" a="1"/>
  <c r="AQ151" i="14" s="1"/>
  <c r="AP151" i="14" a="1"/>
  <c r="AP151" i="14" s="1"/>
  <c r="AO151" i="14" a="1"/>
  <c r="AO151" i="14" s="1"/>
  <c r="AN151" i="14"/>
  <c r="AM151" i="14"/>
  <c r="AL151" i="14"/>
  <c r="AK151" i="14"/>
  <c r="AJ151" i="14"/>
  <c r="AI151" i="14"/>
  <c r="ES151" i="14" s="1"/>
  <c r="AH151" i="14"/>
  <c r="JT150" i="14"/>
  <c r="JS150" i="14"/>
  <c r="JR150" i="14"/>
  <c r="JQ150" i="14"/>
  <c r="JP150" i="14"/>
  <c r="JO150" i="14"/>
  <c r="JN150" i="14"/>
  <c r="JM150" i="14"/>
  <c r="JL150" i="14"/>
  <c r="JK150" i="14"/>
  <c r="JJ150" i="14"/>
  <c r="JI150" i="14"/>
  <c r="JH150" i="14"/>
  <c r="JG150" i="14"/>
  <c r="JF150" i="14"/>
  <c r="JE150" i="14"/>
  <c r="JD150" i="14"/>
  <c r="JC150" i="14"/>
  <c r="JB150" i="14"/>
  <c r="JA150" i="14"/>
  <c r="IZ150" i="14"/>
  <c r="IY150" i="14"/>
  <c r="IX150" i="14"/>
  <c r="IW150" i="14"/>
  <c r="IV150" i="14"/>
  <c r="IU150" i="14"/>
  <c r="IT150" i="14"/>
  <c r="IS150" i="14"/>
  <c r="IR150" i="14"/>
  <c r="IQ150" i="14"/>
  <c r="IP150" i="14"/>
  <c r="IO150" i="14"/>
  <c r="IN150" i="14"/>
  <c r="IM150" i="14"/>
  <c r="IL150" i="14"/>
  <c r="IK150" i="14"/>
  <c r="IJ150" i="14"/>
  <c r="II150" i="14"/>
  <c r="IH150" i="14"/>
  <c r="IG150" i="14"/>
  <c r="IF150" i="14"/>
  <c r="IE150" i="14"/>
  <c r="ID150" i="14"/>
  <c r="IC150" i="14"/>
  <c r="IB150" i="14"/>
  <c r="IA150" i="14"/>
  <c r="HZ150" i="14"/>
  <c r="HY150" i="14"/>
  <c r="HX150" i="14"/>
  <c r="HW150" i="14"/>
  <c r="HV150" i="14"/>
  <c r="HU150" i="14"/>
  <c r="HT150" i="14"/>
  <c r="HS150" i="14"/>
  <c r="HR150" i="14"/>
  <c r="HQ150" i="14"/>
  <c r="HP150" i="14"/>
  <c r="HO150" i="14"/>
  <c r="HN150" i="14"/>
  <c r="HM150" i="14"/>
  <c r="GH150" i="14"/>
  <c r="GG150" i="14"/>
  <c r="GF150" i="14"/>
  <c r="GE150" i="14"/>
  <c r="GD150" i="14"/>
  <c r="GC150" i="14"/>
  <c r="GB150" i="14"/>
  <c r="GA150" i="14"/>
  <c r="FZ150" i="14"/>
  <c r="FY150" i="14"/>
  <c r="FX150" i="14"/>
  <c r="FW150" i="14"/>
  <c r="FV150" i="14"/>
  <c r="FU150" i="14"/>
  <c r="FT150" i="14"/>
  <c r="FS150" i="14"/>
  <c r="FR150" i="14"/>
  <c r="FQ150" i="14"/>
  <c r="FP150" i="14"/>
  <c r="FO150" i="14"/>
  <c r="FN150" i="14"/>
  <c r="FM150" i="14"/>
  <c r="FL150" i="14"/>
  <c r="FK150" i="14"/>
  <c r="FJ150" i="14"/>
  <c r="FI150" i="14"/>
  <c r="FH150" i="14"/>
  <c r="FG150" i="14"/>
  <c r="FF150" i="14"/>
  <c r="FE150" i="14"/>
  <c r="CV150" i="14"/>
  <c r="CU150" i="14"/>
  <c r="CT150" i="14"/>
  <c r="CS150" i="14"/>
  <c r="CR150" i="14"/>
  <c r="CQ150" i="14"/>
  <c r="CP150" i="14"/>
  <c r="CO150" i="14"/>
  <c r="CN150" i="14"/>
  <c r="CM150" i="14"/>
  <c r="CL150" i="14"/>
  <c r="CK150" i="14"/>
  <c r="CJ150" i="14"/>
  <c r="CI150" i="14"/>
  <c r="CH150" i="14"/>
  <c r="CG150" i="14"/>
  <c r="CF150" i="14"/>
  <c r="CE150" i="14"/>
  <c r="CD150" i="14"/>
  <c r="CC150" i="14"/>
  <c r="CB150" i="14"/>
  <c r="CA150" i="14"/>
  <c r="BZ150" i="14"/>
  <c r="BY150" i="14"/>
  <c r="BX150" i="14"/>
  <c r="BW150" i="14"/>
  <c r="BV150" i="14"/>
  <c r="BU150" i="14"/>
  <c r="BT150" i="14"/>
  <c r="BS150" i="14"/>
  <c r="BR150" i="14" a="1"/>
  <c r="BR150" i="14" s="1"/>
  <c r="BQ150" i="14" a="1"/>
  <c r="BQ150" i="14" s="1"/>
  <c r="BP150" i="14" a="1"/>
  <c r="BP150" i="14" s="1"/>
  <c r="BO150" i="14" a="1"/>
  <c r="BO150" i="14" s="1"/>
  <c r="BN150" i="14" a="1"/>
  <c r="BN150" i="14" s="1"/>
  <c r="BM150" i="14" a="1"/>
  <c r="BM150" i="14" s="1"/>
  <c r="BL150" i="14" a="1"/>
  <c r="BL150" i="14" s="1"/>
  <c r="BK150" i="14" a="1"/>
  <c r="BK150" i="14" s="1"/>
  <c r="BJ150" i="14" a="1"/>
  <c r="BJ150" i="14" s="1"/>
  <c r="BI150" i="14" a="1"/>
  <c r="BI150" i="14" s="1"/>
  <c r="BH150" i="14" a="1"/>
  <c r="BH150" i="14" s="1"/>
  <c r="BG150" i="14" a="1"/>
  <c r="BG150" i="14" s="1"/>
  <c r="BF150" i="14" a="1"/>
  <c r="BF150" i="14" s="1"/>
  <c r="BE150" i="14" a="1"/>
  <c r="BE150" i="14" s="1"/>
  <c r="BD150" i="14" a="1"/>
  <c r="BD150" i="14" s="1"/>
  <c r="BC150" i="14" a="1"/>
  <c r="BC150" i="14" s="1"/>
  <c r="BB150" i="14" a="1"/>
  <c r="BB150" i="14" s="1"/>
  <c r="BA150" i="14" a="1"/>
  <c r="BA150" i="14" s="1"/>
  <c r="AZ150" i="14" a="1"/>
  <c r="AZ150" i="14" s="1"/>
  <c r="AY150" i="14" a="1"/>
  <c r="AY150" i="14" s="1"/>
  <c r="AX150" i="14" a="1"/>
  <c r="AX150" i="14" s="1"/>
  <c r="AW150" i="14" a="1"/>
  <c r="AW150" i="14" s="1"/>
  <c r="AV150" i="14" a="1"/>
  <c r="AV150" i="14" s="1"/>
  <c r="AU150" i="14" a="1"/>
  <c r="AU150" i="14" s="1"/>
  <c r="AT150" i="14" a="1"/>
  <c r="AT150" i="14" s="1"/>
  <c r="AS150" i="14" a="1"/>
  <c r="AS150" i="14" s="1"/>
  <c r="AR150" i="14" a="1"/>
  <c r="AR150" i="14" s="1"/>
  <c r="AQ150" i="14" a="1"/>
  <c r="AQ150" i="14" s="1"/>
  <c r="AP150" i="14" a="1"/>
  <c r="AP150" i="14" s="1"/>
  <c r="AO150" i="14" a="1"/>
  <c r="AO150" i="14" s="1"/>
  <c r="AN150" i="14"/>
  <c r="AM150" i="14"/>
  <c r="AL150" i="14"/>
  <c r="AK150" i="14"/>
  <c r="AJ150" i="14"/>
  <c r="AI150" i="14"/>
  <c r="EY150" i="14" s="1"/>
  <c r="AH150" i="14"/>
  <c r="JT149" i="14"/>
  <c r="JS149" i="14"/>
  <c r="JR149" i="14"/>
  <c r="JQ149" i="14"/>
  <c r="JP149" i="14"/>
  <c r="JO149" i="14"/>
  <c r="JN149" i="14"/>
  <c r="JM149" i="14"/>
  <c r="JL149" i="14"/>
  <c r="JK149" i="14"/>
  <c r="JJ149" i="14"/>
  <c r="JI149" i="14"/>
  <c r="JH149" i="14"/>
  <c r="JG149" i="14"/>
  <c r="JF149" i="14"/>
  <c r="JE149" i="14"/>
  <c r="JD149" i="14"/>
  <c r="JC149" i="14"/>
  <c r="JB149" i="14"/>
  <c r="JA149" i="14"/>
  <c r="IZ149" i="14"/>
  <c r="IY149" i="14"/>
  <c r="IX149" i="14"/>
  <c r="IW149" i="14"/>
  <c r="IV149" i="14"/>
  <c r="IU149" i="14"/>
  <c r="IT149" i="14"/>
  <c r="IS149" i="14"/>
  <c r="IR149" i="14"/>
  <c r="IQ149" i="14"/>
  <c r="IP149" i="14"/>
  <c r="IO149" i="14"/>
  <c r="IN149" i="14"/>
  <c r="IM149" i="14"/>
  <c r="IL149" i="14"/>
  <c r="IK149" i="14"/>
  <c r="IJ149" i="14"/>
  <c r="II149" i="14"/>
  <c r="IH149" i="14"/>
  <c r="IG149" i="14"/>
  <c r="IF149" i="14"/>
  <c r="IE149" i="14"/>
  <c r="ID149" i="14"/>
  <c r="IC149" i="14"/>
  <c r="IB149" i="14"/>
  <c r="IA149" i="14"/>
  <c r="HZ149" i="14"/>
  <c r="HY149" i="14"/>
  <c r="HX149" i="14"/>
  <c r="HW149" i="14"/>
  <c r="HV149" i="14"/>
  <c r="HU149" i="14"/>
  <c r="HT149" i="14"/>
  <c r="HS149" i="14"/>
  <c r="HR149" i="14"/>
  <c r="HQ149" i="14"/>
  <c r="HP149" i="14"/>
  <c r="HO149" i="14"/>
  <c r="HN149" i="14"/>
  <c r="HM149" i="14"/>
  <c r="GH149" i="14"/>
  <c r="GG149" i="14"/>
  <c r="GF149" i="14"/>
  <c r="GE149" i="14"/>
  <c r="GD149" i="14"/>
  <c r="GC149" i="14"/>
  <c r="GB149" i="14"/>
  <c r="GA149" i="14"/>
  <c r="FZ149" i="14"/>
  <c r="FY149" i="14"/>
  <c r="FX149" i="14"/>
  <c r="FW149" i="14"/>
  <c r="FV149" i="14"/>
  <c r="FU149" i="14"/>
  <c r="FT149" i="14"/>
  <c r="FS149" i="14"/>
  <c r="FR149" i="14"/>
  <c r="FQ149" i="14"/>
  <c r="FP149" i="14"/>
  <c r="FO149" i="14"/>
  <c r="FN149" i="14"/>
  <c r="FM149" i="14"/>
  <c r="FL149" i="14"/>
  <c r="FK149" i="14"/>
  <c r="FJ149" i="14"/>
  <c r="FI149" i="14"/>
  <c r="FH149" i="14"/>
  <c r="FG149" i="14"/>
  <c r="FF149" i="14"/>
  <c r="FE149" i="14"/>
  <c r="CV149" i="14"/>
  <c r="CU149" i="14"/>
  <c r="CT149" i="14"/>
  <c r="CS149" i="14"/>
  <c r="CR149" i="14"/>
  <c r="CQ149" i="14"/>
  <c r="CP149" i="14"/>
  <c r="CO149" i="14"/>
  <c r="CN149" i="14"/>
  <c r="CM149" i="14"/>
  <c r="CL149" i="14"/>
  <c r="CK149" i="14"/>
  <c r="CJ149" i="14"/>
  <c r="CI149" i="14"/>
  <c r="CH149" i="14"/>
  <c r="CG149" i="14"/>
  <c r="CF149" i="14"/>
  <c r="CE149" i="14"/>
  <c r="CD149" i="14"/>
  <c r="CC149" i="14"/>
  <c r="CB149" i="14"/>
  <c r="CA149" i="14"/>
  <c r="BZ149" i="14"/>
  <c r="BY149" i="14"/>
  <c r="BX149" i="14"/>
  <c r="BW149" i="14"/>
  <c r="BV149" i="14"/>
  <c r="BU149" i="14"/>
  <c r="BT149" i="14"/>
  <c r="BS149" i="14"/>
  <c r="BR149" i="14" a="1"/>
  <c r="BR149" i="14" s="1"/>
  <c r="BQ149" i="14" a="1"/>
  <c r="BQ149" i="14" s="1"/>
  <c r="BP149" i="14" a="1"/>
  <c r="BP149" i="14" s="1"/>
  <c r="BO149" i="14" a="1"/>
  <c r="BO149" i="14" s="1"/>
  <c r="BN149" i="14" a="1"/>
  <c r="BN149" i="14" s="1"/>
  <c r="BM149" i="14" a="1"/>
  <c r="BM149" i="14" s="1"/>
  <c r="BL149" i="14" a="1"/>
  <c r="BL149" i="14" s="1"/>
  <c r="BK149" i="14" a="1"/>
  <c r="BK149" i="14" s="1"/>
  <c r="BJ149" i="14" a="1"/>
  <c r="BJ149" i="14" s="1"/>
  <c r="BI149" i="14" a="1"/>
  <c r="BI149" i="14" s="1"/>
  <c r="BH149" i="14" a="1"/>
  <c r="BH149" i="14" s="1"/>
  <c r="BG149" i="14" a="1"/>
  <c r="BG149" i="14" s="1"/>
  <c r="BF149" i="14" a="1"/>
  <c r="BF149" i="14" s="1"/>
  <c r="BE149" i="14" a="1"/>
  <c r="BE149" i="14" s="1"/>
  <c r="BD149" i="14" a="1"/>
  <c r="BD149" i="14" s="1"/>
  <c r="BC149" i="14" a="1"/>
  <c r="BC149" i="14" s="1"/>
  <c r="BB149" i="14" a="1"/>
  <c r="BB149" i="14" s="1"/>
  <c r="BA149" i="14" a="1"/>
  <c r="BA149" i="14" s="1"/>
  <c r="AZ149" i="14" a="1"/>
  <c r="AZ149" i="14" s="1"/>
  <c r="AY149" i="14" a="1"/>
  <c r="AY149" i="14" s="1"/>
  <c r="AX149" i="14" a="1"/>
  <c r="AX149" i="14" s="1"/>
  <c r="AW149" i="14" a="1"/>
  <c r="AW149" i="14" s="1"/>
  <c r="AV149" i="14" a="1"/>
  <c r="AV149" i="14" s="1"/>
  <c r="AU149" i="14" a="1"/>
  <c r="AU149" i="14" s="1"/>
  <c r="AT149" i="14" a="1"/>
  <c r="AT149" i="14" s="1"/>
  <c r="AS149" i="14" a="1"/>
  <c r="AS149" i="14" s="1"/>
  <c r="AR149" i="14" a="1"/>
  <c r="AR149" i="14" s="1"/>
  <c r="AQ149" i="14" a="1"/>
  <c r="AQ149" i="14" s="1"/>
  <c r="AP149" i="14" a="1"/>
  <c r="AP149" i="14" s="1"/>
  <c r="AO149" i="14" a="1"/>
  <c r="AO149" i="14" s="1"/>
  <c r="AN149" i="14"/>
  <c r="AM149" i="14"/>
  <c r="AL149" i="14"/>
  <c r="AK149" i="14"/>
  <c r="AJ149" i="14"/>
  <c r="AI149" i="14"/>
  <c r="EY149" i="14" s="1"/>
  <c r="AH149" i="14"/>
  <c r="JT148" i="14"/>
  <c r="JS148" i="14"/>
  <c r="JR148" i="14"/>
  <c r="JQ148" i="14"/>
  <c r="JP148" i="14"/>
  <c r="JO148" i="14"/>
  <c r="JN148" i="14"/>
  <c r="JM148" i="14"/>
  <c r="JL148" i="14"/>
  <c r="JK148" i="14"/>
  <c r="JJ148" i="14"/>
  <c r="JI148" i="14"/>
  <c r="JH148" i="14"/>
  <c r="JG148" i="14"/>
  <c r="JF148" i="14"/>
  <c r="JE148" i="14"/>
  <c r="JD148" i="14"/>
  <c r="JC148" i="14"/>
  <c r="JB148" i="14"/>
  <c r="JA148" i="14"/>
  <c r="IZ148" i="14"/>
  <c r="IY148" i="14"/>
  <c r="IX148" i="14"/>
  <c r="IW148" i="14"/>
  <c r="IV148" i="14"/>
  <c r="IU148" i="14"/>
  <c r="IT148" i="14"/>
  <c r="IS148" i="14"/>
  <c r="IR148" i="14"/>
  <c r="IQ148" i="14"/>
  <c r="IP148" i="14"/>
  <c r="IO148" i="14"/>
  <c r="IN148" i="14"/>
  <c r="IM148" i="14"/>
  <c r="IL148" i="14"/>
  <c r="IK148" i="14"/>
  <c r="IJ148" i="14"/>
  <c r="II148" i="14"/>
  <c r="IH148" i="14"/>
  <c r="IG148" i="14"/>
  <c r="IF148" i="14"/>
  <c r="IE148" i="14"/>
  <c r="ID148" i="14"/>
  <c r="IC148" i="14"/>
  <c r="IB148" i="14"/>
  <c r="IA148" i="14"/>
  <c r="HZ148" i="14"/>
  <c r="HY148" i="14"/>
  <c r="HX148" i="14"/>
  <c r="HW148" i="14"/>
  <c r="HV148" i="14"/>
  <c r="HU148" i="14"/>
  <c r="HT148" i="14"/>
  <c r="HS148" i="14"/>
  <c r="HR148" i="14"/>
  <c r="HQ148" i="14"/>
  <c r="HP148" i="14"/>
  <c r="HO148" i="14"/>
  <c r="HN148" i="14"/>
  <c r="HM148" i="14"/>
  <c r="GH148" i="14"/>
  <c r="GG148" i="14"/>
  <c r="GF148" i="14"/>
  <c r="GE148" i="14"/>
  <c r="GD148" i="14"/>
  <c r="GC148" i="14"/>
  <c r="GB148" i="14"/>
  <c r="GA148" i="14"/>
  <c r="FZ148" i="14"/>
  <c r="FY148" i="14"/>
  <c r="FX148" i="14"/>
  <c r="FW148" i="14"/>
  <c r="FV148" i="14"/>
  <c r="FU148" i="14"/>
  <c r="FT148" i="14"/>
  <c r="FS148" i="14"/>
  <c r="FR148" i="14"/>
  <c r="FQ148" i="14"/>
  <c r="FP148" i="14"/>
  <c r="FO148" i="14"/>
  <c r="FN148" i="14"/>
  <c r="FM148" i="14"/>
  <c r="FL148" i="14"/>
  <c r="FK148" i="14"/>
  <c r="FJ148" i="14"/>
  <c r="FI148" i="14"/>
  <c r="FH148" i="14"/>
  <c r="FG148" i="14"/>
  <c r="FF148" i="14"/>
  <c r="FE148" i="14"/>
  <c r="CV148" i="14"/>
  <c r="CU148" i="14"/>
  <c r="CT148" i="14"/>
  <c r="CS148" i="14"/>
  <c r="CR148" i="14"/>
  <c r="CQ148" i="14"/>
  <c r="CP148" i="14"/>
  <c r="CO148" i="14"/>
  <c r="CN148" i="14"/>
  <c r="CM148" i="14"/>
  <c r="CL148" i="14"/>
  <c r="CK148" i="14"/>
  <c r="CJ148" i="14"/>
  <c r="CI148" i="14"/>
  <c r="CH148" i="14"/>
  <c r="CG148" i="14"/>
  <c r="CF148" i="14"/>
  <c r="CE148" i="14"/>
  <c r="CD148" i="14"/>
  <c r="CC148" i="14"/>
  <c r="CB148" i="14"/>
  <c r="CA148" i="14"/>
  <c r="BZ148" i="14"/>
  <c r="BY148" i="14"/>
  <c r="BX148" i="14"/>
  <c r="BW148" i="14"/>
  <c r="BV148" i="14"/>
  <c r="BU148" i="14"/>
  <c r="BT148" i="14"/>
  <c r="BS148" i="14"/>
  <c r="BR148" i="14" a="1"/>
  <c r="BR148" i="14" s="1"/>
  <c r="BQ148" i="14" a="1"/>
  <c r="BQ148" i="14" s="1"/>
  <c r="BP148" i="14" a="1"/>
  <c r="BP148" i="14" s="1"/>
  <c r="BO148" i="14" a="1"/>
  <c r="BO148" i="14" s="1"/>
  <c r="BN148" i="14" a="1"/>
  <c r="BN148" i="14" s="1"/>
  <c r="BM148" i="14" a="1"/>
  <c r="BM148" i="14" s="1"/>
  <c r="BL148" i="14" a="1"/>
  <c r="BL148" i="14" s="1"/>
  <c r="BK148" i="14" a="1"/>
  <c r="BK148" i="14" s="1"/>
  <c r="BJ148" i="14" a="1"/>
  <c r="BJ148" i="14" s="1"/>
  <c r="BI148" i="14" a="1"/>
  <c r="BI148" i="14" s="1"/>
  <c r="BH148" i="14" a="1"/>
  <c r="BH148" i="14" s="1"/>
  <c r="BG148" i="14" a="1"/>
  <c r="BG148" i="14" s="1"/>
  <c r="BF148" i="14" a="1"/>
  <c r="BF148" i="14" s="1"/>
  <c r="BE148" i="14" a="1"/>
  <c r="BE148" i="14" s="1"/>
  <c r="BD148" i="14" a="1"/>
  <c r="BD148" i="14" s="1"/>
  <c r="BC148" i="14" a="1"/>
  <c r="BC148" i="14" s="1"/>
  <c r="BB148" i="14" a="1"/>
  <c r="BB148" i="14" s="1"/>
  <c r="BA148" i="14" a="1"/>
  <c r="BA148" i="14" s="1"/>
  <c r="AZ148" i="14" a="1"/>
  <c r="AZ148" i="14" s="1"/>
  <c r="AY148" i="14" a="1"/>
  <c r="AY148" i="14" s="1"/>
  <c r="AX148" i="14" a="1"/>
  <c r="AX148" i="14" s="1"/>
  <c r="AW148" i="14" a="1"/>
  <c r="AW148" i="14" s="1"/>
  <c r="AV148" i="14" a="1"/>
  <c r="AV148" i="14" s="1"/>
  <c r="AU148" i="14" a="1"/>
  <c r="AU148" i="14" s="1"/>
  <c r="AT148" i="14" a="1"/>
  <c r="AT148" i="14" s="1"/>
  <c r="AS148" i="14" a="1"/>
  <c r="AS148" i="14" s="1"/>
  <c r="AR148" i="14" a="1"/>
  <c r="AR148" i="14" s="1"/>
  <c r="AQ148" i="14" a="1"/>
  <c r="AQ148" i="14" s="1"/>
  <c r="AP148" i="14" a="1"/>
  <c r="AP148" i="14" s="1"/>
  <c r="AO148" i="14" a="1"/>
  <c r="AO148" i="14" s="1"/>
  <c r="AN148" i="14"/>
  <c r="AM148" i="14"/>
  <c r="AL148" i="14"/>
  <c r="AK148" i="14"/>
  <c r="AJ148" i="14"/>
  <c r="AI148" i="14"/>
  <c r="AH148" i="14"/>
  <c r="JT147" i="14"/>
  <c r="JS147" i="14"/>
  <c r="JR147" i="14"/>
  <c r="JQ147" i="14"/>
  <c r="JP147" i="14"/>
  <c r="JO147" i="14"/>
  <c r="JN147" i="14"/>
  <c r="JM147" i="14"/>
  <c r="JL147" i="14"/>
  <c r="JK147" i="14"/>
  <c r="JJ147" i="14"/>
  <c r="JI147" i="14"/>
  <c r="JH147" i="14"/>
  <c r="JG147" i="14"/>
  <c r="JF147" i="14"/>
  <c r="JE147" i="14"/>
  <c r="JD147" i="14"/>
  <c r="JC147" i="14"/>
  <c r="JB147" i="14"/>
  <c r="JA147" i="14"/>
  <c r="IZ147" i="14"/>
  <c r="IY147" i="14"/>
  <c r="IX147" i="14"/>
  <c r="IW147" i="14"/>
  <c r="IV147" i="14"/>
  <c r="IU147" i="14"/>
  <c r="IT147" i="14"/>
  <c r="IS147" i="14"/>
  <c r="IR147" i="14"/>
  <c r="IQ147" i="14"/>
  <c r="IP147" i="14"/>
  <c r="IO147" i="14"/>
  <c r="IN147" i="14"/>
  <c r="IM147" i="14"/>
  <c r="IL147" i="14"/>
  <c r="IK147" i="14"/>
  <c r="IJ147" i="14"/>
  <c r="II147" i="14"/>
  <c r="IH147" i="14"/>
  <c r="IG147" i="14"/>
  <c r="IF147" i="14"/>
  <c r="IE147" i="14"/>
  <c r="ID147" i="14"/>
  <c r="IC147" i="14"/>
  <c r="IB147" i="14"/>
  <c r="IA147" i="14"/>
  <c r="HZ147" i="14"/>
  <c r="HY147" i="14"/>
  <c r="HX147" i="14"/>
  <c r="HW147" i="14"/>
  <c r="HV147" i="14"/>
  <c r="HU147" i="14"/>
  <c r="HT147" i="14"/>
  <c r="HS147" i="14"/>
  <c r="HR147" i="14"/>
  <c r="HQ147" i="14"/>
  <c r="HP147" i="14"/>
  <c r="HO147" i="14"/>
  <c r="HN147" i="14"/>
  <c r="HM147" i="14"/>
  <c r="GH147" i="14"/>
  <c r="GG147" i="14"/>
  <c r="GF147" i="14"/>
  <c r="GE147" i="14"/>
  <c r="GD147" i="14"/>
  <c r="GC147" i="14"/>
  <c r="GB147" i="14"/>
  <c r="GA147" i="14"/>
  <c r="FZ147" i="14"/>
  <c r="FY147" i="14"/>
  <c r="FX147" i="14"/>
  <c r="FW147" i="14"/>
  <c r="FV147" i="14"/>
  <c r="FU147" i="14"/>
  <c r="FT147" i="14"/>
  <c r="FS147" i="14"/>
  <c r="FR147" i="14"/>
  <c r="FQ147" i="14"/>
  <c r="FP147" i="14"/>
  <c r="FO147" i="14"/>
  <c r="FN147" i="14"/>
  <c r="FM147" i="14"/>
  <c r="FL147" i="14"/>
  <c r="FK147" i="14"/>
  <c r="FJ147" i="14"/>
  <c r="FI147" i="14"/>
  <c r="FH147" i="14"/>
  <c r="FG147" i="14"/>
  <c r="FF147" i="14"/>
  <c r="FE147" i="14"/>
  <c r="CV147" i="14"/>
  <c r="CU147" i="14"/>
  <c r="CT147" i="14"/>
  <c r="CS147" i="14"/>
  <c r="CR147" i="14"/>
  <c r="CQ147" i="14"/>
  <c r="CP147" i="14"/>
  <c r="CO147" i="14"/>
  <c r="CN147" i="14"/>
  <c r="CM147" i="14"/>
  <c r="CL147" i="14"/>
  <c r="CK147" i="14"/>
  <c r="CJ147" i="14"/>
  <c r="CI147" i="14"/>
  <c r="CH147" i="14"/>
  <c r="CG147" i="14"/>
  <c r="CF147" i="14"/>
  <c r="CE147" i="14"/>
  <c r="CD147" i="14"/>
  <c r="CC147" i="14"/>
  <c r="CB147" i="14"/>
  <c r="CA147" i="14"/>
  <c r="BZ147" i="14"/>
  <c r="BY147" i="14"/>
  <c r="BX147" i="14"/>
  <c r="BW147" i="14"/>
  <c r="BV147" i="14"/>
  <c r="BU147" i="14"/>
  <c r="BT147" i="14"/>
  <c r="BS147" i="14"/>
  <c r="BR147" i="14" a="1"/>
  <c r="BR147" i="14" s="1"/>
  <c r="BQ147" i="14" a="1"/>
  <c r="BQ147" i="14" s="1"/>
  <c r="BP147" i="14" a="1"/>
  <c r="BP147" i="14" s="1"/>
  <c r="BO147" i="14" a="1"/>
  <c r="BO147" i="14" s="1"/>
  <c r="BN147" i="14" a="1"/>
  <c r="BN147" i="14" s="1"/>
  <c r="BM147" i="14" a="1"/>
  <c r="BM147" i="14" s="1"/>
  <c r="BL147" i="14" a="1"/>
  <c r="BL147" i="14" s="1"/>
  <c r="BK147" i="14" a="1"/>
  <c r="BK147" i="14" s="1"/>
  <c r="BJ147" i="14" a="1"/>
  <c r="BJ147" i="14" s="1"/>
  <c r="BI147" i="14" a="1"/>
  <c r="BI147" i="14" s="1"/>
  <c r="BH147" i="14" a="1"/>
  <c r="BH147" i="14" s="1"/>
  <c r="BG147" i="14" a="1"/>
  <c r="BG147" i="14" s="1"/>
  <c r="BF147" i="14" a="1"/>
  <c r="BF147" i="14" s="1"/>
  <c r="BE147" i="14" a="1"/>
  <c r="BE147" i="14" s="1"/>
  <c r="BD147" i="14" a="1"/>
  <c r="BD147" i="14" s="1"/>
  <c r="BC147" i="14" a="1"/>
  <c r="BC147" i="14" s="1"/>
  <c r="BB147" i="14" a="1"/>
  <c r="BB147" i="14" s="1"/>
  <c r="BA147" i="14" a="1"/>
  <c r="BA147" i="14" s="1"/>
  <c r="AZ147" i="14" a="1"/>
  <c r="AZ147" i="14" s="1"/>
  <c r="AY147" i="14" a="1"/>
  <c r="AY147" i="14" s="1"/>
  <c r="AX147" i="14" a="1"/>
  <c r="AX147" i="14" s="1"/>
  <c r="AW147" i="14" a="1"/>
  <c r="AW147" i="14" s="1"/>
  <c r="AV147" i="14" a="1"/>
  <c r="AV147" i="14" s="1"/>
  <c r="AU147" i="14" a="1"/>
  <c r="AU147" i="14" s="1"/>
  <c r="AT147" i="14" a="1"/>
  <c r="AT147" i="14" s="1"/>
  <c r="AS147" i="14" a="1"/>
  <c r="AS147" i="14" s="1"/>
  <c r="AR147" i="14" a="1"/>
  <c r="AR147" i="14" s="1"/>
  <c r="AQ147" i="14" a="1"/>
  <c r="AQ147" i="14" s="1"/>
  <c r="AP147" i="14" a="1"/>
  <c r="AP147" i="14" s="1"/>
  <c r="AO147" i="14" a="1"/>
  <c r="AO147" i="14" s="1"/>
  <c r="AN147" i="14"/>
  <c r="AM147" i="14"/>
  <c r="AL147" i="14"/>
  <c r="AK147" i="14"/>
  <c r="AJ147" i="14"/>
  <c r="AI147" i="14"/>
  <c r="AH147" i="14"/>
  <c r="JT146" i="14"/>
  <c r="JS146" i="14"/>
  <c r="JR146" i="14"/>
  <c r="JQ146" i="14"/>
  <c r="JP146" i="14"/>
  <c r="JO146" i="14"/>
  <c r="JN146" i="14"/>
  <c r="JM146" i="14"/>
  <c r="JL146" i="14"/>
  <c r="JK146" i="14"/>
  <c r="JJ146" i="14"/>
  <c r="JI146" i="14"/>
  <c r="JH146" i="14"/>
  <c r="JG146" i="14"/>
  <c r="JF146" i="14"/>
  <c r="JE146" i="14"/>
  <c r="JD146" i="14"/>
  <c r="JC146" i="14"/>
  <c r="JB146" i="14"/>
  <c r="JA146" i="14"/>
  <c r="IZ146" i="14"/>
  <c r="IY146" i="14"/>
  <c r="IX146" i="14"/>
  <c r="IW146" i="14"/>
  <c r="IV146" i="14"/>
  <c r="IU146" i="14"/>
  <c r="IT146" i="14"/>
  <c r="IS146" i="14"/>
  <c r="IR146" i="14"/>
  <c r="IQ146" i="14"/>
  <c r="IP146" i="14"/>
  <c r="IO146" i="14"/>
  <c r="IN146" i="14"/>
  <c r="IM146" i="14"/>
  <c r="IL146" i="14"/>
  <c r="IK146" i="14"/>
  <c r="IJ146" i="14"/>
  <c r="II146" i="14"/>
  <c r="IH146" i="14"/>
  <c r="IG146" i="14"/>
  <c r="IF146" i="14"/>
  <c r="IE146" i="14"/>
  <c r="ID146" i="14"/>
  <c r="IC146" i="14"/>
  <c r="IB146" i="14"/>
  <c r="IA146" i="14"/>
  <c r="HZ146" i="14"/>
  <c r="HY146" i="14"/>
  <c r="HX146" i="14"/>
  <c r="HW146" i="14"/>
  <c r="HV146" i="14"/>
  <c r="HU146" i="14"/>
  <c r="HT146" i="14"/>
  <c r="HS146" i="14"/>
  <c r="HR146" i="14"/>
  <c r="HQ146" i="14"/>
  <c r="HP146" i="14"/>
  <c r="HO146" i="14"/>
  <c r="HN146" i="14"/>
  <c r="HM146" i="14"/>
  <c r="GH146" i="14"/>
  <c r="GG146" i="14"/>
  <c r="GF146" i="14"/>
  <c r="GE146" i="14"/>
  <c r="GD146" i="14"/>
  <c r="GC146" i="14"/>
  <c r="GB146" i="14"/>
  <c r="GA146" i="14"/>
  <c r="FZ146" i="14"/>
  <c r="FY146" i="14"/>
  <c r="FX146" i="14"/>
  <c r="FW146" i="14"/>
  <c r="FV146" i="14"/>
  <c r="FU146" i="14"/>
  <c r="FT146" i="14"/>
  <c r="FS146" i="14"/>
  <c r="FR146" i="14"/>
  <c r="FQ146" i="14"/>
  <c r="FP146" i="14"/>
  <c r="FO146" i="14"/>
  <c r="FN146" i="14"/>
  <c r="FM146" i="14"/>
  <c r="FL146" i="14"/>
  <c r="FK146" i="14"/>
  <c r="FJ146" i="14"/>
  <c r="FI146" i="14"/>
  <c r="FH146" i="14"/>
  <c r="FG146" i="14"/>
  <c r="FF146" i="14"/>
  <c r="FE146" i="14"/>
  <c r="CV146" i="14"/>
  <c r="CU146" i="14"/>
  <c r="CT146" i="14"/>
  <c r="CS146" i="14"/>
  <c r="CR146" i="14"/>
  <c r="CQ146" i="14"/>
  <c r="CP146" i="14"/>
  <c r="CO146" i="14"/>
  <c r="CN146" i="14"/>
  <c r="CM146" i="14"/>
  <c r="CL146" i="14"/>
  <c r="CK146" i="14"/>
  <c r="CJ146" i="14"/>
  <c r="CI146" i="14"/>
  <c r="CH146" i="14"/>
  <c r="CG146" i="14"/>
  <c r="CF146" i="14"/>
  <c r="CE146" i="14"/>
  <c r="CD146" i="14"/>
  <c r="CC146" i="14"/>
  <c r="CB146" i="14"/>
  <c r="CA146" i="14"/>
  <c r="BZ146" i="14"/>
  <c r="BY146" i="14"/>
  <c r="BX146" i="14"/>
  <c r="BW146" i="14"/>
  <c r="BV146" i="14"/>
  <c r="BU146" i="14"/>
  <c r="BT146" i="14"/>
  <c r="BS146" i="14"/>
  <c r="BR146" i="14" a="1"/>
  <c r="BR146" i="14" s="1"/>
  <c r="BQ146" i="14" a="1"/>
  <c r="BQ146" i="14" s="1"/>
  <c r="BP146" i="14" a="1"/>
  <c r="BP146" i="14" s="1"/>
  <c r="BO146" i="14" a="1"/>
  <c r="BO146" i="14" s="1"/>
  <c r="BN146" i="14" a="1"/>
  <c r="BN146" i="14" s="1"/>
  <c r="BM146" i="14" a="1"/>
  <c r="BM146" i="14" s="1"/>
  <c r="BL146" i="14" a="1"/>
  <c r="BL146" i="14" s="1"/>
  <c r="BK146" i="14" a="1"/>
  <c r="BK146" i="14" s="1"/>
  <c r="BJ146" i="14" a="1"/>
  <c r="BJ146" i="14" s="1"/>
  <c r="BI146" i="14" a="1"/>
  <c r="BI146" i="14" s="1"/>
  <c r="BH146" i="14" a="1"/>
  <c r="BH146" i="14" s="1"/>
  <c r="BG146" i="14" a="1"/>
  <c r="BG146" i="14" s="1"/>
  <c r="BF146" i="14" a="1"/>
  <c r="BF146" i="14" s="1"/>
  <c r="BE146" i="14" a="1"/>
  <c r="BE146" i="14" s="1"/>
  <c r="BD146" i="14" a="1"/>
  <c r="BD146" i="14" s="1"/>
  <c r="BC146" i="14" a="1"/>
  <c r="BC146" i="14" s="1"/>
  <c r="BB146" i="14" a="1"/>
  <c r="BB146" i="14" s="1"/>
  <c r="BA146" i="14" a="1"/>
  <c r="BA146" i="14" s="1"/>
  <c r="AZ146" i="14" a="1"/>
  <c r="AZ146" i="14" s="1"/>
  <c r="AY146" i="14" a="1"/>
  <c r="AY146" i="14" s="1"/>
  <c r="AX146" i="14" a="1"/>
  <c r="AX146" i="14" s="1"/>
  <c r="AW146" i="14" a="1"/>
  <c r="AW146" i="14" s="1"/>
  <c r="AV146" i="14" a="1"/>
  <c r="AV146" i="14" s="1"/>
  <c r="AU146" i="14" a="1"/>
  <c r="AU146" i="14" s="1"/>
  <c r="AT146" i="14" a="1"/>
  <c r="AT146" i="14" s="1"/>
  <c r="AS146" i="14" a="1"/>
  <c r="AS146" i="14" s="1"/>
  <c r="AR146" i="14" a="1"/>
  <c r="AR146" i="14" s="1"/>
  <c r="AQ146" i="14" a="1"/>
  <c r="AQ146" i="14" s="1"/>
  <c r="AP146" i="14" a="1"/>
  <c r="AP146" i="14" s="1"/>
  <c r="AO146" i="14" a="1"/>
  <c r="AO146" i="14" s="1"/>
  <c r="AN146" i="14"/>
  <c r="AM146" i="14"/>
  <c r="AL146" i="14"/>
  <c r="AK146" i="14"/>
  <c r="AJ146" i="14"/>
  <c r="AI146" i="14"/>
  <c r="EB146" i="14" s="1"/>
  <c r="AH146" i="14"/>
  <c r="JT145" i="14"/>
  <c r="JS145" i="14"/>
  <c r="JR145" i="14"/>
  <c r="JQ145" i="14"/>
  <c r="JP145" i="14"/>
  <c r="JO145" i="14"/>
  <c r="JN145" i="14"/>
  <c r="JM145" i="14"/>
  <c r="JL145" i="14"/>
  <c r="JK145" i="14"/>
  <c r="JJ145" i="14"/>
  <c r="JI145" i="14"/>
  <c r="JH145" i="14"/>
  <c r="JG145" i="14"/>
  <c r="JF145" i="14"/>
  <c r="JE145" i="14"/>
  <c r="JD145" i="14"/>
  <c r="JC145" i="14"/>
  <c r="JB145" i="14"/>
  <c r="JA145" i="14"/>
  <c r="IZ145" i="14"/>
  <c r="IY145" i="14"/>
  <c r="IX145" i="14"/>
  <c r="IW145" i="14"/>
  <c r="IV145" i="14"/>
  <c r="IU145" i="14"/>
  <c r="IT145" i="14"/>
  <c r="IS145" i="14"/>
  <c r="IR145" i="14"/>
  <c r="IQ145" i="14"/>
  <c r="IP145" i="14"/>
  <c r="IO145" i="14"/>
  <c r="IN145" i="14"/>
  <c r="IM145" i="14"/>
  <c r="IL145" i="14"/>
  <c r="IK145" i="14"/>
  <c r="IJ145" i="14"/>
  <c r="II145" i="14"/>
  <c r="IH145" i="14"/>
  <c r="IG145" i="14"/>
  <c r="IF145" i="14"/>
  <c r="IE145" i="14"/>
  <c r="ID145" i="14"/>
  <c r="IC145" i="14"/>
  <c r="IB145" i="14"/>
  <c r="IA145" i="14"/>
  <c r="HZ145" i="14"/>
  <c r="HY145" i="14"/>
  <c r="HX145" i="14"/>
  <c r="HW145" i="14"/>
  <c r="HV145" i="14"/>
  <c r="HU145" i="14"/>
  <c r="HT145" i="14"/>
  <c r="HS145" i="14"/>
  <c r="HR145" i="14"/>
  <c r="HQ145" i="14"/>
  <c r="HP145" i="14"/>
  <c r="HO145" i="14"/>
  <c r="HN145" i="14"/>
  <c r="HM145" i="14"/>
  <c r="GH145" i="14"/>
  <c r="GG145" i="14"/>
  <c r="GF145" i="14"/>
  <c r="GE145" i="14"/>
  <c r="GD145" i="14"/>
  <c r="GC145" i="14"/>
  <c r="GB145" i="14"/>
  <c r="GA145" i="14"/>
  <c r="FZ145" i="14"/>
  <c r="FY145" i="14"/>
  <c r="FX145" i="14"/>
  <c r="FW145" i="14"/>
  <c r="FV145" i="14"/>
  <c r="FU145" i="14"/>
  <c r="FT145" i="14"/>
  <c r="FS145" i="14"/>
  <c r="FR145" i="14"/>
  <c r="FQ145" i="14"/>
  <c r="FP145" i="14"/>
  <c r="FO145" i="14"/>
  <c r="FN145" i="14"/>
  <c r="FM145" i="14"/>
  <c r="FL145" i="14"/>
  <c r="FK145" i="14"/>
  <c r="FJ145" i="14"/>
  <c r="FI145" i="14"/>
  <c r="FH145" i="14"/>
  <c r="FG145" i="14"/>
  <c r="FF145" i="14"/>
  <c r="FE145" i="14"/>
  <c r="CV145" i="14"/>
  <c r="CU145" i="14"/>
  <c r="CT145" i="14"/>
  <c r="CS145" i="14"/>
  <c r="CR145" i="14"/>
  <c r="CQ145" i="14"/>
  <c r="CP145" i="14"/>
  <c r="CO145" i="14"/>
  <c r="CN145" i="14"/>
  <c r="CM145" i="14"/>
  <c r="CL145" i="14"/>
  <c r="CK145" i="14"/>
  <c r="CJ145" i="14"/>
  <c r="CI145" i="14"/>
  <c r="CH145" i="14"/>
  <c r="CG145" i="14"/>
  <c r="CF145" i="14"/>
  <c r="CE145" i="14"/>
  <c r="CD145" i="14"/>
  <c r="CC145" i="14"/>
  <c r="CB145" i="14"/>
  <c r="CA145" i="14"/>
  <c r="BZ145" i="14"/>
  <c r="BY145" i="14"/>
  <c r="BX145" i="14"/>
  <c r="BW145" i="14"/>
  <c r="BV145" i="14"/>
  <c r="BU145" i="14"/>
  <c r="BT145" i="14"/>
  <c r="BS145" i="14"/>
  <c r="BR145" i="14" a="1"/>
  <c r="BR145" i="14" s="1"/>
  <c r="BQ145" i="14" a="1"/>
  <c r="BQ145" i="14" s="1"/>
  <c r="BP145" i="14" a="1"/>
  <c r="BP145" i="14" s="1"/>
  <c r="BO145" i="14" a="1"/>
  <c r="BO145" i="14" s="1"/>
  <c r="BN145" i="14" a="1"/>
  <c r="BN145" i="14" s="1"/>
  <c r="BM145" i="14" a="1"/>
  <c r="BM145" i="14" s="1"/>
  <c r="BL145" i="14" a="1"/>
  <c r="BL145" i="14" s="1"/>
  <c r="BK145" i="14" a="1"/>
  <c r="BK145" i="14" s="1"/>
  <c r="BJ145" i="14" a="1"/>
  <c r="BJ145" i="14" s="1"/>
  <c r="BI145" i="14" a="1"/>
  <c r="BI145" i="14" s="1"/>
  <c r="BH145" i="14" a="1"/>
  <c r="BH145" i="14" s="1"/>
  <c r="BG145" i="14" a="1"/>
  <c r="BG145" i="14" s="1"/>
  <c r="BF145" i="14" a="1"/>
  <c r="BF145" i="14" s="1"/>
  <c r="BE145" i="14" a="1"/>
  <c r="BE145" i="14" s="1"/>
  <c r="BD145" i="14" a="1"/>
  <c r="BD145" i="14" s="1"/>
  <c r="BC145" i="14" a="1"/>
  <c r="BC145" i="14" s="1"/>
  <c r="BB145" i="14" a="1"/>
  <c r="BB145" i="14" s="1"/>
  <c r="BA145" i="14" a="1"/>
  <c r="BA145" i="14" s="1"/>
  <c r="AZ145" i="14" a="1"/>
  <c r="AZ145" i="14" s="1"/>
  <c r="AY145" i="14" a="1"/>
  <c r="AY145" i="14" s="1"/>
  <c r="AX145" i="14" a="1"/>
  <c r="AX145" i="14" s="1"/>
  <c r="AW145" i="14" a="1"/>
  <c r="AW145" i="14" s="1"/>
  <c r="AV145" i="14" a="1"/>
  <c r="AV145" i="14" s="1"/>
  <c r="AU145" i="14" a="1"/>
  <c r="AU145" i="14" s="1"/>
  <c r="AT145" i="14" a="1"/>
  <c r="AT145" i="14" s="1"/>
  <c r="AS145" i="14" a="1"/>
  <c r="AS145" i="14" s="1"/>
  <c r="AR145" i="14" a="1"/>
  <c r="AR145" i="14" s="1"/>
  <c r="AQ145" i="14" a="1"/>
  <c r="AQ145" i="14" s="1"/>
  <c r="AP145" i="14" a="1"/>
  <c r="AP145" i="14" s="1"/>
  <c r="AO145" i="14" a="1"/>
  <c r="AO145" i="14" s="1"/>
  <c r="AN145" i="14"/>
  <c r="AM145" i="14"/>
  <c r="AL145" i="14"/>
  <c r="AK145" i="14"/>
  <c r="AJ145" i="14"/>
  <c r="AI145" i="14"/>
  <c r="FB145" i="14" s="1"/>
  <c r="AH145" i="14"/>
  <c r="JT144" i="14"/>
  <c r="JS144" i="14"/>
  <c r="JR144" i="14"/>
  <c r="JQ144" i="14"/>
  <c r="JP144" i="14"/>
  <c r="JO144" i="14"/>
  <c r="JN144" i="14"/>
  <c r="JM144" i="14"/>
  <c r="JL144" i="14"/>
  <c r="JK144" i="14"/>
  <c r="JJ144" i="14"/>
  <c r="JI144" i="14"/>
  <c r="JH144" i="14"/>
  <c r="JG144" i="14"/>
  <c r="JF144" i="14"/>
  <c r="JE144" i="14"/>
  <c r="JD144" i="14"/>
  <c r="JC144" i="14"/>
  <c r="JB144" i="14"/>
  <c r="JA144" i="14"/>
  <c r="IZ144" i="14"/>
  <c r="IY144" i="14"/>
  <c r="IX144" i="14"/>
  <c r="IW144" i="14"/>
  <c r="IV144" i="14"/>
  <c r="IU144" i="14"/>
  <c r="IT144" i="14"/>
  <c r="IS144" i="14"/>
  <c r="IR144" i="14"/>
  <c r="IQ144" i="14"/>
  <c r="IP144" i="14"/>
  <c r="IO144" i="14"/>
  <c r="IN144" i="14"/>
  <c r="IM144" i="14"/>
  <c r="IL144" i="14"/>
  <c r="IK144" i="14"/>
  <c r="IJ144" i="14"/>
  <c r="II144" i="14"/>
  <c r="IH144" i="14"/>
  <c r="IG144" i="14"/>
  <c r="IF144" i="14"/>
  <c r="IE144" i="14"/>
  <c r="ID144" i="14"/>
  <c r="IC144" i="14"/>
  <c r="IB144" i="14"/>
  <c r="IA144" i="14"/>
  <c r="HZ144" i="14"/>
  <c r="HY144" i="14"/>
  <c r="HX144" i="14"/>
  <c r="HW144" i="14"/>
  <c r="HV144" i="14"/>
  <c r="HU144" i="14"/>
  <c r="HT144" i="14"/>
  <c r="HS144" i="14"/>
  <c r="HR144" i="14"/>
  <c r="HQ144" i="14"/>
  <c r="HP144" i="14"/>
  <c r="HO144" i="14"/>
  <c r="HN144" i="14"/>
  <c r="HM144" i="14"/>
  <c r="GH144" i="14"/>
  <c r="GG144" i="14"/>
  <c r="GF144" i="14"/>
  <c r="GE144" i="14"/>
  <c r="GD144" i="14"/>
  <c r="GC144" i="14"/>
  <c r="GB144" i="14"/>
  <c r="GA144" i="14"/>
  <c r="FZ144" i="14"/>
  <c r="FY144" i="14"/>
  <c r="FX144" i="14"/>
  <c r="FW144" i="14"/>
  <c r="FV144" i="14"/>
  <c r="FU144" i="14"/>
  <c r="FT144" i="14"/>
  <c r="FS144" i="14"/>
  <c r="FR144" i="14"/>
  <c r="FQ144" i="14"/>
  <c r="FP144" i="14"/>
  <c r="FO144" i="14"/>
  <c r="FN144" i="14"/>
  <c r="FM144" i="14"/>
  <c r="FL144" i="14"/>
  <c r="FK144" i="14"/>
  <c r="FJ144" i="14"/>
  <c r="FI144" i="14"/>
  <c r="FH144" i="14"/>
  <c r="FG144" i="14"/>
  <c r="FF144" i="14"/>
  <c r="FE144" i="14"/>
  <c r="CV144" i="14"/>
  <c r="CU144" i="14"/>
  <c r="CT144" i="14"/>
  <c r="CS144" i="14"/>
  <c r="CR144" i="14"/>
  <c r="CQ144" i="14"/>
  <c r="CP144" i="14"/>
  <c r="CO144" i="14"/>
  <c r="CN144" i="14"/>
  <c r="CM144" i="14"/>
  <c r="CL144" i="14"/>
  <c r="CK144" i="14"/>
  <c r="CJ144" i="14"/>
  <c r="CI144" i="14"/>
  <c r="CH144" i="14"/>
  <c r="CG144" i="14"/>
  <c r="CF144" i="14"/>
  <c r="CE144" i="14"/>
  <c r="CD144" i="14"/>
  <c r="CC144" i="14"/>
  <c r="CB144" i="14"/>
  <c r="CA144" i="14"/>
  <c r="BZ144" i="14"/>
  <c r="BY144" i="14"/>
  <c r="BX144" i="14"/>
  <c r="BW144" i="14"/>
  <c r="BV144" i="14"/>
  <c r="BU144" i="14"/>
  <c r="BT144" i="14"/>
  <c r="BS144" i="14"/>
  <c r="BR144" i="14" a="1"/>
  <c r="BR144" i="14" s="1"/>
  <c r="BQ144" i="14" a="1"/>
  <c r="BQ144" i="14" s="1"/>
  <c r="BP144" i="14" a="1"/>
  <c r="BP144" i="14" s="1"/>
  <c r="BO144" i="14" a="1"/>
  <c r="BO144" i="14" s="1"/>
  <c r="BN144" i="14" a="1"/>
  <c r="BN144" i="14" s="1"/>
  <c r="BM144" i="14" a="1"/>
  <c r="BM144" i="14" s="1"/>
  <c r="BL144" i="14" a="1"/>
  <c r="BL144" i="14" s="1"/>
  <c r="BK144" i="14" a="1"/>
  <c r="BK144" i="14" s="1"/>
  <c r="BJ144" i="14" a="1"/>
  <c r="BJ144" i="14" s="1"/>
  <c r="BI144" i="14" a="1"/>
  <c r="BI144" i="14" s="1"/>
  <c r="BH144" i="14" a="1"/>
  <c r="BH144" i="14" s="1"/>
  <c r="BG144" i="14" a="1"/>
  <c r="BG144" i="14" s="1"/>
  <c r="BF144" i="14" a="1"/>
  <c r="BF144" i="14" s="1"/>
  <c r="BE144" i="14" a="1"/>
  <c r="BE144" i="14" s="1"/>
  <c r="BD144" i="14" a="1"/>
  <c r="BD144" i="14" s="1"/>
  <c r="BC144" i="14" a="1"/>
  <c r="BC144" i="14" s="1"/>
  <c r="BB144" i="14" a="1"/>
  <c r="BB144" i="14" s="1"/>
  <c r="BA144" i="14" a="1"/>
  <c r="BA144" i="14" s="1"/>
  <c r="AZ144" i="14" a="1"/>
  <c r="AZ144" i="14" s="1"/>
  <c r="AY144" i="14" a="1"/>
  <c r="AY144" i="14" s="1"/>
  <c r="AX144" i="14" a="1"/>
  <c r="AX144" i="14" s="1"/>
  <c r="AW144" i="14" a="1"/>
  <c r="AW144" i="14" s="1"/>
  <c r="AV144" i="14" a="1"/>
  <c r="AV144" i="14" s="1"/>
  <c r="AU144" i="14" a="1"/>
  <c r="AU144" i="14" s="1"/>
  <c r="AT144" i="14" a="1"/>
  <c r="AT144" i="14" s="1"/>
  <c r="AS144" i="14" a="1"/>
  <c r="AS144" i="14" s="1"/>
  <c r="AR144" i="14" a="1"/>
  <c r="AR144" i="14" s="1"/>
  <c r="AQ144" i="14" a="1"/>
  <c r="AQ144" i="14" s="1"/>
  <c r="AP144" i="14" a="1"/>
  <c r="AP144" i="14" s="1"/>
  <c r="AO144" i="14" a="1"/>
  <c r="AO144" i="14" s="1"/>
  <c r="AN144" i="14"/>
  <c r="AM144" i="14"/>
  <c r="AL144" i="14"/>
  <c r="AK144" i="14"/>
  <c r="AJ144" i="14"/>
  <c r="AI144" i="14"/>
  <c r="EQ144" i="14" s="1"/>
  <c r="AH144" i="14"/>
  <c r="JT143" i="14"/>
  <c r="JS143" i="14"/>
  <c r="JR143" i="14"/>
  <c r="JQ143" i="14"/>
  <c r="JP143" i="14"/>
  <c r="JO143" i="14"/>
  <c r="JN143" i="14"/>
  <c r="JM143" i="14"/>
  <c r="JL143" i="14"/>
  <c r="JK143" i="14"/>
  <c r="JJ143" i="14"/>
  <c r="JI143" i="14"/>
  <c r="JH143" i="14"/>
  <c r="JG143" i="14"/>
  <c r="JF143" i="14"/>
  <c r="JE143" i="14"/>
  <c r="JD143" i="14"/>
  <c r="JC143" i="14"/>
  <c r="JB143" i="14"/>
  <c r="JA143" i="14"/>
  <c r="IZ143" i="14"/>
  <c r="IY143" i="14"/>
  <c r="IX143" i="14"/>
  <c r="IW143" i="14"/>
  <c r="IV143" i="14"/>
  <c r="IU143" i="14"/>
  <c r="IT143" i="14"/>
  <c r="IS143" i="14"/>
  <c r="IR143" i="14"/>
  <c r="IQ143" i="14"/>
  <c r="IP143" i="14"/>
  <c r="IO143" i="14"/>
  <c r="IN143" i="14"/>
  <c r="IM143" i="14"/>
  <c r="IL143" i="14"/>
  <c r="IK143" i="14"/>
  <c r="IJ143" i="14"/>
  <c r="II143" i="14"/>
  <c r="IH143" i="14"/>
  <c r="IG143" i="14"/>
  <c r="IF143" i="14"/>
  <c r="IE143" i="14"/>
  <c r="ID143" i="14"/>
  <c r="IC143" i="14"/>
  <c r="IB143" i="14"/>
  <c r="IA143" i="14"/>
  <c r="HZ143" i="14"/>
  <c r="HY143" i="14"/>
  <c r="HX143" i="14"/>
  <c r="HW143" i="14"/>
  <c r="HV143" i="14"/>
  <c r="HU143" i="14"/>
  <c r="HT143" i="14"/>
  <c r="HS143" i="14"/>
  <c r="HR143" i="14"/>
  <c r="HQ143" i="14"/>
  <c r="HP143" i="14"/>
  <c r="HO143" i="14"/>
  <c r="HN143" i="14"/>
  <c r="HM143" i="14"/>
  <c r="GH143" i="14"/>
  <c r="GG143" i="14"/>
  <c r="GF143" i="14"/>
  <c r="GE143" i="14"/>
  <c r="GD143" i="14"/>
  <c r="GC143" i="14"/>
  <c r="GB143" i="14"/>
  <c r="GA143" i="14"/>
  <c r="FZ143" i="14"/>
  <c r="FY143" i="14"/>
  <c r="FX143" i="14"/>
  <c r="FW143" i="14"/>
  <c r="FV143" i="14"/>
  <c r="FU143" i="14"/>
  <c r="FT143" i="14"/>
  <c r="FS143" i="14"/>
  <c r="FR143" i="14"/>
  <c r="FQ143" i="14"/>
  <c r="FP143" i="14"/>
  <c r="FO143" i="14"/>
  <c r="FN143" i="14"/>
  <c r="FM143" i="14"/>
  <c r="FL143" i="14"/>
  <c r="FK143" i="14"/>
  <c r="FJ143" i="14"/>
  <c r="FI143" i="14"/>
  <c r="FH143" i="14"/>
  <c r="FG143" i="14"/>
  <c r="FF143" i="14"/>
  <c r="FE143" i="14"/>
  <c r="CV143" i="14"/>
  <c r="CU143" i="14"/>
  <c r="CT143" i="14"/>
  <c r="CS143" i="14"/>
  <c r="CR143" i="14"/>
  <c r="CQ143" i="14"/>
  <c r="CP143" i="14"/>
  <c r="CO143" i="14"/>
  <c r="CN143" i="14"/>
  <c r="CM143" i="14"/>
  <c r="CL143" i="14"/>
  <c r="CK143" i="14"/>
  <c r="CJ143" i="14"/>
  <c r="CI143" i="14"/>
  <c r="CH143" i="14"/>
  <c r="CG143" i="14"/>
  <c r="CF143" i="14"/>
  <c r="CE143" i="14"/>
  <c r="CD143" i="14"/>
  <c r="CC143" i="14"/>
  <c r="CB143" i="14"/>
  <c r="CA143" i="14"/>
  <c r="BZ143" i="14"/>
  <c r="BY143" i="14"/>
  <c r="BX143" i="14"/>
  <c r="BW143" i="14"/>
  <c r="BV143" i="14"/>
  <c r="BU143" i="14"/>
  <c r="BT143" i="14"/>
  <c r="BS143" i="14"/>
  <c r="BR143" i="14" a="1"/>
  <c r="BR143" i="14" s="1"/>
  <c r="BQ143" i="14" a="1"/>
  <c r="BQ143" i="14" s="1"/>
  <c r="BP143" i="14" a="1"/>
  <c r="BP143" i="14" s="1"/>
  <c r="BO143" i="14" a="1"/>
  <c r="BO143" i="14" s="1"/>
  <c r="BN143" i="14" a="1"/>
  <c r="BN143" i="14" s="1"/>
  <c r="BM143" i="14" a="1"/>
  <c r="BM143" i="14" s="1"/>
  <c r="BL143" i="14" a="1"/>
  <c r="BL143" i="14" s="1"/>
  <c r="BK143" i="14" a="1"/>
  <c r="BK143" i="14" s="1"/>
  <c r="BJ143" i="14" a="1"/>
  <c r="BJ143" i="14" s="1"/>
  <c r="BI143" i="14" a="1"/>
  <c r="BI143" i="14" s="1"/>
  <c r="BH143" i="14" a="1"/>
  <c r="BH143" i="14" s="1"/>
  <c r="BG143" i="14" a="1"/>
  <c r="BG143" i="14" s="1"/>
  <c r="BF143" i="14" a="1"/>
  <c r="BF143" i="14" s="1"/>
  <c r="BE143" i="14" a="1"/>
  <c r="BE143" i="14" s="1"/>
  <c r="BD143" i="14" a="1"/>
  <c r="BD143" i="14" s="1"/>
  <c r="BC143" i="14" a="1"/>
  <c r="BC143" i="14" s="1"/>
  <c r="BB143" i="14" a="1"/>
  <c r="BB143" i="14" s="1"/>
  <c r="BA143" i="14" a="1"/>
  <c r="BA143" i="14" s="1"/>
  <c r="AZ143" i="14" a="1"/>
  <c r="AZ143" i="14" s="1"/>
  <c r="AY143" i="14" a="1"/>
  <c r="AY143" i="14" s="1"/>
  <c r="AX143" i="14" a="1"/>
  <c r="AX143" i="14" s="1"/>
  <c r="AW143" i="14" a="1"/>
  <c r="AW143" i="14" s="1"/>
  <c r="AV143" i="14" a="1"/>
  <c r="AV143" i="14" s="1"/>
  <c r="AU143" i="14" a="1"/>
  <c r="AU143" i="14" s="1"/>
  <c r="AT143" i="14" a="1"/>
  <c r="AT143" i="14" s="1"/>
  <c r="AS143" i="14" a="1"/>
  <c r="AS143" i="14" s="1"/>
  <c r="AR143" i="14" a="1"/>
  <c r="AR143" i="14" s="1"/>
  <c r="AQ143" i="14" a="1"/>
  <c r="AQ143" i="14" s="1"/>
  <c r="AP143" i="14" a="1"/>
  <c r="AP143" i="14" s="1"/>
  <c r="AO143" i="14" a="1"/>
  <c r="AO143" i="14" s="1"/>
  <c r="AN143" i="14"/>
  <c r="AM143" i="14"/>
  <c r="AL143" i="14"/>
  <c r="AK143" i="14"/>
  <c r="AJ143" i="14"/>
  <c r="AI143" i="14"/>
  <c r="ER143" i="14" s="1"/>
  <c r="AH143" i="14"/>
  <c r="JT142" i="14"/>
  <c r="JS142" i="14"/>
  <c r="JR142" i="14"/>
  <c r="JQ142" i="14"/>
  <c r="JP142" i="14"/>
  <c r="JO142" i="14"/>
  <c r="JN142" i="14"/>
  <c r="JM142" i="14"/>
  <c r="JL142" i="14"/>
  <c r="JK142" i="14"/>
  <c r="JJ142" i="14"/>
  <c r="JI142" i="14"/>
  <c r="JH142" i="14"/>
  <c r="JG142" i="14"/>
  <c r="JF142" i="14"/>
  <c r="JE142" i="14"/>
  <c r="JD142" i="14"/>
  <c r="JC142" i="14"/>
  <c r="JB142" i="14"/>
  <c r="JA142" i="14"/>
  <c r="IZ142" i="14"/>
  <c r="IY142" i="14"/>
  <c r="IX142" i="14"/>
  <c r="IW142" i="14"/>
  <c r="IV142" i="14"/>
  <c r="IU142" i="14"/>
  <c r="IT142" i="14"/>
  <c r="IS142" i="14"/>
  <c r="IR142" i="14"/>
  <c r="IQ142" i="14"/>
  <c r="IP142" i="14"/>
  <c r="IO142" i="14"/>
  <c r="IN142" i="14"/>
  <c r="IM142" i="14"/>
  <c r="IL142" i="14"/>
  <c r="IK142" i="14"/>
  <c r="IJ142" i="14"/>
  <c r="II142" i="14"/>
  <c r="IH142" i="14"/>
  <c r="IG142" i="14"/>
  <c r="IF142" i="14"/>
  <c r="IE142" i="14"/>
  <c r="ID142" i="14"/>
  <c r="IC142" i="14"/>
  <c r="IB142" i="14"/>
  <c r="IA142" i="14"/>
  <c r="HZ142" i="14"/>
  <c r="HY142" i="14"/>
  <c r="HX142" i="14"/>
  <c r="HW142" i="14"/>
  <c r="HV142" i="14"/>
  <c r="HU142" i="14"/>
  <c r="HT142" i="14"/>
  <c r="HS142" i="14"/>
  <c r="HR142" i="14"/>
  <c r="HQ142" i="14"/>
  <c r="HP142" i="14"/>
  <c r="HO142" i="14"/>
  <c r="HN142" i="14"/>
  <c r="HM142" i="14"/>
  <c r="GH142" i="14"/>
  <c r="GG142" i="14"/>
  <c r="GF142" i="14"/>
  <c r="GE142" i="14"/>
  <c r="GD142" i="14"/>
  <c r="GC142" i="14"/>
  <c r="GB142" i="14"/>
  <c r="GA142" i="14"/>
  <c r="FZ142" i="14"/>
  <c r="FY142" i="14"/>
  <c r="FX142" i="14"/>
  <c r="FW142" i="14"/>
  <c r="FV142" i="14"/>
  <c r="FU142" i="14"/>
  <c r="FT142" i="14"/>
  <c r="FS142" i="14"/>
  <c r="FR142" i="14"/>
  <c r="FQ142" i="14"/>
  <c r="FP142" i="14"/>
  <c r="FO142" i="14"/>
  <c r="FN142" i="14"/>
  <c r="FM142" i="14"/>
  <c r="FL142" i="14"/>
  <c r="FK142" i="14"/>
  <c r="FJ142" i="14"/>
  <c r="FI142" i="14"/>
  <c r="FH142" i="14"/>
  <c r="FG142" i="14"/>
  <c r="FF142" i="14"/>
  <c r="FE142" i="14"/>
  <c r="CV142" i="14"/>
  <c r="CU142" i="14"/>
  <c r="CT142" i="14"/>
  <c r="CS142" i="14"/>
  <c r="CR142" i="14"/>
  <c r="CQ142" i="14"/>
  <c r="CP142" i="14"/>
  <c r="CO142" i="14"/>
  <c r="CN142" i="14"/>
  <c r="CM142" i="14"/>
  <c r="CL142" i="14"/>
  <c r="CK142" i="14"/>
  <c r="CJ142" i="14"/>
  <c r="CI142" i="14"/>
  <c r="CH142" i="14"/>
  <c r="CG142" i="14"/>
  <c r="CF142" i="14"/>
  <c r="CE142" i="14"/>
  <c r="CD142" i="14"/>
  <c r="CC142" i="14"/>
  <c r="CB142" i="14"/>
  <c r="CA142" i="14"/>
  <c r="BZ142" i="14"/>
  <c r="BY142" i="14"/>
  <c r="BX142" i="14"/>
  <c r="BW142" i="14"/>
  <c r="BV142" i="14"/>
  <c r="BU142" i="14"/>
  <c r="BT142" i="14"/>
  <c r="BS142" i="14"/>
  <c r="BR142" i="14" a="1"/>
  <c r="BR142" i="14" s="1"/>
  <c r="BQ142" i="14" a="1"/>
  <c r="BQ142" i="14" s="1"/>
  <c r="BP142" i="14" a="1"/>
  <c r="BP142" i="14" s="1"/>
  <c r="BO142" i="14" a="1"/>
  <c r="BO142" i="14" s="1"/>
  <c r="BN142" i="14" a="1"/>
  <c r="BN142" i="14" s="1"/>
  <c r="BM142" i="14" a="1"/>
  <c r="BM142" i="14" s="1"/>
  <c r="BL142" i="14" a="1"/>
  <c r="BL142" i="14" s="1"/>
  <c r="BK142" i="14" a="1"/>
  <c r="BK142" i="14" s="1"/>
  <c r="BJ142" i="14" a="1"/>
  <c r="BJ142" i="14" s="1"/>
  <c r="BI142" i="14" a="1"/>
  <c r="BI142" i="14" s="1"/>
  <c r="BH142" i="14" a="1"/>
  <c r="BH142" i="14" s="1"/>
  <c r="BG142" i="14" a="1"/>
  <c r="BG142" i="14" s="1"/>
  <c r="BF142" i="14" a="1"/>
  <c r="BF142" i="14" s="1"/>
  <c r="BE142" i="14" a="1"/>
  <c r="BE142" i="14" s="1"/>
  <c r="BD142" i="14" a="1"/>
  <c r="BD142" i="14" s="1"/>
  <c r="BC142" i="14" a="1"/>
  <c r="BC142" i="14" s="1"/>
  <c r="BB142" i="14" a="1"/>
  <c r="BB142" i="14" s="1"/>
  <c r="BA142" i="14" a="1"/>
  <c r="BA142" i="14" s="1"/>
  <c r="AZ142" i="14" a="1"/>
  <c r="AZ142" i="14" s="1"/>
  <c r="AY142" i="14" a="1"/>
  <c r="AY142" i="14" s="1"/>
  <c r="AX142" i="14" a="1"/>
  <c r="AX142" i="14" s="1"/>
  <c r="AW142" i="14" a="1"/>
  <c r="AW142" i="14" s="1"/>
  <c r="AV142" i="14" a="1"/>
  <c r="AV142" i="14" s="1"/>
  <c r="AU142" i="14" a="1"/>
  <c r="AU142" i="14" s="1"/>
  <c r="AT142" i="14" a="1"/>
  <c r="AT142" i="14" s="1"/>
  <c r="AS142" i="14" a="1"/>
  <c r="AS142" i="14" s="1"/>
  <c r="AR142" i="14" a="1"/>
  <c r="AR142" i="14" s="1"/>
  <c r="AQ142" i="14" a="1"/>
  <c r="AQ142" i="14" s="1"/>
  <c r="AP142" i="14" a="1"/>
  <c r="AP142" i="14" s="1"/>
  <c r="AO142" i="14" a="1"/>
  <c r="AO142" i="14" s="1"/>
  <c r="AN142" i="14"/>
  <c r="AM142" i="14"/>
  <c r="AL142" i="14"/>
  <c r="AK142" i="14"/>
  <c r="AJ142" i="14"/>
  <c r="AI142" i="14"/>
  <c r="AH142" i="14"/>
  <c r="JT141" i="14"/>
  <c r="JS141" i="14"/>
  <c r="JR141" i="14"/>
  <c r="JQ141" i="14"/>
  <c r="JP141" i="14"/>
  <c r="JO141" i="14"/>
  <c r="JN141" i="14"/>
  <c r="JM141" i="14"/>
  <c r="JL141" i="14"/>
  <c r="JK141" i="14"/>
  <c r="JJ141" i="14"/>
  <c r="JI141" i="14"/>
  <c r="JH141" i="14"/>
  <c r="JG141" i="14"/>
  <c r="JF141" i="14"/>
  <c r="JE141" i="14"/>
  <c r="JD141" i="14"/>
  <c r="JC141" i="14"/>
  <c r="JB141" i="14"/>
  <c r="JA141" i="14"/>
  <c r="IZ141" i="14"/>
  <c r="IY141" i="14"/>
  <c r="IX141" i="14"/>
  <c r="IW141" i="14"/>
  <c r="IV141" i="14"/>
  <c r="IU141" i="14"/>
  <c r="IT141" i="14"/>
  <c r="IS141" i="14"/>
  <c r="IR141" i="14"/>
  <c r="IQ141" i="14"/>
  <c r="IP141" i="14"/>
  <c r="IO141" i="14"/>
  <c r="IN141" i="14"/>
  <c r="IM141" i="14"/>
  <c r="IL141" i="14"/>
  <c r="IK141" i="14"/>
  <c r="IJ141" i="14"/>
  <c r="II141" i="14"/>
  <c r="IH141" i="14"/>
  <c r="IG141" i="14"/>
  <c r="IF141" i="14"/>
  <c r="IE141" i="14"/>
  <c r="ID141" i="14"/>
  <c r="IC141" i="14"/>
  <c r="IB141" i="14"/>
  <c r="IA141" i="14"/>
  <c r="HZ141" i="14"/>
  <c r="HY141" i="14"/>
  <c r="HX141" i="14"/>
  <c r="HW141" i="14"/>
  <c r="HV141" i="14"/>
  <c r="HU141" i="14"/>
  <c r="HT141" i="14"/>
  <c r="HS141" i="14"/>
  <c r="HR141" i="14"/>
  <c r="HQ141" i="14"/>
  <c r="HP141" i="14"/>
  <c r="HO141" i="14"/>
  <c r="HN141" i="14"/>
  <c r="HM141" i="14"/>
  <c r="GH141" i="14"/>
  <c r="GG141" i="14"/>
  <c r="GF141" i="14"/>
  <c r="GE141" i="14"/>
  <c r="GD141" i="14"/>
  <c r="GC141" i="14"/>
  <c r="GB141" i="14"/>
  <c r="GA141" i="14"/>
  <c r="FZ141" i="14"/>
  <c r="FY141" i="14"/>
  <c r="FX141" i="14"/>
  <c r="FW141" i="14"/>
  <c r="FV141" i="14"/>
  <c r="FU141" i="14"/>
  <c r="FT141" i="14"/>
  <c r="FS141" i="14"/>
  <c r="FR141" i="14"/>
  <c r="FQ141" i="14"/>
  <c r="FP141" i="14"/>
  <c r="FO141" i="14"/>
  <c r="FN141" i="14"/>
  <c r="FM141" i="14"/>
  <c r="FL141" i="14"/>
  <c r="FK141" i="14"/>
  <c r="FJ141" i="14"/>
  <c r="FI141" i="14"/>
  <c r="FH141" i="14"/>
  <c r="FG141" i="14"/>
  <c r="FF141" i="14"/>
  <c r="FE141" i="14"/>
  <c r="CV141" i="14"/>
  <c r="CU141" i="14"/>
  <c r="CT141" i="14"/>
  <c r="CS141" i="14"/>
  <c r="CR141" i="14"/>
  <c r="CQ141" i="14"/>
  <c r="CP141" i="14"/>
  <c r="CO141" i="14"/>
  <c r="CN141" i="14"/>
  <c r="CM141" i="14"/>
  <c r="CL141" i="14"/>
  <c r="CK141" i="14"/>
  <c r="CJ141" i="14"/>
  <c r="CI141" i="14"/>
  <c r="CH141" i="14"/>
  <c r="CG141" i="14"/>
  <c r="CF141" i="14"/>
  <c r="CE141" i="14"/>
  <c r="CD141" i="14"/>
  <c r="CC141" i="14"/>
  <c r="CB141" i="14"/>
  <c r="CA141" i="14"/>
  <c r="BZ141" i="14"/>
  <c r="BY141" i="14"/>
  <c r="BX141" i="14"/>
  <c r="BW141" i="14"/>
  <c r="BV141" i="14"/>
  <c r="BU141" i="14"/>
  <c r="BT141" i="14"/>
  <c r="BS141" i="14"/>
  <c r="BR141" i="14" a="1"/>
  <c r="BR141" i="14" s="1"/>
  <c r="BQ141" i="14" a="1"/>
  <c r="BQ141" i="14" s="1"/>
  <c r="BP141" i="14" a="1"/>
  <c r="BP141" i="14" s="1"/>
  <c r="BO141" i="14" a="1"/>
  <c r="BO141" i="14" s="1"/>
  <c r="BN141" i="14" a="1"/>
  <c r="BN141" i="14" s="1"/>
  <c r="BM141" i="14" a="1"/>
  <c r="BM141" i="14" s="1"/>
  <c r="BL141" i="14" a="1"/>
  <c r="BL141" i="14" s="1"/>
  <c r="BK141" i="14" a="1"/>
  <c r="BK141" i="14" s="1"/>
  <c r="BJ141" i="14" a="1"/>
  <c r="BJ141" i="14" s="1"/>
  <c r="BI141" i="14" a="1"/>
  <c r="BI141" i="14" s="1"/>
  <c r="BH141" i="14" a="1"/>
  <c r="BH141" i="14" s="1"/>
  <c r="BG141" i="14" a="1"/>
  <c r="BG141" i="14" s="1"/>
  <c r="BF141" i="14" a="1"/>
  <c r="BF141" i="14" s="1"/>
  <c r="BE141" i="14" a="1"/>
  <c r="BE141" i="14" s="1"/>
  <c r="BD141" i="14" a="1"/>
  <c r="BD141" i="14" s="1"/>
  <c r="BC141" i="14" a="1"/>
  <c r="BC141" i="14" s="1"/>
  <c r="BB141" i="14" a="1"/>
  <c r="BB141" i="14" s="1"/>
  <c r="BA141" i="14" a="1"/>
  <c r="BA141" i="14" s="1"/>
  <c r="AZ141" i="14" a="1"/>
  <c r="AZ141" i="14" s="1"/>
  <c r="AY141" i="14" a="1"/>
  <c r="AY141" i="14" s="1"/>
  <c r="AX141" i="14" a="1"/>
  <c r="AX141" i="14" s="1"/>
  <c r="AW141" i="14" a="1"/>
  <c r="AW141" i="14" s="1"/>
  <c r="AV141" i="14" a="1"/>
  <c r="AV141" i="14" s="1"/>
  <c r="AU141" i="14" a="1"/>
  <c r="AU141" i="14" s="1"/>
  <c r="AT141" i="14" a="1"/>
  <c r="AT141" i="14" s="1"/>
  <c r="AS141" i="14" a="1"/>
  <c r="AS141" i="14" s="1"/>
  <c r="AR141" i="14" a="1"/>
  <c r="AR141" i="14" s="1"/>
  <c r="AQ141" i="14" a="1"/>
  <c r="AQ141" i="14" s="1"/>
  <c r="AP141" i="14" a="1"/>
  <c r="AP141" i="14" s="1"/>
  <c r="AO141" i="14" a="1"/>
  <c r="AO141" i="14" s="1"/>
  <c r="AN141" i="14"/>
  <c r="AM141" i="14"/>
  <c r="AL141" i="14"/>
  <c r="AK141" i="14"/>
  <c r="AJ141" i="14"/>
  <c r="AI141" i="14"/>
  <c r="AH141" i="14"/>
  <c r="JT140" i="14"/>
  <c r="JS140" i="14"/>
  <c r="JR140" i="14"/>
  <c r="JQ140" i="14"/>
  <c r="JP140" i="14"/>
  <c r="JO140" i="14"/>
  <c r="JN140" i="14"/>
  <c r="JM140" i="14"/>
  <c r="JL140" i="14"/>
  <c r="JK140" i="14"/>
  <c r="JJ140" i="14"/>
  <c r="JI140" i="14"/>
  <c r="JH140" i="14"/>
  <c r="JG140" i="14"/>
  <c r="JF140" i="14"/>
  <c r="JE140" i="14"/>
  <c r="JD140" i="14"/>
  <c r="JC140" i="14"/>
  <c r="JB140" i="14"/>
  <c r="JA140" i="14"/>
  <c r="IZ140" i="14"/>
  <c r="IY140" i="14"/>
  <c r="IX140" i="14"/>
  <c r="IW140" i="14"/>
  <c r="IV140" i="14"/>
  <c r="IU140" i="14"/>
  <c r="IT140" i="14"/>
  <c r="IS140" i="14"/>
  <c r="IR140" i="14"/>
  <c r="IQ140" i="14"/>
  <c r="IP140" i="14"/>
  <c r="IO140" i="14"/>
  <c r="IN140" i="14"/>
  <c r="IM140" i="14"/>
  <c r="IL140" i="14"/>
  <c r="IK140" i="14"/>
  <c r="IJ140" i="14"/>
  <c r="II140" i="14"/>
  <c r="IH140" i="14"/>
  <c r="IG140" i="14"/>
  <c r="IF140" i="14"/>
  <c r="IE140" i="14"/>
  <c r="ID140" i="14"/>
  <c r="IC140" i="14"/>
  <c r="IB140" i="14"/>
  <c r="IA140" i="14"/>
  <c r="HZ140" i="14"/>
  <c r="HY140" i="14"/>
  <c r="HX140" i="14"/>
  <c r="HW140" i="14"/>
  <c r="HV140" i="14"/>
  <c r="HU140" i="14"/>
  <c r="HT140" i="14"/>
  <c r="HS140" i="14"/>
  <c r="HR140" i="14"/>
  <c r="HQ140" i="14"/>
  <c r="HP140" i="14"/>
  <c r="HO140" i="14"/>
  <c r="HN140" i="14"/>
  <c r="HM140" i="14"/>
  <c r="GH140" i="14"/>
  <c r="GG140" i="14"/>
  <c r="GF140" i="14"/>
  <c r="GE140" i="14"/>
  <c r="GD140" i="14"/>
  <c r="GC140" i="14"/>
  <c r="GB140" i="14"/>
  <c r="GA140" i="14"/>
  <c r="FZ140" i="14"/>
  <c r="FY140" i="14"/>
  <c r="FX140" i="14"/>
  <c r="FW140" i="14"/>
  <c r="FV140" i="14"/>
  <c r="FU140" i="14"/>
  <c r="FT140" i="14"/>
  <c r="FS140" i="14"/>
  <c r="FR140" i="14"/>
  <c r="FQ140" i="14"/>
  <c r="FP140" i="14"/>
  <c r="FO140" i="14"/>
  <c r="FN140" i="14"/>
  <c r="FM140" i="14"/>
  <c r="FL140" i="14"/>
  <c r="FK140" i="14"/>
  <c r="FJ140" i="14"/>
  <c r="FI140" i="14"/>
  <c r="FH140" i="14"/>
  <c r="FG140" i="14"/>
  <c r="FF140" i="14"/>
  <c r="FE140" i="14"/>
  <c r="CV140" i="14"/>
  <c r="CU140" i="14"/>
  <c r="CT140" i="14"/>
  <c r="CS140" i="14"/>
  <c r="CR140" i="14"/>
  <c r="CQ140" i="14"/>
  <c r="CP140" i="14"/>
  <c r="CO140" i="14"/>
  <c r="CN140" i="14"/>
  <c r="CM140" i="14"/>
  <c r="CL140" i="14"/>
  <c r="CK140" i="14"/>
  <c r="CJ140" i="14"/>
  <c r="CI140" i="14"/>
  <c r="CH140" i="14"/>
  <c r="CG140" i="14"/>
  <c r="CF140" i="14"/>
  <c r="CE140" i="14"/>
  <c r="CD140" i="14"/>
  <c r="CC140" i="14"/>
  <c r="CB140" i="14"/>
  <c r="CA140" i="14"/>
  <c r="BZ140" i="14"/>
  <c r="BY140" i="14"/>
  <c r="BX140" i="14"/>
  <c r="BW140" i="14"/>
  <c r="BV140" i="14"/>
  <c r="BU140" i="14"/>
  <c r="BT140" i="14"/>
  <c r="BS140" i="14"/>
  <c r="BR140" i="14" a="1"/>
  <c r="BR140" i="14" s="1"/>
  <c r="BQ140" i="14" a="1"/>
  <c r="BQ140" i="14" s="1"/>
  <c r="BP140" i="14" a="1"/>
  <c r="BP140" i="14" s="1"/>
  <c r="BO140" i="14" a="1"/>
  <c r="BO140" i="14" s="1"/>
  <c r="BN140" i="14" a="1"/>
  <c r="BN140" i="14" s="1"/>
  <c r="BM140" i="14" a="1"/>
  <c r="BM140" i="14" s="1"/>
  <c r="BL140" i="14" a="1"/>
  <c r="BL140" i="14" s="1"/>
  <c r="BK140" i="14" a="1"/>
  <c r="BK140" i="14" s="1"/>
  <c r="BJ140" i="14" a="1"/>
  <c r="BJ140" i="14" s="1"/>
  <c r="BI140" i="14" a="1"/>
  <c r="BI140" i="14" s="1"/>
  <c r="BH140" i="14" a="1"/>
  <c r="BH140" i="14" s="1"/>
  <c r="BG140" i="14" a="1"/>
  <c r="BG140" i="14" s="1"/>
  <c r="BF140" i="14" a="1"/>
  <c r="BF140" i="14" s="1"/>
  <c r="BE140" i="14" a="1"/>
  <c r="BE140" i="14" s="1"/>
  <c r="BD140" i="14" a="1"/>
  <c r="BD140" i="14" s="1"/>
  <c r="BC140" i="14" a="1"/>
  <c r="BC140" i="14" s="1"/>
  <c r="BB140" i="14" a="1"/>
  <c r="BB140" i="14" s="1"/>
  <c r="BA140" i="14" a="1"/>
  <c r="BA140" i="14" s="1"/>
  <c r="AZ140" i="14" a="1"/>
  <c r="AZ140" i="14" s="1"/>
  <c r="AY140" i="14" a="1"/>
  <c r="AY140" i="14" s="1"/>
  <c r="AX140" i="14" a="1"/>
  <c r="AX140" i="14" s="1"/>
  <c r="AW140" i="14" a="1"/>
  <c r="AW140" i="14" s="1"/>
  <c r="AV140" i="14" a="1"/>
  <c r="AV140" i="14" s="1"/>
  <c r="AU140" i="14" a="1"/>
  <c r="AU140" i="14" s="1"/>
  <c r="AT140" i="14" a="1"/>
  <c r="AT140" i="14" s="1"/>
  <c r="AS140" i="14" a="1"/>
  <c r="AS140" i="14" s="1"/>
  <c r="AR140" i="14" a="1"/>
  <c r="AR140" i="14" s="1"/>
  <c r="AQ140" i="14" a="1"/>
  <c r="AQ140" i="14" s="1"/>
  <c r="AP140" i="14" a="1"/>
  <c r="AP140" i="14" s="1"/>
  <c r="AO140" i="14" a="1"/>
  <c r="AO140" i="14" s="1"/>
  <c r="AN140" i="14"/>
  <c r="AM140" i="14"/>
  <c r="AL140" i="14"/>
  <c r="AK140" i="14"/>
  <c r="AJ140" i="14"/>
  <c r="AI140" i="14"/>
  <c r="ES140" i="14" s="1"/>
  <c r="AH140" i="14"/>
  <c r="JT139" i="14"/>
  <c r="JS139" i="14"/>
  <c r="JR139" i="14"/>
  <c r="JQ139" i="14"/>
  <c r="JP139" i="14"/>
  <c r="JO139" i="14"/>
  <c r="JN139" i="14"/>
  <c r="JM139" i="14"/>
  <c r="JL139" i="14"/>
  <c r="JK139" i="14"/>
  <c r="JJ139" i="14"/>
  <c r="JI139" i="14"/>
  <c r="JH139" i="14"/>
  <c r="JG139" i="14"/>
  <c r="JF139" i="14"/>
  <c r="JE139" i="14"/>
  <c r="JD139" i="14"/>
  <c r="JC139" i="14"/>
  <c r="JB139" i="14"/>
  <c r="JA139" i="14"/>
  <c r="IZ139" i="14"/>
  <c r="IY139" i="14"/>
  <c r="IX139" i="14"/>
  <c r="IW139" i="14"/>
  <c r="IV139" i="14"/>
  <c r="IU139" i="14"/>
  <c r="IT139" i="14"/>
  <c r="IS139" i="14"/>
  <c r="IR139" i="14"/>
  <c r="IQ139" i="14"/>
  <c r="IP139" i="14"/>
  <c r="IO139" i="14"/>
  <c r="IN139" i="14"/>
  <c r="IM139" i="14"/>
  <c r="IL139" i="14"/>
  <c r="IK139" i="14"/>
  <c r="IJ139" i="14"/>
  <c r="II139" i="14"/>
  <c r="IH139" i="14"/>
  <c r="IG139" i="14"/>
  <c r="IF139" i="14"/>
  <c r="IE139" i="14"/>
  <c r="ID139" i="14"/>
  <c r="IC139" i="14"/>
  <c r="IB139" i="14"/>
  <c r="IA139" i="14"/>
  <c r="HZ139" i="14"/>
  <c r="HY139" i="14"/>
  <c r="HX139" i="14"/>
  <c r="HW139" i="14"/>
  <c r="HV139" i="14"/>
  <c r="HU139" i="14"/>
  <c r="HT139" i="14"/>
  <c r="HS139" i="14"/>
  <c r="HR139" i="14"/>
  <c r="HQ139" i="14"/>
  <c r="HP139" i="14"/>
  <c r="HO139" i="14"/>
  <c r="HN139" i="14"/>
  <c r="HM139" i="14"/>
  <c r="GH139" i="14"/>
  <c r="GG139" i="14"/>
  <c r="GF139" i="14"/>
  <c r="GE139" i="14"/>
  <c r="GD139" i="14"/>
  <c r="GC139" i="14"/>
  <c r="GB139" i="14"/>
  <c r="GA139" i="14"/>
  <c r="FZ139" i="14"/>
  <c r="FY139" i="14"/>
  <c r="FX139" i="14"/>
  <c r="FW139" i="14"/>
  <c r="FV139" i="14"/>
  <c r="FU139" i="14"/>
  <c r="FT139" i="14"/>
  <c r="FS139" i="14"/>
  <c r="FR139" i="14"/>
  <c r="FQ139" i="14"/>
  <c r="FP139" i="14"/>
  <c r="FO139" i="14"/>
  <c r="FN139" i="14"/>
  <c r="FM139" i="14"/>
  <c r="FL139" i="14"/>
  <c r="FK139" i="14"/>
  <c r="FJ139" i="14"/>
  <c r="FI139" i="14"/>
  <c r="FH139" i="14"/>
  <c r="FG139" i="14"/>
  <c r="FF139" i="14"/>
  <c r="FE139" i="14"/>
  <c r="CV139" i="14"/>
  <c r="CU139" i="14"/>
  <c r="CT139" i="14"/>
  <c r="CS139" i="14"/>
  <c r="CR139" i="14"/>
  <c r="CQ139" i="14"/>
  <c r="CP139" i="14"/>
  <c r="CO139" i="14"/>
  <c r="CN139" i="14"/>
  <c r="CM139" i="14"/>
  <c r="CL139" i="14"/>
  <c r="CK139" i="14"/>
  <c r="CJ139" i="14"/>
  <c r="CI139" i="14"/>
  <c r="CH139" i="14"/>
  <c r="CG139" i="14"/>
  <c r="CF139" i="14"/>
  <c r="CE139" i="14"/>
  <c r="CD139" i="14"/>
  <c r="CC139" i="14"/>
  <c r="CB139" i="14"/>
  <c r="CA139" i="14"/>
  <c r="BZ139" i="14"/>
  <c r="BY139" i="14"/>
  <c r="BX139" i="14"/>
  <c r="BW139" i="14"/>
  <c r="BV139" i="14"/>
  <c r="BU139" i="14"/>
  <c r="BT139" i="14"/>
  <c r="BS139" i="14"/>
  <c r="BR139" i="14" a="1"/>
  <c r="BR139" i="14" s="1"/>
  <c r="BQ139" i="14" a="1"/>
  <c r="BQ139" i="14" s="1"/>
  <c r="BP139" i="14" a="1"/>
  <c r="BP139" i="14" s="1"/>
  <c r="BO139" i="14" a="1"/>
  <c r="BO139" i="14" s="1"/>
  <c r="BN139" i="14" a="1"/>
  <c r="BN139" i="14" s="1"/>
  <c r="BM139" i="14" a="1"/>
  <c r="BM139" i="14" s="1"/>
  <c r="BL139" i="14" a="1"/>
  <c r="BL139" i="14" s="1"/>
  <c r="BK139" i="14" a="1"/>
  <c r="BK139" i="14" s="1"/>
  <c r="BJ139" i="14" a="1"/>
  <c r="BJ139" i="14" s="1"/>
  <c r="BI139" i="14" a="1"/>
  <c r="BI139" i="14" s="1"/>
  <c r="BH139" i="14" a="1"/>
  <c r="BH139" i="14" s="1"/>
  <c r="BG139" i="14" a="1"/>
  <c r="BG139" i="14" s="1"/>
  <c r="BF139" i="14" a="1"/>
  <c r="BF139" i="14" s="1"/>
  <c r="BE139" i="14" a="1"/>
  <c r="BE139" i="14" s="1"/>
  <c r="BD139" i="14" a="1"/>
  <c r="BD139" i="14" s="1"/>
  <c r="BC139" i="14" a="1"/>
  <c r="BC139" i="14" s="1"/>
  <c r="BB139" i="14" a="1"/>
  <c r="BB139" i="14" s="1"/>
  <c r="BA139" i="14" a="1"/>
  <c r="BA139" i="14" s="1"/>
  <c r="AZ139" i="14" a="1"/>
  <c r="AZ139" i="14" s="1"/>
  <c r="AY139" i="14" a="1"/>
  <c r="AY139" i="14" s="1"/>
  <c r="AX139" i="14" a="1"/>
  <c r="AX139" i="14" s="1"/>
  <c r="AW139" i="14" a="1"/>
  <c r="AW139" i="14" s="1"/>
  <c r="AV139" i="14" a="1"/>
  <c r="AV139" i="14" s="1"/>
  <c r="AU139" i="14" a="1"/>
  <c r="AU139" i="14" s="1"/>
  <c r="AT139" i="14" a="1"/>
  <c r="AT139" i="14" s="1"/>
  <c r="AS139" i="14" a="1"/>
  <c r="AS139" i="14" s="1"/>
  <c r="AR139" i="14" a="1"/>
  <c r="AR139" i="14" s="1"/>
  <c r="AQ139" i="14" a="1"/>
  <c r="AQ139" i="14" s="1"/>
  <c r="AP139" i="14" a="1"/>
  <c r="AP139" i="14" s="1"/>
  <c r="AO139" i="14" a="1"/>
  <c r="AO139" i="14" s="1"/>
  <c r="AN139" i="14"/>
  <c r="AM139" i="14"/>
  <c r="AL139" i="14"/>
  <c r="AK139" i="14"/>
  <c r="AJ139" i="14"/>
  <c r="AI139" i="14"/>
  <c r="AH139" i="14"/>
  <c r="JT138" i="14"/>
  <c r="JS138" i="14"/>
  <c r="JR138" i="14"/>
  <c r="JQ138" i="14"/>
  <c r="JP138" i="14"/>
  <c r="JO138" i="14"/>
  <c r="JN138" i="14"/>
  <c r="JM138" i="14"/>
  <c r="JL138" i="14"/>
  <c r="JK138" i="14"/>
  <c r="JJ138" i="14"/>
  <c r="JI138" i="14"/>
  <c r="JH138" i="14"/>
  <c r="JG138" i="14"/>
  <c r="JF138" i="14"/>
  <c r="JE138" i="14"/>
  <c r="JD138" i="14"/>
  <c r="JC138" i="14"/>
  <c r="JB138" i="14"/>
  <c r="JA138" i="14"/>
  <c r="IZ138" i="14"/>
  <c r="IY138" i="14"/>
  <c r="IX138" i="14"/>
  <c r="IW138" i="14"/>
  <c r="IV138" i="14"/>
  <c r="IU138" i="14"/>
  <c r="IT138" i="14"/>
  <c r="IS138" i="14"/>
  <c r="IR138" i="14"/>
  <c r="IQ138" i="14"/>
  <c r="IP138" i="14"/>
  <c r="IO138" i="14"/>
  <c r="IN138" i="14"/>
  <c r="IM138" i="14"/>
  <c r="IL138" i="14"/>
  <c r="IK138" i="14"/>
  <c r="IJ138" i="14"/>
  <c r="II138" i="14"/>
  <c r="IH138" i="14"/>
  <c r="IG138" i="14"/>
  <c r="IF138" i="14"/>
  <c r="IE138" i="14"/>
  <c r="ID138" i="14"/>
  <c r="IC138" i="14"/>
  <c r="IB138" i="14"/>
  <c r="IA138" i="14"/>
  <c r="HZ138" i="14"/>
  <c r="HY138" i="14"/>
  <c r="HX138" i="14"/>
  <c r="HW138" i="14"/>
  <c r="HV138" i="14"/>
  <c r="HU138" i="14"/>
  <c r="HT138" i="14"/>
  <c r="HS138" i="14"/>
  <c r="HR138" i="14"/>
  <c r="HQ138" i="14"/>
  <c r="HP138" i="14"/>
  <c r="HO138" i="14"/>
  <c r="HN138" i="14"/>
  <c r="HM138" i="14"/>
  <c r="GH138" i="14"/>
  <c r="GG138" i="14"/>
  <c r="GF138" i="14"/>
  <c r="GE138" i="14"/>
  <c r="GD138" i="14"/>
  <c r="GC138" i="14"/>
  <c r="GB138" i="14"/>
  <c r="GA138" i="14"/>
  <c r="FZ138" i="14"/>
  <c r="FY138" i="14"/>
  <c r="FX138" i="14"/>
  <c r="FW138" i="14"/>
  <c r="FV138" i="14"/>
  <c r="FU138" i="14"/>
  <c r="FT138" i="14"/>
  <c r="FS138" i="14"/>
  <c r="FR138" i="14"/>
  <c r="FQ138" i="14"/>
  <c r="FP138" i="14"/>
  <c r="FO138" i="14"/>
  <c r="FN138" i="14"/>
  <c r="FM138" i="14"/>
  <c r="FL138" i="14"/>
  <c r="FK138" i="14"/>
  <c r="FJ138" i="14"/>
  <c r="FI138" i="14"/>
  <c r="FH138" i="14"/>
  <c r="FG138" i="14"/>
  <c r="FF138" i="14"/>
  <c r="FE138" i="14"/>
  <c r="CV138" i="14"/>
  <c r="CU138" i="14"/>
  <c r="CT138" i="14"/>
  <c r="CS138" i="14"/>
  <c r="CR138" i="14"/>
  <c r="CQ138" i="14"/>
  <c r="CP138" i="14"/>
  <c r="CO138" i="14"/>
  <c r="CN138" i="14"/>
  <c r="CM138" i="14"/>
  <c r="CL138" i="14"/>
  <c r="CK138" i="14"/>
  <c r="CJ138" i="14"/>
  <c r="CI138" i="14"/>
  <c r="CH138" i="14"/>
  <c r="CG138" i="14"/>
  <c r="CF138" i="14"/>
  <c r="CE138" i="14"/>
  <c r="CD138" i="14"/>
  <c r="CC138" i="14"/>
  <c r="CB138" i="14"/>
  <c r="CA138" i="14"/>
  <c r="BZ138" i="14"/>
  <c r="BY138" i="14"/>
  <c r="BX138" i="14"/>
  <c r="BW138" i="14"/>
  <c r="BV138" i="14"/>
  <c r="BU138" i="14"/>
  <c r="BT138" i="14"/>
  <c r="BS138" i="14"/>
  <c r="BR138" i="14" a="1"/>
  <c r="BR138" i="14" s="1"/>
  <c r="BQ138" i="14" a="1"/>
  <c r="BQ138" i="14" s="1"/>
  <c r="BP138" i="14" a="1"/>
  <c r="BP138" i="14" s="1"/>
  <c r="BO138" i="14" a="1"/>
  <c r="BO138" i="14" s="1"/>
  <c r="BN138" i="14" a="1"/>
  <c r="BN138" i="14" s="1"/>
  <c r="BM138" i="14" a="1"/>
  <c r="BM138" i="14" s="1"/>
  <c r="BL138" i="14" a="1"/>
  <c r="BL138" i="14" s="1"/>
  <c r="BK138" i="14" a="1"/>
  <c r="BK138" i="14" s="1"/>
  <c r="BJ138" i="14" a="1"/>
  <c r="BJ138" i="14" s="1"/>
  <c r="BI138" i="14" a="1"/>
  <c r="BI138" i="14" s="1"/>
  <c r="BH138" i="14" a="1"/>
  <c r="BH138" i="14" s="1"/>
  <c r="BG138" i="14" a="1"/>
  <c r="BG138" i="14" s="1"/>
  <c r="BF138" i="14" a="1"/>
  <c r="BF138" i="14" s="1"/>
  <c r="BE138" i="14" a="1"/>
  <c r="BE138" i="14" s="1"/>
  <c r="BD138" i="14" a="1"/>
  <c r="BD138" i="14" s="1"/>
  <c r="BC138" i="14" a="1"/>
  <c r="BC138" i="14" s="1"/>
  <c r="BB138" i="14" a="1"/>
  <c r="BB138" i="14" s="1"/>
  <c r="BA138" i="14" a="1"/>
  <c r="BA138" i="14" s="1"/>
  <c r="AZ138" i="14" a="1"/>
  <c r="AZ138" i="14" s="1"/>
  <c r="AY138" i="14" a="1"/>
  <c r="AY138" i="14" s="1"/>
  <c r="AX138" i="14" a="1"/>
  <c r="AX138" i="14" s="1"/>
  <c r="AW138" i="14" a="1"/>
  <c r="AW138" i="14" s="1"/>
  <c r="AV138" i="14" a="1"/>
  <c r="AV138" i="14" s="1"/>
  <c r="AU138" i="14" a="1"/>
  <c r="AU138" i="14" s="1"/>
  <c r="AT138" i="14" a="1"/>
  <c r="AT138" i="14" s="1"/>
  <c r="AS138" i="14" a="1"/>
  <c r="AS138" i="14" s="1"/>
  <c r="AR138" i="14" a="1"/>
  <c r="AR138" i="14" s="1"/>
  <c r="AQ138" i="14" a="1"/>
  <c r="AQ138" i="14" s="1"/>
  <c r="AP138" i="14" a="1"/>
  <c r="AP138" i="14" s="1"/>
  <c r="AO138" i="14" a="1"/>
  <c r="AO138" i="14" s="1"/>
  <c r="AN138" i="14"/>
  <c r="AM138" i="14"/>
  <c r="AL138" i="14"/>
  <c r="AK138" i="14"/>
  <c r="AJ138" i="14"/>
  <c r="AI138" i="14"/>
  <c r="ED138" i="14" s="1"/>
  <c r="AH138" i="14"/>
  <c r="JT137" i="14"/>
  <c r="JS137" i="14"/>
  <c r="JR137" i="14"/>
  <c r="JQ137" i="14"/>
  <c r="JP137" i="14"/>
  <c r="JO137" i="14"/>
  <c r="JN137" i="14"/>
  <c r="JM137" i="14"/>
  <c r="JL137" i="14"/>
  <c r="JK137" i="14"/>
  <c r="JJ137" i="14"/>
  <c r="JI137" i="14"/>
  <c r="JH137" i="14"/>
  <c r="JG137" i="14"/>
  <c r="JF137" i="14"/>
  <c r="JE137" i="14"/>
  <c r="JD137" i="14"/>
  <c r="JC137" i="14"/>
  <c r="JB137" i="14"/>
  <c r="JA137" i="14"/>
  <c r="IZ137" i="14"/>
  <c r="IY137" i="14"/>
  <c r="IX137" i="14"/>
  <c r="IW137" i="14"/>
  <c r="IV137" i="14"/>
  <c r="IU137" i="14"/>
  <c r="IT137" i="14"/>
  <c r="IS137" i="14"/>
  <c r="IR137" i="14"/>
  <c r="IQ137" i="14"/>
  <c r="IP137" i="14"/>
  <c r="IO137" i="14"/>
  <c r="IN137" i="14"/>
  <c r="IM137" i="14"/>
  <c r="IL137" i="14"/>
  <c r="IK137" i="14"/>
  <c r="IJ137" i="14"/>
  <c r="II137" i="14"/>
  <c r="IH137" i="14"/>
  <c r="IG137" i="14"/>
  <c r="IF137" i="14"/>
  <c r="IE137" i="14"/>
  <c r="ID137" i="14"/>
  <c r="IC137" i="14"/>
  <c r="IB137" i="14"/>
  <c r="IA137" i="14"/>
  <c r="HZ137" i="14"/>
  <c r="HY137" i="14"/>
  <c r="HX137" i="14"/>
  <c r="HW137" i="14"/>
  <c r="HV137" i="14"/>
  <c r="HU137" i="14"/>
  <c r="HT137" i="14"/>
  <c r="HS137" i="14"/>
  <c r="HR137" i="14"/>
  <c r="HQ137" i="14"/>
  <c r="HP137" i="14"/>
  <c r="HO137" i="14"/>
  <c r="HN137" i="14"/>
  <c r="HM137" i="14"/>
  <c r="GH137" i="14"/>
  <c r="GG137" i="14"/>
  <c r="GF137" i="14"/>
  <c r="GE137" i="14"/>
  <c r="GD137" i="14"/>
  <c r="GC137" i="14"/>
  <c r="GB137" i="14"/>
  <c r="GA137" i="14"/>
  <c r="FZ137" i="14"/>
  <c r="FY137" i="14"/>
  <c r="FX137" i="14"/>
  <c r="FW137" i="14"/>
  <c r="FV137" i="14"/>
  <c r="FU137" i="14"/>
  <c r="FT137" i="14"/>
  <c r="FS137" i="14"/>
  <c r="FR137" i="14"/>
  <c r="FQ137" i="14"/>
  <c r="FP137" i="14"/>
  <c r="FO137" i="14"/>
  <c r="FN137" i="14"/>
  <c r="FM137" i="14"/>
  <c r="FL137" i="14"/>
  <c r="FK137" i="14"/>
  <c r="FJ137" i="14"/>
  <c r="FI137" i="14"/>
  <c r="FH137" i="14"/>
  <c r="FG137" i="14"/>
  <c r="FF137" i="14"/>
  <c r="FE137" i="14"/>
  <c r="CV137" i="14"/>
  <c r="CU137" i="14"/>
  <c r="CT137" i="14"/>
  <c r="CS137" i="14"/>
  <c r="CR137" i="14"/>
  <c r="CQ137" i="14"/>
  <c r="CP137" i="14"/>
  <c r="CO137" i="14"/>
  <c r="CN137" i="14"/>
  <c r="CM137" i="14"/>
  <c r="CL137" i="14"/>
  <c r="CK137" i="14"/>
  <c r="CJ137" i="14"/>
  <c r="CI137" i="14"/>
  <c r="CH137" i="14"/>
  <c r="CG137" i="14"/>
  <c r="CF137" i="14"/>
  <c r="CE137" i="14"/>
  <c r="CD137" i="14"/>
  <c r="CC137" i="14"/>
  <c r="CB137" i="14"/>
  <c r="CA137" i="14"/>
  <c r="BZ137" i="14"/>
  <c r="BY137" i="14"/>
  <c r="BX137" i="14"/>
  <c r="BW137" i="14"/>
  <c r="BV137" i="14"/>
  <c r="BU137" i="14"/>
  <c r="BT137" i="14"/>
  <c r="BS137" i="14"/>
  <c r="BR137" i="14" a="1"/>
  <c r="BR137" i="14" s="1"/>
  <c r="BQ137" i="14" a="1"/>
  <c r="BQ137" i="14" s="1"/>
  <c r="BP137" i="14" a="1"/>
  <c r="BP137" i="14" s="1"/>
  <c r="BO137" i="14" a="1"/>
  <c r="BO137" i="14" s="1"/>
  <c r="BN137" i="14" a="1"/>
  <c r="BN137" i="14" s="1"/>
  <c r="BM137" i="14" a="1"/>
  <c r="BM137" i="14" s="1"/>
  <c r="BL137" i="14" a="1"/>
  <c r="BL137" i="14" s="1"/>
  <c r="BK137" i="14" a="1"/>
  <c r="BK137" i="14" s="1"/>
  <c r="BJ137" i="14" a="1"/>
  <c r="BJ137" i="14" s="1"/>
  <c r="BI137" i="14" a="1"/>
  <c r="BI137" i="14" s="1"/>
  <c r="BH137" i="14" a="1"/>
  <c r="BH137" i="14" s="1"/>
  <c r="BG137" i="14" a="1"/>
  <c r="BG137" i="14" s="1"/>
  <c r="BF137" i="14" a="1"/>
  <c r="BF137" i="14" s="1"/>
  <c r="BE137" i="14" a="1"/>
  <c r="BE137" i="14" s="1"/>
  <c r="BD137" i="14" a="1"/>
  <c r="BD137" i="14" s="1"/>
  <c r="BC137" i="14" a="1"/>
  <c r="BC137" i="14" s="1"/>
  <c r="BB137" i="14" a="1"/>
  <c r="BB137" i="14" s="1"/>
  <c r="BA137" i="14" a="1"/>
  <c r="BA137" i="14" s="1"/>
  <c r="AZ137" i="14" a="1"/>
  <c r="AZ137" i="14" s="1"/>
  <c r="AY137" i="14" a="1"/>
  <c r="AY137" i="14" s="1"/>
  <c r="AX137" i="14" a="1"/>
  <c r="AX137" i="14" s="1"/>
  <c r="AW137" i="14" a="1"/>
  <c r="AW137" i="14" s="1"/>
  <c r="AV137" i="14" a="1"/>
  <c r="AV137" i="14" s="1"/>
  <c r="AU137" i="14" a="1"/>
  <c r="AU137" i="14" s="1"/>
  <c r="AT137" i="14" a="1"/>
  <c r="AT137" i="14" s="1"/>
  <c r="AS137" i="14" a="1"/>
  <c r="AS137" i="14" s="1"/>
  <c r="AR137" i="14" a="1"/>
  <c r="AR137" i="14" s="1"/>
  <c r="AQ137" i="14" a="1"/>
  <c r="AQ137" i="14" s="1"/>
  <c r="AP137" i="14" a="1"/>
  <c r="AP137" i="14" s="1"/>
  <c r="AO137" i="14" a="1"/>
  <c r="AO137" i="14" s="1"/>
  <c r="AN137" i="14"/>
  <c r="AM137" i="14"/>
  <c r="AL137" i="14"/>
  <c r="AK137" i="14"/>
  <c r="AJ137" i="14"/>
  <c r="AI137" i="14"/>
  <c r="EJ137" i="14" s="1"/>
  <c r="AH137" i="14"/>
  <c r="JT136" i="14"/>
  <c r="JS136" i="14"/>
  <c r="JR136" i="14"/>
  <c r="JQ136" i="14"/>
  <c r="JP136" i="14"/>
  <c r="JO136" i="14"/>
  <c r="JN136" i="14"/>
  <c r="JM136" i="14"/>
  <c r="JL136" i="14"/>
  <c r="JK136" i="14"/>
  <c r="JJ136" i="14"/>
  <c r="JI136" i="14"/>
  <c r="JH136" i="14"/>
  <c r="JG136" i="14"/>
  <c r="JF136" i="14"/>
  <c r="JE136" i="14"/>
  <c r="JD136" i="14"/>
  <c r="JC136" i="14"/>
  <c r="JB136" i="14"/>
  <c r="JA136" i="14"/>
  <c r="IZ136" i="14"/>
  <c r="IY136" i="14"/>
  <c r="IX136" i="14"/>
  <c r="IW136" i="14"/>
  <c r="IV136" i="14"/>
  <c r="IU136" i="14"/>
  <c r="IT136" i="14"/>
  <c r="IS136" i="14"/>
  <c r="IR136" i="14"/>
  <c r="IQ136" i="14"/>
  <c r="IP136" i="14"/>
  <c r="IO136" i="14"/>
  <c r="IN136" i="14"/>
  <c r="IM136" i="14"/>
  <c r="IL136" i="14"/>
  <c r="IK136" i="14"/>
  <c r="IJ136" i="14"/>
  <c r="II136" i="14"/>
  <c r="IH136" i="14"/>
  <c r="IG136" i="14"/>
  <c r="IF136" i="14"/>
  <c r="IE136" i="14"/>
  <c r="ID136" i="14"/>
  <c r="IC136" i="14"/>
  <c r="IB136" i="14"/>
  <c r="IA136" i="14"/>
  <c r="HZ136" i="14"/>
  <c r="HY136" i="14"/>
  <c r="HX136" i="14"/>
  <c r="HW136" i="14"/>
  <c r="HV136" i="14"/>
  <c r="HU136" i="14"/>
  <c r="HT136" i="14"/>
  <c r="HS136" i="14"/>
  <c r="HR136" i="14"/>
  <c r="HQ136" i="14"/>
  <c r="HP136" i="14"/>
  <c r="HO136" i="14"/>
  <c r="HN136" i="14"/>
  <c r="HM136" i="14"/>
  <c r="GH136" i="14"/>
  <c r="GG136" i="14"/>
  <c r="GF136" i="14"/>
  <c r="GE136" i="14"/>
  <c r="GD136" i="14"/>
  <c r="GC136" i="14"/>
  <c r="GB136" i="14"/>
  <c r="GA136" i="14"/>
  <c r="FZ136" i="14"/>
  <c r="FY136" i="14"/>
  <c r="FX136" i="14"/>
  <c r="FW136" i="14"/>
  <c r="FV136" i="14"/>
  <c r="FU136" i="14"/>
  <c r="FT136" i="14"/>
  <c r="FS136" i="14"/>
  <c r="FR136" i="14"/>
  <c r="FQ136" i="14"/>
  <c r="FP136" i="14"/>
  <c r="FO136" i="14"/>
  <c r="FN136" i="14"/>
  <c r="FM136" i="14"/>
  <c r="FL136" i="14"/>
  <c r="FK136" i="14"/>
  <c r="FJ136" i="14"/>
  <c r="FI136" i="14"/>
  <c r="FH136" i="14"/>
  <c r="FG136" i="14"/>
  <c r="FF136" i="14"/>
  <c r="FE136" i="14"/>
  <c r="CV136" i="14"/>
  <c r="CU136" i="14"/>
  <c r="CT136" i="14"/>
  <c r="CS136" i="14"/>
  <c r="CR136" i="14"/>
  <c r="CQ136" i="14"/>
  <c r="CP136" i="14"/>
  <c r="CO136" i="14"/>
  <c r="CN136" i="14"/>
  <c r="CM136" i="14"/>
  <c r="CL136" i="14"/>
  <c r="CK136" i="14"/>
  <c r="CJ136" i="14"/>
  <c r="CI136" i="14"/>
  <c r="CH136" i="14"/>
  <c r="CG136" i="14"/>
  <c r="CF136" i="14"/>
  <c r="CE136" i="14"/>
  <c r="CD136" i="14"/>
  <c r="CC136" i="14"/>
  <c r="CB136" i="14"/>
  <c r="CA136" i="14"/>
  <c r="BZ136" i="14"/>
  <c r="BY136" i="14"/>
  <c r="BX136" i="14"/>
  <c r="BW136" i="14"/>
  <c r="BV136" i="14"/>
  <c r="BU136" i="14"/>
  <c r="BT136" i="14"/>
  <c r="BS136" i="14"/>
  <c r="BR136" i="14" a="1"/>
  <c r="BR136" i="14" s="1"/>
  <c r="BQ136" i="14" a="1"/>
  <c r="BQ136" i="14" s="1"/>
  <c r="BP136" i="14" a="1"/>
  <c r="BP136" i="14" s="1"/>
  <c r="BO136" i="14" a="1"/>
  <c r="BO136" i="14" s="1"/>
  <c r="BN136" i="14" a="1"/>
  <c r="BN136" i="14" s="1"/>
  <c r="BM136" i="14" a="1"/>
  <c r="BM136" i="14" s="1"/>
  <c r="BL136" i="14" a="1"/>
  <c r="BL136" i="14" s="1"/>
  <c r="BK136" i="14" a="1"/>
  <c r="BK136" i="14" s="1"/>
  <c r="BJ136" i="14" a="1"/>
  <c r="BJ136" i="14" s="1"/>
  <c r="BI136" i="14" a="1"/>
  <c r="BI136" i="14" s="1"/>
  <c r="BH136" i="14" a="1"/>
  <c r="BH136" i="14" s="1"/>
  <c r="BG136" i="14" a="1"/>
  <c r="BG136" i="14" s="1"/>
  <c r="BF136" i="14" a="1"/>
  <c r="BF136" i="14" s="1"/>
  <c r="BE136" i="14" a="1"/>
  <c r="BE136" i="14" s="1"/>
  <c r="BD136" i="14" a="1"/>
  <c r="BD136" i="14" s="1"/>
  <c r="BC136" i="14" a="1"/>
  <c r="BC136" i="14" s="1"/>
  <c r="BB136" i="14" a="1"/>
  <c r="BB136" i="14" s="1"/>
  <c r="BA136" i="14" a="1"/>
  <c r="BA136" i="14" s="1"/>
  <c r="AZ136" i="14" a="1"/>
  <c r="AZ136" i="14" s="1"/>
  <c r="AY136" i="14" a="1"/>
  <c r="AY136" i="14" s="1"/>
  <c r="AX136" i="14" a="1"/>
  <c r="AX136" i="14" s="1"/>
  <c r="AW136" i="14" a="1"/>
  <c r="AW136" i="14" s="1"/>
  <c r="AV136" i="14" a="1"/>
  <c r="AV136" i="14" s="1"/>
  <c r="AU136" i="14" a="1"/>
  <c r="AU136" i="14" s="1"/>
  <c r="AT136" i="14" a="1"/>
  <c r="AT136" i="14" s="1"/>
  <c r="AS136" i="14" a="1"/>
  <c r="AS136" i="14" s="1"/>
  <c r="AR136" i="14" a="1"/>
  <c r="AR136" i="14" s="1"/>
  <c r="AQ136" i="14" a="1"/>
  <c r="AQ136" i="14" s="1"/>
  <c r="AP136" i="14" a="1"/>
  <c r="AP136" i="14" s="1"/>
  <c r="AO136" i="14" a="1"/>
  <c r="AO136" i="14" s="1"/>
  <c r="AN136" i="14"/>
  <c r="AM136" i="14"/>
  <c r="AL136" i="14"/>
  <c r="AK136" i="14"/>
  <c r="AJ136" i="14"/>
  <c r="AI136" i="14"/>
  <c r="EK136" i="14" s="1"/>
  <c r="AH136" i="14"/>
  <c r="JT135" i="14"/>
  <c r="JS135" i="14"/>
  <c r="JR135" i="14"/>
  <c r="JQ135" i="14"/>
  <c r="JP135" i="14"/>
  <c r="JO135" i="14"/>
  <c r="JN135" i="14"/>
  <c r="JM135" i="14"/>
  <c r="JL135" i="14"/>
  <c r="JK135" i="14"/>
  <c r="JJ135" i="14"/>
  <c r="JI135" i="14"/>
  <c r="JH135" i="14"/>
  <c r="JG135" i="14"/>
  <c r="JF135" i="14"/>
  <c r="JE135" i="14"/>
  <c r="JD135" i="14"/>
  <c r="JC135" i="14"/>
  <c r="JB135" i="14"/>
  <c r="JA135" i="14"/>
  <c r="IZ135" i="14"/>
  <c r="IY135" i="14"/>
  <c r="IX135" i="14"/>
  <c r="IW135" i="14"/>
  <c r="IV135" i="14"/>
  <c r="IU135" i="14"/>
  <c r="IT135" i="14"/>
  <c r="IS135" i="14"/>
  <c r="IR135" i="14"/>
  <c r="IQ135" i="14"/>
  <c r="IP135" i="14"/>
  <c r="IO135" i="14"/>
  <c r="IN135" i="14"/>
  <c r="IM135" i="14"/>
  <c r="IL135" i="14"/>
  <c r="IK135" i="14"/>
  <c r="IJ135" i="14"/>
  <c r="II135" i="14"/>
  <c r="IH135" i="14"/>
  <c r="IG135" i="14"/>
  <c r="IF135" i="14"/>
  <c r="IE135" i="14"/>
  <c r="ID135" i="14"/>
  <c r="IC135" i="14"/>
  <c r="IB135" i="14"/>
  <c r="IA135" i="14"/>
  <c r="HZ135" i="14"/>
  <c r="HY135" i="14"/>
  <c r="HX135" i="14"/>
  <c r="HW135" i="14"/>
  <c r="HV135" i="14"/>
  <c r="HU135" i="14"/>
  <c r="HT135" i="14"/>
  <c r="HS135" i="14"/>
  <c r="HR135" i="14"/>
  <c r="HQ135" i="14"/>
  <c r="HP135" i="14"/>
  <c r="HO135" i="14"/>
  <c r="HN135" i="14"/>
  <c r="HM135" i="14"/>
  <c r="GH135" i="14"/>
  <c r="GG135" i="14"/>
  <c r="GF135" i="14"/>
  <c r="GE135" i="14"/>
  <c r="GD135" i="14"/>
  <c r="GC135" i="14"/>
  <c r="GB135" i="14"/>
  <c r="GA135" i="14"/>
  <c r="FZ135" i="14"/>
  <c r="FY135" i="14"/>
  <c r="FX135" i="14"/>
  <c r="FW135" i="14"/>
  <c r="FV135" i="14"/>
  <c r="FU135" i="14"/>
  <c r="FT135" i="14"/>
  <c r="FS135" i="14"/>
  <c r="FR135" i="14"/>
  <c r="FQ135" i="14"/>
  <c r="FP135" i="14"/>
  <c r="FO135" i="14"/>
  <c r="FN135" i="14"/>
  <c r="FM135" i="14"/>
  <c r="FL135" i="14"/>
  <c r="FK135" i="14"/>
  <c r="FJ135" i="14"/>
  <c r="FI135" i="14"/>
  <c r="FH135" i="14"/>
  <c r="FG135" i="14"/>
  <c r="FF135" i="14"/>
  <c r="FE135" i="14"/>
  <c r="CV135" i="14"/>
  <c r="CU135" i="14"/>
  <c r="CT135" i="14"/>
  <c r="CS135" i="14"/>
  <c r="CR135" i="14"/>
  <c r="CQ135" i="14"/>
  <c r="CP135" i="14"/>
  <c r="CO135" i="14"/>
  <c r="CN135" i="14"/>
  <c r="CM135" i="14"/>
  <c r="CL135" i="14"/>
  <c r="CK135" i="14"/>
  <c r="CJ135" i="14"/>
  <c r="CI135" i="14"/>
  <c r="CH135" i="14"/>
  <c r="CG135" i="14"/>
  <c r="CF135" i="14"/>
  <c r="CE135" i="14"/>
  <c r="CD135" i="14"/>
  <c r="CC135" i="14"/>
  <c r="CB135" i="14"/>
  <c r="CA135" i="14"/>
  <c r="BZ135" i="14"/>
  <c r="BY135" i="14"/>
  <c r="BX135" i="14"/>
  <c r="BW135" i="14"/>
  <c r="BV135" i="14"/>
  <c r="BU135" i="14"/>
  <c r="BT135" i="14"/>
  <c r="BS135" i="14"/>
  <c r="BR135" i="14" a="1"/>
  <c r="BR135" i="14" s="1"/>
  <c r="BQ135" i="14" a="1"/>
  <c r="BQ135" i="14" s="1"/>
  <c r="BP135" i="14" a="1"/>
  <c r="BP135" i="14" s="1"/>
  <c r="BO135" i="14" a="1"/>
  <c r="BO135" i="14" s="1"/>
  <c r="BN135" i="14" a="1"/>
  <c r="BN135" i="14" s="1"/>
  <c r="BM135" i="14" a="1"/>
  <c r="BM135" i="14" s="1"/>
  <c r="BL135" i="14" a="1"/>
  <c r="BL135" i="14" s="1"/>
  <c r="BK135" i="14" a="1"/>
  <c r="BK135" i="14" s="1"/>
  <c r="BJ135" i="14" a="1"/>
  <c r="BJ135" i="14" s="1"/>
  <c r="BI135" i="14" a="1"/>
  <c r="BI135" i="14" s="1"/>
  <c r="BH135" i="14" a="1"/>
  <c r="BH135" i="14" s="1"/>
  <c r="BG135" i="14" a="1"/>
  <c r="BG135" i="14" s="1"/>
  <c r="BF135" i="14" a="1"/>
  <c r="BF135" i="14" s="1"/>
  <c r="BE135" i="14" a="1"/>
  <c r="BE135" i="14" s="1"/>
  <c r="BD135" i="14" a="1"/>
  <c r="BD135" i="14" s="1"/>
  <c r="BC135" i="14" a="1"/>
  <c r="BC135" i="14" s="1"/>
  <c r="BB135" i="14" a="1"/>
  <c r="BB135" i="14" s="1"/>
  <c r="BA135" i="14" a="1"/>
  <c r="BA135" i="14" s="1"/>
  <c r="AZ135" i="14" a="1"/>
  <c r="AZ135" i="14" s="1"/>
  <c r="AY135" i="14" a="1"/>
  <c r="AY135" i="14" s="1"/>
  <c r="AX135" i="14" a="1"/>
  <c r="AX135" i="14" s="1"/>
  <c r="AW135" i="14" a="1"/>
  <c r="AW135" i="14" s="1"/>
  <c r="AV135" i="14" a="1"/>
  <c r="AV135" i="14" s="1"/>
  <c r="AU135" i="14" a="1"/>
  <c r="AU135" i="14" s="1"/>
  <c r="AT135" i="14" a="1"/>
  <c r="AT135" i="14" s="1"/>
  <c r="AS135" i="14" a="1"/>
  <c r="AS135" i="14" s="1"/>
  <c r="AR135" i="14" a="1"/>
  <c r="AR135" i="14" s="1"/>
  <c r="AQ135" i="14" a="1"/>
  <c r="AQ135" i="14" s="1"/>
  <c r="AP135" i="14" a="1"/>
  <c r="AP135" i="14" s="1"/>
  <c r="AO135" i="14" a="1"/>
  <c r="AO135" i="14" s="1"/>
  <c r="AN135" i="14"/>
  <c r="AM135" i="14"/>
  <c r="AL135" i="14"/>
  <c r="AK135" i="14"/>
  <c r="AJ135" i="14"/>
  <c r="AI135" i="14"/>
  <c r="AH135" i="14"/>
  <c r="JT134" i="14"/>
  <c r="JS134" i="14"/>
  <c r="JR134" i="14"/>
  <c r="JQ134" i="14"/>
  <c r="JP134" i="14"/>
  <c r="JO134" i="14"/>
  <c r="JN134" i="14"/>
  <c r="JM134" i="14"/>
  <c r="JL134" i="14"/>
  <c r="JK134" i="14"/>
  <c r="JJ134" i="14"/>
  <c r="JI134" i="14"/>
  <c r="JH134" i="14"/>
  <c r="JG134" i="14"/>
  <c r="JF134" i="14"/>
  <c r="JE134" i="14"/>
  <c r="JD134" i="14"/>
  <c r="JC134" i="14"/>
  <c r="JB134" i="14"/>
  <c r="JA134" i="14"/>
  <c r="IZ134" i="14"/>
  <c r="IY134" i="14"/>
  <c r="IX134" i="14"/>
  <c r="IW134" i="14"/>
  <c r="IV134" i="14"/>
  <c r="IU134" i="14"/>
  <c r="IT134" i="14"/>
  <c r="IS134" i="14"/>
  <c r="IR134" i="14"/>
  <c r="IQ134" i="14"/>
  <c r="IP134" i="14"/>
  <c r="IO134" i="14"/>
  <c r="IN134" i="14"/>
  <c r="IM134" i="14"/>
  <c r="IL134" i="14"/>
  <c r="IK134" i="14"/>
  <c r="IJ134" i="14"/>
  <c r="II134" i="14"/>
  <c r="IH134" i="14"/>
  <c r="IG134" i="14"/>
  <c r="IF134" i="14"/>
  <c r="IE134" i="14"/>
  <c r="ID134" i="14"/>
  <c r="IC134" i="14"/>
  <c r="IB134" i="14"/>
  <c r="IA134" i="14"/>
  <c r="HZ134" i="14"/>
  <c r="HY134" i="14"/>
  <c r="HX134" i="14"/>
  <c r="HW134" i="14"/>
  <c r="HV134" i="14"/>
  <c r="HU134" i="14"/>
  <c r="HT134" i="14"/>
  <c r="HS134" i="14"/>
  <c r="HR134" i="14"/>
  <c r="HQ134" i="14"/>
  <c r="HP134" i="14"/>
  <c r="HO134" i="14"/>
  <c r="HN134" i="14"/>
  <c r="HM134" i="14"/>
  <c r="GH134" i="14"/>
  <c r="GG134" i="14"/>
  <c r="GF134" i="14"/>
  <c r="GE134" i="14"/>
  <c r="GD134" i="14"/>
  <c r="GC134" i="14"/>
  <c r="GB134" i="14"/>
  <c r="GA134" i="14"/>
  <c r="FZ134" i="14"/>
  <c r="FY134" i="14"/>
  <c r="FX134" i="14"/>
  <c r="FW134" i="14"/>
  <c r="FV134" i="14"/>
  <c r="FU134" i="14"/>
  <c r="FT134" i="14"/>
  <c r="FS134" i="14"/>
  <c r="FR134" i="14"/>
  <c r="FQ134" i="14"/>
  <c r="FP134" i="14"/>
  <c r="FO134" i="14"/>
  <c r="FN134" i="14"/>
  <c r="FM134" i="14"/>
  <c r="FL134" i="14"/>
  <c r="FK134" i="14"/>
  <c r="FJ134" i="14"/>
  <c r="FI134" i="14"/>
  <c r="FH134" i="14"/>
  <c r="FG134" i="14"/>
  <c r="FF134" i="14"/>
  <c r="FE134" i="14"/>
  <c r="CV134" i="14"/>
  <c r="CU134" i="14"/>
  <c r="CT134" i="14"/>
  <c r="CS134" i="14"/>
  <c r="CR134" i="14"/>
  <c r="CQ134" i="14"/>
  <c r="CP134" i="14"/>
  <c r="CO134" i="14"/>
  <c r="CN134" i="14"/>
  <c r="CM134" i="14"/>
  <c r="CL134" i="14"/>
  <c r="CK134" i="14"/>
  <c r="CJ134" i="14"/>
  <c r="CI134" i="14"/>
  <c r="CH134" i="14"/>
  <c r="CG134" i="14"/>
  <c r="CF134" i="14"/>
  <c r="CE134" i="14"/>
  <c r="CD134" i="14"/>
  <c r="CC134" i="14"/>
  <c r="CB134" i="14"/>
  <c r="CA134" i="14"/>
  <c r="BZ134" i="14"/>
  <c r="BY134" i="14"/>
  <c r="BX134" i="14"/>
  <c r="BW134" i="14"/>
  <c r="BV134" i="14"/>
  <c r="BU134" i="14"/>
  <c r="BT134" i="14"/>
  <c r="BS134" i="14"/>
  <c r="BR134" i="14" a="1"/>
  <c r="BR134" i="14" s="1"/>
  <c r="BQ134" i="14" a="1"/>
  <c r="BQ134" i="14" s="1"/>
  <c r="BP134" i="14" a="1"/>
  <c r="BP134" i="14" s="1"/>
  <c r="BO134" i="14" a="1"/>
  <c r="BO134" i="14" s="1"/>
  <c r="BN134" i="14" a="1"/>
  <c r="BN134" i="14" s="1"/>
  <c r="BM134" i="14" a="1"/>
  <c r="BM134" i="14" s="1"/>
  <c r="BL134" i="14" a="1"/>
  <c r="BL134" i="14" s="1"/>
  <c r="BK134" i="14" a="1"/>
  <c r="BK134" i="14" s="1"/>
  <c r="BJ134" i="14" a="1"/>
  <c r="BJ134" i="14" s="1"/>
  <c r="BI134" i="14" a="1"/>
  <c r="BI134" i="14" s="1"/>
  <c r="BH134" i="14" a="1"/>
  <c r="BH134" i="14" s="1"/>
  <c r="BG134" i="14" a="1"/>
  <c r="BG134" i="14" s="1"/>
  <c r="BF134" i="14" a="1"/>
  <c r="BF134" i="14" s="1"/>
  <c r="BE134" i="14" a="1"/>
  <c r="BE134" i="14" s="1"/>
  <c r="BD134" i="14" a="1"/>
  <c r="BD134" i="14" s="1"/>
  <c r="BC134" i="14" a="1"/>
  <c r="BC134" i="14" s="1"/>
  <c r="BB134" i="14" a="1"/>
  <c r="BB134" i="14" s="1"/>
  <c r="BA134" i="14" a="1"/>
  <c r="BA134" i="14" s="1"/>
  <c r="AZ134" i="14" a="1"/>
  <c r="AZ134" i="14" s="1"/>
  <c r="AY134" i="14" a="1"/>
  <c r="AY134" i="14" s="1"/>
  <c r="AX134" i="14" a="1"/>
  <c r="AX134" i="14" s="1"/>
  <c r="AW134" i="14" a="1"/>
  <c r="AW134" i="14" s="1"/>
  <c r="AV134" i="14" a="1"/>
  <c r="AV134" i="14" s="1"/>
  <c r="AU134" i="14" a="1"/>
  <c r="AU134" i="14" s="1"/>
  <c r="AT134" i="14" a="1"/>
  <c r="AT134" i="14" s="1"/>
  <c r="AS134" i="14" a="1"/>
  <c r="AS134" i="14" s="1"/>
  <c r="AR134" i="14" a="1"/>
  <c r="AR134" i="14" s="1"/>
  <c r="AQ134" i="14" a="1"/>
  <c r="AQ134" i="14" s="1"/>
  <c r="AP134" i="14" a="1"/>
  <c r="AP134" i="14" s="1"/>
  <c r="AO134" i="14" a="1"/>
  <c r="AO134" i="14" s="1"/>
  <c r="AN134" i="14"/>
  <c r="AM134" i="14"/>
  <c r="AL134" i="14"/>
  <c r="AK134" i="14"/>
  <c r="AJ134" i="14"/>
  <c r="AI134" i="14"/>
  <c r="EZ134" i="14" s="1"/>
  <c r="AH134" i="14"/>
  <c r="JT133" i="14"/>
  <c r="JS133" i="14"/>
  <c r="JR133" i="14"/>
  <c r="JQ133" i="14"/>
  <c r="JP133" i="14"/>
  <c r="JO133" i="14"/>
  <c r="JN133" i="14"/>
  <c r="JM133" i="14"/>
  <c r="JL133" i="14"/>
  <c r="JK133" i="14"/>
  <c r="JJ133" i="14"/>
  <c r="JI133" i="14"/>
  <c r="JH133" i="14"/>
  <c r="JG133" i="14"/>
  <c r="JF133" i="14"/>
  <c r="JE133" i="14"/>
  <c r="JD133" i="14"/>
  <c r="JC133" i="14"/>
  <c r="JB133" i="14"/>
  <c r="JA133" i="14"/>
  <c r="IZ133" i="14"/>
  <c r="IY133" i="14"/>
  <c r="IX133" i="14"/>
  <c r="IW133" i="14"/>
  <c r="IV133" i="14"/>
  <c r="IU133" i="14"/>
  <c r="IT133" i="14"/>
  <c r="IS133" i="14"/>
  <c r="IR133" i="14"/>
  <c r="IQ133" i="14"/>
  <c r="IP133" i="14"/>
  <c r="IO133" i="14"/>
  <c r="IN133" i="14"/>
  <c r="IM133" i="14"/>
  <c r="IL133" i="14"/>
  <c r="IK133" i="14"/>
  <c r="IJ133" i="14"/>
  <c r="II133" i="14"/>
  <c r="IH133" i="14"/>
  <c r="IG133" i="14"/>
  <c r="IF133" i="14"/>
  <c r="IE133" i="14"/>
  <c r="ID133" i="14"/>
  <c r="IC133" i="14"/>
  <c r="IB133" i="14"/>
  <c r="IA133" i="14"/>
  <c r="HZ133" i="14"/>
  <c r="HY133" i="14"/>
  <c r="HX133" i="14"/>
  <c r="HW133" i="14"/>
  <c r="HV133" i="14"/>
  <c r="HU133" i="14"/>
  <c r="HT133" i="14"/>
  <c r="HS133" i="14"/>
  <c r="HR133" i="14"/>
  <c r="HQ133" i="14"/>
  <c r="HP133" i="14"/>
  <c r="HO133" i="14"/>
  <c r="HN133" i="14"/>
  <c r="HM133" i="14"/>
  <c r="GH133" i="14"/>
  <c r="GG133" i="14"/>
  <c r="GF133" i="14"/>
  <c r="GE133" i="14"/>
  <c r="GD133" i="14"/>
  <c r="GC133" i="14"/>
  <c r="GB133" i="14"/>
  <c r="GA133" i="14"/>
  <c r="FZ133" i="14"/>
  <c r="FY133" i="14"/>
  <c r="FX133" i="14"/>
  <c r="FW133" i="14"/>
  <c r="FV133" i="14"/>
  <c r="FU133" i="14"/>
  <c r="FT133" i="14"/>
  <c r="FS133" i="14"/>
  <c r="FR133" i="14"/>
  <c r="FQ133" i="14"/>
  <c r="FP133" i="14"/>
  <c r="FO133" i="14"/>
  <c r="FN133" i="14"/>
  <c r="FM133" i="14"/>
  <c r="FL133" i="14"/>
  <c r="FK133" i="14"/>
  <c r="FJ133" i="14"/>
  <c r="FI133" i="14"/>
  <c r="FH133" i="14"/>
  <c r="FG133" i="14"/>
  <c r="FF133" i="14"/>
  <c r="FE133" i="14"/>
  <c r="CV133" i="14"/>
  <c r="CU133" i="14"/>
  <c r="CT133" i="14"/>
  <c r="CS133" i="14"/>
  <c r="CR133" i="14"/>
  <c r="CQ133" i="14"/>
  <c r="CP133" i="14"/>
  <c r="CO133" i="14"/>
  <c r="CN133" i="14"/>
  <c r="CM133" i="14"/>
  <c r="CL133" i="14"/>
  <c r="CK133" i="14"/>
  <c r="CJ133" i="14"/>
  <c r="CI133" i="14"/>
  <c r="CH133" i="14"/>
  <c r="CG133" i="14"/>
  <c r="CF133" i="14"/>
  <c r="CE133" i="14"/>
  <c r="CD133" i="14"/>
  <c r="CC133" i="14"/>
  <c r="CB133" i="14"/>
  <c r="CA133" i="14"/>
  <c r="BZ133" i="14"/>
  <c r="BY133" i="14"/>
  <c r="BX133" i="14"/>
  <c r="BW133" i="14"/>
  <c r="BV133" i="14"/>
  <c r="BU133" i="14"/>
  <c r="BT133" i="14"/>
  <c r="BS133" i="14"/>
  <c r="BR133" i="14" a="1"/>
  <c r="BR133" i="14" s="1"/>
  <c r="BQ133" i="14" a="1"/>
  <c r="BQ133" i="14" s="1"/>
  <c r="BP133" i="14" a="1"/>
  <c r="BP133" i="14" s="1"/>
  <c r="BO133" i="14" a="1"/>
  <c r="BO133" i="14" s="1"/>
  <c r="BN133" i="14" a="1"/>
  <c r="BN133" i="14" s="1"/>
  <c r="BM133" i="14" a="1"/>
  <c r="BM133" i="14" s="1"/>
  <c r="BL133" i="14" a="1"/>
  <c r="BL133" i="14" s="1"/>
  <c r="BK133" i="14" a="1"/>
  <c r="BK133" i="14" s="1"/>
  <c r="BJ133" i="14" a="1"/>
  <c r="BJ133" i="14" s="1"/>
  <c r="BI133" i="14" a="1"/>
  <c r="BI133" i="14" s="1"/>
  <c r="BH133" i="14" a="1"/>
  <c r="BH133" i="14" s="1"/>
  <c r="BG133" i="14" a="1"/>
  <c r="BG133" i="14" s="1"/>
  <c r="BF133" i="14" a="1"/>
  <c r="BF133" i="14" s="1"/>
  <c r="BE133" i="14" a="1"/>
  <c r="BE133" i="14" s="1"/>
  <c r="BD133" i="14" a="1"/>
  <c r="BD133" i="14" s="1"/>
  <c r="BC133" i="14" a="1"/>
  <c r="BC133" i="14" s="1"/>
  <c r="BB133" i="14" a="1"/>
  <c r="BB133" i="14" s="1"/>
  <c r="BA133" i="14" a="1"/>
  <c r="BA133" i="14" s="1"/>
  <c r="AZ133" i="14" a="1"/>
  <c r="AZ133" i="14" s="1"/>
  <c r="AY133" i="14" a="1"/>
  <c r="AY133" i="14" s="1"/>
  <c r="AX133" i="14" a="1"/>
  <c r="AX133" i="14" s="1"/>
  <c r="AW133" i="14" a="1"/>
  <c r="AW133" i="14" s="1"/>
  <c r="AV133" i="14" a="1"/>
  <c r="AV133" i="14" s="1"/>
  <c r="AU133" i="14" a="1"/>
  <c r="AU133" i="14" s="1"/>
  <c r="AT133" i="14" a="1"/>
  <c r="AT133" i="14" s="1"/>
  <c r="AS133" i="14" a="1"/>
  <c r="AS133" i="14" s="1"/>
  <c r="AR133" i="14" a="1"/>
  <c r="AR133" i="14" s="1"/>
  <c r="AQ133" i="14" a="1"/>
  <c r="AQ133" i="14" s="1"/>
  <c r="AP133" i="14" a="1"/>
  <c r="AP133" i="14" s="1"/>
  <c r="AO133" i="14" a="1"/>
  <c r="AO133" i="14" s="1"/>
  <c r="AN133" i="14"/>
  <c r="AM133" i="14"/>
  <c r="AL133" i="14"/>
  <c r="AK133" i="14"/>
  <c r="AJ133" i="14"/>
  <c r="AI133" i="14"/>
  <c r="EF133" i="14" s="1"/>
  <c r="AH133" i="14"/>
  <c r="JT132" i="14"/>
  <c r="JS132" i="14"/>
  <c r="JR132" i="14"/>
  <c r="JQ132" i="14"/>
  <c r="JP132" i="14"/>
  <c r="JO132" i="14"/>
  <c r="JN132" i="14"/>
  <c r="JM132" i="14"/>
  <c r="JL132" i="14"/>
  <c r="JK132" i="14"/>
  <c r="JJ132" i="14"/>
  <c r="JI132" i="14"/>
  <c r="JH132" i="14"/>
  <c r="JG132" i="14"/>
  <c r="JF132" i="14"/>
  <c r="JE132" i="14"/>
  <c r="JD132" i="14"/>
  <c r="JC132" i="14"/>
  <c r="JB132" i="14"/>
  <c r="JA132" i="14"/>
  <c r="IZ132" i="14"/>
  <c r="IY132" i="14"/>
  <c r="IX132" i="14"/>
  <c r="IW132" i="14"/>
  <c r="IV132" i="14"/>
  <c r="IU132" i="14"/>
  <c r="IT132" i="14"/>
  <c r="IS132" i="14"/>
  <c r="IR132" i="14"/>
  <c r="IQ132" i="14"/>
  <c r="IP132" i="14"/>
  <c r="IO132" i="14"/>
  <c r="IN132" i="14"/>
  <c r="IM132" i="14"/>
  <c r="IL132" i="14"/>
  <c r="IK132" i="14"/>
  <c r="IJ132" i="14"/>
  <c r="II132" i="14"/>
  <c r="IH132" i="14"/>
  <c r="IG132" i="14"/>
  <c r="IF132" i="14"/>
  <c r="IE132" i="14"/>
  <c r="ID132" i="14"/>
  <c r="IC132" i="14"/>
  <c r="IB132" i="14"/>
  <c r="IA132" i="14"/>
  <c r="HZ132" i="14"/>
  <c r="HY132" i="14"/>
  <c r="HX132" i="14"/>
  <c r="HW132" i="14"/>
  <c r="HV132" i="14"/>
  <c r="HU132" i="14"/>
  <c r="HT132" i="14"/>
  <c r="HS132" i="14"/>
  <c r="HR132" i="14"/>
  <c r="HQ132" i="14"/>
  <c r="HP132" i="14"/>
  <c r="HO132" i="14"/>
  <c r="HN132" i="14"/>
  <c r="HM132" i="14"/>
  <c r="GH132" i="14"/>
  <c r="GG132" i="14"/>
  <c r="GF132" i="14"/>
  <c r="GE132" i="14"/>
  <c r="GD132" i="14"/>
  <c r="GC132" i="14"/>
  <c r="GB132" i="14"/>
  <c r="GA132" i="14"/>
  <c r="FZ132" i="14"/>
  <c r="FY132" i="14"/>
  <c r="FX132" i="14"/>
  <c r="FW132" i="14"/>
  <c r="FV132" i="14"/>
  <c r="FU132" i="14"/>
  <c r="FT132" i="14"/>
  <c r="FS132" i="14"/>
  <c r="FR132" i="14"/>
  <c r="FQ132" i="14"/>
  <c r="FP132" i="14"/>
  <c r="FO132" i="14"/>
  <c r="FN132" i="14"/>
  <c r="FM132" i="14"/>
  <c r="FL132" i="14"/>
  <c r="FK132" i="14"/>
  <c r="FJ132" i="14"/>
  <c r="FI132" i="14"/>
  <c r="FH132" i="14"/>
  <c r="FG132" i="14"/>
  <c r="FF132" i="14"/>
  <c r="FE132" i="14"/>
  <c r="CV132" i="14"/>
  <c r="CU132" i="14"/>
  <c r="CT132" i="14"/>
  <c r="CS132" i="14"/>
  <c r="CR132" i="14"/>
  <c r="CQ132" i="14"/>
  <c r="CP132" i="14"/>
  <c r="CO132" i="14"/>
  <c r="CN132" i="14"/>
  <c r="CM132" i="14"/>
  <c r="CL132" i="14"/>
  <c r="CK132" i="14"/>
  <c r="CJ132" i="14"/>
  <c r="CI132" i="14"/>
  <c r="CH132" i="14"/>
  <c r="CG132" i="14"/>
  <c r="CF132" i="14"/>
  <c r="CE132" i="14"/>
  <c r="CD132" i="14"/>
  <c r="CC132" i="14"/>
  <c r="CB132" i="14"/>
  <c r="CA132" i="14"/>
  <c r="BZ132" i="14"/>
  <c r="BY132" i="14"/>
  <c r="BX132" i="14"/>
  <c r="BW132" i="14"/>
  <c r="BV132" i="14"/>
  <c r="BU132" i="14"/>
  <c r="BT132" i="14"/>
  <c r="BS132" i="14"/>
  <c r="BR132" i="14" a="1"/>
  <c r="BR132" i="14" s="1"/>
  <c r="BQ132" i="14" a="1"/>
  <c r="BQ132" i="14" s="1"/>
  <c r="BP132" i="14" a="1"/>
  <c r="BP132" i="14" s="1"/>
  <c r="BO132" i="14" a="1"/>
  <c r="BO132" i="14" s="1"/>
  <c r="BN132" i="14" a="1"/>
  <c r="BN132" i="14" s="1"/>
  <c r="BM132" i="14" a="1"/>
  <c r="BM132" i="14" s="1"/>
  <c r="BL132" i="14" a="1"/>
  <c r="BL132" i="14" s="1"/>
  <c r="BK132" i="14" a="1"/>
  <c r="BK132" i="14" s="1"/>
  <c r="BJ132" i="14" a="1"/>
  <c r="BJ132" i="14" s="1"/>
  <c r="BI132" i="14" a="1"/>
  <c r="BI132" i="14" s="1"/>
  <c r="BH132" i="14" a="1"/>
  <c r="BH132" i="14" s="1"/>
  <c r="BG132" i="14" a="1"/>
  <c r="BG132" i="14" s="1"/>
  <c r="BF132" i="14" a="1"/>
  <c r="BF132" i="14" s="1"/>
  <c r="BE132" i="14" a="1"/>
  <c r="BE132" i="14" s="1"/>
  <c r="BD132" i="14" a="1"/>
  <c r="BD132" i="14" s="1"/>
  <c r="BC132" i="14" a="1"/>
  <c r="BC132" i="14" s="1"/>
  <c r="BB132" i="14" a="1"/>
  <c r="BB132" i="14" s="1"/>
  <c r="BA132" i="14" a="1"/>
  <c r="BA132" i="14" s="1"/>
  <c r="AZ132" i="14" a="1"/>
  <c r="AZ132" i="14" s="1"/>
  <c r="AY132" i="14" a="1"/>
  <c r="AY132" i="14" s="1"/>
  <c r="AX132" i="14" a="1"/>
  <c r="AX132" i="14" s="1"/>
  <c r="AW132" i="14" a="1"/>
  <c r="AW132" i="14" s="1"/>
  <c r="AV132" i="14" a="1"/>
  <c r="AV132" i="14" s="1"/>
  <c r="AU132" i="14" a="1"/>
  <c r="AU132" i="14" s="1"/>
  <c r="AT132" i="14" a="1"/>
  <c r="AT132" i="14" s="1"/>
  <c r="AS132" i="14" a="1"/>
  <c r="AS132" i="14" s="1"/>
  <c r="AR132" i="14" a="1"/>
  <c r="AR132" i="14" s="1"/>
  <c r="AQ132" i="14" a="1"/>
  <c r="AQ132" i="14" s="1"/>
  <c r="AP132" i="14" a="1"/>
  <c r="AP132" i="14" s="1"/>
  <c r="AO132" i="14" a="1"/>
  <c r="AO132" i="14" s="1"/>
  <c r="AN132" i="14"/>
  <c r="AM132" i="14"/>
  <c r="AL132" i="14"/>
  <c r="AK132" i="14"/>
  <c r="AJ132" i="14"/>
  <c r="AI132" i="14"/>
  <c r="AH132" i="14"/>
  <c r="JT131" i="14"/>
  <c r="JS131" i="14"/>
  <c r="JR131" i="14"/>
  <c r="JQ131" i="14"/>
  <c r="JP131" i="14"/>
  <c r="JO131" i="14"/>
  <c r="JN131" i="14"/>
  <c r="JM131" i="14"/>
  <c r="JL131" i="14"/>
  <c r="JK131" i="14"/>
  <c r="JJ131" i="14"/>
  <c r="JI131" i="14"/>
  <c r="JH131" i="14"/>
  <c r="JG131" i="14"/>
  <c r="JF131" i="14"/>
  <c r="JE131" i="14"/>
  <c r="JD131" i="14"/>
  <c r="JC131" i="14"/>
  <c r="JB131" i="14"/>
  <c r="JA131" i="14"/>
  <c r="IZ131" i="14"/>
  <c r="IY131" i="14"/>
  <c r="IX131" i="14"/>
  <c r="IW131" i="14"/>
  <c r="IV131" i="14"/>
  <c r="IU131" i="14"/>
  <c r="IT131" i="14"/>
  <c r="IS131" i="14"/>
  <c r="IR131" i="14"/>
  <c r="IQ131" i="14"/>
  <c r="IP131" i="14"/>
  <c r="IO131" i="14"/>
  <c r="IN131" i="14"/>
  <c r="IM131" i="14"/>
  <c r="IL131" i="14"/>
  <c r="IK131" i="14"/>
  <c r="IJ131" i="14"/>
  <c r="II131" i="14"/>
  <c r="IH131" i="14"/>
  <c r="IG131" i="14"/>
  <c r="IF131" i="14"/>
  <c r="IE131" i="14"/>
  <c r="ID131" i="14"/>
  <c r="IC131" i="14"/>
  <c r="IB131" i="14"/>
  <c r="IA131" i="14"/>
  <c r="HZ131" i="14"/>
  <c r="HY131" i="14"/>
  <c r="HX131" i="14"/>
  <c r="HW131" i="14"/>
  <c r="HV131" i="14"/>
  <c r="HU131" i="14"/>
  <c r="HT131" i="14"/>
  <c r="HS131" i="14"/>
  <c r="HR131" i="14"/>
  <c r="HQ131" i="14"/>
  <c r="HP131" i="14"/>
  <c r="HO131" i="14"/>
  <c r="HN131" i="14"/>
  <c r="HM131" i="14"/>
  <c r="GH131" i="14"/>
  <c r="GG131" i="14"/>
  <c r="GF131" i="14"/>
  <c r="GE131" i="14"/>
  <c r="GD131" i="14"/>
  <c r="GC131" i="14"/>
  <c r="GB131" i="14"/>
  <c r="GA131" i="14"/>
  <c r="FZ131" i="14"/>
  <c r="FY131" i="14"/>
  <c r="FX131" i="14"/>
  <c r="FW131" i="14"/>
  <c r="FV131" i="14"/>
  <c r="FU131" i="14"/>
  <c r="FT131" i="14"/>
  <c r="FS131" i="14"/>
  <c r="FR131" i="14"/>
  <c r="FQ131" i="14"/>
  <c r="FP131" i="14"/>
  <c r="FO131" i="14"/>
  <c r="FN131" i="14"/>
  <c r="FM131" i="14"/>
  <c r="FL131" i="14"/>
  <c r="FK131" i="14"/>
  <c r="FJ131" i="14"/>
  <c r="FI131" i="14"/>
  <c r="FH131" i="14"/>
  <c r="FG131" i="14"/>
  <c r="FF131" i="14"/>
  <c r="FE131" i="14"/>
  <c r="CV131" i="14"/>
  <c r="CU131" i="14"/>
  <c r="CT131" i="14"/>
  <c r="CS131" i="14"/>
  <c r="CR131" i="14"/>
  <c r="CQ131" i="14"/>
  <c r="CP131" i="14"/>
  <c r="CO131" i="14"/>
  <c r="CN131" i="14"/>
  <c r="CM131" i="14"/>
  <c r="CL131" i="14"/>
  <c r="CK131" i="14"/>
  <c r="CJ131" i="14"/>
  <c r="CI131" i="14"/>
  <c r="CH131" i="14"/>
  <c r="CG131" i="14"/>
  <c r="CF131" i="14"/>
  <c r="CE131" i="14"/>
  <c r="CD131" i="14"/>
  <c r="CC131" i="14"/>
  <c r="CB131" i="14"/>
  <c r="CA131" i="14"/>
  <c r="BZ131" i="14"/>
  <c r="BY131" i="14"/>
  <c r="BX131" i="14"/>
  <c r="BW131" i="14"/>
  <c r="BV131" i="14"/>
  <c r="BU131" i="14"/>
  <c r="BT131" i="14"/>
  <c r="BS131" i="14"/>
  <c r="BR131" i="14" a="1"/>
  <c r="BR131" i="14" s="1"/>
  <c r="BQ131" i="14" a="1"/>
  <c r="BQ131" i="14" s="1"/>
  <c r="BP131" i="14" a="1"/>
  <c r="BP131" i="14" s="1"/>
  <c r="BO131" i="14" a="1"/>
  <c r="BO131" i="14" s="1"/>
  <c r="BN131" i="14" a="1"/>
  <c r="BN131" i="14" s="1"/>
  <c r="BM131" i="14" a="1"/>
  <c r="BM131" i="14" s="1"/>
  <c r="BL131" i="14" a="1"/>
  <c r="BL131" i="14" s="1"/>
  <c r="BK131" i="14" a="1"/>
  <c r="BK131" i="14" s="1"/>
  <c r="BJ131" i="14" a="1"/>
  <c r="BJ131" i="14" s="1"/>
  <c r="BI131" i="14" a="1"/>
  <c r="BI131" i="14" s="1"/>
  <c r="BH131" i="14" a="1"/>
  <c r="BH131" i="14" s="1"/>
  <c r="BG131" i="14" a="1"/>
  <c r="BG131" i="14" s="1"/>
  <c r="BF131" i="14" a="1"/>
  <c r="BF131" i="14" s="1"/>
  <c r="BE131" i="14" a="1"/>
  <c r="BE131" i="14" s="1"/>
  <c r="BD131" i="14" a="1"/>
  <c r="BD131" i="14" s="1"/>
  <c r="BC131" i="14" a="1"/>
  <c r="BC131" i="14" s="1"/>
  <c r="BB131" i="14" a="1"/>
  <c r="BB131" i="14" s="1"/>
  <c r="BA131" i="14" a="1"/>
  <c r="BA131" i="14" s="1"/>
  <c r="AZ131" i="14" a="1"/>
  <c r="AZ131" i="14" s="1"/>
  <c r="AY131" i="14" a="1"/>
  <c r="AY131" i="14" s="1"/>
  <c r="AX131" i="14" a="1"/>
  <c r="AX131" i="14" s="1"/>
  <c r="AW131" i="14" a="1"/>
  <c r="AW131" i="14" s="1"/>
  <c r="AV131" i="14" a="1"/>
  <c r="AV131" i="14" s="1"/>
  <c r="AU131" i="14" a="1"/>
  <c r="AU131" i="14" s="1"/>
  <c r="AT131" i="14" a="1"/>
  <c r="AT131" i="14" s="1"/>
  <c r="AS131" i="14" a="1"/>
  <c r="AS131" i="14" s="1"/>
  <c r="AR131" i="14" a="1"/>
  <c r="AR131" i="14" s="1"/>
  <c r="AQ131" i="14" a="1"/>
  <c r="AQ131" i="14" s="1"/>
  <c r="AP131" i="14" a="1"/>
  <c r="AP131" i="14" s="1"/>
  <c r="AO131" i="14" a="1"/>
  <c r="AO131" i="14" s="1"/>
  <c r="AN131" i="14"/>
  <c r="AM131" i="14"/>
  <c r="AL131" i="14"/>
  <c r="AK131" i="14"/>
  <c r="AJ131" i="14"/>
  <c r="AI131" i="14"/>
  <c r="EJ131" i="14" s="1"/>
  <c r="AH131" i="14"/>
  <c r="JT130" i="14"/>
  <c r="JS130" i="14"/>
  <c r="JR130" i="14"/>
  <c r="JQ130" i="14"/>
  <c r="JP130" i="14"/>
  <c r="JO130" i="14"/>
  <c r="JN130" i="14"/>
  <c r="JM130" i="14"/>
  <c r="JL130" i="14"/>
  <c r="JK130" i="14"/>
  <c r="JJ130" i="14"/>
  <c r="JI130" i="14"/>
  <c r="JH130" i="14"/>
  <c r="JG130" i="14"/>
  <c r="JF130" i="14"/>
  <c r="JE130" i="14"/>
  <c r="JD130" i="14"/>
  <c r="JC130" i="14"/>
  <c r="JB130" i="14"/>
  <c r="JA130" i="14"/>
  <c r="IZ130" i="14"/>
  <c r="IY130" i="14"/>
  <c r="IX130" i="14"/>
  <c r="IW130" i="14"/>
  <c r="IV130" i="14"/>
  <c r="IU130" i="14"/>
  <c r="IT130" i="14"/>
  <c r="IS130" i="14"/>
  <c r="IR130" i="14"/>
  <c r="IQ130" i="14"/>
  <c r="IP130" i="14"/>
  <c r="IO130" i="14"/>
  <c r="IN130" i="14"/>
  <c r="IM130" i="14"/>
  <c r="IL130" i="14"/>
  <c r="IK130" i="14"/>
  <c r="IJ130" i="14"/>
  <c r="II130" i="14"/>
  <c r="IH130" i="14"/>
  <c r="IG130" i="14"/>
  <c r="IF130" i="14"/>
  <c r="IE130" i="14"/>
  <c r="ID130" i="14"/>
  <c r="IC130" i="14"/>
  <c r="IB130" i="14"/>
  <c r="IA130" i="14"/>
  <c r="HZ130" i="14"/>
  <c r="HY130" i="14"/>
  <c r="HX130" i="14"/>
  <c r="HW130" i="14"/>
  <c r="HV130" i="14"/>
  <c r="HU130" i="14"/>
  <c r="HT130" i="14"/>
  <c r="HS130" i="14"/>
  <c r="HR130" i="14"/>
  <c r="HQ130" i="14"/>
  <c r="HP130" i="14"/>
  <c r="HO130" i="14"/>
  <c r="HN130" i="14"/>
  <c r="HM130" i="14"/>
  <c r="GH130" i="14"/>
  <c r="GG130" i="14"/>
  <c r="GF130" i="14"/>
  <c r="GE130" i="14"/>
  <c r="GD130" i="14"/>
  <c r="GC130" i="14"/>
  <c r="GB130" i="14"/>
  <c r="GA130" i="14"/>
  <c r="FZ130" i="14"/>
  <c r="FY130" i="14"/>
  <c r="FX130" i="14"/>
  <c r="FW130" i="14"/>
  <c r="FV130" i="14"/>
  <c r="FU130" i="14"/>
  <c r="FT130" i="14"/>
  <c r="FS130" i="14"/>
  <c r="FR130" i="14"/>
  <c r="FQ130" i="14"/>
  <c r="FP130" i="14"/>
  <c r="FO130" i="14"/>
  <c r="FN130" i="14"/>
  <c r="FM130" i="14"/>
  <c r="FL130" i="14"/>
  <c r="FK130" i="14"/>
  <c r="FJ130" i="14"/>
  <c r="FI130" i="14"/>
  <c r="FH130" i="14"/>
  <c r="FG130" i="14"/>
  <c r="FF130" i="14"/>
  <c r="FE130" i="14"/>
  <c r="CV130" i="14"/>
  <c r="CU130" i="14"/>
  <c r="CT130" i="14"/>
  <c r="CS130" i="14"/>
  <c r="CR130" i="14"/>
  <c r="CQ130" i="14"/>
  <c r="CP130" i="14"/>
  <c r="CO130" i="14"/>
  <c r="CN130" i="14"/>
  <c r="CM130" i="14"/>
  <c r="CL130" i="14"/>
  <c r="CK130" i="14"/>
  <c r="CJ130" i="14"/>
  <c r="CI130" i="14"/>
  <c r="CH130" i="14"/>
  <c r="CG130" i="14"/>
  <c r="CF130" i="14"/>
  <c r="CE130" i="14"/>
  <c r="CD130" i="14"/>
  <c r="CC130" i="14"/>
  <c r="CB130" i="14"/>
  <c r="CA130" i="14"/>
  <c r="BZ130" i="14"/>
  <c r="BY130" i="14"/>
  <c r="BX130" i="14"/>
  <c r="BW130" i="14"/>
  <c r="BV130" i="14"/>
  <c r="BU130" i="14"/>
  <c r="BT130" i="14"/>
  <c r="BS130" i="14"/>
  <c r="BR130" i="14" a="1"/>
  <c r="BR130" i="14" s="1"/>
  <c r="BQ130" i="14" a="1"/>
  <c r="BQ130" i="14" s="1"/>
  <c r="BP130" i="14" a="1"/>
  <c r="BP130" i="14" s="1"/>
  <c r="BO130" i="14" a="1"/>
  <c r="BO130" i="14" s="1"/>
  <c r="BN130" i="14" a="1"/>
  <c r="BN130" i="14" s="1"/>
  <c r="BM130" i="14" a="1"/>
  <c r="BM130" i="14" s="1"/>
  <c r="BL130" i="14" a="1"/>
  <c r="BL130" i="14" s="1"/>
  <c r="BK130" i="14" a="1"/>
  <c r="BK130" i="14" s="1"/>
  <c r="BJ130" i="14" a="1"/>
  <c r="BJ130" i="14" s="1"/>
  <c r="BI130" i="14" a="1"/>
  <c r="BI130" i="14" s="1"/>
  <c r="BH130" i="14" a="1"/>
  <c r="BH130" i="14" s="1"/>
  <c r="BG130" i="14" a="1"/>
  <c r="BG130" i="14" s="1"/>
  <c r="BF130" i="14" a="1"/>
  <c r="BF130" i="14" s="1"/>
  <c r="BE130" i="14" a="1"/>
  <c r="BE130" i="14" s="1"/>
  <c r="BD130" i="14" a="1"/>
  <c r="BD130" i="14" s="1"/>
  <c r="BC130" i="14" a="1"/>
  <c r="BC130" i="14" s="1"/>
  <c r="BB130" i="14" a="1"/>
  <c r="BB130" i="14" s="1"/>
  <c r="BA130" i="14" a="1"/>
  <c r="BA130" i="14" s="1"/>
  <c r="AZ130" i="14" a="1"/>
  <c r="AZ130" i="14" s="1"/>
  <c r="AY130" i="14" a="1"/>
  <c r="AY130" i="14" s="1"/>
  <c r="AX130" i="14" a="1"/>
  <c r="AX130" i="14" s="1"/>
  <c r="AW130" i="14" a="1"/>
  <c r="AW130" i="14" s="1"/>
  <c r="AV130" i="14" a="1"/>
  <c r="AV130" i="14" s="1"/>
  <c r="AU130" i="14" a="1"/>
  <c r="AU130" i="14" s="1"/>
  <c r="AT130" i="14" a="1"/>
  <c r="AT130" i="14" s="1"/>
  <c r="AS130" i="14" a="1"/>
  <c r="AS130" i="14" s="1"/>
  <c r="AR130" i="14" a="1"/>
  <c r="AR130" i="14" s="1"/>
  <c r="AQ130" i="14" a="1"/>
  <c r="AQ130" i="14" s="1"/>
  <c r="AP130" i="14" a="1"/>
  <c r="AP130" i="14" s="1"/>
  <c r="AO130" i="14" a="1"/>
  <c r="AO130" i="14" s="1"/>
  <c r="AN130" i="14"/>
  <c r="AM130" i="14"/>
  <c r="AL130" i="14"/>
  <c r="AK130" i="14"/>
  <c r="AJ130" i="14"/>
  <c r="AI130" i="14"/>
  <c r="AH130" i="14"/>
  <c r="JT129" i="14"/>
  <c r="JS129" i="14"/>
  <c r="JR129" i="14"/>
  <c r="JQ129" i="14"/>
  <c r="JP129" i="14"/>
  <c r="JO129" i="14"/>
  <c r="JN129" i="14"/>
  <c r="JM129" i="14"/>
  <c r="JL129" i="14"/>
  <c r="JK129" i="14"/>
  <c r="JJ129" i="14"/>
  <c r="JI129" i="14"/>
  <c r="JH129" i="14"/>
  <c r="JG129" i="14"/>
  <c r="JF129" i="14"/>
  <c r="JE129" i="14"/>
  <c r="JD129" i="14"/>
  <c r="JC129" i="14"/>
  <c r="JB129" i="14"/>
  <c r="JA129" i="14"/>
  <c r="IZ129" i="14"/>
  <c r="IY129" i="14"/>
  <c r="IX129" i="14"/>
  <c r="IW129" i="14"/>
  <c r="IV129" i="14"/>
  <c r="IU129" i="14"/>
  <c r="IT129" i="14"/>
  <c r="IS129" i="14"/>
  <c r="IR129" i="14"/>
  <c r="IQ129" i="14"/>
  <c r="IP129" i="14"/>
  <c r="IO129" i="14"/>
  <c r="IN129" i="14"/>
  <c r="IM129" i="14"/>
  <c r="IL129" i="14"/>
  <c r="IK129" i="14"/>
  <c r="IJ129" i="14"/>
  <c r="II129" i="14"/>
  <c r="IH129" i="14"/>
  <c r="IG129" i="14"/>
  <c r="IF129" i="14"/>
  <c r="IE129" i="14"/>
  <c r="ID129" i="14"/>
  <c r="IC129" i="14"/>
  <c r="IB129" i="14"/>
  <c r="IA129" i="14"/>
  <c r="HZ129" i="14"/>
  <c r="HY129" i="14"/>
  <c r="HX129" i="14"/>
  <c r="HW129" i="14"/>
  <c r="HV129" i="14"/>
  <c r="HU129" i="14"/>
  <c r="HT129" i="14"/>
  <c r="HS129" i="14"/>
  <c r="HR129" i="14"/>
  <c r="HQ129" i="14"/>
  <c r="HP129" i="14"/>
  <c r="HO129" i="14"/>
  <c r="HN129" i="14"/>
  <c r="HM129" i="14"/>
  <c r="GH129" i="14"/>
  <c r="GG129" i="14"/>
  <c r="GF129" i="14"/>
  <c r="GE129" i="14"/>
  <c r="GD129" i="14"/>
  <c r="GC129" i="14"/>
  <c r="GB129" i="14"/>
  <c r="GA129" i="14"/>
  <c r="FZ129" i="14"/>
  <c r="FY129" i="14"/>
  <c r="FX129" i="14"/>
  <c r="FW129" i="14"/>
  <c r="FV129" i="14"/>
  <c r="FU129" i="14"/>
  <c r="FT129" i="14"/>
  <c r="FS129" i="14"/>
  <c r="FR129" i="14"/>
  <c r="FQ129" i="14"/>
  <c r="FP129" i="14"/>
  <c r="FO129" i="14"/>
  <c r="FN129" i="14"/>
  <c r="FM129" i="14"/>
  <c r="FL129" i="14"/>
  <c r="FK129" i="14"/>
  <c r="FJ129" i="14"/>
  <c r="FI129" i="14"/>
  <c r="FH129" i="14"/>
  <c r="FG129" i="14"/>
  <c r="FF129" i="14"/>
  <c r="FE129" i="14"/>
  <c r="CV129" i="14"/>
  <c r="CU129" i="14"/>
  <c r="CT129" i="14"/>
  <c r="CS129" i="14"/>
  <c r="CR129" i="14"/>
  <c r="CQ129" i="14"/>
  <c r="CP129" i="14"/>
  <c r="CO129" i="14"/>
  <c r="CN129" i="14"/>
  <c r="CM129" i="14"/>
  <c r="CL129" i="14"/>
  <c r="CK129" i="14"/>
  <c r="CJ129" i="14"/>
  <c r="CI129" i="14"/>
  <c r="CH129" i="14"/>
  <c r="CG129" i="14"/>
  <c r="CF129" i="14"/>
  <c r="CE129" i="14"/>
  <c r="CD129" i="14"/>
  <c r="CC129" i="14"/>
  <c r="CB129" i="14"/>
  <c r="CA129" i="14"/>
  <c r="BZ129" i="14"/>
  <c r="BY129" i="14"/>
  <c r="BX129" i="14"/>
  <c r="BW129" i="14"/>
  <c r="BV129" i="14"/>
  <c r="BU129" i="14"/>
  <c r="BT129" i="14"/>
  <c r="BS129" i="14"/>
  <c r="BR129" i="14" a="1"/>
  <c r="BR129" i="14" s="1"/>
  <c r="BQ129" i="14" a="1"/>
  <c r="BQ129" i="14" s="1"/>
  <c r="BP129" i="14" a="1"/>
  <c r="BP129" i="14" s="1"/>
  <c r="BO129" i="14" a="1"/>
  <c r="BO129" i="14" s="1"/>
  <c r="BN129" i="14" a="1"/>
  <c r="BN129" i="14" s="1"/>
  <c r="BM129" i="14" a="1"/>
  <c r="BM129" i="14" s="1"/>
  <c r="BL129" i="14" a="1"/>
  <c r="BL129" i="14" s="1"/>
  <c r="BK129" i="14" a="1"/>
  <c r="BK129" i="14" s="1"/>
  <c r="BJ129" i="14" a="1"/>
  <c r="BJ129" i="14" s="1"/>
  <c r="BI129" i="14" a="1"/>
  <c r="BI129" i="14" s="1"/>
  <c r="BH129" i="14" a="1"/>
  <c r="BH129" i="14" s="1"/>
  <c r="BG129" i="14" a="1"/>
  <c r="BG129" i="14" s="1"/>
  <c r="BF129" i="14" a="1"/>
  <c r="BF129" i="14" s="1"/>
  <c r="BE129" i="14" a="1"/>
  <c r="BE129" i="14" s="1"/>
  <c r="BD129" i="14" a="1"/>
  <c r="BD129" i="14" s="1"/>
  <c r="BC129" i="14" a="1"/>
  <c r="BC129" i="14" s="1"/>
  <c r="BB129" i="14" a="1"/>
  <c r="BB129" i="14" s="1"/>
  <c r="BA129" i="14" a="1"/>
  <c r="BA129" i="14" s="1"/>
  <c r="AZ129" i="14" a="1"/>
  <c r="AZ129" i="14" s="1"/>
  <c r="AY129" i="14" a="1"/>
  <c r="AY129" i="14" s="1"/>
  <c r="AX129" i="14" a="1"/>
  <c r="AX129" i="14" s="1"/>
  <c r="AW129" i="14" a="1"/>
  <c r="AW129" i="14" s="1"/>
  <c r="AV129" i="14" a="1"/>
  <c r="AV129" i="14" s="1"/>
  <c r="AU129" i="14" a="1"/>
  <c r="AU129" i="14" s="1"/>
  <c r="AT129" i="14" a="1"/>
  <c r="AT129" i="14" s="1"/>
  <c r="AS129" i="14" a="1"/>
  <c r="AS129" i="14" s="1"/>
  <c r="AR129" i="14" a="1"/>
  <c r="AR129" i="14" s="1"/>
  <c r="AQ129" i="14" a="1"/>
  <c r="AQ129" i="14" s="1"/>
  <c r="AP129" i="14" a="1"/>
  <c r="AP129" i="14" s="1"/>
  <c r="AO129" i="14" a="1"/>
  <c r="AO129" i="14" s="1"/>
  <c r="AN129" i="14"/>
  <c r="AM129" i="14"/>
  <c r="AL129" i="14"/>
  <c r="AK129" i="14"/>
  <c r="AJ129" i="14"/>
  <c r="AI129" i="14"/>
  <c r="EM129" i="14" s="1"/>
  <c r="AH129" i="14"/>
  <c r="JT128" i="14"/>
  <c r="JS128" i="14"/>
  <c r="JR128" i="14"/>
  <c r="JQ128" i="14"/>
  <c r="JP128" i="14"/>
  <c r="JO128" i="14"/>
  <c r="JN128" i="14"/>
  <c r="JM128" i="14"/>
  <c r="JL128" i="14"/>
  <c r="JK128" i="14"/>
  <c r="JJ128" i="14"/>
  <c r="JI128" i="14"/>
  <c r="JH128" i="14"/>
  <c r="JG128" i="14"/>
  <c r="JF128" i="14"/>
  <c r="JE128" i="14"/>
  <c r="JD128" i="14"/>
  <c r="JC128" i="14"/>
  <c r="JB128" i="14"/>
  <c r="JA128" i="14"/>
  <c r="IZ128" i="14"/>
  <c r="IY128" i="14"/>
  <c r="IX128" i="14"/>
  <c r="IW128" i="14"/>
  <c r="IV128" i="14"/>
  <c r="IU128" i="14"/>
  <c r="IT128" i="14"/>
  <c r="IS128" i="14"/>
  <c r="IR128" i="14"/>
  <c r="IQ128" i="14"/>
  <c r="IP128" i="14"/>
  <c r="IO128" i="14"/>
  <c r="IN128" i="14"/>
  <c r="IM128" i="14"/>
  <c r="IL128" i="14"/>
  <c r="IK128" i="14"/>
  <c r="IJ128" i="14"/>
  <c r="II128" i="14"/>
  <c r="IH128" i="14"/>
  <c r="IG128" i="14"/>
  <c r="IF128" i="14"/>
  <c r="IE128" i="14"/>
  <c r="ID128" i="14"/>
  <c r="IC128" i="14"/>
  <c r="IB128" i="14"/>
  <c r="IA128" i="14"/>
  <c r="HZ128" i="14"/>
  <c r="HY128" i="14"/>
  <c r="HX128" i="14"/>
  <c r="HW128" i="14"/>
  <c r="HV128" i="14"/>
  <c r="HU128" i="14"/>
  <c r="HT128" i="14"/>
  <c r="HS128" i="14"/>
  <c r="HR128" i="14"/>
  <c r="HQ128" i="14"/>
  <c r="HP128" i="14"/>
  <c r="HO128" i="14"/>
  <c r="HN128" i="14"/>
  <c r="HM128" i="14"/>
  <c r="GH128" i="14"/>
  <c r="GG128" i="14"/>
  <c r="GF128" i="14"/>
  <c r="GE128" i="14"/>
  <c r="GD128" i="14"/>
  <c r="GC128" i="14"/>
  <c r="GB128" i="14"/>
  <c r="GA128" i="14"/>
  <c r="FZ128" i="14"/>
  <c r="FY128" i="14"/>
  <c r="FX128" i="14"/>
  <c r="FW128" i="14"/>
  <c r="FV128" i="14"/>
  <c r="FU128" i="14"/>
  <c r="FT128" i="14"/>
  <c r="FS128" i="14"/>
  <c r="FR128" i="14"/>
  <c r="FQ128" i="14"/>
  <c r="FP128" i="14"/>
  <c r="FO128" i="14"/>
  <c r="FN128" i="14"/>
  <c r="FM128" i="14"/>
  <c r="FL128" i="14"/>
  <c r="FK128" i="14"/>
  <c r="FJ128" i="14"/>
  <c r="FI128" i="14"/>
  <c r="FH128" i="14"/>
  <c r="FG128" i="14"/>
  <c r="FF128" i="14"/>
  <c r="FE128" i="14"/>
  <c r="CV128" i="14"/>
  <c r="CU128" i="14"/>
  <c r="CT128" i="14"/>
  <c r="CS128" i="14"/>
  <c r="CR128" i="14"/>
  <c r="CQ128" i="14"/>
  <c r="CP128" i="14"/>
  <c r="CO128" i="14"/>
  <c r="CN128" i="14"/>
  <c r="CM128" i="14"/>
  <c r="CL128" i="14"/>
  <c r="CK128" i="14"/>
  <c r="CJ128" i="14"/>
  <c r="CI128" i="14"/>
  <c r="CH128" i="14"/>
  <c r="CG128" i="14"/>
  <c r="CF128" i="14"/>
  <c r="CE128" i="14"/>
  <c r="CD128" i="14"/>
  <c r="CC128" i="14"/>
  <c r="CB128" i="14"/>
  <c r="CA128" i="14"/>
  <c r="BZ128" i="14"/>
  <c r="BY128" i="14"/>
  <c r="BX128" i="14"/>
  <c r="BW128" i="14"/>
  <c r="BV128" i="14"/>
  <c r="BU128" i="14"/>
  <c r="BT128" i="14"/>
  <c r="BS128" i="14"/>
  <c r="BR128" i="14" a="1"/>
  <c r="BR128" i="14" s="1"/>
  <c r="BQ128" i="14" a="1"/>
  <c r="BQ128" i="14" s="1"/>
  <c r="BP128" i="14" a="1"/>
  <c r="BP128" i="14" s="1"/>
  <c r="BO128" i="14" a="1"/>
  <c r="BO128" i="14" s="1"/>
  <c r="BN128" i="14" a="1"/>
  <c r="BN128" i="14" s="1"/>
  <c r="BM128" i="14" a="1"/>
  <c r="BM128" i="14" s="1"/>
  <c r="BL128" i="14" a="1"/>
  <c r="BL128" i="14" s="1"/>
  <c r="BK128" i="14" a="1"/>
  <c r="BK128" i="14" s="1"/>
  <c r="BJ128" i="14" a="1"/>
  <c r="BJ128" i="14" s="1"/>
  <c r="BI128" i="14" a="1"/>
  <c r="BI128" i="14" s="1"/>
  <c r="BH128" i="14" a="1"/>
  <c r="BH128" i="14" s="1"/>
  <c r="BG128" i="14" a="1"/>
  <c r="BG128" i="14" s="1"/>
  <c r="BF128" i="14" a="1"/>
  <c r="BF128" i="14" s="1"/>
  <c r="BE128" i="14" a="1"/>
  <c r="BE128" i="14" s="1"/>
  <c r="BD128" i="14" a="1"/>
  <c r="BD128" i="14" s="1"/>
  <c r="BC128" i="14" a="1"/>
  <c r="BC128" i="14" s="1"/>
  <c r="BB128" i="14" a="1"/>
  <c r="BB128" i="14" s="1"/>
  <c r="BA128" i="14" a="1"/>
  <c r="BA128" i="14" s="1"/>
  <c r="AZ128" i="14" a="1"/>
  <c r="AZ128" i="14" s="1"/>
  <c r="AY128" i="14" a="1"/>
  <c r="AY128" i="14" s="1"/>
  <c r="AX128" i="14" a="1"/>
  <c r="AX128" i="14" s="1"/>
  <c r="AW128" i="14" a="1"/>
  <c r="AW128" i="14" s="1"/>
  <c r="AV128" i="14" a="1"/>
  <c r="AV128" i="14" s="1"/>
  <c r="AU128" i="14" a="1"/>
  <c r="AU128" i="14" s="1"/>
  <c r="AT128" i="14" a="1"/>
  <c r="AT128" i="14" s="1"/>
  <c r="AS128" i="14" a="1"/>
  <c r="AS128" i="14" s="1"/>
  <c r="AR128" i="14" a="1"/>
  <c r="AR128" i="14" s="1"/>
  <c r="AQ128" i="14" a="1"/>
  <c r="AQ128" i="14" s="1"/>
  <c r="AP128" i="14" a="1"/>
  <c r="AP128" i="14" s="1"/>
  <c r="AO128" i="14" a="1"/>
  <c r="AO128" i="14" s="1"/>
  <c r="AN128" i="14"/>
  <c r="AM128" i="14"/>
  <c r="AL128" i="14"/>
  <c r="AK128" i="14"/>
  <c r="AJ128" i="14"/>
  <c r="AI128" i="14"/>
  <c r="FD128" i="14" s="1"/>
  <c r="AH128" i="14"/>
  <c r="JT127" i="14"/>
  <c r="JS127" i="14"/>
  <c r="JR127" i="14"/>
  <c r="JQ127" i="14"/>
  <c r="JP127" i="14"/>
  <c r="JO127" i="14"/>
  <c r="JN127" i="14"/>
  <c r="JM127" i="14"/>
  <c r="JL127" i="14"/>
  <c r="JK127" i="14"/>
  <c r="JJ127" i="14"/>
  <c r="JI127" i="14"/>
  <c r="JH127" i="14"/>
  <c r="JG127" i="14"/>
  <c r="JF127" i="14"/>
  <c r="JE127" i="14"/>
  <c r="JD127" i="14"/>
  <c r="JC127" i="14"/>
  <c r="JB127" i="14"/>
  <c r="JA127" i="14"/>
  <c r="IZ127" i="14"/>
  <c r="IY127" i="14"/>
  <c r="IX127" i="14"/>
  <c r="IW127" i="14"/>
  <c r="IV127" i="14"/>
  <c r="IU127" i="14"/>
  <c r="IT127" i="14"/>
  <c r="IS127" i="14"/>
  <c r="IR127" i="14"/>
  <c r="IQ127" i="14"/>
  <c r="IP127" i="14"/>
  <c r="IO127" i="14"/>
  <c r="IN127" i="14"/>
  <c r="IM127" i="14"/>
  <c r="IL127" i="14"/>
  <c r="IK127" i="14"/>
  <c r="IJ127" i="14"/>
  <c r="II127" i="14"/>
  <c r="IH127" i="14"/>
  <c r="IG127" i="14"/>
  <c r="IF127" i="14"/>
  <c r="IE127" i="14"/>
  <c r="ID127" i="14"/>
  <c r="IC127" i="14"/>
  <c r="IB127" i="14"/>
  <c r="IA127" i="14"/>
  <c r="HZ127" i="14"/>
  <c r="HY127" i="14"/>
  <c r="HX127" i="14"/>
  <c r="HW127" i="14"/>
  <c r="HV127" i="14"/>
  <c r="HU127" i="14"/>
  <c r="HT127" i="14"/>
  <c r="HS127" i="14"/>
  <c r="HR127" i="14"/>
  <c r="HQ127" i="14"/>
  <c r="HP127" i="14"/>
  <c r="HO127" i="14"/>
  <c r="HN127" i="14"/>
  <c r="HM127" i="14"/>
  <c r="GH127" i="14"/>
  <c r="GG127" i="14"/>
  <c r="GF127" i="14"/>
  <c r="GE127" i="14"/>
  <c r="GD127" i="14"/>
  <c r="GC127" i="14"/>
  <c r="GB127" i="14"/>
  <c r="GA127" i="14"/>
  <c r="FZ127" i="14"/>
  <c r="FY127" i="14"/>
  <c r="FX127" i="14"/>
  <c r="FW127" i="14"/>
  <c r="FV127" i="14"/>
  <c r="FU127" i="14"/>
  <c r="FT127" i="14"/>
  <c r="FS127" i="14"/>
  <c r="FR127" i="14"/>
  <c r="FQ127" i="14"/>
  <c r="FP127" i="14"/>
  <c r="FO127" i="14"/>
  <c r="FN127" i="14"/>
  <c r="FM127" i="14"/>
  <c r="FL127" i="14"/>
  <c r="FK127" i="14"/>
  <c r="FJ127" i="14"/>
  <c r="FI127" i="14"/>
  <c r="FH127" i="14"/>
  <c r="FG127" i="14"/>
  <c r="FF127" i="14"/>
  <c r="FE127" i="14"/>
  <c r="CV127" i="14"/>
  <c r="CU127" i="14"/>
  <c r="CT127" i="14"/>
  <c r="CS127" i="14"/>
  <c r="CR127" i="14"/>
  <c r="CQ127" i="14"/>
  <c r="CP127" i="14"/>
  <c r="CO127" i="14"/>
  <c r="CN127" i="14"/>
  <c r="CM127" i="14"/>
  <c r="CL127" i="14"/>
  <c r="CK127" i="14"/>
  <c r="CJ127" i="14"/>
  <c r="CI127" i="14"/>
  <c r="CH127" i="14"/>
  <c r="CG127" i="14"/>
  <c r="CF127" i="14"/>
  <c r="CE127" i="14"/>
  <c r="CD127" i="14"/>
  <c r="CC127" i="14"/>
  <c r="CB127" i="14"/>
  <c r="CA127" i="14"/>
  <c r="BZ127" i="14"/>
  <c r="BY127" i="14"/>
  <c r="BX127" i="14"/>
  <c r="BW127" i="14"/>
  <c r="BV127" i="14"/>
  <c r="BU127" i="14"/>
  <c r="BT127" i="14"/>
  <c r="BS127" i="14"/>
  <c r="BR127" i="14" a="1"/>
  <c r="BR127" i="14" s="1"/>
  <c r="BQ127" i="14" a="1"/>
  <c r="BQ127" i="14" s="1"/>
  <c r="BP127" i="14" a="1"/>
  <c r="BP127" i="14" s="1"/>
  <c r="BO127" i="14" a="1"/>
  <c r="BO127" i="14" s="1"/>
  <c r="BN127" i="14" a="1"/>
  <c r="BN127" i="14" s="1"/>
  <c r="BM127" i="14" a="1"/>
  <c r="BM127" i="14" s="1"/>
  <c r="BL127" i="14" a="1"/>
  <c r="BL127" i="14" s="1"/>
  <c r="BK127" i="14" a="1"/>
  <c r="BK127" i="14" s="1"/>
  <c r="BJ127" i="14" a="1"/>
  <c r="BJ127" i="14" s="1"/>
  <c r="BI127" i="14" a="1"/>
  <c r="BI127" i="14" s="1"/>
  <c r="BH127" i="14" a="1"/>
  <c r="BH127" i="14" s="1"/>
  <c r="BG127" i="14" a="1"/>
  <c r="BG127" i="14" s="1"/>
  <c r="BF127" i="14" a="1"/>
  <c r="BF127" i="14" s="1"/>
  <c r="BE127" i="14" a="1"/>
  <c r="BE127" i="14" s="1"/>
  <c r="BD127" i="14" a="1"/>
  <c r="BD127" i="14" s="1"/>
  <c r="BC127" i="14" a="1"/>
  <c r="BC127" i="14" s="1"/>
  <c r="BB127" i="14" a="1"/>
  <c r="BB127" i="14" s="1"/>
  <c r="BA127" i="14" a="1"/>
  <c r="BA127" i="14" s="1"/>
  <c r="AZ127" i="14" a="1"/>
  <c r="AZ127" i="14" s="1"/>
  <c r="AY127" i="14" a="1"/>
  <c r="AY127" i="14" s="1"/>
  <c r="AX127" i="14" a="1"/>
  <c r="AX127" i="14" s="1"/>
  <c r="AW127" i="14" a="1"/>
  <c r="AW127" i="14" s="1"/>
  <c r="AV127" i="14" a="1"/>
  <c r="AV127" i="14" s="1"/>
  <c r="AU127" i="14" a="1"/>
  <c r="AU127" i="14" s="1"/>
  <c r="AT127" i="14" a="1"/>
  <c r="AT127" i="14" s="1"/>
  <c r="AS127" i="14" a="1"/>
  <c r="AS127" i="14" s="1"/>
  <c r="AR127" i="14" a="1"/>
  <c r="AR127" i="14" s="1"/>
  <c r="AQ127" i="14" a="1"/>
  <c r="AQ127" i="14" s="1"/>
  <c r="AP127" i="14" a="1"/>
  <c r="AP127" i="14" s="1"/>
  <c r="AO127" i="14" a="1"/>
  <c r="AO127" i="14" s="1"/>
  <c r="AN127" i="14"/>
  <c r="AM127" i="14"/>
  <c r="AL127" i="14"/>
  <c r="AK127" i="14"/>
  <c r="AJ127" i="14"/>
  <c r="AI127" i="14"/>
  <c r="EX127" i="14" s="1"/>
  <c r="AH127" i="14"/>
  <c r="JT126" i="14"/>
  <c r="JS126" i="14"/>
  <c r="JR126" i="14"/>
  <c r="JQ126" i="14"/>
  <c r="JP126" i="14"/>
  <c r="JO126" i="14"/>
  <c r="JN126" i="14"/>
  <c r="JM126" i="14"/>
  <c r="JL126" i="14"/>
  <c r="JK126" i="14"/>
  <c r="JJ126" i="14"/>
  <c r="JI126" i="14"/>
  <c r="JH126" i="14"/>
  <c r="JG126" i="14"/>
  <c r="JF126" i="14"/>
  <c r="JE126" i="14"/>
  <c r="JD126" i="14"/>
  <c r="JC126" i="14"/>
  <c r="JB126" i="14"/>
  <c r="JA126" i="14"/>
  <c r="IZ126" i="14"/>
  <c r="IY126" i="14"/>
  <c r="IX126" i="14"/>
  <c r="IW126" i="14"/>
  <c r="IV126" i="14"/>
  <c r="IU126" i="14"/>
  <c r="IT126" i="14"/>
  <c r="IS126" i="14"/>
  <c r="IR126" i="14"/>
  <c r="IQ126" i="14"/>
  <c r="IP126" i="14"/>
  <c r="IO126" i="14"/>
  <c r="IN126" i="14"/>
  <c r="IM126" i="14"/>
  <c r="IL126" i="14"/>
  <c r="IK126" i="14"/>
  <c r="IJ126" i="14"/>
  <c r="II126" i="14"/>
  <c r="IH126" i="14"/>
  <c r="IG126" i="14"/>
  <c r="IF126" i="14"/>
  <c r="IE126" i="14"/>
  <c r="ID126" i="14"/>
  <c r="IC126" i="14"/>
  <c r="IB126" i="14"/>
  <c r="IA126" i="14"/>
  <c r="HZ126" i="14"/>
  <c r="HY126" i="14"/>
  <c r="HX126" i="14"/>
  <c r="HW126" i="14"/>
  <c r="HV126" i="14"/>
  <c r="HU126" i="14"/>
  <c r="HT126" i="14"/>
  <c r="HS126" i="14"/>
  <c r="HR126" i="14"/>
  <c r="HQ126" i="14"/>
  <c r="HP126" i="14"/>
  <c r="HO126" i="14"/>
  <c r="HN126" i="14"/>
  <c r="HM126" i="14"/>
  <c r="GH126" i="14"/>
  <c r="GG126" i="14"/>
  <c r="GF126" i="14"/>
  <c r="GE126" i="14"/>
  <c r="GD126" i="14"/>
  <c r="GC126" i="14"/>
  <c r="GB126" i="14"/>
  <c r="GA126" i="14"/>
  <c r="FZ126" i="14"/>
  <c r="FY126" i="14"/>
  <c r="FX126" i="14"/>
  <c r="FW126" i="14"/>
  <c r="FV126" i="14"/>
  <c r="FU126" i="14"/>
  <c r="FT126" i="14"/>
  <c r="FS126" i="14"/>
  <c r="FR126" i="14"/>
  <c r="FQ126" i="14"/>
  <c r="FP126" i="14"/>
  <c r="FO126" i="14"/>
  <c r="FN126" i="14"/>
  <c r="FM126" i="14"/>
  <c r="FL126" i="14"/>
  <c r="FK126" i="14"/>
  <c r="FJ126" i="14"/>
  <c r="FI126" i="14"/>
  <c r="FH126" i="14"/>
  <c r="FG126" i="14"/>
  <c r="FF126" i="14"/>
  <c r="FE126" i="14"/>
  <c r="CV126" i="14"/>
  <c r="CU126" i="14"/>
  <c r="CT126" i="14"/>
  <c r="CS126" i="14"/>
  <c r="CR126" i="14"/>
  <c r="CQ126" i="14"/>
  <c r="CP126" i="14"/>
  <c r="CO126" i="14"/>
  <c r="CN126" i="14"/>
  <c r="CM126" i="14"/>
  <c r="CL126" i="14"/>
  <c r="CK126" i="14"/>
  <c r="CJ126" i="14"/>
  <c r="CI126" i="14"/>
  <c r="CH126" i="14"/>
  <c r="CG126" i="14"/>
  <c r="CF126" i="14"/>
  <c r="CE126" i="14"/>
  <c r="CD126" i="14"/>
  <c r="CC126" i="14"/>
  <c r="CB126" i="14"/>
  <c r="CA126" i="14"/>
  <c r="BZ126" i="14"/>
  <c r="BY126" i="14"/>
  <c r="BX126" i="14"/>
  <c r="BW126" i="14"/>
  <c r="BV126" i="14"/>
  <c r="BU126" i="14"/>
  <c r="BT126" i="14"/>
  <c r="BS126" i="14"/>
  <c r="BR126" i="14" a="1"/>
  <c r="BR126" i="14" s="1"/>
  <c r="BQ126" i="14" a="1"/>
  <c r="BQ126" i="14" s="1"/>
  <c r="BP126" i="14" a="1"/>
  <c r="BP126" i="14" s="1"/>
  <c r="BO126" i="14" a="1"/>
  <c r="BO126" i="14" s="1"/>
  <c r="BN126" i="14" a="1"/>
  <c r="BN126" i="14" s="1"/>
  <c r="BM126" i="14" a="1"/>
  <c r="BM126" i="14" s="1"/>
  <c r="BL126" i="14" a="1"/>
  <c r="BL126" i="14" s="1"/>
  <c r="BK126" i="14" a="1"/>
  <c r="BK126" i="14" s="1"/>
  <c r="BJ126" i="14" a="1"/>
  <c r="BJ126" i="14" s="1"/>
  <c r="BI126" i="14" a="1"/>
  <c r="BI126" i="14" s="1"/>
  <c r="BH126" i="14" a="1"/>
  <c r="BH126" i="14" s="1"/>
  <c r="BG126" i="14" a="1"/>
  <c r="BG126" i="14" s="1"/>
  <c r="BF126" i="14" a="1"/>
  <c r="BF126" i="14" s="1"/>
  <c r="BE126" i="14" a="1"/>
  <c r="BE126" i="14" s="1"/>
  <c r="BD126" i="14" a="1"/>
  <c r="BD126" i="14" s="1"/>
  <c r="BC126" i="14" a="1"/>
  <c r="BC126" i="14" s="1"/>
  <c r="BB126" i="14" a="1"/>
  <c r="BB126" i="14" s="1"/>
  <c r="BA126" i="14" a="1"/>
  <c r="BA126" i="14" s="1"/>
  <c r="AZ126" i="14" a="1"/>
  <c r="AZ126" i="14" s="1"/>
  <c r="AY126" i="14" a="1"/>
  <c r="AY126" i="14" s="1"/>
  <c r="AX126" i="14" a="1"/>
  <c r="AX126" i="14" s="1"/>
  <c r="AW126" i="14" a="1"/>
  <c r="AW126" i="14" s="1"/>
  <c r="AV126" i="14" a="1"/>
  <c r="AV126" i="14" s="1"/>
  <c r="AU126" i="14" a="1"/>
  <c r="AU126" i="14" s="1"/>
  <c r="AT126" i="14" a="1"/>
  <c r="AT126" i="14" s="1"/>
  <c r="AS126" i="14" a="1"/>
  <c r="AS126" i="14" s="1"/>
  <c r="AR126" i="14" a="1"/>
  <c r="AR126" i="14" s="1"/>
  <c r="AQ126" i="14" a="1"/>
  <c r="AQ126" i="14" s="1"/>
  <c r="AP126" i="14" a="1"/>
  <c r="AP126" i="14" s="1"/>
  <c r="AO126" i="14" a="1"/>
  <c r="AO126" i="14" s="1"/>
  <c r="AN126" i="14"/>
  <c r="AM126" i="14"/>
  <c r="AL126" i="14"/>
  <c r="AK126" i="14"/>
  <c r="AJ126" i="14"/>
  <c r="AI126" i="14"/>
  <c r="EA126" i="14" s="1"/>
  <c r="AH126" i="14"/>
  <c r="JT125" i="14"/>
  <c r="JS125" i="14"/>
  <c r="JR125" i="14"/>
  <c r="JQ125" i="14"/>
  <c r="JP125" i="14"/>
  <c r="JO125" i="14"/>
  <c r="JN125" i="14"/>
  <c r="JM125" i="14"/>
  <c r="JL125" i="14"/>
  <c r="JK125" i="14"/>
  <c r="JJ125" i="14"/>
  <c r="JI125" i="14"/>
  <c r="JH125" i="14"/>
  <c r="JG125" i="14"/>
  <c r="JF125" i="14"/>
  <c r="JE125" i="14"/>
  <c r="JD125" i="14"/>
  <c r="JC125" i="14"/>
  <c r="JB125" i="14"/>
  <c r="JA125" i="14"/>
  <c r="IZ125" i="14"/>
  <c r="IY125" i="14"/>
  <c r="IX125" i="14"/>
  <c r="IW125" i="14"/>
  <c r="IV125" i="14"/>
  <c r="IU125" i="14"/>
  <c r="IT125" i="14"/>
  <c r="IS125" i="14"/>
  <c r="IR125" i="14"/>
  <c r="IQ125" i="14"/>
  <c r="IP125" i="14"/>
  <c r="IO125" i="14"/>
  <c r="IN125" i="14"/>
  <c r="IM125" i="14"/>
  <c r="IL125" i="14"/>
  <c r="IK125" i="14"/>
  <c r="IJ125" i="14"/>
  <c r="II125" i="14"/>
  <c r="IH125" i="14"/>
  <c r="IG125" i="14"/>
  <c r="IF125" i="14"/>
  <c r="IE125" i="14"/>
  <c r="ID125" i="14"/>
  <c r="IC125" i="14"/>
  <c r="IB125" i="14"/>
  <c r="IA125" i="14"/>
  <c r="HZ125" i="14"/>
  <c r="HY125" i="14"/>
  <c r="HX125" i="14"/>
  <c r="HW125" i="14"/>
  <c r="HV125" i="14"/>
  <c r="HU125" i="14"/>
  <c r="HT125" i="14"/>
  <c r="HS125" i="14"/>
  <c r="HR125" i="14"/>
  <c r="HQ125" i="14"/>
  <c r="HP125" i="14"/>
  <c r="HO125" i="14"/>
  <c r="HN125" i="14"/>
  <c r="HM125" i="14"/>
  <c r="GH125" i="14"/>
  <c r="GG125" i="14"/>
  <c r="GF125" i="14"/>
  <c r="GE125" i="14"/>
  <c r="GD125" i="14"/>
  <c r="GC125" i="14"/>
  <c r="GB125" i="14"/>
  <c r="GA125" i="14"/>
  <c r="FZ125" i="14"/>
  <c r="FY125" i="14"/>
  <c r="FX125" i="14"/>
  <c r="FW125" i="14"/>
  <c r="FV125" i="14"/>
  <c r="FU125" i="14"/>
  <c r="FT125" i="14"/>
  <c r="FS125" i="14"/>
  <c r="FR125" i="14"/>
  <c r="FQ125" i="14"/>
  <c r="FP125" i="14"/>
  <c r="FO125" i="14"/>
  <c r="FN125" i="14"/>
  <c r="FM125" i="14"/>
  <c r="FL125" i="14"/>
  <c r="FK125" i="14"/>
  <c r="FJ125" i="14"/>
  <c r="FI125" i="14"/>
  <c r="FH125" i="14"/>
  <c r="FG125" i="14"/>
  <c r="FF125" i="14"/>
  <c r="FE125" i="14"/>
  <c r="CV125" i="14"/>
  <c r="CU125" i="14"/>
  <c r="CT125" i="14"/>
  <c r="CS125" i="14"/>
  <c r="CR125" i="14"/>
  <c r="CQ125" i="14"/>
  <c r="CP125" i="14"/>
  <c r="CO125" i="14"/>
  <c r="CN125" i="14"/>
  <c r="CM125" i="14"/>
  <c r="CL125" i="14"/>
  <c r="CK125" i="14"/>
  <c r="CJ125" i="14"/>
  <c r="CI125" i="14"/>
  <c r="CH125" i="14"/>
  <c r="CG125" i="14"/>
  <c r="CF125" i="14"/>
  <c r="CE125" i="14"/>
  <c r="CD125" i="14"/>
  <c r="CC125" i="14"/>
  <c r="CB125" i="14"/>
  <c r="CA125" i="14"/>
  <c r="BZ125" i="14"/>
  <c r="BY125" i="14"/>
  <c r="BX125" i="14"/>
  <c r="BW125" i="14"/>
  <c r="BV125" i="14"/>
  <c r="BU125" i="14"/>
  <c r="BT125" i="14"/>
  <c r="BS125" i="14"/>
  <c r="BR125" i="14" a="1"/>
  <c r="BR125" i="14" s="1"/>
  <c r="BQ125" i="14" a="1"/>
  <c r="BQ125" i="14" s="1"/>
  <c r="BP125" i="14" a="1"/>
  <c r="BP125" i="14" s="1"/>
  <c r="BO125" i="14" a="1"/>
  <c r="BO125" i="14" s="1"/>
  <c r="BN125" i="14" a="1"/>
  <c r="BN125" i="14" s="1"/>
  <c r="BM125" i="14" a="1"/>
  <c r="BM125" i="14" s="1"/>
  <c r="BL125" i="14" a="1"/>
  <c r="BL125" i="14" s="1"/>
  <c r="BK125" i="14" a="1"/>
  <c r="BK125" i="14" s="1"/>
  <c r="BJ125" i="14" a="1"/>
  <c r="BJ125" i="14" s="1"/>
  <c r="BI125" i="14" a="1"/>
  <c r="BI125" i="14" s="1"/>
  <c r="BH125" i="14" a="1"/>
  <c r="BH125" i="14" s="1"/>
  <c r="BG125" i="14" a="1"/>
  <c r="BG125" i="14" s="1"/>
  <c r="BF125" i="14" a="1"/>
  <c r="BF125" i="14" s="1"/>
  <c r="BE125" i="14" a="1"/>
  <c r="BE125" i="14" s="1"/>
  <c r="BD125" i="14" a="1"/>
  <c r="BD125" i="14" s="1"/>
  <c r="BC125" i="14" a="1"/>
  <c r="BC125" i="14" s="1"/>
  <c r="BB125" i="14" a="1"/>
  <c r="BB125" i="14" s="1"/>
  <c r="BA125" i="14" a="1"/>
  <c r="BA125" i="14" s="1"/>
  <c r="AZ125" i="14" a="1"/>
  <c r="AZ125" i="14" s="1"/>
  <c r="AY125" i="14" a="1"/>
  <c r="AY125" i="14" s="1"/>
  <c r="AX125" i="14" a="1"/>
  <c r="AX125" i="14" s="1"/>
  <c r="AW125" i="14" a="1"/>
  <c r="AW125" i="14" s="1"/>
  <c r="AV125" i="14" a="1"/>
  <c r="AV125" i="14" s="1"/>
  <c r="AU125" i="14" a="1"/>
  <c r="AU125" i="14" s="1"/>
  <c r="AT125" i="14" a="1"/>
  <c r="AT125" i="14" s="1"/>
  <c r="AS125" i="14" a="1"/>
  <c r="AS125" i="14" s="1"/>
  <c r="AR125" i="14" a="1"/>
  <c r="AR125" i="14" s="1"/>
  <c r="AQ125" i="14" a="1"/>
  <c r="AQ125" i="14" s="1"/>
  <c r="AP125" i="14" a="1"/>
  <c r="AP125" i="14" s="1"/>
  <c r="AO125" i="14" a="1"/>
  <c r="AO125" i="14" s="1"/>
  <c r="AN125" i="14"/>
  <c r="AM125" i="14"/>
  <c r="AL125" i="14"/>
  <c r="AK125" i="14"/>
  <c r="AJ125" i="14"/>
  <c r="AI125" i="14"/>
  <c r="EX125" i="14" s="1"/>
  <c r="AH125" i="14"/>
  <c r="JT124" i="14"/>
  <c r="JS124" i="14"/>
  <c r="JR124" i="14"/>
  <c r="JQ124" i="14"/>
  <c r="JP124" i="14"/>
  <c r="JO124" i="14"/>
  <c r="JN124" i="14"/>
  <c r="JM124" i="14"/>
  <c r="JL124" i="14"/>
  <c r="JK124" i="14"/>
  <c r="JJ124" i="14"/>
  <c r="JI124" i="14"/>
  <c r="JH124" i="14"/>
  <c r="JG124" i="14"/>
  <c r="JF124" i="14"/>
  <c r="JE124" i="14"/>
  <c r="JD124" i="14"/>
  <c r="JC124" i="14"/>
  <c r="JB124" i="14"/>
  <c r="JA124" i="14"/>
  <c r="IZ124" i="14"/>
  <c r="IY124" i="14"/>
  <c r="IX124" i="14"/>
  <c r="IW124" i="14"/>
  <c r="IV124" i="14"/>
  <c r="IU124" i="14"/>
  <c r="IT124" i="14"/>
  <c r="IS124" i="14"/>
  <c r="IR124" i="14"/>
  <c r="IQ124" i="14"/>
  <c r="IP124" i="14"/>
  <c r="IO124" i="14"/>
  <c r="IN124" i="14"/>
  <c r="IM124" i="14"/>
  <c r="IL124" i="14"/>
  <c r="IK124" i="14"/>
  <c r="IJ124" i="14"/>
  <c r="II124" i="14"/>
  <c r="IH124" i="14"/>
  <c r="IG124" i="14"/>
  <c r="IF124" i="14"/>
  <c r="IE124" i="14"/>
  <c r="ID124" i="14"/>
  <c r="IC124" i="14"/>
  <c r="IB124" i="14"/>
  <c r="IA124" i="14"/>
  <c r="HZ124" i="14"/>
  <c r="HY124" i="14"/>
  <c r="HX124" i="14"/>
  <c r="HW124" i="14"/>
  <c r="HV124" i="14"/>
  <c r="HU124" i="14"/>
  <c r="HT124" i="14"/>
  <c r="HS124" i="14"/>
  <c r="HR124" i="14"/>
  <c r="HQ124" i="14"/>
  <c r="HP124" i="14"/>
  <c r="HO124" i="14"/>
  <c r="HN124" i="14"/>
  <c r="HM124" i="14"/>
  <c r="GH124" i="14"/>
  <c r="GG124" i="14"/>
  <c r="GF124" i="14"/>
  <c r="GE124" i="14"/>
  <c r="GD124" i="14"/>
  <c r="GC124" i="14"/>
  <c r="GB124" i="14"/>
  <c r="GA124" i="14"/>
  <c r="FZ124" i="14"/>
  <c r="FY124" i="14"/>
  <c r="FX124" i="14"/>
  <c r="FW124" i="14"/>
  <c r="FV124" i="14"/>
  <c r="FU124" i="14"/>
  <c r="FT124" i="14"/>
  <c r="FS124" i="14"/>
  <c r="FR124" i="14"/>
  <c r="FQ124" i="14"/>
  <c r="FP124" i="14"/>
  <c r="FO124" i="14"/>
  <c r="FN124" i="14"/>
  <c r="FM124" i="14"/>
  <c r="FL124" i="14"/>
  <c r="FK124" i="14"/>
  <c r="FJ124" i="14"/>
  <c r="FI124" i="14"/>
  <c r="FH124" i="14"/>
  <c r="FG124" i="14"/>
  <c r="FF124" i="14"/>
  <c r="FE124" i="14"/>
  <c r="CV124" i="14"/>
  <c r="CU124" i="14"/>
  <c r="CT124" i="14"/>
  <c r="CS124" i="14"/>
  <c r="CR124" i="14"/>
  <c r="CQ124" i="14"/>
  <c r="CP124" i="14"/>
  <c r="CO124" i="14"/>
  <c r="CN124" i="14"/>
  <c r="CM124" i="14"/>
  <c r="CL124" i="14"/>
  <c r="CK124" i="14"/>
  <c r="CJ124" i="14"/>
  <c r="CI124" i="14"/>
  <c r="CH124" i="14"/>
  <c r="CG124" i="14"/>
  <c r="CF124" i="14"/>
  <c r="CE124" i="14"/>
  <c r="CD124" i="14"/>
  <c r="CC124" i="14"/>
  <c r="CB124" i="14"/>
  <c r="CA124" i="14"/>
  <c r="BZ124" i="14"/>
  <c r="BY124" i="14"/>
  <c r="BX124" i="14"/>
  <c r="BW124" i="14"/>
  <c r="BV124" i="14"/>
  <c r="BU124" i="14"/>
  <c r="BT124" i="14"/>
  <c r="BS124" i="14"/>
  <c r="BR124" i="14" a="1"/>
  <c r="BR124" i="14" s="1"/>
  <c r="BQ124" i="14" a="1"/>
  <c r="BQ124" i="14" s="1"/>
  <c r="BP124" i="14" a="1"/>
  <c r="BP124" i="14" s="1"/>
  <c r="BO124" i="14" a="1"/>
  <c r="BO124" i="14" s="1"/>
  <c r="BN124" i="14" a="1"/>
  <c r="BN124" i="14" s="1"/>
  <c r="BM124" i="14" a="1"/>
  <c r="BM124" i="14" s="1"/>
  <c r="BL124" i="14" a="1"/>
  <c r="BL124" i="14" s="1"/>
  <c r="BK124" i="14" a="1"/>
  <c r="BK124" i="14" s="1"/>
  <c r="BJ124" i="14" a="1"/>
  <c r="BJ124" i="14" s="1"/>
  <c r="BI124" i="14" a="1"/>
  <c r="BI124" i="14" s="1"/>
  <c r="BH124" i="14" a="1"/>
  <c r="BH124" i="14" s="1"/>
  <c r="BG124" i="14" a="1"/>
  <c r="BG124" i="14" s="1"/>
  <c r="BF124" i="14" a="1"/>
  <c r="BF124" i="14" s="1"/>
  <c r="BE124" i="14" a="1"/>
  <c r="BE124" i="14" s="1"/>
  <c r="BD124" i="14" a="1"/>
  <c r="BD124" i="14" s="1"/>
  <c r="BC124" i="14" a="1"/>
  <c r="BC124" i="14" s="1"/>
  <c r="BB124" i="14" a="1"/>
  <c r="BB124" i="14" s="1"/>
  <c r="BA124" i="14" a="1"/>
  <c r="BA124" i="14" s="1"/>
  <c r="AZ124" i="14" a="1"/>
  <c r="AZ124" i="14" s="1"/>
  <c r="AY124" i="14" a="1"/>
  <c r="AY124" i="14" s="1"/>
  <c r="AX124" i="14" a="1"/>
  <c r="AX124" i="14" s="1"/>
  <c r="AW124" i="14" a="1"/>
  <c r="AW124" i="14" s="1"/>
  <c r="AV124" i="14" a="1"/>
  <c r="AV124" i="14" s="1"/>
  <c r="AU124" i="14" a="1"/>
  <c r="AU124" i="14" s="1"/>
  <c r="AT124" i="14" a="1"/>
  <c r="AT124" i="14" s="1"/>
  <c r="AS124" i="14" a="1"/>
  <c r="AS124" i="14" s="1"/>
  <c r="AR124" i="14" a="1"/>
  <c r="AR124" i="14" s="1"/>
  <c r="AQ124" i="14" a="1"/>
  <c r="AQ124" i="14" s="1"/>
  <c r="AP124" i="14" a="1"/>
  <c r="AP124" i="14" s="1"/>
  <c r="AO124" i="14" a="1"/>
  <c r="AO124" i="14" s="1"/>
  <c r="AN124" i="14"/>
  <c r="AM124" i="14"/>
  <c r="AL124" i="14"/>
  <c r="AK124" i="14"/>
  <c r="AJ124" i="14"/>
  <c r="AI124" i="14"/>
  <c r="FA124" i="14" s="1"/>
  <c r="AH124" i="14"/>
  <c r="JT123" i="14"/>
  <c r="JS123" i="14"/>
  <c r="JR123" i="14"/>
  <c r="JQ123" i="14"/>
  <c r="JP123" i="14"/>
  <c r="JO123" i="14"/>
  <c r="JN123" i="14"/>
  <c r="JM123" i="14"/>
  <c r="JL123" i="14"/>
  <c r="JK123" i="14"/>
  <c r="JJ123" i="14"/>
  <c r="JI123" i="14"/>
  <c r="JH123" i="14"/>
  <c r="JG123" i="14"/>
  <c r="JF123" i="14"/>
  <c r="JE123" i="14"/>
  <c r="JD123" i="14"/>
  <c r="JC123" i="14"/>
  <c r="JB123" i="14"/>
  <c r="JA123" i="14"/>
  <c r="IZ123" i="14"/>
  <c r="IY123" i="14"/>
  <c r="IX123" i="14"/>
  <c r="IW123" i="14"/>
  <c r="IV123" i="14"/>
  <c r="IU123" i="14"/>
  <c r="IT123" i="14"/>
  <c r="IS123" i="14"/>
  <c r="IR123" i="14"/>
  <c r="IQ123" i="14"/>
  <c r="IP123" i="14"/>
  <c r="IO123" i="14"/>
  <c r="IN123" i="14"/>
  <c r="IM123" i="14"/>
  <c r="IL123" i="14"/>
  <c r="IK123" i="14"/>
  <c r="IJ123" i="14"/>
  <c r="II123" i="14"/>
  <c r="IH123" i="14"/>
  <c r="IG123" i="14"/>
  <c r="IF123" i="14"/>
  <c r="IE123" i="14"/>
  <c r="ID123" i="14"/>
  <c r="IC123" i="14"/>
  <c r="IB123" i="14"/>
  <c r="IA123" i="14"/>
  <c r="HZ123" i="14"/>
  <c r="HY123" i="14"/>
  <c r="HX123" i="14"/>
  <c r="HW123" i="14"/>
  <c r="HV123" i="14"/>
  <c r="HU123" i="14"/>
  <c r="HT123" i="14"/>
  <c r="HS123" i="14"/>
  <c r="HR123" i="14"/>
  <c r="HQ123" i="14"/>
  <c r="HP123" i="14"/>
  <c r="HO123" i="14"/>
  <c r="HN123" i="14"/>
  <c r="HM123" i="14"/>
  <c r="GH123" i="14"/>
  <c r="GG123" i="14"/>
  <c r="GF123" i="14"/>
  <c r="GE123" i="14"/>
  <c r="GD123" i="14"/>
  <c r="GC123" i="14"/>
  <c r="GB123" i="14"/>
  <c r="GA123" i="14"/>
  <c r="FZ123" i="14"/>
  <c r="FY123" i="14"/>
  <c r="FX123" i="14"/>
  <c r="FW123" i="14"/>
  <c r="FV123" i="14"/>
  <c r="FU123" i="14"/>
  <c r="FT123" i="14"/>
  <c r="FS123" i="14"/>
  <c r="FR123" i="14"/>
  <c r="FQ123" i="14"/>
  <c r="FP123" i="14"/>
  <c r="FO123" i="14"/>
  <c r="FN123" i="14"/>
  <c r="FM123" i="14"/>
  <c r="FL123" i="14"/>
  <c r="FK123" i="14"/>
  <c r="FJ123" i="14"/>
  <c r="FI123" i="14"/>
  <c r="FH123" i="14"/>
  <c r="FG123" i="14"/>
  <c r="FF123" i="14"/>
  <c r="FE123" i="14"/>
  <c r="CV123" i="14"/>
  <c r="CU123" i="14"/>
  <c r="CT123" i="14"/>
  <c r="CS123" i="14"/>
  <c r="CR123" i="14"/>
  <c r="CQ123" i="14"/>
  <c r="CP123" i="14"/>
  <c r="CO123" i="14"/>
  <c r="CN123" i="14"/>
  <c r="CM123" i="14"/>
  <c r="CL123" i="14"/>
  <c r="CK123" i="14"/>
  <c r="CJ123" i="14"/>
  <c r="CI123" i="14"/>
  <c r="CH123" i="14"/>
  <c r="CG123" i="14"/>
  <c r="CF123" i="14"/>
  <c r="CE123" i="14"/>
  <c r="CD123" i="14"/>
  <c r="CC123" i="14"/>
  <c r="CB123" i="14"/>
  <c r="CA123" i="14"/>
  <c r="BZ123" i="14"/>
  <c r="BY123" i="14"/>
  <c r="BX123" i="14"/>
  <c r="BW123" i="14"/>
  <c r="BV123" i="14"/>
  <c r="BU123" i="14"/>
  <c r="BT123" i="14"/>
  <c r="BS123" i="14"/>
  <c r="BR123" i="14" a="1"/>
  <c r="BR123" i="14" s="1"/>
  <c r="BQ123" i="14" a="1"/>
  <c r="BQ123" i="14" s="1"/>
  <c r="BP123" i="14" a="1"/>
  <c r="BP123" i="14" s="1"/>
  <c r="BO123" i="14" a="1"/>
  <c r="BO123" i="14" s="1"/>
  <c r="BN123" i="14" a="1"/>
  <c r="BN123" i="14" s="1"/>
  <c r="BM123" i="14" a="1"/>
  <c r="BM123" i="14" s="1"/>
  <c r="BL123" i="14" a="1"/>
  <c r="BL123" i="14" s="1"/>
  <c r="BK123" i="14" a="1"/>
  <c r="BK123" i="14" s="1"/>
  <c r="BJ123" i="14" a="1"/>
  <c r="BJ123" i="14" s="1"/>
  <c r="BI123" i="14" a="1"/>
  <c r="BI123" i="14" s="1"/>
  <c r="BH123" i="14" a="1"/>
  <c r="BH123" i="14" s="1"/>
  <c r="BG123" i="14" a="1"/>
  <c r="BG123" i="14" s="1"/>
  <c r="BF123" i="14" a="1"/>
  <c r="BF123" i="14" s="1"/>
  <c r="BE123" i="14" a="1"/>
  <c r="BE123" i="14" s="1"/>
  <c r="BD123" i="14" a="1"/>
  <c r="BD123" i="14" s="1"/>
  <c r="BC123" i="14" a="1"/>
  <c r="BC123" i="14" s="1"/>
  <c r="BB123" i="14" a="1"/>
  <c r="BB123" i="14" s="1"/>
  <c r="BA123" i="14" a="1"/>
  <c r="BA123" i="14" s="1"/>
  <c r="AZ123" i="14" a="1"/>
  <c r="AZ123" i="14" s="1"/>
  <c r="AY123" i="14" a="1"/>
  <c r="AY123" i="14" s="1"/>
  <c r="AX123" i="14" a="1"/>
  <c r="AX123" i="14" s="1"/>
  <c r="AW123" i="14" a="1"/>
  <c r="AW123" i="14" s="1"/>
  <c r="AV123" i="14" a="1"/>
  <c r="AV123" i="14" s="1"/>
  <c r="AU123" i="14" a="1"/>
  <c r="AU123" i="14" s="1"/>
  <c r="AT123" i="14" a="1"/>
  <c r="AT123" i="14" s="1"/>
  <c r="AS123" i="14" a="1"/>
  <c r="AS123" i="14" s="1"/>
  <c r="AR123" i="14" a="1"/>
  <c r="AR123" i="14" s="1"/>
  <c r="AQ123" i="14" a="1"/>
  <c r="AQ123" i="14" s="1"/>
  <c r="AP123" i="14" a="1"/>
  <c r="AP123" i="14" s="1"/>
  <c r="AO123" i="14" a="1"/>
  <c r="AO123" i="14" s="1"/>
  <c r="AN123" i="14"/>
  <c r="AM123" i="14"/>
  <c r="AL123" i="14"/>
  <c r="AK123" i="14"/>
  <c r="AJ123" i="14"/>
  <c r="AI123" i="14"/>
  <c r="FB123" i="14" s="1"/>
  <c r="AH123" i="14"/>
  <c r="JT122" i="14"/>
  <c r="JS122" i="14"/>
  <c r="JR122" i="14"/>
  <c r="JQ122" i="14"/>
  <c r="JP122" i="14"/>
  <c r="JO122" i="14"/>
  <c r="JN122" i="14"/>
  <c r="JM122" i="14"/>
  <c r="JL122" i="14"/>
  <c r="JK122" i="14"/>
  <c r="JJ122" i="14"/>
  <c r="JI122" i="14"/>
  <c r="JH122" i="14"/>
  <c r="JG122" i="14"/>
  <c r="JF122" i="14"/>
  <c r="JE122" i="14"/>
  <c r="JD122" i="14"/>
  <c r="JC122" i="14"/>
  <c r="JB122" i="14"/>
  <c r="JA122" i="14"/>
  <c r="IZ122" i="14"/>
  <c r="IY122" i="14"/>
  <c r="IX122" i="14"/>
  <c r="IW122" i="14"/>
  <c r="IV122" i="14"/>
  <c r="IU122" i="14"/>
  <c r="IT122" i="14"/>
  <c r="IS122" i="14"/>
  <c r="IR122" i="14"/>
  <c r="IQ122" i="14"/>
  <c r="IP122" i="14"/>
  <c r="IO122" i="14"/>
  <c r="IN122" i="14"/>
  <c r="IM122" i="14"/>
  <c r="IL122" i="14"/>
  <c r="IK122" i="14"/>
  <c r="IJ122" i="14"/>
  <c r="II122" i="14"/>
  <c r="IH122" i="14"/>
  <c r="IG122" i="14"/>
  <c r="IF122" i="14"/>
  <c r="IE122" i="14"/>
  <c r="ID122" i="14"/>
  <c r="IC122" i="14"/>
  <c r="IB122" i="14"/>
  <c r="IA122" i="14"/>
  <c r="HZ122" i="14"/>
  <c r="HY122" i="14"/>
  <c r="HX122" i="14"/>
  <c r="HW122" i="14"/>
  <c r="HV122" i="14"/>
  <c r="HU122" i="14"/>
  <c r="HT122" i="14"/>
  <c r="HS122" i="14"/>
  <c r="HR122" i="14"/>
  <c r="HQ122" i="14"/>
  <c r="HP122" i="14"/>
  <c r="HO122" i="14"/>
  <c r="HN122" i="14"/>
  <c r="HM122" i="14"/>
  <c r="GH122" i="14"/>
  <c r="GG122" i="14"/>
  <c r="GF122" i="14"/>
  <c r="GE122" i="14"/>
  <c r="GD122" i="14"/>
  <c r="GC122" i="14"/>
  <c r="GB122" i="14"/>
  <c r="GA122" i="14"/>
  <c r="FZ122" i="14"/>
  <c r="FY122" i="14"/>
  <c r="FX122" i="14"/>
  <c r="FW122" i="14"/>
  <c r="FV122" i="14"/>
  <c r="FU122" i="14"/>
  <c r="FT122" i="14"/>
  <c r="FS122" i="14"/>
  <c r="FR122" i="14"/>
  <c r="FQ122" i="14"/>
  <c r="FP122" i="14"/>
  <c r="FO122" i="14"/>
  <c r="FN122" i="14"/>
  <c r="FM122" i="14"/>
  <c r="FL122" i="14"/>
  <c r="FK122" i="14"/>
  <c r="FJ122" i="14"/>
  <c r="FI122" i="14"/>
  <c r="FH122" i="14"/>
  <c r="FG122" i="14"/>
  <c r="FF122" i="14"/>
  <c r="FE122" i="14"/>
  <c r="CV122" i="14"/>
  <c r="CU122" i="14"/>
  <c r="CT122" i="14"/>
  <c r="CS122" i="14"/>
  <c r="CR122" i="14"/>
  <c r="CQ122" i="14"/>
  <c r="CP122" i="14"/>
  <c r="CO122" i="14"/>
  <c r="CN122" i="14"/>
  <c r="CM122" i="14"/>
  <c r="CL122" i="14"/>
  <c r="CK122" i="14"/>
  <c r="CJ122" i="14"/>
  <c r="CI122" i="14"/>
  <c r="CH122" i="14"/>
  <c r="CG122" i="14"/>
  <c r="CF122" i="14"/>
  <c r="CE122" i="14"/>
  <c r="CD122" i="14"/>
  <c r="CC122" i="14"/>
  <c r="CB122" i="14"/>
  <c r="CA122" i="14"/>
  <c r="BZ122" i="14"/>
  <c r="BY122" i="14"/>
  <c r="BX122" i="14"/>
  <c r="BW122" i="14"/>
  <c r="BV122" i="14"/>
  <c r="BU122" i="14"/>
  <c r="BT122" i="14"/>
  <c r="BS122" i="14"/>
  <c r="BR122" i="14" a="1"/>
  <c r="BR122" i="14" s="1"/>
  <c r="BQ122" i="14" a="1"/>
  <c r="BQ122" i="14" s="1"/>
  <c r="BP122" i="14" a="1"/>
  <c r="BP122" i="14" s="1"/>
  <c r="BO122" i="14" a="1"/>
  <c r="BO122" i="14" s="1"/>
  <c r="BN122" i="14" a="1"/>
  <c r="BN122" i="14" s="1"/>
  <c r="BM122" i="14" a="1"/>
  <c r="BM122" i="14" s="1"/>
  <c r="BL122" i="14" a="1"/>
  <c r="BL122" i="14" s="1"/>
  <c r="BK122" i="14" a="1"/>
  <c r="BK122" i="14" s="1"/>
  <c r="BJ122" i="14" a="1"/>
  <c r="BJ122" i="14" s="1"/>
  <c r="BI122" i="14" a="1"/>
  <c r="BI122" i="14" s="1"/>
  <c r="BH122" i="14" a="1"/>
  <c r="BH122" i="14" s="1"/>
  <c r="BG122" i="14" a="1"/>
  <c r="BG122" i="14" s="1"/>
  <c r="BF122" i="14" a="1"/>
  <c r="BF122" i="14" s="1"/>
  <c r="BE122" i="14" a="1"/>
  <c r="BE122" i="14" s="1"/>
  <c r="BD122" i="14" a="1"/>
  <c r="BD122" i="14" s="1"/>
  <c r="BC122" i="14" a="1"/>
  <c r="BC122" i="14" s="1"/>
  <c r="BB122" i="14" a="1"/>
  <c r="BB122" i="14" s="1"/>
  <c r="BA122" i="14" a="1"/>
  <c r="BA122" i="14" s="1"/>
  <c r="AZ122" i="14" a="1"/>
  <c r="AZ122" i="14" s="1"/>
  <c r="AY122" i="14" a="1"/>
  <c r="AY122" i="14" s="1"/>
  <c r="AX122" i="14" a="1"/>
  <c r="AX122" i="14" s="1"/>
  <c r="AW122" i="14" a="1"/>
  <c r="AW122" i="14" s="1"/>
  <c r="AV122" i="14" a="1"/>
  <c r="AV122" i="14" s="1"/>
  <c r="AU122" i="14" a="1"/>
  <c r="AU122" i="14" s="1"/>
  <c r="AT122" i="14" a="1"/>
  <c r="AT122" i="14" s="1"/>
  <c r="AS122" i="14" a="1"/>
  <c r="AS122" i="14" s="1"/>
  <c r="AR122" i="14" a="1"/>
  <c r="AR122" i="14" s="1"/>
  <c r="AQ122" i="14" a="1"/>
  <c r="AQ122" i="14" s="1"/>
  <c r="AP122" i="14" a="1"/>
  <c r="AP122" i="14" s="1"/>
  <c r="AO122" i="14" a="1"/>
  <c r="AO122" i="14" s="1"/>
  <c r="AN122" i="14"/>
  <c r="AM122" i="14"/>
  <c r="AL122" i="14"/>
  <c r="AK122" i="14"/>
  <c r="AJ122" i="14"/>
  <c r="AI122" i="14"/>
  <c r="EP122" i="14" s="1"/>
  <c r="AH122" i="14"/>
  <c r="JR121" i="14"/>
  <c r="JQ121" i="14"/>
  <c r="JP121" i="14"/>
  <c r="JM121" i="14"/>
  <c r="JJ121" i="14"/>
  <c r="JI121" i="14"/>
  <c r="JH121" i="14"/>
  <c r="JE121" i="14"/>
  <c r="JB121" i="14"/>
  <c r="JA121" i="14"/>
  <c r="IZ121" i="14"/>
  <c r="IW121" i="14"/>
  <c r="IT121" i="14"/>
  <c r="IS121" i="14"/>
  <c r="IR121" i="14"/>
  <c r="GH121" i="14"/>
  <c r="GG121" i="14"/>
  <c r="GF121" i="14"/>
  <c r="GE121" i="14"/>
  <c r="GD121" i="14"/>
  <c r="GC121" i="14"/>
  <c r="GB121" i="14"/>
  <c r="GA121" i="14"/>
  <c r="FZ121" i="14"/>
  <c r="FY121" i="14"/>
  <c r="FX121" i="14"/>
  <c r="FW121" i="14"/>
  <c r="FV121" i="14"/>
  <c r="FU121" i="14"/>
  <c r="FT121" i="14"/>
  <c r="FS121" i="14"/>
  <c r="FR121" i="14"/>
  <c r="FQ121" i="14"/>
  <c r="FP121" i="14"/>
  <c r="FO121" i="14"/>
  <c r="FN121" i="14"/>
  <c r="FM121" i="14"/>
  <c r="FL121" i="14"/>
  <c r="FK121" i="14"/>
  <c r="FJ121" i="14"/>
  <c r="FI121" i="14"/>
  <c r="FH121" i="14"/>
  <c r="FG121" i="14"/>
  <c r="FF121" i="14"/>
  <c r="FE121" i="14"/>
  <c r="BN121" i="14" a="1"/>
  <c r="BN121" i="14" s="1"/>
  <c r="BF121" i="14" a="1"/>
  <c r="BF121" i="14" s="1"/>
  <c r="AX121" i="14" a="1"/>
  <c r="AX121" i="14" s="1"/>
  <c r="AP121" i="14" a="1"/>
  <c r="AP121" i="14" s="1"/>
  <c r="AN121" i="14"/>
  <c r="JO121" i="14" s="1"/>
  <c r="AM121" i="14"/>
  <c r="BK121" i="14" s="1" a="1"/>
  <c r="BK121" i="14" s="1"/>
  <c r="AL121" i="14"/>
  <c r="AK121" i="14"/>
  <c r="AJ121" i="14"/>
  <c r="AI121" i="14"/>
  <c r="BM121" i="14" s="1" a="1"/>
  <c r="BM121" i="14" s="1"/>
  <c r="AH121" i="14"/>
  <c r="II121" i="14" s="1"/>
  <c r="JT120" i="14"/>
  <c r="JS120" i="14"/>
  <c r="JR120" i="14"/>
  <c r="JQ120" i="14"/>
  <c r="JP120" i="14"/>
  <c r="JO120" i="14"/>
  <c r="JN120" i="14"/>
  <c r="JM120" i="14"/>
  <c r="JL120" i="14"/>
  <c r="JK120" i="14"/>
  <c r="JJ120" i="14"/>
  <c r="JI120" i="14"/>
  <c r="JH120" i="14"/>
  <c r="JG120" i="14"/>
  <c r="JF120" i="14"/>
  <c r="JE120" i="14"/>
  <c r="JD120" i="14"/>
  <c r="JC120" i="14"/>
  <c r="JB120" i="14"/>
  <c r="JA120" i="14"/>
  <c r="IZ120" i="14"/>
  <c r="IY120" i="14"/>
  <c r="IX120" i="14"/>
  <c r="IW120" i="14"/>
  <c r="IV120" i="14"/>
  <c r="IU120" i="14"/>
  <c r="IT120" i="14"/>
  <c r="IS120" i="14"/>
  <c r="IR120" i="14"/>
  <c r="IQ120" i="14"/>
  <c r="IP120" i="14"/>
  <c r="IO120" i="14"/>
  <c r="IN120" i="14"/>
  <c r="IM120" i="14"/>
  <c r="IL120" i="14"/>
  <c r="IK120" i="14"/>
  <c r="IJ120" i="14"/>
  <c r="II120" i="14"/>
  <c r="IH120" i="14"/>
  <c r="IG120" i="14"/>
  <c r="IF120" i="14"/>
  <c r="IE120" i="14"/>
  <c r="ID120" i="14"/>
  <c r="IC120" i="14"/>
  <c r="IB120" i="14"/>
  <c r="IA120" i="14"/>
  <c r="HZ120" i="14"/>
  <c r="HY120" i="14"/>
  <c r="HX120" i="14"/>
  <c r="HW120" i="14"/>
  <c r="HV120" i="14"/>
  <c r="HU120" i="14"/>
  <c r="HT120" i="14"/>
  <c r="HS120" i="14"/>
  <c r="HR120" i="14"/>
  <c r="HQ120" i="14"/>
  <c r="HP120" i="14"/>
  <c r="HO120" i="14"/>
  <c r="HN120" i="14"/>
  <c r="HM120" i="14"/>
  <c r="GH120" i="14"/>
  <c r="GG120" i="14"/>
  <c r="GF120" i="14"/>
  <c r="GE120" i="14"/>
  <c r="GD120" i="14"/>
  <c r="GC120" i="14"/>
  <c r="GB120" i="14"/>
  <c r="GA120" i="14"/>
  <c r="FZ120" i="14"/>
  <c r="FY120" i="14"/>
  <c r="FX120" i="14"/>
  <c r="FW120" i="14"/>
  <c r="FV120" i="14"/>
  <c r="FU120" i="14"/>
  <c r="FT120" i="14"/>
  <c r="FS120" i="14"/>
  <c r="FR120" i="14"/>
  <c r="FQ120" i="14"/>
  <c r="FP120" i="14"/>
  <c r="FO120" i="14"/>
  <c r="FN120" i="14"/>
  <c r="FM120" i="14"/>
  <c r="FL120" i="14"/>
  <c r="FK120" i="14"/>
  <c r="FJ120" i="14"/>
  <c r="FI120" i="14"/>
  <c r="FH120" i="14"/>
  <c r="FG120" i="14"/>
  <c r="FF120" i="14"/>
  <c r="FE120" i="14"/>
  <c r="CV120" i="14"/>
  <c r="CU120" i="14"/>
  <c r="CT120" i="14"/>
  <c r="CS120" i="14"/>
  <c r="CR120" i="14"/>
  <c r="CQ120" i="14"/>
  <c r="CP120" i="14"/>
  <c r="CO120" i="14"/>
  <c r="CN120" i="14"/>
  <c r="CM120" i="14"/>
  <c r="CL120" i="14"/>
  <c r="CK120" i="14"/>
  <c r="CJ120" i="14"/>
  <c r="CI120" i="14"/>
  <c r="CH120" i="14"/>
  <c r="CG120" i="14"/>
  <c r="CF120" i="14"/>
  <c r="CE120" i="14"/>
  <c r="CD120" i="14"/>
  <c r="CC120" i="14"/>
  <c r="CB120" i="14"/>
  <c r="CA120" i="14"/>
  <c r="BZ120" i="14"/>
  <c r="BY120" i="14"/>
  <c r="BX120" i="14"/>
  <c r="BW120" i="14"/>
  <c r="BV120" i="14"/>
  <c r="BU120" i="14"/>
  <c r="BT120" i="14"/>
  <c r="BS120" i="14"/>
  <c r="BR120" i="14" a="1"/>
  <c r="BR120" i="14" s="1"/>
  <c r="BQ120" i="14" a="1"/>
  <c r="BQ120" i="14" s="1"/>
  <c r="BP120" i="14" a="1"/>
  <c r="BP120" i="14" s="1"/>
  <c r="BO120" i="14" a="1"/>
  <c r="BO120" i="14" s="1"/>
  <c r="BN120" i="14" a="1"/>
  <c r="BN120" i="14" s="1"/>
  <c r="BM120" i="14" a="1"/>
  <c r="BM120" i="14" s="1"/>
  <c r="BL120" i="14" a="1"/>
  <c r="BL120" i="14" s="1"/>
  <c r="BK120" i="14" a="1"/>
  <c r="BK120" i="14" s="1"/>
  <c r="BJ120" i="14" a="1"/>
  <c r="BJ120" i="14" s="1"/>
  <c r="BI120" i="14" a="1"/>
  <c r="BI120" i="14" s="1"/>
  <c r="BH120" i="14" a="1"/>
  <c r="BH120" i="14" s="1"/>
  <c r="BG120" i="14" a="1"/>
  <c r="BG120" i="14" s="1"/>
  <c r="BF120" i="14" a="1"/>
  <c r="BF120" i="14" s="1"/>
  <c r="BE120" i="14" a="1"/>
  <c r="BE120" i="14" s="1"/>
  <c r="BD120" i="14" a="1"/>
  <c r="BD120" i="14" s="1"/>
  <c r="BC120" i="14" a="1"/>
  <c r="BC120" i="14" s="1"/>
  <c r="BB120" i="14" a="1"/>
  <c r="BB120" i="14" s="1"/>
  <c r="BA120" i="14" a="1"/>
  <c r="BA120" i="14" s="1"/>
  <c r="AZ120" i="14" a="1"/>
  <c r="AZ120" i="14" s="1"/>
  <c r="AY120" i="14" a="1"/>
  <c r="AY120" i="14" s="1"/>
  <c r="AX120" i="14" a="1"/>
  <c r="AX120" i="14" s="1"/>
  <c r="AW120" i="14" a="1"/>
  <c r="AW120" i="14" s="1"/>
  <c r="AV120" i="14" a="1"/>
  <c r="AV120" i="14" s="1"/>
  <c r="AU120" i="14" a="1"/>
  <c r="AU120" i="14" s="1"/>
  <c r="AT120" i="14" a="1"/>
  <c r="AT120" i="14" s="1"/>
  <c r="AS120" i="14" a="1"/>
  <c r="AS120" i="14" s="1"/>
  <c r="AR120" i="14" a="1"/>
  <c r="AR120" i="14" s="1"/>
  <c r="AQ120" i="14" a="1"/>
  <c r="AQ120" i="14" s="1"/>
  <c r="AP120" i="14" a="1"/>
  <c r="AP120" i="14" s="1"/>
  <c r="AO120" i="14" a="1"/>
  <c r="AO120" i="14" s="1"/>
  <c r="AN120" i="14"/>
  <c r="AM120" i="14"/>
  <c r="AL120" i="14"/>
  <c r="AK120" i="14"/>
  <c r="AJ120" i="14"/>
  <c r="AI120" i="14"/>
  <c r="AH120" i="14"/>
  <c r="JT119" i="14"/>
  <c r="JS119" i="14"/>
  <c r="JR119" i="14"/>
  <c r="JQ119" i="14"/>
  <c r="JP119" i="14"/>
  <c r="JO119" i="14"/>
  <c r="JN119" i="14"/>
  <c r="JM119" i="14"/>
  <c r="JL119" i="14"/>
  <c r="JK119" i="14"/>
  <c r="JJ119" i="14"/>
  <c r="JI119" i="14"/>
  <c r="JH119" i="14"/>
  <c r="JG119" i="14"/>
  <c r="JF119" i="14"/>
  <c r="JE119" i="14"/>
  <c r="JD119" i="14"/>
  <c r="JC119" i="14"/>
  <c r="JB119" i="14"/>
  <c r="JA119" i="14"/>
  <c r="IZ119" i="14"/>
  <c r="IY119" i="14"/>
  <c r="IX119" i="14"/>
  <c r="IW119" i="14"/>
  <c r="IV119" i="14"/>
  <c r="IU119" i="14"/>
  <c r="IT119" i="14"/>
  <c r="IS119" i="14"/>
  <c r="IR119" i="14"/>
  <c r="IQ119" i="14"/>
  <c r="IP119" i="14"/>
  <c r="IO119" i="14"/>
  <c r="IN119" i="14"/>
  <c r="IM119" i="14"/>
  <c r="IL119" i="14"/>
  <c r="IK119" i="14"/>
  <c r="IJ119" i="14"/>
  <c r="II119" i="14"/>
  <c r="IH119" i="14"/>
  <c r="IG119" i="14"/>
  <c r="IF119" i="14"/>
  <c r="IE119" i="14"/>
  <c r="ID119" i="14"/>
  <c r="IC119" i="14"/>
  <c r="IB119" i="14"/>
  <c r="IA119" i="14"/>
  <c r="HZ119" i="14"/>
  <c r="HY119" i="14"/>
  <c r="HX119" i="14"/>
  <c r="HW119" i="14"/>
  <c r="HV119" i="14"/>
  <c r="HU119" i="14"/>
  <c r="HT119" i="14"/>
  <c r="HS119" i="14"/>
  <c r="HR119" i="14"/>
  <c r="HQ119" i="14"/>
  <c r="HP119" i="14"/>
  <c r="HO119" i="14"/>
  <c r="HN119" i="14"/>
  <c r="HM119" i="14"/>
  <c r="GH119" i="14"/>
  <c r="GG119" i="14"/>
  <c r="GF119" i="14"/>
  <c r="GE119" i="14"/>
  <c r="GD119" i="14"/>
  <c r="GC119" i="14"/>
  <c r="GB119" i="14"/>
  <c r="GA119" i="14"/>
  <c r="FZ119" i="14"/>
  <c r="FY119" i="14"/>
  <c r="FX119" i="14"/>
  <c r="FW119" i="14"/>
  <c r="FV119" i="14"/>
  <c r="FU119" i="14"/>
  <c r="FT119" i="14"/>
  <c r="FS119" i="14"/>
  <c r="FR119" i="14"/>
  <c r="FQ119" i="14"/>
  <c r="FP119" i="14"/>
  <c r="FO119" i="14"/>
  <c r="FN119" i="14"/>
  <c r="FM119" i="14"/>
  <c r="FL119" i="14"/>
  <c r="FK119" i="14"/>
  <c r="FJ119" i="14"/>
  <c r="FI119" i="14"/>
  <c r="FH119" i="14"/>
  <c r="FG119" i="14"/>
  <c r="FF119" i="14"/>
  <c r="FE119" i="14"/>
  <c r="CV119" i="14"/>
  <c r="CU119" i="14"/>
  <c r="CT119" i="14"/>
  <c r="CS119" i="14"/>
  <c r="CR119" i="14"/>
  <c r="CQ119" i="14"/>
  <c r="CP119" i="14"/>
  <c r="CO119" i="14"/>
  <c r="CN119" i="14"/>
  <c r="CM119" i="14"/>
  <c r="CL119" i="14"/>
  <c r="CK119" i="14"/>
  <c r="CJ119" i="14"/>
  <c r="CI119" i="14"/>
  <c r="CH119" i="14"/>
  <c r="CG119" i="14"/>
  <c r="CF119" i="14"/>
  <c r="CE119" i="14"/>
  <c r="CD119" i="14"/>
  <c r="CC119" i="14"/>
  <c r="CB119" i="14"/>
  <c r="CA119" i="14"/>
  <c r="BZ119" i="14"/>
  <c r="BY119" i="14"/>
  <c r="BX119" i="14"/>
  <c r="BW119" i="14"/>
  <c r="BV119" i="14"/>
  <c r="BU119" i="14"/>
  <c r="BT119" i="14"/>
  <c r="BS119" i="14"/>
  <c r="BR119" i="14" a="1"/>
  <c r="BR119" i="14" s="1"/>
  <c r="BQ119" i="14" a="1"/>
  <c r="BQ119" i="14" s="1"/>
  <c r="BP119" i="14" a="1"/>
  <c r="BP119" i="14" s="1"/>
  <c r="BO119" i="14" a="1"/>
  <c r="BO119" i="14" s="1"/>
  <c r="BN119" i="14" a="1"/>
  <c r="BN119" i="14" s="1"/>
  <c r="BM119" i="14" a="1"/>
  <c r="BM119" i="14" s="1"/>
  <c r="BL119" i="14" a="1"/>
  <c r="BL119" i="14" s="1"/>
  <c r="BK119" i="14" a="1"/>
  <c r="BK119" i="14" s="1"/>
  <c r="BJ119" i="14" a="1"/>
  <c r="BJ119" i="14" s="1"/>
  <c r="BI119" i="14" a="1"/>
  <c r="BI119" i="14" s="1"/>
  <c r="BH119" i="14" a="1"/>
  <c r="BH119" i="14" s="1"/>
  <c r="BG119" i="14" a="1"/>
  <c r="BG119" i="14" s="1"/>
  <c r="BF119" i="14" a="1"/>
  <c r="BF119" i="14" s="1"/>
  <c r="BE119" i="14" a="1"/>
  <c r="BE119" i="14" s="1"/>
  <c r="BD119" i="14" a="1"/>
  <c r="BD119" i="14" s="1"/>
  <c r="BC119" i="14" a="1"/>
  <c r="BC119" i="14" s="1"/>
  <c r="BB119" i="14" a="1"/>
  <c r="BB119" i="14" s="1"/>
  <c r="BA119" i="14" a="1"/>
  <c r="BA119" i="14" s="1"/>
  <c r="AZ119" i="14" a="1"/>
  <c r="AZ119" i="14" s="1"/>
  <c r="AY119" i="14" a="1"/>
  <c r="AY119" i="14" s="1"/>
  <c r="AX119" i="14" a="1"/>
  <c r="AX119" i="14" s="1"/>
  <c r="AW119" i="14" a="1"/>
  <c r="AW119" i="14" s="1"/>
  <c r="AV119" i="14" a="1"/>
  <c r="AV119" i="14" s="1"/>
  <c r="AU119" i="14" a="1"/>
  <c r="AU119" i="14" s="1"/>
  <c r="AT119" i="14" a="1"/>
  <c r="AT119" i="14" s="1"/>
  <c r="AS119" i="14" a="1"/>
  <c r="AS119" i="14" s="1"/>
  <c r="AR119" i="14" a="1"/>
  <c r="AR119" i="14" s="1"/>
  <c r="AQ119" i="14" a="1"/>
  <c r="AQ119" i="14" s="1"/>
  <c r="AP119" i="14" a="1"/>
  <c r="AP119" i="14" s="1"/>
  <c r="AO119" i="14" a="1"/>
  <c r="AO119" i="14" s="1"/>
  <c r="AN119" i="14"/>
  <c r="AM119" i="14"/>
  <c r="AL119" i="14"/>
  <c r="AK119" i="14"/>
  <c r="AJ119" i="14"/>
  <c r="AI119" i="14"/>
  <c r="ES119" i="14" s="1"/>
  <c r="AH119" i="14"/>
  <c r="JT118" i="14"/>
  <c r="JS118" i="14"/>
  <c r="JR118" i="14"/>
  <c r="JQ118" i="14"/>
  <c r="JP118" i="14"/>
  <c r="JO118" i="14"/>
  <c r="JN118" i="14"/>
  <c r="JM118" i="14"/>
  <c r="JL118" i="14"/>
  <c r="JK118" i="14"/>
  <c r="JJ118" i="14"/>
  <c r="JI118" i="14"/>
  <c r="JH118" i="14"/>
  <c r="JG118" i="14"/>
  <c r="JF118" i="14"/>
  <c r="JE118" i="14"/>
  <c r="JD118" i="14"/>
  <c r="JC118" i="14"/>
  <c r="JB118" i="14"/>
  <c r="JA118" i="14"/>
  <c r="IZ118" i="14"/>
  <c r="IY118" i="14"/>
  <c r="IX118" i="14"/>
  <c r="IW118" i="14"/>
  <c r="IV118" i="14"/>
  <c r="IU118" i="14"/>
  <c r="IT118" i="14"/>
  <c r="IS118" i="14"/>
  <c r="IR118" i="14"/>
  <c r="IQ118" i="14"/>
  <c r="IP118" i="14"/>
  <c r="IO118" i="14"/>
  <c r="IN118" i="14"/>
  <c r="IM118" i="14"/>
  <c r="IL118" i="14"/>
  <c r="IK118" i="14"/>
  <c r="IJ118" i="14"/>
  <c r="II118" i="14"/>
  <c r="IH118" i="14"/>
  <c r="IG118" i="14"/>
  <c r="IF118" i="14"/>
  <c r="IE118" i="14"/>
  <c r="ID118" i="14"/>
  <c r="IC118" i="14"/>
  <c r="IB118" i="14"/>
  <c r="IA118" i="14"/>
  <c r="HZ118" i="14"/>
  <c r="HY118" i="14"/>
  <c r="HX118" i="14"/>
  <c r="HW118" i="14"/>
  <c r="HV118" i="14"/>
  <c r="HU118" i="14"/>
  <c r="HT118" i="14"/>
  <c r="HS118" i="14"/>
  <c r="HR118" i="14"/>
  <c r="HQ118" i="14"/>
  <c r="HP118" i="14"/>
  <c r="HO118" i="14"/>
  <c r="HN118" i="14"/>
  <c r="HM118" i="14"/>
  <c r="GH118" i="14"/>
  <c r="GG118" i="14"/>
  <c r="GF118" i="14"/>
  <c r="GE118" i="14"/>
  <c r="GD118" i="14"/>
  <c r="GC118" i="14"/>
  <c r="GB118" i="14"/>
  <c r="GA118" i="14"/>
  <c r="FZ118" i="14"/>
  <c r="FY118" i="14"/>
  <c r="FX118" i="14"/>
  <c r="FW118" i="14"/>
  <c r="FV118" i="14"/>
  <c r="FU118" i="14"/>
  <c r="FT118" i="14"/>
  <c r="FS118" i="14"/>
  <c r="FR118" i="14"/>
  <c r="FQ118" i="14"/>
  <c r="FP118" i="14"/>
  <c r="FO118" i="14"/>
  <c r="FN118" i="14"/>
  <c r="FM118" i="14"/>
  <c r="FL118" i="14"/>
  <c r="FK118" i="14"/>
  <c r="FJ118" i="14"/>
  <c r="FI118" i="14"/>
  <c r="FH118" i="14"/>
  <c r="FG118" i="14"/>
  <c r="FF118" i="14"/>
  <c r="FE118" i="14"/>
  <c r="CV118" i="14"/>
  <c r="CU118" i="14"/>
  <c r="CT118" i="14"/>
  <c r="CS118" i="14"/>
  <c r="CR118" i="14"/>
  <c r="CQ118" i="14"/>
  <c r="CP118" i="14"/>
  <c r="CO118" i="14"/>
  <c r="CN118" i="14"/>
  <c r="CM118" i="14"/>
  <c r="CL118" i="14"/>
  <c r="CK118" i="14"/>
  <c r="CJ118" i="14"/>
  <c r="CI118" i="14"/>
  <c r="CH118" i="14"/>
  <c r="CG118" i="14"/>
  <c r="CF118" i="14"/>
  <c r="CE118" i="14"/>
  <c r="CD118" i="14"/>
  <c r="CC118" i="14"/>
  <c r="CB118" i="14"/>
  <c r="CA118" i="14"/>
  <c r="BZ118" i="14"/>
  <c r="BY118" i="14"/>
  <c r="BX118" i="14"/>
  <c r="BW118" i="14"/>
  <c r="BV118" i="14"/>
  <c r="BU118" i="14"/>
  <c r="BT118" i="14"/>
  <c r="BS118" i="14"/>
  <c r="BR118" i="14" a="1"/>
  <c r="BR118" i="14" s="1"/>
  <c r="BQ118" i="14" a="1"/>
  <c r="BQ118" i="14" s="1"/>
  <c r="BP118" i="14" a="1"/>
  <c r="BP118" i="14" s="1"/>
  <c r="BO118" i="14" a="1"/>
  <c r="BO118" i="14" s="1"/>
  <c r="BN118" i="14" a="1"/>
  <c r="BN118" i="14" s="1"/>
  <c r="BM118" i="14" a="1"/>
  <c r="BM118" i="14" s="1"/>
  <c r="BL118" i="14" a="1"/>
  <c r="BL118" i="14" s="1"/>
  <c r="BK118" i="14" a="1"/>
  <c r="BK118" i="14" s="1"/>
  <c r="BJ118" i="14" a="1"/>
  <c r="BJ118" i="14" s="1"/>
  <c r="BI118" i="14" a="1"/>
  <c r="BI118" i="14" s="1"/>
  <c r="BH118" i="14" a="1"/>
  <c r="BH118" i="14" s="1"/>
  <c r="BG118" i="14" a="1"/>
  <c r="BG118" i="14" s="1"/>
  <c r="BF118" i="14" a="1"/>
  <c r="BF118" i="14" s="1"/>
  <c r="BE118" i="14" a="1"/>
  <c r="BE118" i="14" s="1"/>
  <c r="BD118" i="14" a="1"/>
  <c r="BD118" i="14" s="1"/>
  <c r="BC118" i="14" a="1"/>
  <c r="BC118" i="14" s="1"/>
  <c r="BB118" i="14" a="1"/>
  <c r="BB118" i="14" s="1"/>
  <c r="BA118" i="14" a="1"/>
  <c r="BA118" i="14" s="1"/>
  <c r="AZ118" i="14" a="1"/>
  <c r="AZ118" i="14" s="1"/>
  <c r="AY118" i="14" a="1"/>
  <c r="AY118" i="14" s="1"/>
  <c r="AX118" i="14" a="1"/>
  <c r="AX118" i="14" s="1"/>
  <c r="AW118" i="14" a="1"/>
  <c r="AW118" i="14" s="1"/>
  <c r="AV118" i="14" a="1"/>
  <c r="AV118" i="14" s="1"/>
  <c r="AU118" i="14" a="1"/>
  <c r="AU118" i="14" s="1"/>
  <c r="AT118" i="14" a="1"/>
  <c r="AT118" i="14" s="1"/>
  <c r="AS118" i="14" a="1"/>
  <c r="AS118" i="14" s="1"/>
  <c r="AR118" i="14" a="1"/>
  <c r="AR118" i="14" s="1"/>
  <c r="AQ118" i="14" a="1"/>
  <c r="AQ118" i="14" s="1"/>
  <c r="AP118" i="14" a="1"/>
  <c r="AP118" i="14" s="1"/>
  <c r="AO118" i="14" a="1"/>
  <c r="AO118" i="14" s="1"/>
  <c r="AN118" i="14"/>
  <c r="AM118" i="14"/>
  <c r="AL118" i="14"/>
  <c r="AK118" i="14"/>
  <c r="AJ118" i="14"/>
  <c r="AI118" i="14"/>
  <c r="FD118" i="14" s="1"/>
  <c r="AH118" i="14"/>
  <c r="JT117" i="14"/>
  <c r="JS117" i="14"/>
  <c r="JR117" i="14"/>
  <c r="JQ117" i="14"/>
  <c r="JP117" i="14"/>
  <c r="JO117" i="14"/>
  <c r="JN117" i="14"/>
  <c r="JM117" i="14"/>
  <c r="JL117" i="14"/>
  <c r="JK117" i="14"/>
  <c r="JJ117" i="14"/>
  <c r="JI117" i="14"/>
  <c r="JH117" i="14"/>
  <c r="JG117" i="14"/>
  <c r="JF117" i="14"/>
  <c r="JE117" i="14"/>
  <c r="JD117" i="14"/>
  <c r="JC117" i="14"/>
  <c r="JB117" i="14"/>
  <c r="JA117" i="14"/>
  <c r="IZ117" i="14"/>
  <c r="IY117" i="14"/>
  <c r="IX117" i="14"/>
  <c r="IW117" i="14"/>
  <c r="IV117" i="14"/>
  <c r="IU117" i="14"/>
  <c r="IT117" i="14"/>
  <c r="IS117" i="14"/>
  <c r="IR117" i="14"/>
  <c r="IQ117" i="14"/>
  <c r="IP117" i="14"/>
  <c r="IO117" i="14"/>
  <c r="IN117" i="14"/>
  <c r="IM117" i="14"/>
  <c r="IL117" i="14"/>
  <c r="IK117" i="14"/>
  <c r="IJ117" i="14"/>
  <c r="II117" i="14"/>
  <c r="IH117" i="14"/>
  <c r="IG117" i="14"/>
  <c r="IF117" i="14"/>
  <c r="IE117" i="14"/>
  <c r="ID117" i="14"/>
  <c r="IC117" i="14"/>
  <c r="IB117" i="14"/>
  <c r="IA117" i="14"/>
  <c r="HZ117" i="14"/>
  <c r="HY117" i="14"/>
  <c r="HX117" i="14"/>
  <c r="HW117" i="14"/>
  <c r="HV117" i="14"/>
  <c r="HU117" i="14"/>
  <c r="HT117" i="14"/>
  <c r="HS117" i="14"/>
  <c r="HR117" i="14"/>
  <c r="HQ117" i="14"/>
  <c r="HP117" i="14"/>
  <c r="HO117" i="14"/>
  <c r="HN117" i="14"/>
  <c r="HM117" i="14"/>
  <c r="GH117" i="14"/>
  <c r="GG117" i="14"/>
  <c r="GF117" i="14"/>
  <c r="GE117" i="14"/>
  <c r="GD117" i="14"/>
  <c r="GC117" i="14"/>
  <c r="GB117" i="14"/>
  <c r="GA117" i="14"/>
  <c r="FZ117" i="14"/>
  <c r="FY117" i="14"/>
  <c r="FX117" i="14"/>
  <c r="FW117" i="14"/>
  <c r="FV117" i="14"/>
  <c r="FU117" i="14"/>
  <c r="FT117" i="14"/>
  <c r="FS117" i="14"/>
  <c r="FR117" i="14"/>
  <c r="FQ117" i="14"/>
  <c r="FP117" i="14"/>
  <c r="FO117" i="14"/>
  <c r="FN117" i="14"/>
  <c r="FM117" i="14"/>
  <c r="FL117" i="14"/>
  <c r="FK117" i="14"/>
  <c r="FJ117" i="14"/>
  <c r="FI117" i="14"/>
  <c r="FH117" i="14"/>
  <c r="FG117" i="14"/>
  <c r="FF117" i="14"/>
  <c r="FE117" i="14"/>
  <c r="CV117" i="14"/>
  <c r="CU117" i="14"/>
  <c r="CT117" i="14"/>
  <c r="CS117" i="14"/>
  <c r="CR117" i="14"/>
  <c r="CQ117" i="14"/>
  <c r="CP117" i="14"/>
  <c r="CO117" i="14"/>
  <c r="CN117" i="14"/>
  <c r="CM117" i="14"/>
  <c r="CL117" i="14"/>
  <c r="CK117" i="14"/>
  <c r="CJ117" i="14"/>
  <c r="CI117" i="14"/>
  <c r="CH117" i="14"/>
  <c r="CG117" i="14"/>
  <c r="CF117" i="14"/>
  <c r="CE117" i="14"/>
  <c r="CD117" i="14"/>
  <c r="CC117" i="14"/>
  <c r="CB117" i="14"/>
  <c r="CA117" i="14"/>
  <c r="BZ117" i="14"/>
  <c r="BY117" i="14"/>
  <c r="BX117" i="14"/>
  <c r="BW117" i="14"/>
  <c r="BV117" i="14"/>
  <c r="BU117" i="14"/>
  <c r="BT117" i="14"/>
  <c r="BS117" i="14"/>
  <c r="BR117" i="14" a="1"/>
  <c r="BR117" i="14" s="1"/>
  <c r="BQ117" i="14" a="1"/>
  <c r="BQ117" i="14" s="1"/>
  <c r="BP117" i="14" a="1"/>
  <c r="BP117" i="14" s="1"/>
  <c r="BO117" i="14" a="1"/>
  <c r="BO117" i="14" s="1"/>
  <c r="BN117" i="14" a="1"/>
  <c r="BN117" i="14" s="1"/>
  <c r="BM117" i="14" a="1"/>
  <c r="BM117" i="14" s="1"/>
  <c r="BL117" i="14" a="1"/>
  <c r="BL117" i="14" s="1"/>
  <c r="BK117" i="14" a="1"/>
  <c r="BK117" i="14" s="1"/>
  <c r="BJ117" i="14" a="1"/>
  <c r="BJ117" i="14" s="1"/>
  <c r="BI117" i="14" a="1"/>
  <c r="BI117" i="14" s="1"/>
  <c r="BH117" i="14" a="1"/>
  <c r="BH117" i="14" s="1"/>
  <c r="BG117" i="14" a="1"/>
  <c r="BG117" i="14" s="1"/>
  <c r="BF117" i="14" a="1"/>
  <c r="BF117" i="14" s="1"/>
  <c r="BE117" i="14" a="1"/>
  <c r="BE117" i="14" s="1"/>
  <c r="BD117" i="14" a="1"/>
  <c r="BD117" i="14" s="1"/>
  <c r="BC117" i="14" a="1"/>
  <c r="BC117" i="14" s="1"/>
  <c r="BB117" i="14" a="1"/>
  <c r="BB117" i="14" s="1"/>
  <c r="BA117" i="14" a="1"/>
  <c r="BA117" i="14" s="1"/>
  <c r="AZ117" i="14" a="1"/>
  <c r="AZ117" i="14" s="1"/>
  <c r="AY117" i="14" a="1"/>
  <c r="AY117" i="14" s="1"/>
  <c r="AX117" i="14" a="1"/>
  <c r="AX117" i="14" s="1"/>
  <c r="AW117" i="14" a="1"/>
  <c r="AW117" i="14" s="1"/>
  <c r="AV117" i="14" a="1"/>
  <c r="AV117" i="14" s="1"/>
  <c r="AU117" i="14" a="1"/>
  <c r="AU117" i="14" s="1"/>
  <c r="AT117" i="14" a="1"/>
  <c r="AT117" i="14" s="1"/>
  <c r="AS117" i="14" a="1"/>
  <c r="AS117" i="14" s="1"/>
  <c r="AR117" i="14" a="1"/>
  <c r="AR117" i="14" s="1"/>
  <c r="AQ117" i="14" a="1"/>
  <c r="AQ117" i="14" s="1"/>
  <c r="AP117" i="14" a="1"/>
  <c r="AP117" i="14" s="1"/>
  <c r="AO117" i="14" a="1"/>
  <c r="AO117" i="14" s="1"/>
  <c r="AN117" i="14"/>
  <c r="AM117" i="14"/>
  <c r="AL117" i="14"/>
  <c r="AK117" i="14"/>
  <c r="AJ117" i="14"/>
  <c r="AI117" i="14"/>
  <c r="AH117" i="14"/>
  <c r="JT116" i="14"/>
  <c r="JS116" i="14"/>
  <c r="JR116" i="14"/>
  <c r="JQ116" i="14"/>
  <c r="JP116" i="14"/>
  <c r="JO116" i="14"/>
  <c r="JN116" i="14"/>
  <c r="JM116" i="14"/>
  <c r="JL116" i="14"/>
  <c r="JK116" i="14"/>
  <c r="JJ116" i="14"/>
  <c r="JI116" i="14"/>
  <c r="JH116" i="14"/>
  <c r="JG116" i="14"/>
  <c r="JF116" i="14"/>
  <c r="JE116" i="14"/>
  <c r="JD116" i="14"/>
  <c r="JC116" i="14"/>
  <c r="JB116" i="14"/>
  <c r="JA116" i="14"/>
  <c r="IZ116" i="14"/>
  <c r="IY116" i="14"/>
  <c r="IX116" i="14"/>
  <c r="IW116" i="14"/>
  <c r="IV116" i="14"/>
  <c r="IU116" i="14"/>
  <c r="IT116" i="14"/>
  <c r="IS116" i="14"/>
  <c r="IR116" i="14"/>
  <c r="IQ116" i="14"/>
  <c r="IP116" i="14"/>
  <c r="IO116" i="14"/>
  <c r="IN116" i="14"/>
  <c r="IM116" i="14"/>
  <c r="IL116" i="14"/>
  <c r="IK116" i="14"/>
  <c r="IJ116" i="14"/>
  <c r="II116" i="14"/>
  <c r="IH116" i="14"/>
  <c r="IG116" i="14"/>
  <c r="IF116" i="14"/>
  <c r="IE116" i="14"/>
  <c r="ID116" i="14"/>
  <c r="IC116" i="14"/>
  <c r="IB116" i="14"/>
  <c r="IA116" i="14"/>
  <c r="HZ116" i="14"/>
  <c r="HY116" i="14"/>
  <c r="HX116" i="14"/>
  <c r="HW116" i="14"/>
  <c r="HV116" i="14"/>
  <c r="HU116" i="14"/>
  <c r="HT116" i="14"/>
  <c r="HS116" i="14"/>
  <c r="HR116" i="14"/>
  <c r="HQ116" i="14"/>
  <c r="HP116" i="14"/>
  <c r="HO116" i="14"/>
  <c r="HN116" i="14"/>
  <c r="HM116" i="14"/>
  <c r="GH116" i="14"/>
  <c r="GG116" i="14"/>
  <c r="GF116" i="14"/>
  <c r="GE116" i="14"/>
  <c r="GD116" i="14"/>
  <c r="GC116" i="14"/>
  <c r="GB116" i="14"/>
  <c r="GA116" i="14"/>
  <c r="FZ116" i="14"/>
  <c r="FY116" i="14"/>
  <c r="FX116" i="14"/>
  <c r="FW116" i="14"/>
  <c r="FV116" i="14"/>
  <c r="FU116" i="14"/>
  <c r="FT116" i="14"/>
  <c r="FS116" i="14"/>
  <c r="FR116" i="14"/>
  <c r="FQ116" i="14"/>
  <c r="FP116" i="14"/>
  <c r="FO116" i="14"/>
  <c r="FN116" i="14"/>
  <c r="FM116" i="14"/>
  <c r="FL116" i="14"/>
  <c r="FK116" i="14"/>
  <c r="FJ116" i="14"/>
  <c r="FI116" i="14"/>
  <c r="FH116" i="14"/>
  <c r="FG116" i="14"/>
  <c r="FF116" i="14"/>
  <c r="FE116" i="14"/>
  <c r="CV116" i="14"/>
  <c r="CU116" i="14"/>
  <c r="CT116" i="14"/>
  <c r="CS116" i="14"/>
  <c r="CR116" i="14"/>
  <c r="CQ116" i="14"/>
  <c r="CP116" i="14"/>
  <c r="CO116" i="14"/>
  <c r="CN116" i="14"/>
  <c r="CM116" i="14"/>
  <c r="CL116" i="14"/>
  <c r="CK116" i="14"/>
  <c r="CJ116" i="14"/>
  <c r="CI116" i="14"/>
  <c r="CH116" i="14"/>
  <c r="CG116" i="14"/>
  <c r="CF116" i="14"/>
  <c r="CE116" i="14"/>
  <c r="CD116" i="14"/>
  <c r="CC116" i="14"/>
  <c r="CB116" i="14"/>
  <c r="CA116" i="14"/>
  <c r="BZ116" i="14"/>
  <c r="BY116" i="14"/>
  <c r="BX116" i="14"/>
  <c r="BW116" i="14"/>
  <c r="BV116" i="14"/>
  <c r="BU116" i="14"/>
  <c r="BT116" i="14"/>
  <c r="BS116" i="14"/>
  <c r="BR116" i="14" a="1"/>
  <c r="BR116" i="14" s="1"/>
  <c r="BQ116" i="14" a="1"/>
  <c r="BQ116" i="14" s="1"/>
  <c r="BP116" i="14" a="1"/>
  <c r="BP116" i="14" s="1"/>
  <c r="BO116" i="14" a="1"/>
  <c r="BO116" i="14" s="1"/>
  <c r="BN116" i="14" a="1"/>
  <c r="BN116" i="14" s="1"/>
  <c r="BM116" i="14" a="1"/>
  <c r="BM116" i="14" s="1"/>
  <c r="BL116" i="14" a="1"/>
  <c r="BL116" i="14" s="1"/>
  <c r="BK116" i="14" a="1"/>
  <c r="BK116" i="14" s="1"/>
  <c r="BJ116" i="14" a="1"/>
  <c r="BJ116" i="14" s="1"/>
  <c r="BI116" i="14" a="1"/>
  <c r="BI116" i="14" s="1"/>
  <c r="BH116" i="14" a="1"/>
  <c r="BH116" i="14" s="1"/>
  <c r="BG116" i="14" a="1"/>
  <c r="BG116" i="14" s="1"/>
  <c r="BF116" i="14" a="1"/>
  <c r="BF116" i="14" s="1"/>
  <c r="BE116" i="14" a="1"/>
  <c r="BE116" i="14" s="1"/>
  <c r="BD116" i="14" a="1"/>
  <c r="BD116" i="14" s="1"/>
  <c r="BC116" i="14" a="1"/>
  <c r="BC116" i="14" s="1"/>
  <c r="BB116" i="14" a="1"/>
  <c r="BB116" i="14" s="1"/>
  <c r="BA116" i="14" a="1"/>
  <c r="BA116" i="14" s="1"/>
  <c r="AZ116" i="14" a="1"/>
  <c r="AZ116" i="14" s="1"/>
  <c r="AY116" i="14" a="1"/>
  <c r="AY116" i="14" s="1"/>
  <c r="AX116" i="14" a="1"/>
  <c r="AX116" i="14" s="1"/>
  <c r="AW116" i="14" a="1"/>
  <c r="AW116" i="14" s="1"/>
  <c r="AV116" i="14" a="1"/>
  <c r="AV116" i="14" s="1"/>
  <c r="AU116" i="14" a="1"/>
  <c r="AU116" i="14" s="1"/>
  <c r="AT116" i="14" a="1"/>
  <c r="AT116" i="14" s="1"/>
  <c r="AS116" i="14" a="1"/>
  <c r="AS116" i="14" s="1"/>
  <c r="AR116" i="14" a="1"/>
  <c r="AR116" i="14" s="1"/>
  <c r="AQ116" i="14" a="1"/>
  <c r="AQ116" i="14" s="1"/>
  <c r="AP116" i="14" a="1"/>
  <c r="AP116" i="14" s="1"/>
  <c r="AO116" i="14" a="1"/>
  <c r="AO116" i="14" s="1"/>
  <c r="AN116" i="14"/>
  <c r="AM116" i="14"/>
  <c r="AL116" i="14"/>
  <c r="AK116" i="14"/>
  <c r="AJ116" i="14"/>
  <c r="AI116" i="14"/>
  <c r="EK116" i="14" s="1"/>
  <c r="AH116" i="14"/>
  <c r="JT115" i="14"/>
  <c r="JS115" i="14"/>
  <c r="JR115" i="14"/>
  <c r="JQ115" i="14"/>
  <c r="JP115" i="14"/>
  <c r="JO115" i="14"/>
  <c r="JN115" i="14"/>
  <c r="JM115" i="14"/>
  <c r="JL115" i="14"/>
  <c r="JK115" i="14"/>
  <c r="JJ115" i="14"/>
  <c r="JI115" i="14"/>
  <c r="JH115" i="14"/>
  <c r="JG115" i="14"/>
  <c r="JF115" i="14"/>
  <c r="JE115" i="14"/>
  <c r="JD115" i="14"/>
  <c r="JC115" i="14"/>
  <c r="JB115" i="14"/>
  <c r="JA115" i="14"/>
  <c r="IZ115" i="14"/>
  <c r="IY115" i="14"/>
  <c r="IX115" i="14"/>
  <c r="IW115" i="14"/>
  <c r="IV115" i="14"/>
  <c r="IU115" i="14"/>
  <c r="IT115" i="14"/>
  <c r="IS115" i="14"/>
  <c r="IR115" i="14"/>
  <c r="IQ115" i="14"/>
  <c r="IP115" i="14"/>
  <c r="IO115" i="14"/>
  <c r="IN115" i="14"/>
  <c r="IM115" i="14"/>
  <c r="IL115" i="14"/>
  <c r="IK115" i="14"/>
  <c r="IJ115" i="14"/>
  <c r="II115" i="14"/>
  <c r="IH115" i="14"/>
  <c r="IG115" i="14"/>
  <c r="IF115" i="14"/>
  <c r="IE115" i="14"/>
  <c r="ID115" i="14"/>
  <c r="IC115" i="14"/>
  <c r="IB115" i="14"/>
  <c r="IA115" i="14"/>
  <c r="HZ115" i="14"/>
  <c r="HY115" i="14"/>
  <c r="HX115" i="14"/>
  <c r="HW115" i="14"/>
  <c r="HV115" i="14"/>
  <c r="HU115" i="14"/>
  <c r="HT115" i="14"/>
  <c r="HS115" i="14"/>
  <c r="HR115" i="14"/>
  <c r="HQ115" i="14"/>
  <c r="HP115" i="14"/>
  <c r="HO115" i="14"/>
  <c r="HN115" i="14"/>
  <c r="HM115" i="14"/>
  <c r="GH115" i="14"/>
  <c r="GG115" i="14"/>
  <c r="GF115" i="14"/>
  <c r="GE115" i="14"/>
  <c r="GD115" i="14"/>
  <c r="GC115" i="14"/>
  <c r="GB115" i="14"/>
  <c r="GA115" i="14"/>
  <c r="FZ115" i="14"/>
  <c r="FY115" i="14"/>
  <c r="FX115" i="14"/>
  <c r="FW115" i="14"/>
  <c r="FV115" i="14"/>
  <c r="FU115" i="14"/>
  <c r="FT115" i="14"/>
  <c r="FS115" i="14"/>
  <c r="FR115" i="14"/>
  <c r="FQ115" i="14"/>
  <c r="FP115" i="14"/>
  <c r="FO115" i="14"/>
  <c r="FN115" i="14"/>
  <c r="FM115" i="14"/>
  <c r="FL115" i="14"/>
  <c r="FK115" i="14"/>
  <c r="FJ115" i="14"/>
  <c r="FI115" i="14"/>
  <c r="FH115" i="14"/>
  <c r="FG115" i="14"/>
  <c r="FF115" i="14"/>
  <c r="FE115" i="14"/>
  <c r="CV115" i="14"/>
  <c r="CU115" i="14"/>
  <c r="CT115" i="14"/>
  <c r="CS115" i="14"/>
  <c r="CR115" i="14"/>
  <c r="CQ115" i="14"/>
  <c r="CP115" i="14"/>
  <c r="CO115" i="14"/>
  <c r="CN115" i="14"/>
  <c r="CM115" i="14"/>
  <c r="CL115" i="14"/>
  <c r="CK115" i="14"/>
  <c r="CJ115" i="14"/>
  <c r="CI115" i="14"/>
  <c r="CH115" i="14"/>
  <c r="CG115" i="14"/>
  <c r="CF115" i="14"/>
  <c r="CE115" i="14"/>
  <c r="CD115" i="14"/>
  <c r="CC115" i="14"/>
  <c r="CB115" i="14"/>
  <c r="CA115" i="14"/>
  <c r="BZ115" i="14"/>
  <c r="BY115" i="14"/>
  <c r="BX115" i="14"/>
  <c r="BW115" i="14"/>
  <c r="BV115" i="14"/>
  <c r="BU115" i="14"/>
  <c r="BT115" i="14"/>
  <c r="BS115" i="14"/>
  <c r="BR115" i="14" a="1"/>
  <c r="BR115" i="14" s="1"/>
  <c r="BQ115" i="14" a="1"/>
  <c r="BQ115" i="14" s="1"/>
  <c r="BP115" i="14" a="1"/>
  <c r="BP115" i="14" s="1"/>
  <c r="BO115" i="14" a="1"/>
  <c r="BO115" i="14" s="1"/>
  <c r="BN115" i="14" a="1"/>
  <c r="BN115" i="14" s="1"/>
  <c r="BM115" i="14" a="1"/>
  <c r="BM115" i="14" s="1"/>
  <c r="BL115" i="14" a="1"/>
  <c r="BL115" i="14" s="1"/>
  <c r="BK115" i="14" a="1"/>
  <c r="BK115" i="14" s="1"/>
  <c r="BJ115" i="14" a="1"/>
  <c r="BJ115" i="14" s="1"/>
  <c r="BI115" i="14" a="1"/>
  <c r="BI115" i="14" s="1"/>
  <c r="BH115" i="14" a="1"/>
  <c r="BH115" i="14" s="1"/>
  <c r="BG115" i="14" a="1"/>
  <c r="BG115" i="14" s="1"/>
  <c r="BF115" i="14" a="1"/>
  <c r="BF115" i="14" s="1"/>
  <c r="BE115" i="14" a="1"/>
  <c r="BE115" i="14" s="1"/>
  <c r="BD115" i="14" a="1"/>
  <c r="BD115" i="14" s="1"/>
  <c r="BC115" i="14" a="1"/>
  <c r="BC115" i="14" s="1"/>
  <c r="BB115" i="14" a="1"/>
  <c r="BB115" i="14" s="1"/>
  <c r="BA115" i="14" a="1"/>
  <c r="BA115" i="14" s="1"/>
  <c r="AZ115" i="14" a="1"/>
  <c r="AZ115" i="14" s="1"/>
  <c r="AY115" i="14" a="1"/>
  <c r="AY115" i="14" s="1"/>
  <c r="AX115" i="14" a="1"/>
  <c r="AX115" i="14" s="1"/>
  <c r="AW115" i="14" a="1"/>
  <c r="AW115" i="14" s="1"/>
  <c r="AV115" i="14" a="1"/>
  <c r="AV115" i="14" s="1"/>
  <c r="AU115" i="14" a="1"/>
  <c r="AU115" i="14" s="1"/>
  <c r="AT115" i="14" a="1"/>
  <c r="AT115" i="14" s="1"/>
  <c r="AS115" i="14" a="1"/>
  <c r="AS115" i="14" s="1"/>
  <c r="AR115" i="14" a="1"/>
  <c r="AR115" i="14" s="1"/>
  <c r="AQ115" i="14" a="1"/>
  <c r="AQ115" i="14" s="1"/>
  <c r="AP115" i="14" a="1"/>
  <c r="AP115" i="14" s="1"/>
  <c r="AO115" i="14" a="1"/>
  <c r="AO115" i="14" s="1"/>
  <c r="AN115" i="14"/>
  <c r="AM115" i="14"/>
  <c r="AL115" i="14"/>
  <c r="AK115" i="14"/>
  <c r="AJ115" i="14"/>
  <c r="AI115" i="14"/>
  <c r="EV115" i="14" s="1"/>
  <c r="AH115" i="14"/>
  <c r="JT114" i="14"/>
  <c r="JS114" i="14"/>
  <c r="JR114" i="14"/>
  <c r="JQ114" i="14"/>
  <c r="JP114" i="14"/>
  <c r="JO114" i="14"/>
  <c r="JN114" i="14"/>
  <c r="JM114" i="14"/>
  <c r="JL114" i="14"/>
  <c r="JK114" i="14"/>
  <c r="JJ114" i="14"/>
  <c r="JI114" i="14"/>
  <c r="JH114" i="14"/>
  <c r="JG114" i="14"/>
  <c r="JF114" i="14"/>
  <c r="JE114" i="14"/>
  <c r="JD114" i="14"/>
  <c r="JC114" i="14"/>
  <c r="JB114" i="14"/>
  <c r="JA114" i="14"/>
  <c r="IZ114" i="14"/>
  <c r="IY114" i="14"/>
  <c r="IX114" i="14"/>
  <c r="IW114" i="14"/>
  <c r="IV114" i="14"/>
  <c r="IU114" i="14"/>
  <c r="IT114" i="14"/>
  <c r="IS114" i="14"/>
  <c r="IR114" i="14"/>
  <c r="IQ114" i="14"/>
  <c r="IP114" i="14"/>
  <c r="IO114" i="14"/>
  <c r="IN114" i="14"/>
  <c r="IM114" i="14"/>
  <c r="IL114" i="14"/>
  <c r="IK114" i="14"/>
  <c r="IJ114" i="14"/>
  <c r="II114" i="14"/>
  <c r="IH114" i="14"/>
  <c r="IG114" i="14"/>
  <c r="IF114" i="14"/>
  <c r="IE114" i="14"/>
  <c r="ID114" i="14"/>
  <c r="IC114" i="14"/>
  <c r="IB114" i="14"/>
  <c r="IA114" i="14"/>
  <c r="HZ114" i="14"/>
  <c r="HY114" i="14"/>
  <c r="HX114" i="14"/>
  <c r="HW114" i="14"/>
  <c r="HV114" i="14"/>
  <c r="HU114" i="14"/>
  <c r="HT114" i="14"/>
  <c r="HS114" i="14"/>
  <c r="HR114" i="14"/>
  <c r="HQ114" i="14"/>
  <c r="HP114" i="14"/>
  <c r="HO114" i="14"/>
  <c r="HN114" i="14"/>
  <c r="HM114" i="14"/>
  <c r="GH114" i="14"/>
  <c r="GG114" i="14"/>
  <c r="GF114" i="14"/>
  <c r="GE114" i="14"/>
  <c r="GD114" i="14"/>
  <c r="GC114" i="14"/>
  <c r="GB114" i="14"/>
  <c r="GA114" i="14"/>
  <c r="FZ114" i="14"/>
  <c r="FY114" i="14"/>
  <c r="FX114" i="14"/>
  <c r="FW114" i="14"/>
  <c r="FV114" i="14"/>
  <c r="FU114" i="14"/>
  <c r="FT114" i="14"/>
  <c r="FS114" i="14"/>
  <c r="FR114" i="14"/>
  <c r="FQ114" i="14"/>
  <c r="FP114" i="14"/>
  <c r="FO114" i="14"/>
  <c r="FN114" i="14"/>
  <c r="FM114" i="14"/>
  <c r="FL114" i="14"/>
  <c r="FK114" i="14"/>
  <c r="FJ114" i="14"/>
  <c r="FI114" i="14"/>
  <c r="FH114" i="14"/>
  <c r="FG114" i="14"/>
  <c r="FF114" i="14"/>
  <c r="FE114" i="14"/>
  <c r="CV114" i="14"/>
  <c r="CU114" i="14"/>
  <c r="CT114" i="14"/>
  <c r="CS114" i="14"/>
  <c r="CR114" i="14"/>
  <c r="CQ114" i="14"/>
  <c r="CP114" i="14"/>
  <c r="CO114" i="14"/>
  <c r="CN114" i="14"/>
  <c r="CM114" i="14"/>
  <c r="CL114" i="14"/>
  <c r="CK114" i="14"/>
  <c r="CJ114" i="14"/>
  <c r="CI114" i="14"/>
  <c r="CH114" i="14"/>
  <c r="CG114" i="14"/>
  <c r="CF114" i="14"/>
  <c r="CE114" i="14"/>
  <c r="CD114" i="14"/>
  <c r="CC114" i="14"/>
  <c r="CB114" i="14"/>
  <c r="CA114" i="14"/>
  <c r="BZ114" i="14"/>
  <c r="BY114" i="14"/>
  <c r="BX114" i="14"/>
  <c r="BW114" i="14"/>
  <c r="BV114" i="14"/>
  <c r="BU114" i="14"/>
  <c r="BT114" i="14"/>
  <c r="BS114" i="14"/>
  <c r="BR114" i="14" a="1"/>
  <c r="BR114" i="14" s="1"/>
  <c r="BQ114" i="14" a="1"/>
  <c r="BQ114" i="14" s="1"/>
  <c r="BP114" i="14" a="1"/>
  <c r="BP114" i="14" s="1"/>
  <c r="BO114" i="14" a="1"/>
  <c r="BO114" i="14" s="1"/>
  <c r="BN114" i="14" a="1"/>
  <c r="BN114" i="14" s="1"/>
  <c r="BM114" i="14" a="1"/>
  <c r="BM114" i="14" s="1"/>
  <c r="BL114" i="14" a="1"/>
  <c r="BL114" i="14" s="1"/>
  <c r="BK114" i="14" a="1"/>
  <c r="BK114" i="14" s="1"/>
  <c r="BJ114" i="14" a="1"/>
  <c r="BJ114" i="14" s="1"/>
  <c r="BI114" i="14" a="1"/>
  <c r="BI114" i="14" s="1"/>
  <c r="BH114" i="14" a="1"/>
  <c r="BH114" i="14" s="1"/>
  <c r="BG114" i="14" a="1"/>
  <c r="BG114" i="14" s="1"/>
  <c r="BF114" i="14" a="1"/>
  <c r="BF114" i="14" s="1"/>
  <c r="BE114" i="14" a="1"/>
  <c r="BE114" i="14" s="1"/>
  <c r="BD114" i="14" a="1"/>
  <c r="BD114" i="14" s="1"/>
  <c r="BC114" i="14" a="1"/>
  <c r="BC114" i="14" s="1"/>
  <c r="BB114" i="14" a="1"/>
  <c r="BB114" i="14" s="1"/>
  <c r="BA114" i="14" a="1"/>
  <c r="BA114" i="14" s="1"/>
  <c r="AZ114" i="14" a="1"/>
  <c r="AZ114" i="14" s="1"/>
  <c r="AY114" i="14" a="1"/>
  <c r="AY114" i="14" s="1"/>
  <c r="AX114" i="14" a="1"/>
  <c r="AX114" i="14" s="1"/>
  <c r="AW114" i="14" a="1"/>
  <c r="AW114" i="14" s="1"/>
  <c r="AV114" i="14" a="1"/>
  <c r="AV114" i="14" s="1"/>
  <c r="AU114" i="14" a="1"/>
  <c r="AU114" i="14" s="1"/>
  <c r="AT114" i="14" a="1"/>
  <c r="AT114" i="14" s="1"/>
  <c r="AS114" i="14" a="1"/>
  <c r="AS114" i="14" s="1"/>
  <c r="AR114" i="14" a="1"/>
  <c r="AR114" i="14" s="1"/>
  <c r="AQ114" i="14" a="1"/>
  <c r="AQ114" i="14" s="1"/>
  <c r="AP114" i="14" a="1"/>
  <c r="AP114" i="14" s="1"/>
  <c r="AO114" i="14" a="1"/>
  <c r="AO114" i="14" s="1"/>
  <c r="AN114" i="14"/>
  <c r="AM114" i="14"/>
  <c r="AL114" i="14"/>
  <c r="AK114" i="14"/>
  <c r="AJ114" i="14"/>
  <c r="AI114" i="14"/>
  <c r="EY114" i="14" s="1"/>
  <c r="AH114" i="14"/>
  <c r="JT113" i="14"/>
  <c r="JS113" i="14"/>
  <c r="JR113" i="14"/>
  <c r="JQ113" i="14"/>
  <c r="JP113" i="14"/>
  <c r="JO113" i="14"/>
  <c r="JN113" i="14"/>
  <c r="JM113" i="14"/>
  <c r="JL113" i="14"/>
  <c r="JK113" i="14"/>
  <c r="JJ113" i="14"/>
  <c r="JI113" i="14"/>
  <c r="JH113" i="14"/>
  <c r="JG113" i="14"/>
  <c r="JF113" i="14"/>
  <c r="JE113" i="14"/>
  <c r="JD113" i="14"/>
  <c r="JC113" i="14"/>
  <c r="JB113" i="14"/>
  <c r="JA113" i="14"/>
  <c r="IZ113" i="14"/>
  <c r="IY113" i="14"/>
  <c r="IX113" i="14"/>
  <c r="IW113" i="14"/>
  <c r="IV113" i="14"/>
  <c r="IU113" i="14"/>
  <c r="IT113" i="14"/>
  <c r="IS113" i="14"/>
  <c r="IR113" i="14"/>
  <c r="IQ113" i="14"/>
  <c r="IP113" i="14"/>
  <c r="IO113" i="14"/>
  <c r="IN113" i="14"/>
  <c r="IM113" i="14"/>
  <c r="IL113" i="14"/>
  <c r="IK113" i="14"/>
  <c r="IJ113" i="14"/>
  <c r="II113" i="14"/>
  <c r="IH113" i="14"/>
  <c r="IG113" i="14"/>
  <c r="IF113" i="14"/>
  <c r="IE113" i="14"/>
  <c r="ID113" i="14"/>
  <c r="IC113" i="14"/>
  <c r="IB113" i="14"/>
  <c r="IA113" i="14"/>
  <c r="HZ113" i="14"/>
  <c r="HY113" i="14"/>
  <c r="HX113" i="14"/>
  <c r="HW113" i="14"/>
  <c r="HV113" i="14"/>
  <c r="HU113" i="14"/>
  <c r="HT113" i="14"/>
  <c r="HS113" i="14"/>
  <c r="HR113" i="14"/>
  <c r="HQ113" i="14"/>
  <c r="HP113" i="14"/>
  <c r="HO113" i="14"/>
  <c r="HN113" i="14"/>
  <c r="HM113" i="14"/>
  <c r="GH113" i="14"/>
  <c r="GG113" i="14"/>
  <c r="GF113" i="14"/>
  <c r="GE113" i="14"/>
  <c r="GD113" i="14"/>
  <c r="GC113" i="14"/>
  <c r="GB113" i="14"/>
  <c r="GA113" i="14"/>
  <c r="FZ113" i="14"/>
  <c r="FY113" i="14"/>
  <c r="FX113" i="14"/>
  <c r="FW113" i="14"/>
  <c r="FV113" i="14"/>
  <c r="FU113" i="14"/>
  <c r="FT113" i="14"/>
  <c r="FS113" i="14"/>
  <c r="FR113" i="14"/>
  <c r="FQ113" i="14"/>
  <c r="FP113" i="14"/>
  <c r="FO113" i="14"/>
  <c r="FN113" i="14"/>
  <c r="FM113" i="14"/>
  <c r="FL113" i="14"/>
  <c r="FK113" i="14"/>
  <c r="FJ113" i="14"/>
  <c r="FI113" i="14"/>
  <c r="FH113" i="14"/>
  <c r="FG113" i="14"/>
  <c r="FF113" i="14"/>
  <c r="FE113" i="14"/>
  <c r="CV113" i="14"/>
  <c r="CU113" i="14"/>
  <c r="CT113" i="14"/>
  <c r="CS113" i="14"/>
  <c r="CR113" i="14"/>
  <c r="CQ113" i="14"/>
  <c r="CP113" i="14"/>
  <c r="CO113" i="14"/>
  <c r="CN113" i="14"/>
  <c r="CM113" i="14"/>
  <c r="CL113" i="14"/>
  <c r="CK113" i="14"/>
  <c r="CJ113" i="14"/>
  <c r="CI113" i="14"/>
  <c r="CH113" i="14"/>
  <c r="CG113" i="14"/>
  <c r="CF113" i="14"/>
  <c r="CE113" i="14"/>
  <c r="CD113" i="14"/>
  <c r="CC113" i="14"/>
  <c r="CB113" i="14"/>
  <c r="CA113" i="14"/>
  <c r="BZ113" i="14"/>
  <c r="BY113" i="14"/>
  <c r="BX113" i="14"/>
  <c r="BW113" i="14"/>
  <c r="BV113" i="14"/>
  <c r="BU113" i="14"/>
  <c r="BT113" i="14"/>
  <c r="BS113" i="14"/>
  <c r="BR113" i="14" a="1"/>
  <c r="BR113" i="14" s="1"/>
  <c r="BQ113" i="14" a="1"/>
  <c r="BQ113" i="14" s="1"/>
  <c r="BP113" i="14" a="1"/>
  <c r="BP113" i="14" s="1"/>
  <c r="BO113" i="14" a="1"/>
  <c r="BO113" i="14" s="1"/>
  <c r="BN113" i="14" a="1"/>
  <c r="BN113" i="14" s="1"/>
  <c r="BM113" i="14" a="1"/>
  <c r="BM113" i="14" s="1"/>
  <c r="BL113" i="14" a="1"/>
  <c r="BL113" i="14" s="1"/>
  <c r="BK113" i="14" a="1"/>
  <c r="BK113" i="14" s="1"/>
  <c r="BJ113" i="14" a="1"/>
  <c r="BJ113" i="14" s="1"/>
  <c r="BI113" i="14" a="1"/>
  <c r="BI113" i="14" s="1"/>
  <c r="BH113" i="14" a="1"/>
  <c r="BH113" i="14" s="1"/>
  <c r="BG113" i="14" a="1"/>
  <c r="BG113" i="14" s="1"/>
  <c r="BF113" i="14" a="1"/>
  <c r="BF113" i="14" s="1"/>
  <c r="BE113" i="14" a="1"/>
  <c r="BE113" i="14" s="1"/>
  <c r="BD113" i="14" a="1"/>
  <c r="BD113" i="14" s="1"/>
  <c r="BC113" i="14" a="1"/>
  <c r="BC113" i="14" s="1"/>
  <c r="BB113" i="14" a="1"/>
  <c r="BB113" i="14" s="1"/>
  <c r="BA113" i="14" a="1"/>
  <c r="BA113" i="14" s="1"/>
  <c r="AZ113" i="14" a="1"/>
  <c r="AZ113" i="14" s="1"/>
  <c r="AY113" i="14" a="1"/>
  <c r="AY113" i="14" s="1"/>
  <c r="AX113" i="14" a="1"/>
  <c r="AX113" i="14" s="1"/>
  <c r="AW113" i="14" a="1"/>
  <c r="AW113" i="14" s="1"/>
  <c r="AV113" i="14" a="1"/>
  <c r="AV113" i="14" s="1"/>
  <c r="AU113" i="14" a="1"/>
  <c r="AU113" i="14" s="1"/>
  <c r="AT113" i="14" a="1"/>
  <c r="AT113" i="14" s="1"/>
  <c r="AS113" i="14" a="1"/>
  <c r="AS113" i="14" s="1"/>
  <c r="AR113" i="14" a="1"/>
  <c r="AR113" i="14" s="1"/>
  <c r="AQ113" i="14" a="1"/>
  <c r="AQ113" i="14" s="1"/>
  <c r="AP113" i="14" a="1"/>
  <c r="AP113" i="14" s="1"/>
  <c r="AO113" i="14" a="1"/>
  <c r="AO113" i="14" s="1"/>
  <c r="AN113" i="14"/>
  <c r="AM113" i="14"/>
  <c r="AL113" i="14"/>
  <c r="AK113" i="14"/>
  <c r="AJ113" i="14"/>
  <c r="AI113" i="14"/>
  <c r="ED113" i="14" s="1"/>
  <c r="AH113" i="14"/>
  <c r="JT112" i="14"/>
  <c r="JS112" i="14"/>
  <c r="JR112" i="14"/>
  <c r="JQ112" i="14"/>
  <c r="JP112" i="14"/>
  <c r="JO112" i="14"/>
  <c r="JN112" i="14"/>
  <c r="JM112" i="14"/>
  <c r="JL112" i="14"/>
  <c r="JK112" i="14"/>
  <c r="JJ112" i="14"/>
  <c r="JI112" i="14"/>
  <c r="JH112" i="14"/>
  <c r="JG112" i="14"/>
  <c r="JF112" i="14"/>
  <c r="JE112" i="14"/>
  <c r="JD112" i="14"/>
  <c r="JC112" i="14"/>
  <c r="JB112" i="14"/>
  <c r="JA112" i="14"/>
  <c r="IZ112" i="14"/>
  <c r="IY112" i="14"/>
  <c r="IX112" i="14"/>
  <c r="IW112" i="14"/>
  <c r="IV112" i="14"/>
  <c r="IU112" i="14"/>
  <c r="IT112" i="14"/>
  <c r="IS112" i="14"/>
  <c r="IR112" i="14"/>
  <c r="IQ112" i="14"/>
  <c r="IP112" i="14"/>
  <c r="IO112" i="14"/>
  <c r="IN112" i="14"/>
  <c r="IM112" i="14"/>
  <c r="IL112" i="14"/>
  <c r="IK112" i="14"/>
  <c r="IJ112" i="14"/>
  <c r="II112" i="14"/>
  <c r="IH112" i="14"/>
  <c r="IG112" i="14"/>
  <c r="IF112" i="14"/>
  <c r="IE112" i="14"/>
  <c r="ID112" i="14"/>
  <c r="IC112" i="14"/>
  <c r="IB112" i="14"/>
  <c r="IA112" i="14"/>
  <c r="HZ112" i="14"/>
  <c r="HY112" i="14"/>
  <c r="HX112" i="14"/>
  <c r="HW112" i="14"/>
  <c r="HV112" i="14"/>
  <c r="HU112" i="14"/>
  <c r="HT112" i="14"/>
  <c r="HS112" i="14"/>
  <c r="HR112" i="14"/>
  <c r="HQ112" i="14"/>
  <c r="HP112" i="14"/>
  <c r="HO112" i="14"/>
  <c r="HN112" i="14"/>
  <c r="HM112" i="14"/>
  <c r="GH112" i="14"/>
  <c r="GG112" i="14"/>
  <c r="GF112" i="14"/>
  <c r="GE112" i="14"/>
  <c r="GD112" i="14"/>
  <c r="GC112" i="14"/>
  <c r="GB112" i="14"/>
  <c r="GA112" i="14"/>
  <c r="FZ112" i="14"/>
  <c r="FY112" i="14"/>
  <c r="FX112" i="14"/>
  <c r="FW112" i="14"/>
  <c r="FV112" i="14"/>
  <c r="FU112" i="14"/>
  <c r="FT112" i="14"/>
  <c r="FS112" i="14"/>
  <c r="FR112" i="14"/>
  <c r="FQ112" i="14"/>
  <c r="FP112" i="14"/>
  <c r="FO112" i="14"/>
  <c r="FN112" i="14"/>
  <c r="FM112" i="14"/>
  <c r="FL112" i="14"/>
  <c r="FK112" i="14"/>
  <c r="FJ112" i="14"/>
  <c r="FI112" i="14"/>
  <c r="FH112" i="14"/>
  <c r="FG112" i="14"/>
  <c r="FF112" i="14"/>
  <c r="FE112" i="14"/>
  <c r="CV112" i="14"/>
  <c r="CU112" i="14"/>
  <c r="CT112" i="14"/>
  <c r="CS112" i="14"/>
  <c r="CR112" i="14"/>
  <c r="CQ112" i="14"/>
  <c r="CP112" i="14"/>
  <c r="CO112" i="14"/>
  <c r="CN112" i="14"/>
  <c r="CM112" i="14"/>
  <c r="CL112" i="14"/>
  <c r="CK112" i="14"/>
  <c r="CJ112" i="14"/>
  <c r="CI112" i="14"/>
  <c r="CH112" i="14"/>
  <c r="CG112" i="14"/>
  <c r="CF112" i="14"/>
  <c r="CE112" i="14"/>
  <c r="CD112" i="14"/>
  <c r="CC112" i="14"/>
  <c r="CB112" i="14"/>
  <c r="CA112" i="14"/>
  <c r="BZ112" i="14"/>
  <c r="BY112" i="14"/>
  <c r="BX112" i="14"/>
  <c r="BW112" i="14"/>
  <c r="BV112" i="14"/>
  <c r="BU112" i="14"/>
  <c r="BT112" i="14"/>
  <c r="BS112" i="14"/>
  <c r="BR112" i="14" a="1"/>
  <c r="BR112" i="14" s="1"/>
  <c r="BQ112" i="14" a="1"/>
  <c r="BQ112" i="14" s="1"/>
  <c r="BP112" i="14" a="1"/>
  <c r="BP112" i="14" s="1"/>
  <c r="BO112" i="14" a="1"/>
  <c r="BO112" i="14" s="1"/>
  <c r="BN112" i="14" a="1"/>
  <c r="BN112" i="14" s="1"/>
  <c r="BM112" i="14" a="1"/>
  <c r="BM112" i="14" s="1"/>
  <c r="BL112" i="14" a="1"/>
  <c r="BL112" i="14" s="1"/>
  <c r="BK112" i="14" a="1"/>
  <c r="BK112" i="14" s="1"/>
  <c r="BJ112" i="14" a="1"/>
  <c r="BJ112" i="14" s="1"/>
  <c r="BI112" i="14" a="1"/>
  <c r="BI112" i="14" s="1"/>
  <c r="BH112" i="14" a="1"/>
  <c r="BH112" i="14" s="1"/>
  <c r="BG112" i="14" a="1"/>
  <c r="BG112" i="14" s="1"/>
  <c r="BF112" i="14" a="1"/>
  <c r="BF112" i="14" s="1"/>
  <c r="BE112" i="14" a="1"/>
  <c r="BE112" i="14" s="1"/>
  <c r="BD112" i="14" a="1"/>
  <c r="BD112" i="14" s="1"/>
  <c r="BC112" i="14" a="1"/>
  <c r="BC112" i="14" s="1"/>
  <c r="BB112" i="14" a="1"/>
  <c r="BB112" i="14" s="1"/>
  <c r="BA112" i="14" a="1"/>
  <c r="BA112" i="14" s="1"/>
  <c r="AZ112" i="14" a="1"/>
  <c r="AZ112" i="14" s="1"/>
  <c r="AY112" i="14" a="1"/>
  <c r="AY112" i="14" s="1"/>
  <c r="AX112" i="14" a="1"/>
  <c r="AX112" i="14" s="1"/>
  <c r="AW112" i="14" a="1"/>
  <c r="AW112" i="14" s="1"/>
  <c r="AV112" i="14" a="1"/>
  <c r="AV112" i="14" s="1"/>
  <c r="AU112" i="14" a="1"/>
  <c r="AU112" i="14" s="1"/>
  <c r="AT112" i="14" a="1"/>
  <c r="AT112" i="14" s="1"/>
  <c r="AS112" i="14" a="1"/>
  <c r="AS112" i="14" s="1"/>
  <c r="AR112" i="14" a="1"/>
  <c r="AR112" i="14" s="1"/>
  <c r="AQ112" i="14" a="1"/>
  <c r="AQ112" i="14" s="1"/>
  <c r="AP112" i="14" a="1"/>
  <c r="AP112" i="14" s="1"/>
  <c r="AO112" i="14" a="1"/>
  <c r="AO112" i="14" s="1"/>
  <c r="AN112" i="14"/>
  <c r="AM112" i="14"/>
  <c r="AL112" i="14"/>
  <c r="AK112" i="14"/>
  <c r="AJ112" i="14"/>
  <c r="AI112" i="14"/>
  <c r="FC112" i="14" s="1"/>
  <c r="AH112" i="14"/>
  <c r="JT111" i="14"/>
  <c r="JS111" i="14"/>
  <c r="JR111" i="14"/>
  <c r="JQ111" i="14"/>
  <c r="JP111" i="14"/>
  <c r="JO111" i="14"/>
  <c r="JN111" i="14"/>
  <c r="JM111" i="14"/>
  <c r="JL111" i="14"/>
  <c r="JK111" i="14"/>
  <c r="JJ111" i="14"/>
  <c r="JI111" i="14"/>
  <c r="JH111" i="14"/>
  <c r="JG111" i="14"/>
  <c r="JF111" i="14"/>
  <c r="JE111" i="14"/>
  <c r="JD111" i="14"/>
  <c r="JC111" i="14"/>
  <c r="JB111" i="14"/>
  <c r="JA111" i="14"/>
  <c r="IZ111" i="14"/>
  <c r="IY111" i="14"/>
  <c r="IX111" i="14"/>
  <c r="IW111" i="14"/>
  <c r="IV111" i="14"/>
  <c r="IU111" i="14"/>
  <c r="IT111" i="14"/>
  <c r="IS111" i="14"/>
  <c r="IR111" i="14"/>
  <c r="IQ111" i="14"/>
  <c r="IP111" i="14"/>
  <c r="IO111" i="14"/>
  <c r="IN111" i="14"/>
  <c r="IM111" i="14"/>
  <c r="IL111" i="14"/>
  <c r="IK111" i="14"/>
  <c r="IJ111" i="14"/>
  <c r="II111" i="14"/>
  <c r="IH111" i="14"/>
  <c r="IG111" i="14"/>
  <c r="IF111" i="14"/>
  <c r="IE111" i="14"/>
  <c r="ID111" i="14"/>
  <c r="IC111" i="14"/>
  <c r="IB111" i="14"/>
  <c r="IA111" i="14"/>
  <c r="HZ111" i="14"/>
  <c r="HY111" i="14"/>
  <c r="HX111" i="14"/>
  <c r="HW111" i="14"/>
  <c r="HV111" i="14"/>
  <c r="HU111" i="14"/>
  <c r="HT111" i="14"/>
  <c r="HS111" i="14"/>
  <c r="HR111" i="14"/>
  <c r="HQ111" i="14"/>
  <c r="HP111" i="14"/>
  <c r="HO111" i="14"/>
  <c r="HN111" i="14"/>
  <c r="HM111" i="14"/>
  <c r="GH111" i="14"/>
  <c r="GG111" i="14"/>
  <c r="GF111" i="14"/>
  <c r="GE111" i="14"/>
  <c r="GD111" i="14"/>
  <c r="GC111" i="14"/>
  <c r="GB111" i="14"/>
  <c r="GA111" i="14"/>
  <c r="FZ111" i="14"/>
  <c r="FY111" i="14"/>
  <c r="FX111" i="14"/>
  <c r="FW111" i="14"/>
  <c r="FV111" i="14"/>
  <c r="FU111" i="14"/>
  <c r="FT111" i="14"/>
  <c r="FS111" i="14"/>
  <c r="FR111" i="14"/>
  <c r="FQ111" i="14"/>
  <c r="FP111" i="14"/>
  <c r="FO111" i="14"/>
  <c r="FN111" i="14"/>
  <c r="FM111" i="14"/>
  <c r="FL111" i="14"/>
  <c r="FK111" i="14"/>
  <c r="FJ111" i="14"/>
  <c r="FI111" i="14"/>
  <c r="FH111" i="14"/>
  <c r="FG111" i="14"/>
  <c r="FF111" i="14"/>
  <c r="FE111" i="14"/>
  <c r="CV111" i="14"/>
  <c r="CU111" i="14"/>
  <c r="CT111" i="14"/>
  <c r="CS111" i="14"/>
  <c r="CR111" i="14"/>
  <c r="CQ111" i="14"/>
  <c r="CP111" i="14"/>
  <c r="CO111" i="14"/>
  <c r="CN111" i="14"/>
  <c r="CM111" i="14"/>
  <c r="CL111" i="14"/>
  <c r="CK111" i="14"/>
  <c r="CJ111" i="14"/>
  <c r="CI111" i="14"/>
  <c r="CH111" i="14"/>
  <c r="CG111" i="14"/>
  <c r="CF111" i="14"/>
  <c r="CE111" i="14"/>
  <c r="CD111" i="14"/>
  <c r="CC111" i="14"/>
  <c r="CB111" i="14"/>
  <c r="CA111" i="14"/>
  <c r="BZ111" i="14"/>
  <c r="BY111" i="14"/>
  <c r="BX111" i="14"/>
  <c r="BW111" i="14"/>
  <c r="BV111" i="14"/>
  <c r="BU111" i="14"/>
  <c r="BT111" i="14"/>
  <c r="BS111" i="14"/>
  <c r="BR111" i="14" a="1"/>
  <c r="BR111" i="14" s="1"/>
  <c r="BQ111" i="14" a="1"/>
  <c r="BQ111" i="14" s="1"/>
  <c r="BP111" i="14" a="1"/>
  <c r="BP111" i="14" s="1"/>
  <c r="BO111" i="14" a="1"/>
  <c r="BO111" i="14" s="1"/>
  <c r="BN111" i="14" a="1"/>
  <c r="BN111" i="14" s="1"/>
  <c r="BM111" i="14" a="1"/>
  <c r="BM111" i="14" s="1"/>
  <c r="BL111" i="14" a="1"/>
  <c r="BL111" i="14" s="1"/>
  <c r="BK111" i="14" a="1"/>
  <c r="BK111" i="14" s="1"/>
  <c r="BJ111" i="14" a="1"/>
  <c r="BJ111" i="14" s="1"/>
  <c r="BI111" i="14" a="1"/>
  <c r="BI111" i="14" s="1"/>
  <c r="BH111" i="14" a="1"/>
  <c r="BH111" i="14" s="1"/>
  <c r="BG111" i="14" a="1"/>
  <c r="BG111" i="14" s="1"/>
  <c r="BF111" i="14" a="1"/>
  <c r="BF111" i="14" s="1"/>
  <c r="BE111" i="14" a="1"/>
  <c r="BE111" i="14" s="1"/>
  <c r="BD111" i="14" a="1"/>
  <c r="BD111" i="14" s="1"/>
  <c r="BC111" i="14" a="1"/>
  <c r="BC111" i="14" s="1"/>
  <c r="BB111" i="14" a="1"/>
  <c r="BB111" i="14" s="1"/>
  <c r="BA111" i="14" a="1"/>
  <c r="BA111" i="14" s="1"/>
  <c r="AZ111" i="14" a="1"/>
  <c r="AZ111" i="14" s="1"/>
  <c r="AY111" i="14" a="1"/>
  <c r="AY111" i="14" s="1"/>
  <c r="AX111" i="14" a="1"/>
  <c r="AX111" i="14" s="1"/>
  <c r="AW111" i="14" a="1"/>
  <c r="AW111" i="14" s="1"/>
  <c r="AV111" i="14" a="1"/>
  <c r="AV111" i="14" s="1"/>
  <c r="AU111" i="14" a="1"/>
  <c r="AU111" i="14" s="1"/>
  <c r="AT111" i="14" a="1"/>
  <c r="AT111" i="14" s="1"/>
  <c r="AS111" i="14" a="1"/>
  <c r="AS111" i="14" s="1"/>
  <c r="AR111" i="14" a="1"/>
  <c r="AR111" i="14" s="1"/>
  <c r="AQ111" i="14" a="1"/>
  <c r="AQ111" i="14" s="1"/>
  <c r="AP111" i="14" a="1"/>
  <c r="AP111" i="14" s="1"/>
  <c r="AO111" i="14" a="1"/>
  <c r="AO111" i="14" s="1"/>
  <c r="AN111" i="14"/>
  <c r="AM111" i="14"/>
  <c r="AL111" i="14"/>
  <c r="AK111" i="14"/>
  <c r="AJ111" i="14"/>
  <c r="AI111" i="14"/>
  <c r="AH111" i="14"/>
  <c r="JT110" i="14"/>
  <c r="JS110" i="14"/>
  <c r="JR110" i="14"/>
  <c r="JQ110" i="14"/>
  <c r="JP110" i="14"/>
  <c r="JO110" i="14"/>
  <c r="JN110" i="14"/>
  <c r="JM110" i="14"/>
  <c r="JL110" i="14"/>
  <c r="JK110" i="14"/>
  <c r="JJ110" i="14"/>
  <c r="JI110" i="14"/>
  <c r="JH110" i="14"/>
  <c r="JG110" i="14"/>
  <c r="JF110" i="14"/>
  <c r="JE110" i="14"/>
  <c r="JD110" i="14"/>
  <c r="JC110" i="14"/>
  <c r="JB110" i="14"/>
  <c r="JA110" i="14"/>
  <c r="IZ110" i="14"/>
  <c r="IY110" i="14"/>
  <c r="IX110" i="14"/>
  <c r="IW110" i="14"/>
  <c r="IV110" i="14"/>
  <c r="IU110" i="14"/>
  <c r="IT110" i="14"/>
  <c r="IS110" i="14"/>
  <c r="IR110" i="14"/>
  <c r="IQ110" i="14"/>
  <c r="IP110" i="14"/>
  <c r="IO110" i="14"/>
  <c r="IN110" i="14"/>
  <c r="IM110" i="14"/>
  <c r="IL110" i="14"/>
  <c r="IK110" i="14"/>
  <c r="IJ110" i="14"/>
  <c r="II110" i="14"/>
  <c r="IH110" i="14"/>
  <c r="IG110" i="14"/>
  <c r="IF110" i="14"/>
  <c r="IE110" i="14"/>
  <c r="ID110" i="14"/>
  <c r="IC110" i="14"/>
  <c r="IB110" i="14"/>
  <c r="IA110" i="14"/>
  <c r="HZ110" i="14"/>
  <c r="HY110" i="14"/>
  <c r="HX110" i="14"/>
  <c r="HW110" i="14"/>
  <c r="HV110" i="14"/>
  <c r="HU110" i="14"/>
  <c r="HT110" i="14"/>
  <c r="HS110" i="14"/>
  <c r="HR110" i="14"/>
  <c r="HQ110" i="14"/>
  <c r="HP110" i="14"/>
  <c r="HO110" i="14"/>
  <c r="HN110" i="14"/>
  <c r="HM110" i="14"/>
  <c r="GH110" i="14"/>
  <c r="GG110" i="14"/>
  <c r="GF110" i="14"/>
  <c r="GE110" i="14"/>
  <c r="GD110" i="14"/>
  <c r="GC110" i="14"/>
  <c r="GB110" i="14"/>
  <c r="GA110" i="14"/>
  <c r="FZ110" i="14"/>
  <c r="FY110" i="14"/>
  <c r="FX110" i="14"/>
  <c r="FW110" i="14"/>
  <c r="FV110" i="14"/>
  <c r="FU110" i="14"/>
  <c r="FT110" i="14"/>
  <c r="FS110" i="14"/>
  <c r="FR110" i="14"/>
  <c r="FQ110" i="14"/>
  <c r="FP110" i="14"/>
  <c r="FO110" i="14"/>
  <c r="FN110" i="14"/>
  <c r="FM110" i="14"/>
  <c r="FL110" i="14"/>
  <c r="FK110" i="14"/>
  <c r="FJ110" i="14"/>
  <c r="FI110" i="14"/>
  <c r="FH110" i="14"/>
  <c r="FG110" i="14"/>
  <c r="FF110" i="14"/>
  <c r="FE110" i="14"/>
  <c r="CV110" i="14"/>
  <c r="CU110" i="14"/>
  <c r="CT110" i="14"/>
  <c r="CS110" i="14"/>
  <c r="CR110" i="14"/>
  <c r="CQ110" i="14"/>
  <c r="CP110" i="14"/>
  <c r="CO110" i="14"/>
  <c r="CN110" i="14"/>
  <c r="CM110" i="14"/>
  <c r="CL110" i="14"/>
  <c r="CK110" i="14"/>
  <c r="CJ110" i="14"/>
  <c r="CI110" i="14"/>
  <c r="CH110" i="14"/>
  <c r="CG110" i="14"/>
  <c r="CF110" i="14"/>
  <c r="CE110" i="14"/>
  <c r="CD110" i="14"/>
  <c r="CC110" i="14"/>
  <c r="CB110" i="14"/>
  <c r="CA110" i="14"/>
  <c r="BZ110" i="14"/>
  <c r="BY110" i="14"/>
  <c r="BX110" i="14"/>
  <c r="BW110" i="14"/>
  <c r="BV110" i="14"/>
  <c r="BU110" i="14"/>
  <c r="BT110" i="14"/>
  <c r="BS110" i="14"/>
  <c r="BR110" i="14" a="1"/>
  <c r="BR110" i="14" s="1"/>
  <c r="BQ110" i="14" a="1"/>
  <c r="BQ110" i="14" s="1"/>
  <c r="BP110" i="14" a="1"/>
  <c r="BP110" i="14" s="1"/>
  <c r="BO110" i="14" a="1"/>
  <c r="BO110" i="14" s="1"/>
  <c r="BN110" i="14" a="1"/>
  <c r="BN110" i="14" s="1"/>
  <c r="BM110" i="14" a="1"/>
  <c r="BM110" i="14" s="1"/>
  <c r="BL110" i="14" a="1"/>
  <c r="BL110" i="14" s="1"/>
  <c r="BK110" i="14" a="1"/>
  <c r="BK110" i="14" s="1"/>
  <c r="BJ110" i="14" a="1"/>
  <c r="BJ110" i="14" s="1"/>
  <c r="BI110" i="14" a="1"/>
  <c r="BI110" i="14" s="1"/>
  <c r="BH110" i="14" a="1"/>
  <c r="BH110" i="14" s="1"/>
  <c r="BG110" i="14" a="1"/>
  <c r="BG110" i="14" s="1"/>
  <c r="BF110" i="14" a="1"/>
  <c r="BF110" i="14" s="1"/>
  <c r="BE110" i="14" a="1"/>
  <c r="BE110" i="14" s="1"/>
  <c r="BD110" i="14" a="1"/>
  <c r="BD110" i="14" s="1"/>
  <c r="BC110" i="14" a="1"/>
  <c r="BC110" i="14" s="1"/>
  <c r="BB110" i="14" a="1"/>
  <c r="BB110" i="14" s="1"/>
  <c r="BA110" i="14" a="1"/>
  <c r="BA110" i="14" s="1"/>
  <c r="AZ110" i="14" a="1"/>
  <c r="AZ110" i="14" s="1"/>
  <c r="AY110" i="14" a="1"/>
  <c r="AY110" i="14" s="1"/>
  <c r="AX110" i="14" a="1"/>
  <c r="AX110" i="14" s="1"/>
  <c r="AW110" i="14" a="1"/>
  <c r="AW110" i="14" s="1"/>
  <c r="AV110" i="14" a="1"/>
  <c r="AV110" i="14" s="1"/>
  <c r="AU110" i="14" a="1"/>
  <c r="AU110" i="14" s="1"/>
  <c r="AT110" i="14" a="1"/>
  <c r="AT110" i="14" s="1"/>
  <c r="AS110" i="14" a="1"/>
  <c r="AS110" i="14" s="1"/>
  <c r="AR110" i="14" a="1"/>
  <c r="AR110" i="14" s="1"/>
  <c r="AQ110" i="14" a="1"/>
  <c r="AQ110" i="14" s="1"/>
  <c r="AP110" i="14" a="1"/>
  <c r="AP110" i="14" s="1"/>
  <c r="AO110" i="14" a="1"/>
  <c r="AO110" i="14" s="1"/>
  <c r="AN110" i="14"/>
  <c r="AM110" i="14"/>
  <c r="AL110" i="14"/>
  <c r="AK110" i="14"/>
  <c r="AJ110" i="14"/>
  <c r="AI110" i="14"/>
  <c r="ED110" i="14" s="1"/>
  <c r="AH110" i="14"/>
  <c r="JT109" i="14"/>
  <c r="JS109" i="14"/>
  <c r="JR109" i="14"/>
  <c r="JQ109" i="14"/>
  <c r="JP109" i="14"/>
  <c r="JO109" i="14"/>
  <c r="JN109" i="14"/>
  <c r="JM109" i="14"/>
  <c r="JL109" i="14"/>
  <c r="JK109" i="14"/>
  <c r="JJ109" i="14"/>
  <c r="JI109" i="14"/>
  <c r="JH109" i="14"/>
  <c r="JG109" i="14"/>
  <c r="JF109" i="14"/>
  <c r="JE109" i="14"/>
  <c r="JD109" i="14"/>
  <c r="JC109" i="14"/>
  <c r="JB109" i="14"/>
  <c r="JA109" i="14"/>
  <c r="IZ109" i="14"/>
  <c r="IY109" i="14"/>
  <c r="IX109" i="14"/>
  <c r="IW109" i="14"/>
  <c r="IV109" i="14"/>
  <c r="IU109" i="14"/>
  <c r="IT109" i="14"/>
  <c r="IS109" i="14"/>
  <c r="IR109" i="14"/>
  <c r="IQ109" i="14"/>
  <c r="IP109" i="14"/>
  <c r="IO109" i="14"/>
  <c r="IN109" i="14"/>
  <c r="IM109" i="14"/>
  <c r="IL109" i="14"/>
  <c r="IK109" i="14"/>
  <c r="IJ109" i="14"/>
  <c r="II109" i="14"/>
  <c r="IH109" i="14"/>
  <c r="IG109" i="14"/>
  <c r="IF109" i="14"/>
  <c r="IE109" i="14"/>
  <c r="ID109" i="14"/>
  <c r="IC109" i="14"/>
  <c r="IB109" i="14"/>
  <c r="IA109" i="14"/>
  <c r="HZ109" i="14"/>
  <c r="HY109" i="14"/>
  <c r="HX109" i="14"/>
  <c r="HW109" i="14"/>
  <c r="HV109" i="14"/>
  <c r="HU109" i="14"/>
  <c r="HT109" i="14"/>
  <c r="HS109" i="14"/>
  <c r="HR109" i="14"/>
  <c r="HQ109" i="14"/>
  <c r="HP109" i="14"/>
  <c r="HO109" i="14"/>
  <c r="HN109" i="14"/>
  <c r="HM109" i="14"/>
  <c r="GH109" i="14"/>
  <c r="GG109" i="14"/>
  <c r="GF109" i="14"/>
  <c r="GE109" i="14"/>
  <c r="GD109" i="14"/>
  <c r="GC109" i="14"/>
  <c r="GB109" i="14"/>
  <c r="GA109" i="14"/>
  <c r="FZ109" i="14"/>
  <c r="FY109" i="14"/>
  <c r="FX109" i="14"/>
  <c r="FW109" i="14"/>
  <c r="FV109" i="14"/>
  <c r="FU109" i="14"/>
  <c r="FT109" i="14"/>
  <c r="FS109" i="14"/>
  <c r="FR109" i="14"/>
  <c r="FQ109" i="14"/>
  <c r="FP109" i="14"/>
  <c r="FO109" i="14"/>
  <c r="FN109" i="14"/>
  <c r="FM109" i="14"/>
  <c r="FL109" i="14"/>
  <c r="FK109" i="14"/>
  <c r="FJ109" i="14"/>
  <c r="FI109" i="14"/>
  <c r="FH109" i="14"/>
  <c r="FG109" i="14"/>
  <c r="FF109" i="14"/>
  <c r="FE109" i="14"/>
  <c r="CV109" i="14"/>
  <c r="CU109" i="14"/>
  <c r="CT109" i="14"/>
  <c r="CS109" i="14"/>
  <c r="CR109" i="14"/>
  <c r="CQ109" i="14"/>
  <c r="CP109" i="14"/>
  <c r="CO109" i="14"/>
  <c r="CN109" i="14"/>
  <c r="CM109" i="14"/>
  <c r="CL109" i="14"/>
  <c r="CK109" i="14"/>
  <c r="CJ109" i="14"/>
  <c r="CI109" i="14"/>
  <c r="CH109" i="14"/>
  <c r="CG109" i="14"/>
  <c r="CF109" i="14"/>
  <c r="CE109" i="14"/>
  <c r="CD109" i="14"/>
  <c r="CC109" i="14"/>
  <c r="CB109" i="14"/>
  <c r="CA109" i="14"/>
  <c r="BZ109" i="14"/>
  <c r="BY109" i="14"/>
  <c r="BX109" i="14"/>
  <c r="BW109" i="14"/>
  <c r="BV109" i="14"/>
  <c r="BU109" i="14"/>
  <c r="BT109" i="14"/>
  <c r="BS109" i="14"/>
  <c r="BR109" i="14" a="1"/>
  <c r="BR109" i="14" s="1"/>
  <c r="BQ109" i="14" a="1"/>
  <c r="BQ109" i="14" s="1"/>
  <c r="BP109" i="14" a="1"/>
  <c r="BP109" i="14" s="1"/>
  <c r="BO109" i="14" a="1"/>
  <c r="BO109" i="14" s="1"/>
  <c r="BN109" i="14" a="1"/>
  <c r="BN109" i="14" s="1"/>
  <c r="BM109" i="14" a="1"/>
  <c r="BM109" i="14" s="1"/>
  <c r="BL109" i="14" a="1"/>
  <c r="BL109" i="14" s="1"/>
  <c r="BK109" i="14" a="1"/>
  <c r="BK109" i="14" s="1"/>
  <c r="BJ109" i="14" a="1"/>
  <c r="BJ109" i="14" s="1"/>
  <c r="BI109" i="14" a="1"/>
  <c r="BI109" i="14" s="1"/>
  <c r="BH109" i="14" a="1"/>
  <c r="BH109" i="14" s="1"/>
  <c r="BG109" i="14" a="1"/>
  <c r="BG109" i="14" s="1"/>
  <c r="BF109" i="14" a="1"/>
  <c r="BF109" i="14" s="1"/>
  <c r="BE109" i="14" a="1"/>
  <c r="BE109" i="14" s="1"/>
  <c r="BD109" i="14" a="1"/>
  <c r="BD109" i="14" s="1"/>
  <c r="BC109" i="14" a="1"/>
  <c r="BC109" i="14" s="1"/>
  <c r="BB109" i="14" a="1"/>
  <c r="BB109" i="14" s="1"/>
  <c r="BA109" i="14" a="1"/>
  <c r="BA109" i="14" s="1"/>
  <c r="AZ109" i="14" a="1"/>
  <c r="AZ109" i="14" s="1"/>
  <c r="AY109" i="14" a="1"/>
  <c r="AY109" i="14" s="1"/>
  <c r="AX109" i="14" a="1"/>
  <c r="AX109" i="14" s="1"/>
  <c r="AW109" i="14" a="1"/>
  <c r="AW109" i="14" s="1"/>
  <c r="AV109" i="14" a="1"/>
  <c r="AV109" i="14" s="1"/>
  <c r="AU109" i="14" a="1"/>
  <c r="AU109" i="14" s="1"/>
  <c r="AT109" i="14" a="1"/>
  <c r="AT109" i="14" s="1"/>
  <c r="AS109" i="14" a="1"/>
  <c r="AS109" i="14" s="1"/>
  <c r="AR109" i="14" a="1"/>
  <c r="AR109" i="14" s="1"/>
  <c r="AQ109" i="14" a="1"/>
  <c r="AQ109" i="14" s="1"/>
  <c r="AP109" i="14" a="1"/>
  <c r="AP109" i="14" s="1"/>
  <c r="AO109" i="14" a="1"/>
  <c r="AO109" i="14" s="1"/>
  <c r="AN109" i="14"/>
  <c r="AM109" i="14"/>
  <c r="AL109" i="14"/>
  <c r="AK109" i="14"/>
  <c r="AJ109" i="14"/>
  <c r="AI109" i="14"/>
  <c r="AH109" i="14"/>
  <c r="GH108" i="14"/>
  <c r="GG108" i="14"/>
  <c r="GF108" i="14"/>
  <c r="GE108" i="14"/>
  <c r="GD108" i="14"/>
  <c r="GC108" i="14"/>
  <c r="GB108" i="14"/>
  <c r="GA108" i="14"/>
  <c r="FZ108" i="14"/>
  <c r="FY108" i="14"/>
  <c r="FX108" i="14"/>
  <c r="FW108" i="14"/>
  <c r="FV108" i="14"/>
  <c r="FU108" i="14"/>
  <c r="FT108" i="14"/>
  <c r="FS108" i="14"/>
  <c r="FR108" i="14"/>
  <c r="FQ108" i="14"/>
  <c r="FP108" i="14"/>
  <c r="FO108" i="14"/>
  <c r="FN108" i="14"/>
  <c r="FM108" i="14"/>
  <c r="FL108" i="14"/>
  <c r="FK108" i="14"/>
  <c r="FJ108" i="14"/>
  <c r="FI108" i="14"/>
  <c r="FH108" i="14"/>
  <c r="FG108" i="14"/>
  <c r="FF108" i="14"/>
  <c r="FE108" i="14"/>
  <c r="AN108" i="14"/>
  <c r="JM108" i="14" s="1"/>
  <c r="AM108" i="14"/>
  <c r="AL108" i="14"/>
  <c r="AK108" i="14"/>
  <c r="D104" i="43" s="1"/>
  <c r="AJ108" i="14"/>
  <c r="AI108" i="14"/>
  <c r="ER108" i="14" s="1"/>
  <c r="AH108" i="14"/>
  <c r="GH107" i="14"/>
  <c r="GG107" i="14"/>
  <c r="GF107" i="14"/>
  <c r="GE107" i="14"/>
  <c r="GD107" i="14"/>
  <c r="GC107" i="14"/>
  <c r="GB107" i="14"/>
  <c r="GA107" i="14"/>
  <c r="FZ107" i="14"/>
  <c r="FY107" i="14"/>
  <c r="FX107" i="14"/>
  <c r="FW107" i="14"/>
  <c r="FV107" i="14"/>
  <c r="FU107" i="14"/>
  <c r="FT107" i="14"/>
  <c r="FS107" i="14"/>
  <c r="FR107" i="14"/>
  <c r="FQ107" i="14"/>
  <c r="FP107" i="14"/>
  <c r="FO107" i="14"/>
  <c r="FN107" i="14"/>
  <c r="FM107" i="14"/>
  <c r="FL107" i="14"/>
  <c r="FK107" i="14"/>
  <c r="FJ107" i="14"/>
  <c r="FI107" i="14"/>
  <c r="FH107" i="14"/>
  <c r="FG107" i="14"/>
  <c r="FF107" i="14"/>
  <c r="FE107" i="14"/>
  <c r="AN107" i="14"/>
  <c r="JR107" i="14" s="1"/>
  <c r="AM107" i="14"/>
  <c r="AL107" i="14"/>
  <c r="AK107" i="14"/>
  <c r="D103" i="43" s="1"/>
  <c r="AJ107" i="14"/>
  <c r="AI107" i="14"/>
  <c r="EV107" i="14" s="1"/>
  <c r="AH107" i="14"/>
  <c r="GH106" i="14"/>
  <c r="GG106" i="14"/>
  <c r="GF106" i="14"/>
  <c r="GE106" i="14"/>
  <c r="GD106" i="14"/>
  <c r="GC106" i="14"/>
  <c r="GB106" i="14"/>
  <c r="GA106" i="14"/>
  <c r="FZ106" i="14"/>
  <c r="FY106" i="14"/>
  <c r="FX106" i="14"/>
  <c r="FW106" i="14"/>
  <c r="FV106" i="14"/>
  <c r="FU106" i="14"/>
  <c r="FT106" i="14"/>
  <c r="FS106" i="14"/>
  <c r="FR106" i="14"/>
  <c r="FQ106" i="14"/>
  <c r="FP106" i="14"/>
  <c r="FO106" i="14"/>
  <c r="FN106" i="14"/>
  <c r="FM106" i="14"/>
  <c r="FL106" i="14"/>
  <c r="FK106" i="14"/>
  <c r="FJ106" i="14"/>
  <c r="FI106" i="14"/>
  <c r="FH106" i="14"/>
  <c r="FG106" i="14"/>
  <c r="FF106" i="14"/>
  <c r="FE106" i="14"/>
  <c r="AN106" i="14"/>
  <c r="JQ106" i="14" s="1"/>
  <c r="AM106" i="14"/>
  <c r="AL106" i="14"/>
  <c r="AK106" i="14"/>
  <c r="D102" i="43" s="1"/>
  <c r="AJ106" i="14"/>
  <c r="AI106" i="14"/>
  <c r="ES106" i="14" s="1"/>
  <c r="AH106" i="14"/>
  <c r="GH105" i="14"/>
  <c r="GG105" i="14"/>
  <c r="GF105" i="14"/>
  <c r="GE105" i="14"/>
  <c r="GD105" i="14"/>
  <c r="GC105" i="14"/>
  <c r="GB105" i="14"/>
  <c r="GA105" i="14"/>
  <c r="FZ105" i="14"/>
  <c r="FY105" i="14"/>
  <c r="FX105" i="14"/>
  <c r="FW105" i="14"/>
  <c r="FV105" i="14"/>
  <c r="FU105" i="14"/>
  <c r="FT105" i="14"/>
  <c r="FS105" i="14"/>
  <c r="FR105" i="14"/>
  <c r="FQ105" i="14"/>
  <c r="FP105" i="14"/>
  <c r="FO105" i="14"/>
  <c r="FN105" i="14"/>
  <c r="FM105" i="14"/>
  <c r="FL105" i="14"/>
  <c r="FK105" i="14"/>
  <c r="FJ105" i="14"/>
  <c r="FI105" i="14"/>
  <c r="FH105" i="14"/>
  <c r="FG105" i="14"/>
  <c r="FF105" i="14"/>
  <c r="FE105" i="14"/>
  <c r="AN105" i="14"/>
  <c r="IZ105" i="14" s="1"/>
  <c r="AM105" i="14"/>
  <c r="AL105" i="14"/>
  <c r="AK105" i="14"/>
  <c r="D101" i="43" s="1"/>
  <c r="AJ105" i="14"/>
  <c r="AI105" i="14"/>
  <c r="AH105" i="14"/>
  <c r="GH104" i="14"/>
  <c r="GG104" i="14"/>
  <c r="GF104" i="14"/>
  <c r="GE104" i="14"/>
  <c r="GD104" i="14"/>
  <c r="GC104" i="14"/>
  <c r="GB104" i="14"/>
  <c r="GA104" i="14"/>
  <c r="FZ104" i="14"/>
  <c r="FY104" i="14"/>
  <c r="FX104" i="14"/>
  <c r="FW104" i="14"/>
  <c r="FV104" i="14"/>
  <c r="FU104" i="14"/>
  <c r="FT104" i="14"/>
  <c r="FS104" i="14"/>
  <c r="FR104" i="14"/>
  <c r="FQ104" i="14"/>
  <c r="FP104" i="14"/>
  <c r="FO104" i="14"/>
  <c r="FN104" i="14"/>
  <c r="FM104" i="14"/>
  <c r="FL104" i="14"/>
  <c r="FK104" i="14"/>
  <c r="FJ104" i="14"/>
  <c r="FI104" i="14"/>
  <c r="FH104" i="14"/>
  <c r="FG104" i="14"/>
  <c r="FF104" i="14"/>
  <c r="FE104" i="14"/>
  <c r="AN104" i="14"/>
  <c r="AM104" i="14"/>
  <c r="AL104" i="14"/>
  <c r="AK104" i="14"/>
  <c r="D100" i="43" s="1"/>
  <c r="AJ104" i="14"/>
  <c r="AI104" i="14"/>
  <c r="EH104" i="14" s="1"/>
  <c r="AH104" i="14"/>
  <c r="AN103" i="14"/>
  <c r="AM103" i="14"/>
  <c r="AL103" i="14"/>
  <c r="AK103" i="14"/>
  <c r="D99" i="43" s="1"/>
  <c r="AJ103" i="14"/>
  <c r="AI103" i="14"/>
  <c r="AH103" i="14"/>
  <c r="GH102" i="14"/>
  <c r="GG102" i="14"/>
  <c r="GF102" i="14"/>
  <c r="GE102" i="14"/>
  <c r="GD102" i="14"/>
  <c r="GC102" i="14"/>
  <c r="GB102" i="14"/>
  <c r="GA102" i="14"/>
  <c r="FZ102" i="14"/>
  <c r="FY102" i="14"/>
  <c r="FX102" i="14"/>
  <c r="FW102" i="14"/>
  <c r="FV102" i="14"/>
  <c r="FU102" i="14"/>
  <c r="FT102" i="14"/>
  <c r="FS102" i="14"/>
  <c r="FR102" i="14"/>
  <c r="FQ102" i="14"/>
  <c r="FP102" i="14"/>
  <c r="FO102" i="14"/>
  <c r="FN102" i="14"/>
  <c r="FM102" i="14"/>
  <c r="FL102" i="14"/>
  <c r="FK102" i="14"/>
  <c r="FJ102" i="14"/>
  <c r="FI102" i="14"/>
  <c r="FH102" i="14"/>
  <c r="FG102" i="14"/>
  <c r="FF102" i="14"/>
  <c r="FE102" i="14"/>
  <c r="AN102" i="14"/>
  <c r="AM102" i="14"/>
  <c r="AL102" i="14"/>
  <c r="AK102" i="14"/>
  <c r="D98" i="43" s="1"/>
  <c r="AJ102" i="14"/>
  <c r="AI102" i="14"/>
  <c r="EB102" i="14" s="1"/>
  <c r="AH102" i="14"/>
  <c r="GH101" i="14"/>
  <c r="GG101" i="14"/>
  <c r="GF101" i="14"/>
  <c r="GE101" i="14"/>
  <c r="GD101" i="14"/>
  <c r="GC101" i="14"/>
  <c r="GB101" i="14"/>
  <c r="GA101" i="14"/>
  <c r="FZ101" i="14"/>
  <c r="FY101" i="14"/>
  <c r="FX101" i="14"/>
  <c r="FW101" i="14"/>
  <c r="FV101" i="14"/>
  <c r="FU101" i="14"/>
  <c r="FT101" i="14"/>
  <c r="FS101" i="14"/>
  <c r="FR101" i="14"/>
  <c r="FQ101" i="14"/>
  <c r="FP101" i="14"/>
  <c r="FO101" i="14"/>
  <c r="FN101" i="14"/>
  <c r="FM101" i="14"/>
  <c r="FL101" i="14"/>
  <c r="FK101" i="14"/>
  <c r="FJ101" i="14"/>
  <c r="FI101" i="14"/>
  <c r="FH101" i="14"/>
  <c r="FG101" i="14"/>
  <c r="FF101" i="14"/>
  <c r="FE101" i="14"/>
  <c r="AN101" i="14"/>
  <c r="JQ101" i="14" s="1"/>
  <c r="AM101" i="14"/>
  <c r="AL101" i="14"/>
  <c r="AK101" i="14"/>
  <c r="D97" i="43" s="1"/>
  <c r="AJ101" i="14"/>
  <c r="AI101" i="14"/>
  <c r="EY101" i="14" s="1"/>
  <c r="AH101" i="14"/>
  <c r="GH100" i="14"/>
  <c r="GG100" i="14"/>
  <c r="GF100" i="14"/>
  <c r="GE100" i="14"/>
  <c r="GD100" i="14"/>
  <c r="GC100" i="14"/>
  <c r="GB100" i="14"/>
  <c r="GA100" i="14"/>
  <c r="FZ100" i="14"/>
  <c r="FY100" i="14"/>
  <c r="FX100" i="14"/>
  <c r="FW100" i="14"/>
  <c r="FV100" i="14"/>
  <c r="FU100" i="14"/>
  <c r="FT100" i="14"/>
  <c r="FS100" i="14"/>
  <c r="FR100" i="14"/>
  <c r="FQ100" i="14"/>
  <c r="FP100" i="14"/>
  <c r="FO100" i="14"/>
  <c r="FN100" i="14"/>
  <c r="FM100" i="14"/>
  <c r="FL100" i="14"/>
  <c r="FK100" i="14"/>
  <c r="FJ100" i="14"/>
  <c r="FI100" i="14"/>
  <c r="FH100" i="14"/>
  <c r="FG100" i="14"/>
  <c r="FF100" i="14"/>
  <c r="FE100" i="14"/>
  <c r="AN100" i="14"/>
  <c r="AM100" i="14"/>
  <c r="AL100" i="14"/>
  <c r="AK100" i="14"/>
  <c r="D96" i="43" s="1"/>
  <c r="AJ100" i="14"/>
  <c r="AI100" i="14"/>
  <c r="EU100" i="14" s="1"/>
  <c r="AH100" i="14"/>
  <c r="GH99" i="14"/>
  <c r="GG99" i="14"/>
  <c r="GF99" i="14"/>
  <c r="GE99" i="14"/>
  <c r="GD99" i="14"/>
  <c r="GC99" i="14"/>
  <c r="GB99" i="14"/>
  <c r="GA99" i="14"/>
  <c r="FZ99" i="14"/>
  <c r="FY99" i="14"/>
  <c r="FX99" i="14"/>
  <c r="FW99" i="14"/>
  <c r="FV99" i="14"/>
  <c r="FU99" i="14"/>
  <c r="FT99" i="14"/>
  <c r="FS99" i="14"/>
  <c r="FR99" i="14"/>
  <c r="FQ99" i="14"/>
  <c r="FP99" i="14"/>
  <c r="FO99" i="14"/>
  <c r="FN99" i="14"/>
  <c r="FM99" i="14"/>
  <c r="FL99" i="14"/>
  <c r="FK99" i="14"/>
  <c r="FJ99" i="14"/>
  <c r="FI99" i="14"/>
  <c r="FH99" i="14"/>
  <c r="FG99" i="14"/>
  <c r="FF99" i="14"/>
  <c r="FE99" i="14"/>
  <c r="AN99" i="14"/>
  <c r="JE99" i="14" s="1"/>
  <c r="AM99" i="14"/>
  <c r="AL99" i="14"/>
  <c r="AK99" i="14"/>
  <c r="D95" i="43" s="1"/>
  <c r="AJ99" i="14"/>
  <c r="AI99" i="14"/>
  <c r="FB99" i="14" s="1"/>
  <c r="AH99" i="14"/>
  <c r="GH98" i="14"/>
  <c r="GG98" i="14"/>
  <c r="GF98" i="14"/>
  <c r="GE98" i="14"/>
  <c r="GD98" i="14"/>
  <c r="GC98" i="14"/>
  <c r="GB98" i="14"/>
  <c r="GA98" i="14"/>
  <c r="FZ98" i="14"/>
  <c r="FY98" i="14"/>
  <c r="FX98" i="14"/>
  <c r="FW98" i="14"/>
  <c r="FV98" i="14"/>
  <c r="FU98" i="14"/>
  <c r="FT98" i="14"/>
  <c r="FS98" i="14"/>
  <c r="FR98" i="14"/>
  <c r="FQ98" i="14"/>
  <c r="FP98" i="14"/>
  <c r="FO98" i="14"/>
  <c r="FN98" i="14"/>
  <c r="FM98" i="14"/>
  <c r="FL98" i="14"/>
  <c r="FK98" i="14"/>
  <c r="FJ98" i="14"/>
  <c r="FI98" i="14"/>
  <c r="FH98" i="14"/>
  <c r="FG98" i="14"/>
  <c r="FF98" i="14"/>
  <c r="FE98" i="14"/>
  <c r="AN98" i="14"/>
  <c r="JL98" i="14" s="1"/>
  <c r="AM98" i="14"/>
  <c r="AL98" i="14"/>
  <c r="AK98" i="14"/>
  <c r="D94" i="43" s="1"/>
  <c r="AJ98" i="14"/>
  <c r="AI98" i="14"/>
  <c r="EE98" i="14" s="1"/>
  <c r="AH98" i="14"/>
  <c r="GH97" i="14"/>
  <c r="GG97" i="14"/>
  <c r="GF97" i="14"/>
  <c r="GE97" i="14"/>
  <c r="GD97" i="14"/>
  <c r="GC97" i="14"/>
  <c r="GB97" i="14"/>
  <c r="GA97" i="14"/>
  <c r="FZ97" i="14"/>
  <c r="FY97" i="14"/>
  <c r="FX97" i="14"/>
  <c r="FW97" i="14"/>
  <c r="FV97" i="14"/>
  <c r="FU97" i="14"/>
  <c r="FT97" i="14"/>
  <c r="FS97" i="14"/>
  <c r="FR97" i="14"/>
  <c r="FQ97" i="14"/>
  <c r="FP97" i="14"/>
  <c r="FO97" i="14"/>
  <c r="FN97" i="14"/>
  <c r="FM97" i="14"/>
  <c r="FL97" i="14"/>
  <c r="FK97" i="14"/>
  <c r="FJ97" i="14"/>
  <c r="FI97" i="14"/>
  <c r="FH97" i="14"/>
  <c r="FG97" i="14"/>
  <c r="FF97" i="14"/>
  <c r="FE97" i="14"/>
  <c r="AN97" i="14"/>
  <c r="IV97" i="14" s="1"/>
  <c r="AM97" i="14"/>
  <c r="AL97" i="14"/>
  <c r="AK97" i="14"/>
  <c r="D93" i="43" s="1"/>
  <c r="AJ97" i="14"/>
  <c r="AI97" i="14"/>
  <c r="AH97" i="14"/>
  <c r="GH96" i="14"/>
  <c r="GG96" i="14"/>
  <c r="GF96" i="14"/>
  <c r="GE96" i="14"/>
  <c r="GD96" i="14"/>
  <c r="GC96" i="14"/>
  <c r="GB96" i="14"/>
  <c r="GA96" i="14"/>
  <c r="FZ96" i="14"/>
  <c r="FY96" i="14"/>
  <c r="FX96" i="14"/>
  <c r="FW96" i="14"/>
  <c r="FV96" i="14"/>
  <c r="FU96" i="14"/>
  <c r="FT96" i="14"/>
  <c r="FS96" i="14"/>
  <c r="FR96" i="14"/>
  <c r="FQ96" i="14"/>
  <c r="FP96" i="14"/>
  <c r="FO96" i="14"/>
  <c r="FN96" i="14"/>
  <c r="FM96" i="14"/>
  <c r="FL96" i="14"/>
  <c r="FK96" i="14"/>
  <c r="FJ96" i="14"/>
  <c r="FI96" i="14"/>
  <c r="FH96" i="14"/>
  <c r="FG96" i="14"/>
  <c r="FF96" i="14"/>
  <c r="FE96" i="14"/>
  <c r="AN96" i="14"/>
  <c r="IX96" i="14" s="1"/>
  <c r="AM96" i="14"/>
  <c r="AL96" i="14"/>
  <c r="AK96" i="14"/>
  <c r="D92" i="43" s="1"/>
  <c r="AJ96" i="14"/>
  <c r="AI96" i="14"/>
  <c r="AH96" i="14"/>
  <c r="GH95" i="14"/>
  <c r="GG95" i="14"/>
  <c r="GF95" i="14"/>
  <c r="GE95" i="14"/>
  <c r="GD95" i="14"/>
  <c r="GC95" i="14"/>
  <c r="GB95" i="14"/>
  <c r="GA95" i="14"/>
  <c r="FZ95" i="14"/>
  <c r="FY95" i="14"/>
  <c r="FX95" i="14"/>
  <c r="FW95" i="14"/>
  <c r="FV95" i="14"/>
  <c r="FU95" i="14"/>
  <c r="FT95" i="14"/>
  <c r="FS95" i="14"/>
  <c r="FR95" i="14"/>
  <c r="FQ95" i="14"/>
  <c r="FP95" i="14"/>
  <c r="FO95" i="14"/>
  <c r="FN95" i="14"/>
  <c r="FM95" i="14"/>
  <c r="FL95" i="14"/>
  <c r="FK95" i="14"/>
  <c r="FJ95" i="14"/>
  <c r="FI95" i="14"/>
  <c r="FH95" i="14"/>
  <c r="FG95" i="14"/>
  <c r="FF95" i="14"/>
  <c r="FE95" i="14"/>
  <c r="AN95" i="14"/>
  <c r="AM95" i="14"/>
  <c r="AL95" i="14"/>
  <c r="AK95" i="14"/>
  <c r="D91" i="43" s="1"/>
  <c r="AJ95" i="14"/>
  <c r="AI95" i="14"/>
  <c r="EA95" i="14" s="1"/>
  <c r="AH95" i="14"/>
  <c r="AN94" i="14"/>
  <c r="JJ94" i="14" s="1"/>
  <c r="AM94" i="14"/>
  <c r="AL94" i="14"/>
  <c r="AK94" i="14"/>
  <c r="D90" i="43" s="1"/>
  <c r="AJ94" i="14"/>
  <c r="AI94" i="14"/>
  <c r="AH94" i="14"/>
  <c r="AN93" i="14"/>
  <c r="IZ93" i="14" s="1"/>
  <c r="AM93" i="14"/>
  <c r="AL93" i="14"/>
  <c r="AK93" i="14"/>
  <c r="D89" i="43" s="1"/>
  <c r="AJ93" i="14"/>
  <c r="AI93" i="14"/>
  <c r="AH93" i="14"/>
  <c r="GH92" i="14"/>
  <c r="GG92" i="14"/>
  <c r="GF92" i="14"/>
  <c r="GE92" i="14"/>
  <c r="GD92" i="14"/>
  <c r="GC92" i="14"/>
  <c r="GB92" i="14"/>
  <c r="GA92" i="14"/>
  <c r="FZ92" i="14"/>
  <c r="FY92" i="14"/>
  <c r="FX92" i="14"/>
  <c r="FW92" i="14"/>
  <c r="FV92" i="14"/>
  <c r="FU92" i="14"/>
  <c r="FT92" i="14"/>
  <c r="FS92" i="14"/>
  <c r="FR92" i="14"/>
  <c r="FQ92" i="14"/>
  <c r="FP92" i="14"/>
  <c r="FO92" i="14"/>
  <c r="FN92" i="14"/>
  <c r="FM92" i="14"/>
  <c r="FL92" i="14"/>
  <c r="FK92" i="14"/>
  <c r="FJ92" i="14"/>
  <c r="FI92" i="14"/>
  <c r="FH92" i="14"/>
  <c r="FG92" i="14"/>
  <c r="FF92" i="14"/>
  <c r="FE92" i="14"/>
  <c r="AN92" i="14"/>
  <c r="AM92" i="14"/>
  <c r="AL92" i="14"/>
  <c r="AK92" i="14"/>
  <c r="D88" i="43" s="1"/>
  <c r="AJ92" i="14"/>
  <c r="AI92" i="14"/>
  <c r="AH92" i="14"/>
  <c r="AN91" i="14"/>
  <c r="AM91" i="14"/>
  <c r="AL91" i="14"/>
  <c r="AK91" i="14"/>
  <c r="D87" i="43" s="1"/>
  <c r="AJ91" i="14"/>
  <c r="AI91" i="14"/>
  <c r="AH91" i="14"/>
  <c r="AN90" i="14"/>
  <c r="JL90" i="14" s="1"/>
  <c r="AM90" i="14"/>
  <c r="AL90" i="14"/>
  <c r="AK90" i="14"/>
  <c r="D86" i="43" s="1"/>
  <c r="AJ90" i="14"/>
  <c r="AI90" i="14"/>
  <c r="EN90" i="14" s="1"/>
  <c r="AH90" i="14"/>
  <c r="GH89" i="14"/>
  <c r="GG89" i="14"/>
  <c r="GF89" i="14"/>
  <c r="GE89" i="14"/>
  <c r="GD89" i="14"/>
  <c r="GC89" i="14"/>
  <c r="GB89" i="14"/>
  <c r="GA89" i="14"/>
  <c r="FZ89" i="14"/>
  <c r="FY89" i="14"/>
  <c r="FX89" i="14"/>
  <c r="FW89" i="14"/>
  <c r="FV89" i="14"/>
  <c r="FU89" i="14"/>
  <c r="FT89" i="14"/>
  <c r="FS89" i="14"/>
  <c r="FR89" i="14"/>
  <c r="FQ89" i="14"/>
  <c r="FP89" i="14"/>
  <c r="FO89" i="14"/>
  <c r="FN89" i="14"/>
  <c r="FM89" i="14"/>
  <c r="FL89" i="14"/>
  <c r="FK89" i="14"/>
  <c r="FJ89" i="14"/>
  <c r="FI89" i="14"/>
  <c r="FH89" i="14"/>
  <c r="FG89" i="14"/>
  <c r="FF89" i="14"/>
  <c r="FE89" i="14"/>
  <c r="AN89" i="14"/>
  <c r="IR89" i="14" s="1"/>
  <c r="AM89" i="14"/>
  <c r="AL89" i="14"/>
  <c r="AK89" i="14"/>
  <c r="D85" i="43" s="1"/>
  <c r="AJ89" i="14"/>
  <c r="AI89" i="14"/>
  <c r="EX89" i="14" s="1"/>
  <c r="AH89" i="14"/>
  <c r="GH88" i="14"/>
  <c r="GG88" i="14"/>
  <c r="GF88" i="14"/>
  <c r="GE88" i="14"/>
  <c r="GD88" i="14"/>
  <c r="GC88" i="14"/>
  <c r="GB88" i="14"/>
  <c r="GA88" i="14"/>
  <c r="FZ88" i="14"/>
  <c r="FY88" i="14"/>
  <c r="FX88" i="14"/>
  <c r="FW88" i="14"/>
  <c r="FV88" i="14"/>
  <c r="FU88" i="14"/>
  <c r="FT88" i="14"/>
  <c r="FS88" i="14"/>
  <c r="FR88" i="14"/>
  <c r="FQ88" i="14"/>
  <c r="FP88" i="14"/>
  <c r="FO88" i="14"/>
  <c r="FN88" i="14"/>
  <c r="FM88" i="14"/>
  <c r="FL88" i="14"/>
  <c r="FK88" i="14"/>
  <c r="FJ88" i="14"/>
  <c r="FI88" i="14"/>
  <c r="FH88" i="14"/>
  <c r="FG88" i="14"/>
  <c r="FF88" i="14"/>
  <c r="FE88" i="14"/>
  <c r="AN88" i="14"/>
  <c r="AM88" i="14"/>
  <c r="AL88" i="14"/>
  <c r="AK88" i="14"/>
  <c r="D84" i="43" s="1"/>
  <c r="AJ88" i="14"/>
  <c r="AI88" i="14"/>
  <c r="AH88" i="14"/>
  <c r="GH87" i="14"/>
  <c r="GG87" i="14"/>
  <c r="GF87" i="14"/>
  <c r="GE87" i="14"/>
  <c r="GD87" i="14"/>
  <c r="GC87" i="14"/>
  <c r="GB87" i="14"/>
  <c r="GA87" i="14"/>
  <c r="FZ87" i="14"/>
  <c r="FY87" i="14"/>
  <c r="FX87" i="14"/>
  <c r="FW87" i="14"/>
  <c r="FV87" i="14"/>
  <c r="FU87" i="14"/>
  <c r="FT87" i="14"/>
  <c r="FS87" i="14"/>
  <c r="FR87" i="14"/>
  <c r="FQ87" i="14"/>
  <c r="FP87" i="14"/>
  <c r="FO87" i="14"/>
  <c r="FN87" i="14"/>
  <c r="FM87" i="14"/>
  <c r="FL87" i="14"/>
  <c r="FK87" i="14"/>
  <c r="FJ87" i="14"/>
  <c r="FI87" i="14"/>
  <c r="FH87" i="14"/>
  <c r="FG87" i="14"/>
  <c r="FF87" i="14"/>
  <c r="FE87" i="14"/>
  <c r="AN87" i="14"/>
  <c r="AM87" i="14"/>
  <c r="AL87" i="14"/>
  <c r="AK87" i="14"/>
  <c r="D83" i="43" s="1"/>
  <c r="AJ87" i="14"/>
  <c r="AI87" i="14"/>
  <c r="AH87" i="14"/>
  <c r="GH86" i="14"/>
  <c r="GG86" i="14"/>
  <c r="GF86" i="14"/>
  <c r="GE86" i="14"/>
  <c r="GD86" i="14"/>
  <c r="GC86" i="14"/>
  <c r="GB86" i="14"/>
  <c r="GA86" i="14"/>
  <c r="FZ86" i="14"/>
  <c r="FY86" i="14"/>
  <c r="FX86" i="14"/>
  <c r="FW86" i="14"/>
  <c r="FV86" i="14"/>
  <c r="FU86" i="14"/>
  <c r="FT86" i="14"/>
  <c r="FS86" i="14"/>
  <c r="FR86" i="14"/>
  <c r="FQ86" i="14"/>
  <c r="FP86" i="14"/>
  <c r="FO86" i="14"/>
  <c r="FN86" i="14"/>
  <c r="FM86" i="14"/>
  <c r="FL86" i="14"/>
  <c r="FK86" i="14"/>
  <c r="FJ86" i="14"/>
  <c r="FI86" i="14"/>
  <c r="FH86" i="14"/>
  <c r="FG86" i="14"/>
  <c r="FF86" i="14"/>
  <c r="FE86" i="14"/>
  <c r="AN86" i="14"/>
  <c r="AM86" i="14"/>
  <c r="AL86" i="14"/>
  <c r="AK86" i="14"/>
  <c r="D82" i="43" s="1"/>
  <c r="AJ86" i="14"/>
  <c r="AI86" i="14"/>
  <c r="AH86" i="14"/>
  <c r="GH85" i="14"/>
  <c r="GG85" i="14"/>
  <c r="GF85" i="14"/>
  <c r="GE85" i="14"/>
  <c r="GD85" i="14"/>
  <c r="GC85" i="14"/>
  <c r="GB85" i="14"/>
  <c r="GA85" i="14"/>
  <c r="FZ85" i="14"/>
  <c r="FY85" i="14"/>
  <c r="FX85" i="14"/>
  <c r="FW85" i="14"/>
  <c r="FV85" i="14"/>
  <c r="FU85" i="14"/>
  <c r="FT85" i="14"/>
  <c r="FS85" i="14"/>
  <c r="FR85" i="14"/>
  <c r="FQ85" i="14"/>
  <c r="FP85" i="14"/>
  <c r="FO85" i="14"/>
  <c r="FN85" i="14"/>
  <c r="FM85" i="14"/>
  <c r="FL85" i="14"/>
  <c r="FK85" i="14"/>
  <c r="FJ85" i="14"/>
  <c r="FI85" i="14"/>
  <c r="FH85" i="14"/>
  <c r="FG85" i="14"/>
  <c r="FF85" i="14"/>
  <c r="FE85" i="14"/>
  <c r="AN85" i="14"/>
  <c r="AM85" i="14"/>
  <c r="AL85" i="14"/>
  <c r="AK85" i="14"/>
  <c r="D81" i="43" s="1"/>
  <c r="AJ85" i="14"/>
  <c r="AI85" i="14"/>
  <c r="FB85" i="14" s="1"/>
  <c r="AH85" i="14"/>
  <c r="GH84" i="14"/>
  <c r="GG84" i="14"/>
  <c r="GF84" i="14"/>
  <c r="GE84" i="14"/>
  <c r="GD84" i="14"/>
  <c r="GC84" i="14"/>
  <c r="GB84" i="14"/>
  <c r="GA84" i="14"/>
  <c r="FZ84" i="14"/>
  <c r="FY84" i="14"/>
  <c r="FX84" i="14"/>
  <c r="FW84" i="14"/>
  <c r="FV84" i="14"/>
  <c r="FU84" i="14"/>
  <c r="FT84" i="14"/>
  <c r="FS84" i="14"/>
  <c r="FR84" i="14"/>
  <c r="FQ84" i="14"/>
  <c r="FP84" i="14"/>
  <c r="FO84" i="14"/>
  <c r="FN84" i="14"/>
  <c r="FM84" i="14"/>
  <c r="FL84" i="14"/>
  <c r="FK84" i="14"/>
  <c r="FJ84" i="14"/>
  <c r="FI84" i="14"/>
  <c r="FH84" i="14"/>
  <c r="FG84" i="14"/>
  <c r="FF84" i="14"/>
  <c r="FE84" i="14"/>
  <c r="AN84" i="14"/>
  <c r="JL84" i="14" s="1"/>
  <c r="AM84" i="14"/>
  <c r="AL84" i="14"/>
  <c r="AK84" i="14"/>
  <c r="D80" i="43" s="1"/>
  <c r="AJ84" i="14"/>
  <c r="AI84" i="14"/>
  <c r="EO84" i="14" s="1"/>
  <c r="AH84" i="14"/>
  <c r="GH83" i="14"/>
  <c r="GG83" i="14"/>
  <c r="GF83" i="14"/>
  <c r="GE83" i="14"/>
  <c r="GD83" i="14"/>
  <c r="GC83" i="14"/>
  <c r="GB83" i="14"/>
  <c r="GA83" i="14"/>
  <c r="FZ83" i="14"/>
  <c r="FY83" i="14"/>
  <c r="FX83" i="14"/>
  <c r="FW83" i="14"/>
  <c r="FV83" i="14"/>
  <c r="FU83" i="14"/>
  <c r="FT83" i="14"/>
  <c r="FS83" i="14"/>
  <c r="FR83" i="14"/>
  <c r="FQ83" i="14"/>
  <c r="FP83" i="14"/>
  <c r="FO83" i="14"/>
  <c r="FN83" i="14"/>
  <c r="FM83" i="14"/>
  <c r="FL83" i="14"/>
  <c r="FK83" i="14"/>
  <c r="FJ83" i="14"/>
  <c r="FI83" i="14"/>
  <c r="FH83" i="14"/>
  <c r="FG83" i="14"/>
  <c r="FF83" i="14"/>
  <c r="FE83" i="14"/>
  <c r="AM83" i="14"/>
  <c r="AL83" i="14"/>
  <c r="AK83" i="14"/>
  <c r="D79" i="43" s="1"/>
  <c r="AJ83" i="14"/>
  <c r="AI83" i="14"/>
  <c r="EJ83" i="14" s="1"/>
  <c r="AH83" i="14"/>
  <c r="GH82" i="14"/>
  <c r="GG82" i="14"/>
  <c r="GF82" i="14"/>
  <c r="GE82" i="14"/>
  <c r="GD82" i="14"/>
  <c r="GC82" i="14"/>
  <c r="GB82" i="14"/>
  <c r="GA82" i="14"/>
  <c r="FZ82" i="14"/>
  <c r="FY82" i="14"/>
  <c r="FX82" i="14"/>
  <c r="FW82" i="14"/>
  <c r="FV82" i="14"/>
  <c r="FU82" i="14"/>
  <c r="FT82" i="14"/>
  <c r="FS82" i="14"/>
  <c r="FR82" i="14"/>
  <c r="FQ82" i="14"/>
  <c r="FP82" i="14"/>
  <c r="FO82" i="14"/>
  <c r="FN82" i="14"/>
  <c r="FM82" i="14"/>
  <c r="FL82" i="14"/>
  <c r="FK82" i="14"/>
  <c r="FJ82" i="14"/>
  <c r="FI82" i="14"/>
  <c r="FH82" i="14"/>
  <c r="FG82" i="14"/>
  <c r="FF82" i="14"/>
  <c r="FE82" i="14"/>
  <c r="AN82" i="14"/>
  <c r="AM82" i="14"/>
  <c r="AL82" i="14"/>
  <c r="AK82" i="14"/>
  <c r="D78" i="43" s="1"/>
  <c r="AJ82" i="14"/>
  <c r="AI82" i="14"/>
  <c r="AH82" i="14"/>
  <c r="GH81" i="14"/>
  <c r="GG81" i="14"/>
  <c r="GF81" i="14"/>
  <c r="GE81" i="14"/>
  <c r="GD81" i="14"/>
  <c r="GC81" i="14"/>
  <c r="GB81" i="14"/>
  <c r="GA81" i="14"/>
  <c r="FZ81" i="14"/>
  <c r="FY81" i="14"/>
  <c r="FX81" i="14"/>
  <c r="FW81" i="14"/>
  <c r="FV81" i="14"/>
  <c r="FU81" i="14"/>
  <c r="FT81" i="14"/>
  <c r="FS81" i="14"/>
  <c r="FR81" i="14"/>
  <c r="FQ81" i="14"/>
  <c r="FP81" i="14"/>
  <c r="FO81" i="14"/>
  <c r="FN81" i="14"/>
  <c r="FM81" i="14"/>
  <c r="FL81" i="14"/>
  <c r="FK81" i="14"/>
  <c r="FJ81" i="14"/>
  <c r="FI81" i="14"/>
  <c r="FH81" i="14"/>
  <c r="FG81" i="14"/>
  <c r="FF81" i="14"/>
  <c r="FE81" i="14"/>
  <c r="AN81" i="14"/>
  <c r="AM81" i="14"/>
  <c r="AL81" i="14"/>
  <c r="AK81" i="14"/>
  <c r="D77" i="43" s="1"/>
  <c r="AJ81" i="14"/>
  <c r="AI81" i="14"/>
  <c r="EG81" i="14" s="1"/>
  <c r="AH81" i="14"/>
  <c r="GH80" i="14"/>
  <c r="GG80" i="14"/>
  <c r="GF80" i="14"/>
  <c r="GE80" i="14"/>
  <c r="GD80" i="14"/>
  <c r="GC80" i="14"/>
  <c r="GB80" i="14"/>
  <c r="GA80" i="14"/>
  <c r="FZ80" i="14"/>
  <c r="FY80" i="14"/>
  <c r="FX80" i="14"/>
  <c r="FW80" i="14"/>
  <c r="FV80" i="14"/>
  <c r="FU80" i="14"/>
  <c r="FT80" i="14"/>
  <c r="FS80" i="14"/>
  <c r="FR80" i="14"/>
  <c r="FQ80" i="14"/>
  <c r="FP80" i="14"/>
  <c r="FO80" i="14"/>
  <c r="FN80" i="14"/>
  <c r="FM80" i="14"/>
  <c r="FL80" i="14"/>
  <c r="FK80" i="14"/>
  <c r="FJ80" i="14"/>
  <c r="FI80" i="14"/>
  <c r="FH80" i="14"/>
  <c r="FG80" i="14"/>
  <c r="FF80" i="14"/>
  <c r="FE80" i="14"/>
  <c r="AN80" i="14"/>
  <c r="AM80" i="14"/>
  <c r="AL80" i="14"/>
  <c r="AK80" i="14"/>
  <c r="D76" i="43" s="1"/>
  <c r="AJ80" i="14"/>
  <c r="AI80" i="14"/>
  <c r="EV80" i="14" s="1"/>
  <c r="AH80" i="14"/>
  <c r="GH79" i="14"/>
  <c r="GG79" i="14"/>
  <c r="GF79" i="14"/>
  <c r="GE79" i="14"/>
  <c r="GD79" i="14"/>
  <c r="GC79" i="14"/>
  <c r="GB79" i="14"/>
  <c r="GA79" i="14"/>
  <c r="FZ79" i="14"/>
  <c r="FY79" i="14"/>
  <c r="FX79" i="14"/>
  <c r="FW79" i="14"/>
  <c r="FV79" i="14"/>
  <c r="FU79" i="14"/>
  <c r="FT79" i="14"/>
  <c r="FS79" i="14"/>
  <c r="FR79" i="14"/>
  <c r="FQ79" i="14"/>
  <c r="FP79" i="14"/>
  <c r="FO79" i="14"/>
  <c r="FN79" i="14"/>
  <c r="FM79" i="14"/>
  <c r="FL79" i="14"/>
  <c r="FK79" i="14"/>
  <c r="FJ79" i="14"/>
  <c r="FI79" i="14"/>
  <c r="FH79" i="14"/>
  <c r="FG79" i="14"/>
  <c r="FF79" i="14"/>
  <c r="FE79" i="14"/>
  <c r="AN79" i="14"/>
  <c r="AM79" i="14"/>
  <c r="AL79" i="14"/>
  <c r="AK79" i="14"/>
  <c r="D75" i="43" s="1"/>
  <c r="AJ79" i="14"/>
  <c r="AI79" i="14"/>
  <c r="EB79" i="14" s="1"/>
  <c r="AH79" i="14"/>
  <c r="GH78" i="14"/>
  <c r="GG78" i="14"/>
  <c r="GF78" i="14"/>
  <c r="GE78" i="14"/>
  <c r="GD78" i="14"/>
  <c r="GC78" i="14"/>
  <c r="GB78" i="14"/>
  <c r="GA78" i="14"/>
  <c r="FZ78" i="14"/>
  <c r="FY78" i="14"/>
  <c r="FX78" i="14"/>
  <c r="FW78" i="14"/>
  <c r="FV78" i="14"/>
  <c r="FU78" i="14"/>
  <c r="FT78" i="14"/>
  <c r="FS78" i="14"/>
  <c r="FR78" i="14"/>
  <c r="FQ78" i="14"/>
  <c r="FP78" i="14"/>
  <c r="FO78" i="14"/>
  <c r="FN78" i="14"/>
  <c r="FM78" i="14"/>
  <c r="FL78" i="14"/>
  <c r="FK78" i="14"/>
  <c r="FJ78" i="14"/>
  <c r="FI78" i="14"/>
  <c r="FH78" i="14"/>
  <c r="FG78" i="14"/>
  <c r="FF78" i="14"/>
  <c r="FE78" i="14"/>
  <c r="AN78" i="14"/>
  <c r="AM78" i="14"/>
  <c r="AL78" i="14"/>
  <c r="AK78" i="14"/>
  <c r="D74" i="43" s="1"/>
  <c r="AJ78" i="14"/>
  <c r="AI78" i="14"/>
  <c r="ED78" i="14" s="1"/>
  <c r="AH78" i="14"/>
  <c r="AN77" i="14"/>
  <c r="AM77" i="14"/>
  <c r="AL77" i="14"/>
  <c r="AK77" i="14"/>
  <c r="D73" i="43" s="1"/>
  <c r="AJ77" i="14"/>
  <c r="AI77" i="14"/>
  <c r="AH77" i="14"/>
  <c r="AN76" i="14"/>
  <c r="AM76" i="14"/>
  <c r="AL76" i="14"/>
  <c r="AK76" i="14"/>
  <c r="D72" i="43" s="1"/>
  <c r="AJ76" i="14"/>
  <c r="AI76" i="14"/>
  <c r="EH76" i="14" s="1"/>
  <c r="AH76" i="14"/>
  <c r="AN75" i="14"/>
  <c r="JQ75" i="14" s="1"/>
  <c r="AM75" i="14"/>
  <c r="AL75" i="14"/>
  <c r="AK75" i="14"/>
  <c r="D71" i="43" s="1"/>
  <c r="AJ75" i="14"/>
  <c r="AI75" i="14"/>
  <c r="EC75" i="14" s="1"/>
  <c r="AH75" i="14"/>
  <c r="AN74" i="14"/>
  <c r="AM74" i="14"/>
  <c r="AL74" i="14"/>
  <c r="AK74" i="14"/>
  <c r="D70" i="43" s="1"/>
  <c r="AJ74" i="14"/>
  <c r="AI74" i="14"/>
  <c r="EU74" i="14" s="1"/>
  <c r="AH74" i="14"/>
  <c r="AN73" i="14"/>
  <c r="AM73" i="14"/>
  <c r="AL73" i="14"/>
  <c r="AK73" i="14"/>
  <c r="D69" i="43" s="1"/>
  <c r="AJ73" i="14"/>
  <c r="AI73" i="14"/>
  <c r="EJ73" i="14" s="1"/>
  <c r="AH73" i="14"/>
  <c r="AN72" i="14"/>
  <c r="AM72" i="14"/>
  <c r="AL72" i="14"/>
  <c r="AK72" i="14"/>
  <c r="D68" i="43" s="1"/>
  <c r="AJ72" i="14"/>
  <c r="AI72" i="14"/>
  <c r="AH72" i="14"/>
  <c r="AN71" i="14"/>
  <c r="JH71" i="14" s="1"/>
  <c r="AM71" i="14"/>
  <c r="AL71" i="14"/>
  <c r="AK71" i="14"/>
  <c r="D67" i="43" s="1"/>
  <c r="AJ71" i="14"/>
  <c r="AI71" i="14"/>
  <c r="AH71" i="14"/>
  <c r="AN70" i="14"/>
  <c r="JG70" i="14" s="1"/>
  <c r="AM70" i="14"/>
  <c r="AL70" i="14"/>
  <c r="AK70" i="14"/>
  <c r="D66" i="43" s="1"/>
  <c r="AJ70" i="14"/>
  <c r="AI70" i="14"/>
  <c r="FD70" i="14" s="1"/>
  <c r="AH70" i="14"/>
  <c r="AN69" i="14"/>
  <c r="IQ69" i="14" s="1"/>
  <c r="AM69" i="14"/>
  <c r="AL69" i="14"/>
  <c r="AK69" i="14"/>
  <c r="D65" i="43" s="1"/>
  <c r="AJ69" i="14"/>
  <c r="AI69" i="14"/>
  <c r="EV69" i="14" s="1"/>
  <c r="AH69" i="14"/>
  <c r="AN68" i="14"/>
  <c r="AM68" i="14"/>
  <c r="AL68" i="14"/>
  <c r="AK68" i="14"/>
  <c r="D64" i="43" s="1"/>
  <c r="AJ68" i="14"/>
  <c r="AI68" i="14"/>
  <c r="AH68" i="14"/>
  <c r="AN67" i="14"/>
  <c r="AM67" i="14"/>
  <c r="AL67" i="14"/>
  <c r="AK67" i="14"/>
  <c r="D63" i="43" s="1"/>
  <c r="AJ67" i="14"/>
  <c r="AI67" i="14"/>
  <c r="ED67" i="14" s="1"/>
  <c r="AH67" i="14"/>
  <c r="AN66" i="14"/>
  <c r="JS66" i="14" s="1"/>
  <c r="AM66" i="14"/>
  <c r="AL66" i="14"/>
  <c r="AK66" i="14"/>
  <c r="D62" i="43" s="1"/>
  <c r="AJ66" i="14"/>
  <c r="AI66" i="14"/>
  <c r="AH66" i="14"/>
  <c r="AN65" i="14"/>
  <c r="AM65" i="14"/>
  <c r="AL65" i="14"/>
  <c r="AK65" i="14"/>
  <c r="D61" i="43" s="1"/>
  <c r="AJ65" i="14"/>
  <c r="AI65" i="14"/>
  <c r="EL65" i="14" s="1"/>
  <c r="AH65" i="14"/>
  <c r="AN64" i="14"/>
  <c r="AM64" i="14"/>
  <c r="AL64" i="14"/>
  <c r="AK64" i="14"/>
  <c r="D60" i="43" s="1"/>
  <c r="AJ64" i="14"/>
  <c r="AI64" i="14"/>
  <c r="EE64" i="14" s="1"/>
  <c r="AH64" i="14"/>
  <c r="AN63" i="14"/>
  <c r="JG63" i="14" s="1"/>
  <c r="AM63" i="14"/>
  <c r="AL63" i="14"/>
  <c r="AK63" i="14"/>
  <c r="D59" i="43" s="1"/>
  <c r="AJ63" i="14"/>
  <c r="AI63" i="14"/>
  <c r="ED63" i="14" s="1"/>
  <c r="AH63" i="14"/>
  <c r="AN62" i="14"/>
  <c r="AM62" i="14"/>
  <c r="AL62" i="14"/>
  <c r="AK62" i="14"/>
  <c r="D58" i="43" s="1"/>
  <c r="AJ62" i="14"/>
  <c r="AI62" i="14"/>
  <c r="EE62" i="14" s="1"/>
  <c r="AH62" i="14"/>
  <c r="AN61" i="14"/>
  <c r="AM61" i="14"/>
  <c r="AL61" i="14"/>
  <c r="AK61" i="14"/>
  <c r="D57" i="43" s="1"/>
  <c r="AJ61" i="14"/>
  <c r="AI61" i="14"/>
  <c r="EF61" i="14" s="1"/>
  <c r="AH61" i="14"/>
  <c r="AN60" i="14"/>
  <c r="JI60" i="14" s="1"/>
  <c r="AM60" i="14"/>
  <c r="AL60" i="14"/>
  <c r="AK60" i="14"/>
  <c r="D56" i="43" s="1"/>
  <c r="AJ60" i="14"/>
  <c r="AI60" i="14"/>
  <c r="AH60" i="14"/>
  <c r="AN59" i="14"/>
  <c r="AM59" i="14"/>
  <c r="AL59" i="14"/>
  <c r="AK59" i="14"/>
  <c r="D55" i="43" s="1"/>
  <c r="AJ59" i="14"/>
  <c r="AI59" i="14"/>
  <c r="ES59" i="14" s="1"/>
  <c r="AH59" i="14"/>
  <c r="AN58" i="14"/>
  <c r="AM58" i="14"/>
  <c r="AL58" i="14"/>
  <c r="AK58" i="14"/>
  <c r="D54" i="43" s="1"/>
  <c r="AJ58" i="14"/>
  <c r="AI58" i="14"/>
  <c r="EI58" i="14" s="1"/>
  <c r="AH58" i="14"/>
  <c r="AN57" i="14"/>
  <c r="JG57" i="14" s="1"/>
  <c r="AM57" i="14"/>
  <c r="AL57" i="14"/>
  <c r="AK57" i="14"/>
  <c r="D53" i="43" s="1"/>
  <c r="AJ57" i="14"/>
  <c r="AI57" i="14"/>
  <c r="EC57" i="14" s="1"/>
  <c r="AH57" i="14"/>
  <c r="AN56" i="14"/>
  <c r="JD56" i="14" s="1"/>
  <c r="AM56" i="14"/>
  <c r="AL56" i="14"/>
  <c r="AK56" i="14"/>
  <c r="D52" i="43" s="1"/>
  <c r="AJ56" i="14"/>
  <c r="AI56" i="14"/>
  <c r="AH56" i="14"/>
  <c r="AN55" i="14"/>
  <c r="JB55" i="14" s="1"/>
  <c r="AM55" i="14"/>
  <c r="AL55" i="14"/>
  <c r="AK55" i="14"/>
  <c r="D51" i="43" s="1"/>
  <c r="AJ55" i="14"/>
  <c r="AI55" i="14"/>
  <c r="EY55" i="14" s="1"/>
  <c r="AH55" i="14"/>
  <c r="AN54" i="14"/>
  <c r="AM54" i="14"/>
  <c r="AL54" i="14"/>
  <c r="AK54" i="14"/>
  <c r="D50" i="43" s="1"/>
  <c r="AJ54" i="14"/>
  <c r="AI54" i="14"/>
  <c r="AH54" i="14"/>
  <c r="AN53" i="14"/>
  <c r="AM53" i="14"/>
  <c r="AL53" i="14"/>
  <c r="AK53" i="14"/>
  <c r="D49" i="43" s="1"/>
  <c r="AJ53" i="14"/>
  <c r="AI53" i="14"/>
  <c r="AH53" i="14"/>
  <c r="AN52" i="14"/>
  <c r="JA52" i="14" s="1"/>
  <c r="AM52" i="14"/>
  <c r="AL52" i="14"/>
  <c r="AK52" i="14"/>
  <c r="D48" i="43" s="1"/>
  <c r="AJ52" i="14"/>
  <c r="AI52" i="14"/>
  <c r="EK52" i="14" s="1"/>
  <c r="AH52" i="14"/>
  <c r="AN51" i="14"/>
  <c r="IR51" i="14" s="1"/>
  <c r="AM51" i="14"/>
  <c r="AL51" i="14"/>
  <c r="AK51" i="14"/>
  <c r="D47" i="43" s="1"/>
  <c r="AJ51" i="14"/>
  <c r="AI51" i="14"/>
  <c r="AH51" i="14"/>
  <c r="AN50" i="14"/>
  <c r="AM50" i="14"/>
  <c r="AL50" i="14"/>
  <c r="AK50" i="14"/>
  <c r="D46" i="43" s="1"/>
  <c r="AJ50" i="14"/>
  <c r="AI50" i="14"/>
  <c r="AH50" i="14"/>
  <c r="AN49" i="14"/>
  <c r="AM49" i="14"/>
  <c r="AL49" i="14"/>
  <c r="AK49" i="14"/>
  <c r="D45" i="43" s="1"/>
  <c r="AJ49" i="14"/>
  <c r="AI49" i="14"/>
  <c r="EE49" i="14" s="1"/>
  <c r="AH49" i="14"/>
  <c r="AN48" i="14"/>
  <c r="AM48" i="14"/>
  <c r="AL48" i="14"/>
  <c r="AK48" i="14"/>
  <c r="D44" i="43" s="1"/>
  <c r="AJ48" i="14"/>
  <c r="AI48" i="14"/>
  <c r="AH48" i="14"/>
  <c r="AN47" i="14"/>
  <c r="AM47" i="14"/>
  <c r="AL47" i="14"/>
  <c r="AK47" i="14"/>
  <c r="D43" i="43" s="1"/>
  <c r="AJ47" i="14"/>
  <c r="AI47" i="14"/>
  <c r="AH47" i="14"/>
  <c r="AN46" i="14"/>
  <c r="AM46" i="14"/>
  <c r="AL46" i="14"/>
  <c r="AK46" i="14"/>
  <c r="D42" i="43" s="1"/>
  <c r="AJ46" i="14"/>
  <c r="AI46" i="14"/>
  <c r="AH46" i="14"/>
  <c r="AN45" i="14"/>
  <c r="AM45" i="14"/>
  <c r="AL45" i="14"/>
  <c r="AK45" i="14"/>
  <c r="D41" i="43" s="1"/>
  <c r="AJ45" i="14"/>
  <c r="AI45" i="14"/>
  <c r="EY45" i="14" s="1"/>
  <c r="AH45" i="14"/>
  <c r="AN44" i="14"/>
  <c r="AM44" i="14"/>
  <c r="AL44" i="14"/>
  <c r="AK44" i="14"/>
  <c r="D40" i="43" s="1"/>
  <c r="AJ44" i="14"/>
  <c r="AI44" i="14"/>
  <c r="AH44" i="14"/>
  <c r="AN43" i="14"/>
  <c r="JN43" i="14" s="1"/>
  <c r="AM43" i="14"/>
  <c r="AL43" i="14"/>
  <c r="AK43" i="14"/>
  <c r="D39" i="43" s="1"/>
  <c r="AJ43" i="14"/>
  <c r="AI43" i="14"/>
  <c r="AH43" i="14"/>
  <c r="AN42" i="14"/>
  <c r="AM42" i="14"/>
  <c r="AL42" i="14"/>
  <c r="AK42" i="14"/>
  <c r="D38" i="43" s="1"/>
  <c r="AJ42" i="14"/>
  <c r="AI42" i="14"/>
  <c r="AH42" i="14"/>
  <c r="AN41" i="14"/>
  <c r="JS41" i="14" s="1"/>
  <c r="AM41" i="14"/>
  <c r="AL41" i="14"/>
  <c r="AK41" i="14"/>
  <c r="D37" i="43" s="1"/>
  <c r="AJ41" i="14"/>
  <c r="AI41" i="14"/>
  <c r="AH41" i="14"/>
  <c r="AN40" i="14"/>
  <c r="JT40" i="14" s="1"/>
  <c r="AM40" i="14"/>
  <c r="AL40" i="14"/>
  <c r="AK40" i="14"/>
  <c r="D36" i="43" s="1"/>
  <c r="AJ40" i="14"/>
  <c r="AI40" i="14"/>
  <c r="AH40" i="14"/>
  <c r="AN39" i="14"/>
  <c r="IS39" i="14" s="1"/>
  <c r="AM39" i="14"/>
  <c r="AL39" i="14"/>
  <c r="AK39" i="14"/>
  <c r="D35" i="43" s="1"/>
  <c r="AJ39" i="14"/>
  <c r="AI39" i="14"/>
  <c r="EA39" i="14" s="1"/>
  <c r="AH39" i="14"/>
  <c r="AN38" i="14"/>
  <c r="AM38" i="14"/>
  <c r="AL38" i="14"/>
  <c r="AK38" i="14"/>
  <c r="D34" i="43" s="1"/>
  <c r="AJ38" i="14"/>
  <c r="AI38" i="14"/>
  <c r="EZ38" i="14" s="1"/>
  <c r="AH38" i="14"/>
  <c r="AN37" i="14"/>
  <c r="AM37" i="14"/>
  <c r="AL37" i="14"/>
  <c r="AK37" i="14"/>
  <c r="D33" i="43" s="1"/>
  <c r="AJ37" i="14"/>
  <c r="AI37" i="14"/>
  <c r="EI37" i="14" s="1"/>
  <c r="AH37" i="14"/>
  <c r="AN36" i="14"/>
  <c r="IT36" i="14" s="1"/>
  <c r="AM36" i="14"/>
  <c r="AL36" i="14"/>
  <c r="AK36" i="14"/>
  <c r="D32" i="43" s="1"/>
  <c r="AJ36" i="14"/>
  <c r="AI36" i="14"/>
  <c r="FC36" i="14" s="1"/>
  <c r="AH36" i="14"/>
  <c r="AN35" i="14"/>
  <c r="JG35" i="14" s="1"/>
  <c r="AM35" i="14"/>
  <c r="AL35" i="14"/>
  <c r="AK35" i="14"/>
  <c r="D31" i="43" s="1"/>
  <c r="AJ35" i="14"/>
  <c r="AI35" i="14"/>
  <c r="AH35" i="14"/>
  <c r="AN34" i="14"/>
  <c r="JB34" i="14" s="1"/>
  <c r="AM34" i="14"/>
  <c r="AL34" i="14"/>
  <c r="AK34" i="14"/>
  <c r="D30" i="43" s="1"/>
  <c r="AJ34" i="14"/>
  <c r="AI34" i="14"/>
  <c r="EV34" i="14" s="1"/>
  <c r="AH34" i="14"/>
  <c r="AN33" i="14"/>
  <c r="JA33" i="14" s="1"/>
  <c r="AM33" i="14"/>
  <c r="AL33" i="14"/>
  <c r="AK33" i="14"/>
  <c r="D29" i="43" s="1"/>
  <c r="AJ33" i="14"/>
  <c r="AI33" i="14"/>
  <c r="AH33" i="14"/>
  <c r="AN32" i="14"/>
  <c r="JS32" i="14" s="1"/>
  <c r="AM32" i="14"/>
  <c r="AL32" i="14"/>
  <c r="AK32" i="14"/>
  <c r="D28" i="43" s="1"/>
  <c r="AJ32" i="14"/>
  <c r="AI32" i="14"/>
  <c r="ED32" i="14" s="1"/>
  <c r="AH32" i="14"/>
  <c r="AN31" i="14"/>
  <c r="IU31" i="14" s="1"/>
  <c r="AM31" i="14"/>
  <c r="AL31" i="14"/>
  <c r="AK31" i="14"/>
  <c r="D27" i="43" s="1"/>
  <c r="AJ31" i="14"/>
  <c r="AI31" i="14"/>
  <c r="EQ31" i="14" s="1"/>
  <c r="AH31" i="14"/>
  <c r="AN30" i="14"/>
  <c r="JP30" i="14" s="1"/>
  <c r="AM30" i="14"/>
  <c r="AL30" i="14"/>
  <c r="AK30" i="14"/>
  <c r="D26" i="43" s="1"/>
  <c r="AJ30" i="14"/>
  <c r="AI30" i="14"/>
  <c r="AH30" i="14"/>
  <c r="AN29" i="14"/>
  <c r="JR29" i="14" s="1"/>
  <c r="AM29" i="14"/>
  <c r="AL29" i="14"/>
  <c r="AK29" i="14"/>
  <c r="D25" i="43" s="1"/>
  <c r="AJ29" i="14"/>
  <c r="AI29" i="14"/>
  <c r="AH29" i="14"/>
  <c r="AN28" i="14"/>
  <c r="IZ28" i="14" s="1"/>
  <c r="AM28" i="14"/>
  <c r="AL28" i="14"/>
  <c r="AK28" i="14"/>
  <c r="D24" i="43" s="1"/>
  <c r="AJ28" i="14"/>
  <c r="AI28" i="14"/>
  <c r="AH28" i="14"/>
  <c r="AN27" i="14"/>
  <c r="IW27" i="14" s="1"/>
  <c r="AM27" i="14"/>
  <c r="AL27" i="14"/>
  <c r="AK27" i="14"/>
  <c r="D23" i="43" s="1"/>
  <c r="AJ27" i="14"/>
  <c r="AI27" i="14"/>
  <c r="EG27" i="14" s="1"/>
  <c r="AH27" i="14"/>
  <c r="AN26" i="14"/>
  <c r="JJ26" i="14" s="1"/>
  <c r="AM26" i="14"/>
  <c r="AL26" i="14"/>
  <c r="AK26" i="14"/>
  <c r="D22" i="43" s="1"/>
  <c r="AJ26" i="14"/>
  <c r="AI26" i="14"/>
  <c r="EJ26" i="14" s="1"/>
  <c r="AH26" i="14"/>
  <c r="AN25" i="14"/>
  <c r="AM25" i="14"/>
  <c r="AL25" i="14"/>
  <c r="AK25" i="14"/>
  <c r="D21" i="43" s="1"/>
  <c r="AJ25" i="14"/>
  <c r="AI25" i="14"/>
  <c r="EF25" i="14" s="1"/>
  <c r="AH25" i="14"/>
  <c r="AN24" i="14"/>
  <c r="AM24" i="14"/>
  <c r="AL24" i="14"/>
  <c r="AK24" i="14"/>
  <c r="D20" i="43" s="1"/>
  <c r="AJ24" i="14"/>
  <c r="AI24" i="14"/>
  <c r="EG24" i="14" s="1"/>
  <c r="AH24" i="14"/>
  <c r="AN23" i="14"/>
  <c r="AM23" i="14"/>
  <c r="AL23" i="14"/>
  <c r="AK23" i="14"/>
  <c r="D19" i="43" s="1"/>
  <c r="AJ23" i="14"/>
  <c r="AI23" i="14"/>
  <c r="EH23" i="14" s="1"/>
  <c r="AH23" i="14"/>
  <c r="AN22" i="14"/>
  <c r="JF22" i="14" s="1"/>
  <c r="AM22" i="14"/>
  <c r="AL22" i="14"/>
  <c r="AK22" i="14"/>
  <c r="D18" i="43" s="1"/>
  <c r="AJ22" i="14"/>
  <c r="AI22" i="14"/>
  <c r="EJ22" i="14" s="1"/>
  <c r="AH22" i="14"/>
  <c r="AN21" i="14"/>
  <c r="JA21" i="14" s="1"/>
  <c r="AM21" i="14"/>
  <c r="AL21" i="14"/>
  <c r="AK21" i="14"/>
  <c r="D17" i="43" s="1"/>
  <c r="AJ21" i="14"/>
  <c r="AI21" i="14"/>
  <c r="EA21" i="14" s="1"/>
  <c r="AH21" i="14"/>
  <c r="AN20" i="14"/>
  <c r="JT20" i="14" s="1"/>
  <c r="AM20" i="14"/>
  <c r="AL20" i="14"/>
  <c r="AK20" i="14"/>
  <c r="D16" i="43" s="1"/>
  <c r="AJ20" i="14"/>
  <c r="AI20" i="14"/>
  <c r="EF20" i="14" s="1"/>
  <c r="AH20" i="14"/>
  <c r="AN19" i="14"/>
  <c r="JQ19" i="14" s="1"/>
  <c r="AM19" i="14"/>
  <c r="AL19" i="14"/>
  <c r="AK19" i="14"/>
  <c r="D15" i="43" s="1"/>
  <c r="AJ19" i="14"/>
  <c r="AI19" i="14"/>
  <c r="EK19" i="14" s="1"/>
  <c r="AH19" i="14"/>
  <c r="AN18" i="14"/>
  <c r="JN18" i="14" s="1"/>
  <c r="AM18" i="14"/>
  <c r="AL18" i="14"/>
  <c r="AK18" i="14"/>
  <c r="D14" i="43" s="1"/>
  <c r="AJ18" i="14"/>
  <c r="AI18" i="14"/>
  <c r="AH18" i="14"/>
  <c r="AN17" i="14"/>
  <c r="JT17" i="14" s="1"/>
  <c r="AM17" i="14"/>
  <c r="AL17" i="14"/>
  <c r="AK17" i="14"/>
  <c r="D13" i="43" s="1"/>
  <c r="AJ17" i="14"/>
  <c r="AI17" i="14"/>
  <c r="EO17" i="14" s="1"/>
  <c r="AH17" i="14"/>
  <c r="AN16" i="14"/>
  <c r="JI16" i="14" s="1"/>
  <c r="AM16" i="14"/>
  <c r="AL16" i="14"/>
  <c r="AK16" i="14"/>
  <c r="D12" i="43" s="1"/>
  <c r="AJ16" i="14"/>
  <c r="AI16" i="14"/>
  <c r="AH16" i="14"/>
  <c r="AN15" i="14"/>
  <c r="AM15" i="14"/>
  <c r="AL15" i="14"/>
  <c r="AK15" i="14"/>
  <c r="D11" i="43" s="1"/>
  <c r="AJ15" i="14"/>
  <c r="AI15" i="14"/>
  <c r="AH15" i="14"/>
  <c r="AN14" i="14"/>
  <c r="JT14" i="14" s="1"/>
  <c r="AM14" i="14"/>
  <c r="AL14" i="14"/>
  <c r="AK14" i="14"/>
  <c r="D10" i="43" s="1"/>
  <c r="AJ14" i="14"/>
  <c r="AI14" i="14"/>
  <c r="AH14" i="14"/>
  <c r="AN13" i="14"/>
  <c r="JK13" i="14" s="1"/>
  <c r="AM13" i="14"/>
  <c r="AL13" i="14"/>
  <c r="AK13" i="14"/>
  <c r="D9" i="43" s="1"/>
  <c r="AJ13" i="14"/>
  <c r="AI13" i="14"/>
  <c r="ES13" i="14" s="1"/>
  <c r="AH13" i="14"/>
  <c r="AN12" i="14"/>
  <c r="AM12" i="14"/>
  <c r="AL12" i="14"/>
  <c r="AK12" i="14"/>
  <c r="D8" i="43" s="1"/>
  <c r="AJ12" i="14"/>
  <c r="AI12" i="14"/>
  <c r="ES12" i="14" s="1"/>
  <c r="AH12" i="14"/>
  <c r="AN11" i="14"/>
  <c r="AM11" i="14"/>
  <c r="AL11" i="14"/>
  <c r="AK11" i="14"/>
  <c r="D7" i="43" s="1"/>
  <c r="AJ11" i="14"/>
  <c r="AI11" i="14"/>
  <c r="EC11" i="14" s="1"/>
  <c r="AH11" i="14"/>
  <c r="AN10" i="14"/>
  <c r="AM10" i="14"/>
  <c r="AL10" i="14"/>
  <c r="AK10" i="14"/>
  <c r="D6" i="43" s="1"/>
  <c r="AJ10" i="14"/>
  <c r="AI10" i="14"/>
  <c r="EA10" i="14" s="1"/>
  <c r="AH10" i="14"/>
  <c r="AN9" i="14"/>
  <c r="AM9" i="14"/>
  <c r="AL9" i="14"/>
  <c r="AK9" i="14"/>
  <c r="D5" i="43" s="1"/>
  <c r="AJ9" i="14"/>
  <c r="AI9" i="14"/>
  <c r="EA9" i="14" s="1"/>
  <c r="AH9" i="14"/>
  <c r="AN8" i="14"/>
  <c r="AM8" i="14"/>
  <c r="AL8" i="14"/>
  <c r="AK8" i="14"/>
  <c r="D4" i="43" s="1"/>
  <c r="AJ8" i="14"/>
  <c r="AI8" i="14"/>
  <c r="EE8" i="14" s="1"/>
  <c r="AH8" i="14"/>
  <c r="AN7" i="14"/>
  <c r="JP7" i="14" s="1"/>
  <c r="AM7" i="14"/>
  <c r="AL7" i="14"/>
  <c r="AK7" i="14"/>
  <c r="D3" i="43" s="1"/>
  <c r="AJ7" i="14"/>
  <c r="AI7" i="14"/>
  <c r="EB7" i="14" s="1"/>
  <c r="AH7" i="14"/>
  <c r="AN6" i="14"/>
  <c r="JF6" i="14" s="1"/>
  <c r="AM6" i="14"/>
  <c r="AL6" i="14"/>
  <c r="AK6" i="14"/>
  <c r="D2" i="43" s="1"/>
  <c r="AJ6" i="14"/>
  <c r="AI6" i="14"/>
  <c r="EY6" i="14" s="1"/>
  <c r="AH6" i="14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D121" i="12"/>
  <c r="C121" i="12"/>
  <c r="F121" i="12" s="1"/>
  <c r="B121" i="12"/>
  <c r="D120" i="12"/>
  <c r="C120" i="12"/>
  <c r="F120" i="12" s="1"/>
  <c r="B120" i="12"/>
  <c r="D119" i="12"/>
  <c r="C119" i="12"/>
  <c r="F119" i="12" s="1"/>
  <c r="B119" i="12"/>
  <c r="D118" i="12"/>
  <c r="C118" i="12"/>
  <c r="F118" i="12" s="1"/>
  <c r="B118" i="12"/>
  <c r="D117" i="12"/>
  <c r="C117" i="12"/>
  <c r="F117" i="12" s="1"/>
  <c r="B117" i="12"/>
  <c r="D116" i="12"/>
  <c r="C116" i="12"/>
  <c r="F116" i="12" s="1"/>
  <c r="B116" i="12"/>
  <c r="D115" i="12"/>
  <c r="C115" i="12"/>
  <c r="F115" i="12" s="1"/>
  <c r="B115" i="12"/>
  <c r="D114" i="12"/>
  <c r="C114" i="12"/>
  <c r="F114" i="12" s="1"/>
  <c r="B114" i="12"/>
  <c r="D113" i="12"/>
  <c r="C113" i="12"/>
  <c r="F113" i="12" s="1"/>
  <c r="B113" i="12"/>
  <c r="D112" i="12"/>
  <c r="C112" i="12"/>
  <c r="F112" i="12" s="1"/>
  <c r="B112" i="12"/>
  <c r="D111" i="12"/>
  <c r="C111" i="12"/>
  <c r="F111" i="12" s="1"/>
  <c r="B111" i="12"/>
  <c r="D110" i="12"/>
  <c r="C110" i="12"/>
  <c r="F110" i="12" s="1"/>
  <c r="B110" i="12"/>
  <c r="D109" i="12"/>
  <c r="C109" i="12"/>
  <c r="F109" i="12" s="1"/>
  <c r="B109" i="12"/>
  <c r="D108" i="12"/>
  <c r="C108" i="12"/>
  <c r="F108" i="12" s="1"/>
  <c r="B108" i="12"/>
  <c r="D107" i="12"/>
  <c r="C107" i="12"/>
  <c r="F107" i="12" s="1"/>
  <c r="B107" i="12"/>
  <c r="D106" i="12"/>
  <c r="C106" i="12"/>
  <c r="F106" i="12" s="1"/>
  <c r="B106" i="12"/>
  <c r="D105" i="12"/>
  <c r="C105" i="12"/>
  <c r="F105" i="12" s="1"/>
  <c r="B105" i="12"/>
  <c r="D104" i="12"/>
  <c r="C104" i="12"/>
  <c r="F104" i="12" s="1"/>
  <c r="B104" i="12"/>
  <c r="D103" i="12"/>
  <c r="C103" i="12"/>
  <c r="F103" i="12" s="1"/>
  <c r="B103" i="12"/>
  <c r="D102" i="12"/>
  <c r="C102" i="12"/>
  <c r="F102" i="12" s="1"/>
  <c r="B102" i="12"/>
  <c r="D101" i="12"/>
  <c r="C101" i="12"/>
  <c r="F101" i="12" s="1"/>
  <c r="B101" i="12"/>
  <c r="D100" i="12"/>
  <c r="C100" i="12"/>
  <c r="F100" i="12" s="1"/>
  <c r="B100" i="12"/>
  <c r="D99" i="12"/>
  <c r="C99" i="12"/>
  <c r="F99" i="12" s="1"/>
  <c r="B99" i="12"/>
  <c r="D98" i="12"/>
  <c r="C98" i="12"/>
  <c r="F98" i="12" s="1"/>
  <c r="B98" i="12"/>
  <c r="D97" i="12"/>
  <c r="C97" i="12"/>
  <c r="F97" i="12" s="1"/>
  <c r="B97" i="12"/>
  <c r="D96" i="12"/>
  <c r="C96" i="12"/>
  <c r="F96" i="12" s="1"/>
  <c r="B96" i="12"/>
  <c r="D95" i="12"/>
  <c r="C95" i="12"/>
  <c r="F95" i="12" s="1"/>
  <c r="B95" i="12"/>
  <c r="D94" i="12"/>
  <c r="C94" i="12"/>
  <c r="F94" i="12" s="1"/>
  <c r="B94" i="12"/>
  <c r="D93" i="12"/>
  <c r="C93" i="12"/>
  <c r="F93" i="12" s="1"/>
  <c r="B93" i="12"/>
  <c r="D92" i="12"/>
  <c r="C92" i="12"/>
  <c r="F92" i="12" s="1"/>
  <c r="B92" i="12"/>
  <c r="D91" i="12"/>
  <c r="C91" i="12"/>
  <c r="F91" i="12" s="1"/>
  <c r="B91" i="12"/>
  <c r="D90" i="12"/>
  <c r="C90" i="12"/>
  <c r="F90" i="12" s="1"/>
  <c r="B90" i="12"/>
  <c r="D89" i="12"/>
  <c r="C89" i="12"/>
  <c r="F89" i="12" s="1"/>
  <c r="B89" i="12"/>
  <c r="D88" i="12"/>
  <c r="C88" i="12"/>
  <c r="F88" i="12" s="1"/>
  <c r="B88" i="12"/>
  <c r="D87" i="12"/>
  <c r="C87" i="12"/>
  <c r="F87" i="12" s="1"/>
  <c r="B87" i="12"/>
  <c r="D86" i="12"/>
  <c r="C86" i="12"/>
  <c r="F86" i="12" s="1"/>
  <c r="B86" i="12"/>
  <c r="D85" i="12"/>
  <c r="C85" i="12"/>
  <c r="F85" i="12" s="1"/>
  <c r="B85" i="12"/>
  <c r="D84" i="12"/>
  <c r="C84" i="12"/>
  <c r="F84" i="12" s="1"/>
  <c r="B84" i="12"/>
  <c r="D83" i="12"/>
  <c r="C83" i="12"/>
  <c r="F83" i="12" s="1"/>
  <c r="B83" i="12"/>
  <c r="D82" i="12"/>
  <c r="C82" i="12"/>
  <c r="F82" i="12" s="1"/>
  <c r="B82" i="12"/>
  <c r="D81" i="12"/>
  <c r="C81" i="12"/>
  <c r="F81" i="12" s="1"/>
  <c r="B81" i="12"/>
  <c r="D80" i="12"/>
  <c r="C80" i="12"/>
  <c r="F80" i="12" s="1"/>
  <c r="B80" i="12"/>
  <c r="D79" i="12"/>
  <c r="C79" i="12"/>
  <c r="F79" i="12" s="1"/>
  <c r="B79" i="12"/>
  <c r="D78" i="12"/>
  <c r="C78" i="12"/>
  <c r="F78" i="12" s="1"/>
  <c r="B78" i="12"/>
  <c r="D77" i="12"/>
  <c r="C77" i="12"/>
  <c r="F77" i="12" s="1"/>
  <c r="B77" i="12"/>
  <c r="D76" i="12"/>
  <c r="C76" i="12"/>
  <c r="F76" i="12" s="1"/>
  <c r="B76" i="12"/>
  <c r="D75" i="12"/>
  <c r="C75" i="12"/>
  <c r="F75" i="12" s="1"/>
  <c r="B75" i="12"/>
  <c r="D74" i="12"/>
  <c r="C74" i="12"/>
  <c r="F74" i="12" s="1"/>
  <c r="B74" i="12"/>
  <c r="D73" i="12"/>
  <c r="C73" i="12"/>
  <c r="F73" i="12" s="1"/>
  <c r="B73" i="12"/>
  <c r="D72" i="12"/>
  <c r="C72" i="12"/>
  <c r="F72" i="12" s="1"/>
  <c r="B72" i="12"/>
  <c r="D71" i="12"/>
  <c r="C71" i="12"/>
  <c r="F71" i="12" s="1"/>
  <c r="B71" i="12"/>
  <c r="D70" i="12"/>
  <c r="C70" i="12"/>
  <c r="F70" i="12" s="1"/>
  <c r="B70" i="12"/>
  <c r="D69" i="12"/>
  <c r="C69" i="12"/>
  <c r="F69" i="12" s="1"/>
  <c r="B69" i="12"/>
  <c r="D68" i="12"/>
  <c r="C68" i="12"/>
  <c r="F68" i="12" s="1"/>
  <c r="B68" i="12"/>
  <c r="D67" i="12"/>
  <c r="C67" i="12"/>
  <c r="F67" i="12" s="1"/>
  <c r="B67" i="12"/>
  <c r="D66" i="12"/>
  <c r="C66" i="12"/>
  <c r="F66" i="12" s="1"/>
  <c r="B66" i="12"/>
  <c r="D65" i="12"/>
  <c r="C65" i="12"/>
  <c r="F65" i="12" s="1"/>
  <c r="B65" i="12"/>
  <c r="D64" i="12"/>
  <c r="C64" i="12"/>
  <c r="F64" i="12" s="1"/>
  <c r="B64" i="12"/>
  <c r="D63" i="12"/>
  <c r="C63" i="12"/>
  <c r="F63" i="12" s="1"/>
  <c r="B63" i="12"/>
  <c r="D62" i="12"/>
  <c r="C62" i="12"/>
  <c r="F62" i="12" s="1"/>
  <c r="B62" i="12"/>
  <c r="D61" i="12"/>
  <c r="C61" i="12"/>
  <c r="F61" i="12" s="1"/>
  <c r="B61" i="12"/>
  <c r="D60" i="12"/>
  <c r="C60" i="12"/>
  <c r="F60" i="12" s="1"/>
  <c r="B60" i="12"/>
  <c r="D59" i="12"/>
  <c r="C59" i="12"/>
  <c r="F59" i="12" s="1"/>
  <c r="B59" i="12"/>
  <c r="D58" i="12"/>
  <c r="C58" i="12"/>
  <c r="F58" i="12" s="1"/>
  <c r="B58" i="12"/>
  <c r="D57" i="12"/>
  <c r="C57" i="12"/>
  <c r="F57" i="12" s="1"/>
  <c r="B57" i="12"/>
  <c r="D56" i="12"/>
  <c r="C56" i="12"/>
  <c r="B56" i="12"/>
  <c r="D55" i="12"/>
  <c r="C55" i="12"/>
  <c r="B55" i="12"/>
  <c r="D54" i="12"/>
  <c r="C54" i="12"/>
  <c r="F54" i="12" s="1"/>
  <c r="B54" i="12"/>
  <c r="D53" i="12"/>
  <c r="C53" i="12"/>
  <c r="B53" i="12"/>
  <c r="D52" i="12"/>
  <c r="C52" i="12"/>
  <c r="B52" i="12"/>
  <c r="D51" i="12"/>
  <c r="C51" i="12"/>
  <c r="B51" i="12"/>
  <c r="D50" i="12"/>
  <c r="C50" i="12"/>
  <c r="B50" i="12"/>
  <c r="D49" i="12"/>
  <c r="C49" i="12"/>
  <c r="B49" i="12"/>
  <c r="D48" i="12"/>
  <c r="C48" i="12"/>
  <c r="B48" i="12"/>
  <c r="D47" i="12"/>
  <c r="C47" i="12"/>
  <c r="B47" i="12"/>
  <c r="D46" i="12"/>
  <c r="C46" i="12"/>
  <c r="B46" i="12"/>
  <c r="D45" i="12"/>
  <c r="C45" i="12"/>
  <c r="B45" i="12"/>
  <c r="D44" i="12"/>
  <c r="C44" i="12"/>
  <c r="B44" i="12"/>
  <c r="D43" i="12"/>
  <c r="C43" i="12"/>
  <c r="B43" i="12"/>
  <c r="D42" i="12"/>
  <c r="C42" i="12"/>
  <c r="B42" i="12"/>
  <c r="D41" i="12"/>
  <c r="C41" i="12"/>
  <c r="B41" i="12"/>
  <c r="D40" i="12"/>
  <c r="C40" i="12"/>
  <c r="B40" i="12"/>
  <c r="D39" i="12"/>
  <c r="C39" i="12"/>
  <c r="B39" i="12"/>
  <c r="D38" i="12"/>
  <c r="C38" i="12"/>
  <c r="B38" i="12"/>
  <c r="D37" i="12"/>
  <c r="C37" i="12"/>
  <c r="B37" i="12"/>
  <c r="D36" i="12"/>
  <c r="C36" i="12"/>
  <c r="B36" i="12"/>
  <c r="D35" i="12"/>
  <c r="C35" i="12"/>
  <c r="B35" i="12"/>
  <c r="D34" i="12"/>
  <c r="C34" i="12"/>
  <c r="B34" i="12"/>
  <c r="D33" i="12"/>
  <c r="C33" i="12"/>
  <c r="B33" i="12"/>
  <c r="D32" i="12"/>
  <c r="C32" i="12"/>
  <c r="B32" i="12"/>
  <c r="D31" i="12"/>
  <c r="C31" i="12"/>
  <c r="B31" i="12"/>
  <c r="D30" i="12"/>
  <c r="C30" i="12"/>
  <c r="B30" i="12"/>
  <c r="D29" i="12"/>
  <c r="C29" i="12"/>
  <c r="B29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D23" i="12"/>
  <c r="C23" i="12"/>
  <c r="B23" i="12"/>
  <c r="D22" i="12"/>
  <c r="C22" i="12"/>
  <c r="B22" i="12"/>
  <c r="D21" i="12"/>
  <c r="C21" i="12"/>
  <c r="B21" i="12"/>
  <c r="D20" i="12"/>
  <c r="C20" i="12"/>
  <c r="B20" i="12"/>
  <c r="D19" i="12"/>
  <c r="C19" i="12"/>
  <c r="B19" i="12"/>
  <c r="D18" i="12"/>
  <c r="C18" i="12"/>
  <c r="B18" i="12"/>
  <c r="D17" i="12"/>
  <c r="C17" i="12"/>
  <c r="B17" i="12"/>
  <c r="D16" i="12"/>
  <c r="C16" i="12"/>
  <c r="B16" i="12"/>
  <c r="D15" i="12"/>
  <c r="C15" i="12"/>
  <c r="B15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D8" i="12"/>
  <c r="C8" i="12"/>
  <c r="B8" i="12"/>
  <c r="D7" i="12"/>
  <c r="C7" i="12"/>
  <c r="B7" i="12"/>
  <c r="AF124" i="11"/>
  <c r="AE124" i="11"/>
  <c r="AD124" i="11"/>
  <c r="AC124" i="11"/>
  <c r="AB124" i="11"/>
  <c r="AA124" i="11"/>
  <c r="Z124" i="11"/>
  <c r="Y124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C123" i="11"/>
  <c r="BE123" i="11" s="1"/>
  <c r="B123" i="11"/>
  <c r="C122" i="11"/>
  <c r="BC122" i="11" s="1"/>
  <c r="B122" i="11"/>
  <c r="C121" i="11"/>
  <c r="AJ121" i="11" s="1"/>
  <c r="B121" i="11"/>
  <c r="C120" i="11"/>
  <c r="BH120" i="11" s="1"/>
  <c r="B120" i="11"/>
  <c r="C119" i="11"/>
  <c r="AQ119" i="11" s="1"/>
  <c r="B119" i="11"/>
  <c r="C118" i="11"/>
  <c r="AY118" i="11" s="1"/>
  <c r="B118" i="11"/>
  <c r="C117" i="11"/>
  <c r="AH117" i="11" s="1"/>
  <c r="B117" i="11"/>
  <c r="C116" i="11"/>
  <c r="B116" i="11"/>
  <c r="C115" i="11"/>
  <c r="BB115" i="11" s="1"/>
  <c r="B115" i="11"/>
  <c r="C114" i="11"/>
  <c r="BC114" i="11" s="1"/>
  <c r="B114" i="11"/>
  <c r="C113" i="11"/>
  <c r="AO113" i="11" s="1"/>
  <c r="B113" i="11"/>
  <c r="C112" i="11"/>
  <c r="AV112" i="11" s="1"/>
  <c r="B112" i="11"/>
  <c r="C111" i="11"/>
  <c r="AU111" i="11" s="1"/>
  <c r="B111" i="11"/>
  <c r="C110" i="11"/>
  <c r="AM110" i="11" s="1"/>
  <c r="B110" i="11"/>
  <c r="C109" i="11"/>
  <c r="BG109" i="11" s="1"/>
  <c r="B109" i="11"/>
  <c r="C108" i="11"/>
  <c r="AV108" i="11" s="1"/>
  <c r="B108" i="11"/>
  <c r="C107" i="11"/>
  <c r="B107" i="11"/>
  <c r="C106" i="11"/>
  <c r="AX106" i="11" s="1"/>
  <c r="B106" i="11"/>
  <c r="C105" i="11"/>
  <c r="AR105" i="11" s="1"/>
  <c r="B105" i="11"/>
  <c r="C104" i="11"/>
  <c r="AZ104" i="11" s="1"/>
  <c r="B104" i="11"/>
  <c r="C103" i="11"/>
  <c r="AJ103" i="11" s="1"/>
  <c r="B103" i="11"/>
  <c r="C102" i="11"/>
  <c r="AH102" i="11" s="1"/>
  <c r="B102" i="11"/>
  <c r="C101" i="11"/>
  <c r="BB101" i="11" s="1"/>
  <c r="B101" i="11"/>
  <c r="C100" i="11"/>
  <c r="AG100" i="11" s="1"/>
  <c r="B100" i="11"/>
  <c r="C99" i="11"/>
  <c r="BE99" i="11" s="1"/>
  <c r="B99" i="11"/>
  <c r="C98" i="11"/>
  <c r="AM98" i="11" s="1"/>
  <c r="B98" i="11"/>
  <c r="C97" i="11"/>
  <c r="AP97" i="11" s="1"/>
  <c r="B97" i="11"/>
  <c r="C96" i="11"/>
  <c r="B96" i="11"/>
  <c r="C95" i="11"/>
  <c r="AP95" i="11" s="1"/>
  <c r="B95" i="11"/>
  <c r="C94" i="11"/>
  <c r="AZ94" i="11" s="1"/>
  <c r="B94" i="11"/>
  <c r="C93" i="11"/>
  <c r="AU93" i="11" s="1"/>
  <c r="B93" i="11"/>
  <c r="C92" i="11"/>
  <c r="AM92" i="11" s="1"/>
  <c r="B92" i="11"/>
  <c r="C91" i="11"/>
  <c r="BI91" i="11" s="1"/>
  <c r="B91" i="11"/>
  <c r="C90" i="11"/>
  <c r="AV90" i="11" s="1"/>
  <c r="B90" i="11"/>
  <c r="C89" i="11"/>
  <c r="B89" i="11"/>
  <c r="C88" i="11"/>
  <c r="BH88" i="11" s="1"/>
  <c r="B88" i="11"/>
  <c r="C87" i="11"/>
  <c r="BB87" i="11" s="1"/>
  <c r="B87" i="11"/>
  <c r="C86" i="11"/>
  <c r="BC86" i="11" s="1"/>
  <c r="B86" i="11"/>
  <c r="C85" i="11"/>
  <c r="AH85" i="11" s="1"/>
  <c r="B85" i="11"/>
  <c r="C84" i="11"/>
  <c r="AI84" i="11" s="1"/>
  <c r="B84" i="11"/>
  <c r="C83" i="11"/>
  <c r="AR83" i="11" s="1"/>
  <c r="B83" i="11"/>
  <c r="C82" i="11"/>
  <c r="AY82" i="11" s="1"/>
  <c r="B82" i="11"/>
  <c r="C81" i="11"/>
  <c r="BC81" i="11" s="1"/>
  <c r="B81" i="11"/>
  <c r="C80" i="11"/>
  <c r="AY80" i="11" s="1"/>
  <c r="B80" i="11"/>
  <c r="C79" i="11"/>
  <c r="AU79" i="11" s="1"/>
  <c r="B79" i="11"/>
  <c r="C78" i="11"/>
  <c r="AG78" i="11" s="1"/>
  <c r="B78" i="11"/>
  <c r="C77" i="11"/>
  <c r="B77" i="11"/>
  <c r="C76" i="11"/>
  <c r="AN76" i="11" s="1"/>
  <c r="B76" i="11"/>
  <c r="C75" i="11"/>
  <c r="AT75" i="11" s="1"/>
  <c r="B75" i="11"/>
  <c r="C74" i="11"/>
  <c r="BA74" i="11" s="1"/>
  <c r="B74" i="11"/>
  <c r="C73" i="11"/>
  <c r="BG73" i="11" s="1"/>
  <c r="B73" i="11"/>
  <c r="C72" i="11"/>
  <c r="B72" i="11"/>
  <c r="C71" i="11"/>
  <c r="B71" i="11"/>
  <c r="AU70" i="11"/>
  <c r="C70" i="11"/>
  <c r="AY70" i="11" s="1"/>
  <c r="B70" i="11"/>
  <c r="C69" i="11"/>
  <c r="AT69" i="11" s="1"/>
  <c r="B69" i="11"/>
  <c r="C68" i="11"/>
  <c r="AQ68" i="11" s="1"/>
  <c r="B68" i="11"/>
  <c r="C67" i="11"/>
  <c r="BE67" i="11" s="1"/>
  <c r="B67" i="11"/>
  <c r="C66" i="11"/>
  <c r="AH66" i="11" s="1"/>
  <c r="B66" i="11"/>
  <c r="C65" i="11"/>
  <c r="BA65" i="11" s="1"/>
  <c r="B65" i="11"/>
  <c r="C64" i="11"/>
  <c r="B64" i="11"/>
  <c r="C63" i="11"/>
  <c r="BH63" i="11" s="1"/>
  <c r="B63" i="11"/>
  <c r="C62" i="11"/>
  <c r="BA62" i="11" s="1"/>
  <c r="B62" i="11"/>
  <c r="C61" i="11"/>
  <c r="B61" i="11"/>
  <c r="C60" i="11"/>
  <c r="B60" i="11"/>
  <c r="C59" i="11"/>
  <c r="BJ59" i="11" s="1"/>
  <c r="B59" i="11"/>
  <c r="C58" i="11"/>
  <c r="AW58" i="11" s="1"/>
  <c r="B58" i="11"/>
  <c r="C57" i="11"/>
  <c r="B57" i="11"/>
  <c r="C56" i="11"/>
  <c r="B56" i="11"/>
  <c r="C55" i="11"/>
  <c r="AV55" i="11" s="1"/>
  <c r="B55" i="11"/>
  <c r="C54" i="11"/>
  <c r="B54" i="11"/>
  <c r="C53" i="11"/>
  <c r="B53" i="11"/>
  <c r="C52" i="11"/>
  <c r="AT52" i="11" s="1"/>
  <c r="B52" i="11"/>
  <c r="C51" i="11"/>
  <c r="AV51" i="11" s="1"/>
  <c r="B51" i="11"/>
  <c r="C50" i="11"/>
  <c r="B50" i="11"/>
  <c r="C49" i="11"/>
  <c r="BI49" i="11" s="1"/>
  <c r="B49" i="11"/>
  <c r="C48" i="11"/>
  <c r="AV48" i="11" s="1"/>
  <c r="B48" i="11"/>
  <c r="C47" i="11"/>
  <c r="BJ47" i="11" s="1"/>
  <c r="B47" i="11"/>
  <c r="C46" i="11"/>
  <c r="AQ46" i="11" s="1"/>
  <c r="B46" i="11"/>
  <c r="C45" i="11"/>
  <c r="BB45" i="11" s="1"/>
  <c r="B45" i="11"/>
  <c r="C44" i="11"/>
  <c r="BD44" i="11" s="1"/>
  <c r="B44" i="11"/>
  <c r="C43" i="11"/>
  <c r="BI43" i="11" s="1"/>
  <c r="B43" i="11"/>
  <c r="C42" i="11"/>
  <c r="AJ42" i="11" s="1"/>
  <c r="B42" i="11"/>
  <c r="C41" i="11"/>
  <c r="B41" i="11"/>
  <c r="C40" i="11"/>
  <c r="BB40" i="11" s="1"/>
  <c r="B40" i="11"/>
  <c r="C39" i="11"/>
  <c r="BD39" i="11" s="1"/>
  <c r="B39" i="11"/>
  <c r="C38" i="11"/>
  <c r="BA38" i="11" s="1"/>
  <c r="B38" i="11"/>
  <c r="C37" i="11"/>
  <c r="AQ37" i="11" s="1"/>
  <c r="B37" i="11"/>
  <c r="C36" i="11"/>
  <c r="B36" i="11"/>
  <c r="C35" i="11"/>
  <c r="AM35" i="11" s="1"/>
  <c r="B35" i="11"/>
  <c r="C34" i="11"/>
  <c r="BJ34" i="11" s="1"/>
  <c r="B34" i="11"/>
  <c r="C33" i="11"/>
  <c r="B33" i="11"/>
  <c r="C32" i="11"/>
  <c r="AX32" i="11" s="1"/>
  <c r="B32" i="11"/>
  <c r="C31" i="11"/>
  <c r="AQ31" i="11" s="1"/>
  <c r="B31" i="11"/>
  <c r="C30" i="11"/>
  <c r="BF30" i="11" s="1"/>
  <c r="B30" i="11"/>
  <c r="C29" i="11"/>
  <c r="AU29" i="11" s="1"/>
  <c r="B29" i="11"/>
  <c r="C28" i="11"/>
  <c r="AV28" i="11" s="1"/>
  <c r="B28" i="11"/>
  <c r="C27" i="11"/>
  <c r="AT27" i="11" s="1"/>
  <c r="B27" i="11"/>
  <c r="C26" i="11"/>
  <c r="AO26" i="11" s="1"/>
  <c r="B26" i="11"/>
  <c r="C25" i="11"/>
  <c r="AY25" i="11" s="1"/>
  <c r="B25" i="11"/>
  <c r="C24" i="11"/>
  <c r="AT24" i="11" s="1"/>
  <c r="B24" i="11"/>
  <c r="C23" i="11"/>
  <c r="B23" i="11"/>
  <c r="C22" i="11"/>
  <c r="BD22" i="11" s="1"/>
  <c r="B22" i="11"/>
  <c r="C21" i="11"/>
  <c r="AG21" i="11" s="1"/>
  <c r="B21" i="11"/>
  <c r="C20" i="11"/>
  <c r="B20" i="11"/>
  <c r="C19" i="11"/>
  <c r="BD19" i="11" s="1"/>
  <c r="B19" i="11"/>
  <c r="C18" i="11"/>
  <c r="B18" i="11"/>
  <c r="C17" i="11"/>
  <c r="AX17" i="11" s="1"/>
  <c r="B17" i="11"/>
  <c r="C16" i="11"/>
  <c r="B16" i="11"/>
  <c r="C15" i="11"/>
  <c r="AG15" i="11" s="1"/>
  <c r="B15" i="11"/>
  <c r="C14" i="11"/>
  <c r="BE14" i="11" s="1"/>
  <c r="B14" i="11"/>
  <c r="C13" i="11"/>
  <c r="BJ13" i="11" s="1"/>
  <c r="B13" i="11"/>
  <c r="C12" i="11"/>
  <c r="AR12" i="11" s="1"/>
  <c r="B12" i="11"/>
  <c r="C11" i="11"/>
  <c r="AS11" i="11" s="1"/>
  <c r="B11" i="11"/>
  <c r="C10" i="11"/>
  <c r="BI10" i="11" s="1"/>
  <c r="B10" i="11"/>
  <c r="C9" i="11"/>
  <c r="BE9" i="11" s="1"/>
  <c r="B9" i="11"/>
  <c r="B7" i="11"/>
  <c r="D134" i="10"/>
  <c r="D132" i="10"/>
  <c r="D128" i="10"/>
  <c r="C126" i="10"/>
  <c r="C123" i="10"/>
  <c r="C122" i="10"/>
  <c r="C121" i="10"/>
  <c r="C120" i="10"/>
  <c r="E106" i="10"/>
  <c r="I105" i="10"/>
  <c r="G105" i="10"/>
  <c r="H105" i="10" s="1"/>
  <c r="I104" i="10"/>
  <c r="G104" i="10"/>
  <c r="H104" i="10" s="1"/>
  <c r="I103" i="10"/>
  <c r="G103" i="10"/>
  <c r="H103" i="10" s="1"/>
  <c r="I102" i="10"/>
  <c r="G102" i="10"/>
  <c r="H102" i="10" s="1"/>
  <c r="I101" i="10"/>
  <c r="G101" i="10"/>
  <c r="H101" i="10" s="1"/>
  <c r="I100" i="10"/>
  <c r="G100" i="10"/>
  <c r="H100" i="10" s="1"/>
  <c r="I99" i="10"/>
  <c r="G99" i="10"/>
  <c r="H99" i="10" s="1"/>
  <c r="I98" i="10"/>
  <c r="G98" i="10"/>
  <c r="H98" i="10" s="1"/>
  <c r="I97" i="10"/>
  <c r="G97" i="10"/>
  <c r="H97" i="10" s="1"/>
  <c r="I96" i="10"/>
  <c r="G96" i="10"/>
  <c r="H96" i="10" s="1"/>
  <c r="I95" i="10"/>
  <c r="G95" i="10"/>
  <c r="H95" i="10" s="1"/>
  <c r="I94" i="10"/>
  <c r="G94" i="10"/>
  <c r="H94" i="10" s="1"/>
  <c r="I93" i="10"/>
  <c r="G93" i="10"/>
  <c r="H93" i="10" s="1"/>
  <c r="I92" i="10"/>
  <c r="G92" i="10"/>
  <c r="H92" i="10" s="1"/>
  <c r="I91" i="10"/>
  <c r="G91" i="10"/>
  <c r="H91" i="10" s="1"/>
  <c r="I90" i="10"/>
  <c r="G90" i="10"/>
  <c r="H90" i="10" s="1"/>
  <c r="I89" i="10"/>
  <c r="G89" i="10"/>
  <c r="H89" i="10" s="1"/>
  <c r="I88" i="10"/>
  <c r="G88" i="10"/>
  <c r="H88" i="10" s="1"/>
  <c r="I87" i="10"/>
  <c r="G87" i="10"/>
  <c r="H87" i="10" s="1"/>
  <c r="I86" i="10"/>
  <c r="G86" i="10"/>
  <c r="H86" i="10" s="1"/>
  <c r="I85" i="10"/>
  <c r="G85" i="10"/>
  <c r="H85" i="10" s="1"/>
  <c r="I84" i="10"/>
  <c r="G84" i="10"/>
  <c r="H84" i="10" s="1"/>
  <c r="I83" i="10"/>
  <c r="G83" i="10"/>
  <c r="H83" i="10" s="1"/>
  <c r="I82" i="10"/>
  <c r="G82" i="10"/>
  <c r="H82" i="10" s="1"/>
  <c r="I81" i="10"/>
  <c r="G81" i="10"/>
  <c r="H81" i="10" s="1"/>
  <c r="I80" i="10"/>
  <c r="G80" i="10"/>
  <c r="H80" i="10" s="1"/>
  <c r="I79" i="10"/>
  <c r="G79" i="10"/>
  <c r="H79" i="10" s="1"/>
  <c r="I78" i="10"/>
  <c r="G78" i="10"/>
  <c r="H78" i="10" s="1"/>
  <c r="I77" i="10"/>
  <c r="G77" i="10"/>
  <c r="H77" i="10" s="1"/>
  <c r="I76" i="10"/>
  <c r="G76" i="10"/>
  <c r="H76" i="10" s="1"/>
  <c r="I75" i="10"/>
  <c r="G75" i="10"/>
  <c r="H75" i="10" s="1"/>
  <c r="I74" i="10"/>
  <c r="G74" i="10"/>
  <c r="H74" i="10" s="1"/>
  <c r="I73" i="10"/>
  <c r="G73" i="10"/>
  <c r="H73" i="10" s="1"/>
  <c r="I72" i="10"/>
  <c r="G72" i="10"/>
  <c r="H72" i="10" s="1"/>
  <c r="I71" i="10"/>
  <c r="G71" i="10"/>
  <c r="H71" i="10" s="1"/>
  <c r="I70" i="10"/>
  <c r="G70" i="10"/>
  <c r="H70" i="10" s="1"/>
  <c r="I69" i="10"/>
  <c r="G69" i="10"/>
  <c r="H69" i="10" s="1"/>
  <c r="I68" i="10"/>
  <c r="G68" i="10"/>
  <c r="H68" i="10" s="1"/>
  <c r="I67" i="10"/>
  <c r="G67" i="10"/>
  <c r="H67" i="10" s="1"/>
  <c r="I66" i="10"/>
  <c r="G66" i="10"/>
  <c r="H66" i="10" s="1"/>
  <c r="I65" i="10"/>
  <c r="G65" i="10"/>
  <c r="H65" i="10" s="1"/>
  <c r="I64" i="10"/>
  <c r="G64" i="10"/>
  <c r="H64" i="10" s="1"/>
  <c r="I63" i="10"/>
  <c r="G63" i="10"/>
  <c r="H63" i="10" s="1"/>
  <c r="I62" i="10"/>
  <c r="G62" i="10"/>
  <c r="H62" i="10" s="1"/>
  <c r="I61" i="10"/>
  <c r="G61" i="10"/>
  <c r="H61" i="10" s="1"/>
  <c r="I60" i="10"/>
  <c r="G60" i="10"/>
  <c r="H60" i="10" s="1"/>
  <c r="I59" i="10"/>
  <c r="G59" i="10"/>
  <c r="H59" i="10" s="1"/>
  <c r="I58" i="10"/>
  <c r="G58" i="10"/>
  <c r="H58" i="10" s="1"/>
  <c r="I57" i="10"/>
  <c r="G57" i="10"/>
  <c r="H57" i="10" s="1"/>
  <c r="I56" i="10"/>
  <c r="G56" i="10"/>
  <c r="H56" i="10" s="1"/>
  <c r="I55" i="10"/>
  <c r="G55" i="10"/>
  <c r="H55" i="10" s="1"/>
  <c r="I54" i="10"/>
  <c r="G54" i="10"/>
  <c r="H54" i="10" s="1"/>
  <c r="I53" i="10"/>
  <c r="G53" i="10"/>
  <c r="H53" i="10" s="1"/>
  <c r="I52" i="10"/>
  <c r="G52" i="10"/>
  <c r="H52" i="10" s="1"/>
  <c r="I51" i="10"/>
  <c r="G51" i="10"/>
  <c r="H51" i="10" s="1"/>
  <c r="BN148" i="9"/>
  <c r="BM148" i="9"/>
  <c r="BL148" i="9"/>
  <c r="BK148" i="9"/>
  <c r="BJ148" i="9"/>
  <c r="BI148" i="9"/>
  <c r="BH148" i="9"/>
  <c r="BG148" i="9"/>
  <c r="BF148" i="9"/>
  <c r="BE148" i="9"/>
  <c r="BD148" i="9"/>
  <c r="BC148" i="9"/>
  <c r="BB148" i="9"/>
  <c r="BA148" i="9"/>
  <c r="AZ148" i="9"/>
  <c r="AY148" i="9"/>
  <c r="AX148" i="9"/>
  <c r="AW148" i="9"/>
  <c r="AV148" i="9"/>
  <c r="AU148" i="9"/>
  <c r="AT148" i="9"/>
  <c r="AS148" i="9"/>
  <c r="AR148" i="9"/>
  <c r="AQ148" i="9"/>
  <c r="AP148" i="9"/>
  <c r="AO148" i="9"/>
  <c r="AN148" i="9"/>
  <c r="AM148" i="9"/>
  <c r="AL148" i="9"/>
  <c r="AK148" i="9"/>
  <c r="BN147" i="9"/>
  <c r="BM147" i="9"/>
  <c r="BL147" i="9"/>
  <c r="BK147" i="9"/>
  <c r="BJ147" i="9"/>
  <c r="BI147" i="9"/>
  <c r="BH147" i="9"/>
  <c r="BG147" i="9"/>
  <c r="BF147" i="9"/>
  <c r="BE147" i="9"/>
  <c r="BD147" i="9"/>
  <c r="BC147" i="9"/>
  <c r="BB147" i="9"/>
  <c r="BA147" i="9"/>
  <c r="AZ147" i="9"/>
  <c r="AY147" i="9"/>
  <c r="AX147" i="9"/>
  <c r="AW147" i="9"/>
  <c r="AV147" i="9"/>
  <c r="AU147" i="9"/>
  <c r="AT147" i="9"/>
  <c r="AS147" i="9"/>
  <c r="AR147" i="9"/>
  <c r="AQ147" i="9"/>
  <c r="AP147" i="9"/>
  <c r="AO147" i="9"/>
  <c r="AN147" i="9"/>
  <c r="AM147" i="9"/>
  <c r="AL147" i="9"/>
  <c r="AK147" i="9"/>
  <c r="BN146" i="9"/>
  <c r="BM146" i="9"/>
  <c r="BL146" i="9"/>
  <c r="BK146" i="9"/>
  <c r="BJ146" i="9"/>
  <c r="BI146" i="9"/>
  <c r="BH146" i="9"/>
  <c r="BG146" i="9"/>
  <c r="BF146" i="9"/>
  <c r="BE146" i="9"/>
  <c r="BD146" i="9"/>
  <c r="BC146" i="9"/>
  <c r="BB146" i="9"/>
  <c r="BA146" i="9"/>
  <c r="AZ146" i="9"/>
  <c r="AY146" i="9"/>
  <c r="AX146" i="9"/>
  <c r="AW146" i="9"/>
  <c r="AV146" i="9"/>
  <c r="AU146" i="9"/>
  <c r="AT146" i="9"/>
  <c r="AS146" i="9"/>
  <c r="AR146" i="9"/>
  <c r="AQ146" i="9"/>
  <c r="AP146" i="9"/>
  <c r="AO146" i="9"/>
  <c r="AN146" i="9"/>
  <c r="AM146" i="9"/>
  <c r="AL146" i="9"/>
  <c r="AK146" i="9"/>
  <c r="BN145" i="9"/>
  <c r="BM145" i="9"/>
  <c r="BL145" i="9"/>
  <c r="BK145" i="9"/>
  <c r="BJ145" i="9"/>
  <c r="BI145" i="9"/>
  <c r="BH145" i="9"/>
  <c r="BG145" i="9"/>
  <c r="BF145" i="9"/>
  <c r="BE145" i="9"/>
  <c r="BD145" i="9"/>
  <c r="BC145" i="9"/>
  <c r="BB145" i="9"/>
  <c r="BA145" i="9"/>
  <c r="AZ145" i="9"/>
  <c r="AY145" i="9"/>
  <c r="AX145" i="9"/>
  <c r="AW145" i="9"/>
  <c r="AV145" i="9"/>
  <c r="AU145" i="9"/>
  <c r="AT145" i="9"/>
  <c r="AS145" i="9"/>
  <c r="AR145" i="9"/>
  <c r="AQ145" i="9"/>
  <c r="AP145" i="9"/>
  <c r="AO145" i="9"/>
  <c r="AN145" i="9"/>
  <c r="AM145" i="9"/>
  <c r="AL145" i="9"/>
  <c r="AK145" i="9"/>
  <c r="BN144" i="9"/>
  <c r="BM144" i="9"/>
  <c r="BL144" i="9"/>
  <c r="BK144" i="9"/>
  <c r="BJ144" i="9"/>
  <c r="BI144" i="9"/>
  <c r="BH144" i="9"/>
  <c r="BG144" i="9"/>
  <c r="BF144" i="9"/>
  <c r="BE144" i="9"/>
  <c r="BD144" i="9"/>
  <c r="BC144" i="9"/>
  <c r="BB144" i="9"/>
  <c r="BA144" i="9"/>
  <c r="AZ144" i="9"/>
  <c r="AY144" i="9"/>
  <c r="AX144" i="9"/>
  <c r="AW144" i="9"/>
  <c r="AV144" i="9"/>
  <c r="AU144" i="9"/>
  <c r="AT144" i="9"/>
  <c r="AS144" i="9"/>
  <c r="AR144" i="9"/>
  <c r="AQ144" i="9"/>
  <c r="AP144" i="9"/>
  <c r="AO144" i="9"/>
  <c r="AN144" i="9"/>
  <c r="AM144" i="9"/>
  <c r="AL144" i="9"/>
  <c r="AK144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BN123" i="9"/>
  <c r="BM123" i="9"/>
  <c r="BL123" i="9"/>
  <c r="BK123" i="9"/>
  <c r="BJ123" i="9"/>
  <c r="BI123" i="9"/>
  <c r="BH123" i="9"/>
  <c r="BG123" i="9"/>
  <c r="BF123" i="9"/>
  <c r="BE123" i="9"/>
  <c r="BD123" i="9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BN122" i="9"/>
  <c r="BM122" i="9"/>
  <c r="BL122" i="9"/>
  <c r="BK122" i="9"/>
  <c r="BJ122" i="9"/>
  <c r="BI122" i="9"/>
  <c r="BH122" i="9"/>
  <c r="BG122" i="9"/>
  <c r="BF122" i="9"/>
  <c r="BE122" i="9"/>
  <c r="BD122" i="9"/>
  <c r="BC122" i="9"/>
  <c r="BB122" i="9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BN121" i="9"/>
  <c r="BM121" i="9"/>
  <c r="BL121" i="9"/>
  <c r="BK121" i="9"/>
  <c r="BJ121" i="9"/>
  <c r="BI121" i="9"/>
  <c r="BH121" i="9"/>
  <c r="BG121" i="9"/>
  <c r="BF121" i="9"/>
  <c r="BE121" i="9"/>
  <c r="BD121" i="9"/>
  <c r="BC121" i="9"/>
  <c r="BB121" i="9"/>
  <c r="BA121" i="9"/>
  <c r="AZ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K121" i="9"/>
  <c r="BN120" i="9"/>
  <c r="BM120" i="9"/>
  <c r="BL120" i="9"/>
  <c r="BK120" i="9"/>
  <c r="BJ120" i="9"/>
  <c r="BI120" i="9"/>
  <c r="BH120" i="9"/>
  <c r="BG120" i="9"/>
  <c r="BF120" i="9"/>
  <c r="BE120" i="9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O119" i="9"/>
  <c r="AN119" i="9"/>
  <c r="AM119" i="9"/>
  <c r="AL119" i="9"/>
  <c r="AK119" i="9"/>
  <c r="BN118" i="9"/>
  <c r="BM118" i="9"/>
  <c r="BL118" i="9"/>
  <c r="BK118" i="9"/>
  <c r="BJ118" i="9"/>
  <c r="BI118" i="9"/>
  <c r="BH118" i="9"/>
  <c r="BG118" i="9"/>
  <c r="BF118" i="9"/>
  <c r="BE118" i="9"/>
  <c r="BD118" i="9"/>
  <c r="BC118" i="9"/>
  <c r="BB118" i="9"/>
  <c r="BA118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BN117" i="9"/>
  <c r="BM117" i="9"/>
  <c r="BL117" i="9"/>
  <c r="BK117" i="9"/>
  <c r="BJ117" i="9"/>
  <c r="BI117" i="9"/>
  <c r="BH117" i="9"/>
  <c r="BG117" i="9"/>
  <c r="BF117" i="9"/>
  <c r="BE117" i="9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BN116" i="9"/>
  <c r="BM116" i="9"/>
  <c r="BL116" i="9"/>
  <c r="BK116" i="9"/>
  <c r="BJ116" i="9"/>
  <c r="BI116" i="9"/>
  <c r="BH116" i="9"/>
  <c r="BG116" i="9"/>
  <c r="BF116" i="9"/>
  <c r="BE116" i="9"/>
  <c r="BD116" i="9"/>
  <c r="BC116" i="9"/>
  <c r="BB116" i="9"/>
  <c r="BA116" i="9"/>
  <c r="AZ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K116" i="9"/>
  <c r="BN115" i="9"/>
  <c r="BM115" i="9"/>
  <c r="BL115" i="9"/>
  <c r="BK115" i="9"/>
  <c r="BJ115" i="9"/>
  <c r="BI115" i="9"/>
  <c r="BH115" i="9"/>
  <c r="BG115" i="9"/>
  <c r="BF115" i="9"/>
  <c r="BE115" i="9"/>
  <c r="BD115" i="9"/>
  <c r="BC115" i="9"/>
  <c r="BB115" i="9"/>
  <c r="BA115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BN114" i="9"/>
  <c r="BM114" i="9"/>
  <c r="BL114" i="9"/>
  <c r="BK114" i="9"/>
  <c r="BJ114" i="9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BN109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BN108" i="9"/>
  <c r="BM108" i="9"/>
  <c r="BL108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BN106" i="9"/>
  <c r="BM106" i="9"/>
  <c r="BL106" i="9"/>
  <c r="BK106" i="9"/>
  <c r="BJ106" i="9"/>
  <c r="BI106" i="9"/>
  <c r="BH106" i="9"/>
  <c r="BG106" i="9"/>
  <c r="BF106" i="9"/>
  <c r="BE106" i="9"/>
  <c r="BD106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BN105" i="9"/>
  <c r="BM105" i="9"/>
  <c r="BL105" i="9"/>
  <c r="BK105" i="9"/>
  <c r="BJ105" i="9"/>
  <c r="BI105" i="9"/>
  <c r="BH105" i="9"/>
  <c r="BG105" i="9"/>
  <c r="BF105" i="9"/>
  <c r="BE105" i="9"/>
  <c r="BD105" i="9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BN104" i="9"/>
  <c r="BM104" i="9"/>
  <c r="BL104" i="9"/>
  <c r="BK104" i="9"/>
  <c r="BJ104" i="9"/>
  <c r="BI104" i="9"/>
  <c r="BH104" i="9"/>
  <c r="BG104" i="9"/>
  <c r="BF104" i="9"/>
  <c r="BE104" i="9"/>
  <c r="BD104" i="9"/>
  <c r="BC104" i="9"/>
  <c r="BB104" i="9"/>
  <c r="BA104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BN103" i="9"/>
  <c r="BM103" i="9"/>
  <c r="BL103" i="9"/>
  <c r="BK103" i="9"/>
  <c r="BJ103" i="9"/>
  <c r="BI103" i="9"/>
  <c r="BH103" i="9"/>
  <c r="BG103" i="9"/>
  <c r="BF103" i="9"/>
  <c r="BE103" i="9"/>
  <c r="BD103" i="9"/>
  <c r="BC103" i="9"/>
  <c r="BB103" i="9"/>
  <c r="BA103" i="9"/>
  <c r="AZ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K103" i="9"/>
  <c r="BN102" i="9"/>
  <c r="BM102" i="9"/>
  <c r="BL102" i="9"/>
  <c r="BK102" i="9"/>
  <c r="BJ102" i="9"/>
  <c r="BI102" i="9"/>
  <c r="BH102" i="9"/>
  <c r="BG102" i="9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BN100" i="9"/>
  <c r="BM100" i="9"/>
  <c r="BL100" i="9"/>
  <c r="BK100" i="9"/>
  <c r="BJ100" i="9"/>
  <c r="BI100" i="9"/>
  <c r="BH100" i="9"/>
  <c r="BG100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BN98" i="9"/>
  <c r="BM98" i="9"/>
  <c r="BL98" i="9"/>
  <c r="BK98" i="9"/>
  <c r="BJ98" i="9"/>
  <c r="BI98" i="9"/>
  <c r="BH98" i="9"/>
  <c r="BG98" i="9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BN97" i="9"/>
  <c r="BM97" i="9"/>
  <c r="BL97" i="9"/>
  <c r="BK97" i="9"/>
  <c r="BJ97" i="9"/>
  <c r="BI97" i="9"/>
  <c r="BH97" i="9"/>
  <c r="BG97" i="9"/>
  <c r="BF97" i="9"/>
  <c r="BE97" i="9"/>
  <c r="BD97" i="9"/>
  <c r="BC97" i="9"/>
  <c r="BB97" i="9"/>
  <c r="BA97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BN96" i="9"/>
  <c r="BM96" i="9"/>
  <c r="BL96" i="9"/>
  <c r="BK96" i="9"/>
  <c r="BJ96" i="9"/>
  <c r="BI96" i="9"/>
  <c r="BH96" i="9"/>
  <c r="BG96" i="9"/>
  <c r="BF96" i="9"/>
  <c r="BE96" i="9"/>
  <c r="BD96" i="9"/>
  <c r="BC96" i="9"/>
  <c r="BB96" i="9"/>
  <c r="BA96" i="9"/>
  <c r="AZ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K96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BN94" i="9"/>
  <c r="BM94" i="9"/>
  <c r="BL94" i="9"/>
  <c r="BK94" i="9"/>
  <c r="BJ94" i="9"/>
  <c r="BI94" i="9"/>
  <c r="BH94" i="9"/>
  <c r="BG94" i="9"/>
  <c r="BF94" i="9"/>
  <c r="BE94" i="9"/>
  <c r="BD94" i="9"/>
  <c r="BC94" i="9"/>
  <c r="BB94" i="9"/>
  <c r="BA94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BN93" i="9"/>
  <c r="BM93" i="9"/>
  <c r="BL93" i="9"/>
  <c r="BK93" i="9"/>
  <c r="BJ93" i="9"/>
  <c r="BI93" i="9"/>
  <c r="BH93" i="9"/>
  <c r="BG93" i="9"/>
  <c r="BF93" i="9"/>
  <c r="BE93" i="9"/>
  <c r="BD93" i="9"/>
  <c r="BC93" i="9"/>
  <c r="BB93" i="9"/>
  <c r="BA93" i="9"/>
  <c r="AZ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K93" i="9"/>
  <c r="BN91" i="9"/>
  <c r="BM91" i="9"/>
  <c r="BL91" i="9"/>
  <c r="BK91" i="9"/>
  <c r="BJ91" i="9"/>
  <c r="BI91" i="9"/>
  <c r="BH91" i="9"/>
  <c r="BG91" i="9"/>
  <c r="BF91" i="9"/>
  <c r="BE91" i="9"/>
  <c r="BD91" i="9"/>
  <c r="BC91" i="9"/>
  <c r="BB91" i="9"/>
  <c r="BA91" i="9"/>
  <c r="AZ91" i="9"/>
  <c r="AY91" i="9"/>
  <c r="AX91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BN90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BN88" i="9"/>
  <c r="BM88" i="9"/>
  <c r="BL88" i="9"/>
  <c r="BK88" i="9"/>
  <c r="BJ88" i="9"/>
  <c r="BI88" i="9"/>
  <c r="BH88" i="9"/>
  <c r="BG88" i="9"/>
  <c r="BF88" i="9"/>
  <c r="BE88" i="9"/>
  <c r="BD88" i="9"/>
  <c r="BC88" i="9"/>
  <c r="BB88" i="9"/>
  <c r="BA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F87" i="9"/>
  <c r="BG87" i="9" s="1"/>
  <c r="X416" i="20" s="1"/>
  <c r="BN86" i="9"/>
  <c r="BM86" i="9"/>
  <c r="BL86" i="9"/>
  <c r="BK86" i="9"/>
  <c r="BJ86" i="9"/>
  <c r="BI86" i="9"/>
  <c r="BH86" i="9"/>
  <c r="BG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BN85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BN84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AN64" i="9" s="1"/>
  <c r="I64" i="9"/>
  <c r="AM64" i="9" s="1"/>
  <c r="H64" i="9"/>
  <c r="AL64" i="9" s="1"/>
  <c r="G64" i="9"/>
  <c r="AK64" i="9" s="1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AN63" i="9" s="1"/>
  <c r="I63" i="9"/>
  <c r="AM63" i="9" s="1"/>
  <c r="H63" i="9"/>
  <c r="AL63" i="9" s="1"/>
  <c r="G63" i="9"/>
  <c r="AK63" i="9" s="1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BN61" i="9"/>
  <c r="AE437" i="20" s="1"/>
  <c r="BM61" i="9"/>
  <c r="AD437" i="20" s="1"/>
  <c r="BL61" i="9"/>
  <c r="AC437" i="20" s="1"/>
  <c r="BK61" i="9"/>
  <c r="AB437" i="20" s="1"/>
  <c r="BJ61" i="9"/>
  <c r="AA437" i="20" s="1"/>
  <c r="BI61" i="9"/>
  <c r="Z437" i="20" s="1"/>
  <c r="BH61" i="9"/>
  <c r="Y437" i="20" s="1"/>
  <c r="BG61" i="9"/>
  <c r="X437" i="20" s="1"/>
  <c r="BF61" i="9"/>
  <c r="W437" i="20" s="1"/>
  <c r="BE61" i="9"/>
  <c r="V437" i="20" s="1"/>
  <c r="BD61" i="9"/>
  <c r="U437" i="20" s="1"/>
  <c r="BC61" i="9"/>
  <c r="T437" i="20" s="1"/>
  <c r="BB61" i="9"/>
  <c r="S437" i="20" s="1"/>
  <c r="BA61" i="9"/>
  <c r="R437" i="20" s="1"/>
  <c r="AZ61" i="9"/>
  <c r="Q437" i="20" s="1"/>
  <c r="AY61" i="9"/>
  <c r="P437" i="20" s="1"/>
  <c r="AX61" i="9"/>
  <c r="O437" i="20" s="1"/>
  <c r="AW61" i="9"/>
  <c r="N437" i="20" s="1"/>
  <c r="AV61" i="9"/>
  <c r="M437" i="20" s="1"/>
  <c r="AU61" i="9"/>
  <c r="L437" i="20" s="1"/>
  <c r="AT61" i="9"/>
  <c r="K437" i="20" s="1"/>
  <c r="AS61" i="9"/>
  <c r="J437" i="20" s="1"/>
  <c r="AR61" i="9"/>
  <c r="I437" i="20" s="1"/>
  <c r="AQ61" i="9"/>
  <c r="H437" i="20" s="1"/>
  <c r="AP61" i="9"/>
  <c r="G437" i="20" s="1"/>
  <c r="AO61" i="9"/>
  <c r="F437" i="20" s="1"/>
  <c r="AN61" i="9"/>
  <c r="E437" i="20" s="1"/>
  <c r="AM61" i="9"/>
  <c r="D437" i="20" s="1"/>
  <c r="AL61" i="9"/>
  <c r="C437" i="20" s="1"/>
  <c r="AK61" i="9"/>
  <c r="B437" i="20" s="1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K48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BN45" i="9"/>
  <c r="BM45" i="9"/>
  <c r="BL45" i="9"/>
  <c r="BK45" i="9"/>
  <c r="BJ45" i="9"/>
  <c r="BI45" i="9"/>
  <c r="BH45" i="9"/>
  <c r="BG45" i="9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BN40" i="9"/>
  <c r="BM40" i="9"/>
  <c r="BL40" i="9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K40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AN39" i="9" s="1"/>
  <c r="I39" i="9"/>
  <c r="AM39" i="9" s="1"/>
  <c r="H39" i="9"/>
  <c r="AL39" i="9" s="1"/>
  <c r="G39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AM38" i="9" s="1"/>
  <c r="H38" i="9"/>
  <c r="G38" i="9"/>
  <c r="AJ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AL37" i="9" s="1"/>
  <c r="G37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AN36" i="9" s="1"/>
  <c r="I36" i="9"/>
  <c r="AM36" i="9" s="1"/>
  <c r="H36" i="9"/>
  <c r="AL36" i="9" s="1"/>
  <c r="G36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AM35" i="9" s="1"/>
  <c r="H35" i="9"/>
  <c r="G35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AN34" i="9" s="1"/>
  <c r="I34" i="9"/>
  <c r="H34" i="9"/>
  <c r="AL34" i="9" s="1"/>
  <c r="G34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AN33" i="9" s="1"/>
  <c r="I33" i="9"/>
  <c r="H33" i="9"/>
  <c r="AL33" i="9" s="1"/>
  <c r="G33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AM32" i="9" s="1"/>
  <c r="H32" i="9"/>
  <c r="G32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AN31" i="9" s="1"/>
  <c r="I31" i="9"/>
  <c r="AM31" i="9" s="1"/>
  <c r="H31" i="9"/>
  <c r="AL31" i="9" s="1"/>
  <c r="G31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AN30" i="9" s="1"/>
  <c r="I30" i="9"/>
  <c r="AM30" i="9" s="1"/>
  <c r="H30" i="9"/>
  <c r="AL30" i="9" s="1"/>
  <c r="G30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AM29" i="9" s="1"/>
  <c r="H29" i="9"/>
  <c r="G29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AN28" i="9" s="1"/>
  <c r="I28" i="9"/>
  <c r="AM28" i="9" s="1"/>
  <c r="H28" i="9"/>
  <c r="AL28" i="9" s="1"/>
  <c r="G28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AN27" i="9" s="1"/>
  <c r="I27" i="9"/>
  <c r="AM27" i="9" s="1"/>
  <c r="H27" i="9"/>
  <c r="G27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AM24" i="9" s="1"/>
  <c r="H24" i="9"/>
  <c r="G24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AM23" i="9" s="1"/>
  <c r="H23" i="9"/>
  <c r="G23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AN22" i="9" s="1"/>
  <c r="I22" i="9"/>
  <c r="AM22" i="9" s="1"/>
  <c r="H22" i="9"/>
  <c r="AL22" i="9" s="1"/>
  <c r="G22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AM21" i="9" s="1"/>
  <c r="H21" i="9"/>
  <c r="G21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AN20" i="9" s="1"/>
  <c r="I20" i="9"/>
  <c r="AM20" i="9" s="1"/>
  <c r="H20" i="9"/>
  <c r="AL20" i="9" s="1"/>
  <c r="G20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AL19" i="9" s="1"/>
  <c r="G19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AM18" i="9" s="1"/>
  <c r="H18" i="9"/>
  <c r="G18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AL17" i="9" s="1"/>
  <c r="G17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AL16" i="9" s="1"/>
  <c r="G16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AM15" i="9" s="1"/>
  <c r="H15" i="9"/>
  <c r="G15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AM14" i="9" s="1"/>
  <c r="H14" i="9"/>
  <c r="AL14" i="9" s="1"/>
  <c r="G14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AL13" i="9" s="1"/>
  <c r="G13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AM12" i="9" s="1"/>
  <c r="H12" i="9"/>
  <c r="G12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BN10" i="9"/>
  <c r="AE446" i="20" s="1"/>
  <c r="BM10" i="9"/>
  <c r="AD446" i="20" s="1"/>
  <c r="BL10" i="9"/>
  <c r="AC446" i="20" s="1"/>
  <c r="BK10" i="9"/>
  <c r="AB446" i="20" s="1"/>
  <c r="BJ10" i="9"/>
  <c r="AA446" i="20" s="1"/>
  <c r="BI10" i="9"/>
  <c r="Z446" i="20" s="1"/>
  <c r="BH10" i="9"/>
  <c r="Y446" i="20" s="1"/>
  <c r="BG10" i="9"/>
  <c r="X446" i="20" s="1"/>
  <c r="BF10" i="9"/>
  <c r="W446" i="20" s="1"/>
  <c r="BE10" i="9"/>
  <c r="V446" i="20" s="1"/>
  <c r="BD10" i="9"/>
  <c r="U446" i="20" s="1"/>
  <c r="BC10" i="9"/>
  <c r="T446" i="20" s="1"/>
  <c r="BB10" i="9"/>
  <c r="S446" i="20" s="1"/>
  <c r="BA10" i="9"/>
  <c r="R446" i="20" s="1"/>
  <c r="AZ10" i="9"/>
  <c r="Q446" i="20" s="1"/>
  <c r="AY10" i="9"/>
  <c r="P446" i="20" s="1"/>
  <c r="AX10" i="9"/>
  <c r="O446" i="20" s="1"/>
  <c r="AW10" i="9"/>
  <c r="N446" i="20" s="1"/>
  <c r="AV10" i="9"/>
  <c r="M446" i="20" s="1"/>
  <c r="AU10" i="9"/>
  <c r="L446" i="20" s="1"/>
  <c r="AT10" i="9"/>
  <c r="K446" i="20" s="1"/>
  <c r="AS10" i="9"/>
  <c r="J446" i="20" s="1"/>
  <c r="AR10" i="9"/>
  <c r="I446" i="20" s="1"/>
  <c r="AQ10" i="9"/>
  <c r="H446" i="20" s="1"/>
  <c r="AP10" i="9"/>
  <c r="G446" i="20" s="1"/>
  <c r="AO10" i="9"/>
  <c r="F446" i="20" s="1"/>
  <c r="AN10" i="9"/>
  <c r="E446" i="20" s="1"/>
  <c r="AM10" i="9"/>
  <c r="D446" i="20" s="1"/>
  <c r="AL10" i="9"/>
  <c r="C446" i="20" s="1"/>
  <c r="AK10" i="9"/>
  <c r="B446" i="20" s="1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AM9" i="9" s="1"/>
  <c r="H9" i="9"/>
  <c r="G9" i="9"/>
  <c r="AK9" i="9" s="1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K6" i="9"/>
  <c r="H6" i="9"/>
  <c r="AL6" i="9" s="1"/>
  <c r="H5" i="9"/>
  <c r="I5" i="9" s="1"/>
  <c r="J5" i="9" s="1"/>
  <c r="K5" i="9" s="1"/>
  <c r="F5" i="9"/>
  <c r="G496" i="7"/>
  <c r="G495" i="7"/>
  <c r="G494" i="7"/>
  <c r="G493" i="7"/>
  <c r="G492" i="7"/>
  <c r="G491" i="7"/>
  <c r="G490" i="7"/>
  <c r="G489" i="7"/>
  <c r="G488" i="7"/>
  <c r="G487" i="7"/>
  <c r="G486" i="7"/>
  <c r="G485" i="7"/>
  <c r="G484" i="7"/>
  <c r="G483" i="7"/>
  <c r="G482" i="7"/>
  <c r="G481" i="7"/>
  <c r="G480" i="7"/>
  <c r="G479" i="7"/>
  <c r="G478" i="7"/>
  <c r="G477" i="7"/>
  <c r="G476" i="7"/>
  <c r="G475" i="7"/>
  <c r="G474" i="7"/>
  <c r="G473" i="7"/>
  <c r="G472" i="7"/>
  <c r="G471" i="7"/>
  <c r="G470" i="7"/>
  <c r="G469" i="7"/>
  <c r="G468" i="7"/>
  <c r="G467" i="7"/>
  <c r="G466" i="7"/>
  <c r="G465" i="7"/>
  <c r="G464" i="7"/>
  <c r="G463" i="7"/>
  <c r="G462" i="7"/>
  <c r="G461" i="7"/>
  <c r="G460" i="7"/>
  <c r="G459" i="7"/>
  <c r="G458" i="7"/>
  <c r="G457" i="7"/>
  <c r="G456" i="7"/>
  <c r="G455" i="7"/>
  <c r="G454" i="7"/>
  <c r="G453" i="7"/>
  <c r="G452" i="7"/>
  <c r="G451" i="7"/>
  <c r="G450" i="7"/>
  <c r="G449" i="7"/>
  <c r="G448" i="7"/>
  <c r="G447" i="7"/>
  <c r="G446" i="7"/>
  <c r="G445" i="7"/>
  <c r="G444" i="7"/>
  <c r="G443" i="7"/>
  <c r="G442" i="7"/>
  <c r="G441" i="7"/>
  <c r="G440" i="7"/>
  <c r="G439" i="7"/>
  <c r="G438" i="7"/>
  <c r="G437" i="7"/>
  <c r="G436" i="7"/>
  <c r="G435" i="7"/>
  <c r="G434" i="7"/>
  <c r="G433" i="7"/>
  <c r="G432" i="7"/>
  <c r="G431" i="7"/>
  <c r="G430" i="7"/>
  <c r="G429" i="7"/>
  <c r="G428" i="7"/>
  <c r="G427" i="7"/>
  <c r="G426" i="7"/>
  <c r="G425" i="7"/>
  <c r="G424" i="7"/>
  <c r="G423" i="7"/>
  <c r="G422" i="7"/>
  <c r="G421" i="7"/>
  <c r="G420" i="7"/>
  <c r="G419" i="7"/>
  <c r="G418" i="7"/>
  <c r="G417" i="7"/>
  <c r="G416" i="7"/>
  <c r="G415" i="7"/>
  <c r="G414" i="7"/>
  <c r="G413" i="7"/>
  <c r="G412" i="7"/>
  <c r="G411" i="7"/>
  <c r="G410" i="7"/>
  <c r="G409" i="7"/>
  <c r="G408" i="7"/>
  <c r="G407" i="7"/>
  <c r="G406" i="7"/>
  <c r="G405" i="7"/>
  <c r="G404" i="7"/>
  <c r="G403" i="7"/>
  <c r="G402" i="7"/>
  <c r="G401" i="7"/>
  <c r="G400" i="7"/>
  <c r="G399" i="7"/>
  <c r="G398" i="7"/>
  <c r="G397" i="7"/>
  <c r="G396" i="7"/>
  <c r="G395" i="7"/>
  <c r="G394" i="7"/>
  <c r="G393" i="7"/>
  <c r="G392" i="7"/>
  <c r="G391" i="7"/>
  <c r="G390" i="7"/>
  <c r="G389" i="7"/>
  <c r="G388" i="7"/>
  <c r="G387" i="7"/>
  <c r="G386" i="7"/>
  <c r="G385" i="7"/>
  <c r="G384" i="7"/>
  <c r="G383" i="7"/>
  <c r="G382" i="7"/>
  <c r="G381" i="7"/>
  <c r="G380" i="7"/>
  <c r="G379" i="7"/>
  <c r="G378" i="7"/>
  <c r="G377" i="7"/>
  <c r="G376" i="7"/>
  <c r="G375" i="7"/>
  <c r="G374" i="7"/>
  <c r="G373" i="7"/>
  <c r="G372" i="7"/>
  <c r="G371" i="7"/>
  <c r="G370" i="7"/>
  <c r="G369" i="7"/>
  <c r="G368" i="7"/>
  <c r="G367" i="7"/>
  <c r="G366" i="7"/>
  <c r="G365" i="7"/>
  <c r="G364" i="7"/>
  <c r="G363" i="7"/>
  <c r="G362" i="7"/>
  <c r="G361" i="7"/>
  <c r="G360" i="7"/>
  <c r="G359" i="7"/>
  <c r="G358" i="7"/>
  <c r="G357" i="7"/>
  <c r="G356" i="7"/>
  <c r="G355" i="7"/>
  <c r="G354" i="7"/>
  <c r="G353" i="7"/>
  <c r="G352" i="7"/>
  <c r="G351" i="7"/>
  <c r="G350" i="7"/>
  <c r="G349" i="7"/>
  <c r="G348" i="7"/>
  <c r="G347" i="7"/>
  <c r="G346" i="7"/>
  <c r="G345" i="7"/>
  <c r="G344" i="7"/>
  <c r="G343" i="7"/>
  <c r="G342" i="7"/>
  <c r="G341" i="7"/>
  <c r="G340" i="7"/>
  <c r="G339" i="7"/>
  <c r="G338" i="7"/>
  <c r="G337" i="7"/>
  <c r="G336" i="7"/>
  <c r="G335" i="7"/>
  <c r="G334" i="7"/>
  <c r="G333" i="7"/>
  <c r="G332" i="7"/>
  <c r="G331" i="7"/>
  <c r="G330" i="7"/>
  <c r="G329" i="7"/>
  <c r="G328" i="7"/>
  <c r="G327" i="7"/>
  <c r="G326" i="7"/>
  <c r="G325" i="7"/>
  <c r="G324" i="7"/>
  <c r="G323" i="7"/>
  <c r="G322" i="7"/>
  <c r="G321" i="7"/>
  <c r="G320" i="7"/>
  <c r="G319" i="7"/>
  <c r="G318" i="7"/>
  <c r="G317" i="7"/>
  <c r="G316" i="7"/>
  <c r="G315" i="7"/>
  <c r="G314" i="7"/>
  <c r="G313" i="7"/>
  <c r="G312" i="7"/>
  <c r="G311" i="7"/>
  <c r="G310" i="7"/>
  <c r="G309" i="7"/>
  <c r="G308" i="7"/>
  <c r="G307" i="7"/>
  <c r="G306" i="7"/>
  <c r="G305" i="7"/>
  <c r="G304" i="7"/>
  <c r="G303" i="7"/>
  <c r="G302" i="7"/>
  <c r="G301" i="7"/>
  <c r="G300" i="7"/>
  <c r="G299" i="7"/>
  <c r="G298" i="7"/>
  <c r="G297" i="7"/>
  <c r="G296" i="7"/>
  <c r="G295" i="7"/>
  <c r="G294" i="7"/>
  <c r="G293" i="7"/>
  <c r="G292" i="7"/>
  <c r="G291" i="7"/>
  <c r="G290" i="7"/>
  <c r="G289" i="7"/>
  <c r="G288" i="7"/>
  <c r="G287" i="7"/>
  <c r="G286" i="7"/>
  <c r="G285" i="7"/>
  <c r="G284" i="7"/>
  <c r="G283" i="7"/>
  <c r="G282" i="7"/>
  <c r="G281" i="7"/>
  <c r="G280" i="7"/>
  <c r="G279" i="7"/>
  <c r="G278" i="7"/>
  <c r="G277" i="7"/>
  <c r="G276" i="7"/>
  <c r="G275" i="7"/>
  <c r="G274" i="7"/>
  <c r="G273" i="7"/>
  <c r="G272" i="7"/>
  <c r="G271" i="7"/>
  <c r="G270" i="7"/>
  <c r="G269" i="7"/>
  <c r="G268" i="7"/>
  <c r="G267" i="7"/>
  <c r="G266" i="7"/>
  <c r="G265" i="7"/>
  <c r="G264" i="7"/>
  <c r="G263" i="7"/>
  <c r="G262" i="7"/>
  <c r="G261" i="7"/>
  <c r="G260" i="7"/>
  <c r="G259" i="7"/>
  <c r="G258" i="7"/>
  <c r="G257" i="7"/>
  <c r="G256" i="7"/>
  <c r="G255" i="7"/>
  <c r="G254" i="7"/>
  <c r="G253" i="7"/>
  <c r="G252" i="7"/>
  <c r="G251" i="7"/>
  <c r="G250" i="7"/>
  <c r="G249" i="7"/>
  <c r="G248" i="7"/>
  <c r="G247" i="7"/>
  <c r="G246" i="7"/>
  <c r="G245" i="7"/>
  <c r="G244" i="7"/>
  <c r="G243" i="7"/>
  <c r="G242" i="7"/>
  <c r="G241" i="7"/>
  <c r="G240" i="7"/>
  <c r="G239" i="7"/>
  <c r="G238" i="7"/>
  <c r="G237" i="7"/>
  <c r="G236" i="7"/>
  <c r="G235" i="7"/>
  <c r="G234" i="7"/>
  <c r="G233" i="7"/>
  <c r="G232" i="7"/>
  <c r="G231" i="7"/>
  <c r="G230" i="7"/>
  <c r="G229" i="7"/>
  <c r="G228" i="7"/>
  <c r="G227" i="7"/>
  <c r="G226" i="7"/>
  <c r="G225" i="7"/>
  <c r="G224" i="7"/>
  <c r="G223" i="7"/>
  <c r="G222" i="7"/>
  <c r="G221" i="7"/>
  <c r="G220" i="7"/>
  <c r="G219" i="7"/>
  <c r="G218" i="7"/>
  <c r="G217" i="7"/>
  <c r="G216" i="7"/>
  <c r="G215" i="7"/>
  <c r="G214" i="7"/>
  <c r="G213" i="7"/>
  <c r="G212" i="7"/>
  <c r="G211" i="7"/>
  <c r="G210" i="7"/>
  <c r="G209" i="7"/>
  <c r="G208" i="7"/>
  <c r="G207" i="7"/>
  <c r="G206" i="7"/>
  <c r="G205" i="7"/>
  <c r="G204" i="7"/>
  <c r="G203" i="7"/>
  <c r="G202" i="7"/>
  <c r="G201" i="7"/>
  <c r="G200" i="7"/>
  <c r="G199" i="7"/>
  <c r="G198" i="7"/>
  <c r="G197" i="7"/>
  <c r="G196" i="7"/>
  <c r="G195" i="7"/>
  <c r="G194" i="7"/>
  <c r="G193" i="7"/>
  <c r="G192" i="7"/>
  <c r="G191" i="7"/>
  <c r="G190" i="7"/>
  <c r="G189" i="7"/>
  <c r="G188" i="7"/>
  <c r="G187" i="7"/>
  <c r="G186" i="7"/>
  <c r="G185" i="7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E12" i="7"/>
  <c r="G12" i="7" s="1"/>
  <c r="E11" i="7"/>
  <c r="G11" i="7" s="1"/>
  <c r="E10" i="7"/>
  <c r="G10" i="7" s="1"/>
  <c r="E9" i="7"/>
  <c r="G9" i="7" s="1"/>
  <c r="E8" i="7"/>
  <c r="G8" i="7" s="1"/>
  <c r="E7" i="7"/>
  <c r="G7" i="7" s="1"/>
  <c r="E6" i="7"/>
  <c r="G6" i="7" s="1"/>
  <c r="E5" i="7"/>
  <c r="G5" i="7" s="1"/>
  <c r="G4" i="7"/>
  <c r="G3" i="7"/>
  <c r="B26" i="6"/>
  <c r="B25" i="6"/>
  <c r="B24" i="6"/>
  <c r="B23" i="6"/>
  <c r="B22" i="6"/>
  <c r="B19" i="6"/>
  <c r="B18" i="6"/>
  <c r="B17" i="6"/>
  <c r="B16" i="6"/>
  <c r="B12" i="6"/>
  <c r="B11" i="6"/>
  <c r="B10" i="6"/>
  <c r="B9" i="6"/>
  <c r="B8" i="6"/>
  <c r="B7" i="6"/>
  <c r="C24" i="4"/>
  <c r="AT24" i="4" s="1"/>
  <c r="AU24" i="4" s="1"/>
  <c r="AV24" i="4" s="1"/>
  <c r="AW24" i="4" s="1"/>
  <c r="AX24" i="4" s="1"/>
  <c r="AY24" i="4" s="1"/>
  <c r="AZ24" i="4" s="1"/>
  <c r="BA24" i="4" s="1"/>
  <c r="BB24" i="4" s="1"/>
  <c r="BC24" i="4" s="1"/>
  <c r="BD24" i="4" s="1"/>
  <c r="BE24" i="4" s="1"/>
  <c r="BF24" i="4" s="1"/>
  <c r="BG24" i="4" s="1"/>
  <c r="BH24" i="4" s="1"/>
  <c r="BI24" i="4" s="1"/>
  <c r="BJ24" i="4" s="1"/>
  <c r="BK24" i="4" s="1"/>
  <c r="BL24" i="4" s="1"/>
  <c r="BM24" i="4" s="1"/>
  <c r="BN24" i="4" s="1"/>
  <c r="BO24" i="4" s="1"/>
  <c r="BP24" i="4" s="1"/>
  <c r="BQ24" i="4" s="1"/>
  <c r="BR24" i="4" s="1"/>
  <c r="BS24" i="4" s="1"/>
  <c r="BT24" i="4" s="1"/>
  <c r="BU24" i="4" s="1"/>
  <c r="BV24" i="4" s="1"/>
  <c r="BW24" i="4" s="1"/>
  <c r="B24" i="4"/>
  <c r="B25" i="5" s="1"/>
  <c r="B23" i="8" s="1"/>
  <c r="C23" i="4"/>
  <c r="AT23" i="4" s="1"/>
  <c r="AU23" i="4" s="1"/>
  <c r="AV23" i="4" s="1"/>
  <c r="AW23" i="4" s="1"/>
  <c r="AX23" i="4" s="1"/>
  <c r="AY23" i="4" s="1"/>
  <c r="AZ23" i="4" s="1"/>
  <c r="BA23" i="4" s="1"/>
  <c r="BB23" i="4" s="1"/>
  <c r="BC23" i="4" s="1"/>
  <c r="BD23" i="4" s="1"/>
  <c r="BE23" i="4" s="1"/>
  <c r="BF23" i="4" s="1"/>
  <c r="BG23" i="4" s="1"/>
  <c r="BH23" i="4" s="1"/>
  <c r="BI23" i="4" s="1"/>
  <c r="BJ23" i="4" s="1"/>
  <c r="BK23" i="4" s="1"/>
  <c r="BL23" i="4" s="1"/>
  <c r="BM23" i="4" s="1"/>
  <c r="BN23" i="4" s="1"/>
  <c r="BO23" i="4" s="1"/>
  <c r="BP23" i="4" s="1"/>
  <c r="BQ23" i="4" s="1"/>
  <c r="BR23" i="4" s="1"/>
  <c r="BS23" i="4" s="1"/>
  <c r="BT23" i="4" s="1"/>
  <c r="BU23" i="4" s="1"/>
  <c r="BV23" i="4" s="1"/>
  <c r="BW23" i="4" s="1"/>
  <c r="B23" i="4"/>
  <c r="B24" i="5" s="1"/>
  <c r="C22" i="4"/>
  <c r="AT22" i="4" s="1"/>
  <c r="AU22" i="4" s="1"/>
  <c r="AV22" i="4" s="1"/>
  <c r="AW22" i="4" s="1"/>
  <c r="AX22" i="4" s="1"/>
  <c r="AY22" i="4" s="1"/>
  <c r="AZ22" i="4" s="1"/>
  <c r="BA22" i="4" s="1"/>
  <c r="BB22" i="4" s="1"/>
  <c r="BC22" i="4" s="1"/>
  <c r="BD22" i="4" s="1"/>
  <c r="BE22" i="4" s="1"/>
  <c r="BF22" i="4" s="1"/>
  <c r="BG22" i="4" s="1"/>
  <c r="BH22" i="4" s="1"/>
  <c r="BI22" i="4" s="1"/>
  <c r="BJ22" i="4" s="1"/>
  <c r="BK22" i="4" s="1"/>
  <c r="BL22" i="4" s="1"/>
  <c r="BM22" i="4" s="1"/>
  <c r="BN22" i="4" s="1"/>
  <c r="BO22" i="4" s="1"/>
  <c r="BP22" i="4" s="1"/>
  <c r="BQ22" i="4" s="1"/>
  <c r="BR22" i="4" s="1"/>
  <c r="BS22" i="4" s="1"/>
  <c r="BT22" i="4" s="1"/>
  <c r="BU22" i="4" s="1"/>
  <c r="BV22" i="4" s="1"/>
  <c r="BW22" i="4" s="1"/>
  <c r="B22" i="4"/>
  <c r="B23" i="5" s="1"/>
  <c r="C21" i="4"/>
  <c r="AT21" i="4" s="1"/>
  <c r="AU21" i="4" s="1"/>
  <c r="AV21" i="4" s="1"/>
  <c r="AW21" i="4" s="1"/>
  <c r="AX21" i="4" s="1"/>
  <c r="AY21" i="4" s="1"/>
  <c r="AZ21" i="4" s="1"/>
  <c r="BA21" i="4" s="1"/>
  <c r="BB21" i="4" s="1"/>
  <c r="BC21" i="4" s="1"/>
  <c r="BD21" i="4" s="1"/>
  <c r="BE21" i="4" s="1"/>
  <c r="BF21" i="4" s="1"/>
  <c r="BG21" i="4" s="1"/>
  <c r="BH21" i="4" s="1"/>
  <c r="BI21" i="4" s="1"/>
  <c r="BJ21" i="4" s="1"/>
  <c r="BK21" i="4" s="1"/>
  <c r="BL21" i="4" s="1"/>
  <c r="BM21" i="4" s="1"/>
  <c r="BN21" i="4" s="1"/>
  <c r="BO21" i="4" s="1"/>
  <c r="BP21" i="4" s="1"/>
  <c r="BQ21" i="4" s="1"/>
  <c r="BR21" i="4" s="1"/>
  <c r="BS21" i="4" s="1"/>
  <c r="BT21" i="4" s="1"/>
  <c r="BU21" i="4" s="1"/>
  <c r="BV21" i="4" s="1"/>
  <c r="BW21" i="4" s="1"/>
  <c r="B21" i="4"/>
  <c r="B22" i="5" s="1"/>
  <c r="C20" i="4"/>
  <c r="AT20" i="4" s="1"/>
  <c r="AU20" i="4" s="1"/>
  <c r="AV20" i="4" s="1"/>
  <c r="AW20" i="4" s="1"/>
  <c r="AX20" i="4" s="1"/>
  <c r="AY20" i="4" s="1"/>
  <c r="AZ20" i="4" s="1"/>
  <c r="BA20" i="4" s="1"/>
  <c r="BB20" i="4" s="1"/>
  <c r="BC20" i="4" s="1"/>
  <c r="BD20" i="4" s="1"/>
  <c r="BE20" i="4" s="1"/>
  <c r="BF20" i="4" s="1"/>
  <c r="BG20" i="4" s="1"/>
  <c r="BH20" i="4" s="1"/>
  <c r="BI20" i="4" s="1"/>
  <c r="BJ20" i="4" s="1"/>
  <c r="BK20" i="4" s="1"/>
  <c r="BL20" i="4" s="1"/>
  <c r="BM20" i="4" s="1"/>
  <c r="BN20" i="4" s="1"/>
  <c r="BO20" i="4" s="1"/>
  <c r="BP20" i="4" s="1"/>
  <c r="BQ20" i="4" s="1"/>
  <c r="BR20" i="4" s="1"/>
  <c r="BS20" i="4" s="1"/>
  <c r="BT20" i="4" s="1"/>
  <c r="BU20" i="4" s="1"/>
  <c r="BV20" i="4" s="1"/>
  <c r="BW20" i="4" s="1"/>
  <c r="B20" i="4"/>
  <c r="B21" i="5" s="1"/>
  <c r="B69" i="8" s="1"/>
  <c r="AT19" i="4"/>
  <c r="AU19" i="4" s="1"/>
  <c r="AV19" i="4" s="1"/>
  <c r="AW19" i="4" s="1"/>
  <c r="AX19" i="4" s="1"/>
  <c r="AY19" i="4" s="1"/>
  <c r="AZ19" i="4" s="1"/>
  <c r="BA19" i="4" s="1"/>
  <c r="BB19" i="4" s="1"/>
  <c r="BC19" i="4" s="1"/>
  <c r="BD19" i="4" s="1"/>
  <c r="BE19" i="4" s="1"/>
  <c r="BF19" i="4" s="1"/>
  <c r="BG19" i="4" s="1"/>
  <c r="BH19" i="4" s="1"/>
  <c r="BI19" i="4" s="1"/>
  <c r="BJ19" i="4" s="1"/>
  <c r="BK19" i="4" s="1"/>
  <c r="BL19" i="4" s="1"/>
  <c r="BM19" i="4" s="1"/>
  <c r="BN19" i="4" s="1"/>
  <c r="BO19" i="4" s="1"/>
  <c r="BP19" i="4" s="1"/>
  <c r="BQ19" i="4" s="1"/>
  <c r="BR19" i="4" s="1"/>
  <c r="BS19" i="4" s="1"/>
  <c r="BT19" i="4" s="1"/>
  <c r="BU19" i="4" s="1"/>
  <c r="BV19" i="4" s="1"/>
  <c r="BW19" i="4" s="1"/>
  <c r="B19" i="4"/>
  <c r="B20" i="5" s="1"/>
  <c r="B93" i="8" s="1"/>
  <c r="AT18" i="4"/>
  <c r="AU18" i="4" s="1"/>
  <c r="AV18" i="4" s="1"/>
  <c r="AW18" i="4" s="1"/>
  <c r="AX18" i="4" s="1"/>
  <c r="AY18" i="4" s="1"/>
  <c r="AZ18" i="4" s="1"/>
  <c r="BA18" i="4" s="1"/>
  <c r="BB18" i="4" s="1"/>
  <c r="BC18" i="4" s="1"/>
  <c r="BD18" i="4" s="1"/>
  <c r="BE18" i="4" s="1"/>
  <c r="BF18" i="4" s="1"/>
  <c r="BG18" i="4" s="1"/>
  <c r="BH18" i="4" s="1"/>
  <c r="BI18" i="4" s="1"/>
  <c r="BJ18" i="4" s="1"/>
  <c r="BK18" i="4" s="1"/>
  <c r="BL18" i="4" s="1"/>
  <c r="BM18" i="4" s="1"/>
  <c r="BN18" i="4" s="1"/>
  <c r="BO18" i="4" s="1"/>
  <c r="BP18" i="4" s="1"/>
  <c r="BQ18" i="4" s="1"/>
  <c r="BR18" i="4" s="1"/>
  <c r="BS18" i="4" s="1"/>
  <c r="BT18" i="4" s="1"/>
  <c r="BU18" i="4" s="1"/>
  <c r="BV18" i="4" s="1"/>
  <c r="BW18" i="4" s="1"/>
  <c r="B18" i="4"/>
  <c r="B19" i="5" s="1"/>
  <c r="C17" i="4"/>
  <c r="AT17" i="4" s="1"/>
  <c r="AU17" i="4" s="1"/>
  <c r="AV17" i="4" s="1"/>
  <c r="AW17" i="4" s="1"/>
  <c r="AX17" i="4" s="1"/>
  <c r="AY17" i="4" s="1"/>
  <c r="AZ17" i="4" s="1"/>
  <c r="BA17" i="4" s="1"/>
  <c r="BB17" i="4" s="1"/>
  <c r="BC17" i="4" s="1"/>
  <c r="BD17" i="4" s="1"/>
  <c r="BE17" i="4" s="1"/>
  <c r="BF17" i="4" s="1"/>
  <c r="BG17" i="4" s="1"/>
  <c r="BH17" i="4" s="1"/>
  <c r="BI17" i="4" s="1"/>
  <c r="BJ17" i="4" s="1"/>
  <c r="BK17" i="4" s="1"/>
  <c r="BL17" i="4" s="1"/>
  <c r="BM17" i="4" s="1"/>
  <c r="BN17" i="4" s="1"/>
  <c r="BO17" i="4" s="1"/>
  <c r="BP17" i="4" s="1"/>
  <c r="BQ17" i="4" s="1"/>
  <c r="BR17" i="4" s="1"/>
  <c r="BS17" i="4" s="1"/>
  <c r="BT17" i="4" s="1"/>
  <c r="BU17" i="4" s="1"/>
  <c r="BV17" i="4" s="1"/>
  <c r="BW17" i="4" s="1"/>
  <c r="B17" i="4"/>
  <c r="B18" i="5" s="1"/>
  <c r="C16" i="4"/>
  <c r="AT16" i="4" s="1"/>
  <c r="AU16" i="4" s="1"/>
  <c r="AV16" i="4" s="1"/>
  <c r="AW16" i="4" s="1"/>
  <c r="AX16" i="4" s="1"/>
  <c r="AY16" i="4" s="1"/>
  <c r="AZ16" i="4" s="1"/>
  <c r="BA16" i="4" s="1"/>
  <c r="BB16" i="4" s="1"/>
  <c r="BC16" i="4" s="1"/>
  <c r="BD16" i="4" s="1"/>
  <c r="BE16" i="4" s="1"/>
  <c r="BF16" i="4" s="1"/>
  <c r="BG16" i="4" s="1"/>
  <c r="BH16" i="4" s="1"/>
  <c r="BI16" i="4" s="1"/>
  <c r="BJ16" i="4" s="1"/>
  <c r="BK16" i="4" s="1"/>
  <c r="BL16" i="4" s="1"/>
  <c r="BM16" i="4" s="1"/>
  <c r="BN16" i="4" s="1"/>
  <c r="BO16" i="4" s="1"/>
  <c r="BP16" i="4" s="1"/>
  <c r="BQ16" i="4" s="1"/>
  <c r="BR16" i="4" s="1"/>
  <c r="BS16" i="4" s="1"/>
  <c r="BT16" i="4" s="1"/>
  <c r="BU16" i="4" s="1"/>
  <c r="BV16" i="4" s="1"/>
  <c r="BW16" i="4" s="1"/>
  <c r="B16" i="4"/>
  <c r="B17" i="5" s="1"/>
  <c r="C15" i="4"/>
  <c r="AT15" i="4" s="1"/>
  <c r="AU15" i="4" s="1"/>
  <c r="AV15" i="4" s="1"/>
  <c r="AW15" i="4" s="1"/>
  <c r="AX15" i="4" s="1"/>
  <c r="AY15" i="4" s="1"/>
  <c r="AZ15" i="4" s="1"/>
  <c r="BA15" i="4" s="1"/>
  <c r="BB15" i="4" s="1"/>
  <c r="BC15" i="4" s="1"/>
  <c r="BD15" i="4" s="1"/>
  <c r="BE15" i="4" s="1"/>
  <c r="BF15" i="4" s="1"/>
  <c r="BG15" i="4" s="1"/>
  <c r="BH15" i="4" s="1"/>
  <c r="BI15" i="4" s="1"/>
  <c r="BJ15" i="4" s="1"/>
  <c r="BK15" i="4" s="1"/>
  <c r="BL15" i="4" s="1"/>
  <c r="BM15" i="4" s="1"/>
  <c r="BN15" i="4" s="1"/>
  <c r="BO15" i="4" s="1"/>
  <c r="BP15" i="4" s="1"/>
  <c r="BQ15" i="4" s="1"/>
  <c r="BR15" i="4" s="1"/>
  <c r="BS15" i="4" s="1"/>
  <c r="BT15" i="4" s="1"/>
  <c r="BU15" i="4" s="1"/>
  <c r="BV15" i="4" s="1"/>
  <c r="BW15" i="4" s="1"/>
  <c r="B15" i="4"/>
  <c r="B16" i="5" s="1"/>
  <c r="B40" i="5" s="1"/>
  <c r="C14" i="4"/>
  <c r="AT14" i="4" s="1"/>
  <c r="AU14" i="4" s="1"/>
  <c r="AV14" i="4" s="1"/>
  <c r="AW14" i="4" s="1"/>
  <c r="AX14" i="4" s="1"/>
  <c r="AY14" i="4" s="1"/>
  <c r="AZ14" i="4" s="1"/>
  <c r="BA14" i="4" s="1"/>
  <c r="BB14" i="4" s="1"/>
  <c r="BC14" i="4" s="1"/>
  <c r="BD14" i="4" s="1"/>
  <c r="BE14" i="4" s="1"/>
  <c r="BF14" i="4" s="1"/>
  <c r="BG14" i="4" s="1"/>
  <c r="BH14" i="4" s="1"/>
  <c r="BI14" i="4" s="1"/>
  <c r="BJ14" i="4" s="1"/>
  <c r="BK14" i="4" s="1"/>
  <c r="BL14" i="4" s="1"/>
  <c r="BM14" i="4" s="1"/>
  <c r="BN14" i="4" s="1"/>
  <c r="BO14" i="4" s="1"/>
  <c r="BP14" i="4" s="1"/>
  <c r="BQ14" i="4" s="1"/>
  <c r="BR14" i="4" s="1"/>
  <c r="BS14" i="4" s="1"/>
  <c r="BT14" i="4" s="1"/>
  <c r="BU14" i="4" s="1"/>
  <c r="BV14" i="4" s="1"/>
  <c r="BW14" i="4" s="1"/>
  <c r="B14" i="4"/>
  <c r="B15" i="5" s="1"/>
  <c r="B38" i="8" s="1"/>
  <c r="C13" i="4"/>
  <c r="AT13" i="4" s="1"/>
  <c r="AU13" i="4" s="1"/>
  <c r="AV13" i="4" s="1"/>
  <c r="AW13" i="4" s="1"/>
  <c r="AX13" i="4" s="1"/>
  <c r="AY13" i="4" s="1"/>
  <c r="AZ13" i="4" s="1"/>
  <c r="BA13" i="4" s="1"/>
  <c r="BB13" i="4" s="1"/>
  <c r="BC13" i="4" s="1"/>
  <c r="BD13" i="4" s="1"/>
  <c r="BE13" i="4" s="1"/>
  <c r="BF13" i="4" s="1"/>
  <c r="BG13" i="4" s="1"/>
  <c r="BH13" i="4" s="1"/>
  <c r="BI13" i="4" s="1"/>
  <c r="BJ13" i="4" s="1"/>
  <c r="BK13" i="4" s="1"/>
  <c r="BL13" i="4" s="1"/>
  <c r="BM13" i="4" s="1"/>
  <c r="BN13" i="4" s="1"/>
  <c r="BO13" i="4" s="1"/>
  <c r="BP13" i="4" s="1"/>
  <c r="BQ13" i="4" s="1"/>
  <c r="BR13" i="4" s="1"/>
  <c r="BS13" i="4" s="1"/>
  <c r="BT13" i="4" s="1"/>
  <c r="BU13" i="4" s="1"/>
  <c r="BV13" i="4" s="1"/>
  <c r="BW13" i="4" s="1"/>
  <c r="B13" i="4"/>
  <c r="B14" i="5" s="1"/>
  <c r="B62" i="8" s="1"/>
  <c r="C12" i="4"/>
  <c r="AT12" i="4" s="1"/>
  <c r="AU12" i="4" s="1"/>
  <c r="AV12" i="4" s="1"/>
  <c r="AW12" i="4" s="1"/>
  <c r="AX12" i="4" s="1"/>
  <c r="AY12" i="4" s="1"/>
  <c r="AZ12" i="4" s="1"/>
  <c r="BA12" i="4" s="1"/>
  <c r="BB12" i="4" s="1"/>
  <c r="BC12" i="4" s="1"/>
  <c r="BD12" i="4" s="1"/>
  <c r="BE12" i="4" s="1"/>
  <c r="BF12" i="4" s="1"/>
  <c r="BG12" i="4" s="1"/>
  <c r="BH12" i="4" s="1"/>
  <c r="BI12" i="4" s="1"/>
  <c r="BJ12" i="4" s="1"/>
  <c r="BK12" i="4" s="1"/>
  <c r="BL12" i="4" s="1"/>
  <c r="BM12" i="4" s="1"/>
  <c r="BN12" i="4" s="1"/>
  <c r="BO12" i="4" s="1"/>
  <c r="BP12" i="4" s="1"/>
  <c r="BQ12" i="4" s="1"/>
  <c r="BR12" i="4" s="1"/>
  <c r="BS12" i="4" s="1"/>
  <c r="BT12" i="4" s="1"/>
  <c r="BU12" i="4" s="1"/>
  <c r="BV12" i="4" s="1"/>
  <c r="BW12" i="4" s="1"/>
  <c r="B12" i="4"/>
  <c r="B13" i="5" s="1"/>
  <c r="B86" i="8" s="1"/>
  <c r="C11" i="4"/>
  <c r="AT11" i="4" s="1"/>
  <c r="AU11" i="4" s="1"/>
  <c r="AV11" i="4" s="1"/>
  <c r="AW11" i="4" s="1"/>
  <c r="AX11" i="4" s="1"/>
  <c r="AY11" i="4" s="1"/>
  <c r="AZ11" i="4" s="1"/>
  <c r="BA11" i="4" s="1"/>
  <c r="BB11" i="4" s="1"/>
  <c r="BC11" i="4" s="1"/>
  <c r="BD11" i="4" s="1"/>
  <c r="BE11" i="4" s="1"/>
  <c r="BF11" i="4" s="1"/>
  <c r="BG11" i="4" s="1"/>
  <c r="BH11" i="4" s="1"/>
  <c r="BI11" i="4" s="1"/>
  <c r="BJ11" i="4" s="1"/>
  <c r="BK11" i="4" s="1"/>
  <c r="BL11" i="4" s="1"/>
  <c r="BM11" i="4" s="1"/>
  <c r="BN11" i="4" s="1"/>
  <c r="BO11" i="4" s="1"/>
  <c r="BP11" i="4" s="1"/>
  <c r="BQ11" i="4" s="1"/>
  <c r="BR11" i="4" s="1"/>
  <c r="BS11" i="4" s="1"/>
  <c r="BT11" i="4" s="1"/>
  <c r="BU11" i="4" s="1"/>
  <c r="BV11" i="4" s="1"/>
  <c r="BW11" i="4" s="1"/>
  <c r="B11" i="4"/>
  <c r="B12" i="5" s="1"/>
  <c r="C10" i="4"/>
  <c r="AT10" i="4" s="1"/>
  <c r="AU10" i="4" s="1"/>
  <c r="AV10" i="4" s="1"/>
  <c r="AW10" i="4" s="1"/>
  <c r="AX10" i="4" s="1"/>
  <c r="AY10" i="4" s="1"/>
  <c r="AZ10" i="4" s="1"/>
  <c r="BA10" i="4" s="1"/>
  <c r="BB10" i="4" s="1"/>
  <c r="BC10" i="4" s="1"/>
  <c r="BD10" i="4" s="1"/>
  <c r="BE10" i="4" s="1"/>
  <c r="BF10" i="4" s="1"/>
  <c r="BG10" i="4" s="1"/>
  <c r="BH10" i="4" s="1"/>
  <c r="BI10" i="4" s="1"/>
  <c r="BJ10" i="4" s="1"/>
  <c r="BK10" i="4" s="1"/>
  <c r="BL10" i="4" s="1"/>
  <c r="BM10" i="4" s="1"/>
  <c r="BN10" i="4" s="1"/>
  <c r="BO10" i="4" s="1"/>
  <c r="BP10" i="4" s="1"/>
  <c r="BQ10" i="4" s="1"/>
  <c r="BR10" i="4" s="1"/>
  <c r="BS10" i="4" s="1"/>
  <c r="BT10" i="4" s="1"/>
  <c r="BU10" i="4" s="1"/>
  <c r="BV10" i="4" s="1"/>
  <c r="BW10" i="4" s="1"/>
  <c r="B10" i="4"/>
  <c r="B11" i="5" s="1"/>
  <c r="C9" i="4"/>
  <c r="AT9" i="4" s="1"/>
  <c r="AU9" i="4" s="1"/>
  <c r="AV9" i="4" s="1"/>
  <c r="AW9" i="4" s="1"/>
  <c r="AX9" i="4" s="1"/>
  <c r="AY9" i="4" s="1"/>
  <c r="AZ9" i="4" s="1"/>
  <c r="BA9" i="4" s="1"/>
  <c r="BB9" i="4" s="1"/>
  <c r="BC9" i="4" s="1"/>
  <c r="BD9" i="4" s="1"/>
  <c r="BE9" i="4" s="1"/>
  <c r="BF9" i="4" s="1"/>
  <c r="BG9" i="4" s="1"/>
  <c r="BH9" i="4" s="1"/>
  <c r="BI9" i="4" s="1"/>
  <c r="BJ9" i="4" s="1"/>
  <c r="BK9" i="4" s="1"/>
  <c r="BL9" i="4" s="1"/>
  <c r="BM9" i="4" s="1"/>
  <c r="BN9" i="4" s="1"/>
  <c r="BO9" i="4" s="1"/>
  <c r="BP9" i="4" s="1"/>
  <c r="BQ9" i="4" s="1"/>
  <c r="BR9" i="4" s="1"/>
  <c r="BS9" i="4" s="1"/>
  <c r="BT9" i="4" s="1"/>
  <c r="BU9" i="4" s="1"/>
  <c r="BV9" i="4" s="1"/>
  <c r="BW9" i="4" s="1"/>
  <c r="B9" i="4"/>
  <c r="B10" i="5" s="1"/>
  <c r="B33" i="8" s="1"/>
  <c r="C8" i="4"/>
  <c r="AT8" i="4" s="1"/>
  <c r="AU8" i="4" s="1"/>
  <c r="AV8" i="4" s="1"/>
  <c r="AW8" i="4" s="1"/>
  <c r="AX8" i="4" s="1"/>
  <c r="AY8" i="4" s="1"/>
  <c r="AZ8" i="4" s="1"/>
  <c r="BA8" i="4" s="1"/>
  <c r="BB8" i="4" s="1"/>
  <c r="BC8" i="4" s="1"/>
  <c r="BD8" i="4" s="1"/>
  <c r="BE8" i="4" s="1"/>
  <c r="BF8" i="4" s="1"/>
  <c r="BG8" i="4" s="1"/>
  <c r="BH8" i="4" s="1"/>
  <c r="BI8" i="4" s="1"/>
  <c r="BJ8" i="4" s="1"/>
  <c r="BK8" i="4" s="1"/>
  <c r="BL8" i="4" s="1"/>
  <c r="BM8" i="4" s="1"/>
  <c r="BN8" i="4" s="1"/>
  <c r="BO8" i="4" s="1"/>
  <c r="BP8" i="4" s="1"/>
  <c r="BQ8" i="4" s="1"/>
  <c r="BR8" i="4" s="1"/>
  <c r="BS8" i="4" s="1"/>
  <c r="BT8" i="4" s="1"/>
  <c r="BU8" i="4" s="1"/>
  <c r="BV8" i="4" s="1"/>
  <c r="BW8" i="4" s="1"/>
  <c r="B8" i="4"/>
  <c r="B9" i="5" s="1"/>
  <c r="C7" i="4"/>
  <c r="AT7" i="4" s="1"/>
  <c r="AU7" i="4" s="1"/>
  <c r="AV7" i="4" s="1"/>
  <c r="AW7" i="4" s="1"/>
  <c r="AX7" i="4" s="1"/>
  <c r="AY7" i="4" s="1"/>
  <c r="AZ7" i="4" s="1"/>
  <c r="BA7" i="4" s="1"/>
  <c r="BB7" i="4" s="1"/>
  <c r="BC7" i="4" s="1"/>
  <c r="BD7" i="4" s="1"/>
  <c r="BE7" i="4" s="1"/>
  <c r="BF7" i="4" s="1"/>
  <c r="BG7" i="4" s="1"/>
  <c r="BH7" i="4" s="1"/>
  <c r="BI7" i="4" s="1"/>
  <c r="BJ7" i="4" s="1"/>
  <c r="BK7" i="4" s="1"/>
  <c r="BL7" i="4" s="1"/>
  <c r="BM7" i="4" s="1"/>
  <c r="BN7" i="4" s="1"/>
  <c r="BO7" i="4" s="1"/>
  <c r="BP7" i="4" s="1"/>
  <c r="BQ7" i="4" s="1"/>
  <c r="BR7" i="4" s="1"/>
  <c r="BS7" i="4" s="1"/>
  <c r="BT7" i="4" s="1"/>
  <c r="BU7" i="4" s="1"/>
  <c r="BV7" i="4" s="1"/>
  <c r="BW7" i="4" s="1"/>
  <c r="B7" i="4"/>
  <c r="B8" i="5" s="1"/>
  <c r="B31" i="8" s="1"/>
  <c r="C6" i="4"/>
  <c r="AT6" i="4" s="1"/>
  <c r="AU6" i="4" s="1"/>
  <c r="AV6" i="4" s="1"/>
  <c r="AW6" i="4" s="1"/>
  <c r="AX6" i="4" s="1"/>
  <c r="AY6" i="4" s="1"/>
  <c r="AZ6" i="4" s="1"/>
  <c r="BA6" i="4" s="1"/>
  <c r="BB6" i="4" s="1"/>
  <c r="BC6" i="4" s="1"/>
  <c r="BD6" i="4" s="1"/>
  <c r="BE6" i="4" s="1"/>
  <c r="BF6" i="4" s="1"/>
  <c r="BG6" i="4" s="1"/>
  <c r="BH6" i="4" s="1"/>
  <c r="BI6" i="4" s="1"/>
  <c r="BJ6" i="4" s="1"/>
  <c r="BK6" i="4" s="1"/>
  <c r="BL6" i="4" s="1"/>
  <c r="BM6" i="4" s="1"/>
  <c r="BN6" i="4" s="1"/>
  <c r="BO6" i="4" s="1"/>
  <c r="BP6" i="4" s="1"/>
  <c r="BQ6" i="4" s="1"/>
  <c r="BR6" i="4" s="1"/>
  <c r="BS6" i="4" s="1"/>
  <c r="BT6" i="4" s="1"/>
  <c r="BU6" i="4" s="1"/>
  <c r="BV6" i="4" s="1"/>
  <c r="BW6" i="4" s="1"/>
  <c r="B6" i="4"/>
  <c r="B7" i="5" s="1"/>
  <c r="B5" i="8" s="1"/>
  <c r="H5" i="4"/>
  <c r="I5" i="4" s="1"/>
  <c r="B5" i="4"/>
  <c r="B6" i="5" s="1"/>
  <c r="H416" i="3"/>
  <c r="F416" i="3"/>
  <c r="C415" i="3"/>
  <c r="C413" i="3"/>
  <c r="F412" i="3"/>
  <c r="B412" i="3"/>
  <c r="A411" i="3"/>
  <c r="G417" i="3" s="1"/>
  <c r="A403" i="3"/>
  <c r="C407" i="3" s="1"/>
  <c r="A395" i="3"/>
  <c r="E399" i="3" s="1"/>
  <c r="A387" i="3"/>
  <c r="K390" i="3" s="1"/>
  <c r="A379" i="3"/>
  <c r="K383" i="3" s="1"/>
  <c r="A371" i="3"/>
  <c r="I377" i="3" s="1"/>
  <c r="K369" i="3"/>
  <c r="M364" i="3"/>
  <c r="I364" i="3"/>
  <c r="A363" i="3"/>
  <c r="G370" i="3" s="1"/>
  <c r="A355" i="3"/>
  <c r="M351" i="3"/>
  <c r="K350" i="3"/>
  <c r="B350" i="3"/>
  <c r="E349" i="3"/>
  <c r="A347" i="3"/>
  <c r="K354" i="3" s="1"/>
  <c r="A339" i="3"/>
  <c r="L343" i="3" s="1"/>
  <c r="A331" i="3"/>
  <c r="G333" i="3" s="1"/>
  <c r="H326" i="3"/>
  <c r="A323" i="3"/>
  <c r="F330" i="3" s="1"/>
  <c r="A315" i="3"/>
  <c r="F317" i="3" s="1"/>
  <c r="A307" i="3"/>
  <c r="E313" i="3" s="1"/>
  <c r="A299" i="3"/>
  <c r="G306" i="3" s="1"/>
  <c r="A291" i="3"/>
  <c r="H297" i="3" s="1"/>
  <c r="A283" i="3"/>
  <c r="I290" i="3" s="1"/>
  <c r="A275" i="3"/>
  <c r="D279" i="3" s="1"/>
  <c r="D273" i="3"/>
  <c r="M271" i="3"/>
  <c r="K268" i="3"/>
  <c r="D268" i="3"/>
  <c r="B268" i="3"/>
  <c r="A267" i="3"/>
  <c r="K274" i="3" s="1"/>
  <c r="A259" i="3"/>
  <c r="B261" i="3" s="1"/>
  <c r="A251" i="3"/>
  <c r="F255" i="3" s="1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B206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A194" i="3"/>
  <c r="A90" i="3" s="1"/>
  <c r="A193" i="3"/>
  <c r="A89" i="3" s="1"/>
  <c r="A192" i="3"/>
  <c r="A218" i="3" s="1"/>
  <c r="A243" i="3" s="1"/>
  <c r="A191" i="3"/>
  <c r="A190" i="3"/>
  <c r="A86" i="3" s="1"/>
  <c r="A189" i="3"/>
  <c r="A215" i="3" s="1"/>
  <c r="A240" i="3" s="1"/>
  <c r="A188" i="3"/>
  <c r="A84" i="3" s="1"/>
  <c r="A187" i="3"/>
  <c r="A83" i="3" s="1"/>
  <c r="A186" i="3"/>
  <c r="A82" i="3" s="1"/>
  <c r="A185" i="3"/>
  <c r="A211" i="3" s="1"/>
  <c r="A236" i="3" s="1"/>
  <c r="A184" i="3"/>
  <c r="A210" i="3" s="1"/>
  <c r="A235" i="3" s="1"/>
  <c r="A183" i="3"/>
  <c r="A209" i="3" s="1"/>
  <c r="A234" i="3" s="1"/>
  <c r="A182" i="3"/>
  <c r="A181" i="3"/>
  <c r="A207" i="3" s="1"/>
  <c r="A232" i="3" s="1"/>
  <c r="A180" i="3"/>
  <c r="A206" i="3" s="1"/>
  <c r="A231" i="3" s="1"/>
  <c r="A179" i="3"/>
  <c r="A75" i="3" s="1"/>
  <c r="A178" i="3"/>
  <c r="A74" i="3" s="1"/>
  <c r="A177" i="3"/>
  <c r="A203" i="3" s="1"/>
  <c r="A228" i="3" s="1"/>
  <c r="A176" i="3"/>
  <c r="A175" i="3"/>
  <c r="A201" i="3" s="1"/>
  <c r="A226" i="3" s="1"/>
  <c r="A174" i="3"/>
  <c r="A70" i="3" s="1"/>
  <c r="A173" i="3"/>
  <c r="A171" i="3"/>
  <c r="A68" i="3" s="1"/>
  <c r="A198" i="3" s="1"/>
  <c r="B167" i="3"/>
  <c r="B166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0" i="3"/>
  <c r="C150" i="3" s="1"/>
  <c r="D150" i="3" s="1"/>
  <c r="E150" i="3" s="1"/>
  <c r="F150" i="3" s="1"/>
  <c r="G150" i="3" s="1"/>
  <c r="H150" i="3" s="1"/>
  <c r="I150" i="3" s="1"/>
  <c r="J150" i="3" s="1"/>
  <c r="K150" i="3" s="1"/>
  <c r="L150" i="3" s="1"/>
  <c r="M150" i="3" s="1"/>
  <c r="N150" i="3" s="1"/>
  <c r="O150" i="3" s="1"/>
  <c r="P150" i="3" s="1"/>
  <c r="Q150" i="3" s="1"/>
  <c r="R150" i="3" s="1"/>
  <c r="S150" i="3" s="1"/>
  <c r="T150" i="3" s="1"/>
  <c r="U150" i="3" s="1"/>
  <c r="V150" i="3" s="1"/>
  <c r="W150" i="3" s="1"/>
  <c r="X150" i="3" s="1"/>
  <c r="Y150" i="3" s="1"/>
  <c r="Z150" i="3" s="1"/>
  <c r="AA150" i="3" s="1"/>
  <c r="AB150" i="3" s="1"/>
  <c r="AC150" i="3" s="1"/>
  <c r="AD150" i="3" s="1"/>
  <c r="AE150" i="3" s="1"/>
  <c r="B149" i="3"/>
  <c r="C149" i="3" s="1"/>
  <c r="D149" i="3" s="1"/>
  <c r="E149" i="3" s="1"/>
  <c r="F149" i="3" s="1"/>
  <c r="G149" i="3" s="1"/>
  <c r="H149" i="3" s="1"/>
  <c r="I149" i="3" s="1"/>
  <c r="J149" i="3" s="1"/>
  <c r="K149" i="3" s="1"/>
  <c r="L149" i="3" s="1"/>
  <c r="M149" i="3" s="1"/>
  <c r="N149" i="3" s="1"/>
  <c r="O149" i="3" s="1"/>
  <c r="P149" i="3" s="1"/>
  <c r="Q149" i="3" s="1"/>
  <c r="R149" i="3" s="1"/>
  <c r="S149" i="3" s="1"/>
  <c r="T149" i="3" s="1"/>
  <c r="U149" i="3" s="1"/>
  <c r="V149" i="3" s="1"/>
  <c r="W149" i="3" s="1"/>
  <c r="X149" i="3" s="1"/>
  <c r="Y149" i="3" s="1"/>
  <c r="Z149" i="3" s="1"/>
  <c r="AA149" i="3" s="1"/>
  <c r="AB149" i="3" s="1"/>
  <c r="AC149" i="3" s="1"/>
  <c r="AD149" i="3" s="1"/>
  <c r="AE149" i="3" s="1"/>
  <c r="C148" i="3"/>
  <c r="D148" i="3" s="1"/>
  <c r="E148" i="3" s="1"/>
  <c r="F148" i="3" s="1"/>
  <c r="G148" i="3" s="1"/>
  <c r="H148" i="3" s="1"/>
  <c r="I148" i="3" s="1"/>
  <c r="J148" i="3" s="1"/>
  <c r="K148" i="3" s="1"/>
  <c r="L148" i="3" s="1"/>
  <c r="M148" i="3" s="1"/>
  <c r="N148" i="3" s="1"/>
  <c r="O148" i="3" s="1"/>
  <c r="P148" i="3" s="1"/>
  <c r="Q148" i="3" s="1"/>
  <c r="R148" i="3" s="1"/>
  <c r="S148" i="3" s="1"/>
  <c r="T148" i="3" s="1"/>
  <c r="U148" i="3" s="1"/>
  <c r="V148" i="3" s="1"/>
  <c r="W148" i="3" s="1"/>
  <c r="X148" i="3" s="1"/>
  <c r="Y148" i="3" s="1"/>
  <c r="Z148" i="3" s="1"/>
  <c r="AA148" i="3" s="1"/>
  <c r="AB148" i="3" s="1"/>
  <c r="AC148" i="3" s="1"/>
  <c r="AD148" i="3" s="1"/>
  <c r="AE148" i="3" s="1"/>
  <c r="A145" i="3"/>
  <c r="B142" i="3"/>
  <c r="B141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5" i="3"/>
  <c r="C125" i="3" s="1"/>
  <c r="D125" i="3" s="1"/>
  <c r="E125" i="3" s="1"/>
  <c r="F125" i="3" s="1"/>
  <c r="G125" i="3" s="1"/>
  <c r="H125" i="3" s="1"/>
  <c r="I125" i="3" s="1"/>
  <c r="J125" i="3" s="1"/>
  <c r="K125" i="3" s="1"/>
  <c r="L125" i="3" s="1"/>
  <c r="B124" i="3"/>
  <c r="C124" i="3" s="1"/>
  <c r="D124" i="3" s="1"/>
  <c r="E124" i="3" s="1"/>
  <c r="F124" i="3" s="1"/>
  <c r="G124" i="3" s="1"/>
  <c r="H124" i="3" s="1"/>
  <c r="I124" i="3" s="1"/>
  <c r="J124" i="3" s="1"/>
  <c r="K124" i="3" s="1"/>
  <c r="L124" i="3" s="1"/>
  <c r="M124" i="3" s="1"/>
  <c r="N124" i="3" s="1"/>
  <c r="C123" i="3"/>
  <c r="D123" i="3" s="1"/>
  <c r="E123" i="3" s="1"/>
  <c r="F123" i="3" s="1"/>
  <c r="G123" i="3" s="1"/>
  <c r="H123" i="3" s="1"/>
  <c r="A122" i="3"/>
  <c r="A147" i="3" s="1"/>
  <c r="A120" i="3"/>
  <c r="C117" i="3"/>
  <c r="C167" i="3" s="1"/>
  <c r="A117" i="3"/>
  <c r="A142" i="3" s="1"/>
  <c r="A167" i="3" s="1"/>
  <c r="C116" i="3"/>
  <c r="C141" i="3" s="1"/>
  <c r="A116" i="3"/>
  <c r="A141" i="3" s="1"/>
  <c r="A166" i="3" s="1"/>
  <c r="B115" i="3"/>
  <c r="B165" i="3" s="1"/>
  <c r="A115" i="3"/>
  <c r="A140" i="3" s="1"/>
  <c r="A165" i="3" s="1"/>
  <c r="B114" i="3"/>
  <c r="B164" i="3" s="1"/>
  <c r="A114" i="3"/>
  <c r="A139" i="3" s="1"/>
  <c r="A164" i="3" s="1"/>
  <c r="C113" i="3"/>
  <c r="A113" i="3"/>
  <c r="A138" i="3" s="1"/>
  <c r="A163" i="3" s="1"/>
  <c r="C112" i="3"/>
  <c r="A112" i="3"/>
  <c r="A137" i="3" s="1"/>
  <c r="A162" i="3" s="1"/>
  <c r="C111" i="3"/>
  <c r="C161" i="3" s="1"/>
  <c r="A111" i="3"/>
  <c r="A136" i="3" s="1"/>
  <c r="A161" i="3" s="1"/>
  <c r="C110" i="3"/>
  <c r="C135" i="3" s="1"/>
  <c r="A110" i="3"/>
  <c r="A135" i="3" s="1"/>
  <c r="A160" i="3" s="1"/>
  <c r="C109" i="3"/>
  <c r="C159" i="3" s="1"/>
  <c r="A109" i="3"/>
  <c r="A134" i="3" s="1"/>
  <c r="A159" i="3" s="1"/>
  <c r="C108" i="3"/>
  <c r="C133" i="3" s="1"/>
  <c r="A108" i="3"/>
  <c r="A133" i="3" s="1"/>
  <c r="A158" i="3" s="1"/>
  <c r="C107" i="3"/>
  <c r="D107" i="3" s="1"/>
  <c r="A107" i="3"/>
  <c r="A132" i="3" s="1"/>
  <c r="A157" i="3" s="1"/>
  <c r="C106" i="3"/>
  <c r="D106" i="3" s="1"/>
  <c r="A106" i="3"/>
  <c r="A131" i="3" s="1"/>
  <c r="A156" i="3" s="1"/>
  <c r="C105" i="3"/>
  <c r="C155" i="3" s="1"/>
  <c r="A105" i="3"/>
  <c r="A130" i="3" s="1"/>
  <c r="A155" i="3" s="1"/>
  <c r="C104" i="3"/>
  <c r="C129" i="3" s="1"/>
  <c r="A104" i="3"/>
  <c r="A129" i="3" s="1"/>
  <c r="A154" i="3" s="1"/>
  <c r="C103" i="3"/>
  <c r="D103" i="3" s="1"/>
  <c r="A103" i="3"/>
  <c r="A128" i="3" s="1"/>
  <c r="A153" i="3" s="1"/>
  <c r="C102" i="3"/>
  <c r="D102" i="3" s="1"/>
  <c r="D127" i="3" s="1"/>
  <c r="A102" i="3"/>
  <c r="A127" i="3" s="1"/>
  <c r="A152" i="3" s="1"/>
  <c r="B101" i="3"/>
  <c r="B126" i="3" s="1"/>
  <c r="A101" i="3"/>
  <c r="A126" i="3" s="1"/>
  <c r="A151" i="3" s="1"/>
  <c r="C100" i="3"/>
  <c r="D100" i="3" s="1"/>
  <c r="E100" i="3" s="1"/>
  <c r="F100" i="3" s="1"/>
  <c r="G100" i="3" s="1"/>
  <c r="H100" i="3" s="1"/>
  <c r="I100" i="3" s="1"/>
  <c r="J100" i="3" s="1"/>
  <c r="K100" i="3" s="1"/>
  <c r="L100" i="3" s="1"/>
  <c r="M100" i="3" s="1"/>
  <c r="N100" i="3" s="1"/>
  <c r="O100" i="3" s="1"/>
  <c r="P100" i="3" s="1"/>
  <c r="Q100" i="3" s="1"/>
  <c r="R100" i="3" s="1"/>
  <c r="S100" i="3" s="1"/>
  <c r="T100" i="3" s="1"/>
  <c r="U100" i="3" s="1"/>
  <c r="V100" i="3" s="1"/>
  <c r="W100" i="3" s="1"/>
  <c r="X100" i="3" s="1"/>
  <c r="Y100" i="3" s="1"/>
  <c r="Z100" i="3" s="1"/>
  <c r="AA100" i="3" s="1"/>
  <c r="AB100" i="3" s="1"/>
  <c r="AC100" i="3" s="1"/>
  <c r="AD100" i="3" s="1"/>
  <c r="AE100" i="3" s="1"/>
  <c r="A100" i="3"/>
  <c r="A125" i="3" s="1"/>
  <c r="A150" i="3" s="1"/>
  <c r="C99" i="3"/>
  <c r="D99" i="3" s="1"/>
  <c r="E99" i="3" s="1"/>
  <c r="F99" i="3" s="1"/>
  <c r="G99" i="3" s="1"/>
  <c r="H99" i="3" s="1"/>
  <c r="I99" i="3" s="1"/>
  <c r="J99" i="3" s="1"/>
  <c r="K99" i="3" s="1"/>
  <c r="L99" i="3" s="1"/>
  <c r="M99" i="3" s="1"/>
  <c r="N99" i="3" s="1"/>
  <c r="O99" i="3" s="1"/>
  <c r="P99" i="3" s="1"/>
  <c r="Q99" i="3" s="1"/>
  <c r="R99" i="3" s="1"/>
  <c r="S99" i="3" s="1"/>
  <c r="T99" i="3" s="1"/>
  <c r="U99" i="3" s="1"/>
  <c r="V99" i="3" s="1"/>
  <c r="W99" i="3" s="1"/>
  <c r="X99" i="3" s="1"/>
  <c r="Y99" i="3" s="1"/>
  <c r="Z99" i="3" s="1"/>
  <c r="AA99" i="3" s="1"/>
  <c r="AB99" i="3" s="1"/>
  <c r="AC99" i="3" s="1"/>
  <c r="AD99" i="3" s="1"/>
  <c r="AE99" i="3" s="1"/>
  <c r="A99" i="3"/>
  <c r="A124" i="3" s="1"/>
  <c r="A149" i="3" s="1"/>
  <c r="C98" i="3"/>
  <c r="D98" i="3" s="1"/>
  <c r="E98" i="3" s="1"/>
  <c r="F98" i="3" s="1"/>
  <c r="G98" i="3" s="1"/>
  <c r="H98" i="3" s="1"/>
  <c r="I98" i="3" s="1"/>
  <c r="J98" i="3" s="1"/>
  <c r="K98" i="3" s="1"/>
  <c r="L98" i="3" s="1"/>
  <c r="M98" i="3" s="1"/>
  <c r="N98" i="3" s="1"/>
  <c r="O98" i="3" s="1"/>
  <c r="P98" i="3" s="1"/>
  <c r="Q98" i="3" s="1"/>
  <c r="R98" i="3" s="1"/>
  <c r="S98" i="3" s="1"/>
  <c r="T98" i="3" s="1"/>
  <c r="U98" i="3" s="1"/>
  <c r="V98" i="3" s="1"/>
  <c r="W98" i="3" s="1"/>
  <c r="X98" i="3" s="1"/>
  <c r="Y98" i="3" s="1"/>
  <c r="Z98" i="3" s="1"/>
  <c r="AA98" i="3" s="1"/>
  <c r="AB98" i="3" s="1"/>
  <c r="AC98" i="3" s="1"/>
  <c r="AD98" i="3" s="1"/>
  <c r="AE98" i="3" s="1"/>
  <c r="A98" i="3"/>
  <c r="A123" i="3" s="1"/>
  <c r="A148" i="3" s="1"/>
  <c r="A95" i="3"/>
  <c r="A64" i="3"/>
  <c r="A63" i="3"/>
  <c r="A62" i="3"/>
  <c r="A61" i="3"/>
  <c r="A60" i="3"/>
  <c r="A59" i="3"/>
  <c r="A58" i="3"/>
  <c r="A57" i="3"/>
  <c r="A56" i="3"/>
  <c r="A55" i="3"/>
  <c r="A54" i="3"/>
  <c r="A53" i="3"/>
  <c r="A52" i="3"/>
  <c r="A51" i="3"/>
  <c r="A50" i="3"/>
  <c r="A49" i="3"/>
  <c r="A48" i="3"/>
  <c r="A47" i="3"/>
  <c r="A46" i="3"/>
  <c r="A45" i="3"/>
  <c r="A42" i="3"/>
  <c r="AB39" i="3"/>
  <c r="V39" i="3"/>
  <c r="N39" i="3"/>
  <c r="AB38" i="3"/>
  <c r="V38" i="3"/>
  <c r="N38" i="3"/>
  <c r="AB37" i="3"/>
  <c r="V37" i="3"/>
  <c r="N37" i="3"/>
  <c r="AB36" i="3"/>
  <c r="V36" i="3"/>
  <c r="N36" i="3"/>
  <c r="AB35" i="3"/>
  <c r="V35" i="3"/>
  <c r="N35" i="3"/>
  <c r="AB34" i="3"/>
  <c r="V34" i="3"/>
  <c r="N34" i="3"/>
  <c r="AB33" i="3"/>
  <c r="V33" i="3"/>
  <c r="N33" i="3"/>
  <c r="AB32" i="3"/>
  <c r="V32" i="3"/>
  <c r="N32" i="3"/>
  <c r="AB31" i="3"/>
  <c r="V31" i="3"/>
  <c r="N31" i="3"/>
  <c r="AB30" i="3"/>
  <c r="V30" i="3"/>
  <c r="N30" i="3"/>
  <c r="AB29" i="3"/>
  <c r="V29" i="3"/>
  <c r="N29" i="3"/>
  <c r="AB28" i="3"/>
  <c r="V28" i="3"/>
  <c r="N28" i="3"/>
  <c r="AB27" i="3"/>
  <c r="V27" i="3"/>
  <c r="N27" i="3"/>
  <c r="AB26" i="3"/>
  <c r="V26" i="3"/>
  <c r="N26" i="3"/>
  <c r="AB25" i="3"/>
  <c r="V25" i="3"/>
  <c r="N25" i="3"/>
  <c r="AB24" i="3"/>
  <c r="V24" i="3"/>
  <c r="N24" i="3"/>
  <c r="AB23" i="3"/>
  <c r="V23" i="3"/>
  <c r="N23" i="3"/>
  <c r="AB22" i="3"/>
  <c r="V22" i="3"/>
  <c r="N22" i="3"/>
  <c r="AB21" i="3"/>
  <c r="V21" i="3"/>
  <c r="N21" i="3"/>
  <c r="AB20" i="3"/>
  <c r="V20" i="3"/>
  <c r="N20" i="3"/>
  <c r="V19" i="3"/>
  <c r="N19" i="3"/>
  <c r="B6" i="3"/>
  <c r="E88" i="17" a="1"/>
  <c r="F89" i="17" a="1"/>
  <c r="E90" i="17" a="1"/>
  <c r="E89" i="17" a="1"/>
  <c r="F92" i="17" a="1"/>
  <c r="E91" i="17" a="1"/>
  <c r="F90" i="17" a="1"/>
  <c r="F93" i="17" a="1"/>
  <c r="E92" i="17" a="1"/>
  <c r="F91" i="17" a="1"/>
  <c r="E93" i="17" a="1"/>
  <c r="F88" i="17" a="1"/>
  <c r="C301" i="3" l="1"/>
  <c r="J268" i="3"/>
  <c r="M273" i="3"/>
  <c r="E301" i="3"/>
  <c r="B309" i="3"/>
  <c r="H320" i="3"/>
  <c r="K366" i="3"/>
  <c r="B407" i="3"/>
  <c r="B413" i="3"/>
  <c r="G416" i="3"/>
  <c r="F32" i="12"/>
  <c r="E306" i="3"/>
  <c r="G405" i="3"/>
  <c r="H310" i="3"/>
  <c r="K270" i="3"/>
  <c r="I302" i="3"/>
  <c r="F312" i="3"/>
  <c r="I349" i="3"/>
  <c r="C364" i="3"/>
  <c r="C368" i="3"/>
  <c r="L393" i="3"/>
  <c r="D410" i="3"/>
  <c r="E413" i="3"/>
  <c r="F417" i="3"/>
  <c r="K161" i="17"/>
  <c r="E352" i="20"/>
  <c r="H383" i="20"/>
  <c r="B319" i="3"/>
  <c r="F301" i="3"/>
  <c r="M320" i="3"/>
  <c r="C367" i="3"/>
  <c r="I407" i="3"/>
  <c r="K271" i="3"/>
  <c r="J305" i="3"/>
  <c r="B314" i="3"/>
  <c r="H364" i="3"/>
  <c r="I368" i="3"/>
  <c r="H414" i="3"/>
  <c r="M418" i="3"/>
  <c r="IJ121" i="14"/>
  <c r="AQ121" i="14" a="1"/>
  <c r="AQ121" i="14" s="1"/>
  <c r="AY121" i="14" a="1"/>
  <c r="AY121" i="14" s="1"/>
  <c r="BG121" i="14" a="1"/>
  <c r="BG121" i="14" s="1"/>
  <c r="CK121" i="14" s="1"/>
  <c r="BO121" i="14" a="1"/>
  <c r="BO121" i="14" s="1"/>
  <c r="CS121" i="14" s="1"/>
  <c r="CE121" i="14"/>
  <c r="CM121" i="14"/>
  <c r="HM121" i="14"/>
  <c r="HU121" i="14"/>
  <c r="IC121" i="14"/>
  <c r="IK121" i="14"/>
  <c r="AR121" i="14" a="1"/>
  <c r="AR121" i="14" s="1"/>
  <c r="BV121" i="14" s="1"/>
  <c r="AZ121" i="14" a="1"/>
  <c r="AZ121" i="14" s="1"/>
  <c r="CD121" i="14" s="1"/>
  <c r="BH121" i="14" a="1"/>
  <c r="BH121" i="14" s="1"/>
  <c r="BP121" i="14" a="1"/>
  <c r="BP121" i="14" s="1"/>
  <c r="CT121" i="14" s="1"/>
  <c r="CN121" i="14"/>
  <c r="HN121" i="14"/>
  <c r="HV121" i="14"/>
  <c r="ID121" i="14"/>
  <c r="IL121" i="14"/>
  <c r="AS121" i="14" a="1"/>
  <c r="AS121" i="14" s="1"/>
  <c r="BW121" i="14" s="1"/>
  <c r="BA121" i="14" a="1"/>
  <c r="BA121" i="14" s="1"/>
  <c r="BI121" i="14" a="1"/>
  <c r="BI121" i="14" s="1"/>
  <c r="BQ121" i="14" a="1"/>
  <c r="BQ121" i="14" s="1"/>
  <c r="CU121" i="14" s="1"/>
  <c r="BY121" i="14"/>
  <c r="CO121" i="14"/>
  <c r="HO121" i="14"/>
  <c r="HW121" i="14"/>
  <c r="IE121" i="14"/>
  <c r="IM121" i="14"/>
  <c r="IU121" i="14"/>
  <c r="JC121" i="14"/>
  <c r="JK121" i="14"/>
  <c r="JS121" i="14"/>
  <c r="HT121" i="14"/>
  <c r="AT121" i="14" a="1"/>
  <c r="AT121" i="14" s="1"/>
  <c r="BX121" i="14" s="1"/>
  <c r="BB121" i="14" a="1"/>
  <c r="BB121" i="14" s="1"/>
  <c r="CF121" i="14" s="1"/>
  <c r="BJ121" i="14" a="1"/>
  <c r="BJ121" i="14" s="1"/>
  <c r="BR121" i="14" a="1"/>
  <c r="BR121" i="14" s="1"/>
  <c r="CV121" i="14" s="1"/>
  <c r="BZ121" i="14"/>
  <c r="HP121" i="14"/>
  <c r="HX121" i="14"/>
  <c r="IF121" i="14"/>
  <c r="IN121" i="14"/>
  <c r="IV121" i="14"/>
  <c r="JD121" i="14"/>
  <c r="JL121" i="14"/>
  <c r="JT121" i="14"/>
  <c r="AU121" i="14" a="1"/>
  <c r="AU121" i="14" s="1"/>
  <c r="BC121" i="14" a="1"/>
  <c r="BC121" i="14" s="1"/>
  <c r="CG121" i="14" s="1"/>
  <c r="CQ121" i="14"/>
  <c r="HQ121" i="14"/>
  <c r="HY121" i="14"/>
  <c r="IG121" i="14"/>
  <c r="IO121" i="14"/>
  <c r="IB121" i="14"/>
  <c r="AV121" i="14" a="1"/>
  <c r="AV121" i="14" s="1"/>
  <c r="BD121" i="14" a="1"/>
  <c r="BD121" i="14" s="1"/>
  <c r="CH121" i="14" s="1"/>
  <c r="BL121" i="14" a="1"/>
  <c r="BL121" i="14" s="1"/>
  <c r="CP121" i="14" s="1"/>
  <c r="BT121" i="14"/>
  <c r="CB121" i="14"/>
  <c r="CJ121" i="14"/>
  <c r="CR121" i="14"/>
  <c r="HR121" i="14"/>
  <c r="HZ121" i="14"/>
  <c r="IH121" i="14"/>
  <c r="IP121" i="14"/>
  <c r="IX121" i="14"/>
  <c r="JF121" i="14"/>
  <c r="JN121" i="14"/>
  <c r="CL121" i="14"/>
  <c r="AO121" i="14" a="1"/>
  <c r="AO121" i="14" s="1"/>
  <c r="BS121" i="14" s="1"/>
  <c r="AW121" i="14" a="1"/>
  <c r="AW121" i="14" s="1"/>
  <c r="CA121" i="14" s="1"/>
  <c r="BE121" i="14" a="1"/>
  <c r="BE121" i="14" s="1"/>
  <c r="CI121" i="14" s="1"/>
  <c r="BU121" i="14"/>
  <c r="CC121" i="14"/>
  <c r="HS121" i="14"/>
  <c r="IA121" i="14"/>
  <c r="IQ121" i="14"/>
  <c r="IY121" i="14"/>
  <c r="JG121" i="14"/>
  <c r="J402" i="3"/>
  <c r="G135" i="20"/>
  <c r="M337" i="3"/>
  <c r="A71" i="3"/>
  <c r="J126" i="20"/>
  <c r="T135" i="20"/>
  <c r="Q372" i="20"/>
  <c r="L383" i="20"/>
  <c r="K398" i="3"/>
  <c r="H402" i="3"/>
  <c r="D309" i="3"/>
  <c r="D396" i="3"/>
  <c r="B308" i="3"/>
  <c r="C311" i="3"/>
  <c r="D314" i="3"/>
  <c r="A73" i="3"/>
  <c r="F253" i="3"/>
  <c r="D269" i="3"/>
  <c r="G273" i="3"/>
  <c r="E295" i="3"/>
  <c r="D304" i="3"/>
  <c r="F308" i="3"/>
  <c r="J309" i="3"/>
  <c r="E311" i="3"/>
  <c r="J312" i="3"/>
  <c r="F314" i="3"/>
  <c r="E324" i="3"/>
  <c r="K343" i="3"/>
  <c r="K352" i="3"/>
  <c r="L365" i="3"/>
  <c r="K368" i="3"/>
  <c r="E389" i="3"/>
  <c r="K396" i="3"/>
  <c r="D400" i="3"/>
  <c r="H404" i="3"/>
  <c r="G408" i="3"/>
  <c r="B40" i="18"/>
  <c r="AB129" i="20"/>
  <c r="J136" i="20"/>
  <c r="P358" i="20"/>
  <c r="X373" i="20"/>
  <c r="B311" i="3"/>
  <c r="E309" i="3"/>
  <c r="H312" i="3"/>
  <c r="A77" i="3"/>
  <c r="F270" i="3"/>
  <c r="I273" i="3"/>
  <c r="F295" i="3"/>
  <c r="F304" i="3"/>
  <c r="G308" i="3"/>
  <c r="C310" i="3"/>
  <c r="G311" i="3"/>
  <c r="B313" i="3"/>
  <c r="G314" i="3"/>
  <c r="H325" i="3"/>
  <c r="H366" i="3"/>
  <c r="L368" i="3"/>
  <c r="J390" i="3"/>
  <c r="E397" i="3"/>
  <c r="I400" i="3"/>
  <c r="B405" i="3"/>
  <c r="G409" i="3"/>
  <c r="F46" i="12"/>
  <c r="D162" i="17"/>
  <c r="B130" i="20"/>
  <c r="W363" i="20"/>
  <c r="H376" i="20"/>
  <c r="H396" i="3"/>
  <c r="J399" i="3"/>
  <c r="E408" i="3"/>
  <c r="G270" i="3"/>
  <c r="K273" i="3"/>
  <c r="I305" i="3"/>
  <c r="H308" i="3"/>
  <c r="D310" i="3"/>
  <c r="I311" i="3"/>
  <c r="D313" i="3"/>
  <c r="F326" i="3"/>
  <c r="I366" i="3"/>
  <c r="I369" i="3"/>
  <c r="L390" i="3"/>
  <c r="K397" i="3"/>
  <c r="E401" i="3"/>
  <c r="F405" i="3"/>
  <c r="J409" i="3"/>
  <c r="B131" i="20"/>
  <c r="K377" i="20"/>
  <c r="K164" i="17"/>
  <c r="P132" i="20"/>
  <c r="T379" i="20"/>
  <c r="G312" i="3"/>
  <c r="C314" i="3"/>
  <c r="H399" i="3"/>
  <c r="I308" i="3"/>
  <c r="E310" i="3"/>
  <c r="J311" i="3"/>
  <c r="I313" i="3"/>
  <c r="E398" i="3"/>
  <c r="G401" i="3"/>
  <c r="A219" i="3"/>
  <c r="A244" i="3" s="1"/>
  <c r="C268" i="3"/>
  <c r="I271" i="3"/>
  <c r="I274" i="3"/>
  <c r="D301" i="3"/>
  <c r="D306" i="3"/>
  <c r="J308" i="3"/>
  <c r="F310" i="3"/>
  <c r="E312" i="3"/>
  <c r="J313" i="3"/>
  <c r="C319" i="3"/>
  <c r="H327" i="3"/>
  <c r="M349" i="3"/>
  <c r="G364" i="3"/>
  <c r="L366" i="3"/>
  <c r="C370" i="3"/>
  <c r="D394" i="3"/>
  <c r="G398" i="3"/>
  <c r="K401" i="3"/>
  <c r="D406" i="3"/>
  <c r="D415" i="3"/>
  <c r="Z132" i="20"/>
  <c r="I365" i="20"/>
  <c r="F380" i="20"/>
  <c r="V133" i="20"/>
  <c r="H130" i="20"/>
  <c r="AA132" i="20"/>
  <c r="W135" i="20"/>
  <c r="F352" i="20"/>
  <c r="Y363" i="20"/>
  <c r="W371" i="20"/>
  <c r="I377" i="20"/>
  <c r="L380" i="20"/>
  <c r="BJ32" i="11"/>
  <c r="D340" i="3"/>
  <c r="E345" i="3"/>
  <c r="D116" i="3"/>
  <c r="D166" i="3" s="1"/>
  <c r="A204" i="3"/>
  <c r="A229" i="3" s="1"/>
  <c r="A213" i="3"/>
  <c r="A238" i="3" s="1"/>
  <c r="D292" i="3"/>
  <c r="K296" i="3"/>
  <c r="I320" i="3"/>
  <c r="B341" i="3"/>
  <c r="F345" i="3"/>
  <c r="J372" i="3"/>
  <c r="C398" i="3"/>
  <c r="K399" i="3"/>
  <c r="D402" i="3"/>
  <c r="Q130" i="20"/>
  <c r="J133" i="20"/>
  <c r="AC135" i="20"/>
  <c r="U354" i="20"/>
  <c r="Y371" i="20"/>
  <c r="J377" i="20"/>
  <c r="M380" i="20"/>
  <c r="B346" i="3"/>
  <c r="E33" i="22"/>
  <c r="E296" i="3"/>
  <c r="F292" i="3"/>
  <c r="L296" i="3"/>
  <c r="C341" i="3"/>
  <c r="G375" i="3"/>
  <c r="C269" i="3"/>
  <c r="L271" i="3"/>
  <c r="C274" i="3"/>
  <c r="I293" i="3"/>
  <c r="J297" i="3"/>
  <c r="K302" i="3"/>
  <c r="C309" i="3"/>
  <c r="G310" i="3"/>
  <c r="B312" i="3"/>
  <c r="H313" i="3"/>
  <c r="H314" i="3"/>
  <c r="E322" i="3"/>
  <c r="K341" i="3"/>
  <c r="J354" i="3"/>
  <c r="H365" i="3"/>
  <c r="L367" i="3"/>
  <c r="M369" i="3"/>
  <c r="H375" i="3"/>
  <c r="G389" i="3"/>
  <c r="E396" i="3"/>
  <c r="F398" i="3"/>
  <c r="H400" i="3"/>
  <c r="I402" i="3"/>
  <c r="I406" i="3"/>
  <c r="C410" i="3"/>
  <c r="F413" i="3"/>
  <c r="I416" i="3"/>
  <c r="C166" i="17"/>
  <c r="AG47" i="19"/>
  <c r="K126" i="20"/>
  <c r="E131" i="20"/>
  <c r="AD133" i="20"/>
  <c r="W136" i="20"/>
  <c r="S346" i="20"/>
  <c r="S360" i="20"/>
  <c r="J365" i="20"/>
  <c r="R372" i="20"/>
  <c r="AA377" i="20"/>
  <c r="Y381" i="20"/>
  <c r="D343" i="3"/>
  <c r="J376" i="3"/>
  <c r="Y126" i="20"/>
  <c r="N131" i="20"/>
  <c r="AE133" i="20"/>
  <c r="Z136" i="20"/>
  <c r="AB346" i="20"/>
  <c r="AE360" i="20"/>
  <c r="Z365" i="20"/>
  <c r="E373" i="20"/>
  <c r="U378" i="20"/>
  <c r="T382" i="20"/>
  <c r="G289" i="3"/>
  <c r="D344" i="3"/>
  <c r="F372" i="3"/>
  <c r="K377" i="3"/>
  <c r="H372" i="3"/>
  <c r="J293" i="3"/>
  <c r="K297" i="3"/>
  <c r="F322" i="3"/>
  <c r="K269" i="3"/>
  <c r="C272" i="3"/>
  <c r="L293" i="3"/>
  <c r="E304" i="3"/>
  <c r="E317" i="3"/>
  <c r="G334" i="3"/>
  <c r="E343" i="3"/>
  <c r="M365" i="3"/>
  <c r="G368" i="3"/>
  <c r="K370" i="3"/>
  <c r="K376" i="3"/>
  <c r="I396" i="3"/>
  <c r="H398" i="3"/>
  <c r="C401" i="3"/>
  <c r="M414" i="3"/>
  <c r="D418" i="3"/>
  <c r="O129" i="20"/>
  <c r="K132" i="20"/>
  <c r="E135" i="20"/>
  <c r="AC346" i="20"/>
  <c r="K363" i="20"/>
  <c r="AD365" i="20"/>
  <c r="F373" i="20"/>
  <c r="AB378" i="20"/>
  <c r="U382" i="20"/>
  <c r="F29" i="12"/>
  <c r="J52" i="10"/>
  <c r="K52" i="10" s="1"/>
  <c r="F53" i="12"/>
  <c r="AH52" i="11"/>
  <c r="AK52" i="11"/>
  <c r="AM52" i="11"/>
  <c r="BB104" i="11"/>
  <c r="AT123" i="11"/>
  <c r="AO25" i="11"/>
  <c r="AZ25" i="11"/>
  <c r="AQ44" i="11"/>
  <c r="AM58" i="11"/>
  <c r="J97" i="10"/>
  <c r="K97" i="10" s="1"/>
  <c r="AL28" i="11"/>
  <c r="BB48" i="11"/>
  <c r="AP73" i="11"/>
  <c r="AJ115" i="11"/>
  <c r="AN28" i="11"/>
  <c r="AP101" i="11"/>
  <c r="BF115" i="11"/>
  <c r="BG26" i="11"/>
  <c r="AP28" i="11"/>
  <c r="AM28" i="11"/>
  <c r="AO44" i="11"/>
  <c r="AW73" i="11"/>
  <c r="AV115" i="11"/>
  <c r="AP44" i="11"/>
  <c r="J69" i="10"/>
  <c r="K69" i="10" s="1"/>
  <c r="L69" i="10" s="1"/>
  <c r="AS13" i="11"/>
  <c r="AS25" i="11"/>
  <c r="BJ28" i="11"/>
  <c r="AQ43" i="11"/>
  <c r="BD45" i="11"/>
  <c r="AU67" i="11"/>
  <c r="AV73" i="11"/>
  <c r="AG76" i="11"/>
  <c r="BE94" i="11"/>
  <c r="AU108" i="11"/>
  <c r="BF76" i="11"/>
  <c r="AG17" i="11"/>
  <c r="BA25" i="11"/>
  <c r="AP59" i="11"/>
  <c r="AL62" i="11"/>
  <c r="BI76" i="11"/>
  <c r="AY119" i="11"/>
  <c r="AL17" i="11"/>
  <c r="AQ62" i="11"/>
  <c r="AU106" i="11"/>
  <c r="AO17" i="11"/>
  <c r="BD62" i="11"/>
  <c r="AP17" i="11"/>
  <c r="BA26" i="11"/>
  <c r="BJ62" i="11"/>
  <c r="J68" i="10"/>
  <c r="K68" i="10" s="1"/>
  <c r="BD21" i="11"/>
  <c r="BF26" i="11"/>
  <c r="AN73" i="11"/>
  <c r="I24" i="10"/>
  <c r="BJ19" i="11"/>
  <c r="AG22" i="11"/>
  <c r="AI34" i="11"/>
  <c r="BB35" i="11"/>
  <c r="AM46" i="11"/>
  <c r="AH49" i="11"/>
  <c r="BH76" i="11"/>
  <c r="AW79" i="11"/>
  <c r="AP82" i="11"/>
  <c r="AI88" i="11"/>
  <c r="BF106" i="11"/>
  <c r="AK109" i="11"/>
  <c r="AZ119" i="11"/>
  <c r="BB119" i="11"/>
  <c r="I40" i="10"/>
  <c r="AU13" i="11"/>
  <c r="AY17" i="11"/>
  <c r="AJ22" i="11"/>
  <c r="BE25" i="11"/>
  <c r="AX34" i="11"/>
  <c r="AV43" i="11"/>
  <c r="AR44" i="11"/>
  <c r="AK49" i="11"/>
  <c r="AG51" i="11"/>
  <c r="BG52" i="11"/>
  <c r="AP58" i="11"/>
  <c r="BC66" i="11"/>
  <c r="AI76" i="11"/>
  <c r="BE88" i="11"/>
  <c r="AH106" i="11"/>
  <c r="BH109" i="11"/>
  <c r="AM119" i="11"/>
  <c r="BC119" i="11"/>
  <c r="AW109" i="11"/>
  <c r="AZ13" i="11"/>
  <c r="BF17" i="11"/>
  <c r="AV22" i="11"/>
  <c r="AJ25" i="11"/>
  <c r="BG25" i="11"/>
  <c r="AZ34" i="11"/>
  <c r="AX43" i="11"/>
  <c r="AY49" i="11"/>
  <c r="AH51" i="11"/>
  <c r="BH52" i="11"/>
  <c r="AS58" i="11"/>
  <c r="BD66" i="11"/>
  <c r="AL74" i="11"/>
  <c r="AJ76" i="11"/>
  <c r="BD80" i="11"/>
  <c r="AY83" i="11"/>
  <c r="AI106" i="11"/>
  <c r="AN119" i="11"/>
  <c r="AM34" i="11"/>
  <c r="I16" i="10"/>
  <c r="J64" i="10"/>
  <c r="K64" i="10" s="1"/>
  <c r="BE13" i="11"/>
  <c r="AY22" i="11"/>
  <c r="AL25" i="11"/>
  <c r="AH29" i="11"/>
  <c r="BB34" i="11"/>
  <c r="AY43" i="11"/>
  <c r="AZ49" i="11"/>
  <c r="AS51" i="11"/>
  <c r="BJ52" i="11"/>
  <c r="BH66" i="11"/>
  <c r="AL76" i="11"/>
  <c r="BA83" i="11"/>
  <c r="AK106" i="11"/>
  <c r="AO119" i="11"/>
  <c r="AH22" i="11"/>
  <c r="AI49" i="11"/>
  <c r="AZ88" i="11"/>
  <c r="I17" i="10"/>
  <c r="J72" i="10"/>
  <c r="K72" i="10" s="1"/>
  <c r="L72" i="10" s="1"/>
  <c r="J99" i="10"/>
  <c r="K99" i="10" s="1"/>
  <c r="AN25" i="11"/>
  <c r="BC34" i="11"/>
  <c r="BC49" i="11"/>
  <c r="AM76" i="11"/>
  <c r="AL106" i="11"/>
  <c r="AP119" i="11"/>
  <c r="J61" i="10"/>
  <c r="K61" i="10" s="1"/>
  <c r="L61" i="10" s="1"/>
  <c r="J92" i="10"/>
  <c r="K92" i="10" s="1"/>
  <c r="AW76" i="11"/>
  <c r="AS106" i="11"/>
  <c r="AR119" i="11"/>
  <c r="J74" i="10"/>
  <c r="K74" i="10" s="1"/>
  <c r="AH12" i="11"/>
  <c r="AO14" i="11"/>
  <c r="AI31" i="11"/>
  <c r="BJ31" i="11"/>
  <c r="AS39" i="11"/>
  <c r="AH55" i="11"/>
  <c r="BJ55" i="11"/>
  <c r="BH79" i="11"/>
  <c r="AQ86" i="11"/>
  <c r="BC92" i="11"/>
  <c r="AN95" i="11"/>
  <c r="AG99" i="11"/>
  <c r="AJ105" i="11"/>
  <c r="AS120" i="11"/>
  <c r="AV123" i="11"/>
  <c r="J75" i="10"/>
  <c r="K75" i="10" s="1"/>
  <c r="J101" i="10"/>
  <c r="K101" i="10" s="1"/>
  <c r="L101" i="10" s="1"/>
  <c r="AS12" i="11"/>
  <c r="AP14" i="11"/>
  <c r="AG19" i="11"/>
  <c r="AG24" i="11"/>
  <c r="AR30" i="11"/>
  <c r="AJ31" i="11"/>
  <c r="BE39" i="11"/>
  <c r="AI55" i="11"/>
  <c r="AN65" i="11"/>
  <c r="AJ79" i="11"/>
  <c r="BI79" i="11"/>
  <c r="AX86" i="11"/>
  <c r="AG91" i="11"/>
  <c r="AO95" i="11"/>
  <c r="AO98" i="11"/>
  <c r="AH99" i="11"/>
  <c r="AL103" i="11"/>
  <c r="BJ115" i="11"/>
  <c r="BG118" i="11"/>
  <c r="BG120" i="11"/>
  <c r="AG123" i="11"/>
  <c r="BC123" i="11"/>
  <c r="F44" i="12"/>
  <c r="F52" i="12"/>
  <c r="BH31" i="11"/>
  <c r="AZ55" i="11"/>
  <c r="BF13" i="11"/>
  <c r="AS14" i="11"/>
  <c r="BA17" i="11"/>
  <c r="AP19" i="11"/>
  <c r="AW22" i="11"/>
  <c r="BD24" i="11"/>
  <c r="AP25" i="11"/>
  <c r="BH25" i="11"/>
  <c r="AQ28" i="11"/>
  <c r="AR29" i="11"/>
  <c r="AY30" i="11"/>
  <c r="AX31" i="11"/>
  <c r="AM32" i="11"/>
  <c r="BJ37" i="11"/>
  <c r="BH39" i="11"/>
  <c r="AZ43" i="11"/>
  <c r="AX44" i="11"/>
  <c r="AX46" i="11"/>
  <c r="AK55" i="11"/>
  <c r="AQ63" i="11"/>
  <c r="BJ65" i="11"/>
  <c r="AM70" i="11"/>
  <c r="AX73" i="11"/>
  <c r="AP76" i="11"/>
  <c r="AL79" i="11"/>
  <c r="AU82" i="11"/>
  <c r="AV91" i="11"/>
  <c r="AQ98" i="11"/>
  <c r="BF99" i="11"/>
  <c r="AR101" i="11"/>
  <c r="AS109" i="11"/>
  <c r="BD110" i="11"/>
  <c r="AN113" i="11"/>
  <c r="AP115" i="11"/>
  <c r="BA119" i="11"/>
  <c r="AJ123" i="11"/>
  <c r="AQ14" i="11"/>
  <c r="AK79" i="11"/>
  <c r="AR99" i="11"/>
  <c r="AI123" i="11"/>
  <c r="J80" i="10"/>
  <c r="K80" i="10" s="1"/>
  <c r="BG13" i="11"/>
  <c r="AT14" i="11"/>
  <c r="AU19" i="11"/>
  <c r="BB28" i="11"/>
  <c r="AT29" i="11"/>
  <c r="BC30" i="11"/>
  <c r="AZ31" i="11"/>
  <c r="BB32" i="11"/>
  <c r="BB43" i="11"/>
  <c r="BH46" i="11"/>
  <c r="AP55" i="11"/>
  <c r="AU63" i="11"/>
  <c r="AN70" i="11"/>
  <c r="BH73" i="11"/>
  <c r="AU76" i="11"/>
  <c r="AM79" i="11"/>
  <c r="AX91" i="11"/>
  <c r="AR98" i="11"/>
  <c r="BG99" i="11"/>
  <c r="BC101" i="11"/>
  <c r="AY104" i="11"/>
  <c r="AT109" i="11"/>
  <c r="AP113" i="11"/>
  <c r="AS115" i="11"/>
  <c r="AQ123" i="11"/>
  <c r="AT30" i="11"/>
  <c r="AP31" i="11"/>
  <c r="BG39" i="11"/>
  <c r="BD65" i="11"/>
  <c r="BJ79" i="11"/>
  <c r="AU91" i="11"/>
  <c r="AP98" i="11"/>
  <c r="BG123" i="11"/>
  <c r="AY11" i="11"/>
  <c r="AK13" i="11"/>
  <c r="BI13" i="11"/>
  <c r="AH17" i="11"/>
  <c r="AW19" i="11"/>
  <c r="AT25" i="11"/>
  <c r="BC28" i="11"/>
  <c r="AY29" i="11"/>
  <c r="BF31" i="11"/>
  <c r="BC32" i="11"/>
  <c r="BI46" i="11"/>
  <c r="AQ55" i="11"/>
  <c r="AP70" i="11"/>
  <c r="AP79" i="11"/>
  <c r="BB91" i="11"/>
  <c r="AZ98" i="11"/>
  <c r="BH99" i="11"/>
  <c r="AU109" i="11"/>
  <c r="AR113" i="11"/>
  <c r="AT115" i="11"/>
  <c r="AR123" i="11"/>
  <c r="BF12" i="11"/>
  <c r="AO19" i="11"/>
  <c r="AH24" i="11"/>
  <c r="AJ55" i="11"/>
  <c r="AR95" i="11"/>
  <c r="J77" i="10"/>
  <c r="K77" i="10" s="1"/>
  <c r="AN13" i="11"/>
  <c r="AK17" i="11"/>
  <c r="BI19" i="11"/>
  <c r="AI25" i="11"/>
  <c r="AW25" i="11"/>
  <c r="AL26" i="11"/>
  <c r="AK28" i="11"/>
  <c r="BI28" i="11"/>
  <c r="BB29" i="11"/>
  <c r="BG31" i="11"/>
  <c r="BD32" i="11"/>
  <c r="AN34" i="11"/>
  <c r="BD35" i="11"/>
  <c r="AU40" i="11"/>
  <c r="AG43" i="11"/>
  <c r="BC45" i="11"/>
  <c r="AY55" i="11"/>
  <c r="BC62" i="11"/>
  <c r="AG66" i="11"/>
  <c r="AT70" i="11"/>
  <c r="AI73" i="11"/>
  <c r="AH76" i="11"/>
  <c r="AZ76" i="11"/>
  <c r="AS79" i="11"/>
  <c r="AX83" i="11"/>
  <c r="AG88" i="11"/>
  <c r="AV109" i="11"/>
  <c r="AV111" i="11"/>
  <c r="AU115" i="11"/>
  <c r="AS123" i="11"/>
  <c r="AT22" i="9"/>
  <c r="BF39" i="9"/>
  <c r="BN39" i="9"/>
  <c r="BN22" i="9"/>
  <c r="AA419" i="20"/>
  <c r="C419" i="20"/>
  <c r="BE35" i="9"/>
  <c r="AQ36" i="9"/>
  <c r="AU12" i="9"/>
  <c r="AS13" i="9"/>
  <c r="AS24" i="9"/>
  <c r="AY27" i="9"/>
  <c r="BG27" i="9"/>
  <c r="AW34" i="9"/>
  <c r="BM34" i="9"/>
  <c r="BE36" i="9"/>
  <c r="BI36" i="9"/>
  <c r="BM39" i="9"/>
  <c r="BE63" i="9"/>
  <c r="AY22" i="9"/>
  <c r="AP20" i="9"/>
  <c r="AT23" i="9"/>
  <c r="AQ20" i="9"/>
  <c r="BC37" i="9"/>
  <c r="BE38" i="9"/>
  <c r="AQ39" i="9"/>
  <c r="BK63" i="9"/>
  <c r="BN19" i="9"/>
  <c r="AP28" i="9"/>
  <c r="BN28" i="9"/>
  <c r="BJ30" i="9"/>
  <c r="BF32" i="9"/>
  <c r="AP33" i="9"/>
  <c r="AV37" i="9"/>
  <c r="BB38" i="9"/>
  <c r="BF38" i="9"/>
  <c r="BH39" i="9"/>
  <c r="AS20" i="9"/>
  <c r="AO20" i="9"/>
  <c r="AT20" i="9"/>
  <c r="BN23" i="9"/>
  <c r="AP36" i="9"/>
  <c r="BF36" i="9"/>
  <c r="BF37" i="9"/>
  <c r="BN37" i="9"/>
  <c r="BB24" i="9"/>
  <c r="AZ27" i="9"/>
  <c r="AP63" i="9"/>
  <c r="BN63" i="9"/>
  <c r="H419" i="20"/>
  <c r="X419" i="20"/>
  <c r="BM28" i="9"/>
  <c r="AV34" i="9"/>
  <c r="BC38" i="9"/>
  <c r="BN14" i="9"/>
  <c r="B419" i="20"/>
  <c r="R419" i="20"/>
  <c r="Z419" i="20"/>
  <c r="BM13" i="9"/>
  <c r="BG14" i="9"/>
  <c r="BK16" i="9"/>
  <c r="AS19" i="9"/>
  <c r="AU20" i="9"/>
  <c r="AT64" i="9"/>
  <c r="AV13" i="9"/>
  <c r="BH15" i="9"/>
  <c r="AV17" i="9"/>
  <c r="BH36" i="9"/>
  <c r="AX13" i="9"/>
  <c r="AX17" i="9"/>
  <c r="BF17" i="9"/>
  <c r="AZ18" i="9"/>
  <c r="AT19" i="9"/>
  <c r="AW27" i="9"/>
  <c r="BE27" i="9"/>
  <c r="BM27" i="9"/>
  <c r="AQ28" i="9"/>
  <c r="BA29" i="9"/>
  <c r="AS31" i="9"/>
  <c r="AW31" i="9"/>
  <c r="BG32" i="9"/>
  <c r="AV33" i="9"/>
  <c r="AT34" i="9"/>
  <c r="BF34" i="9"/>
  <c r="AZ35" i="9"/>
  <c r="AT36" i="9"/>
  <c r="K257" i="20"/>
  <c r="AY64" i="9"/>
  <c r="BL13" i="9"/>
  <c r="BK21" i="9"/>
  <c r="AQ29" i="9"/>
  <c r="AO30" i="9"/>
  <c r="AW37" i="9"/>
  <c r="BG38" i="9"/>
  <c r="AT9" i="9"/>
  <c r="AX9" i="9"/>
  <c r="L419" i="20"/>
  <c r="T419" i="20"/>
  <c r="AO12" i="9"/>
  <c r="BE14" i="9"/>
  <c r="AU15" i="9"/>
  <c r="AS18" i="9"/>
  <c r="AO22" i="9"/>
  <c r="AW22" i="9"/>
  <c r="BE22" i="9"/>
  <c r="AQ23" i="9"/>
  <c r="BF27" i="9"/>
  <c r="AR28" i="9"/>
  <c r="BH28" i="9"/>
  <c r="AX31" i="9"/>
  <c r="BN31" i="9"/>
  <c r="AW33" i="9"/>
  <c r="AZ64" i="9"/>
  <c r="BD64" i="9"/>
  <c r="BJ87" i="9"/>
  <c r="AA416" i="20" s="1"/>
  <c r="BI22" i="9"/>
  <c r="BI27" i="9"/>
  <c r="BC29" i="9"/>
  <c r="BE32" i="9"/>
  <c r="AS35" i="9"/>
  <c r="BC36" i="9"/>
  <c r="F419" i="20"/>
  <c r="N419" i="20"/>
  <c r="AD419" i="20"/>
  <c r="BE13" i="9"/>
  <c r="AU14" i="9"/>
  <c r="AY16" i="9"/>
  <c r="BE19" i="9"/>
  <c r="BM19" i="9"/>
  <c r="BE21" i="9"/>
  <c r="BF22" i="9"/>
  <c r="BE24" i="9"/>
  <c r="AT27" i="9"/>
  <c r="BD29" i="9"/>
  <c r="AX30" i="9"/>
  <c r="AT32" i="9"/>
  <c r="J162" i="20"/>
  <c r="BH34" i="9"/>
  <c r="AV36" i="9"/>
  <c r="BH37" i="9"/>
  <c r="AT38" i="9"/>
  <c r="AT39" i="9"/>
  <c r="AS63" i="9"/>
  <c r="BK64" i="9"/>
  <c r="BH13" i="9"/>
  <c r="BE20" i="9"/>
  <c r="BD24" i="9"/>
  <c r="AO27" i="9"/>
  <c r="BE28" i="9"/>
  <c r="AS38" i="9"/>
  <c r="C449" i="20"/>
  <c r="BF64" i="9"/>
  <c r="I6" i="9"/>
  <c r="J6" i="9" s="1"/>
  <c r="AN6" i="9" s="1"/>
  <c r="BE9" i="9"/>
  <c r="BJ9" i="9"/>
  <c r="O419" i="20"/>
  <c r="BF13" i="9"/>
  <c r="BF15" i="9"/>
  <c r="AT17" i="9"/>
  <c r="BJ17" i="9"/>
  <c r="BL18" i="9"/>
  <c r="BF19" i="9"/>
  <c r="BG20" i="9"/>
  <c r="AX21" i="9"/>
  <c r="BF21" i="9"/>
  <c r="BK22" i="9"/>
  <c r="AU27" i="9"/>
  <c r="BK27" i="9"/>
  <c r="BC28" i="9"/>
  <c r="BE31" i="9"/>
  <c r="BI31" i="9"/>
  <c r="AU32" i="9"/>
  <c r="BH33" i="9"/>
  <c r="BE34" i="9"/>
  <c r="BI34" i="9"/>
  <c r="AW36" i="9"/>
  <c r="BI37" i="9"/>
  <c r="AU38" i="9"/>
  <c r="BC39" i="9"/>
  <c r="BB63" i="9"/>
  <c r="AZ13" i="9"/>
  <c r="AV15" i="9"/>
  <c r="BH17" i="9"/>
  <c r="BC34" i="9"/>
  <c r="BM14" i="9"/>
  <c r="BG15" i="9"/>
  <c r="AO16" i="9"/>
  <c r="AR20" i="9"/>
  <c r="AY21" i="9"/>
  <c r="BF23" i="9"/>
  <c r="BL27" i="9"/>
  <c r="AV28" i="9"/>
  <c r="BF31" i="9"/>
  <c r="BJ31" i="9"/>
  <c r="H162" i="20"/>
  <c r="BE33" i="9"/>
  <c r="BI33" i="9"/>
  <c r="BD35" i="9"/>
  <c r="BL35" i="9"/>
  <c r="AT37" i="9"/>
  <c r="AV39" i="9"/>
  <c r="AD143" i="20"/>
  <c r="J276" i="20"/>
  <c r="AY63" i="9"/>
  <c r="AS64" i="9"/>
  <c r="Q419" i="20"/>
  <c r="Y419" i="20"/>
  <c r="E419" i="20"/>
  <c r="M419" i="20"/>
  <c r="AC419" i="20"/>
  <c r="C154" i="3"/>
  <c r="D294" i="3"/>
  <c r="F297" i="3"/>
  <c r="H330" i="3"/>
  <c r="G326" i="3"/>
  <c r="F329" i="3"/>
  <c r="F325" i="3"/>
  <c r="E329" i="3"/>
  <c r="E325" i="3"/>
  <c r="D329" i="3"/>
  <c r="D325" i="3"/>
  <c r="H328" i="3"/>
  <c r="H324" i="3"/>
  <c r="G328" i="3"/>
  <c r="G324" i="3"/>
  <c r="D109" i="3"/>
  <c r="E109" i="3" s="1"/>
  <c r="E159" i="3" s="1"/>
  <c r="C130" i="3"/>
  <c r="D105" i="3"/>
  <c r="E105" i="3" s="1"/>
  <c r="E130" i="3" s="1"/>
  <c r="E52" i="3" s="1"/>
  <c r="E294" i="3"/>
  <c r="J345" i="3"/>
  <c r="J343" i="3"/>
  <c r="E341" i="3"/>
  <c r="B345" i="3"/>
  <c r="C343" i="3"/>
  <c r="M340" i="3"/>
  <c r="M344" i="3"/>
  <c r="L342" i="3"/>
  <c r="L340" i="3"/>
  <c r="L346" i="3"/>
  <c r="L344" i="3"/>
  <c r="K342" i="3"/>
  <c r="K340" i="3"/>
  <c r="K346" i="3"/>
  <c r="K344" i="3"/>
  <c r="F342" i="3"/>
  <c r="F340" i="3"/>
  <c r="F346" i="3"/>
  <c r="J344" i="3"/>
  <c r="E342" i="3"/>
  <c r="E340" i="3"/>
  <c r="C344" i="3"/>
  <c r="G297" i="3"/>
  <c r="H295" i="3"/>
  <c r="K293" i="3"/>
  <c r="E292" i="3"/>
  <c r="I298" i="3"/>
  <c r="J296" i="3"/>
  <c r="L294" i="3"/>
  <c r="F293" i="3"/>
  <c r="F298" i="3"/>
  <c r="H296" i="3"/>
  <c r="K294" i="3"/>
  <c r="L292" i="3"/>
  <c r="D298" i="3"/>
  <c r="G296" i="3"/>
  <c r="J294" i="3"/>
  <c r="K292" i="3"/>
  <c r="L297" i="3"/>
  <c r="F296" i="3"/>
  <c r="I294" i="3"/>
  <c r="J292" i="3"/>
  <c r="F294" i="3"/>
  <c r="I297" i="3"/>
  <c r="C134" i="3"/>
  <c r="G292" i="3"/>
  <c r="G295" i="3"/>
  <c r="J298" i="3"/>
  <c r="C162" i="3"/>
  <c r="C137" i="3"/>
  <c r="A88" i="3"/>
  <c r="H292" i="3"/>
  <c r="I295" i="3"/>
  <c r="K298" i="3"/>
  <c r="L327" i="3"/>
  <c r="M341" i="3"/>
  <c r="C346" i="3"/>
  <c r="A202" i="3"/>
  <c r="A227" i="3" s="1"/>
  <c r="A72" i="3"/>
  <c r="C132" i="3"/>
  <c r="M257" i="3"/>
  <c r="K258" i="3"/>
  <c r="B257" i="3"/>
  <c r="I292" i="3"/>
  <c r="L295" i="3"/>
  <c r="L298" i="3"/>
  <c r="E328" i="3"/>
  <c r="B342" i="3"/>
  <c r="D346" i="3"/>
  <c r="K394" i="3"/>
  <c r="F389" i="3"/>
  <c r="K393" i="3"/>
  <c r="I392" i="3"/>
  <c r="H392" i="3"/>
  <c r="G392" i="3"/>
  <c r="F392" i="3"/>
  <c r="M410" i="3"/>
  <c r="B410" i="3"/>
  <c r="F408" i="3"/>
  <c r="J406" i="3"/>
  <c r="C405" i="3"/>
  <c r="I409" i="3"/>
  <c r="D408" i="3"/>
  <c r="F406" i="3"/>
  <c r="J404" i="3"/>
  <c r="H409" i="3"/>
  <c r="C408" i="3"/>
  <c r="E406" i="3"/>
  <c r="I404" i="3"/>
  <c r="F409" i="3"/>
  <c r="H407" i="3"/>
  <c r="C406" i="3"/>
  <c r="G404" i="3"/>
  <c r="J410" i="3"/>
  <c r="C409" i="3"/>
  <c r="G407" i="3"/>
  <c r="B406" i="3"/>
  <c r="F404" i="3"/>
  <c r="I410" i="3"/>
  <c r="B409" i="3"/>
  <c r="F407" i="3"/>
  <c r="J405" i="3"/>
  <c r="E404" i="3"/>
  <c r="F410" i="3"/>
  <c r="J408" i="3"/>
  <c r="E407" i="3"/>
  <c r="I405" i="3"/>
  <c r="D404" i="3"/>
  <c r="E410" i="3"/>
  <c r="I408" i="3"/>
  <c r="D407" i="3"/>
  <c r="H405" i="3"/>
  <c r="C404" i="3"/>
  <c r="H408" i="3"/>
  <c r="AS15" i="9"/>
  <c r="BC35" i="9"/>
  <c r="A87" i="3"/>
  <c r="A217" i="3"/>
  <c r="A242" i="3" s="1"/>
  <c r="G293" i="3"/>
  <c r="D296" i="3"/>
  <c r="H329" i="3"/>
  <c r="C342" i="3"/>
  <c r="E346" i="3"/>
  <c r="M375" i="3"/>
  <c r="B375" i="3"/>
  <c r="L374" i="3"/>
  <c r="K373" i="3"/>
  <c r="G373" i="3"/>
  <c r="J378" i="3"/>
  <c r="K372" i="3"/>
  <c r="C257" i="20"/>
  <c r="G257" i="20"/>
  <c r="BM31" i="9"/>
  <c r="J269" i="3"/>
  <c r="B272" i="3"/>
  <c r="H302" i="3"/>
  <c r="I309" i="3"/>
  <c r="F311" i="3"/>
  <c r="C313" i="3"/>
  <c r="J352" i="3"/>
  <c r="L364" i="3"/>
  <c r="B367" i="3"/>
  <c r="J369" i="3"/>
  <c r="J396" i="3"/>
  <c r="J398" i="3"/>
  <c r="D401" i="3"/>
  <c r="I413" i="3"/>
  <c r="M416" i="3"/>
  <c r="G419" i="20"/>
  <c r="S419" i="20"/>
  <c r="AE419" i="20"/>
  <c r="AV12" i="9"/>
  <c r="BN13" i="9"/>
  <c r="AT16" i="9"/>
  <c r="BF16" i="9"/>
  <c r="J124" i="20"/>
  <c r="AU19" i="9"/>
  <c r="BG19" i="9"/>
  <c r="AZ21" i="9"/>
  <c r="BL21" i="9"/>
  <c r="AU23" i="9"/>
  <c r="BG23" i="9"/>
  <c r="AY24" i="9"/>
  <c r="BK24" i="9"/>
  <c r="AS29" i="9"/>
  <c r="AY30" i="9"/>
  <c r="BK30" i="9"/>
  <c r="AR31" i="9"/>
  <c r="AV32" i="9"/>
  <c r="BH32" i="9"/>
  <c r="AT35" i="9"/>
  <c r="BF35" i="9"/>
  <c r="AX36" i="9"/>
  <c r="BJ36" i="9"/>
  <c r="T143" i="20"/>
  <c r="E449" i="20"/>
  <c r="AU9" i="9"/>
  <c r="BG9" i="9"/>
  <c r="AW12" i="9"/>
  <c r="AW14" i="9"/>
  <c r="BI14" i="9"/>
  <c r="AU16" i="9"/>
  <c r="BG16" i="9"/>
  <c r="BE17" i="9"/>
  <c r="BM17" i="9"/>
  <c r="K124" i="20"/>
  <c r="AV19" i="9"/>
  <c r="M200" i="20" s="1"/>
  <c r="BH19" i="9"/>
  <c r="AS21" i="9"/>
  <c r="AV23" i="9"/>
  <c r="BH23" i="9"/>
  <c r="AT29" i="9"/>
  <c r="AZ30" i="9"/>
  <c r="BL30" i="9"/>
  <c r="AE143" i="20"/>
  <c r="BK33" i="9"/>
  <c r="AR34" i="9"/>
  <c r="AU35" i="9"/>
  <c r="BG35" i="9"/>
  <c r="D270" i="3"/>
  <c r="G272" i="3"/>
  <c r="G285" i="3"/>
  <c r="J302" i="3"/>
  <c r="E308" i="3"/>
  <c r="B310" i="3"/>
  <c r="H311" i="3"/>
  <c r="E353" i="3"/>
  <c r="B365" i="3"/>
  <c r="K367" i="3"/>
  <c r="L369" i="3"/>
  <c r="G384" i="3"/>
  <c r="C397" i="3"/>
  <c r="G399" i="3"/>
  <c r="F401" i="3"/>
  <c r="I414" i="3"/>
  <c r="I417" i="3"/>
  <c r="I419" i="20"/>
  <c r="U419" i="20"/>
  <c r="AX12" i="9"/>
  <c r="AX14" i="9"/>
  <c r="BJ14" i="9"/>
  <c r="AV16" i="9"/>
  <c r="BH16" i="9"/>
  <c r="X124" i="20"/>
  <c r="AO19" i="9"/>
  <c r="BM20" i="9"/>
  <c r="AT21" i="9"/>
  <c r="AS22" i="9"/>
  <c r="AW23" i="9"/>
  <c r="BI23" i="9"/>
  <c r="AS28" i="9"/>
  <c r="J29" i="20" s="1"/>
  <c r="BE30" i="9"/>
  <c r="AZ33" i="9"/>
  <c r="BL33" i="9"/>
  <c r="AS34" i="9"/>
  <c r="AQ38" i="9"/>
  <c r="AS39" i="9"/>
  <c r="J333" i="20" s="1"/>
  <c r="BE39" i="9"/>
  <c r="J143" i="20"/>
  <c r="V143" i="20"/>
  <c r="BD41" i="11"/>
  <c r="AZ41" i="11"/>
  <c r="BC116" i="11"/>
  <c r="AQ116" i="11"/>
  <c r="AP116" i="11"/>
  <c r="AO116" i="11"/>
  <c r="AN116" i="11"/>
  <c r="AM116" i="11"/>
  <c r="BA116" i="11"/>
  <c r="AZ116" i="11"/>
  <c r="AY116" i="11"/>
  <c r="AR116" i="11"/>
  <c r="E270" i="3"/>
  <c r="I272" i="3"/>
  <c r="B287" i="3"/>
  <c r="I353" i="3"/>
  <c r="L386" i="3"/>
  <c r="AS9" i="9"/>
  <c r="J419" i="20"/>
  <c r="V419" i="20"/>
  <c r="AY12" i="9"/>
  <c r="BE15" i="9"/>
  <c r="AW16" i="9"/>
  <c r="BI16" i="9"/>
  <c r="BE18" i="9"/>
  <c r="BN20" i="9"/>
  <c r="AX23" i="9"/>
  <c r="BJ23" i="9"/>
  <c r="AT28" i="9"/>
  <c r="BF28" i="9"/>
  <c r="AP30" i="9"/>
  <c r="BN30" i="9"/>
  <c r="AO33" i="9"/>
  <c r="BM33" i="9"/>
  <c r="AW35" i="9"/>
  <c r="AD257" i="20"/>
  <c r="AO37" i="9"/>
  <c r="BM37" i="9"/>
  <c r="K143" i="20"/>
  <c r="BA16" i="11"/>
  <c r="AX16" i="11"/>
  <c r="AW16" i="11"/>
  <c r="AU16" i="11"/>
  <c r="AM16" i="11"/>
  <c r="AJ16" i="11"/>
  <c r="AZ16" i="11"/>
  <c r="AY16" i="11"/>
  <c r="B348" i="3"/>
  <c r="K353" i="3"/>
  <c r="I365" i="3"/>
  <c r="B368" i="3"/>
  <c r="B370" i="3"/>
  <c r="M386" i="3"/>
  <c r="F397" i="3"/>
  <c r="I399" i="3"/>
  <c r="H401" i="3"/>
  <c r="B415" i="3"/>
  <c r="E418" i="3"/>
  <c r="AZ12" i="9"/>
  <c r="Q10" i="20" s="1"/>
  <c r="AT13" i="9"/>
  <c r="AT15" i="9"/>
  <c r="K67" i="20" s="1"/>
  <c r="AX16" i="9"/>
  <c r="BJ16" i="9"/>
  <c r="AA86" i="20" s="1"/>
  <c r="AT18" i="9"/>
  <c r="BF18" i="9"/>
  <c r="AS27" i="9"/>
  <c r="AU28" i="9"/>
  <c r="BG28" i="9"/>
  <c r="AQ30" i="9"/>
  <c r="BC30" i="9"/>
  <c r="AV31" i="9"/>
  <c r="BH31" i="9"/>
  <c r="BN33" i="9"/>
  <c r="AU34" i="9"/>
  <c r="BG34" i="9"/>
  <c r="BN36" i="9"/>
  <c r="AE257" i="20"/>
  <c r="AP37" i="9"/>
  <c r="AU39" i="9"/>
  <c r="BG39" i="9"/>
  <c r="AT23" i="11"/>
  <c r="AS23" i="11"/>
  <c r="AO23" i="11"/>
  <c r="AN23" i="11"/>
  <c r="AL23" i="11"/>
  <c r="BC23" i="11"/>
  <c r="AX23" i="11"/>
  <c r="AW23" i="11"/>
  <c r="BC56" i="11"/>
  <c r="BA56" i="11"/>
  <c r="AR56" i="11"/>
  <c r="AQ56" i="11"/>
  <c r="AP56" i="11"/>
  <c r="BD56" i="11"/>
  <c r="BF12" i="9"/>
  <c r="BF14" i="9"/>
  <c r="BE23" i="9"/>
  <c r="V314" i="20" s="1"/>
  <c r="AO39" i="9"/>
  <c r="E268" i="3"/>
  <c r="L270" i="3"/>
  <c r="J273" i="3"/>
  <c r="G304" i="3"/>
  <c r="K349" i="3"/>
  <c r="G366" i="3"/>
  <c r="H368" i="3"/>
  <c r="L370" i="3"/>
  <c r="D398" i="3"/>
  <c r="C400" i="3"/>
  <c r="E402" i="3"/>
  <c r="G412" i="3"/>
  <c r="B416" i="3"/>
  <c r="AW9" i="9"/>
  <c r="AW13" i="9"/>
  <c r="BI13" i="9"/>
  <c r="AW15" i="9"/>
  <c r="AS16" i="9"/>
  <c r="BE16" i="9"/>
  <c r="AU17" i="9"/>
  <c r="BG17" i="9"/>
  <c r="X105" i="20" s="1"/>
  <c r="AP19" i="9"/>
  <c r="BF20" i="9"/>
  <c r="C295" i="20"/>
  <c r="AX22" i="9"/>
  <c r="BJ22" i="9"/>
  <c r="AT24" i="9"/>
  <c r="BF24" i="9"/>
  <c r="W333" i="20" s="1"/>
  <c r="AZ29" i="9"/>
  <c r="BL29" i="9"/>
  <c r="AX34" i="9"/>
  <c r="BJ34" i="9"/>
  <c r="AS36" i="9"/>
  <c r="AV38" i="9"/>
  <c r="BH38" i="9"/>
  <c r="BN87" i="9"/>
  <c r="AE416" i="20" s="1"/>
  <c r="BI87" i="9"/>
  <c r="Z416" i="20" s="1"/>
  <c r="AP10" i="11"/>
  <c r="AK10" i="11"/>
  <c r="AJ10" i="11"/>
  <c r="AH10" i="11"/>
  <c r="BJ10" i="11"/>
  <c r="AG10" i="11"/>
  <c r="AZ10" i="11"/>
  <c r="AY10" i="11"/>
  <c r="AX10" i="11"/>
  <c r="AV10" i="11"/>
  <c r="AU10" i="11"/>
  <c r="AT10" i="11"/>
  <c r="AX64" i="11"/>
  <c r="AL64" i="11"/>
  <c r="AK64" i="11"/>
  <c r="AJ64" i="11"/>
  <c r="AI64" i="11"/>
  <c r="BI64" i="11"/>
  <c r="AH64" i="11"/>
  <c r="BG64" i="11"/>
  <c r="BF64" i="11"/>
  <c r="BB64" i="11"/>
  <c r="AY64" i="11"/>
  <c r="AN64" i="11"/>
  <c r="AM64" i="11"/>
  <c r="AY9" i="9"/>
  <c r="BK9" i="9"/>
  <c r="D419" i="20"/>
  <c r="P419" i="20"/>
  <c r="AB419" i="20"/>
  <c r="AY13" i="9"/>
  <c r="BK13" i="9"/>
  <c r="D67" i="20"/>
  <c r="AW17" i="9"/>
  <c r="BI17" i="9"/>
  <c r="AV20" i="9"/>
  <c r="BH20" i="9"/>
  <c r="AW21" i="9"/>
  <c r="AZ22" i="9"/>
  <c r="BL22" i="9"/>
  <c r="AV24" i="9"/>
  <c r="BH24" i="9"/>
  <c r="Y333" i="20" s="1"/>
  <c r="AX27" i="9"/>
  <c r="BJ27" i="9"/>
  <c r="BB29" i="9"/>
  <c r="AS32" i="9"/>
  <c r="M124" i="20"/>
  <c r="Y124" i="20"/>
  <c r="AU33" i="9"/>
  <c r="BG33" i="9"/>
  <c r="AQ35" i="9"/>
  <c r="H219" i="20" s="1"/>
  <c r="AU36" i="9"/>
  <c r="BG36" i="9"/>
  <c r="BH64" i="11"/>
  <c r="BJ64" i="9"/>
  <c r="BL64" i="9"/>
  <c r="BF14" i="11"/>
  <c r="AK19" i="11"/>
  <c r="BA19" i="11"/>
  <c r="AN22" i="11"/>
  <c r="BE22" i="11"/>
  <c r="AP26" i="11"/>
  <c r="BD27" i="11"/>
  <c r="AN29" i="11"/>
  <c r="BG29" i="11"/>
  <c r="AT37" i="11"/>
  <c r="AK40" i="11"/>
  <c r="BC40" i="11"/>
  <c r="BJ44" i="11"/>
  <c r="AT46" i="11"/>
  <c r="AP49" i="11"/>
  <c r="BJ49" i="11"/>
  <c r="BD51" i="11"/>
  <c r="AU52" i="11"/>
  <c r="BG58" i="11"/>
  <c r="AS66" i="11"/>
  <c r="AK67" i="11"/>
  <c r="BF67" i="11"/>
  <c r="BG70" i="11"/>
  <c r="AV75" i="11"/>
  <c r="V73" i="12" s="1"/>
  <c r="AQ80" i="11"/>
  <c r="BD81" i="11"/>
  <c r="AZ82" i="11"/>
  <c r="AJ84" i="11"/>
  <c r="AN88" i="11"/>
  <c r="BJ88" i="11"/>
  <c r="AM91" i="11"/>
  <c r="BJ91" i="11"/>
  <c r="AK118" i="11"/>
  <c r="AO64" i="9"/>
  <c r="BA64" i="9"/>
  <c r="BM64" i="9"/>
  <c r="I12" i="10"/>
  <c r="J55" i="10"/>
  <c r="K55" i="10" s="1"/>
  <c r="J88" i="10"/>
  <c r="K88" i="10" s="1"/>
  <c r="E104" i="12" s="1"/>
  <c r="AZ11" i="11"/>
  <c r="AP13" i="11"/>
  <c r="AL14" i="11"/>
  <c r="BJ14" i="11"/>
  <c r="BB17" i="11"/>
  <c r="AL19" i="11"/>
  <c r="BB19" i="11"/>
  <c r="BE21" i="11"/>
  <c r="AO22" i="11"/>
  <c r="BF22" i="11"/>
  <c r="AK25" i="11"/>
  <c r="BB25" i="11"/>
  <c r="AQ26" i="11"/>
  <c r="BF28" i="11"/>
  <c r="AO29" i="11"/>
  <c r="BJ29" i="11"/>
  <c r="AN31" i="11"/>
  <c r="AP32" i="11"/>
  <c r="AJ34" i="11"/>
  <c r="AU37" i="11"/>
  <c r="AU39" i="11"/>
  <c r="AL40" i="11"/>
  <c r="BF40" i="11"/>
  <c r="AL44" i="11"/>
  <c r="AU46" i="11"/>
  <c r="AT49" i="11"/>
  <c r="BG51" i="11"/>
  <c r="AV52" i="11"/>
  <c r="BB55" i="11"/>
  <c r="BI58" i="11"/>
  <c r="AM62" i="11"/>
  <c r="AR63" i="11"/>
  <c r="AO65" i="11"/>
  <c r="AT66" i="11"/>
  <c r="AL67" i="11"/>
  <c r="BG67" i="11"/>
  <c r="AH70" i="11"/>
  <c r="BH70" i="11"/>
  <c r="AJ73" i="11"/>
  <c r="BI73" i="11"/>
  <c r="BH75" i="11"/>
  <c r="AV76" i="11"/>
  <c r="AX79" i="11"/>
  <c r="AR80" i="11"/>
  <c r="BF81" i="11"/>
  <c r="AQ84" i="11"/>
  <c r="AP88" i="11"/>
  <c r="AN91" i="11"/>
  <c r="BF94" i="11"/>
  <c r="AJ99" i="11"/>
  <c r="AQ101" i="11"/>
  <c r="BB103" i="11"/>
  <c r="BH106" i="11"/>
  <c r="AL109" i="11"/>
  <c r="BI109" i="11"/>
  <c r="AK115" i="11"/>
  <c r="BG115" i="11"/>
  <c r="AL118" i="11"/>
  <c r="BE120" i="11"/>
  <c r="BF123" i="11"/>
  <c r="F20" i="12"/>
  <c r="F24" i="12"/>
  <c r="F28" i="12"/>
  <c r="AE107" i="20"/>
  <c r="I14" i="10"/>
  <c r="BB11" i="11"/>
  <c r="AM14" i="11"/>
  <c r="AM19" i="11"/>
  <c r="BE19" i="11"/>
  <c r="BF21" i="11"/>
  <c r="AP22" i="11"/>
  <c r="BG22" i="11"/>
  <c r="AU26" i="11"/>
  <c r="BG28" i="11"/>
  <c r="AP29" i="11"/>
  <c r="AR32" i="11"/>
  <c r="AK34" i="11"/>
  <c r="AV37" i="11"/>
  <c r="AV39" i="11"/>
  <c r="AM40" i="11"/>
  <c r="BH40" i="11"/>
  <c r="AM44" i="11"/>
  <c r="AV46" i="11"/>
  <c r="AU49" i="11"/>
  <c r="BH51" i="11"/>
  <c r="AW52" i="11"/>
  <c r="BH55" i="11"/>
  <c r="AN62" i="11"/>
  <c r="AS63" i="11"/>
  <c r="AQ65" i="11"/>
  <c r="AU66" i="11"/>
  <c r="AM67" i="11"/>
  <c r="BH67" i="11"/>
  <c r="AI70" i="11"/>
  <c r="BI70" i="11"/>
  <c r="AL73" i="11"/>
  <c r="BJ73" i="11"/>
  <c r="BB79" i="11"/>
  <c r="AX80" i="11"/>
  <c r="BG81" i="11"/>
  <c r="BD84" i="11"/>
  <c r="AS88" i="11"/>
  <c r="AS91" i="11"/>
  <c r="BG94" i="11"/>
  <c r="BG103" i="11"/>
  <c r="AM109" i="11"/>
  <c r="BJ109" i="11"/>
  <c r="AL115" i="11"/>
  <c r="BH115" i="11"/>
  <c r="AP118" i="11"/>
  <c r="K165" i="17"/>
  <c r="V32" i="19"/>
  <c r="T112" i="20"/>
  <c r="I15" i="10"/>
  <c r="J56" i="10"/>
  <c r="K56" i="10" s="1"/>
  <c r="AT13" i="11"/>
  <c r="AN14" i="11"/>
  <c r="BJ17" i="11"/>
  <c r="AN19" i="11"/>
  <c r="BF19" i="11"/>
  <c r="AS22" i="11"/>
  <c r="BI22" i="11"/>
  <c r="AM25" i="11"/>
  <c r="BF25" i="11"/>
  <c r="AZ26" i="11"/>
  <c r="AJ28" i="11"/>
  <c r="BH28" i="11"/>
  <c r="AQ29" i="11"/>
  <c r="AL34" i="11"/>
  <c r="BC35" i="11"/>
  <c r="AW37" i="11"/>
  <c r="AN40" i="11"/>
  <c r="BI40" i="11"/>
  <c r="AN43" i="11"/>
  <c r="AN44" i="11"/>
  <c r="AW46" i="11"/>
  <c r="AV49" i="11"/>
  <c r="AX52" i="11"/>
  <c r="AG55" i="11"/>
  <c r="BI55" i="11"/>
  <c r="AO62" i="11"/>
  <c r="AT63" i="11"/>
  <c r="BC65" i="11"/>
  <c r="AV66" i="11"/>
  <c r="AN67" i="11"/>
  <c r="BI67" i="11"/>
  <c r="AL70" i="11"/>
  <c r="BJ70" i="11"/>
  <c r="AM73" i="11"/>
  <c r="AY76" i="11"/>
  <c r="AH79" i="11"/>
  <c r="BF79" i="11"/>
  <c r="AZ80" i="11"/>
  <c r="BH81" i="11"/>
  <c r="BE84" i="11"/>
  <c r="AU88" i="11"/>
  <c r="AT91" i="11"/>
  <c r="BJ103" i="11"/>
  <c r="AG106" i="11"/>
  <c r="AP109" i="11"/>
  <c r="AN115" i="11"/>
  <c r="BI115" i="11"/>
  <c r="AS118" i="11"/>
  <c r="AH123" i="11"/>
  <c r="BH123" i="11"/>
  <c r="F115" i="20"/>
  <c r="J67" i="10"/>
  <c r="K67" i="10" s="1"/>
  <c r="J95" i="10"/>
  <c r="K95" i="10" s="1"/>
  <c r="L95" i="10" s="1"/>
  <c r="J100" i="10"/>
  <c r="K100" i="10" s="1"/>
  <c r="AU22" i="11"/>
  <c r="BJ22" i="11"/>
  <c r="BC37" i="11"/>
  <c r="AQ40" i="11"/>
  <c r="BJ40" i="11"/>
  <c r="AX49" i="11"/>
  <c r="BC52" i="11"/>
  <c r="AP67" i="11"/>
  <c r="BJ67" i="11"/>
  <c r="BA80" i="11"/>
  <c r="BF84" i="11"/>
  <c r="AV88" i="11"/>
  <c r="AZ118" i="11"/>
  <c r="F9" i="12"/>
  <c r="F17" i="12"/>
  <c r="F21" i="12"/>
  <c r="F25" i="12"/>
  <c r="N117" i="20"/>
  <c r="F371" i="20"/>
  <c r="T373" i="20"/>
  <c r="AB377" i="20"/>
  <c r="AC380" i="20"/>
  <c r="P383" i="20"/>
  <c r="J57" i="10"/>
  <c r="K57" i="10" s="1"/>
  <c r="J73" i="10"/>
  <c r="K73" i="10" s="1"/>
  <c r="L73" i="10" s="1"/>
  <c r="J84" i="10"/>
  <c r="K84" i="10" s="1"/>
  <c r="E100" i="12" s="1"/>
  <c r="BI37" i="11"/>
  <c r="AT40" i="11"/>
  <c r="AT67" i="11"/>
  <c r="BC80" i="11"/>
  <c r="BH84" i="11"/>
  <c r="AX88" i="11"/>
  <c r="BF118" i="11"/>
  <c r="F33" i="12"/>
  <c r="F37" i="12"/>
  <c r="F41" i="12"/>
  <c r="F45" i="12"/>
  <c r="F49" i="12"/>
  <c r="D164" i="17"/>
  <c r="S130" i="20"/>
  <c r="O133" i="20"/>
  <c r="I136" i="20"/>
  <c r="G371" i="20"/>
  <c r="U373" i="20"/>
  <c r="AE377" i="20"/>
  <c r="AD380" i="20"/>
  <c r="R383" i="20"/>
  <c r="T47" i="19"/>
  <c r="AF47" i="19"/>
  <c r="V371" i="20"/>
  <c r="V373" i="20"/>
  <c r="T378" i="20"/>
  <c r="H381" i="20"/>
  <c r="D449" i="20"/>
  <c r="J63" i="10"/>
  <c r="K63" i="10" s="1"/>
  <c r="L63" i="10" s="1"/>
  <c r="J85" i="10"/>
  <c r="K85" i="10" s="1"/>
  <c r="E101" i="12" s="1"/>
  <c r="BE12" i="11"/>
  <c r="AV19" i="11"/>
  <c r="AI22" i="11"/>
  <c r="AX22" i="11"/>
  <c r="BA29" i="11"/>
  <c r="AV40" i="11"/>
  <c r="BJ46" i="11"/>
  <c r="AJ49" i="11"/>
  <c r="BB49" i="11"/>
  <c r="AP51" i="11"/>
  <c r="AL52" i="11"/>
  <c r="BI52" i="11"/>
  <c r="AQ58" i="11"/>
  <c r="AV67" i="11"/>
  <c r="AT82" i="11"/>
  <c r="AH88" i="11"/>
  <c r="BB88" i="11"/>
  <c r="AZ91" i="11"/>
  <c r="BI118" i="11"/>
  <c r="F10" i="12"/>
  <c r="F14" i="12"/>
  <c r="F22" i="12"/>
  <c r="F26" i="12"/>
  <c r="AX40" i="11"/>
  <c r="AX67" i="11"/>
  <c r="BJ118" i="11"/>
  <c r="I38" i="10"/>
  <c r="J102" i="10"/>
  <c r="K102" i="10" s="1"/>
  <c r="E118" i="12" s="1"/>
  <c r="AX14" i="11"/>
  <c r="AH19" i="11"/>
  <c r="AX19" i="11"/>
  <c r="AK22" i="11"/>
  <c r="AZ22" i="11"/>
  <c r="AM26" i="11"/>
  <c r="AQ27" i="11"/>
  <c r="AI29" i="11"/>
  <c r="BC29" i="11"/>
  <c r="AK37" i="11"/>
  <c r="AH40" i="11"/>
  <c r="AY40" i="11"/>
  <c r="AY44" i="11"/>
  <c r="AN46" i="11"/>
  <c r="AL49" i="11"/>
  <c r="BF49" i="11"/>
  <c r="AT51" i="11"/>
  <c r="AP52" i="11"/>
  <c r="AT58" i="11"/>
  <c r="AP66" i="11"/>
  <c r="AH67" i="11"/>
  <c r="AY67" i="11"/>
  <c r="AV70" i="11"/>
  <c r="AZ73" i="11"/>
  <c r="AR75" i="11"/>
  <c r="AL80" i="11"/>
  <c r="AI81" i="11"/>
  <c r="AV82" i="11"/>
  <c r="AG84" i="11"/>
  <c r="AK88" i="11"/>
  <c r="BF88" i="11"/>
  <c r="AI91" i="11"/>
  <c r="BF91" i="11"/>
  <c r="BB109" i="11"/>
  <c r="BC111" i="11"/>
  <c r="AY115" i="11"/>
  <c r="AG118" i="11"/>
  <c r="AZ122" i="11"/>
  <c r="F38" i="12"/>
  <c r="F42" i="12"/>
  <c r="AB126" i="20"/>
  <c r="T131" i="20"/>
  <c r="N134" i="20"/>
  <c r="Q358" i="20"/>
  <c r="K365" i="20"/>
  <c r="Z371" i="20"/>
  <c r="I376" i="20"/>
  <c r="O379" i="20"/>
  <c r="Z381" i="20"/>
  <c r="AZ63" i="9"/>
  <c r="J59" i="10"/>
  <c r="K59" i="10" s="1"/>
  <c r="E75" i="12" s="1"/>
  <c r="J81" i="10"/>
  <c r="K81" i="10" s="1"/>
  <c r="AH11" i="11"/>
  <c r="BC14" i="11"/>
  <c r="AQ17" i="11"/>
  <c r="AI19" i="11"/>
  <c r="AY19" i="11"/>
  <c r="AH21" i="11"/>
  <c r="AL22" i="11"/>
  <c r="BA22" i="11"/>
  <c r="AN26" i="11"/>
  <c r="AR27" i="11"/>
  <c r="AY28" i="11"/>
  <c r="AL29" i="11"/>
  <c r="BD29" i="11"/>
  <c r="BF34" i="11"/>
  <c r="AM37" i="11"/>
  <c r="AI40" i="11"/>
  <c r="AZ40" i="11"/>
  <c r="AZ44" i="11"/>
  <c r="AP46" i="11"/>
  <c r="AL47" i="11"/>
  <c r="AM49" i="11"/>
  <c r="BG49" i="11"/>
  <c r="AU51" i="11"/>
  <c r="AQ52" i="11"/>
  <c r="AW55" i="11"/>
  <c r="AV58" i="11"/>
  <c r="AG63" i="11"/>
  <c r="AL65" i="11"/>
  <c r="AQ66" i="11"/>
  <c r="AI67" i="11"/>
  <c r="AZ67" i="11"/>
  <c r="AX70" i="11"/>
  <c r="AG73" i="11"/>
  <c r="BF73" i="11"/>
  <c r="AS75" i="11"/>
  <c r="AT79" i="11"/>
  <c r="AM80" i="11"/>
  <c r="AJ81" i="11"/>
  <c r="AX82" i="11"/>
  <c r="AH84" i="11"/>
  <c r="AL88" i="11"/>
  <c r="BG88" i="11"/>
  <c r="AJ91" i="11"/>
  <c r="BH91" i="11"/>
  <c r="AJ94" i="11"/>
  <c r="AG103" i="11"/>
  <c r="AZ106" i="11"/>
  <c r="AG109" i="11"/>
  <c r="BE109" i="11"/>
  <c r="AG115" i="11"/>
  <c r="AZ115" i="11"/>
  <c r="AI118" i="11"/>
  <c r="BA122" i="11"/>
  <c r="AU123" i="11"/>
  <c r="F19" i="12"/>
  <c r="F23" i="12"/>
  <c r="K162" i="17"/>
  <c r="X47" i="19"/>
  <c r="E129" i="20"/>
  <c r="W131" i="20"/>
  <c r="S134" i="20"/>
  <c r="AB358" i="20"/>
  <c r="N365" i="20"/>
  <c r="K372" i="20"/>
  <c r="R376" i="20"/>
  <c r="P379" i="20"/>
  <c r="Q382" i="20"/>
  <c r="J87" i="10"/>
  <c r="K87" i="10" s="1"/>
  <c r="L87" i="10" s="1"/>
  <c r="I22" i="10"/>
  <c r="AJ19" i="11"/>
  <c r="AZ19" i="11"/>
  <c r="AR21" i="11"/>
  <c r="AM22" i="11"/>
  <c r="BB22" i="11"/>
  <c r="AM29" i="11"/>
  <c r="BF29" i="11"/>
  <c r="AJ40" i="11"/>
  <c r="BA44" i="11"/>
  <c r="AN49" i="11"/>
  <c r="AP63" i="11"/>
  <c r="AM65" i="11"/>
  <c r="AR66" i="11"/>
  <c r="AJ67" i="11"/>
  <c r="BB67" i="11"/>
  <c r="AH73" i="11"/>
  <c r="AP80" i="11"/>
  <c r="AM88" i="11"/>
  <c r="AL91" i="11"/>
  <c r="BE106" i="11"/>
  <c r="AJ109" i="11"/>
  <c r="AI115" i="11"/>
  <c r="AJ118" i="11"/>
  <c r="BB122" i="11"/>
  <c r="F31" i="12"/>
  <c r="F35" i="12"/>
  <c r="F39" i="12"/>
  <c r="F43" i="12"/>
  <c r="F47" i="12"/>
  <c r="F51" i="12"/>
  <c r="F55" i="12"/>
  <c r="AE32" i="19"/>
  <c r="Y47" i="19"/>
  <c r="N129" i="20"/>
  <c r="E132" i="20"/>
  <c r="Z134" i="20"/>
  <c r="AD358" i="20"/>
  <c r="X365" i="20"/>
  <c r="M372" i="20"/>
  <c r="D377" i="20"/>
  <c r="S379" i="20"/>
  <c r="R382" i="20"/>
  <c r="F109" i="3"/>
  <c r="F134" i="3" s="1"/>
  <c r="F56" i="3" s="1"/>
  <c r="AV42" i="11"/>
  <c r="AQ42" i="11"/>
  <c r="AH42" i="11"/>
  <c r="BH42" i="11"/>
  <c r="AG42" i="11"/>
  <c r="BE42" i="11"/>
  <c r="BC42" i="11"/>
  <c r="AT42" i="11"/>
  <c r="AS42" i="11"/>
  <c r="AP42" i="11"/>
  <c r="BG42" i="11"/>
  <c r="BF42" i="11"/>
  <c r="BD42" i="11"/>
  <c r="AL27" i="9"/>
  <c r="AP27" i="9"/>
  <c r="BD97" i="11"/>
  <c r="BI97" i="11"/>
  <c r="AT97" i="11"/>
  <c r="AY97" i="11"/>
  <c r="AJ97" i="11"/>
  <c r="BE97" i="11"/>
  <c r="AK97" i="11"/>
  <c r="BH97" i="11"/>
  <c r="AM97" i="11"/>
  <c r="BG97" i="11"/>
  <c r="AL97" i="11"/>
  <c r="AS97" i="11"/>
  <c r="AN97" i="11"/>
  <c r="AI97" i="11"/>
  <c r="BJ97" i="11"/>
  <c r="AH97" i="11"/>
  <c r="BF97" i="11"/>
  <c r="AG97" i="11"/>
  <c r="AZ97" i="11"/>
  <c r="BB97" i="11"/>
  <c r="AX97" i="11"/>
  <c r="AW97" i="11"/>
  <c r="I287" i="3"/>
  <c r="C332" i="3"/>
  <c r="E335" i="3"/>
  <c r="D338" i="3"/>
  <c r="AM17" i="9"/>
  <c r="D105" i="20" s="1"/>
  <c r="AQ17" i="9"/>
  <c r="AP22" i="9"/>
  <c r="AW32" i="9"/>
  <c r="BA32" i="9"/>
  <c r="BF9" i="11"/>
  <c r="BD9" i="11"/>
  <c r="AR9" i="11"/>
  <c r="AH9" i="11"/>
  <c r="AG9" i="11"/>
  <c r="BE15" i="11"/>
  <c r="BF15" i="11"/>
  <c r="AS15" i="11"/>
  <c r="AR15" i="11"/>
  <c r="AH15" i="11"/>
  <c r="AI42" i="11"/>
  <c r="BB89" i="11"/>
  <c r="BC89" i="11"/>
  <c r="BD89" i="11"/>
  <c r="AM89" i="11"/>
  <c r="AU97" i="11"/>
  <c r="BC117" i="11"/>
  <c r="AG117" i="11"/>
  <c r="BE117" i="11"/>
  <c r="AJ117" i="11"/>
  <c r="BH117" i="11"/>
  <c r="BG117" i="11"/>
  <c r="BF117" i="11"/>
  <c r="AR117" i="11"/>
  <c r="AI117" i="11"/>
  <c r="BD121" i="11"/>
  <c r="BF121" i="11"/>
  <c r="AN121" i="11"/>
  <c r="AV121" i="11"/>
  <c r="AG121" i="11"/>
  <c r="BH121" i="11"/>
  <c r="AM121" i="11"/>
  <c r="BB121" i="11"/>
  <c r="AI121" i="11"/>
  <c r="AZ121" i="11"/>
  <c r="AH121" i="11"/>
  <c r="AU121" i="11"/>
  <c r="AS121" i="11"/>
  <c r="AP121" i="11"/>
  <c r="AL121" i="11"/>
  <c r="BJ121" i="11"/>
  <c r="AK121" i="11"/>
  <c r="BI121" i="11"/>
  <c r="BE121" i="11"/>
  <c r="AY121" i="11"/>
  <c r="AX121" i="11"/>
  <c r="AW121" i="11"/>
  <c r="C257" i="3"/>
  <c r="L253" i="3"/>
  <c r="G321" i="3"/>
  <c r="C320" i="3"/>
  <c r="H318" i="3"/>
  <c r="C317" i="3"/>
  <c r="M322" i="3"/>
  <c r="F321" i="3"/>
  <c r="B320" i="3"/>
  <c r="F318" i="3"/>
  <c r="B317" i="3"/>
  <c r="G317" i="3"/>
  <c r="H322" i="3"/>
  <c r="B316" i="3"/>
  <c r="E319" i="3"/>
  <c r="I322" i="3"/>
  <c r="F335" i="3"/>
  <c r="BE12" i="9"/>
  <c r="BA12" i="9"/>
  <c r="AN14" i="9"/>
  <c r="AR14" i="9"/>
  <c r="AN17" i="9"/>
  <c r="AR17" i="9"/>
  <c r="B67" i="8"/>
  <c r="B17" i="8"/>
  <c r="I285" i="3"/>
  <c r="F263" i="3"/>
  <c r="D263" i="3"/>
  <c r="E262" i="3"/>
  <c r="C284" i="3"/>
  <c r="K285" i="3"/>
  <c r="K287" i="3"/>
  <c r="H317" i="3"/>
  <c r="B321" i="3"/>
  <c r="D332" i="3"/>
  <c r="E338" i="3"/>
  <c r="G252" i="3"/>
  <c r="C261" i="3"/>
  <c r="G332" i="3"/>
  <c r="G335" i="3"/>
  <c r="G338" i="3"/>
  <c r="BK32" i="9"/>
  <c r="AX35" i="9"/>
  <c r="L143" i="20"/>
  <c r="X143" i="20"/>
  <c r="BB60" i="11"/>
  <c r="AV60" i="11"/>
  <c r="BC60" i="11"/>
  <c r="AG112" i="11"/>
  <c r="AG114" i="11"/>
  <c r="AT121" i="11"/>
  <c r="AX32" i="9"/>
  <c r="BB32" i="9"/>
  <c r="AY32" i="9"/>
  <c r="C300" i="3"/>
  <c r="D303" i="3"/>
  <c r="K332" i="3"/>
  <c r="K335" i="3"/>
  <c r="L338" i="3"/>
  <c r="AM112" i="11"/>
  <c r="BG121" i="11"/>
  <c r="H255" i="3"/>
  <c r="D319" i="3"/>
  <c r="K255" i="3"/>
  <c r="B45" i="5"/>
  <c r="C115" i="3"/>
  <c r="D284" i="3"/>
  <c r="L287" i="3"/>
  <c r="E290" i="3"/>
  <c r="B306" i="3"/>
  <c r="C306" i="3"/>
  <c r="I304" i="3"/>
  <c r="F303" i="3"/>
  <c r="C302" i="3"/>
  <c r="I300" i="3"/>
  <c r="K305" i="3"/>
  <c r="H304" i="3"/>
  <c r="E303" i="3"/>
  <c r="K301" i="3"/>
  <c r="H300" i="3"/>
  <c r="J304" i="3"/>
  <c r="BI19" i="9"/>
  <c r="I257" i="3"/>
  <c r="D316" i="3"/>
  <c r="E321" i="3"/>
  <c r="BN9" i="9"/>
  <c r="AL23" i="9"/>
  <c r="AP23" i="9"/>
  <c r="AS30" i="9"/>
  <c r="AS33" i="9"/>
  <c r="J181" i="20" s="1"/>
  <c r="BI39" i="9"/>
  <c r="J96" i="10"/>
  <c r="K96" i="10" s="1"/>
  <c r="L96" i="10" s="1"/>
  <c r="A80" i="3"/>
  <c r="D111" i="3"/>
  <c r="D136" i="3" s="1"/>
  <c r="D58" i="3" s="1"/>
  <c r="E134" i="3"/>
  <c r="A212" i="3"/>
  <c r="A237" i="3" s="1"/>
  <c r="I252" i="3"/>
  <c r="F254" i="3"/>
  <c r="B256" i="3"/>
  <c r="K257" i="3"/>
  <c r="E263" i="3"/>
  <c r="L268" i="3"/>
  <c r="J270" i="3"/>
  <c r="F272" i="3"/>
  <c r="B274" i="3"/>
  <c r="J284" i="3"/>
  <c r="G286" i="3"/>
  <c r="B288" i="3"/>
  <c r="G290" i="3"/>
  <c r="D300" i="3"/>
  <c r="I301" i="3"/>
  <c r="G303" i="3"/>
  <c r="C305" i="3"/>
  <c r="H306" i="3"/>
  <c r="E316" i="3"/>
  <c r="B318" i="3"/>
  <c r="H319" i="3"/>
  <c r="H321" i="3"/>
  <c r="L332" i="3"/>
  <c r="C336" i="3"/>
  <c r="M345" i="3"/>
  <c r="F344" i="3"/>
  <c r="B343" i="3"/>
  <c r="J341" i="3"/>
  <c r="C340" i="3"/>
  <c r="L345" i="3"/>
  <c r="E344" i="3"/>
  <c r="M342" i="3"/>
  <c r="F341" i="3"/>
  <c r="B340" i="3"/>
  <c r="L341" i="3"/>
  <c r="F343" i="3"/>
  <c r="C345" i="3"/>
  <c r="M346" i="3"/>
  <c r="L350" i="3"/>
  <c r="C365" i="3"/>
  <c r="M366" i="3"/>
  <c r="J368" i="3"/>
  <c r="G381" i="3"/>
  <c r="F388" i="3"/>
  <c r="K389" i="3"/>
  <c r="G391" i="3"/>
  <c r="E393" i="3"/>
  <c r="J394" i="3"/>
  <c r="D397" i="3"/>
  <c r="I398" i="3"/>
  <c r="E400" i="3"/>
  <c r="C402" i="3"/>
  <c r="G413" i="3"/>
  <c r="E415" i="3"/>
  <c r="B68" i="8"/>
  <c r="AQ9" i="9"/>
  <c r="AQ14" i="9"/>
  <c r="AT30" i="9"/>
  <c r="AT33" i="9"/>
  <c r="K181" i="20" s="1"/>
  <c r="AO36" i="9"/>
  <c r="AW38" i="9"/>
  <c r="BA38" i="9"/>
  <c r="AX39" i="9"/>
  <c r="BJ39" i="9"/>
  <c r="BI20" i="11"/>
  <c r="BF20" i="11"/>
  <c r="AP20" i="11"/>
  <c r="BE20" i="11"/>
  <c r="AO20" i="11"/>
  <c r="AW20" i="11"/>
  <c r="AS20" i="11"/>
  <c r="AQ20" i="11"/>
  <c r="AN20" i="11"/>
  <c r="BJ20" i="11"/>
  <c r="AM20" i="11"/>
  <c r="AZ20" i="11"/>
  <c r="AT20" i="11"/>
  <c r="BC20" i="11"/>
  <c r="BB20" i="11"/>
  <c r="BA20" i="11"/>
  <c r="AY20" i="11"/>
  <c r="AX20" i="11"/>
  <c r="BA50" i="11"/>
  <c r="BJ50" i="11"/>
  <c r="AM50" i="11"/>
  <c r="AL50" i="11"/>
  <c r="BD50" i="11"/>
  <c r="BC50" i="11"/>
  <c r="BE61" i="11"/>
  <c r="AW61" i="11"/>
  <c r="AH61" i="11"/>
  <c r="BI61" i="11"/>
  <c r="AQ61" i="11"/>
  <c r="BH61" i="11"/>
  <c r="AP61" i="11"/>
  <c r="BJ61" i="11"/>
  <c r="AM61" i="11"/>
  <c r="BF61" i="11"/>
  <c r="AK61" i="11"/>
  <c r="BC61" i="11"/>
  <c r="AJ61" i="11"/>
  <c r="BB61" i="11"/>
  <c r="AI61" i="11"/>
  <c r="AZ61" i="11"/>
  <c r="AG61" i="11"/>
  <c r="AL61" i="11"/>
  <c r="BG61" i="11"/>
  <c r="AY61" i="11"/>
  <c r="AX61" i="11"/>
  <c r="AV61" i="11"/>
  <c r="AU61" i="11"/>
  <c r="AT61" i="11"/>
  <c r="BB107" i="11"/>
  <c r="BC107" i="11"/>
  <c r="G255" i="3"/>
  <c r="J285" i="3"/>
  <c r="C252" i="3"/>
  <c r="G257" i="3"/>
  <c r="AV97" i="11"/>
  <c r="BD112" i="11"/>
  <c r="AX112" i="11"/>
  <c r="AI112" i="11"/>
  <c r="BF112" i="11"/>
  <c r="AN112" i="11"/>
  <c r="BJ112" i="11"/>
  <c r="AS112" i="11"/>
  <c r="AU112" i="11"/>
  <c r="AT112" i="11"/>
  <c r="AP112" i="11"/>
  <c r="AL112" i="11"/>
  <c r="BI112" i="11"/>
  <c r="AK112" i="11"/>
  <c r="BH112" i="11"/>
  <c r="AJ112" i="11"/>
  <c r="BG112" i="11"/>
  <c r="AH112" i="11"/>
  <c r="BE112" i="11"/>
  <c r="BB112" i="11"/>
  <c r="AZ112" i="11"/>
  <c r="AY112" i="11"/>
  <c r="D254" i="3"/>
  <c r="H257" i="3"/>
  <c r="G301" i="3"/>
  <c r="F306" i="3"/>
  <c r="E254" i="3"/>
  <c r="E286" i="3"/>
  <c r="K252" i="3"/>
  <c r="G254" i="3"/>
  <c r="C256" i="3"/>
  <c r="F265" i="3"/>
  <c r="K284" i="3"/>
  <c r="H286" i="3"/>
  <c r="E288" i="3"/>
  <c r="E300" i="3"/>
  <c r="J301" i="3"/>
  <c r="H303" i="3"/>
  <c r="D305" i="3"/>
  <c r="I306" i="3"/>
  <c r="F316" i="3"/>
  <c r="C318" i="3"/>
  <c r="I319" i="3"/>
  <c r="I321" i="3"/>
  <c r="D333" i="3"/>
  <c r="D336" i="3"/>
  <c r="B354" i="3"/>
  <c r="D351" i="3"/>
  <c r="E348" i="3"/>
  <c r="M353" i="3"/>
  <c r="B351" i="3"/>
  <c r="C348" i="3"/>
  <c r="E351" i="3"/>
  <c r="L354" i="3"/>
  <c r="I381" i="3"/>
  <c r="G388" i="3"/>
  <c r="L389" i="3"/>
  <c r="J391" i="3"/>
  <c r="F393" i="3"/>
  <c r="I418" i="3"/>
  <c r="E417" i="3"/>
  <c r="I415" i="3"/>
  <c r="E414" i="3"/>
  <c r="M412" i="3"/>
  <c r="H418" i="3"/>
  <c r="C417" i="3"/>
  <c r="H415" i="3"/>
  <c r="D414" i="3"/>
  <c r="I412" i="3"/>
  <c r="F418" i="3"/>
  <c r="B417" i="3"/>
  <c r="G415" i="3"/>
  <c r="C414" i="3"/>
  <c r="H412" i="3"/>
  <c r="H413" i="3"/>
  <c r="F415" i="3"/>
  <c r="H417" i="3"/>
  <c r="AS12" i="9"/>
  <c r="J10" i="20" s="1"/>
  <c r="AN23" i="9"/>
  <c r="AR23" i="9"/>
  <c r="AQ24" i="9"/>
  <c r="BE29" i="9"/>
  <c r="AM34" i="9"/>
  <c r="AQ34" i="9"/>
  <c r="AX38" i="9"/>
  <c r="AR64" i="9"/>
  <c r="AV64" i="9"/>
  <c r="AG20" i="11"/>
  <c r="AN50" i="11"/>
  <c r="AN61" i="11"/>
  <c r="AP69" i="11"/>
  <c r="AS69" i="11"/>
  <c r="AR69" i="11"/>
  <c r="AG69" i="11"/>
  <c r="BH69" i="11"/>
  <c r="BD69" i="11"/>
  <c r="AU69" i="11"/>
  <c r="AQ69" i="11"/>
  <c r="AH69" i="11"/>
  <c r="AV72" i="11"/>
  <c r="AU72" i="11"/>
  <c r="AT72" i="11"/>
  <c r="AS72" i="11"/>
  <c r="AR72" i="11"/>
  <c r="BD85" i="11"/>
  <c r="BB85" i="11"/>
  <c r="AL85" i="11"/>
  <c r="BI85" i="11"/>
  <c r="AT85" i="11"/>
  <c r="AX85" i="11"/>
  <c r="AG85" i="11"/>
  <c r="BH85" i="11"/>
  <c r="AM85" i="11"/>
  <c r="BG85" i="11"/>
  <c r="AK85" i="11"/>
  <c r="AW85" i="11"/>
  <c r="AU85" i="11"/>
  <c r="AS85" i="11"/>
  <c r="AP85" i="11"/>
  <c r="AN85" i="11"/>
  <c r="BF85" i="11"/>
  <c r="AZ85" i="11"/>
  <c r="AY85" i="11"/>
  <c r="AJ85" i="11"/>
  <c r="BJ85" i="11"/>
  <c r="BE85" i="11"/>
  <c r="AV85" i="11"/>
  <c r="AI85" i="11"/>
  <c r="BA107" i="11"/>
  <c r="AW112" i="11"/>
  <c r="F258" i="3"/>
  <c r="C258" i="3"/>
  <c r="I256" i="3"/>
  <c r="E255" i="3"/>
  <c r="K253" i="3"/>
  <c r="E252" i="3"/>
  <c r="B258" i="3"/>
  <c r="H256" i="3"/>
  <c r="B255" i="3"/>
  <c r="I253" i="3"/>
  <c r="D252" i="3"/>
  <c r="H253" i="3"/>
  <c r="L258" i="3"/>
  <c r="J289" i="3"/>
  <c r="M290" i="3"/>
  <c r="F289" i="3"/>
  <c r="H287" i="3"/>
  <c r="M285" i="3"/>
  <c r="I284" i="3"/>
  <c r="L290" i="3"/>
  <c r="E289" i="3"/>
  <c r="G287" i="3"/>
  <c r="L285" i="3"/>
  <c r="H284" i="3"/>
  <c r="L334" i="3"/>
  <c r="C338" i="3"/>
  <c r="C101" i="3"/>
  <c r="B284" i="3"/>
  <c r="C394" i="3"/>
  <c r="F394" i="3"/>
  <c r="L392" i="3"/>
  <c r="I391" i="3"/>
  <c r="F390" i="3"/>
  <c r="L388" i="3"/>
  <c r="E394" i="3"/>
  <c r="K392" i="3"/>
  <c r="H391" i="3"/>
  <c r="E390" i="3"/>
  <c r="K388" i="3"/>
  <c r="H389" i="3"/>
  <c r="D391" i="3"/>
  <c r="G394" i="3"/>
  <c r="B139" i="3"/>
  <c r="AS14" i="9"/>
  <c r="AO14" i="9"/>
  <c r="AS17" i="9"/>
  <c r="AO17" i="9"/>
  <c r="AW19" i="9"/>
  <c r="B140" i="3"/>
  <c r="M255" i="3"/>
  <c r="H301" i="3"/>
  <c r="K304" i="3"/>
  <c r="B43" i="8"/>
  <c r="AP14" i="9"/>
  <c r="AW39" i="9"/>
  <c r="L252" i="3"/>
  <c r="I254" i="3"/>
  <c r="F256" i="3"/>
  <c r="D258" i="3"/>
  <c r="G265" i="3"/>
  <c r="I288" i="3"/>
  <c r="F300" i="3"/>
  <c r="D302" i="3"/>
  <c r="I303" i="3"/>
  <c r="E305" i="3"/>
  <c r="J306" i="3"/>
  <c r="F333" i="3"/>
  <c r="AN5" i="9"/>
  <c r="E434" i="20" s="1"/>
  <c r="AM5" i="9"/>
  <c r="D434" i="20" s="1"/>
  <c r="AT12" i="9"/>
  <c r="AZ16" i="9"/>
  <c r="BL16" i="9"/>
  <c r="C143" i="20"/>
  <c r="G143" i="20"/>
  <c r="AS23" i="9"/>
  <c r="AO23" i="9"/>
  <c r="BM23" i="9"/>
  <c r="AD314" i="20" s="1"/>
  <c r="BF29" i="9"/>
  <c r="BE64" i="9"/>
  <c r="V449" i="20" s="1"/>
  <c r="BI64" i="9"/>
  <c r="BM87" i="9"/>
  <c r="AD416" i="20" s="1"/>
  <c r="BD87" i="9"/>
  <c r="U416" i="20" s="1"/>
  <c r="AK87" i="9"/>
  <c r="B416" i="20" s="1"/>
  <c r="BB87" i="9"/>
  <c r="S416" i="20" s="1"/>
  <c r="AX87" i="9"/>
  <c r="O416" i="20" s="1"/>
  <c r="AW87" i="9"/>
  <c r="N416" i="20" s="1"/>
  <c r="AS87" i="9"/>
  <c r="J416" i="20" s="1"/>
  <c r="BE87" i="9"/>
  <c r="V416" i="20" s="1"/>
  <c r="BC87" i="9"/>
  <c r="T416" i="20" s="1"/>
  <c r="AU87" i="9"/>
  <c r="L416" i="20" s="1"/>
  <c r="AT87" i="9"/>
  <c r="K416" i="20" s="1"/>
  <c r="AR87" i="9"/>
  <c r="I416" i="20" s="1"/>
  <c r="AQ87" i="9"/>
  <c r="H416" i="20" s="1"/>
  <c r="AH20" i="11"/>
  <c r="AO50" i="11"/>
  <c r="AD124" i="20"/>
  <c r="H289" i="3"/>
  <c r="D257" i="3"/>
  <c r="M253" i="3"/>
  <c r="C303" i="3"/>
  <c r="BG18" i="9"/>
  <c r="H252" i="3"/>
  <c r="D262" i="3"/>
  <c r="E284" i="3"/>
  <c r="M287" i="3"/>
  <c r="F290" i="3"/>
  <c r="M317" i="3"/>
  <c r="BB9" i="9"/>
  <c r="AQ12" i="9"/>
  <c r="L284" i="3"/>
  <c r="J286" i="3"/>
  <c r="J290" i="3"/>
  <c r="G336" i="3"/>
  <c r="G300" i="3"/>
  <c r="E302" i="3"/>
  <c r="J303" i="3"/>
  <c r="F305" i="3"/>
  <c r="K306" i="3"/>
  <c r="J348" i="3"/>
  <c r="I370" i="3"/>
  <c r="B369" i="3"/>
  <c r="J367" i="3"/>
  <c r="C366" i="3"/>
  <c r="K364" i="3"/>
  <c r="H370" i="3"/>
  <c r="M368" i="3"/>
  <c r="I367" i="3"/>
  <c r="B366" i="3"/>
  <c r="J364" i="3"/>
  <c r="J365" i="3"/>
  <c r="G367" i="3"/>
  <c r="C369" i="3"/>
  <c r="M370" i="3"/>
  <c r="G390" i="3"/>
  <c r="H393" i="3"/>
  <c r="C416" i="3"/>
  <c r="BM16" i="9"/>
  <c r="BN17" i="9"/>
  <c r="BN27" i="9"/>
  <c r="BC32" i="9"/>
  <c r="AO34" i="9"/>
  <c r="AL87" i="9"/>
  <c r="C416" i="20" s="1"/>
  <c r="AK20" i="11"/>
  <c r="AQ50" i="11"/>
  <c r="AV57" i="11"/>
  <c r="AP57" i="11"/>
  <c r="AT57" i="11"/>
  <c r="AS57" i="11"/>
  <c r="BC57" i="11"/>
  <c r="AJ57" i="11"/>
  <c r="AI57" i="11"/>
  <c r="AH57" i="11"/>
  <c r="AG57" i="11"/>
  <c r="BH57" i="11"/>
  <c r="BF57" i="11"/>
  <c r="BE57" i="11"/>
  <c r="BG57" i="11"/>
  <c r="AV69" i="11"/>
  <c r="B337" i="3"/>
  <c r="L336" i="3"/>
  <c r="D334" i="3"/>
  <c r="K336" i="3"/>
  <c r="C334" i="3"/>
  <c r="M289" i="3"/>
  <c r="J90" i="10"/>
  <c r="K90" i="10" s="1"/>
  <c r="E106" i="12" s="1"/>
  <c r="E385" i="3"/>
  <c r="J386" i="3"/>
  <c r="H386" i="3"/>
  <c r="D388" i="3"/>
  <c r="I389" i="3"/>
  <c r="E391" i="3"/>
  <c r="J392" i="3"/>
  <c r="H394" i="3"/>
  <c r="B18" i="8"/>
  <c r="AU18" i="9"/>
  <c r="G319" i="3"/>
  <c r="B151" i="3"/>
  <c r="G316" i="3"/>
  <c r="D318" i="3"/>
  <c r="D320" i="3"/>
  <c r="M321" i="3"/>
  <c r="J381" i="3"/>
  <c r="H388" i="3"/>
  <c r="D390" i="3"/>
  <c r="K391" i="3"/>
  <c r="G393" i="3"/>
  <c r="L394" i="3"/>
  <c r="D112" i="3"/>
  <c r="C157" i="3"/>
  <c r="C253" i="3"/>
  <c r="K254" i="3"/>
  <c r="G256" i="3"/>
  <c r="E258" i="3"/>
  <c r="H266" i="3"/>
  <c r="E269" i="3"/>
  <c r="M270" i="3"/>
  <c r="J272" i="3"/>
  <c r="J274" i="3"/>
  <c r="C285" i="3"/>
  <c r="K286" i="3"/>
  <c r="J288" i="3"/>
  <c r="K290" i="3"/>
  <c r="H316" i="3"/>
  <c r="E318" i="3"/>
  <c r="E320" i="3"/>
  <c r="B322" i="3"/>
  <c r="D337" i="3"/>
  <c r="B352" i="3"/>
  <c r="I388" i="3"/>
  <c r="L391" i="3"/>
  <c r="B402" i="3"/>
  <c r="J401" i="3"/>
  <c r="G400" i="3"/>
  <c r="D399" i="3"/>
  <c r="J397" i="3"/>
  <c r="G396" i="3"/>
  <c r="I401" i="3"/>
  <c r="F400" i="3"/>
  <c r="C399" i="3"/>
  <c r="I397" i="3"/>
  <c r="F396" i="3"/>
  <c r="K402" i="3"/>
  <c r="G397" i="3"/>
  <c r="J400" i="3"/>
  <c r="F402" i="3"/>
  <c r="C412" i="3"/>
  <c r="M413" i="3"/>
  <c r="M417" i="3"/>
  <c r="BF9" i="9"/>
  <c r="A85" i="3"/>
  <c r="D117" i="3"/>
  <c r="C136" i="3"/>
  <c r="C58" i="3" s="1"/>
  <c r="C142" i="3"/>
  <c r="C64" i="3" s="1"/>
  <c r="C152" i="3"/>
  <c r="A220" i="3"/>
  <c r="A245" i="3" s="1"/>
  <c r="D253" i="3"/>
  <c r="L254" i="3"/>
  <c r="L256" i="3"/>
  <c r="H258" i="3"/>
  <c r="J266" i="3"/>
  <c r="F269" i="3"/>
  <c r="B271" i="3"/>
  <c r="B273" i="3"/>
  <c r="D285" i="3"/>
  <c r="L286" i="3"/>
  <c r="K288" i="3"/>
  <c r="C298" i="3"/>
  <c r="H298" i="3"/>
  <c r="E297" i="3"/>
  <c r="K295" i="3"/>
  <c r="H294" i="3"/>
  <c r="E293" i="3"/>
  <c r="G298" i="3"/>
  <c r="D297" i="3"/>
  <c r="J295" i="3"/>
  <c r="G294" i="3"/>
  <c r="D293" i="3"/>
  <c r="H293" i="3"/>
  <c r="D295" i="3"/>
  <c r="I296" i="3"/>
  <c r="E298" i="3"/>
  <c r="J300" i="3"/>
  <c r="F302" i="3"/>
  <c r="K303" i="3"/>
  <c r="G305" i="3"/>
  <c r="M314" i="3"/>
  <c r="J314" i="3"/>
  <c r="G313" i="3"/>
  <c r="D312" i="3"/>
  <c r="J310" i="3"/>
  <c r="G309" i="3"/>
  <c r="D308" i="3"/>
  <c r="I314" i="3"/>
  <c r="F313" i="3"/>
  <c r="C312" i="3"/>
  <c r="I310" i="3"/>
  <c r="F309" i="3"/>
  <c r="C308" i="3"/>
  <c r="H309" i="3"/>
  <c r="D311" i="3"/>
  <c r="I312" i="3"/>
  <c r="E314" i="3"/>
  <c r="I316" i="3"/>
  <c r="I318" i="3"/>
  <c r="F320" i="3"/>
  <c r="C322" i="3"/>
  <c r="M333" i="3"/>
  <c r="F337" i="3"/>
  <c r="J340" i="3"/>
  <c r="D342" i="3"/>
  <c r="B344" i="3"/>
  <c r="K345" i="3"/>
  <c r="K348" i="3"/>
  <c r="C352" i="3"/>
  <c r="B364" i="3"/>
  <c r="K365" i="3"/>
  <c r="H367" i="3"/>
  <c r="H369" i="3"/>
  <c r="L378" i="3"/>
  <c r="B378" i="3"/>
  <c r="B374" i="3"/>
  <c r="M377" i="3"/>
  <c r="M373" i="3"/>
  <c r="H376" i="3"/>
  <c r="M383" i="3"/>
  <c r="J388" i="3"/>
  <c r="H390" i="3"/>
  <c r="D392" i="3"/>
  <c r="I393" i="3"/>
  <c r="C396" i="3"/>
  <c r="H397" i="3"/>
  <c r="F399" i="3"/>
  <c r="K400" i="3"/>
  <c r="G402" i="3"/>
  <c r="D412" i="3"/>
  <c r="B414" i="3"/>
  <c r="D416" i="3"/>
  <c r="B418" i="3"/>
  <c r="AK5" i="9"/>
  <c r="AX15" i="9"/>
  <c r="O67" i="20" s="1"/>
  <c r="BB15" i="9"/>
  <c r="AP16" i="9"/>
  <c r="AW28" i="9"/>
  <c r="BI28" i="9"/>
  <c r="AP31" i="9"/>
  <c r="BA35" i="9"/>
  <c r="AM37" i="9"/>
  <c r="D295" i="20" s="1"/>
  <c r="AQ37" i="9"/>
  <c r="AW63" i="9"/>
  <c r="AP87" i="9"/>
  <c r="G416" i="20" s="1"/>
  <c r="AL20" i="11"/>
  <c r="AQ57" i="11"/>
  <c r="BC69" i="11"/>
  <c r="E287" i="3"/>
  <c r="B252" i="3"/>
  <c r="I289" i="3"/>
  <c r="L255" i="3"/>
  <c r="D286" i="3"/>
  <c r="C316" i="3"/>
  <c r="I317" i="3"/>
  <c r="F319" i="3"/>
  <c r="C321" i="3"/>
  <c r="E381" i="3"/>
  <c r="E388" i="3"/>
  <c r="J389" i="3"/>
  <c r="F391" i="3"/>
  <c r="D393" i="3"/>
  <c r="I394" i="3"/>
  <c r="AQ27" i="9"/>
  <c r="A81" i="3"/>
  <c r="D108" i="3"/>
  <c r="D133" i="3" s="1"/>
  <c r="D55" i="3" s="1"/>
  <c r="E253" i="3"/>
  <c r="M254" i="3"/>
  <c r="M256" i="3"/>
  <c r="I258" i="3"/>
  <c r="F274" i="3"/>
  <c r="E274" i="3"/>
  <c r="M272" i="3"/>
  <c r="G271" i="3"/>
  <c r="M269" i="3"/>
  <c r="I268" i="3"/>
  <c r="D274" i="3"/>
  <c r="L272" i="3"/>
  <c r="F271" i="3"/>
  <c r="L269" i="3"/>
  <c r="G268" i="3"/>
  <c r="I269" i="3"/>
  <c r="E271" i="3"/>
  <c r="C273" i="3"/>
  <c r="L274" i="3"/>
  <c r="E285" i="3"/>
  <c r="M286" i="3"/>
  <c r="L288" i="3"/>
  <c r="K300" i="3"/>
  <c r="G302" i="3"/>
  <c r="C304" i="3"/>
  <c r="H305" i="3"/>
  <c r="M316" i="3"/>
  <c r="M318" i="3"/>
  <c r="G320" i="3"/>
  <c r="D322" i="3"/>
  <c r="E334" i="3"/>
  <c r="G337" i="3"/>
  <c r="D349" i="3"/>
  <c r="E352" i="3"/>
  <c r="F384" i="3"/>
  <c r="D389" i="3"/>
  <c r="I390" i="3"/>
  <c r="E392" i="3"/>
  <c r="J393" i="3"/>
  <c r="E412" i="3"/>
  <c r="F414" i="3"/>
  <c r="E416" i="3"/>
  <c r="C418" i="3"/>
  <c r="AL5" i="9"/>
  <c r="C434" i="20" s="1"/>
  <c r="BC13" i="9"/>
  <c r="AP13" i="9"/>
  <c r="AY15" i="9"/>
  <c r="BK15" i="9"/>
  <c r="BN16" i="9"/>
  <c r="AE86" i="20" s="1"/>
  <c r="M105" i="20"/>
  <c r="BD21" i="9"/>
  <c r="AQ31" i="9"/>
  <c r="BC31" i="9"/>
  <c r="AO31" i="9"/>
  <c r="AM33" i="9"/>
  <c r="D181" i="20" s="1"/>
  <c r="AQ33" i="9"/>
  <c r="AY33" i="9"/>
  <c r="BC33" i="9"/>
  <c r="AN37" i="9"/>
  <c r="E295" i="20" s="1"/>
  <c r="AR37" i="9"/>
  <c r="BF87" i="9"/>
  <c r="W416" i="20" s="1"/>
  <c r="J104" i="10"/>
  <c r="K104" i="10" s="1"/>
  <c r="E120" i="12" s="1"/>
  <c r="BD57" i="11"/>
  <c r="BF78" i="11"/>
  <c r="AI78" i="11"/>
  <c r="AS78" i="11"/>
  <c r="AR78" i="11"/>
  <c r="AP78" i="11"/>
  <c r="AJ78" i="11"/>
  <c r="BH78" i="11"/>
  <c r="BE78" i="11"/>
  <c r="BD78" i="11"/>
  <c r="BC78" i="11"/>
  <c r="AV78" i="11"/>
  <c r="BG78" i="11"/>
  <c r="AU78" i="11"/>
  <c r="AT78" i="11"/>
  <c r="AQ78" i="11"/>
  <c r="AH78" i="11"/>
  <c r="BD100" i="11"/>
  <c r="BI100" i="11"/>
  <c r="AT100" i="11"/>
  <c r="AY100" i="11"/>
  <c r="AJ100" i="11"/>
  <c r="AV100" i="11"/>
  <c r="BE100" i="11"/>
  <c r="AI100" i="11"/>
  <c r="BB100" i="11"/>
  <c r="AH100" i="11"/>
  <c r="AU100" i="11"/>
  <c r="AP100" i="11"/>
  <c r="AN100" i="11"/>
  <c r="AM100" i="11"/>
  <c r="BJ100" i="11"/>
  <c r="AL100" i="11"/>
  <c r="BG100" i="11"/>
  <c r="AZ100" i="11"/>
  <c r="AX100" i="11"/>
  <c r="AS100" i="11"/>
  <c r="BH100" i="11"/>
  <c r="BF100" i="11"/>
  <c r="AW100" i="11"/>
  <c r="AK100" i="11"/>
  <c r="AZ15" i="9"/>
  <c r="BL15" i="9"/>
  <c r="AP17" i="9"/>
  <c r="P124" i="20"/>
  <c r="AZ24" i="9"/>
  <c r="BL24" i="9"/>
  <c r="AX28" i="9"/>
  <c r="BJ28" i="9"/>
  <c r="AU29" i="9"/>
  <c r="L48" i="20" s="1"/>
  <c r="BG29" i="9"/>
  <c r="BN34" i="9"/>
  <c r="AY35" i="9"/>
  <c r="BK35" i="9"/>
  <c r="AY38" i="9"/>
  <c r="BK38" i="9"/>
  <c r="AY39" i="9"/>
  <c r="BK39" i="9"/>
  <c r="N143" i="20"/>
  <c r="Z143" i="20"/>
  <c r="BI63" i="9"/>
  <c r="AW64" i="9"/>
  <c r="I50" i="10"/>
  <c r="J71" i="10"/>
  <c r="K71" i="10" s="1"/>
  <c r="E87" i="12" s="1"/>
  <c r="BE30" i="11"/>
  <c r="AL30" i="11"/>
  <c r="BD30" i="11"/>
  <c r="AJ30" i="11"/>
  <c r="AS30" i="11"/>
  <c r="AQ30" i="11"/>
  <c r="BJ30" i="11"/>
  <c r="AP30" i="11"/>
  <c r="BH30" i="11"/>
  <c r="AM30" i="11"/>
  <c r="BG30" i="11"/>
  <c r="AI30" i="11"/>
  <c r="AH30" i="11"/>
  <c r="BA47" i="11"/>
  <c r="AN47" i="11"/>
  <c r="AQ47" i="11"/>
  <c r="AP47" i="11"/>
  <c r="BD47" i="11"/>
  <c r="BC47" i="11"/>
  <c r="AY47" i="11"/>
  <c r="AX47" i="11"/>
  <c r="AO47" i="11"/>
  <c r="AM47" i="11"/>
  <c r="D327" i="3"/>
  <c r="G330" i="3"/>
  <c r="D405" i="3"/>
  <c r="G406" i="3"/>
  <c r="J407" i="3"/>
  <c r="D409" i="3"/>
  <c r="G410" i="3"/>
  <c r="AW18" i="9"/>
  <c r="AY19" i="9"/>
  <c r="BK19" i="9"/>
  <c r="AX20" i="9"/>
  <c r="BJ20" i="9"/>
  <c r="AU21" i="9"/>
  <c r="BG21" i="9"/>
  <c r="X238" i="20" s="1"/>
  <c r="BA22" i="9"/>
  <c r="AV29" i="9"/>
  <c r="BH29" i="9"/>
  <c r="BF30" i="9"/>
  <c r="AZ38" i="9"/>
  <c r="BL38" i="9"/>
  <c r="AZ39" i="9"/>
  <c r="BL39" i="9"/>
  <c r="AX64" i="9"/>
  <c r="BA59" i="11"/>
  <c r="AZ59" i="11"/>
  <c r="AO59" i="11"/>
  <c r="AN59" i="11"/>
  <c r="BD59" i="11"/>
  <c r="AY59" i="11"/>
  <c r="AX59" i="11"/>
  <c r="AR59" i="11"/>
  <c r="AQ59" i="11"/>
  <c r="E327" i="3"/>
  <c r="B404" i="3"/>
  <c r="E405" i="3"/>
  <c r="H406" i="3"/>
  <c r="B408" i="3"/>
  <c r="E409" i="3"/>
  <c r="H410" i="3"/>
  <c r="AV9" i="9"/>
  <c r="BH9" i="9"/>
  <c r="AX18" i="9"/>
  <c r="AZ19" i="9"/>
  <c r="BL19" i="9"/>
  <c r="AV21" i="9"/>
  <c r="M238" i="20" s="1"/>
  <c r="BH21" i="9"/>
  <c r="AU22" i="9"/>
  <c r="BG22" i="9"/>
  <c r="AW29" i="9"/>
  <c r="N48" i="20" s="1"/>
  <c r="AU30" i="9"/>
  <c r="L67" i="20" s="1"/>
  <c r="BG30" i="9"/>
  <c r="AT31" i="9"/>
  <c r="AQ32" i="9"/>
  <c r="H105" i="20" s="1"/>
  <c r="BF33" i="9"/>
  <c r="AP34" i="9"/>
  <c r="G200" i="20" s="1"/>
  <c r="AZ36" i="9"/>
  <c r="BL36" i="9"/>
  <c r="AC238" i="20" s="1"/>
  <c r="I9" i="10"/>
  <c r="J66" i="10"/>
  <c r="K66" i="10" s="1"/>
  <c r="BI11" i="11"/>
  <c r="AX11" i="11"/>
  <c r="AQ11" i="11"/>
  <c r="BJ11" i="11"/>
  <c r="AO11" i="11"/>
  <c r="BF11" i="11"/>
  <c r="AN11" i="11"/>
  <c r="BE11" i="11"/>
  <c r="AM11" i="11"/>
  <c r="BC11" i="11"/>
  <c r="AL11" i="11"/>
  <c r="BA11" i="11"/>
  <c r="AT11" i="11"/>
  <c r="BD16" i="11"/>
  <c r="BF16" i="11"/>
  <c r="BE16" i="11"/>
  <c r="AO16" i="11"/>
  <c r="AV16" i="11"/>
  <c r="AG16" i="11"/>
  <c r="BJ16" i="11"/>
  <c r="AT16" i="11"/>
  <c r="BI16" i="11"/>
  <c r="AS16" i="11"/>
  <c r="BH16" i="11"/>
  <c r="AP16" i="11"/>
  <c r="BG16" i="11"/>
  <c r="AN16" i="11"/>
  <c r="AK16" i="11"/>
  <c r="BB16" i="11"/>
  <c r="AH16" i="11"/>
  <c r="AL59" i="11"/>
  <c r="BA68" i="11"/>
  <c r="AL68" i="11"/>
  <c r="AN68" i="11"/>
  <c r="AM68" i="11"/>
  <c r="BJ68" i="11"/>
  <c r="BD68" i="11"/>
  <c r="BC68" i="11"/>
  <c r="F50" i="12"/>
  <c r="AU13" i="9"/>
  <c r="BG13" i="9"/>
  <c r="AT14" i="9"/>
  <c r="AY18" i="9"/>
  <c r="BK18" i="9"/>
  <c r="AV22" i="9"/>
  <c r="BH22" i="9"/>
  <c r="Y295" i="20" s="1"/>
  <c r="BC24" i="9"/>
  <c r="BC27" i="9"/>
  <c r="AO28" i="9"/>
  <c r="AX29" i="9"/>
  <c r="BM36" i="9"/>
  <c r="AS37" i="9"/>
  <c r="BE37" i="9"/>
  <c r="V295" i="20" s="1"/>
  <c r="BL63" i="9"/>
  <c r="I11" i="10"/>
  <c r="I26" i="10"/>
  <c r="I19" i="10"/>
  <c r="I36" i="10"/>
  <c r="I10" i="10"/>
  <c r="I48" i="10"/>
  <c r="I32" i="10"/>
  <c r="I21" i="10"/>
  <c r="I8" i="10"/>
  <c r="I46" i="10"/>
  <c r="I30" i="10"/>
  <c r="I20" i="10"/>
  <c r="I44" i="10"/>
  <c r="I28" i="10"/>
  <c r="I18" i="10"/>
  <c r="I42" i="10"/>
  <c r="AG11" i="11"/>
  <c r="AI16" i="11"/>
  <c r="AX30" i="11"/>
  <c r="AM59" i="11"/>
  <c r="AO68" i="11"/>
  <c r="BD103" i="11"/>
  <c r="AZ103" i="11"/>
  <c r="AK103" i="11"/>
  <c r="BH103" i="11"/>
  <c r="AS103" i="11"/>
  <c r="AY103" i="11"/>
  <c r="AH103" i="11"/>
  <c r="AU103" i="11"/>
  <c r="AT103" i="11"/>
  <c r="AX103" i="11"/>
  <c r="AV103" i="11"/>
  <c r="AP103" i="11"/>
  <c r="AN103" i="11"/>
  <c r="AM103" i="11"/>
  <c r="BI103" i="11"/>
  <c r="BF103" i="11"/>
  <c r="BE103" i="11"/>
  <c r="AW103" i="11"/>
  <c r="BM22" i="9"/>
  <c r="L57" i="10"/>
  <c r="E73" i="12"/>
  <c r="BF18" i="11"/>
  <c r="AS18" i="11"/>
  <c r="AR18" i="11"/>
  <c r="AH18" i="11"/>
  <c r="AG18" i="11"/>
  <c r="BD94" i="11"/>
  <c r="BH94" i="11"/>
  <c r="AS94" i="11"/>
  <c r="AX94" i="11"/>
  <c r="AI94" i="11"/>
  <c r="AU94" i="11"/>
  <c r="AV94" i="11"/>
  <c r="AT94" i="11"/>
  <c r="AW94" i="11"/>
  <c r="AN94" i="11"/>
  <c r="AM94" i="11"/>
  <c r="BJ94" i="11"/>
  <c r="AL94" i="11"/>
  <c r="BI94" i="11"/>
  <c r="AK94" i="11"/>
  <c r="BB94" i="11"/>
  <c r="AY94" i="11"/>
  <c r="AP94" i="11"/>
  <c r="AH94" i="11"/>
  <c r="BC9" i="9"/>
  <c r="AO13" i="9"/>
  <c r="AP64" i="9"/>
  <c r="BB64" i="9"/>
  <c r="BN64" i="9"/>
  <c r="I13" i="10"/>
  <c r="I34" i="10"/>
  <c r="J78" i="10"/>
  <c r="K78" i="10" s="1"/>
  <c r="E94" i="12" s="1"/>
  <c r="J94" i="10"/>
  <c r="K94" i="10" s="1"/>
  <c r="E110" i="12" s="1"/>
  <c r="I49" i="10"/>
  <c r="AP11" i="11"/>
  <c r="AL16" i="11"/>
  <c r="BE18" i="11"/>
  <c r="BH27" i="11"/>
  <c r="AP27" i="11"/>
  <c r="AM27" i="11"/>
  <c r="BJ27" i="11"/>
  <c r="BG27" i="11"/>
  <c r="BF27" i="11"/>
  <c r="BE27" i="11"/>
  <c r="BB30" i="11"/>
  <c r="AV36" i="11"/>
  <c r="AS36" i="11"/>
  <c r="AR36" i="11"/>
  <c r="AU36" i="11"/>
  <c r="AT36" i="11"/>
  <c r="AU48" i="11"/>
  <c r="BC59" i="11"/>
  <c r="AG94" i="11"/>
  <c r="AI103" i="11"/>
  <c r="AU105" i="11"/>
  <c r="BG105" i="11"/>
  <c r="AH105" i="11"/>
  <c r="BF105" i="11"/>
  <c r="AV105" i="11"/>
  <c r="AT105" i="11"/>
  <c r="BH105" i="11"/>
  <c r="BE105" i="11"/>
  <c r="BC105" i="11"/>
  <c r="AS105" i="11"/>
  <c r="AQ105" i="11"/>
  <c r="AI105" i="11"/>
  <c r="AG105" i="11"/>
  <c r="BD13" i="11"/>
  <c r="BA13" i="11"/>
  <c r="AM13" i="11"/>
  <c r="BB13" i="11"/>
  <c r="AL13" i="11"/>
  <c r="AY13" i="11"/>
  <c r="AJ13" i="11"/>
  <c r="AX13" i="11"/>
  <c r="AI13" i="11"/>
  <c r="AW13" i="11"/>
  <c r="AH13" i="11"/>
  <c r="AV13" i="11"/>
  <c r="AG13" i="11"/>
  <c r="BH13" i="11"/>
  <c r="BE31" i="11"/>
  <c r="BC31" i="11"/>
  <c r="AM31" i="11"/>
  <c r="BB31" i="11"/>
  <c r="AL31" i="11"/>
  <c r="AY31" i="11"/>
  <c r="AH31" i="11"/>
  <c r="AW31" i="11"/>
  <c r="AV31" i="11"/>
  <c r="AU31" i="11"/>
  <c r="AT31" i="11"/>
  <c r="BI31" i="11"/>
  <c r="AY41" i="11"/>
  <c r="AM41" i="11"/>
  <c r="AL41" i="11"/>
  <c r="BA41" i="11"/>
  <c r="AX41" i="11"/>
  <c r="AR41" i="11"/>
  <c r="AQ41" i="11"/>
  <c r="AP41" i="11"/>
  <c r="BE43" i="11"/>
  <c r="AW43" i="11"/>
  <c r="AH43" i="11"/>
  <c r="AU43" i="11"/>
  <c r="BJ43" i="11"/>
  <c r="AT43" i="11"/>
  <c r="AP43" i="11"/>
  <c r="BH43" i="11"/>
  <c r="AM43" i="11"/>
  <c r="BG43" i="11"/>
  <c r="AL43" i="11"/>
  <c r="BF43" i="11"/>
  <c r="AK43" i="11"/>
  <c r="BC43" i="11"/>
  <c r="AJ43" i="11"/>
  <c r="BC102" i="11"/>
  <c r="AT102" i="11"/>
  <c r="BH102" i="11"/>
  <c r="AG102" i="11"/>
  <c r="AI102" i="11"/>
  <c r="BF102" i="11"/>
  <c r="BE102" i="11"/>
  <c r="BG102" i="11"/>
  <c r="AS102" i="11"/>
  <c r="AR102" i="11"/>
  <c r="AQ102" i="11"/>
  <c r="AJ102" i="11"/>
  <c r="BJ13" i="9"/>
  <c r="AV14" i="9"/>
  <c r="BH14" i="9"/>
  <c r="AV18" i="9"/>
  <c r="M181" i="20" s="1"/>
  <c r="BH18" i="9"/>
  <c r="Y181" i="20" s="1"/>
  <c r="AX19" i="9"/>
  <c r="BJ19" i="9"/>
  <c r="AW20" i="9"/>
  <c r="BI20" i="9"/>
  <c r="AU24" i="9"/>
  <c r="L333" i="20" s="1"/>
  <c r="BG24" i="9"/>
  <c r="AW30" i="9"/>
  <c r="BI30" i="9"/>
  <c r="AU31" i="9"/>
  <c r="BG31" i="9"/>
  <c r="X86" i="20" s="1"/>
  <c r="AV35" i="9"/>
  <c r="BH35" i="9"/>
  <c r="P276" i="20"/>
  <c r="AU37" i="9"/>
  <c r="BG37" i="9"/>
  <c r="AP39" i="9"/>
  <c r="J60" i="10"/>
  <c r="K60" i="10" s="1"/>
  <c r="J70" i="10"/>
  <c r="K70" i="10" s="1"/>
  <c r="E86" i="12" s="1"/>
  <c r="J86" i="10"/>
  <c r="K86" i="10" s="1"/>
  <c r="L86" i="10" s="1"/>
  <c r="BD10" i="11"/>
  <c r="AW10" i="11"/>
  <c r="AI10" i="11"/>
  <c r="BH10" i="11"/>
  <c r="AS10" i="11"/>
  <c r="BF10" i="11"/>
  <c r="AO10" i="11"/>
  <c r="BE10" i="11"/>
  <c r="AN10" i="11"/>
  <c r="BB10" i="11"/>
  <c r="AM10" i="11"/>
  <c r="BA10" i="11"/>
  <c r="AL10" i="11"/>
  <c r="BG10" i="11"/>
  <c r="AO13" i="11"/>
  <c r="BF24" i="11"/>
  <c r="BE24" i="11"/>
  <c r="AK31" i="11"/>
  <c r="BE34" i="11"/>
  <c r="BI34" i="11"/>
  <c r="AT34" i="11"/>
  <c r="BH34" i="11"/>
  <c r="AQ34" i="11"/>
  <c r="AY34" i="11"/>
  <c r="AH34" i="11"/>
  <c r="AW34" i="11"/>
  <c r="AV34" i="11"/>
  <c r="AU34" i="11"/>
  <c r="AP34" i="11"/>
  <c r="BG34" i="11"/>
  <c r="BC41" i="11"/>
  <c r="AI43" i="11"/>
  <c r="AU102" i="11"/>
  <c r="BI23" i="11"/>
  <c r="BJ23" i="11"/>
  <c r="AQ23" i="11"/>
  <c r="BF23" i="11"/>
  <c r="AP23" i="11"/>
  <c r="AY23" i="11"/>
  <c r="BE37" i="11"/>
  <c r="BG37" i="11"/>
  <c r="AP37" i="11"/>
  <c r="BF37" i="11"/>
  <c r="AN37" i="11"/>
  <c r="AX37" i="11"/>
  <c r="BF39" i="11"/>
  <c r="AH39" i="11"/>
  <c r="AQ39" i="11"/>
  <c r="AP39" i="11"/>
  <c r="AU54" i="11"/>
  <c r="AT54" i="11"/>
  <c r="AR54" i="11"/>
  <c r="AQ54" i="11"/>
  <c r="BE58" i="11"/>
  <c r="BJ58" i="11"/>
  <c r="AU58" i="11"/>
  <c r="AG58" i="11"/>
  <c r="AZ58" i="11"/>
  <c r="AK58" i="11"/>
  <c r="AY58" i="11"/>
  <c r="AJ58" i="11"/>
  <c r="AX58" i="11"/>
  <c r="BE82" i="11"/>
  <c r="AW82" i="11"/>
  <c r="AH82" i="11"/>
  <c r="BF82" i="11"/>
  <c r="AM82" i="11"/>
  <c r="BB82" i="11"/>
  <c r="AJ82" i="11"/>
  <c r="BJ82" i="11"/>
  <c r="AN82" i="11"/>
  <c r="BI82" i="11"/>
  <c r="AL82" i="11"/>
  <c r="BG82" i="11"/>
  <c r="BA86" i="11"/>
  <c r="AO86" i="11"/>
  <c r="AY86" i="11"/>
  <c r="AN86" i="11"/>
  <c r="BJ86" i="11"/>
  <c r="BD86" i="11"/>
  <c r="BC120" i="11"/>
  <c r="BF120" i="11"/>
  <c r="AJ120" i="11"/>
  <c r="AT120" i="11"/>
  <c r="AH120" i="11"/>
  <c r="AG120" i="11"/>
  <c r="J58" i="10"/>
  <c r="K58" i="10" s="1"/>
  <c r="E74" i="12" s="1"/>
  <c r="BI14" i="11"/>
  <c r="BA14" i="11"/>
  <c r="AK14" i="11"/>
  <c r="AY14" i="11"/>
  <c r="AS17" i="11"/>
  <c r="AG23" i="11"/>
  <c r="AZ23" i="11"/>
  <c r="AT26" i="11"/>
  <c r="AR26" i="11"/>
  <c r="BB26" i="11"/>
  <c r="AT28" i="11"/>
  <c r="AZ32" i="11"/>
  <c r="AO32" i="11"/>
  <c r="AN32" i="11"/>
  <c r="AV33" i="11"/>
  <c r="AU33" i="11"/>
  <c r="AH37" i="11"/>
  <c r="AY37" i="11"/>
  <c r="AI39" i="11"/>
  <c r="BE46" i="11"/>
  <c r="AZ46" i="11"/>
  <c r="AK46" i="11"/>
  <c r="BC46" i="11"/>
  <c r="AL46" i="11"/>
  <c r="BB46" i="11"/>
  <c r="AJ46" i="11"/>
  <c r="AY46" i="11"/>
  <c r="AS54" i="11"/>
  <c r="AT55" i="11"/>
  <c r="AX56" i="11"/>
  <c r="AZ56" i="11"/>
  <c r="AY56" i="11"/>
  <c r="AH58" i="11"/>
  <c r="BB58" i="11"/>
  <c r="AV63" i="11"/>
  <c r="AU64" i="11"/>
  <c r="AV81" i="11"/>
  <c r="AQ81" i="11"/>
  <c r="BE81" i="11"/>
  <c r="AP81" i="11"/>
  <c r="AT81" i="11"/>
  <c r="AS81" i="11"/>
  <c r="AG82" i="11"/>
  <c r="BH82" i="11"/>
  <c r="AL86" i="11"/>
  <c r="BC90" i="11"/>
  <c r="AU90" i="11"/>
  <c r="AV106" i="11"/>
  <c r="AT118" i="11"/>
  <c r="AI120" i="11"/>
  <c r="AX24" i="9"/>
  <c r="O333" i="20" s="1"/>
  <c r="AV27" i="9"/>
  <c r="M10" i="20" s="1"/>
  <c r="BH27" i="9"/>
  <c r="AY29" i="9"/>
  <c r="BK29" i="9"/>
  <c r="AV30" i="9"/>
  <c r="BH30" i="9"/>
  <c r="Y67" i="20" s="1"/>
  <c r="AZ32" i="9"/>
  <c r="BL32" i="9"/>
  <c r="AC162" i="20"/>
  <c r="AX33" i="9"/>
  <c r="BJ33" i="9"/>
  <c r="AY36" i="9"/>
  <c r="BK36" i="9"/>
  <c r="AX37" i="9"/>
  <c r="BJ37" i="9"/>
  <c r="J82" i="10"/>
  <c r="K82" i="10" s="1"/>
  <c r="E98" i="12" s="1"/>
  <c r="AG14" i="11"/>
  <c r="AZ14" i="11"/>
  <c r="AT17" i="11"/>
  <c r="AH23" i="11"/>
  <c r="BA23" i="11"/>
  <c r="AG26" i="11"/>
  <c r="BC26" i="11"/>
  <c r="AU28" i="11"/>
  <c r="AH32" i="11"/>
  <c r="AT33" i="11"/>
  <c r="AL35" i="11"/>
  <c r="AI37" i="11"/>
  <c r="AZ37" i="11"/>
  <c r="AJ39" i="11"/>
  <c r="AH46" i="11"/>
  <c r="BF46" i="11"/>
  <c r="AV54" i="11"/>
  <c r="AU55" i="11"/>
  <c r="AL56" i="11"/>
  <c r="AI58" i="11"/>
  <c r="BC58" i="11"/>
  <c r="BC63" i="11"/>
  <c r="AW64" i="11"/>
  <c r="AG81" i="11"/>
  <c r="AI82" i="11"/>
  <c r="AM86" i="11"/>
  <c r="AS90" i="11"/>
  <c r="BA101" i="11"/>
  <c r="AN101" i="11"/>
  <c r="AM101" i="11"/>
  <c r="AZ101" i="11"/>
  <c r="AY101" i="11"/>
  <c r="AW106" i="11"/>
  <c r="BC108" i="11"/>
  <c r="AT108" i="11"/>
  <c r="AU118" i="11"/>
  <c r="AQ120" i="11"/>
  <c r="J54" i="10"/>
  <c r="K54" i="10" s="1"/>
  <c r="E70" i="12" s="1"/>
  <c r="J83" i="10"/>
  <c r="K83" i="10" s="1"/>
  <c r="L83" i="10" s="1"/>
  <c r="J93" i="10"/>
  <c r="K93" i="10" s="1"/>
  <c r="L93" i="10" s="1"/>
  <c r="AH14" i="11"/>
  <c r="BB14" i="11"/>
  <c r="AK23" i="11"/>
  <c r="BB23" i="11"/>
  <c r="BD25" i="11"/>
  <c r="BJ25" i="11"/>
  <c r="AV25" i="11"/>
  <c r="AH25" i="11"/>
  <c r="BI25" i="11"/>
  <c r="AU25" i="11"/>
  <c r="AG25" i="11"/>
  <c r="AX25" i="11"/>
  <c r="AH26" i="11"/>
  <c r="BD26" i="11"/>
  <c r="AL32" i="11"/>
  <c r="AJ37" i="11"/>
  <c r="BB37" i="11"/>
  <c r="AR39" i="11"/>
  <c r="AI46" i="11"/>
  <c r="BG46" i="11"/>
  <c r="BC51" i="11"/>
  <c r="AR51" i="11"/>
  <c r="AQ51" i="11"/>
  <c r="BE52" i="11"/>
  <c r="BF52" i="11"/>
  <c r="AN52" i="11"/>
  <c r="AZ52" i="11"/>
  <c r="AJ52" i="11"/>
  <c r="AY52" i="11"/>
  <c r="AI52" i="11"/>
  <c r="BB52" i="11"/>
  <c r="BH54" i="11"/>
  <c r="AM56" i="11"/>
  <c r="AL58" i="11"/>
  <c r="BF58" i="11"/>
  <c r="BE70" i="11"/>
  <c r="AW70" i="11"/>
  <c r="AG70" i="11"/>
  <c r="BF70" i="11"/>
  <c r="AK70" i="11"/>
  <c r="BB70" i="11"/>
  <c r="AJ70" i="11"/>
  <c r="AZ70" i="11"/>
  <c r="BE73" i="11"/>
  <c r="BB73" i="11"/>
  <c r="AK73" i="11"/>
  <c r="AU73" i="11"/>
  <c r="AT73" i="11"/>
  <c r="AY73" i="11"/>
  <c r="AU75" i="11"/>
  <c r="AQ75" i="11"/>
  <c r="AH81" i="11"/>
  <c r="AK82" i="11"/>
  <c r="AZ83" i="11"/>
  <c r="AQ83" i="11"/>
  <c r="AP86" i="11"/>
  <c r="AT90" i="11"/>
  <c r="BC98" i="11"/>
  <c r="BA98" i="11"/>
  <c r="AN98" i="11"/>
  <c r="AY98" i="11"/>
  <c r="AO101" i="11"/>
  <c r="AS108" i="11"/>
  <c r="BC110" i="11"/>
  <c r="AR120" i="11"/>
  <c r="AY122" i="11"/>
  <c r="F18" i="12"/>
  <c r="AO63" i="9"/>
  <c r="BA63" i="9"/>
  <c r="BM63" i="9"/>
  <c r="J51" i="10"/>
  <c r="K51" i="10" s="1"/>
  <c r="E67" i="12" s="1"/>
  <c r="J65" i="10"/>
  <c r="K65" i="10" s="1"/>
  <c r="E81" i="12" s="1"/>
  <c r="J79" i="10"/>
  <c r="K79" i="10" s="1"/>
  <c r="E95" i="12" s="1"/>
  <c r="J89" i="10"/>
  <c r="K89" i="10" s="1"/>
  <c r="J98" i="10"/>
  <c r="K98" i="10" s="1"/>
  <c r="L98" i="10" s="1"/>
  <c r="J103" i="10"/>
  <c r="K103" i="10" s="1"/>
  <c r="L103" i="10" s="1"/>
  <c r="BI17" i="11"/>
  <c r="BE17" i="11"/>
  <c r="AN17" i="11"/>
  <c r="BC17" i="11"/>
  <c r="AM17" i="11"/>
  <c r="AZ17" i="11"/>
  <c r="AM23" i="11"/>
  <c r="BE23" i="11"/>
  <c r="BE28" i="11"/>
  <c r="AX28" i="11"/>
  <c r="AI28" i="11"/>
  <c r="AW28" i="11"/>
  <c r="AH28" i="11"/>
  <c r="AZ28" i="11"/>
  <c r="AL37" i="11"/>
  <c r="BH37" i="11"/>
  <c r="AT39" i="11"/>
  <c r="BE55" i="11"/>
  <c r="BF55" i="11"/>
  <c r="AN55" i="11"/>
  <c r="BG55" i="11"/>
  <c r="AM55" i="11"/>
  <c r="BC55" i="11"/>
  <c r="AL55" i="11"/>
  <c r="AX55" i="11"/>
  <c r="AN58" i="11"/>
  <c r="BH58" i="11"/>
  <c r="AH63" i="11"/>
  <c r="BG63" i="11"/>
  <c r="BD63" i="11"/>
  <c r="BE64" i="11"/>
  <c r="AV64" i="11"/>
  <c r="AT64" i="11"/>
  <c r="BJ64" i="11"/>
  <c r="AP64" i="11"/>
  <c r="AZ64" i="11"/>
  <c r="AS82" i="11"/>
  <c r="AR86" i="11"/>
  <c r="BD106" i="11"/>
  <c r="AY106" i="11"/>
  <c r="AJ106" i="11"/>
  <c r="BG106" i="11"/>
  <c r="AP106" i="11"/>
  <c r="AT106" i="11"/>
  <c r="BJ106" i="11"/>
  <c r="AN106" i="11"/>
  <c r="BI106" i="11"/>
  <c r="AM106" i="11"/>
  <c r="BB106" i="11"/>
  <c r="BD118" i="11"/>
  <c r="AW118" i="11"/>
  <c r="AH118" i="11"/>
  <c r="BE118" i="11"/>
  <c r="AM118" i="11"/>
  <c r="BH118" i="11"/>
  <c r="AN118" i="11"/>
  <c r="AX118" i="11"/>
  <c r="AV118" i="11"/>
  <c r="BB118" i="11"/>
  <c r="AU120" i="11"/>
  <c r="F7" i="12"/>
  <c r="J53" i="10"/>
  <c r="K53" i="10" s="1"/>
  <c r="J62" i="10"/>
  <c r="K62" i="10" s="1"/>
  <c r="E78" i="12" s="1"/>
  <c r="J76" i="10"/>
  <c r="K76" i="10" s="1"/>
  <c r="L76" i="10" s="1"/>
  <c r="J91" i="10"/>
  <c r="K91" i="10" s="1"/>
  <c r="E107" i="12" s="1"/>
  <c r="J105" i="10"/>
  <c r="K105" i="10" s="1"/>
  <c r="L105" i="10" s="1"/>
  <c r="AS19" i="11"/>
  <c r="BG19" i="11"/>
  <c r="AT22" i="11"/>
  <c r="BH22" i="11"/>
  <c r="AZ29" i="11"/>
  <c r="BE40" i="11"/>
  <c r="BG40" i="11"/>
  <c r="AP40" i="11"/>
  <c r="AW40" i="11"/>
  <c r="BE49" i="11"/>
  <c r="BH49" i="11"/>
  <c r="AQ49" i="11"/>
  <c r="AW49" i="11"/>
  <c r="BE76" i="11"/>
  <c r="BB76" i="11"/>
  <c r="BJ76" i="11"/>
  <c r="AT76" i="11"/>
  <c r="BG76" i="11"/>
  <c r="AK76" i="11"/>
  <c r="AX76" i="11"/>
  <c r="BE79" i="11"/>
  <c r="BG79" i="11"/>
  <c r="AN79" i="11"/>
  <c r="AV79" i="11"/>
  <c r="AG79" i="11"/>
  <c r="AZ79" i="11"/>
  <c r="AI79" i="11"/>
  <c r="AY79" i="11"/>
  <c r="BD91" i="11"/>
  <c r="BG91" i="11"/>
  <c r="AP91" i="11"/>
  <c r="AW91" i="11"/>
  <c r="AH91" i="11"/>
  <c r="BE91" i="11"/>
  <c r="AK91" i="11"/>
  <c r="AY91" i="11"/>
  <c r="BC93" i="11"/>
  <c r="AV93" i="11"/>
  <c r="BC99" i="11"/>
  <c r="AI99" i="11"/>
  <c r="BC104" i="11"/>
  <c r="BA104" i="11"/>
  <c r="BD109" i="11"/>
  <c r="AX109" i="11"/>
  <c r="AI109" i="11"/>
  <c r="BF109" i="11"/>
  <c r="AN109" i="11"/>
  <c r="AZ109" i="11"/>
  <c r="AH109" i="11"/>
  <c r="AY109" i="11"/>
  <c r="BC113" i="11"/>
  <c r="AM113" i="11"/>
  <c r="F30" i="12"/>
  <c r="F56" i="12"/>
  <c r="AT19" i="11"/>
  <c r="BH19" i="11"/>
  <c r="F8" i="12"/>
  <c r="S124" i="12"/>
  <c r="AW67" i="11"/>
  <c r="AV84" i="11"/>
  <c r="BC84" i="11"/>
  <c r="BD88" i="11"/>
  <c r="BI88" i="11"/>
  <c r="AT88" i="11"/>
  <c r="AY88" i="11"/>
  <c r="AJ88" i="11"/>
  <c r="AW88" i="11"/>
  <c r="BC95" i="11"/>
  <c r="AM95" i="11"/>
  <c r="BD115" i="11"/>
  <c r="AW115" i="11"/>
  <c r="AH115" i="11"/>
  <c r="BE115" i="11"/>
  <c r="AM115" i="11"/>
  <c r="AX115" i="11"/>
  <c r="F16" i="12"/>
  <c r="F34" i="12"/>
  <c r="D33" i="22"/>
  <c r="I111" i="20"/>
  <c r="K113" i="20"/>
  <c r="G116" i="20"/>
  <c r="W32" i="19"/>
  <c r="D107" i="20"/>
  <c r="K111" i="20"/>
  <c r="S113" i="20"/>
  <c r="M116" i="20"/>
  <c r="F33" i="22"/>
  <c r="AD47" i="19"/>
  <c r="E107" i="20"/>
  <c r="N111" i="20"/>
  <c r="D114" i="20"/>
  <c r="O116" i="20"/>
  <c r="M126" i="20"/>
  <c r="U129" i="20"/>
  <c r="AA130" i="20"/>
  <c r="AD131" i="20"/>
  <c r="D133" i="20"/>
  <c r="I134" i="20"/>
  <c r="M135" i="20"/>
  <c r="S136" i="20"/>
  <c r="V353" i="20"/>
  <c r="B361" i="20"/>
  <c r="L365" i="20"/>
  <c r="H371" i="20"/>
  <c r="AE372" i="20"/>
  <c r="M376" i="20"/>
  <c r="B378" i="20"/>
  <c r="G380" i="20"/>
  <c r="AB381" i="20"/>
  <c r="D163" i="17"/>
  <c r="S47" i="19"/>
  <c r="AE47" i="19"/>
  <c r="S107" i="20"/>
  <c r="O111" i="20"/>
  <c r="J114" i="20"/>
  <c r="AE116" i="20"/>
  <c r="S126" i="20"/>
  <c r="V129" i="20"/>
  <c r="AB130" i="20"/>
  <c r="AE131" i="20"/>
  <c r="F133" i="20"/>
  <c r="K134" i="20"/>
  <c r="N135" i="20"/>
  <c r="T136" i="20"/>
  <c r="W353" i="20"/>
  <c r="S361" i="20"/>
  <c r="M365" i="20"/>
  <c r="I371" i="20"/>
  <c r="B373" i="20"/>
  <c r="Q376" i="20"/>
  <c r="S378" i="20"/>
  <c r="J380" i="20"/>
  <c r="AD381" i="20"/>
  <c r="C19" i="22"/>
  <c r="C33" i="22" s="1"/>
  <c r="D161" i="17"/>
  <c r="T107" i="20"/>
  <c r="V111" i="20"/>
  <c r="P114" i="20"/>
  <c r="C117" i="20"/>
  <c r="T126" i="20"/>
  <c r="W129" i="20"/>
  <c r="AC130" i="20"/>
  <c r="B132" i="20"/>
  <c r="H133" i="20"/>
  <c r="L134" i="20"/>
  <c r="O135" i="20"/>
  <c r="U136" i="20"/>
  <c r="F354" i="20"/>
  <c r="T361" i="20"/>
  <c r="AA107" i="20"/>
  <c r="H112" i="20"/>
  <c r="Q114" i="20"/>
  <c r="E117" i="20"/>
  <c r="AB32" i="19"/>
  <c r="AB107" i="20"/>
  <c r="L112" i="20"/>
  <c r="C115" i="20"/>
  <c r="F117" i="20"/>
  <c r="Z126" i="20"/>
  <c r="AE129" i="20"/>
  <c r="D131" i="20"/>
  <c r="J132" i="20"/>
  <c r="M133" i="20"/>
  <c r="P134" i="20"/>
  <c r="V135" i="20"/>
  <c r="Y136" i="20"/>
  <c r="Q346" i="20"/>
  <c r="Y354" i="20"/>
  <c r="V363" i="20"/>
  <c r="Y365" i="20"/>
  <c r="X371" i="20"/>
  <c r="G373" i="20"/>
  <c r="F377" i="20"/>
  <c r="AA378" i="20"/>
  <c r="AB380" i="20"/>
  <c r="S382" i="20"/>
  <c r="J110" i="20"/>
  <c r="U112" i="20"/>
  <c r="H115" i="20"/>
  <c r="AC117" i="20"/>
  <c r="O110" i="20"/>
  <c r="F113" i="20"/>
  <c r="I115" i="20"/>
  <c r="F129" i="20"/>
  <c r="J130" i="20"/>
  <c r="O131" i="20"/>
  <c r="S132" i="20"/>
  <c r="W133" i="20"/>
  <c r="AA134" i="20"/>
  <c r="AE135" i="20"/>
  <c r="F11" i="12"/>
  <c r="F15" i="12"/>
  <c r="F36" i="12"/>
  <c r="F40" i="12"/>
  <c r="T32" i="19"/>
  <c r="V110" i="20"/>
  <c r="H113" i="20"/>
  <c r="P115" i="20"/>
  <c r="B126" i="20"/>
  <c r="G129" i="20"/>
  <c r="M130" i="20"/>
  <c r="P131" i="20"/>
  <c r="T132" i="20"/>
  <c r="Y133" i="20"/>
  <c r="AB134" i="20"/>
  <c r="D136" i="20"/>
  <c r="C352" i="20"/>
  <c r="AC358" i="20"/>
  <c r="AG365" i="20"/>
  <c r="BM365" i="20" s="1"/>
  <c r="L372" i="20"/>
  <c r="W373" i="20"/>
  <c r="Z377" i="20"/>
  <c r="R379" i="20"/>
  <c r="I381" i="20"/>
  <c r="I383" i="20"/>
  <c r="W110" i="20"/>
  <c r="J113" i="20"/>
  <c r="I126" i="20"/>
  <c r="I129" i="20"/>
  <c r="O130" i="20"/>
  <c r="R131" i="20"/>
  <c r="X132" i="20"/>
  <c r="AB133" i="20"/>
  <c r="AE134" i="20"/>
  <c r="G136" i="20"/>
  <c r="BN108" i="14" a="1"/>
  <c r="BN108" i="14" s="1"/>
  <c r="CR108" i="14" s="1"/>
  <c r="AD104" i="43" s="1"/>
  <c r="BI107" i="14" a="1"/>
  <c r="BI107" i="14" s="1"/>
  <c r="CM107" i="14" s="1"/>
  <c r="Y103" i="43" s="1"/>
  <c r="IS108" i="14"/>
  <c r="AP108" i="14" a="1"/>
  <c r="AP108" i="14" s="1"/>
  <c r="BT108" i="14" s="1"/>
  <c r="F104" i="43" s="1"/>
  <c r="IR108" i="14"/>
  <c r="JD107" i="14"/>
  <c r="JT107" i="14"/>
  <c r="JP108" i="14"/>
  <c r="JI107" i="14"/>
  <c r="IU107" i="14"/>
  <c r="JK107" i="14"/>
  <c r="IZ108" i="14"/>
  <c r="IV107" i="14"/>
  <c r="JO107" i="14"/>
  <c r="JA108" i="14"/>
  <c r="IY107" i="14"/>
  <c r="JQ107" i="14"/>
  <c r="JH108" i="14"/>
  <c r="IS107" i="14"/>
  <c r="JA107" i="14"/>
  <c r="JS107" i="14"/>
  <c r="JI108" i="14"/>
  <c r="JG107" i="14"/>
  <c r="AX108" i="14" a="1"/>
  <c r="AX108" i="14" s="1"/>
  <c r="CB108" i="14" s="1"/>
  <c r="N104" i="43" s="1"/>
  <c r="JQ108" i="14"/>
  <c r="IR107" i="14"/>
  <c r="JH107" i="14"/>
  <c r="BF108" i="14" a="1"/>
  <c r="BF108" i="14" s="1"/>
  <c r="CJ108" i="14" s="1"/>
  <c r="V104" i="43" s="1"/>
  <c r="IO108" i="14"/>
  <c r="IB108" i="14"/>
  <c r="AV108" i="14" a="1"/>
  <c r="AV108" i="14" s="1"/>
  <c r="BZ108" i="14" s="1"/>
  <c r="L104" i="43" s="1"/>
  <c r="BD108" i="14" a="1"/>
  <c r="BD108" i="14" s="1"/>
  <c r="CH108" i="14" s="1"/>
  <c r="T104" i="43" s="1"/>
  <c r="BL108" i="14" a="1"/>
  <c r="BL108" i="14" s="1"/>
  <c r="CP108" i="14" s="1"/>
  <c r="AB104" i="43" s="1"/>
  <c r="HR108" i="14"/>
  <c r="HZ108" i="14"/>
  <c r="IH108" i="14"/>
  <c r="IP108" i="14"/>
  <c r="IX108" i="14"/>
  <c r="JF108" i="14"/>
  <c r="JN108" i="14"/>
  <c r="AO108" i="14" a="1"/>
  <c r="AO108" i="14" s="1"/>
  <c r="BS108" i="14" s="1"/>
  <c r="E104" i="43" s="1"/>
  <c r="AW108" i="14" a="1"/>
  <c r="AW108" i="14" s="1"/>
  <c r="CA108" i="14" s="1"/>
  <c r="M104" i="43" s="1"/>
  <c r="BE108" i="14" a="1"/>
  <c r="BE108" i="14" s="1"/>
  <c r="CI108" i="14" s="1"/>
  <c r="U104" i="43" s="1"/>
  <c r="BM108" i="14" a="1"/>
  <c r="BM108" i="14" s="1"/>
  <c r="CQ108" i="14" s="1"/>
  <c r="AC104" i="43" s="1"/>
  <c r="HS108" i="14"/>
  <c r="IA108" i="14"/>
  <c r="II108" i="14"/>
  <c r="IQ108" i="14"/>
  <c r="IY108" i="14"/>
  <c r="JG108" i="14"/>
  <c r="JO108" i="14"/>
  <c r="IJ108" i="14"/>
  <c r="BO108" i="14" a="1"/>
  <c r="BO108" i="14" s="1"/>
  <c r="CS108" i="14" s="1"/>
  <c r="AE104" i="43" s="1"/>
  <c r="IK108" i="14"/>
  <c r="AR108" i="14" a="1"/>
  <c r="AR108" i="14" s="1"/>
  <c r="BV108" i="14" s="1"/>
  <c r="H104" i="43" s="1"/>
  <c r="AZ108" i="14" a="1"/>
  <c r="AZ108" i="14" s="1"/>
  <c r="CD108" i="14" s="1"/>
  <c r="P104" i="43" s="1"/>
  <c r="BH108" i="14" a="1"/>
  <c r="BH108" i="14" s="1"/>
  <c r="CL108" i="14" s="1"/>
  <c r="X104" i="43" s="1"/>
  <c r="BP108" i="14" a="1"/>
  <c r="BP108" i="14" s="1"/>
  <c r="HN108" i="14"/>
  <c r="HV108" i="14"/>
  <c r="ID108" i="14"/>
  <c r="IL108" i="14"/>
  <c r="IT108" i="14"/>
  <c r="JB108" i="14"/>
  <c r="JJ108" i="14"/>
  <c r="JR108" i="14"/>
  <c r="HT108" i="14"/>
  <c r="AY108" i="14" a="1"/>
  <c r="AY108" i="14" s="1"/>
  <c r="CC108" i="14" s="1"/>
  <c r="O104" i="43" s="1"/>
  <c r="HU108" i="14"/>
  <c r="AS108" i="14" a="1"/>
  <c r="AS108" i="14" s="1"/>
  <c r="BW108" i="14" s="1"/>
  <c r="I104" i="43" s="1"/>
  <c r="BA108" i="14" a="1"/>
  <c r="BA108" i="14" s="1"/>
  <c r="CE108" i="14" s="1"/>
  <c r="Q104" i="43" s="1"/>
  <c r="BI108" i="14" a="1"/>
  <c r="BI108" i="14" s="1"/>
  <c r="CM108" i="14" s="1"/>
  <c r="Y104" i="43" s="1"/>
  <c r="BQ108" i="14" a="1"/>
  <c r="BQ108" i="14" s="1"/>
  <c r="CU108" i="14" s="1"/>
  <c r="AG104" i="43" s="1"/>
  <c r="HO108" i="14"/>
  <c r="HW108" i="14"/>
  <c r="IE108" i="14"/>
  <c r="IM108" i="14"/>
  <c r="IU108" i="14"/>
  <c r="JC108" i="14"/>
  <c r="JK108" i="14"/>
  <c r="JS108" i="14"/>
  <c r="CT108" i="14"/>
  <c r="AF104" i="43" s="1"/>
  <c r="AQ108" i="14" a="1"/>
  <c r="AQ108" i="14" s="1"/>
  <c r="BU108" i="14" s="1"/>
  <c r="G104" i="43" s="1"/>
  <c r="IC108" i="14"/>
  <c r="AT108" i="14" a="1"/>
  <c r="AT108" i="14" s="1"/>
  <c r="BX108" i="14" s="1"/>
  <c r="J104" i="43" s="1"/>
  <c r="BB108" i="14" a="1"/>
  <c r="BB108" i="14" s="1"/>
  <c r="CF108" i="14" s="1"/>
  <c r="R104" i="43" s="1"/>
  <c r="BJ108" i="14" a="1"/>
  <c r="BJ108" i="14" s="1"/>
  <c r="CN108" i="14" s="1"/>
  <c r="Z104" i="43" s="1"/>
  <c r="BR108" i="14" a="1"/>
  <c r="BR108" i="14" s="1"/>
  <c r="CV108" i="14" s="1"/>
  <c r="AH104" i="43" s="1"/>
  <c r="HP108" i="14"/>
  <c r="HX108" i="14"/>
  <c r="IF108" i="14"/>
  <c r="IN108" i="14"/>
  <c r="IV108" i="14"/>
  <c r="JD108" i="14"/>
  <c r="JL108" i="14"/>
  <c r="JT108" i="14"/>
  <c r="BG108" i="14" a="1"/>
  <c r="BG108" i="14" s="1"/>
  <c r="CK108" i="14" s="1"/>
  <c r="W104" i="43" s="1"/>
  <c r="HM108" i="14"/>
  <c r="AU108" i="14" a="1"/>
  <c r="AU108" i="14" s="1"/>
  <c r="BY108" i="14" s="1"/>
  <c r="K104" i="43" s="1"/>
  <c r="BC108" i="14" a="1"/>
  <c r="BC108" i="14" s="1"/>
  <c r="CG108" i="14" s="1"/>
  <c r="S104" i="43" s="1"/>
  <c r="BK108" i="14" a="1"/>
  <c r="BK108" i="14" s="1"/>
  <c r="CO108" i="14" s="1"/>
  <c r="AA104" i="43" s="1"/>
  <c r="HQ108" i="14"/>
  <c r="HY108" i="14"/>
  <c r="IG108" i="14"/>
  <c r="IW108" i="14"/>
  <c r="JE108" i="14"/>
  <c r="AW107" i="14" a="1"/>
  <c r="AW107" i="14" s="1"/>
  <c r="CA107" i="14" s="1"/>
  <c r="M103" i="43" s="1"/>
  <c r="AX107" i="14" a="1"/>
  <c r="AX107" i="14" s="1"/>
  <c r="CB107" i="14" s="1"/>
  <c r="N103" i="43" s="1"/>
  <c r="BE107" i="14" a="1"/>
  <c r="BE107" i="14" s="1"/>
  <c r="CI107" i="14" s="1"/>
  <c r="U103" i="43" s="1"/>
  <c r="BA107" i="14" a="1"/>
  <c r="BA107" i="14" s="1"/>
  <c r="CE107" i="14" s="1"/>
  <c r="Q103" i="43" s="1"/>
  <c r="HO107" i="14"/>
  <c r="HW107" i="14"/>
  <c r="IE107" i="14"/>
  <c r="IM107" i="14"/>
  <c r="BF107" i="14" a="1"/>
  <c r="BF107" i="14" s="1"/>
  <c r="CJ107" i="14" s="1"/>
  <c r="V103" i="43" s="1"/>
  <c r="IZ107" i="14"/>
  <c r="JL107" i="14"/>
  <c r="AO107" i="14" a="1"/>
  <c r="AO107" i="14" s="1"/>
  <c r="BS107" i="14" s="1"/>
  <c r="E103" i="43" s="1"/>
  <c r="AP107" i="14" a="1"/>
  <c r="AP107" i="14" s="1"/>
  <c r="BT107" i="14" s="1"/>
  <c r="F103" i="43" s="1"/>
  <c r="BM107" i="14" a="1"/>
  <c r="BM107" i="14" s="1"/>
  <c r="CQ107" i="14" s="1"/>
  <c r="AC103" i="43" s="1"/>
  <c r="IQ107" i="14"/>
  <c r="JC107" i="14"/>
  <c r="JP107" i="14"/>
  <c r="AS107" i="14" a="1"/>
  <c r="AS107" i="14" s="1"/>
  <c r="BW107" i="14" s="1"/>
  <c r="I103" i="43" s="1"/>
  <c r="BQ107" i="14" a="1"/>
  <c r="BQ107" i="14" s="1"/>
  <c r="CU107" i="14" s="1"/>
  <c r="AG103" i="43" s="1"/>
  <c r="IL107" i="14"/>
  <c r="AT107" i="14" a="1"/>
  <c r="AT107" i="14" s="1"/>
  <c r="BX107" i="14" s="1"/>
  <c r="J103" i="43" s="1"/>
  <c r="BB107" i="14" a="1"/>
  <c r="BB107" i="14" s="1"/>
  <c r="CF107" i="14" s="1"/>
  <c r="R103" i="43" s="1"/>
  <c r="BJ107" i="14" a="1"/>
  <c r="BJ107" i="14" s="1"/>
  <c r="CN107" i="14" s="1"/>
  <c r="Z103" i="43" s="1"/>
  <c r="BR107" i="14" a="1"/>
  <c r="BR107" i="14" s="1"/>
  <c r="CV107" i="14" s="1"/>
  <c r="AH103" i="43" s="1"/>
  <c r="HP107" i="14"/>
  <c r="HX107" i="14"/>
  <c r="IF107" i="14"/>
  <c r="IN107" i="14"/>
  <c r="AU107" i="14" a="1"/>
  <c r="AU107" i="14" s="1"/>
  <c r="BY107" i="14" s="1"/>
  <c r="K103" i="43" s="1"/>
  <c r="BC107" i="14" a="1"/>
  <c r="BC107" i="14" s="1"/>
  <c r="CG107" i="14" s="1"/>
  <c r="S103" i="43" s="1"/>
  <c r="BK107" i="14" a="1"/>
  <c r="BK107" i="14" s="1"/>
  <c r="CO107" i="14" s="1"/>
  <c r="AA103" i="43" s="1"/>
  <c r="HQ107" i="14"/>
  <c r="HY107" i="14"/>
  <c r="IG107" i="14"/>
  <c r="IO107" i="14"/>
  <c r="IW107" i="14"/>
  <c r="JE107" i="14"/>
  <c r="JM107" i="14"/>
  <c r="AV107" i="14" a="1"/>
  <c r="AV107" i="14" s="1"/>
  <c r="BZ107" i="14" s="1"/>
  <c r="L103" i="43" s="1"/>
  <c r="BD107" i="14" a="1"/>
  <c r="BD107" i="14" s="1"/>
  <c r="CH107" i="14" s="1"/>
  <c r="T103" i="43" s="1"/>
  <c r="BL107" i="14" a="1"/>
  <c r="BL107" i="14" s="1"/>
  <c r="CP107" i="14" s="1"/>
  <c r="AB103" i="43" s="1"/>
  <c r="HR107" i="14"/>
  <c r="HZ107" i="14"/>
  <c r="IH107" i="14"/>
  <c r="IP107" i="14"/>
  <c r="IX107" i="14"/>
  <c r="JF107" i="14"/>
  <c r="JN107" i="14"/>
  <c r="HS107" i="14"/>
  <c r="IA107" i="14"/>
  <c r="II107" i="14"/>
  <c r="BN107" i="14" a="1"/>
  <c r="BN107" i="14" s="1"/>
  <c r="CR107" i="14" s="1"/>
  <c r="AD103" i="43" s="1"/>
  <c r="HT107" i="14"/>
  <c r="IB107" i="14"/>
  <c r="IJ107" i="14"/>
  <c r="AQ107" i="14" a="1"/>
  <c r="AQ107" i="14" s="1"/>
  <c r="BU107" i="14" s="1"/>
  <c r="G103" i="43" s="1"/>
  <c r="AY107" i="14" a="1"/>
  <c r="AY107" i="14" s="1"/>
  <c r="CC107" i="14" s="1"/>
  <c r="O103" i="43" s="1"/>
  <c r="BG107" i="14" a="1"/>
  <c r="BG107" i="14" s="1"/>
  <c r="CK107" i="14" s="1"/>
  <c r="W103" i="43" s="1"/>
  <c r="BO107" i="14" a="1"/>
  <c r="BO107" i="14" s="1"/>
  <c r="CS107" i="14" s="1"/>
  <c r="AE103" i="43" s="1"/>
  <c r="HM107" i="14"/>
  <c r="HU107" i="14"/>
  <c r="IC107" i="14"/>
  <c r="IK107" i="14"/>
  <c r="AR107" i="14" a="1"/>
  <c r="AR107" i="14" s="1"/>
  <c r="BV107" i="14" s="1"/>
  <c r="H103" i="43" s="1"/>
  <c r="AZ107" i="14" a="1"/>
  <c r="AZ107" i="14" s="1"/>
  <c r="CD107" i="14" s="1"/>
  <c r="P103" i="43" s="1"/>
  <c r="BH107" i="14" a="1"/>
  <c r="BH107" i="14" s="1"/>
  <c r="CL107" i="14" s="1"/>
  <c r="X103" i="43" s="1"/>
  <c r="BP107" i="14" a="1"/>
  <c r="BP107" i="14" s="1"/>
  <c r="CT107" i="14" s="1"/>
  <c r="AF103" i="43" s="1"/>
  <c r="HN107" i="14"/>
  <c r="HV107" i="14"/>
  <c r="ID107" i="14"/>
  <c r="IT107" i="14"/>
  <c r="JB107" i="14"/>
  <c r="JJ107" i="14"/>
  <c r="G154" i="20"/>
  <c r="B49" i="5"/>
  <c r="AF49" i="5" s="1"/>
  <c r="B73" i="8"/>
  <c r="C3" i="23"/>
  <c r="C19" i="23" s="1"/>
  <c r="C20" i="23" s="1"/>
  <c r="C24" i="23" s="1"/>
  <c r="B8" i="2" s="1"/>
  <c r="JR106" i="14"/>
  <c r="JS106" i="14"/>
  <c r="IH106" i="14"/>
  <c r="HV106" i="14"/>
  <c r="HP106" i="14"/>
  <c r="IB106" i="14"/>
  <c r="IN106" i="14"/>
  <c r="AX106" i="14" a="1"/>
  <c r="AX106" i="14" s="1"/>
  <c r="CB106" i="14" s="1"/>
  <c r="N102" i="43" s="1"/>
  <c r="II106" i="14"/>
  <c r="IU106" i="14"/>
  <c r="BD106" i="14" a="1"/>
  <c r="BD106" i="14" s="1"/>
  <c r="CH106" i="14" s="1"/>
  <c r="T102" i="43" s="1"/>
  <c r="IZ106" i="14"/>
  <c r="AR106" i="14" a="1"/>
  <c r="AR106" i="14" s="1"/>
  <c r="BV106" i="14" s="1"/>
  <c r="H102" i="43" s="1"/>
  <c r="IV106" i="14"/>
  <c r="BE106" i="14" a="1"/>
  <c r="BE106" i="14" s="1"/>
  <c r="CI106" i="14" s="1"/>
  <c r="U102" i="43" s="1"/>
  <c r="JF106" i="14"/>
  <c r="IG106" i="14"/>
  <c r="BJ106" i="14" a="1"/>
  <c r="BJ106" i="14" s="1"/>
  <c r="CN106" i="14" s="1"/>
  <c r="Z102" i="43" s="1"/>
  <c r="JG106" i="14"/>
  <c r="IT106" i="14"/>
  <c r="AS106" i="14" a="1"/>
  <c r="AS106" i="14" s="1"/>
  <c r="BW106" i="14" s="1"/>
  <c r="I102" i="43" s="1"/>
  <c r="IW106" i="14"/>
  <c r="BP106" i="14" a="1"/>
  <c r="BP106" i="14" s="1"/>
  <c r="CT106" i="14" s="1"/>
  <c r="AF102" i="43" s="1"/>
  <c r="HW106" i="14"/>
  <c r="JH106" i="14"/>
  <c r="JT106" i="14"/>
  <c r="BQ106" i="14" a="1"/>
  <c r="BQ106" i="14" s="1"/>
  <c r="CU106" i="14" s="1"/>
  <c r="AG102" i="43" s="1"/>
  <c r="JI106" i="14"/>
  <c r="JL106" i="14"/>
  <c r="AT106" i="14" a="1"/>
  <c r="AT106" i="14" s="1"/>
  <c r="BX106" i="14" s="1"/>
  <c r="J102" i="43" s="1"/>
  <c r="BF106" i="14" a="1"/>
  <c r="BF106" i="14" s="1"/>
  <c r="CJ106" i="14" s="1"/>
  <c r="V102" i="43" s="1"/>
  <c r="BR106" i="14" a="1"/>
  <c r="BR106" i="14" s="1"/>
  <c r="CV106" i="14" s="1"/>
  <c r="AH102" i="43" s="1"/>
  <c r="HX106" i="14"/>
  <c r="IJ106" i="14"/>
  <c r="AU106" i="14" a="1"/>
  <c r="AU106" i="14" s="1"/>
  <c r="BY106" i="14" s="1"/>
  <c r="K102" i="43" s="1"/>
  <c r="BG106" i="14" a="1"/>
  <c r="BG106" i="14" s="1"/>
  <c r="CK106" i="14" s="1"/>
  <c r="W102" i="43" s="1"/>
  <c r="HM106" i="14"/>
  <c r="HY106" i="14"/>
  <c r="IK106" i="14"/>
  <c r="AV106" i="14" a="1"/>
  <c r="AV106" i="14" s="1"/>
  <c r="BZ106" i="14" s="1"/>
  <c r="L102" i="43" s="1"/>
  <c r="BH106" i="14" a="1"/>
  <c r="BH106" i="14" s="1"/>
  <c r="CL106" i="14" s="1"/>
  <c r="X102" i="43" s="1"/>
  <c r="HN106" i="14"/>
  <c r="HZ106" i="14"/>
  <c r="IL106" i="14"/>
  <c r="IX106" i="14"/>
  <c r="JJ106" i="14"/>
  <c r="AW106" i="14" a="1"/>
  <c r="AW106" i="14" s="1"/>
  <c r="CA106" i="14" s="1"/>
  <c r="M102" i="43" s="1"/>
  <c r="BI106" i="14" a="1"/>
  <c r="BI106" i="14" s="1"/>
  <c r="CM106" i="14" s="1"/>
  <c r="Y102" i="43" s="1"/>
  <c r="HO106" i="14"/>
  <c r="IA106" i="14"/>
  <c r="IM106" i="14"/>
  <c r="IY106" i="14"/>
  <c r="JK106" i="14"/>
  <c r="AY106" i="14" a="1"/>
  <c r="AY106" i="14" s="1"/>
  <c r="CC106" i="14" s="1"/>
  <c r="O102" i="43" s="1"/>
  <c r="BK106" i="14" a="1"/>
  <c r="BK106" i="14" s="1"/>
  <c r="CO106" i="14" s="1"/>
  <c r="AA102" i="43" s="1"/>
  <c r="HQ106" i="14"/>
  <c r="IC106" i="14"/>
  <c r="IO106" i="14"/>
  <c r="JA106" i="14"/>
  <c r="JM106" i="14"/>
  <c r="AZ106" i="14" a="1"/>
  <c r="AZ106" i="14" s="1"/>
  <c r="CD106" i="14" s="1"/>
  <c r="P102" i="43" s="1"/>
  <c r="BL106" i="14" a="1"/>
  <c r="BL106" i="14" s="1"/>
  <c r="CP106" i="14" s="1"/>
  <c r="AB102" i="43" s="1"/>
  <c r="HR106" i="14"/>
  <c r="ID106" i="14"/>
  <c r="IP106" i="14"/>
  <c r="JB106" i="14"/>
  <c r="JN106" i="14"/>
  <c r="AO106" i="14" a="1"/>
  <c r="AO106" i="14" s="1"/>
  <c r="BS106" i="14" s="1"/>
  <c r="E102" i="43" s="1"/>
  <c r="BA106" i="14" a="1"/>
  <c r="BA106" i="14" s="1"/>
  <c r="CE106" i="14" s="1"/>
  <c r="Q102" i="43" s="1"/>
  <c r="BM106" i="14" a="1"/>
  <c r="BM106" i="14" s="1"/>
  <c r="CQ106" i="14" s="1"/>
  <c r="AC102" i="43" s="1"/>
  <c r="HS106" i="14"/>
  <c r="IE106" i="14"/>
  <c r="IQ106" i="14"/>
  <c r="JC106" i="14"/>
  <c r="JO106" i="14"/>
  <c r="AP106" i="14" a="1"/>
  <c r="AP106" i="14" s="1"/>
  <c r="BT106" i="14" s="1"/>
  <c r="F102" i="43" s="1"/>
  <c r="BB106" i="14" a="1"/>
  <c r="BB106" i="14" s="1"/>
  <c r="CF106" i="14" s="1"/>
  <c r="R102" i="43" s="1"/>
  <c r="BN106" i="14" a="1"/>
  <c r="BN106" i="14" s="1"/>
  <c r="CR106" i="14" s="1"/>
  <c r="AD102" i="43" s="1"/>
  <c r="HT106" i="14"/>
  <c r="IF106" i="14"/>
  <c r="IR106" i="14"/>
  <c r="JD106" i="14"/>
  <c r="JP106" i="14"/>
  <c r="AQ106" i="14" a="1"/>
  <c r="AQ106" i="14" s="1"/>
  <c r="BU106" i="14" s="1"/>
  <c r="G102" i="43" s="1"/>
  <c r="BC106" i="14" a="1"/>
  <c r="BC106" i="14" s="1"/>
  <c r="CG106" i="14" s="1"/>
  <c r="S102" i="43" s="1"/>
  <c r="BO106" i="14" a="1"/>
  <c r="BO106" i="14" s="1"/>
  <c r="CS106" i="14" s="1"/>
  <c r="AE102" i="43" s="1"/>
  <c r="HU106" i="14"/>
  <c r="IS106" i="14"/>
  <c r="JE106" i="14"/>
  <c r="IU36" i="14"/>
  <c r="EB10" i="14"/>
  <c r="CX10" i="14" s="1"/>
  <c r="EF149" i="14"/>
  <c r="DB149" i="14" s="1"/>
  <c r="BF97" i="14" a="1"/>
  <c r="BF97" i="14" s="1"/>
  <c r="CJ97" i="14" s="1"/>
  <c r="V93" i="43" s="1"/>
  <c r="EM163" i="14"/>
  <c r="DI163" i="14" s="1"/>
  <c r="EW85" i="14"/>
  <c r="DS85" i="14" s="1"/>
  <c r="JP6" i="14"/>
  <c r="BD89" i="14" a="1"/>
  <c r="BD89" i="14" s="1"/>
  <c r="CH89" i="14" s="1"/>
  <c r="T85" i="43" s="1"/>
  <c r="EE63" i="14"/>
  <c r="DA63" i="14" s="1"/>
  <c r="ED9" i="14"/>
  <c r="CZ9" i="14" s="1"/>
  <c r="IW29" i="14"/>
  <c r="IY28" i="14"/>
  <c r="JR28" i="14"/>
  <c r="EB90" i="14"/>
  <c r="CX90" i="14" s="1"/>
  <c r="EY115" i="14"/>
  <c r="DU115" i="14" s="1"/>
  <c r="EC31" i="14"/>
  <c r="CY31" i="14" s="1"/>
  <c r="ET69" i="14"/>
  <c r="DP69" i="14" s="1"/>
  <c r="ER106" i="14"/>
  <c r="EZ126" i="14"/>
  <c r="DV126" i="14" s="1"/>
  <c r="FC31" i="14"/>
  <c r="DY31" i="14" s="1"/>
  <c r="EC102" i="14"/>
  <c r="CY102" i="14" s="1"/>
  <c r="EZ156" i="14"/>
  <c r="DV156" i="14" s="1"/>
  <c r="JT71" i="14"/>
  <c r="FD85" i="14"/>
  <c r="DZ85" i="14" s="1"/>
  <c r="EC113" i="14"/>
  <c r="CY113" i="14" s="1"/>
  <c r="EA149" i="14"/>
  <c r="CW149" i="14" s="1"/>
  <c r="EK38" i="14"/>
  <c r="DG38" i="14" s="1"/>
  <c r="EA55" i="14"/>
  <c r="CW55" i="14" s="1"/>
  <c r="EA78" i="14"/>
  <c r="CW78" i="14" s="1"/>
  <c r="ET118" i="14"/>
  <c r="DP118" i="14" s="1"/>
  <c r="FD167" i="14"/>
  <c r="DZ167" i="14" s="1"/>
  <c r="JH6" i="14"/>
  <c r="EC55" i="14"/>
  <c r="CY55" i="14" s="1"/>
  <c r="EB78" i="14"/>
  <c r="CX78" i="14" s="1"/>
  <c r="EF55" i="14"/>
  <c r="DB55" i="14" s="1"/>
  <c r="HD107" i="14"/>
  <c r="JQ6" i="14"/>
  <c r="IY29" i="14"/>
  <c r="EO89" i="14"/>
  <c r="DK89" i="14" s="1"/>
  <c r="JS6" i="14"/>
  <c r="JC29" i="14"/>
  <c r="EW32" i="14"/>
  <c r="DS32" i="14" s="1"/>
  <c r="EG67" i="14"/>
  <c r="DC67" i="14" s="1"/>
  <c r="EP89" i="14"/>
  <c r="ED57" i="14"/>
  <c r="CZ57" i="14" s="1"/>
  <c r="EC10" i="14"/>
  <c r="CY10" i="14" s="1"/>
  <c r="JT28" i="14"/>
  <c r="JK29" i="14"/>
  <c r="ER32" i="14"/>
  <c r="DN32" i="14" s="1"/>
  <c r="EJ38" i="14"/>
  <c r="DF38" i="14" s="1"/>
  <c r="EJ57" i="14"/>
  <c r="DF57" i="14" s="1"/>
  <c r="EC63" i="14"/>
  <c r="CY63" i="14" s="1"/>
  <c r="EC78" i="14"/>
  <c r="CY78" i="14" s="1"/>
  <c r="AR79" i="14" a="1"/>
  <c r="AR79" i="14" s="1"/>
  <c r="EI79" i="14" s="1"/>
  <c r="DE79" i="14" s="1"/>
  <c r="JM101" i="14"/>
  <c r="FC118" i="14"/>
  <c r="FC138" i="14"/>
  <c r="DY138" i="14" s="1"/>
  <c r="FD163" i="14"/>
  <c r="DZ163" i="14" s="1"/>
  <c r="ED10" i="14"/>
  <c r="CZ10" i="14" s="1"/>
  <c r="FC57" i="14"/>
  <c r="DY57" i="14" s="1"/>
  <c r="AQ97" i="14" a="1"/>
  <c r="AQ97" i="14" s="1"/>
  <c r="BU97" i="14" s="1"/>
  <c r="G93" i="43" s="1"/>
  <c r="EP99" i="14"/>
  <c r="DL99" i="14" s="1"/>
  <c r="JO101" i="14"/>
  <c r="EB126" i="14"/>
  <c r="CX126" i="14" s="1"/>
  <c r="EZ175" i="14"/>
  <c r="DV175" i="14" s="1"/>
  <c r="EC9" i="14"/>
  <c r="CY9" i="14" s="1"/>
  <c r="JL57" i="14"/>
  <c r="EJ63" i="14"/>
  <c r="JF71" i="14"/>
  <c r="EQ99" i="14"/>
  <c r="DM99" i="14" s="1"/>
  <c r="EJ126" i="14"/>
  <c r="DF126" i="14" s="1"/>
  <c r="FA144" i="14"/>
  <c r="DW144" i="14" s="1"/>
  <c r="FD159" i="14"/>
  <c r="DZ159" i="14" s="1"/>
  <c r="EB164" i="14"/>
  <c r="CX164" i="14" s="1"/>
  <c r="FB175" i="14"/>
  <c r="DX175" i="14" s="1"/>
  <c r="IX63" i="14"/>
  <c r="JI71" i="14"/>
  <c r="EV126" i="14"/>
  <c r="DR126" i="14" s="1"/>
  <c r="EQ164" i="14"/>
  <c r="DM164" i="14" s="1"/>
  <c r="FC175" i="14"/>
  <c r="DY175" i="14" s="1"/>
  <c r="EH34" i="14"/>
  <c r="DD34" i="14" s="1"/>
  <c r="EA59" i="14"/>
  <c r="CW59" i="14" s="1"/>
  <c r="ED156" i="14"/>
  <c r="CZ156" i="14" s="1"/>
  <c r="ER160" i="14"/>
  <c r="DN160" i="14" s="1"/>
  <c r="JC52" i="14"/>
  <c r="EC59" i="14"/>
  <c r="CY59" i="14" s="1"/>
  <c r="IP86" i="14"/>
  <c r="JI98" i="14"/>
  <c r="EM101" i="14"/>
  <c r="DI101" i="14" s="1"/>
  <c r="FD126" i="14"/>
  <c r="DZ126" i="14" s="1"/>
  <c r="EE156" i="14"/>
  <c r="DA156" i="14" s="1"/>
  <c r="ES160" i="14"/>
  <c r="DO160" i="14" s="1"/>
  <c r="JQ52" i="14"/>
  <c r="EH59" i="14"/>
  <c r="DD59" i="14" s="1"/>
  <c r="EH156" i="14"/>
  <c r="DD156" i="14" s="1"/>
  <c r="JC21" i="14"/>
  <c r="EF49" i="14"/>
  <c r="DB49" i="14" s="1"/>
  <c r="JR52" i="14"/>
  <c r="EI59" i="14"/>
  <c r="DE59" i="14" s="1"/>
  <c r="JP90" i="14"/>
  <c r="IY94" i="14"/>
  <c r="EK156" i="14"/>
  <c r="DG156" i="14" s="1"/>
  <c r="JH21" i="14"/>
  <c r="JT52" i="14"/>
  <c r="JQ90" i="14"/>
  <c r="IZ94" i="14"/>
  <c r="BI97" i="14" a="1"/>
  <c r="BI97" i="14" s="1"/>
  <c r="CM97" i="14" s="1"/>
  <c r="Y93" i="43" s="1"/>
  <c r="AO102" i="14" a="1"/>
  <c r="AO102" i="14" s="1"/>
  <c r="AR102" i="14" s="1" a="1"/>
  <c r="AR102" i="14" s="1"/>
  <c r="AU102" i="14" s="1" a="1"/>
  <c r="AU102" i="14" s="1"/>
  <c r="BY102" i="14" s="1"/>
  <c r="K98" i="43" s="1"/>
  <c r="FC137" i="14"/>
  <c r="DY137" i="14" s="1"/>
  <c r="EX156" i="14"/>
  <c r="DT156" i="14" s="1"/>
  <c r="IX29" i="14"/>
  <c r="JO36" i="14"/>
  <c r="JE94" i="14"/>
  <c r="BL97" i="14" a="1"/>
  <c r="BL97" i="14" s="1"/>
  <c r="CP97" i="14" s="1"/>
  <c r="AB93" i="43" s="1"/>
  <c r="EF106" i="14"/>
  <c r="DB106" i="14" s="1"/>
  <c r="EV128" i="14"/>
  <c r="DR128" i="14" s="1"/>
  <c r="HH145" i="14"/>
  <c r="EY156" i="14"/>
  <c r="DU156" i="14" s="1"/>
  <c r="FC167" i="14"/>
  <c r="DY167" i="14" s="1"/>
  <c r="ET100" i="14"/>
  <c r="DP100" i="14" s="1"/>
  <c r="EV100" i="14"/>
  <c r="DR100" i="14" s="1"/>
  <c r="IQ26" i="14"/>
  <c r="EY99" i="14"/>
  <c r="DU99" i="14" s="1"/>
  <c r="EZ100" i="14"/>
  <c r="DV100" i="14" s="1"/>
  <c r="IY33" i="14"/>
  <c r="JS20" i="14"/>
  <c r="EE9" i="14"/>
  <c r="DA9" i="14" s="1"/>
  <c r="JB26" i="14"/>
  <c r="JD29" i="14"/>
  <c r="IV31" i="14"/>
  <c r="JG32" i="14"/>
  <c r="EQ37" i="14"/>
  <c r="DM37" i="14" s="1"/>
  <c r="EN38" i="14"/>
  <c r="DJ38" i="14" s="1"/>
  <c r="EI55" i="14"/>
  <c r="DE55" i="14" s="1"/>
  <c r="EJ59" i="14"/>
  <c r="DF59" i="14" s="1"/>
  <c r="JD63" i="14"/>
  <c r="AS79" i="14" a="1"/>
  <c r="AS79" i="14" s="1"/>
  <c r="BW79" i="14" s="1"/>
  <c r="I75" i="43" s="1"/>
  <c r="FC99" i="14"/>
  <c r="DY99" i="14" s="1"/>
  <c r="EU106" i="14"/>
  <c r="DQ106" i="14" s="1"/>
  <c r="GQ115" i="14"/>
  <c r="ER129" i="14"/>
  <c r="DN129" i="14" s="1"/>
  <c r="EJ144" i="14"/>
  <c r="DF144" i="14" s="1"/>
  <c r="ET156" i="14"/>
  <c r="DP156" i="14" s="1"/>
  <c r="EE160" i="14"/>
  <c r="DA160" i="14" s="1"/>
  <c r="EB163" i="14"/>
  <c r="CX163" i="14" s="1"/>
  <c r="EE168" i="14"/>
  <c r="DA168" i="14" s="1"/>
  <c r="JR51" i="14"/>
  <c r="FD175" i="14"/>
  <c r="DZ175" i="14" s="1"/>
  <c r="EI9" i="14"/>
  <c r="DE9" i="14" s="1"/>
  <c r="JG26" i="14"/>
  <c r="JE29" i="14"/>
  <c r="JS31" i="14"/>
  <c r="JK32" i="14"/>
  <c r="ER37" i="14"/>
  <c r="DN37" i="14" s="1"/>
  <c r="ER55" i="14"/>
  <c r="DN55" i="14" s="1"/>
  <c r="EX59" i="14"/>
  <c r="DT59" i="14" s="1"/>
  <c r="JF63" i="14"/>
  <c r="EC79" i="14"/>
  <c r="CY79" i="14" s="1"/>
  <c r="IV90" i="14"/>
  <c r="EW106" i="14"/>
  <c r="DS106" i="14" s="1"/>
  <c r="ER116" i="14"/>
  <c r="DN116" i="14" s="1"/>
  <c r="EA118" i="14"/>
  <c r="ES129" i="14"/>
  <c r="DO129" i="14" s="1"/>
  <c r="EM136" i="14"/>
  <c r="DI136" i="14" s="1"/>
  <c r="ER144" i="14"/>
  <c r="DN144" i="14" s="1"/>
  <c r="EM150" i="14"/>
  <c r="DI150" i="14" s="1"/>
  <c r="EU156" i="14"/>
  <c r="DQ156" i="14" s="1"/>
  <c r="EG160" i="14"/>
  <c r="DC160" i="14" s="1"/>
  <c r="EE163" i="14"/>
  <c r="DA163" i="14" s="1"/>
  <c r="IX26" i="14"/>
  <c r="IT32" i="14"/>
  <c r="JR75" i="14"/>
  <c r="EF8" i="14"/>
  <c r="DB8" i="14" s="1"/>
  <c r="EI25" i="14"/>
  <c r="DE25" i="14" s="1"/>
  <c r="JM26" i="14"/>
  <c r="JJ29" i="14"/>
  <c r="EU37" i="14"/>
  <c r="DQ37" i="14" s="1"/>
  <c r="ET55" i="14"/>
  <c r="DP55" i="14" s="1"/>
  <c r="FA59" i="14"/>
  <c r="DW59" i="14" s="1"/>
  <c r="IW90" i="14"/>
  <c r="EB100" i="14"/>
  <c r="CX100" i="14" s="1"/>
  <c r="EZ106" i="14"/>
  <c r="DV106" i="14" s="1"/>
  <c r="EX116" i="14"/>
  <c r="DT116" i="14" s="1"/>
  <c r="EC118" i="14"/>
  <c r="CY118" i="14" s="1"/>
  <c r="EF123" i="14"/>
  <c r="DB123" i="14" s="1"/>
  <c r="EA125" i="14"/>
  <c r="CW125" i="14" s="1"/>
  <c r="ER136" i="14"/>
  <c r="DN136" i="14" s="1"/>
  <c r="EU144" i="14"/>
  <c r="DQ144" i="14" s="1"/>
  <c r="FA150" i="14"/>
  <c r="DW150" i="14" s="1"/>
  <c r="EH160" i="14"/>
  <c r="DD160" i="14" s="1"/>
  <c r="EF163" i="14"/>
  <c r="DB163" i="14" s="1"/>
  <c r="JO26" i="14"/>
  <c r="EW55" i="14"/>
  <c r="DS55" i="14" s="1"/>
  <c r="JD84" i="14"/>
  <c r="IY90" i="14"/>
  <c r="EC100" i="14"/>
  <c r="CY100" i="14" s="1"/>
  <c r="EE118" i="14"/>
  <c r="DA118" i="14" s="1"/>
  <c r="EQ123" i="14"/>
  <c r="DM123" i="14" s="1"/>
  <c r="EI125" i="14"/>
  <c r="DE125" i="14" s="1"/>
  <c r="FC150" i="14"/>
  <c r="DY150" i="14" s="1"/>
  <c r="EX100" i="14"/>
  <c r="DT100" i="14" s="1"/>
  <c r="IW6" i="14"/>
  <c r="JO29" i="14"/>
  <c r="JK35" i="14"/>
  <c r="JK84" i="14"/>
  <c r="IZ90" i="14"/>
  <c r="AT99" i="14" a="1"/>
  <c r="AT99" i="14" s="1"/>
  <c r="BX99" i="14" s="1"/>
  <c r="J95" i="43" s="1"/>
  <c r="EE100" i="14"/>
  <c r="DA100" i="14" s="1"/>
  <c r="EF118" i="14"/>
  <c r="DB118" i="14" s="1"/>
  <c r="EW123" i="14"/>
  <c r="DS123" i="14" s="1"/>
  <c r="EP125" i="14"/>
  <c r="DL125" i="14" s="1"/>
  <c r="EQ163" i="14"/>
  <c r="DM163" i="14" s="1"/>
  <c r="EO169" i="14"/>
  <c r="DK169" i="14" s="1"/>
  <c r="IX6" i="14"/>
  <c r="IS29" i="14"/>
  <c r="JP29" i="14"/>
  <c r="JT35" i="14"/>
  <c r="JE90" i="14"/>
  <c r="BR99" i="14" a="1"/>
  <c r="BR99" i="14" s="1"/>
  <c r="CV99" i="14" s="1"/>
  <c r="AH95" i="43" s="1"/>
  <c r="EJ100" i="14"/>
  <c r="DF100" i="14" s="1"/>
  <c r="EO118" i="14"/>
  <c r="DK118" i="14" s="1"/>
  <c r="EH119" i="14"/>
  <c r="DD119" i="14" s="1"/>
  <c r="ER122" i="14"/>
  <c r="DN122" i="14" s="1"/>
  <c r="EY123" i="14"/>
  <c r="DU123" i="14" s="1"/>
  <c r="EK137" i="14"/>
  <c r="DG137" i="14" s="1"/>
  <c r="EN149" i="14"/>
  <c r="DJ149" i="14" s="1"/>
  <c r="EV163" i="14"/>
  <c r="DR163" i="14" s="1"/>
  <c r="EM166" i="14"/>
  <c r="DI166" i="14" s="1"/>
  <c r="ED175" i="14"/>
  <c r="CZ175" i="14" s="1"/>
  <c r="JE6" i="14"/>
  <c r="IU29" i="14"/>
  <c r="JS29" i="14"/>
  <c r="JF90" i="14"/>
  <c r="EA99" i="14"/>
  <c r="CW99" i="14" s="1"/>
  <c r="EO100" i="14"/>
  <c r="DK100" i="14" s="1"/>
  <c r="EP118" i="14"/>
  <c r="DL118" i="14" s="1"/>
  <c r="FC122" i="14"/>
  <c r="DY122" i="14" s="1"/>
  <c r="FA123" i="14"/>
  <c r="DW123" i="14" s="1"/>
  <c r="EQ137" i="14"/>
  <c r="DM137" i="14" s="1"/>
  <c r="EW149" i="14"/>
  <c r="DS149" i="14" s="1"/>
  <c r="EZ163" i="14"/>
  <c r="DV163" i="14" s="1"/>
  <c r="EL175" i="14"/>
  <c r="DH175" i="14" s="1"/>
  <c r="EX99" i="14"/>
  <c r="DT99" i="14" s="1"/>
  <c r="IV29" i="14"/>
  <c r="JT29" i="14"/>
  <c r="EB63" i="14"/>
  <c r="CX63" i="14" s="1"/>
  <c r="EE67" i="14"/>
  <c r="DA67" i="14" s="1"/>
  <c r="JC98" i="14"/>
  <c r="EF99" i="14"/>
  <c r="DB99" i="14" s="1"/>
  <c r="EP100" i="14"/>
  <c r="DL100" i="14" s="1"/>
  <c r="EA102" i="14"/>
  <c r="CW102" i="14" s="1"/>
  <c r="ER118" i="14"/>
  <c r="DN118" i="14" s="1"/>
  <c r="FD122" i="14"/>
  <c r="DZ122" i="14" s="1"/>
  <c r="EC126" i="14"/>
  <c r="CY126" i="14" s="1"/>
  <c r="EH128" i="14"/>
  <c r="DD128" i="14" s="1"/>
  <c r="FB137" i="14"/>
  <c r="DX137" i="14" s="1"/>
  <c r="EJ145" i="14"/>
  <c r="DF145" i="14" s="1"/>
  <c r="ET161" i="14"/>
  <c r="DP161" i="14" s="1"/>
  <c r="FA163" i="14"/>
  <c r="DW163" i="14" s="1"/>
  <c r="ER175" i="14"/>
  <c r="DN175" i="14" s="1"/>
  <c r="IT7" i="14"/>
  <c r="FB51" i="14"/>
  <c r="DX51" i="14" s="1"/>
  <c r="EZ51" i="14"/>
  <c r="DV51" i="14" s="1"/>
  <c r="EB68" i="14"/>
  <c r="CX68" i="14" s="1"/>
  <c r="ED68" i="14"/>
  <c r="CZ68" i="14" s="1"/>
  <c r="FB138" i="14"/>
  <c r="DX138" i="14" s="1"/>
  <c r="EY138" i="14"/>
  <c r="DU138" i="14" s="1"/>
  <c r="EV138" i="14"/>
  <c r="DR138" i="14" s="1"/>
  <c r="EQ138" i="14"/>
  <c r="DM138" i="14" s="1"/>
  <c r="EP138" i="14"/>
  <c r="DL138" i="14" s="1"/>
  <c r="EO138" i="14"/>
  <c r="DK138" i="14" s="1"/>
  <c r="EL138" i="14"/>
  <c r="DH138" i="14" s="1"/>
  <c r="EK138" i="14"/>
  <c r="DG138" i="14" s="1"/>
  <c r="EJ138" i="14"/>
  <c r="DF138" i="14" s="1"/>
  <c r="EE138" i="14"/>
  <c r="DA138" i="14" s="1"/>
  <c r="JT12" i="14"/>
  <c r="IX12" i="14"/>
  <c r="JC12" i="14"/>
  <c r="JL13" i="14"/>
  <c r="JN23" i="14"/>
  <c r="JJ23" i="14"/>
  <c r="JS63" i="14"/>
  <c r="IT63" i="14"/>
  <c r="JT63" i="14"/>
  <c r="IR75" i="14"/>
  <c r="IT75" i="14"/>
  <c r="EN85" i="14"/>
  <c r="DJ85" i="14" s="1"/>
  <c r="EG85" i="14"/>
  <c r="DC85" i="14" s="1"/>
  <c r="BB100" i="14" a="1"/>
  <c r="BB100" i="14" s="1"/>
  <c r="CF100" i="14" s="1"/>
  <c r="R96" i="43" s="1"/>
  <c r="BR100" i="14" a="1"/>
  <c r="BR100" i="14" s="1"/>
  <c r="CV100" i="14" s="1"/>
  <c r="AH96" i="43" s="1"/>
  <c r="AY100" i="14" a="1"/>
  <c r="AY100" i="14" s="1"/>
  <c r="CC100" i="14" s="1"/>
  <c r="O96" i="43" s="1"/>
  <c r="JC7" i="14"/>
  <c r="IW12" i="14"/>
  <c r="IT23" i="14"/>
  <c r="EE31" i="14"/>
  <c r="DA31" i="14" s="1"/>
  <c r="JG36" i="14"/>
  <c r="JL36" i="14"/>
  <c r="EU45" i="14"/>
  <c r="DQ45" i="14" s="1"/>
  <c r="EM45" i="14"/>
  <c r="DI45" i="14" s="1"/>
  <c r="JN52" i="14"/>
  <c r="IT52" i="14"/>
  <c r="IS75" i="14"/>
  <c r="EU104" i="14"/>
  <c r="DQ104" i="14" s="1"/>
  <c r="EM104" i="14"/>
  <c r="DI104" i="14" s="1"/>
  <c r="EL104" i="14"/>
  <c r="DH104" i="14" s="1"/>
  <c r="EK104" i="14"/>
  <c r="DG104" i="14" s="1"/>
  <c r="EJ104" i="14"/>
  <c r="DF104" i="14" s="1"/>
  <c r="EV91" i="14"/>
  <c r="DR91" i="14" s="1"/>
  <c r="EB91" i="14"/>
  <c r="CX91" i="14" s="1"/>
  <c r="EA91" i="14"/>
  <c r="CW91" i="14" s="1"/>
  <c r="JQ82" i="14"/>
  <c r="IS82" i="14"/>
  <c r="IQ82" i="14"/>
  <c r="JN6" i="14"/>
  <c r="IR6" i="14"/>
  <c r="JA6" i="14"/>
  <c r="JT6" i="14"/>
  <c r="JD7" i="14"/>
  <c r="IY12" i="14"/>
  <c r="IY23" i="14"/>
  <c r="JA28" i="14"/>
  <c r="IW28" i="14"/>
  <c r="EG31" i="14"/>
  <c r="DC31" i="14" s="1"/>
  <c r="IR35" i="14"/>
  <c r="IQ52" i="14"/>
  <c r="ES55" i="14"/>
  <c r="DO55" i="14" s="1"/>
  <c r="EM55" i="14"/>
  <c r="DI55" i="14" s="1"/>
  <c r="EU55" i="14"/>
  <c r="DQ55" i="14" s="1"/>
  <c r="EV55" i="14"/>
  <c r="DR55" i="14" s="1"/>
  <c r="EO57" i="14"/>
  <c r="DK57" i="14" s="1"/>
  <c r="EG57" i="14"/>
  <c r="DC57" i="14" s="1"/>
  <c r="ED58" i="14"/>
  <c r="CZ58" i="14" s="1"/>
  <c r="EC58" i="14"/>
  <c r="CY58" i="14" s="1"/>
  <c r="IX75" i="14"/>
  <c r="EM90" i="14"/>
  <c r="DI90" i="14" s="1"/>
  <c r="FA90" i="14"/>
  <c r="DW90" i="14" s="1"/>
  <c r="EC90" i="14"/>
  <c r="CY90" i="14" s="1"/>
  <c r="EF91" i="14"/>
  <c r="DB91" i="14" s="1"/>
  <c r="AS100" i="14" a="1"/>
  <c r="AS100" i="14" s="1"/>
  <c r="BW100" i="14" s="1"/>
  <c r="I96" i="43" s="1"/>
  <c r="JN101" i="14"/>
  <c r="JE101" i="14"/>
  <c r="IR101" i="14"/>
  <c r="IQ101" i="14"/>
  <c r="JR101" i="14"/>
  <c r="JP101" i="14"/>
  <c r="EO28" i="14"/>
  <c r="DK28" i="14" s="1"/>
  <c r="EW28" i="14"/>
  <c r="DS28" i="14" s="1"/>
  <c r="EH6" i="14"/>
  <c r="DD6" i="14" s="1"/>
  <c r="IZ12" i="14"/>
  <c r="EP19" i="14"/>
  <c r="DL19" i="14" s="1"/>
  <c r="FD19" i="14"/>
  <c r="DZ19" i="14" s="1"/>
  <c r="JK21" i="14"/>
  <c r="IS21" i="14"/>
  <c r="JF21" i="14"/>
  <c r="JA23" i="14"/>
  <c r="IS28" i="14"/>
  <c r="IV30" i="14"/>
  <c r="EH31" i="14"/>
  <c r="DD31" i="14" s="1"/>
  <c r="IR32" i="14"/>
  <c r="JO32" i="14"/>
  <c r="IT35" i="14"/>
  <c r="IQ36" i="14"/>
  <c r="JR37" i="14"/>
  <c r="IV37" i="14"/>
  <c r="IS52" i="14"/>
  <c r="EN65" i="14"/>
  <c r="DJ65" i="14" s="1"/>
  <c r="JE69" i="14"/>
  <c r="EM70" i="14"/>
  <c r="DI70" i="14" s="1"/>
  <c r="ED74" i="14"/>
  <c r="CZ74" i="14" s="1"/>
  <c r="IY75" i="14"/>
  <c r="EF81" i="14"/>
  <c r="DB81" i="14" s="1"/>
  <c r="EI81" i="14"/>
  <c r="DE81" i="14" s="1"/>
  <c r="AV89" i="14" a="1"/>
  <c r="AV89" i="14" s="1"/>
  <c r="BZ89" i="14" s="1"/>
  <c r="L85" i="43" s="1"/>
  <c r="ER91" i="14"/>
  <c r="DN91" i="14" s="1"/>
  <c r="BQ100" i="14" a="1"/>
  <c r="BQ100" i="14" s="1"/>
  <c r="CU100" i="14" s="1"/>
  <c r="AG96" i="43" s="1"/>
  <c r="FD135" i="14"/>
  <c r="DZ135" i="14" s="1"/>
  <c r="EM135" i="14"/>
  <c r="DI135" i="14" s="1"/>
  <c r="EE148" i="14"/>
  <c r="DA148" i="14" s="1"/>
  <c r="FD148" i="14"/>
  <c r="DZ148" i="14" s="1"/>
  <c r="EZ148" i="14"/>
  <c r="DV148" i="14" s="1"/>
  <c r="ET6" i="14"/>
  <c r="DP6" i="14" s="1"/>
  <c r="JD12" i="14"/>
  <c r="EB21" i="14"/>
  <c r="CX21" i="14" s="1"/>
  <c r="JD23" i="14"/>
  <c r="IV28" i="14"/>
  <c r="IX30" i="14"/>
  <c r="JJ35" i="14"/>
  <c r="IS36" i="14"/>
  <c r="IV52" i="14"/>
  <c r="EX55" i="14"/>
  <c r="DT55" i="14" s="1"/>
  <c r="ED62" i="14"/>
  <c r="CZ62" i="14" s="1"/>
  <c r="FD65" i="14"/>
  <c r="DZ65" i="14" s="1"/>
  <c r="JF69" i="14"/>
  <c r="EN70" i="14"/>
  <c r="DJ70" i="14" s="1"/>
  <c r="EW74" i="14"/>
  <c r="DS74" i="14" s="1"/>
  <c r="JJ75" i="14"/>
  <c r="BM89" i="14" a="1"/>
  <c r="BM89" i="14" s="1"/>
  <c r="CQ89" i="14" s="1"/>
  <c r="AC85" i="43" s="1"/>
  <c r="JN7" i="14"/>
  <c r="JF7" i="14"/>
  <c r="FD30" i="14"/>
  <c r="DZ30" i="14" s="1"/>
  <c r="EA30" i="14"/>
  <c r="CW30" i="14" s="1"/>
  <c r="JM105" i="14"/>
  <c r="JB105" i="14"/>
  <c r="JA105" i="14"/>
  <c r="IS7" i="14"/>
  <c r="JD16" i="14"/>
  <c r="EI46" i="14"/>
  <c r="DE46" i="14" s="1"/>
  <c r="EH46" i="14"/>
  <c r="DD46" i="14" s="1"/>
  <c r="EM132" i="14"/>
  <c r="DI132" i="14" s="1"/>
  <c r="EL132" i="14"/>
  <c r="DH132" i="14" s="1"/>
  <c r="IW7" i="14"/>
  <c r="EC21" i="14"/>
  <c r="CY21" i="14" s="1"/>
  <c r="JE23" i="14"/>
  <c r="JM33" i="14"/>
  <c r="IZ33" i="14"/>
  <c r="EX51" i="14"/>
  <c r="DT51" i="14" s="1"/>
  <c r="EJ62" i="14"/>
  <c r="DF62" i="14" s="1"/>
  <c r="IS63" i="14"/>
  <c r="EJ68" i="14"/>
  <c r="DF68" i="14" s="1"/>
  <c r="JH69" i="14"/>
  <c r="FA70" i="14"/>
  <c r="DW70" i="14" s="1"/>
  <c r="EZ74" i="14"/>
  <c r="DV74" i="14" s="1"/>
  <c r="JK75" i="14"/>
  <c r="EI76" i="14"/>
  <c r="DE76" i="14" s="1"/>
  <c r="IW17" i="14"/>
  <c r="JP20" i="14"/>
  <c r="ED21" i="14"/>
  <c r="CZ21" i="14" s="1"/>
  <c r="JK23" i="14"/>
  <c r="EL31" i="14"/>
  <c r="DH31" i="14" s="1"/>
  <c r="EF31" i="14"/>
  <c r="DB31" i="14" s="1"/>
  <c r="FD31" i="14"/>
  <c r="DZ31" i="14" s="1"/>
  <c r="IT33" i="14"/>
  <c r="IU63" i="14"/>
  <c r="JI69" i="14"/>
  <c r="FB70" i="14"/>
  <c r="DX70" i="14" s="1"/>
  <c r="JL75" i="14"/>
  <c r="AU85" i="14" a="1"/>
  <c r="AU85" i="14" s="1"/>
  <c r="BY85" i="14" s="1"/>
  <c r="K81" i="43" s="1"/>
  <c r="JD6" i="14"/>
  <c r="EB9" i="14"/>
  <c r="CX9" i="14" s="1"/>
  <c r="JQ20" i="14"/>
  <c r="IQ21" i="14"/>
  <c r="JM23" i="14"/>
  <c r="JM27" i="14"/>
  <c r="JM28" i="14"/>
  <c r="IX32" i="14"/>
  <c r="IV33" i="14"/>
  <c r="JI36" i="14"/>
  <c r="IW37" i="14"/>
  <c r="EK45" i="14"/>
  <c r="DG45" i="14" s="1"/>
  <c r="JD52" i="14"/>
  <c r="IV63" i="14"/>
  <c r="EC67" i="14"/>
  <c r="CY67" i="14" s="1"/>
  <c r="ES69" i="14"/>
  <c r="DO69" i="14" s="1"/>
  <c r="ER69" i="14"/>
  <c r="DN69" i="14" s="1"/>
  <c r="JQ69" i="14"/>
  <c r="FC70" i="14"/>
  <c r="DY70" i="14" s="1"/>
  <c r="JP75" i="14"/>
  <c r="EH85" i="14"/>
  <c r="DD85" i="14" s="1"/>
  <c r="JO90" i="14"/>
  <c r="IQ90" i="14"/>
  <c r="JM90" i="14"/>
  <c r="JK90" i="14"/>
  <c r="JA90" i="14"/>
  <c r="JR90" i="14"/>
  <c r="IX90" i="14"/>
  <c r="EA104" i="14"/>
  <c r="CW104" i="14" s="1"/>
  <c r="EB113" i="14"/>
  <c r="CX113" i="14" s="1"/>
  <c r="JA26" i="14"/>
  <c r="JL29" i="14"/>
  <c r="AS78" i="14" a="1"/>
  <c r="AS78" i="14" s="1"/>
  <c r="EJ78" i="14" s="1"/>
  <c r="DF78" i="14" s="1"/>
  <c r="BN89" i="14" a="1"/>
  <c r="BN89" i="14" s="1"/>
  <c r="CR89" i="14" s="1"/>
  <c r="AD85" i="43" s="1"/>
  <c r="BJ97" i="14" a="1"/>
  <c r="BJ97" i="14" s="1"/>
  <c r="CN97" i="14" s="1"/>
  <c r="Z93" i="43" s="1"/>
  <c r="EB99" i="14"/>
  <c r="CX99" i="14" s="1"/>
  <c r="AR100" i="14" a="1"/>
  <c r="AR100" i="14" s="1"/>
  <c r="BV100" i="14" s="1"/>
  <c r="H96" i="43" s="1"/>
  <c r="EK100" i="14"/>
  <c r="DG100" i="14" s="1"/>
  <c r="EN101" i="14"/>
  <c r="DJ101" i="14" s="1"/>
  <c r="EH106" i="14"/>
  <c r="DD106" i="14" s="1"/>
  <c r="EB118" i="14"/>
  <c r="CX118" i="14" s="1"/>
  <c r="EB125" i="14"/>
  <c r="CX125" i="14" s="1"/>
  <c r="EH126" i="14"/>
  <c r="DD126" i="14" s="1"/>
  <c r="EZ129" i="14"/>
  <c r="DV129" i="14" s="1"/>
  <c r="EZ137" i="14"/>
  <c r="DV137" i="14" s="1"/>
  <c r="EC145" i="14"/>
  <c r="CY145" i="14" s="1"/>
  <c r="HI147" i="14"/>
  <c r="EE150" i="14"/>
  <c r="DA150" i="14" s="1"/>
  <c r="HE155" i="14"/>
  <c r="EW156" i="14"/>
  <c r="DS156" i="14" s="1"/>
  <c r="ET163" i="14"/>
  <c r="DP163" i="14" s="1"/>
  <c r="EM165" i="14"/>
  <c r="DI165" i="14" s="1"/>
  <c r="EJ169" i="14"/>
  <c r="DF169" i="14" s="1"/>
  <c r="EK175" i="14"/>
  <c r="DG175" i="14" s="1"/>
  <c r="GK111" i="14"/>
  <c r="FD129" i="14"/>
  <c r="DZ129" i="14" s="1"/>
  <c r="EI150" i="14"/>
  <c r="DE150" i="14" s="1"/>
  <c r="ER165" i="14"/>
  <c r="DN165" i="14" s="1"/>
  <c r="GT165" i="14"/>
  <c r="HD171" i="14"/>
  <c r="EA176" i="14"/>
  <c r="CW176" i="14" s="1"/>
  <c r="EF97" i="14"/>
  <c r="DB97" i="14" s="1"/>
  <c r="EN99" i="14"/>
  <c r="DJ99" i="14" s="1"/>
  <c r="EF108" i="14"/>
  <c r="DB108" i="14" s="1"/>
  <c r="FB112" i="14"/>
  <c r="DX112" i="14" s="1"/>
  <c r="EN125" i="14"/>
  <c r="DJ125" i="14" s="1"/>
  <c r="EO126" i="14"/>
  <c r="DK126" i="14" s="1"/>
  <c r="HB128" i="14"/>
  <c r="EX131" i="14"/>
  <c r="DT131" i="14" s="1"/>
  <c r="EP144" i="14"/>
  <c r="DL144" i="14" s="1"/>
  <c r="EK150" i="14"/>
  <c r="DG150" i="14" s="1"/>
  <c r="ED151" i="14"/>
  <c r="EA167" i="14"/>
  <c r="CW167" i="14" s="1"/>
  <c r="GK167" i="14"/>
  <c r="GW167" i="14"/>
  <c r="HI167" i="14"/>
  <c r="HA169" i="14"/>
  <c r="EC174" i="14"/>
  <c r="CY174" i="14" s="1"/>
  <c r="EN175" i="14"/>
  <c r="DJ175" i="14" s="1"/>
  <c r="EB176" i="14"/>
  <c r="CX176" i="14" s="1"/>
  <c r="EQ89" i="14"/>
  <c r="DM89" i="14" s="1"/>
  <c r="IS94" i="14"/>
  <c r="EO99" i="14"/>
  <c r="DK99" i="14" s="1"/>
  <c r="AZ100" i="14" a="1"/>
  <c r="AZ100" i="14" s="1"/>
  <c r="CD100" i="14" s="1"/>
  <c r="P96" i="43" s="1"/>
  <c r="EQ100" i="14"/>
  <c r="DM100" i="14" s="1"/>
  <c r="EV106" i="14"/>
  <c r="DR106" i="14" s="1"/>
  <c r="EL116" i="14"/>
  <c r="DH116" i="14" s="1"/>
  <c r="EO125" i="14"/>
  <c r="DK125" i="14" s="1"/>
  <c r="GI134" i="14"/>
  <c r="EL150" i="14"/>
  <c r="DH150" i="14" s="1"/>
  <c r="EF151" i="14"/>
  <c r="DB151" i="14" s="1"/>
  <c r="HE165" i="14"/>
  <c r="EF167" i="14"/>
  <c r="DB167" i="14" s="1"/>
  <c r="EG174" i="14"/>
  <c r="DC174" i="14" s="1"/>
  <c r="EO175" i="14"/>
  <c r="DK175" i="14" s="1"/>
  <c r="ED176" i="14"/>
  <c r="CZ176" i="14" s="1"/>
  <c r="EH151" i="14"/>
  <c r="DD151" i="14" s="1"/>
  <c r="EM167" i="14"/>
  <c r="DI167" i="14" s="1"/>
  <c r="ES174" i="14"/>
  <c r="DO174" i="14" s="1"/>
  <c r="EC114" i="14"/>
  <c r="CY114" i="14" s="1"/>
  <c r="EZ125" i="14"/>
  <c r="DV125" i="14" s="1"/>
  <c r="GK134" i="14"/>
  <c r="GW147" i="14"/>
  <c r="EP150" i="14"/>
  <c r="DL150" i="14" s="1"/>
  <c r="EI151" i="14"/>
  <c r="DE151" i="14" s="1"/>
  <c r="EN167" i="14"/>
  <c r="DJ167" i="14" s="1"/>
  <c r="EI168" i="14"/>
  <c r="DE168" i="14" s="1"/>
  <c r="FA174" i="14"/>
  <c r="DW174" i="14" s="1"/>
  <c r="JA94" i="14"/>
  <c r="ER99" i="14"/>
  <c r="DN99" i="14" s="1"/>
  <c r="EA100" i="14"/>
  <c r="CW100" i="14" s="1"/>
  <c r="EW100" i="14"/>
  <c r="DS100" i="14" s="1"/>
  <c r="FB106" i="14"/>
  <c r="DX106" i="14" s="1"/>
  <c r="EF114" i="14"/>
  <c r="DB114" i="14" s="1"/>
  <c r="EB115" i="14"/>
  <c r="CX115" i="14" s="1"/>
  <c r="FA125" i="14"/>
  <c r="DW125" i="14" s="1"/>
  <c r="GI149" i="14"/>
  <c r="ER151" i="14"/>
  <c r="DN151" i="14" s="1"/>
  <c r="EQ167" i="14"/>
  <c r="DM167" i="14" s="1"/>
  <c r="EJ168" i="14"/>
  <c r="DF168" i="14" s="1"/>
  <c r="FB174" i="14"/>
  <c r="DX174" i="14" s="1"/>
  <c r="EM114" i="14"/>
  <c r="DI114" i="14" s="1"/>
  <c r="EK115" i="14"/>
  <c r="DG115" i="14" s="1"/>
  <c r="ET151" i="14"/>
  <c r="DP151" i="14" s="1"/>
  <c r="ET167" i="14"/>
  <c r="DP167" i="14" s="1"/>
  <c r="FC174" i="14"/>
  <c r="DY174" i="14" s="1"/>
  <c r="JL94" i="14"/>
  <c r="ER114" i="14"/>
  <c r="DN114" i="14" s="1"/>
  <c r="EL115" i="14"/>
  <c r="DH115" i="14" s="1"/>
  <c r="EG129" i="14"/>
  <c r="DC129" i="14" s="1"/>
  <c r="EU151" i="14"/>
  <c r="DQ151" i="14" s="1"/>
  <c r="EV167" i="14"/>
  <c r="DR167" i="14" s="1"/>
  <c r="EO38" i="14"/>
  <c r="DK38" i="14" s="1"/>
  <c r="EY59" i="14"/>
  <c r="DU59" i="14" s="1"/>
  <c r="EF63" i="14"/>
  <c r="DB63" i="14" s="1"/>
  <c r="AR81" i="14" a="1"/>
  <c r="AR81" i="14" s="1"/>
  <c r="BV81" i="14" s="1"/>
  <c r="H77" i="43" s="1"/>
  <c r="AU89" i="14" a="1"/>
  <c r="AU89" i="14" s="1"/>
  <c r="BY89" i="14" s="1"/>
  <c r="K85" i="43" s="1"/>
  <c r="JM94" i="14"/>
  <c r="AU99" i="14" a="1"/>
  <c r="AU99" i="14" s="1"/>
  <c r="BY99" i="14" s="1"/>
  <c r="K95" i="43" s="1"/>
  <c r="ED100" i="14"/>
  <c r="CZ100" i="14" s="1"/>
  <c r="FA100" i="14"/>
  <c r="DW100" i="14" s="1"/>
  <c r="EX115" i="14"/>
  <c r="DT115" i="14" s="1"/>
  <c r="EV151" i="14"/>
  <c r="DR151" i="14" s="1"/>
  <c r="HA153" i="14"/>
  <c r="EY167" i="14"/>
  <c r="DU167" i="14" s="1"/>
  <c r="FB6" i="14"/>
  <c r="DX6" i="14" s="1"/>
  <c r="ET14" i="14"/>
  <c r="DP14" i="14" s="1"/>
  <c r="EH14" i="14"/>
  <c r="DD14" i="14" s="1"/>
  <c r="IZ17" i="14"/>
  <c r="JB25" i="14"/>
  <c r="JK25" i="14"/>
  <c r="JD25" i="14"/>
  <c r="JC25" i="14"/>
  <c r="IY25" i="14"/>
  <c r="FD28" i="14"/>
  <c r="DZ28" i="14" s="1"/>
  <c r="EJ50" i="14"/>
  <c r="DF50" i="14" s="1"/>
  <c r="EC50" i="14"/>
  <c r="CY50" i="14" s="1"/>
  <c r="EB50" i="14"/>
  <c r="CX50" i="14" s="1"/>
  <c r="EA50" i="14"/>
  <c r="CW50" i="14" s="1"/>
  <c r="EX53" i="14"/>
  <c r="DT53" i="14" s="1"/>
  <c r="EK53" i="14"/>
  <c r="DG53" i="14" s="1"/>
  <c r="JJ80" i="14"/>
  <c r="JI80" i="14"/>
  <c r="JD80" i="14"/>
  <c r="EI94" i="14"/>
  <c r="DE94" i="14" s="1"/>
  <c r="EN94" i="14"/>
  <c r="DJ94" i="14" s="1"/>
  <c r="EJ94" i="14"/>
  <c r="DF94" i="14" s="1"/>
  <c r="JF99" i="14"/>
  <c r="FC6" i="14"/>
  <c r="DY6" i="14" s="1"/>
  <c r="JT13" i="14"/>
  <c r="JI13" i="14"/>
  <c r="JN15" i="14"/>
  <c r="JL15" i="14"/>
  <c r="JK15" i="14"/>
  <c r="JA15" i="14"/>
  <c r="JD17" i="14"/>
  <c r="JT18" i="14"/>
  <c r="IR18" i="14"/>
  <c r="JS18" i="14"/>
  <c r="JR18" i="14"/>
  <c r="JJ34" i="14"/>
  <c r="EA41" i="14"/>
  <c r="CW41" i="14" s="1"/>
  <c r="EC41" i="14"/>
  <c r="CY41" i="14" s="1"/>
  <c r="EB41" i="14"/>
  <c r="CX41" i="14" s="1"/>
  <c r="JQ74" i="14"/>
  <c r="JF74" i="14"/>
  <c r="JE74" i="14"/>
  <c r="JD74" i="14"/>
  <c r="JC74" i="14"/>
  <c r="IZ74" i="14"/>
  <c r="IY74" i="14"/>
  <c r="ET117" i="14"/>
  <c r="DP117" i="14" s="1"/>
  <c r="EX117" i="14"/>
  <c r="DT117" i="14" s="1"/>
  <c r="EW117" i="14"/>
  <c r="DS117" i="14" s="1"/>
  <c r="EU117" i="14"/>
  <c r="DQ117" i="14" s="1"/>
  <c r="EQ172" i="14"/>
  <c r="DM172" i="14" s="1"/>
  <c r="ES172" i="14"/>
  <c r="DO172" i="14" s="1"/>
  <c r="ER172" i="14"/>
  <c r="DN172" i="14" s="1"/>
  <c r="ET172" i="14"/>
  <c r="DP172" i="14" s="1"/>
  <c r="IQ6" i="14"/>
  <c r="JG6" i="14"/>
  <c r="JI7" i="14"/>
  <c r="JJ12" i="14"/>
  <c r="EI13" i="14"/>
  <c r="DE13" i="14" s="1"/>
  <c r="IX15" i="14"/>
  <c r="JE17" i="14"/>
  <c r="IW18" i="14"/>
  <c r="JE21" i="14"/>
  <c r="IQ25" i="14"/>
  <c r="EM38" i="14"/>
  <c r="DI38" i="14" s="1"/>
  <c r="IV70" i="14"/>
  <c r="JK12" i="14"/>
  <c r="EJ13" i="14"/>
  <c r="DF13" i="14" s="1"/>
  <c r="IY15" i="14"/>
  <c r="JG17" i="14"/>
  <c r="IX18" i="14"/>
  <c r="JR20" i="14"/>
  <c r="JA20" i="14"/>
  <c r="IZ20" i="14"/>
  <c r="IW20" i="14"/>
  <c r="IS20" i="14"/>
  <c r="EA22" i="14"/>
  <c r="CW22" i="14" s="1"/>
  <c r="IW24" i="14"/>
  <c r="JP24" i="14"/>
  <c r="IR25" i="14"/>
  <c r="EC28" i="14"/>
  <c r="CY28" i="14" s="1"/>
  <c r="EE35" i="14"/>
  <c r="DA35" i="14" s="1"/>
  <c r="FD35" i="14"/>
  <c r="DZ35" i="14" s="1"/>
  <c r="FB35" i="14"/>
  <c r="DX35" i="14" s="1"/>
  <c r="EU35" i="14"/>
  <c r="DQ35" i="14" s="1"/>
  <c r="EB39" i="14"/>
  <c r="CX39" i="14" s="1"/>
  <c r="JP44" i="14"/>
  <c r="IY44" i="14"/>
  <c r="EI49" i="14"/>
  <c r="DE49" i="14" s="1"/>
  <c r="ED49" i="14"/>
  <c r="CZ49" i="14" s="1"/>
  <c r="EB49" i="14"/>
  <c r="CX49" i="14" s="1"/>
  <c r="IW70" i="14"/>
  <c r="AZ84" i="14" a="1"/>
  <c r="AZ84" i="14" s="1"/>
  <c r="CD84" i="14" s="1"/>
  <c r="P80" i="43" s="1"/>
  <c r="FC88" i="14"/>
  <c r="DY88" i="14" s="1"/>
  <c r="ER88" i="14"/>
  <c r="DN88" i="14" s="1"/>
  <c r="EQ88" i="14"/>
  <c r="DM88" i="14" s="1"/>
  <c r="EP88" i="14"/>
  <c r="DL88" i="14" s="1"/>
  <c r="IS6" i="14"/>
  <c r="JI6" i="14"/>
  <c r="JQ7" i="14"/>
  <c r="EI12" i="14"/>
  <c r="DE12" i="14" s="1"/>
  <c r="JM12" i="14"/>
  <c r="EM13" i="14"/>
  <c r="DI13" i="14" s="1"/>
  <c r="IZ15" i="14"/>
  <c r="JH17" i="14"/>
  <c r="JB18" i="14"/>
  <c r="JT19" i="14"/>
  <c r="JM19" i="14"/>
  <c r="IV19" i="14"/>
  <c r="IU19" i="14"/>
  <c r="IT19" i="14"/>
  <c r="JB20" i="14"/>
  <c r="EA24" i="14"/>
  <c r="CW24" i="14" s="1"/>
  <c r="IV25" i="14"/>
  <c r="ED28" i="14"/>
  <c r="CZ28" i="14" s="1"/>
  <c r="EG39" i="14"/>
  <c r="DC39" i="14" s="1"/>
  <c r="JD44" i="14"/>
  <c r="FB57" i="14"/>
  <c r="DX57" i="14" s="1"/>
  <c r="EE57" i="14"/>
  <c r="DA57" i="14" s="1"/>
  <c r="FA57" i="14"/>
  <c r="DW57" i="14" s="1"/>
  <c r="EA57" i="14"/>
  <c r="CW57" i="14" s="1"/>
  <c r="EX57" i="14"/>
  <c r="DT57" i="14" s="1"/>
  <c r="EV57" i="14"/>
  <c r="DR57" i="14" s="1"/>
  <c r="EU57" i="14"/>
  <c r="DQ57" i="14" s="1"/>
  <c r="ES57" i="14"/>
  <c r="DO57" i="14" s="1"/>
  <c r="EQ57" i="14"/>
  <c r="DM57" i="14" s="1"/>
  <c r="JG69" i="14"/>
  <c r="JD69" i="14"/>
  <c r="JC69" i="14"/>
  <c r="IZ69" i="14"/>
  <c r="JT69" i="14"/>
  <c r="IT69" i="14"/>
  <c r="JS69" i="14"/>
  <c r="IS69" i="14"/>
  <c r="JR69" i="14"/>
  <c r="IR69" i="14"/>
  <c r="JD70" i="14"/>
  <c r="BD84" i="14" a="1"/>
  <c r="BD84" i="14" s="1"/>
  <c r="CH84" i="14" s="1"/>
  <c r="T80" i="43" s="1"/>
  <c r="EY112" i="14"/>
  <c r="DU112" i="14" s="1"/>
  <c r="FA112" i="14"/>
  <c r="DW112" i="14" s="1"/>
  <c r="EO112" i="14"/>
  <c r="DK112" i="14" s="1"/>
  <c r="EJ112" i="14"/>
  <c r="DF112" i="14" s="1"/>
  <c r="EH112" i="14"/>
  <c r="DD112" i="14" s="1"/>
  <c r="EN112" i="14"/>
  <c r="DJ112" i="14" s="1"/>
  <c r="EL112" i="14"/>
  <c r="DH112" i="14" s="1"/>
  <c r="EE112" i="14"/>
  <c r="DA112" i="14" s="1"/>
  <c r="EB6" i="14"/>
  <c r="CX6" i="14" s="1"/>
  <c r="IT6" i="14"/>
  <c r="JJ6" i="14"/>
  <c r="EJ12" i="14"/>
  <c r="DF12" i="14" s="1"/>
  <c r="JO12" i="14"/>
  <c r="ET13" i="14"/>
  <c r="DP13" i="14" s="1"/>
  <c r="JM15" i="14"/>
  <c r="JI17" i="14"/>
  <c r="JC18" i="14"/>
  <c r="JD20" i="14"/>
  <c r="IU22" i="14"/>
  <c r="JM25" i="14"/>
  <c r="EH28" i="14"/>
  <c r="DD28" i="14" s="1"/>
  <c r="IW30" i="14"/>
  <c r="EQ34" i="14"/>
  <c r="DM34" i="14" s="1"/>
  <c r="ET34" i="14"/>
  <c r="DP34" i="14" s="1"/>
  <c r="ES34" i="14"/>
  <c r="DO34" i="14" s="1"/>
  <c r="EO34" i="14"/>
  <c r="DK34" i="14" s="1"/>
  <c r="EL34" i="14"/>
  <c r="DH34" i="14" s="1"/>
  <c r="JH65" i="14"/>
  <c r="JR65" i="14"/>
  <c r="JQ65" i="14"/>
  <c r="JF65" i="14"/>
  <c r="JE65" i="14"/>
  <c r="IS65" i="14"/>
  <c r="JE70" i="14"/>
  <c r="IU74" i="14"/>
  <c r="BL84" i="14" a="1"/>
  <c r="BL84" i="14" s="1"/>
  <c r="CP84" i="14" s="1"/>
  <c r="AB80" i="43" s="1"/>
  <c r="IM85" i="14"/>
  <c r="IH85" i="14"/>
  <c r="IJ85" i="14"/>
  <c r="EB93" i="14"/>
  <c r="CX93" i="14" s="1"/>
  <c r="EA93" i="14"/>
  <c r="CW93" i="14" s="1"/>
  <c r="EJ93" i="14"/>
  <c r="DF93" i="14" s="1"/>
  <c r="EH93" i="14"/>
  <c r="DD93" i="14" s="1"/>
  <c r="EC93" i="14"/>
  <c r="CY93" i="14" s="1"/>
  <c r="EL117" i="14"/>
  <c r="DH117" i="14" s="1"/>
  <c r="EC6" i="14"/>
  <c r="CY6" i="14" s="1"/>
  <c r="IU6" i="14"/>
  <c r="JM6" i="14"/>
  <c r="EK12" i="14"/>
  <c r="DG12" i="14" s="1"/>
  <c r="JP12" i="14"/>
  <c r="IY13" i="14"/>
  <c r="EG14" i="14"/>
  <c r="DC14" i="14" s="1"/>
  <c r="JO15" i="14"/>
  <c r="JD18" i="14"/>
  <c r="JH20" i="14"/>
  <c r="JN21" i="14"/>
  <c r="JT21" i="14"/>
  <c r="IZ21" i="14"/>
  <c r="JR21" i="14"/>
  <c r="IY21" i="14"/>
  <c r="JQ21" i="14"/>
  <c r="IV21" i="14"/>
  <c r="JP21" i="14"/>
  <c r="IT21" i="14"/>
  <c r="JM21" i="14"/>
  <c r="JP25" i="14"/>
  <c r="EI28" i="14"/>
  <c r="DE28" i="14" s="1"/>
  <c r="EU38" i="14"/>
  <c r="DQ38" i="14" s="1"/>
  <c r="FB38" i="14"/>
  <c r="DX38" i="14" s="1"/>
  <c r="EL38" i="14"/>
  <c r="DH38" i="14" s="1"/>
  <c r="EY38" i="14"/>
  <c r="DU38" i="14" s="1"/>
  <c r="EH38" i="14"/>
  <c r="DD38" i="14" s="1"/>
  <c r="EX38" i="14"/>
  <c r="DT38" i="14" s="1"/>
  <c r="EF38" i="14"/>
  <c r="DB38" i="14" s="1"/>
  <c r="EW38" i="14"/>
  <c r="DS38" i="14" s="1"/>
  <c r="ED38" i="14"/>
  <c r="CZ38" i="14" s="1"/>
  <c r="EV38" i="14"/>
  <c r="DR38" i="14" s="1"/>
  <c r="EC38" i="14"/>
  <c r="CY38" i="14" s="1"/>
  <c r="ER38" i="14"/>
  <c r="DN38" i="14" s="1"/>
  <c r="EA38" i="14"/>
  <c r="CW38" i="14" s="1"/>
  <c r="EQ38" i="14"/>
  <c r="DM38" i="14" s="1"/>
  <c r="FA38" i="14"/>
  <c r="DW38" i="14" s="1"/>
  <c r="EJ40" i="14"/>
  <c r="DF40" i="14" s="1"/>
  <c r="EI40" i="14"/>
  <c r="DE40" i="14" s="1"/>
  <c r="EB40" i="14"/>
  <c r="CX40" i="14" s="1"/>
  <c r="EA40" i="14"/>
  <c r="CW40" i="14" s="1"/>
  <c r="ET45" i="14"/>
  <c r="DP45" i="14" s="1"/>
  <c r="ER45" i="14"/>
  <c r="DN45" i="14" s="1"/>
  <c r="EA45" i="14"/>
  <c r="CW45" i="14" s="1"/>
  <c r="ED50" i="14"/>
  <c r="CZ50" i="14" s="1"/>
  <c r="EX52" i="14"/>
  <c r="DT52" i="14" s="1"/>
  <c r="EJ52" i="14"/>
  <c r="DF52" i="14" s="1"/>
  <c r="JG74" i="14"/>
  <c r="EJ84" i="14"/>
  <c r="DF84" i="14" s="1"/>
  <c r="ED6" i="14"/>
  <c r="CZ6" i="14" s="1"/>
  <c r="IV6" i="14"/>
  <c r="JO6" i="14"/>
  <c r="IQ7" i="14"/>
  <c r="EB11" i="14"/>
  <c r="CX11" i="14" s="1"/>
  <c r="IR12" i="14"/>
  <c r="JC13" i="14"/>
  <c r="JH18" i="14"/>
  <c r="IS19" i="14"/>
  <c r="JL20" i="14"/>
  <c r="JO21" i="14"/>
  <c r="JT25" i="14"/>
  <c r="EJ28" i="14"/>
  <c r="DF28" i="14" s="1"/>
  <c r="JT30" i="14"/>
  <c r="FC38" i="14"/>
  <c r="DY38" i="14" s="1"/>
  <c r="EI54" i="14"/>
  <c r="DE54" i="14" s="1"/>
  <c r="ED54" i="14"/>
  <c r="CZ54" i="14" s="1"/>
  <c r="EB54" i="14"/>
  <c r="CX54" i="14" s="1"/>
  <c r="EA54" i="14"/>
  <c r="CW54" i="14" s="1"/>
  <c r="EJ58" i="14"/>
  <c r="DF58" i="14" s="1"/>
  <c r="EH58" i="14"/>
  <c r="DD58" i="14" s="1"/>
  <c r="EB58" i="14"/>
  <c r="CX58" i="14" s="1"/>
  <c r="EA58" i="14"/>
  <c r="CW58" i="14" s="1"/>
  <c r="JP74" i="14"/>
  <c r="JL80" i="14"/>
  <c r="EQ109" i="14"/>
  <c r="DM109" i="14" s="1"/>
  <c r="EH109" i="14"/>
  <c r="DD109" i="14" s="1"/>
  <c r="EG109" i="14"/>
  <c r="DC109" i="14" s="1"/>
  <c r="EU128" i="14"/>
  <c r="DQ128" i="14" s="1"/>
  <c r="ER128" i="14"/>
  <c r="DN128" i="14" s="1"/>
  <c r="EJ128" i="14"/>
  <c r="DF128" i="14" s="1"/>
  <c r="EY128" i="14"/>
  <c r="DU128" i="14" s="1"/>
  <c r="FB128" i="14"/>
  <c r="DX128" i="14" s="1"/>
  <c r="EX128" i="14"/>
  <c r="DT128" i="14" s="1"/>
  <c r="ET128" i="14"/>
  <c r="DP128" i="14" s="1"/>
  <c r="EM128" i="14"/>
  <c r="DI128" i="14" s="1"/>
  <c r="EK128" i="14"/>
  <c r="DG128" i="14" s="1"/>
  <c r="EF128" i="14"/>
  <c r="DB128" i="14" s="1"/>
  <c r="ED128" i="14"/>
  <c r="CZ128" i="14" s="1"/>
  <c r="EE6" i="14"/>
  <c r="DA6" i="14" s="1"/>
  <c r="JJ13" i="14"/>
  <c r="ET16" i="14"/>
  <c r="DP16" i="14" s="1"/>
  <c r="EC16" i="14"/>
  <c r="CY16" i="14" s="1"/>
  <c r="EP18" i="14"/>
  <c r="DL18" i="14" s="1"/>
  <c r="ES18" i="14"/>
  <c r="DO18" i="14" s="1"/>
  <c r="ER18" i="14"/>
  <c r="DN18" i="14" s="1"/>
  <c r="EI18" i="14"/>
  <c r="DE18" i="14" s="1"/>
  <c r="JJ18" i="14"/>
  <c r="EJ42" i="14"/>
  <c r="DF42" i="14" s="1"/>
  <c r="EI42" i="14"/>
  <c r="DE42" i="14" s="1"/>
  <c r="ED42" i="14"/>
  <c r="CZ42" i="14" s="1"/>
  <c r="EB42" i="14"/>
  <c r="CX42" i="14" s="1"/>
  <c r="EA42" i="14"/>
  <c r="CW42" i="14" s="1"/>
  <c r="JC70" i="14"/>
  <c r="JQ70" i="14"/>
  <c r="IS70" i="14"/>
  <c r="JP70" i="14"/>
  <c r="IR70" i="14"/>
  <c r="JO70" i="14"/>
  <c r="IQ70" i="14"/>
  <c r="JJ70" i="14"/>
  <c r="JI70" i="14"/>
  <c r="JH70" i="14"/>
  <c r="JS74" i="14"/>
  <c r="JP80" i="14"/>
  <c r="IV99" i="14"/>
  <c r="HC106" i="14"/>
  <c r="HB106" i="14"/>
  <c r="EO111" i="14"/>
  <c r="DK111" i="14" s="1"/>
  <c r="EK111" i="14"/>
  <c r="DG111" i="14" s="1"/>
  <c r="EM111" i="14"/>
  <c r="DI111" i="14" s="1"/>
  <c r="JR17" i="14"/>
  <c r="JQ17" i="14"/>
  <c r="IV17" i="14"/>
  <c r="JP17" i="14"/>
  <c r="IS17" i="14"/>
  <c r="JL17" i="14"/>
  <c r="IR17" i="14"/>
  <c r="JK17" i="14"/>
  <c r="IQ17" i="14"/>
  <c r="EH22" i="14"/>
  <c r="DD22" i="14" s="1"/>
  <c r="EI22" i="14"/>
  <c r="DE22" i="14" s="1"/>
  <c r="EE22" i="14"/>
  <c r="DA22" i="14" s="1"/>
  <c r="ED22" i="14"/>
  <c r="CZ22" i="14" s="1"/>
  <c r="EB22" i="14"/>
  <c r="CX22" i="14" s="1"/>
  <c r="EF26" i="14"/>
  <c r="DB26" i="14" s="1"/>
  <c r="EI26" i="14"/>
  <c r="DE26" i="14" s="1"/>
  <c r="EH26" i="14"/>
  <c r="DD26" i="14" s="1"/>
  <c r="ES28" i="14"/>
  <c r="DO28" i="14" s="1"/>
  <c r="FB28" i="14"/>
  <c r="DX28" i="14" s="1"/>
  <c r="EF28" i="14"/>
  <c r="DB28" i="14" s="1"/>
  <c r="EV28" i="14"/>
  <c r="DR28" i="14" s="1"/>
  <c r="EU28" i="14"/>
  <c r="DQ28" i="14" s="1"/>
  <c r="ET28" i="14"/>
  <c r="DP28" i="14" s="1"/>
  <c r="ER28" i="14"/>
  <c r="DN28" i="14" s="1"/>
  <c r="EP28" i="14"/>
  <c r="DL28" i="14" s="1"/>
  <c r="EE66" i="14"/>
  <c r="DA66" i="14" s="1"/>
  <c r="EG66" i="14"/>
  <c r="DC66" i="14" s="1"/>
  <c r="EF66" i="14"/>
  <c r="DB66" i="14" s="1"/>
  <c r="ED66" i="14"/>
  <c r="CZ66" i="14" s="1"/>
  <c r="EC66" i="14"/>
  <c r="CY66" i="14" s="1"/>
  <c r="AO84" i="14" a="1"/>
  <c r="AO84" i="14" s="1"/>
  <c r="BS84" i="14" s="1"/>
  <c r="E80" i="43" s="1"/>
  <c r="EY84" i="14"/>
  <c r="DU84" i="14" s="1"/>
  <c r="BK84" i="14" a="1"/>
  <c r="BK84" i="14" s="1"/>
  <c r="CO84" i="14" s="1"/>
  <c r="AA80" i="43" s="1"/>
  <c r="AW84" i="14" a="1"/>
  <c r="AW84" i="14" s="1"/>
  <c r="CA84" i="14" s="1"/>
  <c r="M80" i="43" s="1"/>
  <c r="EZ84" i="14"/>
  <c r="DV84" i="14" s="1"/>
  <c r="JT99" i="14"/>
  <c r="JD99" i="14"/>
  <c r="IU99" i="14"/>
  <c r="EZ6" i="14"/>
  <c r="DV6" i="14" s="1"/>
  <c r="IY17" i="14"/>
  <c r="FA28" i="14"/>
  <c r="DW28" i="14" s="1"/>
  <c r="JN89" i="14"/>
  <c r="EQ63" i="14"/>
  <c r="DM63" i="14" s="1"/>
  <c r="EU157" i="14"/>
  <c r="DQ157" i="14" s="1"/>
  <c r="EB157" i="14"/>
  <c r="CX157" i="14" s="1"/>
  <c r="EP157" i="14"/>
  <c r="DL157" i="14" s="1"/>
  <c r="ED157" i="14"/>
  <c r="CZ157" i="14" s="1"/>
  <c r="ER63" i="14"/>
  <c r="DN63" i="14" s="1"/>
  <c r="IQ71" i="14"/>
  <c r="FD108" i="14"/>
  <c r="DZ108" i="14" s="1"/>
  <c r="ET108" i="14"/>
  <c r="DP108" i="14" s="1"/>
  <c r="ES108" i="14"/>
  <c r="DO108" i="14" s="1"/>
  <c r="EU133" i="14"/>
  <c r="DQ133" i="14" s="1"/>
  <c r="EI133" i="14"/>
  <c r="DE133" i="14" s="1"/>
  <c r="EH133" i="14"/>
  <c r="DD133" i="14" s="1"/>
  <c r="ET133" i="14"/>
  <c r="DP133" i="14" s="1"/>
  <c r="JO23" i="14"/>
  <c r="ES31" i="14"/>
  <c r="DO31" i="14" s="1"/>
  <c r="JF33" i="14"/>
  <c r="JG37" i="14"/>
  <c r="EB51" i="14"/>
  <c r="CX51" i="14" s="1"/>
  <c r="JE52" i="14"/>
  <c r="EH55" i="14"/>
  <c r="DD55" i="14" s="1"/>
  <c r="FA55" i="14"/>
  <c r="DW55" i="14" s="1"/>
  <c r="EL59" i="14"/>
  <c r="DH59" i="14" s="1"/>
  <c r="ET63" i="14"/>
  <c r="DP63" i="14" s="1"/>
  <c r="JH63" i="14"/>
  <c r="EH67" i="14"/>
  <c r="DD67" i="14" s="1"/>
  <c r="IX71" i="14"/>
  <c r="FC97" i="14"/>
  <c r="DY97" i="14" s="1"/>
  <c r="BD97" i="14" a="1"/>
  <c r="BD97" i="14" s="1"/>
  <c r="CH97" i="14" s="1"/>
  <c r="T93" i="43" s="1"/>
  <c r="AX97" i="14" a="1"/>
  <c r="AX97" i="14" s="1"/>
  <c r="CB97" i="14" s="1"/>
  <c r="N93" i="43" s="1"/>
  <c r="FD97" i="14"/>
  <c r="DZ97" i="14" s="1"/>
  <c r="EH97" i="14"/>
  <c r="DD97" i="14" s="1"/>
  <c r="EV133" i="14"/>
  <c r="DR133" i="14" s="1"/>
  <c r="ES169" i="14"/>
  <c r="DO169" i="14" s="1"/>
  <c r="EL169" i="14"/>
  <c r="DH169" i="14" s="1"/>
  <c r="IQ23" i="14"/>
  <c r="JP23" i="14"/>
  <c r="JE28" i="14"/>
  <c r="JG29" i="14"/>
  <c r="ET31" i="14"/>
  <c r="DP31" i="14" s="1"/>
  <c r="JH33" i="14"/>
  <c r="JH37" i="14"/>
  <c r="JG41" i="14"/>
  <c r="EO51" i="14"/>
  <c r="DK51" i="14" s="1"/>
  <c r="JF52" i="14"/>
  <c r="ET59" i="14"/>
  <c r="DP59" i="14" s="1"/>
  <c r="EU63" i="14"/>
  <c r="DQ63" i="14" s="1"/>
  <c r="JJ63" i="14"/>
  <c r="JB71" i="14"/>
  <c r="AQ81" i="14" a="1"/>
  <c r="AQ81" i="14" s="1"/>
  <c r="BA81" i="14" s="1" a="1"/>
  <c r="BA81" i="14" s="1"/>
  <c r="EW81" i="14" s="1"/>
  <c r="DS81" i="14" s="1"/>
  <c r="EW91" i="14"/>
  <c r="EY91" i="14"/>
  <c r="DU91" i="14" s="1"/>
  <c r="EX91" i="14"/>
  <c r="DT91" i="14" s="1"/>
  <c r="EN91" i="14"/>
  <c r="DJ91" i="14" s="1"/>
  <c r="EZ91" i="14"/>
  <c r="DV91" i="14" s="1"/>
  <c r="ER97" i="14"/>
  <c r="DN97" i="14" s="1"/>
  <c r="EX113" i="14"/>
  <c r="DT113" i="14" s="1"/>
  <c r="EN113" i="14"/>
  <c r="DJ113" i="14" s="1"/>
  <c r="EM113" i="14"/>
  <c r="DI113" i="14" s="1"/>
  <c r="EZ123" i="14"/>
  <c r="DV123" i="14" s="1"/>
  <c r="EK123" i="14"/>
  <c r="DG123" i="14" s="1"/>
  <c r="FD123" i="14"/>
  <c r="DZ123" i="14" s="1"/>
  <c r="ED123" i="14"/>
  <c r="CZ123" i="14" s="1"/>
  <c r="EU123" i="14"/>
  <c r="DQ123" i="14" s="1"/>
  <c r="EP123" i="14"/>
  <c r="DL123" i="14" s="1"/>
  <c r="EO123" i="14"/>
  <c r="DK123" i="14" s="1"/>
  <c r="EE123" i="14"/>
  <c r="DA123" i="14" s="1"/>
  <c r="EC123" i="14"/>
  <c r="CY123" i="14" s="1"/>
  <c r="EA123" i="14"/>
  <c r="CW123" i="14" s="1"/>
  <c r="EN124" i="14"/>
  <c r="DJ124" i="14" s="1"/>
  <c r="HL174" i="14"/>
  <c r="IZ16" i="14"/>
  <c r="IR23" i="14"/>
  <c r="JR23" i="14"/>
  <c r="JI28" i="14"/>
  <c r="IQ29" i="14"/>
  <c r="JH29" i="14"/>
  <c r="EX31" i="14"/>
  <c r="DT31" i="14" s="1"/>
  <c r="JI33" i="14"/>
  <c r="JQ37" i="14"/>
  <c r="JN41" i="14"/>
  <c r="EP51" i="14"/>
  <c r="DL51" i="14" s="1"/>
  <c r="JM52" i="14"/>
  <c r="EJ55" i="14"/>
  <c r="DF55" i="14" s="1"/>
  <c r="EU59" i="14"/>
  <c r="DQ59" i="14" s="1"/>
  <c r="IW60" i="14"/>
  <c r="EV63" i="14"/>
  <c r="DR63" i="14" s="1"/>
  <c r="JR63" i="14"/>
  <c r="JC71" i="14"/>
  <c r="HZ83" i="14"/>
  <c r="HR85" i="14"/>
  <c r="JN90" i="14"/>
  <c r="JJ90" i="14"/>
  <c r="IS90" i="14"/>
  <c r="JI90" i="14"/>
  <c r="IR90" i="14"/>
  <c r="JS90" i="14"/>
  <c r="JD90" i="14"/>
  <c r="JC90" i="14"/>
  <c r="FD91" i="14"/>
  <c r="DZ91" i="14" s="1"/>
  <c r="EV99" i="14"/>
  <c r="DR99" i="14" s="1"/>
  <c r="EM99" i="14"/>
  <c r="DI99" i="14" s="1"/>
  <c r="FD99" i="14"/>
  <c r="DZ99" i="14" s="1"/>
  <c r="EL99" i="14"/>
  <c r="DH99" i="14" s="1"/>
  <c r="FA99" i="14"/>
  <c r="DW99" i="14" s="1"/>
  <c r="EC99" i="14"/>
  <c r="CY99" i="14" s="1"/>
  <c r="EI99" i="14"/>
  <c r="EU107" i="14"/>
  <c r="DQ107" i="14" s="1"/>
  <c r="EW114" i="14"/>
  <c r="DS114" i="14" s="1"/>
  <c r="FD114" i="14"/>
  <c r="DZ114" i="14" s="1"/>
  <c r="EZ114" i="14"/>
  <c r="DV114" i="14" s="1"/>
  <c r="EO114" i="14"/>
  <c r="DK114" i="14" s="1"/>
  <c r="EN114" i="14"/>
  <c r="DJ114" i="14" s="1"/>
  <c r="EJ114" i="14"/>
  <c r="DF114" i="14" s="1"/>
  <c r="ED116" i="14"/>
  <c r="CZ116" i="14" s="1"/>
  <c r="EQ154" i="14"/>
  <c r="DM154" i="14" s="1"/>
  <c r="ER154" i="14"/>
  <c r="DN154" i="14" s="1"/>
  <c r="EH154" i="14"/>
  <c r="DD154" i="14" s="1"/>
  <c r="EF154" i="14"/>
  <c r="DB154" i="14" s="1"/>
  <c r="EE154" i="14"/>
  <c r="DA154" i="14" s="1"/>
  <c r="EQ161" i="14"/>
  <c r="DM161" i="14" s="1"/>
  <c r="ET168" i="14"/>
  <c r="DP168" i="14" s="1"/>
  <c r="ED168" i="14"/>
  <c r="CZ168" i="14" s="1"/>
  <c r="FB168" i="14"/>
  <c r="DX168" i="14" s="1"/>
  <c r="EK168" i="14"/>
  <c r="DG168" i="14" s="1"/>
  <c r="FC168" i="14"/>
  <c r="DY168" i="14" s="1"/>
  <c r="FA168" i="14"/>
  <c r="DW168" i="14" s="1"/>
  <c r="EL168" i="14"/>
  <c r="DH168" i="14" s="1"/>
  <c r="GR168" i="14"/>
  <c r="EX176" i="14"/>
  <c r="DT176" i="14" s="1"/>
  <c r="EF176" i="14"/>
  <c r="DB176" i="14" s="1"/>
  <c r="FC176" i="14"/>
  <c r="DY176" i="14" s="1"/>
  <c r="EC176" i="14"/>
  <c r="CY176" i="14" s="1"/>
  <c r="EQ176" i="14"/>
  <c r="DM176" i="14" s="1"/>
  <c r="EW176" i="14"/>
  <c r="DS176" i="14" s="1"/>
  <c r="EU176" i="14"/>
  <c r="DQ176" i="14" s="1"/>
  <c r="ET176" i="14"/>
  <c r="DP176" i="14" s="1"/>
  <c r="ER176" i="14"/>
  <c r="DN176" i="14" s="1"/>
  <c r="EP176" i="14"/>
  <c r="DL176" i="14" s="1"/>
  <c r="EO176" i="14"/>
  <c r="DK176" i="14" s="1"/>
  <c r="EE176" i="14"/>
  <c r="DA176" i="14" s="1"/>
  <c r="JA16" i="14"/>
  <c r="IS23" i="14"/>
  <c r="JJ28" i="14"/>
  <c r="IR29" i="14"/>
  <c r="JI29" i="14"/>
  <c r="FA31" i="14"/>
  <c r="DW31" i="14" s="1"/>
  <c r="JT33" i="14"/>
  <c r="ES51" i="14"/>
  <c r="DO51" i="14" s="1"/>
  <c r="JO52" i="14"/>
  <c r="EL55" i="14"/>
  <c r="DH55" i="14" s="1"/>
  <c r="EV59" i="14"/>
  <c r="DR59" i="14" s="1"/>
  <c r="FA63" i="14"/>
  <c r="DW63" i="14" s="1"/>
  <c r="JD71" i="14"/>
  <c r="HC82" i="14"/>
  <c r="IE85" i="14"/>
  <c r="GT107" i="14"/>
  <c r="HF107" i="14"/>
  <c r="EA113" i="14"/>
  <c r="CW113" i="14" s="1"/>
  <c r="EL114" i="14"/>
  <c r="DH114" i="14" s="1"/>
  <c r="EY145" i="14"/>
  <c r="DU145" i="14" s="1"/>
  <c r="EK145" i="14"/>
  <c r="DG145" i="14" s="1"/>
  <c r="FC145" i="14"/>
  <c r="DY145" i="14" s="1"/>
  <c r="EQ145" i="14"/>
  <c r="DM145" i="14" s="1"/>
  <c r="FA145" i="14"/>
  <c r="DW145" i="14" s="1"/>
  <c r="EZ145" i="14"/>
  <c r="DV145" i="14" s="1"/>
  <c r="EX145" i="14"/>
  <c r="DT145" i="14" s="1"/>
  <c r="EO145" i="14"/>
  <c r="DK145" i="14" s="1"/>
  <c r="EN145" i="14"/>
  <c r="DJ145" i="14" s="1"/>
  <c r="EL145" i="14"/>
  <c r="DH145" i="14" s="1"/>
  <c r="EX168" i="14"/>
  <c r="DT168" i="14" s="1"/>
  <c r="EI176" i="14"/>
  <c r="DE176" i="14" s="1"/>
  <c r="EH141" i="14"/>
  <c r="DD141" i="14" s="1"/>
  <c r="EF141" i="14"/>
  <c r="DB141" i="14" s="1"/>
  <c r="ES141" i="14"/>
  <c r="DO141" i="14" s="1"/>
  <c r="EI141" i="14"/>
  <c r="DE141" i="14" s="1"/>
  <c r="EG141" i="14"/>
  <c r="DC141" i="14" s="1"/>
  <c r="EU116" i="14"/>
  <c r="DQ116" i="14" s="1"/>
  <c r="EJ116" i="14"/>
  <c r="DF116" i="14" s="1"/>
  <c r="EF116" i="14"/>
  <c r="DB116" i="14" s="1"/>
  <c r="FD116" i="14"/>
  <c r="DZ116" i="14" s="1"/>
  <c r="EY116" i="14"/>
  <c r="DU116" i="14" s="1"/>
  <c r="EM116" i="14"/>
  <c r="DI116" i="14" s="1"/>
  <c r="EP124" i="14"/>
  <c r="DL124" i="14" s="1"/>
  <c r="EO124" i="14"/>
  <c r="DK124" i="14" s="1"/>
  <c r="EW147" i="14"/>
  <c r="DS147" i="14" s="1"/>
  <c r="EA147" i="14"/>
  <c r="CW147" i="14" s="1"/>
  <c r="FA147" i="14"/>
  <c r="DW147" i="14" s="1"/>
  <c r="EZ147" i="14"/>
  <c r="DV147" i="14" s="1"/>
  <c r="EY147" i="14"/>
  <c r="DU147" i="14" s="1"/>
  <c r="EC147" i="14"/>
  <c r="CY147" i="14" s="1"/>
  <c r="EG153" i="14"/>
  <c r="DC153" i="14" s="1"/>
  <c r="FC161" i="14"/>
  <c r="DY161" i="14" s="1"/>
  <c r="FD161" i="14"/>
  <c r="DZ161" i="14" s="1"/>
  <c r="ER161" i="14"/>
  <c r="DN161" i="14" s="1"/>
  <c r="FB161" i="14"/>
  <c r="DX161" i="14" s="1"/>
  <c r="EV161" i="14"/>
  <c r="DR161" i="14" s="1"/>
  <c r="JJ71" i="14"/>
  <c r="EE74" i="14"/>
  <c r="DA74" i="14" s="1"/>
  <c r="ED87" i="14"/>
  <c r="CZ87" i="14" s="1"/>
  <c r="EE87" i="14"/>
  <c r="DA87" i="14" s="1"/>
  <c r="GX88" i="14"/>
  <c r="EP116" i="14"/>
  <c r="DL116" i="14" s="1"/>
  <c r="FD121" i="14"/>
  <c r="DZ121" i="14" s="1"/>
  <c r="EQ121" i="14"/>
  <c r="DM121" i="14" s="1"/>
  <c r="EM130" i="14"/>
  <c r="DI130" i="14" s="1"/>
  <c r="EY130" i="14"/>
  <c r="DU130" i="14" s="1"/>
  <c r="EK130" i="14"/>
  <c r="DG130" i="14" s="1"/>
  <c r="EY131" i="14"/>
  <c r="EH131" i="14"/>
  <c r="DD131" i="14" s="1"/>
  <c r="EB106" i="14"/>
  <c r="CX106" i="14" s="1"/>
  <c r="FD106" i="14"/>
  <c r="DZ106" i="14" s="1"/>
  <c r="EW126" i="14"/>
  <c r="DS126" i="14" s="1"/>
  <c r="EL126" i="14"/>
  <c r="DH126" i="14" s="1"/>
  <c r="FA126" i="14"/>
  <c r="DW126" i="14" s="1"/>
  <c r="EF126" i="14"/>
  <c r="DB126" i="14" s="1"/>
  <c r="ET126" i="14"/>
  <c r="DP126" i="14" s="1"/>
  <c r="EM126" i="14"/>
  <c r="DI126" i="14" s="1"/>
  <c r="EV149" i="14"/>
  <c r="DR149" i="14" s="1"/>
  <c r="ED149" i="14"/>
  <c r="CZ149" i="14" s="1"/>
  <c r="EX163" i="14"/>
  <c r="DT163" i="14" s="1"/>
  <c r="FB163" i="14"/>
  <c r="DX163" i="14" s="1"/>
  <c r="EH163" i="14"/>
  <c r="DD163" i="14" s="1"/>
  <c r="EY163" i="14"/>
  <c r="DU163" i="14" s="1"/>
  <c r="ED163" i="14"/>
  <c r="CZ163" i="14" s="1"/>
  <c r="EO163" i="14"/>
  <c r="DK163" i="14" s="1"/>
  <c r="EI163" i="14"/>
  <c r="DE163" i="14" s="1"/>
  <c r="GL165" i="14"/>
  <c r="HJ165" i="14"/>
  <c r="IB78" i="14"/>
  <c r="IN78" i="14"/>
  <c r="EA79" i="14"/>
  <c r="CW79" i="14" s="1"/>
  <c r="GI85" i="14"/>
  <c r="BL89" i="14" a="1"/>
  <c r="BL89" i="14" s="1"/>
  <c r="CP89" i="14" s="1"/>
  <c r="AB85" i="43" s="1"/>
  <c r="EZ90" i="14"/>
  <c r="DV90" i="14" s="1"/>
  <c r="JK94" i="14"/>
  <c r="BO97" i="14" a="1"/>
  <c r="BO97" i="14" s="1"/>
  <c r="AX100" i="14" a="1"/>
  <c r="AX100" i="14" s="1"/>
  <c r="CB100" i="14" s="1"/>
  <c r="N96" i="43" s="1"/>
  <c r="EH100" i="14"/>
  <c r="DD100" i="14" s="1"/>
  <c r="EY100" i="14"/>
  <c r="DU100" i="14" s="1"/>
  <c r="ED106" i="14"/>
  <c r="CZ106" i="14" s="1"/>
  <c r="EN126" i="14"/>
  <c r="DJ126" i="14" s="1"/>
  <c r="GP134" i="14"/>
  <c r="HB134" i="14"/>
  <c r="EA146" i="14"/>
  <c r="CW146" i="14" s="1"/>
  <c r="FC160" i="14"/>
  <c r="DY160" i="14" s="1"/>
  <c r="ET160" i="14"/>
  <c r="DP160" i="14" s="1"/>
  <c r="EI160" i="14"/>
  <c r="DE160" i="14" s="1"/>
  <c r="EQ160" i="14"/>
  <c r="EU167" i="14"/>
  <c r="DQ167" i="14" s="1"/>
  <c r="EW167" i="14"/>
  <c r="DS167" i="14" s="1"/>
  <c r="EB167" i="14"/>
  <c r="CX167" i="14" s="1"/>
  <c r="ER167" i="14"/>
  <c r="DN167" i="14" s="1"/>
  <c r="EJ167" i="14"/>
  <c r="DF167" i="14" s="1"/>
  <c r="EE167" i="14"/>
  <c r="DA167" i="14" s="1"/>
  <c r="GS175" i="14"/>
  <c r="HE175" i="14"/>
  <c r="FA129" i="14"/>
  <c r="DW129" i="14" s="1"/>
  <c r="ET129" i="14"/>
  <c r="DP129" i="14" s="1"/>
  <c r="EQ129" i="14"/>
  <c r="DM129" i="14" s="1"/>
  <c r="ED129" i="14"/>
  <c r="CZ129" i="14" s="1"/>
  <c r="EZ144" i="14"/>
  <c r="DV144" i="14" s="1"/>
  <c r="EV144" i="14"/>
  <c r="DR144" i="14" s="1"/>
  <c r="EO144" i="14"/>
  <c r="DK144" i="14" s="1"/>
  <c r="GK174" i="14"/>
  <c r="HF78" i="14"/>
  <c r="GL85" i="14"/>
  <c r="IJ87" i="14"/>
  <c r="EI89" i="14"/>
  <c r="DE89" i="14" s="1"/>
  <c r="BG100" i="14" a="1"/>
  <c r="BG100" i="14" s="1"/>
  <c r="CK100" i="14" s="1"/>
  <c r="W96" i="43" s="1"/>
  <c r="EL100" i="14"/>
  <c r="DH100" i="14" s="1"/>
  <c r="FC100" i="14"/>
  <c r="DY100" i="14" s="1"/>
  <c r="IS101" i="14"/>
  <c r="EI106" i="14"/>
  <c r="DE106" i="14" s="1"/>
  <c r="EX126" i="14"/>
  <c r="DT126" i="14" s="1"/>
  <c r="EE129" i="14"/>
  <c r="DA129" i="14" s="1"/>
  <c r="FB132" i="14"/>
  <c r="DX132" i="14" s="1"/>
  <c r="EK132" i="14"/>
  <c r="DG132" i="14" s="1"/>
  <c r="EC144" i="14"/>
  <c r="CY144" i="14" s="1"/>
  <c r="HG147" i="14"/>
  <c r="HF164" i="14"/>
  <c r="GX164" i="14"/>
  <c r="EV166" i="14"/>
  <c r="DR166" i="14" s="1"/>
  <c r="EQ166" i="14"/>
  <c r="DM166" i="14" s="1"/>
  <c r="EO166" i="14"/>
  <c r="DK166" i="14" s="1"/>
  <c r="EG170" i="14"/>
  <c r="DC170" i="14" s="1"/>
  <c r="EI170" i="14"/>
  <c r="DE170" i="14" s="1"/>
  <c r="AW81" i="14" a="1"/>
  <c r="AW81" i="14" s="1"/>
  <c r="ES81" i="14" s="1"/>
  <c r="DO81" i="14" s="1"/>
  <c r="BN100" i="14" a="1"/>
  <c r="BN100" i="14" s="1"/>
  <c r="CR100" i="14" s="1"/>
  <c r="AD96" i="43" s="1"/>
  <c r="EN100" i="14"/>
  <c r="DJ100" i="14" s="1"/>
  <c r="JD101" i="14"/>
  <c r="BE104" i="14" a="1"/>
  <c r="BE104" i="14" s="1"/>
  <c r="CI104" i="14" s="1"/>
  <c r="U100" i="43" s="1"/>
  <c r="EP106" i="14"/>
  <c r="DL106" i="14" s="1"/>
  <c r="EA115" i="14"/>
  <c r="CW115" i="14" s="1"/>
  <c r="EY118" i="14"/>
  <c r="DU118" i="14" s="1"/>
  <c r="EV118" i="14"/>
  <c r="DR118" i="14" s="1"/>
  <c r="EQ118" i="14"/>
  <c r="ED118" i="14"/>
  <c r="CZ118" i="14" s="1"/>
  <c r="EG119" i="14"/>
  <c r="DC119" i="14" s="1"/>
  <c r="EY126" i="14"/>
  <c r="DU126" i="14" s="1"/>
  <c r="EF129" i="14"/>
  <c r="DB129" i="14" s="1"/>
  <c r="FA134" i="14"/>
  <c r="DW134" i="14" s="1"/>
  <c r="EU137" i="14"/>
  <c r="DQ137" i="14" s="1"/>
  <c r="FD137" i="14"/>
  <c r="DZ137" i="14" s="1"/>
  <c r="EM137" i="14"/>
  <c r="DI137" i="14" s="1"/>
  <c r="EL137" i="14"/>
  <c r="DH137" i="14" s="1"/>
  <c r="ET138" i="14"/>
  <c r="DP138" i="14" s="1"/>
  <c r="FA138" i="14"/>
  <c r="DW138" i="14" s="1"/>
  <c r="EI138" i="14"/>
  <c r="DE138" i="14" s="1"/>
  <c r="EW138" i="14"/>
  <c r="DS138" i="14" s="1"/>
  <c r="EC138" i="14"/>
  <c r="CY138" i="14" s="1"/>
  <c r="EM138" i="14"/>
  <c r="DI138" i="14" s="1"/>
  <c r="EX138" i="14"/>
  <c r="DT138" i="14" s="1"/>
  <c r="EI144" i="14"/>
  <c r="DE144" i="14" s="1"/>
  <c r="GJ147" i="14"/>
  <c r="EB149" i="14"/>
  <c r="CX149" i="14" s="1"/>
  <c r="ET150" i="14"/>
  <c r="DP150" i="14" s="1"/>
  <c r="FB150" i="14"/>
  <c r="DX150" i="14" s="1"/>
  <c r="EX150" i="14"/>
  <c r="DT150" i="14" s="1"/>
  <c r="EJ150" i="14"/>
  <c r="DF150" i="14" s="1"/>
  <c r="GZ154" i="14"/>
  <c r="ES156" i="14"/>
  <c r="DO156" i="14" s="1"/>
  <c r="EL156" i="14"/>
  <c r="DH156" i="14" s="1"/>
  <c r="FB156" i="14"/>
  <c r="DX156" i="14" s="1"/>
  <c r="EI156" i="14"/>
  <c r="DE156" i="14" s="1"/>
  <c r="EV156" i="14"/>
  <c r="DR156" i="14" s="1"/>
  <c r="EJ156" i="14"/>
  <c r="DF156" i="14" s="1"/>
  <c r="EU163" i="14"/>
  <c r="DQ163" i="14" s="1"/>
  <c r="ER166" i="14"/>
  <c r="DN166" i="14" s="1"/>
  <c r="HF166" i="14"/>
  <c r="EP167" i="14"/>
  <c r="DL167" i="14" s="1"/>
  <c r="EV170" i="14"/>
  <c r="DR170" i="14" s="1"/>
  <c r="HK124" i="14"/>
  <c r="EC125" i="14"/>
  <c r="CY125" i="14" s="1"/>
  <c r="EQ151" i="14"/>
  <c r="DM151" i="14" s="1"/>
  <c r="GZ162" i="14"/>
  <c r="EQ174" i="14"/>
  <c r="DM174" i="14" s="1"/>
  <c r="EF175" i="14"/>
  <c r="DB175" i="14" s="1"/>
  <c r="EY125" i="14"/>
  <c r="DU125" i="14" s="1"/>
  <c r="FD151" i="14"/>
  <c r="DZ151" i="14" s="1"/>
  <c r="FB164" i="14"/>
  <c r="DX164" i="14" s="1"/>
  <c r="GK165" i="14"/>
  <c r="GW165" i="14"/>
  <c r="EP175" i="14"/>
  <c r="DL175" i="14" s="1"/>
  <c r="FB125" i="14"/>
  <c r="DX125" i="14" s="1"/>
  <c r="GJ134" i="14"/>
  <c r="EE151" i="14"/>
  <c r="DA151" i="14" s="1"/>
  <c r="GN165" i="14"/>
  <c r="GZ165" i="14"/>
  <c r="HL165" i="14"/>
  <c r="DA174" i="14"/>
  <c r="FC17" i="14"/>
  <c r="DY17" i="14" s="1"/>
  <c r="IY30" i="14"/>
  <c r="EU13" i="14"/>
  <c r="DQ13" i="14" s="1"/>
  <c r="JP15" i="14"/>
  <c r="ER19" i="14"/>
  <c r="DN19" i="14" s="1"/>
  <c r="IT57" i="14"/>
  <c r="IS57" i="14"/>
  <c r="JP57" i="14"/>
  <c r="IR57" i="14"/>
  <c r="JM57" i="14"/>
  <c r="IQ57" i="14"/>
  <c r="JK57" i="14"/>
  <c r="JI59" i="14"/>
  <c r="JJ59" i="14"/>
  <c r="JO59" i="14"/>
  <c r="JK59" i="14"/>
  <c r="JC59" i="14"/>
  <c r="IY59" i="14"/>
  <c r="IQ59" i="14"/>
  <c r="EN6" i="14"/>
  <c r="DJ6" i="14" s="1"/>
  <c r="JE7" i="14"/>
  <c r="EJ9" i="14"/>
  <c r="DF9" i="14" s="1"/>
  <c r="ET12" i="14"/>
  <c r="DP12" i="14" s="1"/>
  <c r="JA12" i="14"/>
  <c r="EV13" i="14"/>
  <c r="DR13" i="14" s="1"/>
  <c r="JO13" i="14"/>
  <c r="IX14" i="14"/>
  <c r="IQ15" i="14"/>
  <c r="JD15" i="14"/>
  <c r="JQ15" i="14"/>
  <c r="ED16" i="14"/>
  <c r="CZ16" i="14" s="1"/>
  <c r="JL16" i="14"/>
  <c r="IU17" i="14"/>
  <c r="JJ17" i="14"/>
  <c r="EZ18" i="14"/>
  <c r="DV18" i="14" s="1"/>
  <c r="JK18" i="14"/>
  <c r="ET19" i="14"/>
  <c r="DP19" i="14" s="1"/>
  <c r="JA19" i="14"/>
  <c r="JE20" i="14"/>
  <c r="EI21" i="14"/>
  <c r="DE21" i="14" s="1"/>
  <c r="JD21" i="14"/>
  <c r="JS21" i="14"/>
  <c r="EC22" i="14"/>
  <c r="CY22" i="14" s="1"/>
  <c r="JE22" i="14"/>
  <c r="IX23" i="14"/>
  <c r="JQ23" i="14"/>
  <c r="IR24" i="14"/>
  <c r="JA25" i="14"/>
  <c r="ED30" i="14"/>
  <c r="CZ30" i="14" s="1"/>
  <c r="JF30" i="14"/>
  <c r="IU35" i="14"/>
  <c r="IV36" i="14"/>
  <c r="FA37" i="14"/>
  <c r="DW37" i="14" s="1"/>
  <c r="EE41" i="14"/>
  <c r="DA41" i="14" s="1"/>
  <c r="JM42" i="14"/>
  <c r="JK42" i="14"/>
  <c r="JF42" i="14"/>
  <c r="IY42" i="14"/>
  <c r="EV52" i="14"/>
  <c r="DR52" i="14" s="1"/>
  <c r="IZ56" i="14"/>
  <c r="IX59" i="14"/>
  <c r="EG64" i="14"/>
  <c r="DC64" i="14" s="1"/>
  <c r="EB64" i="14"/>
  <c r="CX64" i="14" s="1"/>
  <c r="EA64" i="14"/>
  <c r="CW64" i="14" s="1"/>
  <c r="EH74" i="14"/>
  <c r="DD74" i="14" s="1"/>
  <c r="EI43" i="14"/>
  <c r="DE43" i="14" s="1"/>
  <c r="EH43" i="14"/>
  <c r="DD43" i="14" s="1"/>
  <c r="EF43" i="14"/>
  <c r="DB43" i="14" s="1"/>
  <c r="EC43" i="14"/>
  <c r="CY43" i="14" s="1"/>
  <c r="EH8" i="14"/>
  <c r="DD8" i="14" s="1"/>
  <c r="JN34" i="14"/>
  <c r="ES53" i="14"/>
  <c r="DO53" i="14" s="1"/>
  <c r="ET53" i="14"/>
  <c r="DP53" i="14" s="1"/>
  <c r="EB53" i="14"/>
  <c r="CX53" i="14" s="1"/>
  <c r="EQ53" i="14"/>
  <c r="DM53" i="14" s="1"/>
  <c r="EA53" i="14"/>
  <c r="CW53" i="14" s="1"/>
  <c r="EO53" i="14"/>
  <c r="DK53" i="14" s="1"/>
  <c r="EN53" i="14"/>
  <c r="DJ53" i="14" s="1"/>
  <c r="FA53" i="14"/>
  <c r="DW53" i="14" s="1"/>
  <c r="EL53" i="14"/>
  <c r="DH53" i="14" s="1"/>
  <c r="FB32" i="14"/>
  <c r="DX32" i="14" s="1"/>
  <c r="EF48" i="14"/>
  <c r="DB48" i="14" s="1"/>
  <c r="EG48" i="14"/>
  <c r="DC48" i="14" s="1"/>
  <c r="EO19" i="14"/>
  <c r="DK19" i="14" s="1"/>
  <c r="EE21" i="14"/>
  <c r="DA21" i="14" s="1"/>
  <c r="ET52" i="14"/>
  <c r="DP52" i="14" s="1"/>
  <c r="EN12" i="14"/>
  <c r="DJ12" i="14" s="1"/>
  <c r="JC15" i="14"/>
  <c r="JH16" i="14"/>
  <c r="EU18" i="14"/>
  <c r="DQ18" i="14" s="1"/>
  <c r="EF21" i="14"/>
  <c r="DB21" i="14" s="1"/>
  <c r="JD22" i="14"/>
  <c r="EU52" i="14"/>
  <c r="DQ52" i="14" s="1"/>
  <c r="EW53" i="14"/>
  <c r="DS53" i="14" s="1"/>
  <c r="EO6" i="14"/>
  <c r="DK6" i="14" s="1"/>
  <c r="EU12" i="14"/>
  <c r="DQ12" i="14" s="1"/>
  <c r="EY13" i="14"/>
  <c r="DU13" i="14" s="1"/>
  <c r="IY14" i="14"/>
  <c r="IR15" i="14"/>
  <c r="JE15" i="14"/>
  <c r="JR15" i="14"/>
  <c r="ES16" i="14"/>
  <c r="DO16" i="14" s="1"/>
  <c r="JM16" i="14"/>
  <c r="EI17" i="14"/>
  <c r="DE17" i="14" s="1"/>
  <c r="EW19" i="14"/>
  <c r="DS19" i="14" s="1"/>
  <c r="JH19" i="14"/>
  <c r="EC20" i="14"/>
  <c r="CY20" i="14" s="1"/>
  <c r="EJ21" i="14"/>
  <c r="DF21" i="14" s="1"/>
  <c r="JK22" i="14"/>
  <c r="IS24" i="14"/>
  <c r="IZ27" i="14"/>
  <c r="EG30" i="14"/>
  <c r="DC30" i="14" s="1"/>
  <c r="JI30" i="14"/>
  <c r="JA35" i="14"/>
  <c r="JE36" i="14"/>
  <c r="IQ40" i="14"/>
  <c r="EH41" i="14"/>
  <c r="DD41" i="14" s="1"/>
  <c r="EA43" i="14"/>
  <c r="CW43" i="14" s="1"/>
  <c r="EW52" i="14"/>
  <c r="DS52" i="14" s="1"/>
  <c r="EY53" i="14"/>
  <c r="DU53" i="14" s="1"/>
  <c r="JA56" i="14"/>
  <c r="JG66" i="14"/>
  <c r="EI73" i="14"/>
  <c r="EI74" i="14"/>
  <c r="DE74" i="14" s="1"/>
  <c r="JQ24" i="14"/>
  <c r="EI8" i="14"/>
  <c r="DE8" i="14" s="1"/>
  <c r="EM19" i="14"/>
  <c r="DI19" i="14" s="1"/>
  <c r="JF16" i="14"/>
  <c r="JT34" i="14"/>
  <c r="EX37" i="14"/>
  <c r="DT37" i="14" s="1"/>
  <c r="FD32" i="14"/>
  <c r="DZ32" i="14" s="1"/>
  <c r="EE36" i="14"/>
  <c r="DA36" i="14" s="1"/>
  <c r="ED36" i="14"/>
  <c r="CZ36" i="14" s="1"/>
  <c r="EC36" i="14"/>
  <c r="CY36" i="14" s="1"/>
  <c r="EA36" i="14"/>
  <c r="CW36" i="14" s="1"/>
  <c r="EZ37" i="14"/>
  <c r="DV37" i="14" s="1"/>
  <c r="EP6" i="14"/>
  <c r="DL6" i="14" s="1"/>
  <c r="EA8" i="14"/>
  <c r="CW8" i="14" s="1"/>
  <c r="EV12" i="14"/>
  <c r="DR12" i="14" s="1"/>
  <c r="IQ13" i="14"/>
  <c r="JI14" i="14"/>
  <c r="IS15" i="14"/>
  <c r="JF15" i="14"/>
  <c r="JS15" i="14"/>
  <c r="JP16" i="14"/>
  <c r="EJ17" i="14"/>
  <c r="DF17" i="14" s="1"/>
  <c r="IU18" i="14"/>
  <c r="JO18" i="14"/>
  <c r="EC19" i="14"/>
  <c r="CY19" i="14" s="1"/>
  <c r="EX19" i="14"/>
  <c r="DT19" i="14" s="1"/>
  <c r="JI19" i="14"/>
  <c r="ED20" i="14"/>
  <c r="CZ20" i="14" s="1"/>
  <c r="DF22" i="14"/>
  <c r="JN22" i="14"/>
  <c r="EA23" i="14"/>
  <c r="CW23" i="14" s="1"/>
  <c r="DC24" i="14"/>
  <c r="IZ24" i="14"/>
  <c r="JB27" i="14"/>
  <c r="JS28" i="14"/>
  <c r="JQ28" i="14"/>
  <c r="IX28" i="14"/>
  <c r="JK28" i="14"/>
  <c r="IT28" i="14"/>
  <c r="JF28" i="14"/>
  <c r="EY30" i="14"/>
  <c r="DU30" i="14" s="1"/>
  <c r="JJ30" i="14"/>
  <c r="JJ31" i="14"/>
  <c r="JT31" i="14"/>
  <c r="JN32" i="14"/>
  <c r="JI32" i="14"/>
  <c r="JE32" i="14"/>
  <c r="JB32" i="14"/>
  <c r="IU32" i="14"/>
  <c r="JD35" i="14"/>
  <c r="JF36" i="14"/>
  <c r="IR40" i="14"/>
  <c r="EJ41" i="14"/>
  <c r="DF41" i="14" s="1"/>
  <c r="EJ43" i="14"/>
  <c r="DF43" i="14" s="1"/>
  <c r="ES45" i="14"/>
  <c r="DO45" i="14" s="1"/>
  <c r="EJ45" i="14"/>
  <c r="DF45" i="14" s="1"/>
  <c r="EI45" i="14"/>
  <c r="DE45" i="14" s="1"/>
  <c r="EH45" i="14"/>
  <c r="DD45" i="14" s="1"/>
  <c r="FD45" i="14"/>
  <c r="DZ45" i="14" s="1"/>
  <c r="EF45" i="14"/>
  <c r="DB45" i="14" s="1"/>
  <c r="EV45" i="14"/>
  <c r="DR45" i="14" s="1"/>
  <c r="EC53" i="14"/>
  <c r="CY53" i="14" s="1"/>
  <c r="EZ53" i="14"/>
  <c r="DV53" i="14" s="1"/>
  <c r="IY57" i="14"/>
  <c r="JH66" i="14"/>
  <c r="FD69" i="14"/>
  <c r="DZ69" i="14" s="1"/>
  <c r="EF69" i="14"/>
  <c r="DB69" i="14" s="1"/>
  <c r="EH69" i="14"/>
  <c r="DD69" i="14" s="1"/>
  <c r="EE69" i="14"/>
  <c r="DA69" i="14" s="1"/>
  <c r="ED69" i="14"/>
  <c r="CZ69" i="14" s="1"/>
  <c r="EJ74" i="14"/>
  <c r="DF74" i="14" s="1"/>
  <c r="EG77" i="14"/>
  <c r="DC77" i="14" s="1"/>
  <c r="EH77" i="14"/>
  <c r="DD77" i="14" s="1"/>
  <c r="IL80" i="14"/>
  <c r="JI84" i="14"/>
  <c r="IY84" i="14"/>
  <c r="IX84" i="14"/>
  <c r="JO84" i="14"/>
  <c r="JN84" i="14"/>
  <c r="IW84" i="14"/>
  <c r="IU84" i="14"/>
  <c r="EI23" i="14"/>
  <c r="DE23" i="14" s="1"/>
  <c r="EM53" i="14"/>
  <c r="DI53" i="14" s="1"/>
  <c r="ED75" i="14"/>
  <c r="CZ75" i="14" s="1"/>
  <c r="EB75" i="14"/>
  <c r="CX75" i="14" s="1"/>
  <c r="EA75" i="14"/>
  <c r="CW75" i="14" s="1"/>
  <c r="IZ22" i="14"/>
  <c r="JS34" i="14"/>
  <c r="ES52" i="14"/>
  <c r="DO52" i="14" s="1"/>
  <c r="ER52" i="14"/>
  <c r="DN52" i="14" s="1"/>
  <c r="EC52" i="14"/>
  <c r="CY52" i="14" s="1"/>
  <c r="EP52" i="14"/>
  <c r="DL52" i="14" s="1"/>
  <c r="EB52" i="14"/>
  <c r="CX52" i="14" s="1"/>
  <c r="FD52" i="14"/>
  <c r="DZ52" i="14" s="1"/>
  <c r="EO52" i="14"/>
  <c r="DK52" i="14" s="1"/>
  <c r="EA52" i="14"/>
  <c r="CW52" i="14" s="1"/>
  <c r="FB52" i="14"/>
  <c r="DX52" i="14" s="1"/>
  <c r="EN52" i="14"/>
  <c r="DJ52" i="14" s="1"/>
  <c r="EZ52" i="14"/>
  <c r="DV52" i="14" s="1"/>
  <c r="EL52" i="14"/>
  <c r="DH52" i="14" s="1"/>
  <c r="EM52" i="14"/>
  <c r="DI52" i="14" s="1"/>
  <c r="JN55" i="14"/>
  <c r="JA55" i="14"/>
  <c r="IZ55" i="14"/>
  <c r="IX55" i="14"/>
  <c r="JJ56" i="14"/>
  <c r="IR56" i="14"/>
  <c r="JP56" i="14"/>
  <c r="JM56" i="14"/>
  <c r="JK56" i="14"/>
  <c r="AV83" i="14" a="1"/>
  <c r="AV83" i="14" s="1"/>
  <c r="BF83" i="14" s="1" a="1"/>
  <c r="BF83" i="14" s="1"/>
  <c r="CJ83" i="14" s="1"/>
  <c r="V79" i="43" s="1"/>
  <c r="AS83" i="14" a="1"/>
  <c r="AS83" i="14" s="1"/>
  <c r="EO83" i="14" s="1"/>
  <c r="DK83" i="14" s="1"/>
  <c r="EG83" i="14"/>
  <c r="DC83" i="14" s="1"/>
  <c r="AW83" i="14" a="1"/>
  <c r="AW83" i="14" s="1"/>
  <c r="CA83" i="14" s="1"/>
  <c r="M79" i="43" s="1"/>
  <c r="AQ83" i="14" a="1"/>
  <c r="AQ83" i="14" s="1"/>
  <c r="BU83" i="14" s="1"/>
  <c r="G79" i="43" s="1"/>
  <c r="AP83" i="14" a="1"/>
  <c r="AP83" i="14" s="1"/>
  <c r="BT83" i="14" s="1"/>
  <c r="F79" i="43" s="1"/>
  <c r="AO83" i="14" a="1"/>
  <c r="AO83" i="14" s="1"/>
  <c r="BS83" i="14" s="1"/>
  <c r="E79" i="43" s="1"/>
  <c r="ET18" i="14"/>
  <c r="DP18" i="14" s="1"/>
  <c r="EV53" i="14"/>
  <c r="DR53" i="14" s="1"/>
  <c r="IW14" i="14"/>
  <c r="IQ24" i="14"/>
  <c r="EJ29" i="14"/>
  <c r="DF29" i="14" s="1"/>
  <c r="ET29" i="14"/>
  <c r="DP29" i="14" s="1"/>
  <c r="JD30" i="14"/>
  <c r="IY56" i="14"/>
  <c r="EQ6" i="14"/>
  <c r="DM6" i="14" s="1"/>
  <c r="JO7" i="14"/>
  <c r="EB8" i="14"/>
  <c r="CX8" i="14" s="1"/>
  <c r="EW12" i="14"/>
  <c r="DS12" i="14" s="1"/>
  <c r="JI12" i="14"/>
  <c r="IW13" i="14"/>
  <c r="JJ14" i="14"/>
  <c r="IT15" i="14"/>
  <c r="JG15" i="14"/>
  <c r="JT15" i="14"/>
  <c r="IR16" i="14"/>
  <c r="JQ16" i="14"/>
  <c r="EM17" i="14"/>
  <c r="DI17" i="14" s="1"/>
  <c r="IX17" i="14"/>
  <c r="JO17" i="14"/>
  <c r="EB18" i="14"/>
  <c r="CX18" i="14" s="1"/>
  <c r="IV18" i="14"/>
  <c r="JP18" i="14"/>
  <c r="EE19" i="14"/>
  <c r="DA19" i="14" s="1"/>
  <c r="EY19" i="14"/>
  <c r="DU19" i="14" s="1"/>
  <c r="JJ19" i="14"/>
  <c r="EE20" i="14"/>
  <c r="DA20" i="14" s="1"/>
  <c r="JN20" i="14"/>
  <c r="IR21" i="14"/>
  <c r="JG21" i="14"/>
  <c r="JQ22" i="14"/>
  <c r="EB23" i="14"/>
  <c r="CX23" i="14" s="1"/>
  <c r="JC23" i="14"/>
  <c r="JB24" i="14"/>
  <c r="JH25" i="14"/>
  <c r="JF27" i="14"/>
  <c r="JH28" i="14"/>
  <c r="JK30" i="14"/>
  <c r="IS31" i="14"/>
  <c r="EB32" i="14"/>
  <c r="CX32" i="14" s="1"/>
  <c r="IW32" i="14"/>
  <c r="FD34" i="14"/>
  <c r="DZ34" i="14" s="1"/>
  <c r="EG34" i="14"/>
  <c r="DC34" i="14" s="1"/>
  <c r="EF34" i="14"/>
  <c r="DB34" i="14" s="1"/>
  <c r="FA34" i="14"/>
  <c r="DW34" i="14" s="1"/>
  <c r="EE34" i="14"/>
  <c r="DA34" i="14" s="1"/>
  <c r="EX34" i="14"/>
  <c r="DT34" i="14" s="1"/>
  <c r="EC34" i="14"/>
  <c r="CY34" i="14" s="1"/>
  <c r="EU34" i="14"/>
  <c r="DQ34" i="14" s="1"/>
  <c r="JF35" i="14"/>
  <c r="JI37" i="14"/>
  <c r="IU37" i="14"/>
  <c r="IS37" i="14"/>
  <c r="JT37" i="14"/>
  <c r="JS37" i="14"/>
  <c r="IY37" i="14"/>
  <c r="EH40" i="14"/>
  <c r="DD40" i="14" s="1"/>
  <c r="EF40" i="14"/>
  <c r="DB40" i="14" s="1"/>
  <c r="ED40" i="14"/>
  <c r="CZ40" i="14" s="1"/>
  <c r="EC40" i="14"/>
  <c r="CY40" i="14" s="1"/>
  <c r="EW45" i="14"/>
  <c r="DS45" i="14" s="1"/>
  <c r="EC48" i="14"/>
  <c r="CY48" i="14" s="1"/>
  <c r="EN51" i="14"/>
  <c r="DJ51" i="14" s="1"/>
  <c r="EG51" i="14"/>
  <c r="DC51" i="14" s="1"/>
  <c r="ED51" i="14"/>
  <c r="CZ51" i="14" s="1"/>
  <c r="EC51" i="14"/>
  <c r="CY51" i="14" s="1"/>
  <c r="FA51" i="14"/>
  <c r="DW51" i="14" s="1"/>
  <c r="ED52" i="14"/>
  <c r="CZ52" i="14" s="1"/>
  <c r="EY52" i="14"/>
  <c r="DU52" i="14" s="1"/>
  <c r="EE53" i="14"/>
  <c r="DA53" i="14" s="1"/>
  <c r="FC53" i="14"/>
  <c r="DY53" i="14" s="1"/>
  <c r="JI56" i="14"/>
  <c r="JC57" i="14"/>
  <c r="ED65" i="14"/>
  <c r="CZ65" i="14" s="1"/>
  <c r="EH75" i="14"/>
  <c r="DD75" i="14" s="1"/>
  <c r="EH80" i="14"/>
  <c r="DD80" i="14" s="1"/>
  <c r="BJ80" i="14" a="1"/>
  <c r="BJ80" i="14" s="1"/>
  <c r="CN80" i="14" s="1"/>
  <c r="Z76" i="43" s="1"/>
  <c r="BE80" i="14" a="1"/>
  <c r="BE80" i="14" s="1"/>
  <c r="CI80" i="14" s="1"/>
  <c r="U76" i="43" s="1"/>
  <c r="AR80" i="14" a="1"/>
  <c r="AR80" i="14" s="1"/>
  <c r="BV80" i="14" s="1"/>
  <c r="H76" i="43" s="1"/>
  <c r="EV92" i="14"/>
  <c r="DR92" i="14" s="1"/>
  <c r="FC92" i="14"/>
  <c r="DY92" i="14" s="1"/>
  <c r="BR92" i="14" a="1"/>
  <c r="BR92" i="14" s="1"/>
  <c r="CV92" i="14" s="1"/>
  <c r="AH88" i="43" s="1"/>
  <c r="EW92" i="14"/>
  <c r="DS92" i="14" s="1"/>
  <c r="EU92" i="14"/>
  <c r="DQ92" i="14" s="1"/>
  <c r="EQ92" i="14"/>
  <c r="DM92" i="14" s="1"/>
  <c r="EL92" i="14"/>
  <c r="DH92" i="14" s="1"/>
  <c r="EK92" i="14"/>
  <c r="DG92" i="14" s="1"/>
  <c r="EI92" i="14"/>
  <c r="DE92" i="14" s="1"/>
  <c r="EE92" i="14"/>
  <c r="DA92" i="14" s="1"/>
  <c r="EA92" i="14"/>
  <c r="CW92" i="14" s="1"/>
  <c r="EY92" i="14"/>
  <c r="DU92" i="14" s="1"/>
  <c r="EX92" i="14"/>
  <c r="DT92" i="14" s="1"/>
  <c r="EM92" i="14"/>
  <c r="DI92" i="14" s="1"/>
  <c r="JQ66" i="14"/>
  <c r="JJ66" i="14"/>
  <c r="JF66" i="14"/>
  <c r="IW66" i="14"/>
  <c r="IU66" i="14"/>
  <c r="IT66" i="14"/>
  <c r="IS66" i="14"/>
  <c r="EC7" i="14"/>
  <c r="CY7" i="14" s="1"/>
  <c r="EC8" i="14"/>
  <c r="CY8" i="14" s="1"/>
  <c r="EA12" i="14"/>
  <c r="CW12" i="14" s="1"/>
  <c r="EY12" i="14"/>
  <c r="DU12" i="14" s="1"/>
  <c r="IX13" i="14"/>
  <c r="JK14" i="14"/>
  <c r="IU15" i="14"/>
  <c r="JH15" i="14"/>
  <c r="IW16" i="14"/>
  <c r="JR16" i="14"/>
  <c r="EN17" i="14"/>
  <c r="DJ17" i="14" s="1"/>
  <c r="ED18" i="14"/>
  <c r="CZ18" i="14" s="1"/>
  <c r="EF19" i="14"/>
  <c r="DB19" i="14" s="1"/>
  <c r="FA19" i="14"/>
  <c r="DW19" i="14" s="1"/>
  <c r="JR22" i="14"/>
  <c r="EC23" i="14"/>
  <c r="CY23" i="14" s="1"/>
  <c r="JE24" i="14"/>
  <c r="EA25" i="14"/>
  <c r="CW25" i="14" s="1"/>
  <c r="EA26" i="14"/>
  <c r="CW26" i="14" s="1"/>
  <c r="JI27" i="14"/>
  <c r="IQ30" i="14"/>
  <c r="JO30" i="14"/>
  <c r="JP36" i="14"/>
  <c r="JT36" i="14"/>
  <c r="JC36" i="14"/>
  <c r="JS36" i="14"/>
  <c r="IZ36" i="14"/>
  <c r="JR36" i="14"/>
  <c r="IX36" i="14"/>
  <c r="JQ36" i="14"/>
  <c r="IW36" i="14"/>
  <c r="JH36" i="14"/>
  <c r="EB37" i="14"/>
  <c r="CX37" i="14" s="1"/>
  <c r="EF52" i="14"/>
  <c r="DB52" i="14" s="1"/>
  <c r="FA52" i="14"/>
  <c r="DW52" i="14" s="1"/>
  <c r="EH53" i="14"/>
  <c r="DD53" i="14" s="1"/>
  <c r="EK56" i="14"/>
  <c r="DG56" i="14" s="1"/>
  <c r="EJ56" i="14"/>
  <c r="DF56" i="14" s="1"/>
  <c r="EI56" i="14"/>
  <c r="DE56" i="14" s="1"/>
  <c r="JL56" i="14"/>
  <c r="JD57" i="14"/>
  <c r="EF65" i="14"/>
  <c r="DB65" i="14" s="1"/>
  <c r="JT66" i="14"/>
  <c r="ES74" i="14"/>
  <c r="DO74" i="14" s="1"/>
  <c r="EY74" i="14"/>
  <c r="DU74" i="14" s="1"/>
  <c r="EK74" i="14"/>
  <c r="DG74" i="14" s="1"/>
  <c r="ET74" i="14"/>
  <c r="DP74" i="14" s="1"/>
  <c r="EC74" i="14"/>
  <c r="CY74" i="14" s="1"/>
  <c r="EQ74" i="14"/>
  <c r="DM74" i="14" s="1"/>
  <c r="EB74" i="14"/>
  <c r="CX74" i="14" s="1"/>
  <c r="EP74" i="14"/>
  <c r="DL74" i="14" s="1"/>
  <c r="EA74" i="14"/>
  <c r="CW74" i="14" s="1"/>
  <c r="EO74" i="14"/>
  <c r="DK74" i="14" s="1"/>
  <c r="FC74" i="14"/>
  <c r="DY74" i="14" s="1"/>
  <c r="EN74" i="14"/>
  <c r="DJ74" i="14" s="1"/>
  <c r="FB74" i="14"/>
  <c r="DX74" i="14" s="1"/>
  <c r="EM74" i="14"/>
  <c r="DI74" i="14" s="1"/>
  <c r="FA74" i="14"/>
  <c r="DW74" i="14" s="1"/>
  <c r="EL74" i="14"/>
  <c r="DH74" i="14" s="1"/>
  <c r="EV74" i="14"/>
  <c r="DR74" i="14" s="1"/>
  <c r="EI75" i="14"/>
  <c r="DE75" i="14" s="1"/>
  <c r="EG82" i="14"/>
  <c r="DC82" i="14" s="1"/>
  <c r="EF82" i="14"/>
  <c r="DB82" i="14" s="1"/>
  <c r="AW82" i="14" a="1"/>
  <c r="AW82" i="14" s="1"/>
  <c r="ES82" i="14" s="1"/>
  <c r="DO82" i="14" s="1"/>
  <c r="EA83" i="14"/>
  <c r="CW83" i="14" s="1"/>
  <c r="EA73" i="14"/>
  <c r="CW73" i="14" s="1"/>
  <c r="EH73" i="14"/>
  <c r="DD73" i="14" s="1"/>
  <c r="EF73" i="14"/>
  <c r="DB73" i="14" s="1"/>
  <c r="EE73" i="14"/>
  <c r="DA73" i="14" s="1"/>
  <c r="ED73" i="14"/>
  <c r="CZ73" i="14" s="1"/>
  <c r="EC73" i="14"/>
  <c r="CY73" i="14" s="1"/>
  <c r="EB73" i="14"/>
  <c r="CX73" i="14" s="1"/>
  <c r="FD17" i="14"/>
  <c r="DZ17" i="14" s="1"/>
  <c r="EK32" i="14"/>
  <c r="DG32" i="14" s="1"/>
  <c r="EZ32" i="14"/>
  <c r="DV32" i="14" s="1"/>
  <c r="EG32" i="14"/>
  <c r="DC32" i="14" s="1"/>
  <c r="EU53" i="14"/>
  <c r="DQ53" i="14" s="1"/>
  <c r="FC32" i="14"/>
  <c r="DY32" i="14" s="1"/>
  <c r="ED8" i="14"/>
  <c r="CZ8" i="14" s="1"/>
  <c r="EB12" i="14"/>
  <c r="CX12" i="14" s="1"/>
  <c r="EZ12" i="14"/>
  <c r="DV12" i="14" s="1"/>
  <c r="EA13" i="14"/>
  <c r="CW13" i="14" s="1"/>
  <c r="IV15" i="14"/>
  <c r="JI15" i="14"/>
  <c r="IX16" i="14"/>
  <c r="JT16" i="14"/>
  <c r="EZ17" i="14"/>
  <c r="DV17" i="14" s="1"/>
  <c r="EE18" i="14"/>
  <c r="DA18" i="14" s="1"/>
  <c r="EG19" i="14"/>
  <c r="DC19" i="14" s="1"/>
  <c r="FB19" i="14"/>
  <c r="DX19" i="14" s="1"/>
  <c r="JS22" i="14"/>
  <c r="ED23" i="14"/>
  <c r="CZ23" i="14" s="1"/>
  <c r="JL24" i="14"/>
  <c r="EB25" i="14"/>
  <c r="CX25" i="14" s="1"/>
  <c r="EE26" i="14"/>
  <c r="DA26" i="14" s="1"/>
  <c r="JK27" i="14"/>
  <c r="EQ29" i="14"/>
  <c r="DM29" i="14" s="1"/>
  <c r="EI30" i="14"/>
  <c r="DE30" i="14" s="1"/>
  <c r="FB30" i="14"/>
  <c r="DX30" i="14" s="1"/>
  <c r="EF30" i="14"/>
  <c r="DB30" i="14" s="1"/>
  <c r="IR30" i="14"/>
  <c r="EE32" i="14"/>
  <c r="DA32" i="14" s="1"/>
  <c r="JQ35" i="14"/>
  <c r="JS35" i="14"/>
  <c r="IY35" i="14"/>
  <c r="JR35" i="14"/>
  <c r="IX35" i="14"/>
  <c r="JP35" i="14"/>
  <c r="IW35" i="14"/>
  <c r="JM35" i="14"/>
  <c r="IV35" i="14"/>
  <c r="JH35" i="14"/>
  <c r="EP36" i="14"/>
  <c r="DL36" i="14" s="1"/>
  <c r="EH52" i="14"/>
  <c r="DD52" i="14" s="1"/>
  <c r="EI53" i="14"/>
  <c r="DE53" i="14" s="1"/>
  <c r="JE57" i="14"/>
  <c r="EJ75" i="14"/>
  <c r="DF75" i="14" s="1"/>
  <c r="EH83" i="14"/>
  <c r="DD83" i="14" s="1"/>
  <c r="EL19" i="14"/>
  <c r="DH19" i="14" s="1"/>
  <c r="IY22" i="14"/>
  <c r="IZ34" i="14"/>
  <c r="IY34" i="14"/>
  <c r="JE51" i="14"/>
  <c r="JP51" i="14"/>
  <c r="JN51" i="14"/>
  <c r="JD51" i="14"/>
  <c r="IS51" i="14"/>
  <c r="DH65" i="14"/>
  <c r="IR39" i="14"/>
  <c r="JO39" i="14"/>
  <c r="JN39" i="14"/>
  <c r="JI39" i="14"/>
  <c r="EW65" i="14"/>
  <c r="DS65" i="14" s="1"/>
  <c r="EO65" i="14"/>
  <c r="DK65" i="14" s="1"/>
  <c r="FB65" i="14"/>
  <c r="DX65" i="14" s="1"/>
  <c r="EC65" i="14"/>
  <c r="CY65" i="14" s="1"/>
  <c r="FA65" i="14"/>
  <c r="DW65" i="14" s="1"/>
  <c r="EB65" i="14"/>
  <c r="CX65" i="14" s="1"/>
  <c r="EZ65" i="14"/>
  <c r="DV65" i="14" s="1"/>
  <c r="EA65" i="14"/>
  <c r="CW65" i="14" s="1"/>
  <c r="EY65" i="14"/>
  <c r="DU65" i="14" s="1"/>
  <c r="EX65" i="14"/>
  <c r="DT65" i="14" s="1"/>
  <c r="ER65" i="14"/>
  <c r="DN65" i="14" s="1"/>
  <c r="EP65" i="14"/>
  <c r="DL65" i="14" s="1"/>
  <c r="BJ96" i="14" a="1"/>
  <c r="BJ96" i="14" s="1"/>
  <c r="CN96" i="14" s="1"/>
  <c r="Z92" i="43" s="1"/>
  <c r="AR96" i="14" a="1"/>
  <c r="AR96" i="14" s="1"/>
  <c r="BV96" i="14" s="1"/>
  <c r="H92" i="43" s="1"/>
  <c r="EJ8" i="14"/>
  <c r="DF8" i="14" s="1"/>
  <c r="EM12" i="14"/>
  <c r="DI12" i="14" s="1"/>
  <c r="JB22" i="14"/>
  <c r="JS30" i="14"/>
  <c r="JH30" i="14"/>
  <c r="JC30" i="14"/>
  <c r="EO37" i="14"/>
  <c r="DK37" i="14" s="1"/>
  <c r="EG37" i="14"/>
  <c r="DC37" i="14" s="1"/>
  <c r="EF37" i="14"/>
  <c r="DB37" i="14" s="1"/>
  <c r="FC37" i="14"/>
  <c r="DY37" i="14" s="1"/>
  <c r="EE37" i="14"/>
  <c r="DA37" i="14" s="1"/>
  <c r="FB37" i="14"/>
  <c r="DX37" i="14" s="1"/>
  <c r="ED37" i="14"/>
  <c r="CZ37" i="14" s="1"/>
  <c r="IW56" i="14"/>
  <c r="FA6" i="14"/>
  <c r="DW6" i="14" s="1"/>
  <c r="JC6" i="14"/>
  <c r="JR6" i="14"/>
  <c r="IR7" i="14"/>
  <c r="JR7" i="14"/>
  <c r="EH12" i="14"/>
  <c r="DD12" i="14" s="1"/>
  <c r="IQ12" i="14"/>
  <c r="JL12" i="14"/>
  <c r="EH13" i="14"/>
  <c r="DD13" i="14" s="1"/>
  <c r="IZ13" i="14"/>
  <c r="IW15" i="14"/>
  <c r="JJ15" i="14"/>
  <c r="IY16" i="14"/>
  <c r="FA17" i="14"/>
  <c r="DW17" i="14" s="1"/>
  <c r="JC17" i="14"/>
  <c r="JS17" i="14"/>
  <c r="EF18" i="14"/>
  <c r="DB18" i="14" s="1"/>
  <c r="IY18" i="14"/>
  <c r="EH19" i="14"/>
  <c r="DD19" i="14" s="1"/>
  <c r="FC19" i="14"/>
  <c r="DY19" i="14" s="1"/>
  <c r="IU20" i="14"/>
  <c r="IU21" i="14"/>
  <c r="JL21" i="14"/>
  <c r="IS22" i="14"/>
  <c r="JF23" i="14"/>
  <c r="JO24" i="14"/>
  <c r="JO25" i="14"/>
  <c r="JL27" i="14"/>
  <c r="JL28" i="14"/>
  <c r="ES29" i="14"/>
  <c r="DO29" i="14" s="1"/>
  <c r="IT30" i="14"/>
  <c r="JR30" i="14"/>
  <c r="JQ31" i="14"/>
  <c r="EF32" i="14"/>
  <c r="DB32" i="14" s="1"/>
  <c r="JJ32" i="14"/>
  <c r="JE34" i="14"/>
  <c r="EP35" i="14"/>
  <c r="DL35" i="14" s="1"/>
  <c r="JI35" i="14"/>
  <c r="ET36" i="14"/>
  <c r="DP36" i="14" s="1"/>
  <c r="JJ36" i="14"/>
  <c r="EL37" i="14"/>
  <c r="DH37" i="14" s="1"/>
  <c r="JK37" i="14"/>
  <c r="JQ51" i="14"/>
  <c r="EI52" i="14"/>
  <c r="DE52" i="14" s="1"/>
  <c r="EJ53" i="14"/>
  <c r="DF53" i="14" s="1"/>
  <c r="JF57" i="14"/>
  <c r="ED64" i="14"/>
  <c r="CZ64" i="14" s="1"/>
  <c r="EM65" i="14"/>
  <c r="DI65" i="14" s="1"/>
  <c r="EX74" i="14"/>
  <c r="DT74" i="14" s="1"/>
  <c r="EI83" i="14"/>
  <c r="DE83" i="14" s="1"/>
  <c r="IO92" i="14"/>
  <c r="ET105" i="14"/>
  <c r="DP105" i="14" s="1"/>
  <c r="BL105" i="14" a="1"/>
  <c r="BL105" i="14" s="1"/>
  <c r="CP105" i="14" s="1"/>
  <c r="AB101" i="43" s="1"/>
  <c r="BE105" i="14" a="1"/>
  <c r="BE105" i="14" s="1"/>
  <c r="CI105" i="14" s="1"/>
  <c r="U101" i="43" s="1"/>
  <c r="AY105" i="14" a="1"/>
  <c r="AY105" i="14" s="1"/>
  <c r="CC105" i="14" s="1"/>
  <c r="O101" i="43" s="1"/>
  <c r="EX105" i="14"/>
  <c r="DT105" i="14" s="1"/>
  <c r="AT105" i="14" a="1"/>
  <c r="AT105" i="14" s="1"/>
  <c r="BX105" i="14" s="1"/>
  <c r="J101" i="43" s="1"/>
  <c r="EW105" i="14"/>
  <c r="DS105" i="14" s="1"/>
  <c r="EV105" i="14"/>
  <c r="DR105" i="14" s="1"/>
  <c r="EU105" i="14"/>
  <c r="DQ105" i="14" s="1"/>
  <c r="EL105" i="14"/>
  <c r="DH105" i="14" s="1"/>
  <c r="EK105" i="14"/>
  <c r="DG105" i="14" s="1"/>
  <c r="EJ105" i="14"/>
  <c r="DF105" i="14" s="1"/>
  <c r="EI105" i="14"/>
  <c r="DE105" i="14" s="1"/>
  <c r="BQ105" i="14" a="1"/>
  <c r="BQ105" i="14" s="1"/>
  <c r="CU105" i="14" s="1"/>
  <c r="AG101" i="43" s="1"/>
  <c r="JT96" i="14"/>
  <c r="JK96" i="14"/>
  <c r="JJ96" i="14"/>
  <c r="JI96" i="14"/>
  <c r="JO96" i="14"/>
  <c r="JC96" i="14"/>
  <c r="IY96" i="14"/>
  <c r="EW63" i="14"/>
  <c r="DS63" i="14" s="1"/>
  <c r="EZ63" i="14"/>
  <c r="DV63" i="14" s="1"/>
  <c r="EL63" i="14"/>
  <c r="DH63" i="14" s="1"/>
  <c r="EH63" i="14"/>
  <c r="DD63" i="14" s="1"/>
  <c r="EX63" i="14"/>
  <c r="DT63" i="14" s="1"/>
  <c r="EI66" i="14"/>
  <c r="DE66" i="14" s="1"/>
  <c r="CZ67" i="14"/>
  <c r="JJ82" i="14"/>
  <c r="JS82" i="14"/>
  <c r="JR82" i="14"/>
  <c r="IR82" i="14"/>
  <c r="BO95" i="14" a="1"/>
  <c r="BO95" i="14" s="1"/>
  <c r="FB95" i="14" s="1"/>
  <c r="DX95" i="14" s="1"/>
  <c r="BE95" i="14" a="1"/>
  <c r="BE95" i="14" s="1"/>
  <c r="ER95" i="14" s="1"/>
  <c r="DN95" i="14" s="1"/>
  <c r="BD95" i="14" a="1"/>
  <c r="BD95" i="14" s="1"/>
  <c r="EQ95" i="14" s="1"/>
  <c r="DM95" i="14" s="1"/>
  <c r="BB95" i="14" a="1"/>
  <c r="BB95" i="14" s="1"/>
  <c r="EO95" i="14" s="1"/>
  <c r="DK95" i="14" s="1"/>
  <c r="BA95" i="14" a="1"/>
  <c r="BA95" i="14" s="1"/>
  <c r="CE95" i="14" s="1"/>
  <c r="Q91" i="43" s="1"/>
  <c r="AX95" i="14" a="1"/>
  <c r="AX95" i="14" s="1"/>
  <c r="EK95" i="14" s="1"/>
  <c r="DG95" i="14" s="1"/>
  <c r="AR95" i="14" a="1"/>
  <c r="AR95" i="14" s="1"/>
  <c r="EE95" i="14" s="1"/>
  <c r="DA95" i="14" s="1"/>
  <c r="BP95" i="14" a="1"/>
  <c r="BP95" i="14" s="1"/>
  <c r="FC95" i="14" s="1"/>
  <c r="DY95" i="14" s="1"/>
  <c r="AP95" i="14" a="1"/>
  <c r="AP95" i="14" s="1"/>
  <c r="EC95" i="14" s="1"/>
  <c r="CY95" i="14" s="1"/>
  <c r="DA62" i="14"/>
  <c r="EI63" i="14"/>
  <c r="DE63" i="14" s="1"/>
  <c r="EY63" i="14"/>
  <c r="DU63" i="14" s="1"/>
  <c r="EJ66" i="14"/>
  <c r="DF66" i="14" s="1"/>
  <c r="JT80" i="14"/>
  <c r="JK80" i="14"/>
  <c r="JI95" i="14"/>
  <c r="IY95" i="14"/>
  <c r="IQ95" i="14"/>
  <c r="JP95" i="14"/>
  <c r="JO95" i="14"/>
  <c r="JL95" i="14"/>
  <c r="JK95" i="14"/>
  <c r="JJ95" i="14"/>
  <c r="JD95" i="14"/>
  <c r="JC95" i="14"/>
  <c r="IR95" i="14"/>
  <c r="IR80" i="14"/>
  <c r="JC82" i="14"/>
  <c r="ET94" i="14"/>
  <c r="DP94" i="14" s="1"/>
  <c r="EP94" i="14"/>
  <c r="DL94" i="14" s="1"/>
  <c r="EA94" i="14"/>
  <c r="CW94" i="14" s="1"/>
  <c r="FB94" i="14"/>
  <c r="DX94" i="14" s="1"/>
  <c r="EM94" i="14"/>
  <c r="DI94" i="14" s="1"/>
  <c r="FA94" i="14"/>
  <c r="DW94" i="14" s="1"/>
  <c r="EL94" i="14"/>
  <c r="DH94" i="14" s="1"/>
  <c r="EZ94" i="14"/>
  <c r="DV94" i="14" s="1"/>
  <c r="EK94" i="14"/>
  <c r="DG94" i="14" s="1"/>
  <c r="EE94" i="14"/>
  <c r="DA94" i="14" s="1"/>
  <c r="FC94" i="14"/>
  <c r="DY94" i="14" s="1"/>
  <c r="ED94" i="14"/>
  <c r="CZ94" i="14" s="1"/>
  <c r="EY94" i="14"/>
  <c r="DU94" i="14" s="1"/>
  <c r="EC94" i="14"/>
  <c r="CY94" i="14" s="1"/>
  <c r="EX94" i="14"/>
  <c r="DT94" i="14" s="1"/>
  <c r="EB94" i="14"/>
  <c r="CX94" i="14" s="1"/>
  <c r="EW94" i="14"/>
  <c r="DS94" i="14" s="1"/>
  <c r="EV94" i="14"/>
  <c r="DR94" i="14" s="1"/>
  <c r="EU94" i="14"/>
  <c r="DQ94" i="14" s="1"/>
  <c r="EQ94" i="14"/>
  <c r="DM94" i="14" s="1"/>
  <c r="EO94" i="14"/>
  <c r="DK94" i="14" s="1"/>
  <c r="AO95" i="14" a="1"/>
  <c r="AO95" i="14" s="1"/>
  <c r="BS95" i="14" s="1"/>
  <c r="E91" i="43" s="1"/>
  <c r="IX95" i="14"/>
  <c r="JQ98" i="14"/>
  <c r="IU98" i="14"/>
  <c r="IV98" i="14"/>
  <c r="IT98" i="14"/>
  <c r="JR98" i="14"/>
  <c r="JN98" i="14"/>
  <c r="IZ26" i="14"/>
  <c r="EK28" i="14"/>
  <c r="DG28" i="14" s="1"/>
  <c r="IZ29" i="14"/>
  <c r="JQ29" i="14"/>
  <c r="ER31" i="14"/>
  <c r="DN31" i="14" s="1"/>
  <c r="JJ33" i="14"/>
  <c r="EB38" i="14"/>
  <c r="CX38" i="14" s="1"/>
  <c r="EP38" i="14"/>
  <c r="DL38" i="14" s="1"/>
  <c r="FD38" i="14"/>
  <c r="DZ38" i="14" s="1"/>
  <c r="EE50" i="14"/>
  <c r="DA50" i="14" s="1"/>
  <c r="JH52" i="14"/>
  <c r="EK55" i="14"/>
  <c r="DG55" i="14" s="1"/>
  <c r="FD55" i="14"/>
  <c r="DZ55" i="14" s="1"/>
  <c r="JB60" i="14"/>
  <c r="EM63" i="14"/>
  <c r="DI63" i="14" s="1"/>
  <c r="FB63" i="14"/>
  <c r="DX63" i="14" s="1"/>
  <c r="JN69" i="14"/>
  <c r="JK69" i="14"/>
  <c r="IW69" i="14"/>
  <c r="IU69" i="14"/>
  <c r="JJ69" i="14"/>
  <c r="JN74" i="14"/>
  <c r="JR74" i="14"/>
  <c r="JA74" i="14"/>
  <c r="IQ74" i="14"/>
  <c r="JK74" i="14"/>
  <c r="IW80" i="14"/>
  <c r="JD82" i="14"/>
  <c r="FC84" i="14"/>
  <c r="DY84" i="14" s="1"/>
  <c r="EX84" i="14"/>
  <c r="DT84" i="14" s="1"/>
  <c r="BE84" i="14" a="1"/>
  <c r="BE84" i="14" s="1"/>
  <c r="CI84" i="14" s="1"/>
  <c r="U80" i="43" s="1"/>
  <c r="EV84" i="14"/>
  <c r="DR84" i="14" s="1"/>
  <c r="BP84" i="14" a="1"/>
  <c r="BP84" i="14" s="1"/>
  <c r="CT84" i="14" s="1"/>
  <c r="AF80" i="43" s="1"/>
  <c r="BM84" i="14" a="1"/>
  <c r="BM84" i="14" s="1"/>
  <c r="CQ84" i="14" s="1"/>
  <c r="AC80" i="43" s="1"/>
  <c r="GT87" i="14"/>
  <c r="HX87" i="14"/>
  <c r="BG95" i="14" a="1"/>
  <c r="BG95" i="14" s="1"/>
  <c r="ET95" i="14" s="1"/>
  <c r="DP95" i="14" s="1"/>
  <c r="IZ95" i="14"/>
  <c r="JK33" i="14"/>
  <c r="EF50" i="14"/>
  <c r="DB50" i="14" s="1"/>
  <c r="JN60" i="14"/>
  <c r="EN63" i="14"/>
  <c r="DJ63" i="14" s="1"/>
  <c r="FC63" i="14"/>
  <c r="DY63" i="14" s="1"/>
  <c r="IV69" i="14"/>
  <c r="JL69" i="14"/>
  <c r="IR74" i="14"/>
  <c r="JL74" i="14"/>
  <c r="JO75" i="14"/>
  <c r="JF75" i="14"/>
  <c r="IZ75" i="14"/>
  <c r="IC78" i="14"/>
  <c r="IX80" i="14"/>
  <c r="JE82" i="14"/>
  <c r="EG84" i="14"/>
  <c r="DC84" i="14" s="1"/>
  <c r="BH95" i="14" a="1"/>
  <c r="BH95" i="14" s="1"/>
  <c r="EU95" i="14" s="1"/>
  <c r="DQ95" i="14" s="1"/>
  <c r="JL33" i="14"/>
  <c r="EH50" i="14"/>
  <c r="DD50" i="14" s="1"/>
  <c r="EM59" i="14"/>
  <c r="DI59" i="14" s="1"/>
  <c r="JO63" i="14"/>
  <c r="JE63" i="14"/>
  <c r="EO63" i="14"/>
  <c r="DK63" i="14" s="1"/>
  <c r="FD63" i="14"/>
  <c r="DZ63" i="14" s="1"/>
  <c r="JP63" i="14"/>
  <c r="IX69" i="14"/>
  <c r="JO69" i="14"/>
  <c r="JR70" i="14"/>
  <c r="JK70" i="14"/>
  <c r="IU70" i="14"/>
  <c r="IX70" i="14"/>
  <c r="JS70" i="14"/>
  <c r="IS74" i="14"/>
  <c r="JM74" i="14"/>
  <c r="JD75" i="14"/>
  <c r="IY80" i="14"/>
  <c r="JF82" i="14"/>
  <c r="EH84" i="14"/>
  <c r="DD84" i="14" s="1"/>
  <c r="BN95" i="14" a="1"/>
  <c r="BN95" i="14" s="1"/>
  <c r="FA95" i="14" s="1"/>
  <c r="DW95" i="14" s="1"/>
  <c r="IQ96" i="14"/>
  <c r="JC26" i="14"/>
  <c r="IQ33" i="14"/>
  <c r="JR33" i="14"/>
  <c r="EE38" i="14"/>
  <c r="DA38" i="14" s="1"/>
  <c r="ET38" i="14"/>
  <c r="DP38" i="14" s="1"/>
  <c r="JN44" i="14"/>
  <c r="IR52" i="14"/>
  <c r="JP52" i="14"/>
  <c r="EO55" i="14"/>
  <c r="DK55" i="14" s="1"/>
  <c r="EM57" i="14"/>
  <c r="DI57" i="14" s="1"/>
  <c r="EO59" i="14"/>
  <c r="DK59" i="14" s="1"/>
  <c r="EA63" i="14"/>
  <c r="CW63" i="14" s="1"/>
  <c r="EP63" i="14"/>
  <c r="DL63" i="14" s="1"/>
  <c r="IR63" i="14"/>
  <c r="JQ63" i="14"/>
  <c r="EB67" i="14"/>
  <c r="CX67" i="14" s="1"/>
  <c r="EA68" i="14"/>
  <c r="CW68" i="14" s="1"/>
  <c r="IY69" i="14"/>
  <c r="JP69" i="14"/>
  <c r="EI70" i="14"/>
  <c r="DE70" i="14" s="1"/>
  <c r="IY70" i="14"/>
  <c r="JT70" i="14"/>
  <c r="DF73" i="14"/>
  <c r="IT74" i="14"/>
  <c r="JO74" i="14"/>
  <c r="JE75" i="14"/>
  <c r="IZ80" i="14"/>
  <c r="HP82" i="14"/>
  <c r="JP82" i="14"/>
  <c r="EI84" i="14"/>
  <c r="DE84" i="14" s="1"/>
  <c r="IW96" i="14"/>
  <c r="EI85" i="14"/>
  <c r="DE85" i="14" s="1"/>
  <c r="HW87" i="14"/>
  <c r="EA88" i="14"/>
  <c r="CW88" i="14" s="1"/>
  <c r="EW88" i="14"/>
  <c r="DS88" i="14" s="1"/>
  <c r="AX89" i="14" a="1"/>
  <c r="AX89" i="14" s="1"/>
  <c r="CB89" i="14" s="1"/>
  <c r="N85" i="43" s="1"/>
  <c r="BP89" i="14" a="1"/>
  <c r="BP89" i="14" s="1"/>
  <c r="CT89" i="14" s="1"/>
  <c r="AF85" i="43" s="1"/>
  <c r="JP89" i="14"/>
  <c r="JB93" i="14"/>
  <c r="IT93" i="14"/>
  <c r="AZ97" i="14" a="1"/>
  <c r="AZ97" i="14" s="1"/>
  <c r="CD97" i="14" s="1"/>
  <c r="P93" i="43" s="1"/>
  <c r="IS99" i="14"/>
  <c r="EO101" i="14"/>
  <c r="DK101" i="14" s="1"/>
  <c r="EK85" i="14"/>
  <c r="DG85" i="14" s="1"/>
  <c r="IB87" i="14"/>
  <c r="EC88" i="14"/>
  <c r="CY88" i="14" s="1"/>
  <c r="EY88" i="14"/>
  <c r="DU88" i="14" s="1"/>
  <c r="EY89" i="14"/>
  <c r="EV89" i="14"/>
  <c r="DR89" i="14" s="1"/>
  <c r="ED89" i="14"/>
  <c r="CZ89" i="14" s="1"/>
  <c r="BG89" i="14" a="1"/>
  <c r="BG89" i="14" s="1"/>
  <c r="CK89" i="14" s="1"/>
  <c r="W85" i="43" s="1"/>
  <c r="AT89" i="14" a="1"/>
  <c r="AT89" i="14" s="1"/>
  <c r="BX89" i="14" s="1"/>
  <c r="J85" i="43" s="1"/>
  <c r="EU89" i="14"/>
  <c r="DQ89" i="14" s="1"/>
  <c r="EC89" i="14"/>
  <c r="CY89" i="14" s="1"/>
  <c r="BF89" i="14" a="1"/>
  <c r="BF89" i="14" s="1"/>
  <c r="CJ89" i="14" s="1"/>
  <c r="V85" i="43" s="1"/>
  <c r="AS89" i="14" a="1"/>
  <c r="AS89" i="14" s="1"/>
  <c r="BW89" i="14" s="1"/>
  <c r="I85" i="43" s="1"/>
  <c r="ET89" i="14"/>
  <c r="DP89" i="14" s="1"/>
  <c r="EB89" i="14"/>
  <c r="CX89" i="14" s="1"/>
  <c r="BE89" i="14" a="1"/>
  <c r="BE89" i="14" s="1"/>
  <c r="CI89" i="14" s="1"/>
  <c r="U85" i="43" s="1"/>
  <c r="AR89" i="14" a="1"/>
  <c r="AR89" i="14" s="1"/>
  <c r="BV89" i="14" s="1"/>
  <c r="H85" i="43" s="1"/>
  <c r="AY89" i="14" a="1"/>
  <c r="AY89" i="14" s="1"/>
  <c r="CC89" i="14" s="1"/>
  <c r="O85" i="43" s="1"/>
  <c r="BQ89" i="14" a="1"/>
  <c r="BQ89" i="14" s="1"/>
  <c r="CU89" i="14" s="1"/>
  <c r="AG85" i="43" s="1"/>
  <c r="EZ89" i="14"/>
  <c r="DV89" i="14" s="1"/>
  <c r="JQ89" i="14"/>
  <c r="BM100" i="14" a="1"/>
  <c r="BM100" i="14" s="1"/>
  <c r="CQ100" i="14" s="1"/>
  <c r="AC96" i="43" s="1"/>
  <c r="AP100" i="14" a="1"/>
  <c r="AP100" i="14" s="1"/>
  <c r="BT100" i="14" s="1"/>
  <c r="F96" i="43" s="1"/>
  <c r="BL100" i="14" a="1"/>
  <c r="BL100" i="14" s="1"/>
  <c r="CP100" i="14" s="1"/>
  <c r="AB96" i="43" s="1"/>
  <c r="BA100" i="14" a="1"/>
  <c r="BA100" i="14" s="1"/>
  <c r="CE100" i="14" s="1"/>
  <c r="Q96" i="43" s="1"/>
  <c r="BK100" i="14" a="1"/>
  <c r="BK100" i="14" s="1"/>
  <c r="CO100" i="14" s="1"/>
  <c r="AA96" i="43" s="1"/>
  <c r="AO100" i="14" a="1"/>
  <c r="AO100" i="14" s="1"/>
  <c r="BS100" i="14" s="1"/>
  <c r="E96" i="43" s="1"/>
  <c r="BD100" i="14" a="1"/>
  <c r="BD100" i="14" s="1"/>
  <c r="CH100" i="14" s="1"/>
  <c r="T96" i="43" s="1"/>
  <c r="EP101" i="14"/>
  <c r="DL101" i="14" s="1"/>
  <c r="EL85" i="14"/>
  <c r="DH85" i="14" s="1"/>
  <c r="EF88" i="14"/>
  <c r="DB88" i="14" s="1"/>
  <c r="FA88" i="14"/>
  <c r="DW88" i="14" s="1"/>
  <c r="AZ89" i="14" a="1"/>
  <c r="AZ89" i="14" s="1"/>
  <c r="CD89" i="14" s="1"/>
  <c r="P85" i="43" s="1"/>
  <c r="BR89" i="14" a="1"/>
  <c r="BR89" i="14" s="1"/>
  <c r="CV89" i="14" s="1"/>
  <c r="AH85" i="43" s="1"/>
  <c r="FA89" i="14"/>
  <c r="DW89" i="14" s="1"/>
  <c r="JR89" i="14"/>
  <c r="JR100" i="14"/>
  <c r="JS100" i="14"/>
  <c r="JN100" i="14"/>
  <c r="JG100" i="14"/>
  <c r="JF100" i="14"/>
  <c r="IS100" i="14"/>
  <c r="BF100" i="14" a="1"/>
  <c r="BF100" i="14" s="1"/>
  <c r="CJ100" i="14" s="1"/>
  <c r="V96" i="43" s="1"/>
  <c r="EW101" i="14"/>
  <c r="DS101" i="14" s="1"/>
  <c r="FC109" i="14"/>
  <c r="DY109" i="14" s="1"/>
  <c r="ES109" i="14"/>
  <c r="DO109" i="14" s="1"/>
  <c r="ER109" i="14"/>
  <c r="DN109" i="14" s="1"/>
  <c r="ES139" i="14"/>
  <c r="DO139" i="14" s="1"/>
  <c r="FB139" i="14"/>
  <c r="DX139" i="14" s="1"/>
  <c r="EO139" i="14"/>
  <c r="DK139" i="14" s="1"/>
  <c r="EB139" i="14"/>
  <c r="CX139" i="14" s="1"/>
  <c r="FA139" i="14"/>
  <c r="DW139" i="14" s="1"/>
  <c r="EN139" i="14"/>
  <c r="DJ139" i="14" s="1"/>
  <c r="EA139" i="14"/>
  <c r="CW139" i="14" s="1"/>
  <c r="EZ139" i="14"/>
  <c r="DV139" i="14" s="1"/>
  <c r="EM139" i="14"/>
  <c r="DI139" i="14" s="1"/>
  <c r="EY139" i="14"/>
  <c r="DU139" i="14" s="1"/>
  <c r="EL139" i="14"/>
  <c r="DH139" i="14" s="1"/>
  <c r="EX139" i="14"/>
  <c r="DT139" i="14" s="1"/>
  <c r="EK139" i="14"/>
  <c r="DG139" i="14" s="1"/>
  <c r="EW139" i="14"/>
  <c r="DS139" i="14" s="1"/>
  <c r="EJ139" i="14"/>
  <c r="DF139" i="14" s="1"/>
  <c r="EV139" i="14"/>
  <c r="DR139" i="14" s="1"/>
  <c r="EI139" i="14"/>
  <c r="DE139" i="14" s="1"/>
  <c r="EU139" i="14"/>
  <c r="DQ139" i="14" s="1"/>
  <c r="EH139" i="14"/>
  <c r="DD139" i="14" s="1"/>
  <c r="ET139" i="14"/>
  <c r="DP139" i="14" s="1"/>
  <c r="EF139" i="14"/>
  <c r="DB139" i="14" s="1"/>
  <c r="FD139" i="14"/>
  <c r="DZ139" i="14" s="1"/>
  <c r="FC139" i="14"/>
  <c r="DY139" i="14" s="1"/>
  <c r="ER139" i="14"/>
  <c r="DN139" i="14" s="1"/>
  <c r="EQ139" i="14"/>
  <c r="DM139" i="14" s="1"/>
  <c r="EP139" i="14"/>
  <c r="DL139" i="14" s="1"/>
  <c r="EE139" i="14"/>
  <c r="DA139" i="14" s="1"/>
  <c r="ED139" i="14"/>
  <c r="CZ139" i="14" s="1"/>
  <c r="EM85" i="14"/>
  <c r="DI85" i="14" s="1"/>
  <c r="EH88" i="14"/>
  <c r="DD88" i="14" s="1"/>
  <c r="FB88" i="14"/>
  <c r="DX88" i="14" s="1"/>
  <c r="BA89" i="14" a="1"/>
  <c r="BA89" i="14" s="1"/>
  <c r="CE89" i="14" s="1"/>
  <c r="Q85" i="43" s="1"/>
  <c r="EE89" i="14"/>
  <c r="DA89" i="14" s="1"/>
  <c r="FB89" i="14"/>
  <c r="DX89" i="14" s="1"/>
  <c r="EI103" i="14"/>
  <c r="DE103" i="14" s="1"/>
  <c r="EB103" i="14"/>
  <c r="CX103" i="14" s="1"/>
  <c r="EA103" i="14"/>
  <c r="CW103" i="14" s="1"/>
  <c r="JN104" i="14"/>
  <c r="JL104" i="14"/>
  <c r="JC104" i="14"/>
  <c r="JB104" i="14"/>
  <c r="JA104" i="14"/>
  <c r="IZ104" i="14"/>
  <c r="EC139" i="14"/>
  <c r="CY139" i="14" s="1"/>
  <c r="EP85" i="14"/>
  <c r="DL85" i="14" s="1"/>
  <c r="EI88" i="14"/>
  <c r="DE88" i="14" s="1"/>
  <c r="BB89" i="14" a="1"/>
  <c r="BB89" i="14" s="1"/>
  <c r="CF89" i="14" s="1"/>
  <c r="R85" i="43" s="1"/>
  <c r="EH89" i="14"/>
  <c r="DD89" i="14" s="1"/>
  <c r="FC89" i="14"/>
  <c r="DY89" i="14" s="1"/>
  <c r="EG90" i="14"/>
  <c r="DC90" i="14" s="1"/>
  <c r="EA90" i="14"/>
  <c r="CW90" i="14" s="1"/>
  <c r="EX101" i="14"/>
  <c r="DT101" i="14" s="1"/>
  <c r="EK101" i="14"/>
  <c r="DG101" i="14" s="1"/>
  <c r="ED101" i="14"/>
  <c r="CZ101" i="14" s="1"/>
  <c r="EC101" i="14"/>
  <c r="CY101" i="14" s="1"/>
  <c r="FB101" i="14"/>
  <c r="DX101" i="14" s="1"/>
  <c r="EB101" i="14"/>
  <c r="CX101" i="14" s="1"/>
  <c r="FA101" i="14"/>
  <c r="DW101" i="14" s="1"/>
  <c r="EA101" i="14"/>
  <c r="CW101" i="14" s="1"/>
  <c r="EZ101" i="14"/>
  <c r="DV101" i="14" s="1"/>
  <c r="AS104" i="14" a="1"/>
  <c r="AS104" i="14" s="1"/>
  <c r="BW104" i="14" s="1"/>
  <c r="I100" i="43" s="1"/>
  <c r="EZ111" i="14"/>
  <c r="DV111" i="14" s="1"/>
  <c r="FC111" i="14"/>
  <c r="DY111" i="14" s="1"/>
  <c r="EI111" i="14"/>
  <c r="DE111" i="14" s="1"/>
  <c r="FB111" i="14"/>
  <c r="DX111" i="14" s="1"/>
  <c r="EF111" i="14"/>
  <c r="DB111" i="14" s="1"/>
  <c r="FA111" i="14"/>
  <c r="DW111" i="14" s="1"/>
  <c r="EE111" i="14"/>
  <c r="DA111" i="14" s="1"/>
  <c r="EY111" i="14"/>
  <c r="DU111" i="14" s="1"/>
  <c r="ED111" i="14"/>
  <c r="EW111" i="14"/>
  <c r="DS111" i="14" s="1"/>
  <c r="EC111" i="14"/>
  <c r="CY111" i="14" s="1"/>
  <c r="EU111" i="14"/>
  <c r="DQ111" i="14" s="1"/>
  <c r="EA111" i="14"/>
  <c r="CW111" i="14" s="1"/>
  <c r="EP111" i="14"/>
  <c r="DL111" i="14" s="1"/>
  <c r="FD142" i="14"/>
  <c r="DZ142" i="14" s="1"/>
  <c r="ES142" i="14"/>
  <c r="DO142" i="14" s="1"/>
  <c r="ER142" i="14"/>
  <c r="DN142" i="14" s="1"/>
  <c r="EQ142" i="14"/>
  <c r="DM142" i="14" s="1"/>
  <c r="EH142" i="14"/>
  <c r="DD142" i="14" s="1"/>
  <c r="EZ88" i="14"/>
  <c r="DV88" i="14" s="1"/>
  <c r="EV88" i="14"/>
  <c r="DR88" i="14" s="1"/>
  <c r="EU88" i="14"/>
  <c r="DQ88" i="14" s="1"/>
  <c r="EE88" i="14"/>
  <c r="DA88" i="14" s="1"/>
  <c r="ET88" i="14"/>
  <c r="DP88" i="14" s="1"/>
  <c r="ED88" i="14"/>
  <c r="CZ88" i="14" s="1"/>
  <c r="EJ88" i="14"/>
  <c r="DF88" i="14" s="1"/>
  <c r="FD88" i="14"/>
  <c r="DZ88" i="14" s="1"/>
  <c r="BQ95" i="14" a="1"/>
  <c r="BQ95" i="14" s="1"/>
  <c r="FD95" i="14" s="1"/>
  <c r="DZ95" i="14" s="1"/>
  <c r="AY104" i="14" a="1"/>
  <c r="AY104" i="14" s="1"/>
  <c r="CC104" i="14" s="1"/>
  <c r="O100" i="43" s="1"/>
  <c r="DR107" i="14"/>
  <c r="EQ111" i="14"/>
  <c r="DM111" i="14" s="1"/>
  <c r="EX85" i="14"/>
  <c r="DT85" i="14" s="1"/>
  <c r="EK88" i="14"/>
  <c r="DG88" i="14" s="1"/>
  <c r="HM88" i="14"/>
  <c r="HY88" i="14"/>
  <c r="IK88" i="14"/>
  <c r="BH89" i="14" a="1"/>
  <c r="BH89" i="14" s="1"/>
  <c r="CL89" i="14" s="1"/>
  <c r="X85" i="43" s="1"/>
  <c r="EJ89" i="14"/>
  <c r="DF89" i="14" s="1"/>
  <c r="EG96" i="14"/>
  <c r="DC96" i="14" s="1"/>
  <c r="EA96" i="14"/>
  <c r="CW96" i="14" s="1"/>
  <c r="JK99" i="14"/>
  <c r="AU100" i="14" a="1"/>
  <c r="AU100" i="14" s="1"/>
  <c r="BY100" i="14" s="1"/>
  <c r="K96" i="43" s="1"/>
  <c r="BH100" i="14" a="1"/>
  <c r="BH100" i="14" s="1"/>
  <c r="CL100" i="14" s="1"/>
  <c r="X96" i="43" s="1"/>
  <c r="CX102" i="14"/>
  <c r="HW102" i="14"/>
  <c r="II102" i="14"/>
  <c r="IQ104" i="14"/>
  <c r="ER111" i="14"/>
  <c r="DN111" i="14" s="1"/>
  <c r="BL85" i="14" a="1"/>
  <c r="BL85" i="14" s="1"/>
  <c r="CP85" i="14" s="1"/>
  <c r="AB81" i="43" s="1"/>
  <c r="EY85" i="14"/>
  <c r="DU85" i="14" s="1"/>
  <c r="HU85" i="14"/>
  <c r="IG85" i="14"/>
  <c r="GN85" i="14"/>
  <c r="EB87" i="14"/>
  <c r="CX87" i="14" s="1"/>
  <c r="EM88" i="14"/>
  <c r="DI88" i="14" s="1"/>
  <c r="AO89" i="14" a="1"/>
  <c r="AO89" i="14" s="1"/>
  <c r="BS89" i="14" s="1"/>
  <c r="E85" i="43" s="1"/>
  <c r="BJ89" i="14" a="1"/>
  <c r="BJ89" i="14" s="1"/>
  <c r="CN89" i="14" s="1"/>
  <c r="Z85" i="43" s="1"/>
  <c r="EL89" i="14"/>
  <c r="DH89" i="14" s="1"/>
  <c r="EF93" i="14"/>
  <c r="DB93" i="14" s="1"/>
  <c r="EE93" i="14"/>
  <c r="DA93" i="14" s="1"/>
  <c r="ED93" i="14"/>
  <c r="CZ93" i="14" s="1"/>
  <c r="JA93" i="14"/>
  <c r="BJ100" i="14" a="1"/>
  <c r="BJ100" i="14" s="1"/>
  <c r="CN100" i="14" s="1"/>
  <c r="Z96" i="43" s="1"/>
  <c r="JO104" i="14"/>
  <c r="EE109" i="14"/>
  <c r="DA109" i="14" s="1"/>
  <c r="FD110" i="14"/>
  <c r="DZ110" i="14" s="1"/>
  <c r="FB110" i="14"/>
  <c r="DX110" i="14" s="1"/>
  <c r="ES110" i="14"/>
  <c r="DO110" i="14" s="1"/>
  <c r="ER110" i="14"/>
  <c r="DN110" i="14" s="1"/>
  <c r="EF110" i="14"/>
  <c r="DB110" i="14" s="1"/>
  <c r="FD111" i="14"/>
  <c r="DZ111" i="14" s="1"/>
  <c r="GI84" i="14"/>
  <c r="EZ85" i="14"/>
  <c r="DV85" i="14" s="1"/>
  <c r="GR85" i="14"/>
  <c r="HD85" i="14"/>
  <c r="II87" i="14"/>
  <c r="EO88" i="14"/>
  <c r="DK88" i="14" s="1"/>
  <c r="AP89" i="14" a="1"/>
  <c r="AP89" i="14" s="1"/>
  <c r="BT89" i="14" s="1"/>
  <c r="F85" i="43" s="1"/>
  <c r="BK89" i="14" a="1"/>
  <c r="BK89" i="14" s="1"/>
  <c r="CO89" i="14" s="1"/>
  <c r="AA85" i="43" s="1"/>
  <c r="EN89" i="14"/>
  <c r="DJ89" i="14" s="1"/>
  <c r="AW97" i="14" a="1"/>
  <c r="AW97" i="14" s="1"/>
  <c r="CA97" i="14" s="1"/>
  <c r="M93" i="43" s="1"/>
  <c r="BR97" i="14" a="1"/>
  <c r="BR97" i="14" s="1"/>
  <c r="CV97" i="14" s="1"/>
  <c r="AH93" i="43" s="1"/>
  <c r="AT97" i="14" a="1"/>
  <c r="AT97" i="14" s="1"/>
  <c r="BX97" i="14" s="1"/>
  <c r="J93" i="43" s="1"/>
  <c r="BP97" i="14" a="1"/>
  <c r="BP97" i="14" s="1"/>
  <c r="CT97" i="14" s="1"/>
  <c r="AF93" i="43" s="1"/>
  <c r="AR97" i="14" a="1"/>
  <c r="AR97" i="14" s="1"/>
  <c r="BV97" i="14" s="1"/>
  <c r="H93" i="43" s="1"/>
  <c r="IT99" i="14"/>
  <c r="JP99" i="14"/>
  <c r="JO99" i="14"/>
  <c r="JM99" i="14"/>
  <c r="AV100" i="14" a="1"/>
  <c r="AV100" i="14" s="1"/>
  <c r="BZ100" i="14" s="1"/>
  <c r="L96" i="43" s="1"/>
  <c r="IA105" i="14"/>
  <c r="EH107" i="14"/>
  <c r="DD107" i="14" s="1"/>
  <c r="EG107" i="14"/>
  <c r="DC107" i="14" s="1"/>
  <c r="EF109" i="14"/>
  <c r="DB109" i="14" s="1"/>
  <c r="EV127" i="14"/>
  <c r="DR127" i="14" s="1"/>
  <c r="EZ127" i="14"/>
  <c r="DV127" i="14" s="1"/>
  <c r="EY127" i="14"/>
  <c r="DU127" i="14" s="1"/>
  <c r="EW127" i="14"/>
  <c r="DS127" i="14" s="1"/>
  <c r="EN127" i="14"/>
  <c r="DJ127" i="14" s="1"/>
  <c r="EM127" i="14"/>
  <c r="DI127" i="14" s="1"/>
  <c r="EL127" i="14"/>
  <c r="DH127" i="14" s="1"/>
  <c r="EK127" i="14"/>
  <c r="DG127" i="14" s="1"/>
  <c r="EB127" i="14"/>
  <c r="CX127" i="14" s="1"/>
  <c r="GJ144" i="14"/>
  <c r="GV144" i="14"/>
  <c r="HH144" i="14"/>
  <c r="IT90" i="14"/>
  <c r="JG90" i="14"/>
  <c r="JT90" i="14"/>
  <c r="EJ91" i="14"/>
  <c r="DF91" i="14" s="1"/>
  <c r="JQ94" i="14"/>
  <c r="AS95" i="14" a="1"/>
  <c r="AS95" i="14" s="1"/>
  <c r="EF95" i="14" s="1"/>
  <c r="DB95" i="14" s="1"/>
  <c r="BJ95" i="14" a="1"/>
  <c r="BJ95" i="14" s="1"/>
  <c r="EW95" i="14" s="1"/>
  <c r="DS95" i="14" s="1"/>
  <c r="IT101" i="14"/>
  <c r="ET104" i="14"/>
  <c r="DP104" i="14" s="1"/>
  <c r="BK105" i="14" a="1"/>
  <c r="BK105" i="14" s="1"/>
  <c r="CO105" i="14" s="1"/>
  <c r="AA101" i="43" s="1"/>
  <c r="JN105" i="14"/>
  <c r="EJ106" i="14"/>
  <c r="DF106" i="14" s="1"/>
  <c r="EP112" i="14"/>
  <c r="DL112" i="14" s="1"/>
  <c r="EO113" i="14"/>
  <c r="DK113" i="14" s="1"/>
  <c r="GV114" i="14"/>
  <c r="ET114" i="14"/>
  <c r="DP114" i="14" s="1"/>
  <c r="EM115" i="14"/>
  <c r="DI115" i="14" s="1"/>
  <c r="ET116" i="14"/>
  <c r="DP116" i="14" s="1"/>
  <c r="EI117" i="14"/>
  <c r="DE117" i="14" s="1"/>
  <c r="EI118" i="14"/>
  <c r="DE118" i="14" s="1"/>
  <c r="EW118" i="14"/>
  <c r="DS118" i="14" s="1"/>
  <c r="EI119" i="14"/>
  <c r="DE119" i="14" s="1"/>
  <c r="IU90" i="14"/>
  <c r="JH90" i="14"/>
  <c r="EL91" i="14"/>
  <c r="DH91" i="14" s="1"/>
  <c r="AU95" i="14" a="1"/>
  <c r="AU95" i="14" s="1"/>
  <c r="EH95" i="14" s="1"/>
  <c r="DD95" i="14" s="1"/>
  <c r="BK95" i="14" a="1"/>
  <c r="BK95" i="14" s="1"/>
  <c r="EX95" i="14" s="1"/>
  <c r="DT95" i="14" s="1"/>
  <c r="ED99" i="14"/>
  <c r="CZ99" i="14" s="1"/>
  <c r="EU99" i="14"/>
  <c r="DQ99" i="14" s="1"/>
  <c r="JA101" i="14"/>
  <c r="AZ104" i="14" a="1"/>
  <c r="AZ104" i="14" s="1"/>
  <c r="CD104" i="14" s="1"/>
  <c r="P100" i="43" s="1"/>
  <c r="EV104" i="14"/>
  <c r="DR104" i="14" s="1"/>
  <c r="HE106" i="14"/>
  <c r="EK106" i="14"/>
  <c r="DG106" i="14" s="1"/>
  <c r="GO111" i="14"/>
  <c r="HA111" i="14"/>
  <c r="EQ112" i="14"/>
  <c r="DM112" i="14" s="1"/>
  <c r="EP113" i="14"/>
  <c r="DL113" i="14" s="1"/>
  <c r="EA114" i="14"/>
  <c r="CW114" i="14" s="1"/>
  <c r="EV114" i="14"/>
  <c r="DR114" i="14" s="1"/>
  <c r="EN115" i="14"/>
  <c r="DJ115" i="14" s="1"/>
  <c r="EV116" i="14"/>
  <c r="DR116" i="14" s="1"/>
  <c r="HE117" i="14"/>
  <c r="EJ117" i="14"/>
  <c r="DF117" i="14" s="1"/>
  <c r="EJ118" i="14"/>
  <c r="DF118" i="14" s="1"/>
  <c r="EX118" i="14"/>
  <c r="DT118" i="14" s="1"/>
  <c r="EV148" i="14"/>
  <c r="DR148" i="14" s="1"/>
  <c r="FC148" i="14"/>
  <c r="DY148" i="14" s="1"/>
  <c r="EY148" i="14"/>
  <c r="DU148" i="14" s="1"/>
  <c r="EA148" i="14"/>
  <c r="CW148" i="14" s="1"/>
  <c r="EX148" i="14"/>
  <c r="DT148" i="14" s="1"/>
  <c r="EW148" i="14"/>
  <c r="DS148" i="14" s="1"/>
  <c r="ER148" i="14"/>
  <c r="DN148" i="14" s="1"/>
  <c r="EQ148" i="14"/>
  <c r="DM148" i="14" s="1"/>
  <c r="EN148" i="14"/>
  <c r="DJ148" i="14" s="1"/>
  <c r="EM148" i="14"/>
  <c r="DI148" i="14" s="1"/>
  <c r="EL148" i="14"/>
  <c r="DH148" i="14" s="1"/>
  <c r="EK148" i="14"/>
  <c r="DG148" i="14" s="1"/>
  <c r="EF148" i="14"/>
  <c r="DB148" i="14" s="1"/>
  <c r="EM91" i="14"/>
  <c r="DI91" i="14" s="1"/>
  <c r="AV95" i="14" a="1"/>
  <c r="AV95" i="14" s="1"/>
  <c r="BZ95" i="14" s="1"/>
  <c r="L91" i="43" s="1"/>
  <c r="BM95" i="14" a="1"/>
  <c r="BM95" i="14" s="1"/>
  <c r="IK96" i="14"/>
  <c r="GO98" i="14"/>
  <c r="EE99" i="14"/>
  <c r="DA99" i="14" s="1"/>
  <c r="EW99" i="14"/>
  <c r="DS99" i="14" s="1"/>
  <c r="JC101" i="14"/>
  <c r="BK104" i="14" a="1"/>
  <c r="BK104" i="14" s="1"/>
  <c r="CO104" i="14" s="1"/>
  <c r="AA100" i="43" s="1"/>
  <c r="EW104" i="14"/>
  <c r="DS104" i="14" s="1"/>
  <c r="EN106" i="14"/>
  <c r="DJ106" i="14" s="1"/>
  <c r="HA112" i="14"/>
  <c r="ET112" i="14"/>
  <c r="DP112" i="14" s="1"/>
  <c r="EY113" i="14"/>
  <c r="DU113" i="14" s="1"/>
  <c r="EB114" i="14"/>
  <c r="CX114" i="14" s="1"/>
  <c r="EX114" i="14"/>
  <c r="DT114" i="14" s="1"/>
  <c r="EW115" i="14"/>
  <c r="DS115" i="14" s="1"/>
  <c r="EA116" i="14"/>
  <c r="CW116" i="14" s="1"/>
  <c r="EW116" i="14"/>
  <c r="DS116" i="14" s="1"/>
  <c r="EK117" i="14"/>
  <c r="DG117" i="14" s="1"/>
  <c r="HL118" i="14"/>
  <c r="EK118" i="14"/>
  <c r="DG118" i="14" s="1"/>
  <c r="HA119" i="14"/>
  <c r="HL122" i="14"/>
  <c r="HC104" i="14"/>
  <c r="BQ104" i="14" a="1"/>
  <c r="BQ104" i="14" s="1"/>
  <c r="CU104" i="14" s="1"/>
  <c r="AG100" i="43" s="1"/>
  <c r="EX104" i="14"/>
  <c r="DT104" i="14" s="1"/>
  <c r="EB112" i="14"/>
  <c r="CX112" i="14" s="1"/>
  <c r="EV112" i="14"/>
  <c r="DR112" i="14" s="1"/>
  <c r="GK113" i="14"/>
  <c r="EZ113" i="14"/>
  <c r="DV113" i="14" s="1"/>
  <c r="ES118" i="14"/>
  <c r="EU118" i="14"/>
  <c r="DQ118" i="14" s="1"/>
  <c r="EH118" i="14"/>
  <c r="DD118" i="14" s="1"/>
  <c r="EL118" i="14"/>
  <c r="DH118" i="14" s="1"/>
  <c r="EZ118" i="14"/>
  <c r="DV118" i="14" s="1"/>
  <c r="FA122" i="14"/>
  <c r="DW122" i="14" s="1"/>
  <c r="FB122" i="14"/>
  <c r="DX122" i="14" s="1"/>
  <c r="EQ122" i="14"/>
  <c r="DM122" i="14" s="1"/>
  <c r="ED122" i="14"/>
  <c r="CZ122" i="14" s="1"/>
  <c r="GU146" i="14"/>
  <c r="EY104" i="14"/>
  <c r="DU104" i="14" s="1"/>
  <c r="EC112" i="14"/>
  <c r="CY112" i="14" s="1"/>
  <c r="EX112" i="14"/>
  <c r="DT112" i="14" s="1"/>
  <c r="FA113" i="14"/>
  <c r="DW113" i="14" s="1"/>
  <c r="EM118" i="14"/>
  <c r="DI118" i="14" s="1"/>
  <c r="FA118" i="14"/>
  <c r="DW118" i="14" s="1"/>
  <c r="ER121" i="14"/>
  <c r="DN121" i="14" s="1"/>
  <c r="EF121" i="14"/>
  <c r="DB121" i="14" s="1"/>
  <c r="EE121" i="14"/>
  <c r="DA121" i="14" s="1"/>
  <c r="EE122" i="14"/>
  <c r="DA122" i="14" s="1"/>
  <c r="EY124" i="14"/>
  <c r="DU124" i="14" s="1"/>
  <c r="FC124" i="14"/>
  <c r="DY124" i="14" s="1"/>
  <c r="EL124" i="14"/>
  <c r="DH124" i="14" s="1"/>
  <c r="FB124" i="14"/>
  <c r="DX124" i="14" s="1"/>
  <c r="EK124" i="14"/>
  <c r="DG124" i="14" s="1"/>
  <c r="EZ124" i="14"/>
  <c r="DV124" i="14" s="1"/>
  <c r="EX124" i="14"/>
  <c r="DT124" i="14" s="1"/>
  <c r="EE124" i="14"/>
  <c r="DA124" i="14" s="1"/>
  <c r="EW124" i="14"/>
  <c r="DS124" i="14" s="1"/>
  <c r="ED124" i="14"/>
  <c r="CZ124" i="14" s="1"/>
  <c r="EV124" i="14"/>
  <c r="DR124" i="14" s="1"/>
  <c r="EC124" i="14"/>
  <c r="CY124" i="14" s="1"/>
  <c r="ET124" i="14"/>
  <c r="DP124" i="14" s="1"/>
  <c r="EB124" i="14"/>
  <c r="CX124" i="14" s="1"/>
  <c r="EQ124" i="14"/>
  <c r="DM124" i="14" s="1"/>
  <c r="EH124" i="14"/>
  <c r="DD124" i="14" s="1"/>
  <c r="ES133" i="14"/>
  <c r="DO133" i="14" s="1"/>
  <c r="ER133" i="14"/>
  <c r="DN133" i="14" s="1"/>
  <c r="EE133" i="14"/>
  <c r="DA133" i="14" s="1"/>
  <c r="FD133" i="14"/>
  <c r="DZ133" i="14" s="1"/>
  <c r="EQ133" i="14"/>
  <c r="DM133" i="14" s="1"/>
  <c r="ED133" i="14"/>
  <c r="CZ133" i="14" s="1"/>
  <c r="FC133" i="14"/>
  <c r="DY133" i="14" s="1"/>
  <c r="EP133" i="14"/>
  <c r="DL133" i="14" s="1"/>
  <c r="EC133" i="14"/>
  <c r="CY133" i="14" s="1"/>
  <c r="FB133" i="14"/>
  <c r="DX133" i="14" s="1"/>
  <c r="EO133" i="14"/>
  <c r="DK133" i="14" s="1"/>
  <c r="EB133" i="14"/>
  <c r="CX133" i="14" s="1"/>
  <c r="FA133" i="14"/>
  <c r="DW133" i="14" s="1"/>
  <c r="EN133" i="14"/>
  <c r="DJ133" i="14" s="1"/>
  <c r="EA133" i="14"/>
  <c r="CW133" i="14" s="1"/>
  <c r="EZ133" i="14"/>
  <c r="DV133" i="14" s="1"/>
  <c r="EM133" i="14"/>
  <c r="EY133" i="14"/>
  <c r="DU133" i="14" s="1"/>
  <c r="EL133" i="14"/>
  <c r="DH133" i="14" s="1"/>
  <c r="EX133" i="14"/>
  <c r="DT133" i="14" s="1"/>
  <c r="EK133" i="14"/>
  <c r="DG133" i="14" s="1"/>
  <c r="EW133" i="14"/>
  <c r="DS133" i="14" s="1"/>
  <c r="EJ133" i="14"/>
  <c r="DF133" i="14" s="1"/>
  <c r="EX146" i="14"/>
  <c r="DT146" i="14" s="1"/>
  <c r="FB146" i="14"/>
  <c r="DX146" i="14" s="1"/>
  <c r="FA146" i="14"/>
  <c r="DW146" i="14" s="1"/>
  <c r="EZ146" i="14"/>
  <c r="DV146" i="14" s="1"/>
  <c r="EY146" i="14"/>
  <c r="DU146" i="14" s="1"/>
  <c r="EP146" i="14"/>
  <c r="DL146" i="14" s="1"/>
  <c r="EO146" i="14"/>
  <c r="DK146" i="14" s="1"/>
  <c r="EN146" i="14"/>
  <c r="DJ146" i="14" s="1"/>
  <c r="EM146" i="14"/>
  <c r="DI146" i="14" s="1"/>
  <c r="ED146" i="14"/>
  <c r="CZ146" i="14" s="1"/>
  <c r="EC146" i="14"/>
  <c r="CY146" i="14" s="1"/>
  <c r="AY95" i="14" a="1"/>
  <c r="AY95" i="14" s="1"/>
  <c r="CC95" i="14" s="1"/>
  <c r="O91" i="43" s="1"/>
  <c r="BC97" i="14" a="1"/>
  <c r="BC97" i="14" s="1"/>
  <c r="CG97" i="14" s="1"/>
  <c r="S93" i="43" s="1"/>
  <c r="ET97" i="14"/>
  <c r="DP97" i="14" s="1"/>
  <c r="BI99" i="14" a="1"/>
  <c r="BI99" i="14" s="1"/>
  <c r="CM99" i="14" s="1"/>
  <c r="Y95" i="43" s="1"/>
  <c r="EK99" i="14"/>
  <c r="DG99" i="14" s="1"/>
  <c r="EZ99" i="14"/>
  <c r="DV99" i="14" s="1"/>
  <c r="AT100" i="14" a="1"/>
  <c r="AT100" i="14" s="1"/>
  <c r="BX100" i="14" s="1"/>
  <c r="J96" i="43" s="1"/>
  <c r="BE100" i="14" a="1"/>
  <c r="BE100" i="14" s="1"/>
  <c r="CI100" i="14" s="1"/>
  <c r="U96" i="43" s="1"/>
  <c r="BP100" i="14" a="1"/>
  <c r="BP100" i="14" s="1"/>
  <c r="CT100" i="14" s="1"/>
  <c r="AF96" i="43" s="1"/>
  <c r="EM100" i="14"/>
  <c r="DI100" i="14" s="1"/>
  <c r="FB100" i="14"/>
  <c r="DX100" i="14" s="1"/>
  <c r="JF101" i="14"/>
  <c r="BR104" i="14" a="1"/>
  <c r="BR104" i="14" s="1"/>
  <c r="CV104" i="14" s="1"/>
  <c r="AH100" i="43" s="1"/>
  <c r="ET106" i="14"/>
  <c r="DP106" i="14" s="1"/>
  <c r="HA109" i="14"/>
  <c r="ED112" i="14"/>
  <c r="CZ112" i="14" s="1"/>
  <c r="EZ112" i="14"/>
  <c r="DV112" i="14" s="1"/>
  <c r="FB113" i="14"/>
  <c r="DX113" i="14" s="1"/>
  <c r="EH114" i="14"/>
  <c r="DD114" i="14" s="1"/>
  <c r="FA114" i="14"/>
  <c r="DW114" i="14" s="1"/>
  <c r="EZ115" i="14"/>
  <c r="DV115" i="14" s="1"/>
  <c r="EH116" i="14"/>
  <c r="DD116" i="14" s="1"/>
  <c r="FB116" i="14"/>
  <c r="DX116" i="14" s="1"/>
  <c r="EV117" i="14"/>
  <c r="DR117" i="14" s="1"/>
  <c r="EN118" i="14"/>
  <c r="DJ118" i="14" s="1"/>
  <c r="FB118" i="14"/>
  <c r="DX118" i="14" s="1"/>
  <c r="EG121" i="14"/>
  <c r="DC121" i="14" s="1"/>
  <c r="EF122" i="14"/>
  <c r="DB122" i="14" s="1"/>
  <c r="EJ124" i="14"/>
  <c r="DF124" i="14" s="1"/>
  <c r="EA127" i="14"/>
  <c r="CW127" i="14" s="1"/>
  <c r="EF136" i="14"/>
  <c r="DB136" i="14" s="1"/>
  <c r="EE136" i="14"/>
  <c r="DA136" i="14" s="1"/>
  <c r="EC136" i="14"/>
  <c r="CY136" i="14" s="1"/>
  <c r="FD136" i="14"/>
  <c r="DZ136" i="14" s="1"/>
  <c r="EB136" i="14"/>
  <c r="CX136" i="14" s="1"/>
  <c r="FA136" i="14"/>
  <c r="DW136" i="14" s="1"/>
  <c r="EA136" i="14"/>
  <c r="CW136" i="14" s="1"/>
  <c r="EY136" i="14"/>
  <c r="DU136" i="14" s="1"/>
  <c r="EX136" i="14"/>
  <c r="DT136" i="14" s="1"/>
  <c r="EW136" i="14"/>
  <c r="DS136" i="14" s="1"/>
  <c r="ES136" i="14"/>
  <c r="DO136" i="14" s="1"/>
  <c r="EB148" i="14"/>
  <c r="CX148" i="14" s="1"/>
  <c r="ET155" i="14"/>
  <c r="DP155" i="14" s="1"/>
  <c r="EY155" i="14"/>
  <c r="DU155" i="14" s="1"/>
  <c r="EK155" i="14"/>
  <c r="DG155" i="14" s="1"/>
  <c r="EQ155" i="14"/>
  <c r="DM155" i="14" s="1"/>
  <c r="EC155" i="14"/>
  <c r="CY155" i="14" s="1"/>
  <c r="FD155" i="14"/>
  <c r="DZ155" i="14" s="1"/>
  <c r="EP155" i="14"/>
  <c r="DL155" i="14" s="1"/>
  <c r="EB155" i="14"/>
  <c r="CX155" i="14" s="1"/>
  <c r="FC155" i="14"/>
  <c r="EO155" i="14"/>
  <c r="DK155" i="14" s="1"/>
  <c r="EA155" i="14"/>
  <c r="CW155" i="14" s="1"/>
  <c r="FB155" i="14"/>
  <c r="DX155" i="14" s="1"/>
  <c r="EN155" i="14"/>
  <c r="DJ155" i="14" s="1"/>
  <c r="FA155" i="14"/>
  <c r="DW155" i="14" s="1"/>
  <c r="EM155" i="14"/>
  <c r="DI155" i="14" s="1"/>
  <c r="EZ155" i="14"/>
  <c r="DV155" i="14" s="1"/>
  <c r="EL155" i="14"/>
  <c r="DH155" i="14" s="1"/>
  <c r="ED155" i="14"/>
  <c r="CZ155" i="14" s="1"/>
  <c r="EE155" i="14"/>
  <c r="DA155" i="14" s="1"/>
  <c r="EF155" i="14"/>
  <c r="DB155" i="14" s="1"/>
  <c r="EW158" i="14"/>
  <c r="DS158" i="14" s="1"/>
  <c r="EM158" i="14"/>
  <c r="DI158" i="14" s="1"/>
  <c r="ET158" i="14"/>
  <c r="DP158" i="14" s="1"/>
  <c r="ES158" i="14"/>
  <c r="DO158" i="14" s="1"/>
  <c r="EY132" i="14"/>
  <c r="ED134" i="14"/>
  <c r="CZ134" i="14" s="1"/>
  <c r="EI155" i="14"/>
  <c r="DE155" i="14" s="1"/>
  <c r="EK131" i="14"/>
  <c r="DG131" i="14" s="1"/>
  <c r="FA132" i="14"/>
  <c r="DW132" i="14" s="1"/>
  <c r="EI134" i="14"/>
  <c r="DE134" i="14" s="1"/>
  <c r="EN137" i="14"/>
  <c r="DJ137" i="14" s="1"/>
  <c r="EJ155" i="14"/>
  <c r="DF155" i="14" s="1"/>
  <c r="EI123" i="14"/>
  <c r="DE123" i="14" s="1"/>
  <c r="FC123" i="14"/>
  <c r="DY123" i="14" s="1"/>
  <c r="ED125" i="14"/>
  <c r="CZ125" i="14" s="1"/>
  <c r="EL128" i="14"/>
  <c r="DH128" i="14" s="1"/>
  <c r="HE130" i="14"/>
  <c r="EW131" i="14"/>
  <c r="DS131" i="14" s="1"/>
  <c r="HF134" i="14"/>
  <c r="EJ134" i="14"/>
  <c r="DF134" i="14" s="1"/>
  <c r="EP137" i="14"/>
  <c r="DL137" i="14" s="1"/>
  <c r="GM143" i="14"/>
  <c r="EB145" i="14"/>
  <c r="CX145" i="14" s="1"/>
  <c r="EP145" i="14"/>
  <c r="DL145" i="14" s="1"/>
  <c r="FD145" i="14"/>
  <c r="DZ145" i="14" s="1"/>
  <c r="EB147" i="14"/>
  <c r="CX147" i="14" s="1"/>
  <c r="ER155" i="14"/>
  <c r="DN155" i="14" s="1"/>
  <c r="HE125" i="14"/>
  <c r="EK134" i="14"/>
  <c r="DG134" i="14" s="1"/>
  <c r="EU155" i="14"/>
  <c r="DQ155" i="14" s="1"/>
  <c r="ES157" i="14"/>
  <c r="DO157" i="14" s="1"/>
  <c r="EX157" i="14"/>
  <c r="DT157" i="14" s="1"/>
  <c r="EH157" i="14"/>
  <c r="DD157" i="14" s="1"/>
  <c r="EV157" i="14"/>
  <c r="DR157" i="14" s="1"/>
  <c r="EC157" i="14"/>
  <c r="CY157" i="14" s="1"/>
  <c r="EO157" i="14"/>
  <c r="DK157" i="14" s="1"/>
  <c r="EN157" i="14"/>
  <c r="DJ157" i="14" s="1"/>
  <c r="EL157" i="14"/>
  <c r="DH157" i="14" s="1"/>
  <c r="FB157" i="14"/>
  <c r="DX157" i="14" s="1"/>
  <c r="EK157" i="14"/>
  <c r="DG157" i="14" s="1"/>
  <c r="FA157" i="14"/>
  <c r="DW157" i="14" s="1"/>
  <c r="EJ157" i="14"/>
  <c r="DF157" i="14" s="1"/>
  <c r="EZ157" i="14"/>
  <c r="DV157" i="14" s="1"/>
  <c r="EI157" i="14"/>
  <c r="DE157" i="14" s="1"/>
  <c r="EW157" i="14"/>
  <c r="DS157" i="14" s="1"/>
  <c r="EK158" i="14"/>
  <c r="DG158" i="14" s="1"/>
  <c r="EM123" i="14"/>
  <c r="DI123" i="14" s="1"/>
  <c r="EM125" i="14"/>
  <c r="DI125" i="14" s="1"/>
  <c r="EP128" i="14"/>
  <c r="DL128" i="14" s="1"/>
  <c r="EM134" i="14"/>
  <c r="DI134" i="14" s="1"/>
  <c r="GO134" i="14"/>
  <c r="HA134" i="14"/>
  <c r="EA137" i="14"/>
  <c r="CW137" i="14" s="1"/>
  <c r="ER137" i="14"/>
  <c r="DN137" i="14" s="1"/>
  <c r="ED145" i="14"/>
  <c r="CZ145" i="14" s="1"/>
  <c r="ER145" i="14"/>
  <c r="DN145" i="14" s="1"/>
  <c r="EL147" i="14"/>
  <c r="DH147" i="14" s="1"/>
  <c r="EV155" i="14"/>
  <c r="DR155" i="14" s="1"/>
  <c r="ES134" i="14"/>
  <c r="DO134" i="14" s="1"/>
  <c r="EB137" i="14"/>
  <c r="CX137" i="14" s="1"/>
  <c r="EV137" i="14"/>
  <c r="DR137" i="14" s="1"/>
  <c r="HA140" i="14"/>
  <c r="HC141" i="14"/>
  <c r="GW144" i="14"/>
  <c r="EE145" i="14"/>
  <c r="DA145" i="14" s="1"/>
  <c r="ET145" i="14"/>
  <c r="DP145" i="14" s="1"/>
  <c r="EM147" i="14"/>
  <c r="DI147" i="14" s="1"/>
  <c r="ES153" i="14"/>
  <c r="DO153" i="14" s="1"/>
  <c r="FD153" i="14"/>
  <c r="DZ153" i="14" s="1"/>
  <c r="EW155" i="14"/>
  <c r="DS155" i="14" s="1"/>
  <c r="GS133" i="14"/>
  <c r="EW134" i="14"/>
  <c r="DS134" i="14" s="1"/>
  <c r="GQ134" i="14"/>
  <c r="HC134" i="14"/>
  <c r="ED137" i="14"/>
  <c r="CZ137" i="14" s="1"/>
  <c r="EW137" i="14"/>
  <c r="DS137" i="14" s="1"/>
  <c r="ED144" i="14"/>
  <c r="CZ144" i="14" s="1"/>
  <c r="FB144" i="14"/>
  <c r="DX144" i="14" s="1"/>
  <c r="EF145" i="14"/>
  <c r="DB145" i="14" s="1"/>
  <c r="EU145" i="14"/>
  <c r="DQ145" i="14" s="1"/>
  <c r="EN147" i="14"/>
  <c r="DJ147" i="14" s="1"/>
  <c r="EU149" i="14"/>
  <c r="DQ149" i="14" s="1"/>
  <c r="EX149" i="14"/>
  <c r="DT149" i="14" s="1"/>
  <c r="EE149" i="14"/>
  <c r="DA149" i="14" s="1"/>
  <c r="FD149" i="14"/>
  <c r="DZ149" i="14" s="1"/>
  <c r="EM149" i="14"/>
  <c r="DI149" i="14" s="1"/>
  <c r="FC149" i="14"/>
  <c r="DY149" i="14" s="1"/>
  <c r="EL149" i="14"/>
  <c r="DH149" i="14" s="1"/>
  <c r="FB149" i="14"/>
  <c r="DX149" i="14" s="1"/>
  <c r="EK149" i="14"/>
  <c r="DG149" i="14" s="1"/>
  <c r="EZ149" i="14"/>
  <c r="DV149" i="14" s="1"/>
  <c r="EJ149" i="14"/>
  <c r="DF149" i="14" s="1"/>
  <c r="EP149" i="14"/>
  <c r="DL149" i="14" s="1"/>
  <c r="EX155" i="14"/>
  <c r="DT155" i="14" s="1"/>
  <c r="HD126" i="14"/>
  <c r="GP129" i="14"/>
  <c r="GT133" i="14"/>
  <c r="HF133" i="14"/>
  <c r="EY134" i="14"/>
  <c r="DU134" i="14" s="1"/>
  <c r="HH135" i="14"/>
  <c r="EE137" i="14"/>
  <c r="DA137" i="14" s="1"/>
  <c r="EX137" i="14"/>
  <c r="DT137" i="14" s="1"/>
  <c r="HF138" i="14"/>
  <c r="EE144" i="14"/>
  <c r="DA144" i="14" s="1"/>
  <c r="FC144" i="14"/>
  <c r="DY144" i="14" s="1"/>
  <c r="EH145" i="14"/>
  <c r="DD145" i="14" s="1"/>
  <c r="EV145" i="14"/>
  <c r="DR145" i="14" s="1"/>
  <c r="EO147" i="14"/>
  <c r="DK147" i="14" s="1"/>
  <c r="GP147" i="14"/>
  <c r="HB147" i="14"/>
  <c r="EQ149" i="14"/>
  <c r="DM149" i="14" s="1"/>
  <c r="ER123" i="14"/>
  <c r="DN123" i="14" s="1"/>
  <c r="EU125" i="14"/>
  <c r="DQ125" i="14" s="1"/>
  <c r="ER126" i="14"/>
  <c r="DN126" i="14" s="1"/>
  <c r="EA128" i="14"/>
  <c r="CW128" i="14" s="1"/>
  <c r="EW128" i="14"/>
  <c r="DS128" i="14" s="1"/>
  <c r="EF137" i="14"/>
  <c r="DB137" i="14" s="1"/>
  <c r="EY137" i="14"/>
  <c r="DU137" i="14" s="1"/>
  <c r="EA138" i="14"/>
  <c r="CW138" i="14" s="1"/>
  <c r="EU138" i="14"/>
  <c r="DQ138" i="14" s="1"/>
  <c r="EF144" i="14"/>
  <c r="DB144" i="14" s="1"/>
  <c r="FD144" i="14"/>
  <c r="DZ144" i="14" s="1"/>
  <c r="EI145" i="14"/>
  <c r="DE145" i="14" s="1"/>
  <c r="EW145" i="14"/>
  <c r="DS145" i="14" s="1"/>
  <c r="EX147" i="14"/>
  <c r="DT147" i="14" s="1"/>
  <c r="ER149" i="14"/>
  <c r="DN149" i="14" s="1"/>
  <c r="FB154" i="14"/>
  <c r="DX154" i="14" s="1"/>
  <c r="ET154" i="14"/>
  <c r="DP154" i="14" s="1"/>
  <c r="FD154" i="14"/>
  <c r="DZ154" i="14" s="1"/>
  <c r="FC154" i="14"/>
  <c r="DY154" i="14" s="1"/>
  <c r="EK151" i="14"/>
  <c r="DG151" i="14" s="1"/>
  <c r="EX151" i="14"/>
  <c r="DT151" i="14" s="1"/>
  <c r="GT153" i="14"/>
  <c r="HF153" i="14"/>
  <c r="EF159" i="14"/>
  <c r="DB159" i="14" s="1"/>
  <c r="EF162" i="14"/>
  <c r="DB162" i="14" s="1"/>
  <c r="ED164" i="14"/>
  <c r="CZ164" i="14" s="1"/>
  <c r="EA165" i="14"/>
  <c r="CW165" i="14" s="1"/>
  <c r="EY165" i="14"/>
  <c r="DU165" i="14" s="1"/>
  <c r="EB166" i="14"/>
  <c r="CX166" i="14" s="1"/>
  <c r="EX166" i="14"/>
  <c r="DT166" i="14" s="1"/>
  <c r="EO168" i="14"/>
  <c r="DK168" i="14" s="1"/>
  <c r="ET169" i="14"/>
  <c r="DP169" i="14" s="1"/>
  <c r="EQ150" i="14"/>
  <c r="DM150" i="14" s="1"/>
  <c r="EL151" i="14"/>
  <c r="DH151" i="14" s="1"/>
  <c r="EY151" i="14"/>
  <c r="DU151" i="14" s="1"/>
  <c r="HA152" i="14"/>
  <c r="GI153" i="14"/>
  <c r="GU153" i="14"/>
  <c r="HG153" i="14"/>
  <c r="EA156" i="14"/>
  <c r="CW156" i="14" s="1"/>
  <c r="EO156" i="14"/>
  <c r="DK156" i="14" s="1"/>
  <c r="FC156" i="14"/>
  <c r="DY156" i="14" s="1"/>
  <c r="EG159" i="14"/>
  <c r="DC159" i="14" s="1"/>
  <c r="HA160" i="14"/>
  <c r="EU160" i="14"/>
  <c r="DQ160" i="14" s="1"/>
  <c r="ED161" i="14"/>
  <c r="CZ161" i="14" s="1"/>
  <c r="EG162" i="14"/>
  <c r="DC162" i="14" s="1"/>
  <c r="EA163" i="14"/>
  <c r="CW163" i="14" s="1"/>
  <c r="EP163" i="14"/>
  <c r="DL163" i="14" s="1"/>
  <c r="EE164" i="14"/>
  <c r="DA164" i="14" s="1"/>
  <c r="EB165" i="14"/>
  <c r="CX165" i="14" s="1"/>
  <c r="EZ165" i="14"/>
  <c r="DV165" i="14" s="1"/>
  <c r="GQ165" i="14"/>
  <c r="HC165" i="14"/>
  <c r="EC166" i="14"/>
  <c r="CY166" i="14" s="1"/>
  <c r="EY166" i="14"/>
  <c r="DU166" i="14" s="1"/>
  <c r="HC167" i="14"/>
  <c r="EK167" i="14"/>
  <c r="DG167" i="14" s="1"/>
  <c r="EZ167" i="14"/>
  <c r="DV167" i="14" s="1"/>
  <c r="EP168" i="14"/>
  <c r="DL168" i="14" s="1"/>
  <c r="EB169" i="14"/>
  <c r="CX169" i="14" s="1"/>
  <c r="EU169" i="14"/>
  <c r="DQ169" i="14" s="1"/>
  <c r="ES173" i="14"/>
  <c r="DO173" i="14" s="1"/>
  <c r="EO174" i="14"/>
  <c r="DK174" i="14" s="1"/>
  <c r="EB175" i="14"/>
  <c r="CX175" i="14" s="1"/>
  <c r="EW175" i="14"/>
  <c r="DS175" i="14" s="1"/>
  <c r="EJ176" i="14"/>
  <c r="DF176" i="14" s="1"/>
  <c r="EY176" i="14"/>
  <c r="DU176" i="14" s="1"/>
  <c r="EA150" i="14"/>
  <c r="CW150" i="14" s="1"/>
  <c r="EU150" i="14"/>
  <c r="DQ150" i="14" s="1"/>
  <c r="EM151" i="14"/>
  <c r="DI151" i="14" s="1"/>
  <c r="EZ151" i="14"/>
  <c r="DV151" i="14" s="1"/>
  <c r="EB156" i="14"/>
  <c r="CX156" i="14" s="1"/>
  <c r="EP156" i="14"/>
  <c r="DL156" i="14" s="1"/>
  <c r="EJ159" i="14"/>
  <c r="DF159" i="14" s="1"/>
  <c r="EW160" i="14"/>
  <c r="DS160" i="14" s="1"/>
  <c r="EE161" i="14"/>
  <c r="DA161" i="14" s="1"/>
  <c r="EO162" i="14"/>
  <c r="DK162" i="14" s="1"/>
  <c r="EM164" i="14"/>
  <c r="DI164" i="14" s="1"/>
  <c r="EC165" i="14"/>
  <c r="CY165" i="14" s="1"/>
  <c r="FA165" i="14"/>
  <c r="DW165" i="14" s="1"/>
  <c r="GR165" i="14"/>
  <c r="HD165" i="14"/>
  <c r="EE166" i="14"/>
  <c r="DA166" i="14" s="1"/>
  <c r="EZ166" i="14"/>
  <c r="DV166" i="14" s="1"/>
  <c r="EL167" i="14"/>
  <c r="DH167" i="14" s="1"/>
  <c r="FB167" i="14"/>
  <c r="DX167" i="14" s="1"/>
  <c r="EQ168" i="14"/>
  <c r="DM168" i="14" s="1"/>
  <c r="EC169" i="14"/>
  <c r="CY169" i="14" s="1"/>
  <c r="EV169" i="14"/>
  <c r="DR169" i="14" s="1"/>
  <c r="HL170" i="14"/>
  <c r="EG171" i="14"/>
  <c r="DC171" i="14" s="1"/>
  <c r="GN173" i="14"/>
  <c r="ET173" i="14"/>
  <c r="DP173" i="14" s="1"/>
  <c r="EP174" i="14"/>
  <c r="DL174" i="14" s="1"/>
  <c r="EC175" i="14"/>
  <c r="CY175" i="14" s="1"/>
  <c r="EX175" i="14"/>
  <c r="DT175" i="14" s="1"/>
  <c r="HL176" i="14"/>
  <c r="EK176" i="14"/>
  <c r="DG176" i="14" s="1"/>
  <c r="EZ176" i="14"/>
  <c r="DV176" i="14" s="1"/>
  <c r="EC150" i="14"/>
  <c r="CY150" i="14" s="1"/>
  <c r="EV150" i="14"/>
  <c r="DR150" i="14" s="1"/>
  <c r="EA151" i="14"/>
  <c r="CW151" i="14" s="1"/>
  <c r="EN151" i="14"/>
  <c r="DJ151" i="14" s="1"/>
  <c r="FA151" i="14"/>
  <c r="DW151" i="14" s="1"/>
  <c r="EC156" i="14"/>
  <c r="CY156" i="14" s="1"/>
  <c r="EQ156" i="14"/>
  <c r="DM156" i="14" s="1"/>
  <c r="EL159" i="14"/>
  <c r="DH159" i="14" s="1"/>
  <c r="EF161" i="14"/>
  <c r="DB161" i="14" s="1"/>
  <c r="EQ162" i="14"/>
  <c r="EC163" i="14"/>
  <c r="CY163" i="14" s="1"/>
  <c r="ER163" i="14"/>
  <c r="DN163" i="14" s="1"/>
  <c r="EN164" i="14"/>
  <c r="DJ164" i="14" s="1"/>
  <c r="ED165" i="14"/>
  <c r="CZ165" i="14" s="1"/>
  <c r="FB165" i="14"/>
  <c r="DX165" i="14" s="1"/>
  <c r="EF166" i="14"/>
  <c r="DB166" i="14" s="1"/>
  <c r="FA166" i="14"/>
  <c r="DW166" i="14" s="1"/>
  <c r="EA168" i="14"/>
  <c r="CW168" i="14" s="1"/>
  <c r="EU168" i="14"/>
  <c r="DQ168" i="14" s="1"/>
  <c r="ED169" i="14"/>
  <c r="CZ169" i="14" s="1"/>
  <c r="EW169" i="14"/>
  <c r="DS169" i="14" s="1"/>
  <c r="EH171" i="14"/>
  <c r="DD171" i="14" s="1"/>
  <c r="GN172" i="14"/>
  <c r="HL175" i="14"/>
  <c r="EM176" i="14"/>
  <c r="DI176" i="14" s="1"/>
  <c r="FA176" i="14"/>
  <c r="DW176" i="14" s="1"/>
  <c r="ED150" i="14"/>
  <c r="CZ150" i="14" s="1"/>
  <c r="EW150" i="14"/>
  <c r="DS150" i="14" s="1"/>
  <c r="HG151" i="14"/>
  <c r="EB151" i="14"/>
  <c r="CX151" i="14" s="1"/>
  <c r="EO151" i="14"/>
  <c r="DK151" i="14" s="1"/>
  <c r="FB151" i="14"/>
  <c r="DX151" i="14" s="1"/>
  <c r="EV159" i="14"/>
  <c r="DR159" i="14" s="1"/>
  <c r="EG161" i="14"/>
  <c r="DC161" i="14" s="1"/>
  <c r="ER162" i="14"/>
  <c r="DN162" i="14" s="1"/>
  <c r="EO164" i="14"/>
  <c r="DK164" i="14" s="1"/>
  <c r="EF165" i="14"/>
  <c r="DB165" i="14" s="1"/>
  <c r="FD165" i="14"/>
  <c r="DZ165" i="14" s="1"/>
  <c r="GS166" i="14"/>
  <c r="EK166" i="14"/>
  <c r="DG166" i="14" s="1"/>
  <c r="FC166" i="14"/>
  <c r="DY166" i="14" s="1"/>
  <c r="EC168" i="14"/>
  <c r="CY168" i="14" s="1"/>
  <c r="EV168" i="14"/>
  <c r="DR168" i="14" s="1"/>
  <c r="EH169" i="14"/>
  <c r="DD169" i="14" s="1"/>
  <c r="EX169" i="14"/>
  <c r="DT169" i="14" s="1"/>
  <c r="EI171" i="14"/>
  <c r="DE171" i="14" s="1"/>
  <c r="EE175" i="14"/>
  <c r="DA175" i="14" s="1"/>
  <c r="FA175" i="14"/>
  <c r="DW175" i="14" s="1"/>
  <c r="EN176" i="14"/>
  <c r="DJ176" i="14" s="1"/>
  <c r="FB176" i="14"/>
  <c r="DX176" i="14" s="1"/>
  <c r="EC151" i="14"/>
  <c r="CY151" i="14" s="1"/>
  <c r="EP151" i="14"/>
  <c r="DL151" i="14" s="1"/>
  <c r="FC151" i="14"/>
  <c r="DY151" i="14" s="1"/>
  <c r="ES162" i="14"/>
  <c r="DO162" i="14" s="1"/>
  <c r="EP164" i="14"/>
  <c r="DL164" i="14" s="1"/>
  <c r="EL165" i="14"/>
  <c r="DH165" i="14" s="1"/>
  <c r="EL166" i="14"/>
  <c r="DH166" i="14" s="1"/>
  <c r="FD166" i="14"/>
  <c r="DZ166" i="14" s="1"/>
  <c r="EW168" i="14"/>
  <c r="DS168" i="14" s="1"/>
  <c r="EI169" i="14"/>
  <c r="DE169" i="14" s="1"/>
  <c r="EZ169" i="14"/>
  <c r="DV169" i="14" s="1"/>
  <c r="GO171" i="14"/>
  <c r="EJ171" i="14"/>
  <c r="DF171" i="14" s="1"/>
  <c r="ES171" i="14"/>
  <c r="DO171" i="14" s="1"/>
  <c r="EY164" i="14"/>
  <c r="DU164" i="14" s="1"/>
  <c r="EN165" i="14"/>
  <c r="DJ165" i="14" s="1"/>
  <c r="EK169" i="14"/>
  <c r="DG169" i="14" s="1"/>
  <c r="FB169" i="14"/>
  <c r="DX169" i="14" s="1"/>
  <c r="ET171" i="14"/>
  <c r="DP171" i="14" s="1"/>
  <c r="EZ164" i="14"/>
  <c r="DV164" i="14" s="1"/>
  <c r="EO165" i="14"/>
  <c r="DK165" i="14" s="1"/>
  <c r="HL158" i="14"/>
  <c r="EA164" i="14"/>
  <c r="CW164" i="14" s="1"/>
  <c r="FA164" i="14"/>
  <c r="DW164" i="14" s="1"/>
  <c r="EP165" i="14"/>
  <c r="DL165" i="14" s="1"/>
  <c r="EN169" i="14"/>
  <c r="DJ169" i="14" s="1"/>
  <c r="GO149" i="14"/>
  <c r="HA149" i="14"/>
  <c r="EO150" i="14"/>
  <c r="DK150" i="14" s="1"/>
  <c r="EJ151" i="14"/>
  <c r="DF151" i="14" s="1"/>
  <c r="EW151" i="14"/>
  <c r="EM156" i="14"/>
  <c r="DI156" i="14" s="1"/>
  <c r="FA156" i="14"/>
  <c r="DW156" i="14" s="1"/>
  <c r="EN163" i="14"/>
  <c r="DJ163" i="14" s="1"/>
  <c r="FC163" i="14"/>
  <c r="DY163" i="14" s="1"/>
  <c r="EC164" i="14"/>
  <c r="CY164" i="14" s="1"/>
  <c r="FC164" i="14"/>
  <c r="DY164" i="14" s="1"/>
  <c r="EX165" i="14"/>
  <c r="DT165" i="14" s="1"/>
  <c r="EA166" i="14"/>
  <c r="CW166" i="14" s="1"/>
  <c r="EW166" i="14"/>
  <c r="DS166" i="14" s="1"/>
  <c r="EH167" i="14"/>
  <c r="DD167" i="14" s="1"/>
  <c r="EX167" i="14"/>
  <c r="DT167" i="14" s="1"/>
  <c r="HB168" i="14"/>
  <c r="EM168" i="14"/>
  <c r="DI168" i="14" s="1"/>
  <c r="EP169" i="14"/>
  <c r="DL169" i="14" s="1"/>
  <c r="EQ175" i="14"/>
  <c r="DM175" i="14" s="1"/>
  <c r="EH176" i="14"/>
  <c r="DD176" i="14" s="1"/>
  <c r="EV176" i="14"/>
  <c r="DR176" i="14" s="1"/>
  <c r="S32" i="19"/>
  <c r="GR78" i="14"/>
  <c r="GT88" i="14"/>
  <c r="HF88" i="14"/>
  <c r="DA98" i="14"/>
  <c r="GM128" i="14"/>
  <c r="GY128" i="14"/>
  <c r="HK128" i="14"/>
  <c r="HK154" i="14"/>
  <c r="GS168" i="14"/>
  <c r="DW169" i="14"/>
  <c r="GL169" i="14"/>
  <c r="GX169" i="14"/>
  <c r="HJ169" i="14"/>
  <c r="CW9" i="14"/>
  <c r="GN128" i="14"/>
  <c r="GZ128" i="14"/>
  <c r="HL128" i="14"/>
  <c r="GJ135" i="14"/>
  <c r="GV135" i="14"/>
  <c r="GK143" i="14"/>
  <c r="GW143" i="14"/>
  <c r="HI143" i="14"/>
  <c r="GN149" i="14"/>
  <c r="GZ149" i="14"/>
  <c r="HL149" i="14"/>
  <c r="GX157" i="14"/>
  <c r="HJ157" i="14"/>
  <c r="DT159" i="14"/>
  <c r="GS159" i="14"/>
  <c r="HE159" i="14"/>
  <c r="GT166" i="14"/>
  <c r="DU168" i="14"/>
  <c r="HE168" i="14"/>
  <c r="HX92" i="14"/>
  <c r="IJ92" i="14"/>
  <c r="GT125" i="14"/>
  <c r="HF125" i="14"/>
  <c r="DU149" i="14"/>
  <c r="HD149" i="14"/>
  <c r="HG166" i="14"/>
  <c r="HE169" i="14"/>
  <c r="GS116" i="14"/>
  <c r="GM117" i="14"/>
  <c r="GY117" i="14"/>
  <c r="GK124" i="14"/>
  <c r="HH131" i="14"/>
  <c r="GQ149" i="14"/>
  <c r="HC149" i="14"/>
  <c r="GS154" i="14"/>
  <c r="HE154" i="14"/>
  <c r="GQ155" i="14"/>
  <c r="HF169" i="14"/>
  <c r="GL105" i="14"/>
  <c r="HK112" i="14"/>
  <c r="GP124" i="14"/>
  <c r="HB124" i="14"/>
  <c r="GL124" i="14"/>
  <c r="GN143" i="14"/>
  <c r="GQ96" i="14"/>
  <c r="HI135" i="14"/>
  <c r="GO143" i="14"/>
  <c r="GY164" i="14"/>
  <c r="HB169" i="14"/>
  <c r="GP174" i="14"/>
  <c r="HB174" i="14"/>
  <c r="GL174" i="14"/>
  <c r="HW86" i="14"/>
  <c r="GY88" i="14"/>
  <c r="HB96" i="14"/>
  <c r="HS98" i="14"/>
  <c r="GM98" i="14"/>
  <c r="GU104" i="14"/>
  <c r="HD106" i="14"/>
  <c r="GS107" i="14"/>
  <c r="HE107" i="14"/>
  <c r="DZ128" i="14"/>
  <c r="GX143" i="14"/>
  <c r="HL144" i="14"/>
  <c r="GK153" i="14"/>
  <c r="GW153" i="14"/>
  <c r="HI153" i="14"/>
  <c r="HH164" i="14"/>
  <c r="HC168" i="14"/>
  <c r="GQ174" i="14"/>
  <c r="HC174" i="14"/>
  <c r="GM174" i="14"/>
  <c r="HC88" i="14"/>
  <c r="HF96" i="14"/>
  <c r="GZ98" i="14"/>
  <c r="HT104" i="14"/>
  <c r="IF104" i="14"/>
  <c r="HD104" i="14"/>
  <c r="GP119" i="14"/>
  <c r="HL131" i="14"/>
  <c r="GR143" i="14"/>
  <c r="HD143" i="14"/>
  <c r="GY143" i="14"/>
  <c r="GL153" i="14"/>
  <c r="GX153" i="14"/>
  <c r="HJ153" i="14"/>
  <c r="DA162" i="14"/>
  <c r="DJ166" i="14"/>
  <c r="GR174" i="14"/>
  <c r="HD174" i="14"/>
  <c r="GO174" i="14"/>
  <c r="HU88" i="14"/>
  <c r="HJ88" i="14"/>
  <c r="HC98" i="14"/>
  <c r="HU104" i="14"/>
  <c r="IG104" i="14"/>
  <c r="IE104" i="14"/>
  <c r="GQ119" i="14"/>
  <c r="GO129" i="14"/>
  <c r="GM148" i="14"/>
  <c r="GY148" i="14"/>
  <c r="HK148" i="14"/>
  <c r="GR159" i="14"/>
  <c r="GX162" i="14"/>
  <c r="GS164" i="14"/>
  <c r="HE164" i="14"/>
  <c r="GI169" i="14"/>
  <c r="GU169" i="14"/>
  <c r="HG169" i="14"/>
  <c r="DN171" i="14"/>
  <c r="GS174" i="14"/>
  <c r="HE174" i="14"/>
  <c r="GW174" i="14"/>
  <c r="CZ32" i="14"/>
  <c r="HB118" i="14"/>
  <c r="GT128" i="14"/>
  <c r="GY162" i="14"/>
  <c r="GJ169" i="14"/>
  <c r="GV169" i="14"/>
  <c r="HH169" i="14"/>
  <c r="GT174" i="14"/>
  <c r="HF174" i="14"/>
  <c r="GX174" i="14"/>
  <c r="GV99" i="14"/>
  <c r="HW104" i="14"/>
  <c r="II104" i="14"/>
  <c r="GL128" i="14"/>
  <c r="GX128" i="14"/>
  <c r="HJ128" i="14"/>
  <c r="GK169" i="14"/>
  <c r="GW169" i="14"/>
  <c r="HI169" i="14"/>
  <c r="ID83" i="14"/>
  <c r="IF102" i="14"/>
  <c r="IE102" i="14"/>
  <c r="GV102" i="14"/>
  <c r="GU102" i="14"/>
  <c r="DF83" i="14"/>
  <c r="GI83" i="14"/>
  <c r="IN83" i="14"/>
  <c r="HJ89" i="14"/>
  <c r="HW97" i="14"/>
  <c r="II97" i="14"/>
  <c r="HM102" i="14"/>
  <c r="HY102" i="14"/>
  <c r="GZ108" i="14"/>
  <c r="HL108" i="14"/>
  <c r="HC108" i="14"/>
  <c r="HB108" i="14"/>
  <c r="GO108" i="14"/>
  <c r="IH89" i="14"/>
  <c r="HJ115" i="14"/>
  <c r="HG115" i="14"/>
  <c r="HF115" i="14"/>
  <c r="HE115" i="14"/>
  <c r="HC115" i="14"/>
  <c r="GV115" i="14"/>
  <c r="GI115" i="14"/>
  <c r="DZ70" i="14"/>
  <c r="HW78" i="14"/>
  <c r="IO78" i="14"/>
  <c r="HU83" i="14"/>
  <c r="IL89" i="14"/>
  <c r="DC27" i="14"/>
  <c r="HX78" i="14"/>
  <c r="IJ78" i="14"/>
  <c r="IP78" i="14"/>
  <c r="GR80" i="14"/>
  <c r="HV83" i="14"/>
  <c r="IH83" i="14"/>
  <c r="GW83" i="14"/>
  <c r="IP89" i="14"/>
  <c r="HG96" i="14"/>
  <c r="II78" i="14"/>
  <c r="IG83" i="14"/>
  <c r="GV83" i="14"/>
  <c r="GX83" i="14"/>
  <c r="IE96" i="14"/>
  <c r="HC96" i="14"/>
  <c r="HA96" i="14"/>
  <c r="GT96" i="14"/>
  <c r="IL96" i="14"/>
  <c r="HS105" i="14"/>
  <c r="IE105" i="14"/>
  <c r="IM105" i="14"/>
  <c r="IM83" i="14"/>
  <c r="IB80" i="14"/>
  <c r="GJ80" i="14"/>
  <c r="HH80" i="14"/>
  <c r="GU83" i="14"/>
  <c r="DG19" i="14"/>
  <c r="DD76" i="14"/>
  <c r="HN78" i="14"/>
  <c r="HZ78" i="14"/>
  <c r="IL78" i="14"/>
  <c r="GM82" i="14"/>
  <c r="GY82" i="14"/>
  <c r="IO82" i="14"/>
  <c r="GT83" i="14"/>
  <c r="HF83" i="14"/>
  <c r="HC83" i="14"/>
  <c r="HX86" i="14"/>
  <c r="HA89" i="14"/>
  <c r="IE92" i="14"/>
  <c r="IP83" i="14"/>
  <c r="GK78" i="14"/>
  <c r="GW78" i="14"/>
  <c r="HI78" i="14"/>
  <c r="GO80" i="14"/>
  <c r="IK83" i="14"/>
  <c r="HI83" i="14"/>
  <c r="IK86" i="14"/>
  <c r="GL96" i="14"/>
  <c r="GX96" i="14"/>
  <c r="HJ96" i="14"/>
  <c r="GW102" i="14"/>
  <c r="HR83" i="14"/>
  <c r="HX97" i="14"/>
  <c r="GV80" i="14"/>
  <c r="CX7" i="14"/>
  <c r="IM80" i="14"/>
  <c r="GO82" i="14"/>
  <c r="HA82" i="14"/>
  <c r="GP82" i="14"/>
  <c r="HN83" i="14"/>
  <c r="HH83" i="14"/>
  <c r="HX83" i="14"/>
  <c r="ID85" i="14"/>
  <c r="IP85" i="14"/>
  <c r="IO86" i="14"/>
  <c r="GM96" i="14"/>
  <c r="GY96" i="14"/>
  <c r="HK96" i="14"/>
  <c r="HI102" i="14"/>
  <c r="HK110" i="14"/>
  <c r="HJ110" i="14"/>
  <c r="HA110" i="14"/>
  <c r="GZ110" i="14"/>
  <c r="GX110" i="14"/>
  <c r="GO110" i="14"/>
  <c r="GN110" i="14"/>
  <c r="GM110" i="14"/>
  <c r="IL83" i="14"/>
  <c r="IN80" i="14"/>
  <c r="HT82" i="14"/>
  <c r="HB82" i="14"/>
  <c r="GQ82" i="14"/>
  <c r="HY83" i="14"/>
  <c r="GW88" i="14"/>
  <c r="HE96" i="14"/>
  <c r="GN96" i="14"/>
  <c r="GZ96" i="14"/>
  <c r="HL96" i="14"/>
  <c r="IG102" i="14"/>
  <c r="DO12" i="14"/>
  <c r="HY81" i="14"/>
  <c r="IK81" i="14"/>
  <c r="GR82" i="14"/>
  <c r="IA83" i="14"/>
  <c r="IF85" i="14"/>
  <c r="GJ85" i="14"/>
  <c r="HS96" i="14"/>
  <c r="GP96" i="14"/>
  <c r="HV102" i="14"/>
  <c r="IH102" i="14"/>
  <c r="HM99" i="14"/>
  <c r="HY99" i="14"/>
  <c r="IK99" i="14"/>
  <c r="GN104" i="14"/>
  <c r="GZ104" i="14"/>
  <c r="HL104" i="14"/>
  <c r="HN105" i="14"/>
  <c r="HZ105" i="14"/>
  <c r="IL105" i="14"/>
  <c r="GJ108" i="14"/>
  <c r="GV108" i="14"/>
  <c r="HH108" i="14"/>
  <c r="HI112" i="14"/>
  <c r="GO113" i="14"/>
  <c r="HA113" i="14"/>
  <c r="GI113" i="14"/>
  <c r="HK122" i="14"/>
  <c r="GQ126" i="14"/>
  <c r="GT126" i="14"/>
  <c r="GS130" i="14"/>
  <c r="HF130" i="14"/>
  <c r="GT135" i="14"/>
  <c r="HJ135" i="14"/>
  <c r="GT136" i="14"/>
  <c r="GR140" i="14"/>
  <c r="GQ144" i="14"/>
  <c r="HC144" i="14"/>
  <c r="HI144" i="14"/>
  <c r="HI145" i="14"/>
  <c r="GS146" i="14"/>
  <c r="HE146" i="14"/>
  <c r="GV146" i="14"/>
  <c r="HE151" i="14"/>
  <c r="HF157" i="14"/>
  <c r="GV164" i="14"/>
  <c r="GO165" i="14"/>
  <c r="HA165" i="14"/>
  <c r="GI165" i="14"/>
  <c r="GW166" i="14"/>
  <c r="GO168" i="14"/>
  <c r="HA168" i="14"/>
  <c r="GI168" i="14"/>
  <c r="DU175" i="14"/>
  <c r="GQ175" i="14"/>
  <c r="HC175" i="14"/>
  <c r="HT98" i="14"/>
  <c r="GT104" i="14"/>
  <c r="GK108" i="14"/>
  <c r="GW108" i="14"/>
  <c r="HI108" i="14"/>
  <c r="DY112" i="14"/>
  <c r="HJ112" i="14"/>
  <c r="GO115" i="14"/>
  <c r="HA115" i="14"/>
  <c r="HF126" i="14"/>
  <c r="DI129" i="14"/>
  <c r="GT130" i="14"/>
  <c r="GR133" i="14"/>
  <c r="HD133" i="14"/>
  <c r="HK134" i="14"/>
  <c r="GI135" i="14"/>
  <c r="GU135" i="14"/>
  <c r="HG135" i="14"/>
  <c r="HL135" i="14"/>
  <c r="GU136" i="14"/>
  <c r="HG136" i="14"/>
  <c r="HB140" i="14"/>
  <c r="GI141" i="14"/>
  <c r="GU141" i="14"/>
  <c r="HG141" i="14"/>
  <c r="HJ144" i="14"/>
  <c r="HJ145" i="14"/>
  <c r="GT146" i="14"/>
  <c r="HF146" i="14"/>
  <c r="GS149" i="14"/>
  <c r="HH157" i="14"/>
  <c r="GP158" i="14"/>
  <c r="GW164" i="14"/>
  <c r="GP165" i="14"/>
  <c r="HB165" i="14"/>
  <c r="GJ165" i="14"/>
  <c r="HE166" i="14"/>
  <c r="GQ168" i="14"/>
  <c r="HC171" i="14"/>
  <c r="HG126" i="14"/>
  <c r="GQ158" i="14"/>
  <c r="DR115" i="14"/>
  <c r="HH126" i="14"/>
  <c r="GR158" i="14"/>
  <c r="ID104" i="14"/>
  <c r="GN105" i="14"/>
  <c r="GZ105" i="14"/>
  <c r="HL105" i="14"/>
  <c r="CZ110" i="14"/>
  <c r="GP110" i="14"/>
  <c r="HB110" i="14"/>
  <c r="HI126" i="14"/>
  <c r="GI144" i="14"/>
  <c r="GU144" i="14"/>
  <c r="HG144" i="14"/>
  <c r="GI145" i="14"/>
  <c r="GU145" i="14"/>
  <c r="HG145" i="14"/>
  <c r="DP157" i="14"/>
  <c r="GW157" i="14"/>
  <c r="HI157" i="14"/>
  <c r="GS158" i="14"/>
  <c r="HG164" i="14"/>
  <c r="HD168" i="14"/>
  <c r="HD158" i="14"/>
  <c r="IK102" i="14"/>
  <c r="HX104" i="14"/>
  <c r="IJ104" i="14"/>
  <c r="IN104" i="14"/>
  <c r="GR110" i="14"/>
  <c r="HD110" i="14"/>
  <c r="HI133" i="14"/>
  <c r="HD151" i="14"/>
  <c r="GJ151" i="14"/>
  <c r="GV151" i="14"/>
  <c r="HH151" i="14"/>
  <c r="HC158" i="14"/>
  <c r="GT158" i="14"/>
  <c r="HF158" i="14"/>
  <c r="HE158" i="14"/>
  <c r="GX165" i="14"/>
  <c r="GL167" i="14"/>
  <c r="GX167" i="14"/>
  <c r="HJ167" i="14"/>
  <c r="HF168" i="14"/>
  <c r="IM99" i="14"/>
  <c r="HN102" i="14"/>
  <c r="HZ102" i="14"/>
  <c r="IL102" i="14"/>
  <c r="HM104" i="14"/>
  <c r="HY104" i="14"/>
  <c r="IK104" i="14"/>
  <c r="GS105" i="14"/>
  <c r="HU105" i="14"/>
  <c r="IG105" i="14"/>
  <c r="GI109" i="14"/>
  <c r="GU109" i="14"/>
  <c r="HG109" i="14"/>
  <c r="GS110" i="14"/>
  <c r="HE110" i="14"/>
  <c r="GN112" i="14"/>
  <c r="GZ112" i="14"/>
  <c r="HL112" i="14"/>
  <c r="HD118" i="14"/>
  <c r="GQ124" i="14"/>
  <c r="HC124" i="14"/>
  <c r="GM124" i="14"/>
  <c r="GL126" i="14"/>
  <c r="GX126" i="14"/>
  <c r="HJ126" i="14"/>
  <c r="GL135" i="14"/>
  <c r="GW136" i="14"/>
  <c r="GS143" i="14"/>
  <c r="HE143" i="14"/>
  <c r="GZ143" i="14"/>
  <c r="HH147" i="14"/>
  <c r="GK151" i="14"/>
  <c r="GW151" i="14"/>
  <c r="HI151" i="14"/>
  <c r="HL153" i="14"/>
  <c r="HF155" i="14"/>
  <c r="GU158" i="14"/>
  <c r="HG158" i="14"/>
  <c r="DS165" i="14"/>
  <c r="HF165" i="14"/>
  <c r="GM167" i="14"/>
  <c r="GY167" i="14"/>
  <c r="HK167" i="14"/>
  <c r="GJ168" i="14"/>
  <c r="GV168" i="14"/>
  <c r="HH168" i="14"/>
  <c r="HG168" i="14"/>
  <c r="IO99" i="14"/>
  <c r="HO102" i="14"/>
  <c r="IA102" i="14"/>
  <c r="IM102" i="14"/>
  <c r="GS104" i="14"/>
  <c r="HN104" i="14"/>
  <c r="HZ104" i="14"/>
  <c r="IL104" i="14"/>
  <c r="HV105" i="14"/>
  <c r="IH105" i="14"/>
  <c r="GT106" i="14"/>
  <c r="HF106" i="14"/>
  <c r="GJ109" i="14"/>
  <c r="GV109" i="14"/>
  <c r="HH109" i="14"/>
  <c r="HF112" i="14"/>
  <c r="GJ112" i="14"/>
  <c r="DW124" i="14"/>
  <c r="GR124" i="14"/>
  <c r="HD124" i="14"/>
  <c r="GV130" i="14"/>
  <c r="DF131" i="14"/>
  <c r="HB135" i="14"/>
  <c r="GP135" i="14"/>
  <c r="HH136" i="14"/>
  <c r="GK139" i="14"/>
  <c r="GW139" i="14"/>
  <c r="HI139" i="14"/>
  <c r="DN143" i="14"/>
  <c r="GT143" i="14"/>
  <c r="HF143" i="14"/>
  <c r="HA143" i="14"/>
  <c r="GK146" i="14"/>
  <c r="GL151" i="14"/>
  <c r="GX151" i="14"/>
  <c r="HJ151" i="14"/>
  <c r="HD155" i="14"/>
  <c r="GT157" i="14"/>
  <c r="GK157" i="14"/>
  <c r="GJ158" i="14"/>
  <c r="HG165" i="14"/>
  <c r="GL166" i="14"/>
  <c r="GX166" i="14"/>
  <c r="HJ166" i="14"/>
  <c r="GV167" i="14"/>
  <c r="GI174" i="14"/>
  <c r="GU174" i="14"/>
  <c r="HG174" i="14"/>
  <c r="GY174" i="14"/>
  <c r="DX99" i="14"/>
  <c r="HH102" i="14"/>
  <c r="HP102" i="14"/>
  <c r="IB102" i="14"/>
  <c r="IN102" i="14"/>
  <c r="DD104" i="14"/>
  <c r="HO104" i="14"/>
  <c r="IA104" i="14"/>
  <c r="IM104" i="14"/>
  <c r="GI110" i="14"/>
  <c r="GU110" i="14"/>
  <c r="HG110" i="14"/>
  <c r="GP112" i="14"/>
  <c r="HB112" i="14"/>
  <c r="GK112" i="14"/>
  <c r="GK115" i="14"/>
  <c r="GW115" i="14"/>
  <c r="HI115" i="14"/>
  <c r="GN126" i="14"/>
  <c r="GZ126" i="14"/>
  <c r="HL126" i="14"/>
  <c r="GW130" i="14"/>
  <c r="GQ135" i="14"/>
  <c r="HA135" i="14"/>
  <c r="GS138" i="14"/>
  <c r="GI143" i="14"/>
  <c r="GU143" i="14"/>
  <c r="HG143" i="14"/>
  <c r="HJ143" i="14"/>
  <c r="GL146" i="14"/>
  <c r="GL149" i="14"/>
  <c r="GX149" i="14"/>
  <c r="HJ149" i="14"/>
  <c r="GM151" i="14"/>
  <c r="GY151" i="14"/>
  <c r="HK151" i="14"/>
  <c r="GY154" i="14"/>
  <c r="GP157" i="14"/>
  <c r="HB157" i="14"/>
  <c r="GL157" i="14"/>
  <c r="GN164" i="14"/>
  <c r="GZ164" i="14"/>
  <c r="HL164" i="14"/>
  <c r="HH165" i="14"/>
  <c r="GM166" i="14"/>
  <c r="GY166" i="14"/>
  <c r="HK166" i="14"/>
  <c r="CZ167" i="14"/>
  <c r="GJ167" i="14"/>
  <c r="HC169" i="14"/>
  <c r="DS170" i="14"/>
  <c r="GT170" i="14"/>
  <c r="HF170" i="14"/>
  <c r="GK171" i="14"/>
  <c r="GW171" i="14"/>
  <c r="HI171" i="14"/>
  <c r="GJ174" i="14"/>
  <c r="GV174" i="14"/>
  <c r="HH174" i="14"/>
  <c r="HA174" i="14"/>
  <c r="HQ102" i="14"/>
  <c r="IC102" i="14"/>
  <c r="IO102" i="14"/>
  <c r="HX105" i="14"/>
  <c r="IJ105" i="14"/>
  <c r="GM112" i="14"/>
  <c r="GL117" i="14"/>
  <c r="GX117" i="14"/>
  <c r="HJ117" i="14"/>
  <c r="CW126" i="14"/>
  <c r="GO126" i="14"/>
  <c r="HA126" i="14"/>
  <c r="GI126" i="14"/>
  <c r="GY130" i="14"/>
  <c r="HJ133" i="14"/>
  <c r="GR135" i="14"/>
  <c r="HD135" i="14"/>
  <c r="GT138" i="14"/>
  <c r="GJ143" i="14"/>
  <c r="GV143" i="14"/>
  <c r="HH143" i="14"/>
  <c r="HK143" i="14"/>
  <c r="GL144" i="14"/>
  <c r="GX145" i="14"/>
  <c r="GQ146" i="14"/>
  <c r="HC146" i="14"/>
  <c r="GM146" i="14"/>
  <c r="GM149" i="14"/>
  <c r="GY149" i="14"/>
  <c r="HK149" i="14"/>
  <c r="GK150" i="14"/>
  <c r="GW150" i="14"/>
  <c r="HI150" i="14"/>
  <c r="GN151" i="14"/>
  <c r="GZ151" i="14"/>
  <c r="HL151" i="14"/>
  <c r="DN153" i="14"/>
  <c r="GQ157" i="14"/>
  <c r="HC157" i="14"/>
  <c r="HD157" i="14"/>
  <c r="GM164" i="14"/>
  <c r="GM165" i="14"/>
  <c r="GY165" i="14"/>
  <c r="HK165" i="14"/>
  <c r="HI165" i="14"/>
  <c r="GP167" i="14"/>
  <c r="HB167" i="14"/>
  <c r="HD167" i="14"/>
  <c r="GM168" i="14"/>
  <c r="GY168" i="14"/>
  <c r="HK168" i="14"/>
  <c r="HD169" i="14"/>
  <c r="GL171" i="14"/>
  <c r="GX171" i="14"/>
  <c r="HJ171" i="14"/>
  <c r="HJ174" i="14"/>
  <c r="GM104" i="14"/>
  <c r="GY104" i="14"/>
  <c r="HK104" i="14"/>
  <c r="HM105" i="14"/>
  <c r="HY105" i="14"/>
  <c r="IK105" i="14"/>
  <c r="GI108" i="14"/>
  <c r="GU108" i="14"/>
  <c r="HG108" i="14"/>
  <c r="GK110" i="14"/>
  <c r="GW110" i="14"/>
  <c r="HI110" i="14"/>
  <c r="GR112" i="14"/>
  <c r="HD112" i="14"/>
  <c r="GW112" i="14"/>
  <c r="GM115" i="14"/>
  <c r="GY115" i="14"/>
  <c r="HK115" i="14"/>
  <c r="GP126" i="14"/>
  <c r="HB126" i="14"/>
  <c r="GJ126" i="14"/>
  <c r="HK133" i="14"/>
  <c r="GS136" i="14"/>
  <c r="HE136" i="14"/>
  <c r="HC138" i="14"/>
  <c r="GN144" i="14"/>
  <c r="GR146" i="14"/>
  <c r="HD146" i="14"/>
  <c r="GL150" i="14"/>
  <c r="GX150" i="14"/>
  <c r="HJ150" i="14"/>
  <c r="GO151" i="14"/>
  <c r="HA151" i="14"/>
  <c r="GP151" i="14"/>
  <c r="GR157" i="14"/>
  <c r="HE157" i="14"/>
  <c r="GM158" i="14"/>
  <c r="GY158" i="14"/>
  <c r="HK158" i="14"/>
  <c r="GU164" i="14"/>
  <c r="GN168" i="14"/>
  <c r="GZ168" i="14"/>
  <c r="HL168" i="14"/>
  <c r="GM171" i="14"/>
  <c r="GY171" i="14"/>
  <c r="HK171" i="14"/>
  <c r="DA8" i="14"/>
  <c r="GR84" i="14"/>
  <c r="HM92" i="14"/>
  <c r="HY92" i="14"/>
  <c r="IK92" i="14"/>
  <c r="HH99" i="14"/>
  <c r="IJ99" i="14"/>
  <c r="GK99" i="14"/>
  <c r="IE99" i="14"/>
  <c r="GJ99" i="14"/>
  <c r="IC99" i="14"/>
  <c r="HL99" i="14"/>
  <c r="HK99" i="14"/>
  <c r="HJ99" i="14"/>
  <c r="HE99" i="14"/>
  <c r="HW99" i="14"/>
  <c r="II99" i="14"/>
  <c r="GZ99" i="14"/>
  <c r="HV84" i="14"/>
  <c r="IN84" i="14"/>
  <c r="II84" i="14"/>
  <c r="ID92" i="14"/>
  <c r="GT92" i="14"/>
  <c r="IC92" i="14"/>
  <c r="GQ92" i="14"/>
  <c r="IA92" i="14"/>
  <c r="GI92" i="14"/>
  <c r="HW92" i="14"/>
  <c r="HS92" i="14"/>
  <c r="HR92" i="14"/>
  <c r="HK92" i="14"/>
  <c r="HN92" i="14"/>
  <c r="HZ92" i="14"/>
  <c r="IL92" i="14"/>
  <c r="IP92" i="14"/>
  <c r="IF95" i="14"/>
  <c r="HO101" i="14"/>
  <c r="IA101" i="14"/>
  <c r="IM101" i="14"/>
  <c r="HJ127" i="14"/>
  <c r="GQ127" i="14"/>
  <c r="GJ127" i="14"/>
  <c r="GI127" i="14"/>
  <c r="HH127" i="14"/>
  <c r="HG127" i="14"/>
  <c r="HF127" i="14"/>
  <c r="HE127" i="14"/>
  <c r="GU127" i="14"/>
  <c r="GT127" i="14"/>
  <c r="GS127" i="14"/>
  <c r="HQ101" i="14"/>
  <c r="GW101" i="14"/>
  <c r="GV101" i="14"/>
  <c r="GU101" i="14"/>
  <c r="IO101" i="14"/>
  <c r="GS101" i="14"/>
  <c r="IC101" i="14"/>
  <c r="GL101" i="14"/>
  <c r="HV101" i="14"/>
  <c r="GK101" i="14"/>
  <c r="HJ101" i="14"/>
  <c r="GJ101" i="14"/>
  <c r="HP101" i="14"/>
  <c r="IB101" i="14"/>
  <c r="IN101" i="14"/>
  <c r="GU114" i="14"/>
  <c r="GY163" i="14"/>
  <c r="HI163" i="14"/>
  <c r="HH163" i="14"/>
  <c r="GX163" i="14"/>
  <c r="GV163" i="14"/>
  <c r="GN163" i="14"/>
  <c r="GZ163" i="14"/>
  <c r="GW163" i="14"/>
  <c r="GS163" i="14"/>
  <c r="HE163" i="14"/>
  <c r="IH100" i="14"/>
  <c r="IF100" i="14"/>
  <c r="HR100" i="14"/>
  <c r="GM101" i="14"/>
  <c r="GY101" i="14"/>
  <c r="HK101" i="14"/>
  <c r="GP107" i="14"/>
  <c r="GO107" i="14"/>
  <c r="HA107" i="14"/>
  <c r="GQ107" i="14"/>
  <c r="GI107" i="14"/>
  <c r="GU107" i="14"/>
  <c r="HG107" i="14"/>
  <c r="DF163" i="14"/>
  <c r="CW10" i="14"/>
  <c r="CY11" i="14"/>
  <c r="DQ74" i="14"/>
  <c r="DQ100" i="14"/>
  <c r="HR101" i="14"/>
  <c r="ID101" i="14"/>
  <c r="IP101" i="14"/>
  <c r="DU6" i="14"/>
  <c r="CW39" i="14"/>
  <c r="GL100" i="14"/>
  <c r="GI101" i="14"/>
  <c r="HL125" i="14"/>
  <c r="GS125" i="14"/>
  <c r="GL125" i="14"/>
  <c r="GK125" i="14"/>
  <c r="HJ125" i="14"/>
  <c r="GJ125" i="14"/>
  <c r="HI125" i="14"/>
  <c r="GI125" i="14"/>
  <c r="HH125" i="14"/>
  <c r="HG125" i="14"/>
  <c r="GX125" i="14"/>
  <c r="GW125" i="14"/>
  <c r="GV125" i="14"/>
  <c r="GU125" i="14"/>
  <c r="IH84" i="14"/>
  <c r="HD114" i="14"/>
  <c r="GT114" i="14"/>
  <c r="GK114" i="14"/>
  <c r="GJ114" i="14"/>
  <c r="GI114" i="14"/>
  <c r="HI114" i="14"/>
  <c r="HH114" i="14"/>
  <c r="HG114" i="14"/>
  <c r="HF114" i="14"/>
  <c r="GW114" i="14"/>
  <c r="DK17" i="14"/>
  <c r="DD23" i="14"/>
  <c r="HQ89" i="14"/>
  <c r="IC89" i="14"/>
  <c r="IO89" i="14"/>
  <c r="GU92" i="14"/>
  <c r="HM95" i="14"/>
  <c r="HY95" i="14"/>
  <c r="IK95" i="14"/>
  <c r="GY100" i="14"/>
  <c r="GX101" i="14"/>
  <c r="GV127" i="14"/>
  <c r="GN142" i="14"/>
  <c r="GM142" i="14"/>
  <c r="DA64" i="14"/>
  <c r="HL89" i="14"/>
  <c r="GY92" i="14"/>
  <c r="GJ95" i="14"/>
  <c r="HZ95" i="14"/>
  <c r="HH95" i="14"/>
  <c r="GQ100" i="14"/>
  <c r="HC100" i="14"/>
  <c r="HF100" i="14"/>
  <c r="HE101" i="14"/>
  <c r="HG123" i="14"/>
  <c r="HI123" i="14"/>
  <c r="GY123" i="14"/>
  <c r="GX123" i="14"/>
  <c r="GW123" i="14"/>
  <c r="GM123" i="14"/>
  <c r="GL123" i="14"/>
  <c r="GK123" i="14"/>
  <c r="HK123" i="14"/>
  <c r="HJ123" i="14"/>
  <c r="HC127" i="14"/>
  <c r="GN137" i="14"/>
  <c r="HG137" i="14"/>
  <c r="DB25" i="14"/>
  <c r="HM81" i="14"/>
  <c r="HL81" i="14"/>
  <c r="HX81" i="14"/>
  <c r="IE84" i="14"/>
  <c r="HQ86" i="14"/>
  <c r="GY86" i="14"/>
  <c r="HH89" i="14"/>
  <c r="HF89" i="14"/>
  <c r="GX89" i="14"/>
  <c r="GW89" i="14"/>
  <c r="GV89" i="14"/>
  <c r="GT89" i="14"/>
  <c r="GL89" i="14"/>
  <c r="HS89" i="14"/>
  <c r="IE89" i="14"/>
  <c r="GJ89" i="14"/>
  <c r="HC92" i="14"/>
  <c r="GL99" i="14"/>
  <c r="HH100" i="14"/>
  <c r="HG101" i="14"/>
  <c r="HL121" i="14"/>
  <c r="HK121" i="14"/>
  <c r="HA121" i="14"/>
  <c r="GM121" i="14"/>
  <c r="IK84" i="14"/>
  <c r="IG84" i="14"/>
  <c r="HR84" i="14"/>
  <c r="HP84" i="14"/>
  <c r="HO84" i="14"/>
  <c r="HB84" i="14"/>
  <c r="HA84" i="14"/>
  <c r="GY84" i="14"/>
  <c r="GM84" i="14"/>
  <c r="DO13" i="14"/>
  <c r="DE37" i="14"/>
  <c r="DE58" i="14"/>
  <c r="DO59" i="14"/>
  <c r="DK84" i="14"/>
  <c r="IF84" i="14"/>
  <c r="GJ84" i="14"/>
  <c r="IC86" i="14"/>
  <c r="HF86" i="14"/>
  <c r="HE86" i="14"/>
  <c r="HD86" i="14"/>
  <c r="HA86" i="14"/>
  <c r="GN86" i="14"/>
  <c r="GM86" i="14"/>
  <c r="GK86" i="14"/>
  <c r="HR86" i="14"/>
  <c r="GZ86" i="14"/>
  <c r="HT89" i="14"/>
  <c r="IF89" i="14"/>
  <c r="GK89" i="14"/>
  <c r="GR92" i="14"/>
  <c r="HD92" i="14"/>
  <c r="HF92" i="14"/>
  <c r="GL95" i="14"/>
  <c r="GX95" i="14"/>
  <c r="HJ95" i="14"/>
  <c r="GS99" i="14"/>
  <c r="HH101" i="14"/>
  <c r="HB107" i="14"/>
  <c r="GY111" i="14"/>
  <c r="HL111" i="14"/>
  <c r="HJ111" i="14"/>
  <c r="GW111" i="14"/>
  <c r="HK111" i="14"/>
  <c r="GX111" i="14"/>
  <c r="GN111" i="14"/>
  <c r="GM111" i="14"/>
  <c r="GN121" i="14"/>
  <c r="DT127" i="14"/>
  <c r="GR127" i="14"/>
  <c r="HD127" i="14"/>
  <c r="IM95" i="14"/>
  <c r="HD95" i="14"/>
  <c r="HC95" i="14"/>
  <c r="HB95" i="14"/>
  <c r="GV95" i="14"/>
  <c r="DB20" i="14"/>
  <c r="DY36" i="14"/>
  <c r="HZ81" i="14"/>
  <c r="IL81" i="14"/>
  <c r="HC84" i="14"/>
  <c r="GK84" i="14"/>
  <c r="GO86" i="14"/>
  <c r="IE86" i="14"/>
  <c r="GI86" i="14"/>
  <c r="II88" i="14"/>
  <c r="GU88" i="14"/>
  <c r="IH88" i="14"/>
  <c r="GI88" i="14"/>
  <c r="IG88" i="14"/>
  <c r="IE88" i="14"/>
  <c r="IA88" i="14"/>
  <c r="HW88" i="14"/>
  <c r="HV88" i="14"/>
  <c r="HI89" i="14"/>
  <c r="GS92" i="14"/>
  <c r="HG92" i="14"/>
  <c r="GM95" i="14"/>
  <c r="GY95" i="14"/>
  <c r="HK95" i="14"/>
  <c r="GQ99" i="14"/>
  <c r="IG99" i="14"/>
  <c r="GU99" i="14"/>
  <c r="HI101" i="14"/>
  <c r="HC107" i="14"/>
  <c r="GO119" i="14"/>
  <c r="HC119" i="14"/>
  <c r="HB119" i="14"/>
  <c r="GL81" i="14"/>
  <c r="GX81" i="14"/>
  <c r="HJ81" i="14"/>
  <c r="HT86" i="14"/>
  <c r="IF86" i="14"/>
  <c r="GJ88" i="14"/>
  <c r="GV88" i="14"/>
  <c r="HH88" i="14"/>
  <c r="GQ89" i="14"/>
  <c r="HC89" i="14"/>
  <c r="GK92" i="14"/>
  <c r="GW92" i="14"/>
  <c r="HI92" i="14"/>
  <c r="GN95" i="14"/>
  <c r="GZ95" i="14"/>
  <c r="HL95" i="14"/>
  <c r="HN99" i="14"/>
  <c r="HZ99" i="14"/>
  <c r="IL99" i="14"/>
  <c r="II100" i="14"/>
  <c r="HF101" i="14"/>
  <c r="GP101" i="14"/>
  <c r="HB101" i="14"/>
  <c r="DO119" i="14"/>
  <c r="GS119" i="14"/>
  <c r="HE119" i="14"/>
  <c r="DT125" i="14"/>
  <c r="CZ78" i="14"/>
  <c r="GP78" i="14"/>
  <c r="HB78" i="14"/>
  <c r="GS78" i="14"/>
  <c r="IA79" i="14"/>
  <c r="GP80" i="14"/>
  <c r="HD82" i="14"/>
  <c r="HJ83" i="14"/>
  <c r="HM84" i="14"/>
  <c r="GU84" i="14"/>
  <c r="HG84" i="14"/>
  <c r="GZ85" i="14"/>
  <c r="GQ86" i="14"/>
  <c r="HP87" i="14"/>
  <c r="GL88" i="14"/>
  <c r="HO88" i="14"/>
  <c r="IM88" i="14"/>
  <c r="GR89" i="14"/>
  <c r="HD89" i="14"/>
  <c r="HP92" i="14"/>
  <c r="IB92" i="14"/>
  <c r="IN92" i="14"/>
  <c r="GI98" i="14"/>
  <c r="HO99" i="14"/>
  <c r="GW99" i="14"/>
  <c r="HI99" i="14"/>
  <c r="HJ100" i="14"/>
  <c r="DU101" i="14"/>
  <c r="HL106" i="14"/>
  <c r="GS106" i="14"/>
  <c r="GR106" i="14"/>
  <c r="GQ106" i="14"/>
  <c r="GI106" i="14"/>
  <c r="GU106" i="14"/>
  <c r="HG106" i="14"/>
  <c r="GK107" i="14"/>
  <c r="GW107" i="14"/>
  <c r="HI107" i="14"/>
  <c r="GQ111" i="14"/>
  <c r="HC111" i="14"/>
  <c r="GP113" i="14"/>
  <c r="HB113" i="14"/>
  <c r="GJ113" i="14"/>
  <c r="GN117" i="14"/>
  <c r="GZ117" i="14"/>
  <c r="HL117" i="14"/>
  <c r="HA124" i="14"/>
  <c r="HJ124" i="14"/>
  <c r="HI124" i="14"/>
  <c r="HH124" i="14"/>
  <c r="GY124" i="14"/>
  <c r="GX124" i="14"/>
  <c r="GW124" i="14"/>
  <c r="GV124" i="14"/>
  <c r="GU130" i="14"/>
  <c r="HG130" i="14"/>
  <c r="HD138" i="14"/>
  <c r="HJ156" i="14"/>
  <c r="HI156" i="14"/>
  <c r="HU78" i="14"/>
  <c r="IG78" i="14"/>
  <c r="HD78" i="14"/>
  <c r="HE79" i="14"/>
  <c r="IB79" i="14"/>
  <c r="HA80" i="14"/>
  <c r="IC82" i="14"/>
  <c r="HL83" i="14"/>
  <c r="HN84" i="14"/>
  <c r="GV84" i="14"/>
  <c r="HH84" i="14"/>
  <c r="GT85" i="14"/>
  <c r="HF85" i="14"/>
  <c r="HA85" i="14"/>
  <c r="HV86" i="14"/>
  <c r="IH86" i="14"/>
  <c r="HP88" i="14"/>
  <c r="IB88" i="14"/>
  <c r="IN88" i="14"/>
  <c r="GS89" i="14"/>
  <c r="HE89" i="14"/>
  <c r="HQ92" i="14"/>
  <c r="GP95" i="14"/>
  <c r="HP99" i="14"/>
  <c r="IB99" i="14"/>
  <c r="IN99" i="14"/>
  <c r="GR101" i="14"/>
  <c r="HD101" i="14"/>
  <c r="DO106" i="14"/>
  <c r="GJ106" i="14"/>
  <c r="GV106" i="14"/>
  <c r="HH106" i="14"/>
  <c r="GQ113" i="14"/>
  <c r="HC113" i="14"/>
  <c r="GS114" i="14"/>
  <c r="HE114" i="14"/>
  <c r="HC117" i="14"/>
  <c r="HH130" i="14"/>
  <c r="HV78" i="14"/>
  <c r="IH78" i="14"/>
  <c r="HE78" i="14"/>
  <c r="GM79" i="14"/>
  <c r="HB80" i="14"/>
  <c r="ID82" i="14"/>
  <c r="HM83" i="14"/>
  <c r="GW84" i="14"/>
  <c r="HI84" i="14"/>
  <c r="HM85" i="14"/>
  <c r="GU85" i="14"/>
  <c r="HG85" i="14"/>
  <c r="HB85" i="14"/>
  <c r="GS86" i="14"/>
  <c r="II86" i="14"/>
  <c r="HQ88" i="14"/>
  <c r="IC88" i="14"/>
  <c r="IO88" i="14"/>
  <c r="GN92" i="14"/>
  <c r="GZ92" i="14"/>
  <c r="HL92" i="14"/>
  <c r="HQ99" i="14"/>
  <c r="GY99" i="14"/>
  <c r="HW101" i="14"/>
  <c r="II101" i="14"/>
  <c r="GS111" i="14"/>
  <c r="HE111" i="14"/>
  <c r="HL113" i="14"/>
  <c r="HH113" i="14"/>
  <c r="HG113" i="14"/>
  <c r="HE113" i="14"/>
  <c r="GX113" i="14"/>
  <c r="GW113" i="14"/>
  <c r="GV113" i="14"/>
  <c r="GU113" i="14"/>
  <c r="GR113" i="14"/>
  <c r="HD113" i="14"/>
  <c r="GL113" i="14"/>
  <c r="HD117" i="14"/>
  <c r="GM130" i="14"/>
  <c r="GK130" i="14"/>
  <c r="GJ130" i="14"/>
  <c r="GI130" i="14"/>
  <c r="HL130" i="14"/>
  <c r="HK130" i="14"/>
  <c r="HI130" i="14"/>
  <c r="HH138" i="14"/>
  <c r="HE138" i="14"/>
  <c r="GR138" i="14"/>
  <c r="GQ138" i="14"/>
  <c r="GN79" i="14"/>
  <c r="GZ79" i="14"/>
  <c r="HL79" i="14"/>
  <c r="HC80" i="14"/>
  <c r="HN85" i="14"/>
  <c r="GV85" i="14"/>
  <c r="HH85" i="14"/>
  <c r="HC85" i="14"/>
  <c r="IJ86" i="14"/>
  <c r="HE87" i="14"/>
  <c r="HS87" i="14"/>
  <c r="IE87" i="14"/>
  <c r="GJ87" i="14"/>
  <c r="HR88" i="14"/>
  <c r="ID88" i="14"/>
  <c r="IP88" i="14"/>
  <c r="GI89" i="14"/>
  <c r="GU89" i="14"/>
  <c r="HG89" i="14"/>
  <c r="GO92" i="14"/>
  <c r="HA92" i="14"/>
  <c r="GL98" i="14"/>
  <c r="HJ98" i="14"/>
  <c r="HO100" i="14"/>
  <c r="IA100" i="14"/>
  <c r="IM100" i="14"/>
  <c r="HX101" i="14"/>
  <c r="IJ101" i="14"/>
  <c r="GL106" i="14"/>
  <c r="GX106" i="14"/>
  <c r="HJ106" i="14"/>
  <c r="GS113" i="14"/>
  <c r="DR80" i="14"/>
  <c r="HX80" i="14"/>
  <c r="IJ80" i="14"/>
  <c r="HD80" i="14"/>
  <c r="HO85" i="14"/>
  <c r="HM86" i="14"/>
  <c r="GU86" i="14"/>
  <c r="HG86" i="14"/>
  <c r="HV87" i="14"/>
  <c r="GO88" i="14"/>
  <c r="HA88" i="14"/>
  <c r="HZ89" i="14"/>
  <c r="GP92" i="14"/>
  <c r="HB92" i="14"/>
  <c r="HP100" i="14"/>
  <c r="IB100" i="14"/>
  <c r="IN100" i="14"/>
  <c r="HM101" i="14"/>
  <c r="HY101" i="14"/>
  <c r="IK101" i="14"/>
  <c r="GN109" i="14"/>
  <c r="HK109" i="14"/>
  <c r="HB109" i="14"/>
  <c r="GM109" i="14"/>
  <c r="HI113" i="14"/>
  <c r="GN124" i="14"/>
  <c r="GZ124" i="14"/>
  <c r="HL124" i="14"/>
  <c r="CZ138" i="14"/>
  <c r="HM78" i="14"/>
  <c r="HY78" i="14"/>
  <c r="IK78" i="14"/>
  <c r="HR82" i="14"/>
  <c r="GL82" i="14"/>
  <c r="IB82" i="14"/>
  <c r="IN82" i="14"/>
  <c r="HT83" i="14"/>
  <c r="IF83" i="14"/>
  <c r="GJ83" i="14"/>
  <c r="HQ85" i="14"/>
  <c r="HT88" i="14"/>
  <c r="IF88" i="14"/>
  <c r="DJ90" i="14"/>
  <c r="HU92" i="14"/>
  <c r="IG92" i="14"/>
  <c r="HH96" i="14"/>
  <c r="ID98" i="14"/>
  <c r="HL98" i="14"/>
  <c r="HQ100" i="14"/>
  <c r="IC100" i="14"/>
  <c r="IO100" i="14"/>
  <c r="HN101" i="14"/>
  <c r="HZ101" i="14"/>
  <c r="IL101" i="14"/>
  <c r="HX102" i="14"/>
  <c r="IJ102" i="14"/>
  <c r="HV104" i="14"/>
  <c r="IH104" i="14"/>
  <c r="HG104" i="14"/>
  <c r="HJ113" i="14"/>
  <c r="GJ123" i="14"/>
  <c r="GV123" i="14"/>
  <c r="HH123" i="14"/>
  <c r="GJ124" i="14"/>
  <c r="HA145" i="14"/>
  <c r="GW145" i="14"/>
  <c r="GV145" i="14"/>
  <c r="GM145" i="14"/>
  <c r="GL145" i="14"/>
  <c r="GY145" i="14"/>
  <c r="GK145" i="14"/>
  <c r="GJ145" i="14"/>
  <c r="HK145" i="14"/>
  <c r="GP106" i="14"/>
  <c r="GK106" i="14"/>
  <c r="GW106" i="14"/>
  <c r="HI106" i="14"/>
  <c r="GJ107" i="14"/>
  <c r="GV107" i="14"/>
  <c r="HH107" i="14"/>
  <c r="GR111" i="14"/>
  <c r="HD111" i="14"/>
  <c r="GQ112" i="14"/>
  <c r="HC112" i="14"/>
  <c r="GL112" i="14"/>
  <c r="GT113" i="14"/>
  <c r="HF113" i="14"/>
  <c r="GL114" i="14"/>
  <c r="GX114" i="14"/>
  <c r="HJ114" i="14"/>
  <c r="GN115" i="14"/>
  <c r="GZ115" i="14"/>
  <c r="HL115" i="14"/>
  <c r="HH115" i="14"/>
  <c r="GT118" i="14"/>
  <c r="HF118" i="14"/>
  <c r="GI119" i="14"/>
  <c r="GU119" i="14"/>
  <c r="HG119" i="14"/>
  <c r="GO123" i="14"/>
  <c r="HA123" i="14"/>
  <c r="GS124" i="14"/>
  <c r="HE124" i="14"/>
  <c r="GM125" i="14"/>
  <c r="GY125" i="14"/>
  <c r="HK125" i="14"/>
  <c r="GK127" i="14"/>
  <c r="GW127" i="14"/>
  <c r="HI127" i="14"/>
  <c r="GR134" i="14"/>
  <c r="HD134" i="14"/>
  <c r="GL134" i="14"/>
  <c r="HF136" i="14"/>
  <c r="GQ140" i="14"/>
  <c r="HL146" i="14"/>
  <c r="HH146" i="14"/>
  <c r="HG146" i="14"/>
  <c r="GY146" i="14"/>
  <c r="GX146" i="14"/>
  <c r="HJ146" i="14"/>
  <c r="GJ146" i="14"/>
  <c r="GW146" i="14"/>
  <c r="HJ148" i="14"/>
  <c r="GT148" i="14"/>
  <c r="GS148" i="14"/>
  <c r="GJ148" i="14"/>
  <c r="GI148" i="14"/>
  <c r="GV148" i="14"/>
  <c r="GN148" i="14"/>
  <c r="GZ148" i="14"/>
  <c r="HL148" i="14"/>
  <c r="HK119" i="14"/>
  <c r="GJ119" i="14"/>
  <c r="GV119" i="14"/>
  <c r="HH119" i="14"/>
  <c r="HF124" i="14"/>
  <c r="HE134" i="14"/>
  <c r="GM134" i="14"/>
  <c r="CX146" i="14"/>
  <c r="HI146" i="14"/>
  <c r="GU148" i="14"/>
  <c r="GK156" i="14"/>
  <c r="GW156" i="14"/>
  <c r="GO160" i="14"/>
  <c r="GM106" i="14"/>
  <c r="GY106" i="14"/>
  <c r="HK106" i="14"/>
  <c r="GL107" i="14"/>
  <c r="GX107" i="14"/>
  <c r="HJ107" i="14"/>
  <c r="GT111" i="14"/>
  <c r="HF111" i="14"/>
  <c r="GS112" i="14"/>
  <c r="HE112" i="14"/>
  <c r="GV112" i="14"/>
  <c r="GN114" i="14"/>
  <c r="GZ114" i="14"/>
  <c r="HL114" i="14"/>
  <c r="GP115" i="14"/>
  <c r="HB115" i="14"/>
  <c r="GJ115" i="14"/>
  <c r="DG116" i="14"/>
  <c r="GK119" i="14"/>
  <c r="GW119" i="14"/>
  <c r="HI119" i="14"/>
  <c r="GT121" i="14"/>
  <c r="HF121" i="14"/>
  <c r="GQ123" i="14"/>
  <c r="HC123" i="14"/>
  <c r="GI124" i="14"/>
  <c r="GU124" i="14"/>
  <c r="HG124" i="14"/>
  <c r="GO125" i="14"/>
  <c r="HA125" i="14"/>
  <c r="HC126" i="14"/>
  <c r="GK126" i="14"/>
  <c r="GM127" i="14"/>
  <c r="GY127" i="14"/>
  <c r="HK127" i="14"/>
  <c r="GN130" i="14"/>
  <c r="GZ130" i="14"/>
  <c r="GS134" i="14"/>
  <c r="GV136" i="14"/>
  <c r="GI136" i="14"/>
  <c r="HK146" i="14"/>
  <c r="HE148" i="14"/>
  <c r="GY160" i="14"/>
  <c r="GO114" i="14"/>
  <c r="HA114" i="14"/>
  <c r="GJ116" i="14"/>
  <c r="GV116" i="14"/>
  <c r="HH116" i="14"/>
  <c r="GL119" i="14"/>
  <c r="GX119" i="14"/>
  <c r="HJ119" i="14"/>
  <c r="GI121" i="14"/>
  <c r="GU121" i="14"/>
  <c r="HG121" i="14"/>
  <c r="DX123" i="14"/>
  <c r="GR123" i="14"/>
  <c r="HD123" i="14"/>
  <c r="GP125" i="14"/>
  <c r="HB125" i="14"/>
  <c r="GN127" i="14"/>
  <c r="GZ127" i="14"/>
  <c r="HL127" i="14"/>
  <c r="GO130" i="14"/>
  <c r="HA130" i="14"/>
  <c r="DV134" i="14"/>
  <c r="GU134" i="14"/>
  <c r="HG134" i="14"/>
  <c r="GX134" i="14"/>
  <c r="GM138" i="14"/>
  <c r="GY138" i="14"/>
  <c r="HK138" i="14"/>
  <c r="HK147" i="14"/>
  <c r="GV147" i="14"/>
  <c r="GU147" i="14"/>
  <c r="GT147" i="14"/>
  <c r="GK147" i="14"/>
  <c r="HF147" i="14"/>
  <c r="HF148" i="14"/>
  <c r="GM156" i="14"/>
  <c r="GN107" i="14"/>
  <c r="GZ107" i="14"/>
  <c r="HL107" i="14"/>
  <c r="GP108" i="14"/>
  <c r="GI112" i="14"/>
  <c r="GU112" i="14"/>
  <c r="HG112" i="14"/>
  <c r="GX112" i="14"/>
  <c r="CZ113" i="14"/>
  <c r="GP114" i="14"/>
  <c r="HB114" i="14"/>
  <c r="GR115" i="14"/>
  <c r="HD115" i="14"/>
  <c r="GS115" i="14"/>
  <c r="GL118" i="14"/>
  <c r="GX118" i="14"/>
  <c r="HJ118" i="14"/>
  <c r="GJ121" i="14"/>
  <c r="GV121" i="14"/>
  <c r="HH121" i="14"/>
  <c r="GS123" i="14"/>
  <c r="HE123" i="14"/>
  <c r="GQ125" i="14"/>
  <c r="HC125" i="14"/>
  <c r="GS126" i="14"/>
  <c r="HE126" i="14"/>
  <c r="GU126" i="14"/>
  <c r="GO127" i="14"/>
  <c r="HA127" i="14"/>
  <c r="GP130" i="14"/>
  <c r="HB130" i="14"/>
  <c r="HH134" i="14"/>
  <c r="GY134" i="14"/>
  <c r="GM135" i="14"/>
  <c r="GY135" i="14"/>
  <c r="DG136" i="14"/>
  <c r="GM137" i="14"/>
  <c r="GY137" i="14"/>
  <c r="HB141" i="14"/>
  <c r="GP141" i="14"/>
  <c r="HL141" i="14"/>
  <c r="GJ141" i="14"/>
  <c r="GV141" i="14"/>
  <c r="HH141" i="14"/>
  <c r="HG148" i="14"/>
  <c r="GP160" i="14"/>
  <c r="HL160" i="14"/>
  <c r="HK160" i="14"/>
  <c r="HE160" i="14"/>
  <c r="HC160" i="14"/>
  <c r="HB160" i="14"/>
  <c r="GZ160" i="14"/>
  <c r="GN160" i="14"/>
  <c r="GM160" i="14"/>
  <c r="GQ108" i="14"/>
  <c r="GY112" i="14"/>
  <c r="GM113" i="14"/>
  <c r="GY113" i="14"/>
  <c r="HK113" i="14"/>
  <c r="DU114" i="14"/>
  <c r="GQ114" i="14"/>
  <c r="HC114" i="14"/>
  <c r="GT115" i="14"/>
  <c r="GT116" i="14"/>
  <c r="GL116" i="14"/>
  <c r="GX116" i="14"/>
  <c r="HJ116" i="14"/>
  <c r="GR118" i="14"/>
  <c r="GM118" i="14"/>
  <c r="GY118" i="14"/>
  <c r="HK118" i="14"/>
  <c r="GN119" i="14"/>
  <c r="GZ119" i="14"/>
  <c r="HL119" i="14"/>
  <c r="GK122" i="14"/>
  <c r="GW122" i="14"/>
  <c r="HI122" i="14"/>
  <c r="GT123" i="14"/>
  <c r="HF123" i="14"/>
  <c r="GR125" i="14"/>
  <c r="HD125" i="14"/>
  <c r="GV126" i="14"/>
  <c r="GP127" i="14"/>
  <c r="HB127" i="14"/>
  <c r="GQ130" i="14"/>
  <c r="HC130" i="14"/>
  <c r="GV134" i="14"/>
  <c r="GW134" i="14"/>
  <c r="HI134" i="14"/>
  <c r="HK135" i="14"/>
  <c r="GX135" i="14"/>
  <c r="GW135" i="14"/>
  <c r="GO135" i="14"/>
  <c r="GN135" i="14"/>
  <c r="GZ135" i="14"/>
  <c r="GO138" i="14"/>
  <c r="HA138" i="14"/>
  <c r="DO140" i="14"/>
  <c r="GK141" i="14"/>
  <c r="GW141" i="14"/>
  <c r="HI141" i="14"/>
  <c r="GN147" i="14"/>
  <c r="GZ147" i="14"/>
  <c r="HL147" i="14"/>
  <c r="HH148" i="14"/>
  <c r="IP102" i="14"/>
  <c r="GL104" i="14"/>
  <c r="GX104" i="14"/>
  <c r="HJ104" i="14"/>
  <c r="HW105" i="14"/>
  <c r="II105" i="14"/>
  <c r="DN108" i="14"/>
  <c r="GR108" i="14"/>
  <c r="HD108" i="14"/>
  <c r="HH112" i="14"/>
  <c r="GU115" i="14"/>
  <c r="GK117" i="14"/>
  <c r="GW117" i="14"/>
  <c r="HI117" i="14"/>
  <c r="GL121" i="14"/>
  <c r="GX121" i="14"/>
  <c r="HJ121" i="14"/>
  <c r="GW126" i="14"/>
  <c r="GR130" i="14"/>
  <c r="HD130" i="14"/>
  <c r="HH133" i="14"/>
  <c r="GK135" i="14"/>
  <c r="GN136" i="14"/>
  <c r="GZ136" i="14"/>
  <c r="HL136" i="14"/>
  <c r="GP138" i="14"/>
  <c r="HB138" i="14"/>
  <c r="GL141" i="14"/>
  <c r="GX141" i="14"/>
  <c r="HJ141" i="14"/>
  <c r="GP145" i="14"/>
  <c r="HB145" i="14"/>
  <c r="GO146" i="14"/>
  <c r="HA146" i="14"/>
  <c r="GI146" i="14"/>
  <c r="GO147" i="14"/>
  <c r="HA147" i="14"/>
  <c r="GI147" i="14"/>
  <c r="HI149" i="14"/>
  <c r="GP146" i="14"/>
  <c r="HB146" i="14"/>
  <c r="DD152" i="14"/>
  <c r="GR155" i="14"/>
  <c r="GN159" i="14"/>
  <c r="HL159" i="14"/>
  <c r="GU166" i="14"/>
  <c r="GI170" i="14"/>
  <c r="GU170" i="14"/>
  <c r="HG170" i="14"/>
  <c r="GV176" i="14"/>
  <c r="HC155" i="14"/>
  <c r="GT155" i="14"/>
  <c r="GQ159" i="14"/>
  <c r="GV166" i="14"/>
  <c r="GJ170" i="14"/>
  <c r="GV170" i="14"/>
  <c r="HH170" i="14"/>
  <c r="GW176" i="14"/>
  <c r="GX176" i="14"/>
  <c r="GY176" i="14"/>
  <c r="HH155" i="14"/>
  <c r="GL156" i="14"/>
  <c r="GS160" i="14"/>
  <c r="GM170" i="14"/>
  <c r="GY170" i="14"/>
  <c r="HK170" i="14"/>
  <c r="HG176" i="14"/>
  <c r="HH176" i="14"/>
  <c r="GT159" i="14"/>
  <c r="HF159" i="14"/>
  <c r="GI160" i="14"/>
  <c r="GU160" i="14"/>
  <c r="HG160" i="14"/>
  <c r="GT163" i="14"/>
  <c r="HF163" i="14"/>
  <c r="GN166" i="14"/>
  <c r="GZ166" i="14"/>
  <c r="HL166" i="14"/>
  <c r="HH166" i="14"/>
  <c r="GS170" i="14"/>
  <c r="GO176" i="14"/>
  <c r="HA176" i="14"/>
  <c r="GI176" i="14"/>
  <c r="HI176" i="14"/>
  <c r="HC135" i="14"/>
  <c r="GM136" i="14"/>
  <c r="GY136" i="14"/>
  <c r="HK136" i="14"/>
  <c r="GL137" i="14"/>
  <c r="HL143" i="14"/>
  <c r="GQ145" i="14"/>
  <c r="HC145" i="14"/>
  <c r="GQ147" i="14"/>
  <c r="HC147" i="14"/>
  <c r="GO148" i="14"/>
  <c r="HA148" i="14"/>
  <c r="GQ151" i="14"/>
  <c r="GP152" i="14"/>
  <c r="GM153" i="14"/>
  <c r="GY153" i="14"/>
  <c r="HK153" i="14"/>
  <c r="GK155" i="14"/>
  <c r="GW155" i="14"/>
  <c r="HI155" i="14"/>
  <c r="GJ160" i="14"/>
  <c r="GV160" i="14"/>
  <c r="HH160" i="14"/>
  <c r="GI162" i="14"/>
  <c r="GU162" i="14"/>
  <c r="HG162" i="14"/>
  <c r="GO164" i="14"/>
  <c r="HA164" i="14"/>
  <c r="GI164" i="14"/>
  <c r="HI164" i="14"/>
  <c r="GO166" i="14"/>
  <c r="HA166" i="14"/>
  <c r="GI166" i="14"/>
  <c r="HI166" i="14"/>
  <c r="HE167" i="14"/>
  <c r="GR170" i="14"/>
  <c r="HA170" i="14"/>
  <c r="HI174" i="14"/>
  <c r="GP176" i="14"/>
  <c r="HB176" i="14"/>
  <c r="GJ176" i="14"/>
  <c r="HJ176" i="14"/>
  <c r="GK140" i="14"/>
  <c r="GW140" i="14"/>
  <c r="HI140" i="14"/>
  <c r="DM144" i="14"/>
  <c r="DX145" i="14"/>
  <c r="GR145" i="14"/>
  <c r="HD145" i="14"/>
  <c r="GR147" i="14"/>
  <c r="HD147" i="14"/>
  <c r="GP148" i="14"/>
  <c r="HB148" i="14"/>
  <c r="GS151" i="14"/>
  <c r="GR152" i="14"/>
  <c r="GL155" i="14"/>
  <c r="GX155" i="14"/>
  <c r="HJ155" i="14"/>
  <c r="GK160" i="14"/>
  <c r="GW160" i="14"/>
  <c r="HI160" i="14"/>
  <c r="DO161" i="14"/>
  <c r="GP164" i="14"/>
  <c r="HB164" i="14"/>
  <c r="GJ164" i="14"/>
  <c r="HJ164" i="14"/>
  <c r="GP166" i="14"/>
  <c r="HB166" i="14"/>
  <c r="GJ166" i="14"/>
  <c r="HF167" i="14"/>
  <c r="HB170" i="14"/>
  <c r="GQ176" i="14"/>
  <c r="HC176" i="14"/>
  <c r="GK176" i="14"/>
  <c r="HK176" i="14"/>
  <c r="GO136" i="14"/>
  <c r="HA136" i="14"/>
  <c r="GK138" i="14"/>
  <c r="GW138" i="14"/>
  <c r="HI138" i="14"/>
  <c r="GS145" i="14"/>
  <c r="HE145" i="14"/>
  <c r="GS147" i="14"/>
  <c r="HE147" i="14"/>
  <c r="GQ148" i="14"/>
  <c r="HC148" i="14"/>
  <c r="GR149" i="14"/>
  <c r="DO151" i="14"/>
  <c r="HB151" i="14"/>
  <c r="GZ153" i="14"/>
  <c r="GM155" i="14"/>
  <c r="GQ156" i="14"/>
  <c r="HA158" i="14"/>
  <c r="GI158" i="14"/>
  <c r="DT164" i="14"/>
  <c r="GQ164" i="14"/>
  <c r="HC164" i="14"/>
  <c r="GK164" i="14"/>
  <c r="HK164" i="14"/>
  <c r="GU165" i="14"/>
  <c r="GQ166" i="14"/>
  <c r="HC166" i="14"/>
  <c r="GK166" i="14"/>
  <c r="HG167" i="14"/>
  <c r="GK168" i="14"/>
  <c r="GW168" i="14"/>
  <c r="HI168" i="14"/>
  <c r="GN169" i="14"/>
  <c r="HC170" i="14"/>
  <c r="HL171" i="14"/>
  <c r="GM172" i="14"/>
  <c r="HK174" i="14"/>
  <c r="GZ175" i="14"/>
  <c r="GR176" i="14"/>
  <c r="HD176" i="14"/>
  <c r="GL176" i="14"/>
  <c r="HF135" i="14"/>
  <c r="GM140" i="14"/>
  <c r="GY140" i="14"/>
  <c r="HK140" i="14"/>
  <c r="GK144" i="14"/>
  <c r="GT145" i="14"/>
  <c r="HF145" i="14"/>
  <c r="GR148" i="14"/>
  <c r="HD148" i="14"/>
  <c r="DU150" i="14"/>
  <c r="HC151" i="14"/>
  <c r="GN155" i="14"/>
  <c r="GZ155" i="14"/>
  <c r="GJ157" i="14"/>
  <c r="GO158" i="14"/>
  <c r="GR164" i="14"/>
  <c r="HD164" i="14"/>
  <c r="GL164" i="14"/>
  <c r="GV165" i="14"/>
  <c r="GR166" i="14"/>
  <c r="HD166" i="14"/>
  <c r="GL168" i="14"/>
  <c r="GX168" i="14"/>
  <c r="HJ168" i="14"/>
  <c r="GP169" i="14"/>
  <c r="HL172" i="14"/>
  <c r="GP175" i="14"/>
  <c r="HB175" i="14"/>
  <c r="GS176" i="14"/>
  <c r="HE176" i="14"/>
  <c r="GM176" i="14"/>
  <c r="DZ176" i="14"/>
  <c r="GT176" i="14"/>
  <c r="HF176" i="14"/>
  <c r="GU176" i="14"/>
  <c r="M77" i="17"/>
  <c r="M78" i="17" s="1"/>
  <c r="Z47" i="19"/>
  <c r="F77" i="17"/>
  <c r="F78" i="17" s="1"/>
  <c r="R77" i="17"/>
  <c r="R78" i="17" s="1"/>
  <c r="J77" i="17"/>
  <c r="J78" i="17" s="1"/>
  <c r="V77" i="17"/>
  <c r="V78" i="17" s="1"/>
  <c r="AA47" i="19"/>
  <c r="B55" i="8"/>
  <c r="N44" i="3"/>
  <c r="L46" i="3"/>
  <c r="B57" i="3"/>
  <c r="B61" i="8"/>
  <c r="B37" i="5"/>
  <c r="B80" i="8"/>
  <c r="C5" i="4"/>
  <c r="AT5" i="4" s="1"/>
  <c r="AU5" i="4" s="1"/>
  <c r="AV5" i="4" s="1"/>
  <c r="AW5" i="4" s="1"/>
  <c r="AX5" i="4" s="1"/>
  <c r="AY5" i="4" s="1"/>
  <c r="AZ5" i="4" s="1"/>
  <c r="BA5" i="4" s="1"/>
  <c r="BB5" i="4" s="1"/>
  <c r="BC5" i="4" s="1"/>
  <c r="BD5" i="4" s="1"/>
  <c r="BE5" i="4" s="1"/>
  <c r="BF5" i="4" s="1"/>
  <c r="BG5" i="4" s="1"/>
  <c r="BH5" i="4" s="1"/>
  <c r="BI5" i="4" s="1"/>
  <c r="BJ5" i="4" s="1"/>
  <c r="BK5" i="4" s="1"/>
  <c r="BL5" i="4" s="1"/>
  <c r="BM5" i="4" s="1"/>
  <c r="BN5" i="4" s="1"/>
  <c r="BO5" i="4" s="1"/>
  <c r="BP5" i="4" s="1"/>
  <c r="BQ5" i="4" s="1"/>
  <c r="BR5" i="4" s="1"/>
  <c r="BS5" i="4" s="1"/>
  <c r="BT5" i="4" s="1"/>
  <c r="BU5" i="4" s="1"/>
  <c r="BV5" i="4" s="1"/>
  <c r="BW5" i="4" s="1"/>
  <c r="B34" i="5"/>
  <c r="B39" i="5"/>
  <c r="B14" i="8"/>
  <c r="P44" i="3"/>
  <c r="B54" i="3"/>
  <c r="B173" i="3"/>
  <c r="C173" i="3" s="1"/>
  <c r="X44" i="3"/>
  <c r="E47" i="3"/>
  <c r="Z44" i="3"/>
  <c r="B56" i="3"/>
  <c r="AB44" i="3"/>
  <c r="C56" i="3"/>
  <c r="H47" i="3"/>
  <c r="AC44" i="3"/>
  <c r="B64" i="3"/>
  <c r="AC32" i="19"/>
  <c r="V47" i="19"/>
  <c r="B45" i="3"/>
  <c r="E45" i="3"/>
  <c r="K77" i="17"/>
  <c r="K78" i="17" s="1"/>
  <c r="W79" i="17"/>
  <c r="AD32" i="19"/>
  <c r="G47" i="3"/>
  <c r="B44" i="3"/>
  <c r="D44" i="3"/>
  <c r="B51" i="3"/>
  <c r="I44" i="3"/>
  <c r="B46" i="3"/>
  <c r="B63" i="3"/>
  <c r="C44" i="3"/>
  <c r="J44" i="3"/>
  <c r="G46" i="3"/>
  <c r="E56" i="3"/>
  <c r="O77" i="17"/>
  <c r="O78" i="17" s="1"/>
  <c r="S77" i="17"/>
  <c r="S78" i="17" s="1"/>
  <c r="K79" i="17"/>
  <c r="W77" i="17"/>
  <c r="W78" i="17" s="1"/>
  <c r="H77" i="17"/>
  <c r="H78" i="17" s="1"/>
  <c r="L77" i="17"/>
  <c r="L78" i="17" s="1"/>
  <c r="X79" i="17"/>
  <c r="AB47" i="19"/>
  <c r="E79" i="17"/>
  <c r="Q79" i="17"/>
  <c r="X32" i="19"/>
  <c r="AC47" i="19"/>
  <c r="Y32" i="19"/>
  <c r="Z32" i="19"/>
  <c r="H79" i="17"/>
  <c r="AA32" i="19"/>
  <c r="L44" i="3"/>
  <c r="U47" i="19"/>
  <c r="N77" i="17"/>
  <c r="N78" i="17" s="1"/>
  <c r="U44" i="3"/>
  <c r="H46" i="3"/>
  <c r="D49" i="3"/>
  <c r="L79" i="17"/>
  <c r="V44" i="3"/>
  <c r="J46" i="3"/>
  <c r="M79" i="17"/>
  <c r="F92" i="17"/>
  <c r="E88" i="17"/>
  <c r="E93" i="17"/>
  <c r="E89" i="17"/>
  <c r="F90" i="17"/>
  <c r="E92" i="17"/>
  <c r="F89" i="17"/>
  <c r="F88" i="17"/>
  <c r="F93" i="17"/>
  <c r="E91" i="17"/>
  <c r="F91" i="17"/>
  <c r="E90" i="17"/>
  <c r="M125" i="3"/>
  <c r="L47" i="3"/>
  <c r="D156" i="3"/>
  <c r="D131" i="3"/>
  <c r="D53" i="3" s="1"/>
  <c r="E106" i="3"/>
  <c r="I123" i="3"/>
  <c r="H45" i="3"/>
  <c r="O124" i="3"/>
  <c r="P124" i="3" s="1"/>
  <c r="Q124" i="3" s="1"/>
  <c r="R124" i="3" s="1"/>
  <c r="S124" i="3" s="1"/>
  <c r="N46" i="3"/>
  <c r="E280" i="3"/>
  <c r="B276" i="3"/>
  <c r="B61" i="3"/>
  <c r="C54" i="3"/>
  <c r="B49" i="3"/>
  <c r="D47" i="3"/>
  <c r="K46" i="3"/>
  <c r="F45" i="3"/>
  <c r="Y44" i="3"/>
  <c r="M44" i="3"/>
  <c r="B59" i="3"/>
  <c r="C52" i="3"/>
  <c r="B47" i="3"/>
  <c r="I46" i="3"/>
  <c r="D45" i="3"/>
  <c r="W44" i="3"/>
  <c r="K44" i="3"/>
  <c r="B62" i="3"/>
  <c r="C55" i="3"/>
  <c r="B50" i="3"/>
  <c r="K47" i="3"/>
  <c r="F46" i="3"/>
  <c r="T44" i="3"/>
  <c r="H44" i="3"/>
  <c r="B60" i="3"/>
  <c r="D46" i="3"/>
  <c r="AD44" i="3"/>
  <c r="R44" i="3"/>
  <c r="F44" i="3"/>
  <c r="B55" i="3"/>
  <c r="J47" i="3"/>
  <c r="E46" i="3"/>
  <c r="AE44" i="3"/>
  <c r="S44" i="3"/>
  <c r="G44" i="3"/>
  <c r="B48" i="3"/>
  <c r="I47" i="3"/>
  <c r="O44" i="3"/>
  <c r="C45" i="3"/>
  <c r="M46" i="3"/>
  <c r="C47" i="3"/>
  <c r="B58" i="3"/>
  <c r="C63" i="3"/>
  <c r="C128" i="3"/>
  <c r="C50" i="3" s="1"/>
  <c r="C153" i="3"/>
  <c r="B277" i="3"/>
  <c r="F281" i="3"/>
  <c r="H280" i="3"/>
  <c r="D128" i="3"/>
  <c r="D50" i="3" s="1"/>
  <c r="E103" i="3"/>
  <c r="D153" i="3"/>
  <c r="D157" i="3"/>
  <c r="E107" i="3"/>
  <c r="D132" i="3"/>
  <c r="D54" i="3" s="1"/>
  <c r="D161" i="3"/>
  <c r="D141" i="3"/>
  <c r="D63" i="3" s="1"/>
  <c r="C158" i="3"/>
  <c r="C160" i="3"/>
  <c r="I266" i="3"/>
  <c r="I265" i="3"/>
  <c r="I264" i="3"/>
  <c r="I263" i="3"/>
  <c r="I262" i="3"/>
  <c r="I261" i="3"/>
  <c r="I260" i="3"/>
  <c r="F266" i="3"/>
  <c r="E265" i="3"/>
  <c r="D264" i="3"/>
  <c r="C263" i="3"/>
  <c r="B262" i="3"/>
  <c r="M260" i="3"/>
  <c r="E266" i="3"/>
  <c r="D265" i="3"/>
  <c r="C264" i="3"/>
  <c r="B263" i="3"/>
  <c r="M261" i="3"/>
  <c r="L260" i="3"/>
  <c r="D266" i="3"/>
  <c r="C265" i="3"/>
  <c r="B264" i="3"/>
  <c r="M262" i="3"/>
  <c r="L261" i="3"/>
  <c r="K260" i="3"/>
  <c r="C266" i="3"/>
  <c r="B265" i="3"/>
  <c r="M263" i="3"/>
  <c r="L262" i="3"/>
  <c r="K261" i="3"/>
  <c r="J260" i="3"/>
  <c r="B266" i="3"/>
  <c r="M264" i="3"/>
  <c r="L263" i="3"/>
  <c r="K262" i="3"/>
  <c r="J261" i="3"/>
  <c r="H260" i="3"/>
  <c r="M265" i="3"/>
  <c r="L264" i="3"/>
  <c r="K263" i="3"/>
  <c r="J262" i="3"/>
  <c r="H261" i="3"/>
  <c r="G260" i="3"/>
  <c r="K266" i="3"/>
  <c r="J265" i="3"/>
  <c r="H264" i="3"/>
  <c r="G263" i="3"/>
  <c r="F262" i="3"/>
  <c r="D260" i="3"/>
  <c r="M266" i="3"/>
  <c r="L265" i="3"/>
  <c r="K264" i="3"/>
  <c r="J263" i="3"/>
  <c r="H262" i="3"/>
  <c r="G261" i="3"/>
  <c r="F260" i="3"/>
  <c r="L266" i="3"/>
  <c r="K265" i="3"/>
  <c r="J264" i="3"/>
  <c r="H263" i="3"/>
  <c r="G262" i="3"/>
  <c r="F261" i="3"/>
  <c r="E260" i="3"/>
  <c r="E261" i="3"/>
  <c r="E264" i="3"/>
  <c r="C277" i="3"/>
  <c r="H281" i="3"/>
  <c r="GH69" i="14"/>
  <c r="FV69" i="14"/>
  <c r="FJ69" i="14"/>
  <c r="GG69" i="14"/>
  <c r="FU69" i="14"/>
  <c r="FI69" i="14"/>
  <c r="FS69" i="14"/>
  <c r="FE69" i="14"/>
  <c r="GF69" i="14"/>
  <c r="FR69" i="14"/>
  <c r="AQ69" i="14" a="1"/>
  <c r="AQ69" i="14" s="1"/>
  <c r="BU69" i="14" s="1"/>
  <c r="G65" i="43" s="1"/>
  <c r="GE69" i="14"/>
  <c r="FQ69" i="14"/>
  <c r="GD69" i="14"/>
  <c r="FP69" i="14"/>
  <c r="GC69" i="14"/>
  <c r="FO69" i="14"/>
  <c r="GB69" i="14"/>
  <c r="FN69" i="14"/>
  <c r="GA69" i="14"/>
  <c r="FM69" i="14"/>
  <c r="FZ69" i="14"/>
  <c r="FL69" i="14"/>
  <c r="BP69" i="14" a="1"/>
  <c r="BP69" i="14" s="1"/>
  <c r="CT69" i="14" s="1"/>
  <c r="AF65" i="43" s="1"/>
  <c r="BI69" i="14" a="1"/>
  <c r="BI69" i="14" s="1"/>
  <c r="CM69" i="14" s="1"/>
  <c r="Y65" i="43" s="1"/>
  <c r="BB69" i="14" a="1"/>
  <c r="BB69" i="14" s="1"/>
  <c r="CF69" i="14" s="1"/>
  <c r="R65" i="43" s="1"/>
  <c r="AU69" i="14" a="1"/>
  <c r="AU69" i="14" s="1"/>
  <c r="BY69" i="14" s="1"/>
  <c r="K65" i="43" s="1"/>
  <c r="FY69" i="14"/>
  <c r="FK69" i="14"/>
  <c r="BG69" i="14" a="1"/>
  <c r="BG69" i="14" s="1"/>
  <c r="CK69" i="14" s="1"/>
  <c r="W65" i="43" s="1"/>
  <c r="BA69" i="14" a="1"/>
  <c r="BA69" i="14" s="1"/>
  <c r="CE69" i="14" s="1"/>
  <c r="Q65" i="43" s="1"/>
  <c r="AY69" i="14" a="1"/>
  <c r="AY69" i="14" s="1"/>
  <c r="CC69" i="14" s="1"/>
  <c r="O65" i="43" s="1"/>
  <c r="AS69" i="14" a="1"/>
  <c r="AS69" i="14" s="1"/>
  <c r="BW69" i="14" s="1"/>
  <c r="I65" i="43" s="1"/>
  <c r="FX69" i="14"/>
  <c r="FT69" i="14"/>
  <c r="BO69" i="14" a="1"/>
  <c r="BO69" i="14" s="1"/>
  <c r="CS69" i="14" s="1"/>
  <c r="AE65" i="43" s="1"/>
  <c r="FH69" i="14"/>
  <c r="FG69" i="14"/>
  <c r="BN69" i="14" a="1"/>
  <c r="BN69" i="14" s="1"/>
  <c r="CR69" i="14" s="1"/>
  <c r="AD65" i="43" s="1"/>
  <c r="FF69" i="14"/>
  <c r="BH69" i="14" a="1"/>
  <c r="BH69" i="14" s="1"/>
  <c r="CL69" i="14" s="1"/>
  <c r="X65" i="43" s="1"/>
  <c r="FW69" i="14"/>
  <c r="AR69" i="14" a="1"/>
  <c r="AR69" i="14" s="1"/>
  <c r="BV69" i="14" s="1"/>
  <c r="H65" i="43" s="1"/>
  <c r="AK89" i="9"/>
  <c r="AB148" i="20"/>
  <c r="M148" i="20"/>
  <c r="FY73" i="14"/>
  <c r="FM73" i="14"/>
  <c r="FZ72" i="14"/>
  <c r="FN72" i="14"/>
  <c r="GA71" i="14"/>
  <c r="FW73" i="14"/>
  <c r="FK73" i="14"/>
  <c r="FX72" i="14"/>
  <c r="FL72" i="14"/>
  <c r="FY71" i="14"/>
  <c r="FM71" i="14"/>
  <c r="FZ70" i="14"/>
  <c r="FN70" i="14"/>
  <c r="GE73" i="14"/>
  <c r="FS73" i="14"/>
  <c r="FG73" i="14"/>
  <c r="GF72" i="14"/>
  <c r="FT72" i="14"/>
  <c r="FH72" i="14"/>
  <c r="GG71" i="14"/>
  <c r="FU71" i="14"/>
  <c r="FI71" i="14"/>
  <c r="GH70" i="14"/>
  <c r="FV70" i="14"/>
  <c r="FJ70" i="14"/>
  <c r="GD73" i="14"/>
  <c r="FR73" i="14"/>
  <c r="FF73" i="14"/>
  <c r="GE72" i="14"/>
  <c r="FS72" i="14"/>
  <c r="FG72" i="14"/>
  <c r="GF71" i="14"/>
  <c r="FT71" i="14"/>
  <c r="FH71" i="14"/>
  <c r="GG70" i="14"/>
  <c r="FU70" i="14"/>
  <c r="FI70" i="14"/>
  <c r="GC73" i="14"/>
  <c r="FQ73" i="14"/>
  <c r="FE73" i="14"/>
  <c r="GD72" i="14"/>
  <c r="FR72" i="14"/>
  <c r="FF72" i="14"/>
  <c r="GE71" i="14"/>
  <c r="FS71" i="14"/>
  <c r="FG71" i="14"/>
  <c r="GF70" i="14"/>
  <c r="FT70" i="14"/>
  <c r="FH70" i="14"/>
  <c r="GA73" i="14"/>
  <c r="FH73" i="14"/>
  <c r="GB72" i="14"/>
  <c r="FI72" i="14"/>
  <c r="FW71" i="14"/>
  <c r="FP70" i="14"/>
  <c r="FZ73" i="14"/>
  <c r="GA72" i="14"/>
  <c r="FE72" i="14"/>
  <c r="FV71" i="14"/>
  <c r="GE70" i="14"/>
  <c r="FO70" i="14"/>
  <c r="FX73" i="14"/>
  <c r="FY72" i="14"/>
  <c r="FR71" i="14"/>
  <c r="GD70" i="14"/>
  <c r="FM70" i="14"/>
  <c r="FV73" i="14"/>
  <c r="FW72" i="14"/>
  <c r="FQ71" i="14"/>
  <c r="GC70" i="14"/>
  <c r="FL70" i="14"/>
  <c r="FU73" i="14"/>
  <c r="FV72" i="14"/>
  <c r="FP71" i="14"/>
  <c r="GB70" i="14"/>
  <c r="FK70" i="14"/>
  <c r="FT73" i="14"/>
  <c r="FU72" i="14"/>
  <c r="FO71" i="14"/>
  <c r="GA70" i="14"/>
  <c r="FG70" i="14"/>
  <c r="FP73" i="14"/>
  <c r="FQ72" i="14"/>
  <c r="GH71" i="14"/>
  <c r="FN71" i="14"/>
  <c r="FY70" i="14"/>
  <c r="FF70" i="14"/>
  <c r="FO73" i="14"/>
  <c r="FP72" i="14"/>
  <c r="GD71" i="14"/>
  <c r="FL71" i="14"/>
  <c r="FX70" i="14"/>
  <c r="FE70" i="14"/>
  <c r="GH73" i="14"/>
  <c r="FN73" i="14"/>
  <c r="FO72" i="14"/>
  <c r="GC71" i="14"/>
  <c r="FK71" i="14"/>
  <c r="FW70" i="14"/>
  <c r="GG73" i="14"/>
  <c r="FL73" i="14"/>
  <c r="GH72" i="14"/>
  <c r="FM72" i="14"/>
  <c r="GF73" i="14"/>
  <c r="GB71" i="14"/>
  <c r="FQ70" i="14"/>
  <c r="GB73" i="14"/>
  <c r="FZ71" i="14"/>
  <c r="AX70" i="14" a="1"/>
  <c r="AX70" i="14" s="1"/>
  <c r="CB70" i="14" s="1"/>
  <c r="N66" i="43" s="1"/>
  <c r="FJ73" i="14"/>
  <c r="FX71" i="14"/>
  <c r="FI73" i="14"/>
  <c r="FJ71" i="14"/>
  <c r="AW70" i="14" a="1"/>
  <c r="AW70" i="14" s="1"/>
  <c r="CA70" i="14" s="1"/>
  <c r="M66" i="43" s="1"/>
  <c r="FF71" i="14"/>
  <c r="FE71" i="14"/>
  <c r="AP70" i="14" a="1"/>
  <c r="AP70" i="14" s="1"/>
  <c r="BT70" i="14" s="1"/>
  <c r="F66" i="43" s="1"/>
  <c r="GG72" i="14"/>
  <c r="GC72" i="14"/>
  <c r="BN70" i="14" a="1"/>
  <c r="BN70" i="14" s="1"/>
  <c r="CR70" i="14" s="1"/>
  <c r="AD66" i="43" s="1"/>
  <c r="FK72" i="14"/>
  <c r="FJ72" i="14"/>
  <c r="FS70" i="14"/>
  <c r="BG70" i="14" a="1"/>
  <c r="BG70" i="14" s="1"/>
  <c r="CK70" i="14" s="1"/>
  <c r="W66" i="43" s="1"/>
  <c r="FR70" i="14"/>
  <c r="GE11" i="14"/>
  <c r="FS11" i="14"/>
  <c r="FG11" i="14"/>
  <c r="GF10" i="14"/>
  <c r="FT10" i="14"/>
  <c r="FH10" i="14"/>
  <c r="GD11" i="14"/>
  <c r="FR11" i="14"/>
  <c r="FF11" i="14"/>
  <c r="GE10" i="14"/>
  <c r="FS10" i="14"/>
  <c r="FG10" i="14"/>
  <c r="GC11" i="14"/>
  <c r="FQ11" i="14"/>
  <c r="FE11" i="14"/>
  <c r="GD10" i="14"/>
  <c r="FR10" i="14"/>
  <c r="FF10" i="14"/>
  <c r="GB11" i="14"/>
  <c r="FP11" i="14"/>
  <c r="GC10" i="14"/>
  <c r="FQ10" i="14"/>
  <c r="FE10" i="14"/>
  <c r="GA11" i="14"/>
  <c r="FO11" i="14"/>
  <c r="GB10" i="14"/>
  <c r="FP10" i="14"/>
  <c r="FZ11" i="14"/>
  <c r="FN11" i="14"/>
  <c r="GA10" i="14"/>
  <c r="FO10" i="14"/>
  <c r="FY11" i="14"/>
  <c r="FM11" i="14"/>
  <c r="FZ10" i="14"/>
  <c r="FN10" i="14"/>
  <c r="FX11" i="14"/>
  <c r="FL11" i="14"/>
  <c r="FY10" i="14"/>
  <c r="FM10" i="14"/>
  <c r="FW11" i="14"/>
  <c r="FK11" i="14"/>
  <c r="FX10" i="14"/>
  <c r="FL10" i="14"/>
  <c r="FI11" i="14"/>
  <c r="FV10" i="14"/>
  <c r="FH11" i="14"/>
  <c r="FU10" i="14"/>
  <c r="FK10" i="14"/>
  <c r="FJ10" i="14"/>
  <c r="FI10" i="14"/>
  <c r="GH11" i="14"/>
  <c r="GG11" i="14"/>
  <c r="GF11" i="14"/>
  <c r="FV11" i="14"/>
  <c r="FU11" i="14"/>
  <c r="GH10" i="14"/>
  <c r="GG10" i="14"/>
  <c r="FW10" i="14"/>
  <c r="FT11" i="14"/>
  <c r="FJ11" i="14"/>
  <c r="Q44" i="3"/>
  <c r="G45" i="3"/>
  <c r="F47" i="3"/>
  <c r="C51" i="3"/>
  <c r="B53" i="3"/>
  <c r="B260" i="3"/>
  <c r="F264" i="3"/>
  <c r="D277" i="3"/>
  <c r="I281" i="3"/>
  <c r="FW68" i="14"/>
  <c r="GH68" i="14"/>
  <c r="FV68" i="14"/>
  <c r="FJ68" i="14"/>
  <c r="FW67" i="14"/>
  <c r="FK67" i="14"/>
  <c r="FX66" i="14"/>
  <c r="FL66" i="14"/>
  <c r="FZ68" i="14"/>
  <c r="FL68" i="14"/>
  <c r="AU68" i="14" a="1"/>
  <c r="AU68" i="14" s="1"/>
  <c r="BE68" i="14" s="1" a="1"/>
  <c r="BE68" i="14" s="1"/>
  <c r="CI68" i="14" s="1"/>
  <c r="U64" i="43" s="1"/>
  <c r="GB67" i="14"/>
  <c r="FO67" i="14"/>
  <c r="AP67" i="14" a="1"/>
  <c r="AP67" i="14" s="1"/>
  <c r="AZ67" i="14" s="1" a="1"/>
  <c r="AZ67" i="14" s="1"/>
  <c r="BJ67" i="14" s="1" a="1"/>
  <c r="BJ67" i="14" s="1"/>
  <c r="CN67" i="14" s="1"/>
  <c r="Z63" i="43" s="1"/>
  <c r="GD66" i="14"/>
  <c r="FQ66" i="14"/>
  <c r="FW65" i="14"/>
  <c r="FK65" i="14"/>
  <c r="FY68" i="14"/>
  <c r="FK68" i="14"/>
  <c r="GA67" i="14"/>
  <c r="FN67" i="14"/>
  <c r="AV67" i="14" a="1"/>
  <c r="AV67" i="14" s="1"/>
  <c r="BZ67" i="14" s="1"/>
  <c r="L63" i="43" s="1"/>
  <c r="GC66" i="14"/>
  <c r="FP66" i="14"/>
  <c r="GH65" i="14"/>
  <c r="FV65" i="14"/>
  <c r="FJ65" i="14"/>
  <c r="BR65" i="14" a="1"/>
  <c r="BR65" i="14" s="1"/>
  <c r="CV65" i="14" s="1"/>
  <c r="AH61" i="43" s="1"/>
  <c r="BL65" i="14" a="1"/>
  <c r="BL65" i="14" s="1"/>
  <c r="CP65" i="14" s="1"/>
  <c r="AB61" i="43" s="1"/>
  <c r="BF65" i="14" a="1"/>
  <c r="BF65" i="14" s="1"/>
  <c r="CJ65" i="14" s="1"/>
  <c r="V61" i="43" s="1"/>
  <c r="FX68" i="14"/>
  <c r="FI68" i="14"/>
  <c r="FZ67" i="14"/>
  <c r="FM67" i="14"/>
  <c r="AO67" i="14" a="1"/>
  <c r="AO67" i="14" s="1"/>
  <c r="GB66" i="14"/>
  <c r="FO66" i="14"/>
  <c r="GG65" i="14"/>
  <c r="FU65" i="14"/>
  <c r="FI65" i="14"/>
  <c r="FU68" i="14"/>
  <c r="FH68" i="14"/>
  <c r="FY67" i="14"/>
  <c r="FL67" i="14"/>
  <c r="AU67" i="14" a="1"/>
  <c r="AU67" i="14" s="1"/>
  <c r="EQ67" i="14" s="1"/>
  <c r="DM67" i="14" s="1"/>
  <c r="GA66" i="14"/>
  <c r="FN66" i="14"/>
  <c r="GF65" i="14"/>
  <c r="FT65" i="14"/>
  <c r="FH65" i="14"/>
  <c r="FT68" i="14"/>
  <c r="FG68" i="14"/>
  <c r="FX67" i="14"/>
  <c r="FJ67" i="14"/>
  <c r="FZ66" i="14"/>
  <c r="FM66" i="14"/>
  <c r="GE65" i="14"/>
  <c r="FS65" i="14"/>
  <c r="FG65" i="14"/>
  <c r="GG68" i="14"/>
  <c r="FS68" i="14"/>
  <c r="FF68" i="14"/>
  <c r="FV67" i="14"/>
  <c r="FI67" i="14"/>
  <c r="FY66" i="14"/>
  <c r="FK66" i="14"/>
  <c r="GD65" i="14"/>
  <c r="FR65" i="14"/>
  <c r="FF65" i="14"/>
  <c r="GF68" i="14"/>
  <c r="FR68" i="14"/>
  <c r="FE68" i="14"/>
  <c r="GH67" i="14"/>
  <c r="FU67" i="14"/>
  <c r="FH67" i="14"/>
  <c r="AS67" i="14" a="1"/>
  <c r="AS67" i="14" s="1"/>
  <c r="BW67" i="14" s="1"/>
  <c r="I63" i="43" s="1"/>
  <c r="FW66" i="14"/>
  <c r="FJ66" i="14"/>
  <c r="GC65" i="14"/>
  <c r="FQ65" i="14"/>
  <c r="FE65" i="14"/>
  <c r="GE68" i="14"/>
  <c r="FQ68" i="14"/>
  <c r="AQ68" i="14" a="1"/>
  <c r="AQ68" i="14" s="1"/>
  <c r="BU68" i="14" s="1"/>
  <c r="G64" i="43" s="1"/>
  <c r="GG67" i="14"/>
  <c r="FT67" i="14"/>
  <c r="FG67" i="14"/>
  <c r="FV66" i="14"/>
  <c r="FI66" i="14"/>
  <c r="GD68" i="14"/>
  <c r="FP68" i="14"/>
  <c r="GF67" i="14"/>
  <c r="FS67" i="14"/>
  <c r="FF67" i="14"/>
  <c r="GH66" i="14"/>
  <c r="FU66" i="14"/>
  <c r="FH66" i="14"/>
  <c r="GA65" i="14"/>
  <c r="FO65" i="14"/>
  <c r="FN68" i="14"/>
  <c r="FQ67" i="14"/>
  <c r="GE66" i="14"/>
  <c r="AV65" i="14" a="1"/>
  <c r="AV65" i="14" s="1"/>
  <c r="BZ65" i="14" s="1"/>
  <c r="L61" i="43" s="1"/>
  <c r="FM68" i="14"/>
  <c r="AP68" i="14" a="1"/>
  <c r="AP68" i="14" s="1"/>
  <c r="BT68" i="14" s="1"/>
  <c r="F64" i="43" s="1"/>
  <c r="FP67" i="14"/>
  <c r="AW67" i="14" a="1"/>
  <c r="AW67" i="14" s="1"/>
  <c r="ES67" i="14" s="1"/>
  <c r="DO67" i="14" s="1"/>
  <c r="FT66" i="14"/>
  <c r="GB65" i="14"/>
  <c r="BM65" i="14" a="1"/>
  <c r="BM65" i="14" s="1"/>
  <c r="CQ65" i="14" s="1"/>
  <c r="AC61" i="43" s="1"/>
  <c r="FE67" i="14"/>
  <c r="FS66" i="14"/>
  <c r="FZ65" i="14"/>
  <c r="BI65" i="14" a="1"/>
  <c r="BI65" i="14" s="1"/>
  <c r="CM65" i="14" s="1"/>
  <c r="Y61" i="43" s="1"/>
  <c r="AU65" i="14" a="1"/>
  <c r="AU65" i="14" s="1"/>
  <c r="BY65" i="14" s="1"/>
  <c r="K61" i="43" s="1"/>
  <c r="AO68" i="14" a="1"/>
  <c r="AO68" i="14" s="1"/>
  <c r="AY68" i="14" s="1" a="1"/>
  <c r="AY68" i="14" s="1"/>
  <c r="BI68" i="14" s="1" a="1"/>
  <c r="BI68" i="14" s="1"/>
  <c r="CM68" i="14" s="1"/>
  <c r="Y64" i="43" s="1"/>
  <c r="AQ67" i="14" a="1"/>
  <c r="AQ67" i="14" s="1"/>
  <c r="BA67" i="14" s="1" a="1"/>
  <c r="BA67" i="14" s="1"/>
  <c r="FR66" i="14"/>
  <c r="FY65" i="14"/>
  <c r="BH65" i="14" a="1"/>
  <c r="BH65" i="14" s="1"/>
  <c r="CL65" i="14" s="1"/>
  <c r="X61" i="43" s="1"/>
  <c r="AT65" i="14" a="1"/>
  <c r="AT65" i="14" s="1"/>
  <c r="BX65" i="14" s="1"/>
  <c r="J61" i="43" s="1"/>
  <c r="FG66" i="14"/>
  <c r="AU66" i="14" a="1"/>
  <c r="AU66" i="14" s="1"/>
  <c r="EQ66" i="14" s="1"/>
  <c r="DM66" i="14" s="1"/>
  <c r="FX65" i="14"/>
  <c r="AQ65" i="14" a="1"/>
  <c r="AQ65" i="14" s="1"/>
  <c r="BU65" i="14" s="1"/>
  <c r="G61" i="43" s="1"/>
  <c r="FF66" i="14"/>
  <c r="FP65" i="14"/>
  <c r="BG65" i="14" a="1"/>
  <c r="BG65" i="14" s="1"/>
  <c r="CK65" i="14" s="1"/>
  <c r="W61" i="43" s="1"/>
  <c r="AP65" i="14" a="1"/>
  <c r="AP65" i="14" s="1"/>
  <c r="BT65" i="14" s="1"/>
  <c r="F61" i="43" s="1"/>
  <c r="FM65" i="14"/>
  <c r="BB65" i="14" a="1"/>
  <c r="BB65" i="14" s="1"/>
  <c r="CF65" i="14" s="1"/>
  <c r="R61" i="43" s="1"/>
  <c r="AO65" i="14" a="1"/>
  <c r="AO65" i="14" s="1"/>
  <c r="BS65" i="14" s="1"/>
  <c r="E61" i="43" s="1"/>
  <c r="GC68" i="14"/>
  <c r="GE67" i="14"/>
  <c r="AO66" i="14" a="1"/>
  <c r="AO66" i="14" s="1"/>
  <c r="BS66" i="14" s="1"/>
  <c r="E62" i="43" s="1"/>
  <c r="FL65" i="14"/>
  <c r="GB68" i="14"/>
  <c r="GD67" i="14"/>
  <c r="BA65" i="14" a="1"/>
  <c r="BA65" i="14" s="1"/>
  <c r="CE65" i="14" s="1"/>
  <c r="Q61" i="43" s="1"/>
  <c r="GA68" i="14"/>
  <c r="GC67" i="14"/>
  <c r="GG66" i="14"/>
  <c r="BO65" i="14" a="1"/>
  <c r="BO65" i="14" s="1"/>
  <c r="CS65" i="14" s="1"/>
  <c r="AE61" i="43" s="1"/>
  <c r="AZ65" i="14" a="1"/>
  <c r="AZ65" i="14" s="1"/>
  <c r="CD65" i="14" s="1"/>
  <c r="P61" i="43" s="1"/>
  <c r="GF66" i="14"/>
  <c r="FE66" i="14"/>
  <c r="AX67" i="14" a="1"/>
  <c r="AX67" i="14" s="1"/>
  <c r="CB67" i="14" s="1"/>
  <c r="N63" i="43" s="1"/>
  <c r="AV68" i="14" a="1"/>
  <c r="AV68" i="14" s="1"/>
  <c r="BZ68" i="14" s="1"/>
  <c r="L64" i="43" s="1"/>
  <c r="FR67" i="14"/>
  <c r="FO68" i="14"/>
  <c r="BN65" i="14" a="1"/>
  <c r="BN65" i="14" s="1"/>
  <c r="CR65" i="14" s="1"/>
  <c r="AD61" i="43" s="1"/>
  <c r="BC65" i="14" a="1"/>
  <c r="BC65" i="14" s="1"/>
  <c r="CG65" i="14" s="1"/>
  <c r="S61" i="43" s="1"/>
  <c r="FN65" i="14"/>
  <c r="AW65" i="14" a="1"/>
  <c r="AW65" i="14" s="1"/>
  <c r="CA65" i="14" s="1"/>
  <c r="M61" i="43" s="1"/>
  <c r="C166" i="3"/>
  <c r="C260" i="3"/>
  <c r="G264" i="3"/>
  <c r="C278" i="3"/>
  <c r="H282" i="3"/>
  <c r="C131" i="3"/>
  <c r="C53" i="3" s="1"/>
  <c r="C156" i="3"/>
  <c r="B91" i="8"/>
  <c r="B41" i="8"/>
  <c r="B66" i="8"/>
  <c r="B42" i="5"/>
  <c r="B16" i="8"/>
  <c r="D158" i="3"/>
  <c r="D278" i="3"/>
  <c r="I282" i="3"/>
  <c r="G362" i="3"/>
  <c r="G361" i="3"/>
  <c r="G360" i="3"/>
  <c r="G359" i="3"/>
  <c r="G358" i="3"/>
  <c r="G357" i="3"/>
  <c r="G356" i="3"/>
  <c r="F362" i="3"/>
  <c r="F361" i="3"/>
  <c r="F360" i="3"/>
  <c r="F359" i="3"/>
  <c r="F358" i="3"/>
  <c r="F357" i="3"/>
  <c r="F356" i="3"/>
  <c r="E362" i="3"/>
  <c r="E361" i="3"/>
  <c r="E360" i="3"/>
  <c r="E359" i="3"/>
  <c r="E358" i="3"/>
  <c r="E357" i="3"/>
  <c r="E356" i="3"/>
  <c r="K362" i="3"/>
  <c r="H361" i="3"/>
  <c r="B360" i="3"/>
  <c r="K358" i="3"/>
  <c r="H357" i="3"/>
  <c r="B356" i="3"/>
  <c r="I362" i="3"/>
  <c r="C361" i="3"/>
  <c r="L359" i="3"/>
  <c r="I358" i="3"/>
  <c r="C357" i="3"/>
  <c r="B362" i="3"/>
  <c r="K360" i="3"/>
  <c r="H359" i="3"/>
  <c r="B358" i="3"/>
  <c r="K356" i="3"/>
  <c r="M361" i="3"/>
  <c r="J360" i="3"/>
  <c r="D359" i="3"/>
  <c r="M357" i="3"/>
  <c r="J356" i="3"/>
  <c r="L361" i="3"/>
  <c r="I360" i="3"/>
  <c r="C359" i="3"/>
  <c r="L357" i="3"/>
  <c r="I356" i="3"/>
  <c r="K361" i="3"/>
  <c r="H360" i="3"/>
  <c r="B359" i="3"/>
  <c r="K357" i="3"/>
  <c r="H356" i="3"/>
  <c r="M360" i="3"/>
  <c r="D358" i="3"/>
  <c r="L360" i="3"/>
  <c r="C358" i="3"/>
  <c r="M362" i="3"/>
  <c r="D360" i="3"/>
  <c r="J357" i="3"/>
  <c r="L362" i="3"/>
  <c r="C360" i="3"/>
  <c r="I357" i="3"/>
  <c r="J362" i="3"/>
  <c r="M359" i="3"/>
  <c r="D357" i="3"/>
  <c r="H362" i="3"/>
  <c r="K359" i="3"/>
  <c r="B357" i="3"/>
  <c r="D362" i="3"/>
  <c r="J359" i="3"/>
  <c r="M356" i="3"/>
  <c r="C362" i="3"/>
  <c r="I359" i="3"/>
  <c r="L356" i="3"/>
  <c r="J361" i="3"/>
  <c r="M358" i="3"/>
  <c r="D356" i="3"/>
  <c r="I361" i="3"/>
  <c r="L358" i="3"/>
  <c r="C356" i="3"/>
  <c r="F159" i="3"/>
  <c r="C276" i="3"/>
  <c r="GG9" i="14"/>
  <c r="FU9" i="14"/>
  <c r="FI9" i="14"/>
  <c r="GH8" i="14"/>
  <c r="FV8" i="14"/>
  <c r="FJ8" i="14"/>
  <c r="AT8" i="14" a="1"/>
  <c r="AT8" i="14" s="1"/>
  <c r="EP8" i="14" s="1"/>
  <c r="DL8" i="14" s="1"/>
  <c r="FW7" i="14"/>
  <c r="FK7" i="14"/>
  <c r="FX6" i="14"/>
  <c r="FL6" i="14"/>
  <c r="BM6" i="14" a="1"/>
  <c r="BM6" i="14" s="1"/>
  <c r="CQ6" i="14" s="1"/>
  <c r="AC2" i="43" s="1"/>
  <c r="BG6" i="14" a="1"/>
  <c r="BG6" i="14" s="1"/>
  <c r="CK6" i="14" s="1"/>
  <c r="W2" i="43" s="1"/>
  <c r="BA6" i="14" a="1"/>
  <c r="BA6" i="14" s="1"/>
  <c r="CE6" i="14" s="1"/>
  <c r="Q2" i="43" s="1"/>
  <c r="AU6" i="14" a="1"/>
  <c r="AU6" i="14" s="1"/>
  <c r="BY6" i="14" s="1"/>
  <c r="K2" i="43" s="1"/>
  <c r="AO6" i="14" a="1"/>
  <c r="AO6" i="14" s="1"/>
  <c r="BS6" i="14" s="1"/>
  <c r="E2" i="43" s="1"/>
  <c r="GF9" i="14"/>
  <c r="FT9" i="14"/>
  <c r="FH9" i="14"/>
  <c r="GG8" i="14"/>
  <c r="FU8" i="14"/>
  <c r="FI8" i="14"/>
  <c r="GH7" i="14"/>
  <c r="FV7" i="14"/>
  <c r="FJ7" i="14"/>
  <c r="FW6" i="14"/>
  <c r="FK6" i="14"/>
  <c r="GE9" i="14"/>
  <c r="FS9" i="14"/>
  <c r="FG9" i="14"/>
  <c r="GF8" i="14"/>
  <c r="FT8" i="14"/>
  <c r="FH8" i="14"/>
  <c r="GG7" i="14"/>
  <c r="FU7" i="14"/>
  <c r="FI7" i="14"/>
  <c r="GH6" i="14"/>
  <c r="FV6" i="14"/>
  <c r="FJ6" i="14"/>
  <c r="GD9" i="14"/>
  <c r="FR9" i="14"/>
  <c r="FF9" i="14"/>
  <c r="GE8" i="14"/>
  <c r="FS8" i="14"/>
  <c r="FG8" i="14"/>
  <c r="GF7" i="14"/>
  <c r="FT7" i="14"/>
  <c r="FH7" i="14"/>
  <c r="GG6" i="14"/>
  <c r="FU6" i="14"/>
  <c r="FI6" i="14"/>
  <c r="GC9" i="14"/>
  <c r="FQ9" i="14"/>
  <c r="FE9" i="14"/>
  <c r="GD8" i="14"/>
  <c r="FR8" i="14"/>
  <c r="FF8" i="14"/>
  <c r="GE7" i="14"/>
  <c r="FS7" i="14"/>
  <c r="FG7" i="14"/>
  <c r="GF6" i="14"/>
  <c r="FT6" i="14"/>
  <c r="FH6" i="14"/>
  <c r="GB9" i="14"/>
  <c r="FP9" i="14"/>
  <c r="GC8" i="14"/>
  <c r="FQ8" i="14"/>
  <c r="FE8" i="14"/>
  <c r="GD7" i="14"/>
  <c r="FR7" i="14"/>
  <c r="FF7" i="14"/>
  <c r="GE6" i="14"/>
  <c r="FS6" i="14"/>
  <c r="FG6" i="14"/>
  <c r="GA9" i="14"/>
  <c r="FO9" i="14"/>
  <c r="GB8" i="14"/>
  <c r="FP8" i="14"/>
  <c r="AW8" i="14" a="1"/>
  <c r="AW8" i="14" s="1"/>
  <c r="BG8" i="14" s="1" a="1"/>
  <c r="BG8" i="14" s="1"/>
  <c r="AQ8" i="14" a="1"/>
  <c r="AQ8" i="14" s="1"/>
  <c r="FZ9" i="14"/>
  <c r="FN9" i="14"/>
  <c r="GA8" i="14"/>
  <c r="FO8" i="14"/>
  <c r="GB7" i="14"/>
  <c r="FP7" i="14"/>
  <c r="GC6" i="14"/>
  <c r="FQ6" i="14"/>
  <c r="FE6" i="14"/>
  <c r="FY9" i="14"/>
  <c r="FM9" i="14"/>
  <c r="FZ8" i="14"/>
  <c r="FN8" i="14"/>
  <c r="GA7" i="14"/>
  <c r="FO7" i="14"/>
  <c r="GB6" i="14"/>
  <c r="FP6" i="14"/>
  <c r="AU8" i="14" a="1"/>
  <c r="AU8" i="14" s="1"/>
  <c r="FY7" i="14"/>
  <c r="BJ6" i="14" a="1"/>
  <c r="BJ6" i="14" s="1"/>
  <c r="CN6" i="14" s="1"/>
  <c r="Z2" i="43" s="1"/>
  <c r="AR6" i="14" a="1"/>
  <c r="AR6" i="14" s="1"/>
  <c r="BV6" i="14" s="1"/>
  <c r="H2" i="43" s="1"/>
  <c r="FX7" i="14"/>
  <c r="GD6" i="14"/>
  <c r="AU9" i="14" a="1"/>
  <c r="AU9" i="14" s="1"/>
  <c r="BE9" i="14" s="1" a="1"/>
  <c r="BE9" i="14" s="1"/>
  <c r="BO9" i="14" s="1" a="1"/>
  <c r="BO9" i="14" s="1"/>
  <c r="CS9" i="14" s="1"/>
  <c r="AE5" i="43" s="1"/>
  <c r="FY8" i="14"/>
  <c r="FQ7" i="14"/>
  <c r="GA6" i="14"/>
  <c r="BH6" i="14" a="1"/>
  <c r="BH6" i="14" s="1"/>
  <c r="CL6" i="14" s="1"/>
  <c r="X2" i="43" s="1"/>
  <c r="AP6" i="14" a="1"/>
  <c r="AP6" i="14" s="1"/>
  <c r="BT6" i="14" s="1"/>
  <c r="F2" i="43" s="1"/>
  <c r="GH9" i="14"/>
  <c r="FX8" i="14"/>
  <c r="AO8" i="14" a="1"/>
  <c r="AO8" i="14" s="1"/>
  <c r="AY8" i="14" s="1" a="1"/>
  <c r="AY8" i="14" s="1"/>
  <c r="FN7" i="14"/>
  <c r="FZ6" i="14"/>
  <c r="FX9" i="14"/>
  <c r="AT9" i="14" a="1"/>
  <c r="AT9" i="14" s="1"/>
  <c r="BX9" i="14" s="1"/>
  <c r="J5" i="43" s="1"/>
  <c r="FW8" i="14"/>
  <c r="FM7" i="14"/>
  <c r="FY6" i="14"/>
  <c r="BD6" i="14" a="1"/>
  <c r="BD6" i="14" s="1"/>
  <c r="CH6" i="14" s="1"/>
  <c r="T2" i="43" s="1"/>
  <c r="FW9" i="14"/>
  <c r="AO9" i="14" a="1"/>
  <c r="AO9" i="14" s="1"/>
  <c r="AY9" i="14" s="1" a="1"/>
  <c r="AY9" i="14" s="1"/>
  <c r="FM8" i="14"/>
  <c r="FL7" i="14"/>
  <c r="AU7" i="14" a="1"/>
  <c r="AU7" i="14" s="1"/>
  <c r="FR6" i="14"/>
  <c r="FV9" i="14"/>
  <c r="FL8" i="14"/>
  <c r="FE7" i="14"/>
  <c r="FO6" i="14"/>
  <c r="BB6" i="14" a="1"/>
  <c r="BB6" i="14" s="1"/>
  <c r="CF6" i="14" s="1"/>
  <c r="R2" i="43" s="1"/>
  <c r="FL9" i="14"/>
  <c r="FK8" i="14"/>
  <c r="AP7" i="14" a="1"/>
  <c r="AP7" i="14" s="1"/>
  <c r="FN6" i="14"/>
  <c r="FK9" i="14"/>
  <c r="FM6" i="14"/>
  <c r="BP6" i="14" a="1"/>
  <c r="BP6" i="14" s="1"/>
  <c r="CT6" i="14" s="1"/>
  <c r="AF2" i="43" s="1"/>
  <c r="AX6" i="14" a="1"/>
  <c r="AX6" i="14" s="1"/>
  <c r="CB6" i="14" s="1"/>
  <c r="N2" i="43" s="1"/>
  <c r="FJ9" i="14"/>
  <c r="AO7" i="14" a="1"/>
  <c r="AO7" i="14" s="1"/>
  <c r="BS7" i="14" s="1"/>
  <c r="E3" i="43" s="1"/>
  <c r="FF6" i="14"/>
  <c r="BN6" i="14" a="1"/>
  <c r="BN6" i="14" s="1"/>
  <c r="CR6" i="14" s="1"/>
  <c r="AD2" i="43" s="1"/>
  <c r="AV6" i="14" a="1"/>
  <c r="AV6" i="14" s="1"/>
  <c r="BZ6" i="14" s="1"/>
  <c r="L2" i="43" s="1"/>
  <c r="GC7" i="14"/>
  <c r="FZ7" i="14"/>
  <c r="GH90" i="14"/>
  <c r="FV90" i="14"/>
  <c r="FJ90" i="14"/>
  <c r="GF90" i="14"/>
  <c r="FT90" i="14"/>
  <c r="FH90" i="14"/>
  <c r="GE90" i="14"/>
  <c r="FS90" i="14"/>
  <c r="FG90" i="14"/>
  <c r="GD90" i="14"/>
  <c r="FR90" i="14"/>
  <c r="FF90" i="14"/>
  <c r="GB90" i="14"/>
  <c r="FP90" i="14"/>
  <c r="GA90" i="14"/>
  <c r="FO90" i="14"/>
  <c r="FZ90" i="14"/>
  <c r="FN90" i="14"/>
  <c r="FY90" i="14"/>
  <c r="FX90" i="14"/>
  <c r="FW90" i="14"/>
  <c r="FU90" i="14"/>
  <c r="FQ90" i="14"/>
  <c r="FM90" i="14"/>
  <c r="FL90" i="14"/>
  <c r="FK90" i="14"/>
  <c r="FI90" i="14"/>
  <c r="BG90" i="14" a="1"/>
  <c r="BG90" i="14" s="1"/>
  <c r="CK90" i="14" s="1"/>
  <c r="W86" i="43" s="1"/>
  <c r="FE90" i="14"/>
  <c r="AO90" i="14" a="1"/>
  <c r="AO90" i="14" s="1"/>
  <c r="BS90" i="14" s="1"/>
  <c r="E86" i="43" s="1"/>
  <c r="GG90" i="14"/>
  <c r="GC90" i="14"/>
  <c r="GC58" i="14"/>
  <c r="FQ58" i="14"/>
  <c r="FE58" i="14"/>
  <c r="GD57" i="14"/>
  <c r="FR57" i="14"/>
  <c r="FF57" i="14"/>
  <c r="GB58" i="14"/>
  <c r="FP58" i="14"/>
  <c r="GC57" i="14"/>
  <c r="FQ57" i="14"/>
  <c r="FE57" i="14"/>
  <c r="GA58" i="14"/>
  <c r="FO58" i="14"/>
  <c r="GB57" i="14"/>
  <c r="FP57" i="14"/>
  <c r="FX58" i="14"/>
  <c r="FL58" i="14"/>
  <c r="AO58" i="14" a="1"/>
  <c r="AO58" i="14" s="1"/>
  <c r="GG58" i="14"/>
  <c r="FU58" i="14"/>
  <c r="FI58" i="14"/>
  <c r="GH57" i="14"/>
  <c r="GF58" i="14"/>
  <c r="FK58" i="14"/>
  <c r="FV57" i="14"/>
  <c r="FG57" i="14"/>
  <c r="GD56" i="14"/>
  <c r="FR56" i="14"/>
  <c r="FF56" i="14"/>
  <c r="GE55" i="14"/>
  <c r="FS55" i="14"/>
  <c r="FG55" i="14"/>
  <c r="GE58" i="14"/>
  <c r="FJ58" i="14"/>
  <c r="FU57" i="14"/>
  <c r="BI57" i="14" a="1"/>
  <c r="BI57" i="14" s="1"/>
  <c r="CM57" i="14" s="1"/>
  <c r="Y53" i="43" s="1"/>
  <c r="BC57" i="14" a="1"/>
  <c r="BC57" i="14" s="1"/>
  <c r="CG57" i="14" s="1"/>
  <c r="S53" i="43" s="1"/>
  <c r="AW57" i="14" a="1"/>
  <c r="AW57" i="14" s="1"/>
  <c r="CA57" i="14" s="1"/>
  <c r="M53" i="43" s="1"/>
  <c r="AQ57" i="14" a="1"/>
  <c r="AQ57" i="14" s="1"/>
  <c r="BU57" i="14" s="1"/>
  <c r="G53" i="43" s="1"/>
  <c r="GC56" i="14"/>
  <c r="FQ56" i="14"/>
  <c r="FE56" i="14"/>
  <c r="GD58" i="14"/>
  <c r="FH58" i="14"/>
  <c r="AT58" i="14" a="1"/>
  <c r="AT58" i="14" s="1"/>
  <c r="BX58" i="14" s="1"/>
  <c r="J54" i="43" s="1"/>
  <c r="FT57" i="14"/>
  <c r="GB56" i="14"/>
  <c r="FP56" i="14"/>
  <c r="GC55" i="14"/>
  <c r="FQ55" i="14"/>
  <c r="FE55" i="14"/>
  <c r="FZ58" i="14"/>
  <c r="FG58" i="14"/>
  <c r="AS58" i="14" a="1"/>
  <c r="AS58" i="14" s="1"/>
  <c r="EO58" i="14" s="1"/>
  <c r="DK58" i="14" s="1"/>
  <c r="FS57" i="14"/>
  <c r="GA56" i="14"/>
  <c r="FO56" i="14"/>
  <c r="GB55" i="14"/>
  <c r="FP55" i="14"/>
  <c r="FY58" i="14"/>
  <c r="FF58" i="14"/>
  <c r="GG57" i="14"/>
  <c r="FO57" i="14"/>
  <c r="FZ56" i="14"/>
  <c r="FN56" i="14"/>
  <c r="GA55" i="14"/>
  <c r="FO55" i="14"/>
  <c r="FW58" i="14"/>
  <c r="AR58" i="14" a="1"/>
  <c r="AR58" i="14" s="1"/>
  <c r="GF57" i="14"/>
  <c r="FN57" i="14"/>
  <c r="FY56" i="14"/>
  <c r="FM56" i="14"/>
  <c r="FZ55" i="14"/>
  <c r="FN55" i="14"/>
  <c r="FV58" i="14"/>
  <c r="AP58" i="14" a="1"/>
  <c r="AP58" i="14" s="1"/>
  <c r="GE57" i="14"/>
  <c r="FM57" i="14"/>
  <c r="FX56" i="14"/>
  <c r="FL56" i="14"/>
  <c r="FT58" i="14"/>
  <c r="GA57" i="14"/>
  <c r="FL57" i="14"/>
  <c r="FW56" i="14"/>
  <c r="FK56" i="14"/>
  <c r="FX55" i="14"/>
  <c r="FL55" i="14"/>
  <c r="FS58" i="14"/>
  <c r="FZ57" i="14"/>
  <c r="FK57" i="14"/>
  <c r="GH56" i="14"/>
  <c r="FV56" i="14"/>
  <c r="FJ56" i="14"/>
  <c r="FW55" i="14"/>
  <c r="FK55" i="14"/>
  <c r="FR58" i="14"/>
  <c r="FX57" i="14"/>
  <c r="FT56" i="14"/>
  <c r="FI55" i="14"/>
  <c r="BD55" i="14" a="1"/>
  <c r="BD55" i="14" s="1"/>
  <c r="CH55" i="14" s="1"/>
  <c r="T51" i="43" s="1"/>
  <c r="FN58" i="14"/>
  <c r="FW57" i="14"/>
  <c r="BJ57" i="14" a="1"/>
  <c r="BJ57" i="14" s="1"/>
  <c r="CN57" i="14" s="1"/>
  <c r="Z53" i="43" s="1"/>
  <c r="FS56" i="14"/>
  <c r="GH55" i="14"/>
  <c r="FH55" i="14"/>
  <c r="FM58" i="14"/>
  <c r="FJ57" i="14"/>
  <c r="BE57" i="14" a="1"/>
  <c r="BE57" i="14" s="1"/>
  <c r="CI57" i="14" s="1"/>
  <c r="U53" i="43" s="1"/>
  <c r="FI56" i="14"/>
  <c r="GG55" i="14"/>
  <c r="FF55" i="14"/>
  <c r="AX58" i="14" a="1"/>
  <c r="AX58" i="14" s="1"/>
  <c r="FI57" i="14"/>
  <c r="FH56" i="14"/>
  <c r="GF55" i="14"/>
  <c r="AV58" i="14" a="1"/>
  <c r="AV58" i="14" s="1"/>
  <c r="ER58" i="14" s="1"/>
  <c r="DN58" i="14" s="1"/>
  <c r="FH57" i="14"/>
  <c r="BD57" i="14" a="1"/>
  <c r="BD57" i="14" s="1"/>
  <c r="CH57" i="14" s="1"/>
  <c r="T53" i="43" s="1"/>
  <c r="FG56" i="14"/>
  <c r="GD55" i="14"/>
  <c r="BL55" i="14" a="1"/>
  <c r="BL55" i="14" s="1"/>
  <c r="CP55" i="14" s="1"/>
  <c r="AB51" i="43" s="1"/>
  <c r="AY55" i="14" a="1"/>
  <c r="AY55" i="14" s="1"/>
  <c r="CC55" i="14" s="1"/>
  <c r="O51" i="43" s="1"/>
  <c r="AY57" i="14" a="1"/>
  <c r="AY57" i="14" s="1"/>
  <c r="CC57" i="14" s="1"/>
  <c r="O53" i="43" s="1"/>
  <c r="FY55" i="14"/>
  <c r="FV55" i="14"/>
  <c r="AX57" i="14" a="1"/>
  <c r="AX57" i="14" s="1"/>
  <c r="CB57" i="14" s="1"/>
  <c r="N53" i="43" s="1"/>
  <c r="FU55" i="14"/>
  <c r="AS57" i="14" a="1"/>
  <c r="AS57" i="14" s="1"/>
  <c r="BW57" i="14" s="1"/>
  <c r="I53" i="43" s="1"/>
  <c r="GG56" i="14"/>
  <c r="FT55" i="14"/>
  <c r="BQ57" i="14" a="1"/>
  <c r="BQ57" i="14" s="1"/>
  <c r="CU57" i="14" s="1"/>
  <c r="AG53" i="43" s="1"/>
  <c r="BR55" i="14" a="1"/>
  <c r="BR55" i="14" s="1"/>
  <c r="CV55" i="14" s="1"/>
  <c r="AH51" i="43" s="1"/>
  <c r="BK57" i="14" a="1"/>
  <c r="BK57" i="14" s="1"/>
  <c r="CO57" i="14" s="1"/>
  <c r="AA53" i="43" s="1"/>
  <c r="GF56" i="14"/>
  <c r="BF55" i="14" a="1"/>
  <c r="BF55" i="14" s="1"/>
  <c r="CJ55" i="14" s="1"/>
  <c r="V51" i="43" s="1"/>
  <c r="GE56" i="14"/>
  <c r="GH58" i="14"/>
  <c r="FY57" i="14"/>
  <c r="AR57" i="14" a="1"/>
  <c r="AR57" i="14" s="1"/>
  <c r="BV57" i="14" s="1"/>
  <c r="H53" i="43" s="1"/>
  <c r="FU56" i="14"/>
  <c r="BE55" i="14" a="1"/>
  <c r="BE55" i="14" s="1"/>
  <c r="CI55" i="14" s="1"/>
  <c r="U51" i="43" s="1"/>
  <c r="AS55" i="14" a="1"/>
  <c r="AS55" i="14" s="1"/>
  <c r="BW55" i="14" s="1"/>
  <c r="I51" i="43" s="1"/>
  <c r="AR55" i="14" a="1"/>
  <c r="AR55" i="14" s="1"/>
  <c r="BV55" i="14" s="1"/>
  <c r="H51" i="43" s="1"/>
  <c r="FR55" i="14"/>
  <c r="FM55" i="14"/>
  <c r="FJ55" i="14"/>
  <c r="AK90" i="9"/>
  <c r="A205" i="3"/>
  <c r="A230" i="3" s="1"/>
  <c r="E278" i="3"/>
  <c r="J282" i="3"/>
  <c r="H358" i="3"/>
  <c r="GF103" i="14"/>
  <c r="FT103" i="14"/>
  <c r="FH103" i="14"/>
  <c r="GE103" i="14"/>
  <c r="FS103" i="14"/>
  <c r="FG103" i="14"/>
  <c r="GD103" i="14"/>
  <c r="FR103" i="14"/>
  <c r="FF103" i="14"/>
  <c r="GC103" i="14"/>
  <c r="FQ103" i="14"/>
  <c r="FE103" i="14"/>
  <c r="GB103" i="14"/>
  <c r="FP103" i="14"/>
  <c r="GA103" i="14"/>
  <c r="FO103" i="14"/>
  <c r="FZ103" i="14"/>
  <c r="FN103" i="14"/>
  <c r="FY103" i="14"/>
  <c r="FM103" i="14"/>
  <c r="GD94" i="14"/>
  <c r="FR94" i="14"/>
  <c r="FF94" i="14"/>
  <c r="GE93" i="14"/>
  <c r="FS93" i="14"/>
  <c r="FG93" i="14"/>
  <c r="GH103" i="14"/>
  <c r="GC94" i="14"/>
  <c r="FQ94" i="14"/>
  <c r="FE94" i="14"/>
  <c r="GG103" i="14"/>
  <c r="GB94" i="14"/>
  <c r="FP94" i="14"/>
  <c r="GC93" i="14"/>
  <c r="FQ93" i="14"/>
  <c r="FE93" i="14"/>
  <c r="FX103" i="14"/>
  <c r="GA94" i="14"/>
  <c r="FO94" i="14"/>
  <c r="GB93" i="14"/>
  <c r="FP93" i="14"/>
  <c r="FW103" i="14"/>
  <c r="FZ94" i="14"/>
  <c r="FN94" i="14"/>
  <c r="GA93" i="14"/>
  <c r="FO93" i="14"/>
  <c r="FV103" i="14"/>
  <c r="FU103" i="14"/>
  <c r="FX94" i="14"/>
  <c r="FL94" i="14"/>
  <c r="FY93" i="14"/>
  <c r="FM93" i="14"/>
  <c r="FL103" i="14"/>
  <c r="FW94" i="14"/>
  <c r="FK94" i="14"/>
  <c r="FX93" i="14"/>
  <c r="FL93" i="14"/>
  <c r="FK103" i="14"/>
  <c r="GH94" i="14"/>
  <c r="FV94" i="14"/>
  <c r="FJ94" i="14"/>
  <c r="FW93" i="14"/>
  <c r="FK93" i="14"/>
  <c r="FJ103" i="14"/>
  <c r="FI103" i="14"/>
  <c r="AT103" i="14" a="1"/>
  <c r="AT103" i="14" s="1"/>
  <c r="BD103" i="14" s="1" a="1"/>
  <c r="BD103" i="14" s="1"/>
  <c r="EZ103" i="14" s="1"/>
  <c r="DV103" i="14" s="1"/>
  <c r="FM94" i="14"/>
  <c r="GF93" i="14"/>
  <c r="FI94" i="14"/>
  <c r="GD93" i="14"/>
  <c r="AT93" i="14" a="1"/>
  <c r="AT93" i="14" s="1"/>
  <c r="BX93" i="14" s="1"/>
  <c r="J89" i="43" s="1"/>
  <c r="FH94" i="14"/>
  <c r="FZ93" i="14"/>
  <c r="FG94" i="14"/>
  <c r="FV93" i="14"/>
  <c r="FU93" i="14"/>
  <c r="AR93" i="14" a="1"/>
  <c r="AR93" i="14" s="1"/>
  <c r="BB93" i="14" s="1" a="1"/>
  <c r="BB93" i="14" s="1"/>
  <c r="CF93" i="14" s="1"/>
  <c r="R89" i="43" s="1"/>
  <c r="GG94" i="14"/>
  <c r="FT93" i="14"/>
  <c r="AP93" i="14" a="1"/>
  <c r="AP93" i="14" s="1"/>
  <c r="BT93" i="14" s="1"/>
  <c r="F89" i="43" s="1"/>
  <c r="GF94" i="14"/>
  <c r="FR93" i="14"/>
  <c r="GE94" i="14"/>
  <c r="FN93" i="14"/>
  <c r="FY94" i="14"/>
  <c r="FJ93" i="14"/>
  <c r="GH93" i="14"/>
  <c r="AX93" i="14" a="1"/>
  <c r="AX93" i="14" s="1"/>
  <c r="BH93" i="14" s="1" a="1"/>
  <c r="BH93" i="14" s="1"/>
  <c r="GG93" i="14"/>
  <c r="FU94" i="14"/>
  <c r="FI93" i="14"/>
  <c r="FT94" i="14"/>
  <c r="FH93" i="14"/>
  <c r="FS94" i="14"/>
  <c r="FF93" i="14"/>
  <c r="FX50" i="14"/>
  <c r="FL50" i="14"/>
  <c r="FY49" i="14"/>
  <c r="FM49" i="14"/>
  <c r="FZ48" i="14"/>
  <c r="FN48" i="14"/>
  <c r="GA47" i="14"/>
  <c r="FO47" i="14"/>
  <c r="GB46" i="14"/>
  <c r="FP46" i="14"/>
  <c r="GC45" i="14"/>
  <c r="FQ45" i="14"/>
  <c r="FE45" i="14"/>
  <c r="GD44" i="14"/>
  <c r="FR44" i="14"/>
  <c r="FF44" i="14"/>
  <c r="GE43" i="14"/>
  <c r="FS43" i="14"/>
  <c r="FG43" i="14"/>
  <c r="GF42" i="14"/>
  <c r="FT42" i="14"/>
  <c r="FH42" i="14"/>
  <c r="GG41" i="14"/>
  <c r="FU41" i="14"/>
  <c r="FI41" i="14"/>
  <c r="GH50" i="14"/>
  <c r="FV50" i="14"/>
  <c r="FJ50" i="14"/>
  <c r="FW49" i="14"/>
  <c r="FK49" i="14"/>
  <c r="FX48" i="14"/>
  <c r="FL48" i="14"/>
  <c r="FY47" i="14"/>
  <c r="FM47" i="14"/>
  <c r="FZ46" i="14"/>
  <c r="FN46" i="14"/>
  <c r="GA45" i="14"/>
  <c r="FO45" i="14"/>
  <c r="GB44" i="14"/>
  <c r="FP44" i="14"/>
  <c r="GC43" i="14"/>
  <c r="FQ43" i="14"/>
  <c r="FE43" i="14"/>
  <c r="GD42" i="14"/>
  <c r="FR42" i="14"/>
  <c r="FF42" i="14"/>
  <c r="GE41" i="14"/>
  <c r="FS41" i="14"/>
  <c r="FG41" i="14"/>
  <c r="GF40" i="14"/>
  <c r="FT40" i="14"/>
  <c r="FH40" i="14"/>
  <c r="GG39" i="14"/>
  <c r="FU39" i="14"/>
  <c r="FI39" i="14"/>
  <c r="GH38" i="14"/>
  <c r="FV38" i="14"/>
  <c r="FJ38" i="14"/>
  <c r="FW37" i="14"/>
  <c r="FK37" i="14"/>
  <c r="FX36" i="14"/>
  <c r="FL36" i="14"/>
  <c r="FY35" i="14"/>
  <c r="FM35" i="14"/>
  <c r="FZ34" i="14"/>
  <c r="FN34" i="14"/>
  <c r="GA33" i="14"/>
  <c r="FO33" i="14"/>
  <c r="GG50" i="14"/>
  <c r="FU50" i="14"/>
  <c r="FI50" i="14"/>
  <c r="GH49" i="14"/>
  <c r="FV49" i="14"/>
  <c r="FJ49" i="14"/>
  <c r="FW48" i="14"/>
  <c r="FK48" i="14"/>
  <c r="FX47" i="14"/>
  <c r="FL47" i="14"/>
  <c r="FY46" i="14"/>
  <c r="FM46" i="14"/>
  <c r="FZ45" i="14"/>
  <c r="FN45" i="14"/>
  <c r="GA44" i="14"/>
  <c r="FO44" i="14"/>
  <c r="GB43" i="14"/>
  <c r="FP43" i="14"/>
  <c r="GC42" i="14"/>
  <c r="FQ42" i="14"/>
  <c r="FE42" i="14"/>
  <c r="GD41" i="14"/>
  <c r="FR41" i="14"/>
  <c r="FF41" i="14"/>
  <c r="GE40" i="14"/>
  <c r="FS40" i="14"/>
  <c r="FG40" i="14"/>
  <c r="GF39" i="14"/>
  <c r="FT39" i="14"/>
  <c r="FH39" i="14"/>
  <c r="GG38" i="14"/>
  <c r="FU38" i="14"/>
  <c r="FI38" i="14"/>
  <c r="GH37" i="14"/>
  <c r="FV37" i="14"/>
  <c r="GF50" i="14"/>
  <c r="FT50" i="14"/>
  <c r="FH50" i="14"/>
  <c r="GG49" i="14"/>
  <c r="FU49" i="14"/>
  <c r="FI49" i="14"/>
  <c r="GH48" i="14"/>
  <c r="FV48" i="14"/>
  <c r="FJ48" i="14"/>
  <c r="FW47" i="14"/>
  <c r="FK47" i="14"/>
  <c r="FX46" i="14"/>
  <c r="FL46" i="14"/>
  <c r="FY45" i="14"/>
  <c r="FM45" i="14"/>
  <c r="FZ44" i="14"/>
  <c r="FN44" i="14"/>
  <c r="GA43" i="14"/>
  <c r="FO43" i="14"/>
  <c r="GB42" i="14"/>
  <c r="FP42" i="14"/>
  <c r="GC41" i="14"/>
  <c r="FQ41" i="14"/>
  <c r="FE41" i="14"/>
  <c r="GD40" i="14"/>
  <c r="FR40" i="14"/>
  <c r="FF40" i="14"/>
  <c r="GE39" i="14"/>
  <c r="FS39" i="14"/>
  <c r="FG39" i="14"/>
  <c r="GF38" i="14"/>
  <c r="FT38" i="14"/>
  <c r="FH38" i="14"/>
  <c r="GG37" i="14"/>
  <c r="FU37" i="14"/>
  <c r="FI37" i="14"/>
  <c r="GH36" i="14"/>
  <c r="FV36" i="14"/>
  <c r="FJ36" i="14"/>
  <c r="FW35" i="14"/>
  <c r="FK35" i="14"/>
  <c r="FX34" i="14"/>
  <c r="FL34" i="14"/>
  <c r="FY33" i="14"/>
  <c r="FM33" i="14"/>
  <c r="GE50" i="14"/>
  <c r="FS50" i="14"/>
  <c r="FG50" i="14"/>
  <c r="GF49" i="14"/>
  <c r="FT49" i="14"/>
  <c r="FH49" i="14"/>
  <c r="GG48" i="14"/>
  <c r="FU48" i="14"/>
  <c r="FI48" i="14"/>
  <c r="GH47" i="14"/>
  <c r="FV47" i="14"/>
  <c r="FJ47" i="14"/>
  <c r="FW46" i="14"/>
  <c r="FK46" i="14"/>
  <c r="FX45" i="14"/>
  <c r="FL45" i="14"/>
  <c r="FY44" i="14"/>
  <c r="FM44" i="14"/>
  <c r="FZ43" i="14"/>
  <c r="FN43" i="14"/>
  <c r="GA42" i="14"/>
  <c r="FO42" i="14"/>
  <c r="GB41" i="14"/>
  <c r="FP41" i="14"/>
  <c r="GC40" i="14"/>
  <c r="FQ40" i="14"/>
  <c r="FE40" i="14"/>
  <c r="GD39" i="14"/>
  <c r="FR39" i="14"/>
  <c r="FF39" i="14"/>
  <c r="GE38" i="14"/>
  <c r="FS38" i="14"/>
  <c r="FG38" i="14"/>
  <c r="GF37" i="14"/>
  <c r="FT37" i="14"/>
  <c r="FH37" i="14"/>
  <c r="GG36" i="14"/>
  <c r="FU36" i="14"/>
  <c r="FI36" i="14"/>
  <c r="GH35" i="14"/>
  <c r="FV35" i="14"/>
  <c r="FJ35" i="14"/>
  <c r="FW34" i="14"/>
  <c r="FK34" i="14"/>
  <c r="FX33" i="14"/>
  <c r="FL33" i="14"/>
  <c r="GC50" i="14"/>
  <c r="FQ50" i="14"/>
  <c r="FE50" i="14"/>
  <c r="GD49" i="14"/>
  <c r="FR49" i="14"/>
  <c r="FF49" i="14"/>
  <c r="GE48" i="14"/>
  <c r="FS48" i="14"/>
  <c r="FG48" i="14"/>
  <c r="GF47" i="14"/>
  <c r="FT47" i="14"/>
  <c r="FH47" i="14"/>
  <c r="GG46" i="14"/>
  <c r="FU46" i="14"/>
  <c r="FI46" i="14"/>
  <c r="GH45" i="14"/>
  <c r="FV45" i="14"/>
  <c r="FJ45" i="14"/>
  <c r="FW44" i="14"/>
  <c r="FK44" i="14"/>
  <c r="FX43" i="14"/>
  <c r="FL43" i="14"/>
  <c r="FY42" i="14"/>
  <c r="FM42" i="14"/>
  <c r="FZ41" i="14"/>
  <c r="FN41" i="14"/>
  <c r="GA40" i="14"/>
  <c r="FO40" i="14"/>
  <c r="GB39" i="14"/>
  <c r="FP39" i="14"/>
  <c r="GC38" i="14"/>
  <c r="FQ38" i="14"/>
  <c r="FE38" i="14"/>
  <c r="GD37" i="14"/>
  <c r="FR37" i="14"/>
  <c r="FF37" i="14"/>
  <c r="GE36" i="14"/>
  <c r="FS36" i="14"/>
  <c r="FG36" i="14"/>
  <c r="GF35" i="14"/>
  <c r="FT35" i="14"/>
  <c r="FH35" i="14"/>
  <c r="GG34" i="14"/>
  <c r="FU34" i="14"/>
  <c r="FI34" i="14"/>
  <c r="GH33" i="14"/>
  <c r="FV33" i="14"/>
  <c r="FJ33" i="14"/>
  <c r="GB50" i="14"/>
  <c r="FP50" i="14"/>
  <c r="AW50" i="14" a="1"/>
  <c r="AW50" i="14" s="1"/>
  <c r="CA50" i="14" s="1"/>
  <c r="M46" i="43" s="1"/>
  <c r="AQ50" i="14" a="1"/>
  <c r="AQ50" i="14" s="1"/>
  <c r="BA50" i="14" s="1" a="1"/>
  <c r="BA50" i="14" s="1"/>
  <c r="GC49" i="14"/>
  <c r="FQ49" i="14"/>
  <c r="FE49" i="14"/>
  <c r="GD48" i="14"/>
  <c r="FR48" i="14"/>
  <c r="FF48" i="14"/>
  <c r="GE47" i="14"/>
  <c r="FS47" i="14"/>
  <c r="FG47" i="14"/>
  <c r="GF46" i="14"/>
  <c r="FT46" i="14"/>
  <c r="FH46" i="14"/>
  <c r="GG45" i="14"/>
  <c r="FU45" i="14"/>
  <c r="FI45" i="14"/>
  <c r="GD50" i="14"/>
  <c r="FN49" i="14"/>
  <c r="AV49" i="14" a="1"/>
  <c r="AV49" i="14" s="1"/>
  <c r="ER49" i="14" s="1"/>
  <c r="DN49" i="14" s="1"/>
  <c r="FO48" i="14"/>
  <c r="FN47" i="14"/>
  <c r="FG46" i="14"/>
  <c r="GF45" i="14"/>
  <c r="FF45" i="14"/>
  <c r="FU44" i="14"/>
  <c r="FM43" i="14"/>
  <c r="FL42" i="14"/>
  <c r="FL41" i="14"/>
  <c r="GB40" i="14"/>
  <c r="FJ40" i="14"/>
  <c r="GC39" i="14"/>
  <c r="FK39" i="14"/>
  <c r="GA38" i="14"/>
  <c r="FF38" i="14"/>
  <c r="BH38" i="14" a="1"/>
  <c r="BH38" i="14" s="1"/>
  <c r="CL38" i="14" s="1"/>
  <c r="X34" i="43" s="1"/>
  <c r="AW38" i="14" a="1"/>
  <c r="AW38" i="14" s="1"/>
  <c r="CA38" i="14" s="1"/>
  <c r="M34" i="43" s="1"/>
  <c r="FO37" i="14"/>
  <c r="BF37" i="14" a="1"/>
  <c r="BF37" i="14" s="1"/>
  <c r="CJ37" i="14" s="1"/>
  <c r="V33" i="43" s="1"/>
  <c r="GA36" i="14"/>
  <c r="FH36" i="14"/>
  <c r="FS35" i="14"/>
  <c r="GD34" i="14"/>
  <c r="FM34" i="14"/>
  <c r="BD34" i="14" a="1"/>
  <c r="BD34" i="14" s="1"/>
  <c r="CH34" i="14" s="1"/>
  <c r="T30" i="43" s="1"/>
  <c r="FT33" i="14"/>
  <c r="FY32" i="14"/>
  <c r="FM32" i="14"/>
  <c r="FZ31" i="14"/>
  <c r="FN31" i="14"/>
  <c r="GA30" i="14"/>
  <c r="FO30" i="14"/>
  <c r="GB29" i="14"/>
  <c r="FP29" i="14"/>
  <c r="GC28" i="14"/>
  <c r="FQ28" i="14"/>
  <c r="FE28" i="14"/>
  <c r="GD27" i="14"/>
  <c r="FR27" i="14"/>
  <c r="FF27" i="14"/>
  <c r="GE26" i="14"/>
  <c r="FS26" i="14"/>
  <c r="FG26" i="14"/>
  <c r="GF25" i="14"/>
  <c r="FT25" i="14"/>
  <c r="FH25" i="14"/>
  <c r="GG24" i="14"/>
  <c r="FU24" i="14"/>
  <c r="FI24" i="14"/>
  <c r="GH23" i="14"/>
  <c r="FV23" i="14"/>
  <c r="FJ23" i="14"/>
  <c r="GA50" i="14"/>
  <c r="AR50" i="14" a="1"/>
  <c r="AR50" i="14" s="1"/>
  <c r="FL49" i="14"/>
  <c r="AU49" i="14" a="1"/>
  <c r="AU49" i="14" s="1"/>
  <c r="FM48" i="14"/>
  <c r="FI47" i="14"/>
  <c r="GH46" i="14"/>
  <c r="FF46" i="14"/>
  <c r="GE45" i="14"/>
  <c r="FT44" i="14"/>
  <c r="FK43" i="14"/>
  <c r="FK42" i="14"/>
  <c r="FK41" i="14"/>
  <c r="FZ40" i="14"/>
  <c r="FI40" i="14"/>
  <c r="GA39" i="14"/>
  <c r="FJ39" i="14"/>
  <c r="FZ38" i="14"/>
  <c r="FZ50" i="14"/>
  <c r="FG49" i="14"/>
  <c r="FH48" i="14"/>
  <c r="FF47" i="14"/>
  <c r="GE46" i="14"/>
  <c r="FE46" i="14"/>
  <c r="GD45" i="14"/>
  <c r="FS44" i="14"/>
  <c r="GH43" i="14"/>
  <c r="FJ43" i="14"/>
  <c r="GH42" i="14"/>
  <c r="FJ42" i="14"/>
  <c r="GH41" i="14"/>
  <c r="FJ41" i="14"/>
  <c r="FY40" i="14"/>
  <c r="FZ39" i="14"/>
  <c r="FE39" i="14"/>
  <c r="FY38" i="14"/>
  <c r="BP38" i="14" a="1"/>
  <c r="BP38" i="14" s="1"/>
  <c r="CT38" i="14" s="1"/>
  <c r="AF34" i="43" s="1"/>
  <c r="BG38" i="14" a="1"/>
  <c r="BG38" i="14" s="1"/>
  <c r="CK38" i="14" s="1"/>
  <c r="W34" i="43" s="1"/>
  <c r="AV38" i="14" a="1"/>
  <c r="AV38" i="14" s="1"/>
  <c r="BZ38" i="14" s="1"/>
  <c r="L34" i="43" s="1"/>
  <c r="GE37" i="14"/>
  <c r="FM37" i="14"/>
  <c r="FY36" i="14"/>
  <c r="FE36" i="14"/>
  <c r="FQ35" i="14"/>
  <c r="GB34" i="14"/>
  <c r="FH34" i="14"/>
  <c r="FR33" i="14"/>
  <c r="FW32" i="14"/>
  <c r="FK32" i="14"/>
  <c r="FX31" i="14"/>
  <c r="FL31" i="14"/>
  <c r="FY30" i="14"/>
  <c r="FM30" i="14"/>
  <c r="FZ29" i="14"/>
  <c r="FN29" i="14"/>
  <c r="GA28" i="14"/>
  <c r="FO28" i="14"/>
  <c r="GB27" i="14"/>
  <c r="FP27" i="14"/>
  <c r="GC26" i="14"/>
  <c r="FQ26" i="14"/>
  <c r="FE26" i="14"/>
  <c r="GD25" i="14"/>
  <c r="FR25" i="14"/>
  <c r="FF25" i="14"/>
  <c r="GE24" i="14"/>
  <c r="FS24" i="14"/>
  <c r="FG24" i="14"/>
  <c r="GF23" i="14"/>
  <c r="FT23" i="14"/>
  <c r="FH23" i="14"/>
  <c r="GG22" i="14"/>
  <c r="FU22" i="14"/>
  <c r="FI22" i="14"/>
  <c r="GH21" i="14"/>
  <c r="FV21" i="14"/>
  <c r="FJ21" i="14"/>
  <c r="FW20" i="14"/>
  <c r="FK20" i="14"/>
  <c r="FX19" i="14"/>
  <c r="FL19" i="14"/>
  <c r="FY18" i="14"/>
  <c r="FM18" i="14"/>
  <c r="FZ17" i="14"/>
  <c r="FN17" i="14"/>
  <c r="GA16" i="14"/>
  <c r="FO16" i="14"/>
  <c r="FY50" i="14"/>
  <c r="AP50" i="14" a="1"/>
  <c r="AP50" i="14" s="1"/>
  <c r="AQ49" i="14" a="1"/>
  <c r="AQ49" i="14" s="1"/>
  <c r="EM49" i="14" s="1"/>
  <c r="DI49" i="14" s="1"/>
  <c r="FE48" i="14"/>
  <c r="GG47" i="14"/>
  <c r="FE47" i="14"/>
  <c r="GD46" i="14"/>
  <c r="GB45" i="14"/>
  <c r="FQ44" i="14"/>
  <c r="GG43" i="14"/>
  <c r="FI43" i="14"/>
  <c r="GG42" i="14"/>
  <c r="FI42" i="14"/>
  <c r="GF41" i="14"/>
  <c r="FH41" i="14"/>
  <c r="FX40" i="14"/>
  <c r="FY39" i="14"/>
  <c r="FX38" i="14"/>
  <c r="BO38" i="14" a="1"/>
  <c r="BO38" i="14" s="1"/>
  <c r="CS38" i="14" s="1"/>
  <c r="AE34" i="43" s="1"/>
  <c r="GC37" i="14"/>
  <c r="FL37" i="14"/>
  <c r="BM37" i="14" a="1"/>
  <c r="BM37" i="14" s="1"/>
  <c r="CQ37" i="14" s="1"/>
  <c r="AC33" i="43" s="1"/>
  <c r="BC37" i="14" a="1"/>
  <c r="BC37" i="14" s="1"/>
  <c r="CG37" i="14" s="1"/>
  <c r="S33" i="43" s="1"/>
  <c r="AU37" i="14" a="1"/>
  <c r="AU37" i="14" s="1"/>
  <c r="BY37" i="14" s="1"/>
  <c r="K33" i="43" s="1"/>
  <c r="FW36" i="14"/>
  <c r="GG35" i="14"/>
  <c r="FP35" i="14"/>
  <c r="GA34" i="14"/>
  <c r="FG34" i="14"/>
  <c r="GG33" i="14"/>
  <c r="FQ33" i="14"/>
  <c r="GH32" i="14"/>
  <c r="FV32" i="14"/>
  <c r="FJ32" i="14"/>
  <c r="FW31" i="14"/>
  <c r="FK31" i="14"/>
  <c r="FX30" i="14"/>
  <c r="FL30" i="14"/>
  <c r="FY29" i="14"/>
  <c r="FM29" i="14"/>
  <c r="FZ28" i="14"/>
  <c r="FN28" i="14"/>
  <c r="GA27" i="14"/>
  <c r="FO27" i="14"/>
  <c r="GB26" i="14"/>
  <c r="FP26" i="14"/>
  <c r="GC25" i="14"/>
  <c r="FQ25" i="14"/>
  <c r="FE25" i="14"/>
  <c r="FR50" i="14"/>
  <c r="GB49" i="14"/>
  <c r="AP49" i="14" a="1"/>
  <c r="AP49" i="14" s="1"/>
  <c r="EL49" i="14" s="1"/>
  <c r="DH49" i="14" s="1"/>
  <c r="GC48" i="14"/>
  <c r="GC47" i="14"/>
  <c r="GA46" i="14"/>
  <c r="FT45" i="14"/>
  <c r="GH44" i="14"/>
  <c r="FJ44" i="14"/>
  <c r="GD43" i="14"/>
  <c r="FF43" i="14"/>
  <c r="FZ42" i="14"/>
  <c r="FY41" i="14"/>
  <c r="FV40" i="14"/>
  <c r="FW39" i="14"/>
  <c r="FR38" i="14"/>
  <c r="BN38" i="14" a="1"/>
  <c r="BN38" i="14" s="1"/>
  <c r="CR38" i="14" s="1"/>
  <c r="AD34" i="43" s="1"/>
  <c r="BC38" i="14" a="1"/>
  <c r="BC38" i="14" s="1"/>
  <c r="CG38" i="14" s="1"/>
  <c r="S34" i="43" s="1"/>
  <c r="GA37" i="14"/>
  <c r="FG37" i="14"/>
  <c r="FR36" i="14"/>
  <c r="GD35" i="14"/>
  <c r="FN35" i="14"/>
  <c r="FV34" i="14"/>
  <c r="FE34" i="14"/>
  <c r="BR34" i="14" a="1"/>
  <c r="BR34" i="14" s="1"/>
  <c r="CV34" i="14" s="1"/>
  <c r="AH30" i="43" s="1"/>
  <c r="AZ34" i="14" a="1"/>
  <c r="AZ34" i="14" s="1"/>
  <c r="CD34" i="14" s="1"/>
  <c r="P30" i="43" s="1"/>
  <c r="GE33" i="14"/>
  <c r="FN33" i="14"/>
  <c r="GF32" i="14"/>
  <c r="FT32" i="14"/>
  <c r="FH32" i="14"/>
  <c r="GG31" i="14"/>
  <c r="FU31" i="14"/>
  <c r="FI31" i="14"/>
  <c r="GH30" i="14"/>
  <c r="FV30" i="14"/>
  <c r="FJ30" i="14"/>
  <c r="FW29" i="14"/>
  <c r="FK29" i="14"/>
  <c r="FX28" i="14"/>
  <c r="FL28" i="14"/>
  <c r="FY27" i="14"/>
  <c r="FM27" i="14"/>
  <c r="FZ26" i="14"/>
  <c r="FN26" i="14"/>
  <c r="GA25" i="14"/>
  <c r="FO25" i="14"/>
  <c r="GB24" i="14"/>
  <c r="FP24" i="14"/>
  <c r="GC23" i="14"/>
  <c r="FQ23" i="14"/>
  <c r="FE23" i="14"/>
  <c r="GD22" i="14"/>
  <c r="FR22" i="14"/>
  <c r="FF22" i="14"/>
  <c r="AX22" i="14" a="1"/>
  <c r="AX22" i="14" s="1"/>
  <c r="AR22" i="14" a="1"/>
  <c r="AR22" i="14" s="1"/>
  <c r="FO50" i="14"/>
  <c r="GA49" i="14"/>
  <c r="AO49" i="14" a="1"/>
  <c r="AO49" i="14" s="1"/>
  <c r="BS49" i="14" s="1"/>
  <c r="E45" i="43" s="1"/>
  <c r="GB48" i="14"/>
  <c r="GB47" i="14"/>
  <c r="FV46" i="14"/>
  <c r="FS45" i="14"/>
  <c r="GG44" i="14"/>
  <c r="FI44" i="14"/>
  <c r="FY43" i="14"/>
  <c r="FX42" i="14"/>
  <c r="FX41" i="14"/>
  <c r="FU40" i="14"/>
  <c r="FV39" i="14"/>
  <c r="FP38" i="14"/>
  <c r="AR38" i="14" a="1"/>
  <c r="AR38" i="14" s="1"/>
  <c r="BV38" i="14" s="1"/>
  <c r="H34" i="43" s="1"/>
  <c r="FZ37" i="14"/>
  <c r="FE37" i="14"/>
  <c r="FQ36" i="14"/>
  <c r="GC35" i="14"/>
  <c r="FL35" i="14"/>
  <c r="FT34" i="14"/>
  <c r="GD33" i="14"/>
  <c r="FK33" i="14"/>
  <c r="GE32" i="14"/>
  <c r="FS32" i="14"/>
  <c r="FG32" i="14"/>
  <c r="GF31" i="14"/>
  <c r="FT31" i="14"/>
  <c r="FH31" i="14"/>
  <c r="GG30" i="14"/>
  <c r="FU30" i="14"/>
  <c r="FI30" i="14"/>
  <c r="GH29" i="14"/>
  <c r="FV29" i="14"/>
  <c r="FJ29" i="14"/>
  <c r="FW28" i="14"/>
  <c r="FK28" i="14"/>
  <c r="FX27" i="14"/>
  <c r="FL27" i="14"/>
  <c r="FY26" i="14"/>
  <c r="FM26" i="14"/>
  <c r="FZ25" i="14"/>
  <c r="FN25" i="14"/>
  <c r="GA24" i="14"/>
  <c r="FO24" i="14"/>
  <c r="GB23" i="14"/>
  <c r="FP23" i="14"/>
  <c r="GC22" i="14"/>
  <c r="FQ22" i="14"/>
  <c r="FE22" i="14"/>
  <c r="GD21" i="14"/>
  <c r="FR21" i="14"/>
  <c r="FF21" i="14"/>
  <c r="GE20" i="14"/>
  <c r="FS20" i="14"/>
  <c r="FG20" i="14"/>
  <c r="GF19" i="14"/>
  <c r="FT19" i="14"/>
  <c r="FH19" i="14"/>
  <c r="GG18" i="14"/>
  <c r="FU18" i="14"/>
  <c r="FI18" i="14"/>
  <c r="GH17" i="14"/>
  <c r="FV17" i="14"/>
  <c r="FJ17" i="14"/>
  <c r="FW16" i="14"/>
  <c r="FK16" i="14"/>
  <c r="FN50" i="14"/>
  <c r="FZ49" i="14"/>
  <c r="GA48" i="14"/>
  <c r="FZ47" i="14"/>
  <c r="FS46" i="14"/>
  <c r="FR45" i="14"/>
  <c r="GF44" i="14"/>
  <c r="FH44" i="14"/>
  <c r="FW43" i="14"/>
  <c r="FW42" i="14"/>
  <c r="FW41" i="14"/>
  <c r="FP40" i="14"/>
  <c r="FQ39" i="14"/>
  <c r="FO38" i="14"/>
  <c r="BM38" i="14" a="1"/>
  <c r="BM38" i="14" s="1"/>
  <c r="CQ38" i="14" s="1"/>
  <c r="AC34" i="43" s="1"/>
  <c r="BB38" i="14" a="1"/>
  <c r="BB38" i="14" s="1"/>
  <c r="CF38" i="14" s="1"/>
  <c r="R34" i="43" s="1"/>
  <c r="AQ38" i="14" a="1"/>
  <c r="AQ38" i="14" s="1"/>
  <c r="BU38" i="14" s="1"/>
  <c r="G34" i="43" s="1"/>
  <c r="FY37" i="14"/>
  <c r="FP36" i="14"/>
  <c r="GB35" i="14"/>
  <c r="FI35" i="14"/>
  <c r="FS34" i="14"/>
  <c r="GC33" i="14"/>
  <c r="FI33" i="14"/>
  <c r="GD32" i="14"/>
  <c r="FR32" i="14"/>
  <c r="FF32" i="14"/>
  <c r="GE31" i="14"/>
  <c r="FS31" i="14"/>
  <c r="FG31" i="14"/>
  <c r="GF30" i="14"/>
  <c r="FT30" i="14"/>
  <c r="FH30" i="14"/>
  <c r="GG29" i="14"/>
  <c r="FU29" i="14"/>
  <c r="FI29" i="14"/>
  <c r="GH28" i="14"/>
  <c r="FV28" i="14"/>
  <c r="FJ28" i="14"/>
  <c r="FW27" i="14"/>
  <c r="FK27" i="14"/>
  <c r="FX26" i="14"/>
  <c r="FL26" i="14"/>
  <c r="FY25" i="14"/>
  <c r="FM25" i="14"/>
  <c r="FZ24" i="14"/>
  <c r="FN24" i="14"/>
  <c r="GA23" i="14"/>
  <c r="FO23" i="14"/>
  <c r="GB22" i="14"/>
  <c r="FP22" i="14"/>
  <c r="GC21" i="14"/>
  <c r="FQ21" i="14"/>
  <c r="FE21" i="14"/>
  <c r="GD20" i="14"/>
  <c r="FR20" i="14"/>
  <c r="FF20" i="14"/>
  <c r="GE19" i="14"/>
  <c r="FS19" i="14"/>
  <c r="FG19" i="14"/>
  <c r="GF18" i="14"/>
  <c r="FT18" i="14"/>
  <c r="FH18" i="14"/>
  <c r="GG17" i="14"/>
  <c r="FU17" i="14"/>
  <c r="FI17" i="14"/>
  <c r="GH16" i="14"/>
  <c r="FV16" i="14"/>
  <c r="FJ16" i="14"/>
  <c r="FM50" i="14"/>
  <c r="AX50" i="14" a="1"/>
  <c r="AX50" i="14" s="1"/>
  <c r="CB50" i="14" s="1"/>
  <c r="N46" i="43" s="1"/>
  <c r="FX49" i="14"/>
  <c r="FY48" i="14"/>
  <c r="FU47" i="14"/>
  <c r="FR46" i="14"/>
  <c r="FP45" i="14"/>
  <c r="FO49" i="14"/>
  <c r="FP48" i="14"/>
  <c r="FH45" i="14"/>
  <c r="FO41" i="14"/>
  <c r="FL39" i="14"/>
  <c r="AP39" i="14" a="1"/>
  <c r="AP39" i="14" s="1"/>
  <c r="BT39" i="14" s="1"/>
  <c r="F35" i="43" s="1"/>
  <c r="FL38" i="14"/>
  <c r="BI38" i="14" a="1"/>
  <c r="BI38" i="14" s="1"/>
  <c r="CM38" i="14" s="1"/>
  <c r="Y34" i="43" s="1"/>
  <c r="FK36" i="14"/>
  <c r="BI35" i="14" a="1"/>
  <c r="BI35" i="14" s="1"/>
  <c r="CM35" i="14" s="1"/>
  <c r="Y31" i="43" s="1"/>
  <c r="AQ35" i="14" a="1"/>
  <c r="AQ35" i="14" s="1"/>
  <c r="BU35" i="14" s="1"/>
  <c r="G31" i="43" s="1"/>
  <c r="FF34" i="14"/>
  <c r="GB33" i="14"/>
  <c r="FZ32" i="14"/>
  <c r="BN32" i="14" a="1"/>
  <c r="BN32" i="14" s="1"/>
  <c r="CR32" i="14" s="1"/>
  <c r="AD28" i="43" s="1"/>
  <c r="BB32" i="14" a="1"/>
  <c r="BB32" i="14" s="1"/>
  <c r="CF32" i="14" s="1"/>
  <c r="R28" i="43" s="1"/>
  <c r="AP32" i="14" a="1"/>
  <c r="AP32" i="14" s="1"/>
  <c r="BT32" i="14" s="1"/>
  <c r="F28" i="43" s="1"/>
  <c r="FV31" i="14"/>
  <c r="BL31" i="14" a="1"/>
  <c r="BL31" i="14" s="1"/>
  <c r="CP31" i="14" s="1"/>
  <c r="AB27" i="43" s="1"/>
  <c r="AZ31" i="14" a="1"/>
  <c r="AZ31" i="14" s="1"/>
  <c r="CD31" i="14" s="1"/>
  <c r="P27" i="43" s="1"/>
  <c r="FW30" i="14"/>
  <c r="FL29" i="14"/>
  <c r="FR28" i="14"/>
  <c r="FQ27" i="14"/>
  <c r="GG26" i="14"/>
  <c r="FI26" i="14"/>
  <c r="GG25" i="14"/>
  <c r="FI25" i="14"/>
  <c r="GF24" i="14"/>
  <c r="FK24" i="14"/>
  <c r="FY23" i="14"/>
  <c r="FF23" i="14"/>
  <c r="AR23" i="14" a="1"/>
  <c r="AR23" i="14" s="1"/>
  <c r="FX22" i="14"/>
  <c r="FG22" i="14"/>
  <c r="AS22" i="14" a="1"/>
  <c r="AS22" i="14" s="1"/>
  <c r="BC22" i="14" s="1" a="1"/>
  <c r="BC22" i="14" s="1"/>
  <c r="GF21" i="14"/>
  <c r="FO21" i="14"/>
  <c r="AO21" i="14" a="1"/>
  <c r="AO21" i="14" s="1"/>
  <c r="FY20" i="14"/>
  <c r="FI20" i="14"/>
  <c r="GG19" i="14"/>
  <c r="FP19" i="14"/>
  <c r="AW19" i="14" a="1"/>
  <c r="AW19" i="14" s="1"/>
  <c r="CA19" i="14" s="1"/>
  <c r="M15" i="43" s="1"/>
  <c r="FX18" i="14"/>
  <c r="FG18" i="14"/>
  <c r="BI18" i="14" a="1"/>
  <c r="BI18" i="14" s="1"/>
  <c r="CM18" i="14" s="1"/>
  <c r="Y14" i="43" s="1"/>
  <c r="BA18" i="14" a="1"/>
  <c r="BA18" i="14" s="1"/>
  <c r="CE18" i="14" s="1"/>
  <c r="Q14" i="43" s="1"/>
  <c r="GE17" i="14"/>
  <c r="FP17" i="14"/>
  <c r="BM17" i="14" a="1"/>
  <c r="BM17" i="14" s="1"/>
  <c r="CQ17" i="14" s="1"/>
  <c r="AC13" i="43" s="1"/>
  <c r="AW17" i="14" a="1"/>
  <c r="AW17" i="14" s="1"/>
  <c r="CA17" i="14" s="1"/>
  <c r="M13" i="43" s="1"/>
  <c r="AO17" i="14" a="1"/>
  <c r="AO17" i="14" s="1"/>
  <c r="BS17" i="14" s="1"/>
  <c r="E13" i="43" s="1"/>
  <c r="FX16" i="14"/>
  <c r="FG16" i="14"/>
  <c r="GA15" i="14"/>
  <c r="FO15" i="14"/>
  <c r="GB14" i="14"/>
  <c r="FP14" i="14"/>
  <c r="GC13" i="14"/>
  <c r="FQ13" i="14"/>
  <c r="FE13" i="14"/>
  <c r="GD12" i="14"/>
  <c r="FR12" i="14"/>
  <c r="FF12" i="14"/>
  <c r="AT46" i="14" a="1"/>
  <c r="AT46" i="14" s="1"/>
  <c r="BD46" i="14" s="1" a="1"/>
  <c r="BD46" i="14" s="1"/>
  <c r="FG45" i="14"/>
  <c r="GE42" i="14"/>
  <c r="FM41" i="14"/>
  <c r="GH40" i="14"/>
  <c r="FK38" i="14"/>
  <c r="GB37" i="14"/>
  <c r="BH37" i="14" a="1"/>
  <c r="BH37" i="14" s="1"/>
  <c r="CL37" i="14" s="1"/>
  <c r="X33" i="43" s="1"/>
  <c r="AP37" i="14" a="1"/>
  <c r="AP37" i="14" s="1"/>
  <c r="BT37" i="14" s="1"/>
  <c r="F33" i="43" s="1"/>
  <c r="FF36" i="14"/>
  <c r="BJ36" i="14" a="1"/>
  <c r="BJ36" i="14" s="1"/>
  <c r="CN36" i="14" s="1"/>
  <c r="Z32" i="43" s="1"/>
  <c r="AR36" i="14" a="1"/>
  <c r="AR36" i="14" s="1"/>
  <c r="BV36" i="14" s="1"/>
  <c r="H32" i="43" s="1"/>
  <c r="BH35" i="14" a="1"/>
  <c r="BH35" i="14" s="1"/>
  <c r="CL35" i="14" s="1"/>
  <c r="X31" i="43" s="1"/>
  <c r="AP35" i="14" a="1"/>
  <c r="AP35" i="14" s="1"/>
  <c r="BT35" i="14" s="1"/>
  <c r="F31" i="43" s="1"/>
  <c r="BO34" i="14" a="1"/>
  <c r="BO34" i="14" s="1"/>
  <c r="CS34" i="14" s="1"/>
  <c r="AE30" i="43" s="1"/>
  <c r="AW34" i="14" a="1"/>
  <c r="AW34" i="14" s="1"/>
  <c r="CA34" i="14" s="1"/>
  <c r="M30" i="43" s="1"/>
  <c r="FZ33" i="14"/>
  <c r="FX32" i="14"/>
  <c r="BM32" i="14" a="1"/>
  <c r="BM32" i="14" s="1"/>
  <c r="CQ32" i="14" s="1"/>
  <c r="AC28" i="43" s="1"/>
  <c r="BA32" i="14" a="1"/>
  <c r="BA32" i="14" s="1"/>
  <c r="CE32" i="14" s="1"/>
  <c r="Q28" i="43" s="1"/>
  <c r="AO32" i="14" a="1"/>
  <c r="AO32" i="14" s="1"/>
  <c r="BS32" i="14" s="1"/>
  <c r="E28" i="43" s="1"/>
  <c r="FR31" i="14"/>
  <c r="BJ31" i="14" a="1"/>
  <c r="BJ31" i="14" s="1"/>
  <c r="CN31" i="14" s="1"/>
  <c r="Z27" i="43" s="1"/>
  <c r="AX31" i="14" a="1"/>
  <c r="AX31" i="14" s="1"/>
  <c r="CB31" i="14" s="1"/>
  <c r="N27" i="43" s="1"/>
  <c r="FS30" i="14"/>
  <c r="GF29" i="14"/>
  <c r="FH29" i="14"/>
  <c r="FP28" i="14"/>
  <c r="FN27" i="14"/>
  <c r="GF26" i="14"/>
  <c r="FH26" i="14"/>
  <c r="AT26" i="14" a="1"/>
  <c r="AT26" i="14" s="1"/>
  <c r="BD26" i="14" s="1" a="1"/>
  <c r="BD26" i="14" s="1"/>
  <c r="EZ26" i="14" s="1"/>
  <c r="DV26" i="14" s="1"/>
  <c r="GE25" i="14"/>
  <c r="FG25" i="14"/>
  <c r="GD24" i="14"/>
  <c r="FJ24" i="14"/>
  <c r="FX23" i="14"/>
  <c r="FW22" i="14"/>
  <c r="GE21" i="14"/>
  <c r="FN21" i="14"/>
  <c r="AV21" i="14" a="1"/>
  <c r="AV21" i="14" s="1"/>
  <c r="ER21" i="14" s="1"/>
  <c r="DN21" i="14" s="1"/>
  <c r="FX20" i="14"/>
  <c r="FH20" i="14"/>
  <c r="GD19" i="14"/>
  <c r="FO19" i="14"/>
  <c r="BD19" i="14" a="1"/>
  <c r="BD19" i="14" s="1"/>
  <c r="CH19" i="14" s="1"/>
  <c r="T15" i="43" s="1"/>
  <c r="FW18" i="14"/>
  <c r="FF18" i="14"/>
  <c r="GD17" i="14"/>
  <c r="FO17" i="14"/>
  <c r="FU16" i="14"/>
  <c r="FF16" i="14"/>
  <c r="FZ15" i="14"/>
  <c r="FN15" i="14"/>
  <c r="GA14" i="14"/>
  <c r="FO14" i="14"/>
  <c r="GB13" i="14"/>
  <c r="FP13" i="14"/>
  <c r="GC12" i="14"/>
  <c r="FQ12" i="14"/>
  <c r="FE12" i="14"/>
  <c r="GC46" i="14"/>
  <c r="GE44" i="14"/>
  <c r="FV42" i="14"/>
  <c r="GG40" i="14"/>
  <c r="BD38" i="14" a="1"/>
  <c r="BD38" i="14" s="1"/>
  <c r="CH38" i="14" s="1"/>
  <c r="T34" i="43" s="1"/>
  <c r="FX37" i="14"/>
  <c r="GE35" i="14"/>
  <c r="GH34" i="14"/>
  <c r="FW33" i="14"/>
  <c r="FU32" i="14"/>
  <c r="FQ31" i="14"/>
  <c r="FR30" i="14"/>
  <c r="GE29" i="14"/>
  <c r="FG29" i="14"/>
  <c r="FM28" i="14"/>
  <c r="GH27" i="14"/>
  <c r="FJ27" i="14"/>
  <c r="GD26" i="14"/>
  <c r="FF26" i="14"/>
  <c r="GB25" i="14"/>
  <c r="GC24" i="14"/>
  <c r="FH24" i="14"/>
  <c r="AS24" i="14" a="1"/>
  <c r="AS24" i="14" s="1"/>
  <c r="BC24" i="14" s="1" a="1"/>
  <c r="BC24" i="14" s="1"/>
  <c r="EY24" i="14" s="1"/>
  <c r="DU24" i="14" s="1"/>
  <c r="FW23" i="14"/>
  <c r="FV22" i="14"/>
  <c r="GB21" i="14"/>
  <c r="FM21" i="14"/>
  <c r="FV20" i="14"/>
  <c r="FE20" i="14"/>
  <c r="GC19" i="14"/>
  <c r="FN19" i="14"/>
  <c r="BL19" i="14" a="1"/>
  <c r="BL19" i="14" s="1"/>
  <c r="CP19" i="14" s="1"/>
  <c r="AB15" i="43" s="1"/>
  <c r="AV19" i="14" a="1"/>
  <c r="AV19" i="14" s="1"/>
  <c r="BZ19" i="14" s="1"/>
  <c r="L15" i="43" s="1"/>
  <c r="FV18" i="14"/>
  <c r="FE18" i="14"/>
  <c r="GC17" i="14"/>
  <c r="FM17" i="14"/>
  <c r="FT16" i="14"/>
  <c r="FE16" i="14"/>
  <c r="FY15" i="14"/>
  <c r="FM15" i="14"/>
  <c r="FZ14" i="14"/>
  <c r="FN14" i="14"/>
  <c r="GA13" i="14"/>
  <c r="FO13" i="14"/>
  <c r="GB12" i="14"/>
  <c r="FP12" i="14"/>
  <c r="AX47" i="14" a="1"/>
  <c r="AX47" i="14" s="1"/>
  <c r="CB47" i="14" s="1"/>
  <c r="N43" i="43" s="1"/>
  <c r="FQ46" i="14"/>
  <c r="GC44" i="14"/>
  <c r="FU42" i="14"/>
  <c r="FW40" i="14"/>
  <c r="FS37" i="14"/>
  <c r="BG37" i="14" a="1"/>
  <c r="BG37" i="14" s="1"/>
  <c r="CK37" i="14" s="1"/>
  <c r="W33" i="43" s="1"/>
  <c r="AO37" i="14" a="1"/>
  <c r="AO37" i="14" s="1"/>
  <c r="BS37" i="14" s="1"/>
  <c r="E33" i="43" s="1"/>
  <c r="GF36" i="14"/>
  <c r="GA35" i="14"/>
  <c r="GF34" i="14"/>
  <c r="BL34" i="14" a="1"/>
  <c r="BL34" i="14" s="1"/>
  <c r="CP34" i="14" s="1"/>
  <c r="AB30" i="43" s="1"/>
  <c r="AT34" i="14" a="1"/>
  <c r="AT34" i="14" s="1"/>
  <c r="BX34" i="14" s="1"/>
  <c r="J30" i="43" s="1"/>
  <c r="FU33" i="14"/>
  <c r="FQ32" i="14"/>
  <c r="FP31" i="14"/>
  <c r="BI31" i="14" a="1"/>
  <c r="BI31" i="14" s="1"/>
  <c r="CM31" i="14" s="1"/>
  <c r="Y27" i="43" s="1"/>
  <c r="AW31" i="14" a="1"/>
  <c r="AW31" i="14" s="1"/>
  <c r="CA31" i="14" s="1"/>
  <c r="M27" i="43" s="1"/>
  <c r="FQ30" i="14"/>
  <c r="GD29" i="14"/>
  <c r="FF29" i="14"/>
  <c r="GG28" i="14"/>
  <c r="FI28" i="14"/>
  <c r="GG27" i="14"/>
  <c r="FI27" i="14"/>
  <c r="GA26" i="14"/>
  <c r="AS26" i="14" a="1"/>
  <c r="AS26" i="14" s="1"/>
  <c r="BW26" i="14" s="1"/>
  <c r="I22" i="43" s="1"/>
  <c r="FX25" i="14"/>
  <c r="FY24" i="14"/>
  <c r="FF24" i="14"/>
  <c r="FU23" i="14"/>
  <c r="FT22" i="14"/>
  <c r="AP22" i="14" a="1"/>
  <c r="AP22" i="14" s="1"/>
  <c r="GA21" i="14"/>
  <c r="FL21" i="14"/>
  <c r="FU20" i="14"/>
  <c r="GB19" i="14"/>
  <c r="FM19" i="14"/>
  <c r="FS18" i="14"/>
  <c r="GB17" i="14"/>
  <c r="FL17" i="14"/>
  <c r="FS16" i="14"/>
  <c r="FX15" i="14"/>
  <c r="FL15" i="14"/>
  <c r="FY14" i="14"/>
  <c r="FM14" i="14"/>
  <c r="FZ13" i="14"/>
  <c r="FN13" i="14"/>
  <c r="GA12" i="14"/>
  <c r="FO12" i="14"/>
  <c r="FO46" i="14"/>
  <c r="BK45" i="14" a="1"/>
  <c r="BK45" i="14" s="1"/>
  <c r="CO45" i="14" s="1"/>
  <c r="AA41" i="43" s="1"/>
  <c r="FX44" i="14"/>
  <c r="FS42" i="14"/>
  <c r="FN40" i="14"/>
  <c r="BA38" i="14" a="1"/>
  <c r="BA38" i="14" s="1"/>
  <c r="CE38" i="14" s="1"/>
  <c r="Q34" i="43" s="1"/>
  <c r="FQ37" i="14"/>
  <c r="GD36" i="14"/>
  <c r="BD36" i="14" a="1"/>
  <c r="BD36" i="14" s="1"/>
  <c r="CH36" i="14" s="1"/>
  <c r="T32" i="43" s="1"/>
  <c r="FZ35" i="14"/>
  <c r="BB35" i="14" a="1"/>
  <c r="BB35" i="14" s="1"/>
  <c r="CF35" i="14" s="1"/>
  <c r="R31" i="43" s="1"/>
  <c r="GE34" i="14"/>
  <c r="BJ34" i="14" a="1"/>
  <c r="BJ34" i="14" s="1"/>
  <c r="CN34" i="14" s="1"/>
  <c r="Z30" i="43" s="1"/>
  <c r="AR34" i="14" a="1"/>
  <c r="AR34" i="14" s="1"/>
  <c r="BV34" i="14" s="1"/>
  <c r="H30" i="43" s="1"/>
  <c r="FS33" i="14"/>
  <c r="FP32" i="14"/>
  <c r="BI32" i="14" a="1"/>
  <c r="BI32" i="14" s="1"/>
  <c r="CM32" i="14" s="1"/>
  <c r="Y28" i="43" s="1"/>
  <c r="AW32" i="14" a="1"/>
  <c r="AW32" i="14" s="1"/>
  <c r="CA32" i="14" s="1"/>
  <c r="M28" i="43" s="1"/>
  <c r="FO31" i="14"/>
  <c r="FP30" i="14"/>
  <c r="GC29" i="14"/>
  <c r="FE29" i="14"/>
  <c r="GF28" i="14"/>
  <c r="FH28" i="14"/>
  <c r="GF27" i="14"/>
  <c r="FH27" i="14"/>
  <c r="FW26" i="14"/>
  <c r="AR26" i="14" a="1"/>
  <c r="AR26" i="14" s="1"/>
  <c r="BV26" i="14" s="1"/>
  <c r="H22" i="43" s="1"/>
  <c r="FW25" i="14"/>
  <c r="FX24" i="14"/>
  <c r="FE24" i="14"/>
  <c r="FS23" i="14"/>
  <c r="FS22" i="14"/>
  <c r="FZ21" i="14"/>
  <c r="FK21" i="14"/>
  <c r="FT20" i="14"/>
  <c r="GA19" i="14"/>
  <c r="FK19" i="14"/>
  <c r="BJ19" i="14" a="1"/>
  <c r="BJ19" i="14" s="1"/>
  <c r="CN19" i="14" s="1"/>
  <c r="Z15" i="43" s="1"/>
  <c r="FR18" i="14"/>
  <c r="GA17" i="14"/>
  <c r="FK17" i="14"/>
  <c r="GG16" i="14"/>
  <c r="FR16" i="14"/>
  <c r="FW15" i="14"/>
  <c r="FK15" i="14"/>
  <c r="FX14" i="14"/>
  <c r="FL14" i="14"/>
  <c r="FY13" i="14"/>
  <c r="FM13" i="14"/>
  <c r="FZ12" i="14"/>
  <c r="FN12" i="14"/>
  <c r="FJ46" i="14"/>
  <c r="FV44" i="14"/>
  <c r="FN42" i="14"/>
  <c r="FM40" i="14"/>
  <c r="FP37" i="14"/>
  <c r="GC36" i="14"/>
  <c r="FX35" i="14"/>
  <c r="GC34" i="14"/>
  <c r="FP33" i="14"/>
  <c r="FO32" i="14"/>
  <c r="FM31" i="14"/>
  <c r="FN30" i="14"/>
  <c r="GA29" i="14"/>
  <c r="GE28" i="14"/>
  <c r="FG28" i="14"/>
  <c r="GE27" i="14"/>
  <c r="FG27" i="14"/>
  <c r="FV26" i="14"/>
  <c r="FV25" i="14"/>
  <c r="FW24" i="14"/>
  <c r="FR23" i="14"/>
  <c r="FO22" i="14"/>
  <c r="AO22" i="14" a="1"/>
  <c r="AO22" i="14" s="1"/>
  <c r="FY21" i="14"/>
  <c r="FI21" i="14"/>
  <c r="GH20" i="14"/>
  <c r="FQ20" i="14"/>
  <c r="FZ19" i="14"/>
  <c r="FJ19" i="14"/>
  <c r="GH18" i="14"/>
  <c r="FQ18" i="14"/>
  <c r="FY17" i="14"/>
  <c r="FH17" i="14"/>
  <c r="GF16" i="14"/>
  <c r="FQ16" i="14"/>
  <c r="GH15" i="14"/>
  <c r="FV15" i="14"/>
  <c r="FJ15" i="14"/>
  <c r="FW14" i="14"/>
  <c r="FK14" i="14"/>
  <c r="FX13" i="14"/>
  <c r="FL13" i="14"/>
  <c r="FY12" i="14"/>
  <c r="FM12" i="14"/>
  <c r="GD47" i="14"/>
  <c r="AQ47" i="14" a="1"/>
  <c r="AQ47" i="14" s="1"/>
  <c r="EM47" i="14" s="1"/>
  <c r="DI47" i="14" s="1"/>
  <c r="FL44" i="14"/>
  <c r="GF43" i="14"/>
  <c r="FG42" i="14"/>
  <c r="FL40" i="14"/>
  <c r="AX38" i="14" a="1"/>
  <c r="AX38" i="14" s="1"/>
  <c r="CB38" i="14" s="1"/>
  <c r="N34" i="43" s="1"/>
  <c r="FN37" i="14"/>
  <c r="BR37" i="14" a="1"/>
  <c r="BR37" i="14" s="1"/>
  <c r="CV37" i="14" s="1"/>
  <c r="AH33" i="43" s="1"/>
  <c r="AZ37" i="14" a="1"/>
  <c r="AZ37" i="14" s="1"/>
  <c r="CD37" i="14" s="1"/>
  <c r="P33" i="43" s="1"/>
  <c r="GB36" i="14"/>
  <c r="FU35" i="14"/>
  <c r="FY34" i="14"/>
  <c r="BF34" i="14" a="1"/>
  <c r="BF34" i="14" s="1"/>
  <c r="CJ34" i="14" s="1"/>
  <c r="V30" i="43" s="1"/>
  <c r="FH33" i="14"/>
  <c r="FN32" i="14"/>
  <c r="GH31" i="14"/>
  <c r="FJ31" i="14"/>
  <c r="BF31" i="14" a="1"/>
  <c r="BF31" i="14" s="1"/>
  <c r="CJ31" i="14" s="1"/>
  <c r="V27" i="43" s="1"/>
  <c r="AT31" i="14" a="1"/>
  <c r="AT31" i="14" s="1"/>
  <c r="BX31" i="14" s="1"/>
  <c r="J27" i="43" s="1"/>
  <c r="FK30" i="14"/>
  <c r="FX29" i="14"/>
  <c r="GD28" i="14"/>
  <c r="FF28" i="14"/>
  <c r="GC27" i="14"/>
  <c r="FE27" i="14"/>
  <c r="FU26" i="14"/>
  <c r="FU25" i="14"/>
  <c r="FV24" i="14"/>
  <c r="AO24" i="14" a="1"/>
  <c r="AO24" i="14" s="1"/>
  <c r="BS24" i="14" s="1"/>
  <c r="E20" i="43" s="1"/>
  <c r="FN23" i="14"/>
  <c r="GH22" i="14"/>
  <c r="FN22" i="14"/>
  <c r="FX21" i="14"/>
  <c r="FH21" i="14"/>
  <c r="AS21" i="14" a="1"/>
  <c r="AS21" i="14" s="1"/>
  <c r="GG20" i="14"/>
  <c r="FP20" i="14"/>
  <c r="FY19" i="14"/>
  <c r="FI19" i="14"/>
  <c r="BI19" i="14" a="1"/>
  <c r="BI19" i="14" s="1"/>
  <c r="CM19" i="14" s="1"/>
  <c r="Y15" i="43" s="1"/>
  <c r="GE18" i="14"/>
  <c r="FP18" i="14"/>
  <c r="BM18" i="14" a="1"/>
  <c r="BM18" i="14" s="1"/>
  <c r="CQ18" i="14" s="1"/>
  <c r="AC14" i="43" s="1"/>
  <c r="AW18" i="14" a="1"/>
  <c r="AW18" i="14" s="1"/>
  <c r="CA18" i="14" s="1"/>
  <c r="M14" i="43" s="1"/>
  <c r="AO18" i="14" a="1"/>
  <c r="AO18" i="14" s="1"/>
  <c r="BS18" i="14" s="1"/>
  <c r="E14" i="43" s="1"/>
  <c r="FX17" i="14"/>
  <c r="FG17" i="14"/>
  <c r="GE16" i="14"/>
  <c r="FP16" i="14"/>
  <c r="GG15" i="14"/>
  <c r="FU15" i="14"/>
  <c r="FI15" i="14"/>
  <c r="GH14" i="14"/>
  <c r="FV14" i="14"/>
  <c r="FJ14" i="14"/>
  <c r="FW13" i="14"/>
  <c r="FK13" i="14"/>
  <c r="FX12" i="14"/>
  <c r="FL12" i="14"/>
  <c r="FR47" i="14"/>
  <c r="FG44" i="14"/>
  <c r="FV43" i="14"/>
  <c r="FK40" i="14"/>
  <c r="GH39" i="14"/>
  <c r="GD38" i="14"/>
  <c r="AU38" i="14" a="1"/>
  <c r="AU38" i="14" s="1"/>
  <c r="BY38" i="14" s="1"/>
  <c r="K34" i="43" s="1"/>
  <c r="FJ37" i="14"/>
  <c r="FZ36" i="14"/>
  <c r="BB36" i="14" a="1"/>
  <c r="BB36" i="14" s="1"/>
  <c r="CF36" i="14" s="1"/>
  <c r="R32" i="43" s="1"/>
  <c r="FR35" i="14"/>
  <c r="FR34" i="14"/>
  <c r="BE34" i="14" a="1"/>
  <c r="BE34" i="14" s="1"/>
  <c r="CI34" i="14" s="1"/>
  <c r="U30" i="43" s="1"/>
  <c r="FG33" i="14"/>
  <c r="FL32" i="14"/>
  <c r="GD31" i="14"/>
  <c r="FF31" i="14"/>
  <c r="BP31" i="14" a="1"/>
  <c r="BP31" i="14" s="1"/>
  <c r="CT31" i="14" s="1"/>
  <c r="AF27" i="43" s="1"/>
  <c r="BD31" i="14" a="1"/>
  <c r="BD31" i="14" s="1"/>
  <c r="CH31" i="14" s="1"/>
  <c r="T27" i="43" s="1"/>
  <c r="AR31" i="14" a="1"/>
  <c r="AR31" i="14" s="1"/>
  <c r="BV31" i="14" s="1"/>
  <c r="H27" i="43" s="1"/>
  <c r="GE30" i="14"/>
  <c r="FG30" i="14"/>
  <c r="FT29" i="14"/>
  <c r="GB28" i="14"/>
  <c r="FZ27" i="14"/>
  <c r="FT26" i="14"/>
  <c r="FS25" i="14"/>
  <c r="FT24" i="14"/>
  <c r="FM23" i="14"/>
  <c r="GF22" i="14"/>
  <c r="FM22" i="14"/>
  <c r="AV22" i="14" a="1"/>
  <c r="AV22" i="14" s="1"/>
  <c r="ER22" i="14" s="1"/>
  <c r="DN22" i="14" s="1"/>
  <c r="FW21" i="14"/>
  <c r="FG21" i="14"/>
  <c r="GF20" i="14"/>
  <c r="FO20" i="14"/>
  <c r="FW19" i="14"/>
  <c r="FF19" i="14"/>
  <c r="GD18" i="14"/>
  <c r="FO18" i="14"/>
  <c r="FW17" i="14"/>
  <c r="FF17" i="14"/>
  <c r="GD16" i="14"/>
  <c r="FN16" i="14"/>
  <c r="GF15" i="14"/>
  <c r="FT15" i="14"/>
  <c r="FH15" i="14"/>
  <c r="GG14" i="14"/>
  <c r="FU14" i="14"/>
  <c r="FI14" i="14"/>
  <c r="GH13" i="14"/>
  <c r="FV13" i="14"/>
  <c r="FJ13" i="14"/>
  <c r="FW12" i="14"/>
  <c r="FK12" i="14"/>
  <c r="FW50" i="14"/>
  <c r="FQ47" i="14"/>
  <c r="FE44" i="14"/>
  <c r="FU43" i="14"/>
  <c r="AT43" i="14" a="1"/>
  <c r="AT43" i="14" s="1"/>
  <c r="BX43" i="14" s="1"/>
  <c r="J39" i="43" s="1"/>
  <c r="FX39" i="14"/>
  <c r="GB38" i="14"/>
  <c r="FT36" i="14"/>
  <c r="FO35" i="14"/>
  <c r="FQ34" i="14"/>
  <c r="FF33" i="14"/>
  <c r="GG32" i="14"/>
  <c r="FI32" i="14"/>
  <c r="GC31" i="14"/>
  <c r="FE31" i="14"/>
  <c r="GD30" i="14"/>
  <c r="FF30" i="14"/>
  <c r="FS29" i="14"/>
  <c r="FY28" i="14"/>
  <c r="FV27" i="14"/>
  <c r="FR26" i="14"/>
  <c r="FP25" i="14"/>
  <c r="FR24" i="14"/>
  <c r="GG23" i="14"/>
  <c r="FL23" i="14"/>
  <c r="GE22" i="14"/>
  <c r="FL22" i="14"/>
  <c r="FU21" i="14"/>
  <c r="GC20" i="14"/>
  <c r="FN20" i="14"/>
  <c r="FV19" i="14"/>
  <c r="FE19" i="14"/>
  <c r="GC18" i="14"/>
  <c r="FN18" i="14"/>
  <c r="FT17" i="14"/>
  <c r="FE17" i="14"/>
  <c r="GC16" i="14"/>
  <c r="FM16" i="14"/>
  <c r="GE15" i="14"/>
  <c r="FS15" i="14"/>
  <c r="FG15" i="14"/>
  <c r="GF14" i="14"/>
  <c r="FT14" i="14"/>
  <c r="FH14" i="14"/>
  <c r="GG13" i="14"/>
  <c r="FU13" i="14"/>
  <c r="FI13" i="14"/>
  <c r="GH12" i="14"/>
  <c r="FV12" i="14"/>
  <c r="FJ12" i="14"/>
  <c r="FK50" i="14"/>
  <c r="GE49" i="14"/>
  <c r="GF48" i="14"/>
  <c r="AW48" i="14" a="1"/>
  <c r="AW48" i="14" s="1"/>
  <c r="ES48" i="14" s="1"/>
  <c r="DO48" i="14" s="1"/>
  <c r="FP47" i="14"/>
  <c r="FT43" i="14"/>
  <c r="GA41" i="14"/>
  <c r="AV40" i="14" a="1"/>
  <c r="AV40" i="14" s="1"/>
  <c r="ER40" i="14" s="1"/>
  <c r="DN40" i="14" s="1"/>
  <c r="FO39" i="14"/>
  <c r="AV39" i="14" a="1"/>
  <c r="AV39" i="14" s="1"/>
  <c r="BZ39" i="14" s="1"/>
  <c r="L35" i="43" s="1"/>
  <c r="FW38" i="14"/>
  <c r="AP38" i="14" a="1"/>
  <c r="AP38" i="14" s="1"/>
  <c r="BT38" i="14" s="1"/>
  <c r="F34" i="43" s="1"/>
  <c r="BO37" i="14" a="1"/>
  <c r="BO37" i="14" s="1"/>
  <c r="CS37" i="14" s="1"/>
  <c r="AE33" i="43" s="1"/>
  <c r="AW37" i="14" a="1"/>
  <c r="AW37" i="14" s="1"/>
  <c r="CA37" i="14" s="1"/>
  <c r="M33" i="43" s="1"/>
  <c r="FO36" i="14"/>
  <c r="FG35" i="14"/>
  <c r="FP34" i="14"/>
  <c r="FE33" i="14"/>
  <c r="GC32" i="14"/>
  <c r="FE32" i="14"/>
  <c r="GB31" i="14"/>
  <c r="BO31" i="14" a="1"/>
  <c r="BO31" i="14" s="1"/>
  <c r="CS31" i="14" s="1"/>
  <c r="AE27" i="43" s="1"/>
  <c r="BC31" i="14" a="1"/>
  <c r="BC31" i="14" s="1"/>
  <c r="CG31" i="14" s="1"/>
  <c r="S27" i="43" s="1"/>
  <c r="AQ31" i="14" a="1"/>
  <c r="AQ31" i="14" s="1"/>
  <c r="BU31" i="14" s="1"/>
  <c r="G27" i="43" s="1"/>
  <c r="GC30" i="14"/>
  <c r="FE30" i="14"/>
  <c r="FR29" i="14"/>
  <c r="BJ29" i="14" a="1"/>
  <c r="BJ29" i="14" s="1"/>
  <c r="CN29" i="14" s="1"/>
  <c r="Z25" i="43" s="1"/>
  <c r="AX29" i="14" a="1"/>
  <c r="AX29" i="14" s="1"/>
  <c r="CB29" i="14" s="1"/>
  <c r="N25" i="43" s="1"/>
  <c r="FU28" i="14"/>
  <c r="BP28" i="14" a="1"/>
  <c r="BP28" i="14" s="1"/>
  <c r="CT28" i="14" s="1"/>
  <c r="AF24" i="43" s="1"/>
  <c r="BD28" i="14" a="1"/>
  <c r="BD28" i="14" s="1"/>
  <c r="CH28" i="14" s="1"/>
  <c r="T24" i="43" s="1"/>
  <c r="AR28" i="14" a="1"/>
  <c r="AR28" i="14" s="1"/>
  <c r="BV28" i="14" s="1"/>
  <c r="H24" i="43" s="1"/>
  <c r="FU27" i="14"/>
  <c r="FO26" i="14"/>
  <c r="FL25" i="14"/>
  <c r="AU25" i="14" a="1"/>
  <c r="AU25" i="14" s="1"/>
  <c r="FQ24" i="14"/>
  <c r="GE23" i="14"/>
  <c r="FK23" i="14"/>
  <c r="GA22" i="14"/>
  <c r="FK22" i="14"/>
  <c r="AU22" i="14" a="1"/>
  <c r="AU22" i="14" s="1"/>
  <c r="BY22" i="14" s="1"/>
  <c r="K18" i="43" s="1"/>
  <c r="FT21" i="14"/>
  <c r="GB20" i="14"/>
  <c r="FM20" i="14"/>
  <c r="FU19" i="14"/>
  <c r="BO19" i="14" a="1"/>
  <c r="BO19" i="14" s="1"/>
  <c r="CS19" i="14" s="1"/>
  <c r="AE15" i="43" s="1"/>
  <c r="AQ19" i="14" a="1"/>
  <c r="AQ19" i="14" s="1"/>
  <c r="BU19" i="14" s="1"/>
  <c r="G15" i="43" s="1"/>
  <c r="GB18" i="14"/>
  <c r="FL18" i="14"/>
  <c r="BC18" i="14" a="1"/>
  <c r="BC18" i="14" s="1"/>
  <c r="CG18" i="14" s="1"/>
  <c r="S14" i="43" s="1"/>
  <c r="AU18" i="14" a="1"/>
  <c r="AU18" i="14" s="1"/>
  <c r="BY18" i="14" s="1"/>
  <c r="K14" i="43" s="1"/>
  <c r="FS17" i="14"/>
  <c r="BO17" i="14" a="1"/>
  <c r="BO17" i="14" s="1"/>
  <c r="CS17" i="14" s="1"/>
  <c r="AE13" i="43" s="1"/>
  <c r="BG17" i="14" a="1"/>
  <c r="BG17" i="14" s="1"/>
  <c r="CK17" i="14" s="1"/>
  <c r="W13" i="43" s="1"/>
  <c r="AQ17" i="14" a="1"/>
  <c r="AQ17" i="14" s="1"/>
  <c r="BU17" i="14" s="1"/>
  <c r="G13" i="43" s="1"/>
  <c r="GB16" i="14"/>
  <c r="FL16" i="14"/>
  <c r="GD15" i="14"/>
  <c r="FR15" i="14"/>
  <c r="FF15" i="14"/>
  <c r="GE14" i="14"/>
  <c r="FS14" i="14"/>
  <c r="FG14" i="14"/>
  <c r="FK45" i="14"/>
  <c r="FH43" i="14"/>
  <c r="FM39" i="14"/>
  <c r="BB30" i="14" a="1"/>
  <c r="BB30" i="14" s="1"/>
  <c r="CF30" i="14" s="1"/>
  <c r="R26" i="43" s="1"/>
  <c r="FZ23" i="14"/>
  <c r="FZ22" i="14"/>
  <c r="GA20" i="14"/>
  <c r="GH19" i="14"/>
  <c r="FZ18" i="14"/>
  <c r="BB18" i="14" a="1"/>
  <c r="BB18" i="14" s="1"/>
  <c r="CF18" i="14" s="1"/>
  <c r="R14" i="43" s="1"/>
  <c r="GC15" i="14"/>
  <c r="FF13" i="14"/>
  <c r="AX13" i="14" a="1"/>
  <c r="AX13" i="14" s="1"/>
  <c r="CB13" i="14" s="1"/>
  <c r="N9" i="43" s="1"/>
  <c r="FI12" i="14"/>
  <c r="FO34" i="14"/>
  <c r="AQ30" i="14" a="1"/>
  <c r="AQ30" i="14" s="1"/>
  <c r="BU30" i="14" s="1"/>
  <c r="G26" i="43" s="1"/>
  <c r="BO28" i="14" a="1"/>
  <c r="BO28" i="14" s="1"/>
  <c r="CS28" i="14" s="1"/>
  <c r="AE24" i="43" s="1"/>
  <c r="FI23" i="14"/>
  <c r="FY22" i="14"/>
  <c r="FZ20" i="14"/>
  <c r="FR19" i="14"/>
  <c r="AP19" i="14" a="1"/>
  <c r="AP19" i="14" s="1"/>
  <c r="BT19" i="14" s="1"/>
  <c r="F15" i="43" s="1"/>
  <c r="FK18" i="14"/>
  <c r="FZ16" i="14"/>
  <c r="AQ16" i="14" a="1"/>
  <c r="AQ16" i="14" s="1"/>
  <c r="BU16" i="14" s="1"/>
  <c r="G12" i="43" s="1"/>
  <c r="GB15" i="14"/>
  <c r="BP14" i="14" a="1"/>
  <c r="BP14" i="14" s="1"/>
  <c r="CT14" i="14" s="1"/>
  <c r="AF10" i="43" s="1"/>
  <c r="BQ13" i="14" a="1"/>
  <c r="BQ13" i="14" s="1"/>
  <c r="CU13" i="14" s="1"/>
  <c r="AG9" i="43" s="1"/>
  <c r="AS13" i="14" a="1"/>
  <c r="AS13" i="14" s="1"/>
  <c r="BW13" i="14" s="1"/>
  <c r="I9" i="43" s="1"/>
  <c r="FH12" i="14"/>
  <c r="BJ35" i="14" a="1"/>
  <c r="BJ35" i="14" s="1"/>
  <c r="CN35" i="14" s="1"/>
  <c r="Z31" i="43" s="1"/>
  <c r="FJ34" i="14"/>
  <c r="GA31" i="14"/>
  <c r="AP30" i="14" a="1"/>
  <c r="AP30" i="14" s="1"/>
  <c r="BT30" i="14" s="1"/>
  <c r="F26" i="43" s="1"/>
  <c r="FT28" i="14"/>
  <c r="FG23" i="14"/>
  <c r="FJ22" i="14"/>
  <c r="AW21" i="14" a="1"/>
  <c r="AW21" i="14" s="1"/>
  <c r="ES21" i="14" s="1"/>
  <c r="DO21" i="14" s="1"/>
  <c r="FL20" i="14"/>
  <c r="FQ19" i="14"/>
  <c r="FJ18" i="14"/>
  <c r="AT18" i="14" a="1"/>
  <c r="AT18" i="14" s="1"/>
  <c r="BX18" i="14" s="1"/>
  <c r="J14" i="43" s="1"/>
  <c r="BE17" i="14" a="1"/>
  <c r="BE17" i="14" s="1"/>
  <c r="CI17" i="14" s="1"/>
  <c r="U13" i="43" s="1"/>
  <c r="FY16" i="14"/>
  <c r="FQ15" i="14"/>
  <c r="FG12" i="14"/>
  <c r="FV41" i="14"/>
  <c r="BO32" i="14" a="1"/>
  <c r="BO32" i="14" s="1"/>
  <c r="CS32" i="14" s="1"/>
  <c r="AE28" i="43" s="1"/>
  <c r="FY31" i="14"/>
  <c r="FQ29" i="14"/>
  <c r="FS28" i="14"/>
  <c r="BC28" i="14" a="1"/>
  <c r="BC28" i="14" s="1"/>
  <c r="CG28" i="14" s="1"/>
  <c r="S24" i="43" s="1"/>
  <c r="GH25" i="14"/>
  <c r="AU24" i="14" a="1"/>
  <c r="AU24" i="14" s="1"/>
  <c r="EQ24" i="14" s="1"/>
  <c r="DM24" i="14" s="1"/>
  <c r="FH22" i="14"/>
  <c r="AP21" i="14" a="1"/>
  <c r="AP21" i="14" s="1"/>
  <c r="AZ21" i="14" s="1" a="1"/>
  <c r="AZ21" i="14" s="1"/>
  <c r="FJ20" i="14"/>
  <c r="AX17" i="14" a="1"/>
  <c r="AX17" i="14" s="1"/>
  <c r="CB17" i="14" s="1"/>
  <c r="N13" i="43" s="1"/>
  <c r="FI16" i="14"/>
  <c r="FP15" i="14"/>
  <c r="BP13" i="14" a="1"/>
  <c r="BP13" i="14" s="1"/>
  <c r="CT13" i="14" s="1"/>
  <c r="AF9" i="43" s="1"/>
  <c r="AR13" i="14" a="1"/>
  <c r="AR13" i="14" s="1"/>
  <c r="BV13" i="14" s="1"/>
  <c r="H9" i="43" s="1"/>
  <c r="FT48" i="14"/>
  <c r="FT41" i="14"/>
  <c r="FF35" i="14"/>
  <c r="AR35" i="14" a="1"/>
  <c r="AR35" i="14" s="1"/>
  <c r="BV35" i="14" s="1"/>
  <c r="H31" i="43" s="1"/>
  <c r="FO29" i="14"/>
  <c r="FT27" i="14"/>
  <c r="GH26" i="14"/>
  <c r="FK25" i="14"/>
  <c r="GF17" i="14"/>
  <c r="FH16" i="14"/>
  <c r="FE15" i="14"/>
  <c r="GF13" i="14"/>
  <c r="BK13" i="14" a="1"/>
  <c r="BK13" i="14" s="1"/>
  <c r="CO13" i="14" s="1"/>
  <c r="AA9" i="43" s="1"/>
  <c r="FQ48" i="14"/>
  <c r="BN36" i="14" a="1"/>
  <c r="BN36" i="14" s="1"/>
  <c r="CR36" i="14" s="1"/>
  <c r="AD32" i="43" s="1"/>
  <c r="FE35" i="14"/>
  <c r="BC32" i="14" a="1"/>
  <c r="BC32" i="14" s="1"/>
  <c r="CG32" i="14" s="1"/>
  <c r="S28" i="43" s="1"/>
  <c r="AQ28" i="14" a="1"/>
  <c r="AQ28" i="14" s="1"/>
  <c r="BU28" i="14" s="1"/>
  <c r="G24" i="43" s="1"/>
  <c r="FS27" i="14"/>
  <c r="FK26" i="14"/>
  <c r="FJ25" i="14"/>
  <c r="AT22" i="14" a="1"/>
  <c r="AT22" i="14" s="1"/>
  <c r="BX22" i="14" s="1"/>
  <c r="J18" i="43" s="1"/>
  <c r="FR17" i="14"/>
  <c r="BO16" i="14" a="1"/>
  <c r="BO16" i="14" s="1"/>
  <c r="CS16" i="14" s="1"/>
  <c r="AE12" i="43" s="1"/>
  <c r="GD14" i="14"/>
  <c r="BD14" i="14" a="1"/>
  <c r="BD14" i="14" s="1"/>
  <c r="CH14" i="14" s="1"/>
  <c r="T10" i="43" s="1"/>
  <c r="GE13" i="14"/>
  <c r="AW49" i="14" a="1"/>
  <c r="AW49" i="14" s="1"/>
  <c r="AS45" i="14" a="1"/>
  <c r="AS45" i="14" s="1"/>
  <c r="BW45" i="14" s="1"/>
  <c r="I41" i="43" s="1"/>
  <c r="BN37" i="14" a="1"/>
  <c r="BN37" i="14" s="1"/>
  <c r="CR37" i="14" s="1"/>
  <c r="AD33" i="43" s="1"/>
  <c r="FN36" i="14"/>
  <c r="BN33" i="14" a="1"/>
  <c r="BN33" i="14" s="1"/>
  <c r="CR33" i="14" s="1"/>
  <c r="AD29" i="43" s="1"/>
  <c r="FJ26" i="14"/>
  <c r="FQ17" i="14"/>
  <c r="GC14" i="14"/>
  <c r="GD13" i="14"/>
  <c r="BJ13" i="14" a="1"/>
  <c r="BJ13" i="14" s="1"/>
  <c r="CN13" i="14" s="1"/>
  <c r="Z9" i="43" s="1"/>
  <c r="GG12" i="14"/>
  <c r="BL37" i="14" a="1"/>
  <c r="BL37" i="14" s="1"/>
  <c r="CP37" i="14" s="1"/>
  <c r="AB33" i="43" s="1"/>
  <c r="FM36" i="14"/>
  <c r="AV36" i="14" a="1"/>
  <c r="AV36" i="14" s="1"/>
  <c r="BZ36" i="14" s="1"/>
  <c r="L32" i="43" s="1"/>
  <c r="AQ32" i="14" a="1"/>
  <c r="AQ32" i="14" s="1"/>
  <c r="BU32" i="14" s="1"/>
  <c r="G28" i="43" s="1"/>
  <c r="BN19" i="14" a="1"/>
  <c r="BN19" i="14" s="1"/>
  <c r="CR19" i="14" s="1"/>
  <c r="AD15" i="43" s="1"/>
  <c r="BI16" i="14" a="1"/>
  <c r="BI16" i="14" s="1"/>
  <c r="CM16" i="14" s="1"/>
  <c r="Y12" i="43" s="1"/>
  <c r="FR14" i="14"/>
  <c r="AX14" i="14" a="1"/>
  <c r="AX14" i="14" s="1"/>
  <c r="CB14" i="14" s="1"/>
  <c r="N10" i="43" s="1"/>
  <c r="FT13" i="14"/>
  <c r="BE13" i="14" a="1"/>
  <c r="BE13" i="14" s="1"/>
  <c r="CI13" i="14" s="1"/>
  <c r="U9" i="43" s="1"/>
  <c r="GF12" i="14"/>
  <c r="FS49" i="14"/>
  <c r="AV37" i="14" a="1"/>
  <c r="AV37" i="14" s="1"/>
  <c r="BZ37" i="14" s="1"/>
  <c r="L33" i="43" s="1"/>
  <c r="BP34" i="14" a="1"/>
  <c r="BP34" i="14" s="1"/>
  <c r="CT34" i="14" s="1"/>
  <c r="AF30" i="43" s="1"/>
  <c r="GB30" i="14"/>
  <c r="GG21" i="14"/>
  <c r="BR18" i="14" a="1"/>
  <c r="BR18" i="14" s="1"/>
  <c r="CV18" i="14" s="1"/>
  <c r="AH14" i="43" s="1"/>
  <c r="FQ14" i="14"/>
  <c r="FS13" i="14"/>
  <c r="GE12" i="14"/>
  <c r="AY12" i="14" a="1"/>
  <c r="AY12" i="14" s="1"/>
  <c r="CC12" i="14" s="1"/>
  <c r="O8" i="43" s="1"/>
  <c r="FF50" i="14"/>
  <c r="FP49" i="14"/>
  <c r="AO40" i="14" a="1"/>
  <c r="AO40" i="14" s="1"/>
  <c r="AY40" i="14" s="1" a="1"/>
  <c r="AY40" i="14" s="1"/>
  <c r="EU40" i="14" s="1"/>
  <c r="DQ40" i="14" s="1"/>
  <c r="BJ38" i="14" a="1"/>
  <c r="BJ38" i="14" s="1"/>
  <c r="CN38" i="14" s="1"/>
  <c r="Z34" i="43" s="1"/>
  <c r="AT37" i="14" a="1"/>
  <c r="AT37" i="14" s="1"/>
  <c r="BX37" i="14" s="1"/>
  <c r="J33" i="43" s="1"/>
  <c r="AW33" i="14" a="1"/>
  <c r="AW33" i="14" s="1"/>
  <c r="CA33" i="14" s="1"/>
  <c r="M29" i="43" s="1"/>
  <c r="FZ30" i="14"/>
  <c r="BO30" i="14" a="1"/>
  <c r="BO30" i="14" s="1"/>
  <c r="CS30" i="14" s="1"/>
  <c r="AE26" i="43" s="1"/>
  <c r="AT25" i="14" a="1"/>
  <c r="AT25" i="14" s="1"/>
  <c r="EP25" i="14" s="1"/>
  <c r="DL25" i="14" s="1"/>
  <c r="GH24" i="14"/>
  <c r="FS21" i="14"/>
  <c r="BF19" i="14" a="1"/>
  <c r="BF19" i="14" s="1"/>
  <c r="CJ19" i="14" s="1"/>
  <c r="V15" i="43" s="1"/>
  <c r="BJ18" i="14" a="1"/>
  <c r="BJ18" i="14" s="1"/>
  <c r="CN18" i="14" s="1"/>
  <c r="Z14" i="43" s="1"/>
  <c r="BC16" i="14" a="1"/>
  <c r="BC16" i="14" s="1"/>
  <c r="CG16" i="14" s="1"/>
  <c r="S12" i="43" s="1"/>
  <c r="FF14" i="14"/>
  <c r="AR14" i="14" a="1"/>
  <c r="AR14" i="14" s="1"/>
  <c r="BV14" i="14" s="1"/>
  <c r="H10" i="43" s="1"/>
  <c r="FR13" i="14"/>
  <c r="BD13" i="14" a="1"/>
  <c r="BD13" i="14" s="1"/>
  <c r="CH13" i="14" s="1"/>
  <c r="T9" i="43" s="1"/>
  <c r="FU12" i="14"/>
  <c r="FM38" i="14"/>
  <c r="GF33" i="14"/>
  <c r="AT20" i="14" a="1"/>
  <c r="AT20" i="14" s="1"/>
  <c r="BD20" i="14" s="1" a="1"/>
  <c r="BD20" i="14" s="1"/>
  <c r="CH20" i="14" s="1"/>
  <c r="T16" i="43" s="1"/>
  <c r="FE14" i="14"/>
  <c r="AX34" i="14" a="1"/>
  <c r="AX34" i="14" s="1"/>
  <c r="CB34" i="14" s="1"/>
  <c r="N30" i="43" s="1"/>
  <c r="BN30" i="14" a="1"/>
  <c r="BN30" i="14" s="1"/>
  <c r="CR30" i="14" s="1"/>
  <c r="AD26" i="43" s="1"/>
  <c r="AQ48" i="14" a="1"/>
  <c r="AQ48" i="14" s="1"/>
  <c r="BC30" i="14" a="1"/>
  <c r="BC30" i="14" s="1"/>
  <c r="CG30" i="14" s="1"/>
  <c r="S26" i="43" s="1"/>
  <c r="AU39" i="14" a="1"/>
  <c r="AU39" i="14" s="1"/>
  <c r="BE39" i="14" s="1" a="1"/>
  <c r="BE39" i="14" s="1"/>
  <c r="CI39" i="14" s="1"/>
  <c r="U35" i="43" s="1"/>
  <c r="AW16" i="14" a="1"/>
  <c r="AW16" i="14" s="1"/>
  <c r="CA16" i="14" s="1"/>
  <c r="M12" i="43" s="1"/>
  <c r="FH13" i="14"/>
  <c r="AV50" i="14" a="1"/>
  <c r="AV50" i="14" s="1"/>
  <c r="BF50" i="14" s="1" a="1"/>
  <c r="BF50" i="14" s="1"/>
  <c r="FG13" i="14"/>
  <c r="AX19" i="14" a="1"/>
  <c r="AX19" i="14" s="1"/>
  <c r="CB19" i="14" s="1"/>
  <c r="N15" i="43" s="1"/>
  <c r="FW45" i="14"/>
  <c r="FR43" i="14"/>
  <c r="GD23" i="14"/>
  <c r="AY13" i="14" a="1"/>
  <c r="AY13" i="14" s="1"/>
  <c r="CC13" i="14" s="1"/>
  <c r="O9" i="43" s="1"/>
  <c r="BQ12" i="14" a="1"/>
  <c r="BQ12" i="14" s="1"/>
  <c r="CU12" i="14" s="1"/>
  <c r="AG8" i="43" s="1"/>
  <c r="BI15" i="14" a="1"/>
  <c r="BI15" i="14" s="1"/>
  <c r="CM15" i="14" s="1"/>
  <c r="Y11" i="43" s="1"/>
  <c r="AS12" i="14" a="1"/>
  <c r="AS12" i="14" s="1"/>
  <c r="BW12" i="14" s="1"/>
  <c r="I8" i="43" s="1"/>
  <c r="AO38" i="14" a="1"/>
  <c r="AO38" i="14" s="1"/>
  <c r="FT12" i="14"/>
  <c r="FS12" i="14"/>
  <c r="FN39" i="14"/>
  <c r="FN38" i="14"/>
  <c r="AU20" i="14" a="1"/>
  <c r="AU20" i="14" s="1"/>
  <c r="BE20" i="14" s="1" a="1"/>
  <c r="BE20" i="14" s="1"/>
  <c r="BO20" i="14" s="1" a="1"/>
  <c r="BO20" i="14" s="1"/>
  <c r="CS20" i="14" s="1"/>
  <c r="AE16" i="43" s="1"/>
  <c r="FM24" i="14"/>
  <c r="FL24" i="14"/>
  <c r="GB32" i="14"/>
  <c r="AX26" i="14" a="1"/>
  <c r="AX26" i="14" s="1"/>
  <c r="BH26" i="14" s="1" a="1"/>
  <c r="BH26" i="14" s="1"/>
  <c r="FP21" i="14"/>
  <c r="GA18" i="14"/>
  <c r="GA32" i="14"/>
  <c r="GG77" i="14"/>
  <c r="FU77" i="14"/>
  <c r="FI77" i="14"/>
  <c r="GH76" i="14"/>
  <c r="FV76" i="14"/>
  <c r="FJ76" i="14"/>
  <c r="FW75" i="14"/>
  <c r="FK75" i="14"/>
  <c r="FX74" i="14"/>
  <c r="FL74" i="14"/>
  <c r="GF77" i="14"/>
  <c r="FT77" i="14"/>
  <c r="FH77" i="14"/>
  <c r="GG76" i="14"/>
  <c r="FU76" i="14"/>
  <c r="FI76" i="14"/>
  <c r="GH75" i="14"/>
  <c r="FV75" i="14"/>
  <c r="FJ75" i="14"/>
  <c r="AT75" i="14" a="1"/>
  <c r="AT75" i="14" s="1"/>
  <c r="BX75" i="14" s="1"/>
  <c r="J71" i="43" s="1"/>
  <c r="FW74" i="14"/>
  <c r="FK74" i="14"/>
  <c r="GE77" i="14"/>
  <c r="FS77" i="14"/>
  <c r="FG77" i="14"/>
  <c r="GF76" i="14"/>
  <c r="FT76" i="14"/>
  <c r="FH76" i="14"/>
  <c r="GG75" i="14"/>
  <c r="FU75" i="14"/>
  <c r="FI75" i="14"/>
  <c r="GH74" i="14"/>
  <c r="FV74" i="14"/>
  <c r="FJ74" i="14"/>
  <c r="GB77" i="14"/>
  <c r="FP77" i="14"/>
  <c r="GC76" i="14"/>
  <c r="FQ76" i="14"/>
  <c r="FE76" i="14"/>
  <c r="GA77" i="14"/>
  <c r="FO77" i="14"/>
  <c r="GB76" i="14"/>
  <c r="FP76" i="14"/>
  <c r="GC75" i="14"/>
  <c r="FQ75" i="14"/>
  <c r="FE75" i="14"/>
  <c r="GD74" i="14"/>
  <c r="FR74" i="14"/>
  <c r="FF74" i="14"/>
  <c r="FZ77" i="14"/>
  <c r="FN77" i="14"/>
  <c r="GA76" i="14"/>
  <c r="FO76" i="14"/>
  <c r="GB75" i="14"/>
  <c r="FP75" i="14"/>
  <c r="GC74" i="14"/>
  <c r="FQ74" i="14"/>
  <c r="FE74" i="14"/>
  <c r="FY77" i="14"/>
  <c r="FM77" i="14"/>
  <c r="FZ76" i="14"/>
  <c r="FN76" i="14"/>
  <c r="GA75" i="14"/>
  <c r="FO75" i="14"/>
  <c r="GB74" i="14"/>
  <c r="FP74" i="14"/>
  <c r="FL77" i="14"/>
  <c r="FL76" i="14"/>
  <c r="GE75" i="14"/>
  <c r="FG75" i="14"/>
  <c r="AS75" i="14" a="1"/>
  <c r="AS75" i="14" s="1"/>
  <c r="EO75" i="14" s="1"/>
  <c r="DK75" i="14" s="1"/>
  <c r="FS74" i="14"/>
  <c r="FK77" i="14"/>
  <c r="FK76" i="14"/>
  <c r="GD75" i="14"/>
  <c r="FF75" i="14"/>
  <c r="FO74" i="14"/>
  <c r="FJ77" i="14"/>
  <c r="FG76" i="14"/>
  <c r="FZ75" i="14"/>
  <c r="AR75" i="14" a="1"/>
  <c r="AR75" i="14" s="1"/>
  <c r="FN74" i="14"/>
  <c r="FF77" i="14"/>
  <c r="FF76" i="14"/>
  <c r="FY75" i="14"/>
  <c r="AP75" i="14" a="1"/>
  <c r="AP75" i="14" s="1"/>
  <c r="FM74" i="14"/>
  <c r="GH77" i="14"/>
  <c r="FE77" i="14"/>
  <c r="GE76" i="14"/>
  <c r="FX75" i="14"/>
  <c r="GG74" i="14"/>
  <c r="FI74" i="14"/>
  <c r="GD77" i="14"/>
  <c r="GD76" i="14"/>
  <c r="FT75" i="14"/>
  <c r="AO75" i="14" a="1"/>
  <c r="AO75" i="14" s="1"/>
  <c r="EK75" i="14" s="1"/>
  <c r="DG75" i="14" s="1"/>
  <c r="GF74" i="14"/>
  <c r="FH74" i="14"/>
  <c r="GC77" i="14"/>
  <c r="FY76" i="14"/>
  <c r="FS75" i="14"/>
  <c r="GE74" i="14"/>
  <c r="FG74" i="14"/>
  <c r="FX77" i="14"/>
  <c r="FX76" i="14"/>
  <c r="FR75" i="14"/>
  <c r="GA74" i="14"/>
  <c r="FW77" i="14"/>
  <c r="FW76" i="14"/>
  <c r="FN75" i="14"/>
  <c r="AX75" i="14" a="1"/>
  <c r="AX75" i="14" s="1"/>
  <c r="FZ74" i="14"/>
  <c r="FV77" i="14"/>
  <c r="FS76" i="14"/>
  <c r="FM75" i="14"/>
  <c r="AV75" i="14" a="1"/>
  <c r="AV75" i="14" s="1"/>
  <c r="ER75" i="14" s="1"/>
  <c r="DN75" i="14" s="1"/>
  <c r="FY74" i="14"/>
  <c r="FR77" i="14"/>
  <c r="AX77" i="14" a="1"/>
  <c r="AX77" i="14" s="1"/>
  <c r="CB77" i="14" s="1"/>
  <c r="N73" i="43" s="1"/>
  <c r="FR76" i="14"/>
  <c r="FL75" i="14"/>
  <c r="FU74" i="14"/>
  <c r="BQ74" i="14" a="1"/>
  <c r="BQ74" i="14" s="1"/>
  <c r="CU74" i="14" s="1"/>
  <c r="AG70" i="43" s="1"/>
  <c r="AV74" i="14" a="1"/>
  <c r="AV74" i="14" s="1"/>
  <c r="BZ74" i="14" s="1"/>
  <c r="L70" i="43" s="1"/>
  <c r="FT74" i="14"/>
  <c r="FQ77" i="14"/>
  <c r="AU76" i="14" a="1"/>
  <c r="AU76" i="14" s="1"/>
  <c r="BY76" i="14" s="1"/>
  <c r="K72" i="43" s="1"/>
  <c r="GF75" i="14"/>
  <c r="FM76" i="14"/>
  <c r="AU75" i="14" a="1"/>
  <c r="AU75" i="14" s="1"/>
  <c r="EQ75" i="14" s="1"/>
  <c r="DM75" i="14" s="1"/>
  <c r="FH75" i="14"/>
  <c r="E116" i="3"/>
  <c r="C57" i="3"/>
  <c r="C59" i="3"/>
  <c r="C163" i="3"/>
  <c r="C138" i="3"/>
  <c r="C60" i="3" s="1"/>
  <c r="A208" i="3"/>
  <c r="A233" i="3" s="1"/>
  <c r="A78" i="3"/>
  <c r="D261" i="3"/>
  <c r="H265" i="3"/>
  <c r="J358" i="3"/>
  <c r="B65" i="8"/>
  <c r="B40" i="8"/>
  <c r="B90" i="8"/>
  <c r="B15" i="8"/>
  <c r="B41" i="5"/>
  <c r="G282" i="3"/>
  <c r="G281" i="3"/>
  <c r="G280" i="3"/>
  <c r="G279" i="3"/>
  <c r="G278" i="3"/>
  <c r="G277" i="3"/>
  <c r="G276" i="3"/>
  <c r="F282" i="3"/>
  <c r="E281" i="3"/>
  <c r="D280" i="3"/>
  <c r="C279" i="3"/>
  <c r="B278" i="3"/>
  <c r="M276" i="3"/>
  <c r="E282" i="3"/>
  <c r="D281" i="3"/>
  <c r="C280" i="3"/>
  <c r="B279" i="3"/>
  <c r="M277" i="3"/>
  <c r="L276" i="3"/>
  <c r="D282" i="3"/>
  <c r="C281" i="3"/>
  <c r="B280" i="3"/>
  <c r="M278" i="3"/>
  <c r="L277" i="3"/>
  <c r="K276" i="3"/>
  <c r="C282" i="3"/>
  <c r="B281" i="3"/>
  <c r="M279" i="3"/>
  <c r="L278" i="3"/>
  <c r="K277" i="3"/>
  <c r="J276" i="3"/>
  <c r="B282" i="3"/>
  <c r="M280" i="3"/>
  <c r="L279" i="3"/>
  <c r="K278" i="3"/>
  <c r="J277" i="3"/>
  <c r="I276" i="3"/>
  <c r="M281" i="3"/>
  <c r="L280" i="3"/>
  <c r="K279" i="3"/>
  <c r="J278" i="3"/>
  <c r="I277" i="3"/>
  <c r="H276" i="3"/>
  <c r="M282" i="3"/>
  <c r="L281" i="3"/>
  <c r="K280" i="3"/>
  <c r="J279" i="3"/>
  <c r="I278" i="3"/>
  <c r="H277" i="3"/>
  <c r="F276" i="3"/>
  <c r="L282" i="3"/>
  <c r="K281" i="3"/>
  <c r="J280" i="3"/>
  <c r="I279" i="3"/>
  <c r="H278" i="3"/>
  <c r="F277" i="3"/>
  <c r="E276" i="3"/>
  <c r="K282" i="3"/>
  <c r="J281" i="3"/>
  <c r="I280" i="3"/>
  <c r="H279" i="3"/>
  <c r="F278" i="3"/>
  <c r="E277" i="3"/>
  <c r="D276" i="3"/>
  <c r="E102" i="3"/>
  <c r="F280" i="3"/>
  <c r="E108" i="12"/>
  <c r="L92" i="10"/>
  <c r="E44" i="3"/>
  <c r="AA44" i="3"/>
  <c r="C46" i="3"/>
  <c r="B52" i="3"/>
  <c r="D101" i="3"/>
  <c r="D134" i="3"/>
  <c r="D56" i="3" s="1"/>
  <c r="D159" i="3"/>
  <c r="D113" i="3"/>
  <c r="A200" i="3"/>
  <c r="A225" i="3" s="1"/>
  <c r="C262" i="3"/>
  <c r="G266" i="3"/>
  <c r="E279" i="3"/>
  <c r="B361" i="3"/>
  <c r="D110" i="3"/>
  <c r="E116" i="12"/>
  <c r="L100" i="10"/>
  <c r="D152" i="3"/>
  <c r="F279" i="3"/>
  <c r="D361" i="3"/>
  <c r="B4" i="8"/>
  <c r="B79" i="8"/>
  <c r="B54" i="8"/>
  <c r="B84" i="8"/>
  <c r="B59" i="8"/>
  <c r="B34" i="8"/>
  <c r="B35" i="5"/>
  <c r="B9" i="8"/>
  <c r="B30" i="5"/>
  <c r="B260" i="17"/>
  <c r="C260" i="17" s="1"/>
  <c r="B180" i="17"/>
  <c r="BA9" i="9"/>
  <c r="E80" i="12"/>
  <c r="L64" i="10"/>
  <c r="FX64" i="14"/>
  <c r="GH64" i="14"/>
  <c r="FV64" i="14"/>
  <c r="FJ64" i="14"/>
  <c r="FW63" i="14"/>
  <c r="FK63" i="14"/>
  <c r="GG64" i="14"/>
  <c r="FU64" i="14"/>
  <c r="FI64" i="14"/>
  <c r="GH63" i="14"/>
  <c r="FV63" i="14"/>
  <c r="FJ63" i="14"/>
  <c r="BR63" i="14" a="1"/>
  <c r="BR63" i="14" s="1"/>
  <c r="CV63" i="14" s="1"/>
  <c r="AH59" i="43" s="1"/>
  <c r="BL63" i="14" a="1"/>
  <c r="BL63" i="14" s="1"/>
  <c r="CP63" i="14" s="1"/>
  <c r="AB59" i="43" s="1"/>
  <c r="BF63" i="14" a="1"/>
  <c r="BF63" i="14" s="1"/>
  <c r="CJ63" i="14" s="1"/>
  <c r="V59" i="43" s="1"/>
  <c r="AZ63" i="14" a="1"/>
  <c r="AZ63" i="14" s="1"/>
  <c r="CD63" i="14" s="1"/>
  <c r="P59" i="43" s="1"/>
  <c r="AT63" i="14" a="1"/>
  <c r="AT63" i="14" s="1"/>
  <c r="BX63" i="14" s="1"/>
  <c r="J59" i="43" s="1"/>
  <c r="GF64" i="14"/>
  <c r="FT64" i="14"/>
  <c r="FH64" i="14"/>
  <c r="GG63" i="14"/>
  <c r="FU63" i="14"/>
  <c r="FI63" i="14"/>
  <c r="GE64" i="14"/>
  <c r="FS64" i="14"/>
  <c r="FG64" i="14"/>
  <c r="GF63" i="14"/>
  <c r="FT63" i="14"/>
  <c r="FH63" i="14"/>
  <c r="BQ63" i="14" a="1"/>
  <c r="BQ63" i="14" s="1"/>
  <c r="CU63" i="14" s="1"/>
  <c r="AG59" i="43" s="1"/>
  <c r="BK63" i="14" a="1"/>
  <c r="BK63" i="14" s="1"/>
  <c r="CO63" i="14" s="1"/>
  <c r="AA59" i="43" s="1"/>
  <c r="BE63" i="14" a="1"/>
  <c r="BE63" i="14" s="1"/>
  <c r="CI63" i="14" s="1"/>
  <c r="U59" i="43" s="1"/>
  <c r="AY63" i="14" a="1"/>
  <c r="AY63" i="14" s="1"/>
  <c r="CC63" i="14" s="1"/>
  <c r="O59" i="43" s="1"/>
  <c r="AS63" i="14" a="1"/>
  <c r="AS63" i="14" s="1"/>
  <c r="BW63" i="14" s="1"/>
  <c r="I59" i="43" s="1"/>
  <c r="GD64" i="14"/>
  <c r="FR64" i="14"/>
  <c r="FF64" i="14"/>
  <c r="GE63" i="14"/>
  <c r="FS63" i="14"/>
  <c r="FG63" i="14"/>
  <c r="GB64" i="14"/>
  <c r="FP64" i="14"/>
  <c r="GC63" i="14"/>
  <c r="FQ63" i="14"/>
  <c r="FE63" i="14"/>
  <c r="FO64" i="14"/>
  <c r="FP63" i="14"/>
  <c r="AR63" i="14" a="1"/>
  <c r="AR63" i="14" s="1"/>
  <c r="BV63" i="14" s="1"/>
  <c r="H59" i="43" s="1"/>
  <c r="FN64" i="14"/>
  <c r="FO63" i="14"/>
  <c r="BM63" i="14" a="1"/>
  <c r="BM63" i="14" s="1"/>
  <c r="CQ63" i="14" s="1"/>
  <c r="AC59" i="43" s="1"/>
  <c r="BB63" i="14" a="1"/>
  <c r="BB63" i="14" s="1"/>
  <c r="CF63" i="14" s="1"/>
  <c r="R59" i="43" s="1"/>
  <c r="AQ63" i="14" a="1"/>
  <c r="AQ63" i="14" s="1"/>
  <c r="BU63" i="14" s="1"/>
  <c r="G59" i="43" s="1"/>
  <c r="FM64" i="14"/>
  <c r="FN63" i="14"/>
  <c r="FL64" i="14"/>
  <c r="AU64" i="14" a="1"/>
  <c r="AU64" i="14" s="1"/>
  <c r="BY64" i="14" s="1"/>
  <c r="K60" i="43" s="1"/>
  <c r="FM63" i="14"/>
  <c r="BJ63" i="14" a="1"/>
  <c r="BJ63" i="14" s="1"/>
  <c r="CN63" i="14" s="1"/>
  <c r="Z59" i="43" s="1"/>
  <c r="BA63" i="14" a="1"/>
  <c r="BA63" i="14" s="1"/>
  <c r="CE63" i="14" s="1"/>
  <c r="Q59" i="43" s="1"/>
  <c r="AP63" i="14" a="1"/>
  <c r="AP63" i="14" s="1"/>
  <c r="BT63" i="14" s="1"/>
  <c r="F59" i="43" s="1"/>
  <c r="FK64" i="14"/>
  <c r="FL63" i="14"/>
  <c r="BI63" i="14" a="1"/>
  <c r="BI63" i="14" s="1"/>
  <c r="CM63" i="14" s="1"/>
  <c r="Y59" i="43" s="1"/>
  <c r="FE64" i="14"/>
  <c r="GD63" i="14"/>
  <c r="FF63" i="14"/>
  <c r="AX63" i="14" a="1"/>
  <c r="AX63" i="14" s="1"/>
  <c r="CB63" i="14" s="1"/>
  <c r="N59" i="43" s="1"/>
  <c r="AO63" i="14" a="1"/>
  <c r="AO63" i="14" s="1"/>
  <c r="BS63" i="14" s="1"/>
  <c r="E59" i="43" s="1"/>
  <c r="GA64" i="14"/>
  <c r="AP64" i="14" a="1"/>
  <c r="AP64" i="14" s="1"/>
  <c r="BT64" i="14" s="1"/>
  <c r="F60" i="43" s="1"/>
  <c r="GA63" i="14"/>
  <c r="FZ64" i="14"/>
  <c r="FZ63" i="14"/>
  <c r="BP63" i="14" a="1"/>
  <c r="BP63" i="14" s="1"/>
  <c r="CT63" i="14" s="1"/>
  <c r="AF59" i="43" s="1"/>
  <c r="BG63" i="14" a="1"/>
  <c r="BG63" i="14" s="1"/>
  <c r="CK63" i="14" s="1"/>
  <c r="W59" i="43" s="1"/>
  <c r="AV63" i="14" a="1"/>
  <c r="AV63" i="14" s="1"/>
  <c r="BZ63" i="14" s="1"/>
  <c r="L59" i="43" s="1"/>
  <c r="FY64" i="14"/>
  <c r="AO64" i="14" a="1"/>
  <c r="AO64" i="14" s="1"/>
  <c r="AY64" i="14" s="1" a="1"/>
  <c r="AY64" i="14" s="1"/>
  <c r="FY63" i="14"/>
  <c r="BO63" i="14" a="1"/>
  <c r="BO63" i="14" s="1"/>
  <c r="CS63" i="14" s="1"/>
  <c r="AE59" i="43" s="1"/>
  <c r="FW64" i="14"/>
  <c r="FX63" i="14"/>
  <c r="BD63" i="14" a="1"/>
  <c r="BD63" i="14" s="1"/>
  <c r="CH63" i="14" s="1"/>
  <c r="T59" i="43" s="1"/>
  <c r="AU63" i="14" a="1"/>
  <c r="AU63" i="14" s="1"/>
  <c r="BY63" i="14" s="1"/>
  <c r="K59" i="43" s="1"/>
  <c r="GC64" i="14"/>
  <c r="FR63" i="14"/>
  <c r="AW63" i="14" a="1"/>
  <c r="AW63" i="14" s="1"/>
  <c r="CA63" i="14" s="1"/>
  <c r="M59" i="43" s="1"/>
  <c r="FQ64" i="14"/>
  <c r="BH63" i="14" a="1"/>
  <c r="BH63" i="14" s="1"/>
  <c r="CL63" i="14" s="1"/>
  <c r="X59" i="43" s="1"/>
  <c r="BC63" i="14" a="1"/>
  <c r="BC63" i="14" s="1"/>
  <c r="CG63" i="14" s="1"/>
  <c r="S59" i="43" s="1"/>
  <c r="GB63" i="14"/>
  <c r="BN63" i="14" a="1"/>
  <c r="BN63" i="14" s="1"/>
  <c r="CR63" i="14" s="1"/>
  <c r="AD59" i="43" s="1"/>
  <c r="FX62" i="14"/>
  <c r="FL62" i="14"/>
  <c r="GH62" i="14"/>
  <c r="FV62" i="14"/>
  <c r="FJ62" i="14"/>
  <c r="GD62" i="14"/>
  <c r="FR62" i="14"/>
  <c r="FF62" i="14"/>
  <c r="FU62" i="14"/>
  <c r="FE62" i="14"/>
  <c r="GA61" i="14"/>
  <c r="FO61" i="14"/>
  <c r="GB60" i="14"/>
  <c r="FP60" i="14"/>
  <c r="GC59" i="14"/>
  <c r="FQ59" i="14"/>
  <c r="FE59" i="14"/>
  <c r="FT62" i="14"/>
  <c r="FZ61" i="14"/>
  <c r="FN61" i="14"/>
  <c r="GA60" i="14"/>
  <c r="FO60" i="14"/>
  <c r="GB59" i="14"/>
  <c r="FP59" i="14"/>
  <c r="FS62" i="14"/>
  <c r="FY61" i="14"/>
  <c r="FM61" i="14"/>
  <c r="FZ60" i="14"/>
  <c r="FN60" i="14"/>
  <c r="GA59" i="14"/>
  <c r="FO59" i="14"/>
  <c r="GG62" i="14"/>
  <c r="FQ62" i="14"/>
  <c r="FX61" i="14"/>
  <c r="FL61" i="14"/>
  <c r="FY60" i="14"/>
  <c r="FM60" i="14"/>
  <c r="FZ59" i="14"/>
  <c r="FN59" i="14"/>
  <c r="BN59" i="14" a="1"/>
  <c r="BN59" i="14" s="1"/>
  <c r="CR59" i="14" s="1"/>
  <c r="AD55" i="43" s="1"/>
  <c r="BH59" i="14" a="1"/>
  <c r="BH59" i="14" s="1"/>
  <c r="CL59" i="14" s="1"/>
  <c r="X55" i="43" s="1"/>
  <c r="BB59" i="14" a="1"/>
  <c r="BB59" i="14" s="1"/>
  <c r="CF59" i="14" s="1"/>
  <c r="R55" i="43" s="1"/>
  <c r="AV59" i="14" a="1"/>
  <c r="AV59" i="14" s="1"/>
  <c r="BZ59" i="14" s="1"/>
  <c r="L55" i="43" s="1"/>
  <c r="AP59" i="14" a="1"/>
  <c r="AP59" i="14" s="1"/>
  <c r="BT59" i="14" s="1"/>
  <c r="F55" i="43" s="1"/>
  <c r="GF62" i="14"/>
  <c r="FP62" i="14"/>
  <c r="FW61" i="14"/>
  <c r="FK61" i="14"/>
  <c r="FX60" i="14"/>
  <c r="FL60" i="14"/>
  <c r="FY59" i="14"/>
  <c r="FM59" i="14"/>
  <c r="GE62" i="14"/>
  <c r="FO62" i="14"/>
  <c r="GH61" i="14"/>
  <c r="FV61" i="14"/>
  <c r="FJ61" i="14"/>
  <c r="FW60" i="14"/>
  <c r="FK60" i="14"/>
  <c r="FX59" i="14"/>
  <c r="FL59" i="14"/>
  <c r="GB62" i="14"/>
  <c r="FM62" i="14"/>
  <c r="GF61" i="14"/>
  <c r="FT61" i="14"/>
  <c r="FH61" i="14"/>
  <c r="GG60" i="14"/>
  <c r="FU60" i="14"/>
  <c r="FI60" i="14"/>
  <c r="GH59" i="14"/>
  <c r="FV59" i="14"/>
  <c r="FJ59" i="14"/>
  <c r="BR59" i="14" a="1"/>
  <c r="BR59" i="14" s="1"/>
  <c r="CV59" i="14" s="1"/>
  <c r="AH55" i="43" s="1"/>
  <c r="BL59" i="14" a="1"/>
  <c r="BL59" i="14" s="1"/>
  <c r="CP59" i="14" s="1"/>
  <c r="AB55" i="43" s="1"/>
  <c r="BF59" i="14" a="1"/>
  <c r="BF59" i="14" s="1"/>
  <c r="CJ59" i="14" s="1"/>
  <c r="V55" i="43" s="1"/>
  <c r="AZ59" i="14" a="1"/>
  <c r="AZ59" i="14" s="1"/>
  <c r="CD59" i="14" s="1"/>
  <c r="P55" i="43" s="1"/>
  <c r="AT59" i="14" a="1"/>
  <c r="AT59" i="14" s="1"/>
  <c r="BX59" i="14" s="1"/>
  <c r="J55" i="43" s="1"/>
  <c r="GA62" i="14"/>
  <c r="FK62" i="14"/>
  <c r="GE61" i="14"/>
  <c r="FS61" i="14"/>
  <c r="FG61" i="14"/>
  <c r="GF60" i="14"/>
  <c r="FT60" i="14"/>
  <c r="FH60" i="14"/>
  <c r="GG59" i="14"/>
  <c r="FU59" i="14"/>
  <c r="FI59" i="14"/>
  <c r="FZ62" i="14"/>
  <c r="FI62" i="14"/>
  <c r="GD61" i="14"/>
  <c r="FR61" i="14"/>
  <c r="FF61" i="14"/>
  <c r="GE60" i="14"/>
  <c r="FS60" i="14"/>
  <c r="FG60" i="14"/>
  <c r="GF59" i="14"/>
  <c r="FT59" i="14"/>
  <c r="FH59" i="14"/>
  <c r="BQ59" i="14" a="1"/>
  <c r="BQ59" i="14" s="1"/>
  <c r="CU59" i="14" s="1"/>
  <c r="AG55" i="43" s="1"/>
  <c r="BK59" i="14" a="1"/>
  <c r="BK59" i="14" s="1"/>
  <c r="CO59" i="14" s="1"/>
  <c r="AA55" i="43" s="1"/>
  <c r="BE59" i="14" a="1"/>
  <c r="BE59" i="14" s="1"/>
  <c r="CI59" i="14" s="1"/>
  <c r="U55" i="43" s="1"/>
  <c r="AY59" i="14" a="1"/>
  <c r="AY59" i="14" s="1"/>
  <c r="CC59" i="14" s="1"/>
  <c r="O55" i="43" s="1"/>
  <c r="AS59" i="14" a="1"/>
  <c r="AS59" i="14" s="1"/>
  <c r="BW59" i="14" s="1"/>
  <c r="I55" i="43" s="1"/>
  <c r="FY62" i="14"/>
  <c r="FH62" i="14"/>
  <c r="AW62" i="14" a="1"/>
  <c r="AW62" i="14" s="1"/>
  <c r="BG62" i="14" s="1" a="1"/>
  <c r="BG62" i="14" s="1"/>
  <c r="FC62" i="14" s="1"/>
  <c r="DY62" i="14" s="1"/>
  <c r="AQ62" i="14" a="1"/>
  <c r="AQ62" i="14" s="1"/>
  <c r="BU62" i="14" s="1"/>
  <c r="G58" i="43" s="1"/>
  <c r="GC61" i="14"/>
  <c r="FQ61" i="14"/>
  <c r="FE61" i="14"/>
  <c r="GD60" i="14"/>
  <c r="FR60" i="14"/>
  <c r="FF60" i="14"/>
  <c r="GE59" i="14"/>
  <c r="FS59" i="14"/>
  <c r="FG59" i="14"/>
  <c r="FI61" i="14"/>
  <c r="GC60" i="14"/>
  <c r="BJ59" i="14" a="1"/>
  <c r="BJ59" i="14" s="1"/>
  <c r="CN59" i="14" s="1"/>
  <c r="Z55" i="43" s="1"/>
  <c r="AQ61" i="14" a="1"/>
  <c r="AQ61" i="14" s="1"/>
  <c r="EM61" i="14" s="1"/>
  <c r="DI61" i="14" s="1"/>
  <c r="FV60" i="14"/>
  <c r="FQ60" i="14"/>
  <c r="BD59" i="14" a="1"/>
  <c r="BD59" i="14" s="1"/>
  <c r="CH59" i="14" s="1"/>
  <c r="T55" i="43" s="1"/>
  <c r="FJ60" i="14"/>
  <c r="FE60" i="14"/>
  <c r="AX59" i="14" a="1"/>
  <c r="AX59" i="14" s="1"/>
  <c r="CB59" i="14" s="1"/>
  <c r="N55" i="43" s="1"/>
  <c r="GD59" i="14"/>
  <c r="FW59" i="14"/>
  <c r="AR59" i="14" a="1"/>
  <c r="AR59" i="14" s="1"/>
  <c r="BV59" i="14" s="1"/>
  <c r="H55" i="43" s="1"/>
  <c r="GC62" i="14"/>
  <c r="FR59" i="14"/>
  <c r="FW62" i="14"/>
  <c r="AS62" i="14" a="1"/>
  <c r="AS62" i="14" s="1"/>
  <c r="BC62" i="14" s="1" a="1"/>
  <c r="BC62" i="14" s="1"/>
  <c r="BM62" i="14" s="1" a="1"/>
  <c r="BM62" i="14" s="1"/>
  <c r="CQ62" i="14" s="1"/>
  <c r="AC58" i="43" s="1"/>
  <c r="GG61" i="14"/>
  <c r="FK59" i="14"/>
  <c r="FN62" i="14"/>
  <c r="BP59" i="14" a="1"/>
  <c r="BP59" i="14" s="1"/>
  <c r="CT59" i="14" s="1"/>
  <c r="AF55" i="43" s="1"/>
  <c r="FG62" i="14"/>
  <c r="AW61" i="14" a="1"/>
  <c r="AW61" i="14" s="1"/>
  <c r="BG61" i="14" s="1" a="1"/>
  <c r="BG61" i="14" s="1"/>
  <c r="GH60" i="14"/>
  <c r="FF59" i="14"/>
  <c r="GB61" i="14"/>
  <c r="FU61" i="14"/>
  <c r="FP61" i="14"/>
  <c r="GG91" i="14"/>
  <c r="FU91" i="14"/>
  <c r="FI91" i="14"/>
  <c r="GE91" i="14"/>
  <c r="FS91" i="14"/>
  <c r="FG91" i="14"/>
  <c r="GD91" i="14"/>
  <c r="FR91" i="14"/>
  <c r="FF91" i="14"/>
  <c r="GC91" i="14"/>
  <c r="FQ91" i="14"/>
  <c r="FE91" i="14"/>
  <c r="GA91" i="14"/>
  <c r="FO91" i="14"/>
  <c r="FZ91" i="14"/>
  <c r="FN91" i="14"/>
  <c r="FY91" i="14"/>
  <c r="FM91" i="14"/>
  <c r="FV91" i="14"/>
  <c r="BM91" i="14" a="1"/>
  <c r="BM91" i="14" s="1"/>
  <c r="CQ91" i="14" s="1"/>
  <c r="AC87" i="43" s="1"/>
  <c r="AZ91" i="14" a="1"/>
  <c r="AZ91" i="14" s="1"/>
  <c r="CD91" i="14" s="1"/>
  <c r="P87" i="43" s="1"/>
  <c r="FT91" i="14"/>
  <c r="AY91" i="14" a="1"/>
  <c r="AY91" i="14" s="1"/>
  <c r="CC91" i="14" s="1"/>
  <c r="O87" i="43" s="1"/>
  <c r="FP91" i="14"/>
  <c r="BL91" i="14" a="1"/>
  <c r="BL91" i="14" s="1"/>
  <c r="CP91" i="14" s="1"/>
  <c r="AB87" i="43" s="1"/>
  <c r="AW91" i="14" a="1"/>
  <c r="AW91" i="14" s="1"/>
  <c r="CA91" i="14" s="1"/>
  <c r="M87" i="43" s="1"/>
  <c r="FL91" i="14"/>
  <c r="BK91" i="14" a="1"/>
  <c r="BK91" i="14" s="1"/>
  <c r="CO91" i="14" s="1"/>
  <c r="AA87" i="43" s="1"/>
  <c r="AU91" i="14" a="1"/>
  <c r="AU91" i="14" s="1"/>
  <c r="BY91" i="14" s="1"/>
  <c r="K87" i="43" s="1"/>
  <c r="FK91" i="14"/>
  <c r="BI91" i="14" a="1"/>
  <c r="BI91" i="14" s="1"/>
  <c r="CM91" i="14" s="1"/>
  <c r="Y87" i="43" s="1"/>
  <c r="FJ91" i="14"/>
  <c r="BG91" i="14" a="1"/>
  <c r="BG91" i="14" s="1"/>
  <c r="CK91" i="14" s="1"/>
  <c r="W87" i="43" s="1"/>
  <c r="AT91" i="14" a="1"/>
  <c r="AT91" i="14" s="1"/>
  <c r="BX91" i="14" s="1"/>
  <c r="J87" i="43" s="1"/>
  <c r="FH91" i="14"/>
  <c r="AS91" i="14" a="1"/>
  <c r="AS91" i="14" s="1"/>
  <c r="BW91" i="14" s="1"/>
  <c r="I87" i="43" s="1"/>
  <c r="GH91" i="14"/>
  <c r="BF91" i="14" a="1"/>
  <c r="BF91" i="14" s="1"/>
  <c r="CJ91" i="14" s="1"/>
  <c r="V87" i="43" s="1"/>
  <c r="AQ91" i="14" a="1"/>
  <c r="AQ91" i="14" s="1"/>
  <c r="BU91" i="14" s="1"/>
  <c r="G87" i="43" s="1"/>
  <c r="GF91" i="14"/>
  <c r="BE91" i="14" a="1"/>
  <c r="BE91" i="14" s="1"/>
  <c r="CI91" i="14" s="1"/>
  <c r="U87" i="43" s="1"/>
  <c r="AO91" i="14" a="1"/>
  <c r="AO91" i="14" s="1"/>
  <c r="BS91" i="14" s="1"/>
  <c r="E87" i="43" s="1"/>
  <c r="FW91" i="14"/>
  <c r="BC91" i="14" a="1"/>
  <c r="BC91" i="14" s="1"/>
  <c r="CG91" i="14" s="1"/>
  <c r="S87" i="43" s="1"/>
  <c r="BA91" i="14" a="1"/>
  <c r="BA91" i="14" s="1"/>
  <c r="CE91" i="14" s="1"/>
  <c r="Q87" i="43" s="1"/>
  <c r="BR91" i="14" a="1"/>
  <c r="BR91" i="14" s="1"/>
  <c r="CV91" i="14" s="1"/>
  <c r="AH87" i="43" s="1"/>
  <c r="BO91" i="14" a="1"/>
  <c r="BO91" i="14" s="1"/>
  <c r="CS91" i="14" s="1"/>
  <c r="AE87" i="43" s="1"/>
  <c r="GB91" i="14"/>
  <c r="FX91" i="14"/>
  <c r="BQ91" i="14" a="1"/>
  <c r="BQ91" i="14" s="1"/>
  <c r="CU91" i="14" s="1"/>
  <c r="AG87" i="43" s="1"/>
  <c r="GF54" i="14"/>
  <c r="FT54" i="14"/>
  <c r="FH54" i="14"/>
  <c r="GG53" i="14"/>
  <c r="FU53" i="14"/>
  <c r="FI53" i="14"/>
  <c r="GH52" i="14"/>
  <c r="FV52" i="14"/>
  <c r="FJ52" i="14"/>
  <c r="FW51" i="14"/>
  <c r="FK51" i="14"/>
  <c r="GD54" i="14"/>
  <c r="FR54" i="14"/>
  <c r="FF54" i="14"/>
  <c r="GE53" i="14"/>
  <c r="FS53" i="14"/>
  <c r="FG53" i="14"/>
  <c r="GF52" i="14"/>
  <c r="FT52" i="14"/>
  <c r="FH52" i="14"/>
  <c r="GG51" i="14"/>
  <c r="FU51" i="14"/>
  <c r="FI51" i="14"/>
  <c r="GC54" i="14"/>
  <c r="FQ54" i="14"/>
  <c r="FE54" i="14"/>
  <c r="GD53" i="14"/>
  <c r="FR53" i="14"/>
  <c r="FF53" i="14"/>
  <c r="GE52" i="14"/>
  <c r="FS52" i="14"/>
  <c r="FG52" i="14"/>
  <c r="GF51" i="14"/>
  <c r="FT51" i="14"/>
  <c r="FH51" i="14"/>
  <c r="GB54" i="14"/>
  <c r="FP54" i="14"/>
  <c r="GC53" i="14"/>
  <c r="FQ53" i="14"/>
  <c r="FE53" i="14"/>
  <c r="GD52" i="14"/>
  <c r="FR52" i="14"/>
  <c r="FF52" i="14"/>
  <c r="GE51" i="14"/>
  <c r="FS51" i="14"/>
  <c r="FG51" i="14"/>
  <c r="GA54" i="14"/>
  <c r="FO54" i="14"/>
  <c r="GB53" i="14"/>
  <c r="FP53" i="14"/>
  <c r="GC52" i="14"/>
  <c r="FQ52" i="14"/>
  <c r="FE52" i="14"/>
  <c r="GD51" i="14"/>
  <c r="FR51" i="14"/>
  <c r="FF51" i="14"/>
  <c r="FY54" i="14"/>
  <c r="FM54" i="14"/>
  <c r="FZ53" i="14"/>
  <c r="FN53" i="14"/>
  <c r="GA52" i="14"/>
  <c r="FO52" i="14"/>
  <c r="GB51" i="14"/>
  <c r="FP51" i="14"/>
  <c r="FX54" i="14"/>
  <c r="FL54" i="14"/>
  <c r="FY53" i="14"/>
  <c r="FM53" i="14"/>
  <c r="FZ52" i="14"/>
  <c r="FN52" i="14"/>
  <c r="GA51" i="14"/>
  <c r="FO51" i="14"/>
  <c r="FW54" i="14"/>
  <c r="FX53" i="14"/>
  <c r="GG52" i="14"/>
  <c r="BC52" i="14" a="1"/>
  <c r="BC52" i="14" s="1"/>
  <c r="CG52" i="14" s="1"/>
  <c r="S48" i="43" s="1"/>
  <c r="AO52" i="14" a="1"/>
  <c r="AO52" i="14" s="1"/>
  <c r="BS52" i="14" s="1"/>
  <c r="E48" i="43" s="1"/>
  <c r="GC51" i="14"/>
  <c r="FV54" i="14"/>
  <c r="FW53" i="14"/>
  <c r="BM53" i="14" a="1"/>
  <c r="BM53" i="14" s="1"/>
  <c r="CQ53" i="14" s="1"/>
  <c r="AC49" i="43" s="1"/>
  <c r="AZ53" i="14" a="1"/>
  <c r="AZ53" i="14" s="1"/>
  <c r="CD53" i="14" s="1"/>
  <c r="P49" i="43" s="1"/>
  <c r="GB52" i="14"/>
  <c r="FZ51" i="14"/>
  <c r="BR51" i="14" a="1"/>
  <c r="BR51" i="14" s="1"/>
  <c r="CV51" i="14" s="1"/>
  <c r="AH47" i="43" s="1"/>
  <c r="BB51" i="14" a="1"/>
  <c r="BB51" i="14" s="1"/>
  <c r="CF51" i="14" s="1"/>
  <c r="R47" i="43" s="1"/>
  <c r="AO51" i="14" a="1"/>
  <c r="AO51" i="14" s="1"/>
  <c r="BS51" i="14" s="1"/>
  <c r="E47" i="43" s="1"/>
  <c r="FU54" i="14"/>
  <c r="FV53" i="14"/>
  <c r="AY53" i="14" a="1"/>
  <c r="AY53" i="14" s="1"/>
  <c r="CC53" i="14" s="1"/>
  <c r="O49" i="43" s="1"/>
  <c r="FY52" i="14"/>
  <c r="BO52" i="14" a="1"/>
  <c r="BO52" i="14" s="1"/>
  <c r="CS52" i="14" s="1"/>
  <c r="AE48" i="43" s="1"/>
  <c r="BA52" i="14" a="1"/>
  <c r="BA52" i="14" s="1"/>
  <c r="CE52" i="14" s="1"/>
  <c r="Q48" i="43" s="1"/>
  <c r="FY51" i="14"/>
  <c r="FS54" i="14"/>
  <c r="FT53" i="14"/>
  <c r="BL53" i="14" a="1"/>
  <c r="BL53" i="14" s="1"/>
  <c r="CP53" i="14" s="1"/>
  <c r="AB49" i="43" s="1"/>
  <c r="FX52" i="14"/>
  <c r="FX51" i="14"/>
  <c r="BN51" i="14" a="1"/>
  <c r="BN51" i="14" s="1"/>
  <c r="CR51" i="14" s="1"/>
  <c r="AD47" i="43" s="1"/>
  <c r="BA51" i="14" a="1"/>
  <c r="BA51" i="14" s="1"/>
  <c r="CE51" i="14" s="1"/>
  <c r="Q47" i="43" s="1"/>
  <c r="FN54" i="14"/>
  <c r="FK54" i="14"/>
  <c r="FL53" i="14"/>
  <c r="FU52" i="14"/>
  <c r="FQ51" i="14"/>
  <c r="BM51" i="14" a="1"/>
  <c r="BM51" i="14" s="1"/>
  <c r="CQ51" i="14" s="1"/>
  <c r="AC47" i="43" s="1"/>
  <c r="FJ54" i="14"/>
  <c r="FK53" i="14"/>
  <c r="BG53" i="14" a="1"/>
  <c r="BG53" i="14" s="1"/>
  <c r="CK53" i="14" s="1"/>
  <c r="W49" i="43" s="1"/>
  <c r="AT53" i="14" a="1"/>
  <c r="AT53" i="14" s="1"/>
  <c r="BX53" i="14" s="1"/>
  <c r="J49" i="43" s="1"/>
  <c r="FP52" i="14"/>
  <c r="FN51" i="14"/>
  <c r="BL51" i="14" a="1"/>
  <c r="BL51" i="14" s="1"/>
  <c r="CP51" i="14" s="1"/>
  <c r="AB47" i="43" s="1"/>
  <c r="AV51" i="14" a="1"/>
  <c r="AV51" i="14" s="1"/>
  <c r="BZ51" i="14" s="1"/>
  <c r="L47" i="43" s="1"/>
  <c r="FI54" i="14"/>
  <c r="FJ53" i="14"/>
  <c r="AS53" i="14" a="1"/>
  <c r="AS53" i="14" s="1"/>
  <c r="BW53" i="14" s="1"/>
  <c r="I49" i="43" s="1"/>
  <c r="FM52" i="14"/>
  <c r="FM51" i="14"/>
  <c r="GH54" i="14"/>
  <c r="FG54" i="14"/>
  <c r="FH53" i="14"/>
  <c r="BF53" i="14" a="1"/>
  <c r="BF53" i="14" s="1"/>
  <c r="CJ53" i="14" s="1"/>
  <c r="V49" i="43" s="1"/>
  <c r="FL52" i="14"/>
  <c r="FL51" i="14"/>
  <c r="BH51" i="14" a="1"/>
  <c r="BH51" i="14" s="1"/>
  <c r="CL51" i="14" s="1"/>
  <c r="X47" i="43" s="1"/>
  <c r="AU51" i="14" a="1"/>
  <c r="AU51" i="14" s="1"/>
  <c r="BY51" i="14" s="1"/>
  <c r="K47" i="43" s="1"/>
  <c r="GG54" i="14"/>
  <c r="GH53" i="14"/>
  <c r="GE54" i="14"/>
  <c r="GF53" i="14"/>
  <c r="BR53" i="14" a="1"/>
  <c r="BR53" i="14" s="1"/>
  <c r="CV53" i="14" s="1"/>
  <c r="AH49" i="43" s="1"/>
  <c r="AQ52" i="14" a="1"/>
  <c r="AQ52" i="14" s="1"/>
  <c r="BU52" i="14" s="1"/>
  <c r="G48" i="43" s="1"/>
  <c r="FZ54" i="14"/>
  <c r="GA53" i="14"/>
  <c r="BQ53" i="14" a="1"/>
  <c r="BQ53" i="14" s="1"/>
  <c r="CU53" i="14" s="1"/>
  <c r="AG49" i="43" s="1"/>
  <c r="GH51" i="14"/>
  <c r="AP54" i="14" a="1"/>
  <c r="AP54" i="14" s="1"/>
  <c r="AZ54" i="14" s="1" a="1"/>
  <c r="AZ54" i="14" s="1"/>
  <c r="CD54" i="14" s="1"/>
  <c r="P50" i="43" s="1"/>
  <c r="FO53" i="14"/>
  <c r="BK53" i="14" a="1"/>
  <c r="BK53" i="14" s="1"/>
  <c r="CO53" i="14" s="1"/>
  <c r="AA49" i="43" s="1"/>
  <c r="FV51" i="14"/>
  <c r="BE53" i="14" a="1"/>
  <c r="BE53" i="14" s="1"/>
  <c r="CI53" i="14" s="1"/>
  <c r="U49" i="43" s="1"/>
  <c r="FJ51" i="14"/>
  <c r="BG51" i="14" a="1"/>
  <c r="BG51" i="14" s="1"/>
  <c r="CK51" i="14" s="1"/>
  <c r="W47" i="43" s="1"/>
  <c r="FE51" i="14"/>
  <c r="BF51" i="14" a="1"/>
  <c r="BF51" i="14" s="1"/>
  <c r="CJ51" i="14" s="1"/>
  <c r="V47" i="43" s="1"/>
  <c r="BA53" i="14" a="1"/>
  <c r="BA53" i="14" s="1"/>
  <c r="CE53" i="14" s="1"/>
  <c r="Q49" i="43" s="1"/>
  <c r="AZ51" i="14" a="1"/>
  <c r="AZ51" i="14" s="1"/>
  <c r="CD51" i="14" s="1"/>
  <c r="P47" i="43" s="1"/>
  <c r="AU53" i="14" a="1"/>
  <c r="AU53" i="14" s="1"/>
  <c r="BY53" i="14" s="1"/>
  <c r="K49" i="43" s="1"/>
  <c r="FW52" i="14"/>
  <c r="BM52" i="14" a="1"/>
  <c r="BM52" i="14" s="1"/>
  <c r="CQ52" i="14" s="1"/>
  <c r="AC48" i="43" s="1"/>
  <c r="AT51" i="14" a="1"/>
  <c r="AT51" i="14" s="1"/>
  <c r="BX51" i="14" s="1"/>
  <c r="J47" i="43" s="1"/>
  <c r="AO53" i="14" a="1"/>
  <c r="AO53" i="14" s="1"/>
  <c r="BS53" i="14" s="1"/>
  <c r="E49" i="43" s="1"/>
  <c r="FK52" i="14"/>
  <c r="BG52" i="14" a="1"/>
  <c r="BG52" i="14" s="1"/>
  <c r="CK52" i="14" s="1"/>
  <c r="W48" i="43" s="1"/>
  <c r="FI52" i="14"/>
  <c r="AP51" i="14" a="1"/>
  <c r="AP51" i="14" s="1"/>
  <c r="BT51" i="14" s="1"/>
  <c r="F47" i="43" s="1"/>
  <c r="AK91" i="9"/>
  <c r="A76" i="3"/>
  <c r="A214" i="3"/>
  <c r="A239" i="3" s="1"/>
  <c r="K330" i="3"/>
  <c r="K329" i="3"/>
  <c r="K328" i="3"/>
  <c r="K327" i="3"/>
  <c r="K326" i="3"/>
  <c r="K325" i="3"/>
  <c r="K324" i="3"/>
  <c r="J330" i="3"/>
  <c r="J329" i="3"/>
  <c r="J328" i="3"/>
  <c r="J327" i="3"/>
  <c r="J326" i="3"/>
  <c r="J325" i="3"/>
  <c r="J324" i="3"/>
  <c r="I330" i="3"/>
  <c r="I329" i="3"/>
  <c r="I328" i="3"/>
  <c r="I327" i="3"/>
  <c r="I326" i="3"/>
  <c r="I325" i="3"/>
  <c r="I324" i="3"/>
  <c r="L329" i="3"/>
  <c r="F328" i="3"/>
  <c r="C327" i="3"/>
  <c r="L325" i="3"/>
  <c r="F324" i="3"/>
  <c r="M330" i="3"/>
  <c r="G329" i="3"/>
  <c r="D328" i="3"/>
  <c r="M326" i="3"/>
  <c r="G325" i="3"/>
  <c r="D324" i="3"/>
  <c r="D330" i="3"/>
  <c r="M328" i="3"/>
  <c r="G327" i="3"/>
  <c r="D326" i="3"/>
  <c r="M324" i="3"/>
  <c r="C330" i="3"/>
  <c r="L328" i="3"/>
  <c r="F327" i="3"/>
  <c r="C326" i="3"/>
  <c r="L324" i="3"/>
  <c r="M325" i="3"/>
  <c r="M327" i="3"/>
  <c r="M329" i="3"/>
  <c r="F382" i="3"/>
  <c r="L384" i="3"/>
  <c r="B35" i="8"/>
  <c r="B10" i="8"/>
  <c r="B36" i="5"/>
  <c r="B85" i="8"/>
  <c r="B95" i="8"/>
  <c r="B20" i="8"/>
  <c r="B70" i="8"/>
  <c r="B45" i="8"/>
  <c r="B96" i="8"/>
  <c r="B71" i="8"/>
  <c r="B46" i="8"/>
  <c r="B47" i="5"/>
  <c r="B21" i="8"/>
  <c r="BI9" i="9"/>
  <c r="BM9" i="9"/>
  <c r="C114" i="3"/>
  <c r="C127" i="3"/>
  <c r="C49" i="3" s="1"/>
  <c r="M252" i="3"/>
  <c r="B254" i="3"/>
  <c r="C255" i="3"/>
  <c r="D256" i="3"/>
  <c r="E257" i="3"/>
  <c r="M268" i="3"/>
  <c r="B270" i="3"/>
  <c r="C271" i="3"/>
  <c r="D272" i="3"/>
  <c r="E273" i="3"/>
  <c r="M284" i="3"/>
  <c r="B286" i="3"/>
  <c r="C287" i="3"/>
  <c r="F288" i="3"/>
  <c r="B324" i="3"/>
  <c r="B326" i="3"/>
  <c r="B328" i="3"/>
  <c r="B330" i="3"/>
  <c r="M332" i="3"/>
  <c r="M334" i="3"/>
  <c r="M336" i="3"/>
  <c r="M338" i="3"/>
  <c r="H354" i="3"/>
  <c r="H353" i="3"/>
  <c r="H352" i="3"/>
  <c r="H351" i="3"/>
  <c r="H350" i="3"/>
  <c r="H349" i="3"/>
  <c r="H348" i="3"/>
  <c r="G354" i="3"/>
  <c r="G353" i="3"/>
  <c r="G352" i="3"/>
  <c r="G351" i="3"/>
  <c r="G350" i="3"/>
  <c r="G349" i="3"/>
  <c r="G348" i="3"/>
  <c r="F354" i="3"/>
  <c r="F353" i="3"/>
  <c r="F352" i="3"/>
  <c r="F351" i="3"/>
  <c r="F350" i="3"/>
  <c r="F349" i="3"/>
  <c r="F348" i="3"/>
  <c r="L353" i="3"/>
  <c r="I352" i="3"/>
  <c r="C351" i="3"/>
  <c r="L349" i="3"/>
  <c r="I348" i="3"/>
  <c r="M354" i="3"/>
  <c r="J353" i="3"/>
  <c r="D352" i="3"/>
  <c r="M350" i="3"/>
  <c r="J349" i="3"/>
  <c r="D348" i="3"/>
  <c r="I354" i="3"/>
  <c r="C353" i="3"/>
  <c r="L351" i="3"/>
  <c r="I350" i="3"/>
  <c r="C349" i="3"/>
  <c r="E354" i="3"/>
  <c r="B353" i="3"/>
  <c r="K351" i="3"/>
  <c r="E350" i="3"/>
  <c r="B349" i="3"/>
  <c r="D354" i="3"/>
  <c r="M352" i="3"/>
  <c r="J351" i="3"/>
  <c r="D350" i="3"/>
  <c r="M348" i="3"/>
  <c r="C354" i="3"/>
  <c r="L352" i="3"/>
  <c r="I351" i="3"/>
  <c r="C350" i="3"/>
  <c r="L348" i="3"/>
  <c r="J350" i="3"/>
  <c r="D353" i="3"/>
  <c r="H373" i="3"/>
  <c r="B376" i="3"/>
  <c r="K378" i="3"/>
  <c r="G382" i="3"/>
  <c r="M384" i="3"/>
  <c r="B44" i="8"/>
  <c r="B19" i="8"/>
  <c r="B94" i="8"/>
  <c r="B256" i="17"/>
  <c r="C256" i="17" s="1"/>
  <c r="B176" i="17"/>
  <c r="B263" i="17"/>
  <c r="C263" i="17" s="1"/>
  <c r="B183" i="17"/>
  <c r="E76" i="12"/>
  <c r="L60" i="10"/>
  <c r="D104" i="3"/>
  <c r="A216" i="3"/>
  <c r="A241" i="3" s="1"/>
  <c r="J258" i="3"/>
  <c r="J257" i="3"/>
  <c r="J256" i="3"/>
  <c r="J255" i="3"/>
  <c r="J254" i="3"/>
  <c r="J253" i="3"/>
  <c r="J252" i="3"/>
  <c r="B253" i="3"/>
  <c r="C254" i="3"/>
  <c r="D255" i="3"/>
  <c r="E256" i="3"/>
  <c r="F257" i="3"/>
  <c r="G258" i="3"/>
  <c r="H274" i="3"/>
  <c r="H273" i="3"/>
  <c r="H272" i="3"/>
  <c r="H271" i="3"/>
  <c r="H270" i="3"/>
  <c r="H269" i="3"/>
  <c r="H268" i="3"/>
  <c r="B269" i="3"/>
  <c r="C270" i="3"/>
  <c r="D271" i="3"/>
  <c r="E272" i="3"/>
  <c r="F273" i="3"/>
  <c r="G274" i="3"/>
  <c r="D290" i="3"/>
  <c r="D289" i="3"/>
  <c r="D288" i="3"/>
  <c r="C290" i="3"/>
  <c r="C289" i="3"/>
  <c r="C288" i="3"/>
  <c r="B290" i="3"/>
  <c r="B289" i="3"/>
  <c r="K289" i="3"/>
  <c r="H288" i="3"/>
  <c r="F287" i="3"/>
  <c r="F286" i="3"/>
  <c r="F285" i="3"/>
  <c r="F284" i="3"/>
  <c r="B285" i="3"/>
  <c r="C286" i="3"/>
  <c r="D287" i="3"/>
  <c r="G288" i="3"/>
  <c r="L289" i="3"/>
  <c r="C324" i="3"/>
  <c r="E326" i="3"/>
  <c r="C328" i="3"/>
  <c r="E330" i="3"/>
  <c r="B333" i="3"/>
  <c r="D335" i="3"/>
  <c r="I373" i="3"/>
  <c r="F376" i="3"/>
  <c r="H382" i="3"/>
  <c r="B29" i="8"/>
  <c r="E90" i="12"/>
  <c r="L74" i="10"/>
  <c r="D386" i="3"/>
  <c r="D385" i="3"/>
  <c r="D384" i="3"/>
  <c r="D383" i="3"/>
  <c r="D382" i="3"/>
  <c r="D381" i="3"/>
  <c r="D380" i="3"/>
  <c r="C386" i="3"/>
  <c r="C385" i="3"/>
  <c r="C384" i="3"/>
  <c r="C383" i="3"/>
  <c r="C382" i="3"/>
  <c r="C381" i="3"/>
  <c r="C380" i="3"/>
  <c r="B386" i="3"/>
  <c r="B385" i="3"/>
  <c r="B384" i="3"/>
  <c r="B383" i="3"/>
  <c r="B382" i="3"/>
  <c r="B381" i="3"/>
  <c r="B380" i="3"/>
  <c r="K386" i="3"/>
  <c r="H385" i="3"/>
  <c r="E384" i="3"/>
  <c r="K382" i="3"/>
  <c r="H381" i="3"/>
  <c r="E380" i="3"/>
  <c r="I386" i="3"/>
  <c r="F385" i="3"/>
  <c r="L383" i="3"/>
  <c r="I382" i="3"/>
  <c r="F381" i="3"/>
  <c r="E386" i="3"/>
  <c r="K384" i="3"/>
  <c r="H383" i="3"/>
  <c r="E382" i="3"/>
  <c r="K380" i="3"/>
  <c r="M385" i="3"/>
  <c r="J384" i="3"/>
  <c r="G383" i="3"/>
  <c r="M381" i="3"/>
  <c r="J380" i="3"/>
  <c r="L385" i="3"/>
  <c r="I384" i="3"/>
  <c r="F383" i="3"/>
  <c r="L381" i="3"/>
  <c r="I380" i="3"/>
  <c r="K385" i="3"/>
  <c r="H384" i="3"/>
  <c r="E383" i="3"/>
  <c r="K381" i="3"/>
  <c r="H380" i="3"/>
  <c r="J382" i="3"/>
  <c r="G385" i="3"/>
  <c r="E72" i="12"/>
  <c r="L56" i="10"/>
  <c r="F380" i="3"/>
  <c r="L382" i="3"/>
  <c r="I385" i="3"/>
  <c r="B259" i="17"/>
  <c r="C259" i="17" s="1"/>
  <c r="B179" i="17"/>
  <c r="B60" i="8"/>
  <c r="E96" i="12"/>
  <c r="L80" i="10"/>
  <c r="G380" i="3"/>
  <c r="M382" i="3"/>
  <c r="J385" i="3"/>
  <c r="B46" i="5"/>
  <c r="BI71" i="11"/>
  <c r="AW71" i="11"/>
  <c r="AK71" i="11"/>
  <c r="BH71" i="11"/>
  <c r="AV71" i="11"/>
  <c r="AJ71" i="11"/>
  <c r="BG71" i="11"/>
  <c r="AU71" i="11"/>
  <c r="AI71" i="11"/>
  <c r="BF71" i="11"/>
  <c r="AT71" i="11"/>
  <c r="AH71" i="11"/>
  <c r="BE71" i="11"/>
  <c r="AS71" i="11"/>
  <c r="AG71" i="11"/>
  <c r="BA71" i="11"/>
  <c r="AZ71" i="11"/>
  <c r="AY71" i="11"/>
  <c r="AX71" i="11"/>
  <c r="AR71" i="11"/>
  <c r="AQ71" i="11"/>
  <c r="AP71" i="11"/>
  <c r="AO71" i="11"/>
  <c r="BJ71" i="11"/>
  <c r="AN71" i="11"/>
  <c r="BD71" i="11"/>
  <c r="BC71" i="11"/>
  <c r="BB71" i="11"/>
  <c r="AM71" i="11"/>
  <c r="B325" i="3"/>
  <c r="L326" i="3"/>
  <c r="B329" i="3"/>
  <c r="L330" i="3"/>
  <c r="E378" i="3"/>
  <c r="E377" i="3"/>
  <c r="E376" i="3"/>
  <c r="E375" i="3"/>
  <c r="E374" i="3"/>
  <c r="E373" i="3"/>
  <c r="E372" i="3"/>
  <c r="D378" i="3"/>
  <c r="D377" i="3"/>
  <c r="D376" i="3"/>
  <c r="D375" i="3"/>
  <c r="D374" i="3"/>
  <c r="D373" i="3"/>
  <c r="D372" i="3"/>
  <c r="C378" i="3"/>
  <c r="C377" i="3"/>
  <c r="C376" i="3"/>
  <c r="C375" i="3"/>
  <c r="C374" i="3"/>
  <c r="C373" i="3"/>
  <c r="C372" i="3"/>
  <c r="L377" i="3"/>
  <c r="I376" i="3"/>
  <c r="F375" i="3"/>
  <c r="L373" i="3"/>
  <c r="I372" i="3"/>
  <c r="M378" i="3"/>
  <c r="J377" i="3"/>
  <c r="G376" i="3"/>
  <c r="M374" i="3"/>
  <c r="J373" i="3"/>
  <c r="G372" i="3"/>
  <c r="I378" i="3"/>
  <c r="F377" i="3"/>
  <c r="L375" i="3"/>
  <c r="I374" i="3"/>
  <c r="F373" i="3"/>
  <c r="H378" i="3"/>
  <c r="B377" i="3"/>
  <c r="K375" i="3"/>
  <c r="H374" i="3"/>
  <c r="B373" i="3"/>
  <c r="G378" i="3"/>
  <c r="M376" i="3"/>
  <c r="J375" i="3"/>
  <c r="G374" i="3"/>
  <c r="M372" i="3"/>
  <c r="F378" i="3"/>
  <c r="L376" i="3"/>
  <c r="I375" i="3"/>
  <c r="F374" i="3"/>
  <c r="L372" i="3"/>
  <c r="J374" i="3"/>
  <c r="G377" i="3"/>
  <c r="L380" i="3"/>
  <c r="I383" i="3"/>
  <c r="F386" i="3"/>
  <c r="E68" i="12"/>
  <c r="L52" i="10"/>
  <c r="L104" i="10"/>
  <c r="AL71" i="11"/>
  <c r="D162" i="3"/>
  <c r="C165" i="3"/>
  <c r="A79" i="3"/>
  <c r="F252" i="3"/>
  <c r="G253" i="3"/>
  <c r="H254" i="3"/>
  <c r="I255" i="3"/>
  <c r="K256" i="3"/>
  <c r="L257" i="3"/>
  <c r="M258" i="3"/>
  <c r="F268" i="3"/>
  <c r="G269" i="3"/>
  <c r="I270" i="3"/>
  <c r="J271" i="3"/>
  <c r="K272" i="3"/>
  <c r="L273" i="3"/>
  <c r="M274" i="3"/>
  <c r="G284" i="3"/>
  <c r="H285" i="3"/>
  <c r="I286" i="3"/>
  <c r="J287" i="3"/>
  <c r="M288" i="3"/>
  <c r="H290" i="3"/>
  <c r="C325" i="3"/>
  <c r="B327" i="3"/>
  <c r="C329" i="3"/>
  <c r="J338" i="3"/>
  <c r="J337" i="3"/>
  <c r="J336" i="3"/>
  <c r="J335" i="3"/>
  <c r="J334" i="3"/>
  <c r="J333" i="3"/>
  <c r="J332" i="3"/>
  <c r="I338" i="3"/>
  <c r="I337" i="3"/>
  <c r="I336" i="3"/>
  <c r="I335" i="3"/>
  <c r="I334" i="3"/>
  <c r="I333" i="3"/>
  <c r="I332" i="3"/>
  <c r="H338" i="3"/>
  <c r="H337" i="3"/>
  <c r="H336" i="3"/>
  <c r="H335" i="3"/>
  <c r="H334" i="3"/>
  <c r="H333" i="3"/>
  <c r="H332" i="3"/>
  <c r="K338" i="3"/>
  <c r="E337" i="3"/>
  <c r="B336" i="3"/>
  <c r="K334" i="3"/>
  <c r="E333" i="3"/>
  <c r="B332" i="3"/>
  <c r="F338" i="3"/>
  <c r="C337" i="3"/>
  <c r="L335" i="3"/>
  <c r="F334" i="3"/>
  <c r="C333" i="3"/>
  <c r="L337" i="3"/>
  <c r="F336" i="3"/>
  <c r="C335" i="3"/>
  <c r="L333" i="3"/>
  <c r="F332" i="3"/>
  <c r="K337" i="3"/>
  <c r="E336" i="3"/>
  <c r="B335" i="3"/>
  <c r="K333" i="3"/>
  <c r="E332" i="3"/>
  <c r="B334" i="3"/>
  <c r="M335" i="3"/>
  <c r="B338" i="3"/>
  <c r="B372" i="3"/>
  <c r="K374" i="3"/>
  <c r="H377" i="3"/>
  <c r="M380" i="3"/>
  <c r="J383" i="3"/>
  <c r="G386" i="3"/>
  <c r="B22" i="8"/>
  <c r="B72" i="8"/>
  <c r="B47" i="8"/>
  <c r="B48" i="5"/>
  <c r="B97" i="8"/>
  <c r="AQ64" i="9"/>
  <c r="AU64" i="9"/>
  <c r="BC64" i="9"/>
  <c r="BG64" i="9"/>
  <c r="E92" i="12"/>
  <c r="B38" i="5"/>
  <c r="B37" i="8"/>
  <c r="B87" i="8"/>
  <c r="B12" i="8"/>
  <c r="B82" i="8"/>
  <c r="B57" i="8"/>
  <c r="B33" i="5"/>
  <c r="B7" i="8"/>
  <c r="B32" i="8"/>
  <c r="AK24" i="9"/>
  <c r="AO24" i="9"/>
  <c r="AW24" i="9"/>
  <c r="BA24" i="9"/>
  <c r="BI24" i="9"/>
  <c r="BM24" i="9"/>
  <c r="AD333" i="20" s="1"/>
  <c r="AT63" i="9"/>
  <c r="AX63" i="9"/>
  <c r="BF63" i="9"/>
  <c r="BJ63" i="9"/>
  <c r="L322" i="3"/>
  <c r="L321" i="3"/>
  <c r="L320" i="3"/>
  <c r="L319" i="3"/>
  <c r="L318" i="3"/>
  <c r="L317" i="3"/>
  <c r="L316" i="3"/>
  <c r="K322" i="3"/>
  <c r="K321" i="3"/>
  <c r="K320" i="3"/>
  <c r="K319" i="3"/>
  <c r="K318" i="3"/>
  <c r="K317" i="3"/>
  <c r="K316" i="3"/>
  <c r="J322" i="3"/>
  <c r="J321" i="3"/>
  <c r="J320" i="3"/>
  <c r="J319" i="3"/>
  <c r="J318" i="3"/>
  <c r="J317" i="3"/>
  <c r="J316" i="3"/>
  <c r="D317" i="3"/>
  <c r="G318" i="3"/>
  <c r="M319" i="3"/>
  <c r="D321" i="3"/>
  <c r="G322" i="3"/>
  <c r="I346" i="3"/>
  <c r="I345" i="3"/>
  <c r="I344" i="3"/>
  <c r="I343" i="3"/>
  <c r="I342" i="3"/>
  <c r="I341" i="3"/>
  <c r="I340" i="3"/>
  <c r="H346" i="3"/>
  <c r="H345" i="3"/>
  <c r="H344" i="3"/>
  <c r="H343" i="3"/>
  <c r="H342" i="3"/>
  <c r="H341" i="3"/>
  <c r="H340" i="3"/>
  <c r="G346" i="3"/>
  <c r="G345" i="3"/>
  <c r="G344" i="3"/>
  <c r="G343" i="3"/>
  <c r="G342" i="3"/>
  <c r="G341" i="3"/>
  <c r="G340" i="3"/>
  <c r="D341" i="3"/>
  <c r="J342" i="3"/>
  <c r="M343" i="3"/>
  <c r="D345" i="3"/>
  <c r="J346" i="3"/>
  <c r="F370" i="3"/>
  <c r="F369" i="3"/>
  <c r="F368" i="3"/>
  <c r="F367" i="3"/>
  <c r="F366" i="3"/>
  <c r="F365" i="3"/>
  <c r="F364" i="3"/>
  <c r="E370" i="3"/>
  <c r="E369" i="3"/>
  <c r="E368" i="3"/>
  <c r="E367" i="3"/>
  <c r="E366" i="3"/>
  <c r="E365" i="3"/>
  <c r="E364" i="3"/>
  <c r="D370" i="3"/>
  <c r="D369" i="3"/>
  <c r="D368" i="3"/>
  <c r="D367" i="3"/>
  <c r="D366" i="3"/>
  <c r="D365" i="3"/>
  <c r="D364" i="3"/>
  <c r="G365" i="3"/>
  <c r="J366" i="3"/>
  <c r="M367" i="3"/>
  <c r="G369" i="3"/>
  <c r="J370" i="3"/>
  <c r="L418" i="3"/>
  <c r="L417" i="3"/>
  <c r="L416" i="3"/>
  <c r="L415" i="3"/>
  <c r="L414" i="3"/>
  <c r="L413" i="3"/>
  <c r="L412" i="3"/>
  <c r="K418" i="3"/>
  <c r="K417" i="3"/>
  <c r="K416" i="3"/>
  <c r="K415" i="3"/>
  <c r="K414" i="3"/>
  <c r="K413" i="3"/>
  <c r="K412" i="3"/>
  <c r="J418" i="3"/>
  <c r="J417" i="3"/>
  <c r="J416" i="3"/>
  <c r="J415" i="3"/>
  <c r="J414" i="3"/>
  <c r="J413" i="3"/>
  <c r="J412" i="3"/>
  <c r="D413" i="3"/>
  <c r="G414" i="3"/>
  <c r="M415" i="3"/>
  <c r="D417" i="3"/>
  <c r="G418" i="3"/>
  <c r="B30" i="8"/>
  <c r="B31" i="5"/>
  <c r="B98" i="8"/>
  <c r="B48" i="8"/>
  <c r="B44" i="5"/>
  <c r="F49" i="5"/>
  <c r="X49" i="5"/>
  <c r="B262" i="17"/>
  <c r="C262" i="17" s="1"/>
  <c r="B182" i="17"/>
  <c r="B186" i="17"/>
  <c r="B266" i="17"/>
  <c r="C266" i="17" s="1"/>
  <c r="AL9" i="9"/>
  <c r="AP9" i="9"/>
  <c r="BA15" i="9"/>
  <c r="BA18" i="9"/>
  <c r="BA21" i="9"/>
  <c r="R238" i="20" s="1"/>
  <c r="AL24" i="9"/>
  <c r="C333" i="20" s="1"/>
  <c r="AP24" i="9"/>
  <c r="BJ24" i="9"/>
  <c r="BN24" i="9"/>
  <c r="AE333" i="20" s="1"/>
  <c r="AK29" i="9"/>
  <c r="AO29" i="9"/>
  <c r="BI29" i="9"/>
  <c r="Z48" i="20" s="1"/>
  <c r="BM29" i="9"/>
  <c r="E82" i="12"/>
  <c r="L66" i="10"/>
  <c r="P124" i="12"/>
  <c r="J49" i="5"/>
  <c r="Y49" i="5"/>
  <c r="B265" i="17"/>
  <c r="C265" i="17" s="1"/>
  <c r="B185" i="17"/>
  <c r="B269" i="17"/>
  <c r="C269" i="17" s="1"/>
  <c r="B189" i="17"/>
  <c r="B13" i="8"/>
  <c r="BB18" i="9"/>
  <c r="BB21" i="9"/>
  <c r="BA27" i="9"/>
  <c r="AL29" i="9"/>
  <c r="C48" i="20" s="1"/>
  <c r="AP29" i="9"/>
  <c r="BJ29" i="9"/>
  <c r="BN29" i="9"/>
  <c r="AK32" i="9"/>
  <c r="AO32" i="9"/>
  <c r="BI32" i="9"/>
  <c r="BM32" i="9"/>
  <c r="BD32" i="9"/>
  <c r="BB35" i="9"/>
  <c r="BB96" i="11"/>
  <c r="AP96" i="11"/>
  <c r="BA96" i="11"/>
  <c r="AO96" i="11"/>
  <c r="AZ96" i="11"/>
  <c r="AN96" i="11"/>
  <c r="AY96" i="11"/>
  <c r="AM96" i="11"/>
  <c r="BJ96" i="11"/>
  <c r="AX96" i="11"/>
  <c r="AL96" i="11"/>
  <c r="BI96" i="11"/>
  <c r="AW96" i="11"/>
  <c r="AK96" i="11"/>
  <c r="AV96" i="11"/>
  <c r="AU96" i="11"/>
  <c r="AT96" i="11"/>
  <c r="AS96" i="11"/>
  <c r="AR96" i="11"/>
  <c r="AQ96" i="11"/>
  <c r="BH96" i="11"/>
  <c r="AJ96" i="11"/>
  <c r="BG96" i="11"/>
  <c r="AI96" i="11"/>
  <c r="BF96" i="11"/>
  <c r="AH96" i="11"/>
  <c r="BE96" i="11"/>
  <c r="BD96" i="11"/>
  <c r="BC96" i="11"/>
  <c r="K49" i="5"/>
  <c r="Z49" i="5"/>
  <c r="B268" i="17"/>
  <c r="C268" i="17" s="1"/>
  <c r="B188" i="17"/>
  <c r="B11" i="8"/>
  <c r="AN9" i="9"/>
  <c r="AR9" i="9"/>
  <c r="AZ9" i="9"/>
  <c r="BD9" i="9"/>
  <c r="BL9" i="9"/>
  <c r="L10" i="20"/>
  <c r="BG12" i="9"/>
  <c r="BB12" i="9"/>
  <c r="BC15" i="9"/>
  <c r="BC18" i="9"/>
  <c r="BC21" i="9"/>
  <c r="AN24" i="9"/>
  <c r="E333" i="20" s="1"/>
  <c r="AR24" i="9"/>
  <c r="AK27" i="9"/>
  <c r="BA30" i="9"/>
  <c r="AL32" i="9"/>
  <c r="AP32" i="9"/>
  <c r="BJ32" i="9"/>
  <c r="BN32" i="9"/>
  <c r="Z162" i="20"/>
  <c r="AG96" i="11"/>
  <c r="B42" i="8"/>
  <c r="B43" i="5"/>
  <c r="B92" i="8"/>
  <c r="B271" i="17"/>
  <c r="C271" i="17" s="1"/>
  <c r="B191" i="17"/>
  <c r="AO5" i="9"/>
  <c r="L5" i="9"/>
  <c r="AO9" i="9"/>
  <c r="BH12" i="9"/>
  <c r="BC12" i="9"/>
  <c r="AK15" i="9"/>
  <c r="AO15" i="9"/>
  <c r="BI15" i="9"/>
  <c r="BM15" i="9"/>
  <c r="BD15" i="9"/>
  <c r="Z124" i="20"/>
  <c r="AK18" i="9"/>
  <c r="AO18" i="9"/>
  <c r="BI18" i="9"/>
  <c r="Z181" i="20" s="1"/>
  <c r="BM18" i="9"/>
  <c r="BD18" i="9"/>
  <c r="AK21" i="9"/>
  <c r="AO21" i="9"/>
  <c r="BI21" i="9"/>
  <c r="Z238" i="20" s="1"/>
  <c r="BM21" i="9"/>
  <c r="AN29" i="9"/>
  <c r="E48" i="20" s="1"/>
  <c r="AR29" i="9"/>
  <c r="AK30" i="9"/>
  <c r="C162" i="20"/>
  <c r="AK35" i="9"/>
  <c r="AO35" i="9"/>
  <c r="F219" i="20" s="1"/>
  <c r="BI35" i="9"/>
  <c r="BM35" i="9"/>
  <c r="L102" i="10"/>
  <c r="B56" i="8"/>
  <c r="AK12" i="9"/>
  <c r="BI12" i="9"/>
  <c r="BM12" i="9"/>
  <c r="BD12" i="9"/>
  <c r="BA13" i="9"/>
  <c r="AL15" i="9"/>
  <c r="C67" i="20" s="1"/>
  <c r="AP15" i="9"/>
  <c r="G67" i="20" s="1"/>
  <c r="BJ15" i="9"/>
  <c r="BN15" i="9"/>
  <c r="BA16" i="9"/>
  <c r="G124" i="20"/>
  <c r="AA124" i="20"/>
  <c r="AL18" i="9"/>
  <c r="C181" i="20" s="1"/>
  <c r="AP18" i="9"/>
  <c r="G181" i="20" s="1"/>
  <c r="BJ18" i="9"/>
  <c r="BN18" i="9"/>
  <c r="BA19" i="9"/>
  <c r="AL21" i="9"/>
  <c r="C238" i="20" s="1"/>
  <c r="AP21" i="9"/>
  <c r="BJ21" i="9"/>
  <c r="AA238" i="20" s="1"/>
  <c r="BN21" i="9"/>
  <c r="AK22" i="9"/>
  <c r="AN32" i="9"/>
  <c r="AR32" i="9"/>
  <c r="BA33" i="9"/>
  <c r="AL35" i="9"/>
  <c r="C219" i="20" s="1"/>
  <c r="AP35" i="9"/>
  <c r="BJ35" i="9"/>
  <c r="BN35" i="9"/>
  <c r="BI38" i="11"/>
  <c r="AW38" i="11"/>
  <c r="AK38" i="11"/>
  <c r="BH38" i="11"/>
  <c r="AV38" i="11"/>
  <c r="AJ38" i="11"/>
  <c r="BG38" i="11"/>
  <c r="AU38" i="11"/>
  <c r="AI38" i="11"/>
  <c r="BF38" i="11"/>
  <c r="AT38" i="11"/>
  <c r="AH38" i="11"/>
  <c r="BE38" i="11"/>
  <c r="AS38" i="11"/>
  <c r="AG38" i="11"/>
  <c r="AY38" i="11"/>
  <c r="AX38" i="11"/>
  <c r="AR38" i="11"/>
  <c r="AQ38" i="11"/>
  <c r="AP38" i="11"/>
  <c r="AO38" i="11"/>
  <c r="BJ38" i="11"/>
  <c r="AN38" i="11"/>
  <c r="BD38" i="11"/>
  <c r="AM38" i="11"/>
  <c r="BC38" i="11"/>
  <c r="AL38" i="11"/>
  <c r="BI53" i="11"/>
  <c r="AW53" i="11"/>
  <c r="AK53" i="11"/>
  <c r="BH53" i="11"/>
  <c r="AV53" i="11"/>
  <c r="AJ53" i="11"/>
  <c r="BG53" i="11"/>
  <c r="AU53" i="11"/>
  <c r="AI53" i="11"/>
  <c r="BF53" i="11"/>
  <c r="AT53" i="11"/>
  <c r="AH53" i="11"/>
  <c r="BE53" i="11"/>
  <c r="AS53" i="11"/>
  <c r="AG53" i="11"/>
  <c r="AZ53" i="11"/>
  <c r="AY53" i="11"/>
  <c r="AX53" i="11"/>
  <c r="AR53" i="11"/>
  <c r="AQ53" i="11"/>
  <c r="AP53" i="11"/>
  <c r="AO53" i="11"/>
  <c r="BJ53" i="11"/>
  <c r="AN53" i="11"/>
  <c r="BD53" i="11"/>
  <c r="AM53" i="11"/>
  <c r="BC53" i="11"/>
  <c r="BB53" i="11"/>
  <c r="BA53" i="11"/>
  <c r="F12" i="12"/>
  <c r="O124" i="12"/>
  <c r="AD124" i="12"/>
  <c r="AA124" i="12"/>
  <c r="Z124" i="12"/>
  <c r="B81" i="8"/>
  <c r="AL12" i="9"/>
  <c r="AP12" i="9"/>
  <c r="BJ12" i="9"/>
  <c r="BN12" i="9"/>
  <c r="BC16" i="9"/>
  <c r="BC19" i="9"/>
  <c r="I162" i="20"/>
  <c r="AK33" i="9"/>
  <c r="BA36" i="9"/>
  <c r="C276" i="20"/>
  <c r="AK38" i="9"/>
  <c r="AO38" i="9"/>
  <c r="BI38" i="9"/>
  <c r="Z314" i="20" s="1"/>
  <c r="BM38" i="9"/>
  <c r="BD38" i="9"/>
  <c r="AZ38" i="11"/>
  <c r="AL53" i="11"/>
  <c r="B89" i="8"/>
  <c r="B64" i="8"/>
  <c r="B6" i="8"/>
  <c r="D10" i="20"/>
  <c r="BK12" i="9"/>
  <c r="AK13" i="9"/>
  <c r="BD13" i="9"/>
  <c r="AN15" i="9"/>
  <c r="E67" i="20" s="1"/>
  <c r="AR15" i="9"/>
  <c r="AK16" i="9"/>
  <c r="BD16" i="9"/>
  <c r="AN18" i="9"/>
  <c r="E181" i="20" s="1"/>
  <c r="AR18" i="9"/>
  <c r="AK19" i="9"/>
  <c r="BD19" i="9"/>
  <c r="AN21" i="9"/>
  <c r="E238" i="20" s="1"/>
  <c r="AR21" i="9"/>
  <c r="BM30" i="9"/>
  <c r="AN35" i="9"/>
  <c r="E219" i="20" s="1"/>
  <c r="AR35" i="9"/>
  <c r="AK36" i="9"/>
  <c r="AL38" i="9"/>
  <c r="AP38" i="9"/>
  <c r="BJ38" i="9"/>
  <c r="AA314" i="20" s="1"/>
  <c r="BN38" i="9"/>
  <c r="E84" i="12"/>
  <c r="L68" i="10"/>
  <c r="BE12" i="14" a="1"/>
  <c r="BE12" i="14" s="1"/>
  <c r="CI12" i="14" s="1"/>
  <c r="U8" i="43" s="1"/>
  <c r="B83" i="8"/>
  <c r="B58" i="8"/>
  <c r="B8" i="8"/>
  <c r="K419" i="20"/>
  <c r="W419" i="20"/>
  <c r="AN12" i="9"/>
  <c r="AR12" i="9"/>
  <c r="BL12" i="9"/>
  <c r="BA39" i="9"/>
  <c r="AQ63" i="9"/>
  <c r="AU63" i="9"/>
  <c r="BC63" i="9"/>
  <c r="BG63" i="9"/>
  <c r="BB38" i="11"/>
  <c r="U49" i="5"/>
  <c r="I49" i="5"/>
  <c r="B254" i="17"/>
  <c r="C254" i="17" s="1"/>
  <c r="B174" i="17"/>
  <c r="B39" i="8"/>
  <c r="AM13" i="9"/>
  <c r="D29" i="20" s="1"/>
  <c r="AQ13" i="9"/>
  <c r="AM16" i="9"/>
  <c r="D86" i="20" s="1"/>
  <c r="AQ16" i="9"/>
  <c r="H86" i="20" s="1"/>
  <c r="H143" i="20"/>
  <c r="AM19" i="9"/>
  <c r="AQ19" i="9"/>
  <c r="H200" i="20" s="1"/>
  <c r="AN38" i="9"/>
  <c r="AR38" i="9"/>
  <c r="I314" i="20" s="1"/>
  <c r="AK39" i="9"/>
  <c r="AR63" i="9"/>
  <c r="AV63" i="9"/>
  <c r="BD63" i="9"/>
  <c r="BH63" i="9"/>
  <c r="B88" i="8"/>
  <c r="B63" i="8"/>
  <c r="B32" i="5"/>
  <c r="R49" i="5"/>
  <c r="B253" i="17"/>
  <c r="C253" i="17" s="1"/>
  <c r="B173" i="17"/>
  <c r="B177" i="17"/>
  <c r="B257" i="17"/>
  <c r="C257" i="17" s="1"/>
  <c r="B36" i="8"/>
  <c r="AN13" i="9"/>
  <c r="E29" i="20" s="1"/>
  <c r="AR13" i="9"/>
  <c r="AQ15" i="9"/>
  <c r="AN16" i="9"/>
  <c r="E86" i="20" s="1"/>
  <c r="AR16" i="9"/>
  <c r="I86" i="20" s="1"/>
  <c r="E143" i="20"/>
  <c r="AQ18" i="9"/>
  <c r="AN19" i="9"/>
  <c r="E200" i="20" s="1"/>
  <c r="AR19" i="9"/>
  <c r="AQ21" i="9"/>
  <c r="BI74" i="11"/>
  <c r="AW74" i="11"/>
  <c r="AK74" i="11"/>
  <c r="BH74" i="11"/>
  <c r="AV74" i="11"/>
  <c r="AJ74" i="11"/>
  <c r="BG74" i="11"/>
  <c r="AU74" i="11"/>
  <c r="AI74" i="11"/>
  <c r="BF74" i="11"/>
  <c r="AT74" i="11"/>
  <c r="AH74" i="11"/>
  <c r="BE74" i="11"/>
  <c r="AS74" i="11"/>
  <c r="AG74" i="11"/>
  <c r="AZ74" i="11"/>
  <c r="AY74" i="11"/>
  <c r="AX74" i="11"/>
  <c r="AR74" i="11"/>
  <c r="AQ74" i="11"/>
  <c r="AP74" i="11"/>
  <c r="AO74" i="11"/>
  <c r="BJ74" i="11"/>
  <c r="AN74" i="11"/>
  <c r="BD74" i="11"/>
  <c r="AM74" i="11"/>
  <c r="BC74" i="11"/>
  <c r="BB74" i="11"/>
  <c r="BI77" i="11"/>
  <c r="AW77" i="11"/>
  <c r="AK77" i="11"/>
  <c r="BH77" i="11"/>
  <c r="AV77" i="11"/>
  <c r="AJ77" i="11"/>
  <c r="BG77" i="11"/>
  <c r="AU77" i="11"/>
  <c r="AI77" i="11"/>
  <c r="BF77" i="11"/>
  <c r="AT77" i="11"/>
  <c r="AH77" i="11"/>
  <c r="BE77" i="11"/>
  <c r="AS77" i="11"/>
  <c r="AG77" i="11"/>
  <c r="AY77" i="11"/>
  <c r="AX77" i="11"/>
  <c r="AR77" i="11"/>
  <c r="AQ77" i="11"/>
  <c r="AP77" i="11"/>
  <c r="AO77" i="11"/>
  <c r="BJ77" i="11"/>
  <c r="AN77" i="11"/>
  <c r="BD77" i="11"/>
  <c r="AM77" i="11"/>
  <c r="BC77" i="11"/>
  <c r="AL77" i="11"/>
  <c r="BB77" i="11"/>
  <c r="BA77" i="11"/>
  <c r="AZ77" i="11"/>
  <c r="BB114" i="11"/>
  <c r="AP114" i="11"/>
  <c r="BA114" i="11"/>
  <c r="AO114" i="11"/>
  <c r="AZ114" i="11"/>
  <c r="AN114" i="11"/>
  <c r="AY114" i="11"/>
  <c r="AM114" i="11"/>
  <c r="BJ114" i="11"/>
  <c r="AX114" i="11"/>
  <c r="AL114" i="11"/>
  <c r="BI114" i="11"/>
  <c r="AW114" i="11"/>
  <c r="AK114" i="11"/>
  <c r="AV114" i="11"/>
  <c r="AU114" i="11"/>
  <c r="AT114" i="11"/>
  <c r="AS114" i="11"/>
  <c r="AR114" i="11"/>
  <c r="AQ114" i="11"/>
  <c r="BH114" i="11"/>
  <c r="AJ114" i="11"/>
  <c r="BG114" i="11"/>
  <c r="AI114" i="11"/>
  <c r="BF114" i="11"/>
  <c r="AH114" i="11"/>
  <c r="BE114" i="11"/>
  <c r="BD114" i="11"/>
  <c r="AK14" i="9"/>
  <c r="BA14" i="9"/>
  <c r="AK17" i="9"/>
  <c r="BA17" i="9"/>
  <c r="R105" i="20" s="1"/>
  <c r="B162" i="20"/>
  <c r="AK20" i="9"/>
  <c r="BA20" i="9"/>
  <c r="H257" i="20"/>
  <c r="AQ22" i="9"/>
  <c r="AK23" i="9"/>
  <c r="BA23" i="9"/>
  <c r="AK28" i="9"/>
  <c r="BA28" i="9"/>
  <c r="AK31" i="9"/>
  <c r="BA31" i="9"/>
  <c r="AK34" i="9"/>
  <c r="BA34" i="9"/>
  <c r="R257" i="20"/>
  <c r="AK37" i="9"/>
  <c r="BA37" i="9"/>
  <c r="E69" i="12"/>
  <c r="L53" i="10"/>
  <c r="L65" i="10"/>
  <c r="E93" i="12"/>
  <c r="L77" i="10"/>
  <c r="E97" i="12"/>
  <c r="L81" i="10"/>
  <c r="L85" i="10"/>
  <c r="E105" i="12"/>
  <c r="L89" i="10"/>
  <c r="L97" i="10"/>
  <c r="E113" i="12"/>
  <c r="BI89" i="11"/>
  <c r="AW89" i="11"/>
  <c r="AK89" i="11"/>
  <c r="BH89" i="11"/>
  <c r="AV89" i="11"/>
  <c r="AJ89" i="11"/>
  <c r="BG89" i="11"/>
  <c r="AU89" i="11"/>
  <c r="AI89" i="11"/>
  <c r="BF89" i="11"/>
  <c r="AT89" i="11"/>
  <c r="AH89" i="11"/>
  <c r="BE89" i="11"/>
  <c r="AS89" i="11"/>
  <c r="AG89" i="11"/>
  <c r="BA89" i="11"/>
  <c r="AZ89" i="11"/>
  <c r="AY89" i="11"/>
  <c r="AX89" i="11"/>
  <c r="AR89" i="11"/>
  <c r="AQ89" i="11"/>
  <c r="AP89" i="11"/>
  <c r="AO89" i="11"/>
  <c r="BJ89" i="11"/>
  <c r="AN89" i="11"/>
  <c r="M292" i="3"/>
  <c r="M293" i="3"/>
  <c r="M294" i="3"/>
  <c r="M295" i="3"/>
  <c r="M296" i="3"/>
  <c r="M297" i="3"/>
  <c r="M298" i="3"/>
  <c r="L300" i="3"/>
  <c r="L301" i="3"/>
  <c r="L302" i="3"/>
  <c r="L303" i="3"/>
  <c r="L304" i="3"/>
  <c r="L305" i="3"/>
  <c r="L306" i="3"/>
  <c r="K308" i="3"/>
  <c r="K309" i="3"/>
  <c r="K310" i="3"/>
  <c r="K311" i="3"/>
  <c r="K312" i="3"/>
  <c r="K313" i="3"/>
  <c r="K314" i="3"/>
  <c r="M388" i="3"/>
  <c r="M389" i="3"/>
  <c r="M390" i="3"/>
  <c r="M391" i="3"/>
  <c r="M392" i="3"/>
  <c r="M393" i="3"/>
  <c r="M394" i="3"/>
  <c r="L396" i="3"/>
  <c r="L397" i="3"/>
  <c r="L398" i="3"/>
  <c r="L399" i="3"/>
  <c r="L400" i="3"/>
  <c r="L401" i="3"/>
  <c r="L402" i="3"/>
  <c r="K404" i="3"/>
  <c r="K405" i="3"/>
  <c r="K406" i="3"/>
  <c r="K407" i="3"/>
  <c r="K408" i="3"/>
  <c r="K409" i="3"/>
  <c r="K410" i="3"/>
  <c r="BB14" i="9"/>
  <c r="BB17" i="9"/>
  <c r="S162" i="20"/>
  <c r="BB20" i="9"/>
  <c r="I257" i="20"/>
  <c r="AR22" i="9"/>
  <c r="BB23" i="9"/>
  <c r="AR27" i="9"/>
  <c r="BB28" i="9"/>
  <c r="AR30" i="9"/>
  <c r="BB31" i="9"/>
  <c r="AR33" i="9"/>
  <c r="BB34" i="9"/>
  <c r="AR36" i="9"/>
  <c r="BB37" i="9"/>
  <c r="AR39" i="9"/>
  <c r="BC12" i="11"/>
  <c r="AQ12" i="11"/>
  <c r="BB12" i="11"/>
  <c r="AP12" i="11"/>
  <c r="BA12" i="11"/>
  <c r="AO12" i="11"/>
  <c r="AZ12" i="11"/>
  <c r="AN12" i="11"/>
  <c r="AY12" i="11"/>
  <c r="AM12" i="11"/>
  <c r="BJ12" i="11"/>
  <c r="AX12" i="11"/>
  <c r="AL12" i="11"/>
  <c r="BI12" i="11"/>
  <c r="AW12" i="11"/>
  <c r="AK12" i="11"/>
  <c r="BH12" i="11"/>
  <c r="AV12" i="11"/>
  <c r="AJ12" i="11"/>
  <c r="BG12" i="11"/>
  <c r="AU12" i="11"/>
  <c r="AI12" i="11"/>
  <c r="BC15" i="11"/>
  <c r="AQ15" i="11"/>
  <c r="BB15" i="11"/>
  <c r="AP15" i="11"/>
  <c r="BA15" i="11"/>
  <c r="AO15" i="11"/>
  <c r="AZ15" i="11"/>
  <c r="AN15" i="11"/>
  <c r="AY15" i="11"/>
  <c r="AM15" i="11"/>
  <c r="BJ15" i="11"/>
  <c r="AX15" i="11"/>
  <c r="AL15" i="11"/>
  <c r="BI15" i="11"/>
  <c r="AW15" i="11"/>
  <c r="AK15" i="11"/>
  <c r="BH15" i="11"/>
  <c r="AV15" i="11"/>
  <c r="AJ15" i="11"/>
  <c r="BG15" i="11"/>
  <c r="AU15" i="11"/>
  <c r="AI15" i="11"/>
  <c r="BC18" i="11"/>
  <c r="AQ18" i="11"/>
  <c r="BB18" i="11"/>
  <c r="AP18" i="11"/>
  <c r="BA18" i="11"/>
  <c r="AO18" i="11"/>
  <c r="AZ18" i="11"/>
  <c r="AN18" i="11"/>
  <c r="AY18" i="11"/>
  <c r="AM18" i="11"/>
  <c r="BJ18" i="11"/>
  <c r="AX18" i="11"/>
  <c r="AL18" i="11"/>
  <c r="BI18" i="11"/>
  <c r="AW18" i="11"/>
  <c r="AK18" i="11"/>
  <c r="BH18" i="11"/>
  <c r="AV18" i="11"/>
  <c r="AJ18" i="11"/>
  <c r="BG18" i="11"/>
  <c r="AU18" i="11"/>
  <c r="AI18" i="11"/>
  <c r="BA60" i="11"/>
  <c r="AO60" i="11"/>
  <c r="AZ60" i="11"/>
  <c r="AN60" i="11"/>
  <c r="AY60" i="11"/>
  <c r="AM60" i="11"/>
  <c r="BJ60" i="11"/>
  <c r="AX60" i="11"/>
  <c r="AL60" i="11"/>
  <c r="BI60" i="11"/>
  <c r="AW60" i="11"/>
  <c r="AK60" i="11"/>
  <c r="AU60" i="11"/>
  <c r="AT60" i="11"/>
  <c r="AS60" i="11"/>
  <c r="AR60" i="11"/>
  <c r="BH60" i="11"/>
  <c r="AQ60" i="11"/>
  <c r="BG60" i="11"/>
  <c r="AP60" i="11"/>
  <c r="BF60" i="11"/>
  <c r="AJ60" i="11"/>
  <c r="BE60" i="11"/>
  <c r="AI60" i="11"/>
  <c r="BD60" i="11"/>
  <c r="AH60" i="11"/>
  <c r="AL89" i="11"/>
  <c r="B292" i="3"/>
  <c r="B293" i="3"/>
  <c r="B294" i="3"/>
  <c r="B295" i="3"/>
  <c r="B296" i="3"/>
  <c r="B297" i="3"/>
  <c r="B298" i="3"/>
  <c r="M300" i="3"/>
  <c r="M301" i="3"/>
  <c r="M302" i="3"/>
  <c r="M303" i="3"/>
  <c r="M304" i="3"/>
  <c r="M305" i="3"/>
  <c r="M306" i="3"/>
  <c r="L308" i="3"/>
  <c r="L309" i="3"/>
  <c r="L310" i="3"/>
  <c r="L311" i="3"/>
  <c r="L312" i="3"/>
  <c r="L313" i="3"/>
  <c r="L314" i="3"/>
  <c r="B388" i="3"/>
  <c r="B389" i="3"/>
  <c r="B390" i="3"/>
  <c r="B391" i="3"/>
  <c r="B392" i="3"/>
  <c r="B393" i="3"/>
  <c r="B394" i="3"/>
  <c r="M396" i="3"/>
  <c r="M397" i="3"/>
  <c r="M398" i="3"/>
  <c r="M399" i="3"/>
  <c r="M400" i="3"/>
  <c r="M401" i="3"/>
  <c r="M402" i="3"/>
  <c r="L404" i="3"/>
  <c r="L405" i="3"/>
  <c r="L406" i="3"/>
  <c r="L407" i="3"/>
  <c r="L408" i="3"/>
  <c r="L409" i="3"/>
  <c r="L410" i="3"/>
  <c r="AM6" i="9"/>
  <c r="AY14" i="9"/>
  <c r="BK14" i="9"/>
  <c r="AB48" i="20" s="1"/>
  <c r="BC14" i="9"/>
  <c r="T48" i="20" s="1"/>
  <c r="AY17" i="9"/>
  <c r="BK17" i="9"/>
  <c r="AB105" i="20" s="1"/>
  <c r="BC17" i="9"/>
  <c r="T105" i="20" s="1"/>
  <c r="D219" i="20"/>
  <c r="AY20" i="9"/>
  <c r="BK20" i="9"/>
  <c r="BC20" i="9"/>
  <c r="D314" i="20"/>
  <c r="AY23" i="9"/>
  <c r="BK23" i="9"/>
  <c r="AB314" i="20" s="1"/>
  <c r="BC23" i="9"/>
  <c r="AY28" i="9"/>
  <c r="P29" i="20" s="1"/>
  <c r="BK28" i="9"/>
  <c r="AY31" i="9"/>
  <c r="P86" i="20" s="1"/>
  <c r="BK31" i="9"/>
  <c r="AB86" i="20" s="1"/>
  <c r="AY34" i="9"/>
  <c r="BK34" i="9"/>
  <c r="AY37" i="9"/>
  <c r="P295" i="20" s="1"/>
  <c r="BK37" i="9"/>
  <c r="BH64" i="9"/>
  <c r="C124" i="11"/>
  <c r="BC9" i="11"/>
  <c r="AQ9" i="11"/>
  <c r="BB9" i="11"/>
  <c r="AP9" i="11"/>
  <c r="BA9" i="11"/>
  <c r="AO9" i="11"/>
  <c r="AZ9" i="11"/>
  <c r="AN9" i="11"/>
  <c r="AY9" i="11"/>
  <c r="AM9" i="11"/>
  <c r="BJ9" i="11"/>
  <c r="AX9" i="11"/>
  <c r="AL9" i="11"/>
  <c r="BI9" i="11"/>
  <c r="AW9" i="11"/>
  <c r="AK9" i="11"/>
  <c r="BH9" i="11"/>
  <c r="AV9" i="11"/>
  <c r="AJ9" i="11"/>
  <c r="BG9" i="11"/>
  <c r="AU9" i="11"/>
  <c r="AI9" i="11"/>
  <c r="AG12" i="11"/>
  <c r="BC21" i="11"/>
  <c r="AQ21" i="11"/>
  <c r="BB21" i="11"/>
  <c r="AP21" i="11"/>
  <c r="BA21" i="11"/>
  <c r="AO21" i="11"/>
  <c r="AZ21" i="11"/>
  <c r="AN21" i="11"/>
  <c r="AY21" i="11"/>
  <c r="AM21" i="11"/>
  <c r="BJ21" i="11"/>
  <c r="AX21" i="11"/>
  <c r="AL21" i="11"/>
  <c r="BI21" i="11"/>
  <c r="AW21" i="11"/>
  <c r="AK21" i="11"/>
  <c r="BH21" i="11"/>
  <c r="AV21" i="11"/>
  <c r="AJ21" i="11"/>
  <c r="BG21" i="11"/>
  <c r="AU21" i="11"/>
  <c r="AI21" i="11"/>
  <c r="BA48" i="11"/>
  <c r="AO48" i="11"/>
  <c r="AZ48" i="11"/>
  <c r="AN48" i="11"/>
  <c r="AY48" i="11"/>
  <c r="AM48" i="11"/>
  <c r="BJ48" i="11"/>
  <c r="AX48" i="11"/>
  <c r="AL48" i="11"/>
  <c r="BI48" i="11"/>
  <c r="AW48" i="11"/>
  <c r="AK48" i="11"/>
  <c r="AT48" i="11"/>
  <c r="AS48" i="11"/>
  <c r="AR48" i="11"/>
  <c r="BH48" i="11"/>
  <c r="AQ48" i="11"/>
  <c r="BG48" i="11"/>
  <c r="AP48" i="11"/>
  <c r="BF48" i="11"/>
  <c r="AJ48" i="11"/>
  <c r="BE48" i="11"/>
  <c r="AI48" i="11"/>
  <c r="BD48" i="11"/>
  <c r="AH48" i="11"/>
  <c r="BC48" i="11"/>
  <c r="AG48" i="11"/>
  <c r="AG60" i="11"/>
  <c r="BJ110" i="11"/>
  <c r="AX110" i="11"/>
  <c r="AL110" i="11"/>
  <c r="BI110" i="11"/>
  <c r="AW110" i="11"/>
  <c r="AK110" i="11"/>
  <c r="BH110" i="11"/>
  <c r="AV110" i="11"/>
  <c r="AJ110" i="11"/>
  <c r="BG110" i="11"/>
  <c r="AU110" i="11"/>
  <c r="AI110" i="11"/>
  <c r="BF110" i="11"/>
  <c r="AT110" i="11"/>
  <c r="AH110" i="11"/>
  <c r="BE110" i="11"/>
  <c r="AS110" i="11"/>
  <c r="AG110" i="11"/>
  <c r="BB110" i="11"/>
  <c r="BA110" i="11"/>
  <c r="AZ110" i="11"/>
  <c r="AY110" i="11"/>
  <c r="AR110" i="11"/>
  <c r="AQ110" i="11"/>
  <c r="AP110" i="11"/>
  <c r="AO110" i="11"/>
  <c r="AN110" i="11"/>
  <c r="C292" i="3"/>
  <c r="C293" i="3"/>
  <c r="C294" i="3"/>
  <c r="C295" i="3"/>
  <c r="C296" i="3"/>
  <c r="C297" i="3"/>
  <c r="B300" i="3"/>
  <c r="B301" i="3"/>
  <c r="B302" i="3"/>
  <c r="B303" i="3"/>
  <c r="B304" i="3"/>
  <c r="B305" i="3"/>
  <c r="M308" i="3"/>
  <c r="M309" i="3"/>
  <c r="M310" i="3"/>
  <c r="M311" i="3"/>
  <c r="M312" i="3"/>
  <c r="M313" i="3"/>
  <c r="C388" i="3"/>
  <c r="C389" i="3"/>
  <c r="C390" i="3"/>
  <c r="C391" i="3"/>
  <c r="C392" i="3"/>
  <c r="C393" i="3"/>
  <c r="B396" i="3"/>
  <c r="B397" i="3"/>
  <c r="B398" i="3"/>
  <c r="B399" i="3"/>
  <c r="B400" i="3"/>
  <c r="B401" i="3"/>
  <c r="M404" i="3"/>
  <c r="M405" i="3"/>
  <c r="M406" i="3"/>
  <c r="M407" i="3"/>
  <c r="M408" i="3"/>
  <c r="M409" i="3"/>
  <c r="B252" i="17"/>
  <c r="C252" i="17" s="1"/>
  <c r="B172" i="17"/>
  <c r="B255" i="17"/>
  <c r="C255" i="17" s="1"/>
  <c r="B175" i="17"/>
  <c r="B258" i="17"/>
  <c r="C258" i="17" s="1"/>
  <c r="B178" i="17"/>
  <c r="B261" i="17"/>
  <c r="C261" i="17" s="1"/>
  <c r="B181" i="17"/>
  <c r="B264" i="17"/>
  <c r="C264" i="17" s="1"/>
  <c r="B184" i="17"/>
  <c r="B267" i="17"/>
  <c r="C267" i="17" s="1"/>
  <c r="B187" i="17"/>
  <c r="B270" i="17"/>
  <c r="C270" i="17" s="1"/>
  <c r="B190" i="17"/>
  <c r="AZ14" i="9"/>
  <c r="BL14" i="9"/>
  <c r="AC48" i="20" s="1"/>
  <c r="BD14" i="9"/>
  <c r="U48" i="20" s="1"/>
  <c r="AZ17" i="9"/>
  <c r="BL17" i="9"/>
  <c r="BD17" i="9"/>
  <c r="Y143" i="20"/>
  <c r="AZ20" i="9"/>
  <c r="BL20" i="9"/>
  <c r="AC219" i="20" s="1"/>
  <c r="BD20" i="9"/>
  <c r="Q276" i="20"/>
  <c r="AC276" i="20"/>
  <c r="AZ23" i="9"/>
  <c r="BL23" i="9"/>
  <c r="BD23" i="9"/>
  <c r="AZ28" i="9"/>
  <c r="Q29" i="20" s="1"/>
  <c r="BL28" i="9"/>
  <c r="AC29" i="20" s="1"/>
  <c r="BD28" i="9"/>
  <c r="AZ31" i="9"/>
  <c r="BL31" i="9"/>
  <c r="BD31" i="9"/>
  <c r="AZ34" i="9"/>
  <c r="Q200" i="20" s="1"/>
  <c r="BL34" i="9"/>
  <c r="BD34" i="9"/>
  <c r="Q257" i="20"/>
  <c r="AZ37" i="9"/>
  <c r="BL37" i="9"/>
  <c r="BD37" i="9"/>
  <c r="Q143" i="20"/>
  <c r="BC24" i="11"/>
  <c r="AQ24" i="11"/>
  <c r="BB24" i="11"/>
  <c r="AP24" i="11"/>
  <c r="BA24" i="11"/>
  <c r="AO24" i="11"/>
  <c r="AZ24" i="11"/>
  <c r="AN24" i="11"/>
  <c r="AY24" i="11"/>
  <c r="AM24" i="11"/>
  <c r="BJ24" i="11"/>
  <c r="AX24" i="11"/>
  <c r="AL24" i="11"/>
  <c r="BI24" i="11"/>
  <c r="AW24" i="11"/>
  <c r="AK24" i="11"/>
  <c r="BH24" i="11"/>
  <c r="AV24" i="11"/>
  <c r="AJ24" i="11"/>
  <c r="BG24" i="11"/>
  <c r="AU24" i="11"/>
  <c r="AI24" i="11"/>
  <c r="BJ92" i="11"/>
  <c r="AX92" i="11"/>
  <c r="AL92" i="11"/>
  <c r="BI92" i="11"/>
  <c r="AW92" i="11"/>
  <c r="AK92" i="11"/>
  <c r="BH92" i="11"/>
  <c r="AV92" i="11"/>
  <c r="AJ92" i="11"/>
  <c r="BG92" i="11"/>
  <c r="AU92" i="11"/>
  <c r="AI92" i="11"/>
  <c r="BF92" i="11"/>
  <c r="AT92" i="11"/>
  <c r="AH92" i="11"/>
  <c r="BE92" i="11"/>
  <c r="AS92" i="11"/>
  <c r="AG92" i="11"/>
  <c r="BB92" i="11"/>
  <c r="BA92" i="11"/>
  <c r="AZ92" i="11"/>
  <c r="AY92" i="11"/>
  <c r="AR92" i="11"/>
  <c r="AQ92" i="11"/>
  <c r="AP92" i="11"/>
  <c r="AO92" i="11"/>
  <c r="AN92" i="11"/>
  <c r="C124" i="10"/>
  <c r="T73" i="12"/>
  <c r="BB13" i="9"/>
  <c r="BB16" i="9"/>
  <c r="BB19" i="9"/>
  <c r="BB22" i="9"/>
  <c r="BB27" i="9"/>
  <c r="BB30" i="9"/>
  <c r="S124" i="20"/>
  <c r="BB33" i="9"/>
  <c r="BB36" i="9"/>
  <c r="BB39" i="9"/>
  <c r="S333" i="20" s="1"/>
  <c r="BA45" i="11"/>
  <c r="AO45" i="11"/>
  <c r="AZ45" i="11"/>
  <c r="AN45" i="11"/>
  <c r="AY45" i="11"/>
  <c r="AM45" i="11"/>
  <c r="BJ45" i="11"/>
  <c r="AX45" i="11"/>
  <c r="AL45" i="11"/>
  <c r="BI45" i="11"/>
  <c r="AW45" i="11"/>
  <c r="AK45" i="11"/>
  <c r="AV45" i="11"/>
  <c r="AU45" i="11"/>
  <c r="AT45" i="11"/>
  <c r="AS45" i="11"/>
  <c r="AR45" i="11"/>
  <c r="BH45" i="11"/>
  <c r="AQ45" i="11"/>
  <c r="BG45" i="11"/>
  <c r="AP45" i="11"/>
  <c r="BF45" i="11"/>
  <c r="AJ45" i="11"/>
  <c r="BE45" i="11"/>
  <c r="AI45" i="11"/>
  <c r="BA87" i="11"/>
  <c r="AO87" i="11"/>
  <c r="AZ87" i="11"/>
  <c r="AN87" i="11"/>
  <c r="AY87" i="11"/>
  <c r="AM87" i="11"/>
  <c r="BJ87" i="11"/>
  <c r="AX87" i="11"/>
  <c r="AL87" i="11"/>
  <c r="BI87" i="11"/>
  <c r="AW87" i="11"/>
  <c r="AK87" i="11"/>
  <c r="AT87" i="11"/>
  <c r="AS87" i="11"/>
  <c r="AR87" i="11"/>
  <c r="BH87" i="11"/>
  <c r="AQ87" i="11"/>
  <c r="BG87" i="11"/>
  <c r="AP87" i="11"/>
  <c r="BF87" i="11"/>
  <c r="AJ87" i="11"/>
  <c r="BE87" i="11"/>
  <c r="AI87" i="11"/>
  <c r="BD87" i="11"/>
  <c r="AH87" i="11"/>
  <c r="BC87" i="11"/>
  <c r="AG87" i="11"/>
  <c r="BC22" i="9"/>
  <c r="L51" i="10"/>
  <c r="E71" i="12"/>
  <c r="L55" i="10"/>
  <c r="E83" i="12"/>
  <c r="L67" i="10"/>
  <c r="E91" i="12"/>
  <c r="L75" i="10"/>
  <c r="E99" i="12"/>
  <c r="E103" i="12"/>
  <c r="E115" i="12"/>
  <c r="L99" i="10"/>
  <c r="AS9" i="11"/>
  <c r="AT12" i="11"/>
  <c r="AT15" i="11"/>
  <c r="AT18" i="11"/>
  <c r="AS21" i="11"/>
  <c r="AR24" i="11"/>
  <c r="BI35" i="11"/>
  <c r="AW35" i="11"/>
  <c r="AK35" i="11"/>
  <c r="BH35" i="11"/>
  <c r="AV35" i="11"/>
  <c r="AJ35" i="11"/>
  <c r="BG35" i="11"/>
  <c r="AU35" i="11"/>
  <c r="AI35" i="11"/>
  <c r="BF35" i="11"/>
  <c r="AT35" i="11"/>
  <c r="AH35" i="11"/>
  <c r="BE35" i="11"/>
  <c r="AS35" i="11"/>
  <c r="AG35" i="11"/>
  <c r="BA35" i="11"/>
  <c r="AZ35" i="11"/>
  <c r="AY35" i="11"/>
  <c r="AX35" i="11"/>
  <c r="AR35" i="11"/>
  <c r="AQ35" i="11"/>
  <c r="AP35" i="11"/>
  <c r="AO35" i="11"/>
  <c r="BJ35" i="11"/>
  <c r="AN35" i="11"/>
  <c r="AG45" i="11"/>
  <c r="AU87" i="11"/>
  <c r="BD92" i="11"/>
  <c r="BD22" i="9"/>
  <c r="BD27" i="9"/>
  <c r="BD30" i="9"/>
  <c r="BD33" i="9"/>
  <c r="BD36" i="9"/>
  <c r="U238" i="20" s="1"/>
  <c r="BD39" i="9"/>
  <c r="AT9" i="11"/>
  <c r="BD12" i="11"/>
  <c r="BD15" i="11"/>
  <c r="BD18" i="11"/>
  <c r="AT21" i="11"/>
  <c r="AS24" i="11"/>
  <c r="AH45" i="11"/>
  <c r="AV87" i="11"/>
  <c r="BA33" i="11"/>
  <c r="AO33" i="11"/>
  <c r="AZ33" i="11"/>
  <c r="AN33" i="11"/>
  <c r="AY33" i="11"/>
  <c r="AM33" i="11"/>
  <c r="BJ33" i="11"/>
  <c r="AX33" i="11"/>
  <c r="AL33" i="11"/>
  <c r="BI33" i="11"/>
  <c r="AW33" i="11"/>
  <c r="AK33" i="11"/>
  <c r="BB33" i="11"/>
  <c r="BB93" i="11"/>
  <c r="AP93" i="11"/>
  <c r="BA93" i="11"/>
  <c r="AO93" i="11"/>
  <c r="AZ93" i="11"/>
  <c r="AN93" i="11"/>
  <c r="AY93" i="11"/>
  <c r="AM93" i="11"/>
  <c r="BJ93" i="11"/>
  <c r="AX93" i="11"/>
  <c r="AL93" i="11"/>
  <c r="BI93" i="11"/>
  <c r="AW93" i="11"/>
  <c r="AK93" i="11"/>
  <c r="BD93" i="11"/>
  <c r="BJ107" i="11"/>
  <c r="AX107" i="11"/>
  <c r="AL107" i="11"/>
  <c r="BI107" i="11"/>
  <c r="AW107" i="11"/>
  <c r="AK107" i="11"/>
  <c r="BH107" i="11"/>
  <c r="AV107" i="11"/>
  <c r="AJ107" i="11"/>
  <c r="BG107" i="11"/>
  <c r="AU107" i="11"/>
  <c r="AI107" i="11"/>
  <c r="BF107" i="11"/>
  <c r="AT107" i="11"/>
  <c r="AH107" i="11"/>
  <c r="BE107" i="11"/>
  <c r="AS107" i="11"/>
  <c r="AG107" i="11"/>
  <c r="BD107" i="11"/>
  <c r="BB111" i="11"/>
  <c r="AP111" i="11"/>
  <c r="BA111" i="11"/>
  <c r="AO111" i="11"/>
  <c r="AZ111" i="11"/>
  <c r="AN111" i="11"/>
  <c r="AY111" i="11"/>
  <c r="AM111" i="11"/>
  <c r="BJ111" i="11"/>
  <c r="AX111" i="11"/>
  <c r="AL111" i="11"/>
  <c r="BI111" i="11"/>
  <c r="AW111" i="11"/>
  <c r="AK111" i="11"/>
  <c r="BD111" i="11"/>
  <c r="AV87" i="9"/>
  <c r="M416" i="20" s="1"/>
  <c r="BH87" i="9"/>
  <c r="Y416" i="20" s="1"/>
  <c r="AR11" i="11"/>
  <c r="BD11" i="11"/>
  <c r="AR14" i="11"/>
  <c r="BD14" i="11"/>
  <c r="AR17" i="11"/>
  <c r="BD17" i="11"/>
  <c r="AR20" i="11"/>
  <c r="BD20" i="11"/>
  <c r="AR23" i="11"/>
  <c r="BD23" i="11"/>
  <c r="BI26" i="11"/>
  <c r="AW26" i="11"/>
  <c r="BH26" i="11"/>
  <c r="AV26" i="11"/>
  <c r="AJ26" i="11"/>
  <c r="BE26" i="11"/>
  <c r="AS26" i="11"/>
  <c r="BJ26" i="11"/>
  <c r="AS27" i="11"/>
  <c r="AQ32" i="11"/>
  <c r="AG33" i="11"/>
  <c r="BC33" i="11"/>
  <c r="BI41" i="11"/>
  <c r="AW41" i="11"/>
  <c r="AK41" i="11"/>
  <c r="BH41" i="11"/>
  <c r="AV41" i="11"/>
  <c r="AJ41" i="11"/>
  <c r="BG41" i="11"/>
  <c r="AU41" i="11"/>
  <c r="AI41" i="11"/>
  <c r="BF41" i="11"/>
  <c r="AT41" i="11"/>
  <c r="AH41" i="11"/>
  <c r="BE41" i="11"/>
  <c r="AS41" i="11"/>
  <c r="AG41" i="11"/>
  <c r="BB41" i="11"/>
  <c r="AR42" i="11"/>
  <c r="AR47" i="11"/>
  <c r="AP50" i="11"/>
  <c r="BA51" i="11"/>
  <c r="AO51" i="11"/>
  <c r="AZ51" i="11"/>
  <c r="AN51" i="11"/>
  <c r="AY51" i="11"/>
  <c r="AM51" i="11"/>
  <c r="BJ51" i="11"/>
  <c r="AX51" i="11"/>
  <c r="AL51" i="11"/>
  <c r="BI51" i="11"/>
  <c r="AW51" i="11"/>
  <c r="AK51" i="11"/>
  <c r="BB51" i="11"/>
  <c r="BI56" i="11"/>
  <c r="AW56" i="11"/>
  <c r="AK56" i="11"/>
  <c r="BH56" i="11"/>
  <c r="AV56" i="11"/>
  <c r="AJ56" i="11"/>
  <c r="BG56" i="11"/>
  <c r="AU56" i="11"/>
  <c r="AI56" i="11"/>
  <c r="BF56" i="11"/>
  <c r="AT56" i="11"/>
  <c r="AH56" i="11"/>
  <c r="BE56" i="11"/>
  <c r="AS56" i="11"/>
  <c r="AG56" i="11"/>
  <c r="BB56" i="11"/>
  <c r="AR57" i="11"/>
  <c r="AP62" i="11"/>
  <c r="BA63" i="11"/>
  <c r="AO63" i="11"/>
  <c r="AZ63" i="11"/>
  <c r="AN63" i="11"/>
  <c r="AY63" i="11"/>
  <c r="AM63" i="11"/>
  <c r="BJ63" i="11"/>
  <c r="AX63" i="11"/>
  <c r="AL63" i="11"/>
  <c r="BI63" i="11"/>
  <c r="AW63" i="11"/>
  <c r="AK63" i="11"/>
  <c r="BB63" i="11"/>
  <c r="AP65" i="11"/>
  <c r="BA66" i="11"/>
  <c r="AO66" i="11"/>
  <c r="AZ66" i="11"/>
  <c r="AN66" i="11"/>
  <c r="AY66" i="11"/>
  <c r="AM66" i="11"/>
  <c r="BJ66" i="11"/>
  <c r="AX66" i="11"/>
  <c r="AL66" i="11"/>
  <c r="BI66" i="11"/>
  <c r="AW66" i="11"/>
  <c r="AK66" i="11"/>
  <c r="BB66" i="11"/>
  <c r="AP68" i="11"/>
  <c r="BA69" i="11"/>
  <c r="AO69" i="11"/>
  <c r="AZ69" i="11"/>
  <c r="AN69" i="11"/>
  <c r="AY69" i="11"/>
  <c r="AM69" i="11"/>
  <c r="BJ69" i="11"/>
  <c r="AX69" i="11"/>
  <c r="AL69" i="11"/>
  <c r="BI69" i="11"/>
  <c r="AW69" i="11"/>
  <c r="AK69" i="11"/>
  <c r="BB69" i="11"/>
  <c r="BI80" i="11"/>
  <c r="AW80" i="11"/>
  <c r="AK80" i="11"/>
  <c r="BH80" i="11"/>
  <c r="AV80" i="11"/>
  <c r="AJ80" i="11"/>
  <c r="BG80" i="11"/>
  <c r="AU80" i="11"/>
  <c r="AI80" i="11"/>
  <c r="BF80" i="11"/>
  <c r="AT80" i="11"/>
  <c r="AH80" i="11"/>
  <c r="BE80" i="11"/>
  <c r="AS80" i="11"/>
  <c r="AG80" i="11"/>
  <c r="BB80" i="11"/>
  <c r="AR81" i="11"/>
  <c r="AP84" i="11"/>
  <c r="BG84" i="11"/>
  <c r="AG93" i="11"/>
  <c r="BE93" i="11"/>
  <c r="AQ95" i="11"/>
  <c r="AQ99" i="11"/>
  <c r="AM107" i="11"/>
  <c r="AG111" i="11"/>
  <c r="BE111" i="11"/>
  <c r="AQ113" i="11"/>
  <c r="AQ117" i="11"/>
  <c r="AB124" i="12"/>
  <c r="AH33" i="11"/>
  <c r="BD33" i="11"/>
  <c r="BA36" i="11"/>
  <c r="AO36" i="11"/>
  <c r="AZ36" i="11"/>
  <c r="AN36" i="11"/>
  <c r="AY36" i="11"/>
  <c r="AM36" i="11"/>
  <c r="BJ36" i="11"/>
  <c r="AX36" i="11"/>
  <c r="AL36" i="11"/>
  <c r="BI36" i="11"/>
  <c r="AW36" i="11"/>
  <c r="AK36" i="11"/>
  <c r="BB36" i="11"/>
  <c r="BA72" i="11"/>
  <c r="AO72" i="11"/>
  <c r="AZ72" i="11"/>
  <c r="AN72" i="11"/>
  <c r="AY72" i="11"/>
  <c r="AM72" i="11"/>
  <c r="BJ72" i="11"/>
  <c r="AX72" i="11"/>
  <c r="AL72" i="11"/>
  <c r="BI72" i="11"/>
  <c r="AW72" i="11"/>
  <c r="AK72" i="11"/>
  <c r="BB72" i="11"/>
  <c r="BB90" i="11"/>
  <c r="AP90" i="11"/>
  <c r="BA90" i="11"/>
  <c r="AO90" i="11"/>
  <c r="AZ90" i="11"/>
  <c r="AN90" i="11"/>
  <c r="AY90" i="11"/>
  <c r="AM90" i="11"/>
  <c r="BJ90" i="11"/>
  <c r="AX90" i="11"/>
  <c r="AL90" i="11"/>
  <c r="BI90" i="11"/>
  <c r="AW90" i="11"/>
  <c r="AK90" i="11"/>
  <c r="BD90" i="11"/>
  <c r="AH93" i="11"/>
  <c r="BF93" i="11"/>
  <c r="BJ104" i="11"/>
  <c r="AX104" i="11"/>
  <c r="AL104" i="11"/>
  <c r="BI104" i="11"/>
  <c r="AW104" i="11"/>
  <c r="AK104" i="11"/>
  <c r="BH104" i="11"/>
  <c r="AV104" i="11"/>
  <c r="AJ104" i="11"/>
  <c r="BG104" i="11"/>
  <c r="AU104" i="11"/>
  <c r="AI104" i="11"/>
  <c r="BF104" i="11"/>
  <c r="AT104" i="11"/>
  <c r="AH104" i="11"/>
  <c r="BE104" i="11"/>
  <c r="AS104" i="11"/>
  <c r="AG104" i="11"/>
  <c r="BD104" i="11"/>
  <c r="AN107" i="11"/>
  <c r="BB108" i="11"/>
  <c r="AP108" i="11"/>
  <c r="BA108" i="11"/>
  <c r="AO108" i="11"/>
  <c r="AZ108" i="11"/>
  <c r="AN108" i="11"/>
  <c r="AY108" i="11"/>
  <c r="AM108" i="11"/>
  <c r="BJ108" i="11"/>
  <c r="AX108" i="11"/>
  <c r="AL108" i="11"/>
  <c r="BI108" i="11"/>
  <c r="AW108" i="11"/>
  <c r="AK108" i="11"/>
  <c r="BD108" i="11"/>
  <c r="AH111" i="11"/>
  <c r="BF111" i="11"/>
  <c r="BJ122" i="11"/>
  <c r="AX122" i="11"/>
  <c r="AL122" i="11"/>
  <c r="BI122" i="11"/>
  <c r="AW122" i="11"/>
  <c r="AK122" i="11"/>
  <c r="BH122" i="11"/>
  <c r="AV122" i="11"/>
  <c r="AJ122" i="11"/>
  <c r="BG122" i="11"/>
  <c r="AU122" i="11"/>
  <c r="AI122" i="11"/>
  <c r="BF122" i="11"/>
  <c r="AT122" i="11"/>
  <c r="AH122" i="11"/>
  <c r="BE122" i="11"/>
  <c r="AS122" i="11"/>
  <c r="AG122" i="11"/>
  <c r="BD122" i="11"/>
  <c r="BA27" i="11"/>
  <c r="AO27" i="11"/>
  <c r="AZ27" i="11"/>
  <c r="AN27" i="11"/>
  <c r="BI27" i="11"/>
  <c r="AW27" i="11"/>
  <c r="AK27" i="11"/>
  <c r="AU27" i="11"/>
  <c r="AI33" i="11"/>
  <c r="BE33" i="11"/>
  <c r="AG36" i="11"/>
  <c r="BC36" i="11"/>
  <c r="AR50" i="11"/>
  <c r="BA54" i="11"/>
  <c r="AO54" i="11"/>
  <c r="AZ54" i="11"/>
  <c r="AN54" i="11"/>
  <c r="AY54" i="11"/>
  <c r="AM54" i="11"/>
  <c r="BJ54" i="11"/>
  <c r="AX54" i="11"/>
  <c r="AL54" i="11"/>
  <c r="BI54" i="11"/>
  <c r="AW54" i="11"/>
  <c r="AK54" i="11"/>
  <c r="BB54" i="11"/>
  <c r="AR62" i="11"/>
  <c r="AR65" i="11"/>
  <c r="AR68" i="11"/>
  <c r="AG72" i="11"/>
  <c r="BC72" i="11"/>
  <c r="BA75" i="11"/>
  <c r="AO75" i="11"/>
  <c r="AZ75" i="11"/>
  <c r="AN75" i="11"/>
  <c r="AY75" i="11"/>
  <c r="Y73" i="12" s="1"/>
  <c r="AM75" i="11"/>
  <c r="BJ75" i="11"/>
  <c r="AJ73" i="12" s="1"/>
  <c r="AX75" i="11"/>
  <c r="AL75" i="11"/>
  <c r="BI75" i="11"/>
  <c r="AW75" i="11"/>
  <c r="AK75" i="11"/>
  <c r="BB75" i="11"/>
  <c r="AB73" i="12" s="1"/>
  <c r="BI83" i="11"/>
  <c r="AW83" i="11"/>
  <c r="AK83" i="11"/>
  <c r="BH83" i="11"/>
  <c r="AV83" i="11"/>
  <c r="AJ83" i="11"/>
  <c r="BG83" i="11"/>
  <c r="AU83" i="11"/>
  <c r="AI83" i="11"/>
  <c r="BF83" i="11"/>
  <c r="AT83" i="11"/>
  <c r="AH83" i="11"/>
  <c r="BE83" i="11"/>
  <c r="AS83" i="11"/>
  <c r="AG83" i="11"/>
  <c r="BB83" i="11"/>
  <c r="AR84" i="11"/>
  <c r="AG90" i="11"/>
  <c r="BE90" i="11"/>
  <c r="AI93" i="11"/>
  <c r="BG93" i="11"/>
  <c r="AY95" i="11"/>
  <c r="AS99" i="11"/>
  <c r="AM104" i="11"/>
  <c r="AO107" i="11"/>
  <c r="AG108" i="11"/>
  <c r="BE108" i="11"/>
  <c r="AI111" i="11"/>
  <c r="BG111" i="11"/>
  <c r="AY113" i="11"/>
  <c r="AS117" i="11"/>
  <c r="AM122" i="11"/>
  <c r="AF124" i="12"/>
  <c r="AM87" i="9"/>
  <c r="D416" i="20" s="1"/>
  <c r="AY87" i="9"/>
  <c r="P416" i="20" s="1"/>
  <c r="BK87" i="9"/>
  <c r="AB416" i="20" s="1"/>
  <c r="I23" i="10"/>
  <c r="I25" i="10"/>
  <c r="I27" i="10"/>
  <c r="I29" i="10"/>
  <c r="I31" i="10"/>
  <c r="I33" i="10"/>
  <c r="I35" i="10"/>
  <c r="I37" i="10"/>
  <c r="I39" i="10"/>
  <c r="I41" i="10"/>
  <c r="I43" i="10"/>
  <c r="I45" i="10"/>
  <c r="I47" i="10"/>
  <c r="AQ10" i="11"/>
  <c r="BC10" i="11"/>
  <c r="AI11" i="11"/>
  <c r="AU11" i="11"/>
  <c r="BG11" i="11"/>
  <c r="AQ13" i="11"/>
  <c r="BC13" i="11"/>
  <c r="AI14" i="11"/>
  <c r="AU14" i="11"/>
  <c r="BG14" i="11"/>
  <c r="AQ16" i="11"/>
  <c r="BC16" i="11"/>
  <c r="AI17" i="11"/>
  <c r="AU17" i="11"/>
  <c r="BG17" i="11"/>
  <c r="AQ19" i="11"/>
  <c r="BC19" i="11"/>
  <c r="AI20" i="11"/>
  <c r="AU20" i="11"/>
  <c r="BG20" i="11"/>
  <c r="AQ22" i="11"/>
  <c r="BC22" i="11"/>
  <c r="AI23" i="11"/>
  <c r="AU23" i="11"/>
  <c r="BG23" i="11"/>
  <c r="AQ25" i="11"/>
  <c r="BC25" i="11"/>
  <c r="AI26" i="11"/>
  <c r="AX26" i="11"/>
  <c r="AG27" i="11"/>
  <c r="AV27" i="11"/>
  <c r="BA30" i="11"/>
  <c r="AO30" i="11"/>
  <c r="AZ30" i="11"/>
  <c r="AN30" i="11"/>
  <c r="BI30" i="11"/>
  <c r="AW30" i="11"/>
  <c r="AK30" i="11"/>
  <c r="AU30" i="11"/>
  <c r="AY32" i="11"/>
  <c r="AJ33" i="11"/>
  <c r="BF33" i="11"/>
  <c r="AH36" i="11"/>
  <c r="BD36" i="11"/>
  <c r="BA39" i="11"/>
  <c r="AO39" i="11"/>
  <c r="AZ39" i="11"/>
  <c r="AN39" i="11"/>
  <c r="AY39" i="11"/>
  <c r="AM39" i="11"/>
  <c r="BJ39" i="11"/>
  <c r="AX39" i="11"/>
  <c r="AL39" i="11"/>
  <c r="BI39" i="11"/>
  <c r="AW39" i="11"/>
  <c r="AK39" i="11"/>
  <c r="BB39" i="11"/>
  <c r="AN41" i="11"/>
  <c r="BJ41" i="11"/>
  <c r="AU42" i="11"/>
  <c r="BI44" i="11"/>
  <c r="AW44" i="11"/>
  <c r="AK44" i="11"/>
  <c r="BH44" i="11"/>
  <c r="AV44" i="11"/>
  <c r="AJ44" i="11"/>
  <c r="BG44" i="11"/>
  <c r="AU44" i="11"/>
  <c r="AI44" i="11"/>
  <c r="BF44" i="11"/>
  <c r="AT44" i="11"/>
  <c r="AH44" i="11"/>
  <c r="BE44" i="11"/>
  <c r="AS44" i="11"/>
  <c r="AG44" i="11"/>
  <c r="BB44" i="11"/>
  <c r="AZ47" i="11"/>
  <c r="AX50" i="11"/>
  <c r="AI51" i="11"/>
  <c r="BE51" i="11"/>
  <c r="AG54" i="11"/>
  <c r="BC54" i="11"/>
  <c r="AN56" i="11"/>
  <c r="BJ56" i="11"/>
  <c r="AU57" i="11"/>
  <c r="AX62" i="11"/>
  <c r="AI63" i="11"/>
  <c r="BE63" i="11"/>
  <c r="AX65" i="11"/>
  <c r="AI66" i="11"/>
  <c r="BE66" i="11"/>
  <c r="AX68" i="11"/>
  <c r="AI69" i="11"/>
  <c r="BE69" i="11"/>
  <c r="AH72" i="11"/>
  <c r="BD72" i="11"/>
  <c r="AG75" i="11"/>
  <c r="G73" i="12" s="1"/>
  <c r="BC75" i="11"/>
  <c r="BA78" i="11"/>
  <c r="AO78" i="11"/>
  <c r="AZ78" i="11"/>
  <c r="AN78" i="11"/>
  <c r="AY78" i="11"/>
  <c r="AM78" i="11"/>
  <c r="BJ78" i="11"/>
  <c r="AX78" i="11"/>
  <c r="AL78" i="11"/>
  <c r="BI78" i="11"/>
  <c r="AW78" i="11"/>
  <c r="AK78" i="11"/>
  <c r="BB78" i="11"/>
  <c r="AN80" i="11"/>
  <c r="BJ80" i="11"/>
  <c r="AU81" i="11"/>
  <c r="AL83" i="11"/>
  <c r="BC83" i="11"/>
  <c r="AS84" i="11"/>
  <c r="AZ86" i="11"/>
  <c r="AH90" i="11"/>
  <c r="BF90" i="11"/>
  <c r="AJ93" i="11"/>
  <c r="BH93" i="11"/>
  <c r="AZ95" i="11"/>
  <c r="BB98" i="11"/>
  <c r="AT99" i="11"/>
  <c r="BJ101" i="11"/>
  <c r="AX101" i="11"/>
  <c r="AL101" i="11"/>
  <c r="BI101" i="11"/>
  <c r="AW101" i="11"/>
  <c r="AK101" i="11"/>
  <c r="BH101" i="11"/>
  <c r="AV101" i="11"/>
  <c r="AJ101" i="11"/>
  <c r="BG101" i="11"/>
  <c r="AU101" i="11"/>
  <c r="AI101" i="11"/>
  <c r="BF101" i="11"/>
  <c r="AT101" i="11"/>
  <c r="AH101" i="11"/>
  <c r="BE101" i="11"/>
  <c r="AS101" i="11"/>
  <c r="AG101" i="11"/>
  <c r="BD101" i="11"/>
  <c r="AV102" i="11"/>
  <c r="AN104" i="11"/>
  <c r="BB105" i="11"/>
  <c r="AP105" i="11"/>
  <c r="BA105" i="11"/>
  <c r="AO105" i="11"/>
  <c r="AZ105" i="11"/>
  <c r="AN105" i="11"/>
  <c r="AY105" i="11"/>
  <c r="AM105" i="11"/>
  <c r="BJ105" i="11"/>
  <c r="AX105" i="11"/>
  <c r="AL105" i="11"/>
  <c r="BI105" i="11"/>
  <c r="AW105" i="11"/>
  <c r="AK105" i="11"/>
  <c r="BD105" i="11"/>
  <c r="AP107" i="11"/>
  <c r="AH108" i="11"/>
  <c r="BF108" i="11"/>
  <c r="AJ111" i="11"/>
  <c r="BH111" i="11"/>
  <c r="AZ113" i="11"/>
  <c r="BB116" i="11"/>
  <c r="AT117" i="11"/>
  <c r="BJ119" i="11"/>
  <c r="AX119" i="11"/>
  <c r="AL119" i="11"/>
  <c r="BI119" i="11"/>
  <c r="AW119" i="11"/>
  <c r="AK119" i="11"/>
  <c r="BH119" i="11"/>
  <c r="AV119" i="11"/>
  <c r="AJ119" i="11"/>
  <c r="BG119" i="11"/>
  <c r="AU119" i="11"/>
  <c r="AI119" i="11"/>
  <c r="BF119" i="11"/>
  <c r="AT119" i="11"/>
  <c r="AH119" i="11"/>
  <c r="BE119" i="11"/>
  <c r="AS119" i="11"/>
  <c r="AG119" i="11"/>
  <c r="BD119" i="11"/>
  <c r="AV120" i="11"/>
  <c r="AN122" i="11"/>
  <c r="BB123" i="11"/>
  <c r="AP123" i="11"/>
  <c r="BA123" i="11"/>
  <c r="AO123" i="11"/>
  <c r="AZ123" i="11"/>
  <c r="AN123" i="11"/>
  <c r="AY123" i="11"/>
  <c r="AM123" i="11"/>
  <c r="BJ123" i="11"/>
  <c r="AX123" i="11"/>
  <c r="AL123" i="11"/>
  <c r="BI123" i="11"/>
  <c r="AW123" i="11"/>
  <c r="AK123" i="11"/>
  <c r="BD123" i="11"/>
  <c r="F13" i="12"/>
  <c r="AS10" i="14" a="1"/>
  <c r="AS10" i="14" s="1"/>
  <c r="AX10" i="14" s="1" a="1"/>
  <c r="AX10" i="14" s="1"/>
  <c r="BC10" i="14" s="1" a="1"/>
  <c r="BC10" i="14" s="1"/>
  <c r="AR10" i="14" a="1"/>
  <c r="AR10" i="14" s="1"/>
  <c r="AW10" i="14" s="1" a="1"/>
  <c r="AW10" i="14" s="1"/>
  <c r="AQ10" i="14" a="1"/>
  <c r="AQ10" i="14" s="1"/>
  <c r="AV10" i="14" s="1" a="1"/>
  <c r="AV10" i="14" s="1"/>
  <c r="BA10" i="14" s="1" a="1"/>
  <c r="BA10" i="14" s="1"/>
  <c r="CE10" i="14" s="1"/>
  <c r="Q6" i="43" s="1"/>
  <c r="AP10" i="14" a="1"/>
  <c r="AP10" i="14" s="1"/>
  <c r="BT10" i="14" s="1"/>
  <c r="F6" i="43" s="1"/>
  <c r="AO10" i="14" a="1"/>
  <c r="AO10" i="14" s="1"/>
  <c r="EF10" i="14" s="1"/>
  <c r="DB10" i="14" s="1"/>
  <c r="AN87" i="9"/>
  <c r="E416" i="20" s="1"/>
  <c r="AZ87" i="9"/>
  <c r="Q416" i="20" s="1"/>
  <c r="BL87" i="9"/>
  <c r="AC416" i="20" s="1"/>
  <c r="AR10" i="11"/>
  <c r="AJ11" i="11"/>
  <c r="AV11" i="11"/>
  <c r="BH11" i="11"/>
  <c r="AR13" i="11"/>
  <c r="AJ14" i="11"/>
  <c r="AV14" i="11"/>
  <c r="BH14" i="11"/>
  <c r="AR16" i="11"/>
  <c r="AJ17" i="11"/>
  <c r="AV17" i="11"/>
  <c r="BH17" i="11"/>
  <c r="AR19" i="11"/>
  <c r="AJ20" i="11"/>
  <c r="AV20" i="11"/>
  <c r="BH20" i="11"/>
  <c r="AR22" i="11"/>
  <c r="AJ23" i="11"/>
  <c r="AV23" i="11"/>
  <c r="BH23" i="11"/>
  <c r="AR25" i="11"/>
  <c r="AK26" i="11"/>
  <c r="AY26" i="11"/>
  <c r="AH27" i="11"/>
  <c r="AX27" i="11"/>
  <c r="BI29" i="11"/>
  <c r="AW29" i="11"/>
  <c r="AK29" i="11"/>
  <c r="BH29" i="11"/>
  <c r="AV29" i="11"/>
  <c r="AJ29" i="11"/>
  <c r="BE29" i="11"/>
  <c r="AS29" i="11"/>
  <c r="AG29" i="11"/>
  <c r="AX29" i="11"/>
  <c r="AG30" i="11"/>
  <c r="AV30" i="11"/>
  <c r="AP33" i="11"/>
  <c r="BG33" i="11"/>
  <c r="AI36" i="11"/>
  <c r="BE36" i="11"/>
  <c r="AG39" i="11"/>
  <c r="BC39" i="11"/>
  <c r="AO41" i="11"/>
  <c r="BC44" i="11"/>
  <c r="AY50" i="11"/>
  <c r="AJ51" i="11"/>
  <c r="BF51" i="11"/>
  <c r="AH54" i="11"/>
  <c r="BD54" i="11"/>
  <c r="AO56" i="11"/>
  <c r="BI59" i="11"/>
  <c r="AW59" i="11"/>
  <c r="AK59" i="11"/>
  <c r="BH59" i="11"/>
  <c r="AV59" i="11"/>
  <c r="AJ59" i="11"/>
  <c r="BG59" i="11"/>
  <c r="AU59" i="11"/>
  <c r="AI59" i="11"/>
  <c r="BF59" i="11"/>
  <c r="AT59" i="11"/>
  <c r="AH59" i="11"/>
  <c r="BE59" i="11"/>
  <c r="AS59" i="11"/>
  <c r="AG59" i="11"/>
  <c r="BB59" i="11"/>
  <c r="AY62" i="11"/>
  <c r="AJ63" i="11"/>
  <c r="BF63" i="11"/>
  <c r="AY65" i="11"/>
  <c r="AJ66" i="11"/>
  <c r="BF66" i="11"/>
  <c r="AY68" i="11"/>
  <c r="AJ69" i="11"/>
  <c r="BF69" i="11"/>
  <c r="AI72" i="11"/>
  <c r="BE72" i="11"/>
  <c r="AH75" i="11"/>
  <c r="BD75" i="11"/>
  <c r="AO80" i="11"/>
  <c r="AM83" i="11"/>
  <c r="BD83" i="11"/>
  <c r="AT84" i="11"/>
  <c r="AI90" i="11"/>
  <c r="BG90" i="11"/>
  <c r="AQ93" i="11"/>
  <c r="BA95" i="11"/>
  <c r="AU99" i="11"/>
  <c r="AO104" i="11"/>
  <c r="AQ107" i="11"/>
  <c r="AI108" i="11"/>
  <c r="BG108" i="11"/>
  <c r="AQ111" i="11"/>
  <c r="BA113" i="11"/>
  <c r="AU117" i="11"/>
  <c r="AO122" i="11"/>
  <c r="F27" i="12"/>
  <c r="AO87" i="9"/>
  <c r="F416" i="20" s="1"/>
  <c r="BA87" i="9"/>
  <c r="R416" i="20" s="1"/>
  <c r="AK11" i="11"/>
  <c r="AW11" i="11"/>
  <c r="AW14" i="11"/>
  <c r="AW17" i="11"/>
  <c r="AI27" i="11"/>
  <c r="AY27" i="11"/>
  <c r="BI32" i="11"/>
  <c r="AW32" i="11"/>
  <c r="AK32" i="11"/>
  <c r="BH32" i="11"/>
  <c r="AV32" i="11"/>
  <c r="AJ32" i="11"/>
  <c r="BG32" i="11"/>
  <c r="AU32" i="11"/>
  <c r="AI32" i="11"/>
  <c r="BF32" i="11"/>
  <c r="AT32" i="11"/>
  <c r="BE32" i="11"/>
  <c r="AS32" i="11"/>
  <c r="AG32" i="11"/>
  <c r="BA32" i="11"/>
  <c r="AQ33" i="11"/>
  <c r="BH33" i="11"/>
  <c r="AJ36" i="11"/>
  <c r="BF36" i="11"/>
  <c r="BA42" i="11"/>
  <c r="AO42" i="11"/>
  <c r="AZ42" i="11"/>
  <c r="AN42" i="11"/>
  <c r="AY42" i="11"/>
  <c r="AM42" i="11"/>
  <c r="BJ42" i="11"/>
  <c r="AX42" i="11"/>
  <c r="AL42" i="11"/>
  <c r="BI42" i="11"/>
  <c r="AW42" i="11"/>
  <c r="AK42" i="11"/>
  <c r="BB42" i="11"/>
  <c r="BI47" i="11"/>
  <c r="AW47" i="11"/>
  <c r="AK47" i="11"/>
  <c r="BH47" i="11"/>
  <c r="AV47" i="11"/>
  <c r="AJ47" i="11"/>
  <c r="BG47" i="11"/>
  <c r="AU47" i="11"/>
  <c r="AI47" i="11"/>
  <c r="BF47" i="11"/>
  <c r="AT47" i="11"/>
  <c r="AH47" i="11"/>
  <c r="BE47" i="11"/>
  <c r="AS47" i="11"/>
  <c r="AG47" i="11"/>
  <c r="BB47" i="11"/>
  <c r="AZ50" i="11"/>
  <c r="AI54" i="11"/>
  <c r="BE54" i="11"/>
  <c r="BA57" i="11"/>
  <c r="AO57" i="11"/>
  <c r="AZ57" i="11"/>
  <c r="AN57" i="11"/>
  <c r="AY57" i="11"/>
  <c r="AM57" i="11"/>
  <c r="BJ57" i="11"/>
  <c r="AX57" i="11"/>
  <c r="AL57" i="11"/>
  <c r="BI57" i="11"/>
  <c r="AW57" i="11"/>
  <c r="AK57" i="11"/>
  <c r="BB57" i="11"/>
  <c r="AZ62" i="11"/>
  <c r="AZ65" i="11"/>
  <c r="BG66" i="11"/>
  <c r="AZ68" i="11"/>
  <c r="BG69" i="11"/>
  <c r="AJ72" i="11"/>
  <c r="BF72" i="11"/>
  <c r="AI75" i="11"/>
  <c r="BE75" i="11"/>
  <c r="AE73" i="12" s="1"/>
  <c r="BA81" i="11"/>
  <c r="AO81" i="11"/>
  <c r="AZ81" i="11"/>
  <c r="AN81" i="11"/>
  <c r="AY81" i="11"/>
  <c r="AM81" i="11"/>
  <c r="BJ81" i="11"/>
  <c r="AX81" i="11"/>
  <c r="AL81" i="11"/>
  <c r="BI81" i="11"/>
  <c r="AW81" i="11"/>
  <c r="AK81" i="11"/>
  <c r="BB81" i="11"/>
  <c r="AN83" i="11"/>
  <c r="BJ83" i="11"/>
  <c r="AU84" i="11"/>
  <c r="BI86" i="11"/>
  <c r="AW86" i="11"/>
  <c r="AK86" i="11"/>
  <c r="BH86" i="11"/>
  <c r="AV86" i="11"/>
  <c r="AJ86" i="11"/>
  <c r="BG86" i="11"/>
  <c r="AU86" i="11"/>
  <c r="AI86" i="11"/>
  <c r="BF86" i="11"/>
  <c r="AT86" i="11"/>
  <c r="AH86" i="11"/>
  <c r="BE86" i="11"/>
  <c r="AS86" i="11"/>
  <c r="AG86" i="11"/>
  <c r="BB86" i="11"/>
  <c r="AJ90" i="11"/>
  <c r="BH90" i="11"/>
  <c r="AR93" i="11"/>
  <c r="BB95" i="11"/>
  <c r="BJ98" i="11"/>
  <c r="AX98" i="11"/>
  <c r="AL98" i="11"/>
  <c r="BI98" i="11"/>
  <c r="AW98" i="11"/>
  <c r="AK98" i="11"/>
  <c r="BH98" i="11"/>
  <c r="AV98" i="11"/>
  <c r="AJ98" i="11"/>
  <c r="BG98" i="11"/>
  <c r="AU98" i="11"/>
  <c r="AI98" i="11"/>
  <c r="BF98" i="11"/>
  <c r="AT98" i="11"/>
  <c r="AH98" i="11"/>
  <c r="BE98" i="11"/>
  <c r="AS98" i="11"/>
  <c r="AG98" i="11"/>
  <c r="BD98" i="11"/>
  <c r="AV99" i="11"/>
  <c r="BB102" i="11"/>
  <c r="AP102" i="11"/>
  <c r="BA102" i="11"/>
  <c r="AO102" i="11"/>
  <c r="AZ102" i="11"/>
  <c r="AN102" i="11"/>
  <c r="AY102" i="11"/>
  <c r="AM102" i="11"/>
  <c r="BJ102" i="11"/>
  <c r="AX102" i="11"/>
  <c r="AL102" i="11"/>
  <c r="BI102" i="11"/>
  <c r="AW102" i="11"/>
  <c r="AK102" i="11"/>
  <c r="BD102" i="11"/>
  <c r="AP104" i="11"/>
  <c r="AR107" i="11"/>
  <c r="AJ108" i="11"/>
  <c r="BH108" i="11"/>
  <c r="AR111" i="11"/>
  <c r="BB113" i="11"/>
  <c r="BJ116" i="11"/>
  <c r="AX116" i="11"/>
  <c r="AL116" i="11"/>
  <c r="BI116" i="11"/>
  <c r="AW116" i="11"/>
  <c r="AK116" i="11"/>
  <c r="BH116" i="11"/>
  <c r="AV116" i="11"/>
  <c r="AJ116" i="11"/>
  <c r="BG116" i="11"/>
  <c r="AU116" i="11"/>
  <c r="AI116" i="11"/>
  <c r="BF116" i="11"/>
  <c r="AT116" i="11"/>
  <c r="AH116" i="11"/>
  <c r="BE116" i="11"/>
  <c r="AS116" i="11"/>
  <c r="AG116" i="11"/>
  <c r="BD116" i="11"/>
  <c r="AV117" i="11"/>
  <c r="BB120" i="11"/>
  <c r="AP120" i="11"/>
  <c r="BA120" i="11"/>
  <c r="AO120" i="11"/>
  <c r="AZ120" i="11"/>
  <c r="AN120" i="11"/>
  <c r="AY120" i="11"/>
  <c r="AM120" i="11"/>
  <c r="BJ120" i="11"/>
  <c r="AX120" i="11"/>
  <c r="AL120" i="11"/>
  <c r="BI120" i="11"/>
  <c r="AW120" i="11"/>
  <c r="AK120" i="11"/>
  <c r="BD120" i="11"/>
  <c r="AP122" i="11"/>
  <c r="M124" i="12"/>
  <c r="FC15" i="14"/>
  <c r="DY15" i="14" s="1"/>
  <c r="EQ15" i="14"/>
  <c r="DM15" i="14" s="1"/>
  <c r="EE15" i="14"/>
  <c r="DA15" i="14" s="1"/>
  <c r="FB15" i="14"/>
  <c r="DX15" i="14" s="1"/>
  <c r="EP15" i="14"/>
  <c r="DL15" i="14" s="1"/>
  <c r="ED15" i="14"/>
  <c r="CZ15" i="14" s="1"/>
  <c r="BN15" i="14" a="1"/>
  <c r="BN15" i="14" s="1"/>
  <c r="CR15" i="14" s="1"/>
  <c r="AD11" i="43" s="1"/>
  <c r="BH15" i="14" a="1"/>
  <c r="BH15" i="14" s="1"/>
  <c r="CL15" i="14" s="1"/>
  <c r="X11" i="43" s="1"/>
  <c r="BB15" i="14" a="1"/>
  <c r="BB15" i="14" s="1"/>
  <c r="CF15" i="14" s="1"/>
  <c r="R11" i="43" s="1"/>
  <c r="AV15" i="14" a="1"/>
  <c r="AV15" i="14" s="1"/>
  <c r="BZ15" i="14" s="1"/>
  <c r="L11" i="43" s="1"/>
  <c r="AP15" i="14" a="1"/>
  <c r="AP15" i="14" s="1"/>
  <c r="BT15" i="14" s="1"/>
  <c r="F11" i="43" s="1"/>
  <c r="FA15" i="14"/>
  <c r="DW15" i="14" s="1"/>
  <c r="EO15" i="14"/>
  <c r="DK15" i="14" s="1"/>
  <c r="EC15" i="14"/>
  <c r="CY15" i="14" s="1"/>
  <c r="EZ15" i="14"/>
  <c r="DV15" i="14" s="1"/>
  <c r="EN15" i="14"/>
  <c r="DJ15" i="14" s="1"/>
  <c r="EB15" i="14"/>
  <c r="CX15" i="14" s="1"/>
  <c r="BM15" i="14" a="1"/>
  <c r="BM15" i="14" s="1"/>
  <c r="CQ15" i="14" s="1"/>
  <c r="AC11" i="43" s="1"/>
  <c r="BG15" i="14" a="1"/>
  <c r="BG15" i="14" s="1"/>
  <c r="CK15" i="14" s="1"/>
  <c r="W11" i="43" s="1"/>
  <c r="BA15" i="14" a="1"/>
  <c r="BA15" i="14" s="1"/>
  <c r="CE15" i="14" s="1"/>
  <c r="Q11" i="43" s="1"/>
  <c r="AU15" i="14" a="1"/>
  <c r="AU15" i="14" s="1"/>
  <c r="BY15" i="14" s="1"/>
  <c r="K11" i="43" s="1"/>
  <c r="AO15" i="14" a="1"/>
  <c r="AO15" i="14" s="1"/>
  <c r="BS15" i="14" s="1"/>
  <c r="E11" i="43" s="1"/>
  <c r="EY15" i="14"/>
  <c r="DU15" i="14" s="1"/>
  <c r="EM15" i="14"/>
  <c r="DI15" i="14" s="1"/>
  <c r="EA15" i="14"/>
  <c r="CW15" i="14" s="1"/>
  <c r="EX15" i="14"/>
  <c r="DT15" i="14" s="1"/>
  <c r="EL15" i="14"/>
  <c r="DH15" i="14" s="1"/>
  <c r="BR15" i="14" a="1"/>
  <c r="BR15" i="14" s="1"/>
  <c r="CV15" i="14" s="1"/>
  <c r="AH11" i="43" s="1"/>
  <c r="BL15" i="14" a="1"/>
  <c r="BL15" i="14" s="1"/>
  <c r="CP15" i="14" s="1"/>
  <c r="AB11" i="43" s="1"/>
  <c r="BF15" i="14" a="1"/>
  <c r="BF15" i="14" s="1"/>
  <c r="CJ15" i="14" s="1"/>
  <c r="V11" i="43" s="1"/>
  <c r="AZ15" i="14" a="1"/>
  <c r="AZ15" i="14" s="1"/>
  <c r="CD15" i="14" s="1"/>
  <c r="P11" i="43" s="1"/>
  <c r="AT15" i="14" a="1"/>
  <c r="AT15" i="14" s="1"/>
  <c r="BX15" i="14" s="1"/>
  <c r="J11" i="43" s="1"/>
  <c r="EW15" i="14"/>
  <c r="DS15" i="14" s="1"/>
  <c r="EK15" i="14"/>
  <c r="DG15" i="14" s="1"/>
  <c r="EV15" i="14"/>
  <c r="DR15" i="14" s="1"/>
  <c r="EJ15" i="14"/>
  <c r="DF15" i="14" s="1"/>
  <c r="BQ15" i="14" a="1"/>
  <c r="BQ15" i="14" s="1"/>
  <c r="CU15" i="14" s="1"/>
  <c r="AG11" i="43" s="1"/>
  <c r="BK15" i="14" a="1"/>
  <c r="BK15" i="14" s="1"/>
  <c r="CO15" i="14" s="1"/>
  <c r="AA11" i="43" s="1"/>
  <c r="BE15" i="14" a="1"/>
  <c r="BE15" i="14" s="1"/>
  <c r="CI15" i="14" s="1"/>
  <c r="U11" i="43" s="1"/>
  <c r="AY15" i="14" a="1"/>
  <c r="AY15" i="14" s="1"/>
  <c r="CC15" i="14" s="1"/>
  <c r="O11" i="43" s="1"/>
  <c r="AS15" i="14" a="1"/>
  <c r="AS15" i="14" s="1"/>
  <c r="BW15" i="14" s="1"/>
  <c r="I11" i="43" s="1"/>
  <c r="EU15" i="14"/>
  <c r="DQ15" i="14" s="1"/>
  <c r="EI15" i="14"/>
  <c r="DE15" i="14" s="1"/>
  <c r="ET15" i="14"/>
  <c r="DP15" i="14" s="1"/>
  <c r="EH15" i="14"/>
  <c r="DD15" i="14" s="1"/>
  <c r="BP15" i="14" a="1"/>
  <c r="BP15" i="14" s="1"/>
  <c r="CT15" i="14" s="1"/>
  <c r="AF11" i="43" s="1"/>
  <c r="BJ15" i="14" a="1"/>
  <c r="BJ15" i="14" s="1"/>
  <c r="CN15" i="14" s="1"/>
  <c r="Z11" i="43" s="1"/>
  <c r="BD15" i="14" a="1"/>
  <c r="BD15" i="14" s="1"/>
  <c r="CH15" i="14" s="1"/>
  <c r="T11" i="43" s="1"/>
  <c r="AX15" i="14" a="1"/>
  <c r="AX15" i="14" s="1"/>
  <c r="CB15" i="14" s="1"/>
  <c r="N11" i="43" s="1"/>
  <c r="AR15" i="14" a="1"/>
  <c r="AR15" i="14" s="1"/>
  <c r="BV15" i="14" s="1"/>
  <c r="H11" i="43" s="1"/>
  <c r="BC15" i="14" a="1"/>
  <c r="BC15" i="14" s="1"/>
  <c r="CG15" i="14" s="1"/>
  <c r="S11" i="43" s="1"/>
  <c r="AW15" i="14" a="1"/>
  <c r="AW15" i="14" s="1"/>
  <c r="CA15" i="14" s="1"/>
  <c r="M11" i="43" s="1"/>
  <c r="FD15" i="14"/>
  <c r="DZ15" i="14" s="1"/>
  <c r="AQ15" i="14" a="1"/>
  <c r="AQ15" i="14" s="1"/>
  <c r="BU15" i="14" s="1"/>
  <c r="G11" i="43" s="1"/>
  <c r="ES15" i="14"/>
  <c r="DO15" i="14" s="1"/>
  <c r="ER15" i="14"/>
  <c r="DN15" i="14" s="1"/>
  <c r="EG15" i="14"/>
  <c r="DC15" i="14" s="1"/>
  <c r="EF15" i="14"/>
  <c r="DB15" i="14" s="1"/>
  <c r="BO15" i="14" a="1"/>
  <c r="BO15" i="14" s="1"/>
  <c r="CS15" i="14" s="1"/>
  <c r="AE11" i="43" s="1"/>
  <c r="AJ27" i="11"/>
  <c r="BB27" i="11"/>
  <c r="AR33" i="11"/>
  <c r="AP36" i="11"/>
  <c r="BG36" i="11"/>
  <c r="AJ54" i="11"/>
  <c r="BF54" i="11"/>
  <c r="AP72" i="11"/>
  <c r="BG72" i="11"/>
  <c r="AJ75" i="11"/>
  <c r="BF75" i="11"/>
  <c r="AF73" i="12" s="1"/>
  <c r="AO83" i="11"/>
  <c r="AQ90" i="11"/>
  <c r="AS93" i="11"/>
  <c r="AQ104" i="11"/>
  <c r="AY107" i="11"/>
  <c r="AQ108" i="11"/>
  <c r="AS111" i="11"/>
  <c r="AQ122" i="11"/>
  <c r="F48" i="12"/>
  <c r="N124" i="12"/>
  <c r="AL27" i="11"/>
  <c r="BC27" i="11"/>
  <c r="AS33" i="11"/>
  <c r="AQ36" i="11"/>
  <c r="BH36" i="11"/>
  <c r="BI50" i="11"/>
  <c r="AW50" i="11"/>
  <c r="AK50" i="11"/>
  <c r="BH50" i="11"/>
  <c r="AV50" i="11"/>
  <c r="AJ50" i="11"/>
  <c r="BG50" i="11"/>
  <c r="AU50" i="11"/>
  <c r="AI50" i="11"/>
  <c r="BF50" i="11"/>
  <c r="AT50" i="11"/>
  <c r="AH50" i="11"/>
  <c r="BE50" i="11"/>
  <c r="AS50" i="11"/>
  <c r="AG50" i="11"/>
  <c r="BB50" i="11"/>
  <c r="AP54" i="11"/>
  <c r="BG54" i="11"/>
  <c r="BI62" i="11"/>
  <c r="AW62" i="11"/>
  <c r="AK62" i="11"/>
  <c r="BH62" i="11"/>
  <c r="AV62" i="11"/>
  <c r="AJ62" i="11"/>
  <c r="BG62" i="11"/>
  <c r="AU62" i="11"/>
  <c r="AI62" i="11"/>
  <c r="BF62" i="11"/>
  <c r="AT62" i="11"/>
  <c r="AH62" i="11"/>
  <c r="BE62" i="11"/>
  <c r="AS62" i="11"/>
  <c r="AG62" i="11"/>
  <c r="BB62" i="11"/>
  <c r="BI65" i="11"/>
  <c r="AW65" i="11"/>
  <c r="AK65" i="11"/>
  <c r="BH65" i="11"/>
  <c r="AV65" i="11"/>
  <c r="AJ65" i="11"/>
  <c r="BG65" i="11"/>
  <c r="AU65" i="11"/>
  <c r="AI65" i="11"/>
  <c r="BF65" i="11"/>
  <c r="AT65" i="11"/>
  <c r="AH65" i="11"/>
  <c r="BE65" i="11"/>
  <c r="AS65" i="11"/>
  <c r="AG65" i="11"/>
  <c r="BB65" i="11"/>
  <c r="BI68" i="11"/>
  <c r="AW68" i="11"/>
  <c r="AK68" i="11"/>
  <c r="BH68" i="11"/>
  <c r="AV68" i="11"/>
  <c r="AJ68" i="11"/>
  <c r="BG68" i="11"/>
  <c r="AU68" i="11"/>
  <c r="AI68" i="11"/>
  <c r="BF68" i="11"/>
  <c r="AT68" i="11"/>
  <c r="AH68" i="11"/>
  <c r="BE68" i="11"/>
  <c r="AS68" i="11"/>
  <c r="AG68" i="11"/>
  <c r="BB68" i="11"/>
  <c r="AQ72" i="11"/>
  <c r="BH72" i="11"/>
  <c r="AP75" i="11"/>
  <c r="BG75" i="11"/>
  <c r="AP83" i="11"/>
  <c r="BA84" i="11"/>
  <c r="AO84" i="11"/>
  <c r="AZ84" i="11"/>
  <c r="AN84" i="11"/>
  <c r="AY84" i="11"/>
  <c r="AM84" i="11"/>
  <c r="BJ84" i="11"/>
  <c r="AX84" i="11"/>
  <c r="AL84" i="11"/>
  <c r="BI84" i="11"/>
  <c r="AW84" i="11"/>
  <c r="AK84" i="11"/>
  <c r="BB84" i="11"/>
  <c r="AR90" i="11"/>
  <c r="AT93" i="11"/>
  <c r="BJ95" i="11"/>
  <c r="AX95" i="11"/>
  <c r="AL95" i="11"/>
  <c r="BI95" i="11"/>
  <c r="AW95" i="11"/>
  <c r="AK95" i="11"/>
  <c r="BH95" i="11"/>
  <c r="AV95" i="11"/>
  <c r="AJ95" i="11"/>
  <c r="BG95" i="11"/>
  <c r="AU95" i="11"/>
  <c r="AI95" i="11"/>
  <c r="BF95" i="11"/>
  <c r="AT95" i="11"/>
  <c r="AH95" i="11"/>
  <c r="BE95" i="11"/>
  <c r="AS95" i="11"/>
  <c r="AG95" i="11"/>
  <c r="BD95" i="11"/>
  <c r="BB99" i="11"/>
  <c r="AP99" i="11"/>
  <c r="BA99" i="11"/>
  <c r="AO99" i="11"/>
  <c r="AZ99" i="11"/>
  <c r="AN99" i="11"/>
  <c r="AY99" i="11"/>
  <c r="AM99" i="11"/>
  <c r="BJ99" i="11"/>
  <c r="AX99" i="11"/>
  <c r="AL99" i="11"/>
  <c r="BI99" i="11"/>
  <c r="AW99" i="11"/>
  <c r="AK99" i="11"/>
  <c r="BD99" i="11"/>
  <c r="AR104" i="11"/>
  <c r="AZ107" i="11"/>
  <c r="AR108" i="11"/>
  <c r="AT111" i="11"/>
  <c r="BJ113" i="11"/>
  <c r="AX113" i="11"/>
  <c r="AL113" i="11"/>
  <c r="BI113" i="11"/>
  <c r="AW113" i="11"/>
  <c r="AK113" i="11"/>
  <c r="BH113" i="11"/>
  <c r="AV113" i="11"/>
  <c r="AJ113" i="11"/>
  <c r="BG113" i="11"/>
  <c r="AU113" i="11"/>
  <c r="AI113" i="11"/>
  <c r="BF113" i="11"/>
  <c r="AT113" i="11"/>
  <c r="AH113" i="11"/>
  <c r="BE113" i="11"/>
  <c r="AS113" i="11"/>
  <c r="AG113" i="11"/>
  <c r="BD113" i="11"/>
  <c r="BB117" i="11"/>
  <c r="AP117" i="11"/>
  <c r="BA117" i="11"/>
  <c r="AO117" i="11"/>
  <c r="AZ117" i="11"/>
  <c r="AN117" i="11"/>
  <c r="AY117" i="11"/>
  <c r="AM117" i="11"/>
  <c r="BJ117" i="11"/>
  <c r="AX117" i="11"/>
  <c r="AL117" i="11"/>
  <c r="BI117" i="11"/>
  <c r="AW117" i="11"/>
  <c r="AK117" i="11"/>
  <c r="BD117" i="11"/>
  <c r="AR122" i="11"/>
  <c r="R124" i="12"/>
  <c r="AE124" i="12"/>
  <c r="BJ28" i="14" a="1"/>
  <c r="BJ28" i="14" s="1"/>
  <c r="CN28" i="14" s="1"/>
  <c r="Z24" i="43" s="1"/>
  <c r="BE45" i="14" a="1"/>
  <c r="BE45" i="14" s="1"/>
  <c r="CI45" i="14" s="1"/>
  <c r="U41" i="43" s="1"/>
  <c r="BE56" i="14" a="1"/>
  <c r="BE56" i="14" s="1"/>
  <c r="CI56" i="14" s="1"/>
  <c r="U52" i="43" s="1"/>
  <c r="AO28" i="11"/>
  <c r="BA28" i="11"/>
  <c r="AO31" i="11"/>
  <c r="BA31" i="11"/>
  <c r="AO34" i="11"/>
  <c r="BA34" i="11"/>
  <c r="AO37" i="11"/>
  <c r="BA37" i="11"/>
  <c r="AO40" i="11"/>
  <c r="BA40" i="11"/>
  <c r="AO43" i="11"/>
  <c r="BA43" i="11"/>
  <c r="AO46" i="11"/>
  <c r="BA46" i="11"/>
  <c r="AO49" i="11"/>
  <c r="BA49" i="11"/>
  <c r="AO52" i="11"/>
  <c r="BA52" i="11"/>
  <c r="AO55" i="11"/>
  <c r="BA55" i="11"/>
  <c r="AO58" i="11"/>
  <c r="BA58" i="11"/>
  <c r="AO61" i="11"/>
  <c r="BA61" i="11"/>
  <c r="AO64" i="11"/>
  <c r="BA64" i="11"/>
  <c r="AO67" i="11"/>
  <c r="BA67" i="11"/>
  <c r="AO70" i="11"/>
  <c r="BA70" i="11"/>
  <c r="AO73" i="11"/>
  <c r="BA73" i="11"/>
  <c r="AO76" i="11"/>
  <c r="BA76" i="11"/>
  <c r="AO79" i="11"/>
  <c r="BA79" i="11"/>
  <c r="AO82" i="11"/>
  <c r="BA82" i="11"/>
  <c r="AO85" i="11"/>
  <c r="BA85" i="11"/>
  <c r="AO88" i="11"/>
  <c r="BA88" i="11"/>
  <c r="AO91" i="11"/>
  <c r="BA91" i="11"/>
  <c r="AO94" i="11"/>
  <c r="BA94" i="11"/>
  <c r="AO97" i="11"/>
  <c r="BA97" i="11"/>
  <c r="AO100" i="11"/>
  <c r="BA100" i="11"/>
  <c r="AO103" i="11"/>
  <c r="BA103" i="11"/>
  <c r="AO106" i="11"/>
  <c r="BA106" i="11"/>
  <c r="AO109" i="11"/>
  <c r="BA109" i="11"/>
  <c r="AO112" i="11"/>
  <c r="BA112" i="11"/>
  <c r="AO115" i="11"/>
  <c r="BA115" i="11"/>
  <c r="AO118" i="11"/>
  <c r="BA118" i="11"/>
  <c r="AO121" i="11"/>
  <c r="BA121" i="11"/>
  <c r="G124" i="12"/>
  <c r="T124" i="12"/>
  <c r="AG124" i="12"/>
  <c r="H124" i="12"/>
  <c r="U124" i="12"/>
  <c r="AH124" i="12"/>
  <c r="AQ64" i="11"/>
  <c r="BC64" i="11"/>
  <c r="AQ67" i="11"/>
  <c r="BC67" i="11"/>
  <c r="AQ70" i="11"/>
  <c r="BC70" i="11"/>
  <c r="AQ73" i="11"/>
  <c r="BC73" i="11"/>
  <c r="AQ76" i="11"/>
  <c r="BC76" i="11"/>
  <c r="AQ79" i="11"/>
  <c r="BC79" i="11"/>
  <c r="AQ82" i="11"/>
  <c r="BC82" i="11"/>
  <c r="AQ85" i="11"/>
  <c r="BC85" i="11"/>
  <c r="AQ88" i="11"/>
  <c r="BC88" i="11"/>
  <c r="AQ91" i="11"/>
  <c r="BC91" i="11"/>
  <c r="AQ94" i="11"/>
  <c r="BC94" i="11"/>
  <c r="AQ97" i="11"/>
  <c r="BC97" i="11"/>
  <c r="AQ100" i="11"/>
  <c r="BC100" i="11"/>
  <c r="AQ103" i="11"/>
  <c r="BC103" i="11"/>
  <c r="AQ106" i="11"/>
  <c r="BC106" i="11"/>
  <c r="AQ109" i="11"/>
  <c r="BC109" i="11"/>
  <c r="AQ112" i="11"/>
  <c r="BC112" i="11"/>
  <c r="AQ115" i="11"/>
  <c r="BC115" i="11"/>
  <c r="AQ118" i="11"/>
  <c r="BC118" i="11"/>
  <c r="AQ121" i="11"/>
  <c r="BC121" i="11"/>
  <c r="I124" i="12"/>
  <c r="V124" i="12"/>
  <c r="AI124" i="12"/>
  <c r="AR11" i="14" a="1"/>
  <c r="AR11" i="14" s="1"/>
  <c r="EI11" i="14" s="1"/>
  <c r="DE11" i="14" s="1"/>
  <c r="AO11" i="14" a="1"/>
  <c r="AO11" i="14" s="1"/>
  <c r="EF11" i="14" s="1"/>
  <c r="DB11" i="14" s="1"/>
  <c r="AW47" i="14" a="1"/>
  <c r="AW47" i="14" s="1"/>
  <c r="ES47" i="14" s="1"/>
  <c r="DO47" i="14" s="1"/>
  <c r="AR28" i="11"/>
  <c r="BD28" i="11"/>
  <c r="AR31" i="11"/>
  <c r="BD31" i="11"/>
  <c r="AR34" i="11"/>
  <c r="BD34" i="11"/>
  <c r="AR37" i="11"/>
  <c r="BD37" i="11"/>
  <c r="AR40" i="11"/>
  <c r="BD40" i="11"/>
  <c r="AR43" i="11"/>
  <c r="BD43" i="11"/>
  <c r="AR46" i="11"/>
  <c r="BD46" i="11"/>
  <c r="AR49" i="11"/>
  <c r="BD49" i="11"/>
  <c r="AR52" i="11"/>
  <c r="BD52" i="11"/>
  <c r="AR55" i="11"/>
  <c r="BD55" i="11"/>
  <c r="AR58" i="11"/>
  <c r="BD58" i="11"/>
  <c r="AR61" i="11"/>
  <c r="BD61" i="11"/>
  <c r="AR64" i="11"/>
  <c r="BD64" i="11"/>
  <c r="AR67" i="11"/>
  <c r="BD67" i="11"/>
  <c r="AR70" i="11"/>
  <c r="BD70" i="11"/>
  <c r="AR73" i="11"/>
  <c r="BD73" i="11"/>
  <c r="AR76" i="11"/>
  <c r="BD76" i="11"/>
  <c r="AR79" i="11"/>
  <c r="BD79" i="11"/>
  <c r="AR82" i="11"/>
  <c r="BD82" i="11"/>
  <c r="AR85" i="11"/>
  <c r="AR88" i="11"/>
  <c r="AR91" i="11"/>
  <c r="AR94" i="11"/>
  <c r="AR97" i="11"/>
  <c r="AR100" i="11"/>
  <c r="AR103" i="11"/>
  <c r="AR106" i="11"/>
  <c r="AR109" i="11"/>
  <c r="AR112" i="11"/>
  <c r="AR115" i="11"/>
  <c r="AR118" i="11"/>
  <c r="AR121" i="11"/>
  <c r="AC124" i="12"/>
  <c r="Q124" i="12"/>
  <c r="J124" i="12"/>
  <c r="W124" i="12"/>
  <c r="AJ124" i="12"/>
  <c r="AD20" i="20"/>
  <c r="O20" i="20"/>
  <c r="X17" i="20"/>
  <c r="I17" i="20"/>
  <c r="X16" i="20"/>
  <c r="F16" i="20"/>
  <c r="T20" i="20"/>
  <c r="E20" i="20"/>
  <c r="N17" i="20"/>
  <c r="AC16" i="20"/>
  <c r="N16" i="20"/>
  <c r="R20" i="20"/>
  <c r="C20" i="20"/>
  <c r="AD17" i="20"/>
  <c r="L17" i="20"/>
  <c r="AA16" i="20"/>
  <c r="L16" i="20"/>
  <c r="Q20" i="20"/>
  <c r="V17" i="20"/>
  <c r="AE16" i="20"/>
  <c r="H16" i="20"/>
  <c r="P20" i="20"/>
  <c r="U17" i="20"/>
  <c r="AD16" i="20"/>
  <c r="G16" i="20"/>
  <c r="N20" i="20"/>
  <c r="T17" i="20"/>
  <c r="AB16" i="20"/>
  <c r="E16" i="20"/>
  <c r="M20" i="20"/>
  <c r="S17" i="20"/>
  <c r="Z16" i="20"/>
  <c r="D16" i="20"/>
  <c r="AE20" i="20"/>
  <c r="L20" i="20"/>
  <c r="R17" i="20"/>
  <c r="Y16" i="20"/>
  <c r="C16" i="20"/>
  <c r="AB20" i="20"/>
  <c r="G20" i="20"/>
  <c r="AA20" i="20"/>
  <c r="F20" i="20"/>
  <c r="J17" i="20"/>
  <c r="R16" i="20"/>
  <c r="T16" i="20"/>
  <c r="S16" i="20"/>
  <c r="AE17" i="20"/>
  <c r="Q16" i="20"/>
  <c r="AC20" i="20"/>
  <c r="Z17" i="20"/>
  <c r="P16" i="20"/>
  <c r="Z20" i="20"/>
  <c r="Y17" i="20"/>
  <c r="O16" i="20"/>
  <c r="Y20" i="20"/>
  <c r="W17" i="20"/>
  <c r="M16" i="20"/>
  <c r="X20" i="20"/>
  <c r="M17" i="20"/>
  <c r="B16" i="20"/>
  <c r="S20" i="20"/>
  <c r="K17" i="20"/>
  <c r="B20" i="20"/>
  <c r="H17" i="20"/>
  <c r="G17" i="20"/>
  <c r="F17" i="20"/>
  <c r="B17" i="20"/>
  <c r="H20" i="20"/>
  <c r="D20" i="20"/>
  <c r="FD14" i="14"/>
  <c r="DZ14" i="14" s="1"/>
  <c r="ER14" i="14"/>
  <c r="DN14" i="14" s="1"/>
  <c r="EF14" i="14"/>
  <c r="DB14" i="14" s="1"/>
  <c r="BO14" i="14" a="1"/>
  <c r="BO14" i="14" s="1"/>
  <c r="CS14" i="14" s="1"/>
  <c r="AE10" i="43" s="1"/>
  <c r="BI14" i="14" a="1"/>
  <c r="BI14" i="14" s="1"/>
  <c r="CM14" i="14" s="1"/>
  <c r="Y10" i="43" s="1"/>
  <c r="BC14" i="14" a="1"/>
  <c r="BC14" i="14" s="1"/>
  <c r="CG14" i="14" s="1"/>
  <c r="S10" i="43" s="1"/>
  <c r="AW14" i="14" a="1"/>
  <c r="AW14" i="14" s="1"/>
  <c r="CA14" i="14" s="1"/>
  <c r="M10" i="43" s="1"/>
  <c r="AQ14" i="14" a="1"/>
  <c r="AQ14" i="14" s="1"/>
  <c r="BU14" i="14" s="1"/>
  <c r="G10" i="43" s="1"/>
  <c r="FC14" i="14"/>
  <c r="DY14" i="14" s="1"/>
  <c r="EQ14" i="14"/>
  <c r="DM14" i="14" s="1"/>
  <c r="EE14" i="14"/>
  <c r="DA14" i="14" s="1"/>
  <c r="FB14" i="14"/>
  <c r="DX14" i="14" s="1"/>
  <c r="EP14" i="14"/>
  <c r="DL14" i="14" s="1"/>
  <c r="ED14" i="14"/>
  <c r="CZ14" i="14" s="1"/>
  <c r="BN14" i="14" a="1"/>
  <c r="BN14" i="14" s="1"/>
  <c r="CR14" i="14" s="1"/>
  <c r="AD10" i="43" s="1"/>
  <c r="BH14" i="14" a="1"/>
  <c r="BH14" i="14" s="1"/>
  <c r="CL14" i="14" s="1"/>
  <c r="X10" i="43" s="1"/>
  <c r="BB14" i="14" a="1"/>
  <c r="BB14" i="14" s="1"/>
  <c r="CF14" i="14" s="1"/>
  <c r="R10" i="43" s="1"/>
  <c r="AV14" i="14" a="1"/>
  <c r="AV14" i="14" s="1"/>
  <c r="BZ14" i="14" s="1"/>
  <c r="L10" i="43" s="1"/>
  <c r="AP14" i="14" a="1"/>
  <c r="AP14" i="14" s="1"/>
  <c r="BT14" i="14" s="1"/>
  <c r="F10" i="43" s="1"/>
  <c r="FA14" i="14"/>
  <c r="DW14" i="14" s="1"/>
  <c r="EO14" i="14"/>
  <c r="DK14" i="14" s="1"/>
  <c r="EC14" i="14"/>
  <c r="CY14" i="14" s="1"/>
  <c r="EZ14" i="14"/>
  <c r="DV14" i="14" s="1"/>
  <c r="EN14" i="14"/>
  <c r="DJ14" i="14" s="1"/>
  <c r="EB14" i="14"/>
  <c r="CX14" i="14" s="1"/>
  <c r="BM14" i="14" a="1"/>
  <c r="BM14" i="14" s="1"/>
  <c r="CQ14" i="14" s="1"/>
  <c r="AC10" i="43" s="1"/>
  <c r="BG14" i="14" a="1"/>
  <c r="BG14" i="14" s="1"/>
  <c r="CK14" i="14" s="1"/>
  <c r="W10" i="43" s="1"/>
  <c r="BA14" i="14" a="1"/>
  <c r="BA14" i="14" s="1"/>
  <c r="CE14" i="14" s="1"/>
  <c r="Q10" i="43" s="1"/>
  <c r="AU14" i="14" a="1"/>
  <c r="AU14" i="14" s="1"/>
  <c r="BY14" i="14" s="1"/>
  <c r="K10" i="43" s="1"/>
  <c r="AO14" i="14" a="1"/>
  <c r="AO14" i="14" s="1"/>
  <c r="BS14" i="14" s="1"/>
  <c r="E10" i="43" s="1"/>
  <c r="EY14" i="14"/>
  <c r="DU14" i="14" s="1"/>
  <c r="EM14" i="14"/>
  <c r="DI14" i="14" s="1"/>
  <c r="EA14" i="14"/>
  <c r="CW14" i="14" s="1"/>
  <c r="EX14" i="14"/>
  <c r="DT14" i="14" s="1"/>
  <c r="EL14" i="14"/>
  <c r="DH14" i="14" s="1"/>
  <c r="BR14" i="14" a="1"/>
  <c r="BR14" i="14" s="1"/>
  <c r="CV14" i="14" s="1"/>
  <c r="AH10" i="43" s="1"/>
  <c r="BL14" i="14" a="1"/>
  <c r="BL14" i="14" s="1"/>
  <c r="CP14" i="14" s="1"/>
  <c r="AB10" i="43" s="1"/>
  <c r="BF14" i="14" a="1"/>
  <c r="BF14" i="14" s="1"/>
  <c r="CJ14" i="14" s="1"/>
  <c r="V10" i="43" s="1"/>
  <c r="AZ14" i="14" a="1"/>
  <c r="AZ14" i="14" s="1"/>
  <c r="CD14" i="14" s="1"/>
  <c r="P10" i="43" s="1"/>
  <c r="AT14" i="14" a="1"/>
  <c r="AT14" i="14" s="1"/>
  <c r="BX14" i="14" s="1"/>
  <c r="J10" i="43" s="1"/>
  <c r="EW14" i="14"/>
  <c r="DS14" i="14" s="1"/>
  <c r="EK14" i="14"/>
  <c r="DG14" i="14" s="1"/>
  <c r="EV14" i="14"/>
  <c r="DR14" i="14" s="1"/>
  <c r="EJ14" i="14"/>
  <c r="DF14" i="14" s="1"/>
  <c r="BQ14" i="14" a="1"/>
  <c r="BQ14" i="14" s="1"/>
  <c r="CU14" i="14" s="1"/>
  <c r="AG10" i="43" s="1"/>
  <c r="BK14" i="14" a="1"/>
  <c r="BK14" i="14" s="1"/>
  <c r="CO14" i="14" s="1"/>
  <c r="AA10" i="43" s="1"/>
  <c r="BE14" i="14" a="1"/>
  <c r="BE14" i="14" s="1"/>
  <c r="CI14" i="14" s="1"/>
  <c r="U10" i="43" s="1"/>
  <c r="AY14" i="14" a="1"/>
  <c r="AY14" i="14" s="1"/>
  <c r="CC14" i="14" s="1"/>
  <c r="O10" i="43" s="1"/>
  <c r="AS14" i="14" a="1"/>
  <c r="AS14" i="14" s="1"/>
  <c r="BW14" i="14" s="1"/>
  <c r="I10" i="43" s="1"/>
  <c r="EU14" i="14"/>
  <c r="DQ14" i="14" s="1"/>
  <c r="EI14" i="14"/>
  <c r="DE14" i="14" s="1"/>
  <c r="AG28" i="11"/>
  <c r="AS28" i="11"/>
  <c r="AG31" i="11"/>
  <c r="AS31" i="11"/>
  <c r="AG34" i="11"/>
  <c r="AS34" i="11"/>
  <c r="AG37" i="11"/>
  <c r="AS37" i="11"/>
  <c r="AG40" i="11"/>
  <c r="AS40" i="11"/>
  <c r="AS43" i="11"/>
  <c r="AG46" i="11"/>
  <c r="AS46" i="11"/>
  <c r="AG49" i="11"/>
  <c r="AS49" i="11"/>
  <c r="AG52" i="11"/>
  <c r="AS52" i="11"/>
  <c r="AS55" i="11"/>
  <c r="AS61" i="11"/>
  <c r="AG64" i="11"/>
  <c r="AS64" i="11"/>
  <c r="AG67" i="11"/>
  <c r="AS67" i="11"/>
  <c r="AS70" i="11"/>
  <c r="AS73" i="11"/>
  <c r="AS76" i="11"/>
  <c r="U445" i="20"/>
  <c r="U444" i="20" s="1"/>
  <c r="I445" i="20"/>
  <c r="I444" i="20" s="1"/>
  <c r="AA442" i="20"/>
  <c r="O442" i="20"/>
  <c r="C442" i="20"/>
  <c r="T445" i="20"/>
  <c r="T444" i="20" s="1"/>
  <c r="H445" i="20"/>
  <c r="H444" i="20" s="1"/>
  <c r="Z442" i="20"/>
  <c r="N442" i="20"/>
  <c r="B442" i="20"/>
  <c r="T439" i="20"/>
  <c r="T438" i="20" s="1"/>
  <c r="H439" i="20"/>
  <c r="H438" i="20" s="1"/>
  <c r="Z436" i="20"/>
  <c r="Z435" i="20" s="1"/>
  <c r="N436" i="20"/>
  <c r="N435" i="20" s="1"/>
  <c r="B436" i="20"/>
  <c r="B435" i="20" s="1"/>
  <c r="AE445" i="20"/>
  <c r="AE444" i="20" s="1"/>
  <c r="S445" i="20"/>
  <c r="S444" i="20" s="1"/>
  <c r="G445" i="20"/>
  <c r="G444" i="20" s="1"/>
  <c r="AC445" i="20"/>
  <c r="AC444" i="20" s="1"/>
  <c r="Q445" i="20"/>
  <c r="Q444" i="20" s="1"/>
  <c r="E445" i="20"/>
  <c r="E444" i="20" s="1"/>
  <c r="AB445" i="20"/>
  <c r="AB444" i="20" s="1"/>
  <c r="AA445" i="20"/>
  <c r="AA444" i="20" s="1"/>
  <c r="O445" i="20"/>
  <c r="O444" i="20" s="1"/>
  <c r="C445" i="20"/>
  <c r="C444" i="20" s="1"/>
  <c r="U442" i="20"/>
  <c r="I442" i="20"/>
  <c r="AA439" i="20"/>
  <c r="AA438" i="20" s="1"/>
  <c r="O439" i="20"/>
  <c r="O438" i="20" s="1"/>
  <c r="C439" i="20"/>
  <c r="C438" i="20" s="1"/>
  <c r="Y445" i="20"/>
  <c r="Y444" i="20" s="1"/>
  <c r="M445" i="20"/>
  <c r="M444" i="20" s="1"/>
  <c r="AE442" i="20"/>
  <c r="S442" i="20"/>
  <c r="G442" i="20"/>
  <c r="Y439" i="20"/>
  <c r="Y438" i="20" s="1"/>
  <c r="M439" i="20"/>
  <c r="M438" i="20" s="1"/>
  <c r="AE436" i="20"/>
  <c r="AE435" i="20" s="1"/>
  <c r="S436" i="20"/>
  <c r="S435" i="20" s="1"/>
  <c r="G436" i="20"/>
  <c r="G435" i="20" s="1"/>
  <c r="Y433" i="20"/>
  <c r="M433" i="20"/>
  <c r="X445" i="20"/>
  <c r="X444" i="20" s="1"/>
  <c r="L445" i="20"/>
  <c r="L444" i="20" s="1"/>
  <c r="AD442" i="20"/>
  <c r="R442" i="20"/>
  <c r="F442" i="20"/>
  <c r="X439" i="20"/>
  <c r="X438" i="20" s="1"/>
  <c r="L439" i="20"/>
  <c r="L438" i="20" s="1"/>
  <c r="AD436" i="20"/>
  <c r="AD435" i="20" s="1"/>
  <c r="R436" i="20"/>
  <c r="R435" i="20" s="1"/>
  <c r="F436" i="20"/>
  <c r="F435" i="20" s="1"/>
  <c r="X433" i="20"/>
  <c r="L433" i="20"/>
  <c r="W445" i="20"/>
  <c r="W444" i="20" s="1"/>
  <c r="K445" i="20"/>
  <c r="K444" i="20" s="1"/>
  <c r="AC442" i="20"/>
  <c r="Q442" i="20"/>
  <c r="E442" i="20"/>
  <c r="W439" i="20"/>
  <c r="W438" i="20" s="1"/>
  <c r="K439" i="20"/>
  <c r="K438" i="20" s="1"/>
  <c r="AC436" i="20"/>
  <c r="AC435" i="20" s="1"/>
  <c r="Q436" i="20"/>
  <c r="Q435" i="20" s="1"/>
  <c r="E436" i="20"/>
  <c r="E435" i="20" s="1"/>
  <c r="W433" i="20"/>
  <c r="K433" i="20"/>
  <c r="F445" i="20"/>
  <c r="F444" i="20" s="1"/>
  <c r="H442" i="20"/>
  <c r="N439" i="20"/>
  <c r="N438" i="20" s="1"/>
  <c r="V436" i="20"/>
  <c r="V435" i="20" s="1"/>
  <c r="C436" i="20"/>
  <c r="C435" i="20" s="1"/>
  <c r="V433" i="20"/>
  <c r="G433" i="20"/>
  <c r="AE430" i="20"/>
  <c r="AE429" i="20" s="1"/>
  <c r="S430" i="20"/>
  <c r="S429" i="20" s="1"/>
  <c r="G430" i="20"/>
  <c r="G429" i="20" s="1"/>
  <c r="Y427" i="20"/>
  <c r="M427" i="20"/>
  <c r="AE424" i="20"/>
  <c r="AE423" i="20" s="1"/>
  <c r="S424" i="20"/>
  <c r="S423" i="20" s="1"/>
  <c r="G424" i="20"/>
  <c r="G423" i="20" s="1"/>
  <c r="Y421" i="20"/>
  <c r="Y420" i="20" s="1"/>
  <c r="M421" i="20"/>
  <c r="M420" i="20" s="1"/>
  <c r="D445" i="20"/>
  <c r="D444" i="20" s="1"/>
  <c r="AB442" i="20"/>
  <c r="D442" i="20"/>
  <c r="AE439" i="20"/>
  <c r="AE438" i="20" s="1"/>
  <c r="J439" i="20"/>
  <c r="J438" i="20" s="1"/>
  <c r="U436" i="20"/>
  <c r="U435" i="20" s="1"/>
  <c r="U433" i="20"/>
  <c r="F433" i="20"/>
  <c r="AD430" i="20"/>
  <c r="AD429" i="20" s="1"/>
  <c r="R430" i="20"/>
  <c r="R429" i="20" s="1"/>
  <c r="F430" i="20"/>
  <c r="F429" i="20" s="1"/>
  <c r="X427" i="20"/>
  <c r="L427" i="20"/>
  <c r="AD424" i="20"/>
  <c r="AD423" i="20" s="1"/>
  <c r="R424" i="20"/>
  <c r="R423" i="20" s="1"/>
  <c r="F424" i="20"/>
  <c r="F423" i="20" s="1"/>
  <c r="X421" i="20"/>
  <c r="X420" i="20" s="1"/>
  <c r="L421" i="20"/>
  <c r="L420" i="20" s="1"/>
  <c r="AD418" i="20"/>
  <c r="R418" i="20"/>
  <c r="F418" i="20"/>
  <c r="X415" i="20"/>
  <c r="X414" i="20" s="1"/>
  <c r="L415" i="20"/>
  <c r="AD412" i="20"/>
  <c r="AD411" i="20" s="1"/>
  <c r="R412" i="20"/>
  <c r="R411" i="20" s="1"/>
  <c r="F412" i="20"/>
  <c r="F411" i="20" s="1"/>
  <c r="B445" i="20"/>
  <c r="B444" i="20" s="1"/>
  <c r="Y442" i="20"/>
  <c r="AD439" i="20"/>
  <c r="AD438" i="20" s="1"/>
  <c r="I439" i="20"/>
  <c r="I438" i="20" s="1"/>
  <c r="T436" i="20"/>
  <c r="T435" i="20" s="1"/>
  <c r="T433" i="20"/>
  <c r="E433" i="20"/>
  <c r="AC430" i="20"/>
  <c r="AC429" i="20" s="1"/>
  <c r="Q430" i="20"/>
  <c r="Q429" i="20" s="1"/>
  <c r="E430" i="20"/>
  <c r="E429" i="20" s="1"/>
  <c r="W427" i="20"/>
  <c r="K427" i="20"/>
  <c r="AC424" i="20"/>
  <c r="AC423" i="20" s="1"/>
  <c r="Q424" i="20"/>
  <c r="Q423" i="20" s="1"/>
  <c r="E424" i="20"/>
  <c r="E423" i="20" s="1"/>
  <c r="X442" i="20"/>
  <c r="AC439" i="20"/>
  <c r="AC438" i="20" s="1"/>
  <c r="G439" i="20"/>
  <c r="G438" i="20" s="1"/>
  <c r="P436" i="20"/>
  <c r="P435" i="20" s="1"/>
  <c r="S433" i="20"/>
  <c r="D433" i="20"/>
  <c r="AB430" i="20"/>
  <c r="AB429" i="20" s="1"/>
  <c r="P430" i="20"/>
  <c r="P429" i="20" s="1"/>
  <c r="D430" i="20"/>
  <c r="D429" i="20" s="1"/>
  <c r="V427" i="20"/>
  <c r="J427" i="20"/>
  <c r="AB424" i="20"/>
  <c r="AB423" i="20" s="1"/>
  <c r="P424" i="20"/>
  <c r="P423" i="20" s="1"/>
  <c r="D424" i="20"/>
  <c r="D423" i="20" s="1"/>
  <c r="V421" i="20"/>
  <c r="V420" i="20" s="1"/>
  <c r="J421" i="20"/>
  <c r="J420" i="20" s="1"/>
  <c r="AB418" i="20"/>
  <c r="P418" i="20"/>
  <c r="D418" i="20"/>
  <c r="V415" i="20"/>
  <c r="J415" i="20"/>
  <c r="AB412" i="20"/>
  <c r="AB411" i="20" s="1"/>
  <c r="P412" i="20"/>
  <c r="P411" i="20" s="1"/>
  <c r="D412" i="20"/>
  <c r="D411" i="20" s="1"/>
  <c r="W442" i="20"/>
  <c r="AB439" i="20"/>
  <c r="AB438" i="20" s="1"/>
  <c r="F439" i="20"/>
  <c r="F438" i="20" s="1"/>
  <c r="O436" i="20"/>
  <c r="O435" i="20" s="1"/>
  <c r="R433" i="20"/>
  <c r="C433" i="20"/>
  <c r="AA430" i="20"/>
  <c r="AA429" i="20" s="1"/>
  <c r="O430" i="20"/>
  <c r="O429" i="20" s="1"/>
  <c r="C430" i="20"/>
  <c r="C429" i="20" s="1"/>
  <c r="U427" i="20"/>
  <c r="I427" i="20"/>
  <c r="AA424" i="20"/>
  <c r="AA423" i="20" s="1"/>
  <c r="O424" i="20"/>
  <c r="O423" i="20" s="1"/>
  <c r="C424" i="20"/>
  <c r="C423" i="20" s="1"/>
  <c r="U421" i="20"/>
  <c r="U420" i="20" s="1"/>
  <c r="I421" i="20"/>
  <c r="I420" i="20" s="1"/>
  <c r="AA418" i="20"/>
  <c r="O418" i="20"/>
  <c r="C418" i="20"/>
  <c r="U415" i="20"/>
  <c r="I415" i="20"/>
  <c r="AA412" i="20"/>
  <c r="AA411" i="20" s="1"/>
  <c r="O412" i="20"/>
  <c r="O411" i="20" s="1"/>
  <c r="C412" i="20"/>
  <c r="C411" i="20" s="1"/>
  <c r="AD445" i="20"/>
  <c r="AD444" i="20" s="1"/>
  <c r="V442" i="20"/>
  <c r="Z439" i="20"/>
  <c r="Z438" i="20" s="1"/>
  <c r="E439" i="20"/>
  <c r="E438" i="20" s="1"/>
  <c r="M436" i="20"/>
  <c r="M435" i="20" s="1"/>
  <c r="Q433" i="20"/>
  <c r="B433" i="20"/>
  <c r="Z430" i="20"/>
  <c r="Z429" i="20" s="1"/>
  <c r="N430" i="20"/>
  <c r="N429" i="20" s="1"/>
  <c r="B430" i="20"/>
  <c r="B429" i="20" s="1"/>
  <c r="T427" i="20"/>
  <c r="H427" i="20"/>
  <c r="Z424" i="20"/>
  <c r="Z423" i="20" s="1"/>
  <c r="N424" i="20"/>
  <c r="N423" i="20" s="1"/>
  <c r="B424" i="20"/>
  <c r="B423" i="20" s="1"/>
  <c r="T421" i="20"/>
  <c r="T420" i="20" s="1"/>
  <c r="H421" i="20"/>
  <c r="H420" i="20" s="1"/>
  <c r="Z418" i="20"/>
  <c r="N418" i="20"/>
  <c r="B418" i="20"/>
  <c r="T415" i="20"/>
  <c r="H415" i="20"/>
  <c r="Z412" i="20"/>
  <c r="Z411" i="20" s="1"/>
  <c r="N412" i="20"/>
  <c r="N411" i="20" s="1"/>
  <c r="B412" i="20"/>
  <c r="B411" i="20" s="1"/>
  <c r="Z445" i="20"/>
  <c r="Z444" i="20" s="1"/>
  <c r="T442" i="20"/>
  <c r="V439" i="20"/>
  <c r="V438" i="20" s="1"/>
  <c r="D439" i="20"/>
  <c r="D438" i="20" s="1"/>
  <c r="L436" i="20"/>
  <c r="L435" i="20" s="1"/>
  <c r="AE433" i="20"/>
  <c r="P433" i="20"/>
  <c r="Y430" i="20"/>
  <c r="Y429" i="20" s="1"/>
  <c r="M430" i="20"/>
  <c r="M429" i="20" s="1"/>
  <c r="AE427" i="20"/>
  <c r="S427" i="20"/>
  <c r="G427" i="20"/>
  <c r="Y424" i="20"/>
  <c r="Y423" i="20" s="1"/>
  <c r="M424" i="20"/>
  <c r="M423" i="20" s="1"/>
  <c r="AE421" i="20"/>
  <c r="AE420" i="20" s="1"/>
  <c r="S421" i="20"/>
  <c r="S420" i="20" s="1"/>
  <c r="G421" i="20"/>
  <c r="G420" i="20" s="1"/>
  <c r="Y418" i="20"/>
  <c r="M418" i="20"/>
  <c r="AE415" i="20"/>
  <c r="S415" i="20"/>
  <c r="G415" i="20"/>
  <c r="Y412" i="20"/>
  <c r="Y411" i="20" s="1"/>
  <c r="M412" i="20"/>
  <c r="M411" i="20" s="1"/>
  <c r="V445" i="20"/>
  <c r="V444" i="20" s="1"/>
  <c r="P442" i="20"/>
  <c r="U439" i="20"/>
  <c r="U438" i="20" s="1"/>
  <c r="B439" i="20"/>
  <c r="B438" i="20" s="1"/>
  <c r="AB436" i="20"/>
  <c r="AB435" i="20" s="1"/>
  <c r="K436" i="20"/>
  <c r="K435" i="20" s="1"/>
  <c r="AD433" i="20"/>
  <c r="O433" i="20"/>
  <c r="X430" i="20"/>
  <c r="X429" i="20" s="1"/>
  <c r="L430" i="20"/>
  <c r="L429" i="20" s="1"/>
  <c r="AD427" i="20"/>
  <c r="R427" i="20"/>
  <c r="F427" i="20"/>
  <c r="R445" i="20"/>
  <c r="R444" i="20" s="1"/>
  <c r="M442" i="20"/>
  <c r="S439" i="20"/>
  <c r="S438" i="20" s="1"/>
  <c r="AA436" i="20"/>
  <c r="AA435" i="20" s="1"/>
  <c r="J436" i="20"/>
  <c r="J435" i="20" s="1"/>
  <c r="AC433" i="20"/>
  <c r="N433" i="20"/>
  <c r="W430" i="20"/>
  <c r="W429" i="20" s="1"/>
  <c r="K430" i="20"/>
  <c r="K429" i="20" s="1"/>
  <c r="AC427" i="20"/>
  <c r="Q427" i="20"/>
  <c r="E427" i="20"/>
  <c r="P445" i="20"/>
  <c r="P444" i="20" s="1"/>
  <c r="L442" i="20"/>
  <c r="R439" i="20"/>
  <c r="R438" i="20" s="1"/>
  <c r="Y436" i="20"/>
  <c r="Y435" i="20" s="1"/>
  <c r="I436" i="20"/>
  <c r="I435" i="20" s="1"/>
  <c r="AB433" i="20"/>
  <c r="J433" i="20"/>
  <c r="V430" i="20"/>
  <c r="V429" i="20" s="1"/>
  <c r="J430" i="20"/>
  <c r="J429" i="20" s="1"/>
  <c r="AB427" i="20"/>
  <c r="P427" i="20"/>
  <c r="D427" i="20"/>
  <c r="N445" i="20"/>
  <c r="N444" i="20" s="1"/>
  <c r="K442" i="20"/>
  <c r="AA433" i="20"/>
  <c r="T424" i="20"/>
  <c r="T423" i="20" s="1"/>
  <c r="O421" i="20"/>
  <c r="O420" i="20" s="1"/>
  <c r="K418" i="20"/>
  <c r="R415" i="20"/>
  <c r="Z433" i="20"/>
  <c r="L424" i="20"/>
  <c r="L423" i="20" s="1"/>
  <c r="N421" i="20"/>
  <c r="N420" i="20" s="1"/>
  <c r="J418" i="20"/>
  <c r="Q415" i="20"/>
  <c r="W412" i="20"/>
  <c r="W411" i="20" s="1"/>
  <c r="E412" i="20"/>
  <c r="E411" i="20" s="1"/>
  <c r="X436" i="20"/>
  <c r="X435" i="20" s="1"/>
  <c r="I433" i="20"/>
  <c r="U430" i="20"/>
  <c r="U429" i="20" s="1"/>
  <c r="K424" i="20"/>
  <c r="K423" i="20" s="1"/>
  <c r="K421" i="20"/>
  <c r="K420" i="20" s="1"/>
  <c r="AE418" i="20"/>
  <c r="I418" i="20"/>
  <c r="P415" i="20"/>
  <c r="V412" i="20"/>
  <c r="V411" i="20" s="1"/>
  <c r="W436" i="20"/>
  <c r="W435" i="20" s="1"/>
  <c r="H433" i="20"/>
  <c r="T430" i="20"/>
  <c r="T429" i="20" s="1"/>
  <c r="J424" i="20"/>
  <c r="J423" i="20" s="1"/>
  <c r="AD421" i="20"/>
  <c r="AD420" i="20" s="1"/>
  <c r="F421" i="20"/>
  <c r="F420" i="20" s="1"/>
  <c r="AC418" i="20"/>
  <c r="H418" i="20"/>
  <c r="O415" i="20"/>
  <c r="U412" i="20"/>
  <c r="U411" i="20" s="1"/>
  <c r="H436" i="20"/>
  <c r="H435" i="20" s="1"/>
  <c r="I430" i="20"/>
  <c r="I429" i="20" s="1"/>
  <c r="AA427" i="20"/>
  <c r="I424" i="20"/>
  <c r="I423" i="20" s="1"/>
  <c r="AC421" i="20"/>
  <c r="AC420" i="20" s="1"/>
  <c r="E421" i="20"/>
  <c r="E420" i="20" s="1"/>
  <c r="X418" i="20"/>
  <c r="G418" i="20"/>
  <c r="N415" i="20"/>
  <c r="T412" i="20"/>
  <c r="T411" i="20" s="1"/>
  <c r="D436" i="20"/>
  <c r="D435" i="20" s="1"/>
  <c r="H430" i="20"/>
  <c r="H429" i="20" s="1"/>
  <c r="Z427" i="20"/>
  <c r="H424" i="20"/>
  <c r="H423" i="20" s="1"/>
  <c r="AB421" i="20"/>
  <c r="AB420" i="20" s="1"/>
  <c r="D421" i="20"/>
  <c r="D420" i="20" s="1"/>
  <c r="W418" i="20"/>
  <c r="E418" i="20"/>
  <c r="AD415" i="20"/>
  <c r="M415" i="20"/>
  <c r="Q439" i="20"/>
  <c r="Q438" i="20" s="1"/>
  <c r="O427" i="20"/>
  <c r="AA421" i="20"/>
  <c r="AA420" i="20" s="1"/>
  <c r="C421" i="20"/>
  <c r="C420" i="20" s="1"/>
  <c r="V418" i="20"/>
  <c r="J445" i="20"/>
  <c r="J444" i="20" s="1"/>
  <c r="P439" i="20"/>
  <c r="P438" i="20" s="1"/>
  <c r="N427" i="20"/>
  <c r="Z421" i="20"/>
  <c r="Z420" i="20" s="1"/>
  <c r="C427" i="20"/>
  <c r="X424" i="20"/>
  <c r="X423" i="20" s="1"/>
  <c r="W421" i="20"/>
  <c r="W420" i="20" s="1"/>
  <c r="T418" i="20"/>
  <c r="AA415" i="20"/>
  <c r="E415" i="20"/>
  <c r="B427" i="20"/>
  <c r="W424" i="20"/>
  <c r="W423" i="20" s="1"/>
  <c r="R421" i="20"/>
  <c r="R420" i="20" s="1"/>
  <c r="S418" i="20"/>
  <c r="Z415" i="20"/>
  <c r="D415" i="20"/>
  <c r="J442" i="20"/>
  <c r="V424" i="20"/>
  <c r="V423" i="20" s="1"/>
  <c r="Q421" i="20"/>
  <c r="Q420" i="20" s="1"/>
  <c r="Q418" i="20"/>
  <c r="Y415" i="20"/>
  <c r="C415" i="20"/>
  <c r="AE412" i="20"/>
  <c r="AE411" i="20" s="1"/>
  <c r="I412" i="20"/>
  <c r="I411" i="20" s="1"/>
  <c r="U424" i="20"/>
  <c r="U423" i="20" s="1"/>
  <c r="P421" i="20"/>
  <c r="P420" i="20" s="1"/>
  <c r="L418" i="20"/>
  <c r="W415" i="20"/>
  <c r="B415" i="20"/>
  <c r="AC412" i="20"/>
  <c r="AC411" i="20" s="1"/>
  <c r="H412" i="20"/>
  <c r="H411" i="20" s="1"/>
  <c r="AB415" i="20"/>
  <c r="S412" i="20"/>
  <c r="S411" i="20" s="1"/>
  <c r="K415" i="20"/>
  <c r="Q412" i="20"/>
  <c r="Q411" i="20" s="1"/>
  <c r="F415" i="20"/>
  <c r="L412" i="20"/>
  <c r="L411" i="20" s="1"/>
  <c r="K412" i="20"/>
  <c r="K411" i="20" s="1"/>
  <c r="B421" i="20"/>
  <c r="B420" i="20" s="1"/>
  <c r="J412" i="20"/>
  <c r="J411" i="20" s="1"/>
  <c r="G412" i="20"/>
  <c r="G411" i="20" s="1"/>
  <c r="U418" i="20"/>
  <c r="X412" i="20"/>
  <c r="X411" i="20" s="1"/>
  <c r="AC415" i="20"/>
  <c r="K124" i="12"/>
  <c r="X124" i="12"/>
  <c r="EA7" i="14"/>
  <c r="CW7" i="14" s="1"/>
  <c r="AT7" i="14" a="1"/>
  <c r="AT7" i="14" s="1"/>
  <c r="EP7" i="14" s="1"/>
  <c r="DL7" i="14" s="1"/>
  <c r="EJ7" i="14"/>
  <c r="DF7" i="14" s="1"/>
  <c r="AS7" i="14" a="1"/>
  <c r="AS7" i="14" s="1"/>
  <c r="BW7" i="14" s="1"/>
  <c r="I3" i="43" s="1"/>
  <c r="EI7" i="14"/>
  <c r="DE7" i="14" s="1"/>
  <c r="EH7" i="14"/>
  <c r="DD7" i="14" s="1"/>
  <c r="AX7" i="14" a="1"/>
  <c r="AX7" i="14" s="1"/>
  <c r="AR7" i="14" a="1"/>
  <c r="AR7" i="14" s="1"/>
  <c r="EF7" i="14"/>
  <c r="DB7" i="14" s="1"/>
  <c r="AW7" i="14" a="1"/>
  <c r="AW7" i="14" s="1"/>
  <c r="CA7" i="14" s="1"/>
  <c r="M3" i="43" s="1"/>
  <c r="AQ7" i="14" a="1"/>
  <c r="AQ7" i="14" s="1"/>
  <c r="EM7" i="14" s="1"/>
  <c r="DI7" i="14" s="1"/>
  <c r="EE7" i="14"/>
  <c r="DA7" i="14" s="1"/>
  <c r="AV7" i="14" a="1"/>
  <c r="AV7" i="14" s="1"/>
  <c r="ER7" i="14" s="1"/>
  <c r="DN7" i="14" s="1"/>
  <c r="ED7" i="14"/>
  <c r="CZ7" i="14" s="1"/>
  <c r="AS11" i="14" a="1"/>
  <c r="AS11" i="14" s="1"/>
  <c r="AX11" i="14" s="1" a="1"/>
  <c r="AX11" i="14" s="1"/>
  <c r="BJ14" i="14" a="1"/>
  <c r="BJ14" i="14" s="1"/>
  <c r="CN14" i="14" s="1"/>
  <c r="Z10" i="43" s="1"/>
  <c r="BC19" i="14" a="1"/>
  <c r="BC19" i="14" s="1"/>
  <c r="CG19" i="14" s="1"/>
  <c r="S15" i="43" s="1"/>
  <c r="FC33" i="14"/>
  <c r="DY33" i="14" s="1"/>
  <c r="EQ33" i="14"/>
  <c r="DM33" i="14" s="1"/>
  <c r="EE33" i="14"/>
  <c r="DA33" i="14" s="1"/>
  <c r="EZ33" i="14"/>
  <c r="DV33" i="14" s="1"/>
  <c r="EN33" i="14"/>
  <c r="DJ33" i="14" s="1"/>
  <c r="EB33" i="14"/>
  <c r="CX33" i="14" s="1"/>
  <c r="BM33" i="14" a="1"/>
  <c r="BM33" i="14" s="1"/>
  <c r="CQ33" i="14" s="1"/>
  <c r="AC29" i="43" s="1"/>
  <c r="BG33" i="14" a="1"/>
  <c r="BG33" i="14" s="1"/>
  <c r="CK33" i="14" s="1"/>
  <c r="W29" i="43" s="1"/>
  <c r="BA33" i="14" a="1"/>
  <c r="BA33" i="14" s="1"/>
  <c r="CE33" i="14" s="1"/>
  <c r="Q29" i="43" s="1"/>
  <c r="AU33" i="14" a="1"/>
  <c r="AU33" i="14" s="1"/>
  <c r="BY33" i="14" s="1"/>
  <c r="K29" i="43" s="1"/>
  <c r="AO33" i="14" a="1"/>
  <c r="AO33" i="14" s="1"/>
  <c r="BS33" i="14" s="1"/>
  <c r="E29" i="43" s="1"/>
  <c r="EX33" i="14"/>
  <c r="DT33" i="14" s="1"/>
  <c r="EL33" i="14"/>
  <c r="DH33" i="14" s="1"/>
  <c r="BR33" i="14" a="1"/>
  <c r="BR33" i="14" s="1"/>
  <c r="CV33" i="14" s="1"/>
  <c r="AH29" i="43" s="1"/>
  <c r="BL33" i="14" a="1"/>
  <c r="BL33" i="14" s="1"/>
  <c r="CP33" i="14" s="1"/>
  <c r="AB29" i="43" s="1"/>
  <c r="BF33" i="14" a="1"/>
  <c r="BF33" i="14" s="1"/>
  <c r="CJ33" i="14" s="1"/>
  <c r="V29" i="43" s="1"/>
  <c r="FD33" i="14"/>
  <c r="DZ33" i="14" s="1"/>
  <c r="EM33" i="14"/>
  <c r="DI33" i="14" s="1"/>
  <c r="BO33" i="14" a="1"/>
  <c r="BO33" i="14" s="1"/>
  <c r="CS33" i="14" s="1"/>
  <c r="AE29" i="43" s="1"/>
  <c r="AY33" i="14" a="1"/>
  <c r="AY33" i="14" s="1"/>
  <c r="CC33" i="14" s="1"/>
  <c r="O29" i="43" s="1"/>
  <c r="AR33" i="14" a="1"/>
  <c r="AR33" i="14" s="1"/>
  <c r="BV33" i="14" s="1"/>
  <c r="H29" i="43" s="1"/>
  <c r="FA33" i="14"/>
  <c r="DW33" i="14" s="1"/>
  <c r="EJ33" i="14"/>
  <c r="DF33" i="14" s="1"/>
  <c r="BE33" i="14" a="1"/>
  <c r="BE33" i="14" s="1"/>
  <c r="CI33" i="14" s="1"/>
  <c r="U29" i="43" s="1"/>
  <c r="AX33" i="14" a="1"/>
  <c r="AX33" i="14" s="1"/>
  <c r="CB33" i="14" s="1"/>
  <c r="N29" i="43" s="1"/>
  <c r="AQ33" i="14" a="1"/>
  <c r="AQ33" i="14" s="1"/>
  <c r="BU33" i="14" s="1"/>
  <c r="G29" i="43" s="1"/>
  <c r="EY33" i="14"/>
  <c r="DU33" i="14" s="1"/>
  <c r="EI33" i="14"/>
  <c r="DE33" i="14" s="1"/>
  <c r="AP33" i="14" a="1"/>
  <c r="AP33" i="14" s="1"/>
  <c r="BT33" i="14" s="1"/>
  <c r="F29" i="43" s="1"/>
  <c r="EV33" i="14"/>
  <c r="DR33" i="14" s="1"/>
  <c r="EG33" i="14"/>
  <c r="DC33" i="14" s="1"/>
  <c r="BK33" i="14" a="1"/>
  <c r="BK33" i="14" s="1"/>
  <c r="CO33" i="14" s="1"/>
  <c r="AA29" i="43" s="1"/>
  <c r="AV33" i="14" a="1"/>
  <c r="AV33" i="14" s="1"/>
  <c r="BZ33" i="14" s="1"/>
  <c r="L29" i="43" s="1"/>
  <c r="EU33" i="14"/>
  <c r="DQ33" i="14" s="1"/>
  <c r="EF33" i="14"/>
  <c r="DB33" i="14" s="1"/>
  <c r="BC33" i="14" a="1"/>
  <c r="BC33" i="14" s="1"/>
  <c r="CG33" i="14" s="1"/>
  <c r="S29" i="43" s="1"/>
  <c r="ET33" i="14"/>
  <c r="DP33" i="14" s="1"/>
  <c r="ED33" i="14"/>
  <c r="CZ33" i="14" s="1"/>
  <c r="BJ33" i="14" a="1"/>
  <c r="BJ33" i="14" s="1"/>
  <c r="CN33" i="14" s="1"/>
  <c r="Z29" i="43" s="1"/>
  <c r="BB33" i="14" a="1"/>
  <c r="BB33" i="14" s="1"/>
  <c r="CF33" i="14" s="1"/>
  <c r="R29" i="43" s="1"/>
  <c r="ES33" i="14"/>
  <c r="DO33" i="14" s="1"/>
  <c r="AT33" i="14" a="1"/>
  <c r="AT33" i="14" s="1"/>
  <c r="BX33" i="14" s="1"/>
  <c r="J29" i="43" s="1"/>
  <c r="ER33" i="14"/>
  <c r="DN33" i="14" s="1"/>
  <c r="BI33" i="14" a="1"/>
  <c r="BI33" i="14" s="1"/>
  <c r="CM33" i="14" s="1"/>
  <c r="Y29" i="43" s="1"/>
  <c r="EP33" i="14"/>
  <c r="DL33" i="14" s="1"/>
  <c r="BH33" i="14" a="1"/>
  <c r="BH33" i="14" s="1"/>
  <c r="CL33" i="14" s="1"/>
  <c r="X29" i="43" s="1"/>
  <c r="AS33" i="14" a="1"/>
  <c r="AS33" i="14" s="1"/>
  <c r="BW33" i="14" s="1"/>
  <c r="I29" i="43" s="1"/>
  <c r="EO33" i="14"/>
  <c r="DK33" i="14" s="1"/>
  <c r="EK33" i="14"/>
  <c r="DG33" i="14" s="1"/>
  <c r="EH33" i="14"/>
  <c r="DD33" i="14" s="1"/>
  <c r="BD33" i="14" a="1"/>
  <c r="BD33" i="14" s="1"/>
  <c r="CH33" i="14" s="1"/>
  <c r="T29" i="43" s="1"/>
  <c r="EC33" i="14"/>
  <c r="CY33" i="14" s="1"/>
  <c r="BQ33" i="14" a="1"/>
  <c r="BQ33" i="14" s="1"/>
  <c r="CU33" i="14" s="1"/>
  <c r="AG29" i="43" s="1"/>
  <c r="EA33" i="14"/>
  <c r="CW33" i="14" s="1"/>
  <c r="BP33" i="14" a="1"/>
  <c r="BP33" i="14" s="1"/>
  <c r="CT33" i="14" s="1"/>
  <c r="AF29" i="43" s="1"/>
  <c r="AZ33" i="14" a="1"/>
  <c r="AZ33" i="14" s="1"/>
  <c r="CD33" i="14" s="1"/>
  <c r="P29" i="43" s="1"/>
  <c r="L124" i="12"/>
  <c r="Y124" i="12"/>
  <c r="EG7" i="14"/>
  <c r="DC7" i="14" s="1"/>
  <c r="BP12" i="14" a="1"/>
  <c r="BP12" i="14" s="1"/>
  <c r="CT12" i="14" s="1"/>
  <c r="AF8" i="43" s="1"/>
  <c r="BJ12" i="14" a="1"/>
  <c r="BJ12" i="14" s="1"/>
  <c r="CN12" i="14" s="1"/>
  <c r="Z8" i="43" s="1"/>
  <c r="BD12" i="14" a="1"/>
  <c r="BD12" i="14" s="1"/>
  <c r="CH12" i="14" s="1"/>
  <c r="T8" i="43" s="1"/>
  <c r="AX12" i="14" a="1"/>
  <c r="AX12" i="14" s="1"/>
  <c r="CB12" i="14" s="1"/>
  <c r="N8" i="43" s="1"/>
  <c r="AR12" i="14" a="1"/>
  <c r="AR12" i="14" s="1"/>
  <c r="BV12" i="14" s="1"/>
  <c r="H8" i="43" s="1"/>
  <c r="BM12" i="14" a="1"/>
  <c r="BM12" i="14" s="1"/>
  <c r="CQ12" i="14" s="1"/>
  <c r="AC8" i="43" s="1"/>
  <c r="BG12" i="14" a="1"/>
  <c r="BG12" i="14" s="1"/>
  <c r="CK12" i="14" s="1"/>
  <c r="W8" i="43" s="1"/>
  <c r="BA12" i="14" a="1"/>
  <c r="BA12" i="14" s="1"/>
  <c r="CE12" i="14" s="1"/>
  <c r="Q8" i="43" s="1"/>
  <c r="AU12" i="14" a="1"/>
  <c r="AU12" i="14" s="1"/>
  <c r="BY12" i="14" s="1"/>
  <c r="K8" i="43" s="1"/>
  <c r="AO12" i="14" a="1"/>
  <c r="AO12" i="14" s="1"/>
  <c r="BS12" i="14" s="1"/>
  <c r="E8" i="43" s="1"/>
  <c r="BK12" i="14" a="1"/>
  <c r="BK12" i="14" s="1"/>
  <c r="CO12" i="14" s="1"/>
  <c r="AA8" i="43" s="1"/>
  <c r="JK43" i="14"/>
  <c r="IY43" i="14"/>
  <c r="JI43" i="14"/>
  <c r="IW43" i="14"/>
  <c r="JT43" i="14"/>
  <c r="JH43" i="14"/>
  <c r="IV43" i="14"/>
  <c r="JS43" i="14"/>
  <c r="JG43" i="14"/>
  <c r="IU43" i="14"/>
  <c r="JR43" i="14"/>
  <c r="JF43" i="14"/>
  <c r="IT43" i="14"/>
  <c r="JP43" i="14"/>
  <c r="JD43" i="14"/>
  <c r="IR43" i="14"/>
  <c r="JE43" i="14"/>
  <c r="JC43" i="14"/>
  <c r="JB43" i="14"/>
  <c r="JA43" i="14"/>
  <c r="IX43" i="14"/>
  <c r="JQ43" i="14"/>
  <c r="IS43" i="14"/>
  <c r="JO43" i="14"/>
  <c r="IQ43" i="14"/>
  <c r="JM43" i="14"/>
  <c r="JL43" i="14"/>
  <c r="JJ43" i="14"/>
  <c r="IZ43" i="14"/>
  <c r="EW33" i="14"/>
  <c r="DS33" i="14" s="1"/>
  <c r="ES14" i="14"/>
  <c r="DO14" i="14" s="1"/>
  <c r="FB33" i="14"/>
  <c r="DX33" i="14" s="1"/>
  <c r="JM53" i="14"/>
  <c r="JA53" i="14"/>
  <c r="JK53" i="14"/>
  <c r="IY53" i="14"/>
  <c r="JJ53" i="14"/>
  <c r="IX53" i="14"/>
  <c r="JI53" i="14"/>
  <c r="IW53" i="14"/>
  <c r="JT53" i="14"/>
  <c r="JH53" i="14"/>
  <c r="IV53" i="14"/>
  <c r="JR53" i="14"/>
  <c r="JF53" i="14"/>
  <c r="IT53" i="14"/>
  <c r="JQ53" i="14"/>
  <c r="JE53" i="14"/>
  <c r="IS53" i="14"/>
  <c r="JG53" i="14"/>
  <c r="JD53" i="14"/>
  <c r="JC53" i="14"/>
  <c r="JB53" i="14"/>
  <c r="IU53" i="14"/>
  <c r="IR53" i="14"/>
  <c r="JS53" i="14"/>
  <c r="IQ53" i="14"/>
  <c r="JP53" i="14"/>
  <c r="JO53" i="14"/>
  <c r="JN53" i="14"/>
  <c r="JL53" i="14"/>
  <c r="IZ53" i="14"/>
  <c r="FC16" i="14"/>
  <c r="DY16" i="14" s="1"/>
  <c r="EQ16" i="14"/>
  <c r="DM16" i="14" s="1"/>
  <c r="EE16" i="14"/>
  <c r="DA16" i="14" s="1"/>
  <c r="EY16" i="14"/>
  <c r="DU16" i="14" s="1"/>
  <c r="EM16" i="14"/>
  <c r="DI16" i="14" s="1"/>
  <c r="EA16" i="14"/>
  <c r="CW16" i="14" s="1"/>
  <c r="EX16" i="14"/>
  <c r="DT16" i="14" s="1"/>
  <c r="EL16" i="14"/>
  <c r="DH16" i="14" s="1"/>
  <c r="EF16" i="14"/>
  <c r="DB16" i="14" s="1"/>
  <c r="EU16" i="14"/>
  <c r="DQ16" i="14" s="1"/>
  <c r="AR44" i="14" a="1"/>
  <c r="AR44" i="14" s="1"/>
  <c r="AW44" i="14" s="1" a="1"/>
  <c r="AW44" i="14" s="1"/>
  <c r="AQ44" i="14" a="1"/>
  <c r="AQ44" i="14" s="1"/>
  <c r="AV44" i="14" s="1" a="1"/>
  <c r="AV44" i="14" s="1"/>
  <c r="EE44" i="14"/>
  <c r="DA44" i="14" s="1"/>
  <c r="ED44" i="14"/>
  <c r="CZ44" i="14" s="1"/>
  <c r="AP44" i="14" a="1"/>
  <c r="AP44" i="14" s="1"/>
  <c r="BT44" i="14" s="1"/>
  <c r="F40" i="43" s="1"/>
  <c r="EC44" i="14"/>
  <c r="CY44" i="14" s="1"/>
  <c r="EA44" i="14"/>
  <c r="CW44" i="14" s="1"/>
  <c r="AS44" i="14" a="1"/>
  <c r="AS44" i="14" s="1"/>
  <c r="BW44" i="14" s="1"/>
  <c r="I40" i="43" s="1"/>
  <c r="BP55" i="14" a="1"/>
  <c r="BP55" i="14" s="1"/>
  <c r="CT55" i="14" s="1"/>
  <c r="AF51" i="43" s="1"/>
  <c r="AQ6" i="14" a="1"/>
  <c r="AQ6" i="14" s="1"/>
  <c r="BU6" i="14" s="1"/>
  <c r="G2" i="43" s="1"/>
  <c r="AW6" i="14" a="1"/>
  <c r="AW6" i="14" s="1"/>
  <c r="CA6" i="14" s="1"/>
  <c r="M2" i="43" s="1"/>
  <c r="BC6" i="14" a="1"/>
  <c r="BC6" i="14" s="1"/>
  <c r="CG6" i="14" s="1"/>
  <c r="S2" i="43" s="1"/>
  <c r="BI6" i="14" a="1"/>
  <c r="BI6" i="14" s="1"/>
  <c r="CM6" i="14" s="1"/>
  <c r="Y2" i="43" s="1"/>
  <c r="BO6" i="14" a="1"/>
  <c r="BO6" i="14" s="1"/>
  <c r="CS6" i="14" s="1"/>
  <c r="AE2" i="43" s="1"/>
  <c r="EF6" i="14"/>
  <c r="DB6" i="14" s="1"/>
  <c r="ER6" i="14"/>
  <c r="DN6" i="14" s="1"/>
  <c r="FD6" i="14"/>
  <c r="DZ6" i="14" s="1"/>
  <c r="IU7" i="14"/>
  <c r="JG7" i="14"/>
  <c r="JS7" i="14"/>
  <c r="AP8" i="14" a="1"/>
  <c r="AP8" i="14" s="1"/>
  <c r="AV8" i="14" a="1"/>
  <c r="AV8" i="14" s="1"/>
  <c r="BZ8" i="14" s="1"/>
  <c r="L4" i="43" s="1"/>
  <c r="EA11" i="14"/>
  <c r="CW11" i="14" s="1"/>
  <c r="AT12" i="14" a="1"/>
  <c r="AT12" i="14" s="1"/>
  <c r="BX12" i="14" s="1"/>
  <c r="J8" i="43" s="1"/>
  <c r="AZ12" i="14" a="1"/>
  <c r="AZ12" i="14" s="1"/>
  <c r="CD12" i="14" s="1"/>
  <c r="P8" i="43" s="1"/>
  <c r="BF12" i="14" a="1"/>
  <c r="BF12" i="14" s="1"/>
  <c r="CJ12" i="14" s="1"/>
  <c r="V8" i="43" s="1"/>
  <c r="BL12" i="14" a="1"/>
  <c r="BL12" i="14" s="1"/>
  <c r="CP12" i="14" s="1"/>
  <c r="AB8" i="43" s="1"/>
  <c r="BR12" i="14" a="1"/>
  <c r="BR12" i="14" s="1"/>
  <c r="CV12" i="14" s="1"/>
  <c r="AH8" i="43" s="1"/>
  <c r="EL12" i="14"/>
  <c r="DH12" i="14" s="1"/>
  <c r="EX12" i="14"/>
  <c r="DT12" i="14" s="1"/>
  <c r="JB12" i="14"/>
  <c r="JN12" i="14"/>
  <c r="EK13" i="14"/>
  <c r="DG13" i="14" s="1"/>
  <c r="EW13" i="14"/>
  <c r="DS13" i="14" s="1"/>
  <c r="JA13" i="14"/>
  <c r="JM13" i="14"/>
  <c r="IZ14" i="14"/>
  <c r="JL14" i="14"/>
  <c r="AR16" i="14" a="1"/>
  <c r="AR16" i="14" s="1"/>
  <c r="BV16" i="14" s="1"/>
  <c r="H12" i="43" s="1"/>
  <c r="AX16" i="14" a="1"/>
  <c r="AX16" i="14" s="1"/>
  <c r="CB16" i="14" s="1"/>
  <c r="N12" i="43" s="1"/>
  <c r="BD16" i="14" a="1"/>
  <c r="BD16" i="14" s="1"/>
  <c r="CH16" i="14" s="1"/>
  <c r="T12" i="43" s="1"/>
  <c r="BJ16" i="14" a="1"/>
  <c r="BJ16" i="14" s="1"/>
  <c r="CN16" i="14" s="1"/>
  <c r="Z12" i="43" s="1"/>
  <c r="BP16" i="14" a="1"/>
  <c r="BP16" i="14" s="1"/>
  <c r="CT16" i="14" s="1"/>
  <c r="AF12" i="43" s="1"/>
  <c r="EG16" i="14"/>
  <c r="DC16" i="14" s="1"/>
  <c r="EV16" i="14"/>
  <c r="DR16" i="14" s="1"/>
  <c r="JE16" i="14"/>
  <c r="AY17" i="14" a="1"/>
  <c r="AY17" i="14" s="1"/>
  <c r="CC17" i="14" s="1"/>
  <c r="O13" i="43" s="1"/>
  <c r="JQ18" i="14"/>
  <c r="JE18" i="14"/>
  <c r="IS18" i="14"/>
  <c r="JM18" i="14"/>
  <c r="JA18" i="14"/>
  <c r="JL18" i="14"/>
  <c r="IZ18" i="14"/>
  <c r="AV18" i="14" a="1"/>
  <c r="AV18" i="14" s="1"/>
  <c r="BZ18" i="14" s="1"/>
  <c r="L14" i="43" s="1"/>
  <c r="BL18" i="14" a="1"/>
  <c r="BL18" i="14" s="1"/>
  <c r="CP18" i="14" s="1"/>
  <c r="AB14" i="43" s="1"/>
  <c r="EG18" i="14"/>
  <c r="DC18" i="14" s="1"/>
  <c r="EX18" i="14"/>
  <c r="DT18" i="14" s="1"/>
  <c r="JF18" i="14"/>
  <c r="AZ19" i="14" a="1"/>
  <c r="AZ19" i="14" s="1"/>
  <c r="CD19" i="14" s="1"/>
  <c r="P15" i="43" s="1"/>
  <c r="BH19" i="14" a="1"/>
  <c r="BH19" i="14" s="1"/>
  <c r="CL19" i="14" s="1"/>
  <c r="X15" i="43" s="1"/>
  <c r="IW19" i="14"/>
  <c r="JN19" i="14"/>
  <c r="JO20" i="14"/>
  <c r="JC20" i="14"/>
  <c r="IQ20" i="14"/>
  <c r="JK20" i="14"/>
  <c r="IY20" i="14"/>
  <c r="JJ20" i="14"/>
  <c r="IX20" i="14"/>
  <c r="AV20" i="14" a="1"/>
  <c r="AV20" i="14" s="1"/>
  <c r="EG20" i="14"/>
  <c r="DC20" i="14" s="1"/>
  <c r="JF20" i="14"/>
  <c r="AQ21" i="14" a="1"/>
  <c r="AQ21" i="14" s="1"/>
  <c r="AU23" i="14" a="1"/>
  <c r="AU23" i="14" s="1"/>
  <c r="BY23" i="14" s="1"/>
  <c r="K19" i="43" s="1"/>
  <c r="JM24" i="14"/>
  <c r="JA24" i="14"/>
  <c r="JK24" i="14"/>
  <c r="IY24" i="14"/>
  <c r="JJ24" i="14"/>
  <c r="IX24" i="14"/>
  <c r="JT24" i="14"/>
  <c r="JH24" i="14"/>
  <c r="IV24" i="14"/>
  <c r="JS24" i="14"/>
  <c r="JG24" i="14"/>
  <c r="IU24" i="14"/>
  <c r="JR24" i="14"/>
  <c r="JF24" i="14"/>
  <c r="IT24" i="14"/>
  <c r="AX24" i="14" a="1"/>
  <c r="AX24" i="14" s="1"/>
  <c r="BH24" i="14" s="1" a="1"/>
  <c r="BH24" i="14" s="1"/>
  <c r="FD24" i="14" s="1"/>
  <c r="DZ24" i="14" s="1"/>
  <c r="EB24" i="14"/>
  <c r="CX24" i="14" s="1"/>
  <c r="JC24" i="14"/>
  <c r="AW25" i="14" a="1"/>
  <c r="AW25" i="14" s="1"/>
  <c r="BG25" i="14" s="1" a="1"/>
  <c r="BG25" i="14" s="1"/>
  <c r="CK25" i="14" s="1"/>
  <c r="W21" i="43" s="1"/>
  <c r="AW26" i="14" a="1"/>
  <c r="AW26" i="14" s="1"/>
  <c r="CA26" i="14" s="1"/>
  <c r="M22" i="43" s="1"/>
  <c r="AQ26" i="14" a="1"/>
  <c r="AQ26" i="14" s="1"/>
  <c r="BU26" i="14" s="1"/>
  <c r="G22" i="43" s="1"/>
  <c r="AV26" i="14" a="1"/>
  <c r="AV26" i="14" s="1"/>
  <c r="AP26" i="14" a="1"/>
  <c r="AP26" i="14" s="1"/>
  <c r="JJ27" i="14"/>
  <c r="IX27" i="14"/>
  <c r="JT27" i="14"/>
  <c r="JH27" i="14"/>
  <c r="IV27" i="14"/>
  <c r="JS27" i="14"/>
  <c r="JG27" i="14"/>
  <c r="IU27" i="14"/>
  <c r="JQ27" i="14"/>
  <c r="JE27" i="14"/>
  <c r="IS27" i="14"/>
  <c r="JP27" i="14"/>
  <c r="JD27" i="14"/>
  <c r="IR27" i="14"/>
  <c r="JO27" i="14"/>
  <c r="JC27" i="14"/>
  <c r="IQ27" i="14"/>
  <c r="JN27" i="14"/>
  <c r="EU29" i="14"/>
  <c r="DQ29" i="14" s="1"/>
  <c r="AR30" i="14" a="1"/>
  <c r="AR30" i="14" s="1"/>
  <c r="BV30" i="14" s="1"/>
  <c r="H26" i="43" s="1"/>
  <c r="BD30" i="14" a="1"/>
  <c r="BD30" i="14" s="1"/>
  <c r="CH30" i="14" s="1"/>
  <c r="T26" i="43" s="1"/>
  <c r="BP30" i="14" a="1"/>
  <c r="BP30" i="14" s="1"/>
  <c r="CT30" i="14" s="1"/>
  <c r="AF26" i="43" s="1"/>
  <c r="EH30" i="14"/>
  <c r="DD30" i="14" s="1"/>
  <c r="IW31" i="14"/>
  <c r="EZ36" i="14"/>
  <c r="DV36" i="14" s="1"/>
  <c r="EN36" i="14"/>
  <c r="DJ36" i="14" s="1"/>
  <c r="EB36" i="14"/>
  <c r="CX36" i="14" s="1"/>
  <c r="BM36" i="14" a="1"/>
  <c r="BM36" i="14" s="1"/>
  <c r="CQ36" i="14" s="1"/>
  <c r="AC32" i="43" s="1"/>
  <c r="BG36" i="14" a="1"/>
  <c r="BG36" i="14" s="1"/>
  <c r="CK36" i="14" s="1"/>
  <c r="W32" i="43" s="1"/>
  <c r="BA36" i="14" a="1"/>
  <c r="BA36" i="14" s="1"/>
  <c r="CE36" i="14" s="1"/>
  <c r="Q32" i="43" s="1"/>
  <c r="AU36" i="14" a="1"/>
  <c r="AU36" i="14" s="1"/>
  <c r="BY36" i="14" s="1"/>
  <c r="K32" i="43" s="1"/>
  <c r="AO36" i="14" a="1"/>
  <c r="AO36" i="14" s="1"/>
  <c r="BS36" i="14" s="1"/>
  <c r="E32" i="43" s="1"/>
  <c r="EX36" i="14"/>
  <c r="DT36" i="14" s="1"/>
  <c r="EL36" i="14"/>
  <c r="DH36" i="14" s="1"/>
  <c r="BR36" i="14" a="1"/>
  <c r="BR36" i="14" s="1"/>
  <c r="CV36" i="14" s="1"/>
  <c r="AH32" i="43" s="1"/>
  <c r="BL36" i="14" a="1"/>
  <c r="BL36" i="14" s="1"/>
  <c r="CP36" i="14" s="1"/>
  <c r="AB32" i="43" s="1"/>
  <c r="BF36" i="14" a="1"/>
  <c r="BF36" i="14" s="1"/>
  <c r="CJ36" i="14" s="1"/>
  <c r="V32" i="43" s="1"/>
  <c r="AZ36" i="14" a="1"/>
  <c r="AZ36" i="14" s="1"/>
  <c r="CD36" i="14" s="1"/>
  <c r="P32" i="43" s="1"/>
  <c r="AT36" i="14" a="1"/>
  <c r="AT36" i="14" s="1"/>
  <c r="BX36" i="14" s="1"/>
  <c r="J32" i="43" s="1"/>
  <c r="EW36" i="14"/>
  <c r="DS36" i="14" s="1"/>
  <c r="EK36" i="14"/>
  <c r="DG36" i="14" s="1"/>
  <c r="EU36" i="14"/>
  <c r="DQ36" i="14" s="1"/>
  <c r="EI36" i="14"/>
  <c r="DE36" i="14" s="1"/>
  <c r="EQ36" i="14"/>
  <c r="DM36" i="14" s="1"/>
  <c r="BK36" i="14" a="1"/>
  <c r="BK36" i="14" s="1"/>
  <c r="CO36" i="14" s="1"/>
  <c r="AA32" i="43" s="1"/>
  <c r="AS36" i="14" a="1"/>
  <c r="AS36" i="14" s="1"/>
  <c r="BW36" i="14" s="1"/>
  <c r="I32" i="43" s="1"/>
  <c r="EO36" i="14"/>
  <c r="DK36" i="14" s="1"/>
  <c r="FD36" i="14"/>
  <c r="DZ36" i="14" s="1"/>
  <c r="EM36" i="14"/>
  <c r="DI36" i="14" s="1"/>
  <c r="BI36" i="14" a="1"/>
  <c r="BI36" i="14" s="1"/>
  <c r="CM36" i="14" s="1"/>
  <c r="Y32" i="43" s="1"/>
  <c r="AQ36" i="14" a="1"/>
  <c r="AQ36" i="14" s="1"/>
  <c r="BU36" i="14" s="1"/>
  <c r="G32" i="43" s="1"/>
  <c r="FB36" i="14"/>
  <c r="DX36" i="14" s="1"/>
  <c r="EH36" i="14"/>
  <c r="DD36" i="14" s="1"/>
  <c r="BP36" i="14" a="1"/>
  <c r="BP36" i="14" s="1"/>
  <c r="CT36" i="14" s="1"/>
  <c r="AF32" i="43" s="1"/>
  <c r="BH36" i="14" a="1"/>
  <c r="BH36" i="14" s="1"/>
  <c r="CL36" i="14" s="1"/>
  <c r="X32" i="43" s="1"/>
  <c r="AX36" i="14" a="1"/>
  <c r="AX36" i="14" s="1"/>
  <c r="CB36" i="14" s="1"/>
  <c r="N32" i="43" s="1"/>
  <c r="AP36" i="14" a="1"/>
  <c r="AP36" i="14" s="1"/>
  <c r="BT36" i="14" s="1"/>
  <c r="F32" i="43" s="1"/>
  <c r="FA36" i="14"/>
  <c r="DW36" i="14" s="1"/>
  <c r="EG36" i="14"/>
  <c r="DC36" i="14" s="1"/>
  <c r="EY36" i="14"/>
  <c r="DU36" i="14" s="1"/>
  <c r="EF36" i="14"/>
  <c r="DB36" i="14" s="1"/>
  <c r="BO36" i="14" a="1"/>
  <c r="BO36" i="14" s="1"/>
  <c r="CS36" i="14" s="1"/>
  <c r="AE32" i="43" s="1"/>
  <c r="AW36" i="14" a="1"/>
  <c r="AW36" i="14" s="1"/>
  <c r="CA36" i="14" s="1"/>
  <c r="M32" i="43" s="1"/>
  <c r="AY36" i="14" a="1"/>
  <c r="AY36" i="14" s="1"/>
  <c r="CC36" i="14" s="1"/>
  <c r="O32" i="43" s="1"/>
  <c r="BQ36" i="14" a="1"/>
  <c r="BQ36" i="14" s="1"/>
  <c r="CU36" i="14" s="1"/>
  <c r="AG32" i="43" s="1"/>
  <c r="EJ36" i="14"/>
  <c r="DF36" i="14" s="1"/>
  <c r="JP39" i="14"/>
  <c r="AW40" i="14" a="1"/>
  <c r="AW40" i="14" s="1"/>
  <c r="IS40" i="14"/>
  <c r="AX41" i="14" a="1"/>
  <c r="AX41" i="14" s="1"/>
  <c r="BH41" i="14" s="1" a="1"/>
  <c r="BH41" i="14" s="1"/>
  <c r="AR41" i="14" a="1"/>
  <c r="AR41" i="14" s="1"/>
  <c r="EN41" i="14" s="1"/>
  <c r="DJ41" i="14" s="1"/>
  <c r="AU41" i="14" a="1"/>
  <c r="AU41" i="14" s="1"/>
  <c r="BE41" i="14" s="1" a="1"/>
  <c r="BE41" i="14" s="1"/>
  <c r="AT41" i="14" a="1"/>
  <c r="AT41" i="14" s="1"/>
  <c r="BD41" i="14" s="1" a="1"/>
  <c r="BD41" i="14" s="1"/>
  <c r="AO41" i="14" a="1"/>
  <c r="AO41" i="14" s="1"/>
  <c r="AY45" i="14" a="1"/>
  <c r="AY45" i="14" s="1"/>
  <c r="CC45" i="14" s="1"/>
  <c r="O41" i="43" s="1"/>
  <c r="BQ56" i="14" a="1"/>
  <c r="BQ56" i="14" s="1"/>
  <c r="CU56" i="14" s="1"/>
  <c r="AG52" i="43" s="1"/>
  <c r="EG6" i="14"/>
  <c r="DC6" i="14" s="1"/>
  <c r="ES6" i="14"/>
  <c r="DO6" i="14" s="1"/>
  <c r="IV7" i="14"/>
  <c r="JH7" i="14"/>
  <c r="JT7" i="14"/>
  <c r="AP9" i="14" a="1"/>
  <c r="AP9" i="14" s="1"/>
  <c r="AV9" i="14" a="1"/>
  <c r="AV9" i="14" s="1"/>
  <c r="ER9" i="14" s="1"/>
  <c r="DN9" i="14" s="1"/>
  <c r="AT13" i="14" a="1"/>
  <c r="AT13" i="14" s="1"/>
  <c r="BX13" i="14" s="1"/>
  <c r="J9" i="43" s="1"/>
  <c r="AZ13" i="14" a="1"/>
  <c r="AZ13" i="14" s="1"/>
  <c r="CD13" i="14" s="1"/>
  <c r="P9" i="43" s="1"/>
  <c r="BF13" i="14" a="1"/>
  <c r="BF13" i="14" s="1"/>
  <c r="CJ13" i="14" s="1"/>
  <c r="V9" i="43" s="1"/>
  <c r="BL13" i="14" a="1"/>
  <c r="BL13" i="14" s="1"/>
  <c r="CP13" i="14" s="1"/>
  <c r="AB9" i="43" s="1"/>
  <c r="BR13" i="14" a="1"/>
  <c r="BR13" i="14" s="1"/>
  <c r="CV13" i="14" s="1"/>
  <c r="AH9" i="43" s="1"/>
  <c r="EL13" i="14"/>
  <c r="DH13" i="14" s="1"/>
  <c r="EX13" i="14"/>
  <c r="DT13" i="14" s="1"/>
  <c r="JB13" i="14"/>
  <c r="JN13" i="14"/>
  <c r="JA14" i="14"/>
  <c r="JM14" i="14"/>
  <c r="EH16" i="14"/>
  <c r="DD16" i="14" s="1"/>
  <c r="EW16" i="14"/>
  <c r="DS16" i="14" s="1"/>
  <c r="FB17" i="14"/>
  <c r="DX17" i="14" s="1"/>
  <c r="EP17" i="14"/>
  <c r="DL17" i="14" s="1"/>
  <c r="ED17" i="14"/>
  <c r="CZ17" i="14" s="1"/>
  <c r="BN17" i="14" a="1"/>
  <c r="BN17" i="14" s="1"/>
  <c r="CR17" i="14" s="1"/>
  <c r="AD13" i="43" s="1"/>
  <c r="BH17" i="14" a="1"/>
  <c r="BH17" i="14" s="1"/>
  <c r="CL17" i="14" s="1"/>
  <c r="X13" i="43" s="1"/>
  <c r="BB17" i="14" a="1"/>
  <c r="BB17" i="14" s="1"/>
  <c r="CF17" i="14" s="1"/>
  <c r="R13" i="43" s="1"/>
  <c r="AV17" i="14" a="1"/>
  <c r="AV17" i="14" s="1"/>
  <c r="BZ17" i="14" s="1"/>
  <c r="L13" i="43" s="1"/>
  <c r="AP17" i="14" a="1"/>
  <c r="AP17" i="14" s="1"/>
  <c r="BT17" i="14" s="1"/>
  <c r="F13" i="43" s="1"/>
  <c r="EX17" i="14"/>
  <c r="DT17" i="14" s="1"/>
  <c r="EL17" i="14"/>
  <c r="DH17" i="14" s="1"/>
  <c r="BR17" i="14" a="1"/>
  <c r="BR17" i="14" s="1"/>
  <c r="CV17" i="14" s="1"/>
  <c r="AH13" i="43" s="1"/>
  <c r="BL17" i="14" a="1"/>
  <c r="BL17" i="14" s="1"/>
  <c r="CP17" i="14" s="1"/>
  <c r="AB13" i="43" s="1"/>
  <c r="BF17" i="14" a="1"/>
  <c r="BF17" i="14" s="1"/>
  <c r="CJ17" i="14" s="1"/>
  <c r="V13" i="43" s="1"/>
  <c r="AZ17" i="14" a="1"/>
  <c r="AZ17" i="14" s="1"/>
  <c r="CD17" i="14" s="1"/>
  <c r="P13" i="43" s="1"/>
  <c r="AT17" i="14" a="1"/>
  <c r="AT17" i="14" s="1"/>
  <c r="BX17" i="14" s="1"/>
  <c r="J13" i="43" s="1"/>
  <c r="EW17" i="14"/>
  <c r="DS17" i="14" s="1"/>
  <c r="EK17" i="14"/>
  <c r="DG17" i="14" s="1"/>
  <c r="AR17" i="14" a="1"/>
  <c r="AR17" i="14" s="1"/>
  <c r="BV17" i="14" s="1"/>
  <c r="H13" i="43" s="1"/>
  <c r="BP17" i="14" a="1"/>
  <c r="BP17" i="14" s="1"/>
  <c r="CT17" i="14" s="1"/>
  <c r="AF13" i="43" s="1"/>
  <c r="EA17" i="14"/>
  <c r="CW17" i="14" s="1"/>
  <c r="EQ17" i="14"/>
  <c r="DM17" i="14" s="1"/>
  <c r="BD18" i="14" a="1"/>
  <c r="BD18" i="14" s="1"/>
  <c r="CH18" i="14" s="1"/>
  <c r="T14" i="43" s="1"/>
  <c r="EH18" i="14"/>
  <c r="DD18" i="14" s="1"/>
  <c r="EY18" i="14"/>
  <c r="DU18" i="14" s="1"/>
  <c r="IQ18" i="14"/>
  <c r="JG18" i="14"/>
  <c r="EZ19" i="14"/>
  <c r="DV19" i="14" s="1"/>
  <c r="EN19" i="14"/>
  <c r="DJ19" i="14" s="1"/>
  <c r="EB19" i="14"/>
  <c r="CX19" i="14" s="1"/>
  <c r="BM19" i="14" a="1"/>
  <c r="BM19" i="14" s="1"/>
  <c r="CQ19" i="14" s="1"/>
  <c r="AC15" i="43" s="1"/>
  <c r="BG19" i="14" a="1"/>
  <c r="BG19" i="14" s="1"/>
  <c r="CK19" i="14" s="1"/>
  <c r="W15" i="43" s="1"/>
  <c r="BA19" i="14" a="1"/>
  <c r="BA19" i="14" s="1"/>
  <c r="CE19" i="14" s="1"/>
  <c r="Q15" i="43" s="1"/>
  <c r="AU19" i="14" a="1"/>
  <c r="AU19" i="14" s="1"/>
  <c r="BY19" i="14" s="1"/>
  <c r="K15" i="43" s="1"/>
  <c r="AO19" i="14" a="1"/>
  <c r="AO19" i="14" s="1"/>
  <c r="BS19" i="14" s="1"/>
  <c r="E15" i="43" s="1"/>
  <c r="EV19" i="14"/>
  <c r="DR19" i="14" s="1"/>
  <c r="EJ19" i="14"/>
  <c r="DF19" i="14" s="1"/>
  <c r="BQ19" i="14" a="1"/>
  <c r="BQ19" i="14" s="1"/>
  <c r="CU19" i="14" s="1"/>
  <c r="AG15" i="43" s="1"/>
  <c r="BK19" i="14" a="1"/>
  <c r="BK19" i="14" s="1"/>
  <c r="CO19" i="14" s="1"/>
  <c r="AA15" i="43" s="1"/>
  <c r="BE19" i="14" a="1"/>
  <c r="BE19" i="14" s="1"/>
  <c r="CI19" i="14" s="1"/>
  <c r="U15" i="43" s="1"/>
  <c r="AY19" i="14" a="1"/>
  <c r="AY19" i="14" s="1"/>
  <c r="CC19" i="14" s="1"/>
  <c r="O15" i="43" s="1"/>
  <c r="AS19" i="14" a="1"/>
  <c r="AS19" i="14" s="1"/>
  <c r="BW19" i="14" s="1"/>
  <c r="I15" i="43" s="1"/>
  <c r="EU19" i="14"/>
  <c r="DQ19" i="14" s="1"/>
  <c r="EI19" i="14"/>
  <c r="DE19" i="14" s="1"/>
  <c r="AR19" i="14" a="1"/>
  <c r="AR19" i="14" s="1"/>
  <c r="BV19" i="14" s="1"/>
  <c r="H15" i="43" s="1"/>
  <c r="BP19" i="14" a="1"/>
  <c r="BP19" i="14" s="1"/>
  <c r="CT19" i="14" s="1"/>
  <c r="AF15" i="43" s="1"/>
  <c r="EA19" i="14"/>
  <c r="CW19" i="14" s="1"/>
  <c r="EQ19" i="14"/>
  <c r="DM19" i="14" s="1"/>
  <c r="IX19" i="14"/>
  <c r="JO19" i="14"/>
  <c r="AO20" i="14" a="1"/>
  <c r="AO20" i="14" s="1"/>
  <c r="EJ20" i="14"/>
  <c r="DF20" i="14" s="1"/>
  <c r="IR20" i="14"/>
  <c r="JG20" i="14"/>
  <c r="CW21" i="14"/>
  <c r="JO22" i="14"/>
  <c r="JC22" i="14"/>
  <c r="IQ22" i="14"/>
  <c r="JM22" i="14"/>
  <c r="JA22" i="14"/>
  <c r="JJ22" i="14"/>
  <c r="IX22" i="14"/>
  <c r="JI22" i="14"/>
  <c r="IW22" i="14"/>
  <c r="JT22" i="14"/>
  <c r="JH22" i="14"/>
  <c r="IV22" i="14"/>
  <c r="JG22" i="14"/>
  <c r="EC24" i="14"/>
  <c r="CY24" i="14" s="1"/>
  <c r="JD24" i="14"/>
  <c r="JK26" i="14"/>
  <c r="IY26" i="14"/>
  <c r="JI26" i="14"/>
  <c r="IW26" i="14"/>
  <c r="JT26" i="14"/>
  <c r="JH26" i="14"/>
  <c r="IV26" i="14"/>
  <c r="JR26" i="14"/>
  <c r="JF26" i="14"/>
  <c r="IT26" i="14"/>
  <c r="JQ26" i="14"/>
  <c r="JE26" i="14"/>
  <c r="IS26" i="14"/>
  <c r="JP26" i="14"/>
  <c r="JD26" i="14"/>
  <c r="IR26" i="14"/>
  <c r="JL26" i="14"/>
  <c r="AP27" i="14" a="1"/>
  <c r="AP27" i="14" s="1"/>
  <c r="EL27" i="14" s="1"/>
  <c r="DH27" i="14" s="1"/>
  <c r="ED27" i="14"/>
  <c r="CZ27" i="14" s="1"/>
  <c r="IT27" i="14"/>
  <c r="JR27" i="14"/>
  <c r="AS28" i="14" a="1"/>
  <c r="AS28" i="14" s="1"/>
  <c r="BW28" i="14" s="1"/>
  <c r="I24" i="43" s="1"/>
  <c r="BE28" i="14" a="1"/>
  <c r="BE28" i="14" s="1"/>
  <c r="CI28" i="14" s="1"/>
  <c r="U24" i="43" s="1"/>
  <c r="BQ28" i="14" a="1"/>
  <c r="BQ28" i="14" s="1"/>
  <c r="CU28" i="14" s="1"/>
  <c r="AG24" i="43" s="1"/>
  <c r="AY29" i="14" a="1"/>
  <c r="AY29" i="14" s="1"/>
  <c r="CC29" i="14" s="1"/>
  <c r="O25" i="43" s="1"/>
  <c r="BK29" i="14" a="1"/>
  <c r="BK29" i="14" s="1"/>
  <c r="CO29" i="14" s="1"/>
  <c r="AA25" i="43" s="1"/>
  <c r="EV29" i="14"/>
  <c r="DR29" i="14" s="1"/>
  <c r="IX31" i="14"/>
  <c r="FA32" i="14"/>
  <c r="DW32" i="14" s="1"/>
  <c r="EO32" i="14"/>
  <c r="DK32" i="14" s="1"/>
  <c r="EC32" i="14"/>
  <c r="CY32" i="14" s="1"/>
  <c r="EY32" i="14"/>
  <c r="DU32" i="14" s="1"/>
  <c r="EM32" i="14"/>
  <c r="DI32" i="14" s="1"/>
  <c r="EA32" i="14"/>
  <c r="CW32" i="14" s="1"/>
  <c r="EX32" i="14"/>
  <c r="DT32" i="14" s="1"/>
  <c r="EL32" i="14"/>
  <c r="DH32" i="14" s="1"/>
  <c r="BR32" i="14" a="1"/>
  <c r="BR32" i="14" s="1"/>
  <c r="CV32" i="14" s="1"/>
  <c r="AH28" i="43" s="1"/>
  <c r="BL32" i="14" a="1"/>
  <c r="BL32" i="14" s="1"/>
  <c r="CP32" i="14" s="1"/>
  <c r="AB28" i="43" s="1"/>
  <c r="BF32" i="14" a="1"/>
  <c r="BF32" i="14" s="1"/>
  <c r="CJ32" i="14" s="1"/>
  <c r="V28" i="43" s="1"/>
  <c r="AZ32" i="14" a="1"/>
  <c r="AZ32" i="14" s="1"/>
  <c r="CD32" i="14" s="1"/>
  <c r="P28" i="43" s="1"/>
  <c r="AT32" i="14" a="1"/>
  <c r="AT32" i="14" s="1"/>
  <c r="BX32" i="14" s="1"/>
  <c r="J28" i="43" s="1"/>
  <c r="EV32" i="14"/>
  <c r="DR32" i="14" s="1"/>
  <c r="EJ32" i="14"/>
  <c r="DF32" i="14" s="1"/>
  <c r="BQ32" i="14" a="1"/>
  <c r="BQ32" i="14" s="1"/>
  <c r="CU32" i="14" s="1"/>
  <c r="AG28" i="43" s="1"/>
  <c r="BK32" i="14" a="1"/>
  <c r="BK32" i="14" s="1"/>
  <c r="CO32" i="14" s="1"/>
  <c r="AA28" i="43" s="1"/>
  <c r="BE32" i="14" a="1"/>
  <c r="BE32" i="14" s="1"/>
  <c r="CI32" i="14" s="1"/>
  <c r="U28" i="43" s="1"/>
  <c r="AY32" i="14" a="1"/>
  <c r="AY32" i="14" s="1"/>
  <c r="CC32" i="14" s="1"/>
  <c r="O28" i="43" s="1"/>
  <c r="AS32" i="14" a="1"/>
  <c r="AS32" i="14" s="1"/>
  <c r="BW32" i="14" s="1"/>
  <c r="I28" i="43" s="1"/>
  <c r="EU32" i="14"/>
  <c r="DQ32" i="14" s="1"/>
  <c r="EI32" i="14"/>
  <c r="DE32" i="14" s="1"/>
  <c r="ET32" i="14"/>
  <c r="DP32" i="14" s="1"/>
  <c r="EH32" i="14"/>
  <c r="DD32" i="14" s="1"/>
  <c r="BP32" i="14" a="1"/>
  <c r="BP32" i="14" s="1"/>
  <c r="CT32" i="14" s="1"/>
  <c r="AF28" i="43" s="1"/>
  <c r="BJ32" i="14" a="1"/>
  <c r="BJ32" i="14" s="1"/>
  <c r="CN32" i="14" s="1"/>
  <c r="Z28" i="43" s="1"/>
  <c r="BD32" i="14" a="1"/>
  <c r="BD32" i="14" s="1"/>
  <c r="CH32" i="14" s="1"/>
  <c r="T28" i="43" s="1"/>
  <c r="AX32" i="14" a="1"/>
  <c r="AX32" i="14" s="1"/>
  <c r="CB32" i="14" s="1"/>
  <c r="N28" i="43" s="1"/>
  <c r="AR32" i="14" a="1"/>
  <c r="AR32" i="14" s="1"/>
  <c r="BV32" i="14" s="1"/>
  <c r="H28" i="43" s="1"/>
  <c r="AU32" i="14" a="1"/>
  <c r="AU32" i="14" s="1"/>
  <c r="BY32" i="14" s="1"/>
  <c r="K28" i="43" s="1"/>
  <c r="BG32" i="14" a="1"/>
  <c r="BG32" i="14" s="1"/>
  <c r="CK32" i="14" s="1"/>
  <c r="W28" i="43" s="1"/>
  <c r="EN32" i="14"/>
  <c r="DJ32" i="14" s="1"/>
  <c r="FA35" i="14"/>
  <c r="DW35" i="14" s="1"/>
  <c r="EO35" i="14"/>
  <c r="DK35" i="14" s="1"/>
  <c r="EC35" i="14"/>
  <c r="CY35" i="14" s="1"/>
  <c r="EY35" i="14"/>
  <c r="DU35" i="14" s="1"/>
  <c r="EM35" i="14"/>
  <c r="DI35" i="14" s="1"/>
  <c r="EA35" i="14"/>
  <c r="CW35" i="14" s="1"/>
  <c r="EX35" i="14"/>
  <c r="DT35" i="14" s="1"/>
  <c r="EL35" i="14"/>
  <c r="DH35" i="14" s="1"/>
  <c r="BR35" i="14" a="1"/>
  <c r="BR35" i="14" s="1"/>
  <c r="CV35" i="14" s="1"/>
  <c r="AH31" i="43" s="1"/>
  <c r="BL35" i="14" a="1"/>
  <c r="BL35" i="14" s="1"/>
  <c r="CP35" i="14" s="1"/>
  <c r="AB31" i="43" s="1"/>
  <c r="BF35" i="14" a="1"/>
  <c r="BF35" i="14" s="1"/>
  <c r="CJ35" i="14" s="1"/>
  <c r="V31" i="43" s="1"/>
  <c r="AZ35" i="14" a="1"/>
  <c r="AZ35" i="14" s="1"/>
  <c r="CD35" i="14" s="1"/>
  <c r="P31" i="43" s="1"/>
  <c r="AT35" i="14" a="1"/>
  <c r="AT35" i="14" s="1"/>
  <c r="BX35" i="14" s="1"/>
  <c r="J31" i="43" s="1"/>
  <c r="EV35" i="14"/>
  <c r="DR35" i="14" s="1"/>
  <c r="EJ35" i="14"/>
  <c r="DF35" i="14" s="1"/>
  <c r="BQ35" i="14" a="1"/>
  <c r="BQ35" i="14" s="1"/>
  <c r="CU35" i="14" s="1"/>
  <c r="AG31" i="43" s="1"/>
  <c r="BK35" i="14" a="1"/>
  <c r="BK35" i="14" s="1"/>
  <c r="CO35" i="14" s="1"/>
  <c r="AA31" i="43" s="1"/>
  <c r="BE35" i="14" a="1"/>
  <c r="BE35" i="14" s="1"/>
  <c r="CI35" i="14" s="1"/>
  <c r="U31" i="43" s="1"/>
  <c r="AY35" i="14" a="1"/>
  <c r="AY35" i="14" s="1"/>
  <c r="CC35" i="14" s="1"/>
  <c r="O31" i="43" s="1"/>
  <c r="AS35" i="14" a="1"/>
  <c r="AS35" i="14" s="1"/>
  <c r="BW35" i="14" s="1"/>
  <c r="I31" i="43" s="1"/>
  <c r="FC35" i="14"/>
  <c r="DY35" i="14" s="1"/>
  <c r="EI35" i="14"/>
  <c r="DE35" i="14" s="1"/>
  <c r="EZ35" i="14"/>
  <c r="DV35" i="14" s="1"/>
  <c r="EG35" i="14"/>
  <c r="DC35" i="14" s="1"/>
  <c r="BG35" i="14" a="1"/>
  <c r="BG35" i="14" s="1"/>
  <c r="CK35" i="14" s="1"/>
  <c r="W31" i="43" s="1"/>
  <c r="AO35" i="14" a="1"/>
  <c r="AO35" i="14" s="1"/>
  <c r="BS35" i="14" s="1"/>
  <c r="E31" i="43" s="1"/>
  <c r="EW35" i="14"/>
  <c r="DS35" i="14" s="1"/>
  <c r="EF35" i="14"/>
  <c r="DB35" i="14" s="1"/>
  <c r="BO35" i="14" a="1"/>
  <c r="BO35" i="14" s="1"/>
  <c r="CS35" i="14" s="1"/>
  <c r="AE31" i="43" s="1"/>
  <c r="AW35" i="14" a="1"/>
  <c r="AW35" i="14" s="1"/>
  <c r="CA35" i="14" s="1"/>
  <c r="M31" i="43" s="1"/>
  <c r="ET35" i="14"/>
  <c r="DP35" i="14" s="1"/>
  <c r="ED35" i="14"/>
  <c r="CZ35" i="14" s="1"/>
  <c r="BN35" i="14" a="1"/>
  <c r="BN35" i="14" s="1"/>
  <c r="CR35" i="14" s="1"/>
  <c r="AD31" i="43" s="1"/>
  <c r="BD35" i="14" a="1"/>
  <c r="BD35" i="14" s="1"/>
  <c r="CH35" i="14" s="1"/>
  <c r="T31" i="43" s="1"/>
  <c r="AV35" i="14" a="1"/>
  <c r="AV35" i="14" s="1"/>
  <c r="BZ35" i="14" s="1"/>
  <c r="L31" i="43" s="1"/>
  <c r="ES35" i="14"/>
  <c r="DO35" i="14" s="1"/>
  <c r="EB35" i="14"/>
  <c r="CX35" i="14" s="1"/>
  <c r="BM35" i="14" a="1"/>
  <c r="BM35" i="14" s="1"/>
  <c r="CQ35" i="14" s="1"/>
  <c r="AC31" i="43" s="1"/>
  <c r="AU35" i="14" a="1"/>
  <c r="AU35" i="14" s="1"/>
  <c r="BY35" i="14" s="1"/>
  <c r="K31" i="43" s="1"/>
  <c r="ER35" i="14"/>
  <c r="DN35" i="14" s="1"/>
  <c r="BC35" i="14" a="1"/>
  <c r="BC35" i="14" s="1"/>
  <c r="CG35" i="14" s="1"/>
  <c r="S31" i="43" s="1"/>
  <c r="AX35" i="14" a="1"/>
  <c r="AX35" i="14" s="1"/>
  <c r="CB35" i="14" s="1"/>
  <c r="N31" i="43" s="1"/>
  <c r="BP35" i="14" a="1"/>
  <c r="BP35" i="14" s="1"/>
  <c r="CT35" i="14" s="1"/>
  <c r="AF31" i="43" s="1"/>
  <c r="EH35" i="14"/>
  <c r="DD35" i="14" s="1"/>
  <c r="JB40" i="14"/>
  <c r="JM41" i="14"/>
  <c r="JA41" i="14"/>
  <c r="JK41" i="14"/>
  <c r="IY41" i="14"/>
  <c r="JJ41" i="14"/>
  <c r="IX41" i="14"/>
  <c r="JI41" i="14"/>
  <c r="IW41" i="14"/>
  <c r="JT41" i="14"/>
  <c r="JH41" i="14"/>
  <c r="IV41" i="14"/>
  <c r="JR41" i="14"/>
  <c r="JF41" i="14"/>
  <c r="IT41" i="14"/>
  <c r="JD41" i="14"/>
  <c r="JC41" i="14"/>
  <c r="JB41" i="14"/>
  <c r="IZ41" i="14"/>
  <c r="JQ41" i="14"/>
  <c r="IS41" i="14"/>
  <c r="JP41" i="14"/>
  <c r="IR41" i="14"/>
  <c r="JO41" i="14"/>
  <c r="IQ41" i="14"/>
  <c r="AS42" i="14" a="1"/>
  <c r="AS42" i="14" s="1"/>
  <c r="BW42" i="14" s="1"/>
  <c r="I38" i="43" s="1"/>
  <c r="AV42" i="14" a="1"/>
  <c r="AV42" i="14" s="1"/>
  <c r="BF42" i="14" s="1" a="1"/>
  <c r="BF42" i="14" s="1"/>
  <c r="AU42" i="14" a="1"/>
  <c r="AU42" i="14" s="1"/>
  <c r="AT42" i="14" a="1"/>
  <c r="AT42" i="14" s="1"/>
  <c r="BX42" i="14" s="1"/>
  <c r="J38" i="43" s="1"/>
  <c r="AP42" i="14" a="1"/>
  <c r="AP42" i="14" s="1"/>
  <c r="AO42" i="14" a="1"/>
  <c r="AO42" i="14" s="1"/>
  <c r="AY42" i="14" s="1" a="1"/>
  <c r="AY42" i="14" s="1"/>
  <c r="BI42" i="14" s="1" a="1"/>
  <c r="BI42" i="14" s="1"/>
  <c r="CM42" i="14" s="1"/>
  <c r="Y38" i="43" s="1"/>
  <c r="EF46" i="14"/>
  <c r="DB46" i="14" s="1"/>
  <c r="AW46" i="14" a="1"/>
  <c r="AW46" i="14" s="1"/>
  <c r="CA46" i="14" s="1"/>
  <c r="M42" i="43" s="1"/>
  <c r="AQ46" i="14" a="1"/>
  <c r="AQ46" i="14" s="1"/>
  <c r="BA46" i="14" s="1" a="1"/>
  <c r="BA46" i="14" s="1"/>
  <c r="ED46" i="14"/>
  <c r="CZ46" i="14" s="1"/>
  <c r="AV46" i="14" a="1"/>
  <c r="AV46" i="14" s="1"/>
  <c r="BZ46" i="14" s="1"/>
  <c r="L42" i="43" s="1"/>
  <c r="AP46" i="14" a="1"/>
  <c r="AP46" i="14" s="1"/>
  <c r="BT46" i="14" s="1"/>
  <c r="F42" i="43" s="1"/>
  <c r="EC46" i="14"/>
  <c r="CY46" i="14" s="1"/>
  <c r="EB46" i="14"/>
  <c r="CX46" i="14" s="1"/>
  <c r="AU46" i="14" a="1"/>
  <c r="AU46" i="14" s="1"/>
  <c r="AO46" i="14" a="1"/>
  <c r="AO46" i="14" s="1"/>
  <c r="BS46" i="14" s="1"/>
  <c r="E42" i="43" s="1"/>
  <c r="EA46" i="14"/>
  <c r="CW46" i="14" s="1"/>
  <c r="EJ46" i="14"/>
  <c r="DF46" i="14" s="1"/>
  <c r="AS46" i="14" a="1"/>
  <c r="AS46" i="14" s="1"/>
  <c r="BW46" i="14" s="1"/>
  <c r="I42" i="43" s="1"/>
  <c r="EG46" i="14"/>
  <c r="DC46" i="14" s="1"/>
  <c r="EE46" i="14"/>
  <c r="DA46" i="14" s="1"/>
  <c r="AR46" i="14" a="1"/>
  <c r="AR46" i="14" s="1"/>
  <c r="EN46" i="14" s="1"/>
  <c r="DJ46" i="14" s="1"/>
  <c r="AX46" i="14" a="1"/>
  <c r="AX46" i="14" s="1"/>
  <c r="CB46" i="14" s="1"/>
  <c r="N42" i="43" s="1"/>
  <c r="JB14" i="14"/>
  <c r="JN14" i="14"/>
  <c r="AS16" i="14" a="1"/>
  <c r="AS16" i="14" s="1"/>
  <c r="BW16" i="14" s="1"/>
  <c r="I12" i="43" s="1"/>
  <c r="AY16" i="14" a="1"/>
  <c r="AY16" i="14" s="1"/>
  <c r="CC16" i="14" s="1"/>
  <c r="O12" i="43" s="1"/>
  <c r="BE16" i="14" a="1"/>
  <c r="BE16" i="14" s="1"/>
  <c r="CI16" i="14" s="1"/>
  <c r="U12" i="43" s="1"/>
  <c r="BK16" i="14" a="1"/>
  <c r="BK16" i="14" s="1"/>
  <c r="CO16" i="14" s="1"/>
  <c r="AA12" i="43" s="1"/>
  <c r="BQ16" i="14" a="1"/>
  <c r="BQ16" i="14" s="1"/>
  <c r="CU16" i="14" s="1"/>
  <c r="AG12" i="43" s="1"/>
  <c r="EI16" i="14"/>
  <c r="DE16" i="14" s="1"/>
  <c r="EZ16" i="14"/>
  <c r="DV16" i="14" s="1"/>
  <c r="BA17" i="14" a="1"/>
  <c r="BA17" i="14" s="1"/>
  <c r="CE17" i="14" s="1"/>
  <c r="Q13" i="43" s="1"/>
  <c r="BI17" i="14" a="1"/>
  <c r="BI17" i="14" s="1"/>
  <c r="CM17" i="14" s="1"/>
  <c r="Y13" i="43" s="1"/>
  <c r="EB17" i="14"/>
  <c r="CX17" i="14" s="1"/>
  <c r="ER17" i="14"/>
  <c r="DN17" i="14" s="1"/>
  <c r="AW20" i="14" a="1"/>
  <c r="AW20" i="14" s="1"/>
  <c r="ES20" i="14" s="1"/>
  <c r="DO20" i="14" s="1"/>
  <c r="AT23" i="14" a="1"/>
  <c r="AT23" i="14" s="1"/>
  <c r="AV23" i="14" a="1"/>
  <c r="AV23" i="14" s="1"/>
  <c r="AO29" i="14" a="1"/>
  <c r="AO29" i="14" s="1"/>
  <c r="BS29" i="14" s="1"/>
  <c r="E25" i="43" s="1"/>
  <c r="BA29" i="14" a="1"/>
  <c r="BA29" i="14" s="1"/>
  <c r="CE29" i="14" s="1"/>
  <c r="Q25" i="43" s="1"/>
  <c r="BM29" i="14" a="1"/>
  <c r="BM29" i="14" s="1"/>
  <c r="CQ29" i="14" s="1"/>
  <c r="AC25" i="43" s="1"/>
  <c r="EB29" i="14"/>
  <c r="CX29" i="14" s="1"/>
  <c r="EZ29" i="14"/>
  <c r="DV29" i="14" s="1"/>
  <c r="FC30" i="14"/>
  <c r="DY30" i="14" s="1"/>
  <c r="EQ30" i="14"/>
  <c r="DM30" i="14" s="1"/>
  <c r="EE30" i="14"/>
  <c r="DA30" i="14" s="1"/>
  <c r="FA30" i="14"/>
  <c r="DW30" i="14" s="1"/>
  <c r="EO30" i="14"/>
  <c r="DK30" i="14" s="1"/>
  <c r="EC30" i="14"/>
  <c r="CY30" i="14" s="1"/>
  <c r="EZ30" i="14"/>
  <c r="DV30" i="14" s="1"/>
  <c r="EN30" i="14"/>
  <c r="DJ30" i="14" s="1"/>
  <c r="EB30" i="14"/>
  <c r="CX30" i="14" s="1"/>
  <c r="BM30" i="14" a="1"/>
  <c r="BM30" i="14" s="1"/>
  <c r="CQ30" i="14" s="1"/>
  <c r="AC26" i="43" s="1"/>
  <c r="BG30" i="14" a="1"/>
  <c r="BG30" i="14" s="1"/>
  <c r="CK30" i="14" s="1"/>
  <c r="W26" i="43" s="1"/>
  <c r="BA30" i="14" a="1"/>
  <c r="BA30" i="14" s="1"/>
  <c r="CE30" i="14" s="1"/>
  <c r="Q26" i="43" s="1"/>
  <c r="AU30" i="14" a="1"/>
  <c r="AU30" i="14" s="1"/>
  <c r="BY30" i="14" s="1"/>
  <c r="K26" i="43" s="1"/>
  <c r="AO30" i="14" a="1"/>
  <c r="AO30" i="14" s="1"/>
  <c r="BS30" i="14" s="1"/>
  <c r="E26" i="43" s="1"/>
  <c r="EX30" i="14"/>
  <c r="DT30" i="14" s="1"/>
  <c r="EL30" i="14"/>
  <c r="DH30" i="14" s="1"/>
  <c r="BR30" i="14" a="1"/>
  <c r="BR30" i="14" s="1"/>
  <c r="CV30" i="14" s="1"/>
  <c r="AH26" i="43" s="1"/>
  <c r="BL30" i="14" a="1"/>
  <c r="BL30" i="14" s="1"/>
  <c r="CP30" i="14" s="1"/>
  <c r="AB26" i="43" s="1"/>
  <c r="BF30" i="14" a="1"/>
  <c r="BF30" i="14" s="1"/>
  <c r="CJ30" i="14" s="1"/>
  <c r="V26" i="43" s="1"/>
  <c r="AZ30" i="14" a="1"/>
  <c r="AZ30" i="14" s="1"/>
  <c r="CD30" i="14" s="1"/>
  <c r="P26" i="43" s="1"/>
  <c r="AT30" i="14" a="1"/>
  <c r="AT30" i="14" s="1"/>
  <c r="BX30" i="14" s="1"/>
  <c r="J26" i="43" s="1"/>
  <c r="EW30" i="14"/>
  <c r="DS30" i="14" s="1"/>
  <c r="EK30" i="14"/>
  <c r="DG30" i="14" s="1"/>
  <c r="EV30" i="14"/>
  <c r="DR30" i="14" s="1"/>
  <c r="EJ30" i="14"/>
  <c r="DF30" i="14" s="1"/>
  <c r="BQ30" i="14" a="1"/>
  <c r="BQ30" i="14" s="1"/>
  <c r="CU30" i="14" s="1"/>
  <c r="AG26" i="43" s="1"/>
  <c r="BK30" i="14" a="1"/>
  <c r="BK30" i="14" s="1"/>
  <c r="CO30" i="14" s="1"/>
  <c r="AA26" i="43" s="1"/>
  <c r="BE30" i="14" a="1"/>
  <c r="BE30" i="14" s="1"/>
  <c r="CI30" i="14" s="1"/>
  <c r="U26" i="43" s="1"/>
  <c r="AY30" i="14" a="1"/>
  <c r="AY30" i="14" s="1"/>
  <c r="CC30" i="14" s="1"/>
  <c r="O26" i="43" s="1"/>
  <c r="AS30" i="14" a="1"/>
  <c r="AS30" i="14" s="1"/>
  <c r="BW30" i="14" s="1"/>
  <c r="I26" i="43" s="1"/>
  <c r="EM30" i="14"/>
  <c r="DI30" i="14" s="1"/>
  <c r="BR31" i="14" a="1"/>
  <c r="BR31" i="14" s="1"/>
  <c r="CV31" i="14" s="1"/>
  <c r="AH27" i="43" s="1"/>
  <c r="JB31" i="14"/>
  <c r="AV32" i="14" a="1"/>
  <c r="AV32" i="14" s="1"/>
  <c r="BZ32" i="14" s="1"/>
  <c r="L28" i="43" s="1"/>
  <c r="BH32" i="14" a="1"/>
  <c r="BH32" i="14" s="1"/>
  <c r="CL32" i="14" s="1"/>
  <c r="X28" i="43" s="1"/>
  <c r="EP32" i="14"/>
  <c r="DL32" i="14" s="1"/>
  <c r="JR34" i="14"/>
  <c r="JF34" i="14"/>
  <c r="IT34" i="14"/>
  <c r="JP34" i="14"/>
  <c r="JD34" i="14"/>
  <c r="IR34" i="14"/>
  <c r="JO34" i="14"/>
  <c r="JC34" i="14"/>
  <c r="IQ34" i="14"/>
  <c r="JM34" i="14"/>
  <c r="JA34" i="14"/>
  <c r="JQ34" i="14"/>
  <c r="IX34" i="14"/>
  <c r="JL34" i="14"/>
  <c r="IV34" i="14"/>
  <c r="JK34" i="14"/>
  <c r="IU34" i="14"/>
  <c r="JI34" i="14"/>
  <c r="JH34" i="14"/>
  <c r="JG34" i="14"/>
  <c r="IS34" i="14"/>
  <c r="EK35" i="14"/>
  <c r="DG35" i="14" s="1"/>
  <c r="BC36" i="14" a="1"/>
  <c r="BC36" i="14" s="1"/>
  <c r="CG36" i="14" s="1"/>
  <c r="S32" i="43" s="1"/>
  <c r="ER36" i="14"/>
  <c r="DN36" i="14" s="1"/>
  <c r="JH40" i="14"/>
  <c r="IU41" i="14"/>
  <c r="JL42" i="14"/>
  <c r="IZ42" i="14"/>
  <c r="JJ42" i="14"/>
  <c r="IX42" i="14"/>
  <c r="JI42" i="14"/>
  <c r="IW42" i="14"/>
  <c r="JT42" i="14"/>
  <c r="JH42" i="14"/>
  <c r="IV42" i="14"/>
  <c r="JS42" i="14"/>
  <c r="JG42" i="14"/>
  <c r="IU42" i="14"/>
  <c r="JQ42" i="14"/>
  <c r="JE42" i="14"/>
  <c r="IS42" i="14"/>
  <c r="JD42" i="14"/>
  <c r="JC42" i="14"/>
  <c r="JB42" i="14"/>
  <c r="JA42" i="14"/>
  <c r="JR42" i="14"/>
  <c r="IT42" i="14"/>
  <c r="JP42" i="14"/>
  <c r="IR42" i="14"/>
  <c r="JO42" i="14"/>
  <c r="IQ42" i="14"/>
  <c r="JN42" i="14"/>
  <c r="F95" i="20"/>
  <c r="Y93" i="20"/>
  <c r="N93" i="20"/>
  <c r="L93" i="20"/>
  <c r="AE98" i="20"/>
  <c r="H92" i="20"/>
  <c r="EI6" i="14"/>
  <c r="DE6" i="14" s="1"/>
  <c r="EU6" i="14"/>
  <c r="DQ6" i="14" s="1"/>
  <c r="IY6" i="14"/>
  <c r="JK6" i="14"/>
  <c r="IX7" i="14"/>
  <c r="JJ7" i="14"/>
  <c r="EG8" i="14"/>
  <c r="DC8" i="14" s="1"/>
  <c r="AQ9" i="14" a="1"/>
  <c r="AQ9" i="14" s="1"/>
  <c r="AW9" i="14" a="1"/>
  <c r="AW9" i="14" s="1"/>
  <c r="ES9" i="14" s="1"/>
  <c r="DO9" i="14" s="1"/>
  <c r="EF9" i="14"/>
  <c r="DB9" i="14" s="1"/>
  <c r="EE10" i="14"/>
  <c r="DA10" i="14" s="1"/>
  <c r="AP11" i="14" a="1"/>
  <c r="AP11" i="14" s="1"/>
  <c r="ED11" i="14"/>
  <c r="CZ11" i="14" s="1"/>
  <c r="EC12" i="14"/>
  <c r="CY12" i="14" s="1"/>
  <c r="EO12" i="14"/>
  <c r="DK12" i="14" s="1"/>
  <c r="FA12" i="14"/>
  <c r="DW12" i="14" s="1"/>
  <c r="IS12" i="14"/>
  <c r="JE12" i="14"/>
  <c r="JQ12" i="14"/>
  <c r="AO13" i="14" a="1"/>
  <c r="AO13" i="14" s="1"/>
  <c r="BS13" i="14" s="1"/>
  <c r="E9" i="43" s="1"/>
  <c r="AU13" i="14" a="1"/>
  <c r="AU13" i="14" s="1"/>
  <c r="BY13" i="14" s="1"/>
  <c r="K9" i="43" s="1"/>
  <c r="BA13" i="14" a="1"/>
  <c r="BA13" i="14" s="1"/>
  <c r="CE13" i="14" s="1"/>
  <c r="Q9" i="43" s="1"/>
  <c r="BG13" i="14" a="1"/>
  <c r="BG13" i="14" s="1"/>
  <c r="CK13" i="14" s="1"/>
  <c r="W9" i="43" s="1"/>
  <c r="BM13" i="14" a="1"/>
  <c r="BM13" i="14" s="1"/>
  <c r="CQ13" i="14" s="1"/>
  <c r="AC9" i="43" s="1"/>
  <c r="EB13" i="14"/>
  <c r="CX13" i="14" s="1"/>
  <c r="EN13" i="14"/>
  <c r="DJ13" i="14" s="1"/>
  <c r="EZ13" i="14"/>
  <c r="DV13" i="14" s="1"/>
  <c r="IR13" i="14"/>
  <c r="JD13" i="14"/>
  <c r="JP13" i="14"/>
  <c r="IQ14" i="14"/>
  <c r="JC14" i="14"/>
  <c r="JO14" i="14"/>
  <c r="JB15" i="14"/>
  <c r="EJ16" i="14"/>
  <c r="DF16" i="14" s="1"/>
  <c r="FA16" i="14"/>
  <c r="DW16" i="14" s="1"/>
  <c r="IS16" i="14"/>
  <c r="AS17" i="14" a="1"/>
  <c r="AS17" i="14" s="1"/>
  <c r="BW17" i="14" s="1"/>
  <c r="I13" i="43" s="1"/>
  <c r="BQ17" i="14" a="1"/>
  <c r="BQ17" i="14" s="1"/>
  <c r="CU17" i="14" s="1"/>
  <c r="AG13" i="43" s="1"/>
  <c r="EC17" i="14"/>
  <c r="CY17" i="14" s="1"/>
  <c r="ES17" i="14"/>
  <c r="DO17" i="14" s="1"/>
  <c r="AP18" i="14" a="1"/>
  <c r="AP18" i="14" s="1"/>
  <c r="BT18" i="14" s="1"/>
  <c r="F14" i="43" s="1"/>
  <c r="BF18" i="14" a="1"/>
  <c r="BF18" i="14" s="1"/>
  <c r="CJ18" i="14" s="1"/>
  <c r="V14" i="43" s="1"/>
  <c r="BN18" i="14" a="1"/>
  <c r="BN18" i="14" s="1"/>
  <c r="CR18" i="14" s="1"/>
  <c r="AD14" i="43" s="1"/>
  <c r="EL18" i="14"/>
  <c r="DH18" i="14" s="1"/>
  <c r="FB18" i="14"/>
  <c r="DX18" i="14" s="1"/>
  <c r="IT18" i="14"/>
  <c r="JI18" i="14"/>
  <c r="AT19" i="14" a="1"/>
  <c r="AT19" i="14" s="1"/>
  <c r="BX19" i="14" s="1"/>
  <c r="J15" i="43" s="1"/>
  <c r="BB19" i="14" a="1"/>
  <c r="BB19" i="14" s="1"/>
  <c r="CF19" i="14" s="1"/>
  <c r="R15" i="43" s="1"/>
  <c r="BR19" i="14" a="1"/>
  <c r="BR19" i="14" s="1"/>
  <c r="CV19" i="14" s="1"/>
  <c r="AH15" i="43" s="1"/>
  <c r="ED19" i="14"/>
  <c r="CZ19" i="14" s="1"/>
  <c r="ES19" i="14"/>
  <c r="DO19" i="14" s="1"/>
  <c r="JB19" i="14"/>
  <c r="JR19" i="14"/>
  <c r="AP20" i="14" a="1"/>
  <c r="AP20" i="14" s="1"/>
  <c r="BT20" i="14" s="1"/>
  <c r="F16" i="43" s="1"/>
  <c r="IT20" i="14"/>
  <c r="JI20" i="14"/>
  <c r="IR22" i="14"/>
  <c r="JL22" i="14"/>
  <c r="AX23" i="14" a="1"/>
  <c r="AX23" i="14" s="1"/>
  <c r="EH24" i="14"/>
  <c r="DD24" i="14" s="1"/>
  <c r="JI24" i="14"/>
  <c r="JL25" i="14"/>
  <c r="IZ25" i="14"/>
  <c r="JJ25" i="14"/>
  <c r="IX25" i="14"/>
  <c r="JI25" i="14"/>
  <c r="IW25" i="14"/>
  <c r="JS25" i="14"/>
  <c r="JG25" i="14"/>
  <c r="IU25" i="14"/>
  <c r="JR25" i="14"/>
  <c r="JF25" i="14"/>
  <c r="IT25" i="14"/>
  <c r="JQ25" i="14"/>
  <c r="JE25" i="14"/>
  <c r="IS25" i="14"/>
  <c r="JN25" i="14"/>
  <c r="JN26" i="14"/>
  <c r="EI27" i="14"/>
  <c r="DE27" i="14" s="1"/>
  <c r="IY27" i="14"/>
  <c r="EE29" i="14"/>
  <c r="DA29" i="14" s="1"/>
  <c r="FC29" i="14"/>
  <c r="DY29" i="14" s="1"/>
  <c r="AV30" i="14" a="1"/>
  <c r="AV30" i="14" s="1"/>
  <c r="BZ30" i="14" s="1"/>
  <c r="L26" i="43" s="1"/>
  <c r="BH30" i="14" a="1"/>
  <c r="BH30" i="14" s="1"/>
  <c r="CL30" i="14" s="1"/>
  <c r="X26" i="43" s="1"/>
  <c r="EP30" i="14"/>
  <c r="DL30" i="14" s="1"/>
  <c r="FB31" i="14"/>
  <c r="DX31" i="14" s="1"/>
  <c r="EP31" i="14"/>
  <c r="DL31" i="14" s="1"/>
  <c r="ED31" i="14"/>
  <c r="CZ31" i="14" s="1"/>
  <c r="BN31" i="14" a="1"/>
  <c r="BN31" i="14" s="1"/>
  <c r="CR31" i="14" s="1"/>
  <c r="AD27" i="43" s="1"/>
  <c r="BH31" i="14" a="1"/>
  <c r="BH31" i="14" s="1"/>
  <c r="CL31" i="14" s="1"/>
  <c r="X27" i="43" s="1"/>
  <c r="BB31" i="14" a="1"/>
  <c r="BB31" i="14" s="1"/>
  <c r="CF31" i="14" s="1"/>
  <c r="R27" i="43" s="1"/>
  <c r="AV31" i="14" a="1"/>
  <c r="AV31" i="14" s="1"/>
  <c r="BZ31" i="14" s="1"/>
  <c r="L27" i="43" s="1"/>
  <c r="AP31" i="14" a="1"/>
  <c r="AP31" i="14" s="1"/>
  <c r="BT31" i="14" s="1"/>
  <c r="F27" i="43" s="1"/>
  <c r="EZ31" i="14"/>
  <c r="DV31" i="14" s="1"/>
  <c r="EN31" i="14"/>
  <c r="DJ31" i="14" s="1"/>
  <c r="EB31" i="14"/>
  <c r="CX31" i="14" s="1"/>
  <c r="BM31" i="14" a="1"/>
  <c r="BM31" i="14" s="1"/>
  <c r="CQ31" i="14" s="1"/>
  <c r="AC27" i="43" s="1"/>
  <c r="BG31" i="14" a="1"/>
  <c r="BG31" i="14" s="1"/>
  <c r="CK31" i="14" s="1"/>
  <c r="W27" i="43" s="1"/>
  <c r="BA31" i="14" a="1"/>
  <c r="BA31" i="14" s="1"/>
  <c r="CE31" i="14" s="1"/>
  <c r="Q27" i="43" s="1"/>
  <c r="AU31" i="14" a="1"/>
  <c r="AU31" i="14" s="1"/>
  <c r="BY31" i="14" s="1"/>
  <c r="K27" i="43" s="1"/>
  <c r="AO31" i="14" a="1"/>
  <c r="AO31" i="14" s="1"/>
  <c r="BS31" i="14" s="1"/>
  <c r="E27" i="43" s="1"/>
  <c r="EY31" i="14"/>
  <c r="DU31" i="14" s="1"/>
  <c r="EM31" i="14"/>
  <c r="DI31" i="14" s="1"/>
  <c r="EA31" i="14"/>
  <c r="CW31" i="14" s="1"/>
  <c r="EW31" i="14"/>
  <c r="DS31" i="14" s="1"/>
  <c r="EK31" i="14"/>
  <c r="DG31" i="14" s="1"/>
  <c r="EV31" i="14"/>
  <c r="DR31" i="14" s="1"/>
  <c r="EJ31" i="14"/>
  <c r="DF31" i="14" s="1"/>
  <c r="BQ31" i="14" a="1"/>
  <c r="BQ31" i="14" s="1"/>
  <c r="CU31" i="14" s="1"/>
  <c r="AG27" i="43" s="1"/>
  <c r="BK31" i="14" a="1"/>
  <c r="BK31" i="14" s="1"/>
  <c r="CO31" i="14" s="1"/>
  <c r="AA27" i="43" s="1"/>
  <c r="BE31" i="14" a="1"/>
  <c r="BE31" i="14" s="1"/>
  <c r="CI31" i="14" s="1"/>
  <c r="U27" i="43" s="1"/>
  <c r="AY31" i="14" a="1"/>
  <c r="AY31" i="14" s="1"/>
  <c r="CC31" i="14" s="1"/>
  <c r="O27" i="43" s="1"/>
  <c r="AS31" i="14" a="1"/>
  <c r="AS31" i="14" s="1"/>
  <c r="BW31" i="14" s="1"/>
  <c r="I27" i="43" s="1"/>
  <c r="EU31" i="14"/>
  <c r="DQ31" i="14" s="1"/>
  <c r="EI31" i="14"/>
  <c r="DE31" i="14" s="1"/>
  <c r="EO31" i="14"/>
  <c r="DK31" i="14" s="1"/>
  <c r="JE31" i="14"/>
  <c r="EQ32" i="14"/>
  <c r="DM32" i="14" s="1"/>
  <c r="IW34" i="14"/>
  <c r="BA35" i="14" a="1"/>
  <c r="BA35" i="14" s="1"/>
  <c r="CE35" i="14" s="1"/>
  <c r="Q31" i="43" s="1"/>
  <c r="EN35" i="14"/>
  <c r="DJ35" i="14" s="1"/>
  <c r="ES36" i="14"/>
  <c r="DO36" i="14" s="1"/>
  <c r="JM40" i="14"/>
  <c r="AS41" i="14" a="1"/>
  <c r="AS41" i="14" s="1"/>
  <c r="BC41" i="14" s="1" a="1"/>
  <c r="BC41" i="14" s="1"/>
  <c r="BM41" i="14" s="1" a="1"/>
  <c r="BM41" i="14" s="1"/>
  <c r="CQ41" i="14" s="1"/>
  <c r="AC37" i="43" s="1"/>
  <c r="JE41" i="14"/>
  <c r="AS6" i="14" a="1"/>
  <c r="AS6" i="14" s="1"/>
  <c r="BW6" i="14" s="1"/>
  <c r="I2" i="43" s="1"/>
  <c r="AY6" i="14" a="1"/>
  <c r="AY6" i="14" s="1"/>
  <c r="CC6" i="14" s="1"/>
  <c r="O2" i="43" s="1"/>
  <c r="BE6" i="14" a="1"/>
  <c r="BE6" i="14" s="1"/>
  <c r="CI6" i="14" s="1"/>
  <c r="U2" i="43" s="1"/>
  <c r="BK6" i="14" a="1"/>
  <c r="BK6" i="14" s="1"/>
  <c r="CO6" i="14" s="1"/>
  <c r="AA2" i="43" s="1"/>
  <c r="BQ6" i="14" a="1"/>
  <c r="BQ6" i="14" s="1"/>
  <c r="CU6" i="14" s="1"/>
  <c r="AG2" i="43" s="1"/>
  <c r="EJ6" i="14"/>
  <c r="DF6" i="14" s="1"/>
  <c r="EV6" i="14"/>
  <c r="DR6" i="14" s="1"/>
  <c r="IZ6" i="14"/>
  <c r="JL6" i="14"/>
  <c r="IY7" i="14"/>
  <c r="JK7" i="14"/>
  <c r="AR8" i="14" a="1"/>
  <c r="AR8" i="14" s="1"/>
  <c r="EN8" i="14" s="1"/>
  <c r="DJ8" i="14" s="1"/>
  <c r="AX8" i="14" a="1"/>
  <c r="AX8" i="14" s="1"/>
  <c r="ET8" i="14" s="1"/>
  <c r="DP8" i="14" s="1"/>
  <c r="EG9" i="14"/>
  <c r="DC9" i="14" s="1"/>
  <c r="EE11" i="14"/>
  <c r="DA11" i="14" s="1"/>
  <c r="AP12" i="14" a="1"/>
  <c r="AP12" i="14" s="1"/>
  <c r="BT12" i="14" s="1"/>
  <c r="F8" i="43" s="1"/>
  <c r="AV12" i="14" a="1"/>
  <c r="AV12" i="14" s="1"/>
  <c r="BZ12" i="14" s="1"/>
  <c r="L8" i="43" s="1"/>
  <c r="BB12" i="14" a="1"/>
  <c r="BB12" i="14" s="1"/>
  <c r="CF12" i="14" s="1"/>
  <c r="R8" i="43" s="1"/>
  <c r="BH12" i="14" a="1"/>
  <c r="BH12" i="14" s="1"/>
  <c r="CL12" i="14" s="1"/>
  <c r="X8" i="43" s="1"/>
  <c r="BN12" i="14" a="1"/>
  <c r="BN12" i="14" s="1"/>
  <c r="CR12" i="14" s="1"/>
  <c r="AD8" i="43" s="1"/>
  <c r="ED12" i="14"/>
  <c r="CZ12" i="14" s="1"/>
  <c r="EP12" i="14"/>
  <c r="DL12" i="14" s="1"/>
  <c r="FB12" i="14"/>
  <c r="DX12" i="14" s="1"/>
  <c r="IT12" i="14"/>
  <c r="JF12" i="14"/>
  <c r="JR12" i="14"/>
  <c r="EC13" i="14"/>
  <c r="CY13" i="14" s="1"/>
  <c r="EO13" i="14"/>
  <c r="DK13" i="14" s="1"/>
  <c r="FA13" i="14"/>
  <c r="DW13" i="14" s="1"/>
  <c r="IS13" i="14"/>
  <c r="JE13" i="14"/>
  <c r="JQ13" i="14"/>
  <c r="IR14" i="14"/>
  <c r="JD14" i="14"/>
  <c r="JP14" i="14"/>
  <c r="JS16" i="14"/>
  <c r="JG16" i="14"/>
  <c r="IU16" i="14"/>
  <c r="JO16" i="14"/>
  <c r="JC16" i="14"/>
  <c r="IQ16" i="14"/>
  <c r="JN16" i="14"/>
  <c r="JB16" i="14"/>
  <c r="AT16" i="14" a="1"/>
  <c r="AT16" i="14" s="1"/>
  <c r="BX16" i="14" s="1"/>
  <c r="J12" i="43" s="1"/>
  <c r="AZ16" i="14" a="1"/>
  <c r="AZ16" i="14" s="1"/>
  <c r="CD16" i="14" s="1"/>
  <c r="P12" i="43" s="1"/>
  <c r="BF16" i="14" a="1"/>
  <c r="BF16" i="14" s="1"/>
  <c r="CJ16" i="14" s="1"/>
  <c r="V12" i="43" s="1"/>
  <c r="BL16" i="14" a="1"/>
  <c r="BL16" i="14" s="1"/>
  <c r="CP16" i="14" s="1"/>
  <c r="AB12" i="43" s="1"/>
  <c r="BR16" i="14" a="1"/>
  <c r="BR16" i="14" s="1"/>
  <c r="CV16" i="14" s="1"/>
  <c r="AH12" i="43" s="1"/>
  <c r="EK16" i="14"/>
  <c r="DG16" i="14" s="1"/>
  <c r="FB16" i="14"/>
  <c r="DX16" i="14" s="1"/>
  <c r="IT16" i="14"/>
  <c r="JJ16" i="14"/>
  <c r="BJ17" i="14" a="1"/>
  <c r="BJ17" i="14" s="1"/>
  <c r="CN17" i="14" s="1"/>
  <c r="Z13" i="43" s="1"/>
  <c r="EE17" i="14"/>
  <c r="DA17" i="14" s="1"/>
  <c r="ET17" i="14"/>
  <c r="DP17" i="14" s="1"/>
  <c r="AX18" i="14" a="1"/>
  <c r="AX18" i="14" s="1"/>
  <c r="CB18" i="14" s="1"/>
  <c r="N14" i="43" s="1"/>
  <c r="EM18" i="14"/>
  <c r="DI18" i="14" s="1"/>
  <c r="FC18" i="14"/>
  <c r="DY18" i="14" s="1"/>
  <c r="JC19" i="14"/>
  <c r="JS19" i="14"/>
  <c r="EJ24" i="14"/>
  <c r="DF24" i="14" s="1"/>
  <c r="AS27" i="14" a="1"/>
  <c r="AS27" i="14" s="1"/>
  <c r="BW27" i="14" s="1"/>
  <c r="I23" i="43" s="1"/>
  <c r="EJ27" i="14"/>
  <c r="DF27" i="14" s="1"/>
  <c r="AW28" i="14" a="1"/>
  <c r="AW28" i="14" s="1"/>
  <c r="CA28" i="14" s="1"/>
  <c r="M24" i="43" s="1"/>
  <c r="BI28" i="14" a="1"/>
  <c r="BI28" i="14" s="1"/>
  <c r="CM28" i="14" s="1"/>
  <c r="Y24" i="43" s="1"/>
  <c r="EG29" i="14"/>
  <c r="DC29" i="14" s="1"/>
  <c r="AW30" i="14" a="1"/>
  <c r="AW30" i="14" s="1"/>
  <c r="CA30" i="14" s="1"/>
  <c r="M26" i="43" s="1"/>
  <c r="BI30" i="14" a="1"/>
  <c r="BI30" i="14" s="1"/>
  <c r="CM30" i="14" s="1"/>
  <c r="Y26" i="43" s="1"/>
  <c r="ER30" i="14"/>
  <c r="DN30" i="14" s="1"/>
  <c r="DM31" i="14"/>
  <c r="JG31" i="14"/>
  <c r="IQ39" i="14"/>
  <c r="JN40" i="14"/>
  <c r="JJ44" i="14"/>
  <c r="IX44" i="14"/>
  <c r="JT44" i="14"/>
  <c r="JH44" i="14"/>
  <c r="IV44" i="14"/>
  <c r="JS44" i="14"/>
  <c r="JG44" i="14"/>
  <c r="IU44" i="14"/>
  <c r="JR44" i="14"/>
  <c r="JF44" i="14"/>
  <c r="IT44" i="14"/>
  <c r="JQ44" i="14"/>
  <c r="JE44" i="14"/>
  <c r="IS44" i="14"/>
  <c r="JO44" i="14"/>
  <c r="JC44" i="14"/>
  <c r="IQ44" i="14"/>
  <c r="JM44" i="14"/>
  <c r="JL44" i="14"/>
  <c r="JK44" i="14"/>
  <c r="JI44" i="14"/>
  <c r="JB44" i="14"/>
  <c r="JA44" i="14"/>
  <c r="IZ44" i="14"/>
  <c r="AW52" i="14" a="1"/>
  <c r="AW52" i="14" s="1"/>
  <c r="CA52" i="14" s="1"/>
  <c r="M48" i="43" s="1"/>
  <c r="EK6" i="14"/>
  <c r="DG6" i="14" s="1"/>
  <c r="EW6" i="14"/>
  <c r="DS6" i="14" s="1"/>
  <c r="IZ7" i="14"/>
  <c r="JL7" i="14"/>
  <c r="AR9" i="14" a="1"/>
  <c r="AR9" i="14" s="1"/>
  <c r="BB9" i="14" s="1" a="1"/>
  <c r="BB9" i="14" s="1"/>
  <c r="AX9" i="14" a="1"/>
  <c r="AX9" i="14" s="1"/>
  <c r="EH9" i="14"/>
  <c r="DD9" i="14" s="1"/>
  <c r="AQ11" i="14" a="1"/>
  <c r="AQ11" i="14" s="1"/>
  <c r="AV11" i="14" s="1" a="1"/>
  <c r="AV11" i="14" s="1"/>
  <c r="EM11" i="14" s="1"/>
  <c r="DI11" i="14" s="1"/>
  <c r="EE12" i="14"/>
  <c r="DA12" i="14" s="1"/>
  <c r="EQ12" i="14"/>
  <c r="DM12" i="14" s="1"/>
  <c r="FC12" i="14"/>
  <c r="DY12" i="14" s="1"/>
  <c r="IU12" i="14"/>
  <c r="JG12" i="14"/>
  <c r="JS12" i="14"/>
  <c r="AP13" i="14" a="1"/>
  <c r="AP13" i="14" s="1"/>
  <c r="BT13" i="14" s="1"/>
  <c r="F9" i="43" s="1"/>
  <c r="AV13" i="14" a="1"/>
  <c r="AV13" i="14" s="1"/>
  <c r="BZ13" i="14" s="1"/>
  <c r="L9" i="43" s="1"/>
  <c r="BB13" i="14" a="1"/>
  <c r="BB13" i="14" s="1"/>
  <c r="CF13" i="14" s="1"/>
  <c r="R9" i="43" s="1"/>
  <c r="BH13" i="14" a="1"/>
  <c r="BH13" i="14" s="1"/>
  <c r="CL13" i="14" s="1"/>
  <c r="X9" i="43" s="1"/>
  <c r="BN13" i="14" a="1"/>
  <c r="BN13" i="14" s="1"/>
  <c r="CR13" i="14" s="1"/>
  <c r="AD9" i="43" s="1"/>
  <c r="ED13" i="14"/>
  <c r="CZ13" i="14" s="1"/>
  <c r="EP13" i="14"/>
  <c r="DL13" i="14" s="1"/>
  <c r="FB13" i="14"/>
  <c r="DX13" i="14" s="1"/>
  <c r="IT13" i="14"/>
  <c r="JF13" i="14"/>
  <c r="JR13" i="14"/>
  <c r="IS14" i="14"/>
  <c r="JE14" i="14"/>
  <c r="JQ14" i="14"/>
  <c r="EN16" i="14"/>
  <c r="DJ16" i="14" s="1"/>
  <c r="FD16" i="14"/>
  <c r="DZ16" i="14" s="1"/>
  <c r="IV16" i="14"/>
  <c r="JK16" i="14"/>
  <c r="AU17" i="14" a="1"/>
  <c r="AU17" i="14" s="1"/>
  <c r="BY17" i="14" s="1"/>
  <c r="K13" i="43" s="1"/>
  <c r="BC17" i="14" a="1"/>
  <c r="BC17" i="14" s="1"/>
  <c r="CG17" i="14" s="1"/>
  <c r="S13" i="43" s="1"/>
  <c r="EF17" i="14"/>
  <c r="DB17" i="14" s="1"/>
  <c r="EU17" i="14"/>
  <c r="DQ17" i="14" s="1"/>
  <c r="AQ18" i="14" a="1"/>
  <c r="AQ18" i="14" s="1"/>
  <c r="BU18" i="14" s="1"/>
  <c r="G14" i="43" s="1"/>
  <c r="BG18" i="14" a="1"/>
  <c r="BG18" i="14" s="1"/>
  <c r="CK18" i="14" s="1"/>
  <c r="W14" i="43" s="1"/>
  <c r="BO18" i="14" a="1"/>
  <c r="BO18" i="14" s="1"/>
  <c r="CS18" i="14" s="1"/>
  <c r="AE14" i="43" s="1"/>
  <c r="EN18" i="14"/>
  <c r="DJ18" i="14" s="1"/>
  <c r="FD18" i="14"/>
  <c r="DZ18" i="14" s="1"/>
  <c r="JE19" i="14"/>
  <c r="AQ20" i="14" a="1"/>
  <c r="AQ20" i="14" s="1"/>
  <c r="BU20" i="14" s="1"/>
  <c r="G16" i="43" s="1"/>
  <c r="IV20" i="14"/>
  <c r="JM20" i="14"/>
  <c r="AT21" i="14" a="1"/>
  <c r="AT21" i="14" s="1"/>
  <c r="BD21" i="14" s="1" a="1"/>
  <c r="BD21" i="14" s="1"/>
  <c r="AU21" i="14" a="1"/>
  <c r="AU21" i="14" s="1"/>
  <c r="BY21" i="14" s="1"/>
  <c r="K17" i="43" s="1"/>
  <c r="IT22" i="14"/>
  <c r="JP22" i="14"/>
  <c r="AO23" i="14" a="1"/>
  <c r="AO23" i="14" s="1"/>
  <c r="AY23" i="14" s="1" a="1"/>
  <c r="AY23" i="14" s="1"/>
  <c r="AR24" i="14" a="1"/>
  <c r="AR24" i="14" s="1"/>
  <c r="EN24" i="14" s="1"/>
  <c r="DJ24" i="14" s="1"/>
  <c r="JN24" i="14"/>
  <c r="AO25" i="14" a="1"/>
  <c r="AO25" i="14" s="1"/>
  <c r="EK25" i="14" s="1"/>
  <c r="DG25" i="14" s="1"/>
  <c r="IU26" i="14"/>
  <c r="JS26" i="14"/>
  <c r="JA27" i="14"/>
  <c r="AX28" i="14" a="1"/>
  <c r="AX28" i="14" s="1"/>
  <c r="CB28" i="14" s="1"/>
  <c r="N24" i="43" s="1"/>
  <c r="AR29" i="14" a="1"/>
  <c r="AR29" i="14" s="1"/>
  <c r="BV29" i="14" s="1"/>
  <c r="H25" i="43" s="1"/>
  <c r="BD29" i="14" a="1"/>
  <c r="BD29" i="14" s="1"/>
  <c r="CH29" i="14" s="1"/>
  <c r="T25" i="43" s="1"/>
  <c r="BP29" i="14" a="1"/>
  <c r="BP29" i="14" s="1"/>
  <c r="CT29" i="14" s="1"/>
  <c r="AF25" i="43" s="1"/>
  <c r="EH29" i="14"/>
  <c r="DD29" i="14" s="1"/>
  <c r="ES30" i="14"/>
  <c r="DO30" i="14" s="1"/>
  <c r="JH31" i="14"/>
  <c r="ES32" i="14"/>
  <c r="DO32" i="14" s="1"/>
  <c r="DR34" i="14"/>
  <c r="EQ35" i="14"/>
  <c r="DM35" i="14" s="1"/>
  <c r="BE36" i="14" a="1"/>
  <c r="BE36" i="14" s="1"/>
  <c r="CI36" i="14" s="1"/>
  <c r="U32" i="43" s="1"/>
  <c r="EV36" i="14"/>
  <c r="DR36" i="14" s="1"/>
  <c r="JO40" i="14"/>
  <c r="JL41" i="14"/>
  <c r="AO44" i="14" a="1"/>
  <c r="AO44" i="14" s="1"/>
  <c r="AT44" i="14" s="1" a="1"/>
  <c r="AT44" i="14" s="1"/>
  <c r="AT6" i="14" a="1"/>
  <c r="AT6" i="14" s="1"/>
  <c r="BX6" i="14" s="1"/>
  <c r="J2" i="43" s="1"/>
  <c r="AZ6" i="14" a="1"/>
  <c r="AZ6" i="14" s="1"/>
  <c r="CD6" i="14" s="1"/>
  <c r="P2" i="43" s="1"/>
  <c r="BF6" i="14" a="1"/>
  <c r="BF6" i="14" s="1"/>
  <c r="CJ6" i="14" s="1"/>
  <c r="V2" i="43" s="1"/>
  <c r="BL6" i="14" a="1"/>
  <c r="BL6" i="14" s="1"/>
  <c r="CP6" i="14" s="1"/>
  <c r="AB2" i="43" s="1"/>
  <c r="BR6" i="14" a="1"/>
  <c r="BR6" i="14" s="1"/>
  <c r="CV6" i="14" s="1"/>
  <c r="AH2" i="43" s="1"/>
  <c r="EL6" i="14"/>
  <c r="DH6" i="14" s="1"/>
  <c r="EX6" i="14"/>
  <c r="DT6" i="14" s="1"/>
  <c r="JB6" i="14"/>
  <c r="JA7" i="14"/>
  <c r="JM7" i="14"/>
  <c r="AS8" i="14" a="1"/>
  <c r="AS8" i="14" s="1"/>
  <c r="AQ12" i="14" a="1"/>
  <c r="AQ12" i="14" s="1"/>
  <c r="BU12" i="14" s="1"/>
  <c r="G8" i="43" s="1"/>
  <c r="AW12" i="14" a="1"/>
  <c r="AW12" i="14" s="1"/>
  <c r="CA12" i="14" s="1"/>
  <c r="M8" i="43" s="1"/>
  <c r="BC12" i="14" a="1"/>
  <c r="BC12" i="14" s="1"/>
  <c r="CG12" i="14" s="1"/>
  <c r="S8" i="43" s="1"/>
  <c r="BI12" i="14" a="1"/>
  <c r="BI12" i="14" s="1"/>
  <c r="CM12" i="14" s="1"/>
  <c r="Y8" i="43" s="1"/>
  <c r="BO12" i="14" a="1"/>
  <c r="BO12" i="14" s="1"/>
  <c r="CS12" i="14" s="1"/>
  <c r="AE8" i="43" s="1"/>
  <c r="EF12" i="14"/>
  <c r="DB12" i="14" s="1"/>
  <c r="ER12" i="14"/>
  <c r="DN12" i="14" s="1"/>
  <c r="FD12" i="14"/>
  <c r="DZ12" i="14" s="1"/>
  <c r="IV12" i="14"/>
  <c r="JH12" i="14"/>
  <c r="EE13" i="14"/>
  <c r="DA13" i="14" s="1"/>
  <c r="EQ13" i="14"/>
  <c r="DM13" i="14" s="1"/>
  <c r="FC13" i="14"/>
  <c r="DY13" i="14" s="1"/>
  <c r="IU13" i="14"/>
  <c r="JG13" i="14"/>
  <c r="JS13" i="14"/>
  <c r="IT14" i="14"/>
  <c r="JF14" i="14"/>
  <c r="JR14" i="14"/>
  <c r="AO16" i="14" a="1"/>
  <c r="AO16" i="14" s="1"/>
  <c r="BS16" i="14" s="1"/>
  <c r="E12" i="43" s="1"/>
  <c r="AU16" i="14" a="1"/>
  <c r="AU16" i="14" s="1"/>
  <c r="BY16" i="14" s="1"/>
  <c r="K12" i="43" s="1"/>
  <c r="BA16" i="14" a="1"/>
  <c r="BA16" i="14" s="1"/>
  <c r="CE16" i="14" s="1"/>
  <c r="Q12" i="43" s="1"/>
  <c r="BG16" i="14" a="1"/>
  <c r="BG16" i="14" s="1"/>
  <c r="CK16" i="14" s="1"/>
  <c r="W12" i="43" s="1"/>
  <c r="BM16" i="14" a="1"/>
  <c r="BM16" i="14" s="1"/>
  <c r="CQ16" i="14" s="1"/>
  <c r="AC12" i="43" s="1"/>
  <c r="EO16" i="14"/>
  <c r="DK16" i="14" s="1"/>
  <c r="BK17" i="14" a="1"/>
  <c r="BK17" i="14" s="1"/>
  <c r="CO17" i="14" s="1"/>
  <c r="AA13" i="43" s="1"/>
  <c r="EG17" i="14"/>
  <c r="DC17" i="14" s="1"/>
  <c r="EV17" i="14"/>
  <c r="DR17" i="14" s="1"/>
  <c r="AZ18" i="14" a="1"/>
  <c r="AZ18" i="14" s="1"/>
  <c r="CD18" i="14" s="1"/>
  <c r="P14" i="43" s="1"/>
  <c r="BH18" i="14" a="1"/>
  <c r="BH18" i="14" s="1"/>
  <c r="CL18" i="14" s="1"/>
  <c r="X14" i="43" s="1"/>
  <c r="JP19" i="14"/>
  <c r="JD19" i="14"/>
  <c r="IR19" i="14"/>
  <c r="JL19" i="14"/>
  <c r="IZ19" i="14"/>
  <c r="JK19" i="14"/>
  <c r="IY19" i="14"/>
  <c r="JF19" i="14"/>
  <c r="AQ25" i="14" a="1"/>
  <c r="AQ25" i="14" s="1"/>
  <c r="BA25" i="14" s="1" a="1"/>
  <c r="BA25" i="14" s="1"/>
  <c r="AT27" i="14" a="1"/>
  <c r="AT27" i="14" s="1"/>
  <c r="BX27" i="14" s="1"/>
  <c r="J23" i="43" s="1"/>
  <c r="EI29" i="14"/>
  <c r="DE29" i="14" s="1"/>
  <c r="AX30" i="14" a="1"/>
  <c r="AX30" i="14" s="1"/>
  <c r="CB30" i="14" s="1"/>
  <c r="N26" i="43" s="1"/>
  <c r="BJ30" i="14" a="1"/>
  <c r="BJ30" i="14" s="1"/>
  <c r="CN30" i="14" s="1"/>
  <c r="Z26" i="43" s="1"/>
  <c r="ET30" i="14"/>
  <c r="DP30" i="14" s="1"/>
  <c r="JI31" i="14"/>
  <c r="AS40" i="14" a="1"/>
  <c r="AS40" i="14" s="1"/>
  <c r="EO40" i="14" s="1"/>
  <c r="DK40" i="14" s="1"/>
  <c r="AX40" i="14" a="1"/>
  <c r="AX40" i="14" s="1"/>
  <c r="AR40" i="14" a="1"/>
  <c r="AR40" i="14" s="1"/>
  <c r="AU40" i="14" a="1"/>
  <c r="AU40" i="14" s="1"/>
  <c r="BY40" i="14" s="1"/>
  <c r="K36" i="43" s="1"/>
  <c r="AT40" i="14" a="1"/>
  <c r="AT40" i="14" s="1"/>
  <c r="EP40" i="14" s="1"/>
  <c r="DL40" i="14" s="1"/>
  <c r="AQ40" i="14" a="1"/>
  <c r="AQ40" i="14" s="1"/>
  <c r="AP40" i="14" a="1"/>
  <c r="AP40" i="14" s="1"/>
  <c r="AZ40" i="14" s="1" a="1"/>
  <c r="AZ40" i="14" s="1"/>
  <c r="EV40" i="14" s="1"/>
  <c r="DR40" i="14" s="1"/>
  <c r="EB44" i="14"/>
  <c r="CX44" i="14" s="1"/>
  <c r="BP45" i="14" a="1"/>
  <c r="BP45" i="14" s="1"/>
  <c r="CT45" i="14" s="1"/>
  <c r="AF41" i="43" s="1"/>
  <c r="BD45" i="14" a="1"/>
  <c r="BD45" i="14" s="1"/>
  <c r="CH45" i="14" s="1"/>
  <c r="T41" i="43" s="1"/>
  <c r="AR45" i="14" a="1"/>
  <c r="AR45" i="14" s="1"/>
  <c r="BV45" i="14" s="1"/>
  <c r="H41" i="43" s="1"/>
  <c r="BO45" i="14" a="1"/>
  <c r="BO45" i="14" s="1"/>
  <c r="CS45" i="14" s="1"/>
  <c r="AE41" i="43" s="1"/>
  <c r="BC45" i="14" a="1"/>
  <c r="BC45" i="14" s="1"/>
  <c r="CG45" i="14" s="1"/>
  <c r="S41" i="43" s="1"/>
  <c r="AQ45" i="14" a="1"/>
  <c r="AQ45" i="14" s="1"/>
  <c r="BU45" i="14" s="1"/>
  <c r="G41" i="43" s="1"/>
  <c r="BJ45" i="14" a="1"/>
  <c r="BJ45" i="14" s="1"/>
  <c r="CN45" i="14" s="1"/>
  <c r="Z41" i="43" s="1"/>
  <c r="AX45" i="14" a="1"/>
  <c r="AX45" i="14" s="1"/>
  <c r="CB45" i="14" s="1"/>
  <c r="N41" i="43" s="1"/>
  <c r="BI45" i="14" a="1"/>
  <c r="BI45" i="14" s="1"/>
  <c r="CM45" i="14" s="1"/>
  <c r="Y41" i="43" s="1"/>
  <c r="AW45" i="14" a="1"/>
  <c r="AW45" i="14" s="1"/>
  <c r="CA45" i="14" s="1"/>
  <c r="M41" i="43" s="1"/>
  <c r="BQ45" i="14" a="1"/>
  <c r="BQ45" i="14" s="1"/>
  <c r="CU45" i="14" s="1"/>
  <c r="AG41" i="43" s="1"/>
  <c r="EA6" i="14"/>
  <c r="CW6" i="14" s="1"/>
  <c r="EM6" i="14"/>
  <c r="DI6" i="14" s="1"/>
  <c r="JB7" i="14"/>
  <c r="AS9" i="14" a="1"/>
  <c r="AS9" i="14" s="1"/>
  <c r="AA307" i="20"/>
  <c r="K307" i="20"/>
  <c r="Z306" i="20"/>
  <c r="K306" i="20"/>
  <c r="W305" i="20"/>
  <c r="H305" i="20"/>
  <c r="W304" i="20"/>
  <c r="H304" i="20"/>
  <c r="V303" i="20"/>
  <c r="E303" i="20"/>
  <c r="S301" i="20"/>
  <c r="D301" i="20"/>
  <c r="P300" i="20"/>
  <c r="Z307" i="20"/>
  <c r="J307" i="20"/>
  <c r="Y306" i="20"/>
  <c r="I306" i="20"/>
  <c r="V305" i="20"/>
  <c r="G305" i="20"/>
  <c r="V304" i="20"/>
  <c r="G304" i="20"/>
  <c r="T303" i="20"/>
  <c r="D303" i="20"/>
  <c r="R301" i="20"/>
  <c r="B301" i="20"/>
  <c r="O300" i="20"/>
  <c r="W307" i="20"/>
  <c r="H307" i="20"/>
  <c r="V306" i="20"/>
  <c r="E306" i="20"/>
  <c r="T305" i="20"/>
  <c r="E305" i="20"/>
  <c r="T304" i="20"/>
  <c r="C304" i="20"/>
  <c r="Q303" i="20"/>
  <c r="B303" i="20"/>
  <c r="AE301" i="20"/>
  <c r="O301" i="20"/>
  <c r="AB300" i="20"/>
  <c r="M300" i="20"/>
  <c r="V307" i="20"/>
  <c r="G307" i="20"/>
  <c r="T306" i="20"/>
  <c r="D306" i="20"/>
  <c r="S305" i="20"/>
  <c r="D305" i="20"/>
  <c r="S304" i="20"/>
  <c r="AE303" i="20"/>
  <c r="P303" i="20"/>
  <c r="AD301" i="20"/>
  <c r="M301" i="20"/>
  <c r="AA300" i="20"/>
  <c r="L300" i="20"/>
  <c r="O307" i="20"/>
  <c r="S306" i="20"/>
  <c r="AC305" i="20"/>
  <c r="C305" i="20"/>
  <c r="K304" i="20"/>
  <c r="O303" i="20"/>
  <c r="AB301" i="20"/>
  <c r="G301" i="20"/>
  <c r="K300" i="20"/>
  <c r="N307" i="20"/>
  <c r="Q306" i="20"/>
  <c r="AB305" i="20"/>
  <c r="B305" i="20"/>
  <c r="J304" i="20"/>
  <c r="N303" i="20"/>
  <c r="Z301" i="20"/>
  <c r="E307" i="20"/>
  <c r="L306" i="20"/>
  <c r="M305" i="20"/>
  <c r="M304" i="20"/>
  <c r="M303" i="20"/>
  <c r="T301" i="20"/>
  <c r="W300" i="20"/>
  <c r="C307" i="20"/>
  <c r="G306" i="20"/>
  <c r="J305" i="20"/>
  <c r="L304" i="20"/>
  <c r="K303" i="20"/>
  <c r="Q301" i="20"/>
  <c r="V300" i="20"/>
  <c r="AE307" i="20"/>
  <c r="B307" i="20"/>
  <c r="C306" i="20"/>
  <c r="I305" i="20"/>
  <c r="I304" i="20"/>
  <c r="J303" i="20"/>
  <c r="K301" i="20"/>
  <c r="U300" i="20"/>
  <c r="AC307" i="20"/>
  <c r="AE306" i="20"/>
  <c r="B306" i="20"/>
  <c r="F305" i="20"/>
  <c r="E304" i="20"/>
  <c r="I303" i="20"/>
  <c r="J301" i="20"/>
  <c r="S300" i="20"/>
  <c r="AB307" i="20"/>
  <c r="AC306" i="20"/>
  <c r="AE305" i="20"/>
  <c r="AC304" i="20"/>
  <c r="AD303" i="20"/>
  <c r="G303" i="20"/>
  <c r="I301" i="20"/>
  <c r="N300" i="20"/>
  <c r="Y307" i="20"/>
  <c r="AB306" i="20"/>
  <c r="AD305" i="20"/>
  <c r="AA304" i="20"/>
  <c r="AC303" i="20"/>
  <c r="C303" i="20"/>
  <c r="H301" i="20"/>
  <c r="J300" i="20"/>
  <c r="U307" i="20"/>
  <c r="AA306" i="20"/>
  <c r="Z305" i="20"/>
  <c r="Z304" i="20"/>
  <c r="AB303" i="20"/>
  <c r="F301" i="20"/>
  <c r="I300" i="20"/>
  <c r="T307" i="20"/>
  <c r="X306" i="20"/>
  <c r="U305" i="20"/>
  <c r="Y304" i="20"/>
  <c r="AA303" i="20"/>
  <c r="E301" i="20"/>
  <c r="H300" i="20"/>
  <c r="R307" i="20"/>
  <c r="P306" i="20"/>
  <c r="R305" i="20"/>
  <c r="X304" i="20"/>
  <c r="Z303" i="20"/>
  <c r="Y301" i="20"/>
  <c r="AC300" i="20"/>
  <c r="E300" i="20"/>
  <c r="P307" i="20"/>
  <c r="O306" i="20"/>
  <c r="Q305" i="20"/>
  <c r="U304" i="20"/>
  <c r="Y303" i="20"/>
  <c r="W301" i="20"/>
  <c r="Z300" i="20"/>
  <c r="C300" i="20"/>
  <c r="M307" i="20"/>
  <c r="V301" i="20"/>
  <c r="I307" i="20"/>
  <c r="U301" i="20"/>
  <c r="N306" i="20"/>
  <c r="Y300" i="20"/>
  <c r="M306" i="20"/>
  <c r="X300" i="20"/>
  <c r="P305" i="20"/>
  <c r="B300" i="20"/>
  <c r="O305" i="20"/>
  <c r="P304" i="20"/>
  <c r="N304" i="20"/>
  <c r="W303" i="20"/>
  <c r="R303" i="20"/>
  <c r="EG12" i="14"/>
  <c r="DC12" i="14" s="1"/>
  <c r="AQ13" i="14" a="1"/>
  <c r="AQ13" i="14" s="1"/>
  <c r="BU13" i="14" s="1"/>
  <c r="G9" i="43" s="1"/>
  <c r="AW13" i="14" a="1"/>
  <c r="AW13" i="14" s="1"/>
  <c r="CA13" i="14" s="1"/>
  <c r="M9" i="43" s="1"/>
  <c r="BC13" i="14" a="1"/>
  <c r="BC13" i="14" s="1"/>
  <c r="CG13" i="14" s="1"/>
  <c r="S9" i="43" s="1"/>
  <c r="BI13" i="14" a="1"/>
  <c r="BI13" i="14" s="1"/>
  <c r="CM13" i="14" s="1"/>
  <c r="Y9" i="43" s="1"/>
  <c r="BO13" i="14" a="1"/>
  <c r="BO13" i="14" s="1"/>
  <c r="CS13" i="14" s="1"/>
  <c r="AE9" i="43" s="1"/>
  <c r="EF13" i="14"/>
  <c r="DB13" i="14" s="1"/>
  <c r="ER13" i="14"/>
  <c r="DN13" i="14" s="1"/>
  <c r="FD13" i="14"/>
  <c r="DZ13" i="14" s="1"/>
  <c r="IV13" i="14"/>
  <c r="JH13" i="14"/>
  <c r="IU14" i="14"/>
  <c r="JG14" i="14"/>
  <c r="JS14" i="14"/>
  <c r="EP16" i="14"/>
  <c r="DL16" i="14" s="1"/>
  <c r="BD17" i="14" a="1"/>
  <c r="BD17" i="14" s="1"/>
  <c r="CH17" i="14" s="1"/>
  <c r="T13" i="43" s="1"/>
  <c r="EH17" i="14"/>
  <c r="DD17" i="14" s="1"/>
  <c r="EY17" i="14"/>
  <c r="DU17" i="14" s="1"/>
  <c r="FA18" i="14"/>
  <c r="DW18" i="14" s="1"/>
  <c r="EO18" i="14"/>
  <c r="DK18" i="14" s="1"/>
  <c r="EC18" i="14"/>
  <c r="CY18" i="14" s="1"/>
  <c r="EW18" i="14"/>
  <c r="DS18" i="14" s="1"/>
  <c r="EK18" i="14"/>
  <c r="DG18" i="14" s="1"/>
  <c r="EV18" i="14"/>
  <c r="DR18" i="14" s="1"/>
  <c r="EJ18" i="14"/>
  <c r="DF18" i="14" s="1"/>
  <c r="BQ18" i="14" a="1"/>
  <c r="BQ18" i="14" s="1"/>
  <c r="CU18" i="14" s="1"/>
  <c r="AG14" i="43" s="1"/>
  <c r="BK18" i="14" a="1"/>
  <c r="BK18" i="14" s="1"/>
  <c r="CO18" i="14" s="1"/>
  <c r="AA14" i="43" s="1"/>
  <c r="BE18" i="14" a="1"/>
  <c r="BE18" i="14" s="1"/>
  <c r="CI18" i="14" s="1"/>
  <c r="U14" i="43" s="1"/>
  <c r="AY18" i="14" a="1"/>
  <c r="AY18" i="14" s="1"/>
  <c r="CC18" i="14" s="1"/>
  <c r="O14" i="43" s="1"/>
  <c r="AS18" i="14" a="1"/>
  <c r="AS18" i="14" s="1"/>
  <c r="BW18" i="14" s="1"/>
  <c r="I14" i="43" s="1"/>
  <c r="AR18" i="14" a="1"/>
  <c r="AR18" i="14" s="1"/>
  <c r="BV18" i="14" s="1"/>
  <c r="H14" i="43" s="1"/>
  <c r="BP18" i="14" a="1"/>
  <c r="BP18" i="14" s="1"/>
  <c r="CT18" i="14" s="1"/>
  <c r="AF14" i="43" s="1"/>
  <c r="EA18" i="14"/>
  <c r="CW18" i="14" s="1"/>
  <c r="EQ18" i="14"/>
  <c r="DM18" i="14" s="1"/>
  <c r="IQ19" i="14"/>
  <c r="JG19" i="14"/>
  <c r="EA20" i="14"/>
  <c r="CW20" i="14" s="1"/>
  <c r="EI20" i="14"/>
  <c r="DE20" i="14" s="1"/>
  <c r="EH20" i="14"/>
  <c r="DD20" i="14" s="1"/>
  <c r="AX20" i="14" a="1"/>
  <c r="AX20" i="14" s="1"/>
  <c r="ET20" i="14" s="1"/>
  <c r="DP20" i="14" s="1"/>
  <c r="AR20" i="14" a="1"/>
  <c r="AR20" i="14" s="1"/>
  <c r="BB20" i="14" s="1" a="1"/>
  <c r="BB20" i="14" s="1"/>
  <c r="AS20" i="14" a="1"/>
  <c r="AS20" i="14" s="1"/>
  <c r="EO20" i="14" s="1"/>
  <c r="DK20" i="14" s="1"/>
  <c r="EB20" i="14"/>
  <c r="CX20" i="14" s="1"/>
  <c r="AP23" i="14" a="1"/>
  <c r="AP23" i="14" s="1"/>
  <c r="EI24" i="14"/>
  <c r="DE24" i="14" s="1"/>
  <c r="EF24" i="14"/>
  <c r="DB24" i="14" s="1"/>
  <c r="AW24" i="14" a="1"/>
  <c r="AW24" i="14" s="1"/>
  <c r="CA24" i="14" s="1"/>
  <c r="M20" i="43" s="1"/>
  <c r="AQ24" i="14" a="1"/>
  <c r="AQ24" i="14" s="1"/>
  <c r="BA24" i="14" s="1" a="1"/>
  <c r="BA24" i="14" s="1"/>
  <c r="EE24" i="14"/>
  <c r="DA24" i="14" s="1"/>
  <c r="ED24" i="14"/>
  <c r="CZ24" i="14" s="1"/>
  <c r="AV24" i="14" a="1"/>
  <c r="AV24" i="14" s="1"/>
  <c r="ER24" i="14" s="1"/>
  <c r="DN24" i="14" s="1"/>
  <c r="AP24" i="14" a="1"/>
  <c r="AP24" i="14" s="1"/>
  <c r="AT24" i="14" a="1"/>
  <c r="AT24" i="14" s="1"/>
  <c r="BD24" i="14" s="1" a="1"/>
  <c r="BD24" i="14" s="1"/>
  <c r="EZ24" i="14" s="1"/>
  <c r="DV24" i="14" s="1"/>
  <c r="DF26" i="14"/>
  <c r="EH27" i="14"/>
  <c r="DD27" i="14" s="1"/>
  <c r="AX27" i="14" a="1"/>
  <c r="AX27" i="14" s="1"/>
  <c r="CB27" i="14" s="1"/>
  <c r="N23" i="43" s="1"/>
  <c r="AR27" i="14" a="1"/>
  <c r="AR27" i="14" s="1"/>
  <c r="BV27" i="14" s="1"/>
  <c r="H23" i="43" s="1"/>
  <c r="EF27" i="14"/>
  <c r="DB27" i="14" s="1"/>
  <c r="AW27" i="14" a="1"/>
  <c r="AW27" i="14" s="1"/>
  <c r="BG27" i="14" s="1" a="1"/>
  <c r="BG27" i="14" s="1"/>
  <c r="AQ27" i="14" a="1"/>
  <c r="AQ27" i="14" s="1"/>
  <c r="BU27" i="14" s="1"/>
  <c r="G23" i="43" s="1"/>
  <c r="EE27" i="14"/>
  <c r="DA27" i="14" s="1"/>
  <c r="EC27" i="14"/>
  <c r="CY27" i="14" s="1"/>
  <c r="EB27" i="14"/>
  <c r="CX27" i="14" s="1"/>
  <c r="AU27" i="14" a="1"/>
  <c r="AU27" i="14" s="1"/>
  <c r="BY27" i="14" s="1"/>
  <c r="K23" i="43" s="1"/>
  <c r="AO27" i="14" a="1"/>
  <c r="AO27" i="14" s="1"/>
  <c r="EA27" i="14"/>
  <c r="CW27" i="14" s="1"/>
  <c r="AV27" i="14" a="1"/>
  <c r="AV27" i="14" s="1"/>
  <c r="BZ27" i="14" s="1"/>
  <c r="L23" i="43" s="1"/>
  <c r="BN28" i="14" a="1"/>
  <c r="BN28" i="14" s="1"/>
  <c r="CR28" i="14" s="1"/>
  <c r="AD24" i="43" s="1"/>
  <c r="BH28" i="14" a="1"/>
  <c r="BH28" i="14" s="1"/>
  <c r="CL28" i="14" s="1"/>
  <c r="X24" i="43" s="1"/>
  <c r="BB28" i="14" a="1"/>
  <c r="BB28" i="14" s="1"/>
  <c r="CF28" i="14" s="1"/>
  <c r="R24" i="43" s="1"/>
  <c r="AV28" i="14" a="1"/>
  <c r="AV28" i="14" s="1"/>
  <c r="BZ28" i="14" s="1"/>
  <c r="L24" i="43" s="1"/>
  <c r="AP28" i="14" a="1"/>
  <c r="AP28" i="14" s="1"/>
  <c r="BT28" i="14" s="1"/>
  <c r="F24" i="43" s="1"/>
  <c r="AY28" i="14" a="1"/>
  <c r="AY28" i="14" s="1"/>
  <c r="CC28" i="14" s="1"/>
  <c r="O24" i="43" s="1"/>
  <c r="BK28" i="14" a="1"/>
  <c r="BK28" i="14" s="1"/>
  <c r="CO28" i="14" s="1"/>
  <c r="AA24" i="43" s="1"/>
  <c r="AS29" i="14" a="1"/>
  <c r="AS29" i="14" s="1"/>
  <c r="BW29" i="14" s="1"/>
  <c r="I25" i="43" s="1"/>
  <c r="BE29" i="14" a="1"/>
  <c r="BE29" i="14" s="1"/>
  <c r="CI29" i="14" s="1"/>
  <c r="U25" i="43" s="1"/>
  <c r="BQ29" i="14" a="1"/>
  <c r="BQ29" i="14" s="1"/>
  <c r="CU29" i="14" s="1"/>
  <c r="AG25" i="43" s="1"/>
  <c r="EU30" i="14"/>
  <c r="DQ30" i="14" s="1"/>
  <c r="JM39" i="14"/>
  <c r="JA39" i="14"/>
  <c r="JL39" i="14"/>
  <c r="IZ39" i="14"/>
  <c r="JK39" i="14"/>
  <c r="IY39" i="14"/>
  <c r="JJ39" i="14"/>
  <c r="IX39" i="14"/>
  <c r="JT39" i="14"/>
  <c r="JH39" i="14"/>
  <c r="IV39" i="14"/>
  <c r="JG39" i="14"/>
  <c r="JF39" i="14"/>
  <c r="JE39" i="14"/>
  <c r="JD39" i="14"/>
  <c r="JS39" i="14"/>
  <c r="JB39" i="14"/>
  <c r="JR39" i="14"/>
  <c r="IW39" i="14"/>
  <c r="JQ39" i="14"/>
  <c r="IU39" i="14"/>
  <c r="IT39" i="14"/>
  <c r="JL40" i="14"/>
  <c r="IZ40" i="14"/>
  <c r="JK40" i="14"/>
  <c r="IY40" i="14"/>
  <c r="JJ40" i="14"/>
  <c r="IX40" i="14"/>
  <c r="JI40" i="14"/>
  <c r="IW40" i="14"/>
  <c r="JS40" i="14"/>
  <c r="JG40" i="14"/>
  <c r="IU40" i="14"/>
  <c r="JF40" i="14"/>
  <c r="JE40" i="14"/>
  <c r="JD40" i="14"/>
  <c r="JC40" i="14"/>
  <c r="JR40" i="14"/>
  <c r="JA40" i="14"/>
  <c r="JQ40" i="14"/>
  <c r="IV40" i="14"/>
  <c r="JP40" i="14"/>
  <c r="IT40" i="14"/>
  <c r="IR44" i="14"/>
  <c r="EG13" i="14"/>
  <c r="DC13" i="14" s="1"/>
  <c r="IV14" i="14"/>
  <c r="JH14" i="14"/>
  <c r="AP16" i="14" a="1"/>
  <c r="AP16" i="14" s="1"/>
  <c r="BT16" i="14" s="1"/>
  <c r="F12" i="43" s="1"/>
  <c r="AV16" i="14" a="1"/>
  <c r="AV16" i="14" s="1"/>
  <c r="BZ16" i="14" s="1"/>
  <c r="L12" i="43" s="1"/>
  <c r="BB16" i="14" a="1"/>
  <c r="BB16" i="14" s="1"/>
  <c r="CF16" i="14" s="1"/>
  <c r="R12" i="43" s="1"/>
  <c r="BH16" i="14" a="1"/>
  <c r="BH16" i="14" s="1"/>
  <c r="CL16" i="14" s="1"/>
  <c r="X12" i="43" s="1"/>
  <c r="BN16" i="14" a="1"/>
  <c r="BN16" i="14" s="1"/>
  <c r="CR16" i="14" s="1"/>
  <c r="AD12" i="43" s="1"/>
  <c r="EB16" i="14"/>
  <c r="CX16" i="14" s="1"/>
  <c r="ER16" i="14"/>
  <c r="DN16" i="14" s="1"/>
  <c r="FD29" i="14"/>
  <c r="DZ29" i="14" s="1"/>
  <c r="ER29" i="14"/>
  <c r="DN29" i="14" s="1"/>
  <c r="EF29" i="14"/>
  <c r="DB29" i="14" s="1"/>
  <c r="BO29" i="14" a="1"/>
  <c r="BO29" i="14" s="1"/>
  <c r="CS29" i="14" s="1"/>
  <c r="AE25" i="43" s="1"/>
  <c r="BI29" i="14" a="1"/>
  <c r="BI29" i="14" s="1"/>
  <c r="CM29" i="14" s="1"/>
  <c r="Y25" i="43" s="1"/>
  <c r="BC29" i="14" a="1"/>
  <c r="BC29" i="14" s="1"/>
  <c r="CG29" i="14" s="1"/>
  <c r="S25" i="43" s="1"/>
  <c r="AW29" i="14" a="1"/>
  <c r="AW29" i="14" s="1"/>
  <c r="CA29" i="14" s="1"/>
  <c r="M25" i="43" s="1"/>
  <c r="AQ29" i="14" a="1"/>
  <c r="AQ29" i="14" s="1"/>
  <c r="BU29" i="14" s="1"/>
  <c r="G25" i="43" s="1"/>
  <c r="FB29" i="14"/>
  <c r="DX29" i="14" s="1"/>
  <c r="EP29" i="14"/>
  <c r="DL29" i="14" s="1"/>
  <c r="ED29" i="14"/>
  <c r="CZ29" i="14" s="1"/>
  <c r="BN29" i="14" a="1"/>
  <c r="BN29" i="14" s="1"/>
  <c r="CR29" i="14" s="1"/>
  <c r="AD25" i="43" s="1"/>
  <c r="BH29" i="14" a="1"/>
  <c r="BH29" i="14" s="1"/>
  <c r="CL29" i="14" s="1"/>
  <c r="X25" i="43" s="1"/>
  <c r="BB29" i="14" a="1"/>
  <c r="BB29" i="14" s="1"/>
  <c r="CF29" i="14" s="1"/>
  <c r="R25" i="43" s="1"/>
  <c r="AV29" i="14" a="1"/>
  <c r="AV29" i="14" s="1"/>
  <c r="BZ29" i="14" s="1"/>
  <c r="L25" i="43" s="1"/>
  <c r="AP29" i="14" a="1"/>
  <c r="AP29" i="14" s="1"/>
  <c r="BT29" i="14" s="1"/>
  <c r="F25" i="43" s="1"/>
  <c r="FA29" i="14"/>
  <c r="DW29" i="14" s="1"/>
  <c r="EO29" i="14"/>
  <c r="DK29" i="14" s="1"/>
  <c r="EC29" i="14"/>
  <c r="CY29" i="14" s="1"/>
  <c r="EY29" i="14"/>
  <c r="DU29" i="14" s="1"/>
  <c r="EM29" i="14"/>
  <c r="DI29" i="14" s="1"/>
  <c r="EA29" i="14"/>
  <c r="CW29" i="14" s="1"/>
  <c r="EX29" i="14"/>
  <c r="DT29" i="14" s="1"/>
  <c r="EL29" i="14"/>
  <c r="DH29" i="14" s="1"/>
  <c r="BR29" i="14" a="1"/>
  <c r="BR29" i="14" s="1"/>
  <c r="CV29" i="14" s="1"/>
  <c r="AH25" i="43" s="1"/>
  <c r="BL29" i="14" a="1"/>
  <c r="BL29" i="14" s="1"/>
  <c r="CP29" i="14" s="1"/>
  <c r="AB25" i="43" s="1"/>
  <c r="BF29" i="14" a="1"/>
  <c r="BF29" i="14" s="1"/>
  <c r="CJ29" i="14" s="1"/>
  <c r="V25" i="43" s="1"/>
  <c r="AZ29" i="14" a="1"/>
  <c r="AZ29" i="14" s="1"/>
  <c r="CD29" i="14" s="1"/>
  <c r="P25" i="43" s="1"/>
  <c r="AT29" i="14" a="1"/>
  <c r="AT29" i="14" s="1"/>
  <c r="BX29" i="14" s="1"/>
  <c r="J25" i="43" s="1"/>
  <c r="EW29" i="14"/>
  <c r="DS29" i="14" s="1"/>
  <c r="EK29" i="14"/>
  <c r="DG29" i="14" s="1"/>
  <c r="AU29" i="14" a="1"/>
  <c r="AU29" i="14" s="1"/>
  <c r="BY29" i="14" s="1"/>
  <c r="K25" i="43" s="1"/>
  <c r="BG29" i="14" a="1"/>
  <c r="BG29" i="14" s="1"/>
  <c r="CK29" i="14" s="1"/>
  <c r="W25" i="43" s="1"/>
  <c r="EN29" i="14"/>
  <c r="DJ29" i="14" s="1"/>
  <c r="JR31" i="14"/>
  <c r="JF31" i="14"/>
  <c r="IT31" i="14"/>
  <c r="JP31" i="14"/>
  <c r="JD31" i="14"/>
  <c r="IR31" i="14"/>
  <c r="JO31" i="14"/>
  <c r="JC31" i="14"/>
  <c r="IQ31" i="14"/>
  <c r="JM31" i="14"/>
  <c r="JA31" i="14"/>
  <c r="JL31" i="14"/>
  <c r="IZ31" i="14"/>
  <c r="JK31" i="14"/>
  <c r="IY31" i="14"/>
  <c r="JN31" i="14"/>
  <c r="JC39" i="14"/>
  <c r="AW43" i="14" a="1"/>
  <c r="AW43" i="14" s="1"/>
  <c r="CA43" i="14" s="1"/>
  <c r="M39" i="43" s="1"/>
  <c r="AQ43" i="14" a="1"/>
  <c r="AQ43" i="14" s="1"/>
  <c r="AX43" i="14" a="1"/>
  <c r="AX43" i="14" s="1"/>
  <c r="BH43" i="14" s="1" a="1"/>
  <c r="BH43" i="14" s="1"/>
  <c r="AS43" i="14" a="1"/>
  <c r="AS43" i="14" s="1"/>
  <c r="EO43" i="14" s="1"/>
  <c r="DK43" i="14" s="1"/>
  <c r="AR43" i="14" a="1"/>
  <c r="AR43" i="14" s="1"/>
  <c r="BV43" i="14" s="1"/>
  <c r="H39" i="43" s="1"/>
  <c r="IW44" i="14"/>
  <c r="EE47" i="14"/>
  <c r="DA47" i="14" s="1"/>
  <c r="EC47" i="14"/>
  <c r="CY47" i="14" s="1"/>
  <c r="EB47" i="14"/>
  <c r="CX47" i="14" s="1"/>
  <c r="AU47" i="14" a="1"/>
  <c r="AU47" i="14" s="1"/>
  <c r="BY47" i="14" s="1"/>
  <c r="K43" i="43" s="1"/>
  <c r="AO47" i="14" a="1"/>
  <c r="AO47" i="14" s="1"/>
  <c r="AY47" i="14" s="1" a="1"/>
  <c r="AY47" i="14" s="1"/>
  <c r="EA47" i="14"/>
  <c r="CW47" i="14" s="1"/>
  <c r="AT47" i="14" a="1"/>
  <c r="AT47" i="14" s="1"/>
  <c r="BX47" i="14" s="1"/>
  <c r="J43" i="43" s="1"/>
  <c r="EJ47" i="14"/>
  <c r="DF47" i="14" s="1"/>
  <c r="AS47" i="14" a="1"/>
  <c r="AS47" i="14" s="1"/>
  <c r="BW47" i="14" s="1"/>
  <c r="I43" i="43" s="1"/>
  <c r="EI47" i="14"/>
  <c r="DE47" i="14" s="1"/>
  <c r="EH47" i="14"/>
  <c r="DD47" i="14" s="1"/>
  <c r="AV47" i="14" a="1"/>
  <c r="AV47" i="14" s="1"/>
  <c r="BF47" i="14" s="1" a="1"/>
  <c r="BF47" i="14" s="1"/>
  <c r="CJ47" i="14" s="1"/>
  <c r="V43" i="43" s="1"/>
  <c r="EG47" i="14"/>
  <c r="DC47" i="14" s="1"/>
  <c r="EF47" i="14"/>
  <c r="DB47" i="14" s="1"/>
  <c r="AR47" i="14" a="1"/>
  <c r="AR47" i="14" s="1"/>
  <c r="BV47" i="14" s="1"/>
  <c r="H43" i="43" s="1"/>
  <c r="ED47" i="14"/>
  <c r="CZ47" i="14" s="1"/>
  <c r="AP47" i="14" a="1"/>
  <c r="AP47" i="14" s="1"/>
  <c r="EF60" i="14"/>
  <c r="DB60" i="14" s="1"/>
  <c r="AW60" i="14" a="1"/>
  <c r="AW60" i="14" s="1"/>
  <c r="CA60" i="14" s="1"/>
  <c r="M56" i="43" s="1"/>
  <c r="AQ60" i="14" a="1"/>
  <c r="AQ60" i="14" s="1"/>
  <c r="BU60" i="14" s="1"/>
  <c r="G56" i="43" s="1"/>
  <c r="EE60" i="14"/>
  <c r="DA60" i="14" s="1"/>
  <c r="ED60" i="14"/>
  <c r="CZ60" i="14" s="1"/>
  <c r="AV60" i="14" a="1"/>
  <c r="AV60" i="14" s="1"/>
  <c r="AP60" i="14" a="1"/>
  <c r="AP60" i="14" s="1"/>
  <c r="BT60" i="14" s="1"/>
  <c r="F56" i="43" s="1"/>
  <c r="EC60" i="14"/>
  <c r="CY60" i="14" s="1"/>
  <c r="EB60" i="14"/>
  <c r="CX60" i="14" s="1"/>
  <c r="AU60" i="14" a="1"/>
  <c r="AU60" i="14" s="1"/>
  <c r="BY60" i="14" s="1"/>
  <c r="K56" i="43" s="1"/>
  <c r="AO60" i="14" a="1"/>
  <c r="AO60" i="14" s="1"/>
  <c r="BS60" i="14" s="1"/>
  <c r="E56" i="43" s="1"/>
  <c r="EA60" i="14"/>
  <c r="CW60" i="14" s="1"/>
  <c r="EJ60" i="14"/>
  <c r="DF60" i="14" s="1"/>
  <c r="AS60" i="14" a="1"/>
  <c r="AS60" i="14" s="1"/>
  <c r="BC60" i="14" s="1" a="1"/>
  <c r="BC60" i="14" s="1"/>
  <c r="EI60" i="14"/>
  <c r="DE60" i="14" s="1"/>
  <c r="EH60" i="14"/>
  <c r="DD60" i="14" s="1"/>
  <c r="AX60" i="14" a="1"/>
  <c r="AX60" i="14" s="1"/>
  <c r="CB60" i="14" s="1"/>
  <c r="N56" i="43" s="1"/>
  <c r="AR60" i="14" a="1"/>
  <c r="AR60" i="14" s="1"/>
  <c r="BB60" i="14" s="1" a="1"/>
  <c r="BB60" i="14" s="1"/>
  <c r="AT60" i="14" a="1"/>
  <c r="AT60" i="14" s="1"/>
  <c r="EP60" i="14" s="1"/>
  <c r="DL60" i="14" s="1"/>
  <c r="EG60" i="14"/>
  <c r="DC60" i="14" s="1"/>
  <c r="EC71" i="14"/>
  <c r="CY71" i="14" s="1"/>
  <c r="EJ71" i="14"/>
  <c r="DF71" i="14" s="1"/>
  <c r="AS71" i="14" a="1"/>
  <c r="AS71" i="14" s="1"/>
  <c r="EI71" i="14"/>
  <c r="DE71" i="14" s="1"/>
  <c r="AQ71" i="14" a="1"/>
  <c r="AQ71" i="14" s="1"/>
  <c r="EH71" i="14"/>
  <c r="DD71" i="14" s="1"/>
  <c r="AX71" i="14" a="1"/>
  <c r="AX71" i="14" s="1"/>
  <c r="ET71" i="14" s="1"/>
  <c r="DP71" i="14" s="1"/>
  <c r="AP71" i="14" a="1"/>
  <c r="AP71" i="14" s="1"/>
  <c r="BT71" i="14" s="1"/>
  <c r="F67" i="43" s="1"/>
  <c r="EG71" i="14"/>
  <c r="DC71" i="14" s="1"/>
  <c r="AO71" i="14" a="1"/>
  <c r="AO71" i="14" s="1"/>
  <c r="EK71" i="14" s="1"/>
  <c r="DG71" i="14" s="1"/>
  <c r="EF71" i="14"/>
  <c r="DB71" i="14" s="1"/>
  <c r="AW71" i="14" a="1"/>
  <c r="AW71" i="14" s="1"/>
  <c r="EE71" i="14"/>
  <c r="DA71" i="14" s="1"/>
  <c r="ED71" i="14"/>
  <c r="CZ71" i="14" s="1"/>
  <c r="AV71" i="14" a="1"/>
  <c r="AV71" i="14" s="1"/>
  <c r="EB71" i="14"/>
  <c r="CX71" i="14" s="1"/>
  <c r="AU71" i="14" a="1"/>
  <c r="AU71" i="14" s="1"/>
  <c r="EA71" i="14"/>
  <c r="CW71" i="14" s="1"/>
  <c r="AT71" i="14" a="1"/>
  <c r="AT71" i="14" s="1"/>
  <c r="BD71" i="14" s="1" a="1"/>
  <c r="BD71" i="14" s="1"/>
  <c r="AR71" i="14" a="1"/>
  <c r="AR71" i="14" s="1"/>
  <c r="BV71" i="14" s="1"/>
  <c r="H67" i="43" s="1"/>
  <c r="JA17" i="14"/>
  <c r="JM17" i="14"/>
  <c r="EG21" i="14"/>
  <c r="DC21" i="14" s="1"/>
  <c r="IW21" i="14"/>
  <c r="JI21" i="14"/>
  <c r="AQ22" i="14" a="1"/>
  <c r="AQ22" i="14" s="1"/>
  <c r="AW22" i="14" a="1"/>
  <c r="AW22" i="14" s="1"/>
  <c r="ES22" i="14" s="1"/>
  <c r="DO22" i="14" s="1"/>
  <c r="EF22" i="14"/>
  <c r="DB22" i="14" s="1"/>
  <c r="EE23" i="14"/>
  <c r="DA23" i="14" s="1"/>
  <c r="IU23" i="14"/>
  <c r="JG23" i="14"/>
  <c r="JS23" i="14"/>
  <c r="EC25" i="14"/>
  <c r="CY25" i="14" s="1"/>
  <c r="AO26" i="14" a="1"/>
  <c r="AO26" i="14" s="1"/>
  <c r="AU26" i="14" a="1"/>
  <c r="AU26" i="14" s="1"/>
  <c r="BY26" i="14" s="1"/>
  <c r="K22" i="43" s="1"/>
  <c r="EB26" i="14"/>
  <c r="CX26" i="14" s="1"/>
  <c r="AT28" i="14" a="1"/>
  <c r="AT28" i="14" s="1"/>
  <c r="BX28" i="14" s="1"/>
  <c r="J24" i="43" s="1"/>
  <c r="AZ28" i="14" a="1"/>
  <c r="AZ28" i="14" s="1"/>
  <c r="CD28" i="14" s="1"/>
  <c r="P24" i="43" s="1"/>
  <c r="BF28" i="14" a="1"/>
  <c r="BF28" i="14" s="1"/>
  <c r="CJ28" i="14" s="1"/>
  <c r="V24" i="43" s="1"/>
  <c r="BL28" i="14" a="1"/>
  <c r="BL28" i="14" s="1"/>
  <c r="CP28" i="14" s="1"/>
  <c r="AB24" i="43" s="1"/>
  <c r="BR28" i="14" a="1"/>
  <c r="BR28" i="14" s="1"/>
  <c r="CV28" i="14" s="1"/>
  <c r="AH24" i="43" s="1"/>
  <c r="EL28" i="14"/>
  <c r="DH28" i="14" s="1"/>
  <c r="EX28" i="14"/>
  <c r="DT28" i="14" s="1"/>
  <c r="JB28" i="14"/>
  <c r="JN28" i="14"/>
  <c r="JA29" i="14"/>
  <c r="JM29" i="14"/>
  <c r="IZ30" i="14"/>
  <c r="JL30" i="14"/>
  <c r="IY32" i="14"/>
  <c r="JL32" i="14"/>
  <c r="IW33" i="14"/>
  <c r="EI34" i="14"/>
  <c r="DE34" i="14" s="1"/>
  <c r="FC34" i="14"/>
  <c r="DY34" i="14" s="1"/>
  <c r="AQ37" i="14" a="1"/>
  <c r="AQ37" i="14" s="1"/>
  <c r="BU37" i="14" s="1"/>
  <c r="G33" i="43" s="1"/>
  <c r="BA37" i="14" a="1"/>
  <c r="BA37" i="14" s="1"/>
  <c r="CE37" i="14" s="1"/>
  <c r="Q33" i="43" s="1"/>
  <c r="BI37" i="14" a="1"/>
  <c r="BI37" i="14" s="1"/>
  <c r="CM37" i="14" s="1"/>
  <c r="Y33" i="43" s="1"/>
  <c r="EN37" i="14"/>
  <c r="DJ37" i="14" s="1"/>
  <c r="FD37" i="14"/>
  <c r="DZ37" i="14" s="1"/>
  <c r="JD37" i="14"/>
  <c r="EC39" i="14"/>
  <c r="CY39" i="14" s="1"/>
  <c r="EY51" i="14"/>
  <c r="DU51" i="14" s="1"/>
  <c r="EM51" i="14"/>
  <c r="DI51" i="14" s="1"/>
  <c r="EA51" i="14"/>
  <c r="CW51" i="14" s="1"/>
  <c r="EW51" i="14"/>
  <c r="DS51" i="14" s="1"/>
  <c r="EK51" i="14"/>
  <c r="DG51" i="14" s="1"/>
  <c r="EV51" i="14"/>
  <c r="DR51" i="14" s="1"/>
  <c r="EJ51" i="14"/>
  <c r="DF51" i="14" s="1"/>
  <c r="BQ51" i="14" a="1"/>
  <c r="BQ51" i="14" s="1"/>
  <c r="CU51" i="14" s="1"/>
  <c r="AG47" i="43" s="1"/>
  <c r="BK51" i="14" a="1"/>
  <c r="BK51" i="14" s="1"/>
  <c r="CO51" i="14" s="1"/>
  <c r="AA47" i="43" s="1"/>
  <c r="BE51" i="14" a="1"/>
  <c r="BE51" i="14" s="1"/>
  <c r="CI51" i="14" s="1"/>
  <c r="U47" i="43" s="1"/>
  <c r="AY51" i="14" a="1"/>
  <c r="AY51" i="14" s="1"/>
  <c r="CC51" i="14" s="1"/>
  <c r="O47" i="43" s="1"/>
  <c r="AS51" i="14" a="1"/>
  <c r="AS51" i="14" s="1"/>
  <c r="BW51" i="14" s="1"/>
  <c r="I47" i="43" s="1"/>
  <c r="EU51" i="14"/>
  <c r="DQ51" i="14" s="1"/>
  <c r="EI51" i="14"/>
  <c r="DE51" i="14" s="1"/>
  <c r="ET51" i="14"/>
  <c r="DP51" i="14" s="1"/>
  <c r="EH51" i="14"/>
  <c r="DD51" i="14" s="1"/>
  <c r="BP51" i="14" a="1"/>
  <c r="BP51" i="14" s="1"/>
  <c r="CT51" i="14" s="1"/>
  <c r="AF47" i="43" s="1"/>
  <c r="BJ51" i="14" a="1"/>
  <c r="BJ51" i="14" s="1"/>
  <c r="CN51" i="14" s="1"/>
  <c r="Z47" i="43" s="1"/>
  <c r="BD51" i="14" a="1"/>
  <c r="BD51" i="14" s="1"/>
  <c r="CH51" i="14" s="1"/>
  <c r="T47" i="43" s="1"/>
  <c r="AX51" i="14" a="1"/>
  <c r="AX51" i="14" s="1"/>
  <c r="CB51" i="14" s="1"/>
  <c r="N47" i="43" s="1"/>
  <c r="AR51" i="14" a="1"/>
  <c r="AR51" i="14" s="1"/>
  <c r="BV51" i="14" s="1"/>
  <c r="H47" i="43" s="1"/>
  <c r="FD51" i="14"/>
  <c r="DZ51" i="14" s="1"/>
  <c r="ER51" i="14"/>
  <c r="DN51" i="14" s="1"/>
  <c r="EF51" i="14"/>
  <c r="DB51" i="14" s="1"/>
  <c r="BO51" i="14" a="1"/>
  <c r="BO51" i="14" s="1"/>
  <c r="CS51" i="14" s="1"/>
  <c r="AE47" i="43" s="1"/>
  <c r="BI51" i="14" a="1"/>
  <c r="BI51" i="14" s="1"/>
  <c r="CM51" i="14" s="1"/>
  <c r="Y47" i="43" s="1"/>
  <c r="BC51" i="14" a="1"/>
  <c r="BC51" i="14" s="1"/>
  <c r="CG51" i="14" s="1"/>
  <c r="S47" i="43" s="1"/>
  <c r="AW51" i="14" a="1"/>
  <c r="AW51" i="14" s="1"/>
  <c r="CA51" i="14" s="1"/>
  <c r="M47" i="43" s="1"/>
  <c r="AQ51" i="14" a="1"/>
  <c r="AQ51" i="14" s="1"/>
  <c r="BU51" i="14" s="1"/>
  <c r="G47" i="43" s="1"/>
  <c r="FC51" i="14"/>
  <c r="DY51" i="14" s="1"/>
  <c r="EQ51" i="14"/>
  <c r="DM51" i="14" s="1"/>
  <c r="EE51" i="14"/>
  <c r="DA51" i="14" s="1"/>
  <c r="EL51" i="14"/>
  <c r="DH51" i="14" s="1"/>
  <c r="IT51" i="14"/>
  <c r="AU52" i="14" a="1"/>
  <c r="AU52" i="14" s="1"/>
  <c r="BY52" i="14" s="1"/>
  <c r="K48" i="43" s="1"/>
  <c r="BI52" i="14" a="1"/>
  <c r="BI52" i="14" s="1"/>
  <c r="CM52" i="14" s="1"/>
  <c r="Y48" i="43" s="1"/>
  <c r="AT54" i="14" a="1"/>
  <c r="AT54" i="14" s="1"/>
  <c r="EP54" i="14" s="1"/>
  <c r="DL54" i="14" s="1"/>
  <c r="AT55" i="14" a="1"/>
  <c r="AT55" i="14" s="1"/>
  <c r="BX55" i="14" s="1"/>
  <c r="J51" i="43" s="1"/>
  <c r="BJ55" i="14" a="1"/>
  <c r="BJ55" i="14" s="1"/>
  <c r="CN55" i="14" s="1"/>
  <c r="Z51" i="43" s="1"/>
  <c r="JJ55" i="14"/>
  <c r="EU56" i="14"/>
  <c r="DQ56" i="14" s="1"/>
  <c r="JB17" i="14"/>
  <c r="JN17" i="14"/>
  <c r="AR21" i="14" a="1"/>
  <c r="AR21" i="14" s="1"/>
  <c r="AX21" i="14" a="1"/>
  <c r="AX21" i="14" s="1"/>
  <c r="CB21" i="14" s="1"/>
  <c r="N17" i="43" s="1"/>
  <c r="EH21" i="14"/>
  <c r="DD21" i="14" s="1"/>
  <c r="IX21" i="14"/>
  <c r="JJ21" i="14"/>
  <c r="EG22" i="14"/>
  <c r="DC22" i="14" s="1"/>
  <c r="AQ23" i="14" a="1"/>
  <c r="AQ23" i="14" s="1"/>
  <c r="AW23" i="14" a="1"/>
  <c r="AW23" i="14" s="1"/>
  <c r="CA23" i="14" s="1"/>
  <c r="M19" i="43" s="1"/>
  <c r="EF23" i="14"/>
  <c r="DB23" i="14" s="1"/>
  <c r="IV23" i="14"/>
  <c r="JH23" i="14"/>
  <c r="JT23" i="14"/>
  <c r="AP25" i="14" a="1"/>
  <c r="AP25" i="14" s="1"/>
  <c r="AZ25" i="14" s="1" a="1"/>
  <c r="AZ25" i="14" s="1"/>
  <c r="AV25" i="14" a="1"/>
  <c r="AV25" i="14" s="1"/>
  <c r="BZ25" i="14" s="1"/>
  <c r="L21" i="43" s="1"/>
  <c r="ED25" i="14"/>
  <c r="CZ25" i="14" s="1"/>
  <c r="EC26" i="14"/>
  <c r="CY26" i="14" s="1"/>
  <c r="EA28" i="14"/>
  <c r="CW28" i="14" s="1"/>
  <c r="EM28" i="14"/>
  <c r="DI28" i="14" s="1"/>
  <c r="EY28" i="14"/>
  <c r="DU28" i="14" s="1"/>
  <c r="IQ28" i="14"/>
  <c r="JC28" i="14"/>
  <c r="JO28" i="14"/>
  <c r="JB29" i="14"/>
  <c r="JN29" i="14"/>
  <c r="JA30" i="14"/>
  <c r="JM30" i="14"/>
  <c r="IZ32" i="14"/>
  <c r="JM32" i="14"/>
  <c r="JS33" i="14"/>
  <c r="JG33" i="14"/>
  <c r="IU33" i="14"/>
  <c r="JQ33" i="14"/>
  <c r="JE33" i="14"/>
  <c r="IS33" i="14"/>
  <c r="JP33" i="14"/>
  <c r="JD33" i="14"/>
  <c r="IR33" i="14"/>
  <c r="JN33" i="14"/>
  <c r="JB33" i="14"/>
  <c r="IX33" i="14"/>
  <c r="JO33" i="14"/>
  <c r="AQ34" i="14" a="1"/>
  <c r="AQ34" i="14" s="1"/>
  <c r="BU34" i="14" s="1"/>
  <c r="G30" i="43" s="1"/>
  <c r="AY34" i="14" a="1"/>
  <c r="AY34" i="14" s="1"/>
  <c r="CC34" i="14" s="1"/>
  <c r="O30" i="43" s="1"/>
  <c r="BI34" i="14" a="1"/>
  <c r="BI34" i="14" s="1"/>
  <c r="CM34" i="14" s="1"/>
  <c r="Y30" i="43" s="1"/>
  <c r="BQ34" i="14" a="1"/>
  <c r="BQ34" i="14" s="1"/>
  <c r="CU34" i="14" s="1"/>
  <c r="AG30" i="43" s="1"/>
  <c r="EJ34" i="14"/>
  <c r="DF34" i="14" s="1"/>
  <c r="JE37" i="14"/>
  <c r="AO39" i="14" a="1"/>
  <c r="AO39" i="14" s="1"/>
  <c r="BS39" i="14" s="1"/>
  <c r="E35" i="43" s="1"/>
  <c r="ED39" i="14"/>
  <c r="CZ39" i="14" s="1"/>
  <c r="IW51" i="14"/>
  <c r="BK55" i="14" a="1"/>
  <c r="BK55" i="14" s="1"/>
  <c r="CO55" i="14" s="1"/>
  <c r="AA51" i="43" s="1"/>
  <c r="JL55" i="14"/>
  <c r="AS56" i="14" a="1"/>
  <c r="AS56" i="14" s="1"/>
  <c r="BW56" i="14" s="1"/>
  <c r="I52" i="43" s="1"/>
  <c r="BK56" i="14" a="1"/>
  <c r="BK56" i="14" s="1"/>
  <c r="CO56" i="14" s="1"/>
  <c r="AA52" i="43" s="1"/>
  <c r="EV56" i="14"/>
  <c r="DR56" i="14" s="1"/>
  <c r="CY57" i="14"/>
  <c r="EG23" i="14"/>
  <c r="DC23" i="14" s="1"/>
  <c r="IW23" i="14"/>
  <c r="JI23" i="14"/>
  <c r="EE25" i="14"/>
  <c r="DA25" i="14" s="1"/>
  <c r="ED26" i="14"/>
  <c r="CZ26" i="14" s="1"/>
  <c r="AO28" i="14" a="1"/>
  <c r="AO28" i="14" s="1"/>
  <c r="BS28" i="14" s="1"/>
  <c r="E24" i="43" s="1"/>
  <c r="AU28" i="14" a="1"/>
  <c r="AU28" i="14" s="1"/>
  <c r="BY28" i="14" s="1"/>
  <c r="K24" i="43" s="1"/>
  <c r="BA28" i="14" a="1"/>
  <c r="BA28" i="14" s="1"/>
  <c r="CE28" i="14" s="1"/>
  <c r="Q24" i="43" s="1"/>
  <c r="BG28" i="14" a="1"/>
  <c r="BG28" i="14" s="1"/>
  <c r="CK28" i="14" s="1"/>
  <c r="W24" i="43" s="1"/>
  <c r="BM28" i="14" a="1"/>
  <c r="BM28" i="14" s="1"/>
  <c r="CQ28" i="14" s="1"/>
  <c r="AC24" i="43" s="1"/>
  <c r="EB28" i="14"/>
  <c r="CX28" i="14" s="1"/>
  <c r="EN28" i="14"/>
  <c r="DJ28" i="14" s="1"/>
  <c r="EZ28" i="14"/>
  <c r="DV28" i="14" s="1"/>
  <c r="IR28" i="14"/>
  <c r="JD28" i="14"/>
  <c r="JP28" i="14"/>
  <c r="JB30" i="14"/>
  <c r="JN30" i="14"/>
  <c r="JA32" i="14"/>
  <c r="EY37" i="14"/>
  <c r="DU37" i="14" s="1"/>
  <c r="EM37" i="14"/>
  <c r="DI37" i="14" s="1"/>
  <c r="EA37" i="14"/>
  <c r="CW37" i="14" s="1"/>
  <c r="EW37" i="14"/>
  <c r="DS37" i="14" s="1"/>
  <c r="EK37" i="14"/>
  <c r="DG37" i="14" s="1"/>
  <c r="EV37" i="14"/>
  <c r="DR37" i="14" s="1"/>
  <c r="EJ37" i="14"/>
  <c r="DF37" i="14" s="1"/>
  <c r="BQ37" i="14" a="1"/>
  <c r="BQ37" i="14" s="1"/>
  <c r="CU37" i="14" s="1"/>
  <c r="AG33" i="43" s="1"/>
  <c r="BK37" i="14" a="1"/>
  <c r="BK37" i="14" s="1"/>
  <c r="CO37" i="14" s="1"/>
  <c r="AA33" i="43" s="1"/>
  <c r="BE37" i="14" a="1"/>
  <c r="BE37" i="14" s="1"/>
  <c r="CI37" i="14" s="1"/>
  <c r="U33" i="43" s="1"/>
  <c r="AY37" i="14" a="1"/>
  <c r="AY37" i="14" s="1"/>
  <c r="CC37" i="14" s="1"/>
  <c r="O33" i="43" s="1"/>
  <c r="AS37" i="14" a="1"/>
  <c r="AS37" i="14" s="1"/>
  <c r="BW37" i="14" s="1"/>
  <c r="I33" i="43" s="1"/>
  <c r="ET37" i="14"/>
  <c r="DP37" i="14" s="1"/>
  <c r="EH37" i="14"/>
  <c r="DD37" i="14" s="1"/>
  <c r="BP37" i="14" a="1"/>
  <c r="BP37" i="14" s="1"/>
  <c r="CT37" i="14" s="1"/>
  <c r="AF33" i="43" s="1"/>
  <c r="BJ37" i="14" a="1"/>
  <c r="BJ37" i="14" s="1"/>
  <c r="CN37" i="14" s="1"/>
  <c r="Z33" i="43" s="1"/>
  <c r="BD37" i="14" a="1"/>
  <c r="BD37" i="14" s="1"/>
  <c r="CH37" i="14" s="1"/>
  <c r="T33" i="43" s="1"/>
  <c r="AX37" i="14" a="1"/>
  <c r="AX37" i="14" s="1"/>
  <c r="CB37" i="14" s="1"/>
  <c r="N33" i="43" s="1"/>
  <c r="AR37" i="14" a="1"/>
  <c r="AR37" i="14" s="1"/>
  <c r="BV37" i="14" s="1"/>
  <c r="H33" i="43" s="1"/>
  <c r="BB37" i="14" a="1"/>
  <c r="BB37" i="14" s="1"/>
  <c r="CF37" i="14" s="1"/>
  <c r="R33" i="43" s="1"/>
  <c r="EP37" i="14"/>
  <c r="DL37" i="14" s="1"/>
  <c r="JF37" i="14"/>
  <c r="EE39" i="14"/>
  <c r="DA39" i="14" s="1"/>
  <c r="JB51" i="14"/>
  <c r="AV54" i="14" a="1"/>
  <c r="AV54" i="14" s="1"/>
  <c r="ER54" i="14" s="1"/>
  <c r="DN54" i="14" s="1"/>
  <c r="AX55" i="14" a="1"/>
  <c r="AX55" i="14" s="1"/>
  <c r="CB55" i="14" s="1"/>
  <c r="N51" i="43" s="1"/>
  <c r="DU55" i="14"/>
  <c r="JM55" i="14"/>
  <c r="EW56" i="14"/>
  <c r="DS56" i="14" s="1"/>
  <c r="EG25" i="14"/>
  <c r="DC25" i="14" s="1"/>
  <c r="JT32" i="14"/>
  <c r="JH32" i="14"/>
  <c r="IV32" i="14"/>
  <c r="JQ32" i="14"/>
  <c r="JC32" i="14"/>
  <c r="JP32" i="14"/>
  <c r="DV38" i="14"/>
  <c r="EE48" i="14"/>
  <c r="DA48" i="14" s="1"/>
  <c r="BR52" i="14" a="1"/>
  <c r="BR52" i="14" s="1"/>
  <c r="CV52" i="14" s="1"/>
  <c r="AH48" i="43" s="1"/>
  <c r="BL52" i="14" a="1"/>
  <c r="BL52" i="14" s="1"/>
  <c r="CP52" i="14" s="1"/>
  <c r="AB48" i="43" s="1"/>
  <c r="BF52" i="14" a="1"/>
  <c r="BF52" i="14" s="1"/>
  <c r="CJ52" i="14" s="1"/>
  <c r="V48" i="43" s="1"/>
  <c r="AZ52" i="14" a="1"/>
  <c r="AZ52" i="14" s="1"/>
  <c r="CD52" i="14" s="1"/>
  <c r="P48" i="43" s="1"/>
  <c r="AT52" i="14" a="1"/>
  <c r="AT52" i="14" s="1"/>
  <c r="BX52" i="14" s="1"/>
  <c r="J48" i="43" s="1"/>
  <c r="BQ52" i="14" a="1"/>
  <c r="BQ52" i="14" s="1"/>
  <c r="CU52" i="14" s="1"/>
  <c r="AG48" i="43" s="1"/>
  <c r="BK52" i="14" a="1"/>
  <c r="BK52" i="14" s="1"/>
  <c r="CO52" i="14" s="1"/>
  <c r="AA48" i="43" s="1"/>
  <c r="BE52" i="14" a="1"/>
  <c r="BE52" i="14" s="1"/>
  <c r="CI52" i="14" s="1"/>
  <c r="U48" i="43" s="1"/>
  <c r="AY52" i="14" a="1"/>
  <c r="AY52" i="14" s="1"/>
  <c r="CC52" i="14" s="1"/>
  <c r="O48" i="43" s="1"/>
  <c r="AS52" i="14" a="1"/>
  <c r="AS52" i="14" s="1"/>
  <c r="BW52" i="14" s="1"/>
  <c r="I48" i="43" s="1"/>
  <c r="BP52" i="14" a="1"/>
  <c r="BP52" i="14" s="1"/>
  <c r="CT52" i="14" s="1"/>
  <c r="AF48" i="43" s="1"/>
  <c r="BJ52" i="14" a="1"/>
  <c r="BJ52" i="14" s="1"/>
  <c r="CN52" i="14" s="1"/>
  <c r="Z48" i="43" s="1"/>
  <c r="BD52" i="14" a="1"/>
  <c r="BD52" i="14" s="1"/>
  <c r="CH52" i="14" s="1"/>
  <c r="T48" i="43" s="1"/>
  <c r="AX52" i="14" a="1"/>
  <c r="AX52" i="14" s="1"/>
  <c r="CB52" i="14" s="1"/>
  <c r="N48" i="43" s="1"/>
  <c r="AR52" i="14" a="1"/>
  <c r="AR52" i="14" s="1"/>
  <c r="BV52" i="14" s="1"/>
  <c r="H48" i="43" s="1"/>
  <c r="BN52" i="14" a="1"/>
  <c r="BN52" i="14" s="1"/>
  <c r="CR52" i="14" s="1"/>
  <c r="AD48" i="43" s="1"/>
  <c r="BH52" i="14" a="1"/>
  <c r="BH52" i="14" s="1"/>
  <c r="CL52" i="14" s="1"/>
  <c r="X48" i="43" s="1"/>
  <c r="BB52" i="14" a="1"/>
  <c r="BB52" i="14" s="1"/>
  <c r="CF52" i="14" s="1"/>
  <c r="R48" i="43" s="1"/>
  <c r="AV52" i="14" a="1"/>
  <c r="AV52" i="14" s="1"/>
  <c r="BZ52" i="14" s="1"/>
  <c r="L48" i="43" s="1"/>
  <c r="AP52" i="14" a="1"/>
  <c r="AP52" i="14" s="1"/>
  <c r="BT52" i="14" s="1"/>
  <c r="F48" i="43" s="1"/>
  <c r="DG52" i="14"/>
  <c r="AO59" i="14" a="1"/>
  <c r="AO59" i="14" s="1"/>
  <c r="BS59" i="14" s="1"/>
  <c r="E55" i="43" s="1"/>
  <c r="IT17" i="14"/>
  <c r="JF17" i="14"/>
  <c r="JB21" i="14"/>
  <c r="AS23" i="14" a="1"/>
  <c r="AS23" i="14" s="1"/>
  <c r="EO23" i="14" s="1"/>
  <c r="DK23" i="14" s="1"/>
  <c r="EJ23" i="14"/>
  <c r="DF23" i="14" s="1"/>
  <c r="IZ23" i="14"/>
  <c r="JL23" i="14"/>
  <c r="AR25" i="14" a="1"/>
  <c r="AR25" i="14" s="1"/>
  <c r="EN25" i="14" s="1"/>
  <c r="DJ25" i="14" s="1"/>
  <c r="AX25" i="14" a="1"/>
  <c r="AX25" i="14" s="1"/>
  <c r="CB25" i="14" s="1"/>
  <c r="N21" i="43" s="1"/>
  <c r="EH25" i="14"/>
  <c r="DD25" i="14" s="1"/>
  <c r="EG26" i="14"/>
  <c r="DC26" i="14" s="1"/>
  <c r="EE28" i="14"/>
  <c r="DA28" i="14" s="1"/>
  <c r="EQ28" i="14"/>
  <c r="DM28" i="14" s="1"/>
  <c r="FC28" i="14"/>
  <c r="DY28" i="14" s="1"/>
  <c r="IU28" i="14"/>
  <c r="JG28" i="14"/>
  <c r="IT29" i="14"/>
  <c r="JF29" i="14"/>
  <c r="IS30" i="14"/>
  <c r="JE30" i="14"/>
  <c r="JQ30" i="14"/>
  <c r="IQ32" i="14"/>
  <c r="JD32" i="14"/>
  <c r="JR32" i="14"/>
  <c r="JC33" i="14"/>
  <c r="FB34" i="14"/>
  <c r="DX34" i="14" s="1"/>
  <c r="EP34" i="14"/>
  <c r="DL34" i="14" s="1"/>
  <c r="ED34" i="14"/>
  <c r="CZ34" i="14" s="1"/>
  <c r="BN34" i="14" a="1"/>
  <c r="BN34" i="14" s="1"/>
  <c r="CR34" i="14" s="1"/>
  <c r="AD30" i="43" s="1"/>
  <c r="BH34" i="14" a="1"/>
  <c r="BH34" i="14" s="1"/>
  <c r="CL34" i="14" s="1"/>
  <c r="X30" i="43" s="1"/>
  <c r="BB34" i="14" a="1"/>
  <c r="BB34" i="14" s="1"/>
  <c r="CF34" i="14" s="1"/>
  <c r="R30" i="43" s="1"/>
  <c r="AV34" i="14" a="1"/>
  <c r="AV34" i="14" s="1"/>
  <c r="BZ34" i="14" s="1"/>
  <c r="L30" i="43" s="1"/>
  <c r="AP34" i="14" a="1"/>
  <c r="AP34" i="14" s="1"/>
  <c r="BT34" i="14" s="1"/>
  <c r="F30" i="43" s="1"/>
  <c r="EZ34" i="14"/>
  <c r="DV34" i="14" s="1"/>
  <c r="EN34" i="14"/>
  <c r="DJ34" i="14" s="1"/>
  <c r="EB34" i="14"/>
  <c r="CX34" i="14" s="1"/>
  <c r="BM34" i="14" a="1"/>
  <c r="BM34" i="14" s="1"/>
  <c r="CQ34" i="14" s="1"/>
  <c r="AC30" i="43" s="1"/>
  <c r="BG34" i="14" a="1"/>
  <c r="BG34" i="14" s="1"/>
  <c r="CK34" i="14" s="1"/>
  <c r="W30" i="43" s="1"/>
  <c r="BA34" i="14" a="1"/>
  <c r="BA34" i="14" s="1"/>
  <c r="CE34" i="14" s="1"/>
  <c r="Q30" i="43" s="1"/>
  <c r="AU34" i="14" a="1"/>
  <c r="AU34" i="14" s="1"/>
  <c r="BY34" i="14" s="1"/>
  <c r="K30" i="43" s="1"/>
  <c r="AO34" i="14" a="1"/>
  <c r="AO34" i="14" s="1"/>
  <c r="BS34" i="14" s="1"/>
  <c r="E30" i="43" s="1"/>
  <c r="EY34" i="14"/>
  <c r="DU34" i="14" s="1"/>
  <c r="EM34" i="14"/>
  <c r="DI34" i="14" s="1"/>
  <c r="EA34" i="14"/>
  <c r="CW34" i="14" s="1"/>
  <c r="EW34" i="14"/>
  <c r="DS34" i="14" s="1"/>
  <c r="EK34" i="14"/>
  <c r="DG34" i="14" s="1"/>
  <c r="AS34" i="14" a="1"/>
  <c r="AS34" i="14" s="1"/>
  <c r="BW34" i="14" s="1"/>
  <c r="I30" i="43" s="1"/>
  <c r="BC34" i="14" a="1"/>
  <c r="BC34" i="14" s="1"/>
  <c r="CG34" i="14" s="1"/>
  <c r="S30" i="43" s="1"/>
  <c r="BK34" i="14" a="1"/>
  <c r="BK34" i="14" s="1"/>
  <c r="CO34" i="14" s="1"/>
  <c r="AA30" i="43" s="1"/>
  <c r="ER34" i="14"/>
  <c r="DN34" i="14" s="1"/>
  <c r="EC37" i="14"/>
  <c r="CY37" i="14" s="1"/>
  <c r="ES37" i="14"/>
  <c r="DO37" i="14" s="1"/>
  <c r="IR37" i="14"/>
  <c r="BR38" i="14" a="1"/>
  <c r="BR38" i="14" s="1"/>
  <c r="CV38" i="14" s="1"/>
  <c r="AH34" i="43" s="1"/>
  <c r="DU45" i="14"/>
  <c r="AS48" i="14" a="1"/>
  <c r="AS48" i="14" s="1"/>
  <c r="BC48" i="14" s="1" a="1"/>
  <c r="BC48" i="14" s="1"/>
  <c r="DA49" i="14"/>
  <c r="JO51" i="14"/>
  <c r="JC51" i="14"/>
  <c r="IQ51" i="14"/>
  <c r="JM51" i="14"/>
  <c r="JA51" i="14"/>
  <c r="JL51" i="14"/>
  <c r="IZ51" i="14"/>
  <c r="JK51" i="14"/>
  <c r="IY51" i="14"/>
  <c r="JJ51" i="14"/>
  <c r="IX51" i="14"/>
  <c r="JT51" i="14"/>
  <c r="JH51" i="14"/>
  <c r="IV51" i="14"/>
  <c r="JS51" i="14"/>
  <c r="JG51" i="14"/>
  <c r="IU51" i="14"/>
  <c r="JF51" i="14"/>
  <c r="AZ55" i="14" a="1"/>
  <c r="AZ55" i="14" s="1"/>
  <c r="CD55" i="14" s="1"/>
  <c r="P51" i="43" s="1"/>
  <c r="ET56" i="14"/>
  <c r="DP56" i="14" s="1"/>
  <c r="EH56" i="14"/>
  <c r="DD56" i="14" s="1"/>
  <c r="BP56" i="14" a="1"/>
  <c r="BP56" i="14" s="1"/>
  <c r="CT56" i="14" s="1"/>
  <c r="AF52" i="43" s="1"/>
  <c r="BJ56" i="14" a="1"/>
  <c r="BJ56" i="14" s="1"/>
  <c r="CN56" i="14" s="1"/>
  <c r="Z52" i="43" s="1"/>
  <c r="BD56" i="14" a="1"/>
  <c r="BD56" i="14" s="1"/>
  <c r="CH56" i="14" s="1"/>
  <c r="T52" i="43" s="1"/>
  <c r="AX56" i="14" a="1"/>
  <c r="AX56" i="14" s="1"/>
  <c r="CB56" i="14" s="1"/>
  <c r="N52" i="43" s="1"/>
  <c r="AR56" i="14" a="1"/>
  <c r="AR56" i="14" s="1"/>
  <c r="BV56" i="14" s="1"/>
  <c r="H52" i="43" s="1"/>
  <c r="ES56" i="14"/>
  <c r="DO56" i="14" s="1"/>
  <c r="EG56" i="14"/>
  <c r="DC56" i="14" s="1"/>
  <c r="FD56" i="14"/>
  <c r="DZ56" i="14" s="1"/>
  <c r="ER56" i="14"/>
  <c r="DN56" i="14" s="1"/>
  <c r="EF56" i="14"/>
  <c r="DB56" i="14" s="1"/>
  <c r="BO56" i="14" a="1"/>
  <c r="BO56" i="14" s="1"/>
  <c r="CS56" i="14" s="1"/>
  <c r="AE52" i="43" s="1"/>
  <c r="BI56" i="14" a="1"/>
  <c r="BI56" i="14" s="1"/>
  <c r="CM56" i="14" s="1"/>
  <c r="Y52" i="43" s="1"/>
  <c r="BC56" i="14" a="1"/>
  <c r="BC56" i="14" s="1"/>
  <c r="CG56" i="14" s="1"/>
  <c r="S52" i="43" s="1"/>
  <c r="AW56" i="14" a="1"/>
  <c r="AW56" i="14" s="1"/>
  <c r="CA56" i="14" s="1"/>
  <c r="M52" i="43" s="1"/>
  <c r="AQ56" i="14" a="1"/>
  <c r="AQ56" i="14" s="1"/>
  <c r="BU56" i="14" s="1"/>
  <c r="G52" i="43" s="1"/>
  <c r="FC56" i="14"/>
  <c r="DY56" i="14" s="1"/>
  <c r="EQ56" i="14"/>
  <c r="DM56" i="14" s="1"/>
  <c r="EE56" i="14"/>
  <c r="DA56" i="14" s="1"/>
  <c r="FB56" i="14"/>
  <c r="DX56" i="14" s="1"/>
  <c r="EP56" i="14"/>
  <c r="DL56" i="14" s="1"/>
  <c r="ED56" i="14"/>
  <c r="CZ56" i="14" s="1"/>
  <c r="BN56" i="14" a="1"/>
  <c r="BN56" i="14" s="1"/>
  <c r="CR56" i="14" s="1"/>
  <c r="AD52" i="43" s="1"/>
  <c r="BH56" i="14" a="1"/>
  <c r="BH56" i="14" s="1"/>
  <c r="CL56" i="14" s="1"/>
  <c r="X52" i="43" s="1"/>
  <c r="BB56" i="14" a="1"/>
  <c r="BB56" i="14" s="1"/>
  <c r="CF56" i="14" s="1"/>
  <c r="R52" i="43" s="1"/>
  <c r="AV56" i="14" a="1"/>
  <c r="AV56" i="14" s="1"/>
  <c r="BZ56" i="14" s="1"/>
  <c r="L52" i="43" s="1"/>
  <c r="AP56" i="14" a="1"/>
  <c r="AP56" i="14" s="1"/>
  <c r="BT56" i="14" s="1"/>
  <c r="F52" i="43" s="1"/>
  <c r="FA56" i="14"/>
  <c r="DW56" i="14" s="1"/>
  <c r="EO56" i="14"/>
  <c r="DK56" i="14" s="1"/>
  <c r="EC56" i="14"/>
  <c r="CY56" i="14" s="1"/>
  <c r="EZ56" i="14"/>
  <c r="DV56" i="14" s="1"/>
  <c r="EN56" i="14"/>
  <c r="DJ56" i="14" s="1"/>
  <c r="EB56" i="14"/>
  <c r="CX56" i="14" s="1"/>
  <c r="BM56" i="14" a="1"/>
  <c r="BM56" i="14" s="1"/>
  <c r="CQ56" i="14" s="1"/>
  <c r="AC52" i="43" s="1"/>
  <c r="BG56" i="14" a="1"/>
  <c r="BG56" i="14" s="1"/>
  <c r="CK56" i="14" s="1"/>
  <c r="W52" i="43" s="1"/>
  <c r="BA56" i="14" a="1"/>
  <c r="BA56" i="14" s="1"/>
  <c r="CE56" i="14" s="1"/>
  <c r="Q52" i="43" s="1"/>
  <c r="AU56" i="14" a="1"/>
  <c r="AU56" i="14" s="1"/>
  <c r="BY56" i="14" s="1"/>
  <c r="K52" i="43" s="1"/>
  <c r="AO56" i="14" a="1"/>
  <c r="AO56" i="14" s="1"/>
  <c r="BS56" i="14" s="1"/>
  <c r="E52" i="43" s="1"/>
  <c r="EY56" i="14"/>
  <c r="DU56" i="14" s="1"/>
  <c r="EM56" i="14"/>
  <c r="DI56" i="14" s="1"/>
  <c r="EA56" i="14"/>
  <c r="CW56" i="14" s="1"/>
  <c r="EX56" i="14"/>
  <c r="DT56" i="14" s="1"/>
  <c r="EL56" i="14"/>
  <c r="DH56" i="14" s="1"/>
  <c r="BR56" i="14" a="1"/>
  <c r="BR56" i="14" s="1"/>
  <c r="CV56" i="14" s="1"/>
  <c r="AH52" i="43" s="1"/>
  <c r="BL56" i="14" a="1"/>
  <c r="BL56" i="14" s="1"/>
  <c r="CP56" i="14" s="1"/>
  <c r="AB52" i="43" s="1"/>
  <c r="BF56" i="14" a="1"/>
  <c r="BF56" i="14" s="1"/>
  <c r="CJ56" i="14" s="1"/>
  <c r="V52" i="43" s="1"/>
  <c r="AZ56" i="14" a="1"/>
  <c r="AZ56" i="14" s="1"/>
  <c r="CD56" i="14" s="1"/>
  <c r="P52" i="43" s="1"/>
  <c r="AT56" i="14" a="1"/>
  <c r="AT56" i="14" s="1"/>
  <c r="BX56" i="14" s="1"/>
  <c r="J52" i="43" s="1"/>
  <c r="AY56" i="14" a="1"/>
  <c r="AY56" i="14" s="1"/>
  <c r="CC56" i="14" s="1"/>
  <c r="O52" i="43" s="1"/>
  <c r="ED72" i="14"/>
  <c r="CZ72" i="14" s="1"/>
  <c r="AV72" i="14" a="1"/>
  <c r="AV72" i="14" s="1"/>
  <c r="BZ72" i="14" s="1"/>
  <c r="L68" i="43" s="1"/>
  <c r="AP72" i="14" a="1"/>
  <c r="AP72" i="14" s="1"/>
  <c r="AZ72" i="14" s="1" a="1"/>
  <c r="AZ72" i="14" s="1"/>
  <c r="CD72" i="14" s="1"/>
  <c r="P68" i="43" s="1"/>
  <c r="EB72" i="14"/>
  <c r="CX72" i="14" s="1"/>
  <c r="AU72" i="14" a="1"/>
  <c r="AU72" i="14" s="1"/>
  <c r="BE72" i="14" s="1" a="1"/>
  <c r="BE72" i="14" s="1"/>
  <c r="AO72" i="14" a="1"/>
  <c r="AO72" i="14" s="1"/>
  <c r="EK72" i="14" s="1"/>
  <c r="DG72" i="14" s="1"/>
  <c r="EJ72" i="14"/>
  <c r="DF72" i="14" s="1"/>
  <c r="AS72" i="14" a="1"/>
  <c r="AS72" i="14" s="1"/>
  <c r="EI72" i="14"/>
  <c r="DE72" i="14" s="1"/>
  <c r="EH72" i="14"/>
  <c r="DD72" i="14" s="1"/>
  <c r="AX72" i="14" a="1"/>
  <c r="AX72" i="14" s="1"/>
  <c r="ET72" i="14" s="1"/>
  <c r="DP72" i="14" s="1"/>
  <c r="AR72" i="14" a="1"/>
  <c r="AR72" i="14" s="1"/>
  <c r="EN72" i="14" s="1"/>
  <c r="DJ72" i="14" s="1"/>
  <c r="AQ72" i="14" a="1"/>
  <c r="AQ72" i="14" s="1"/>
  <c r="EM72" i="14" s="1"/>
  <c r="DI72" i="14" s="1"/>
  <c r="EG72" i="14"/>
  <c r="DC72" i="14" s="1"/>
  <c r="EF72" i="14"/>
  <c r="DB72" i="14" s="1"/>
  <c r="EE72" i="14"/>
  <c r="DA72" i="14" s="1"/>
  <c r="EC72" i="14"/>
  <c r="CY72" i="14" s="1"/>
  <c r="EA72" i="14"/>
  <c r="CW72" i="14" s="1"/>
  <c r="AW72" i="14" a="1"/>
  <c r="AW72" i="14" s="1"/>
  <c r="ES72" i="14" s="1"/>
  <c r="DO72" i="14" s="1"/>
  <c r="AT72" i="14" a="1"/>
  <c r="AT72" i="14" s="1"/>
  <c r="BD72" i="14" s="1" a="1"/>
  <c r="BD72" i="14" s="1"/>
  <c r="CH72" i="14" s="1"/>
  <c r="T68" i="43" s="1"/>
  <c r="EJ39" i="14"/>
  <c r="DF39" i="14" s="1"/>
  <c r="AS39" i="14" a="1"/>
  <c r="AS39" i="14" s="1"/>
  <c r="BW39" i="14" s="1"/>
  <c r="I35" i="43" s="1"/>
  <c r="EI39" i="14"/>
  <c r="DE39" i="14" s="1"/>
  <c r="EH39" i="14"/>
  <c r="DD39" i="14" s="1"/>
  <c r="AX39" i="14" a="1"/>
  <c r="AX39" i="14" s="1"/>
  <c r="CB39" i="14" s="1"/>
  <c r="N35" i="43" s="1"/>
  <c r="AR39" i="14" a="1"/>
  <c r="AR39" i="14" s="1"/>
  <c r="BV39" i="14" s="1"/>
  <c r="H35" i="43" s="1"/>
  <c r="EF39" i="14"/>
  <c r="DB39" i="14" s="1"/>
  <c r="AW39" i="14" a="1"/>
  <c r="AW39" i="14" s="1"/>
  <c r="AQ39" i="14" a="1"/>
  <c r="AQ39" i="14" s="1"/>
  <c r="AT39" i="14" a="1"/>
  <c r="AT39" i="14" s="1"/>
  <c r="JI51" i="14"/>
  <c r="AS54" i="14" a="1"/>
  <c r="AS54" i="14" s="1"/>
  <c r="EO54" i="14" s="1"/>
  <c r="DK54" i="14" s="1"/>
  <c r="AU54" i="14" a="1"/>
  <c r="AU54" i="14" s="1"/>
  <c r="BY54" i="14" s="1"/>
  <c r="K50" i="43" s="1"/>
  <c r="AO54" i="14" a="1"/>
  <c r="AO54" i="14" s="1"/>
  <c r="AY54" i="14" s="1" a="1"/>
  <c r="AY54" i="14" s="1"/>
  <c r="BO55" i="14" a="1"/>
  <c r="BO55" i="14" s="1"/>
  <c r="CS55" i="14" s="1"/>
  <c r="AE51" i="43" s="1"/>
  <c r="BI55" i="14" a="1"/>
  <c r="BI55" i="14" s="1"/>
  <c r="CM55" i="14" s="1"/>
  <c r="Y51" i="43" s="1"/>
  <c r="BC55" i="14" a="1"/>
  <c r="BC55" i="14" s="1"/>
  <c r="CG55" i="14" s="1"/>
  <c r="S51" i="43" s="1"/>
  <c r="AW55" i="14" a="1"/>
  <c r="AW55" i="14" s="1"/>
  <c r="CA55" i="14" s="1"/>
  <c r="M51" i="43" s="1"/>
  <c r="AQ55" i="14" a="1"/>
  <c r="AQ55" i="14" s="1"/>
  <c r="BU55" i="14" s="1"/>
  <c r="G51" i="43" s="1"/>
  <c r="BQ55" i="14" a="1"/>
  <c r="BQ55" i="14" s="1"/>
  <c r="CU55" i="14" s="1"/>
  <c r="AG51" i="43" s="1"/>
  <c r="JB23" i="14"/>
  <c r="AS25" i="14" a="1"/>
  <c r="AS25" i="14" s="1"/>
  <c r="EJ25" i="14"/>
  <c r="DF25" i="14" s="1"/>
  <c r="EG28" i="14"/>
  <c r="DC28" i="14" s="1"/>
  <c r="IU30" i="14"/>
  <c r="JG30" i="14"/>
  <c r="IS32" i="14"/>
  <c r="JF32" i="14"/>
  <c r="JO37" i="14"/>
  <c r="JC37" i="14"/>
  <c r="IQ37" i="14"/>
  <c r="JN37" i="14"/>
  <c r="JB37" i="14"/>
  <c r="JM37" i="14"/>
  <c r="JA37" i="14"/>
  <c r="JL37" i="14"/>
  <c r="IZ37" i="14"/>
  <c r="JJ37" i="14"/>
  <c r="IX37" i="14"/>
  <c r="IT37" i="14"/>
  <c r="JP37" i="14"/>
  <c r="ED48" i="14"/>
  <c r="CZ48" i="14" s="1"/>
  <c r="AV48" i="14" a="1"/>
  <c r="AV48" i="14" s="1"/>
  <c r="ER48" i="14" s="1"/>
  <c r="DN48" i="14" s="1"/>
  <c r="AP48" i="14" a="1"/>
  <c r="AP48" i="14" s="1"/>
  <c r="EB48" i="14"/>
  <c r="CX48" i="14" s="1"/>
  <c r="AU48" i="14" a="1"/>
  <c r="AU48" i="14" s="1"/>
  <c r="AO48" i="14" a="1"/>
  <c r="AO48" i="14" s="1"/>
  <c r="EK48" i="14" s="1"/>
  <c r="DG48" i="14" s="1"/>
  <c r="EA48" i="14"/>
  <c r="CW48" i="14" s="1"/>
  <c r="AT48" i="14" a="1"/>
  <c r="AT48" i="14" s="1"/>
  <c r="BD48" i="14" s="1" a="1"/>
  <c r="BD48" i="14" s="1"/>
  <c r="EI48" i="14"/>
  <c r="DE48" i="14" s="1"/>
  <c r="EH48" i="14"/>
  <c r="DD48" i="14" s="1"/>
  <c r="AX48" i="14" a="1"/>
  <c r="AX48" i="14" s="1"/>
  <c r="CB48" i="14" s="1"/>
  <c r="N44" i="43" s="1"/>
  <c r="AR48" i="14" a="1"/>
  <c r="AR48" i="14" s="1"/>
  <c r="BV48" i="14" s="1"/>
  <c r="H44" i="43" s="1"/>
  <c r="EJ48" i="14"/>
  <c r="DF48" i="14" s="1"/>
  <c r="BP53" i="14" a="1"/>
  <c r="BP53" i="14" s="1"/>
  <c r="CT53" i="14" s="1"/>
  <c r="AF49" i="43" s="1"/>
  <c r="JK55" i="14"/>
  <c r="IY55" i="14"/>
  <c r="JI55" i="14"/>
  <c r="IW55" i="14"/>
  <c r="JT55" i="14"/>
  <c r="JH55" i="14"/>
  <c r="IV55" i="14"/>
  <c r="JS55" i="14"/>
  <c r="JG55" i="14"/>
  <c r="IU55" i="14"/>
  <c r="JR55" i="14"/>
  <c r="JF55" i="14"/>
  <c r="IT55" i="14"/>
  <c r="JQ55" i="14"/>
  <c r="JE55" i="14"/>
  <c r="IS55" i="14"/>
  <c r="JP55" i="14"/>
  <c r="JD55" i="14"/>
  <c r="IR55" i="14"/>
  <c r="JO55" i="14"/>
  <c r="JC55" i="14"/>
  <c r="IQ55" i="14"/>
  <c r="BN57" i="14" a="1"/>
  <c r="BN57" i="14" s="1"/>
  <c r="CR57" i="14" s="1"/>
  <c r="AD53" i="43" s="1"/>
  <c r="EG49" i="14"/>
  <c r="DC49" i="14" s="1"/>
  <c r="JB56" i="14"/>
  <c r="JN56" i="14"/>
  <c r="BR57" i="14" a="1"/>
  <c r="BR57" i="14" s="1"/>
  <c r="CV57" i="14" s="1"/>
  <c r="AH53" i="43" s="1"/>
  <c r="IZ35" i="14"/>
  <c r="JL35" i="14"/>
  <c r="IY36" i="14"/>
  <c r="JK36" i="14"/>
  <c r="EG38" i="14"/>
  <c r="DC38" i="14" s="1"/>
  <c r="ES38" i="14"/>
  <c r="DO38" i="14" s="1"/>
  <c r="EE40" i="14"/>
  <c r="DA40" i="14" s="1"/>
  <c r="AP41" i="14" a="1"/>
  <c r="AP41" i="14" s="1"/>
  <c r="AV41" i="14" a="1"/>
  <c r="AV41" i="14" s="1"/>
  <c r="BZ41" i="14" s="1"/>
  <c r="L37" i="43" s="1"/>
  <c r="ED41" i="14"/>
  <c r="CZ41" i="14" s="1"/>
  <c r="EC42" i="14"/>
  <c r="CY42" i="14" s="1"/>
  <c r="AO43" i="14" a="1"/>
  <c r="AO43" i="14" s="1"/>
  <c r="AU43" i="14" a="1"/>
  <c r="AU43" i="14" s="1"/>
  <c r="BE43" i="14" s="1" a="1"/>
  <c r="BE43" i="14" s="1"/>
  <c r="FA43" i="14" s="1"/>
  <c r="DW43" i="14" s="1"/>
  <c r="EB43" i="14"/>
  <c r="CX43" i="14" s="1"/>
  <c r="AT45" i="14" a="1"/>
  <c r="AT45" i="14" s="1"/>
  <c r="BX45" i="14" s="1"/>
  <c r="J41" i="43" s="1"/>
  <c r="AZ45" i="14" a="1"/>
  <c r="AZ45" i="14" s="1"/>
  <c r="CD45" i="14" s="1"/>
  <c r="P41" i="43" s="1"/>
  <c r="BF45" i="14" a="1"/>
  <c r="BF45" i="14" s="1"/>
  <c r="CJ45" i="14" s="1"/>
  <c r="V41" i="43" s="1"/>
  <c r="BL45" i="14" a="1"/>
  <c r="BL45" i="14" s="1"/>
  <c r="CP45" i="14" s="1"/>
  <c r="AB41" i="43" s="1"/>
  <c r="BR45" i="14" a="1"/>
  <c r="BR45" i="14" s="1"/>
  <c r="CV45" i="14" s="1"/>
  <c r="AH41" i="43" s="1"/>
  <c r="EL45" i="14"/>
  <c r="DH45" i="14" s="1"/>
  <c r="EX45" i="14"/>
  <c r="DT45" i="14" s="1"/>
  <c r="AR49" i="14" a="1"/>
  <c r="AR49" i="14" s="1"/>
  <c r="AX49" i="14" a="1"/>
  <c r="AX49" i="14" s="1"/>
  <c r="EH49" i="14"/>
  <c r="DD49" i="14" s="1"/>
  <c r="EG50" i="14"/>
  <c r="DC50" i="14" s="1"/>
  <c r="EE52" i="14"/>
  <c r="DA52" i="14" s="1"/>
  <c r="EQ52" i="14"/>
  <c r="DM52" i="14" s="1"/>
  <c r="FC52" i="14"/>
  <c r="DY52" i="14" s="1"/>
  <c r="IU52" i="14"/>
  <c r="JG52" i="14"/>
  <c r="JS52" i="14"/>
  <c r="AP53" i="14" a="1"/>
  <c r="AP53" i="14" s="1"/>
  <c r="BT53" i="14" s="1"/>
  <c r="F49" i="43" s="1"/>
  <c r="AV53" i="14" a="1"/>
  <c r="AV53" i="14" s="1"/>
  <c r="BZ53" i="14" s="1"/>
  <c r="L49" i="43" s="1"/>
  <c r="BB53" i="14" a="1"/>
  <c r="BB53" i="14" s="1"/>
  <c r="CF53" i="14" s="1"/>
  <c r="R49" i="43" s="1"/>
  <c r="BH53" i="14" a="1"/>
  <c r="BH53" i="14" s="1"/>
  <c r="CL53" i="14" s="1"/>
  <c r="X49" i="43" s="1"/>
  <c r="BN53" i="14" a="1"/>
  <c r="BN53" i="14" s="1"/>
  <c r="CR53" i="14" s="1"/>
  <c r="AD49" i="43" s="1"/>
  <c r="ED53" i="14"/>
  <c r="CZ53" i="14" s="1"/>
  <c r="EP53" i="14"/>
  <c r="DL53" i="14" s="1"/>
  <c r="FB53" i="14"/>
  <c r="DX53" i="14" s="1"/>
  <c r="EC54" i="14"/>
  <c r="CY54" i="14" s="1"/>
  <c r="AO55" i="14" a="1"/>
  <c r="AO55" i="14" s="1"/>
  <c r="BS55" i="14" s="1"/>
  <c r="E51" i="43" s="1"/>
  <c r="AU55" i="14" a="1"/>
  <c r="AU55" i="14" s="1"/>
  <c r="BY55" i="14" s="1"/>
  <c r="K51" i="43" s="1"/>
  <c r="BA55" i="14" a="1"/>
  <c r="BA55" i="14" s="1"/>
  <c r="CE55" i="14" s="1"/>
  <c r="Q51" i="43" s="1"/>
  <c r="BG55" i="14" a="1"/>
  <c r="BG55" i="14" s="1"/>
  <c r="CK55" i="14" s="1"/>
  <c r="W51" i="43" s="1"/>
  <c r="BM55" i="14" a="1"/>
  <c r="BM55" i="14" s="1"/>
  <c r="CQ55" i="14" s="1"/>
  <c r="AC51" i="43" s="1"/>
  <c r="EB55" i="14"/>
  <c r="CX55" i="14" s="1"/>
  <c r="EN55" i="14"/>
  <c r="DJ55" i="14" s="1"/>
  <c r="EZ55" i="14"/>
  <c r="DV55" i="14" s="1"/>
  <c r="IQ56" i="14"/>
  <c r="JC56" i="14"/>
  <c r="JO56" i="14"/>
  <c r="JJ57" i="14"/>
  <c r="IX57" i="14"/>
  <c r="JI57" i="14"/>
  <c r="IW57" i="14"/>
  <c r="JT57" i="14"/>
  <c r="JH57" i="14"/>
  <c r="IV57" i="14"/>
  <c r="JQ57" i="14"/>
  <c r="JN57" i="14"/>
  <c r="JB57" i="14"/>
  <c r="AT57" i="14" a="1"/>
  <c r="AT57" i="14" s="1"/>
  <c r="BX57" i="14" s="1"/>
  <c r="J53" i="43" s="1"/>
  <c r="AZ57" i="14" a="1"/>
  <c r="AZ57" i="14" s="1"/>
  <c r="CD57" i="14" s="1"/>
  <c r="P53" i="43" s="1"/>
  <c r="BF57" i="14" a="1"/>
  <c r="BF57" i="14" s="1"/>
  <c r="CJ57" i="14" s="1"/>
  <c r="V53" i="43" s="1"/>
  <c r="BL57" i="14" a="1"/>
  <c r="BL57" i="14" s="1"/>
  <c r="CP57" i="14" s="1"/>
  <c r="AB53" i="43" s="1"/>
  <c r="EI57" i="14"/>
  <c r="DE57" i="14" s="1"/>
  <c r="EW57" i="14"/>
  <c r="DS57" i="14" s="1"/>
  <c r="IU57" i="14"/>
  <c r="JO57" i="14"/>
  <c r="JB35" i="14"/>
  <c r="JN35" i="14"/>
  <c r="JA36" i="14"/>
  <c r="JM36" i="14"/>
  <c r="EI38" i="14"/>
  <c r="DE38" i="14" s="1"/>
  <c r="EG40" i="14"/>
  <c r="DC40" i="14" s="1"/>
  <c r="AQ41" i="14" a="1"/>
  <c r="AQ41" i="14" s="1"/>
  <c r="AW41" i="14" a="1"/>
  <c r="AW41" i="14" s="1"/>
  <c r="ES41" i="14" s="1"/>
  <c r="DO41" i="14" s="1"/>
  <c r="EF41" i="14"/>
  <c r="DB41" i="14" s="1"/>
  <c r="EE42" i="14"/>
  <c r="DA42" i="14" s="1"/>
  <c r="AP43" i="14" a="1"/>
  <c r="AP43" i="14" s="1"/>
  <c r="EL43" i="14" s="1"/>
  <c r="DH43" i="14" s="1"/>
  <c r="AV43" i="14" a="1"/>
  <c r="AV43" i="14" s="1"/>
  <c r="ED43" i="14"/>
  <c r="CZ43" i="14" s="1"/>
  <c r="AO45" i="14" a="1"/>
  <c r="AO45" i="14" s="1"/>
  <c r="AU45" i="14" a="1"/>
  <c r="AU45" i="14" s="1"/>
  <c r="BY45" i="14" s="1"/>
  <c r="K41" i="43" s="1"/>
  <c r="BA45" i="14" a="1"/>
  <c r="BA45" i="14" s="1"/>
  <c r="CE45" i="14" s="1"/>
  <c r="Q41" i="43" s="1"/>
  <c r="BG45" i="14" a="1"/>
  <c r="BG45" i="14" s="1"/>
  <c r="CK45" i="14" s="1"/>
  <c r="W41" i="43" s="1"/>
  <c r="BM45" i="14" a="1"/>
  <c r="BM45" i="14" s="1"/>
  <c r="CQ45" i="14" s="1"/>
  <c r="AC41" i="43" s="1"/>
  <c r="EB45" i="14"/>
  <c r="CX45" i="14" s="1"/>
  <c r="EN45" i="14"/>
  <c r="DJ45" i="14" s="1"/>
  <c r="EZ45" i="14"/>
  <c r="DV45" i="14" s="1"/>
  <c r="AS49" i="14" a="1"/>
  <c r="AS49" i="14" s="1"/>
  <c r="BC49" i="14" s="1" a="1"/>
  <c r="BC49" i="14" s="1"/>
  <c r="BM49" i="14" s="1" a="1"/>
  <c r="BM49" i="14" s="1"/>
  <c r="CQ49" i="14" s="1"/>
  <c r="AC45" i="43" s="1"/>
  <c r="EJ49" i="14"/>
  <c r="DF49" i="14" s="1"/>
  <c r="EI50" i="14"/>
  <c r="DE50" i="14" s="1"/>
  <c r="EG52" i="14"/>
  <c r="DC52" i="14" s="1"/>
  <c r="IW52" i="14"/>
  <c r="JI52" i="14"/>
  <c r="AQ53" i="14" a="1"/>
  <c r="AQ53" i="14" s="1"/>
  <c r="BU53" i="14" s="1"/>
  <c r="G49" i="43" s="1"/>
  <c r="AW53" i="14" a="1"/>
  <c r="AW53" i="14" s="1"/>
  <c r="CA53" i="14" s="1"/>
  <c r="M49" i="43" s="1"/>
  <c r="BC53" i="14" a="1"/>
  <c r="BC53" i="14" s="1"/>
  <c r="CG53" i="14" s="1"/>
  <c r="S49" i="43" s="1"/>
  <c r="BI53" i="14" a="1"/>
  <c r="BI53" i="14" s="1"/>
  <c r="CM53" i="14" s="1"/>
  <c r="Y49" i="43" s="1"/>
  <c r="BO53" i="14" a="1"/>
  <c r="BO53" i="14" s="1"/>
  <c r="CS53" i="14" s="1"/>
  <c r="AE49" i="43" s="1"/>
  <c r="EF53" i="14"/>
  <c r="DB53" i="14" s="1"/>
  <c r="ER53" i="14"/>
  <c r="DN53" i="14" s="1"/>
  <c r="FD53" i="14"/>
  <c r="DZ53" i="14" s="1"/>
  <c r="EE54" i="14"/>
  <c r="DA54" i="14" s="1"/>
  <c r="AP55" i="14" a="1"/>
  <c r="AP55" i="14" s="1"/>
  <c r="BT55" i="14" s="1"/>
  <c r="F51" i="43" s="1"/>
  <c r="AV55" i="14" a="1"/>
  <c r="AV55" i="14" s="1"/>
  <c r="BZ55" i="14" s="1"/>
  <c r="L51" i="43" s="1"/>
  <c r="BB55" i="14" a="1"/>
  <c r="BB55" i="14" s="1"/>
  <c r="CF55" i="14" s="1"/>
  <c r="R51" i="43" s="1"/>
  <c r="BH55" i="14" a="1"/>
  <c r="BH55" i="14" s="1"/>
  <c r="CL55" i="14" s="1"/>
  <c r="X51" i="43" s="1"/>
  <c r="BN55" i="14" a="1"/>
  <c r="BN55" i="14" s="1"/>
  <c r="CR55" i="14" s="1"/>
  <c r="AD51" i="43" s="1"/>
  <c r="ED55" i="14"/>
  <c r="CZ55" i="14" s="1"/>
  <c r="EP55" i="14"/>
  <c r="DL55" i="14" s="1"/>
  <c r="FB55" i="14"/>
  <c r="DX55" i="14" s="1"/>
  <c r="IS56" i="14"/>
  <c r="JE56" i="14"/>
  <c r="JQ56" i="14"/>
  <c r="AO57" i="14" a="1"/>
  <c r="AO57" i="14" s="1"/>
  <c r="BS57" i="14" s="1"/>
  <c r="E53" i="43" s="1"/>
  <c r="AU57" i="14" a="1"/>
  <c r="AU57" i="14" s="1"/>
  <c r="BY57" i="14" s="1"/>
  <c r="K53" i="43" s="1"/>
  <c r="BA57" i="14" a="1"/>
  <c r="BA57" i="14" s="1"/>
  <c r="CE57" i="14" s="1"/>
  <c r="Q53" i="43" s="1"/>
  <c r="BG57" i="14" a="1"/>
  <c r="BG57" i="14" s="1"/>
  <c r="CK57" i="14" s="1"/>
  <c r="W53" i="43" s="1"/>
  <c r="BM57" i="14" a="1"/>
  <c r="BM57" i="14" s="1"/>
  <c r="CQ57" i="14" s="1"/>
  <c r="AC53" i="43" s="1"/>
  <c r="EK57" i="14"/>
  <c r="DG57" i="14" s="1"/>
  <c r="EY57" i="14"/>
  <c r="DU57" i="14" s="1"/>
  <c r="IZ57" i="14"/>
  <c r="JR57" i="14"/>
  <c r="JT60" i="14"/>
  <c r="JH60" i="14"/>
  <c r="IV60" i="14"/>
  <c r="JS60" i="14"/>
  <c r="JG60" i="14"/>
  <c r="IU60" i="14"/>
  <c r="JR60" i="14"/>
  <c r="JF60" i="14"/>
  <c r="IT60" i="14"/>
  <c r="JQ60" i="14"/>
  <c r="JE60" i="14"/>
  <c r="IS60" i="14"/>
  <c r="JP60" i="14"/>
  <c r="JD60" i="14"/>
  <c r="IR60" i="14"/>
  <c r="JO60" i="14"/>
  <c r="JC60" i="14"/>
  <c r="IQ60" i="14"/>
  <c r="JM60" i="14"/>
  <c r="JA60" i="14"/>
  <c r="JL60" i="14"/>
  <c r="IZ60" i="14"/>
  <c r="JK60" i="14"/>
  <c r="IY60" i="14"/>
  <c r="JJ60" i="14"/>
  <c r="IX60" i="14"/>
  <c r="DB61" i="14"/>
  <c r="IQ35" i="14"/>
  <c r="JC35" i="14"/>
  <c r="JO35" i="14"/>
  <c r="JB36" i="14"/>
  <c r="JN36" i="14"/>
  <c r="AS38" i="14" a="1"/>
  <c r="AS38" i="14" s="1"/>
  <c r="BW38" i="14" s="1"/>
  <c r="I34" i="43" s="1"/>
  <c r="AY38" i="14" a="1"/>
  <c r="AY38" i="14" s="1"/>
  <c r="CC38" i="14" s="1"/>
  <c r="O34" i="43" s="1"/>
  <c r="BE38" i="14" a="1"/>
  <c r="BE38" i="14" s="1"/>
  <c r="CI38" i="14" s="1"/>
  <c r="U34" i="43" s="1"/>
  <c r="BK38" i="14" a="1"/>
  <c r="BK38" i="14" s="1"/>
  <c r="CO38" i="14" s="1"/>
  <c r="AA34" i="43" s="1"/>
  <c r="BQ38" i="14" a="1"/>
  <c r="BQ38" i="14" s="1"/>
  <c r="CU38" i="14" s="1"/>
  <c r="AG34" i="43" s="1"/>
  <c r="EG41" i="14"/>
  <c r="DC41" i="14" s="1"/>
  <c r="AQ42" i="14" a="1"/>
  <c r="AQ42" i="14" s="1"/>
  <c r="EM42" i="14" s="1"/>
  <c r="DI42" i="14" s="1"/>
  <c r="AW42" i="14" a="1"/>
  <c r="AW42" i="14" s="1"/>
  <c r="CA42" i="14" s="1"/>
  <c r="M38" i="43" s="1"/>
  <c r="EF42" i="14"/>
  <c r="DB42" i="14" s="1"/>
  <c r="EE43" i="14"/>
  <c r="DA43" i="14" s="1"/>
  <c r="EC45" i="14"/>
  <c r="CY45" i="14" s="1"/>
  <c r="EO45" i="14"/>
  <c r="DK45" i="14" s="1"/>
  <c r="FA45" i="14"/>
  <c r="DW45" i="14" s="1"/>
  <c r="AS50" i="14" a="1"/>
  <c r="AS50" i="14" s="1"/>
  <c r="S345" i="20"/>
  <c r="M343" i="20"/>
  <c r="J341" i="20"/>
  <c r="R345" i="20"/>
  <c r="F343" i="20"/>
  <c r="R340" i="20"/>
  <c r="Q345" i="20"/>
  <c r="E343" i="20"/>
  <c r="P340" i="20"/>
  <c r="P345" i="20"/>
  <c r="I340" i="20"/>
  <c r="K345" i="20"/>
  <c r="L341" i="20"/>
  <c r="K341" i="20"/>
  <c r="E340" i="20"/>
  <c r="D340" i="20"/>
  <c r="Q339" i="20"/>
  <c r="O339" i="20"/>
  <c r="S343" i="20"/>
  <c r="H339" i="20"/>
  <c r="R343" i="20"/>
  <c r="IX52" i="14"/>
  <c r="JJ52" i="14"/>
  <c r="EG53" i="14"/>
  <c r="DC53" i="14" s="1"/>
  <c r="AQ54" i="14" a="1"/>
  <c r="AQ54" i="14" s="1"/>
  <c r="EM54" i="14" s="1"/>
  <c r="DI54" i="14" s="1"/>
  <c r="AW54" i="14" a="1"/>
  <c r="AW54" i="14" s="1"/>
  <c r="CA54" i="14" s="1"/>
  <c r="M50" i="43" s="1"/>
  <c r="EF54" i="14"/>
  <c r="DB54" i="14" s="1"/>
  <c r="EE55" i="14"/>
  <c r="DA55" i="14" s="1"/>
  <c r="EQ55" i="14"/>
  <c r="DM55" i="14" s="1"/>
  <c r="FC55" i="14"/>
  <c r="DY55" i="14" s="1"/>
  <c r="IT56" i="14"/>
  <c r="JF56" i="14"/>
  <c r="JR56" i="14"/>
  <c r="EL57" i="14"/>
  <c r="DH57" i="14" s="1"/>
  <c r="EZ57" i="14"/>
  <c r="DV57" i="14" s="1"/>
  <c r="JA57" i="14"/>
  <c r="JS57" i="14"/>
  <c r="EG42" i="14"/>
  <c r="DC42" i="14" s="1"/>
  <c r="AP45" i="14" a="1"/>
  <c r="AP45" i="14" s="1"/>
  <c r="BT45" i="14" s="1"/>
  <c r="F41" i="43" s="1"/>
  <c r="AV45" i="14" a="1"/>
  <c r="AV45" i="14" s="1"/>
  <c r="BZ45" i="14" s="1"/>
  <c r="L41" i="43" s="1"/>
  <c r="BB45" i="14" a="1"/>
  <c r="BB45" i="14" s="1"/>
  <c r="CF45" i="14" s="1"/>
  <c r="R41" i="43" s="1"/>
  <c r="BH45" i="14" a="1"/>
  <c r="BH45" i="14" s="1"/>
  <c r="CL45" i="14" s="1"/>
  <c r="X41" i="43" s="1"/>
  <c r="BN45" i="14" a="1"/>
  <c r="BN45" i="14" s="1"/>
  <c r="CR45" i="14" s="1"/>
  <c r="AD41" i="43" s="1"/>
  <c r="ED45" i="14"/>
  <c r="CZ45" i="14" s="1"/>
  <c r="EP45" i="14"/>
  <c r="DL45" i="14" s="1"/>
  <c r="FB45" i="14"/>
  <c r="DX45" i="14" s="1"/>
  <c r="AT49" i="14" a="1"/>
  <c r="AT49" i="14" s="1"/>
  <c r="EP49" i="14" s="1"/>
  <c r="DL49" i="14" s="1"/>
  <c r="IY52" i="14"/>
  <c r="JK52" i="14"/>
  <c r="AR53" i="14" a="1"/>
  <c r="AR53" i="14" s="1"/>
  <c r="BV53" i="14" s="1"/>
  <c r="H49" i="43" s="1"/>
  <c r="AX53" i="14" a="1"/>
  <c r="AX53" i="14" s="1"/>
  <c r="CB53" i="14" s="1"/>
  <c r="N49" i="43" s="1"/>
  <c r="BD53" i="14" a="1"/>
  <c r="BD53" i="14" s="1"/>
  <c r="CH53" i="14" s="1"/>
  <c r="T49" i="43" s="1"/>
  <c r="BJ53" i="14" a="1"/>
  <c r="BJ53" i="14" s="1"/>
  <c r="CN53" i="14" s="1"/>
  <c r="Z49" i="43" s="1"/>
  <c r="EG54" i="14"/>
  <c r="DC54" i="14" s="1"/>
  <c r="IU56" i="14"/>
  <c r="JG56" i="14"/>
  <c r="JS56" i="14"/>
  <c r="AP57" i="14" a="1"/>
  <c r="AP57" i="14" s="1"/>
  <c r="BT57" i="14" s="1"/>
  <c r="F53" i="43" s="1"/>
  <c r="AV57" i="14" a="1"/>
  <c r="AV57" i="14" s="1"/>
  <c r="BZ57" i="14" s="1"/>
  <c r="L53" i="43" s="1"/>
  <c r="BB57" i="14" a="1"/>
  <c r="BB57" i="14" s="1"/>
  <c r="CF57" i="14" s="1"/>
  <c r="R53" i="43" s="1"/>
  <c r="BH57" i="14" a="1"/>
  <c r="BH57" i="14" s="1"/>
  <c r="CL57" i="14" s="1"/>
  <c r="X53" i="43" s="1"/>
  <c r="L267" i="20"/>
  <c r="O264" i="20"/>
  <c r="K267" i="20"/>
  <c r="AA266" i="20"/>
  <c r="N264" i="20"/>
  <c r="AE263" i="20"/>
  <c r="IS35" i="14"/>
  <c r="JE35" i="14"/>
  <c r="IR36" i="14"/>
  <c r="JD36" i="14"/>
  <c r="AT38" i="14" a="1"/>
  <c r="AT38" i="14" s="1"/>
  <c r="BX38" i="14" s="1"/>
  <c r="J34" i="43" s="1"/>
  <c r="AZ38" i="14" a="1"/>
  <c r="AZ38" i="14" s="1"/>
  <c r="CD38" i="14" s="1"/>
  <c r="P34" i="43" s="1"/>
  <c r="BF38" i="14" a="1"/>
  <c r="BF38" i="14" s="1"/>
  <c r="CJ38" i="14" s="1"/>
  <c r="V34" i="43" s="1"/>
  <c r="BL38" i="14" a="1"/>
  <c r="BL38" i="14" s="1"/>
  <c r="CP38" i="14" s="1"/>
  <c r="AB34" i="43" s="1"/>
  <c r="EI41" i="14"/>
  <c r="DE41" i="14" s="1"/>
  <c r="AR42" i="14" a="1"/>
  <c r="AR42" i="14" s="1"/>
  <c r="BB42" i="14" s="1" a="1"/>
  <c r="BB42" i="14" s="1"/>
  <c r="AX42" i="14" a="1"/>
  <c r="AX42" i="14" s="1"/>
  <c r="CB42" i="14" s="1"/>
  <c r="N38" i="43" s="1"/>
  <c r="EH42" i="14"/>
  <c r="DD42" i="14" s="1"/>
  <c r="EG43" i="14"/>
  <c r="DC43" i="14" s="1"/>
  <c r="EE45" i="14"/>
  <c r="DA45" i="14" s="1"/>
  <c r="EQ45" i="14"/>
  <c r="DM45" i="14" s="1"/>
  <c r="FC45" i="14"/>
  <c r="DY45" i="14" s="1"/>
  <c r="EA49" i="14"/>
  <c r="CW49" i="14" s="1"/>
  <c r="AT50" i="14" a="1"/>
  <c r="AT50" i="14" s="1"/>
  <c r="IZ52" i="14"/>
  <c r="JL52" i="14"/>
  <c r="AR54" i="14" a="1"/>
  <c r="AR54" i="14" s="1"/>
  <c r="AX54" i="14" a="1"/>
  <c r="AX54" i="14" s="1"/>
  <c r="CB54" i="14" s="1"/>
  <c r="N50" i="43" s="1"/>
  <c r="EH54" i="14"/>
  <c r="DD54" i="14" s="1"/>
  <c r="EG55" i="14"/>
  <c r="DC55" i="14" s="1"/>
  <c r="IV56" i="14"/>
  <c r="JH56" i="14"/>
  <c r="JT56" i="14"/>
  <c r="EN57" i="14"/>
  <c r="DJ57" i="14" s="1"/>
  <c r="DR69" i="14"/>
  <c r="EG45" i="14"/>
  <c r="DC45" i="14" s="1"/>
  <c r="EC49" i="14"/>
  <c r="CY49" i="14" s="1"/>
  <c r="AO50" i="14" a="1"/>
  <c r="AO50" i="14" s="1"/>
  <c r="AU50" i="14" a="1"/>
  <c r="AU50" i="14" s="1"/>
  <c r="EQ50" i="14" s="1"/>
  <c r="DM50" i="14" s="1"/>
  <c r="JB52" i="14"/>
  <c r="EJ54" i="14"/>
  <c r="DF54" i="14" s="1"/>
  <c r="P326" i="20"/>
  <c r="AB326" i="20"/>
  <c r="C326" i="20"/>
  <c r="Q324" i="20"/>
  <c r="N322" i="20"/>
  <c r="V321" i="20"/>
  <c r="C321" i="20"/>
  <c r="M320" i="20"/>
  <c r="AA326" i="20"/>
  <c r="B326" i="20"/>
  <c r="N324" i="20"/>
  <c r="M322" i="20"/>
  <c r="S321" i="20"/>
  <c r="B321" i="20"/>
  <c r="L320" i="20"/>
  <c r="Y326" i="20"/>
  <c r="M324" i="20"/>
  <c r="AE322" i="20"/>
  <c r="K322" i="20"/>
  <c r="R321" i="20"/>
  <c r="AD320" i="20"/>
  <c r="K320" i="20"/>
  <c r="X326" i="20"/>
  <c r="J324" i="20"/>
  <c r="AD322" i="20"/>
  <c r="H322" i="20"/>
  <c r="Q321" i="20"/>
  <c r="AC320" i="20"/>
  <c r="J320" i="20"/>
  <c r="U326" i="20"/>
  <c r="I324" i="20"/>
  <c r="AB322" i="20"/>
  <c r="E322" i="20"/>
  <c r="P321" i="20"/>
  <c r="Z320" i="20"/>
  <c r="I320" i="20"/>
  <c r="S326" i="20"/>
  <c r="N326" i="20"/>
  <c r="AB324" i="20"/>
  <c r="G324" i="20"/>
  <c r="X322" i="20"/>
  <c r="B322" i="20"/>
  <c r="M321" i="20"/>
  <c r="X320" i="20"/>
  <c r="F320" i="20"/>
  <c r="M326" i="20"/>
  <c r="Z324" i="20"/>
  <c r="AE321" i="20"/>
  <c r="K326" i="20"/>
  <c r="W324" i="20"/>
  <c r="AD321" i="20"/>
  <c r="J326" i="20"/>
  <c r="V324" i="20"/>
  <c r="AC321" i="20"/>
  <c r="R322" i="20"/>
  <c r="H321" i="20"/>
  <c r="Q322" i="20"/>
  <c r="F321" i="20"/>
  <c r="AC326" i="20"/>
  <c r="D324" i="20"/>
  <c r="O321" i="20"/>
  <c r="E326" i="20"/>
  <c r="L321" i="20"/>
  <c r="D326" i="20"/>
  <c r="J321" i="20"/>
  <c r="D321" i="20"/>
  <c r="Y320" i="20"/>
  <c r="Y322" i="20"/>
  <c r="W320" i="20"/>
  <c r="V322" i="20"/>
  <c r="U320" i="20"/>
  <c r="AE324" i="20"/>
  <c r="U322" i="20"/>
  <c r="S320" i="20"/>
  <c r="T324" i="20"/>
  <c r="P322" i="20"/>
  <c r="Q320" i="20"/>
  <c r="R324" i="20"/>
  <c r="D322" i="20"/>
  <c r="P320" i="20"/>
  <c r="B320" i="20"/>
  <c r="AE326" i="20"/>
  <c r="H324" i="20"/>
  <c r="F324" i="20"/>
  <c r="AB321" i="20"/>
  <c r="Z321" i="20"/>
  <c r="H320" i="20"/>
  <c r="IX56" i="14"/>
  <c r="ET57" i="14"/>
  <c r="DP57" i="14" s="1"/>
  <c r="EH57" i="14"/>
  <c r="DD57" i="14" s="1"/>
  <c r="FD57" i="14"/>
  <c r="DZ57" i="14" s="1"/>
  <c r="ER57" i="14"/>
  <c r="DN57" i="14" s="1"/>
  <c r="EF57" i="14"/>
  <c r="DB57" i="14" s="1"/>
  <c r="BO57" i="14" a="1"/>
  <c r="BO57" i="14" s="1"/>
  <c r="CS57" i="14" s="1"/>
  <c r="AE53" i="43" s="1"/>
  <c r="BP57" i="14" a="1"/>
  <c r="BP57" i="14" s="1"/>
  <c r="CT57" i="14" s="1"/>
  <c r="AF53" i="43" s="1"/>
  <c r="EB57" i="14"/>
  <c r="CX57" i="14" s="1"/>
  <c r="EP57" i="14"/>
  <c r="DL57" i="14" s="1"/>
  <c r="AC193" i="20"/>
  <c r="M193" i="20"/>
  <c r="Z193" i="20"/>
  <c r="AD193" i="20"/>
  <c r="J193" i="20"/>
  <c r="U191" i="20"/>
  <c r="F191" i="20"/>
  <c r="S190" i="20"/>
  <c r="D190" i="20"/>
  <c r="Q188" i="20"/>
  <c r="B188" i="20"/>
  <c r="N187" i="20"/>
  <c r="Y193" i="20"/>
  <c r="H193" i="20"/>
  <c r="T191" i="20"/>
  <c r="E191" i="20"/>
  <c r="R190" i="20"/>
  <c r="C190" i="20"/>
  <c r="AE188" i="20"/>
  <c r="P188" i="20"/>
  <c r="AD187" i="20"/>
  <c r="M187" i="20"/>
  <c r="X193" i="20"/>
  <c r="G193" i="20"/>
  <c r="S191" i="20"/>
  <c r="B191" i="20"/>
  <c r="Q190" i="20"/>
  <c r="B190" i="20"/>
  <c r="AD188" i="20"/>
  <c r="N188" i="20"/>
  <c r="AC187" i="20"/>
  <c r="L187" i="20"/>
  <c r="V193" i="20"/>
  <c r="F193" i="20"/>
  <c r="R191" i="20"/>
  <c r="AE190" i="20"/>
  <c r="P190" i="20"/>
  <c r="AB188" i="20"/>
  <c r="M188" i="20"/>
  <c r="Z187" i="20"/>
  <c r="K187" i="20"/>
  <c r="U193" i="20"/>
  <c r="E193" i="20"/>
  <c r="Q191" i="20"/>
  <c r="AD190" i="20"/>
  <c r="O190" i="20"/>
  <c r="AA188" i="20"/>
  <c r="L188" i="20"/>
  <c r="Y187" i="20"/>
  <c r="J187" i="20"/>
  <c r="T193" i="20"/>
  <c r="B193" i="20"/>
  <c r="AE191" i="20"/>
  <c r="N191" i="20"/>
  <c r="AC190" i="20"/>
  <c r="N190" i="20"/>
  <c r="Z188" i="20"/>
  <c r="K188" i="20"/>
  <c r="X187" i="20"/>
  <c r="I187" i="20"/>
  <c r="S193" i="20"/>
  <c r="AD191" i="20"/>
  <c r="M191" i="20"/>
  <c r="AB190" i="20"/>
  <c r="L190" i="20"/>
  <c r="Y188" i="20"/>
  <c r="H188" i="20"/>
  <c r="W187" i="20"/>
  <c r="H187" i="20"/>
  <c r="R193" i="20"/>
  <c r="Q193" i="20"/>
  <c r="Z191" i="20"/>
  <c r="J191" i="20"/>
  <c r="Y190" i="20"/>
  <c r="H190" i="20"/>
  <c r="W188" i="20"/>
  <c r="F188" i="20"/>
  <c r="U187" i="20"/>
  <c r="F187" i="20"/>
  <c r="AE193" i="20"/>
  <c r="AC191" i="20"/>
  <c r="K190" i="20"/>
  <c r="X188" i="20"/>
  <c r="G187" i="20"/>
  <c r="N193" i="20"/>
  <c r="X191" i="20"/>
  <c r="G190" i="20"/>
  <c r="T188" i="20"/>
  <c r="E187" i="20"/>
  <c r="L193" i="20"/>
  <c r="W191" i="20"/>
  <c r="F190" i="20"/>
  <c r="S188" i="20"/>
  <c r="B187" i="20"/>
  <c r="K193" i="20"/>
  <c r="V191" i="20"/>
  <c r="E190" i="20"/>
  <c r="R188" i="20"/>
  <c r="L191" i="20"/>
  <c r="G188" i="20"/>
  <c r="I191" i="20"/>
  <c r="E188" i="20"/>
  <c r="H191" i="20"/>
  <c r="D188" i="20"/>
  <c r="G191" i="20"/>
  <c r="C188" i="20"/>
  <c r="Z190" i="20"/>
  <c r="V187" i="20"/>
  <c r="X190" i="20"/>
  <c r="T187" i="20"/>
  <c r="W190" i="20"/>
  <c r="S187" i="20"/>
  <c r="T190" i="20"/>
  <c r="R187" i="20"/>
  <c r="EG61" i="14"/>
  <c r="DC61" i="14" s="1"/>
  <c r="Y79" i="20"/>
  <c r="AA79" i="20"/>
  <c r="M79" i="20"/>
  <c r="T77" i="20"/>
  <c r="G77" i="20"/>
  <c r="X76" i="20"/>
  <c r="K76" i="20"/>
  <c r="AB75" i="20"/>
  <c r="O75" i="20"/>
  <c r="B75" i="20"/>
  <c r="S74" i="20"/>
  <c r="F74" i="20"/>
  <c r="V73" i="20"/>
  <c r="I73" i="20"/>
  <c r="Z72" i="20"/>
  <c r="M72" i="20"/>
  <c r="Z79" i="20"/>
  <c r="L79" i="20"/>
  <c r="S77" i="20"/>
  <c r="F77" i="20"/>
  <c r="W76" i="20"/>
  <c r="J76" i="20"/>
  <c r="AA75" i="20"/>
  <c r="N75" i="20"/>
  <c r="AE74" i="20"/>
  <c r="R74" i="20"/>
  <c r="D74" i="20"/>
  <c r="U73" i="20"/>
  <c r="H73" i="20"/>
  <c r="Y72" i="20"/>
  <c r="L72" i="20"/>
  <c r="X79" i="20"/>
  <c r="J79" i="20"/>
  <c r="AE77" i="20"/>
  <c r="R77" i="20"/>
  <c r="E77" i="20"/>
  <c r="V76" i="20"/>
  <c r="I76" i="20"/>
  <c r="Z75" i="20"/>
  <c r="M75" i="20"/>
  <c r="AD74" i="20"/>
  <c r="P74" i="20"/>
  <c r="C74" i="20"/>
  <c r="T73" i="20"/>
  <c r="G73" i="20"/>
  <c r="X72" i="20"/>
  <c r="K72" i="20"/>
  <c r="V79" i="20"/>
  <c r="I79" i="20"/>
  <c r="AD77" i="20"/>
  <c r="Q77" i="20"/>
  <c r="D77" i="20"/>
  <c r="U76" i="20"/>
  <c r="H76" i="20"/>
  <c r="Y75" i="20"/>
  <c r="L75" i="20"/>
  <c r="AB74" i="20"/>
  <c r="O74" i="20"/>
  <c r="B74" i="20"/>
  <c r="S73" i="20"/>
  <c r="F73" i="20"/>
  <c r="W72" i="20"/>
  <c r="J72" i="20"/>
  <c r="U79" i="20"/>
  <c r="H79" i="20"/>
  <c r="AC77" i="20"/>
  <c r="P77" i="20"/>
  <c r="C77" i="20"/>
  <c r="T76" i="20"/>
  <c r="G76" i="20"/>
  <c r="X75" i="20"/>
  <c r="J75" i="20"/>
  <c r="AA74" i="20"/>
  <c r="N74" i="20"/>
  <c r="AE73" i="20"/>
  <c r="R73" i="20"/>
  <c r="E73" i="20"/>
  <c r="V72" i="20"/>
  <c r="I72" i="20"/>
  <c r="T79" i="20"/>
  <c r="G79" i="20"/>
  <c r="AB77" i="20"/>
  <c r="O77" i="20"/>
  <c r="B77" i="20"/>
  <c r="S76" i="20"/>
  <c r="F76" i="20"/>
  <c r="V75" i="20"/>
  <c r="I75" i="20"/>
  <c r="Z74" i="20"/>
  <c r="M74" i="20"/>
  <c r="AD73" i="20"/>
  <c r="Q73" i="20"/>
  <c r="D73" i="20"/>
  <c r="U72" i="20"/>
  <c r="H72" i="20"/>
  <c r="R79" i="20"/>
  <c r="Z77" i="20"/>
  <c r="AD76" i="20"/>
  <c r="C76" i="20"/>
  <c r="G75" i="20"/>
  <c r="K74" i="20"/>
  <c r="O73" i="20"/>
  <c r="S72" i="20"/>
  <c r="AE79" i="20"/>
  <c r="D79" i="20"/>
  <c r="L77" i="20"/>
  <c r="O76" i="20"/>
  <c r="S75" i="20"/>
  <c r="W74" i="20"/>
  <c r="AA73" i="20"/>
  <c r="AE72" i="20"/>
  <c r="D72" i="20"/>
  <c r="AC79" i="20"/>
  <c r="B79" i="20"/>
  <c r="I77" i="20"/>
  <c r="M76" i="20"/>
  <c r="Q75" i="20"/>
  <c r="U74" i="20"/>
  <c r="Y73" i="20"/>
  <c r="AB72" i="20"/>
  <c r="B72" i="20"/>
  <c r="AB79" i="20"/>
  <c r="N77" i="20"/>
  <c r="L76" i="20"/>
  <c r="E75" i="20"/>
  <c r="AC73" i="20"/>
  <c r="AA72" i="20"/>
  <c r="S79" i="20"/>
  <c r="M77" i="20"/>
  <c r="D76" i="20"/>
  <c r="D75" i="20"/>
  <c r="AB73" i="20"/>
  <c r="T72" i="20"/>
  <c r="Q79" i="20"/>
  <c r="J77" i="20"/>
  <c r="B76" i="20"/>
  <c r="C75" i="20"/>
  <c r="Z73" i="20"/>
  <c r="R72" i="20"/>
  <c r="P79" i="20"/>
  <c r="H77" i="20"/>
  <c r="AE75" i="20"/>
  <c r="Y74" i="20"/>
  <c r="X73" i="20"/>
  <c r="P72" i="20"/>
  <c r="O79" i="20"/>
  <c r="AE76" i="20"/>
  <c r="AD75" i="20"/>
  <c r="X74" i="20"/>
  <c r="P73" i="20"/>
  <c r="O72" i="20"/>
  <c r="N79" i="20"/>
  <c r="AB76" i="20"/>
  <c r="AC75" i="20"/>
  <c r="V74" i="20"/>
  <c r="N73" i="20"/>
  <c r="N72" i="20"/>
  <c r="F79" i="20"/>
  <c r="AA76" i="20"/>
  <c r="U75" i="20"/>
  <c r="T74" i="20"/>
  <c r="M73" i="20"/>
  <c r="G72" i="20"/>
  <c r="E79" i="20"/>
  <c r="AA77" i="20"/>
  <c r="Z76" i="20"/>
  <c r="T75" i="20"/>
  <c r="L74" i="20"/>
  <c r="L73" i="20"/>
  <c r="F72" i="20"/>
  <c r="C79" i="20"/>
  <c r="Y77" i="20"/>
  <c r="Y76" i="20"/>
  <c r="R75" i="20"/>
  <c r="J74" i="20"/>
  <c r="J73" i="20"/>
  <c r="C72" i="20"/>
  <c r="V77" i="20"/>
  <c r="B73" i="20"/>
  <c r="U77" i="20"/>
  <c r="AD72" i="20"/>
  <c r="R76" i="20"/>
  <c r="P76" i="20"/>
  <c r="N76" i="20"/>
  <c r="P75" i="20"/>
  <c r="H75" i="20"/>
  <c r="AD79" i="20"/>
  <c r="F75" i="20"/>
  <c r="I74" i="20"/>
  <c r="H74" i="20"/>
  <c r="G74" i="20"/>
  <c r="X77" i="20"/>
  <c r="C73" i="20"/>
  <c r="GK81" i="14"/>
  <c r="HO81" i="14"/>
  <c r="GW81" i="14"/>
  <c r="IA81" i="14"/>
  <c r="HI81" i="14"/>
  <c r="IM81" i="14"/>
  <c r="IZ59" i="14"/>
  <c r="JL59" i="14"/>
  <c r="AR61" i="14" a="1"/>
  <c r="AR61" i="14" s="1"/>
  <c r="AX61" i="14" a="1"/>
  <c r="AX61" i="14" s="1"/>
  <c r="ET61" i="14" s="1"/>
  <c r="DP61" i="14" s="1"/>
  <c r="EH61" i="14"/>
  <c r="DD61" i="14" s="1"/>
  <c r="EH62" i="14"/>
  <c r="DD62" i="14" s="1"/>
  <c r="EF62" i="14"/>
  <c r="DB62" i="14" s="1"/>
  <c r="K40" i="20"/>
  <c r="D35" i="20"/>
  <c r="AA39" i="20"/>
  <c r="Q39" i="20"/>
  <c r="AC41" i="20"/>
  <c r="O39" i="20"/>
  <c r="R41" i="20"/>
  <c r="H39" i="20"/>
  <c r="U36" i="20"/>
  <c r="C35" i="20"/>
  <c r="EK59" i="14"/>
  <c r="DG59" i="14" s="1"/>
  <c r="EW59" i="14"/>
  <c r="DS59" i="14" s="1"/>
  <c r="JA59" i="14"/>
  <c r="JM59" i="14"/>
  <c r="EI61" i="14"/>
  <c r="DE61" i="14" s="1"/>
  <c r="AR62" i="14" a="1"/>
  <c r="AR62" i="14" s="1"/>
  <c r="BB62" i="14" s="1" a="1"/>
  <c r="BB62" i="14" s="1"/>
  <c r="AX62" i="14" a="1"/>
  <c r="AX62" i="14" s="1"/>
  <c r="EG62" i="14"/>
  <c r="DC62" i="14" s="1"/>
  <c r="EC64" i="14"/>
  <c r="CY64" i="14" s="1"/>
  <c r="JO65" i="14"/>
  <c r="JC65" i="14"/>
  <c r="IQ65" i="14"/>
  <c r="JN65" i="14"/>
  <c r="JB65" i="14"/>
  <c r="JM65" i="14"/>
  <c r="JA65" i="14"/>
  <c r="JL65" i="14"/>
  <c r="IZ65" i="14"/>
  <c r="JK65" i="14"/>
  <c r="IY65" i="14"/>
  <c r="JJ65" i="14"/>
  <c r="IX65" i="14"/>
  <c r="JI65" i="14"/>
  <c r="IW65" i="14"/>
  <c r="JS65" i="14"/>
  <c r="JG65" i="14"/>
  <c r="IU65" i="14"/>
  <c r="JP65" i="14"/>
  <c r="JB59" i="14"/>
  <c r="JN59" i="14"/>
  <c r="AS61" i="14" a="1"/>
  <c r="AS61" i="14" s="1"/>
  <c r="EJ61" i="14"/>
  <c r="DF61" i="14" s="1"/>
  <c r="EI62" i="14"/>
  <c r="DE62" i="14" s="1"/>
  <c r="DF63" i="14"/>
  <c r="AU58" i="14" a="1"/>
  <c r="AU58" i="14" s="1"/>
  <c r="AU59" i="14" a="1"/>
  <c r="AU59" i="14" s="1"/>
  <c r="BY59" i="14" s="1"/>
  <c r="K55" i="43" s="1"/>
  <c r="BA59" i="14" a="1"/>
  <c r="BA59" i="14" s="1"/>
  <c r="CE59" i="14" s="1"/>
  <c r="Q55" i="43" s="1"/>
  <c r="BG59" i="14" a="1"/>
  <c r="BG59" i="14" s="1"/>
  <c r="CK59" i="14" s="1"/>
  <c r="W55" i="43" s="1"/>
  <c r="BM59" i="14" a="1"/>
  <c r="BM59" i="14" s="1"/>
  <c r="CQ59" i="14" s="1"/>
  <c r="AC55" i="43" s="1"/>
  <c r="EB59" i="14"/>
  <c r="CX59" i="14" s="1"/>
  <c r="EN59" i="14"/>
  <c r="DJ59" i="14" s="1"/>
  <c r="EZ59" i="14"/>
  <c r="DV59" i="14" s="1"/>
  <c r="IR59" i="14"/>
  <c r="JD59" i="14"/>
  <c r="JP59" i="14"/>
  <c r="AT61" i="14" a="1"/>
  <c r="AT61" i="14" s="1"/>
  <c r="JT65" i="14"/>
  <c r="AX73" i="14" a="1"/>
  <c r="AX73" i="14" s="1"/>
  <c r="AR73" i="14" a="1"/>
  <c r="AR73" i="14" s="1"/>
  <c r="AV73" i="14" a="1"/>
  <c r="AV73" i="14" s="1"/>
  <c r="AU73" i="14" a="1"/>
  <c r="AU73" i="14" s="1"/>
  <c r="EQ73" i="14" s="1"/>
  <c r="DM73" i="14" s="1"/>
  <c r="AT73" i="14" a="1"/>
  <c r="AT73" i="14" s="1"/>
  <c r="AS73" i="14" a="1"/>
  <c r="AS73" i="14" s="1"/>
  <c r="BC73" i="14" s="1" a="1"/>
  <c r="BC73" i="14" s="1"/>
  <c r="EY73" i="14" s="1"/>
  <c r="DU73" i="14" s="1"/>
  <c r="AQ73" i="14" a="1"/>
  <c r="AQ73" i="14" s="1"/>
  <c r="EM73" i="14" s="1"/>
  <c r="DI73" i="14" s="1"/>
  <c r="AP73" i="14" a="1"/>
  <c r="AP73" i="14" s="1"/>
  <c r="AZ73" i="14" s="1" a="1"/>
  <c r="AZ73" i="14" s="1"/>
  <c r="AO73" i="14" a="1"/>
  <c r="AO73" i="14" s="1"/>
  <c r="IS59" i="14"/>
  <c r="JE59" i="14"/>
  <c r="JQ59" i="14"/>
  <c r="EA61" i="14"/>
  <c r="CW61" i="14" s="1"/>
  <c r="AT62" i="14" a="1"/>
  <c r="AT62" i="14" s="1"/>
  <c r="EP62" i="14" s="1"/>
  <c r="DL62" i="14" s="1"/>
  <c r="CZ63" i="14"/>
  <c r="AT64" i="14" a="1"/>
  <c r="AT64" i="14" s="1"/>
  <c r="EJ64" i="14"/>
  <c r="DF64" i="14" s="1"/>
  <c r="AS64" i="14" a="1"/>
  <c r="AS64" i="14" s="1"/>
  <c r="BW64" i="14" s="1"/>
  <c r="I60" i="43" s="1"/>
  <c r="EI64" i="14"/>
  <c r="DE64" i="14" s="1"/>
  <c r="EH64" i="14"/>
  <c r="DD64" i="14" s="1"/>
  <c r="AX64" i="14" a="1"/>
  <c r="AX64" i="14" s="1"/>
  <c r="ET64" i="14" s="1"/>
  <c r="DP64" i="14" s="1"/>
  <c r="AR64" i="14" a="1"/>
  <c r="AR64" i="14" s="1"/>
  <c r="EN64" i="14" s="1"/>
  <c r="DJ64" i="14" s="1"/>
  <c r="EF64" i="14"/>
  <c r="DB64" i="14" s="1"/>
  <c r="AW64" i="14" a="1"/>
  <c r="AW64" i="14" s="1"/>
  <c r="AQ64" i="14" a="1"/>
  <c r="AQ64" i="14" s="1"/>
  <c r="EM64" i="14" s="1"/>
  <c r="DI64" i="14" s="1"/>
  <c r="IR65" i="14"/>
  <c r="ED59" i="14"/>
  <c r="CZ59" i="14" s="1"/>
  <c r="EP59" i="14"/>
  <c r="DL59" i="14" s="1"/>
  <c r="FB59" i="14"/>
  <c r="DX59" i="14" s="1"/>
  <c r="IT59" i="14"/>
  <c r="JF59" i="14"/>
  <c r="JR59" i="14"/>
  <c r="AO61" i="14" a="1"/>
  <c r="AO61" i="14" s="1"/>
  <c r="BS61" i="14" s="1"/>
  <c r="E57" i="43" s="1"/>
  <c r="AU61" i="14" a="1"/>
  <c r="AU61" i="14" s="1"/>
  <c r="BY61" i="14" s="1"/>
  <c r="K57" i="43" s="1"/>
  <c r="EB61" i="14"/>
  <c r="CX61" i="14" s="1"/>
  <c r="EE58" i="14"/>
  <c r="DA58" i="14" s="1"/>
  <c r="EE59" i="14"/>
  <c r="DA59" i="14" s="1"/>
  <c r="EQ59" i="14"/>
  <c r="DM59" i="14" s="1"/>
  <c r="FC59" i="14"/>
  <c r="DY59" i="14" s="1"/>
  <c r="IU59" i="14"/>
  <c r="JG59" i="14"/>
  <c r="JS59" i="14"/>
  <c r="EC61" i="14"/>
  <c r="CY61" i="14" s="1"/>
  <c r="AO62" i="14" a="1"/>
  <c r="AO62" i="14" s="1"/>
  <c r="BS62" i="14" s="1"/>
  <c r="E58" i="43" s="1"/>
  <c r="AU62" i="14" a="1"/>
  <c r="AU62" i="14" s="1"/>
  <c r="EA62" i="14"/>
  <c r="CW62" i="14" s="1"/>
  <c r="IT65" i="14"/>
  <c r="AW73" i="14" a="1"/>
  <c r="AW73" i="14" s="1"/>
  <c r="AQ58" i="14" a="1"/>
  <c r="AQ58" i="14" s="1"/>
  <c r="AW58" i="14" a="1"/>
  <c r="AW58" i="14" s="1"/>
  <c r="CA58" i="14" s="1"/>
  <c r="M54" i="43" s="1"/>
  <c r="EF58" i="14"/>
  <c r="DB58" i="14" s="1"/>
  <c r="AQ59" i="14" a="1"/>
  <c r="AQ59" i="14" s="1"/>
  <c r="BU59" i="14" s="1"/>
  <c r="G55" i="43" s="1"/>
  <c r="AW59" i="14" a="1"/>
  <c r="AW59" i="14" s="1"/>
  <c r="CA59" i="14" s="1"/>
  <c r="M55" i="43" s="1"/>
  <c r="BC59" i="14" a="1"/>
  <c r="BC59" i="14" s="1"/>
  <c r="CG59" i="14" s="1"/>
  <c r="S55" i="43" s="1"/>
  <c r="BI59" i="14" a="1"/>
  <c r="BI59" i="14" s="1"/>
  <c r="CM59" i="14" s="1"/>
  <c r="Y55" i="43" s="1"/>
  <c r="BO59" i="14" a="1"/>
  <c r="BO59" i="14" s="1"/>
  <c r="CS59" i="14" s="1"/>
  <c r="AE55" i="43" s="1"/>
  <c r="EF59" i="14"/>
  <c r="DB59" i="14" s="1"/>
  <c r="ER59" i="14"/>
  <c r="DN59" i="14" s="1"/>
  <c r="FD59" i="14"/>
  <c r="DZ59" i="14" s="1"/>
  <c r="IV59" i="14"/>
  <c r="JH59" i="14"/>
  <c r="JT59" i="14"/>
  <c r="AP61" i="14" a="1"/>
  <c r="AP61" i="14" s="1"/>
  <c r="BT61" i="14" s="1"/>
  <c r="F57" i="43" s="1"/>
  <c r="AV61" i="14" a="1"/>
  <c r="AV61" i="14" s="1"/>
  <c r="ER61" i="14" s="1"/>
  <c r="DN61" i="14" s="1"/>
  <c r="ED61" i="14"/>
  <c r="CZ61" i="14" s="1"/>
  <c r="EB62" i="14"/>
  <c r="CX62" i="14" s="1"/>
  <c r="AV64" i="14" a="1"/>
  <c r="AV64" i="14" s="1"/>
  <c r="BZ64" i="14" s="1"/>
  <c r="L60" i="43" s="1"/>
  <c r="IV65" i="14"/>
  <c r="EG58" i="14"/>
  <c r="DC58" i="14" s="1"/>
  <c r="EG59" i="14"/>
  <c r="DC59" i="14" s="1"/>
  <c r="IW59" i="14"/>
  <c r="EE61" i="14"/>
  <c r="DA61" i="14" s="1"/>
  <c r="AP62" i="14" a="1"/>
  <c r="AP62" i="14" s="1"/>
  <c r="BT62" i="14" s="1"/>
  <c r="F58" i="43" s="1"/>
  <c r="AV62" i="14" a="1"/>
  <c r="AV62" i="14" s="1"/>
  <c r="ER62" i="14" s="1"/>
  <c r="DN62" i="14" s="1"/>
  <c r="EC62" i="14"/>
  <c r="CY62" i="14" s="1"/>
  <c r="JD65" i="14"/>
  <c r="AB245" i="20"/>
  <c r="B245" i="20"/>
  <c r="I244" i="20"/>
  <c r="H250" i="20"/>
  <c r="H248" i="20"/>
  <c r="K247" i="20"/>
  <c r="R245" i="20"/>
  <c r="AC247" i="20"/>
  <c r="F247" i="20"/>
  <c r="AE248" i="20"/>
  <c r="AB247" i="20"/>
  <c r="E247" i="20"/>
  <c r="AA247" i="20"/>
  <c r="O245" i="20"/>
  <c r="Z247" i="20"/>
  <c r="N245" i="20"/>
  <c r="Y247" i="20"/>
  <c r="M245" i="20"/>
  <c r="AE250" i="20"/>
  <c r="D247" i="20"/>
  <c r="AC244" i="20"/>
  <c r="AD250" i="20"/>
  <c r="C247" i="20"/>
  <c r="X244" i="20"/>
  <c r="T250" i="20"/>
  <c r="B247" i="20"/>
  <c r="W244" i="20"/>
  <c r="V244" i="20"/>
  <c r="U244" i="20"/>
  <c r="T244" i="20"/>
  <c r="AD248" i="20"/>
  <c r="F244" i="20"/>
  <c r="AC248" i="20"/>
  <c r="Q245" i="20"/>
  <c r="E244" i="20"/>
  <c r="S248" i="20"/>
  <c r="P245" i="20"/>
  <c r="E154" i="20"/>
  <c r="GI80" i="14"/>
  <c r="HM80" i="14"/>
  <c r="GU80" i="14"/>
  <c r="HY80" i="14"/>
  <c r="HG80" i="14"/>
  <c r="IK80" i="14"/>
  <c r="JS85" i="14"/>
  <c r="JG85" i="14"/>
  <c r="IU85" i="14"/>
  <c r="JQ85" i="14"/>
  <c r="JE85" i="14"/>
  <c r="IS85" i="14"/>
  <c r="JL85" i="14"/>
  <c r="IZ85" i="14"/>
  <c r="JJ85" i="14"/>
  <c r="IT85" i="14"/>
  <c r="JI85" i="14"/>
  <c r="IR85" i="14"/>
  <c r="JH85" i="14"/>
  <c r="IQ85" i="14"/>
  <c r="JF85" i="14"/>
  <c r="JD85" i="14"/>
  <c r="JT85" i="14"/>
  <c r="JC85" i="14"/>
  <c r="JR85" i="14"/>
  <c r="JB85" i="14"/>
  <c r="JP85" i="14"/>
  <c r="JA85" i="14"/>
  <c r="JO85" i="14"/>
  <c r="IY85" i="14"/>
  <c r="IX85" i="14"/>
  <c r="IW85" i="14"/>
  <c r="IV85" i="14"/>
  <c r="JN85" i="14"/>
  <c r="BM74" i="14" a="1"/>
  <c r="BM74" i="14" s="1"/>
  <c r="CQ74" i="14" s="1"/>
  <c r="AC70" i="43" s="1"/>
  <c r="BG74" i="14" a="1"/>
  <c r="BG74" i="14" s="1"/>
  <c r="CK74" i="14" s="1"/>
  <c r="W70" i="43" s="1"/>
  <c r="BA74" i="14" a="1"/>
  <c r="BA74" i="14" s="1"/>
  <c r="CE74" i="14" s="1"/>
  <c r="Q70" i="43" s="1"/>
  <c r="AU74" i="14" a="1"/>
  <c r="AU74" i="14" s="1"/>
  <c r="BY74" i="14" s="1"/>
  <c r="K70" i="43" s="1"/>
  <c r="AO74" i="14" a="1"/>
  <c r="AO74" i="14" s="1"/>
  <c r="BS74" i="14" s="1"/>
  <c r="E70" i="43" s="1"/>
  <c r="BR74" i="14" a="1"/>
  <c r="BR74" i="14" s="1"/>
  <c r="CV74" i="14" s="1"/>
  <c r="AH70" i="43" s="1"/>
  <c r="BL74" i="14" a="1"/>
  <c r="BL74" i="14" s="1"/>
  <c r="CP74" i="14" s="1"/>
  <c r="AB70" i="43" s="1"/>
  <c r="BF74" i="14" a="1"/>
  <c r="BF74" i="14" s="1"/>
  <c r="CJ74" i="14" s="1"/>
  <c r="V70" i="43" s="1"/>
  <c r="AZ74" i="14" a="1"/>
  <c r="AZ74" i="14" s="1"/>
  <c r="CD74" i="14" s="1"/>
  <c r="P70" i="43" s="1"/>
  <c r="AT74" i="14" a="1"/>
  <c r="AT74" i="14" s="1"/>
  <c r="BX74" i="14" s="1"/>
  <c r="J70" i="43" s="1"/>
  <c r="BP74" i="14" a="1"/>
  <c r="BP74" i="14" s="1"/>
  <c r="CT74" i="14" s="1"/>
  <c r="AF70" i="43" s="1"/>
  <c r="BJ74" i="14" a="1"/>
  <c r="BJ74" i="14" s="1"/>
  <c r="CN74" i="14" s="1"/>
  <c r="Z70" i="43" s="1"/>
  <c r="BD74" i="14" a="1"/>
  <c r="BD74" i="14" s="1"/>
  <c r="CH74" i="14" s="1"/>
  <c r="T70" i="43" s="1"/>
  <c r="AX74" i="14" a="1"/>
  <c r="AX74" i="14" s="1"/>
  <c r="CB74" i="14" s="1"/>
  <c r="N70" i="43" s="1"/>
  <c r="AR74" i="14" a="1"/>
  <c r="AR74" i="14" s="1"/>
  <c r="BV74" i="14" s="1"/>
  <c r="H70" i="43" s="1"/>
  <c r="GY79" i="14"/>
  <c r="IC79" i="14"/>
  <c r="HK79" i="14"/>
  <c r="IO79" i="14"/>
  <c r="EG63" i="14"/>
  <c r="DC63" i="14" s="1"/>
  <c r="ES63" i="14"/>
  <c r="DO63" i="14" s="1"/>
  <c r="IW63" i="14"/>
  <c r="JI63" i="14"/>
  <c r="EE65" i="14"/>
  <c r="DA65" i="14" s="1"/>
  <c r="EQ65" i="14"/>
  <c r="DM65" i="14" s="1"/>
  <c r="FC65" i="14"/>
  <c r="DY65" i="14" s="1"/>
  <c r="AP66" i="14" a="1"/>
  <c r="AP66" i="14" s="1"/>
  <c r="BT66" i="14" s="1"/>
  <c r="F62" i="43" s="1"/>
  <c r="AV66" i="14" a="1"/>
  <c r="AV66" i="14" s="1"/>
  <c r="BZ66" i="14" s="1"/>
  <c r="L62" i="43" s="1"/>
  <c r="EH66" i="14"/>
  <c r="DD66" i="14" s="1"/>
  <c r="IV66" i="14"/>
  <c r="JI66" i="14"/>
  <c r="EA67" i="14"/>
  <c r="CW67" i="14" s="1"/>
  <c r="AR67" i="14" a="1"/>
  <c r="AR67" i="14" s="1"/>
  <c r="BV67" i="14" s="1"/>
  <c r="H63" i="43" s="1"/>
  <c r="EF67" i="14"/>
  <c r="DB67" i="14" s="1"/>
  <c r="AW68" i="14" a="1"/>
  <c r="AW68" i="14" s="1"/>
  <c r="CA68" i="14" s="1"/>
  <c r="M64" i="43" s="1"/>
  <c r="EC68" i="14"/>
  <c r="CY68" i="14" s="1"/>
  <c r="EG69" i="14"/>
  <c r="DC69" i="14" s="1"/>
  <c r="EU69" i="14"/>
  <c r="DQ69" i="14" s="1"/>
  <c r="AQ70" i="14" a="1"/>
  <c r="AQ70" i="14" s="1"/>
  <c r="BU70" i="14" s="1"/>
  <c r="G66" i="43" s="1"/>
  <c r="BO70" i="14" a="1"/>
  <c r="BO70" i="14" s="1"/>
  <c r="CS70" i="14" s="1"/>
  <c r="AE66" i="43" s="1"/>
  <c r="EO70" i="14"/>
  <c r="DK70" i="14" s="1"/>
  <c r="BH74" i="14" a="1"/>
  <c r="BH74" i="14" s="1"/>
  <c r="CL74" i="14" s="1"/>
  <c r="X70" i="43" s="1"/>
  <c r="AX76" i="14" a="1"/>
  <c r="AX76" i="14" s="1"/>
  <c r="ET76" i="14" s="1"/>
  <c r="DP76" i="14" s="1"/>
  <c r="P148" i="20"/>
  <c r="JK85" i="14"/>
  <c r="EX70" i="14"/>
  <c r="DT70" i="14" s="1"/>
  <c r="EL70" i="14"/>
  <c r="DH70" i="14" s="1"/>
  <c r="BR70" i="14" a="1"/>
  <c r="BR70" i="14" s="1"/>
  <c r="CV70" i="14" s="1"/>
  <c r="AH66" i="43" s="1"/>
  <c r="BL70" i="14" a="1"/>
  <c r="BL70" i="14" s="1"/>
  <c r="CP70" i="14" s="1"/>
  <c r="AB66" i="43" s="1"/>
  <c r="BF70" i="14" a="1"/>
  <c r="BF70" i="14" s="1"/>
  <c r="CJ70" i="14" s="1"/>
  <c r="V66" i="43" s="1"/>
  <c r="AZ70" i="14" a="1"/>
  <c r="AZ70" i="14" s="1"/>
  <c r="CD70" i="14" s="1"/>
  <c r="P66" i="43" s="1"/>
  <c r="AT70" i="14" a="1"/>
  <c r="AT70" i="14" s="1"/>
  <c r="BX70" i="14" s="1"/>
  <c r="J66" i="43" s="1"/>
  <c r="EW70" i="14"/>
  <c r="DS70" i="14" s="1"/>
  <c r="EK70" i="14"/>
  <c r="DG70" i="14" s="1"/>
  <c r="EV70" i="14"/>
  <c r="DR70" i="14" s="1"/>
  <c r="EJ70" i="14"/>
  <c r="DF70" i="14" s="1"/>
  <c r="BQ70" i="14" a="1"/>
  <c r="BQ70" i="14" s="1"/>
  <c r="CU70" i="14" s="1"/>
  <c r="AG66" i="43" s="1"/>
  <c r="BK70" i="14" a="1"/>
  <c r="BK70" i="14" s="1"/>
  <c r="CO70" i="14" s="1"/>
  <c r="AA66" i="43" s="1"/>
  <c r="BE70" i="14" a="1"/>
  <c r="BE70" i="14" s="1"/>
  <c r="CI70" i="14" s="1"/>
  <c r="U66" i="43" s="1"/>
  <c r="AY70" i="14" a="1"/>
  <c r="AY70" i="14" s="1"/>
  <c r="CC70" i="14" s="1"/>
  <c r="O66" i="43" s="1"/>
  <c r="AS70" i="14" a="1"/>
  <c r="AS70" i="14" s="1"/>
  <c r="BW70" i="14" s="1"/>
  <c r="I66" i="43" s="1"/>
  <c r="BH70" i="14" a="1"/>
  <c r="BH70" i="14" s="1"/>
  <c r="CL70" i="14" s="1"/>
  <c r="X66" i="43" s="1"/>
  <c r="EA70" i="14"/>
  <c r="CW70" i="14" s="1"/>
  <c r="EP70" i="14"/>
  <c r="DL70" i="14" s="1"/>
  <c r="AY74" i="14" a="1"/>
  <c r="AY74" i="14" s="1"/>
  <c r="CC74" i="14" s="1"/>
  <c r="O70" i="43" s="1"/>
  <c r="CY75" i="14"/>
  <c r="AE148" i="20"/>
  <c r="HO79" i="14"/>
  <c r="HN79" i="14"/>
  <c r="CX79" i="14"/>
  <c r="IN79" i="14"/>
  <c r="IM79" i="14"/>
  <c r="IL79" i="14"/>
  <c r="HZ79" i="14"/>
  <c r="HP79" i="14"/>
  <c r="HS83" i="14"/>
  <c r="GO83" i="14"/>
  <c r="IE83" i="14"/>
  <c r="HA83" i="14"/>
  <c r="JM85" i="14"/>
  <c r="IY63" i="14"/>
  <c r="JK63" i="14"/>
  <c r="EG65" i="14"/>
  <c r="DC65" i="14" s="1"/>
  <c r="ES65" i="14"/>
  <c r="DO65" i="14" s="1"/>
  <c r="AQ66" i="14" a="1"/>
  <c r="AQ66" i="14" s="1"/>
  <c r="EM66" i="14" s="1"/>
  <c r="DI66" i="14" s="1"/>
  <c r="AW66" i="14" a="1"/>
  <c r="AW66" i="14" s="1"/>
  <c r="CA66" i="14" s="1"/>
  <c r="M62" i="43" s="1"/>
  <c r="IX66" i="14"/>
  <c r="JK66" i="14"/>
  <c r="AT68" i="14" a="1"/>
  <c r="AT68" i="14" s="1"/>
  <c r="BD68" i="14" s="1" a="1"/>
  <c r="BD68" i="14" s="1"/>
  <c r="CH68" i="14" s="1"/>
  <c r="T64" i="43" s="1"/>
  <c r="AX68" i="14" a="1"/>
  <c r="AX68" i="14" s="1"/>
  <c r="BH68" i="14" s="1" a="1"/>
  <c r="BH68" i="14" s="1"/>
  <c r="EE68" i="14"/>
  <c r="DA68" i="14" s="1"/>
  <c r="EI69" i="14"/>
  <c r="DE69" i="14" s="1"/>
  <c r="EY69" i="14"/>
  <c r="DU69" i="14" s="1"/>
  <c r="AR70" i="14" a="1"/>
  <c r="AR70" i="14" s="1"/>
  <c r="BV70" i="14" s="1"/>
  <c r="H66" i="43" s="1"/>
  <c r="BA70" i="14" a="1"/>
  <c r="BA70" i="14" s="1"/>
  <c r="CE70" i="14" s="1"/>
  <c r="Q66" i="43" s="1"/>
  <c r="BP70" i="14" a="1"/>
  <c r="BP70" i="14" s="1"/>
  <c r="CT70" i="14" s="1"/>
  <c r="AF66" i="43" s="1"/>
  <c r="EB70" i="14"/>
  <c r="CX70" i="14" s="1"/>
  <c r="EQ70" i="14"/>
  <c r="DM70" i="14" s="1"/>
  <c r="EA76" i="14"/>
  <c r="CW76" i="14" s="1"/>
  <c r="D148" i="20"/>
  <c r="HQ79" i="14"/>
  <c r="IZ63" i="14"/>
  <c r="JL63" i="14"/>
  <c r="AR65" i="14" a="1"/>
  <c r="AR65" i="14" s="1"/>
  <c r="BV65" i="14" s="1"/>
  <c r="H61" i="43" s="1"/>
  <c r="AX65" i="14" a="1"/>
  <c r="AX65" i="14" s="1"/>
  <c r="CB65" i="14" s="1"/>
  <c r="N61" i="43" s="1"/>
  <c r="BD65" i="14" a="1"/>
  <c r="BD65" i="14" s="1"/>
  <c r="CH65" i="14" s="1"/>
  <c r="T61" i="43" s="1"/>
  <c r="BJ65" i="14" a="1"/>
  <c r="BJ65" i="14" s="1"/>
  <c r="CN65" i="14" s="1"/>
  <c r="Z61" i="43" s="1"/>
  <c r="BP65" i="14" a="1"/>
  <c r="BP65" i="14" s="1"/>
  <c r="CT65" i="14" s="1"/>
  <c r="AF61" i="43" s="1"/>
  <c r="EH65" i="14"/>
  <c r="DD65" i="14" s="1"/>
  <c r="ET65" i="14"/>
  <c r="DP65" i="14" s="1"/>
  <c r="EB66" i="14"/>
  <c r="CX66" i="14" s="1"/>
  <c r="IY66" i="14"/>
  <c r="JL66" i="14"/>
  <c r="EI67" i="14"/>
  <c r="DE67" i="14" s="1"/>
  <c r="AR68" i="14" a="1"/>
  <c r="AR68" i="14" s="1"/>
  <c r="BV68" i="14" s="1"/>
  <c r="H64" i="43" s="1"/>
  <c r="EF68" i="14"/>
  <c r="DB68" i="14" s="1"/>
  <c r="AO69" i="14" a="1"/>
  <c r="AO69" i="14" s="1"/>
  <c r="BS69" i="14" s="1"/>
  <c r="E65" i="43" s="1"/>
  <c r="AV69" i="14" a="1"/>
  <c r="AV69" i="14" s="1"/>
  <c r="BZ69" i="14" s="1"/>
  <c r="L65" i="43" s="1"/>
  <c r="BC69" i="14" a="1"/>
  <c r="BC69" i="14" s="1"/>
  <c r="CG69" i="14" s="1"/>
  <c r="S65" i="43" s="1"/>
  <c r="BJ69" i="14" a="1"/>
  <c r="BJ69" i="14" s="1"/>
  <c r="CN69" i="14" s="1"/>
  <c r="Z65" i="43" s="1"/>
  <c r="BQ69" i="14" a="1"/>
  <c r="BQ69" i="14" s="1"/>
  <c r="CU69" i="14" s="1"/>
  <c r="AG65" i="43" s="1"/>
  <c r="EJ69" i="14"/>
  <c r="DF69" i="14" s="1"/>
  <c r="EZ69" i="14"/>
  <c r="DV69" i="14" s="1"/>
  <c r="J231" i="20"/>
  <c r="W231" i="20"/>
  <c r="V231" i="20"/>
  <c r="E231" i="20"/>
  <c r="Z229" i="20"/>
  <c r="G229" i="20"/>
  <c r="T228" i="20"/>
  <c r="P231" i="20"/>
  <c r="R229" i="20"/>
  <c r="U228" i="20"/>
  <c r="Q226" i="20"/>
  <c r="Y225" i="20"/>
  <c r="H225" i="20"/>
  <c r="G231" i="20"/>
  <c r="N229" i="20"/>
  <c r="N228" i="20"/>
  <c r="P226" i="20"/>
  <c r="X225" i="20"/>
  <c r="D225" i="20"/>
  <c r="F231" i="20"/>
  <c r="I229" i="20"/>
  <c r="M228" i="20"/>
  <c r="J226" i="20"/>
  <c r="D231" i="20"/>
  <c r="H229" i="20"/>
  <c r="L228" i="20"/>
  <c r="AE226" i="20"/>
  <c r="I226" i="20"/>
  <c r="V225" i="20"/>
  <c r="B225" i="20"/>
  <c r="C231" i="20"/>
  <c r="F229" i="20"/>
  <c r="K228" i="20"/>
  <c r="AB226" i="20"/>
  <c r="H226" i="20"/>
  <c r="U225" i="20"/>
  <c r="B231" i="20"/>
  <c r="AB229" i="20"/>
  <c r="E229" i="20"/>
  <c r="J228" i="20"/>
  <c r="AA226" i="20"/>
  <c r="G226" i="20"/>
  <c r="T225" i="20"/>
  <c r="Z231" i="20"/>
  <c r="AA229" i="20"/>
  <c r="D229" i="20"/>
  <c r="I228" i="20"/>
  <c r="Z226" i="20"/>
  <c r="F226" i="20"/>
  <c r="P225" i="20"/>
  <c r="U231" i="20"/>
  <c r="W229" i="20"/>
  <c r="AB228" i="20"/>
  <c r="H228" i="20"/>
  <c r="V226" i="20"/>
  <c r="E226" i="20"/>
  <c r="O225" i="20"/>
  <c r="T231" i="20"/>
  <c r="V229" i="20"/>
  <c r="AA228" i="20"/>
  <c r="U226" i="20"/>
  <c r="D226" i="20"/>
  <c r="N225" i="20"/>
  <c r="S231" i="20"/>
  <c r="U229" i="20"/>
  <c r="Z228" i="20"/>
  <c r="T226" i="20"/>
  <c r="C226" i="20"/>
  <c r="R231" i="20"/>
  <c r="T229" i="20"/>
  <c r="Y228" i="20"/>
  <c r="Q231" i="20"/>
  <c r="S229" i="20"/>
  <c r="V228" i="20"/>
  <c r="M225" i="20"/>
  <c r="J225" i="20"/>
  <c r="I225" i="20"/>
  <c r="C225" i="20"/>
  <c r="S226" i="20"/>
  <c r="R226" i="20"/>
  <c r="B226" i="20"/>
  <c r="AB225" i="20"/>
  <c r="W225" i="20"/>
  <c r="BI70" i="14" a="1"/>
  <c r="BI70" i="14" s="1"/>
  <c r="CM70" i="14" s="1"/>
  <c r="Y66" i="43" s="1"/>
  <c r="EC70" i="14"/>
  <c r="CY70" i="14" s="1"/>
  <c r="ER70" i="14"/>
  <c r="DN70" i="14" s="1"/>
  <c r="JS71" i="14"/>
  <c r="JG71" i="14"/>
  <c r="IU71" i="14"/>
  <c r="JQ71" i="14"/>
  <c r="JE71" i="14"/>
  <c r="IS71" i="14"/>
  <c r="JM71" i="14"/>
  <c r="JA71" i="14"/>
  <c r="JL71" i="14"/>
  <c r="IZ71" i="14"/>
  <c r="JK71" i="14"/>
  <c r="IY71" i="14"/>
  <c r="IR71" i="14"/>
  <c r="JN71" i="14"/>
  <c r="AP74" i="14" a="1"/>
  <c r="AP74" i="14" s="1"/>
  <c r="BT74" i="14" s="1"/>
  <c r="F70" i="43" s="1"/>
  <c r="BK74" i="14" a="1"/>
  <c r="BK74" i="14" s="1"/>
  <c r="CO74" i="14" s="1"/>
  <c r="AA70" i="43" s="1"/>
  <c r="AO76" i="14" a="1"/>
  <c r="AO76" i="14" s="1"/>
  <c r="EK76" i="14" s="1"/>
  <c r="DG76" i="14" s="1"/>
  <c r="EB76" i="14"/>
  <c r="CX76" i="14" s="1"/>
  <c r="AO77" i="14" a="1"/>
  <c r="AO77" i="14" s="1"/>
  <c r="S148" i="20"/>
  <c r="EK63" i="14"/>
  <c r="DG63" i="14" s="1"/>
  <c r="JA63" i="14"/>
  <c r="JM63" i="14"/>
  <c r="S60" i="20"/>
  <c r="D58" i="20"/>
  <c r="L60" i="20"/>
  <c r="C58" i="20"/>
  <c r="Y55" i="20"/>
  <c r="T54" i="20"/>
  <c r="I60" i="20"/>
  <c r="AD58" i="20"/>
  <c r="AE57" i="20"/>
  <c r="T57" i="20"/>
  <c r="R54" i="20"/>
  <c r="E57" i="20"/>
  <c r="K54" i="20"/>
  <c r="J54" i="20"/>
  <c r="H54" i="20"/>
  <c r="F60" i="20"/>
  <c r="AB55" i="20"/>
  <c r="AC58" i="20"/>
  <c r="P55" i="20"/>
  <c r="AB58" i="20"/>
  <c r="O55" i="20"/>
  <c r="AA58" i="20"/>
  <c r="M55" i="20"/>
  <c r="W57" i="20"/>
  <c r="L55" i="20"/>
  <c r="V57" i="20"/>
  <c r="U54" i="20"/>
  <c r="EI65" i="14"/>
  <c r="DE65" i="14" s="1"/>
  <c r="EU65" i="14"/>
  <c r="DQ65" i="14" s="1"/>
  <c r="AR66" i="14" a="1"/>
  <c r="AR66" i="14" s="1"/>
  <c r="AX66" i="14" a="1"/>
  <c r="AX66" i="14" s="1"/>
  <c r="ET66" i="14" s="1"/>
  <c r="DP66" i="14" s="1"/>
  <c r="IZ66" i="14"/>
  <c r="JM66" i="14"/>
  <c r="AT67" i="14" a="1"/>
  <c r="AT67" i="14" s="1"/>
  <c r="EJ67" i="14"/>
  <c r="DF67" i="14" s="1"/>
  <c r="EG68" i="14"/>
  <c r="DC68" i="14" s="1"/>
  <c r="EM69" i="14"/>
  <c r="DI69" i="14" s="1"/>
  <c r="FA69" i="14"/>
  <c r="DW69" i="14" s="1"/>
  <c r="BB70" i="14" a="1"/>
  <c r="BB70" i="14" s="1"/>
  <c r="CF70" i="14" s="1"/>
  <c r="R66" i="43" s="1"/>
  <c r="ED70" i="14"/>
  <c r="CZ70" i="14" s="1"/>
  <c r="ES70" i="14"/>
  <c r="DO70" i="14" s="1"/>
  <c r="IT71" i="14"/>
  <c r="JO71" i="14"/>
  <c r="EC76" i="14"/>
  <c r="CY76" i="14" s="1"/>
  <c r="EA77" i="14"/>
  <c r="CW77" i="14" s="1"/>
  <c r="JB63" i="14"/>
  <c r="JN63" i="14"/>
  <c r="AS65" i="14" a="1"/>
  <c r="AS65" i="14" s="1"/>
  <c r="BW65" i="14" s="1"/>
  <c r="I61" i="43" s="1"/>
  <c r="AY65" i="14" a="1"/>
  <c r="AY65" i="14" s="1"/>
  <c r="CC65" i="14" s="1"/>
  <c r="O61" i="43" s="1"/>
  <c r="BE65" i="14" a="1"/>
  <c r="BE65" i="14" s="1"/>
  <c r="CI65" i="14" s="1"/>
  <c r="U61" i="43" s="1"/>
  <c r="BK65" i="14" a="1"/>
  <c r="BK65" i="14" s="1"/>
  <c r="CO65" i="14" s="1"/>
  <c r="AA61" i="43" s="1"/>
  <c r="BQ65" i="14" a="1"/>
  <c r="BQ65" i="14" s="1"/>
  <c r="CU65" i="14" s="1"/>
  <c r="AG61" i="43" s="1"/>
  <c r="EJ65" i="14"/>
  <c r="DF65" i="14" s="1"/>
  <c r="EV65" i="14"/>
  <c r="DR65" i="14" s="1"/>
  <c r="JA66" i="14"/>
  <c r="JN66" i="14"/>
  <c r="AS68" i="14" a="1"/>
  <c r="AS68" i="14" s="1"/>
  <c r="EH68" i="14"/>
  <c r="DD68" i="14" s="1"/>
  <c r="AP69" i="14" a="1"/>
  <c r="AP69" i="14" s="1"/>
  <c r="BT69" i="14" s="1"/>
  <c r="F65" i="43" s="1"/>
  <c r="AW69" i="14" a="1"/>
  <c r="AW69" i="14" s="1"/>
  <c r="CA69" i="14" s="1"/>
  <c r="M65" i="43" s="1"/>
  <c r="BD69" i="14" a="1"/>
  <c r="BD69" i="14" s="1"/>
  <c r="CH69" i="14" s="1"/>
  <c r="T65" i="43" s="1"/>
  <c r="BK69" i="14" a="1"/>
  <c r="BK69" i="14" s="1"/>
  <c r="CO69" i="14" s="1"/>
  <c r="AA65" i="43" s="1"/>
  <c r="EN69" i="14"/>
  <c r="DJ69" i="14" s="1"/>
  <c r="FB69" i="14"/>
  <c r="DX69" i="14" s="1"/>
  <c r="AU70" i="14" a="1"/>
  <c r="AU70" i="14" s="1"/>
  <c r="BY70" i="14" s="1"/>
  <c r="K66" i="43" s="1"/>
  <c r="BJ70" i="14" a="1"/>
  <c r="BJ70" i="14" s="1"/>
  <c r="CN70" i="14" s="1"/>
  <c r="Z66" i="43" s="1"/>
  <c r="EE70" i="14"/>
  <c r="DA70" i="14" s="1"/>
  <c r="ET70" i="14"/>
  <c r="DP70" i="14" s="1"/>
  <c r="IV71" i="14"/>
  <c r="JP71" i="14"/>
  <c r="DE73" i="14"/>
  <c r="BB74" i="14" a="1"/>
  <c r="BB74" i="14" s="1"/>
  <c r="CF74" i="14" s="1"/>
  <c r="R70" i="43" s="1"/>
  <c r="EG76" i="14"/>
  <c r="DC76" i="14" s="1"/>
  <c r="AR77" i="14" a="1"/>
  <c r="AR77" i="14" s="1"/>
  <c r="BB77" i="14" s="1" a="1"/>
  <c r="BB77" i="14" s="1"/>
  <c r="EB77" i="14"/>
  <c r="CX77" i="14" s="1"/>
  <c r="G148" i="20"/>
  <c r="V148" i="20"/>
  <c r="C150" i="20"/>
  <c r="F150" i="20"/>
  <c r="IQ63" i="14"/>
  <c r="JC63" i="14"/>
  <c r="EK65" i="14"/>
  <c r="DG65" i="14" s="1"/>
  <c r="AS66" i="14" a="1"/>
  <c r="AS66" i="14" s="1"/>
  <c r="BW66" i="14" s="1"/>
  <c r="I62" i="43" s="1"/>
  <c r="EA66" i="14"/>
  <c r="CW66" i="14" s="1"/>
  <c r="JB66" i="14"/>
  <c r="JO66" i="14"/>
  <c r="EI68" i="14"/>
  <c r="DE68" i="14" s="1"/>
  <c r="EA69" i="14"/>
  <c r="CW69" i="14" s="1"/>
  <c r="EO69" i="14"/>
  <c r="DK69" i="14" s="1"/>
  <c r="FC69" i="14"/>
  <c r="DY69" i="14" s="1"/>
  <c r="BC70" i="14" a="1"/>
  <c r="BC70" i="14" s="1"/>
  <c r="CG70" i="14" s="1"/>
  <c r="S66" i="43" s="1"/>
  <c r="EF70" i="14"/>
  <c r="DB70" i="14" s="1"/>
  <c r="EU70" i="14"/>
  <c r="DQ70" i="14" s="1"/>
  <c r="IW71" i="14"/>
  <c r="JR71" i="14"/>
  <c r="AS74" i="14" a="1"/>
  <c r="AS74" i="14" s="1"/>
  <c r="BW74" i="14" s="1"/>
  <c r="I70" i="43" s="1"/>
  <c r="AR76" i="14" a="1"/>
  <c r="AR76" i="14" s="1"/>
  <c r="BB76" i="14" s="1" a="1"/>
  <c r="BB76" i="14" s="1"/>
  <c r="CF76" i="14" s="1"/>
  <c r="R72" i="43" s="1"/>
  <c r="AT77" i="14" a="1"/>
  <c r="AT77" i="14" s="1"/>
  <c r="BX77" i="14" s="1"/>
  <c r="J73" i="43" s="1"/>
  <c r="HQ87" i="14"/>
  <c r="GM87" i="14"/>
  <c r="GY87" i="14"/>
  <c r="IC87" i="14"/>
  <c r="IO87" i="14"/>
  <c r="HK87" i="14"/>
  <c r="JC66" i="14"/>
  <c r="AX69" i="14" a="1"/>
  <c r="AX69" i="14" s="1"/>
  <c r="CB69" i="14" s="1"/>
  <c r="N65" i="43" s="1"/>
  <c r="BE69" i="14" a="1"/>
  <c r="BE69" i="14" s="1"/>
  <c r="CI69" i="14" s="1"/>
  <c r="U65" i="43" s="1"/>
  <c r="BM69" i="14" a="1"/>
  <c r="BM69" i="14" s="1"/>
  <c r="CQ69" i="14" s="1"/>
  <c r="AC65" i="43" s="1"/>
  <c r="EB69" i="14"/>
  <c r="CX69" i="14" s="1"/>
  <c r="EP69" i="14"/>
  <c r="DL69" i="14" s="1"/>
  <c r="AV70" i="14" a="1"/>
  <c r="AV70" i="14" s="1"/>
  <c r="BZ70" i="14" s="1"/>
  <c r="L66" i="43" s="1"/>
  <c r="EG70" i="14"/>
  <c r="DC70" i="14" s="1"/>
  <c r="EY70" i="14"/>
  <c r="DU70" i="14" s="1"/>
  <c r="BN74" i="14" a="1"/>
  <c r="BN74" i="14" s="1"/>
  <c r="CR74" i="14" s="1"/>
  <c r="AD70" i="43" s="1"/>
  <c r="AD148" i="20"/>
  <c r="X148" i="20"/>
  <c r="R148" i="20"/>
  <c r="L148" i="20"/>
  <c r="F148" i="20"/>
  <c r="AC148" i="20"/>
  <c r="W148" i="20"/>
  <c r="Q148" i="20"/>
  <c r="K148" i="20"/>
  <c r="E148" i="20"/>
  <c r="AA148" i="20"/>
  <c r="U148" i="20"/>
  <c r="O148" i="20"/>
  <c r="I148" i="20"/>
  <c r="C148" i="20"/>
  <c r="Z148" i="20"/>
  <c r="T148" i="20"/>
  <c r="N148" i="20"/>
  <c r="H148" i="20"/>
  <c r="B148" i="20"/>
  <c r="J148" i="20"/>
  <c r="D155" i="20"/>
  <c r="HR87" i="14"/>
  <c r="GN87" i="14"/>
  <c r="ID87" i="14"/>
  <c r="GZ87" i="14"/>
  <c r="HL87" i="14"/>
  <c r="IP87" i="14"/>
  <c r="JP66" i="14"/>
  <c r="JD66" i="14"/>
  <c r="IR66" i="14"/>
  <c r="AT66" i="14" a="1"/>
  <c r="AT66" i="14" s="1"/>
  <c r="EP66" i="14" s="1"/>
  <c r="DL66" i="14" s="1"/>
  <c r="IQ66" i="14"/>
  <c r="JE66" i="14"/>
  <c r="JR66" i="14"/>
  <c r="EX69" i="14"/>
  <c r="DT69" i="14" s="1"/>
  <c r="EL69" i="14"/>
  <c r="DH69" i="14" s="1"/>
  <c r="BR69" i="14" a="1"/>
  <c r="BR69" i="14" s="1"/>
  <c r="CV69" i="14" s="1"/>
  <c r="AH65" i="43" s="1"/>
  <c r="BL69" i="14" a="1"/>
  <c r="BL69" i="14" s="1"/>
  <c r="CP69" i="14" s="1"/>
  <c r="AB65" i="43" s="1"/>
  <c r="BF69" i="14" a="1"/>
  <c r="BF69" i="14" s="1"/>
  <c r="CJ69" i="14" s="1"/>
  <c r="V65" i="43" s="1"/>
  <c r="AZ69" i="14" a="1"/>
  <c r="AZ69" i="14" s="1"/>
  <c r="CD69" i="14" s="1"/>
  <c r="P65" i="43" s="1"/>
  <c r="AT69" i="14" a="1"/>
  <c r="AT69" i="14" s="1"/>
  <c r="BX69" i="14" s="1"/>
  <c r="J65" i="43" s="1"/>
  <c r="EW69" i="14"/>
  <c r="DS69" i="14" s="1"/>
  <c r="EK69" i="14"/>
  <c r="DG69" i="14" s="1"/>
  <c r="EC69" i="14"/>
  <c r="CY69" i="14" s="1"/>
  <c r="EQ69" i="14"/>
  <c r="DM69" i="14" s="1"/>
  <c r="AO70" i="14" a="1"/>
  <c r="AO70" i="14" s="1"/>
  <c r="BS70" i="14" s="1"/>
  <c r="E66" i="43" s="1"/>
  <c r="BD70" i="14" a="1"/>
  <c r="BD70" i="14" s="1"/>
  <c r="CH70" i="14" s="1"/>
  <c r="T66" i="43" s="1"/>
  <c r="BM70" i="14" a="1"/>
  <c r="BM70" i="14" s="1"/>
  <c r="CQ70" i="14" s="1"/>
  <c r="AC66" i="43" s="1"/>
  <c r="EH70" i="14"/>
  <c r="DD70" i="14" s="1"/>
  <c r="EZ70" i="14"/>
  <c r="DV70" i="14" s="1"/>
  <c r="BE74" i="14" a="1"/>
  <c r="BE74" i="14" s="1"/>
  <c r="CI74" i="14" s="1"/>
  <c r="U70" i="43" s="1"/>
  <c r="AT76" i="14" a="1"/>
  <c r="AT76" i="14" s="1"/>
  <c r="BX76" i="14" s="1"/>
  <c r="J72" i="43" s="1"/>
  <c r="EJ76" i="14"/>
  <c r="DF76" i="14" s="1"/>
  <c r="AS76" i="14" a="1"/>
  <c r="AS76" i="14" s="1"/>
  <c r="EO76" i="14" s="1"/>
  <c r="DK76" i="14" s="1"/>
  <c r="EF76" i="14"/>
  <c r="DB76" i="14" s="1"/>
  <c r="AW76" i="14" a="1"/>
  <c r="AW76" i="14" s="1"/>
  <c r="AQ76" i="14" a="1"/>
  <c r="AQ76" i="14" s="1"/>
  <c r="BU76" i="14" s="1"/>
  <c r="G72" i="43" s="1"/>
  <c r="EE76" i="14"/>
  <c r="DA76" i="14" s="1"/>
  <c r="ED76" i="14"/>
  <c r="CZ76" i="14" s="1"/>
  <c r="AV76" i="14" a="1"/>
  <c r="AV76" i="14" s="1"/>
  <c r="BZ76" i="14" s="1"/>
  <c r="L72" i="43" s="1"/>
  <c r="AP76" i="14" a="1"/>
  <c r="AP76" i="14" s="1"/>
  <c r="AZ76" i="14" s="1" a="1"/>
  <c r="AZ76" i="14" s="1"/>
  <c r="CD76" i="14" s="1"/>
  <c r="P72" i="43" s="1"/>
  <c r="EJ77" i="14"/>
  <c r="DF77" i="14" s="1"/>
  <c r="AS77" i="14" a="1"/>
  <c r="AS77" i="14" s="1"/>
  <c r="BW77" i="14" s="1"/>
  <c r="I73" i="43" s="1"/>
  <c r="EI77" i="14"/>
  <c r="DE77" i="14" s="1"/>
  <c r="EF77" i="14"/>
  <c r="DB77" i="14" s="1"/>
  <c r="AW77" i="14" a="1"/>
  <c r="AW77" i="14" s="1"/>
  <c r="ES77" i="14" s="1"/>
  <c r="DO77" i="14" s="1"/>
  <c r="AQ77" i="14" a="1"/>
  <c r="AQ77" i="14" s="1"/>
  <c r="EM77" i="14" s="1"/>
  <c r="DI77" i="14" s="1"/>
  <c r="EE77" i="14"/>
  <c r="DA77" i="14" s="1"/>
  <c r="ED77" i="14"/>
  <c r="CZ77" i="14" s="1"/>
  <c r="AV77" i="14" a="1"/>
  <c r="AV77" i="14" s="1"/>
  <c r="BZ77" i="14" s="1"/>
  <c r="L73" i="43" s="1"/>
  <c r="AP77" i="14" a="1"/>
  <c r="AP77" i="14" s="1"/>
  <c r="EC77" i="14"/>
  <c r="CY77" i="14" s="1"/>
  <c r="AU77" i="14" a="1"/>
  <c r="AU77" i="14" s="1"/>
  <c r="BY77" i="14" s="1"/>
  <c r="K73" i="43" s="1"/>
  <c r="Y148" i="20"/>
  <c r="HO78" i="14"/>
  <c r="GO79" i="14"/>
  <c r="HA79" i="14"/>
  <c r="GP79" i="14"/>
  <c r="BU81" i="14"/>
  <c r="G77" i="43" s="1"/>
  <c r="HE81" i="14"/>
  <c r="GS81" i="14"/>
  <c r="HD81" i="14"/>
  <c r="GR81" i="14"/>
  <c r="DC81" i="14"/>
  <c r="GM81" i="14"/>
  <c r="GY81" i="14"/>
  <c r="HK81" i="14"/>
  <c r="HN81" i="14"/>
  <c r="JA69" i="14"/>
  <c r="JM69" i="14"/>
  <c r="IZ70" i="14"/>
  <c r="JL70" i="14"/>
  <c r="EG73" i="14"/>
  <c r="DC73" i="14" s="1"/>
  <c r="AQ74" i="14" a="1"/>
  <c r="AQ74" i="14" s="1"/>
  <c r="BU74" i="14" s="1"/>
  <c r="G70" i="43" s="1"/>
  <c r="AW74" i="14" a="1"/>
  <c r="AW74" i="14" s="1"/>
  <c r="CA74" i="14" s="1"/>
  <c r="M70" i="43" s="1"/>
  <c r="BC74" i="14" a="1"/>
  <c r="BC74" i="14" s="1"/>
  <c r="CG74" i="14" s="1"/>
  <c r="S70" i="43" s="1"/>
  <c r="BI74" i="14" a="1"/>
  <c r="BI74" i="14" s="1"/>
  <c r="CM74" i="14" s="1"/>
  <c r="Y70" i="43" s="1"/>
  <c r="BO74" i="14" a="1"/>
  <c r="BO74" i="14" s="1"/>
  <c r="CS74" i="14" s="1"/>
  <c r="AE70" i="43" s="1"/>
  <c r="EF74" i="14"/>
  <c r="DB74" i="14" s="1"/>
  <c r="ER74" i="14"/>
  <c r="DN74" i="14" s="1"/>
  <c r="FD74" i="14"/>
  <c r="DZ74" i="14" s="1"/>
  <c r="IV74" i="14"/>
  <c r="JH74" i="14"/>
  <c r="JT74" i="14"/>
  <c r="EE75" i="14"/>
  <c r="DA75" i="14" s="1"/>
  <c r="IU75" i="14"/>
  <c r="JG75" i="14"/>
  <c r="JS75" i="14"/>
  <c r="GL78" i="14"/>
  <c r="GX78" i="14"/>
  <c r="HJ78" i="14"/>
  <c r="HP78" i="14"/>
  <c r="AO79" i="14" a="1"/>
  <c r="AO79" i="14" s="1"/>
  <c r="AT79" i="14" s="1" a="1"/>
  <c r="AT79" i="14" s="1"/>
  <c r="BX79" i="14" s="1"/>
  <c r="J75" i="43" s="1"/>
  <c r="HT79" i="14"/>
  <c r="IF79" i="14"/>
  <c r="GQ79" i="14"/>
  <c r="GK80" i="14"/>
  <c r="GW80" i="14"/>
  <c r="HI80" i="14"/>
  <c r="EE81" i="14"/>
  <c r="DA81" i="14" s="1"/>
  <c r="ED81" i="14"/>
  <c r="CZ81" i="14" s="1"/>
  <c r="AV81" i="14" a="1"/>
  <c r="AV81" i="14" s="1"/>
  <c r="ER81" i="14" s="1"/>
  <c r="DN81" i="14" s="1"/>
  <c r="AP81" i="14" a="1"/>
  <c r="AP81" i="14" s="1"/>
  <c r="BT81" i="14" s="1"/>
  <c r="F77" i="43" s="1"/>
  <c r="EC81" i="14"/>
  <c r="CY81" i="14" s="1"/>
  <c r="EB81" i="14"/>
  <c r="CX81" i="14" s="1"/>
  <c r="AU81" i="14" a="1"/>
  <c r="AU81" i="14" s="1"/>
  <c r="EQ81" i="14" s="1"/>
  <c r="DM81" i="14" s="1"/>
  <c r="AO81" i="14" a="1"/>
  <c r="AO81" i="14" s="1"/>
  <c r="EM81" i="14"/>
  <c r="DI81" i="14" s="1"/>
  <c r="EA81" i="14"/>
  <c r="CW81" i="14" s="1"/>
  <c r="AT81" i="14" a="1"/>
  <c r="AT81" i="14" s="1"/>
  <c r="BD81" i="14" s="1" a="1"/>
  <c r="BD81" i="14" s="1"/>
  <c r="CH81" i="14" s="1"/>
  <c r="T77" i="43" s="1"/>
  <c r="EJ81" i="14"/>
  <c r="DF81" i="14" s="1"/>
  <c r="AS81" i="14" a="1"/>
  <c r="AS81" i="14" s="1"/>
  <c r="BC81" i="14" s="1" a="1"/>
  <c r="BC81" i="14" s="1"/>
  <c r="EY81" i="14" s="1"/>
  <c r="DU81" i="14" s="1"/>
  <c r="AX81" i="14" a="1"/>
  <c r="AX81" i="14" s="1"/>
  <c r="ET81" i="14" s="1"/>
  <c r="DP81" i="14" s="1"/>
  <c r="EH81" i="14"/>
  <c r="DD81" i="14" s="1"/>
  <c r="HR81" i="14"/>
  <c r="ID81" i="14"/>
  <c r="IP81" i="14"/>
  <c r="HE82" i="14"/>
  <c r="AV85" i="14" a="1"/>
  <c r="AV85" i="14" s="1"/>
  <c r="BZ85" i="14" s="1"/>
  <c r="L81" i="43" s="1"/>
  <c r="GT97" i="14"/>
  <c r="HF97" i="14"/>
  <c r="IJ97" i="14"/>
  <c r="FB98" i="14"/>
  <c r="DX98" i="14" s="1"/>
  <c r="EP98" i="14"/>
  <c r="DL98" i="14" s="1"/>
  <c r="ED98" i="14"/>
  <c r="CZ98" i="14" s="1"/>
  <c r="BN98" i="14" a="1"/>
  <c r="BN98" i="14" s="1"/>
  <c r="CR98" i="14" s="1"/>
  <c r="AD94" i="43" s="1"/>
  <c r="BH98" i="14" a="1"/>
  <c r="BH98" i="14" s="1"/>
  <c r="CL98" i="14" s="1"/>
  <c r="X94" i="43" s="1"/>
  <c r="BB98" i="14" a="1"/>
  <c r="BB98" i="14" s="1"/>
  <c r="CF98" i="14" s="1"/>
  <c r="R94" i="43" s="1"/>
  <c r="AV98" i="14" a="1"/>
  <c r="AV98" i="14" s="1"/>
  <c r="BZ98" i="14" s="1"/>
  <c r="L94" i="43" s="1"/>
  <c r="AP98" i="14" a="1"/>
  <c r="AP98" i="14" s="1"/>
  <c r="BT98" i="14" s="1"/>
  <c r="F94" i="43" s="1"/>
  <c r="FA98" i="14"/>
  <c r="DW98" i="14" s="1"/>
  <c r="EO98" i="14"/>
  <c r="DK98" i="14" s="1"/>
  <c r="EC98" i="14"/>
  <c r="CY98" i="14" s="1"/>
  <c r="EZ98" i="14"/>
  <c r="DV98" i="14" s="1"/>
  <c r="EN98" i="14"/>
  <c r="DJ98" i="14" s="1"/>
  <c r="EB98" i="14"/>
  <c r="CX98" i="14" s="1"/>
  <c r="BM98" i="14" a="1"/>
  <c r="BM98" i="14" s="1"/>
  <c r="CQ98" i="14" s="1"/>
  <c r="AC94" i="43" s="1"/>
  <c r="BG98" i="14" a="1"/>
  <c r="BG98" i="14" s="1"/>
  <c r="CK98" i="14" s="1"/>
  <c r="W94" i="43" s="1"/>
  <c r="BA98" i="14" a="1"/>
  <c r="BA98" i="14" s="1"/>
  <c r="CE98" i="14" s="1"/>
  <c r="Q94" i="43" s="1"/>
  <c r="AU98" i="14" a="1"/>
  <c r="AU98" i="14" s="1"/>
  <c r="BY98" i="14" s="1"/>
  <c r="K94" i="43" s="1"/>
  <c r="AO98" i="14" a="1"/>
  <c r="AO98" i="14" s="1"/>
  <c r="BS98" i="14" s="1"/>
  <c r="E94" i="43" s="1"/>
  <c r="EY98" i="14"/>
  <c r="DU98" i="14" s="1"/>
  <c r="EM98" i="14"/>
  <c r="DI98" i="14" s="1"/>
  <c r="EA98" i="14"/>
  <c r="CW98" i="14" s="1"/>
  <c r="EX98" i="14"/>
  <c r="DT98" i="14" s="1"/>
  <c r="EL98" i="14"/>
  <c r="DH98" i="14" s="1"/>
  <c r="BR98" i="14" a="1"/>
  <c r="BR98" i="14" s="1"/>
  <c r="CV98" i="14" s="1"/>
  <c r="AH94" i="43" s="1"/>
  <c r="BL98" i="14" a="1"/>
  <c r="BL98" i="14" s="1"/>
  <c r="CP98" i="14" s="1"/>
  <c r="AB94" i="43" s="1"/>
  <c r="BF98" i="14" a="1"/>
  <c r="BF98" i="14" s="1"/>
  <c r="CJ98" i="14" s="1"/>
  <c r="V94" i="43" s="1"/>
  <c r="AZ98" i="14" a="1"/>
  <c r="AZ98" i="14" s="1"/>
  <c r="CD98" i="14" s="1"/>
  <c r="P94" i="43" s="1"/>
  <c r="AT98" i="14" a="1"/>
  <c r="AT98" i="14" s="1"/>
  <c r="BX98" i="14" s="1"/>
  <c r="J94" i="43" s="1"/>
  <c r="EW98" i="14"/>
  <c r="DS98" i="14" s="1"/>
  <c r="EK98" i="14"/>
  <c r="DG98" i="14" s="1"/>
  <c r="EV98" i="14"/>
  <c r="DR98" i="14" s="1"/>
  <c r="EJ98" i="14"/>
  <c r="DF98" i="14" s="1"/>
  <c r="BQ98" i="14" a="1"/>
  <c r="BQ98" i="14" s="1"/>
  <c r="CU98" i="14" s="1"/>
  <c r="AG94" i="43" s="1"/>
  <c r="BK98" i="14" a="1"/>
  <c r="BK98" i="14" s="1"/>
  <c r="CO98" i="14" s="1"/>
  <c r="AA94" i="43" s="1"/>
  <c r="BE98" i="14" a="1"/>
  <c r="BE98" i="14" s="1"/>
  <c r="CI98" i="14" s="1"/>
  <c r="U94" i="43" s="1"/>
  <c r="AY98" i="14" a="1"/>
  <c r="AY98" i="14" s="1"/>
  <c r="CC98" i="14" s="1"/>
  <c r="O94" i="43" s="1"/>
  <c r="AS98" i="14" a="1"/>
  <c r="AS98" i="14" s="1"/>
  <c r="BW98" i="14" s="1"/>
  <c r="I94" i="43" s="1"/>
  <c r="EU98" i="14"/>
  <c r="DQ98" i="14" s="1"/>
  <c r="EI98" i="14"/>
  <c r="DE98" i="14" s="1"/>
  <c r="ET98" i="14"/>
  <c r="DP98" i="14" s="1"/>
  <c r="EH98" i="14"/>
  <c r="DD98" i="14" s="1"/>
  <c r="BP98" i="14" a="1"/>
  <c r="BP98" i="14" s="1"/>
  <c r="CT98" i="14" s="1"/>
  <c r="AF94" i="43" s="1"/>
  <c r="BJ98" i="14" a="1"/>
  <c r="BJ98" i="14" s="1"/>
  <c r="CN98" i="14" s="1"/>
  <c r="Z94" i="43" s="1"/>
  <c r="BD98" i="14" a="1"/>
  <c r="BD98" i="14" s="1"/>
  <c r="CH98" i="14" s="1"/>
  <c r="T94" i="43" s="1"/>
  <c r="AX98" i="14" a="1"/>
  <c r="AX98" i="14" s="1"/>
  <c r="CB98" i="14" s="1"/>
  <c r="N94" i="43" s="1"/>
  <c r="AR98" i="14" a="1"/>
  <c r="AR98" i="14" s="1"/>
  <c r="BV98" i="14" s="1"/>
  <c r="H94" i="43" s="1"/>
  <c r="FD98" i="14"/>
  <c r="DZ98" i="14" s="1"/>
  <c r="ER98" i="14"/>
  <c r="DN98" i="14" s="1"/>
  <c r="EF98" i="14"/>
  <c r="DB98" i="14" s="1"/>
  <c r="BO98" i="14" a="1"/>
  <c r="BO98" i="14" s="1"/>
  <c r="CS98" i="14" s="1"/>
  <c r="AE94" i="43" s="1"/>
  <c r="BI98" i="14" a="1"/>
  <c r="BI98" i="14" s="1"/>
  <c r="CM98" i="14" s="1"/>
  <c r="Y94" i="43" s="1"/>
  <c r="BC98" i="14" a="1"/>
  <c r="BC98" i="14" s="1"/>
  <c r="CG98" i="14" s="1"/>
  <c r="S94" i="43" s="1"/>
  <c r="AW98" i="14" a="1"/>
  <c r="AW98" i="14" s="1"/>
  <c r="CA98" i="14" s="1"/>
  <c r="M94" i="43" s="1"/>
  <c r="AQ98" i="14" a="1"/>
  <c r="AQ98" i="14" s="1"/>
  <c r="BU98" i="14" s="1"/>
  <c r="G94" i="43" s="1"/>
  <c r="IG98" i="14"/>
  <c r="IE98" i="14"/>
  <c r="HR98" i="14"/>
  <c r="FC98" i="14"/>
  <c r="DY98" i="14" s="1"/>
  <c r="ES98" i="14"/>
  <c r="DO98" i="14" s="1"/>
  <c r="EQ98" i="14"/>
  <c r="DM98" i="14" s="1"/>
  <c r="EG98" i="14"/>
  <c r="DC98" i="14" s="1"/>
  <c r="JB69" i="14"/>
  <c r="JA70" i="14"/>
  <c r="JM70" i="14"/>
  <c r="EG74" i="14"/>
  <c r="DC74" i="14" s="1"/>
  <c r="IW74" i="14"/>
  <c r="JI74" i="14"/>
  <c r="AQ75" i="14" a="1"/>
  <c r="AQ75" i="14" s="1"/>
  <c r="AW75" i="14" a="1"/>
  <c r="AW75" i="14" s="1"/>
  <c r="ES75" i="14" s="1"/>
  <c r="DO75" i="14" s="1"/>
  <c r="EF75" i="14"/>
  <c r="DB75" i="14" s="1"/>
  <c r="IV75" i="14"/>
  <c r="JH75" i="14"/>
  <c r="JT75" i="14"/>
  <c r="AA452" i="20"/>
  <c r="O452" i="20"/>
  <c r="C452" i="20"/>
  <c r="Z452" i="20"/>
  <c r="N452" i="20"/>
  <c r="B452" i="20"/>
  <c r="Y452" i="20"/>
  <c r="M452" i="20"/>
  <c r="W452" i="20"/>
  <c r="K452" i="20"/>
  <c r="V452" i="20"/>
  <c r="J452" i="20"/>
  <c r="U452" i="20"/>
  <c r="I452" i="20"/>
  <c r="T452" i="20"/>
  <c r="H452" i="20"/>
  <c r="AE452" i="20"/>
  <c r="S452" i="20"/>
  <c r="G452" i="20"/>
  <c r="AD452" i="20"/>
  <c r="R452" i="20"/>
  <c r="F452" i="20"/>
  <c r="AC452" i="20"/>
  <c r="Q452" i="20"/>
  <c r="E452" i="20"/>
  <c r="AB452" i="20"/>
  <c r="P452" i="20"/>
  <c r="D452" i="20"/>
  <c r="X452" i="20"/>
  <c r="L452" i="20"/>
  <c r="GM78" i="14"/>
  <c r="GY78" i="14"/>
  <c r="HK78" i="14"/>
  <c r="HQ78" i="14"/>
  <c r="HU79" i="14"/>
  <c r="IG79" i="14"/>
  <c r="GR79" i="14"/>
  <c r="AS80" i="14" a="1"/>
  <c r="AS80" i="14" s="1"/>
  <c r="BW80" i="14" s="1"/>
  <c r="I76" i="43" s="1"/>
  <c r="BK80" i="14" a="1"/>
  <c r="BK80" i="14" s="1"/>
  <c r="CO80" i="14" s="1"/>
  <c r="AA76" i="43" s="1"/>
  <c r="GL80" i="14"/>
  <c r="GX80" i="14"/>
  <c r="HJ80" i="14"/>
  <c r="HN80" i="14"/>
  <c r="HS81" i="14"/>
  <c r="IE81" i="14"/>
  <c r="GN81" i="14"/>
  <c r="HM82" i="14"/>
  <c r="GI82" i="14"/>
  <c r="HY82" i="14"/>
  <c r="GU82" i="14"/>
  <c r="IK82" i="14"/>
  <c r="HG82" i="14"/>
  <c r="AW85" i="14" a="1"/>
  <c r="AW85" i="14" s="1"/>
  <c r="CA85" i="14" s="1"/>
  <c r="M81" i="43" s="1"/>
  <c r="HS86" i="14"/>
  <c r="HD87" i="14"/>
  <c r="AZ92" i="14" a="1"/>
  <c r="AZ92" i="14" s="1"/>
  <c r="CD92" i="14" s="1"/>
  <c r="P88" i="43" s="1"/>
  <c r="BL92" i="14" a="1"/>
  <c r="BL92" i="14" s="1"/>
  <c r="CP92" i="14" s="1"/>
  <c r="AB88" i="43" s="1"/>
  <c r="AT92" i="14" a="1"/>
  <c r="AT92" i="14" s="1"/>
  <c r="BX92" i="14" s="1"/>
  <c r="J88" i="43" s="1"/>
  <c r="BF92" i="14" a="1"/>
  <c r="BF92" i="14" s="1"/>
  <c r="CJ92" i="14" s="1"/>
  <c r="V88" i="43" s="1"/>
  <c r="GI97" i="14"/>
  <c r="GU97" i="14"/>
  <c r="HG97" i="14"/>
  <c r="JB70" i="14"/>
  <c r="JN70" i="14"/>
  <c r="IX74" i="14"/>
  <c r="JJ74" i="14"/>
  <c r="EG75" i="14"/>
  <c r="DC75" i="14" s="1"/>
  <c r="IW75" i="14"/>
  <c r="JI75" i="14"/>
  <c r="GV78" i="14"/>
  <c r="GJ78" i="14"/>
  <c r="HG78" i="14"/>
  <c r="GU78" i="14"/>
  <c r="GI78" i="14"/>
  <c r="GN78" i="14"/>
  <c r="GZ78" i="14"/>
  <c r="HL78" i="14"/>
  <c r="HR78" i="14"/>
  <c r="HV79" i="14"/>
  <c r="IH79" i="14"/>
  <c r="GS79" i="14"/>
  <c r="EG80" i="14"/>
  <c r="DC80" i="14" s="1"/>
  <c r="GM80" i="14"/>
  <c r="GY80" i="14"/>
  <c r="HK80" i="14"/>
  <c r="HO80" i="14"/>
  <c r="HT81" i="14"/>
  <c r="IF81" i="14"/>
  <c r="GO81" i="14"/>
  <c r="AQ82" i="14" a="1"/>
  <c r="AQ82" i="14" s="1"/>
  <c r="BA82" i="14" s="1" a="1"/>
  <c r="BA82" i="14" s="1"/>
  <c r="HN82" i="14"/>
  <c r="GJ82" i="14"/>
  <c r="HZ82" i="14"/>
  <c r="GV82" i="14"/>
  <c r="IL82" i="14"/>
  <c r="HH82" i="14"/>
  <c r="HQ82" i="14"/>
  <c r="HU86" i="14"/>
  <c r="GR87" i="14"/>
  <c r="B174" i="20"/>
  <c r="AP78" i="14" a="1"/>
  <c r="AP78" i="14" s="1"/>
  <c r="EG78" i="14" s="1"/>
  <c r="DC78" i="14" s="1"/>
  <c r="AO78" i="14" a="1"/>
  <c r="AO78" i="14" s="1"/>
  <c r="EF78" i="14" s="1"/>
  <c r="DB78" i="14" s="1"/>
  <c r="GO78" i="14"/>
  <c r="HA78" i="14"/>
  <c r="GQ78" i="14"/>
  <c r="IA78" i="14"/>
  <c r="HW79" i="14"/>
  <c r="II79" i="14"/>
  <c r="HB79" i="14"/>
  <c r="AX80" i="14" a="1"/>
  <c r="AX80" i="14" s="1"/>
  <c r="CB80" i="14" s="1"/>
  <c r="N76" i="43" s="1"/>
  <c r="BP80" i="14" a="1"/>
  <c r="BP80" i="14" s="1"/>
  <c r="CT80" i="14" s="1"/>
  <c r="AF76" i="43" s="1"/>
  <c r="GN80" i="14"/>
  <c r="GZ80" i="14"/>
  <c r="HL80" i="14"/>
  <c r="HP80" i="14"/>
  <c r="HU81" i="14"/>
  <c r="IG81" i="14"/>
  <c r="GP81" i="14"/>
  <c r="HO82" i="14"/>
  <c r="GK82" i="14"/>
  <c r="IA82" i="14"/>
  <c r="GW82" i="14"/>
  <c r="IM82" i="14"/>
  <c r="HI82" i="14"/>
  <c r="GO84" i="14"/>
  <c r="HS84" i="14"/>
  <c r="BD85" i="14" a="1"/>
  <c r="BD85" i="14" s="1"/>
  <c r="CH85" i="14" s="1"/>
  <c r="T81" i="43" s="1"/>
  <c r="GO85" i="14"/>
  <c r="HS85" i="14"/>
  <c r="HF87" i="14"/>
  <c r="GL87" i="14"/>
  <c r="HV89" i="14"/>
  <c r="HU89" i="14"/>
  <c r="HN89" i="14"/>
  <c r="II92" i="14"/>
  <c r="HE92" i="14"/>
  <c r="BM101" i="14" a="1"/>
  <c r="BM101" i="14" s="1"/>
  <c r="CQ101" i="14" s="1"/>
  <c r="AC97" i="43" s="1"/>
  <c r="AV101" i="14" a="1"/>
  <c r="AV101" i="14" s="1"/>
  <c r="BZ101" i="14" s="1"/>
  <c r="L97" i="43" s="1"/>
  <c r="BH101" i="14" a="1"/>
  <c r="BH101" i="14" s="1"/>
  <c r="CL101" i="14" s="1"/>
  <c r="X97" i="43" s="1"/>
  <c r="AU101" i="14" a="1"/>
  <c r="AU101" i="14" s="1"/>
  <c r="BY101" i="14" s="1"/>
  <c r="K97" i="43" s="1"/>
  <c r="BG101" i="14" a="1"/>
  <c r="BG101" i="14" s="1"/>
  <c r="CK101" i="14" s="1"/>
  <c r="W97" i="43" s="1"/>
  <c r="AP101" i="14" a="1"/>
  <c r="AP101" i="14" s="1"/>
  <c r="BT101" i="14" s="1"/>
  <c r="F97" i="43" s="1"/>
  <c r="BB101" i="14" a="1"/>
  <c r="BB101" i="14" s="1"/>
  <c r="CF101" i="14" s="1"/>
  <c r="R97" i="43" s="1"/>
  <c r="AO101" i="14" a="1"/>
  <c r="AO101" i="14" s="1"/>
  <c r="BS101" i="14" s="1"/>
  <c r="E97" i="43" s="1"/>
  <c r="BN101" i="14" a="1"/>
  <c r="BN101" i="14" s="1"/>
  <c r="CR101" i="14" s="1"/>
  <c r="AD97" i="43" s="1"/>
  <c r="BA101" i="14" a="1"/>
  <c r="BA101" i="14" s="1"/>
  <c r="CE101" i="14" s="1"/>
  <c r="Q97" i="43" s="1"/>
  <c r="HX79" i="14"/>
  <c r="IJ79" i="14"/>
  <c r="HC79" i="14"/>
  <c r="FD80" i="14"/>
  <c r="DZ80" i="14" s="1"/>
  <c r="ER80" i="14"/>
  <c r="DN80" i="14" s="1"/>
  <c r="EF80" i="14"/>
  <c r="DB80" i="14" s="1"/>
  <c r="BO80" i="14" a="1"/>
  <c r="BO80" i="14" s="1"/>
  <c r="CS80" i="14" s="1"/>
  <c r="AE76" i="43" s="1"/>
  <c r="BI80" i="14" a="1"/>
  <c r="BI80" i="14" s="1"/>
  <c r="CM80" i="14" s="1"/>
  <c r="Y76" i="43" s="1"/>
  <c r="BC80" i="14" a="1"/>
  <c r="BC80" i="14" s="1"/>
  <c r="CG80" i="14" s="1"/>
  <c r="S76" i="43" s="1"/>
  <c r="AW80" i="14" a="1"/>
  <c r="AW80" i="14" s="1"/>
  <c r="CA80" i="14" s="1"/>
  <c r="M76" i="43" s="1"/>
  <c r="AQ80" i="14" a="1"/>
  <c r="AQ80" i="14" s="1"/>
  <c r="BU80" i="14" s="1"/>
  <c r="G76" i="43" s="1"/>
  <c r="FC80" i="14"/>
  <c r="DY80" i="14" s="1"/>
  <c r="EQ80" i="14"/>
  <c r="DM80" i="14" s="1"/>
  <c r="EE80" i="14"/>
  <c r="DA80" i="14" s="1"/>
  <c r="FB80" i="14"/>
  <c r="DX80" i="14" s="1"/>
  <c r="EP80" i="14"/>
  <c r="DL80" i="14" s="1"/>
  <c r="ED80" i="14"/>
  <c r="CZ80" i="14" s="1"/>
  <c r="BN80" i="14" a="1"/>
  <c r="BN80" i="14" s="1"/>
  <c r="CR80" i="14" s="1"/>
  <c r="AD76" i="43" s="1"/>
  <c r="BH80" i="14" a="1"/>
  <c r="BH80" i="14" s="1"/>
  <c r="CL80" i="14" s="1"/>
  <c r="X76" i="43" s="1"/>
  <c r="BB80" i="14" a="1"/>
  <c r="BB80" i="14" s="1"/>
  <c r="CF80" i="14" s="1"/>
  <c r="R76" i="43" s="1"/>
  <c r="AV80" i="14" a="1"/>
  <c r="AV80" i="14" s="1"/>
  <c r="BZ80" i="14" s="1"/>
  <c r="L76" i="43" s="1"/>
  <c r="AP80" i="14" a="1"/>
  <c r="AP80" i="14" s="1"/>
  <c r="BT80" i="14" s="1"/>
  <c r="F76" i="43" s="1"/>
  <c r="FA80" i="14"/>
  <c r="DW80" i="14" s="1"/>
  <c r="EO80" i="14"/>
  <c r="DK80" i="14" s="1"/>
  <c r="EC80" i="14"/>
  <c r="CY80" i="14" s="1"/>
  <c r="EZ80" i="14"/>
  <c r="DV80" i="14" s="1"/>
  <c r="EN80" i="14"/>
  <c r="DJ80" i="14" s="1"/>
  <c r="EB80" i="14"/>
  <c r="CX80" i="14" s="1"/>
  <c r="BM80" i="14" a="1"/>
  <c r="BM80" i="14" s="1"/>
  <c r="CQ80" i="14" s="1"/>
  <c r="AC76" i="43" s="1"/>
  <c r="BG80" i="14" a="1"/>
  <c r="BG80" i="14" s="1"/>
  <c r="CK80" i="14" s="1"/>
  <c r="W76" i="43" s="1"/>
  <c r="BA80" i="14" a="1"/>
  <c r="BA80" i="14" s="1"/>
  <c r="CE80" i="14" s="1"/>
  <c r="Q76" i="43" s="1"/>
  <c r="AU80" i="14" a="1"/>
  <c r="AU80" i="14" s="1"/>
  <c r="BY80" i="14" s="1"/>
  <c r="K76" i="43" s="1"/>
  <c r="AO80" i="14" a="1"/>
  <c r="AO80" i="14" s="1"/>
  <c r="BS80" i="14" s="1"/>
  <c r="E76" i="43" s="1"/>
  <c r="EY80" i="14"/>
  <c r="DU80" i="14" s="1"/>
  <c r="EM80" i="14"/>
  <c r="DI80" i="14" s="1"/>
  <c r="EA80" i="14"/>
  <c r="CW80" i="14" s="1"/>
  <c r="EX80" i="14"/>
  <c r="DT80" i="14" s="1"/>
  <c r="EL80" i="14"/>
  <c r="DH80" i="14" s="1"/>
  <c r="BR80" i="14" a="1"/>
  <c r="BR80" i="14" s="1"/>
  <c r="CV80" i="14" s="1"/>
  <c r="AH76" i="43" s="1"/>
  <c r="BL80" i="14" a="1"/>
  <c r="BL80" i="14" s="1"/>
  <c r="CP80" i="14" s="1"/>
  <c r="AB76" i="43" s="1"/>
  <c r="BF80" i="14" a="1"/>
  <c r="BF80" i="14" s="1"/>
  <c r="CJ80" i="14" s="1"/>
  <c r="V76" i="43" s="1"/>
  <c r="AZ80" i="14" a="1"/>
  <c r="AZ80" i="14" s="1"/>
  <c r="CD80" i="14" s="1"/>
  <c r="P76" i="43" s="1"/>
  <c r="AT80" i="14" a="1"/>
  <c r="AT80" i="14" s="1"/>
  <c r="BX80" i="14" s="1"/>
  <c r="J76" i="43" s="1"/>
  <c r="EW80" i="14"/>
  <c r="DS80" i="14" s="1"/>
  <c r="EK80" i="14"/>
  <c r="DG80" i="14" s="1"/>
  <c r="EI80" i="14"/>
  <c r="DE80" i="14" s="1"/>
  <c r="HS80" i="14"/>
  <c r="IE80" i="14"/>
  <c r="HV81" i="14"/>
  <c r="IH81" i="14"/>
  <c r="GQ81" i="14"/>
  <c r="GP84" i="14"/>
  <c r="HT84" i="14"/>
  <c r="GP85" i="14"/>
  <c r="HT85" i="14"/>
  <c r="AS87" i="14" a="1"/>
  <c r="AS87" i="14" s="1"/>
  <c r="AX87" i="14" s="1" a="1"/>
  <c r="AX87" i="14" s="1"/>
  <c r="CB87" i="14" s="1"/>
  <c r="N83" i="43" s="1"/>
  <c r="AQ87" i="14" a="1"/>
  <c r="AQ87" i="14" s="1"/>
  <c r="AV87" i="14" s="1" a="1"/>
  <c r="AV87" i="14" s="1"/>
  <c r="BA87" i="14" s="1" a="1"/>
  <c r="BA87" i="14" s="1"/>
  <c r="CE87" i="14" s="1"/>
  <c r="Q83" i="43" s="1"/>
  <c r="AP87" i="14" a="1"/>
  <c r="AP87" i="14" s="1"/>
  <c r="EG87" i="14" s="1"/>
  <c r="DC87" i="14" s="1"/>
  <c r="AO87" i="14" a="1"/>
  <c r="AO87" i="14" s="1"/>
  <c r="JM91" i="14"/>
  <c r="JA91" i="14"/>
  <c r="JK91" i="14"/>
  <c r="IY91" i="14"/>
  <c r="JJ91" i="14"/>
  <c r="IX91" i="14"/>
  <c r="JI91" i="14"/>
  <c r="IW91" i="14"/>
  <c r="JS91" i="14"/>
  <c r="JG91" i="14"/>
  <c r="IU91" i="14"/>
  <c r="JR91" i="14"/>
  <c r="JF91" i="14"/>
  <c r="IT91" i="14"/>
  <c r="JQ91" i="14"/>
  <c r="JE91" i="14"/>
  <c r="IS91" i="14"/>
  <c r="JC91" i="14"/>
  <c r="JB91" i="14"/>
  <c r="IZ91" i="14"/>
  <c r="IV91" i="14"/>
  <c r="IR91" i="14"/>
  <c r="JT91" i="14"/>
  <c r="IQ91" i="14"/>
  <c r="JP91" i="14"/>
  <c r="JO91" i="14"/>
  <c r="JN91" i="14"/>
  <c r="HM79" i="14"/>
  <c r="HY79" i="14"/>
  <c r="IK79" i="14"/>
  <c r="HD79" i="14"/>
  <c r="AY80" i="14" a="1"/>
  <c r="AY80" i="14" s="1"/>
  <c r="CC80" i="14" s="1"/>
  <c r="O76" i="43" s="1"/>
  <c r="BQ80" i="14" a="1"/>
  <c r="BQ80" i="14" s="1"/>
  <c r="CU80" i="14" s="1"/>
  <c r="AG76" i="43" s="1"/>
  <c r="EJ80" i="14"/>
  <c r="DF80" i="14" s="1"/>
  <c r="HT80" i="14"/>
  <c r="IF80" i="14"/>
  <c r="HZ80" i="14"/>
  <c r="HW81" i="14"/>
  <c r="II81" i="14"/>
  <c r="GZ81" i="14"/>
  <c r="IJ81" i="14"/>
  <c r="GQ84" i="14"/>
  <c r="HU84" i="14"/>
  <c r="AR86" i="14" a="1"/>
  <c r="AR86" i="14" s="1"/>
  <c r="AW86" i="14" s="1" a="1"/>
  <c r="AW86" i="14" s="1"/>
  <c r="EN86" i="14" s="1"/>
  <c r="DJ86" i="14" s="1"/>
  <c r="AQ86" i="14" a="1"/>
  <c r="AQ86" i="14" s="1"/>
  <c r="JD91" i="14"/>
  <c r="IT70" i="14"/>
  <c r="JF70" i="14"/>
  <c r="JB74" i="14"/>
  <c r="JA75" i="14"/>
  <c r="JM75" i="14"/>
  <c r="GT78" i="14"/>
  <c r="ID78" i="14"/>
  <c r="GJ79" i="14"/>
  <c r="GV79" i="14"/>
  <c r="HH79" i="14"/>
  <c r="ES80" i="14"/>
  <c r="DO80" i="14" s="1"/>
  <c r="HU80" i="14"/>
  <c r="IG80" i="14"/>
  <c r="GQ80" i="14"/>
  <c r="IA80" i="14"/>
  <c r="GT81" i="14"/>
  <c r="HF81" i="14"/>
  <c r="HA81" i="14"/>
  <c r="HW82" i="14"/>
  <c r="II82" i="14"/>
  <c r="HV82" i="14"/>
  <c r="IH82" i="14"/>
  <c r="HU82" i="14"/>
  <c r="IG82" i="14"/>
  <c r="GT82" i="14"/>
  <c r="IF82" i="14"/>
  <c r="HS82" i="14"/>
  <c r="HF82" i="14"/>
  <c r="GS82" i="14"/>
  <c r="IE82" i="14"/>
  <c r="BM88" i="14" a="1"/>
  <c r="BM88" i="14" s="1"/>
  <c r="CQ88" i="14" s="1"/>
  <c r="AC84" i="43" s="1"/>
  <c r="BG88" i="14" a="1"/>
  <c r="BG88" i="14" s="1"/>
  <c r="CK88" i="14" s="1"/>
  <c r="W84" i="43" s="1"/>
  <c r="BA88" i="14" a="1"/>
  <c r="BA88" i="14" s="1"/>
  <c r="CE88" i="14" s="1"/>
  <c r="Q84" i="43" s="1"/>
  <c r="AU88" i="14" a="1"/>
  <c r="AU88" i="14" s="1"/>
  <c r="BY88" i="14" s="1"/>
  <c r="K84" i="43" s="1"/>
  <c r="AO88" i="14" a="1"/>
  <c r="AO88" i="14" s="1"/>
  <c r="BQ88" i="14" a="1"/>
  <c r="BQ88" i="14" s="1"/>
  <c r="CU88" i="14" s="1"/>
  <c r="AG84" i="43" s="1"/>
  <c r="BK88" i="14" a="1"/>
  <c r="BK88" i="14" s="1"/>
  <c r="CO88" i="14" s="1"/>
  <c r="AA84" i="43" s="1"/>
  <c r="BE88" i="14" a="1"/>
  <c r="BE88" i="14" s="1"/>
  <c r="CI88" i="14" s="1"/>
  <c r="U84" i="43" s="1"/>
  <c r="AY88" i="14" a="1"/>
  <c r="AY88" i="14" s="1"/>
  <c r="CC88" i="14" s="1"/>
  <c r="O84" i="43" s="1"/>
  <c r="AS88" i="14" a="1"/>
  <c r="AS88" i="14" s="1"/>
  <c r="BW88" i="14" s="1"/>
  <c r="I84" i="43" s="1"/>
  <c r="BP88" i="14" a="1"/>
  <c r="BP88" i="14" s="1"/>
  <c r="CT88" i="14" s="1"/>
  <c r="AF84" i="43" s="1"/>
  <c r="BJ88" i="14" a="1"/>
  <c r="BJ88" i="14" s="1"/>
  <c r="CN88" i="14" s="1"/>
  <c r="Z84" i="43" s="1"/>
  <c r="BD88" i="14" a="1"/>
  <c r="BD88" i="14" s="1"/>
  <c r="CH88" i="14" s="1"/>
  <c r="T84" i="43" s="1"/>
  <c r="AX88" i="14" a="1"/>
  <c r="AX88" i="14" s="1"/>
  <c r="CB88" i="14" s="1"/>
  <c r="N84" i="43" s="1"/>
  <c r="AR88" i="14" a="1"/>
  <c r="AR88" i="14" s="1"/>
  <c r="BV88" i="14" s="1"/>
  <c r="H84" i="43" s="1"/>
  <c r="BO88" i="14" a="1"/>
  <c r="BO88" i="14" s="1"/>
  <c r="CS88" i="14" s="1"/>
  <c r="AE84" i="43" s="1"/>
  <c r="BI88" i="14" a="1"/>
  <c r="BI88" i="14" s="1"/>
  <c r="CM88" i="14" s="1"/>
  <c r="Y84" i="43" s="1"/>
  <c r="BC88" i="14" a="1"/>
  <c r="BC88" i="14" s="1"/>
  <c r="CG88" i="14" s="1"/>
  <c r="S84" i="43" s="1"/>
  <c r="AW88" i="14" a="1"/>
  <c r="AW88" i="14" s="1"/>
  <c r="CA88" i="14" s="1"/>
  <c r="M84" i="43" s="1"/>
  <c r="AQ88" i="14" a="1"/>
  <c r="AQ88" i="14" s="1"/>
  <c r="BU88" i="14" s="1"/>
  <c r="G84" i="43" s="1"/>
  <c r="BH88" i="14" a="1"/>
  <c r="BH88" i="14" s="1"/>
  <c r="CL88" i="14" s="1"/>
  <c r="X84" i="43" s="1"/>
  <c r="AV88" i="14" a="1"/>
  <c r="AV88" i="14" s="1"/>
  <c r="BZ88" i="14" s="1"/>
  <c r="L84" i="43" s="1"/>
  <c r="BN88" i="14" a="1"/>
  <c r="BN88" i="14" s="1"/>
  <c r="CR88" i="14" s="1"/>
  <c r="AD84" i="43" s="1"/>
  <c r="BB88" i="14" a="1"/>
  <c r="BB88" i="14" s="1"/>
  <c r="CF88" i="14" s="1"/>
  <c r="R84" i="43" s="1"/>
  <c r="AP88" i="14" a="1"/>
  <c r="AP88" i="14" s="1"/>
  <c r="BT88" i="14" s="1"/>
  <c r="F84" i="43" s="1"/>
  <c r="JH91" i="14"/>
  <c r="GI96" i="14"/>
  <c r="HM96" i="14"/>
  <c r="GU96" i="14"/>
  <c r="HY96" i="14"/>
  <c r="GP99" i="14"/>
  <c r="HT99" i="14"/>
  <c r="HB99" i="14"/>
  <c r="IF99" i="14"/>
  <c r="JB75" i="14"/>
  <c r="JN75" i="14"/>
  <c r="V153" i="20"/>
  <c r="AD152" i="20"/>
  <c r="H152" i="20"/>
  <c r="M149" i="20"/>
  <c r="S153" i="20"/>
  <c r="AB152" i="20"/>
  <c r="F152" i="20"/>
  <c r="AE149" i="20"/>
  <c r="K149" i="20"/>
  <c r="Q153" i="20"/>
  <c r="Z152" i="20"/>
  <c r="E152" i="20"/>
  <c r="AD149" i="20"/>
  <c r="J149" i="20"/>
  <c r="P153" i="20"/>
  <c r="X152" i="20"/>
  <c r="D152" i="20"/>
  <c r="AB149" i="20"/>
  <c r="H149" i="20"/>
  <c r="N153" i="20"/>
  <c r="W152" i="20"/>
  <c r="AA149" i="20"/>
  <c r="E149" i="20"/>
  <c r="L153" i="20"/>
  <c r="T152" i="20"/>
  <c r="Y149" i="20"/>
  <c r="C149" i="20"/>
  <c r="K153" i="20"/>
  <c r="S152" i="20"/>
  <c r="X149" i="20"/>
  <c r="B149" i="20"/>
  <c r="AD153" i="20"/>
  <c r="H153" i="20"/>
  <c r="R152" i="20"/>
  <c r="W149" i="20"/>
  <c r="AB153" i="20"/>
  <c r="G153" i="20"/>
  <c r="P152" i="20"/>
  <c r="S149" i="20"/>
  <c r="Z153" i="20"/>
  <c r="D153" i="20"/>
  <c r="M152" i="20"/>
  <c r="Q149" i="20"/>
  <c r="Y153" i="20"/>
  <c r="C153" i="20"/>
  <c r="L152" i="20"/>
  <c r="P149" i="20"/>
  <c r="W153" i="20"/>
  <c r="B153" i="20"/>
  <c r="J152" i="20"/>
  <c r="N149" i="20"/>
  <c r="HC78" i="14"/>
  <c r="IM78" i="14"/>
  <c r="GK79" i="14"/>
  <c r="GW79" i="14"/>
  <c r="HI79" i="14"/>
  <c r="BD80" i="14" a="1"/>
  <c r="BD80" i="14" s="1"/>
  <c r="CH80" i="14" s="1"/>
  <c r="T76" i="43" s="1"/>
  <c r="ET80" i="14"/>
  <c r="DP80" i="14" s="1"/>
  <c r="HV80" i="14"/>
  <c r="IH80" i="14"/>
  <c r="GI81" i="14"/>
  <c r="GU81" i="14"/>
  <c r="HG81" i="14"/>
  <c r="HB81" i="14"/>
  <c r="ED82" i="14"/>
  <c r="CZ82" i="14" s="1"/>
  <c r="AV82" i="14" a="1"/>
  <c r="AV82" i="14" s="1"/>
  <c r="ER82" i="14" s="1"/>
  <c r="DN82" i="14" s="1"/>
  <c r="AP82" i="14" a="1"/>
  <c r="AP82" i="14" s="1"/>
  <c r="EL82" i="14" s="1"/>
  <c r="DH82" i="14" s="1"/>
  <c r="EC82" i="14"/>
  <c r="CY82" i="14" s="1"/>
  <c r="EB82" i="14"/>
  <c r="CX82" i="14" s="1"/>
  <c r="AU82" i="14" a="1"/>
  <c r="AU82" i="14" s="1"/>
  <c r="EQ82" i="14" s="1"/>
  <c r="DM82" i="14" s="1"/>
  <c r="AO82" i="14" a="1"/>
  <c r="AO82" i="14" s="1"/>
  <c r="BS82" i="14" s="1"/>
  <c r="E78" i="43" s="1"/>
  <c r="EA82" i="14"/>
  <c r="CW82" i="14" s="1"/>
  <c r="AT82" i="14" a="1"/>
  <c r="AT82" i="14" s="1"/>
  <c r="EJ82" i="14"/>
  <c r="DF82" i="14" s="1"/>
  <c r="AS82" i="14" a="1"/>
  <c r="AS82" i="14" s="1"/>
  <c r="EI82" i="14"/>
  <c r="DE82" i="14" s="1"/>
  <c r="EH82" i="14"/>
  <c r="DD82" i="14" s="1"/>
  <c r="AX82" i="14" a="1"/>
  <c r="AX82" i="14" s="1"/>
  <c r="ET82" i="14" s="1"/>
  <c r="DP82" i="14" s="1"/>
  <c r="AR82" i="14" a="1"/>
  <c r="AR82" i="14" s="1"/>
  <c r="EE82" i="14"/>
  <c r="DA82" i="14" s="1"/>
  <c r="IP82" i="14"/>
  <c r="GM83" i="14"/>
  <c r="HQ83" i="14"/>
  <c r="GY83" i="14"/>
  <c r="IC83" i="14"/>
  <c r="HK83" i="14"/>
  <c r="IO83" i="14"/>
  <c r="HC86" i="14"/>
  <c r="IG86" i="14"/>
  <c r="JL91" i="14"/>
  <c r="HW95" i="14"/>
  <c r="II95" i="14"/>
  <c r="GJ96" i="14"/>
  <c r="HN96" i="14"/>
  <c r="GV96" i="14"/>
  <c r="HZ96" i="14"/>
  <c r="CS97" i="14"/>
  <c r="AE93" i="43" s="1"/>
  <c r="HE97" i="14"/>
  <c r="GS97" i="14"/>
  <c r="HC97" i="14"/>
  <c r="GQ97" i="14"/>
  <c r="HA97" i="14"/>
  <c r="GO97" i="14"/>
  <c r="HB97" i="14"/>
  <c r="GZ97" i="14"/>
  <c r="GP97" i="14"/>
  <c r="GN97" i="14"/>
  <c r="HL97" i="14"/>
  <c r="IQ75" i="14"/>
  <c r="JC75" i="14"/>
  <c r="F174" i="20"/>
  <c r="J174" i="20"/>
  <c r="AC174" i="20"/>
  <c r="GL79" i="14"/>
  <c r="GX79" i="14"/>
  <c r="HJ79" i="14"/>
  <c r="EU80" i="14"/>
  <c r="DQ80" i="14" s="1"/>
  <c r="HW80" i="14"/>
  <c r="II80" i="14"/>
  <c r="GJ81" i="14"/>
  <c r="GV81" i="14"/>
  <c r="HH81" i="14"/>
  <c r="HC81" i="14"/>
  <c r="BP85" i="14" a="1"/>
  <c r="BP85" i="14" s="1"/>
  <c r="CT85" i="14" s="1"/>
  <c r="AF81" i="43" s="1"/>
  <c r="BH85" i="14" a="1"/>
  <c r="BH85" i="14" s="1"/>
  <c r="CL85" i="14" s="1"/>
  <c r="X81" i="43" s="1"/>
  <c r="AZ85" i="14" a="1"/>
  <c r="AZ85" i="14" s="1"/>
  <c r="CD85" i="14" s="1"/>
  <c r="P81" i="43" s="1"/>
  <c r="AR85" i="14" a="1"/>
  <c r="AR85" i="14" s="1"/>
  <c r="BV85" i="14" s="1"/>
  <c r="H81" i="43" s="1"/>
  <c r="BG85" i="14" a="1"/>
  <c r="BG85" i="14" s="1"/>
  <c r="CK85" i="14" s="1"/>
  <c r="W81" i="43" s="1"/>
  <c r="BO85" i="14" a="1"/>
  <c r="BO85" i="14" s="1"/>
  <c r="CS85" i="14" s="1"/>
  <c r="AE81" i="43" s="1"/>
  <c r="AQ85" i="14" a="1"/>
  <c r="AQ85" i="14" s="1"/>
  <c r="BU85" i="14" s="1"/>
  <c r="G81" i="43" s="1"/>
  <c r="BN85" i="14" a="1"/>
  <c r="BN85" i="14" s="1"/>
  <c r="CR85" i="14" s="1"/>
  <c r="AD81" i="43" s="1"/>
  <c r="BF85" i="14" a="1"/>
  <c r="BF85" i="14" s="1"/>
  <c r="CJ85" i="14" s="1"/>
  <c r="V81" i="43" s="1"/>
  <c r="AX85" i="14" a="1"/>
  <c r="AX85" i="14" s="1"/>
  <c r="CB85" i="14" s="1"/>
  <c r="N81" i="43" s="1"/>
  <c r="AP85" i="14" a="1"/>
  <c r="AP85" i="14" s="1"/>
  <c r="BT85" i="14" s="1"/>
  <c r="F81" i="43" s="1"/>
  <c r="BM85" i="14" a="1"/>
  <c r="BM85" i="14" s="1"/>
  <c r="CQ85" i="14" s="1"/>
  <c r="AC81" i="43" s="1"/>
  <c r="AO85" i="14" a="1"/>
  <c r="AO85" i="14" s="1"/>
  <c r="BS85" i="14" s="1"/>
  <c r="E81" i="43" s="1"/>
  <c r="GN89" i="14"/>
  <c r="HR89" i="14"/>
  <c r="GZ89" i="14"/>
  <c r="ID89" i="14"/>
  <c r="IA95" i="14"/>
  <c r="HP95" i="14"/>
  <c r="HO95" i="14"/>
  <c r="IN95" i="14"/>
  <c r="HX95" i="14"/>
  <c r="IJ95" i="14"/>
  <c r="IL95" i="14"/>
  <c r="GK96" i="14"/>
  <c r="HO96" i="14"/>
  <c r="GW96" i="14"/>
  <c r="IA96" i="14"/>
  <c r="HI96" i="14"/>
  <c r="IM96" i="14"/>
  <c r="HN97" i="14"/>
  <c r="GR99" i="14"/>
  <c r="HV99" i="14"/>
  <c r="HD99" i="14"/>
  <c r="IH99" i="14"/>
  <c r="GP87" i="14"/>
  <c r="HB87" i="14"/>
  <c r="DT89" i="14"/>
  <c r="BN94" i="14" a="1"/>
  <c r="BN94" i="14" s="1"/>
  <c r="CR94" i="14" s="1"/>
  <c r="AD90" i="43" s="1"/>
  <c r="BH94" i="14" a="1"/>
  <c r="BH94" i="14" s="1"/>
  <c r="CL94" i="14" s="1"/>
  <c r="X90" i="43" s="1"/>
  <c r="BB94" i="14" a="1"/>
  <c r="BB94" i="14" s="1"/>
  <c r="CF94" i="14" s="1"/>
  <c r="R90" i="43" s="1"/>
  <c r="AV94" i="14" a="1"/>
  <c r="AV94" i="14" s="1"/>
  <c r="BZ94" i="14" s="1"/>
  <c r="L90" i="43" s="1"/>
  <c r="AP94" i="14" a="1"/>
  <c r="AP94" i="14" s="1"/>
  <c r="BT94" i="14" s="1"/>
  <c r="F90" i="43" s="1"/>
  <c r="BM94" i="14" a="1"/>
  <c r="BM94" i="14" s="1"/>
  <c r="CQ94" i="14" s="1"/>
  <c r="AC90" i="43" s="1"/>
  <c r="BG94" i="14" a="1"/>
  <c r="BG94" i="14" s="1"/>
  <c r="CK94" i="14" s="1"/>
  <c r="W90" i="43" s="1"/>
  <c r="BA94" i="14" a="1"/>
  <c r="BA94" i="14" s="1"/>
  <c r="CE94" i="14" s="1"/>
  <c r="Q90" i="43" s="1"/>
  <c r="AU94" i="14" a="1"/>
  <c r="AU94" i="14" s="1"/>
  <c r="BY94" i="14" s="1"/>
  <c r="K90" i="43" s="1"/>
  <c r="AO94" i="14" a="1"/>
  <c r="AO94" i="14" s="1"/>
  <c r="BS94" i="14" s="1"/>
  <c r="E90" i="43" s="1"/>
  <c r="BR94" i="14" a="1"/>
  <c r="BR94" i="14" s="1"/>
  <c r="CV94" i="14" s="1"/>
  <c r="AH90" i="43" s="1"/>
  <c r="BL94" i="14" a="1"/>
  <c r="BL94" i="14" s="1"/>
  <c r="CP94" i="14" s="1"/>
  <c r="AB90" i="43" s="1"/>
  <c r="BF94" i="14" a="1"/>
  <c r="BF94" i="14" s="1"/>
  <c r="CJ94" i="14" s="1"/>
  <c r="V90" i="43" s="1"/>
  <c r="AZ94" i="14" a="1"/>
  <c r="AZ94" i="14" s="1"/>
  <c r="CD94" i="14" s="1"/>
  <c r="P90" i="43" s="1"/>
  <c r="AT94" i="14" a="1"/>
  <c r="AT94" i="14" s="1"/>
  <c r="BX94" i="14" s="1"/>
  <c r="J90" i="43" s="1"/>
  <c r="BE94" i="14" a="1"/>
  <c r="BE94" i="14" s="1"/>
  <c r="CI94" i="14" s="1"/>
  <c r="U90" i="43" s="1"/>
  <c r="GJ97" i="14"/>
  <c r="GV97" i="14"/>
  <c r="HH97" i="14"/>
  <c r="HZ97" i="14"/>
  <c r="HS78" i="14"/>
  <c r="IE78" i="14"/>
  <c r="GT79" i="14"/>
  <c r="HF79" i="14"/>
  <c r="HR79" i="14"/>
  <c r="ID79" i="14"/>
  <c r="IP79" i="14"/>
  <c r="GS80" i="14"/>
  <c r="HE80" i="14"/>
  <c r="HQ80" i="14"/>
  <c r="IC80" i="14"/>
  <c r="IO80" i="14"/>
  <c r="JA80" i="14"/>
  <c r="JM80" i="14"/>
  <c r="HP81" i="14"/>
  <c r="IB81" i="14"/>
  <c r="IN81" i="14"/>
  <c r="IT82" i="14"/>
  <c r="JG82" i="14"/>
  <c r="AX83" i="14" a="1"/>
  <c r="AX83" i="14" s="1"/>
  <c r="CB83" i="14" s="1"/>
  <c r="N79" i="43" s="1"/>
  <c r="GK83" i="14"/>
  <c r="GZ83" i="14"/>
  <c r="IB83" i="14"/>
  <c r="IQ83" i="14"/>
  <c r="AQ84" i="14" a="1"/>
  <c r="AQ84" i="14" s="1"/>
  <c r="BU84" i="14" s="1"/>
  <c r="G80" i="43" s="1"/>
  <c r="AX84" i="14" a="1"/>
  <c r="AX84" i="14" s="1"/>
  <c r="CB84" i="14" s="1"/>
  <c r="N80" i="43" s="1"/>
  <c r="BF84" i="14" a="1"/>
  <c r="BF84" i="14" s="1"/>
  <c r="CJ84" i="14" s="1"/>
  <c r="V80" i="43" s="1"/>
  <c r="EL84" i="14"/>
  <c r="DH84" i="14" s="1"/>
  <c r="FA84" i="14"/>
  <c r="DW84" i="14" s="1"/>
  <c r="GS84" i="14"/>
  <c r="HE84" i="14"/>
  <c r="HD84" i="14"/>
  <c r="IZ84" i="14"/>
  <c r="JP84" i="14"/>
  <c r="DX85" i="14"/>
  <c r="HW85" i="14"/>
  <c r="II85" i="14"/>
  <c r="HE85" i="14"/>
  <c r="IK85" i="14"/>
  <c r="HY86" i="14"/>
  <c r="HU87" i="14"/>
  <c r="IG87" i="14"/>
  <c r="HH87" i="14"/>
  <c r="JO89" i="14"/>
  <c r="JC89" i="14"/>
  <c r="IQ89" i="14"/>
  <c r="JM89" i="14"/>
  <c r="JA89" i="14"/>
  <c r="JL89" i="14"/>
  <c r="IZ89" i="14"/>
  <c r="JK89" i="14"/>
  <c r="IY89" i="14"/>
  <c r="JI89" i="14"/>
  <c r="IW89" i="14"/>
  <c r="JT89" i="14"/>
  <c r="JH89" i="14"/>
  <c r="IV89" i="14"/>
  <c r="JS89" i="14"/>
  <c r="JG89" i="14"/>
  <c r="IU89" i="14"/>
  <c r="IS89" i="14"/>
  <c r="AW93" i="14" a="1"/>
  <c r="AW93" i="14" s="1"/>
  <c r="ES93" i="14" s="1"/>
  <c r="DO93" i="14" s="1"/>
  <c r="AQ93" i="14" a="1"/>
  <c r="AQ93" i="14" s="1"/>
  <c r="EM93" i="14" s="1"/>
  <c r="DI93" i="14" s="1"/>
  <c r="AU93" i="14" a="1"/>
  <c r="AU93" i="14" s="1"/>
  <c r="AO93" i="14" a="1"/>
  <c r="AO93" i="14" s="1"/>
  <c r="BS93" i="14" s="1"/>
  <c r="E89" i="43" s="1"/>
  <c r="HG95" i="14"/>
  <c r="GU95" i="14"/>
  <c r="GI95" i="14"/>
  <c r="HE95" i="14"/>
  <c r="GS95" i="14"/>
  <c r="CW95" i="14"/>
  <c r="GK95" i="14"/>
  <c r="GW95" i="14"/>
  <c r="HI95" i="14"/>
  <c r="GK97" i="14"/>
  <c r="GW97" i="14"/>
  <c r="HI97" i="14"/>
  <c r="HH78" i="14"/>
  <c r="HT78" i="14"/>
  <c r="IF78" i="14"/>
  <c r="GI79" i="14"/>
  <c r="GU79" i="14"/>
  <c r="HG79" i="14"/>
  <c r="HS79" i="14"/>
  <c r="IE79" i="14"/>
  <c r="GT80" i="14"/>
  <c r="HF80" i="14"/>
  <c r="HR80" i="14"/>
  <c r="ID80" i="14"/>
  <c r="IP80" i="14"/>
  <c r="JB80" i="14"/>
  <c r="JN80" i="14"/>
  <c r="HQ81" i="14"/>
  <c r="IC81" i="14"/>
  <c r="IO81" i="14"/>
  <c r="GN82" i="14"/>
  <c r="GZ82" i="14"/>
  <c r="HL82" i="14"/>
  <c r="IU82" i="14"/>
  <c r="JI82" i="14"/>
  <c r="EE83" i="14"/>
  <c r="DA83" i="14" s="1"/>
  <c r="AR83" i="14" a="1"/>
  <c r="AR83" i="14" s="1"/>
  <c r="BB83" i="14" s="1" a="1"/>
  <c r="BB83" i="14" s="1"/>
  <c r="EX83" i="14" s="1"/>
  <c r="DT83" i="14" s="1"/>
  <c r="GL83" i="14"/>
  <c r="HO83" i="14"/>
  <c r="EM84" i="14"/>
  <c r="DI84" i="14" s="1"/>
  <c r="HX84" i="14"/>
  <c r="IJ84" i="14"/>
  <c r="HF84" i="14"/>
  <c r="IL84" i="14"/>
  <c r="JB84" i="14"/>
  <c r="JQ84" i="14"/>
  <c r="HV85" i="14"/>
  <c r="IL85" i="14"/>
  <c r="GR86" i="14"/>
  <c r="HI86" i="14"/>
  <c r="IB86" i="14"/>
  <c r="HJ87" i="14"/>
  <c r="HG88" i="14"/>
  <c r="GP89" i="14"/>
  <c r="IT89" i="14"/>
  <c r="EX90" i="14"/>
  <c r="DT90" i="14" s="1"/>
  <c r="EL90" i="14"/>
  <c r="DH90" i="14" s="1"/>
  <c r="BR90" i="14" a="1"/>
  <c r="BR90" i="14" s="1"/>
  <c r="CV90" i="14" s="1"/>
  <c r="AH86" i="43" s="1"/>
  <c r="BL90" i="14" a="1"/>
  <c r="BL90" i="14" s="1"/>
  <c r="CP90" i="14" s="1"/>
  <c r="AB86" i="43" s="1"/>
  <c r="BF90" i="14" a="1"/>
  <c r="BF90" i="14" s="1"/>
  <c r="CJ90" i="14" s="1"/>
  <c r="V86" i="43" s="1"/>
  <c r="AZ90" i="14" a="1"/>
  <c r="AZ90" i="14" s="1"/>
  <c r="CD90" i="14" s="1"/>
  <c r="P86" i="43" s="1"/>
  <c r="AT90" i="14" a="1"/>
  <c r="AT90" i="14" s="1"/>
  <c r="BX90" i="14" s="1"/>
  <c r="J86" i="43" s="1"/>
  <c r="EV90" i="14"/>
  <c r="DR90" i="14" s="1"/>
  <c r="EJ90" i="14"/>
  <c r="DF90" i="14" s="1"/>
  <c r="BQ90" i="14" a="1"/>
  <c r="BQ90" i="14" s="1"/>
  <c r="CU90" i="14" s="1"/>
  <c r="AG86" i="43" s="1"/>
  <c r="BK90" i="14" a="1"/>
  <c r="BK90" i="14" s="1"/>
  <c r="CO90" i="14" s="1"/>
  <c r="AA86" i="43" s="1"/>
  <c r="BE90" i="14" a="1"/>
  <c r="BE90" i="14" s="1"/>
  <c r="CI90" i="14" s="1"/>
  <c r="U86" i="43" s="1"/>
  <c r="AY90" i="14" a="1"/>
  <c r="AY90" i="14" s="1"/>
  <c r="CC90" i="14" s="1"/>
  <c r="O86" i="43" s="1"/>
  <c r="AS90" i="14" a="1"/>
  <c r="AS90" i="14" s="1"/>
  <c r="BW90" i="14" s="1"/>
  <c r="I86" i="43" s="1"/>
  <c r="EU90" i="14"/>
  <c r="DQ90" i="14" s="1"/>
  <c r="EI90" i="14"/>
  <c r="DE90" i="14" s="1"/>
  <c r="ET90" i="14"/>
  <c r="DP90" i="14" s="1"/>
  <c r="EH90" i="14"/>
  <c r="DD90" i="14" s="1"/>
  <c r="BP90" i="14" a="1"/>
  <c r="BP90" i="14" s="1"/>
  <c r="CT90" i="14" s="1"/>
  <c r="AF86" i="43" s="1"/>
  <c r="BJ90" i="14" a="1"/>
  <c r="BJ90" i="14" s="1"/>
  <c r="CN90" i="14" s="1"/>
  <c r="Z86" i="43" s="1"/>
  <c r="BD90" i="14" a="1"/>
  <c r="BD90" i="14" s="1"/>
  <c r="CH90" i="14" s="1"/>
  <c r="T86" i="43" s="1"/>
  <c r="AX90" i="14" a="1"/>
  <c r="AX90" i="14" s="1"/>
  <c r="CB90" i="14" s="1"/>
  <c r="N86" i="43" s="1"/>
  <c r="AR90" i="14" a="1"/>
  <c r="AR90" i="14" s="1"/>
  <c r="BV90" i="14" s="1"/>
  <c r="H86" i="43" s="1"/>
  <c r="FD90" i="14"/>
  <c r="DZ90" i="14" s="1"/>
  <c r="ER90" i="14"/>
  <c r="DN90" i="14" s="1"/>
  <c r="EF90" i="14"/>
  <c r="DB90" i="14" s="1"/>
  <c r="BO90" i="14" a="1"/>
  <c r="BO90" i="14" s="1"/>
  <c r="CS90" i="14" s="1"/>
  <c r="AE86" i="43" s="1"/>
  <c r="BI90" i="14" a="1"/>
  <c r="BI90" i="14" s="1"/>
  <c r="CM90" i="14" s="1"/>
  <c r="Y86" i="43" s="1"/>
  <c r="BC90" i="14" a="1"/>
  <c r="BC90" i="14" s="1"/>
  <c r="CG90" i="14" s="1"/>
  <c r="S86" i="43" s="1"/>
  <c r="AW90" i="14" a="1"/>
  <c r="AW90" i="14" s="1"/>
  <c r="CA90" i="14" s="1"/>
  <c r="M86" i="43" s="1"/>
  <c r="AQ90" i="14" a="1"/>
  <c r="AQ90" i="14" s="1"/>
  <c r="BU90" i="14" s="1"/>
  <c r="G86" i="43" s="1"/>
  <c r="FC90" i="14"/>
  <c r="DY90" i="14" s="1"/>
  <c r="EQ90" i="14"/>
  <c r="DM90" i="14" s="1"/>
  <c r="EE90" i="14"/>
  <c r="DA90" i="14" s="1"/>
  <c r="FB90" i="14"/>
  <c r="DX90" i="14" s="1"/>
  <c r="EP90" i="14"/>
  <c r="DL90" i="14" s="1"/>
  <c r="ED90" i="14"/>
  <c r="CZ90" i="14" s="1"/>
  <c r="BN90" i="14" a="1"/>
  <c r="BN90" i="14" s="1"/>
  <c r="CR90" i="14" s="1"/>
  <c r="AD86" i="43" s="1"/>
  <c r="BH90" i="14" a="1"/>
  <c r="BH90" i="14" s="1"/>
  <c r="CL90" i="14" s="1"/>
  <c r="X86" i="43" s="1"/>
  <c r="BB90" i="14" a="1"/>
  <c r="BB90" i="14" s="1"/>
  <c r="CF90" i="14" s="1"/>
  <c r="R86" i="43" s="1"/>
  <c r="AV90" i="14" a="1"/>
  <c r="AV90" i="14" s="1"/>
  <c r="BZ90" i="14" s="1"/>
  <c r="L86" i="43" s="1"/>
  <c r="AP90" i="14" a="1"/>
  <c r="AP90" i="14" s="1"/>
  <c r="BT90" i="14" s="1"/>
  <c r="F86" i="43" s="1"/>
  <c r="AU90" i="14" a="1"/>
  <c r="AU90" i="14" s="1"/>
  <c r="BY90" i="14" s="1"/>
  <c r="K86" i="43" s="1"/>
  <c r="EK90" i="14"/>
  <c r="DG90" i="14" s="1"/>
  <c r="JK93" i="14"/>
  <c r="IY93" i="14"/>
  <c r="JJ93" i="14"/>
  <c r="IX93" i="14"/>
  <c r="JI93" i="14"/>
  <c r="IW93" i="14"/>
  <c r="JT93" i="14"/>
  <c r="JH93" i="14"/>
  <c r="IV93" i="14"/>
  <c r="JS93" i="14"/>
  <c r="JG93" i="14"/>
  <c r="IU93" i="14"/>
  <c r="JQ93" i="14"/>
  <c r="JE93" i="14"/>
  <c r="IS93" i="14"/>
  <c r="JP93" i="14"/>
  <c r="JD93" i="14"/>
  <c r="IR93" i="14"/>
  <c r="JO93" i="14"/>
  <c r="JC93" i="14"/>
  <c r="IQ93" i="14"/>
  <c r="JF93" i="14"/>
  <c r="HN95" i="14"/>
  <c r="FD96" i="14"/>
  <c r="DZ96" i="14" s="1"/>
  <c r="ER96" i="14"/>
  <c r="DN96" i="14" s="1"/>
  <c r="EF96" i="14"/>
  <c r="DB96" i="14" s="1"/>
  <c r="BO96" i="14" a="1"/>
  <c r="BO96" i="14" s="1"/>
  <c r="CS96" i="14" s="1"/>
  <c r="AE92" i="43" s="1"/>
  <c r="BI96" i="14" a="1"/>
  <c r="BI96" i="14" s="1"/>
  <c r="CM96" i="14" s="1"/>
  <c r="Y92" i="43" s="1"/>
  <c r="BC96" i="14" a="1"/>
  <c r="BC96" i="14" s="1"/>
  <c r="CG96" i="14" s="1"/>
  <c r="S92" i="43" s="1"/>
  <c r="AW96" i="14" a="1"/>
  <c r="AW96" i="14" s="1"/>
  <c r="CA96" i="14" s="1"/>
  <c r="M92" i="43" s="1"/>
  <c r="AQ96" i="14" a="1"/>
  <c r="AQ96" i="14" s="1"/>
  <c r="BU96" i="14" s="1"/>
  <c r="G92" i="43" s="1"/>
  <c r="FC96" i="14"/>
  <c r="DY96" i="14" s="1"/>
  <c r="EQ96" i="14"/>
  <c r="DM96" i="14" s="1"/>
  <c r="EE96" i="14"/>
  <c r="DA96" i="14" s="1"/>
  <c r="FB96" i="14"/>
  <c r="DX96" i="14" s="1"/>
  <c r="EP96" i="14"/>
  <c r="DL96" i="14" s="1"/>
  <c r="ED96" i="14"/>
  <c r="CZ96" i="14" s="1"/>
  <c r="BN96" i="14" a="1"/>
  <c r="BN96" i="14" s="1"/>
  <c r="CR96" i="14" s="1"/>
  <c r="AD92" i="43" s="1"/>
  <c r="BH96" i="14" a="1"/>
  <c r="BH96" i="14" s="1"/>
  <c r="CL96" i="14" s="1"/>
  <c r="X92" i="43" s="1"/>
  <c r="BB96" i="14" a="1"/>
  <c r="BB96" i="14" s="1"/>
  <c r="CF96" i="14" s="1"/>
  <c r="R92" i="43" s="1"/>
  <c r="AV96" i="14" a="1"/>
  <c r="AV96" i="14" s="1"/>
  <c r="BZ96" i="14" s="1"/>
  <c r="L92" i="43" s="1"/>
  <c r="AP96" i="14" a="1"/>
  <c r="AP96" i="14" s="1"/>
  <c r="BT96" i="14" s="1"/>
  <c r="F92" i="43" s="1"/>
  <c r="FA96" i="14"/>
  <c r="DW96" i="14" s="1"/>
  <c r="EO96" i="14"/>
  <c r="DK96" i="14" s="1"/>
  <c r="EC96" i="14"/>
  <c r="CY96" i="14" s="1"/>
  <c r="EZ96" i="14"/>
  <c r="DV96" i="14" s="1"/>
  <c r="EN96" i="14"/>
  <c r="DJ96" i="14" s="1"/>
  <c r="EB96" i="14"/>
  <c r="CX96" i="14" s="1"/>
  <c r="BM96" i="14" a="1"/>
  <c r="BM96" i="14" s="1"/>
  <c r="CQ96" i="14" s="1"/>
  <c r="AC92" i="43" s="1"/>
  <c r="BG96" i="14" a="1"/>
  <c r="BG96" i="14" s="1"/>
  <c r="CK96" i="14" s="1"/>
  <c r="W92" i="43" s="1"/>
  <c r="BA96" i="14" a="1"/>
  <c r="BA96" i="14" s="1"/>
  <c r="CE96" i="14" s="1"/>
  <c r="Q92" i="43" s="1"/>
  <c r="AU96" i="14" a="1"/>
  <c r="AU96" i="14" s="1"/>
  <c r="BY96" i="14" s="1"/>
  <c r="K92" i="43" s="1"/>
  <c r="AO96" i="14" a="1"/>
  <c r="AO96" i="14" s="1"/>
  <c r="BS96" i="14" s="1"/>
  <c r="E92" i="43" s="1"/>
  <c r="EX96" i="14"/>
  <c r="DT96" i="14" s="1"/>
  <c r="EL96" i="14"/>
  <c r="DH96" i="14" s="1"/>
  <c r="BR96" i="14" a="1"/>
  <c r="BR96" i="14" s="1"/>
  <c r="CV96" i="14" s="1"/>
  <c r="AH92" i="43" s="1"/>
  <c r="BL96" i="14" a="1"/>
  <c r="BL96" i="14" s="1"/>
  <c r="CP96" i="14" s="1"/>
  <c r="AB92" i="43" s="1"/>
  <c r="BF96" i="14" a="1"/>
  <c r="BF96" i="14" s="1"/>
  <c r="CJ96" i="14" s="1"/>
  <c r="V92" i="43" s="1"/>
  <c r="AZ96" i="14" a="1"/>
  <c r="AZ96" i="14" s="1"/>
  <c r="CD96" i="14" s="1"/>
  <c r="P92" i="43" s="1"/>
  <c r="AT96" i="14" a="1"/>
  <c r="AT96" i="14" s="1"/>
  <c r="BX96" i="14" s="1"/>
  <c r="J92" i="43" s="1"/>
  <c r="EW96" i="14"/>
  <c r="DS96" i="14" s="1"/>
  <c r="EK96" i="14"/>
  <c r="DG96" i="14" s="1"/>
  <c r="EV96" i="14"/>
  <c r="DR96" i="14" s="1"/>
  <c r="EJ96" i="14"/>
  <c r="DF96" i="14" s="1"/>
  <c r="BQ96" i="14" a="1"/>
  <c r="BQ96" i="14" s="1"/>
  <c r="CU96" i="14" s="1"/>
  <c r="AG92" i="43" s="1"/>
  <c r="BK96" i="14" a="1"/>
  <c r="BK96" i="14" s="1"/>
  <c r="CO96" i="14" s="1"/>
  <c r="AA92" i="43" s="1"/>
  <c r="BE96" i="14" a="1"/>
  <c r="BE96" i="14" s="1"/>
  <c r="CI96" i="14" s="1"/>
  <c r="U92" i="43" s="1"/>
  <c r="AY96" i="14" a="1"/>
  <c r="AY96" i="14" s="1"/>
  <c r="CC96" i="14" s="1"/>
  <c r="O92" i="43" s="1"/>
  <c r="AS96" i="14" a="1"/>
  <c r="AS96" i="14" s="1"/>
  <c r="BW96" i="14" s="1"/>
  <c r="I92" i="43" s="1"/>
  <c r="AX96" i="14" a="1"/>
  <c r="AX96" i="14" s="1"/>
  <c r="CB96" i="14" s="1"/>
  <c r="N92" i="43" s="1"/>
  <c r="BP96" i="14" a="1"/>
  <c r="BP96" i="14" s="1"/>
  <c r="CT96" i="14" s="1"/>
  <c r="AF92" i="43" s="1"/>
  <c r="EH96" i="14"/>
  <c r="DD96" i="14" s="1"/>
  <c r="GL97" i="14"/>
  <c r="GX97" i="14"/>
  <c r="HJ97" i="14"/>
  <c r="IL97" i="14"/>
  <c r="HW98" i="14"/>
  <c r="GS98" i="14"/>
  <c r="II98" i="14"/>
  <c r="HE98" i="14"/>
  <c r="HM98" i="14"/>
  <c r="IQ80" i="14"/>
  <c r="JC80" i="14"/>
  <c r="JO80" i="14"/>
  <c r="IW82" i="14"/>
  <c r="AY83" i="14" a="1"/>
  <c r="AY83" i="14" s="1"/>
  <c r="HW83" i="14"/>
  <c r="II83" i="14"/>
  <c r="GN83" i="14"/>
  <c r="HB83" i="14"/>
  <c r="HP83" i="14"/>
  <c r="FD84" i="14"/>
  <c r="DZ84" i="14" s="1"/>
  <c r="ER84" i="14"/>
  <c r="DN84" i="14" s="1"/>
  <c r="EF84" i="14"/>
  <c r="DB84" i="14" s="1"/>
  <c r="BO84" i="14" a="1"/>
  <c r="BO84" i="14" s="1"/>
  <c r="CS84" i="14" s="1"/>
  <c r="AE80" i="43" s="1"/>
  <c r="BI84" i="14" a="1"/>
  <c r="BI84" i="14" s="1"/>
  <c r="CM84" i="14" s="1"/>
  <c r="Y80" i="43" s="1"/>
  <c r="BC84" i="14" a="1"/>
  <c r="BC84" i="14" s="1"/>
  <c r="CG84" i="14" s="1"/>
  <c r="S80" i="43" s="1"/>
  <c r="FB84" i="14"/>
  <c r="DX84" i="14" s="1"/>
  <c r="EP84" i="14"/>
  <c r="DL84" i="14" s="1"/>
  <c r="ED84" i="14"/>
  <c r="CZ84" i="14" s="1"/>
  <c r="BN84" i="14" a="1"/>
  <c r="BN84" i="14" s="1"/>
  <c r="CR84" i="14" s="1"/>
  <c r="AD80" i="43" s="1"/>
  <c r="BH84" i="14" a="1"/>
  <c r="BH84" i="14" s="1"/>
  <c r="CL84" i="14" s="1"/>
  <c r="X80" i="43" s="1"/>
  <c r="BB84" i="14" a="1"/>
  <c r="BB84" i="14" s="1"/>
  <c r="CF84" i="14" s="1"/>
  <c r="R80" i="43" s="1"/>
  <c r="AV84" i="14" a="1"/>
  <c r="AV84" i="14" s="1"/>
  <c r="BZ84" i="14" s="1"/>
  <c r="L80" i="43" s="1"/>
  <c r="AP84" i="14" a="1"/>
  <c r="AP84" i="14" s="1"/>
  <c r="BT84" i="14" s="1"/>
  <c r="F80" i="43" s="1"/>
  <c r="EW84" i="14"/>
  <c r="DS84" i="14" s="1"/>
  <c r="EK84" i="14"/>
  <c r="DG84" i="14" s="1"/>
  <c r="AR84" i="14" a="1"/>
  <c r="AR84" i="14" s="1"/>
  <c r="BV84" i="14" s="1"/>
  <c r="H80" i="43" s="1"/>
  <c r="AY84" i="14" a="1"/>
  <c r="AY84" i="14" s="1"/>
  <c r="CC84" i="14" s="1"/>
  <c r="O80" i="43" s="1"/>
  <c r="BG84" i="14" a="1"/>
  <c r="BG84" i="14" s="1"/>
  <c r="CK84" i="14" s="1"/>
  <c r="W80" i="43" s="1"/>
  <c r="EN84" i="14"/>
  <c r="DJ84" i="14" s="1"/>
  <c r="HW84" i="14"/>
  <c r="IM84" i="14"/>
  <c r="JC84" i="14"/>
  <c r="JS84" i="14"/>
  <c r="GQ85" i="14"/>
  <c r="HX85" i="14"/>
  <c r="HK86" i="14"/>
  <c r="IF87" i="14"/>
  <c r="HI88" i="14"/>
  <c r="IX89" i="14"/>
  <c r="JL93" i="14"/>
  <c r="EI96" i="14"/>
  <c r="DE96" i="14" s="1"/>
  <c r="GM97" i="14"/>
  <c r="GY97" i="14"/>
  <c r="HK97" i="14"/>
  <c r="HX98" i="14"/>
  <c r="IJ98" i="14"/>
  <c r="GX105" i="14"/>
  <c r="IB105" i="14"/>
  <c r="HJ105" i="14"/>
  <c r="IN105" i="14"/>
  <c r="JT82" i="14"/>
  <c r="JH82" i="14"/>
  <c r="IV82" i="14"/>
  <c r="HJ82" i="14"/>
  <c r="IX82" i="14"/>
  <c r="JK82" i="14"/>
  <c r="HY84" i="14"/>
  <c r="GS85" i="14"/>
  <c r="HY85" i="14"/>
  <c r="IO85" i="14"/>
  <c r="HB86" i="14"/>
  <c r="GP86" i="14"/>
  <c r="GJ86" i="14"/>
  <c r="HN86" i="14"/>
  <c r="GV86" i="14"/>
  <c r="HZ86" i="14"/>
  <c r="HH86" i="14"/>
  <c r="IL86" i="14"/>
  <c r="GT86" i="14"/>
  <c r="HL86" i="14"/>
  <c r="ID86" i="14"/>
  <c r="GS87" i="14"/>
  <c r="IH87" i="14"/>
  <c r="HX89" i="14"/>
  <c r="IJ89" i="14"/>
  <c r="JB89" i="14"/>
  <c r="JM93" i="14"/>
  <c r="AS94" i="14" a="1"/>
  <c r="AS94" i="14" s="1"/>
  <c r="BW94" i="14" s="1"/>
  <c r="I90" i="43" s="1"/>
  <c r="BK94" i="14" a="1"/>
  <c r="BK94" i="14" s="1"/>
  <c r="CO94" i="14" s="1"/>
  <c r="AA90" i="43" s="1"/>
  <c r="EM96" i="14"/>
  <c r="DI96" i="14" s="1"/>
  <c r="HT96" i="14"/>
  <c r="IF96" i="14"/>
  <c r="GO96" i="14"/>
  <c r="JS97" i="14"/>
  <c r="JG97" i="14"/>
  <c r="IU97" i="14"/>
  <c r="JR97" i="14"/>
  <c r="JF97" i="14"/>
  <c r="IT97" i="14"/>
  <c r="JQ97" i="14"/>
  <c r="JE97" i="14"/>
  <c r="IS97" i="14"/>
  <c r="JP97" i="14"/>
  <c r="JD97" i="14"/>
  <c r="IR97" i="14"/>
  <c r="JO97" i="14"/>
  <c r="JC97" i="14"/>
  <c r="IQ97" i="14"/>
  <c r="JN97" i="14"/>
  <c r="JB97" i="14"/>
  <c r="JM97" i="14"/>
  <c r="JA97" i="14"/>
  <c r="JL97" i="14"/>
  <c r="IZ97" i="14"/>
  <c r="JK97" i="14"/>
  <c r="IY97" i="14"/>
  <c r="JI97" i="14"/>
  <c r="IW97" i="14"/>
  <c r="HR97" i="14"/>
  <c r="ID97" i="14"/>
  <c r="IP97" i="14"/>
  <c r="IX97" i="14"/>
  <c r="HY98" i="14"/>
  <c r="GU98" i="14"/>
  <c r="IK98" i="14"/>
  <c r="HG98" i="14"/>
  <c r="GO101" i="14"/>
  <c r="HS101" i="14"/>
  <c r="HA101" i="14"/>
  <c r="IE101" i="14"/>
  <c r="EE78" i="14"/>
  <c r="DA78" i="14" s="1"/>
  <c r="AP79" i="14" a="1"/>
  <c r="AP79" i="14" s="1"/>
  <c r="BT79" i="14" s="1"/>
  <c r="F75" i="43" s="1"/>
  <c r="ED79" i="14"/>
  <c r="CZ79" i="14" s="1"/>
  <c r="IS80" i="14"/>
  <c r="JE80" i="14"/>
  <c r="JQ80" i="14"/>
  <c r="GX82" i="14"/>
  <c r="HK82" i="14"/>
  <c r="IY82" i="14"/>
  <c r="JL82" i="14"/>
  <c r="EB83" i="14"/>
  <c r="CX83" i="14" s="1"/>
  <c r="IR83" i="14" s="1"/>
  <c r="GP83" i="14"/>
  <c r="HD83" i="14"/>
  <c r="AS84" i="14" a="1"/>
  <c r="AS84" i="14" s="1"/>
  <c r="BW84" i="14" s="1"/>
  <c r="I80" i="43" s="1"/>
  <c r="EA84" i="14"/>
  <c r="CW84" i="14" s="1"/>
  <c r="EQ84" i="14"/>
  <c r="DM84" i="14" s="1"/>
  <c r="GT84" i="14"/>
  <c r="HZ84" i="14"/>
  <c r="IP84" i="14"/>
  <c r="JE84" i="14"/>
  <c r="FC85" i="14"/>
  <c r="DY85" i="14" s="1"/>
  <c r="EQ85" i="14"/>
  <c r="DM85" i="14" s="1"/>
  <c r="EE85" i="14"/>
  <c r="DA85" i="14" s="1"/>
  <c r="FA85" i="14"/>
  <c r="DW85" i="14" s="1"/>
  <c r="EO85" i="14"/>
  <c r="DK85" i="14" s="1"/>
  <c r="EC85" i="14"/>
  <c r="CY85" i="14" s="1"/>
  <c r="EV85" i="14"/>
  <c r="DR85" i="14" s="1"/>
  <c r="EJ85" i="14"/>
  <c r="DF85" i="14" s="1"/>
  <c r="BQ85" i="14" a="1"/>
  <c r="BQ85" i="14" s="1"/>
  <c r="CU85" i="14" s="1"/>
  <c r="AG81" i="43" s="1"/>
  <c r="BK85" i="14" a="1"/>
  <c r="BK85" i="14" s="1"/>
  <c r="CO85" i="14" s="1"/>
  <c r="AA81" i="43" s="1"/>
  <c r="BE85" i="14" a="1"/>
  <c r="BE85" i="14" s="1"/>
  <c r="CI85" i="14" s="1"/>
  <c r="U81" i="43" s="1"/>
  <c r="AY85" i="14" a="1"/>
  <c r="AY85" i="14" s="1"/>
  <c r="CC85" i="14" s="1"/>
  <c r="O81" i="43" s="1"/>
  <c r="AS85" i="14" a="1"/>
  <c r="AS85" i="14" s="1"/>
  <c r="BW85" i="14" s="1"/>
  <c r="I81" i="43" s="1"/>
  <c r="BI85" i="14" a="1"/>
  <c r="BI85" i="14" s="1"/>
  <c r="CM85" i="14" s="1"/>
  <c r="Y81" i="43" s="1"/>
  <c r="EA85" i="14"/>
  <c r="CW85" i="14" s="1"/>
  <c r="ER85" i="14"/>
  <c r="DN85" i="14" s="1"/>
  <c r="GK85" i="14"/>
  <c r="GW85" i="14"/>
  <c r="HI85" i="14"/>
  <c r="HJ85" i="14"/>
  <c r="HZ85" i="14"/>
  <c r="ED86" i="14"/>
  <c r="CZ86" i="14" s="1"/>
  <c r="AP86" i="14" a="1"/>
  <c r="AP86" i="14" s="1"/>
  <c r="EG86" i="14" s="1"/>
  <c r="DC86" i="14" s="1"/>
  <c r="EB86" i="14"/>
  <c r="CX86" i="14" s="1"/>
  <c r="AO86" i="14" a="1"/>
  <c r="AO86" i="14" s="1"/>
  <c r="AS86" i="14" a="1"/>
  <c r="AS86" i="14" s="1"/>
  <c r="AX86" i="14" s="1" a="1"/>
  <c r="AX86" i="14" s="1"/>
  <c r="EA86" i="14"/>
  <c r="CW86" i="14" s="1"/>
  <c r="HO86" i="14"/>
  <c r="IA86" i="14"/>
  <c r="IM86" i="14"/>
  <c r="GI87" i="14"/>
  <c r="GU87" i="14"/>
  <c r="HG87" i="14"/>
  <c r="GK88" i="14"/>
  <c r="HK88" i="14"/>
  <c r="JD89" i="14"/>
  <c r="BM90" i="14" a="1"/>
  <c r="BM90" i="14" s="1"/>
  <c r="CQ90" i="14" s="1"/>
  <c r="AC86" i="43" s="1"/>
  <c r="EO90" i="14"/>
  <c r="DK90" i="14" s="1"/>
  <c r="DS91" i="14"/>
  <c r="IM92" i="14"/>
  <c r="AS93" i="14" a="1"/>
  <c r="AS93" i="14" s="1"/>
  <c r="EO93" i="14" s="1"/>
  <c r="DK93" i="14" s="1"/>
  <c r="JN93" i="14"/>
  <c r="GO95" i="14"/>
  <c r="HA95" i="14"/>
  <c r="HT95" i="14"/>
  <c r="ES96" i="14"/>
  <c r="DO96" i="14" s="1"/>
  <c r="HU96" i="14"/>
  <c r="IG96" i="14"/>
  <c r="HS97" i="14"/>
  <c r="IE97" i="14"/>
  <c r="JH97" i="14"/>
  <c r="AQ78" i="14" a="1"/>
  <c r="AQ78" i="14" s="1"/>
  <c r="BU78" i="14" s="1"/>
  <c r="G74" i="43" s="1"/>
  <c r="EE79" i="14"/>
  <c r="DA79" i="14" s="1"/>
  <c r="IT80" i="14"/>
  <c r="JF80" i="14"/>
  <c r="JR80" i="14"/>
  <c r="IZ82" i="14"/>
  <c r="JM82" i="14"/>
  <c r="AT83" i="14" a="1"/>
  <c r="AT83" i="14" s="1"/>
  <c r="BD83" i="14" s="1" a="1"/>
  <c r="BD83" i="14" s="1"/>
  <c r="BN83" i="14" s="1" a="1"/>
  <c r="BN83" i="14" s="1"/>
  <c r="CR83" i="14" s="1"/>
  <c r="AD79" i="43" s="1"/>
  <c r="EC83" i="14"/>
  <c r="CY83" i="14" s="1"/>
  <c r="ER83" i="14"/>
  <c r="DN83" i="14" s="1"/>
  <c r="GQ83" i="14"/>
  <c r="HE83" i="14"/>
  <c r="AT84" i="14" a="1"/>
  <c r="AT84" i="14" s="1"/>
  <c r="BX84" i="14" s="1"/>
  <c r="J80" i="43" s="1"/>
  <c r="BA84" i="14" a="1"/>
  <c r="BA84" i="14" s="1"/>
  <c r="CE84" i="14" s="1"/>
  <c r="Q80" i="43" s="1"/>
  <c r="BQ84" i="14" a="1"/>
  <c r="BQ84" i="14" s="1"/>
  <c r="CU84" i="14" s="1"/>
  <c r="AG80" i="43" s="1"/>
  <c r="EB84" i="14"/>
  <c r="CX84" i="14" s="1"/>
  <c r="ES84" i="14"/>
  <c r="DO84" i="14" s="1"/>
  <c r="GL84" i="14"/>
  <c r="GX84" i="14"/>
  <c r="HJ84" i="14"/>
  <c r="HK84" i="14"/>
  <c r="IA84" i="14"/>
  <c r="IQ84" i="14"/>
  <c r="JG84" i="14"/>
  <c r="BA85" i="14" a="1"/>
  <c r="BA85" i="14" s="1"/>
  <c r="CE85" i="14" s="1"/>
  <c r="Q81" i="43" s="1"/>
  <c r="EB85" i="14"/>
  <c r="CX85" i="14" s="1"/>
  <c r="ES85" i="14"/>
  <c r="DO85" i="14" s="1"/>
  <c r="HP85" i="14"/>
  <c r="IB85" i="14"/>
  <c r="IN85" i="14"/>
  <c r="HL85" i="14"/>
  <c r="IA85" i="14"/>
  <c r="EC86" i="14"/>
  <c r="CY86" i="14" s="1"/>
  <c r="GL86" i="14"/>
  <c r="GX86" i="14"/>
  <c r="HJ86" i="14"/>
  <c r="IN86" i="14"/>
  <c r="GW86" i="14"/>
  <c r="HP86" i="14"/>
  <c r="HC87" i="14"/>
  <c r="GQ87" i="14"/>
  <c r="HA87" i="14"/>
  <c r="GO87" i="14"/>
  <c r="HN87" i="14"/>
  <c r="HZ87" i="14"/>
  <c r="IL87" i="14"/>
  <c r="GV87" i="14"/>
  <c r="JE89" i="14"/>
  <c r="ES90" i="14"/>
  <c r="DO90" i="14" s="1"/>
  <c r="JR93" i="14"/>
  <c r="BD96" i="14" a="1"/>
  <c r="BD96" i="14" s="1"/>
  <c r="CH96" i="14" s="1"/>
  <c r="T92" i="43" s="1"/>
  <c r="ET96" i="14"/>
  <c r="DP96" i="14" s="1"/>
  <c r="HV96" i="14"/>
  <c r="IH96" i="14"/>
  <c r="HT97" i="14"/>
  <c r="IF97" i="14"/>
  <c r="JJ97" i="14"/>
  <c r="GQ101" i="14"/>
  <c r="HU101" i="14"/>
  <c r="HC101" i="14"/>
  <c r="IG101" i="14"/>
  <c r="HP105" i="14"/>
  <c r="AQ79" i="14" a="1"/>
  <c r="AQ79" i="14" s="1"/>
  <c r="AV79" i="14" s="1" a="1"/>
  <c r="AV79" i="14" s="1"/>
  <c r="IU80" i="14"/>
  <c r="JG80" i="14"/>
  <c r="JS80" i="14"/>
  <c r="JA82" i="14"/>
  <c r="JN82" i="14"/>
  <c r="ED83" i="14"/>
  <c r="CZ83" i="14" s="1"/>
  <c r="GR83" i="14"/>
  <c r="HG83" i="14"/>
  <c r="IJ83" i="14"/>
  <c r="BJ84" i="14" a="1"/>
  <c r="BJ84" i="14" s="1"/>
  <c r="CN84" i="14" s="1"/>
  <c r="Z80" i="43" s="1"/>
  <c r="BR84" i="14" a="1"/>
  <c r="BR84" i="14" s="1"/>
  <c r="CV84" i="14" s="1"/>
  <c r="AH80" i="43" s="1"/>
  <c r="EC84" i="14"/>
  <c r="CY84" i="14" s="1"/>
  <c r="ET84" i="14"/>
  <c r="DP84" i="14" s="1"/>
  <c r="HQ84" i="14"/>
  <c r="IC84" i="14"/>
  <c r="IO84" i="14"/>
  <c r="IB84" i="14"/>
  <c r="IR84" i="14"/>
  <c r="AT85" i="14" a="1"/>
  <c r="AT85" i="14" s="1"/>
  <c r="BX85" i="14" s="1"/>
  <c r="J81" i="43" s="1"/>
  <c r="BB85" i="14" a="1"/>
  <c r="BB85" i="14" s="1"/>
  <c r="CF85" i="14" s="1"/>
  <c r="R81" i="43" s="1"/>
  <c r="BJ85" i="14" a="1"/>
  <c r="BJ85" i="14" s="1"/>
  <c r="CN85" i="14" s="1"/>
  <c r="Z81" i="43" s="1"/>
  <c r="BR85" i="14" a="1"/>
  <c r="BR85" i="14" s="1"/>
  <c r="CV85" i="14" s="1"/>
  <c r="AH81" i="43" s="1"/>
  <c r="ED85" i="14"/>
  <c r="CZ85" i="14" s="1"/>
  <c r="ET85" i="14"/>
  <c r="DP85" i="14" s="1"/>
  <c r="GM85" i="14"/>
  <c r="GY85" i="14"/>
  <c r="HK85" i="14"/>
  <c r="IC85" i="14"/>
  <c r="EE86" i="14"/>
  <c r="DA86" i="14" s="1"/>
  <c r="GK87" i="14"/>
  <c r="GW87" i="14"/>
  <c r="HI87" i="14"/>
  <c r="GX87" i="14"/>
  <c r="IN87" i="14"/>
  <c r="GR88" i="14"/>
  <c r="HD88" i="14"/>
  <c r="GM88" i="14"/>
  <c r="HS88" i="14"/>
  <c r="DL89" i="14"/>
  <c r="HO89" i="14"/>
  <c r="IA89" i="14"/>
  <c r="IM89" i="14"/>
  <c r="HB89" i="14"/>
  <c r="JF89" i="14"/>
  <c r="BA90" i="14" a="1"/>
  <c r="BA90" i="14" s="1"/>
  <c r="CE90" i="14" s="1"/>
  <c r="Q86" i="43" s="1"/>
  <c r="EW90" i="14"/>
  <c r="DS90" i="14" s="1"/>
  <c r="HO92" i="14"/>
  <c r="HU95" i="14"/>
  <c r="IG95" i="14"/>
  <c r="GQ95" i="14"/>
  <c r="EU96" i="14"/>
  <c r="DQ96" i="14" s="1"/>
  <c r="HW96" i="14"/>
  <c r="II96" i="14"/>
  <c r="HU97" i="14"/>
  <c r="IG97" i="14"/>
  <c r="JT97" i="14"/>
  <c r="IB98" i="14"/>
  <c r="BA99" i="14" a="1"/>
  <c r="BA99" i="14" s="1"/>
  <c r="CE99" i="14" s="1"/>
  <c r="Q95" i="43" s="1"/>
  <c r="BH99" i="14" a="1"/>
  <c r="BH99" i="14" s="1"/>
  <c r="CL99" i="14" s="1"/>
  <c r="X95" i="43" s="1"/>
  <c r="BO99" i="14" a="1"/>
  <c r="BO99" i="14" s="1"/>
  <c r="CS99" i="14" s="1"/>
  <c r="AE95" i="43" s="1"/>
  <c r="AZ99" i="14" a="1"/>
  <c r="AZ99" i="14" s="1"/>
  <c r="CD99" i="14" s="1"/>
  <c r="P95" i="43" s="1"/>
  <c r="AQ99" i="14" a="1"/>
  <c r="AQ99" i="14" s="1"/>
  <c r="BU99" i="14" s="1"/>
  <c r="G95" i="43" s="1"/>
  <c r="BG99" i="14" a="1"/>
  <c r="BG99" i="14" s="1"/>
  <c r="CK99" i="14" s="1"/>
  <c r="W95" i="43" s="1"/>
  <c r="BN99" i="14" a="1"/>
  <c r="BN99" i="14" s="1"/>
  <c r="CR99" i="14" s="1"/>
  <c r="AD95" i="43" s="1"/>
  <c r="AP99" i="14" a="1"/>
  <c r="AP99" i="14" s="1"/>
  <c r="BT99" i="14" s="1"/>
  <c r="F95" i="43" s="1"/>
  <c r="BF99" i="14" a="1"/>
  <c r="BF99" i="14" s="1"/>
  <c r="CJ99" i="14" s="1"/>
  <c r="V95" i="43" s="1"/>
  <c r="AW99" i="14" a="1"/>
  <c r="AW99" i="14" s="1"/>
  <c r="CA99" i="14" s="1"/>
  <c r="M95" i="43" s="1"/>
  <c r="BM99" i="14" a="1"/>
  <c r="BM99" i="14" s="1"/>
  <c r="CQ99" i="14" s="1"/>
  <c r="AC95" i="43" s="1"/>
  <c r="AO99" i="14" a="1"/>
  <c r="AO99" i="14" s="1"/>
  <c r="BS99" i="14" s="1"/>
  <c r="E95" i="43" s="1"/>
  <c r="AV99" i="14" a="1"/>
  <c r="AV99" i="14" s="1"/>
  <c r="BZ99" i="14" s="1"/>
  <c r="L95" i="43" s="1"/>
  <c r="BL99" i="14" a="1"/>
  <c r="BL99" i="14" s="1"/>
  <c r="CP99" i="14" s="1"/>
  <c r="AB95" i="43" s="1"/>
  <c r="BC99" i="14" a="1"/>
  <c r="BC99" i="14" s="1"/>
  <c r="CG99" i="14" s="1"/>
  <c r="S95" i="43" s="1"/>
  <c r="BB99" i="14" a="1"/>
  <c r="BB99" i="14" s="1"/>
  <c r="CF99" i="14" s="1"/>
  <c r="R95" i="43" s="1"/>
  <c r="AR78" i="14" a="1"/>
  <c r="AR78" i="14" s="1"/>
  <c r="IV80" i="14"/>
  <c r="JH80" i="14"/>
  <c r="HX82" i="14"/>
  <c r="IJ82" i="14"/>
  <c r="JB82" i="14"/>
  <c r="JO82" i="14"/>
  <c r="AU83" i="14" a="1"/>
  <c r="AU83" i="14" s="1"/>
  <c r="EF83" i="14"/>
  <c r="DB83" i="14" s="1"/>
  <c r="GS83" i="14"/>
  <c r="JT84" i="14"/>
  <c r="JH84" i="14"/>
  <c r="IV84" i="14"/>
  <c r="JR84" i="14"/>
  <c r="JF84" i="14"/>
  <c r="IT84" i="14"/>
  <c r="JM84" i="14"/>
  <c r="JA84" i="14"/>
  <c r="AU84" i="14" a="1"/>
  <c r="AU84" i="14" s="1"/>
  <c r="BY84" i="14" s="1"/>
  <c r="K80" i="43" s="1"/>
  <c r="EE84" i="14"/>
  <c r="DA84" i="14" s="1"/>
  <c r="EU84" i="14"/>
  <c r="DQ84" i="14" s="1"/>
  <c r="GN84" i="14"/>
  <c r="GZ84" i="14"/>
  <c r="HL84" i="14"/>
  <c r="ID84" i="14"/>
  <c r="IS84" i="14"/>
  <c r="JJ84" i="14"/>
  <c r="BC85" i="14" a="1"/>
  <c r="BC85" i="14" s="1"/>
  <c r="CG85" i="14" s="1"/>
  <c r="S81" i="43" s="1"/>
  <c r="EF85" i="14"/>
  <c r="DB85" i="14" s="1"/>
  <c r="EU85" i="14"/>
  <c r="DQ85" i="14" s="1"/>
  <c r="GX85" i="14"/>
  <c r="HT87" i="14"/>
  <c r="GS88" i="14"/>
  <c r="HE88" i="14"/>
  <c r="GQ88" i="14"/>
  <c r="DU89" i="14"/>
  <c r="HP89" i="14"/>
  <c r="IB89" i="14"/>
  <c r="IN89" i="14"/>
  <c r="IG89" i="14"/>
  <c r="JJ89" i="14"/>
  <c r="EY90" i="14"/>
  <c r="DU90" i="14" s="1"/>
  <c r="GM92" i="14"/>
  <c r="AV93" i="14" a="1"/>
  <c r="AV93" i="14" s="1"/>
  <c r="AY94" i="14" a="1"/>
  <c r="AY94" i="14" s="1"/>
  <c r="CC94" i="14" s="1"/>
  <c r="O90" i="43" s="1"/>
  <c r="BQ94" i="14" a="1"/>
  <c r="BQ94" i="14" s="1"/>
  <c r="CU94" i="14" s="1"/>
  <c r="AG90" i="43" s="1"/>
  <c r="HV95" i="14"/>
  <c r="IH95" i="14"/>
  <c r="GR95" i="14"/>
  <c r="IB95" i="14"/>
  <c r="EY96" i="14"/>
  <c r="DU96" i="14" s="1"/>
  <c r="HX96" i="14"/>
  <c r="IJ96" i="14"/>
  <c r="HV97" i="14"/>
  <c r="IH97" i="14"/>
  <c r="HJ120" i="14"/>
  <c r="GX120" i="14"/>
  <c r="GL120" i="14"/>
  <c r="HE120" i="14"/>
  <c r="GS120" i="14"/>
  <c r="HC120" i="14"/>
  <c r="GQ120" i="14"/>
  <c r="GM120" i="14"/>
  <c r="GY120" i="14"/>
  <c r="HK120" i="14"/>
  <c r="HH132" i="14"/>
  <c r="GV132" i="14"/>
  <c r="GJ132" i="14"/>
  <c r="HK132" i="14"/>
  <c r="GW132" i="14"/>
  <c r="HI132" i="14"/>
  <c r="GT132" i="14"/>
  <c r="HF132" i="14"/>
  <c r="GO132" i="14"/>
  <c r="GN132" i="14"/>
  <c r="EG97" i="14"/>
  <c r="DC97" i="14" s="1"/>
  <c r="ES97" i="14"/>
  <c r="DO97" i="14" s="1"/>
  <c r="HM97" i="14"/>
  <c r="HY97" i="14"/>
  <c r="IK97" i="14"/>
  <c r="GN98" i="14"/>
  <c r="HA98" i="14"/>
  <c r="HP98" i="14"/>
  <c r="IF98" i="14"/>
  <c r="HC99" i="14"/>
  <c r="HU99" i="14"/>
  <c r="IG100" i="14"/>
  <c r="GM105" i="14"/>
  <c r="GY105" i="14"/>
  <c r="HK105" i="14"/>
  <c r="HQ105" i="14"/>
  <c r="FC120" i="14"/>
  <c r="DY120" i="14" s="1"/>
  <c r="EQ120" i="14"/>
  <c r="DM120" i="14" s="1"/>
  <c r="EE120" i="14"/>
  <c r="DA120" i="14" s="1"/>
  <c r="FB120" i="14"/>
  <c r="DX120" i="14" s="1"/>
  <c r="EP120" i="14"/>
  <c r="DL120" i="14" s="1"/>
  <c r="ED120" i="14"/>
  <c r="CZ120" i="14" s="1"/>
  <c r="FA120" i="14"/>
  <c r="DW120" i="14" s="1"/>
  <c r="EO120" i="14"/>
  <c r="DK120" i="14" s="1"/>
  <c r="EC120" i="14"/>
  <c r="CY120" i="14" s="1"/>
  <c r="EZ120" i="14"/>
  <c r="DV120" i="14" s="1"/>
  <c r="EN120" i="14"/>
  <c r="DJ120" i="14" s="1"/>
  <c r="EB120" i="14"/>
  <c r="CX120" i="14" s="1"/>
  <c r="EY120" i="14"/>
  <c r="DU120" i="14" s="1"/>
  <c r="EM120" i="14"/>
  <c r="DI120" i="14" s="1"/>
  <c r="EA120" i="14"/>
  <c r="CW120" i="14" s="1"/>
  <c r="EX120" i="14"/>
  <c r="DT120" i="14" s="1"/>
  <c r="EL120" i="14"/>
  <c r="DH120" i="14" s="1"/>
  <c r="EW120" i="14"/>
  <c r="DS120" i="14" s="1"/>
  <c r="EK120" i="14"/>
  <c r="DG120" i="14" s="1"/>
  <c r="EV120" i="14"/>
  <c r="DR120" i="14" s="1"/>
  <c r="EJ120" i="14"/>
  <c r="DF120" i="14" s="1"/>
  <c r="EU120" i="14"/>
  <c r="DQ120" i="14" s="1"/>
  <c r="EI120" i="14"/>
  <c r="DE120" i="14" s="1"/>
  <c r="EF120" i="14"/>
  <c r="DB120" i="14" s="1"/>
  <c r="GX132" i="14"/>
  <c r="HJ132" i="14"/>
  <c r="HR105" i="14"/>
  <c r="EG120" i="14"/>
  <c r="DC120" i="14" s="1"/>
  <c r="GN120" i="14"/>
  <c r="GY129" i="14"/>
  <c r="GL129" i="14"/>
  <c r="HJ129" i="14"/>
  <c r="HD129" i="14"/>
  <c r="GQ129" i="14"/>
  <c r="GR129" i="14"/>
  <c r="HA129" i="14"/>
  <c r="HI131" i="14"/>
  <c r="GW131" i="14"/>
  <c r="GK131" i="14"/>
  <c r="HF131" i="14"/>
  <c r="GR131" i="14"/>
  <c r="HD131" i="14"/>
  <c r="GM131" i="14"/>
  <c r="GL131" i="14"/>
  <c r="HJ131" i="14"/>
  <c r="HM87" i="14"/>
  <c r="HY87" i="14"/>
  <c r="IK87" i="14"/>
  <c r="GN88" i="14"/>
  <c r="GZ88" i="14"/>
  <c r="HL88" i="14"/>
  <c r="HX88" i="14"/>
  <c r="IJ88" i="14"/>
  <c r="GM89" i="14"/>
  <c r="GY89" i="14"/>
  <c r="HK89" i="14"/>
  <c r="HW89" i="14"/>
  <c r="II89" i="14"/>
  <c r="EC91" i="14"/>
  <c r="CY91" i="14" s="1"/>
  <c r="EO91" i="14"/>
  <c r="DK91" i="14" s="1"/>
  <c r="FA91" i="14"/>
  <c r="DW91" i="14" s="1"/>
  <c r="AO92" i="14" a="1"/>
  <c r="AO92" i="14" s="1"/>
  <c r="BS92" i="14" s="1"/>
  <c r="E88" i="43" s="1"/>
  <c r="AU92" i="14" a="1"/>
  <c r="AU92" i="14" s="1"/>
  <c r="BY92" i="14" s="1"/>
  <c r="K88" i="43" s="1"/>
  <c r="BA92" i="14" a="1"/>
  <c r="BA92" i="14" s="1"/>
  <c r="CE92" i="14" s="1"/>
  <c r="Q88" i="43" s="1"/>
  <c r="BG92" i="14" a="1"/>
  <c r="BG92" i="14" s="1"/>
  <c r="CK92" i="14" s="1"/>
  <c r="W88" i="43" s="1"/>
  <c r="BM92" i="14" a="1"/>
  <c r="BM92" i="14" s="1"/>
  <c r="CQ92" i="14" s="1"/>
  <c r="AC88" i="43" s="1"/>
  <c r="EB92" i="14"/>
  <c r="CX92" i="14" s="1"/>
  <c r="EN92" i="14"/>
  <c r="DJ92" i="14" s="1"/>
  <c r="EZ92" i="14"/>
  <c r="DV92" i="14" s="1"/>
  <c r="GJ92" i="14"/>
  <c r="GV92" i="14"/>
  <c r="HH92" i="14"/>
  <c r="HT92" i="14"/>
  <c r="IF92" i="14"/>
  <c r="JB94" i="14"/>
  <c r="JN94" i="14"/>
  <c r="HQ95" i="14"/>
  <c r="IC95" i="14"/>
  <c r="IO95" i="14"/>
  <c r="JA95" i="14"/>
  <c r="JM95" i="14"/>
  <c r="GR96" i="14"/>
  <c r="HD96" i="14"/>
  <c r="HP96" i="14"/>
  <c r="IB96" i="14"/>
  <c r="IN96" i="14"/>
  <c r="IZ96" i="14"/>
  <c r="JL96" i="14"/>
  <c r="EI97" i="14"/>
  <c r="DE97" i="14" s="1"/>
  <c r="EU97" i="14"/>
  <c r="DQ97" i="14" s="1"/>
  <c r="HO97" i="14"/>
  <c r="IA97" i="14"/>
  <c r="IM97" i="14"/>
  <c r="HN98" i="14"/>
  <c r="HZ98" i="14"/>
  <c r="IL98" i="14"/>
  <c r="GQ98" i="14"/>
  <c r="HD98" i="14"/>
  <c r="IH98" i="14"/>
  <c r="IW98" i="14"/>
  <c r="JO98" i="14"/>
  <c r="JN99" i="14"/>
  <c r="JB99" i="14"/>
  <c r="JL99" i="14"/>
  <c r="IZ99" i="14"/>
  <c r="JJ99" i="14"/>
  <c r="IX99" i="14"/>
  <c r="JI99" i="14"/>
  <c r="IW99" i="14"/>
  <c r="DE99" i="14"/>
  <c r="GM99" i="14"/>
  <c r="HG99" i="14"/>
  <c r="IQ99" i="14"/>
  <c r="JG99" i="14"/>
  <c r="GN100" i="14"/>
  <c r="GZ100" i="14"/>
  <c r="HL100" i="14"/>
  <c r="HI100" i="14"/>
  <c r="JP100" i="14"/>
  <c r="HE102" i="14"/>
  <c r="HF102" i="14"/>
  <c r="AU103" i="14" a="1"/>
  <c r="AU103" i="14" s="1"/>
  <c r="BY103" i="14" s="1"/>
  <c r="K99" i="43" s="1"/>
  <c r="AT104" i="14" a="1"/>
  <c r="AT104" i="14" s="1"/>
  <c r="BX104" i="14" s="1"/>
  <c r="J100" i="43" s="1"/>
  <c r="BL104" i="14" a="1"/>
  <c r="BL104" i="14" s="1"/>
  <c r="CP104" i="14" s="1"/>
  <c r="AB100" i="43" s="1"/>
  <c r="HE104" i="14"/>
  <c r="IO104" i="14"/>
  <c r="GQ105" i="14"/>
  <c r="JK105" i="14"/>
  <c r="EU108" i="14"/>
  <c r="DQ108" i="14" s="1"/>
  <c r="GL109" i="14"/>
  <c r="GX109" i="14"/>
  <c r="HJ109" i="14"/>
  <c r="HL109" i="14"/>
  <c r="FC110" i="14"/>
  <c r="DY110" i="14" s="1"/>
  <c r="GM116" i="14"/>
  <c r="GY116" i="14"/>
  <c r="HK116" i="14"/>
  <c r="HA117" i="14"/>
  <c r="GO117" i="14"/>
  <c r="HF117" i="14"/>
  <c r="GT117" i="14"/>
  <c r="GI117" i="14"/>
  <c r="GU117" i="14"/>
  <c r="HG117" i="14"/>
  <c r="GO118" i="14"/>
  <c r="HA118" i="14"/>
  <c r="GP118" i="14"/>
  <c r="EH120" i="14"/>
  <c r="DD120" i="14" s="1"/>
  <c r="GO120" i="14"/>
  <c r="HH122" i="14"/>
  <c r="GV122" i="14"/>
  <c r="GJ122" i="14"/>
  <c r="HC122" i="14"/>
  <c r="GQ122" i="14"/>
  <c r="HA122" i="14"/>
  <c r="GO122" i="14"/>
  <c r="HB129" i="14"/>
  <c r="DU131" i="14"/>
  <c r="HL132" i="14"/>
  <c r="FD152" i="14"/>
  <c r="DZ152" i="14" s="1"/>
  <c r="ER152" i="14"/>
  <c r="DN152" i="14" s="1"/>
  <c r="EF152" i="14"/>
  <c r="DB152" i="14" s="1"/>
  <c r="FC152" i="14"/>
  <c r="DY152" i="14" s="1"/>
  <c r="EQ152" i="14"/>
  <c r="DM152" i="14" s="1"/>
  <c r="EE152" i="14"/>
  <c r="DA152" i="14" s="1"/>
  <c r="FB152" i="14"/>
  <c r="DX152" i="14" s="1"/>
  <c r="EP152" i="14"/>
  <c r="DL152" i="14" s="1"/>
  <c r="ED152" i="14"/>
  <c r="CZ152" i="14" s="1"/>
  <c r="FA152" i="14"/>
  <c r="DW152" i="14" s="1"/>
  <c r="EO152" i="14"/>
  <c r="DK152" i="14" s="1"/>
  <c r="EC152" i="14"/>
  <c r="CY152" i="14" s="1"/>
  <c r="EZ152" i="14"/>
  <c r="DV152" i="14" s="1"/>
  <c r="EN152" i="14"/>
  <c r="DJ152" i="14" s="1"/>
  <c r="EB152" i="14"/>
  <c r="CX152" i="14" s="1"/>
  <c r="EY152" i="14"/>
  <c r="DU152" i="14" s="1"/>
  <c r="EM152" i="14"/>
  <c r="DI152" i="14" s="1"/>
  <c r="EA152" i="14"/>
  <c r="CW152" i="14" s="1"/>
  <c r="EX152" i="14"/>
  <c r="DT152" i="14" s="1"/>
  <c r="EL152" i="14"/>
  <c r="DH152" i="14" s="1"/>
  <c r="EW152" i="14"/>
  <c r="DS152" i="14" s="1"/>
  <c r="EK152" i="14"/>
  <c r="DG152" i="14" s="1"/>
  <c r="EU152" i="14"/>
  <c r="DQ152" i="14" s="1"/>
  <c r="EI152" i="14"/>
  <c r="DE152" i="14" s="1"/>
  <c r="EG152" i="14"/>
  <c r="DC152" i="14" s="1"/>
  <c r="EV152" i="14"/>
  <c r="DR152" i="14" s="1"/>
  <c r="ET152" i="14"/>
  <c r="DP152" i="14" s="1"/>
  <c r="ES152" i="14"/>
  <c r="DO152" i="14" s="1"/>
  <c r="EJ152" i="14"/>
  <c r="DF152" i="14" s="1"/>
  <c r="AR87" i="14" a="1"/>
  <c r="AR87" i="14" s="1"/>
  <c r="BV87" i="14" s="1"/>
  <c r="H83" i="43" s="1"/>
  <c r="EG88" i="14"/>
  <c r="DC88" i="14" s="1"/>
  <c r="ES88" i="14"/>
  <c r="DO88" i="14" s="1"/>
  <c r="AQ89" i="14" a="1"/>
  <c r="AQ89" i="14" s="1"/>
  <c r="BU89" i="14" s="1"/>
  <c r="G85" i="43" s="1"/>
  <c r="AW89" i="14" a="1"/>
  <c r="AW89" i="14" s="1"/>
  <c r="CA89" i="14" s="1"/>
  <c r="M85" i="43" s="1"/>
  <c r="BC89" i="14" a="1"/>
  <c r="BC89" i="14" s="1"/>
  <c r="CG89" i="14" s="1"/>
  <c r="S85" i="43" s="1"/>
  <c r="BI89" i="14" a="1"/>
  <c r="BI89" i="14" s="1"/>
  <c r="CM89" i="14" s="1"/>
  <c r="Y85" i="43" s="1"/>
  <c r="BO89" i="14" a="1"/>
  <c r="BO89" i="14" s="1"/>
  <c r="CS89" i="14" s="1"/>
  <c r="AE85" i="43" s="1"/>
  <c r="EF89" i="14"/>
  <c r="DB89" i="14" s="1"/>
  <c r="ER89" i="14"/>
  <c r="DN89" i="14" s="1"/>
  <c r="FD89" i="14"/>
  <c r="DZ89" i="14" s="1"/>
  <c r="AP91" i="14" a="1"/>
  <c r="AP91" i="14" s="1"/>
  <c r="BT91" i="14" s="1"/>
  <c r="F87" i="43" s="1"/>
  <c r="AV91" i="14" a="1"/>
  <c r="AV91" i="14" s="1"/>
  <c r="BZ91" i="14" s="1"/>
  <c r="L87" i="43" s="1"/>
  <c r="BB91" i="14" a="1"/>
  <c r="BB91" i="14" s="1"/>
  <c r="CF91" i="14" s="1"/>
  <c r="R87" i="43" s="1"/>
  <c r="BH91" i="14" a="1"/>
  <c r="BH91" i="14" s="1"/>
  <c r="CL91" i="14" s="1"/>
  <c r="X87" i="43" s="1"/>
  <c r="BN91" i="14" a="1"/>
  <c r="BN91" i="14" s="1"/>
  <c r="CR91" i="14" s="1"/>
  <c r="AD87" i="43" s="1"/>
  <c r="ED91" i="14"/>
  <c r="CZ91" i="14" s="1"/>
  <c r="EP91" i="14"/>
  <c r="DL91" i="14" s="1"/>
  <c r="FB91" i="14"/>
  <c r="DX91" i="14" s="1"/>
  <c r="EC92" i="14"/>
  <c r="CY92" i="14" s="1"/>
  <c r="EO92" i="14"/>
  <c r="DK92" i="14" s="1"/>
  <c r="FA92" i="14"/>
  <c r="DW92" i="14" s="1"/>
  <c r="IQ94" i="14"/>
  <c r="JC94" i="14"/>
  <c r="JO94" i="14"/>
  <c r="AT95" i="14" a="1"/>
  <c r="AT95" i="14" s="1"/>
  <c r="EG95" i="14" s="1"/>
  <c r="DC95" i="14" s="1"/>
  <c r="AZ95" i="14" a="1"/>
  <c r="AZ95" i="14" s="1"/>
  <c r="BF95" i="14" a="1"/>
  <c r="BF95" i="14" s="1"/>
  <c r="CJ95" i="14" s="1"/>
  <c r="V91" i="43" s="1"/>
  <c r="BL95" i="14" a="1"/>
  <c r="BL95" i="14" s="1"/>
  <c r="BR95" i="14" a="1"/>
  <c r="BR95" i="14" s="1"/>
  <c r="CV95" i="14" s="1"/>
  <c r="AH91" i="43" s="1"/>
  <c r="GT95" i="14"/>
  <c r="HF95" i="14"/>
  <c r="HR95" i="14"/>
  <c r="ID95" i="14"/>
  <c r="IP95" i="14"/>
  <c r="JB95" i="14"/>
  <c r="JN95" i="14"/>
  <c r="GS96" i="14"/>
  <c r="HQ96" i="14"/>
  <c r="IC96" i="14"/>
  <c r="IO96" i="14"/>
  <c r="JA96" i="14"/>
  <c r="JM96" i="14"/>
  <c r="AS97" i="14" a="1"/>
  <c r="AS97" i="14" s="1"/>
  <c r="BW97" i="14" s="1"/>
  <c r="I93" i="43" s="1"/>
  <c r="AY97" i="14" a="1"/>
  <c r="AY97" i="14" s="1"/>
  <c r="CC97" i="14" s="1"/>
  <c r="O93" i="43" s="1"/>
  <c r="BE97" i="14" a="1"/>
  <c r="BE97" i="14" s="1"/>
  <c r="CI97" i="14" s="1"/>
  <c r="U93" i="43" s="1"/>
  <c r="BK97" i="14" a="1"/>
  <c r="BK97" i="14" s="1"/>
  <c r="CO97" i="14" s="1"/>
  <c r="AA93" i="43" s="1"/>
  <c r="BQ97" i="14" a="1"/>
  <c r="BQ97" i="14" s="1"/>
  <c r="CU97" i="14" s="1"/>
  <c r="AG93" i="43" s="1"/>
  <c r="EJ97" i="14"/>
  <c r="DF97" i="14" s="1"/>
  <c r="EV97" i="14"/>
  <c r="DR97" i="14" s="1"/>
  <c r="GR97" i="14"/>
  <c r="HD97" i="14"/>
  <c r="HP97" i="14"/>
  <c r="IB97" i="14"/>
  <c r="IN97" i="14"/>
  <c r="HO98" i="14"/>
  <c r="IA98" i="14"/>
  <c r="IM98" i="14"/>
  <c r="GR98" i="14"/>
  <c r="IZ98" i="14"/>
  <c r="JP98" i="14"/>
  <c r="GT99" i="14"/>
  <c r="HF99" i="14"/>
  <c r="GN99" i="14"/>
  <c r="HX99" i="14"/>
  <c r="IR99" i="14"/>
  <c r="JH99" i="14"/>
  <c r="HS100" i="14"/>
  <c r="IE100" i="14"/>
  <c r="GJ100" i="14"/>
  <c r="IP100" i="14"/>
  <c r="JQ100" i="14"/>
  <c r="HT101" i="14"/>
  <c r="HG102" i="14"/>
  <c r="HF104" i="14"/>
  <c r="IP104" i="14"/>
  <c r="AZ105" i="14" a="1"/>
  <c r="AZ105" i="14" s="1"/>
  <c r="CD105" i="14" s="1"/>
  <c r="P101" i="43" s="1"/>
  <c r="BR105" i="14" a="1"/>
  <c r="BR105" i="14" s="1"/>
  <c r="CV105" i="14" s="1"/>
  <c r="AH101" i="43" s="1"/>
  <c r="GP105" i="14"/>
  <c r="HB105" i="14"/>
  <c r="GR105" i="14"/>
  <c r="JL105" i="14"/>
  <c r="HJ108" i="14"/>
  <c r="GX108" i="14"/>
  <c r="GL108" i="14"/>
  <c r="HE108" i="14"/>
  <c r="GS108" i="14"/>
  <c r="GT108" i="14"/>
  <c r="HF108" i="14"/>
  <c r="HA108" i="14"/>
  <c r="HH110" i="14"/>
  <c r="GV110" i="14"/>
  <c r="GJ110" i="14"/>
  <c r="HC110" i="14"/>
  <c r="GQ110" i="14"/>
  <c r="GT110" i="14"/>
  <c r="HF110" i="14"/>
  <c r="GY110" i="14"/>
  <c r="CZ111" i="14"/>
  <c r="GL111" i="14"/>
  <c r="HB116" i="14"/>
  <c r="GN116" i="14"/>
  <c r="GZ116" i="14"/>
  <c r="HL116" i="14"/>
  <c r="DO118" i="14"/>
  <c r="GQ118" i="14"/>
  <c r="ER120" i="14"/>
  <c r="DN120" i="14" s="1"/>
  <c r="GP120" i="14"/>
  <c r="GO128" i="14"/>
  <c r="HA128" i="14"/>
  <c r="GR128" i="14"/>
  <c r="GT129" i="14"/>
  <c r="HF129" i="14"/>
  <c r="HC129" i="14"/>
  <c r="EL130" i="14"/>
  <c r="DH130" i="14" s="1"/>
  <c r="GN131" i="14"/>
  <c r="GZ131" i="14"/>
  <c r="GK132" i="14"/>
  <c r="HO87" i="14"/>
  <c r="IA87" i="14"/>
  <c r="IM87" i="14"/>
  <c r="GP88" i="14"/>
  <c r="HB88" i="14"/>
  <c r="HN88" i="14"/>
  <c r="HZ88" i="14"/>
  <c r="IL88" i="14"/>
  <c r="EG89" i="14"/>
  <c r="DC89" i="14" s="1"/>
  <c r="ES89" i="14"/>
  <c r="DO89" i="14" s="1"/>
  <c r="GO89" i="14"/>
  <c r="HM89" i="14"/>
  <c r="HY89" i="14"/>
  <c r="IK89" i="14"/>
  <c r="EE91" i="14"/>
  <c r="DA91" i="14" s="1"/>
  <c r="EQ91" i="14"/>
  <c r="DM91" i="14" s="1"/>
  <c r="FC91" i="14"/>
  <c r="DY91" i="14" s="1"/>
  <c r="AP92" i="14" a="1"/>
  <c r="AP92" i="14" s="1"/>
  <c r="BT92" i="14" s="1"/>
  <c r="F88" i="43" s="1"/>
  <c r="AV92" i="14" a="1"/>
  <c r="AV92" i="14" s="1"/>
  <c r="BZ92" i="14" s="1"/>
  <c r="L88" i="43" s="1"/>
  <c r="BB92" i="14" a="1"/>
  <c r="BB92" i="14" s="1"/>
  <c r="CF92" i="14" s="1"/>
  <c r="R88" i="43" s="1"/>
  <c r="BH92" i="14" a="1"/>
  <c r="BH92" i="14" s="1"/>
  <c r="CL92" i="14" s="1"/>
  <c r="X88" i="43" s="1"/>
  <c r="BN92" i="14" a="1"/>
  <c r="BN92" i="14" s="1"/>
  <c r="CR92" i="14" s="1"/>
  <c r="AD88" i="43" s="1"/>
  <c r="ED92" i="14"/>
  <c r="CZ92" i="14" s="1"/>
  <c r="EP92" i="14"/>
  <c r="DL92" i="14" s="1"/>
  <c r="FB92" i="14"/>
  <c r="DX92" i="14" s="1"/>
  <c r="GL92" i="14"/>
  <c r="GX92" i="14"/>
  <c r="HJ92" i="14"/>
  <c r="HV92" i="14"/>
  <c r="IH92" i="14"/>
  <c r="IR94" i="14"/>
  <c r="JD94" i="14"/>
  <c r="JP94" i="14"/>
  <c r="HS95" i="14"/>
  <c r="IE95" i="14"/>
  <c r="HR96" i="14"/>
  <c r="ID96" i="14"/>
  <c r="IP96" i="14"/>
  <c r="JB96" i="14"/>
  <c r="JN96" i="14"/>
  <c r="EK97" i="14"/>
  <c r="DG97" i="14" s="1"/>
  <c r="EW97" i="14"/>
  <c r="DS97" i="14" s="1"/>
  <c r="HQ97" i="14"/>
  <c r="IC97" i="14"/>
  <c r="IO97" i="14"/>
  <c r="HF98" i="14"/>
  <c r="HU98" i="14"/>
  <c r="JB98" i="14"/>
  <c r="IA99" i="14"/>
  <c r="HG100" i="14"/>
  <c r="GU100" i="14"/>
  <c r="GI100" i="14"/>
  <c r="GP100" i="14"/>
  <c r="HB100" i="14"/>
  <c r="GK100" i="14"/>
  <c r="HK100" i="14"/>
  <c r="IR100" i="14"/>
  <c r="IC105" i="14"/>
  <c r="FC108" i="14"/>
  <c r="DY108" i="14" s="1"/>
  <c r="EQ108" i="14"/>
  <c r="DM108" i="14" s="1"/>
  <c r="EE108" i="14"/>
  <c r="DA108" i="14" s="1"/>
  <c r="FB108" i="14"/>
  <c r="DX108" i="14" s="1"/>
  <c r="EP108" i="14"/>
  <c r="DL108" i="14" s="1"/>
  <c r="ED108" i="14"/>
  <c r="CZ108" i="14" s="1"/>
  <c r="FA108" i="14"/>
  <c r="DW108" i="14" s="1"/>
  <c r="EO108" i="14"/>
  <c r="DK108" i="14" s="1"/>
  <c r="EC108" i="14"/>
  <c r="CY108" i="14" s="1"/>
  <c r="EZ108" i="14"/>
  <c r="DV108" i="14" s="1"/>
  <c r="EN108" i="14"/>
  <c r="DJ108" i="14" s="1"/>
  <c r="EB108" i="14"/>
  <c r="CX108" i="14" s="1"/>
  <c r="EY108" i="14"/>
  <c r="DU108" i="14" s="1"/>
  <c r="EM108" i="14"/>
  <c r="DI108" i="14" s="1"/>
  <c r="EA108" i="14"/>
  <c r="CW108" i="14" s="1"/>
  <c r="EX108" i="14"/>
  <c r="DT108" i="14" s="1"/>
  <c r="EL108" i="14"/>
  <c r="DH108" i="14" s="1"/>
  <c r="EW108" i="14"/>
  <c r="DS108" i="14" s="1"/>
  <c r="EK108" i="14"/>
  <c r="DG108" i="14" s="1"/>
  <c r="EV108" i="14"/>
  <c r="DR108" i="14" s="1"/>
  <c r="EJ108" i="14"/>
  <c r="DF108" i="14" s="1"/>
  <c r="FA110" i="14"/>
  <c r="DW110" i="14" s="1"/>
  <c r="EO110" i="14"/>
  <c r="DK110" i="14" s="1"/>
  <c r="EC110" i="14"/>
  <c r="CY110" i="14" s="1"/>
  <c r="EZ110" i="14"/>
  <c r="DV110" i="14" s="1"/>
  <c r="EN110" i="14"/>
  <c r="DJ110" i="14" s="1"/>
  <c r="EB110" i="14"/>
  <c r="CX110" i="14" s="1"/>
  <c r="EY110" i="14"/>
  <c r="DU110" i="14" s="1"/>
  <c r="EM110" i="14"/>
  <c r="DI110" i="14" s="1"/>
  <c r="EA110" i="14"/>
  <c r="CW110" i="14" s="1"/>
  <c r="EX110" i="14"/>
  <c r="DT110" i="14" s="1"/>
  <c r="EL110" i="14"/>
  <c r="DH110" i="14" s="1"/>
  <c r="EW110" i="14"/>
  <c r="DS110" i="14" s="1"/>
  <c r="EK110" i="14"/>
  <c r="DG110" i="14" s="1"/>
  <c r="EV110" i="14"/>
  <c r="DR110" i="14" s="1"/>
  <c r="EJ110" i="14"/>
  <c r="DF110" i="14" s="1"/>
  <c r="EU110" i="14"/>
  <c r="DQ110" i="14" s="1"/>
  <c r="EI110" i="14"/>
  <c r="DE110" i="14" s="1"/>
  <c r="ET110" i="14"/>
  <c r="DP110" i="14" s="1"/>
  <c r="EH110" i="14"/>
  <c r="DD110" i="14" s="1"/>
  <c r="GO116" i="14"/>
  <c r="HA116" i="14"/>
  <c r="GR116" i="14"/>
  <c r="DY118" i="14"/>
  <c r="DM118" i="14"/>
  <c r="CW118" i="14"/>
  <c r="ES120" i="14"/>
  <c r="DO120" i="14" s="1"/>
  <c r="GR120" i="14"/>
  <c r="HD120" i="14"/>
  <c r="GZ120" i="14"/>
  <c r="DL122" i="14"/>
  <c r="GL122" i="14"/>
  <c r="GS128" i="14"/>
  <c r="GI129" i="14"/>
  <c r="GU129" i="14"/>
  <c r="HG129" i="14"/>
  <c r="GO131" i="14"/>
  <c r="HA131" i="14"/>
  <c r="GI131" i="14"/>
  <c r="GP132" i="14"/>
  <c r="HB132" i="14"/>
  <c r="GL132" i="14"/>
  <c r="EL97" i="14"/>
  <c r="DH97" i="14" s="1"/>
  <c r="EX97" i="14"/>
  <c r="DT97" i="14" s="1"/>
  <c r="HQ98" i="14"/>
  <c r="IC98" i="14"/>
  <c r="IO98" i="14"/>
  <c r="GT98" i="14"/>
  <c r="HV98" i="14"/>
  <c r="HP104" i="14"/>
  <c r="HA105" i="14"/>
  <c r="GO105" i="14"/>
  <c r="GT105" i="14"/>
  <c r="ID105" i="14"/>
  <c r="ET120" i="14"/>
  <c r="DP120" i="14" s="1"/>
  <c r="HA120" i="14"/>
  <c r="GP122" i="14"/>
  <c r="HB122" i="14"/>
  <c r="GM122" i="14"/>
  <c r="GQ128" i="14"/>
  <c r="HC128" i="14"/>
  <c r="GJ129" i="14"/>
  <c r="GV129" i="14"/>
  <c r="HH129" i="14"/>
  <c r="EV130" i="14"/>
  <c r="DR130" i="14" s="1"/>
  <c r="EJ130" i="14"/>
  <c r="DF130" i="14" s="1"/>
  <c r="EW130" i="14"/>
  <c r="DS130" i="14" s="1"/>
  <c r="EI130" i="14"/>
  <c r="DE130" i="14" s="1"/>
  <c r="EU130" i="14"/>
  <c r="DQ130" i="14" s="1"/>
  <c r="EH130" i="14"/>
  <c r="DD130" i="14" s="1"/>
  <c r="ET130" i="14"/>
  <c r="DP130" i="14" s="1"/>
  <c r="EG130" i="14"/>
  <c r="DC130" i="14" s="1"/>
  <c r="ES130" i="14"/>
  <c r="DO130" i="14" s="1"/>
  <c r="EF130" i="14"/>
  <c r="DB130" i="14" s="1"/>
  <c r="ER130" i="14"/>
  <c r="DN130" i="14" s="1"/>
  <c r="EE130" i="14"/>
  <c r="DA130" i="14" s="1"/>
  <c r="FD130" i="14"/>
  <c r="DZ130" i="14" s="1"/>
  <c r="EQ130" i="14"/>
  <c r="DM130" i="14" s="1"/>
  <c r="ED130" i="14"/>
  <c r="CZ130" i="14" s="1"/>
  <c r="FC130" i="14"/>
  <c r="DY130" i="14" s="1"/>
  <c r="EP130" i="14"/>
  <c r="DL130" i="14" s="1"/>
  <c r="EC130" i="14"/>
  <c r="CY130" i="14" s="1"/>
  <c r="FB130" i="14"/>
  <c r="DX130" i="14" s="1"/>
  <c r="EO130" i="14"/>
  <c r="DK130" i="14" s="1"/>
  <c r="EB130" i="14"/>
  <c r="CX130" i="14" s="1"/>
  <c r="FA130" i="14"/>
  <c r="DW130" i="14" s="1"/>
  <c r="EN130" i="14"/>
  <c r="DJ130" i="14" s="1"/>
  <c r="EA130" i="14"/>
  <c r="CW130" i="14" s="1"/>
  <c r="EX130" i="14"/>
  <c r="DT130" i="14" s="1"/>
  <c r="GP131" i="14"/>
  <c r="HB131" i="14"/>
  <c r="GJ131" i="14"/>
  <c r="GQ132" i="14"/>
  <c r="HC132" i="14"/>
  <c r="GM132" i="14"/>
  <c r="EG91" i="14"/>
  <c r="DC91" i="14" s="1"/>
  <c r="ES91" i="14"/>
  <c r="DO91" i="14" s="1"/>
  <c r="AQ92" i="14" a="1"/>
  <c r="AQ92" i="14" s="1"/>
  <c r="BU92" i="14" s="1"/>
  <c r="G88" i="43" s="1"/>
  <c r="AW92" i="14" a="1"/>
  <c r="AW92" i="14" s="1"/>
  <c r="CA92" i="14" s="1"/>
  <c r="M88" i="43" s="1"/>
  <c r="BC92" i="14" a="1"/>
  <c r="BC92" i="14" s="1"/>
  <c r="CG92" i="14" s="1"/>
  <c r="S88" i="43" s="1"/>
  <c r="BI92" i="14" a="1"/>
  <c r="BI92" i="14" s="1"/>
  <c r="CM92" i="14" s="1"/>
  <c r="Y88" i="43" s="1"/>
  <c r="BO92" i="14" a="1"/>
  <c r="BO92" i="14" s="1"/>
  <c r="CS92" i="14" s="1"/>
  <c r="AE88" i="43" s="1"/>
  <c r="EF92" i="14"/>
  <c r="DB92" i="14" s="1"/>
  <c r="ER92" i="14"/>
  <c r="DN92" i="14" s="1"/>
  <c r="FD92" i="14"/>
  <c r="DZ92" i="14" s="1"/>
  <c r="IT94" i="14"/>
  <c r="JF94" i="14"/>
  <c r="JR94" i="14"/>
  <c r="IS95" i="14"/>
  <c r="JE95" i="14"/>
  <c r="JQ95" i="14"/>
  <c r="IR96" i="14"/>
  <c r="JD96" i="14"/>
  <c r="JP96" i="14"/>
  <c r="EA97" i="14"/>
  <c r="CW97" i="14" s="1"/>
  <c r="EM97" i="14"/>
  <c r="DI97" i="14" s="1"/>
  <c r="EY97" i="14"/>
  <c r="DU97" i="14" s="1"/>
  <c r="JM98" i="14"/>
  <c r="JA98" i="14"/>
  <c r="JK98" i="14"/>
  <c r="IY98" i="14"/>
  <c r="JJ98" i="14"/>
  <c r="IX98" i="14"/>
  <c r="HH98" i="14"/>
  <c r="IN98" i="14"/>
  <c r="JD98" i="14"/>
  <c r="JS98" i="14"/>
  <c r="JO100" i="14"/>
  <c r="JC100" i="14"/>
  <c r="IQ100" i="14"/>
  <c r="JM100" i="14"/>
  <c r="JA100" i="14"/>
  <c r="JL100" i="14"/>
  <c r="IZ100" i="14"/>
  <c r="JK100" i="14"/>
  <c r="IY100" i="14"/>
  <c r="JJ100" i="14"/>
  <c r="IX100" i="14"/>
  <c r="JI100" i="14"/>
  <c r="IW100" i="14"/>
  <c r="JT100" i="14"/>
  <c r="JH100" i="14"/>
  <c r="IV100" i="14"/>
  <c r="GR100" i="14"/>
  <c r="HD100" i="14"/>
  <c r="GM100" i="14"/>
  <c r="HT100" i="14"/>
  <c r="IT100" i="14"/>
  <c r="HD102" i="14"/>
  <c r="GR102" i="14"/>
  <c r="GN102" i="14"/>
  <c r="GZ102" i="14"/>
  <c r="HL102" i="14"/>
  <c r="HR102" i="14"/>
  <c r="HQ104" i="14"/>
  <c r="HC105" i="14"/>
  <c r="EE110" i="14"/>
  <c r="DA110" i="14" s="1"/>
  <c r="GQ116" i="14"/>
  <c r="HC116" i="14"/>
  <c r="HK117" i="14"/>
  <c r="HE118" i="14"/>
  <c r="GS118" i="14"/>
  <c r="HC118" i="14"/>
  <c r="FD120" i="14"/>
  <c r="DZ120" i="14" s="1"/>
  <c r="GT120" i="14"/>
  <c r="HF120" i="14"/>
  <c r="HB120" i="14"/>
  <c r="GN122" i="14"/>
  <c r="HG128" i="14"/>
  <c r="GU128" i="14"/>
  <c r="GI128" i="14"/>
  <c r="HD128" i="14"/>
  <c r="GK129" i="14"/>
  <c r="GW129" i="14"/>
  <c r="HI129" i="14"/>
  <c r="GV131" i="14"/>
  <c r="DU132" i="14"/>
  <c r="GR132" i="14"/>
  <c r="HD132" i="14"/>
  <c r="GY132" i="14"/>
  <c r="FA143" i="14"/>
  <c r="DW143" i="14" s="1"/>
  <c r="EO143" i="14"/>
  <c r="DK143" i="14" s="1"/>
  <c r="EC143" i="14"/>
  <c r="CY143" i="14" s="1"/>
  <c r="EZ143" i="14"/>
  <c r="DV143" i="14" s="1"/>
  <c r="EN143" i="14"/>
  <c r="DJ143" i="14" s="1"/>
  <c r="EB143" i="14"/>
  <c r="CX143" i="14" s="1"/>
  <c r="EY143" i="14"/>
  <c r="DU143" i="14" s="1"/>
  <c r="EM143" i="14"/>
  <c r="DI143" i="14" s="1"/>
  <c r="EA143" i="14"/>
  <c r="CW143" i="14" s="1"/>
  <c r="EX143" i="14"/>
  <c r="DT143" i="14" s="1"/>
  <c r="EL143" i="14"/>
  <c r="DH143" i="14" s="1"/>
  <c r="EW143" i="14"/>
  <c r="DS143" i="14" s="1"/>
  <c r="EK143" i="14"/>
  <c r="DG143" i="14" s="1"/>
  <c r="EV143" i="14"/>
  <c r="DR143" i="14" s="1"/>
  <c r="EJ143" i="14"/>
  <c r="DF143" i="14" s="1"/>
  <c r="EU143" i="14"/>
  <c r="DQ143" i="14" s="1"/>
  <c r="EI143" i="14"/>
  <c r="DE143" i="14" s="1"/>
  <c r="ET143" i="14"/>
  <c r="DP143" i="14" s="1"/>
  <c r="EH143" i="14"/>
  <c r="DD143" i="14" s="1"/>
  <c r="EQ143" i="14"/>
  <c r="DM143" i="14" s="1"/>
  <c r="EP143" i="14"/>
  <c r="DL143" i="14" s="1"/>
  <c r="EG143" i="14"/>
  <c r="DC143" i="14" s="1"/>
  <c r="EF143" i="14"/>
  <c r="DB143" i="14" s="1"/>
  <c r="EE143" i="14"/>
  <c r="DA143" i="14" s="1"/>
  <c r="ED143" i="14"/>
  <c r="CZ143" i="14" s="1"/>
  <c r="FD143" i="14"/>
  <c r="DZ143" i="14" s="1"/>
  <c r="FC143" i="14"/>
  <c r="DY143" i="14" s="1"/>
  <c r="FB143" i="14"/>
  <c r="DX143" i="14" s="1"/>
  <c r="ES143" i="14"/>
  <c r="DO143" i="14" s="1"/>
  <c r="AR91" i="14" a="1"/>
  <c r="AR91" i="14" s="1"/>
  <c r="BV91" i="14" s="1"/>
  <c r="H87" i="43" s="1"/>
  <c r="AX91" i="14" a="1"/>
  <c r="AX91" i="14" s="1"/>
  <c r="CB91" i="14" s="1"/>
  <c r="N87" i="43" s="1"/>
  <c r="BD91" i="14" a="1"/>
  <c r="BD91" i="14" s="1"/>
  <c r="CH91" i="14" s="1"/>
  <c r="T87" i="43" s="1"/>
  <c r="BJ91" i="14" a="1"/>
  <c r="BJ91" i="14" s="1"/>
  <c r="CN91" i="14" s="1"/>
  <c r="Z87" i="43" s="1"/>
  <c r="BP91" i="14" a="1"/>
  <c r="BP91" i="14" s="1"/>
  <c r="CT91" i="14" s="1"/>
  <c r="AF87" i="43" s="1"/>
  <c r="EH91" i="14"/>
  <c r="DD91" i="14" s="1"/>
  <c r="ET91" i="14"/>
  <c r="DP91" i="14" s="1"/>
  <c r="EG92" i="14"/>
  <c r="DC92" i="14" s="1"/>
  <c r="ES92" i="14"/>
  <c r="DO92" i="14" s="1"/>
  <c r="IU94" i="14"/>
  <c r="JG94" i="14"/>
  <c r="JS94" i="14"/>
  <c r="IT95" i="14"/>
  <c r="JF95" i="14"/>
  <c r="JR95" i="14"/>
  <c r="IS96" i="14"/>
  <c r="JE96" i="14"/>
  <c r="JQ96" i="14"/>
  <c r="AO97" i="14" a="1"/>
  <c r="AO97" i="14" s="1"/>
  <c r="BS97" i="14" s="1"/>
  <c r="E93" i="43" s="1"/>
  <c r="AU97" i="14" a="1"/>
  <c r="AU97" i="14" s="1"/>
  <c r="BY97" i="14" s="1"/>
  <c r="K93" i="43" s="1"/>
  <c r="BA97" i="14" a="1"/>
  <c r="BA97" i="14" s="1"/>
  <c r="CE97" i="14" s="1"/>
  <c r="Q93" i="43" s="1"/>
  <c r="BG97" i="14" a="1"/>
  <c r="BG97" i="14" s="1"/>
  <c r="CK97" i="14" s="1"/>
  <c r="W93" i="43" s="1"/>
  <c r="BM97" i="14" a="1"/>
  <c r="BM97" i="14" s="1"/>
  <c r="CQ97" i="14" s="1"/>
  <c r="AC93" i="43" s="1"/>
  <c r="EB97" i="14"/>
  <c r="CX97" i="14" s="1"/>
  <c r="EN97" i="14"/>
  <c r="DJ97" i="14" s="1"/>
  <c r="EZ97" i="14"/>
  <c r="DV97" i="14" s="1"/>
  <c r="GV98" i="14"/>
  <c r="HI98" i="14"/>
  <c r="IP98" i="14"/>
  <c r="JE98" i="14"/>
  <c r="JT98" i="14"/>
  <c r="GS100" i="14"/>
  <c r="HE100" i="14"/>
  <c r="GT100" i="14"/>
  <c r="HU100" i="14"/>
  <c r="IU100" i="14"/>
  <c r="GO102" i="14"/>
  <c r="HA102" i="14"/>
  <c r="GI102" i="14"/>
  <c r="HS102" i="14"/>
  <c r="HR104" i="14"/>
  <c r="JJ105" i="14"/>
  <c r="IX105" i="14"/>
  <c r="JI105" i="14"/>
  <c r="IW105" i="14"/>
  <c r="JT105" i="14"/>
  <c r="JH105" i="14"/>
  <c r="IV105" i="14"/>
  <c r="JS105" i="14"/>
  <c r="JG105" i="14"/>
  <c r="IU105" i="14"/>
  <c r="JR105" i="14"/>
  <c r="JF105" i="14"/>
  <c r="IT105" i="14"/>
  <c r="JQ105" i="14"/>
  <c r="JE105" i="14"/>
  <c r="IS105" i="14"/>
  <c r="JP105" i="14"/>
  <c r="JD105" i="14"/>
  <c r="IR105" i="14"/>
  <c r="JO105" i="14"/>
  <c r="JC105" i="14"/>
  <c r="IQ105" i="14"/>
  <c r="BF105" i="14" a="1"/>
  <c r="BF105" i="14" s="1"/>
  <c r="CJ105" i="14" s="1"/>
  <c r="V101" i="43" s="1"/>
  <c r="HD105" i="14"/>
  <c r="FD107" i="14"/>
  <c r="DZ107" i="14" s="1"/>
  <c r="ER107" i="14"/>
  <c r="DN107" i="14" s="1"/>
  <c r="EF107" i="14"/>
  <c r="DB107" i="14" s="1"/>
  <c r="FC107" i="14"/>
  <c r="DY107" i="14" s="1"/>
  <c r="EQ107" i="14"/>
  <c r="DM107" i="14" s="1"/>
  <c r="EE107" i="14"/>
  <c r="DA107" i="14" s="1"/>
  <c r="FB107" i="14"/>
  <c r="DX107" i="14" s="1"/>
  <c r="EP107" i="14"/>
  <c r="DL107" i="14" s="1"/>
  <c r="ED107" i="14"/>
  <c r="CZ107" i="14" s="1"/>
  <c r="FA107" i="14"/>
  <c r="DW107" i="14" s="1"/>
  <c r="EO107" i="14"/>
  <c r="DK107" i="14" s="1"/>
  <c r="EC107" i="14"/>
  <c r="CY107" i="14" s="1"/>
  <c r="EZ107" i="14"/>
  <c r="DV107" i="14" s="1"/>
  <c r="EN107" i="14"/>
  <c r="DJ107" i="14" s="1"/>
  <c r="EB107" i="14"/>
  <c r="CX107" i="14" s="1"/>
  <c r="EY107" i="14"/>
  <c r="DU107" i="14" s="1"/>
  <c r="EM107" i="14"/>
  <c r="DI107" i="14" s="1"/>
  <c r="EA107" i="14"/>
  <c r="CW107" i="14" s="1"/>
  <c r="EX107" i="14"/>
  <c r="DT107" i="14" s="1"/>
  <c r="EL107" i="14"/>
  <c r="DH107" i="14" s="1"/>
  <c r="EW107" i="14"/>
  <c r="DS107" i="14" s="1"/>
  <c r="EK107" i="14"/>
  <c r="DG107" i="14" s="1"/>
  <c r="EI107" i="14"/>
  <c r="DE107" i="14" s="1"/>
  <c r="HI109" i="14"/>
  <c r="GW109" i="14"/>
  <c r="GK109" i="14"/>
  <c r="HD109" i="14"/>
  <c r="GR109" i="14"/>
  <c r="GQ109" i="14"/>
  <c r="HC109" i="14"/>
  <c r="GO109" i="14"/>
  <c r="HG116" i="14"/>
  <c r="GU116" i="14"/>
  <c r="GI116" i="14"/>
  <c r="HD116" i="14"/>
  <c r="DZ118" i="14"/>
  <c r="GI120" i="14"/>
  <c r="GU120" i="14"/>
  <c r="HG120" i="14"/>
  <c r="HL120" i="14"/>
  <c r="GR122" i="14"/>
  <c r="HD122" i="14"/>
  <c r="GX122" i="14"/>
  <c r="HE128" i="14"/>
  <c r="GX129" i="14"/>
  <c r="EZ130" i="14"/>
  <c r="DV130" i="14" s="1"/>
  <c r="GX131" i="14"/>
  <c r="GS132" i="14"/>
  <c r="HE132" i="14"/>
  <c r="GZ132" i="14"/>
  <c r="GM133" i="14"/>
  <c r="GY133" i="14"/>
  <c r="EA87" i="14"/>
  <c r="CW87" i="14" s="1"/>
  <c r="AT88" i="14" a="1"/>
  <c r="AT88" i="14" s="1"/>
  <c r="AZ88" i="14" a="1"/>
  <c r="AZ88" i="14" s="1"/>
  <c r="CD88" i="14" s="1"/>
  <c r="P84" i="43" s="1"/>
  <c r="BF88" i="14" a="1"/>
  <c r="BF88" i="14" s="1"/>
  <c r="CJ88" i="14" s="1"/>
  <c r="V84" i="43" s="1"/>
  <c r="BL88" i="14" a="1"/>
  <c r="BL88" i="14" s="1"/>
  <c r="CP88" i="14" s="1"/>
  <c r="AB84" i="43" s="1"/>
  <c r="BR88" i="14" a="1"/>
  <c r="BR88" i="14" s="1"/>
  <c r="CV88" i="14" s="1"/>
  <c r="AH84" i="43" s="1"/>
  <c r="EL88" i="14"/>
  <c r="DH88" i="14" s="1"/>
  <c r="EX88" i="14"/>
  <c r="DT88" i="14" s="1"/>
  <c r="EK89" i="14"/>
  <c r="DG89" i="14" s="1"/>
  <c r="EW89" i="14"/>
  <c r="DS89" i="14" s="1"/>
  <c r="EI91" i="14"/>
  <c r="DE91" i="14" s="1"/>
  <c r="EU91" i="14"/>
  <c r="DQ91" i="14" s="1"/>
  <c r="AR92" i="14" a="1"/>
  <c r="AR92" i="14" s="1"/>
  <c r="BV92" i="14" s="1"/>
  <c r="H88" i="43" s="1"/>
  <c r="AX92" i="14" a="1"/>
  <c r="AX92" i="14" s="1"/>
  <c r="CB92" i="14" s="1"/>
  <c r="N88" i="43" s="1"/>
  <c r="BD92" i="14" a="1"/>
  <c r="BD92" i="14" s="1"/>
  <c r="CH92" i="14" s="1"/>
  <c r="T88" i="43" s="1"/>
  <c r="BJ92" i="14" a="1"/>
  <c r="BJ92" i="14" s="1"/>
  <c r="CN92" i="14" s="1"/>
  <c r="Z88" i="43" s="1"/>
  <c r="BP92" i="14" a="1"/>
  <c r="BP92" i="14" s="1"/>
  <c r="CT92" i="14" s="1"/>
  <c r="AF88" i="43" s="1"/>
  <c r="EH92" i="14"/>
  <c r="DD92" i="14" s="1"/>
  <c r="ET92" i="14"/>
  <c r="DP92" i="14" s="1"/>
  <c r="EG93" i="14"/>
  <c r="DC93" i="14" s="1"/>
  <c r="AQ94" i="14" a="1"/>
  <c r="AQ94" i="14" s="1"/>
  <c r="BU94" i="14" s="1"/>
  <c r="G90" i="43" s="1"/>
  <c r="AW94" i="14" a="1"/>
  <c r="AW94" i="14" s="1"/>
  <c r="CA94" i="14" s="1"/>
  <c r="M90" i="43" s="1"/>
  <c r="BC94" i="14" a="1"/>
  <c r="BC94" i="14" s="1"/>
  <c r="CG94" i="14" s="1"/>
  <c r="S90" i="43" s="1"/>
  <c r="BI94" i="14" a="1"/>
  <c r="BI94" i="14" s="1"/>
  <c r="CM94" i="14" s="1"/>
  <c r="Y90" i="43" s="1"/>
  <c r="BO94" i="14" a="1"/>
  <c r="BO94" i="14" s="1"/>
  <c r="CS94" i="14" s="1"/>
  <c r="AE90" i="43" s="1"/>
  <c r="EF94" i="14"/>
  <c r="DB94" i="14" s="1"/>
  <c r="ER94" i="14"/>
  <c r="DN94" i="14" s="1"/>
  <c r="FD94" i="14"/>
  <c r="DZ94" i="14" s="1"/>
  <c r="IV94" i="14"/>
  <c r="JH94" i="14"/>
  <c r="JT94" i="14"/>
  <c r="IU95" i="14"/>
  <c r="JG95" i="14"/>
  <c r="JS95" i="14"/>
  <c r="IT96" i="14"/>
  <c r="JF96" i="14"/>
  <c r="JR96" i="14"/>
  <c r="EC97" i="14"/>
  <c r="CY97" i="14" s="1"/>
  <c r="EO97" i="14"/>
  <c r="DK97" i="14" s="1"/>
  <c r="FA97" i="14"/>
  <c r="DW97" i="14" s="1"/>
  <c r="GP98" i="14"/>
  <c r="HB98" i="14"/>
  <c r="GJ98" i="14"/>
  <c r="GW98" i="14"/>
  <c r="IQ98" i="14"/>
  <c r="JF98" i="14"/>
  <c r="IY99" i="14"/>
  <c r="JQ99" i="14"/>
  <c r="HX100" i="14"/>
  <c r="IJ100" i="14"/>
  <c r="GV100" i="14"/>
  <c r="HV100" i="14"/>
  <c r="JB100" i="14"/>
  <c r="IF101" i="14"/>
  <c r="GP102" i="14"/>
  <c r="HB102" i="14"/>
  <c r="GJ102" i="14"/>
  <c r="HT102" i="14"/>
  <c r="GO104" i="14"/>
  <c r="HA104" i="14"/>
  <c r="GI104" i="14"/>
  <c r="HS104" i="14"/>
  <c r="HE105" i="14"/>
  <c r="IO105" i="14"/>
  <c r="DN106" i="14"/>
  <c r="EJ107" i="14"/>
  <c r="DF107" i="14" s="1"/>
  <c r="EG108" i="14"/>
  <c r="DC108" i="14" s="1"/>
  <c r="GM108" i="14"/>
  <c r="GY108" i="14"/>
  <c r="HK108" i="14"/>
  <c r="FB109" i="14"/>
  <c r="DX109" i="14" s="1"/>
  <c r="EP109" i="14"/>
  <c r="DL109" i="14" s="1"/>
  <c r="ED109" i="14"/>
  <c r="CZ109" i="14" s="1"/>
  <c r="FA109" i="14"/>
  <c r="DW109" i="14" s="1"/>
  <c r="EO109" i="14"/>
  <c r="DK109" i="14" s="1"/>
  <c r="EC109" i="14"/>
  <c r="CY109" i="14" s="1"/>
  <c r="EZ109" i="14"/>
  <c r="DV109" i="14" s="1"/>
  <c r="EN109" i="14"/>
  <c r="DJ109" i="14" s="1"/>
  <c r="EB109" i="14"/>
  <c r="CX109" i="14" s="1"/>
  <c r="EY109" i="14"/>
  <c r="DU109" i="14" s="1"/>
  <c r="EM109" i="14"/>
  <c r="DI109" i="14" s="1"/>
  <c r="EA109" i="14"/>
  <c r="CW109" i="14" s="1"/>
  <c r="EX109" i="14"/>
  <c r="DT109" i="14" s="1"/>
  <c r="EL109" i="14"/>
  <c r="DH109" i="14" s="1"/>
  <c r="EW109" i="14"/>
  <c r="DS109" i="14" s="1"/>
  <c r="EK109" i="14"/>
  <c r="DG109" i="14" s="1"/>
  <c r="EV109" i="14"/>
  <c r="DR109" i="14" s="1"/>
  <c r="EJ109" i="14"/>
  <c r="DF109" i="14" s="1"/>
  <c r="EU109" i="14"/>
  <c r="DQ109" i="14" s="1"/>
  <c r="EI109" i="14"/>
  <c r="DE109" i="14" s="1"/>
  <c r="ET109" i="14"/>
  <c r="DP109" i="14" s="1"/>
  <c r="GP109" i="14"/>
  <c r="EG110" i="14"/>
  <c r="DC110" i="14" s="1"/>
  <c r="HL110" i="14"/>
  <c r="HE116" i="14"/>
  <c r="GQ117" i="14"/>
  <c r="GJ120" i="14"/>
  <c r="GV120" i="14"/>
  <c r="HH120" i="14"/>
  <c r="HI121" i="14"/>
  <c r="GW121" i="14"/>
  <c r="GK121" i="14"/>
  <c r="HD121" i="14"/>
  <c r="GR121" i="14"/>
  <c r="HB121" i="14"/>
  <c r="GP121" i="14"/>
  <c r="GQ121" i="14"/>
  <c r="HC121" i="14"/>
  <c r="GO121" i="14"/>
  <c r="GS122" i="14"/>
  <c r="HE122" i="14"/>
  <c r="GY122" i="14"/>
  <c r="HF128" i="14"/>
  <c r="GS131" i="14"/>
  <c r="HE131" i="14"/>
  <c r="GY131" i="14"/>
  <c r="HA132" i="14"/>
  <c r="GN133" i="14"/>
  <c r="GZ133" i="14"/>
  <c r="HL133" i="14"/>
  <c r="HI137" i="14"/>
  <c r="GW137" i="14"/>
  <c r="GK137" i="14"/>
  <c r="HD137" i="14"/>
  <c r="GJ137" i="14"/>
  <c r="GZ137" i="14"/>
  <c r="GI137" i="14"/>
  <c r="GX137" i="14"/>
  <c r="GV137" i="14"/>
  <c r="HL137" i="14"/>
  <c r="GU137" i="14"/>
  <c r="HK137" i="14"/>
  <c r="DF137" i="14"/>
  <c r="HJ137" i="14"/>
  <c r="HH137" i="14"/>
  <c r="GR137" i="14"/>
  <c r="HF139" i="14"/>
  <c r="GT139" i="14"/>
  <c r="HE139" i="14"/>
  <c r="HD139" i="14"/>
  <c r="HC139" i="14"/>
  <c r="HB139" i="14"/>
  <c r="GS139" i="14"/>
  <c r="GR139" i="14"/>
  <c r="GQ139" i="14"/>
  <c r="GP139" i="14"/>
  <c r="EG94" i="14"/>
  <c r="DC94" i="14" s="1"/>
  <c r="ES94" i="14"/>
  <c r="DO94" i="14" s="1"/>
  <c r="IW94" i="14"/>
  <c r="JI94" i="14"/>
  <c r="AQ95" i="14" a="1"/>
  <c r="AQ95" i="14" s="1"/>
  <c r="AW95" i="14" a="1"/>
  <c r="AW95" i="14" s="1"/>
  <c r="BC95" i="14" a="1"/>
  <c r="BC95" i="14" s="1"/>
  <c r="BI95" i="14" a="1"/>
  <c r="BI95" i="14" s="1"/>
  <c r="IV95" i="14"/>
  <c r="JH95" i="14"/>
  <c r="JT95" i="14"/>
  <c r="IU96" i="14"/>
  <c r="JG96" i="14"/>
  <c r="JS96" i="14"/>
  <c r="AP97" i="14" a="1"/>
  <c r="AP97" i="14" s="1"/>
  <c r="BT97" i="14" s="1"/>
  <c r="F93" i="43" s="1"/>
  <c r="AV97" i="14" a="1"/>
  <c r="AV97" i="14" s="1"/>
  <c r="BZ97" i="14" s="1"/>
  <c r="L93" i="43" s="1"/>
  <c r="BB97" i="14" a="1"/>
  <c r="BB97" i="14" s="1"/>
  <c r="CF97" i="14" s="1"/>
  <c r="R93" i="43" s="1"/>
  <c r="BH97" i="14" a="1"/>
  <c r="BH97" i="14" s="1"/>
  <c r="CL97" i="14" s="1"/>
  <c r="X93" i="43" s="1"/>
  <c r="BN97" i="14" a="1"/>
  <c r="BN97" i="14" s="1"/>
  <c r="CR97" i="14" s="1"/>
  <c r="AD93" i="43" s="1"/>
  <c r="ED97" i="14"/>
  <c r="CZ97" i="14" s="1"/>
  <c r="EP97" i="14"/>
  <c r="DL97" i="14" s="1"/>
  <c r="FB97" i="14"/>
  <c r="DX97" i="14" s="1"/>
  <c r="GK98" i="14"/>
  <c r="GX98" i="14"/>
  <c r="HK98" i="14"/>
  <c r="IR98" i="14"/>
  <c r="JG98" i="14"/>
  <c r="HR99" i="14"/>
  <c r="ID99" i="14"/>
  <c r="IP99" i="14"/>
  <c r="GX99" i="14"/>
  <c r="JA99" i="14"/>
  <c r="JR99" i="14"/>
  <c r="HM100" i="14"/>
  <c r="HY100" i="14"/>
  <c r="IK100" i="14"/>
  <c r="GW100" i="14"/>
  <c r="HW100" i="14"/>
  <c r="JD100" i="14"/>
  <c r="GQ102" i="14"/>
  <c r="HC102" i="14"/>
  <c r="GK102" i="14"/>
  <c r="HU102" i="14"/>
  <c r="BP104" i="14" a="1"/>
  <c r="BP104" i="14" s="1"/>
  <c r="CT104" i="14" s="1"/>
  <c r="AF100" i="43" s="1"/>
  <c r="BJ104" i="14" a="1"/>
  <c r="BJ104" i="14" s="1"/>
  <c r="CN104" i="14" s="1"/>
  <c r="Z100" i="43" s="1"/>
  <c r="BD104" i="14" a="1"/>
  <c r="BD104" i="14" s="1"/>
  <c r="CH104" i="14" s="1"/>
  <c r="T100" i="43" s="1"/>
  <c r="AX104" i="14" a="1"/>
  <c r="AX104" i="14" s="1"/>
  <c r="CB104" i="14" s="1"/>
  <c r="N100" i="43" s="1"/>
  <c r="AR104" i="14" a="1"/>
  <c r="AR104" i="14" s="1"/>
  <c r="BV104" i="14" s="1"/>
  <c r="H100" i="43" s="1"/>
  <c r="BO104" i="14" a="1"/>
  <c r="BO104" i="14" s="1"/>
  <c r="CS104" i="14" s="1"/>
  <c r="AE100" i="43" s="1"/>
  <c r="BI104" i="14" a="1"/>
  <c r="BI104" i="14" s="1"/>
  <c r="CM104" i="14" s="1"/>
  <c r="Y100" i="43" s="1"/>
  <c r="BC104" i="14" a="1"/>
  <c r="BC104" i="14" s="1"/>
  <c r="CG104" i="14" s="1"/>
  <c r="S100" i="43" s="1"/>
  <c r="AW104" i="14" a="1"/>
  <c r="AW104" i="14" s="1"/>
  <c r="CA104" i="14" s="1"/>
  <c r="M100" i="43" s="1"/>
  <c r="AQ104" i="14" a="1"/>
  <c r="AQ104" i="14" s="1"/>
  <c r="BU104" i="14" s="1"/>
  <c r="G100" i="43" s="1"/>
  <c r="BN104" i="14" a="1"/>
  <c r="BN104" i="14" s="1"/>
  <c r="CR104" i="14" s="1"/>
  <c r="AD100" i="43" s="1"/>
  <c r="BH104" i="14" a="1"/>
  <c r="BH104" i="14" s="1"/>
  <c r="CL104" i="14" s="1"/>
  <c r="X100" i="43" s="1"/>
  <c r="BB104" i="14" a="1"/>
  <c r="BB104" i="14" s="1"/>
  <c r="CF104" i="14" s="1"/>
  <c r="R100" i="43" s="1"/>
  <c r="AV104" i="14" a="1"/>
  <c r="AV104" i="14" s="1"/>
  <c r="BZ104" i="14" s="1"/>
  <c r="L100" i="43" s="1"/>
  <c r="AP104" i="14" a="1"/>
  <c r="AP104" i="14" s="1"/>
  <c r="BT104" i="14" s="1"/>
  <c r="F100" i="43" s="1"/>
  <c r="GR104" i="14"/>
  <c r="IB104" i="14"/>
  <c r="AS105" i="14" a="1"/>
  <c r="AS105" i="14" s="1"/>
  <c r="BW105" i="14" s="1"/>
  <c r="I101" i="43" s="1"/>
  <c r="HF105" i="14"/>
  <c r="IP105" i="14"/>
  <c r="ES107" i="14"/>
  <c r="DO107" i="14" s="1"/>
  <c r="EH108" i="14"/>
  <c r="DD108" i="14" s="1"/>
  <c r="GS109" i="14"/>
  <c r="HE109" i="14"/>
  <c r="GY109" i="14"/>
  <c r="EP110" i="14"/>
  <c r="DL110" i="14" s="1"/>
  <c r="HG111" i="14"/>
  <c r="GU111" i="14"/>
  <c r="GI111" i="14"/>
  <c r="HB111" i="14"/>
  <c r="GP111" i="14"/>
  <c r="GJ111" i="14"/>
  <c r="GV111" i="14"/>
  <c r="HH111" i="14"/>
  <c r="GZ111" i="14"/>
  <c r="HF116" i="14"/>
  <c r="GP117" i="14"/>
  <c r="HB117" i="14"/>
  <c r="GR117" i="14"/>
  <c r="GJ118" i="14"/>
  <c r="GV118" i="14"/>
  <c r="HH118" i="14"/>
  <c r="FD119" i="14"/>
  <c r="DZ119" i="14" s="1"/>
  <c r="ER119" i="14"/>
  <c r="DN119" i="14" s="1"/>
  <c r="EF119" i="14"/>
  <c r="DB119" i="14" s="1"/>
  <c r="FC119" i="14"/>
  <c r="DY119" i="14" s="1"/>
  <c r="EQ119" i="14"/>
  <c r="DM119" i="14" s="1"/>
  <c r="EE119" i="14"/>
  <c r="DA119" i="14" s="1"/>
  <c r="FB119" i="14"/>
  <c r="DX119" i="14" s="1"/>
  <c r="EP119" i="14"/>
  <c r="DL119" i="14" s="1"/>
  <c r="ED119" i="14"/>
  <c r="CZ119" i="14" s="1"/>
  <c r="FA119" i="14"/>
  <c r="DW119" i="14" s="1"/>
  <c r="EO119" i="14"/>
  <c r="DK119" i="14" s="1"/>
  <c r="EC119" i="14"/>
  <c r="CY119" i="14" s="1"/>
  <c r="EZ119" i="14"/>
  <c r="DV119" i="14" s="1"/>
  <c r="EN119" i="14"/>
  <c r="DJ119" i="14" s="1"/>
  <c r="EB119" i="14"/>
  <c r="CX119" i="14" s="1"/>
  <c r="EY119" i="14"/>
  <c r="DU119" i="14" s="1"/>
  <c r="EM119" i="14"/>
  <c r="DI119" i="14" s="1"/>
  <c r="EA119" i="14"/>
  <c r="CW119" i="14" s="1"/>
  <c r="EX119" i="14"/>
  <c r="DT119" i="14" s="1"/>
  <c r="EL119" i="14"/>
  <c r="DH119" i="14" s="1"/>
  <c r="EW119" i="14"/>
  <c r="DS119" i="14" s="1"/>
  <c r="EK119" i="14"/>
  <c r="DG119" i="14" s="1"/>
  <c r="EV119" i="14"/>
  <c r="DR119" i="14" s="1"/>
  <c r="EJ119" i="14"/>
  <c r="DF119" i="14" s="1"/>
  <c r="ET119" i="14"/>
  <c r="DP119" i="14" s="1"/>
  <c r="GK120" i="14"/>
  <c r="GW120" i="14"/>
  <c r="HI120" i="14"/>
  <c r="FB121" i="14"/>
  <c r="DX121" i="14" s="1"/>
  <c r="EP121" i="14"/>
  <c r="DL121" i="14" s="1"/>
  <c r="ED121" i="14"/>
  <c r="CZ121" i="14" s="1"/>
  <c r="FA121" i="14"/>
  <c r="DW121" i="14" s="1"/>
  <c r="EO121" i="14"/>
  <c r="DK121" i="14" s="1"/>
  <c r="EC121" i="14"/>
  <c r="CY121" i="14" s="1"/>
  <c r="EZ121" i="14"/>
  <c r="DV121" i="14" s="1"/>
  <c r="EN121" i="14"/>
  <c r="DJ121" i="14" s="1"/>
  <c r="EB121" i="14"/>
  <c r="CX121" i="14" s="1"/>
  <c r="EY121" i="14"/>
  <c r="DU121" i="14" s="1"/>
  <c r="EM121" i="14"/>
  <c r="DI121" i="14" s="1"/>
  <c r="EA121" i="14"/>
  <c r="CW121" i="14" s="1"/>
  <c r="EX121" i="14"/>
  <c r="DT121" i="14" s="1"/>
  <c r="EL121" i="14"/>
  <c r="DH121" i="14" s="1"/>
  <c r="EW121" i="14"/>
  <c r="DS121" i="14" s="1"/>
  <c r="EK121" i="14"/>
  <c r="DG121" i="14" s="1"/>
  <c r="EV121" i="14"/>
  <c r="DR121" i="14" s="1"/>
  <c r="EJ121" i="14"/>
  <c r="DF121" i="14" s="1"/>
  <c r="EU121" i="14"/>
  <c r="DQ121" i="14" s="1"/>
  <c r="EI121" i="14"/>
  <c r="DE121" i="14" s="1"/>
  <c r="ET121" i="14"/>
  <c r="DP121" i="14" s="1"/>
  <c r="EH121" i="14"/>
  <c r="DD121" i="14" s="1"/>
  <c r="ES121" i="14"/>
  <c r="DO121" i="14" s="1"/>
  <c r="GY121" i="14"/>
  <c r="GT122" i="14"/>
  <c r="HF122" i="14"/>
  <c r="GZ122" i="14"/>
  <c r="GM129" i="14"/>
  <c r="GZ129" i="14"/>
  <c r="HL129" i="14"/>
  <c r="GT131" i="14"/>
  <c r="HK131" i="14"/>
  <c r="GI132" i="14"/>
  <c r="GU132" i="14"/>
  <c r="HG132" i="14"/>
  <c r="HG133" i="14"/>
  <c r="GU133" i="14"/>
  <c r="GI133" i="14"/>
  <c r="HE133" i="14"/>
  <c r="GQ133" i="14"/>
  <c r="DB133" i="14"/>
  <c r="HC133" i="14"/>
  <c r="GL133" i="14"/>
  <c r="GK133" i="14"/>
  <c r="GX133" i="14"/>
  <c r="GJ133" i="14"/>
  <c r="GO133" i="14"/>
  <c r="HA133" i="14"/>
  <c r="GV133" i="14"/>
  <c r="EW135" i="14"/>
  <c r="DS135" i="14" s="1"/>
  <c r="EK135" i="14"/>
  <c r="DG135" i="14" s="1"/>
  <c r="EV135" i="14"/>
  <c r="DR135" i="14" s="1"/>
  <c r="EJ135" i="14"/>
  <c r="DF135" i="14" s="1"/>
  <c r="EU135" i="14"/>
  <c r="DQ135" i="14" s="1"/>
  <c r="EI135" i="14"/>
  <c r="DE135" i="14" s="1"/>
  <c r="FC135" i="14"/>
  <c r="DY135" i="14" s="1"/>
  <c r="EQ135" i="14"/>
  <c r="DM135" i="14" s="1"/>
  <c r="EE135" i="14"/>
  <c r="DA135" i="14" s="1"/>
  <c r="FB135" i="14"/>
  <c r="DX135" i="14" s="1"/>
  <c r="EL135" i="14"/>
  <c r="DH135" i="14" s="1"/>
  <c r="FA135" i="14"/>
  <c r="DW135" i="14" s="1"/>
  <c r="EH135" i="14"/>
  <c r="DD135" i="14" s="1"/>
  <c r="EZ135" i="14"/>
  <c r="DV135" i="14" s="1"/>
  <c r="EG135" i="14"/>
  <c r="DC135" i="14" s="1"/>
  <c r="EY135" i="14"/>
  <c r="DU135" i="14" s="1"/>
  <c r="EF135" i="14"/>
  <c r="DB135" i="14" s="1"/>
  <c r="EX135" i="14"/>
  <c r="DT135" i="14" s="1"/>
  <c r="ED135" i="14"/>
  <c r="CZ135" i="14" s="1"/>
  <c r="ET135" i="14"/>
  <c r="DP135" i="14" s="1"/>
  <c r="EC135" i="14"/>
  <c r="CY135" i="14" s="1"/>
  <c r="ES135" i="14"/>
  <c r="DO135" i="14" s="1"/>
  <c r="EB135" i="14"/>
  <c r="CX135" i="14" s="1"/>
  <c r="ER135" i="14"/>
  <c r="DN135" i="14" s="1"/>
  <c r="EA135" i="14"/>
  <c r="CW135" i="14" s="1"/>
  <c r="EP135" i="14"/>
  <c r="DL135" i="14" s="1"/>
  <c r="EO135" i="14"/>
  <c r="DK135" i="14" s="1"/>
  <c r="EN135" i="14"/>
  <c r="DJ135" i="14" s="1"/>
  <c r="GS137" i="14"/>
  <c r="HE137" i="14"/>
  <c r="EC87" i="14"/>
  <c r="CY87" i="14" s="1"/>
  <c r="EB88" i="14"/>
  <c r="CX88" i="14" s="1"/>
  <c r="EN88" i="14"/>
  <c r="DJ88" i="14" s="1"/>
  <c r="EA89" i="14"/>
  <c r="CW89" i="14" s="1"/>
  <c r="EM89" i="14"/>
  <c r="DI89" i="14" s="1"/>
  <c r="JB90" i="14"/>
  <c r="EK91" i="14"/>
  <c r="DG91" i="14" s="1"/>
  <c r="AS92" i="14" a="1"/>
  <c r="AS92" i="14" s="1"/>
  <c r="BW92" i="14" s="1"/>
  <c r="I88" i="43" s="1"/>
  <c r="AY92" i="14" a="1"/>
  <c r="AY92" i="14" s="1"/>
  <c r="CC92" i="14" s="1"/>
  <c r="O88" i="43" s="1"/>
  <c r="BE92" i="14" a="1"/>
  <c r="BE92" i="14" s="1"/>
  <c r="CI92" i="14" s="1"/>
  <c r="U88" i="43" s="1"/>
  <c r="BK92" i="14" a="1"/>
  <c r="BK92" i="14" s="1"/>
  <c r="CO92" i="14" s="1"/>
  <c r="AA88" i="43" s="1"/>
  <c r="BQ92" i="14" a="1"/>
  <c r="BQ92" i="14" s="1"/>
  <c r="CU92" i="14" s="1"/>
  <c r="AG88" i="43" s="1"/>
  <c r="EJ92" i="14"/>
  <c r="DF92" i="14" s="1"/>
  <c r="EI93" i="14"/>
  <c r="DE93" i="14" s="1"/>
  <c r="AR94" i="14" a="1"/>
  <c r="AR94" i="14" s="1"/>
  <c r="BV94" i="14" s="1"/>
  <c r="H90" i="43" s="1"/>
  <c r="AX94" i="14" a="1"/>
  <c r="AX94" i="14" s="1"/>
  <c r="CB94" i="14" s="1"/>
  <c r="N90" i="43" s="1"/>
  <c r="BD94" i="14" a="1"/>
  <c r="BD94" i="14" s="1"/>
  <c r="CH94" i="14" s="1"/>
  <c r="T90" i="43" s="1"/>
  <c r="BJ94" i="14" a="1"/>
  <c r="BJ94" i="14" s="1"/>
  <c r="CN94" i="14" s="1"/>
  <c r="Z90" i="43" s="1"/>
  <c r="BP94" i="14" a="1"/>
  <c r="BP94" i="14" s="1"/>
  <c r="CT94" i="14" s="1"/>
  <c r="AF90" i="43" s="1"/>
  <c r="EH94" i="14"/>
  <c r="DD94" i="14" s="1"/>
  <c r="IX94" i="14"/>
  <c r="IW95" i="14"/>
  <c r="IV96" i="14"/>
  <c r="JH96" i="14"/>
  <c r="EE97" i="14"/>
  <c r="DA97" i="14" s="1"/>
  <c r="EQ97" i="14"/>
  <c r="DM97" i="14" s="1"/>
  <c r="GY98" i="14"/>
  <c r="IS98" i="14"/>
  <c r="JH98" i="14"/>
  <c r="GO99" i="14"/>
  <c r="HA99" i="14"/>
  <c r="GI99" i="14"/>
  <c r="HS99" i="14"/>
  <c r="JC99" i="14"/>
  <c r="JS99" i="14"/>
  <c r="HN100" i="14"/>
  <c r="HZ100" i="14"/>
  <c r="IL100" i="14"/>
  <c r="GX100" i="14"/>
  <c r="ID100" i="14"/>
  <c r="JE100" i="14"/>
  <c r="IH101" i="14"/>
  <c r="GT102" i="14"/>
  <c r="ID102" i="14"/>
  <c r="AO103" i="14" a="1"/>
  <c r="AO103" i="14" s="1"/>
  <c r="AY103" i="14" s="1" a="1"/>
  <c r="AY103" i="14" s="1"/>
  <c r="BI103" i="14" s="1" a="1"/>
  <c r="BI103" i="14" s="1"/>
  <c r="CM103" i="14" s="1"/>
  <c r="Y99" i="43" s="1"/>
  <c r="JK104" i="14"/>
  <c r="IY104" i="14"/>
  <c r="JJ104" i="14"/>
  <c r="IX104" i="14"/>
  <c r="JI104" i="14"/>
  <c r="IW104" i="14"/>
  <c r="JT104" i="14"/>
  <c r="JH104" i="14"/>
  <c r="IV104" i="14"/>
  <c r="JS104" i="14"/>
  <c r="JG104" i="14"/>
  <c r="IU104" i="14"/>
  <c r="JR104" i="14"/>
  <c r="JF104" i="14"/>
  <c r="IT104" i="14"/>
  <c r="JQ104" i="14"/>
  <c r="JE104" i="14"/>
  <c r="IS104" i="14"/>
  <c r="JP104" i="14"/>
  <c r="JD104" i="14"/>
  <c r="IR104" i="14"/>
  <c r="BF104" i="14" a="1"/>
  <c r="BF104" i="14" s="1"/>
  <c r="CJ104" i="14" s="1"/>
  <c r="V100" i="43" s="1"/>
  <c r="IC104" i="14"/>
  <c r="JM104" i="14"/>
  <c r="GK105" i="14"/>
  <c r="GW105" i="14"/>
  <c r="HI105" i="14"/>
  <c r="HO105" i="14"/>
  <c r="IY105" i="14"/>
  <c r="GO106" i="14"/>
  <c r="HA106" i="14"/>
  <c r="HK107" i="14"/>
  <c r="GY107" i="14"/>
  <c r="GM107" i="14"/>
  <c r="ET107" i="14"/>
  <c r="DP107" i="14" s="1"/>
  <c r="GR107" i="14"/>
  <c r="EI108" i="14"/>
  <c r="DE108" i="14" s="1"/>
  <c r="GN108" i="14"/>
  <c r="FD109" i="14"/>
  <c r="DZ109" i="14" s="1"/>
  <c r="GT109" i="14"/>
  <c r="HF109" i="14"/>
  <c r="GZ109" i="14"/>
  <c r="EQ110" i="14"/>
  <c r="DM110" i="14" s="1"/>
  <c r="GL110" i="14"/>
  <c r="HI111" i="14"/>
  <c r="HH117" i="14"/>
  <c r="GS117" i="14"/>
  <c r="GK118" i="14"/>
  <c r="GW118" i="14"/>
  <c r="HI118" i="14"/>
  <c r="EU119" i="14"/>
  <c r="DQ119" i="14" s="1"/>
  <c r="FC121" i="14"/>
  <c r="DY121" i="14" s="1"/>
  <c r="GS121" i="14"/>
  <c r="HE121" i="14"/>
  <c r="GZ121" i="14"/>
  <c r="GI122" i="14"/>
  <c r="GU122" i="14"/>
  <c r="HG122" i="14"/>
  <c r="HJ122" i="14"/>
  <c r="GJ128" i="14"/>
  <c r="GV128" i="14"/>
  <c r="HH128" i="14"/>
  <c r="GN129" i="14"/>
  <c r="GU131" i="14"/>
  <c r="HG131" i="14"/>
  <c r="GP133" i="14"/>
  <c r="HB133" i="14"/>
  <c r="GW133" i="14"/>
  <c r="GT137" i="14"/>
  <c r="HF137" i="14"/>
  <c r="GL139" i="14"/>
  <c r="GX139" i="14"/>
  <c r="HJ139" i="14"/>
  <c r="FD140" i="14"/>
  <c r="DZ140" i="14" s="1"/>
  <c r="ER140" i="14"/>
  <c r="DN140" i="14" s="1"/>
  <c r="EF140" i="14"/>
  <c r="DB140" i="14" s="1"/>
  <c r="FC140" i="14"/>
  <c r="DY140" i="14" s="1"/>
  <c r="EQ140" i="14"/>
  <c r="DM140" i="14" s="1"/>
  <c r="EE140" i="14"/>
  <c r="DA140" i="14" s="1"/>
  <c r="FB140" i="14"/>
  <c r="DX140" i="14" s="1"/>
  <c r="EP140" i="14"/>
  <c r="DL140" i="14" s="1"/>
  <c r="ED140" i="14"/>
  <c r="CZ140" i="14" s="1"/>
  <c r="FA140" i="14"/>
  <c r="DW140" i="14" s="1"/>
  <c r="EO140" i="14"/>
  <c r="DK140" i="14" s="1"/>
  <c r="EC140" i="14"/>
  <c r="CY140" i="14" s="1"/>
  <c r="EZ140" i="14"/>
  <c r="DV140" i="14" s="1"/>
  <c r="EN140" i="14"/>
  <c r="DJ140" i="14" s="1"/>
  <c r="EB140" i="14"/>
  <c r="CX140" i="14" s="1"/>
  <c r="EY140" i="14"/>
  <c r="DU140" i="14" s="1"/>
  <c r="EM140" i="14"/>
  <c r="DI140" i="14" s="1"/>
  <c r="EA140" i="14"/>
  <c r="CW140" i="14" s="1"/>
  <c r="EX140" i="14"/>
  <c r="DT140" i="14" s="1"/>
  <c r="EL140" i="14"/>
  <c r="DH140" i="14" s="1"/>
  <c r="EW140" i="14"/>
  <c r="DS140" i="14" s="1"/>
  <c r="EK140" i="14"/>
  <c r="DG140" i="14" s="1"/>
  <c r="ET140" i="14"/>
  <c r="DP140" i="14" s="1"/>
  <c r="CZ151" i="14"/>
  <c r="GM139" i="14"/>
  <c r="GY139" i="14"/>
  <c r="HK139" i="14"/>
  <c r="EU140" i="14"/>
  <c r="DQ140" i="14" s="1"/>
  <c r="GR119" i="14"/>
  <c r="HD119" i="14"/>
  <c r="EG122" i="14"/>
  <c r="DC122" i="14" s="1"/>
  <c r="ES122" i="14"/>
  <c r="DO122" i="14" s="1"/>
  <c r="GN123" i="14"/>
  <c r="GZ123" i="14"/>
  <c r="HL123" i="14"/>
  <c r="FA131" i="14"/>
  <c r="DW131" i="14" s="1"/>
  <c r="EO131" i="14"/>
  <c r="DK131" i="14" s="1"/>
  <c r="EC131" i="14"/>
  <c r="CY131" i="14" s="1"/>
  <c r="EU131" i="14"/>
  <c r="DQ131" i="14" s="1"/>
  <c r="EI131" i="14"/>
  <c r="DE131" i="14" s="1"/>
  <c r="EL131" i="14"/>
  <c r="DH131" i="14" s="1"/>
  <c r="EZ131" i="14"/>
  <c r="DV131" i="14" s="1"/>
  <c r="GQ131" i="14"/>
  <c r="HC131" i="14"/>
  <c r="EZ132" i="14"/>
  <c r="DV132" i="14" s="1"/>
  <c r="EN132" i="14"/>
  <c r="DJ132" i="14" s="1"/>
  <c r="EB132" i="14"/>
  <c r="CX132" i="14" s="1"/>
  <c r="ET132" i="14"/>
  <c r="DP132" i="14" s="1"/>
  <c r="EH132" i="14"/>
  <c r="DD132" i="14" s="1"/>
  <c r="EO132" i="14"/>
  <c r="DK132" i="14" s="1"/>
  <c r="FC132" i="14"/>
  <c r="DY132" i="14" s="1"/>
  <c r="DI133" i="14"/>
  <c r="GN139" i="14"/>
  <c r="GZ139" i="14"/>
  <c r="HL139" i="14"/>
  <c r="EV140" i="14"/>
  <c r="DR140" i="14" s="1"/>
  <c r="HD142" i="14"/>
  <c r="GR142" i="14"/>
  <c r="HC142" i="14"/>
  <c r="GQ142" i="14"/>
  <c r="GO142" i="14"/>
  <c r="HG150" i="14"/>
  <c r="GU150" i="14"/>
  <c r="GI150" i="14"/>
  <c r="HE150" i="14"/>
  <c r="GS150" i="14"/>
  <c r="GM150" i="14"/>
  <c r="GY150" i="14"/>
  <c r="HK150" i="14"/>
  <c r="DS151" i="14"/>
  <c r="HF152" i="14"/>
  <c r="GT152" i="14"/>
  <c r="HE152" i="14"/>
  <c r="GS152" i="14"/>
  <c r="HC152" i="14"/>
  <c r="GQ152" i="14"/>
  <c r="HB152" i="14"/>
  <c r="HD154" i="14"/>
  <c r="GR154" i="14"/>
  <c r="HC154" i="14"/>
  <c r="GQ154" i="14"/>
  <c r="HB154" i="14"/>
  <c r="GP154" i="14"/>
  <c r="HA154" i="14"/>
  <c r="GO154" i="14"/>
  <c r="GT154" i="14"/>
  <c r="HF154" i="14"/>
  <c r="HL154" i="14"/>
  <c r="DM160" i="14"/>
  <c r="GX161" i="14"/>
  <c r="GP161" i="14"/>
  <c r="GM161" i="14"/>
  <c r="HL161" i="14"/>
  <c r="GL161" i="14"/>
  <c r="EG99" i="14"/>
  <c r="DC99" i="14" s="1"/>
  <c r="ES99" i="14"/>
  <c r="DO99" i="14" s="1"/>
  <c r="AQ100" i="14" a="1"/>
  <c r="AQ100" i="14" s="1"/>
  <c r="BU100" i="14" s="1"/>
  <c r="G96" i="43" s="1"/>
  <c r="AW100" i="14" a="1"/>
  <c r="AW100" i="14" s="1"/>
  <c r="CA100" i="14" s="1"/>
  <c r="M96" i="43" s="1"/>
  <c r="BC100" i="14" a="1"/>
  <c r="BC100" i="14" s="1"/>
  <c r="CG100" i="14" s="1"/>
  <c r="S96" i="43" s="1"/>
  <c r="BI100" i="14" a="1"/>
  <c r="BI100" i="14" s="1"/>
  <c r="CM100" i="14" s="1"/>
  <c r="Y96" i="43" s="1"/>
  <c r="BO100" i="14" a="1"/>
  <c r="BO100" i="14" s="1"/>
  <c r="CS100" i="14" s="1"/>
  <c r="AE96" i="43" s="1"/>
  <c r="EF100" i="14"/>
  <c r="DB100" i="14" s="1"/>
  <c r="ER100" i="14"/>
  <c r="DN100" i="14" s="1"/>
  <c r="FD100" i="14"/>
  <c r="DZ100" i="14" s="1"/>
  <c r="EE101" i="14"/>
  <c r="DA101" i="14" s="1"/>
  <c r="EQ101" i="14"/>
  <c r="DM101" i="14" s="1"/>
  <c r="FC101" i="14"/>
  <c r="DY101" i="14" s="1"/>
  <c r="IU101" i="14"/>
  <c r="JG101" i="14"/>
  <c r="JS101" i="14"/>
  <c r="AP102" i="14" a="1"/>
  <c r="AP102" i="14" s="1"/>
  <c r="GL102" i="14"/>
  <c r="GX102" i="14"/>
  <c r="HJ102" i="14"/>
  <c r="EC103" i="14"/>
  <c r="CY103" i="14" s="1"/>
  <c r="AO104" i="14" a="1"/>
  <c r="AO104" i="14" s="1"/>
  <c r="BS104" i="14" s="1"/>
  <c r="E100" i="43" s="1"/>
  <c r="AU104" i="14" a="1"/>
  <c r="AU104" i="14" s="1"/>
  <c r="BY104" i="14" s="1"/>
  <c r="K100" i="43" s="1"/>
  <c r="BA104" i="14" a="1"/>
  <c r="BA104" i="14" s="1"/>
  <c r="CE104" i="14" s="1"/>
  <c r="Q100" i="43" s="1"/>
  <c r="BG104" i="14" a="1"/>
  <c r="BG104" i="14" s="1"/>
  <c r="CK104" i="14" s="1"/>
  <c r="W100" i="43" s="1"/>
  <c r="BM104" i="14" a="1"/>
  <c r="BM104" i="14" s="1"/>
  <c r="CQ104" i="14" s="1"/>
  <c r="AC100" i="43" s="1"/>
  <c r="EB104" i="14"/>
  <c r="CX104" i="14" s="1"/>
  <c r="EN104" i="14"/>
  <c r="DJ104" i="14" s="1"/>
  <c r="EZ104" i="14"/>
  <c r="DV104" i="14" s="1"/>
  <c r="GJ104" i="14"/>
  <c r="GV104" i="14"/>
  <c r="HH104" i="14"/>
  <c r="EA105" i="14"/>
  <c r="CW105" i="14" s="1"/>
  <c r="EM105" i="14"/>
  <c r="DI105" i="14" s="1"/>
  <c r="EY105" i="14"/>
  <c r="DU105" i="14" s="1"/>
  <c r="GI105" i="14"/>
  <c r="GU105" i="14"/>
  <c r="HG105" i="14"/>
  <c r="EL106" i="14"/>
  <c r="DH106" i="14" s="1"/>
  <c r="EX106" i="14"/>
  <c r="DT106" i="14" s="1"/>
  <c r="EG111" i="14"/>
  <c r="DC111" i="14" s="1"/>
  <c r="ES111" i="14"/>
  <c r="DO111" i="14" s="1"/>
  <c r="EF112" i="14"/>
  <c r="DB112" i="14" s="1"/>
  <c r="ER112" i="14"/>
  <c r="DN112" i="14" s="1"/>
  <c r="FD112" i="14"/>
  <c r="DZ112" i="14" s="1"/>
  <c r="EE113" i="14"/>
  <c r="DA113" i="14" s="1"/>
  <c r="EQ113" i="14"/>
  <c r="DM113" i="14" s="1"/>
  <c r="FC113" i="14"/>
  <c r="DY113" i="14" s="1"/>
  <c r="ED114" i="14"/>
  <c r="CZ114" i="14" s="1"/>
  <c r="EP114" i="14"/>
  <c r="DL114" i="14" s="1"/>
  <c r="FB114" i="14"/>
  <c r="DX114" i="14" s="1"/>
  <c r="EC115" i="14"/>
  <c r="CY115" i="14" s="1"/>
  <c r="EO115" i="14"/>
  <c r="DK115" i="14" s="1"/>
  <c r="FA115" i="14"/>
  <c r="DW115" i="14" s="1"/>
  <c r="EB116" i="14"/>
  <c r="CX116" i="14" s="1"/>
  <c r="EN116" i="14"/>
  <c r="DJ116" i="14" s="1"/>
  <c r="EZ116" i="14"/>
  <c r="DV116" i="14" s="1"/>
  <c r="EA117" i="14"/>
  <c r="CW117" i="14" s="1"/>
  <c r="EM117" i="14"/>
  <c r="DI117" i="14" s="1"/>
  <c r="EY117" i="14"/>
  <c r="DU117" i="14" s="1"/>
  <c r="EH122" i="14"/>
  <c r="DD122" i="14" s="1"/>
  <c r="ET122" i="14"/>
  <c r="DP122" i="14" s="1"/>
  <c r="EG123" i="14"/>
  <c r="DC123" i="14" s="1"/>
  <c r="ES123" i="14"/>
  <c r="DO123" i="14" s="1"/>
  <c r="EF124" i="14"/>
  <c r="DB124" i="14" s="1"/>
  <c r="ER124" i="14"/>
  <c r="DN124" i="14" s="1"/>
  <c r="FD124" i="14"/>
  <c r="DZ124" i="14" s="1"/>
  <c r="EE125" i="14"/>
  <c r="DA125" i="14" s="1"/>
  <c r="EQ125" i="14"/>
  <c r="DM125" i="14" s="1"/>
  <c r="FC125" i="14"/>
  <c r="DY125" i="14" s="1"/>
  <c r="ED126" i="14"/>
  <c r="CZ126" i="14" s="1"/>
  <c r="EP126" i="14"/>
  <c r="DL126" i="14" s="1"/>
  <c r="FB126" i="14"/>
  <c r="DX126" i="14" s="1"/>
  <c r="EC127" i="14"/>
  <c r="CY127" i="14" s="1"/>
  <c r="EO127" i="14"/>
  <c r="DK127" i="14" s="1"/>
  <c r="FA127" i="14"/>
  <c r="DW127" i="14" s="1"/>
  <c r="EB128" i="14"/>
  <c r="CX128" i="14" s="1"/>
  <c r="EN128" i="14"/>
  <c r="DJ128" i="14" s="1"/>
  <c r="EZ128" i="14"/>
  <c r="DV128" i="14" s="1"/>
  <c r="EH129" i="14"/>
  <c r="DD129" i="14" s="1"/>
  <c r="EU129" i="14"/>
  <c r="DQ129" i="14" s="1"/>
  <c r="EM131" i="14"/>
  <c r="DI131" i="14" s="1"/>
  <c r="FB131" i="14"/>
  <c r="DX131" i="14" s="1"/>
  <c r="EA132" i="14"/>
  <c r="CW132" i="14" s="1"/>
  <c r="EP132" i="14"/>
  <c r="DL132" i="14" s="1"/>
  <c r="FD132" i="14"/>
  <c r="DZ132" i="14" s="1"/>
  <c r="EX134" i="14"/>
  <c r="DT134" i="14" s="1"/>
  <c r="EL134" i="14"/>
  <c r="DH134" i="14" s="1"/>
  <c r="FD134" i="14"/>
  <c r="DZ134" i="14" s="1"/>
  <c r="ER134" i="14"/>
  <c r="DN134" i="14" s="1"/>
  <c r="EF134" i="14"/>
  <c r="DB134" i="14" s="1"/>
  <c r="EN134" i="14"/>
  <c r="DJ134" i="14" s="1"/>
  <c r="FB134" i="14"/>
  <c r="DX134" i="14" s="1"/>
  <c r="HJ136" i="14"/>
  <c r="GX136" i="14"/>
  <c r="GL136" i="14"/>
  <c r="GP136" i="14"/>
  <c r="HB136" i="14"/>
  <c r="GJ136" i="14"/>
  <c r="GO139" i="14"/>
  <c r="HA139" i="14"/>
  <c r="HF140" i="14"/>
  <c r="GT140" i="14"/>
  <c r="HE140" i="14"/>
  <c r="GS140" i="14"/>
  <c r="GI140" i="14"/>
  <c r="GU140" i="14"/>
  <c r="HG140" i="14"/>
  <c r="HC140" i="14"/>
  <c r="GM141" i="14"/>
  <c r="GY141" i="14"/>
  <c r="HK141" i="14"/>
  <c r="FB142" i="14"/>
  <c r="DX142" i="14" s="1"/>
  <c r="EP142" i="14"/>
  <c r="DL142" i="14" s="1"/>
  <c r="ED142" i="14"/>
  <c r="CZ142" i="14" s="1"/>
  <c r="FA142" i="14"/>
  <c r="DW142" i="14" s="1"/>
  <c r="EO142" i="14"/>
  <c r="DK142" i="14" s="1"/>
  <c r="EC142" i="14"/>
  <c r="CY142" i="14" s="1"/>
  <c r="EZ142" i="14"/>
  <c r="DV142" i="14" s="1"/>
  <c r="EN142" i="14"/>
  <c r="DJ142" i="14" s="1"/>
  <c r="EB142" i="14"/>
  <c r="CX142" i="14" s="1"/>
  <c r="EY142" i="14"/>
  <c r="DU142" i="14" s="1"/>
  <c r="EM142" i="14"/>
  <c r="DI142" i="14" s="1"/>
  <c r="EA142" i="14"/>
  <c r="CW142" i="14" s="1"/>
  <c r="EX142" i="14"/>
  <c r="DT142" i="14" s="1"/>
  <c r="EL142" i="14"/>
  <c r="DH142" i="14" s="1"/>
  <c r="EW142" i="14"/>
  <c r="DS142" i="14" s="1"/>
  <c r="EK142" i="14"/>
  <c r="DG142" i="14" s="1"/>
  <c r="EV142" i="14"/>
  <c r="DR142" i="14" s="1"/>
  <c r="EJ142" i="14"/>
  <c r="DF142" i="14" s="1"/>
  <c r="EU142" i="14"/>
  <c r="DQ142" i="14" s="1"/>
  <c r="EI142" i="14"/>
  <c r="DE142" i="14" s="1"/>
  <c r="ET142" i="14"/>
  <c r="DP142" i="14" s="1"/>
  <c r="GP142" i="14"/>
  <c r="GN150" i="14"/>
  <c r="GZ150" i="14"/>
  <c r="HL150" i="14"/>
  <c r="HD152" i="14"/>
  <c r="GI154" i="14"/>
  <c r="GU154" i="14"/>
  <c r="HG154" i="14"/>
  <c r="AR99" i="14" a="1"/>
  <c r="AR99" i="14" s="1"/>
  <c r="BV99" i="14" s="1"/>
  <c r="H95" i="43" s="1"/>
  <c r="AX99" i="14" a="1"/>
  <c r="AX99" i="14" s="1"/>
  <c r="CB99" i="14" s="1"/>
  <c r="N95" i="43" s="1"/>
  <c r="BD99" i="14" a="1"/>
  <c r="BD99" i="14" s="1"/>
  <c r="CH99" i="14" s="1"/>
  <c r="T95" i="43" s="1"/>
  <c r="BJ99" i="14" a="1"/>
  <c r="BJ99" i="14" s="1"/>
  <c r="CN99" i="14" s="1"/>
  <c r="Z95" i="43" s="1"/>
  <c r="BP99" i="14" a="1"/>
  <c r="BP99" i="14" s="1"/>
  <c r="CT99" i="14" s="1"/>
  <c r="AF95" i="43" s="1"/>
  <c r="EH99" i="14"/>
  <c r="DD99" i="14" s="1"/>
  <c r="ET99" i="14"/>
  <c r="DP99" i="14" s="1"/>
  <c r="EG100" i="14"/>
  <c r="DC100" i="14" s="1"/>
  <c r="ES100" i="14"/>
  <c r="DO100" i="14" s="1"/>
  <c r="GO100" i="14"/>
  <c r="HA100" i="14"/>
  <c r="AQ101" i="14" a="1"/>
  <c r="AQ101" i="14" s="1"/>
  <c r="BU101" i="14" s="1"/>
  <c r="G97" i="43" s="1"/>
  <c r="AW101" i="14" a="1"/>
  <c r="AW101" i="14" s="1"/>
  <c r="CA101" i="14" s="1"/>
  <c r="M97" i="43" s="1"/>
  <c r="BC101" i="14" a="1"/>
  <c r="BC101" i="14" s="1"/>
  <c r="CG101" i="14" s="1"/>
  <c r="S97" i="43" s="1"/>
  <c r="BI101" i="14" a="1"/>
  <c r="BI101" i="14" s="1"/>
  <c r="CM101" i="14" s="1"/>
  <c r="Y97" i="43" s="1"/>
  <c r="BO101" i="14" a="1"/>
  <c r="BO101" i="14" s="1"/>
  <c r="CS101" i="14" s="1"/>
  <c r="AE97" i="43" s="1"/>
  <c r="EF101" i="14"/>
  <c r="DB101" i="14" s="1"/>
  <c r="ER101" i="14"/>
  <c r="DN101" i="14" s="1"/>
  <c r="FD101" i="14"/>
  <c r="DZ101" i="14" s="1"/>
  <c r="GN101" i="14"/>
  <c r="GZ101" i="14"/>
  <c r="HL101" i="14"/>
  <c r="IV101" i="14"/>
  <c r="JH101" i="14"/>
  <c r="JT101" i="14"/>
  <c r="GM102" i="14"/>
  <c r="GY102" i="14"/>
  <c r="HK102" i="14"/>
  <c r="AP103" i="14" a="1"/>
  <c r="AP103" i="14" s="1"/>
  <c r="AV103" i="14" a="1"/>
  <c r="AV103" i="14" s="1"/>
  <c r="ER103" i="14" s="1"/>
  <c r="DN103" i="14" s="1"/>
  <c r="ED103" i="14"/>
  <c r="CZ103" i="14" s="1"/>
  <c r="EC104" i="14"/>
  <c r="CY104" i="14" s="1"/>
  <c r="EO104" i="14"/>
  <c r="DK104" i="14" s="1"/>
  <c r="FA104" i="14"/>
  <c r="DW104" i="14" s="1"/>
  <c r="GK104" i="14"/>
  <c r="GW104" i="14"/>
  <c r="HI104" i="14"/>
  <c r="AO105" i="14" a="1"/>
  <c r="AO105" i="14" s="1"/>
  <c r="BS105" i="14" s="1"/>
  <c r="E101" i="43" s="1"/>
  <c r="AU105" i="14" a="1"/>
  <c r="AU105" i="14" s="1"/>
  <c r="BY105" i="14" s="1"/>
  <c r="K101" i="43" s="1"/>
  <c r="BA105" i="14" a="1"/>
  <c r="BA105" i="14" s="1"/>
  <c r="CE105" i="14" s="1"/>
  <c r="Q101" i="43" s="1"/>
  <c r="BG105" i="14" a="1"/>
  <c r="BG105" i="14" s="1"/>
  <c r="CK105" i="14" s="1"/>
  <c r="W101" i="43" s="1"/>
  <c r="BM105" i="14" a="1"/>
  <c r="BM105" i="14" s="1"/>
  <c r="CQ105" i="14" s="1"/>
  <c r="AC101" i="43" s="1"/>
  <c r="EB105" i="14"/>
  <c r="CX105" i="14" s="1"/>
  <c r="EN105" i="14"/>
  <c r="DJ105" i="14" s="1"/>
  <c r="EZ105" i="14"/>
  <c r="DV105" i="14" s="1"/>
  <c r="GJ105" i="14"/>
  <c r="GV105" i="14"/>
  <c r="HH105" i="14"/>
  <c r="HT105" i="14"/>
  <c r="IF105" i="14"/>
  <c r="EA106" i="14"/>
  <c r="CW106" i="14" s="1"/>
  <c r="EM106" i="14"/>
  <c r="DI106" i="14" s="1"/>
  <c r="EY106" i="14"/>
  <c r="DU106" i="14" s="1"/>
  <c r="EH111" i="14"/>
  <c r="DD111" i="14" s="1"/>
  <c r="ET111" i="14"/>
  <c r="DP111" i="14" s="1"/>
  <c r="EG112" i="14"/>
  <c r="DC112" i="14" s="1"/>
  <c r="ES112" i="14"/>
  <c r="DO112" i="14" s="1"/>
  <c r="GO112" i="14"/>
  <c r="EF113" i="14"/>
  <c r="DB113" i="14" s="1"/>
  <c r="ER113" i="14"/>
  <c r="DN113" i="14" s="1"/>
  <c r="FD113" i="14"/>
  <c r="DZ113" i="14" s="1"/>
  <c r="GN113" i="14"/>
  <c r="GZ113" i="14"/>
  <c r="EE114" i="14"/>
  <c r="DA114" i="14" s="1"/>
  <c r="EQ114" i="14"/>
  <c r="DM114" i="14" s="1"/>
  <c r="FC114" i="14"/>
  <c r="DY114" i="14" s="1"/>
  <c r="GM114" i="14"/>
  <c r="GY114" i="14"/>
  <c r="HK114" i="14"/>
  <c r="ED115" i="14"/>
  <c r="CZ115" i="14" s="1"/>
  <c r="EP115" i="14"/>
  <c r="DL115" i="14" s="1"/>
  <c r="FB115" i="14"/>
  <c r="DX115" i="14" s="1"/>
  <c r="GL115" i="14"/>
  <c r="GX115" i="14"/>
  <c r="EC116" i="14"/>
  <c r="CY116" i="14" s="1"/>
  <c r="EO116" i="14"/>
  <c r="DK116" i="14" s="1"/>
  <c r="FA116" i="14"/>
  <c r="DW116" i="14" s="1"/>
  <c r="GK116" i="14"/>
  <c r="GW116" i="14"/>
  <c r="HI116" i="14"/>
  <c r="EB117" i="14"/>
  <c r="CX117" i="14" s="1"/>
  <c r="EN117" i="14"/>
  <c r="DJ117" i="14" s="1"/>
  <c r="EZ117" i="14"/>
  <c r="DV117" i="14" s="1"/>
  <c r="GJ117" i="14"/>
  <c r="GV117" i="14"/>
  <c r="GI118" i="14"/>
  <c r="GU118" i="14"/>
  <c r="HG118" i="14"/>
  <c r="GT119" i="14"/>
  <c r="HF119" i="14"/>
  <c r="EI122" i="14"/>
  <c r="DE122" i="14" s="1"/>
  <c r="EU122" i="14"/>
  <c r="DQ122" i="14" s="1"/>
  <c r="EH123" i="14"/>
  <c r="DD123" i="14" s="1"/>
  <c r="ET123" i="14"/>
  <c r="DP123" i="14" s="1"/>
  <c r="GP123" i="14"/>
  <c r="HB123" i="14"/>
  <c r="EG124" i="14"/>
  <c r="DC124" i="14" s="1"/>
  <c r="ES124" i="14"/>
  <c r="DO124" i="14" s="1"/>
  <c r="GO124" i="14"/>
  <c r="EF125" i="14"/>
  <c r="DB125" i="14" s="1"/>
  <c r="ER125" i="14"/>
  <c r="DN125" i="14" s="1"/>
  <c r="FD125" i="14"/>
  <c r="DZ125" i="14" s="1"/>
  <c r="GN125" i="14"/>
  <c r="GZ125" i="14"/>
  <c r="EE126" i="14"/>
  <c r="DA126" i="14" s="1"/>
  <c r="EQ126" i="14"/>
  <c r="DM126" i="14" s="1"/>
  <c r="FC126" i="14"/>
  <c r="DY126" i="14" s="1"/>
  <c r="GM126" i="14"/>
  <c r="GY126" i="14"/>
  <c r="HK126" i="14"/>
  <c r="ED127" i="14"/>
  <c r="CZ127" i="14" s="1"/>
  <c r="EP127" i="14"/>
  <c r="DL127" i="14" s="1"/>
  <c r="FB127" i="14"/>
  <c r="DX127" i="14" s="1"/>
  <c r="GL127" i="14"/>
  <c r="GX127" i="14"/>
  <c r="EC128" i="14"/>
  <c r="CY128" i="14" s="1"/>
  <c r="EO128" i="14"/>
  <c r="DK128" i="14" s="1"/>
  <c r="FA128" i="14"/>
  <c r="DW128" i="14" s="1"/>
  <c r="GK128" i="14"/>
  <c r="GW128" i="14"/>
  <c r="HI128" i="14"/>
  <c r="EI129" i="14"/>
  <c r="DE129" i="14" s="1"/>
  <c r="EV129" i="14"/>
  <c r="DR129" i="14" s="1"/>
  <c r="EN131" i="14"/>
  <c r="DJ131" i="14" s="1"/>
  <c r="FC131" i="14"/>
  <c r="DY131" i="14" s="1"/>
  <c r="EC132" i="14"/>
  <c r="CY132" i="14" s="1"/>
  <c r="EQ132" i="14"/>
  <c r="DM132" i="14" s="1"/>
  <c r="EA134" i="14"/>
  <c r="CW134" i="14" s="1"/>
  <c r="EO134" i="14"/>
  <c r="DK134" i="14" s="1"/>
  <c r="FC134" i="14"/>
  <c r="DY134" i="14" s="1"/>
  <c r="EV136" i="14"/>
  <c r="DR136" i="14" s="1"/>
  <c r="EJ136" i="14"/>
  <c r="DF136" i="14" s="1"/>
  <c r="EU136" i="14"/>
  <c r="DQ136" i="14" s="1"/>
  <c r="EI136" i="14"/>
  <c r="DE136" i="14" s="1"/>
  <c r="ET136" i="14"/>
  <c r="DP136" i="14" s="1"/>
  <c r="EH136" i="14"/>
  <c r="DD136" i="14" s="1"/>
  <c r="FB136" i="14"/>
  <c r="DX136" i="14" s="1"/>
  <c r="EP136" i="14"/>
  <c r="DL136" i="14" s="1"/>
  <c r="ED136" i="14"/>
  <c r="CZ136" i="14" s="1"/>
  <c r="EG136" i="14"/>
  <c r="DC136" i="14" s="1"/>
  <c r="EZ136" i="14"/>
  <c r="DV136" i="14" s="1"/>
  <c r="GQ136" i="14"/>
  <c r="HC136" i="14"/>
  <c r="GK136" i="14"/>
  <c r="GJ140" i="14"/>
  <c r="GV140" i="14"/>
  <c r="HH140" i="14"/>
  <c r="HD140" i="14"/>
  <c r="FC142" i="14"/>
  <c r="DY142" i="14" s="1"/>
  <c r="GS142" i="14"/>
  <c r="HE142" i="14"/>
  <c r="GY142" i="14"/>
  <c r="GP149" i="14"/>
  <c r="HB149" i="14"/>
  <c r="GO150" i="14"/>
  <c r="HA150" i="14"/>
  <c r="GQ150" i="14"/>
  <c r="GI152" i="14"/>
  <c r="GU152" i="14"/>
  <c r="HG152" i="14"/>
  <c r="HE153" i="14"/>
  <c r="GS153" i="14"/>
  <c r="HD153" i="14"/>
  <c r="GR153" i="14"/>
  <c r="HC153" i="14"/>
  <c r="GQ153" i="14"/>
  <c r="HB153" i="14"/>
  <c r="GP153" i="14"/>
  <c r="GJ153" i="14"/>
  <c r="GV153" i="14"/>
  <c r="HH153" i="14"/>
  <c r="GJ154" i="14"/>
  <c r="GV154" i="14"/>
  <c r="HH154" i="14"/>
  <c r="EG101" i="14"/>
  <c r="DC101" i="14" s="1"/>
  <c r="ES101" i="14"/>
  <c r="DO101" i="14" s="1"/>
  <c r="IW101" i="14"/>
  <c r="JI101" i="14"/>
  <c r="AQ102" i="14" a="1"/>
  <c r="AQ102" i="14" s="1"/>
  <c r="EE103" i="14"/>
  <c r="DA103" i="14" s="1"/>
  <c r="ED104" i="14"/>
  <c r="CZ104" i="14" s="1"/>
  <c r="EP104" i="14"/>
  <c r="DL104" i="14" s="1"/>
  <c r="FB104" i="14"/>
  <c r="DX104" i="14" s="1"/>
  <c r="EC105" i="14"/>
  <c r="CY105" i="14" s="1"/>
  <c r="EO105" i="14"/>
  <c r="DK105" i="14" s="1"/>
  <c r="FA105" i="14"/>
  <c r="DW105" i="14" s="1"/>
  <c r="EG113" i="14"/>
  <c r="DC113" i="14" s="1"/>
  <c r="ES113" i="14"/>
  <c r="DO113" i="14" s="1"/>
  <c r="EE115" i="14"/>
  <c r="DA115" i="14" s="1"/>
  <c r="EQ115" i="14"/>
  <c r="DM115" i="14" s="1"/>
  <c r="FC115" i="14"/>
  <c r="DY115" i="14" s="1"/>
  <c r="EC117" i="14"/>
  <c r="CY117" i="14" s="1"/>
  <c r="EO117" i="14"/>
  <c r="DK117" i="14" s="1"/>
  <c r="FA117" i="14"/>
  <c r="DW117" i="14" s="1"/>
  <c r="EJ122" i="14"/>
  <c r="DF122" i="14" s="1"/>
  <c r="EV122" i="14"/>
  <c r="DR122" i="14" s="1"/>
  <c r="EG125" i="14"/>
  <c r="DC125" i="14" s="1"/>
  <c r="ES125" i="14"/>
  <c r="DO125" i="14" s="1"/>
  <c r="EE127" i="14"/>
  <c r="DA127" i="14" s="1"/>
  <c r="EQ127" i="14"/>
  <c r="DM127" i="14" s="1"/>
  <c r="FC127" i="14"/>
  <c r="DY127" i="14" s="1"/>
  <c r="EJ129" i="14"/>
  <c r="DF129" i="14" s="1"/>
  <c r="EX129" i="14"/>
  <c r="DT129" i="14" s="1"/>
  <c r="EA131" i="14"/>
  <c r="CW131" i="14" s="1"/>
  <c r="EP131" i="14"/>
  <c r="DL131" i="14" s="1"/>
  <c r="FD131" i="14"/>
  <c r="DZ131" i="14" s="1"/>
  <c r="ED132" i="14"/>
  <c r="CZ132" i="14" s="1"/>
  <c r="ER132" i="14"/>
  <c r="DN132" i="14" s="1"/>
  <c r="EB134" i="14"/>
  <c r="CX134" i="14" s="1"/>
  <c r="EP134" i="14"/>
  <c r="DL134" i="14" s="1"/>
  <c r="GR136" i="14"/>
  <c r="HD136" i="14"/>
  <c r="HE141" i="14"/>
  <c r="GS141" i="14"/>
  <c r="HD141" i="14"/>
  <c r="GR141" i="14"/>
  <c r="GN141" i="14"/>
  <c r="GT142" i="14"/>
  <c r="HF142" i="14"/>
  <c r="GZ142" i="14"/>
  <c r="GP150" i="14"/>
  <c r="HB150" i="14"/>
  <c r="GR150" i="14"/>
  <c r="GJ152" i="14"/>
  <c r="GV152" i="14"/>
  <c r="HH152" i="14"/>
  <c r="FC153" i="14"/>
  <c r="DY153" i="14" s="1"/>
  <c r="EQ153" i="14"/>
  <c r="DM153" i="14" s="1"/>
  <c r="EE153" i="14"/>
  <c r="DA153" i="14" s="1"/>
  <c r="FB153" i="14"/>
  <c r="DX153" i="14" s="1"/>
  <c r="EP153" i="14"/>
  <c r="DL153" i="14" s="1"/>
  <c r="ED153" i="14"/>
  <c r="CZ153" i="14" s="1"/>
  <c r="FA153" i="14"/>
  <c r="DW153" i="14" s="1"/>
  <c r="EO153" i="14"/>
  <c r="DK153" i="14" s="1"/>
  <c r="EC153" i="14"/>
  <c r="CY153" i="14" s="1"/>
  <c r="EZ153" i="14"/>
  <c r="DV153" i="14" s="1"/>
  <c r="EN153" i="14"/>
  <c r="DJ153" i="14" s="1"/>
  <c r="EB153" i="14"/>
  <c r="CX153" i="14" s="1"/>
  <c r="EY153" i="14"/>
  <c r="DU153" i="14" s="1"/>
  <c r="EM153" i="14"/>
  <c r="DI153" i="14" s="1"/>
  <c r="EA153" i="14"/>
  <c r="CW153" i="14" s="1"/>
  <c r="EX153" i="14"/>
  <c r="DT153" i="14" s="1"/>
  <c r="EL153" i="14"/>
  <c r="DH153" i="14" s="1"/>
  <c r="EW153" i="14"/>
  <c r="DS153" i="14" s="1"/>
  <c r="EK153" i="14"/>
  <c r="DG153" i="14" s="1"/>
  <c r="EV153" i="14"/>
  <c r="DR153" i="14" s="1"/>
  <c r="EJ153" i="14"/>
  <c r="DF153" i="14" s="1"/>
  <c r="EU153" i="14"/>
  <c r="DQ153" i="14" s="1"/>
  <c r="EI153" i="14"/>
  <c r="DE153" i="14" s="1"/>
  <c r="ET153" i="14"/>
  <c r="DP153" i="14" s="1"/>
  <c r="EH153" i="14"/>
  <c r="DD153" i="14" s="1"/>
  <c r="GK154" i="14"/>
  <c r="GW154" i="14"/>
  <c r="HI154" i="14"/>
  <c r="AS99" i="14" a="1"/>
  <c r="AS99" i="14" s="1"/>
  <c r="BW99" i="14" s="1"/>
  <c r="I95" i="43" s="1"/>
  <c r="AY99" i="14" a="1"/>
  <c r="AY99" i="14" s="1"/>
  <c r="CC99" i="14" s="1"/>
  <c r="O95" i="43" s="1"/>
  <c r="BE99" i="14" a="1"/>
  <c r="BE99" i="14" s="1"/>
  <c r="CI99" i="14" s="1"/>
  <c r="U95" i="43" s="1"/>
  <c r="BK99" i="14" a="1"/>
  <c r="BK99" i="14" s="1"/>
  <c r="CO99" i="14" s="1"/>
  <c r="AA95" i="43" s="1"/>
  <c r="BQ99" i="14" a="1"/>
  <c r="BQ99" i="14" s="1"/>
  <c r="CU99" i="14" s="1"/>
  <c r="AG95" i="43" s="1"/>
  <c r="EJ99" i="14"/>
  <c r="DF99" i="14" s="1"/>
  <c r="EI100" i="14"/>
  <c r="DE100" i="14" s="1"/>
  <c r="AR101" i="14" a="1"/>
  <c r="AR101" i="14" s="1"/>
  <c r="BV101" i="14" s="1"/>
  <c r="H97" i="43" s="1"/>
  <c r="AX101" i="14" a="1"/>
  <c r="AX101" i="14" s="1"/>
  <c r="CB101" i="14" s="1"/>
  <c r="N97" i="43" s="1"/>
  <c r="BD101" i="14" a="1"/>
  <c r="BD101" i="14" s="1"/>
  <c r="CH101" i="14" s="1"/>
  <c r="T97" i="43" s="1"/>
  <c r="BJ101" i="14" a="1"/>
  <c r="BJ101" i="14" s="1"/>
  <c r="CN101" i="14" s="1"/>
  <c r="Z97" i="43" s="1"/>
  <c r="BP101" i="14" a="1"/>
  <c r="BP101" i="14" s="1"/>
  <c r="CT101" i="14" s="1"/>
  <c r="AF97" i="43" s="1"/>
  <c r="EH101" i="14"/>
  <c r="DD101" i="14" s="1"/>
  <c r="ET101" i="14"/>
  <c r="DP101" i="14" s="1"/>
  <c r="IX101" i="14"/>
  <c r="JJ101" i="14"/>
  <c r="AQ103" i="14" a="1"/>
  <c r="AQ103" i="14" s="1"/>
  <c r="EM103" i="14" s="1"/>
  <c r="DI103" i="14" s="1"/>
  <c r="AW103" i="14" a="1"/>
  <c r="AW103" i="14" s="1"/>
  <c r="EF103" i="14"/>
  <c r="DB103" i="14" s="1"/>
  <c r="EE104" i="14"/>
  <c r="DA104" i="14" s="1"/>
  <c r="EQ104" i="14"/>
  <c r="DM104" i="14" s="1"/>
  <c r="FC104" i="14"/>
  <c r="DY104" i="14" s="1"/>
  <c r="AP105" i="14" a="1"/>
  <c r="AP105" i="14" s="1"/>
  <c r="BT105" i="14" s="1"/>
  <c r="F101" i="43" s="1"/>
  <c r="AV105" i="14" a="1"/>
  <c r="AV105" i="14" s="1"/>
  <c r="BZ105" i="14" s="1"/>
  <c r="L101" i="43" s="1"/>
  <c r="BB105" i="14" a="1"/>
  <c r="BB105" i="14" s="1"/>
  <c r="CF105" i="14" s="1"/>
  <c r="R101" i="43" s="1"/>
  <c r="BH105" i="14" a="1"/>
  <c r="BH105" i="14" s="1"/>
  <c r="CL105" i="14" s="1"/>
  <c r="X101" i="43" s="1"/>
  <c r="BN105" i="14" a="1"/>
  <c r="BN105" i="14" s="1"/>
  <c r="CR105" i="14" s="1"/>
  <c r="AD101" i="43" s="1"/>
  <c r="ED105" i="14"/>
  <c r="CZ105" i="14" s="1"/>
  <c r="EP105" i="14"/>
  <c r="DL105" i="14" s="1"/>
  <c r="FB105" i="14"/>
  <c r="DX105" i="14" s="1"/>
  <c r="EC106" i="14"/>
  <c r="CY106" i="14" s="1"/>
  <c r="EO106" i="14"/>
  <c r="DK106" i="14" s="1"/>
  <c r="FA106" i="14"/>
  <c r="DW106" i="14" s="1"/>
  <c r="EJ111" i="14"/>
  <c r="DF111" i="14" s="1"/>
  <c r="EV111" i="14"/>
  <c r="DR111" i="14" s="1"/>
  <c r="EI112" i="14"/>
  <c r="DE112" i="14" s="1"/>
  <c r="EU112" i="14"/>
  <c r="DQ112" i="14" s="1"/>
  <c r="EH113" i="14"/>
  <c r="DD113" i="14" s="1"/>
  <c r="ET113" i="14"/>
  <c r="DP113" i="14" s="1"/>
  <c r="EG114" i="14"/>
  <c r="DC114" i="14" s="1"/>
  <c r="ES114" i="14"/>
  <c r="DO114" i="14" s="1"/>
  <c r="EF115" i="14"/>
  <c r="DB115" i="14" s="1"/>
  <c r="ER115" i="14"/>
  <c r="DN115" i="14" s="1"/>
  <c r="FD115" i="14"/>
  <c r="DZ115" i="14" s="1"/>
  <c r="EE116" i="14"/>
  <c r="DA116" i="14" s="1"/>
  <c r="EQ116" i="14"/>
  <c r="DM116" i="14" s="1"/>
  <c r="FC116" i="14"/>
  <c r="DY116" i="14" s="1"/>
  <c r="ED117" i="14"/>
  <c r="CZ117" i="14" s="1"/>
  <c r="EP117" i="14"/>
  <c r="DL117" i="14" s="1"/>
  <c r="FB117" i="14"/>
  <c r="DX117" i="14" s="1"/>
  <c r="EK122" i="14"/>
  <c r="DG122" i="14" s="1"/>
  <c r="EW122" i="14"/>
  <c r="DS122" i="14" s="1"/>
  <c r="EJ123" i="14"/>
  <c r="DF123" i="14" s="1"/>
  <c r="EV123" i="14"/>
  <c r="DR123" i="14" s="1"/>
  <c r="EI124" i="14"/>
  <c r="DE124" i="14" s="1"/>
  <c r="EU124" i="14"/>
  <c r="DQ124" i="14" s="1"/>
  <c r="EH125" i="14"/>
  <c r="DD125" i="14" s="1"/>
  <c r="ET125" i="14"/>
  <c r="DP125" i="14" s="1"/>
  <c r="EG126" i="14"/>
  <c r="DC126" i="14" s="1"/>
  <c r="ES126" i="14"/>
  <c r="DO126" i="14" s="1"/>
  <c r="EF127" i="14"/>
  <c r="DB127" i="14" s="1"/>
  <c r="ER127" i="14"/>
  <c r="DN127" i="14" s="1"/>
  <c r="FD127" i="14"/>
  <c r="DZ127" i="14" s="1"/>
  <c r="EE128" i="14"/>
  <c r="DA128" i="14" s="1"/>
  <c r="EQ128" i="14"/>
  <c r="DM128" i="14" s="1"/>
  <c r="FC128" i="14"/>
  <c r="DY128" i="14" s="1"/>
  <c r="EL129" i="14"/>
  <c r="DH129" i="14" s="1"/>
  <c r="EY129" i="14"/>
  <c r="DU129" i="14" s="1"/>
  <c r="EB131" i="14"/>
  <c r="CX131" i="14" s="1"/>
  <c r="EQ131" i="14"/>
  <c r="DM131" i="14" s="1"/>
  <c r="EE132" i="14"/>
  <c r="DA132" i="14" s="1"/>
  <c r="ES132" i="14"/>
  <c r="DO132" i="14" s="1"/>
  <c r="EC134" i="14"/>
  <c r="CY134" i="14" s="1"/>
  <c r="EQ134" i="14"/>
  <c r="DM134" i="14" s="1"/>
  <c r="EL136" i="14"/>
  <c r="DH136" i="14" s="1"/>
  <c r="FC136" i="14"/>
  <c r="DY136" i="14" s="1"/>
  <c r="GL140" i="14"/>
  <c r="GX140" i="14"/>
  <c r="HJ140" i="14"/>
  <c r="FC141" i="14"/>
  <c r="DY141" i="14" s="1"/>
  <c r="EQ141" i="14"/>
  <c r="DM141" i="14" s="1"/>
  <c r="EE141" i="14"/>
  <c r="DA141" i="14" s="1"/>
  <c r="FB141" i="14"/>
  <c r="DX141" i="14" s="1"/>
  <c r="EP141" i="14"/>
  <c r="DL141" i="14" s="1"/>
  <c r="ED141" i="14"/>
  <c r="CZ141" i="14" s="1"/>
  <c r="FA141" i="14"/>
  <c r="DW141" i="14" s="1"/>
  <c r="EO141" i="14"/>
  <c r="DK141" i="14" s="1"/>
  <c r="EC141" i="14"/>
  <c r="CY141" i="14" s="1"/>
  <c r="EZ141" i="14"/>
  <c r="DV141" i="14" s="1"/>
  <c r="EN141" i="14"/>
  <c r="DJ141" i="14" s="1"/>
  <c r="EB141" i="14"/>
  <c r="CX141" i="14" s="1"/>
  <c r="EY141" i="14"/>
  <c r="DU141" i="14" s="1"/>
  <c r="EM141" i="14"/>
  <c r="DI141" i="14" s="1"/>
  <c r="EA141" i="14"/>
  <c r="CW141" i="14" s="1"/>
  <c r="EX141" i="14"/>
  <c r="DT141" i="14" s="1"/>
  <c r="EL141" i="14"/>
  <c r="DH141" i="14" s="1"/>
  <c r="EW141" i="14"/>
  <c r="DS141" i="14" s="1"/>
  <c r="EK141" i="14"/>
  <c r="DG141" i="14" s="1"/>
  <c r="EV141" i="14"/>
  <c r="DR141" i="14" s="1"/>
  <c r="EJ141" i="14"/>
  <c r="DF141" i="14" s="1"/>
  <c r="ER141" i="14"/>
  <c r="DN141" i="14" s="1"/>
  <c r="GO141" i="14"/>
  <c r="GI142" i="14"/>
  <c r="GU142" i="14"/>
  <c r="HG142" i="14"/>
  <c r="HA142" i="14"/>
  <c r="HF149" i="14"/>
  <c r="GT149" i="14"/>
  <c r="GU149" i="14"/>
  <c r="GT150" i="14"/>
  <c r="GK152" i="14"/>
  <c r="GW152" i="14"/>
  <c r="HI152" i="14"/>
  <c r="GL154" i="14"/>
  <c r="GX154" i="14"/>
  <c r="HJ154" i="14"/>
  <c r="GM173" i="14"/>
  <c r="EI101" i="14"/>
  <c r="DE101" i="14" s="1"/>
  <c r="EU101" i="14"/>
  <c r="DQ101" i="14" s="1"/>
  <c r="IY101" i="14"/>
  <c r="JK101" i="14"/>
  <c r="EG103" i="14"/>
  <c r="DC103" i="14" s="1"/>
  <c r="EF104" i="14"/>
  <c r="DB104" i="14" s="1"/>
  <c r="ER104" i="14"/>
  <c r="DN104" i="14" s="1"/>
  <c r="FD104" i="14"/>
  <c r="DZ104" i="14" s="1"/>
  <c r="EE105" i="14"/>
  <c r="DA105" i="14" s="1"/>
  <c r="EQ105" i="14"/>
  <c r="DM105" i="14" s="1"/>
  <c r="FC105" i="14"/>
  <c r="DY105" i="14" s="1"/>
  <c r="EI113" i="14"/>
  <c r="DE113" i="14" s="1"/>
  <c r="EU113" i="14"/>
  <c r="DQ113" i="14" s="1"/>
  <c r="EG115" i="14"/>
  <c r="DC115" i="14" s="1"/>
  <c r="ES115" i="14"/>
  <c r="DO115" i="14" s="1"/>
  <c r="EE117" i="14"/>
  <c r="DA117" i="14" s="1"/>
  <c r="EQ117" i="14"/>
  <c r="DM117" i="14" s="1"/>
  <c r="FC117" i="14"/>
  <c r="DY117" i="14" s="1"/>
  <c r="EL122" i="14"/>
  <c r="DH122" i="14" s="1"/>
  <c r="EX122" i="14"/>
  <c r="DT122" i="14" s="1"/>
  <c r="EG127" i="14"/>
  <c r="DC127" i="14" s="1"/>
  <c r="ES127" i="14"/>
  <c r="DO127" i="14" s="1"/>
  <c r="ED131" i="14"/>
  <c r="CZ131" i="14" s="1"/>
  <c r="ER131" i="14"/>
  <c r="DN131" i="14" s="1"/>
  <c r="EF132" i="14"/>
  <c r="DB132" i="14" s="1"/>
  <c r="EU132" i="14"/>
  <c r="DQ132" i="14" s="1"/>
  <c r="GO137" i="14"/>
  <c r="HA137" i="14"/>
  <c r="HG139" i="14"/>
  <c r="EG140" i="14"/>
  <c r="DC140" i="14" s="1"/>
  <c r="GJ142" i="14"/>
  <c r="GV142" i="14"/>
  <c r="HH142" i="14"/>
  <c r="HB142" i="14"/>
  <c r="HC150" i="14"/>
  <c r="GL152" i="14"/>
  <c r="GX152" i="14"/>
  <c r="HJ152" i="14"/>
  <c r="AS101" i="14" a="1"/>
  <c r="AS101" i="14" s="1"/>
  <c r="BW101" i="14" s="1"/>
  <c r="I97" i="43" s="1"/>
  <c r="AY101" i="14" a="1"/>
  <c r="AY101" i="14" s="1"/>
  <c r="CC101" i="14" s="1"/>
  <c r="O97" i="43" s="1"/>
  <c r="BE101" i="14" a="1"/>
  <c r="BE101" i="14" s="1"/>
  <c r="CI101" i="14" s="1"/>
  <c r="U97" i="43" s="1"/>
  <c r="BK101" i="14" a="1"/>
  <c r="BK101" i="14" s="1"/>
  <c r="CO101" i="14" s="1"/>
  <c r="AA97" i="43" s="1"/>
  <c r="BQ101" i="14" a="1"/>
  <c r="BQ101" i="14" s="1"/>
  <c r="CU101" i="14" s="1"/>
  <c r="AG97" i="43" s="1"/>
  <c r="EJ101" i="14"/>
  <c r="DF101" i="14" s="1"/>
  <c r="EV101" i="14"/>
  <c r="DR101" i="14" s="1"/>
  <c r="IZ101" i="14"/>
  <c r="JL101" i="14"/>
  <c r="AR103" i="14" a="1"/>
  <c r="AR103" i="14" s="1"/>
  <c r="EN103" i="14" s="1"/>
  <c r="DJ103" i="14" s="1"/>
  <c r="AX103" i="14" a="1"/>
  <c r="AX103" i="14" s="1"/>
  <c r="CB103" i="14" s="1"/>
  <c r="N99" i="43" s="1"/>
  <c r="EH103" i="14"/>
  <c r="DD103" i="14" s="1"/>
  <c r="EG104" i="14"/>
  <c r="DC104" i="14" s="1"/>
  <c r="ES104" i="14"/>
  <c r="DO104" i="14" s="1"/>
  <c r="AQ105" i="14" a="1"/>
  <c r="AQ105" i="14" s="1"/>
  <c r="BU105" i="14" s="1"/>
  <c r="G101" i="43" s="1"/>
  <c r="AW105" i="14" a="1"/>
  <c r="AW105" i="14" s="1"/>
  <c r="CA105" i="14" s="1"/>
  <c r="M101" i="43" s="1"/>
  <c r="BC105" i="14" a="1"/>
  <c r="BC105" i="14" s="1"/>
  <c r="CG105" i="14" s="1"/>
  <c r="S101" i="43" s="1"/>
  <c r="BI105" i="14" a="1"/>
  <c r="BI105" i="14" s="1"/>
  <c r="CM105" i="14" s="1"/>
  <c r="Y101" i="43" s="1"/>
  <c r="BO105" i="14" a="1"/>
  <c r="BO105" i="14" s="1"/>
  <c r="CS105" i="14" s="1"/>
  <c r="AE101" i="43" s="1"/>
  <c r="EF105" i="14"/>
  <c r="DB105" i="14" s="1"/>
  <c r="ER105" i="14"/>
  <c r="DN105" i="14" s="1"/>
  <c r="FD105" i="14"/>
  <c r="DZ105" i="14" s="1"/>
  <c r="EE106" i="14"/>
  <c r="DA106" i="14" s="1"/>
  <c r="EQ106" i="14"/>
  <c r="DM106" i="14" s="1"/>
  <c r="FC106" i="14"/>
  <c r="DY106" i="14" s="1"/>
  <c r="EL111" i="14"/>
  <c r="DH111" i="14" s="1"/>
  <c r="EX111" i="14"/>
  <c r="DT111" i="14" s="1"/>
  <c r="EK112" i="14"/>
  <c r="DG112" i="14" s="1"/>
  <c r="EW112" i="14"/>
  <c r="DS112" i="14" s="1"/>
  <c r="EJ113" i="14"/>
  <c r="DF113" i="14" s="1"/>
  <c r="EV113" i="14"/>
  <c r="DR113" i="14" s="1"/>
  <c r="EI114" i="14"/>
  <c r="DE114" i="14" s="1"/>
  <c r="EU114" i="14"/>
  <c r="DQ114" i="14" s="1"/>
  <c r="EH115" i="14"/>
  <c r="DD115" i="14" s="1"/>
  <c r="ET115" i="14"/>
  <c r="DP115" i="14" s="1"/>
  <c r="EG116" i="14"/>
  <c r="DC116" i="14" s="1"/>
  <c r="ES116" i="14"/>
  <c r="DO116" i="14" s="1"/>
  <c r="EF117" i="14"/>
  <c r="DB117" i="14" s="1"/>
  <c r="ER117" i="14"/>
  <c r="DN117" i="14" s="1"/>
  <c r="FD117" i="14"/>
  <c r="DZ117" i="14" s="1"/>
  <c r="EA122" i="14"/>
  <c r="CW122" i="14" s="1"/>
  <c r="EM122" i="14"/>
  <c r="DI122" i="14" s="1"/>
  <c r="EY122" i="14"/>
  <c r="DU122" i="14" s="1"/>
  <c r="EL123" i="14"/>
  <c r="DH123" i="14" s="1"/>
  <c r="EX123" i="14"/>
  <c r="DT123" i="14" s="1"/>
  <c r="EJ125" i="14"/>
  <c r="DF125" i="14" s="1"/>
  <c r="EV125" i="14"/>
  <c r="DR125" i="14" s="1"/>
  <c r="EI126" i="14"/>
  <c r="DE126" i="14" s="1"/>
  <c r="EU126" i="14"/>
  <c r="DQ126" i="14" s="1"/>
  <c r="EH127" i="14"/>
  <c r="DD127" i="14" s="1"/>
  <c r="ET127" i="14"/>
  <c r="DP127" i="14" s="1"/>
  <c r="EG128" i="14"/>
  <c r="DC128" i="14" s="1"/>
  <c r="ES128" i="14"/>
  <c r="DO128" i="14" s="1"/>
  <c r="EA129" i="14"/>
  <c r="CW129" i="14" s="1"/>
  <c r="EN129" i="14"/>
  <c r="DJ129" i="14" s="1"/>
  <c r="HK129" i="14"/>
  <c r="EE131" i="14"/>
  <c r="DA131" i="14" s="1"/>
  <c r="ES131" i="14"/>
  <c r="DO131" i="14" s="1"/>
  <c r="EG132" i="14"/>
  <c r="DC132" i="14" s="1"/>
  <c r="EV132" i="14"/>
  <c r="DR132" i="14" s="1"/>
  <c r="EE134" i="14"/>
  <c r="DA134" i="14" s="1"/>
  <c r="ET134" i="14"/>
  <c r="DP134" i="14" s="1"/>
  <c r="HJ134" i="14"/>
  <c r="EN136" i="14"/>
  <c r="DJ136" i="14" s="1"/>
  <c r="HI136" i="14"/>
  <c r="GP137" i="14"/>
  <c r="HB137" i="14"/>
  <c r="HG138" i="14"/>
  <c r="GU138" i="14"/>
  <c r="GI138" i="14"/>
  <c r="GL138" i="14"/>
  <c r="GX138" i="14"/>
  <c r="HJ138" i="14"/>
  <c r="EH140" i="14"/>
  <c r="DD140" i="14" s="1"/>
  <c r="GN140" i="14"/>
  <c r="GZ140" i="14"/>
  <c r="HL140" i="14"/>
  <c r="ET141" i="14"/>
  <c r="DP141" i="14" s="1"/>
  <c r="GQ141" i="14"/>
  <c r="EE142" i="14"/>
  <c r="DA142" i="14" s="1"/>
  <c r="GK142" i="14"/>
  <c r="GW142" i="14"/>
  <c r="HI142" i="14"/>
  <c r="HK142" i="14"/>
  <c r="GR144" i="14"/>
  <c r="HD144" i="14"/>
  <c r="HE149" i="14"/>
  <c r="HD150" i="14"/>
  <c r="GM152" i="14"/>
  <c r="GY152" i="14"/>
  <c r="HK152" i="14"/>
  <c r="HA173" i="14"/>
  <c r="GO173" i="14"/>
  <c r="GL173" i="14"/>
  <c r="HL173" i="14"/>
  <c r="HK173" i="14"/>
  <c r="HJ173" i="14"/>
  <c r="HB173" i="14"/>
  <c r="GZ173" i="14"/>
  <c r="GY173" i="14"/>
  <c r="GX173" i="14"/>
  <c r="GP173" i="14"/>
  <c r="GQ173" i="14"/>
  <c r="HC173" i="14"/>
  <c r="GP104" i="14"/>
  <c r="HB104" i="14"/>
  <c r="EG105" i="14"/>
  <c r="DC105" i="14" s="1"/>
  <c r="ES105" i="14"/>
  <c r="DO105" i="14" s="1"/>
  <c r="GN106" i="14"/>
  <c r="GZ106" i="14"/>
  <c r="GT112" i="14"/>
  <c r="EK113" i="14"/>
  <c r="DG113" i="14" s="1"/>
  <c r="EW113" i="14"/>
  <c r="DS113" i="14" s="1"/>
  <c r="GR114" i="14"/>
  <c r="EI115" i="14"/>
  <c r="DE115" i="14" s="1"/>
  <c r="EU115" i="14"/>
  <c r="DQ115" i="14" s="1"/>
  <c r="GP116" i="14"/>
  <c r="EG117" i="14"/>
  <c r="DC117" i="14" s="1"/>
  <c r="ES117" i="14"/>
  <c r="DO117" i="14" s="1"/>
  <c r="GN118" i="14"/>
  <c r="GZ118" i="14"/>
  <c r="GM119" i="14"/>
  <c r="GY119" i="14"/>
  <c r="EB122" i="14"/>
  <c r="CX122" i="14" s="1"/>
  <c r="EN122" i="14"/>
  <c r="DJ122" i="14" s="1"/>
  <c r="EZ122" i="14"/>
  <c r="DV122" i="14" s="1"/>
  <c r="GI123" i="14"/>
  <c r="GU123" i="14"/>
  <c r="GT124" i="14"/>
  <c r="EK125" i="14"/>
  <c r="DG125" i="14" s="1"/>
  <c r="EW125" i="14"/>
  <c r="DS125" i="14" s="1"/>
  <c r="GR126" i="14"/>
  <c r="EI127" i="14"/>
  <c r="DE127" i="14" s="1"/>
  <c r="EU127" i="14"/>
  <c r="DQ127" i="14" s="1"/>
  <c r="GP128" i="14"/>
  <c r="EW129" i="14"/>
  <c r="DS129" i="14" s="1"/>
  <c r="EK129" i="14"/>
  <c r="DG129" i="14" s="1"/>
  <c r="EB129" i="14"/>
  <c r="CX129" i="14" s="1"/>
  <c r="EO129" i="14"/>
  <c r="DK129" i="14" s="1"/>
  <c r="FB129" i="14"/>
  <c r="DX129" i="14" s="1"/>
  <c r="EF131" i="14"/>
  <c r="DB131" i="14" s="1"/>
  <c r="ET131" i="14"/>
  <c r="DP131" i="14" s="1"/>
  <c r="EI132" i="14"/>
  <c r="DE132" i="14" s="1"/>
  <c r="EW132" i="14"/>
  <c r="DS132" i="14" s="1"/>
  <c r="EG134" i="14"/>
  <c r="DC134" i="14" s="1"/>
  <c r="EU134" i="14"/>
  <c r="DQ134" i="14" s="1"/>
  <c r="EO136" i="14"/>
  <c r="DK136" i="14" s="1"/>
  <c r="GQ137" i="14"/>
  <c r="HC137" i="14"/>
  <c r="EI140" i="14"/>
  <c r="DE140" i="14" s="1"/>
  <c r="GO140" i="14"/>
  <c r="EU141" i="14"/>
  <c r="DQ141" i="14" s="1"/>
  <c r="GZ141" i="14"/>
  <c r="EF142" i="14"/>
  <c r="DB142" i="14" s="1"/>
  <c r="GL142" i="14"/>
  <c r="GX142" i="14"/>
  <c r="HJ142" i="14"/>
  <c r="HL142" i="14"/>
  <c r="HB144" i="14"/>
  <c r="GP144" i="14"/>
  <c r="HA144" i="14"/>
  <c r="GO144" i="14"/>
  <c r="HK144" i="14"/>
  <c r="GY144" i="14"/>
  <c r="GM144" i="14"/>
  <c r="GS144" i="14"/>
  <c r="HE144" i="14"/>
  <c r="GX144" i="14"/>
  <c r="HG149" i="14"/>
  <c r="HF150" i="14"/>
  <c r="GN152" i="14"/>
  <c r="GZ152" i="14"/>
  <c r="HL152" i="14"/>
  <c r="GN153" i="14"/>
  <c r="GM154" i="14"/>
  <c r="HB156" i="14"/>
  <c r="GP156" i="14"/>
  <c r="HG156" i="14"/>
  <c r="HF156" i="14"/>
  <c r="HE156" i="14"/>
  <c r="HD156" i="14"/>
  <c r="HC156" i="14"/>
  <c r="GI156" i="14"/>
  <c r="GY156" i="14"/>
  <c r="GX156" i="14"/>
  <c r="GU156" i="14"/>
  <c r="HK156" i="14"/>
  <c r="GT156" i="14"/>
  <c r="GR156" i="14"/>
  <c r="DG160" i="14"/>
  <c r="HJ161" i="14"/>
  <c r="AT101" i="14" a="1"/>
  <c r="AT101" i="14" s="1"/>
  <c r="BX101" i="14" s="1"/>
  <c r="J97" i="43" s="1"/>
  <c r="AZ101" i="14" a="1"/>
  <c r="AZ101" i="14" s="1"/>
  <c r="CD101" i="14" s="1"/>
  <c r="P97" i="43" s="1"/>
  <c r="BF101" i="14" a="1"/>
  <c r="BF101" i="14" s="1"/>
  <c r="CJ101" i="14" s="1"/>
  <c r="V97" i="43" s="1"/>
  <c r="BL101" i="14" a="1"/>
  <c r="BL101" i="14" s="1"/>
  <c r="CP101" i="14" s="1"/>
  <c r="AB97" i="43" s="1"/>
  <c r="BR101" i="14" a="1"/>
  <c r="BR101" i="14" s="1"/>
  <c r="CV101" i="14" s="1"/>
  <c r="AH97" i="43" s="1"/>
  <c r="EL101" i="14"/>
  <c r="DH101" i="14" s="1"/>
  <c r="GT101" i="14"/>
  <c r="JB101" i="14"/>
  <c r="GS102" i="14"/>
  <c r="AS103" i="14" a="1"/>
  <c r="AS103" i="14" s="1"/>
  <c r="BW103" i="14" s="1"/>
  <c r="I99" i="43" s="1"/>
  <c r="EJ103" i="14"/>
  <c r="DF103" i="14" s="1"/>
  <c r="EI104" i="14"/>
  <c r="DE104" i="14" s="1"/>
  <c r="GQ104" i="14"/>
  <c r="AR105" i="14" a="1"/>
  <c r="AR105" i="14" s="1"/>
  <c r="BV105" i="14" s="1"/>
  <c r="H101" i="43" s="1"/>
  <c r="AX105" i="14" a="1"/>
  <c r="AX105" i="14" s="1"/>
  <c r="CB105" i="14" s="1"/>
  <c r="N101" i="43" s="1"/>
  <c r="BD105" i="14" a="1"/>
  <c r="BD105" i="14" s="1"/>
  <c r="CH105" i="14" s="1"/>
  <c r="T101" i="43" s="1"/>
  <c r="BJ105" i="14" a="1"/>
  <c r="BJ105" i="14" s="1"/>
  <c r="CN105" i="14" s="1"/>
  <c r="Z101" i="43" s="1"/>
  <c r="BP105" i="14" a="1"/>
  <c r="BP105" i="14" s="1"/>
  <c r="CT105" i="14" s="1"/>
  <c r="AF101" i="43" s="1"/>
  <c r="EH105" i="14"/>
  <c r="DD105" i="14" s="1"/>
  <c r="EG106" i="14"/>
  <c r="DC106" i="14" s="1"/>
  <c r="EB111" i="14"/>
  <c r="CX111" i="14" s="1"/>
  <c r="EN111" i="14"/>
  <c r="DJ111" i="14" s="1"/>
  <c r="EA112" i="14"/>
  <c r="CW112" i="14" s="1"/>
  <c r="EM112" i="14"/>
  <c r="DI112" i="14" s="1"/>
  <c r="EL113" i="14"/>
  <c r="DH113" i="14" s="1"/>
  <c r="EK114" i="14"/>
  <c r="DG114" i="14" s="1"/>
  <c r="EJ115" i="14"/>
  <c r="DF115" i="14" s="1"/>
  <c r="EI116" i="14"/>
  <c r="DE116" i="14" s="1"/>
  <c r="EH117" i="14"/>
  <c r="DD117" i="14" s="1"/>
  <c r="EG118" i="14"/>
  <c r="DC118" i="14" s="1"/>
  <c r="EC122" i="14"/>
  <c r="CY122" i="14" s="1"/>
  <c r="EO122" i="14"/>
  <c r="DK122" i="14" s="1"/>
  <c r="EB123" i="14"/>
  <c r="CX123" i="14" s="1"/>
  <c r="EN123" i="14"/>
  <c r="DJ123" i="14" s="1"/>
  <c r="EA124" i="14"/>
  <c r="CW124" i="14" s="1"/>
  <c r="EM124" i="14"/>
  <c r="DI124" i="14" s="1"/>
  <c r="EL125" i="14"/>
  <c r="DH125" i="14" s="1"/>
  <c r="EK126" i="14"/>
  <c r="DG126" i="14" s="1"/>
  <c r="EJ127" i="14"/>
  <c r="DF127" i="14" s="1"/>
  <c r="EI128" i="14"/>
  <c r="DE128" i="14" s="1"/>
  <c r="EC129" i="14"/>
  <c r="CY129" i="14" s="1"/>
  <c r="EP129" i="14"/>
  <c r="DL129" i="14" s="1"/>
  <c r="FC129" i="14"/>
  <c r="DY129" i="14" s="1"/>
  <c r="GS129" i="14"/>
  <c r="HE129" i="14"/>
  <c r="HJ130" i="14"/>
  <c r="GX130" i="14"/>
  <c r="GL130" i="14"/>
  <c r="EG131" i="14"/>
  <c r="DC131" i="14" s="1"/>
  <c r="EV131" i="14"/>
  <c r="DR131" i="14" s="1"/>
  <c r="EJ132" i="14"/>
  <c r="DF132" i="14" s="1"/>
  <c r="EX132" i="14"/>
  <c r="DT132" i="14" s="1"/>
  <c r="EH134" i="14"/>
  <c r="DD134" i="14" s="1"/>
  <c r="EV134" i="14"/>
  <c r="DR134" i="14" s="1"/>
  <c r="GN134" i="14"/>
  <c r="GZ134" i="14"/>
  <c r="HL134" i="14"/>
  <c r="GS135" i="14"/>
  <c r="HE135" i="14"/>
  <c r="EQ136" i="14"/>
  <c r="DM136" i="14" s="1"/>
  <c r="GN138" i="14"/>
  <c r="GZ138" i="14"/>
  <c r="HL138" i="14"/>
  <c r="GJ139" i="14"/>
  <c r="GV139" i="14"/>
  <c r="HH139" i="14"/>
  <c r="EJ140" i="14"/>
  <c r="DF140" i="14" s="1"/>
  <c r="GP140" i="14"/>
  <c r="FD141" i="14"/>
  <c r="DZ141" i="14" s="1"/>
  <c r="GT141" i="14"/>
  <c r="HF141" i="14"/>
  <c r="HA141" i="14"/>
  <c r="EG142" i="14"/>
  <c r="DC142" i="14" s="1"/>
  <c r="HC143" i="14"/>
  <c r="GQ143" i="14"/>
  <c r="HB143" i="14"/>
  <c r="GP143" i="14"/>
  <c r="GL143" i="14"/>
  <c r="GT144" i="14"/>
  <c r="HF144" i="14"/>
  <c r="GZ144" i="14"/>
  <c r="HH150" i="14"/>
  <c r="GO152" i="14"/>
  <c r="EF153" i="14"/>
  <c r="DB153" i="14" s="1"/>
  <c r="GO153" i="14"/>
  <c r="GN154" i="14"/>
  <c r="GS156" i="14"/>
  <c r="GO161" i="14"/>
  <c r="HK161" i="14"/>
  <c r="GR151" i="14"/>
  <c r="EG154" i="14"/>
  <c r="DC154" i="14" s="1"/>
  <c r="ES154" i="14"/>
  <c r="DO154" i="14" s="1"/>
  <c r="GS155" i="14"/>
  <c r="HG155" i="14"/>
  <c r="GJ156" i="14"/>
  <c r="GV156" i="14"/>
  <c r="HH156" i="14"/>
  <c r="FA173" i="14"/>
  <c r="DW173" i="14" s="1"/>
  <c r="EO173" i="14"/>
  <c r="DK173" i="14" s="1"/>
  <c r="EC173" i="14"/>
  <c r="CY173" i="14" s="1"/>
  <c r="EZ173" i="14"/>
  <c r="DV173" i="14" s="1"/>
  <c r="EN173" i="14"/>
  <c r="DJ173" i="14" s="1"/>
  <c r="EB173" i="14"/>
  <c r="CX173" i="14" s="1"/>
  <c r="EY173" i="14"/>
  <c r="DU173" i="14" s="1"/>
  <c r="EM173" i="14"/>
  <c r="DI173" i="14" s="1"/>
  <c r="EA173" i="14"/>
  <c r="CW173" i="14" s="1"/>
  <c r="EX173" i="14"/>
  <c r="DT173" i="14" s="1"/>
  <c r="EL173" i="14"/>
  <c r="DH173" i="14" s="1"/>
  <c r="EW173" i="14"/>
  <c r="DS173" i="14" s="1"/>
  <c r="EK173" i="14"/>
  <c r="DG173" i="14" s="1"/>
  <c r="EV173" i="14"/>
  <c r="DR173" i="14" s="1"/>
  <c r="EJ173" i="14"/>
  <c r="DF173" i="14" s="1"/>
  <c r="EU173" i="14"/>
  <c r="DQ173" i="14" s="1"/>
  <c r="EI173" i="14"/>
  <c r="DE173" i="14" s="1"/>
  <c r="FB173" i="14"/>
  <c r="DX173" i="14" s="1"/>
  <c r="GR173" i="14"/>
  <c r="HD173" i="14"/>
  <c r="HG175" i="14"/>
  <c r="GU175" i="14"/>
  <c r="GI175" i="14"/>
  <c r="HK175" i="14"/>
  <c r="GY175" i="14"/>
  <c r="GM175" i="14"/>
  <c r="HJ175" i="14"/>
  <c r="GX175" i="14"/>
  <c r="GL175" i="14"/>
  <c r="HI175" i="14"/>
  <c r="GW175" i="14"/>
  <c r="GK175" i="14"/>
  <c r="HH175" i="14"/>
  <c r="GV175" i="14"/>
  <c r="GJ175" i="14"/>
  <c r="GR175" i="14"/>
  <c r="HD175" i="14"/>
  <c r="HK159" i="14"/>
  <c r="GY159" i="14"/>
  <c r="GM159" i="14"/>
  <c r="GI159" i="14"/>
  <c r="GU159" i="14"/>
  <c r="HG159" i="14"/>
  <c r="GZ159" i="14"/>
  <c r="HH162" i="14"/>
  <c r="GV162" i="14"/>
  <c r="GJ162" i="14"/>
  <c r="HA162" i="14"/>
  <c r="HD172" i="14"/>
  <c r="GR172" i="14"/>
  <c r="GO172" i="14"/>
  <c r="DY173" i="14"/>
  <c r="GS173" i="14"/>
  <c r="HE173" i="14"/>
  <c r="EG144" i="14"/>
  <c r="DC144" i="14" s="1"/>
  <c r="ES144" i="14"/>
  <c r="DO144" i="14" s="1"/>
  <c r="GN145" i="14"/>
  <c r="GZ145" i="14"/>
  <c r="HL145" i="14"/>
  <c r="EE146" i="14"/>
  <c r="DA146" i="14" s="1"/>
  <c r="EQ146" i="14"/>
  <c r="DM146" i="14" s="1"/>
  <c r="FC146" i="14"/>
  <c r="DY146" i="14" s="1"/>
  <c r="ED147" i="14"/>
  <c r="CZ147" i="14" s="1"/>
  <c r="EP147" i="14"/>
  <c r="DL147" i="14" s="1"/>
  <c r="FB147" i="14"/>
  <c r="DX147" i="14" s="1"/>
  <c r="GL147" i="14"/>
  <c r="GX147" i="14"/>
  <c r="HJ147" i="14"/>
  <c r="EC148" i="14"/>
  <c r="CY148" i="14" s="1"/>
  <c r="EO148" i="14"/>
  <c r="DK148" i="14" s="1"/>
  <c r="FA148" i="14"/>
  <c r="DW148" i="14" s="1"/>
  <c r="GK148" i="14"/>
  <c r="GW148" i="14"/>
  <c r="HI148" i="14"/>
  <c r="GJ149" i="14"/>
  <c r="GV149" i="14"/>
  <c r="HH149" i="14"/>
  <c r="GT151" i="14"/>
  <c r="HF151" i="14"/>
  <c r="EI154" i="14"/>
  <c r="DE154" i="14" s="1"/>
  <c r="EU154" i="14"/>
  <c r="DQ154" i="14" s="1"/>
  <c r="GU155" i="14"/>
  <c r="EU158" i="14"/>
  <c r="DQ158" i="14" s="1"/>
  <c r="FC159" i="14"/>
  <c r="DY159" i="14" s="1"/>
  <c r="EQ159" i="14"/>
  <c r="DM159" i="14" s="1"/>
  <c r="EE159" i="14"/>
  <c r="DA159" i="14" s="1"/>
  <c r="FB159" i="14"/>
  <c r="DX159" i="14" s="1"/>
  <c r="EP159" i="14"/>
  <c r="DL159" i="14" s="1"/>
  <c r="ED159" i="14"/>
  <c r="CZ159" i="14" s="1"/>
  <c r="FA159" i="14"/>
  <c r="DW159" i="14" s="1"/>
  <c r="EO159" i="14"/>
  <c r="DK159" i="14" s="1"/>
  <c r="EC159" i="14"/>
  <c r="CY159" i="14" s="1"/>
  <c r="EZ159" i="14"/>
  <c r="DV159" i="14" s="1"/>
  <c r="EN159" i="14"/>
  <c r="DJ159" i="14" s="1"/>
  <c r="EB159" i="14"/>
  <c r="CX159" i="14" s="1"/>
  <c r="EY159" i="14"/>
  <c r="DU159" i="14" s="1"/>
  <c r="EM159" i="14"/>
  <c r="DI159" i="14" s="1"/>
  <c r="EA159" i="14"/>
  <c r="CW159" i="14" s="1"/>
  <c r="EW159" i="14"/>
  <c r="DS159" i="14" s="1"/>
  <c r="EK159" i="14"/>
  <c r="DG159" i="14" s="1"/>
  <c r="EH159" i="14"/>
  <c r="DD159" i="14" s="1"/>
  <c r="GJ159" i="14"/>
  <c r="GV159" i="14"/>
  <c r="HH159" i="14"/>
  <c r="HA159" i="14"/>
  <c r="GQ161" i="14"/>
  <c r="HC161" i="14"/>
  <c r="GN161" i="14"/>
  <c r="EZ162" i="14"/>
  <c r="DV162" i="14" s="1"/>
  <c r="EN162" i="14"/>
  <c r="DJ162" i="14" s="1"/>
  <c r="EB162" i="14"/>
  <c r="CX162" i="14" s="1"/>
  <c r="EY162" i="14"/>
  <c r="DU162" i="14" s="1"/>
  <c r="EM162" i="14"/>
  <c r="DI162" i="14" s="1"/>
  <c r="EA162" i="14"/>
  <c r="CW162" i="14" s="1"/>
  <c r="EX162" i="14"/>
  <c r="DT162" i="14" s="1"/>
  <c r="EL162" i="14"/>
  <c r="DH162" i="14" s="1"/>
  <c r="EW162" i="14"/>
  <c r="DS162" i="14" s="1"/>
  <c r="EK162" i="14"/>
  <c r="DG162" i="14" s="1"/>
  <c r="EV162" i="14"/>
  <c r="DR162" i="14" s="1"/>
  <c r="EJ162" i="14"/>
  <c r="DF162" i="14" s="1"/>
  <c r="EU162" i="14"/>
  <c r="DQ162" i="14" s="1"/>
  <c r="EI162" i="14"/>
  <c r="DE162" i="14" s="1"/>
  <c r="ET162" i="14"/>
  <c r="DP162" i="14" s="1"/>
  <c r="EH162" i="14"/>
  <c r="DD162" i="14" s="1"/>
  <c r="EP162" i="14"/>
  <c r="DL162" i="14" s="1"/>
  <c r="HI162" i="14"/>
  <c r="GN167" i="14"/>
  <c r="GZ167" i="14"/>
  <c r="HL167" i="14"/>
  <c r="HH167" i="14"/>
  <c r="GM169" i="14"/>
  <c r="GY169" i="14"/>
  <c r="HK169" i="14"/>
  <c r="GK170" i="14"/>
  <c r="GW170" i="14"/>
  <c r="HI170" i="14"/>
  <c r="HD170" i="14"/>
  <c r="GN171" i="14"/>
  <c r="FB172" i="14"/>
  <c r="DX172" i="14" s="1"/>
  <c r="EP172" i="14"/>
  <c r="DL172" i="14" s="1"/>
  <c r="ED172" i="14"/>
  <c r="CZ172" i="14" s="1"/>
  <c r="FA172" i="14"/>
  <c r="DW172" i="14" s="1"/>
  <c r="EO172" i="14"/>
  <c r="DK172" i="14" s="1"/>
  <c r="EC172" i="14"/>
  <c r="CY172" i="14" s="1"/>
  <c r="EZ172" i="14"/>
  <c r="DV172" i="14" s="1"/>
  <c r="EN172" i="14"/>
  <c r="DJ172" i="14" s="1"/>
  <c r="EB172" i="14"/>
  <c r="CX172" i="14" s="1"/>
  <c r="EY172" i="14"/>
  <c r="DU172" i="14" s="1"/>
  <c r="EM172" i="14"/>
  <c r="DI172" i="14" s="1"/>
  <c r="EA172" i="14"/>
  <c r="CW172" i="14" s="1"/>
  <c r="EX172" i="14"/>
  <c r="DT172" i="14" s="1"/>
  <c r="EL172" i="14"/>
  <c r="DH172" i="14" s="1"/>
  <c r="EW172" i="14"/>
  <c r="DS172" i="14" s="1"/>
  <c r="EK172" i="14"/>
  <c r="DG172" i="14" s="1"/>
  <c r="EV172" i="14"/>
  <c r="DR172" i="14" s="1"/>
  <c r="EJ172" i="14"/>
  <c r="DF172" i="14" s="1"/>
  <c r="EU172" i="14"/>
  <c r="DQ172" i="14" s="1"/>
  <c r="GP172" i="14"/>
  <c r="ED173" i="14"/>
  <c r="CZ173" i="14" s="1"/>
  <c r="FD173" i="14"/>
  <c r="DZ173" i="14" s="1"/>
  <c r="GT173" i="14"/>
  <c r="HF173" i="14"/>
  <c r="GT175" i="14"/>
  <c r="HF175" i="14"/>
  <c r="EG133" i="14"/>
  <c r="DC133" i="14" s="1"/>
  <c r="EC137" i="14"/>
  <c r="CY137" i="14" s="1"/>
  <c r="EO137" i="14"/>
  <c r="DK137" i="14" s="1"/>
  <c r="FA137" i="14"/>
  <c r="DW137" i="14" s="1"/>
  <c r="EB138" i="14"/>
  <c r="CX138" i="14" s="1"/>
  <c r="EN138" i="14"/>
  <c r="DJ138" i="14" s="1"/>
  <c r="EZ138" i="14"/>
  <c r="DV138" i="14" s="1"/>
  <c r="GJ138" i="14"/>
  <c r="GV138" i="14"/>
  <c r="GI139" i="14"/>
  <c r="GU139" i="14"/>
  <c r="EH144" i="14"/>
  <c r="DD144" i="14" s="1"/>
  <c r="ET144" i="14"/>
  <c r="DP144" i="14" s="1"/>
  <c r="EG145" i="14"/>
  <c r="DC145" i="14" s="1"/>
  <c r="ES145" i="14"/>
  <c r="DO145" i="14" s="1"/>
  <c r="GO145" i="14"/>
  <c r="EF146" i="14"/>
  <c r="DB146" i="14" s="1"/>
  <c r="ER146" i="14"/>
  <c r="DN146" i="14" s="1"/>
  <c r="FD146" i="14"/>
  <c r="DZ146" i="14" s="1"/>
  <c r="GN146" i="14"/>
  <c r="GZ146" i="14"/>
  <c r="EE147" i="14"/>
  <c r="DA147" i="14" s="1"/>
  <c r="EQ147" i="14"/>
  <c r="DM147" i="14" s="1"/>
  <c r="FC147" i="14"/>
  <c r="DY147" i="14" s="1"/>
  <c r="GM147" i="14"/>
  <c r="GY147" i="14"/>
  <c r="ED148" i="14"/>
  <c r="CZ148" i="14" s="1"/>
  <c r="EP148" i="14"/>
  <c r="DL148" i="14" s="1"/>
  <c r="FB148" i="14"/>
  <c r="DX148" i="14" s="1"/>
  <c r="GL148" i="14"/>
  <c r="GX148" i="14"/>
  <c r="EC149" i="14"/>
  <c r="CY149" i="14" s="1"/>
  <c r="EO149" i="14"/>
  <c r="DK149" i="14" s="1"/>
  <c r="FA149" i="14"/>
  <c r="DW149" i="14" s="1"/>
  <c r="GK149" i="14"/>
  <c r="GW149" i="14"/>
  <c r="EB150" i="14"/>
  <c r="CX150" i="14" s="1"/>
  <c r="EN150" i="14"/>
  <c r="DJ150" i="14" s="1"/>
  <c r="EZ150" i="14"/>
  <c r="DV150" i="14" s="1"/>
  <c r="GJ150" i="14"/>
  <c r="GV150" i="14"/>
  <c r="GI151" i="14"/>
  <c r="GU151" i="14"/>
  <c r="EJ154" i="14"/>
  <c r="DF154" i="14" s="1"/>
  <c r="EV154" i="14"/>
  <c r="DR154" i="14" s="1"/>
  <c r="GV155" i="14"/>
  <c r="GI157" i="14"/>
  <c r="GU157" i="14"/>
  <c r="HG157" i="14"/>
  <c r="GS157" i="14"/>
  <c r="EV158" i="14"/>
  <c r="DR158" i="14" s="1"/>
  <c r="EI159" i="14"/>
  <c r="DE159" i="14" s="1"/>
  <c r="GK159" i="14"/>
  <c r="GW159" i="14"/>
  <c r="HI159" i="14"/>
  <c r="HB159" i="14"/>
  <c r="GR161" i="14"/>
  <c r="HD161" i="14"/>
  <c r="DM162" i="14"/>
  <c r="HJ162" i="14"/>
  <c r="GO167" i="14"/>
  <c r="HA167" i="14"/>
  <c r="GI167" i="14"/>
  <c r="GZ169" i="14"/>
  <c r="HL169" i="14"/>
  <c r="FD170" i="14"/>
  <c r="DZ170" i="14" s="1"/>
  <c r="ER170" i="14"/>
  <c r="DN170" i="14" s="1"/>
  <c r="EF170" i="14"/>
  <c r="DB170" i="14" s="1"/>
  <c r="FC170" i="14"/>
  <c r="DY170" i="14" s="1"/>
  <c r="EQ170" i="14"/>
  <c r="DM170" i="14" s="1"/>
  <c r="EE170" i="14"/>
  <c r="DA170" i="14" s="1"/>
  <c r="FB170" i="14"/>
  <c r="DX170" i="14" s="1"/>
  <c r="EP170" i="14"/>
  <c r="DL170" i="14" s="1"/>
  <c r="ED170" i="14"/>
  <c r="CZ170" i="14" s="1"/>
  <c r="FA170" i="14"/>
  <c r="DW170" i="14" s="1"/>
  <c r="EO170" i="14"/>
  <c r="DK170" i="14" s="1"/>
  <c r="EC170" i="14"/>
  <c r="CY170" i="14" s="1"/>
  <c r="EZ170" i="14"/>
  <c r="DV170" i="14" s="1"/>
  <c r="EN170" i="14"/>
  <c r="DJ170" i="14" s="1"/>
  <c r="EB170" i="14"/>
  <c r="CX170" i="14" s="1"/>
  <c r="EY170" i="14"/>
  <c r="DU170" i="14" s="1"/>
  <c r="EM170" i="14"/>
  <c r="DI170" i="14" s="1"/>
  <c r="EA170" i="14"/>
  <c r="CW170" i="14" s="1"/>
  <c r="EX170" i="14"/>
  <c r="DT170" i="14" s="1"/>
  <c r="EL170" i="14"/>
  <c r="DH170" i="14" s="1"/>
  <c r="EH170" i="14"/>
  <c r="DD170" i="14" s="1"/>
  <c r="GL170" i="14"/>
  <c r="GX170" i="14"/>
  <c r="HJ170" i="14"/>
  <c r="HE170" i="14"/>
  <c r="FC172" i="14"/>
  <c r="DY172" i="14" s="1"/>
  <c r="GS172" i="14"/>
  <c r="HE172" i="14"/>
  <c r="GQ172" i="14"/>
  <c r="EE173" i="14"/>
  <c r="DA173" i="14" s="1"/>
  <c r="GI173" i="14"/>
  <c r="GU173" i="14"/>
  <c r="HG173" i="14"/>
  <c r="EG146" i="14"/>
  <c r="DC146" i="14" s="1"/>
  <c r="ES146" i="14"/>
  <c r="DO146" i="14" s="1"/>
  <c r="EF147" i="14"/>
  <c r="DB147" i="14" s="1"/>
  <c r="ER147" i="14"/>
  <c r="DN147" i="14" s="1"/>
  <c r="FD147" i="14"/>
  <c r="DZ147" i="14" s="1"/>
  <c r="EK154" i="14"/>
  <c r="DG154" i="14" s="1"/>
  <c r="EW154" i="14"/>
  <c r="DS154" i="14" s="1"/>
  <c r="GO155" i="14"/>
  <c r="HA155" i="14"/>
  <c r="GI155" i="14"/>
  <c r="HK155" i="14"/>
  <c r="GN156" i="14"/>
  <c r="GZ156" i="14"/>
  <c r="HL156" i="14"/>
  <c r="GL159" i="14"/>
  <c r="GX159" i="14"/>
  <c r="HJ159" i="14"/>
  <c r="HC159" i="14"/>
  <c r="GS161" i="14"/>
  <c r="HE161" i="14"/>
  <c r="GK162" i="14"/>
  <c r="HK162" i="14"/>
  <c r="HE171" i="14"/>
  <c r="GS171" i="14"/>
  <c r="GP171" i="14"/>
  <c r="FD172" i="14"/>
  <c r="DZ172" i="14" s="1"/>
  <c r="GT172" i="14"/>
  <c r="HF172" i="14"/>
  <c r="GY172" i="14"/>
  <c r="EF173" i="14"/>
  <c r="DB173" i="14" s="1"/>
  <c r="GJ173" i="14"/>
  <c r="GV173" i="14"/>
  <c r="HH173" i="14"/>
  <c r="EH146" i="14"/>
  <c r="DD146" i="14" s="1"/>
  <c r="ET146" i="14"/>
  <c r="DP146" i="14" s="1"/>
  <c r="EG147" i="14"/>
  <c r="DC147" i="14" s="1"/>
  <c r="ES147" i="14"/>
  <c r="DO147" i="14" s="1"/>
  <c r="EL154" i="14"/>
  <c r="DH154" i="14" s="1"/>
  <c r="EX154" i="14"/>
  <c r="DT154" i="14" s="1"/>
  <c r="GP155" i="14"/>
  <c r="HB155" i="14"/>
  <c r="GJ155" i="14"/>
  <c r="HL155" i="14"/>
  <c r="GO156" i="14"/>
  <c r="HA156" i="14"/>
  <c r="HA157" i="14"/>
  <c r="GO157" i="14"/>
  <c r="GV157" i="14"/>
  <c r="FD158" i="14"/>
  <c r="DZ158" i="14" s="1"/>
  <c r="ER158" i="14"/>
  <c r="DN158" i="14" s="1"/>
  <c r="EF158" i="14"/>
  <c r="DB158" i="14" s="1"/>
  <c r="FC158" i="14"/>
  <c r="DY158" i="14" s="1"/>
  <c r="EQ158" i="14"/>
  <c r="DM158" i="14" s="1"/>
  <c r="EE158" i="14"/>
  <c r="DA158" i="14" s="1"/>
  <c r="FB158" i="14"/>
  <c r="DX158" i="14" s="1"/>
  <c r="EP158" i="14"/>
  <c r="DL158" i="14" s="1"/>
  <c r="ED158" i="14"/>
  <c r="CZ158" i="14" s="1"/>
  <c r="FA158" i="14"/>
  <c r="DW158" i="14" s="1"/>
  <c r="EO158" i="14"/>
  <c r="DK158" i="14" s="1"/>
  <c r="EC158" i="14"/>
  <c r="CY158" i="14" s="1"/>
  <c r="EZ158" i="14"/>
  <c r="DV158" i="14" s="1"/>
  <c r="EN158" i="14"/>
  <c r="DJ158" i="14" s="1"/>
  <c r="EB158" i="14"/>
  <c r="CX158" i="14" s="1"/>
  <c r="EX158" i="14"/>
  <c r="DT158" i="14" s="1"/>
  <c r="EL158" i="14"/>
  <c r="DH158" i="14" s="1"/>
  <c r="EA158" i="14"/>
  <c r="CW158" i="14" s="1"/>
  <c r="EY158" i="14"/>
  <c r="DU158" i="14" s="1"/>
  <c r="HD159" i="14"/>
  <c r="GT161" i="14"/>
  <c r="HF161" i="14"/>
  <c r="GP162" i="14"/>
  <c r="HB162" i="14"/>
  <c r="GL162" i="14"/>
  <c r="HL162" i="14"/>
  <c r="GQ167" i="14"/>
  <c r="GR167" i="14"/>
  <c r="GQ169" i="14"/>
  <c r="EJ170" i="14"/>
  <c r="DF170" i="14" s="1"/>
  <c r="FC171" i="14"/>
  <c r="DY171" i="14" s="1"/>
  <c r="EQ171" i="14"/>
  <c r="DM171" i="14" s="1"/>
  <c r="EE171" i="14"/>
  <c r="DA171" i="14" s="1"/>
  <c r="FB171" i="14"/>
  <c r="DX171" i="14" s="1"/>
  <c r="EP171" i="14"/>
  <c r="DL171" i="14" s="1"/>
  <c r="ED171" i="14"/>
  <c r="CZ171" i="14" s="1"/>
  <c r="FA171" i="14"/>
  <c r="DW171" i="14" s="1"/>
  <c r="EO171" i="14"/>
  <c r="DK171" i="14" s="1"/>
  <c r="EC171" i="14"/>
  <c r="CY171" i="14" s="1"/>
  <c r="EZ171" i="14"/>
  <c r="DV171" i="14" s="1"/>
  <c r="EN171" i="14"/>
  <c r="DJ171" i="14" s="1"/>
  <c r="EB171" i="14"/>
  <c r="CX171" i="14" s="1"/>
  <c r="EY171" i="14"/>
  <c r="DU171" i="14" s="1"/>
  <c r="EM171" i="14"/>
  <c r="DI171" i="14" s="1"/>
  <c r="EA171" i="14"/>
  <c r="CW171" i="14" s="1"/>
  <c r="EX171" i="14"/>
  <c r="DT171" i="14" s="1"/>
  <c r="EL171" i="14"/>
  <c r="DH171" i="14" s="1"/>
  <c r="EW171" i="14"/>
  <c r="DS171" i="14" s="1"/>
  <c r="EK171" i="14"/>
  <c r="DG171" i="14" s="1"/>
  <c r="EU171" i="14"/>
  <c r="DQ171" i="14" s="1"/>
  <c r="GQ171" i="14"/>
  <c r="EE172" i="14"/>
  <c r="DA172" i="14" s="1"/>
  <c r="GI172" i="14"/>
  <c r="GU172" i="14"/>
  <c r="HG172" i="14"/>
  <c r="GZ172" i="14"/>
  <c r="EG173" i="14"/>
  <c r="DC173" i="14" s="1"/>
  <c r="GK173" i="14"/>
  <c r="GW173" i="14"/>
  <c r="HI173" i="14"/>
  <c r="EK144" i="14"/>
  <c r="DG144" i="14" s="1"/>
  <c r="EW144" i="14"/>
  <c r="DS144" i="14" s="1"/>
  <c r="EI146" i="14"/>
  <c r="DE146" i="14" s="1"/>
  <c r="EU146" i="14"/>
  <c r="DQ146" i="14" s="1"/>
  <c r="EH147" i="14"/>
  <c r="DD147" i="14" s="1"/>
  <c r="ET147" i="14"/>
  <c r="DP147" i="14" s="1"/>
  <c r="EG148" i="14"/>
  <c r="DC148" i="14" s="1"/>
  <c r="ES148" i="14"/>
  <c r="DO148" i="14" s="1"/>
  <c r="EA154" i="14"/>
  <c r="CW154" i="14" s="1"/>
  <c r="EM154" i="14"/>
  <c r="DI154" i="14" s="1"/>
  <c r="EY154" i="14"/>
  <c r="DU154" i="14" s="1"/>
  <c r="DY155" i="14"/>
  <c r="GY155" i="14"/>
  <c r="EG158" i="14"/>
  <c r="DC158" i="14" s="1"/>
  <c r="ER159" i="14"/>
  <c r="DN159" i="14" s="1"/>
  <c r="HI161" i="14"/>
  <c r="GW161" i="14"/>
  <c r="GK161" i="14"/>
  <c r="GI161" i="14"/>
  <c r="GU161" i="14"/>
  <c r="HG161" i="14"/>
  <c r="GY161" i="14"/>
  <c r="FA162" i="14"/>
  <c r="DW162" i="14" s="1"/>
  <c r="GQ162" i="14"/>
  <c r="HC162" i="14"/>
  <c r="GM162" i="14"/>
  <c r="HG163" i="14"/>
  <c r="GU163" i="14"/>
  <c r="GI163" i="14"/>
  <c r="GO163" i="14"/>
  <c r="HA163" i="14"/>
  <c r="GJ163" i="14"/>
  <c r="HJ163" i="14"/>
  <c r="GS167" i="14"/>
  <c r="GR169" i="14"/>
  <c r="EK170" i="14"/>
  <c r="DG170" i="14" s="1"/>
  <c r="GO170" i="14"/>
  <c r="EV171" i="14"/>
  <c r="DR171" i="14" s="1"/>
  <c r="GR171" i="14"/>
  <c r="EF172" i="14"/>
  <c r="DB172" i="14" s="1"/>
  <c r="GJ172" i="14"/>
  <c r="GV172" i="14"/>
  <c r="HH172" i="14"/>
  <c r="HA172" i="14"/>
  <c r="EH173" i="14"/>
  <c r="DD173" i="14" s="1"/>
  <c r="B73" i="17"/>
  <c r="B45" i="17"/>
  <c r="B71" i="17"/>
  <c r="B47" i="17"/>
  <c r="B72" i="17"/>
  <c r="B46" i="17"/>
  <c r="B44" i="17"/>
  <c r="B48" i="17"/>
  <c r="B70" i="17"/>
  <c r="B74" i="17"/>
  <c r="EG137" i="14"/>
  <c r="DC137" i="14" s="1"/>
  <c r="ES137" i="14"/>
  <c r="DO137" i="14" s="1"/>
  <c r="EF138" i="14"/>
  <c r="DB138" i="14" s="1"/>
  <c r="ER138" i="14"/>
  <c r="DN138" i="14" s="1"/>
  <c r="FD138" i="14"/>
  <c r="DZ138" i="14" s="1"/>
  <c r="EL144" i="14"/>
  <c r="DH144" i="14" s="1"/>
  <c r="EX144" i="14"/>
  <c r="DT144" i="14" s="1"/>
  <c r="EJ146" i="14"/>
  <c r="DF146" i="14" s="1"/>
  <c r="EV146" i="14"/>
  <c r="DR146" i="14" s="1"/>
  <c r="EI147" i="14"/>
  <c r="DE147" i="14" s="1"/>
  <c r="EU147" i="14"/>
  <c r="DQ147" i="14" s="1"/>
  <c r="EH148" i="14"/>
  <c r="DD148" i="14" s="1"/>
  <c r="ET148" i="14"/>
  <c r="DP148" i="14" s="1"/>
  <c r="EG149" i="14"/>
  <c r="DC149" i="14" s="1"/>
  <c r="ES149" i="14"/>
  <c r="DO149" i="14" s="1"/>
  <c r="EF150" i="14"/>
  <c r="DB150" i="14" s="1"/>
  <c r="ER150" i="14"/>
  <c r="DN150" i="14" s="1"/>
  <c r="FD150" i="14"/>
  <c r="DZ150" i="14" s="1"/>
  <c r="EB154" i="14"/>
  <c r="CX154" i="14" s="1"/>
  <c r="EN154" i="14"/>
  <c r="DJ154" i="14" s="1"/>
  <c r="EZ154" i="14"/>
  <c r="DV154" i="14" s="1"/>
  <c r="GM157" i="14"/>
  <c r="GY157" i="14"/>
  <c r="HK157" i="14"/>
  <c r="EH158" i="14"/>
  <c r="DD158" i="14" s="1"/>
  <c r="GV158" i="14"/>
  <c r="HH158" i="14"/>
  <c r="ES159" i="14"/>
  <c r="DO159" i="14" s="1"/>
  <c r="GR160" i="14"/>
  <c r="HD160" i="14"/>
  <c r="FA161" i="14"/>
  <c r="DW161" i="14" s="1"/>
  <c r="EO161" i="14"/>
  <c r="DK161" i="14" s="1"/>
  <c r="EC161" i="14"/>
  <c r="CY161" i="14" s="1"/>
  <c r="EZ161" i="14"/>
  <c r="DV161" i="14" s="1"/>
  <c r="EN161" i="14"/>
  <c r="DJ161" i="14" s="1"/>
  <c r="EB161" i="14"/>
  <c r="CX161" i="14" s="1"/>
  <c r="EY161" i="14"/>
  <c r="DU161" i="14" s="1"/>
  <c r="EM161" i="14"/>
  <c r="DI161" i="14" s="1"/>
  <c r="EA161" i="14"/>
  <c r="CW161" i="14" s="1"/>
  <c r="EX161" i="14"/>
  <c r="DT161" i="14" s="1"/>
  <c r="EL161" i="14"/>
  <c r="DH161" i="14" s="1"/>
  <c r="EW161" i="14"/>
  <c r="DS161" i="14" s="1"/>
  <c r="EK161" i="14"/>
  <c r="DG161" i="14" s="1"/>
  <c r="EU161" i="14"/>
  <c r="DQ161" i="14" s="1"/>
  <c r="EI161" i="14"/>
  <c r="DE161" i="14" s="1"/>
  <c r="EH161" i="14"/>
  <c r="DD161" i="14" s="1"/>
  <c r="GJ161" i="14"/>
  <c r="GV161" i="14"/>
  <c r="HH161" i="14"/>
  <c r="GZ161" i="14"/>
  <c r="FB162" i="14"/>
  <c r="DX162" i="14" s="1"/>
  <c r="GR162" i="14"/>
  <c r="HD162" i="14"/>
  <c r="GN162" i="14"/>
  <c r="GP163" i="14"/>
  <c r="HB163" i="14"/>
  <c r="GK163" i="14"/>
  <c r="HK163" i="14"/>
  <c r="GT167" i="14"/>
  <c r="GT168" i="14"/>
  <c r="GS169" i="14"/>
  <c r="ES170" i="14"/>
  <c r="DO170" i="14" s="1"/>
  <c r="GP170" i="14"/>
  <c r="FD171" i="14"/>
  <c r="DZ171" i="14" s="1"/>
  <c r="GT171" i="14"/>
  <c r="HF171" i="14"/>
  <c r="GZ171" i="14"/>
  <c r="EG172" i="14"/>
  <c r="DC172" i="14" s="1"/>
  <c r="GK172" i="14"/>
  <c r="GW172" i="14"/>
  <c r="HI172" i="14"/>
  <c r="HB172" i="14"/>
  <c r="EP173" i="14"/>
  <c r="DL173" i="14" s="1"/>
  <c r="EH137" i="14"/>
  <c r="DD137" i="14" s="1"/>
  <c r="ET137" i="14"/>
  <c r="DP137" i="14" s="1"/>
  <c r="EG138" i="14"/>
  <c r="DC138" i="14" s="1"/>
  <c r="ES138" i="14"/>
  <c r="DO138" i="14" s="1"/>
  <c r="EA144" i="14"/>
  <c r="CW144" i="14" s="1"/>
  <c r="EM144" i="14"/>
  <c r="DI144" i="14" s="1"/>
  <c r="EY144" i="14"/>
  <c r="DU144" i="14" s="1"/>
  <c r="EK146" i="14"/>
  <c r="DG146" i="14" s="1"/>
  <c r="EW146" i="14"/>
  <c r="DS146" i="14" s="1"/>
  <c r="EJ147" i="14"/>
  <c r="DF147" i="14" s="1"/>
  <c r="EV147" i="14"/>
  <c r="DR147" i="14" s="1"/>
  <c r="EI148" i="14"/>
  <c r="DE148" i="14" s="1"/>
  <c r="EU148" i="14"/>
  <c r="DQ148" i="14" s="1"/>
  <c r="EH149" i="14"/>
  <c r="DD149" i="14" s="1"/>
  <c r="ET149" i="14"/>
  <c r="DP149" i="14" s="1"/>
  <c r="EG150" i="14"/>
  <c r="DC150" i="14" s="1"/>
  <c r="ES150" i="14"/>
  <c r="DO150" i="14" s="1"/>
  <c r="EC154" i="14"/>
  <c r="CY154" i="14" s="1"/>
  <c r="EO154" i="14"/>
  <c r="DK154" i="14" s="1"/>
  <c r="FA154" i="14"/>
  <c r="DW154" i="14" s="1"/>
  <c r="DJ156" i="14"/>
  <c r="GN157" i="14"/>
  <c r="GZ157" i="14"/>
  <c r="HL157" i="14"/>
  <c r="EI158" i="14"/>
  <c r="DE158" i="14" s="1"/>
  <c r="GK158" i="14"/>
  <c r="GW158" i="14"/>
  <c r="HI158" i="14"/>
  <c r="HB158" i="14"/>
  <c r="ET159" i="14"/>
  <c r="DP159" i="14" s="1"/>
  <c r="GO159" i="14"/>
  <c r="HJ160" i="14"/>
  <c r="GX160" i="14"/>
  <c r="GL160" i="14"/>
  <c r="GQ160" i="14"/>
  <c r="EJ161" i="14"/>
  <c r="DF161" i="14" s="1"/>
  <c r="HA161" i="14"/>
  <c r="EC162" i="14"/>
  <c r="CY162" i="14" s="1"/>
  <c r="FC162" i="14"/>
  <c r="DY162" i="14" s="1"/>
  <c r="GS162" i="14"/>
  <c r="HE162" i="14"/>
  <c r="GO162" i="14"/>
  <c r="GQ163" i="14"/>
  <c r="HC163" i="14"/>
  <c r="GL163" i="14"/>
  <c r="HL163" i="14"/>
  <c r="GU167" i="14"/>
  <c r="GU168" i="14"/>
  <c r="GT169" i="14"/>
  <c r="ET170" i="14"/>
  <c r="DP170" i="14" s="1"/>
  <c r="GQ170" i="14"/>
  <c r="GI171" i="14"/>
  <c r="GU171" i="14"/>
  <c r="HG171" i="14"/>
  <c r="HA171" i="14"/>
  <c r="EH172" i="14"/>
  <c r="DD172" i="14" s="1"/>
  <c r="GL172" i="14"/>
  <c r="GX172" i="14"/>
  <c r="HJ172" i="14"/>
  <c r="HC172" i="14"/>
  <c r="EQ173" i="14"/>
  <c r="DM173" i="14" s="1"/>
  <c r="GT134" i="14"/>
  <c r="EI137" i="14"/>
  <c r="DE137" i="14" s="1"/>
  <c r="EH138" i="14"/>
  <c r="DD138" i="14" s="1"/>
  <c r="EG139" i="14"/>
  <c r="DC139" i="14" s="1"/>
  <c r="EB144" i="14"/>
  <c r="CX144" i="14" s="1"/>
  <c r="EN144" i="14"/>
  <c r="DJ144" i="14" s="1"/>
  <c r="EA145" i="14"/>
  <c r="CW145" i="14" s="1"/>
  <c r="EM145" i="14"/>
  <c r="DI145" i="14" s="1"/>
  <c r="EL146" i="14"/>
  <c r="DH146" i="14" s="1"/>
  <c r="EK147" i="14"/>
  <c r="DG147" i="14" s="1"/>
  <c r="EJ148" i="14"/>
  <c r="DF148" i="14" s="1"/>
  <c r="EI149" i="14"/>
  <c r="DE149" i="14" s="1"/>
  <c r="EH150" i="14"/>
  <c r="DD150" i="14" s="1"/>
  <c r="EG151" i="14"/>
  <c r="DC151" i="14" s="1"/>
  <c r="ED154" i="14"/>
  <c r="CZ154" i="14" s="1"/>
  <c r="EP154" i="14"/>
  <c r="DL154" i="14" s="1"/>
  <c r="EJ158" i="14"/>
  <c r="DF158" i="14" s="1"/>
  <c r="GL158" i="14"/>
  <c r="GX158" i="14"/>
  <c r="HJ158" i="14"/>
  <c r="EU159" i="14"/>
  <c r="DQ159" i="14" s="1"/>
  <c r="GP159" i="14"/>
  <c r="FB160" i="14"/>
  <c r="DX160" i="14" s="1"/>
  <c r="EP160" i="14"/>
  <c r="DL160" i="14" s="1"/>
  <c r="ED160" i="14"/>
  <c r="CZ160" i="14" s="1"/>
  <c r="FA160" i="14"/>
  <c r="DW160" i="14" s="1"/>
  <c r="EO160" i="14"/>
  <c r="DK160" i="14" s="1"/>
  <c r="EC160" i="14"/>
  <c r="CY160" i="14" s="1"/>
  <c r="EZ160" i="14"/>
  <c r="DV160" i="14" s="1"/>
  <c r="EN160" i="14"/>
  <c r="DJ160" i="14" s="1"/>
  <c r="EB160" i="14"/>
  <c r="CX160" i="14" s="1"/>
  <c r="EY160" i="14"/>
  <c r="DU160" i="14" s="1"/>
  <c r="EM160" i="14"/>
  <c r="DI160" i="14" s="1"/>
  <c r="EA160" i="14"/>
  <c r="CW160" i="14" s="1"/>
  <c r="EX160" i="14"/>
  <c r="DT160" i="14" s="1"/>
  <c r="EL160" i="14"/>
  <c r="DH160" i="14" s="1"/>
  <c r="EV160" i="14"/>
  <c r="DR160" i="14" s="1"/>
  <c r="EJ160" i="14"/>
  <c r="DF160" i="14" s="1"/>
  <c r="EF160" i="14"/>
  <c r="DB160" i="14" s="1"/>
  <c r="FD160" i="14"/>
  <c r="DZ160" i="14" s="1"/>
  <c r="GT160" i="14"/>
  <c r="HF160" i="14"/>
  <c r="EP161" i="14"/>
  <c r="DL161" i="14" s="1"/>
  <c r="HB161" i="14"/>
  <c r="ED162" i="14"/>
  <c r="CZ162" i="14" s="1"/>
  <c r="FD162" i="14"/>
  <c r="DZ162" i="14" s="1"/>
  <c r="GT162" i="14"/>
  <c r="HF162" i="14"/>
  <c r="GW162" i="14"/>
  <c r="GR163" i="14"/>
  <c r="HD163" i="14"/>
  <c r="GM163" i="14"/>
  <c r="EU170" i="14"/>
  <c r="DQ170" i="14" s="1"/>
  <c r="EF171" i="14"/>
  <c r="DB171" i="14" s="1"/>
  <c r="GJ171" i="14"/>
  <c r="GV171" i="14"/>
  <c r="HH171" i="14"/>
  <c r="HB171" i="14"/>
  <c r="EI172" i="14"/>
  <c r="DE172" i="14" s="1"/>
  <c r="HK172" i="14"/>
  <c r="ER173" i="14"/>
  <c r="DN173" i="14" s="1"/>
  <c r="EZ174" i="14"/>
  <c r="DV174" i="14" s="1"/>
  <c r="EN174" i="14"/>
  <c r="DJ174" i="14" s="1"/>
  <c r="EB174" i="14"/>
  <c r="CX174" i="14" s="1"/>
  <c r="EY174" i="14"/>
  <c r="DU174" i="14" s="1"/>
  <c r="EM174" i="14"/>
  <c r="DI174" i="14" s="1"/>
  <c r="EA174" i="14"/>
  <c r="CW174" i="14" s="1"/>
  <c r="EX174" i="14"/>
  <c r="DT174" i="14" s="1"/>
  <c r="EL174" i="14"/>
  <c r="DH174" i="14" s="1"/>
  <c r="EW174" i="14"/>
  <c r="DS174" i="14" s="1"/>
  <c r="EK174" i="14"/>
  <c r="DG174" i="14" s="1"/>
  <c r="EV174" i="14"/>
  <c r="DR174" i="14" s="1"/>
  <c r="EJ174" i="14"/>
  <c r="DF174" i="14" s="1"/>
  <c r="EU174" i="14"/>
  <c r="DQ174" i="14" s="1"/>
  <c r="EI174" i="14"/>
  <c r="DE174" i="14" s="1"/>
  <c r="ET174" i="14"/>
  <c r="DP174" i="14" s="1"/>
  <c r="EH174" i="14"/>
  <c r="DD174" i="14" s="1"/>
  <c r="FD174" i="14"/>
  <c r="DZ174" i="14" s="1"/>
  <c r="ER174" i="14"/>
  <c r="DN174" i="14" s="1"/>
  <c r="EF174" i="14"/>
  <c r="DB174" i="14" s="1"/>
  <c r="ED174" i="14"/>
  <c r="CZ174" i="14" s="1"/>
  <c r="GO175" i="14"/>
  <c r="HA175" i="14"/>
  <c r="GN175" i="14"/>
  <c r="J79" i="17"/>
  <c r="P79" i="17"/>
  <c r="E77" i="17"/>
  <c r="E78" i="17" s="1"/>
  <c r="GN174" i="14"/>
  <c r="GZ174" i="14"/>
  <c r="F79" i="17"/>
  <c r="R79" i="17"/>
  <c r="I79" i="17"/>
  <c r="U79" i="17"/>
  <c r="G79" i="17"/>
  <c r="S79" i="17"/>
  <c r="X77" i="17"/>
  <c r="X78" i="17" s="1"/>
  <c r="O79" i="17"/>
  <c r="EA157" i="14"/>
  <c r="CW157" i="14" s="1"/>
  <c r="EM157" i="14"/>
  <c r="DI157" i="14" s="1"/>
  <c r="EY157" i="14"/>
  <c r="DU157" i="14" s="1"/>
  <c r="EG163" i="14"/>
  <c r="DC163" i="14" s="1"/>
  <c r="ES163" i="14"/>
  <c r="DO163" i="14" s="1"/>
  <c r="EF164" i="14"/>
  <c r="DB164" i="14" s="1"/>
  <c r="ER164" i="14"/>
  <c r="DN164" i="14" s="1"/>
  <c r="FD164" i="14"/>
  <c r="DZ164" i="14" s="1"/>
  <c r="EE165" i="14"/>
  <c r="DA165" i="14" s="1"/>
  <c r="EQ165" i="14"/>
  <c r="DM165" i="14" s="1"/>
  <c r="FC165" i="14"/>
  <c r="DY165" i="14" s="1"/>
  <c r="ED166" i="14"/>
  <c r="CZ166" i="14" s="1"/>
  <c r="EP166" i="14"/>
  <c r="DL166" i="14" s="1"/>
  <c r="FB166" i="14"/>
  <c r="DX166" i="14" s="1"/>
  <c r="EC167" i="14"/>
  <c r="CY167" i="14" s="1"/>
  <c r="EO167" i="14"/>
  <c r="DK167" i="14" s="1"/>
  <c r="FA167" i="14"/>
  <c r="DW167" i="14" s="1"/>
  <c r="EB168" i="14"/>
  <c r="CX168" i="14" s="1"/>
  <c r="EN168" i="14"/>
  <c r="DJ168" i="14" s="1"/>
  <c r="EZ168" i="14"/>
  <c r="DV168" i="14" s="1"/>
  <c r="EA169" i="14"/>
  <c r="CW169" i="14" s="1"/>
  <c r="EM169" i="14"/>
  <c r="DI169" i="14" s="1"/>
  <c r="EY169" i="14"/>
  <c r="DU169" i="14" s="1"/>
  <c r="EG175" i="14"/>
  <c r="DC175" i="14" s="1"/>
  <c r="ES175" i="14"/>
  <c r="DO175" i="14" s="1"/>
  <c r="GN176" i="14"/>
  <c r="GZ176" i="14"/>
  <c r="T79" i="17"/>
  <c r="T77" i="17"/>
  <c r="T78" i="17" s="1"/>
  <c r="EG164" i="14"/>
  <c r="DC164" i="14" s="1"/>
  <c r="ES164" i="14"/>
  <c r="DO164" i="14" s="1"/>
  <c r="EH175" i="14"/>
  <c r="DD175" i="14" s="1"/>
  <c r="ET175" i="14"/>
  <c r="DP175" i="14" s="1"/>
  <c r="EG176" i="14"/>
  <c r="DC176" i="14" s="1"/>
  <c r="ES176" i="14"/>
  <c r="DO176" i="14" s="1"/>
  <c r="I77" i="17"/>
  <c r="I78" i="17" s="1"/>
  <c r="U77" i="17"/>
  <c r="U78" i="17" s="1"/>
  <c r="EH164" i="14"/>
  <c r="DD164" i="14" s="1"/>
  <c r="ET164" i="14"/>
  <c r="DP164" i="14" s="1"/>
  <c r="EG165" i="14"/>
  <c r="DC165" i="14" s="1"/>
  <c r="ES165" i="14"/>
  <c r="DO165" i="14" s="1"/>
  <c r="EI175" i="14"/>
  <c r="DE175" i="14" s="1"/>
  <c r="EU175" i="14"/>
  <c r="DQ175" i="14" s="1"/>
  <c r="V79" i="17"/>
  <c r="EI164" i="14"/>
  <c r="DE164" i="14" s="1"/>
  <c r="EU164" i="14"/>
  <c r="DQ164" i="14" s="1"/>
  <c r="EH165" i="14"/>
  <c r="DD165" i="14" s="1"/>
  <c r="ET165" i="14"/>
  <c r="DP165" i="14" s="1"/>
  <c r="EG166" i="14"/>
  <c r="DC166" i="14" s="1"/>
  <c r="ES166" i="14"/>
  <c r="DO166" i="14" s="1"/>
  <c r="EJ175" i="14"/>
  <c r="DF175" i="14" s="1"/>
  <c r="EV175" i="14"/>
  <c r="DR175" i="14" s="1"/>
  <c r="EG155" i="14"/>
  <c r="DC155" i="14" s="1"/>
  <c r="ES155" i="14"/>
  <c r="DO155" i="14" s="1"/>
  <c r="EF156" i="14"/>
  <c r="DB156" i="14" s="1"/>
  <c r="ER156" i="14"/>
  <c r="DN156" i="14" s="1"/>
  <c r="FD156" i="14"/>
  <c r="DZ156" i="14" s="1"/>
  <c r="EE157" i="14"/>
  <c r="DA157" i="14" s="1"/>
  <c r="EQ157" i="14"/>
  <c r="DM157" i="14" s="1"/>
  <c r="FC157" i="14"/>
  <c r="DY157" i="14" s="1"/>
  <c r="EK163" i="14"/>
  <c r="DG163" i="14" s="1"/>
  <c r="EW163" i="14"/>
  <c r="DS163" i="14" s="1"/>
  <c r="EJ164" i="14"/>
  <c r="DF164" i="14" s="1"/>
  <c r="EV164" i="14"/>
  <c r="DR164" i="14" s="1"/>
  <c r="EI165" i="14"/>
  <c r="DE165" i="14" s="1"/>
  <c r="EU165" i="14"/>
  <c r="DQ165" i="14" s="1"/>
  <c r="EH166" i="14"/>
  <c r="DD166" i="14" s="1"/>
  <c r="ET166" i="14"/>
  <c r="DP166" i="14" s="1"/>
  <c r="EG167" i="14"/>
  <c r="DC167" i="14" s="1"/>
  <c r="ES167" i="14"/>
  <c r="DO167" i="14" s="1"/>
  <c r="EF168" i="14"/>
  <c r="DB168" i="14" s="1"/>
  <c r="ER168" i="14"/>
  <c r="DN168" i="14" s="1"/>
  <c r="FD168" i="14"/>
  <c r="DZ168" i="14" s="1"/>
  <c r="EE169" i="14"/>
  <c r="DA169" i="14" s="1"/>
  <c r="EQ169" i="14"/>
  <c r="DM169" i="14" s="1"/>
  <c r="FC169" i="14"/>
  <c r="DY169" i="14" s="1"/>
  <c r="EH155" i="14"/>
  <c r="DD155" i="14" s="1"/>
  <c r="EG156" i="14"/>
  <c r="DC156" i="14" s="1"/>
  <c r="EF157" i="14"/>
  <c r="DB157" i="14" s="1"/>
  <c r="ER157" i="14"/>
  <c r="DN157" i="14" s="1"/>
  <c r="FD157" i="14"/>
  <c r="DZ157" i="14" s="1"/>
  <c r="EL163" i="14"/>
  <c r="DH163" i="14" s="1"/>
  <c r="EK164" i="14"/>
  <c r="DG164" i="14" s="1"/>
  <c r="EW164" i="14"/>
  <c r="DS164" i="14" s="1"/>
  <c r="EJ165" i="14"/>
  <c r="DF165" i="14" s="1"/>
  <c r="EV165" i="14"/>
  <c r="DR165" i="14" s="1"/>
  <c r="EI166" i="14"/>
  <c r="DE166" i="14" s="1"/>
  <c r="EU166" i="14"/>
  <c r="DQ166" i="14" s="1"/>
  <c r="EG168" i="14"/>
  <c r="DC168" i="14" s="1"/>
  <c r="ES168" i="14"/>
  <c r="DO168" i="14" s="1"/>
  <c r="EF169" i="14"/>
  <c r="DB169" i="14" s="1"/>
  <c r="ER169" i="14"/>
  <c r="DN169" i="14" s="1"/>
  <c r="FD169" i="14"/>
  <c r="DZ169" i="14" s="1"/>
  <c r="P77" i="17"/>
  <c r="P78" i="17" s="1"/>
  <c r="EG157" i="14"/>
  <c r="DC157" i="14" s="1"/>
  <c r="GN158" i="14"/>
  <c r="GZ158" i="14"/>
  <c r="EL164" i="14"/>
  <c r="DH164" i="14" s="1"/>
  <c r="GT164" i="14"/>
  <c r="EK165" i="14"/>
  <c r="DG165" i="14" s="1"/>
  <c r="GS165" i="14"/>
  <c r="EJ166" i="14"/>
  <c r="DF166" i="14" s="1"/>
  <c r="EI167" i="14"/>
  <c r="DE167" i="14" s="1"/>
  <c r="EH168" i="14"/>
  <c r="DD168" i="14" s="1"/>
  <c r="GP168" i="14"/>
  <c r="EG169" i="14"/>
  <c r="DC169" i="14" s="1"/>
  <c r="GO169" i="14"/>
  <c r="GN170" i="14"/>
  <c r="GZ170" i="14"/>
  <c r="EA175" i="14"/>
  <c r="CW175" i="14" s="1"/>
  <c r="EM175" i="14"/>
  <c r="DI175" i="14" s="1"/>
  <c r="EL176" i="14"/>
  <c r="DH176" i="14" s="1"/>
  <c r="N79" i="17"/>
  <c r="Q77" i="17"/>
  <c r="Q78" i="17" s="1"/>
  <c r="D166" i="17"/>
  <c r="G77" i="17"/>
  <c r="G78" i="17" s="1"/>
  <c r="C163" i="17"/>
  <c r="P41" i="20"/>
  <c r="U60" i="20"/>
  <c r="E35" i="20"/>
  <c r="M40" i="20"/>
  <c r="U98" i="20"/>
  <c r="I98" i="20"/>
  <c r="U96" i="20"/>
  <c r="I96" i="20"/>
  <c r="AA95" i="20"/>
  <c r="O95" i="20"/>
  <c r="C95" i="20"/>
  <c r="AB98" i="20"/>
  <c r="O98" i="20"/>
  <c r="B98" i="20"/>
  <c r="W96" i="20"/>
  <c r="J96" i="20"/>
  <c r="Z95" i="20"/>
  <c r="M95" i="20"/>
  <c r="V93" i="20"/>
  <c r="J93" i="20"/>
  <c r="AB92" i="20"/>
  <c r="P92" i="20"/>
  <c r="D92" i="20"/>
  <c r="AA98" i="20"/>
  <c r="N98" i="20"/>
  <c r="V96" i="20"/>
  <c r="H96" i="20"/>
  <c r="Y95" i="20"/>
  <c r="L95" i="20"/>
  <c r="U93" i="20"/>
  <c r="I93" i="20"/>
  <c r="AA92" i="20"/>
  <c r="O92" i="20"/>
  <c r="C92" i="20"/>
  <c r="C86" i="20"/>
  <c r="Z98" i="20"/>
  <c r="M98" i="20"/>
  <c r="T96" i="20"/>
  <c r="G96" i="20"/>
  <c r="X95" i="20"/>
  <c r="K95" i="20"/>
  <c r="T93" i="20"/>
  <c r="H93" i="20"/>
  <c r="Z92" i="20"/>
  <c r="N92" i="20"/>
  <c r="B92" i="20"/>
  <c r="Y98" i="20"/>
  <c r="L98" i="20"/>
  <c r="S96" i="20"/>
  <c r="F96" i="20"/>
  <c r="W95" i="20"/>
  <c r="J95" i="20"/>
  <c r="AE93" i="20"/>
  <c r="S93" i="20"/>
  <c r="AD98" i="20"/>
  <c r="H98" i="20"/>
  <c r="AC96" i="20"/>
  <c r="L96" i="20"/>
  <c r="T95" i="20"/>
  <c r="B95" i="20"/>
  <c r="X93" i="20"/>
  <c r="E93" i="20"/>
  <c r="T92" i="20"/>
  <c r="E92" i="20"/>
  <c r="AC98" i="20"/>
  <c r="G98" i="20"/>
  <c r="AB96" i="20"/>
  <c r="K96" i="20"/>
  <c r="S95" i="20"/>
  <c r="W93" i="20"/>
  <c r="D93" i="20"/>
  <c r="S92" i="20"/>
  <c r="X98" i="20"/>
  <c r="F98" i="20"/>
  <c r="AA96" i="20"/>
  <c r="E96" i="20"/>
  <c r="R95" i="20"/>
  <c r="R93" i="20"/>
  <c r="C93" i="20"/>
  <c r="R92" i="20"/>
  <c r="W98" i="20"/>
  <c r="E98" i="20"/>
  <c r="Z96" i="20"/>
  <c r="D96" i="20"/>
  <c r="Q95" i="20"/>
  <c r="Q93" i="20"/>
  <c r="B93" i="20"/>
  <c r="Q92" i="20"/>
  <c r="V98" i="20"/>
  <c r="D98" i="20"/>
  <c r="Y96" i="20"/>
  <c r="C96" i="20"/>
  <c r="P95" i="20"/>
  <c r="P93" i="20"/>
  <c r="AE92" i="20"/>
  <c r="M92" i="20"/>
  <c r="T98" i="20"/>
  <c r="C98" i="20"/>
  <c r="X96" i="20"/>
  <c r="B96" i="20"/>
  <c r="N95" i="20"/>
  <c r="O93" i="20"/>
  <c r="AD92" i="20"/>
  <c r="L92" i="20"/>
  <c r="R98" i="20"/>
  <c r="AD95" i="20"/>
  <c r="M93" i="20"/>
  <c r="J92" i="20"/>
  <c r="P96" i="20"/>
  <c r="G95" i="20"/>
  <c r="AB93" i="20"/>
  <c r="X92" i="20"/>
  <c r="AG80" i="20"/>
  <c r="BM80" i="20" s="1"/>
  <c r="N96" i="20"/>
  <c r="E95" i="20"/>
  <c r="Z93" i="20"/>
  <c r="V92" i="20"/>
  <c r="P98" i="20"/>
  <c r="R96" i="20"/>
  <c r="D95" i="20"/>
  <c r="K93" i="20"/>
  <c r="K98" i="20"/>
  <c r="Q96" i="20"/>
  <c r="G93" i="20"/>
  <c r="J98" i="20"/>
  <c r="O96" i="20"/>
  <c r="F93" i="20"/>
  <c r="M96" i="20"/>
  <c r="AC92" i="20"/>
  <c r="AE95" i="20"/>
  <c r="Y92" i="20"/>
  <c r="AC95" i="20"/>
  <c r="W92" i="20"/>
  <c r="AB95" i="20"/>
  <c r="AD93" i="20"/>
  <c r="U92" i="20"/>
  <c r="V95" i="20"/>
  <c r="AC93" i="20"/>
  <c r="K92" i="20"/>
  <c r="U95" i="20"/>
  <c r="AA93" i="20"/>
  <c r="I92" i="20"/>
  <c r="H95" i="20"/>
  <c r="F35" i="20"/>
  <c r="I38" i="20"/>
  <c r="N40" i="20"/>
  <c r="I95" i="20"/>
  <c r="Q35" i="20"/>
  <c r="J38" i="20"/>
  <c r="U40" i="20"/>
  <c r="AD96" i="20"/>
  <c r="W47" i="19"/>
  <c r="AD35" i="20"/>
  <c r="K38" i="20"/>
  <c r="X40" i="20"/>
  <c r="AE96" i="20"/>
  <c r="AF32" i="19"/>
  <c r="B36" i="20"/>
  <c r="L38" i="20"/>
  <c r="O41" i="20"/>
  <c r="I36" i="20"/>
  <c r="W38" i="20"/>
  <c r="F92" i="20"/>
  <c r="Q98" i="20"/>
  <c r="Z41" i="20"/>
  <c r="N41" i="20"/>
  <c r="B41" i="20"/>
  <c r="T40" i="20"/>
  <c r="H40" i="20"/>
  <c r="Z39" i="20"/>
  <c r="N39" i="20"/>
  <c r="B39" i="20"/>
  <c r="T38" i="20"/>
  <c r="H38" i="20"/>
  <c r="T36" i="20"/>
  <c r="H36" i="20"/>
  <c r="Z35" i="20"/>
  <c r="N35" i="20"/>
  <c r="B35" i="20"/>
  <c r="Y41" i="20"/>
  <c r="M41" i="20"/>
  <c r="AE40" i="20"/>
  <c r="S40" i="20"/>
  <c r="G40" i="20"/>
  <c r="Y39" i="20"/>
  <c r="M39" i="20"/>
  <c r="AE38" i="20"/>
  <c r="S38" i="20"/>
  <c r="G38" i="20"/>
  <c r="AE36" i="20"/>
  <c r="S36" i="20"/>
  <c r="G36" i="20"/>
  <c r="Y35" i="20"/>
  <c r="M35" i="20"/>
  <c r="Y29" i="20"/>
  <c r="X41" i="20"/>
  <c r="L41" i="20"/>
  <c r="AD40" i="20"/>
  <c r="R40" i="20"/>
  <c r="F40" i="20"/>
  <c r="X39" i="20"/>
  <c r="L39" i="20"/>
  <c r="AD38" i="20"/>
  <c r="R38" i="20"/>
  <c r="F38" i="20"/>
  <c r="AD36" i="20"/>
  <c r="R36" i="20"/>
  <c r="F36" i="20"/>
  <c r="X35" i="20"/>
  <c r="L35" i="20"/>
  <c r="W41" i="20"/>
  <c r="K41" i="20"/>
  <c r="AC40" i="20"/>
  <c r="Q40" i="20"/>
  <c r="E40" i="20"/>
  <c r="W39" i="20"/>
  <c r="K39" i="20"/>
  <c r="AC38" i="20"/>
  <c r="Q38" i="20"/>
  <c r="E38" i="20"/>
  <c r="AC36" i="20"/>
  <c r="Q36" i="20"/>
  <c r="E36" i="20"/>
  <c r="W35" i="20"/>
  <c r="K35" i="20"/>
  <c r="V41" i="20"/>
  <c r="J41" i="20"/>
  <c r="AB40" i="20"/>
  <c r="P40" i="20"/>
  <c r="D40" i="20"/>
  <c r="V39" i="20"/>
  <c r="J39" i="20"/>
  <c r="AB38" i="20"/>
  <c r="P38" i="20"/>
  <c r="D38" i="20"/>
  <c r="AB36" i="20"/>
  <c r="P36" i="20"/>
  <c r="D36" i="20"/>
  <c r="V35" i="20"/>
  <c r="J35" i="20"/>
  <c r="U41" i="20"/>
  <c r="I41" i="20"/>
  <c r="AA40" i="20"/>
  <c r="O40" i="20"/>
  <c r="C40" i="20"/>
  <c r="U39" i="20"/>
  <c r="I39" i="20"/>
  <c r="AA38" i="20"/>
  <c r="O38" i="20"/>
  <c r="C38" i="20"/>
  <c r="AA36" i="20"/>
  <c r="O36" i="20"/>
  <c r="C36" i="20"/>
  <c r="U35" i="20"/>
  <c r="I35" i="20"/>
  <c r="S41" i="20"/>
  <c r="Y40" i="20"/>
  <c r="AE39" i="20"/>
  <c r="G39" i="20"/>
  <c r="M38" i="20"/>
  <c r="Y36" i="20"/>
  <c r="AE35" i="20"/>
  <c r="G35" i="20"/>
  <c r="AD41" i="20"/>
  <c r="F41" i="20"/>
  <c r="L40" i="20"/>
  <c r="R39" i="20"/>
  <c r="X38" i="20"/>
  <c r="L36" i="20"/>
  <c r="R35" i="20"/>
  <c r="AB41" i="20"/>
  <c r="D41" i="20"/>
  <c r="J40" i="20"/>
  <c r="P39" i="20"/>
  <c r="V38" i="20"/>
  <c r="J36" i="20"/>
  <c r="P35" i="20"/>
  <c r="H41" i="20"/>
  <c r="I40" i="20"/>
  <c r="E39" i="20"/>
  <c r="B38" i="20"/>
  <c r="AC35" i="20"/>
  <c r="G41" i="20"/>
  <c r="B40" i="20"/>
  <c r="D39" i="20"/>
  <c r="Z36" i="20"/>
  <c r="AB35" i="20"/>
  <c r="AG23" i="20"/>
  <c r="BM23" i="20" s="1"/>
  <c r="E41" i="20"/>
  <c r="AD39" i="20"/>
  <c r="C39" i="20"/>
  <c r="X36" i="20"/>
  <c r="AA35" i="20"/>
  <c r="C41" i="20"/>
  <c r="AC39" i="20"/>
  <c r="Z38" i="20"/>
  <c r="W36" i="20"/>
  <c r="T35" i="20"/>
  <c r="AE41" i="20"/>
  <c r="Z40" i="20"/>
  <c r="AB39" i="20"/>
  <c r="Y38" i="20"/>
  <c r="V36" i="20"/>
  <c r="S35" i="20"/>
  <c r="AA41" i="20"/>
  <c r="W40" i="20"/>
  <c r="T39" i="20"/>
  <c r="U38" i="20"/>
  <c r="N36" i="20"/>
  <c r="O35" i="20"/>
  <c r="C29" i="20"/>
  <c r="T41" i="20"/>
  <c r="V40" i="20"/>
  <c r="S39" i="20"/>
  <c r="N38" i="20"/>
  <c r="M36" i="20"/>
  <c r="H35" i="20"/>
  <c r="K36" i="20"/>
  <c r="F39" i="20"/>
  <c r="Q41" i="20"/>
  <c r="G92" i="20"/>
  <c r="S98" i="20"/>
  <c r="G48" i="20"/>
  <c r="S54" i="20"/>
  <c r="R55" i="20"/>
  <c r="B58" i="20"/>
  <c r="K60" i="20"/>
  <c r="W54" i="20"/>
  <c r="AD55" i="20"/>
  <c r="F57" i="20"/>
  <c r="F58" i="20"/>
  <c r="T60" i="20"/>
  <c r="H60" i="20"/>
  <c r="T58" i="20"/>
  <c r="H58" i="20"/>
  <c r="Z57" i="20"/>
  <c r="N57" i="20"/>
  <c r="B57" i="20"/>
  <c r="Z55" i="20"/>
  <c r="N55" i="20"/>
  <c r="AE60" i="20"/>
  <c r="R60" i="20"/>
  <c r="E60" i="20"/>
  <c r="Z58" i="20"/>
  <c r="M58" i="20"/>
  <c r="AD57" i="20"/>
  <c r="Q57" i="20"/>
  <c r="D57" i="20"/>
  <c r="X55" i="20"/>
  <c r="K55" i="20"/>
  <c r="AC54" i="20"/>
  <c r="Q54" i="20"/>
  <c r="E54" i="20"/>
  <c r="AD60" i="20"/>
  <c r="Q60" i="20"/>
  <c r="D60" i="20"/>
  <c r="Y58" i="20"/>
  <c r="L58" i="20"/>
  <c r="AC57" i="20"/>
  <c r="P57" i="20"/>
  <c r="C57" i="20"/>
  <c r="W55" i="20"/>
  <c r="J55" i="20"/>
  <c r="AB54" i="20"/>
  <c r="P54" i="20"/>
  <c r="D54" i="20"/>
  <c r="D48" i="20"/>
  <c r="AC60" i="20"/>
  <c r="P60" i="20"/>
  <c r="C60" i="20"/>
  <c r="X58" i="20"/>
  <c r="K58" i="20"/>
  <c r="AB57" i="20"/>
  <c r="O57" i="20"/>
  <c r="V55" i="20"/>
  <c r="I55" i="20"/>
  <c r="AA54" i="20"/>
  <c r="O54" i="20"/>
  <c r="C54" i="20"/>
  <c r="AB60" i="20"/>
  <c r="O60" i="20"/>
  <c r="B60" i="20"/>
  <c r="W58" i="20"/>
  <c r="J58" i="20"/>
  <c r="AA57" i="20"/>
  <c r="M57" i="20"/>
  <c r="U55" i="20"/>
  <c r="H55" i="20"/>
  <c r="Z54" i="20"/>
  <c r="N54" i="20"/>
  <c r="B54" i="20"/>
  <c r="AA60" i="20"/>
  <c r="N60" i="20"/>
  <c r="V58" i="20"/>
  <c r="I58" i="20"/>
  <c r="Y57" i="20"/>
  <c r="L57" i="20"/>
  <c r="T55" i="20"/>
  <c r="G55" i="20"/>
  <c r="Y54" i="20"/>
  <c r="M54" i="20"/>
  <c r="Z60" i="20"/>
  <c r="M60" i="20"/>
  <c r="U58" i="20"/>
  <c r="G58" i="20"/>
  <c r="X57" i="20"/>
  <c r="K57" i="20"/>
  <c r="S55" i="20"/>
  <c r="F55" i="20"/>
  <c r="X54" i="20"/>
  <c r="L54" i="20"/>
  <c r="X48" i="20"/>
  <c r="X60" i="20"/>
  <c r="AE58" i="20"/>
  <c r="E58" i="20"/>
  <c r="I57" i="20"/>
  <c r="Q55" i="20"/>
  <c r="V54" i="20"/>
  <c r="J60" i="20"/>
  <c r="Q58" i="20"/>
  <c r="U57" i="20"/>
  <c r="AC55" i="20"/>
  <c r="C55" i="20"/>
  <c r="I54" i="20"/>
  <c r="G60" i="20"/>
  <c r="O58" i="20"/>
  <c r="S57" i="20"/>
  <c r="AA55" i="20"/>
  <c r="AE54" i="20"/>
  <c r="G54" i="20"/>
  <c r="AD54" i="20"/>
  <c r="AE55" i="20"/>
  <c r="G57" i="20"/>
  <c r="N58" i="20"/>
  <c r="V60" i="20"/>
  <c r="U32" i="19"/>
  <c r="AG32" i="19"/>
  <c r="B55" i="20"/>
  <c r="H57" i="20"/>
  <c r="P58" i="20"/>
  <c r="W60" i="20"/>
  <c r="D55" i="20"/>
  <c r="J57" i="20"/>
  <c r="R58" i="20"/>
  <c r="Y60" i="20"/>
  <c r="F54" i="20"/>
  <c r="E55" i="20"/>
  <c r="R57" i="20"/>
  <c r="S58" i="20"/>
  <c r="W79" i="20"/>
  <c r="X117" i="20"/>
  <c r="L117" i="20"/>
  <c r="AD116" i="20"/>
  <c r="R116" i="20"/>
  <c r="F116" i="20"/>
  <c r="X115" i="20"/>
  <c r="L115" i="20"/>
  <c r="AD114" i="20"/>
  <c r="R114" i="20"/>
  <c r="F114" i="20"/>
  <c r="X113" i="20"/>
  <c r="L113" i="20"/>
  <c r="AD112" i="20"/>
  <c r="R112" i="20"/>
  <c r="F112" i="20"/>
  <c r="X111" i="20"/>
  <c r="L111" i="20"/>
  <c r="AD110" i="20"/>
  <c r="R110" i="20"/>
  <c r="F110" i="20"/>
  <c r="X107" i="20"/>
  <c r="L107" i="20"/>
  <c r="W117" i="20"/>
  <c r="J117" i="20"/>
  <c r="AA116" i="20"/>
  <c r="N116" i="20"/>
  <c r="AE115" i="20"/>
  <c r="R115" i="20"/>
  <c r="E115" i="20"/>
  <c r="V114" i="20"/>
  <c r="I114" i="20"/>
  <c r="Z113" i="20"/>
  <c r="M113" i="20"/>
  <c r="AC112" i="20"/>
  <c r="P112" i="20"/>
  <c r="C112" i="20"/>
  <c r="T111" i="20"/>
  <c r="G111" i="20"/>
  <c r="X110" i="20"/>
  <c r="K110" i="20"/>
  <c r="V107" i="20"/>
  <c r="I107" i="20"/>
  <c r="Z117" i="20"/>
  <c r="K117" i="20"/>
  <c r="Z116" i="20"/>
  <c r="L116" i="20"/>
  <c r="AB115" i="20"/>
  <c r="N115" i="20"/>
  <c r="AC114" i="20"/>
  <c r="O114" i="20"/>
  <c r="AE113" i="20"/>
  <c r="Q113" i="20"/>
  <c r="C113" i="20"/>
  <c r="S112" i="20"/>
  <c r="D112" i="20"/>
  <c r="S111" i="20"/>
  <c r="E111" i="20"/>
  <c r="U110" i="20"/>
  <c r="G110" i="20"/>
  <c r="Z107" i="20"/>
  <c r="K107" i="20"/>
  <c r="Y117" i="20"/>
  <c r="I117" i="20"/>
  <c r="Y116" i="20"/>
  <c r="K116" i="20"/>
  <c r="AA115" i="20"/>
  <c r="M115" i="20"/>
  <c r="AB114" i="20"/>
  <c r="N114" i="20"/>
  <c r="AD113" i="20"/>
  <c r="P113" i="20"/>
  <c r="B113" i="20"/>
  <c r="Q112" i="20"/>
  <c r="B112" i="20"/>
  <c r="R111" i="20"/>
  <c r="D111" i="20"/>
  <c r="T110" i="20"/>
  <c r="E110" i="20"/>
  <c r="Y107" i="20"/>
  <c r="J107" i="20"/>
  <c r="C105" i="20"/>
  <c r="V117" i="20"/>
  <c r="H117" i="20"/>
  <c r="X116" i="20"/>
  <c r="J116" i="20"/>
  <c r="Z115" i="20"/>
  <c r="K115" i="20"/>
  <c r="AA114" i="20"/>
  <c r="M114" i="20"/>
  <c r="AC113" i="20"/>
  <c r="O113" i="20"/>
  <c r="AE112" i="20"/>
  <c r="O112" i="20"/>
  <c r="AE111" i="20"/>
  <c r="Q111" i="20"/>
  <c r="C111" i="20"/>
  <c r="S110" i="20"/>
  <c r="D110" i="20"/>
  <c r="W107" i="20"/>
  <c r="H107" i="20"/>
  <c r="U117" i="20"/>
  <c r="G117" i="20"/>
  <c r="W116" i="20"/>
  <c r="I116" i="20"/>
  <c r="Y115" i="20"/>
  <c r="J115" i="20"/>
  <c r="Z114" i="20"/>
  <c r="L114" i="20"/>
  <c r="AB113" i="20"/>
  <c r="N113" i="20"/>
  <c r="AB112" i="20"/>
  <c r="N112" i="20"/>
  <c r="AD111" i="20"/>
  <c r="P111" i="20"/>
  <c r="B111" i="20"/>
  <c r="Q110" i="20"/>
  <c r="C110" i="20"/>
  <c r="U107" i="20"/>
  <c r="G107" i="20"/>
  <c r="R117" i="20"/>
  <c r="D117" i="20"/>
  <c r="T116" i="20"/>
  <c r="E116" i="20"/>
  <c r="U115" i="20"/>
  <c r="G115" i="20"/>
  <c r="W114" i="20"/>
  <c r="H114" i="20"/>
  <c r="W113" i="20"/>
  <c r="I113" i="20"/>
  <c r="Y112" i="20"/>
  <c r="K112" i="20"/>
  <c r="AA111" i="20"/>
  <c r="M111" i="20"/>
  <c r="AB110" i="20"/>
  <c r="N110" i="20"/>
  <c r="AD117" i="20"/>
  <c r="P117" i="20"/>
  <c r="B117" i="20"/>
  <c r="Q116" i="20"/>
  <c r="C116" i="20"/>
  <c r="S115" i="20"/>
  <c r="D115" i="20"/>
  <c r="T114" i="20"/>
  <c r="E114" i="20"/>
  <c r="U113" i="20"/>
  <c r="G113" i="20"/>
  <c r="W112" i="20"/>
  <c r="I112" i="20"/>
  <c r="Y111" i="20"/>
  <c r="J111" i="20"/>
  <c r="Z110" i="20"/>
  <c r="L110" i="20"/>
  <c r="AD107" i="20"/>
  <c r="P107" i="20"/>
  <c r="B107" i="20"/>
  <c r="AB117" i="20"/>
  <c r="AC116" i="20"/>
  <c r="AD115" i="20"/>
  <c r="B115" i="20"/>
  <c r="C114" i="20"/>
  <c r="E113" i="20"/>
  <c r="G112" i="20"/>
  <c r="H111" i="20"/>
  <c r="I110" i="20"/>
  <c r="R107" i="20"/>
  <c r="AA117" i="20"/>
  <c r="AB116" i="20"/>
  <c r="AC115" i="20"/>
  <c r="AE114" i="20"/>
  <c r="B114" i="20"/>
  <c r="D113" i="20"/>
  <c r="E112" i="20"/>
  <c r="F111" i="20"/>
  <c r="H110" i="20"/>
  <c r="Q107" i="20"/>
  <c r="T117" i="20"/>
  <c r="V116" i="20"/>
  <c r="W115" i="20"/>
  <c r="Y114" i="20"/>
  <c r="AA113" i="20"/>
  <c r="AA112" i="20"/>
  <c r="AC111" i="20"/>
  <c r="AE110" i="20"/>
  <c r="B110" i="20"/>
  <c r="O107" i="20"/>
  <c r="AG99" i="20"/>
  <c r="BM99" i="20" s="1"/>
  <c r="S117" i="20"/>
  <c r="U116" i="20"/>
  <c r="V115" i="20"/>
  <c r="X114" i="20"/>
  <c r="Y113" i="20"/>
  <c r="Z112" i="20"/>
  <c r="AB111" i="20"/>
  <c r="AC110" i="20"/>
  <c r="N107" i="20"/>
  <c r="Y105" i="20"/>
  <c r="Q117" i="20"/>
  <c r="S116" i="20"/>
  <c r="T115" i="20"/>
  <c r="U114" i="20"/>
  <c r="V113" i="20"/>
  <c r="X112" i="20"/>
  <c r="Z111" i="20"/>
  <c r="AA110" i="20"/>
  <c r="M107" i="20"/>
  <c r="O117" i="20"/>
  <c r="P116" i="20"/>
  <c r="Q115" i="20"/>
  <c r="S114" i="20"/>
  <c r="T113" i="20"/>
  <c r="V112" i="20"/>
  <c r="W111" i="20"/>
  <c r="Y110" i="20"/>
  <c r="F107" i="20"/>
  <c r="V105" i="20"/>
  <c r="M110" i="20"/>
  <c r="J112" i="20"/>
  <c r="G114" i="20"/>
  <c r="D116" i="20"/>
  <c r="AE117" i="20"/>
  <c r="C107" i="20"/>
  <c r="P110" i="20"/>
  <c r="M112" i="20"/>
  <c r="K114" i="20"/>
  <c r="H116" i="20"/>
  <c r="AC107" i="20"/>
  <c r="U111" i="20"/>
  <c r="R113" i="20"/>
  <c r="O115" i="20"/>
  <c r="M117" i="20"/>
  <c r="I16" i="20"/>
  <c r="U16" i="20"/>
  <c r="C17" i="20"/>
  <c r="O17" i="20"/>
  <c r="AA17" i="20"/>
  <c r="I20" i="20"/>
  <c r="U20" i="20"/>
  <c r="V10" i="20"/>
  <c r="J16" i="20"/>
  <c r="V16" i="20"/>
  <c r="D17" i="20"/>
  <c r="P17" i="20"/>
  <c r="AB17" i="20"/>
  <c r="J20" i="20"/>
  <c r="V20" i="20"/>
  <c r="K10" i="20"/>
  <c r="K16" i="20"/>
  <c r="W16" i="20"/>
  <c r="E17" i="20"/>
  <c r="Q17" i="20"/>
  <c r="AC17" i="20"/>
  <c r="K20" i="20"/>
  <c r="W20" i="20"/>
  <c r="X172" i="20"/>
  <c r="L172" i="20"/>
  <c r="X170" i="20"/>
  <c r="L170" i="20"/>
  <c r="AD169" i="20"/>
  <c r="R169" i="20"/>
  <c r="F169" i="20"/>
  <c r="X168" i="20"/>
  <c r="L168" i="20"/>
  <c r="X162" i="20"/>
  <c r="L162" i="20"/>
  <c r="AA172" i="20"/>
  <c r="N172" i="20"/>
  <c r="U170" i="20"/>
  <c r="H170" i="20"/>
  <c r="Y169" i="20"/>
  <c r="L169" i="20"/>
  <c r="AC168" i="20"/>
  <c r="P168" i="20"/>
  <c r="C168" i="20"/>
  <c r="M162" i="20"/>
  <c r="AG156" i="20"/>
  <c r="BM156" i="20" s="1"/>
  <c r="Y172" i="20"/>
  <c r="J172" i="20"/>
  <c r="AB170" i="20"/>
  <c r="N170" i="20"/>
  <c r="AC169" i="20"/>
  <c r="O169" i="20"/>
  <c r="AE168" i="20"/>
  <c r="Q168" i="20"/>
  <c r="B168" i="20"/>
  <c r="Y162" i="20"/>
  <c r="W172" i="20"/>
  <c r="I172" i="20"/>
  <c r="AA170" i="20"/>
  <c r="M170" i="20"/>
  <c r="AB169" i="20"/>
  <c r="N169" i="20"/>
  <c r="AD168" i="20"/>
  <c r="O168" i="20"/>
  <c r="W162" i="20"/>
  <c r="V172" i="20"/>
  <c r="H172" i="20"/>
  <c r="Z170" i="20"/>
  <c r="K170" i="20"/>
  <c r="AA169" i="20"/>
  <c r="M169" i="20"/>
  <c r="AB168" i="20"/>
  <c r="N168" i="20"/>
  <c r="V162" i="20"/>
  <c r="T172" i="20"/>
  <c r="F172" i="20"/>
  <c r="W170" i="20"/>
  <c r="I170" i="20"/>
  <c r="X169" i="20"/>
  <c r="J169" i="20"/>
  <c r="Z168" i="20"/>
  <c r="K168" i="20"/>
  <c r="T162" i="20"/>
  <c r="F162" i="20"/>
  <c r="S172" i="20"/>
  <c r="E172" i="20"/>
  <c r="V170" i="20"/>
  <c r="G170" i="20"/>
  <c r="W169" i="20"/>
  <c r="I169" i="20"/>
  <c r="Y168" i="20"/>
  <c r="J168" i="20"/>
  <c r="E162" i="20"/>
  <c r="R172" i="20"/>
  <c r="D172" i="20"/>
  <c r="T170" i="20"/>
  <c r="F170" i="20"/>
  <c r="V169" i="20"/>
  <c r="H169" i="20"/>
  <c r="W168" i="20"/>
  <c r="I168" i="20"/>
  <c r="R162" i="20"/>
  <c r="D162" i="20"/>
  <c r="AD172" i="20"/>
  <c r="P172" i="20"/>
  <c r="B172" i="20"/>
  <c r="R170" i="20"/>
  <c r="D170" i="20"/>
  <c r="T169" i="20"/>
  <c r="E169" i="20"/>
  <c r="U168" i="20"/>
  <c r="G168" i="20"/>
  <c r="AD162" i="20"/>
  <c r="P162" i="20"/>
  <c r="AA168" i="20"/>
  <c r="B170" i="20"/>
  <c r="K172" i="20"/>
  <c r="AB212" i="20"/>
  <c r="P212" i="20"/>
  <c r="D212" i="20"/>
  <c r="V211" i="20"/>
  <c r="J211" i="20"/>
  <c r="AB210" i="20"/>
  <c r="P210" i="20"/>
  <c r="D210" i="20"/>
  <c r="V209" i="20"/>
  <c r="J209" i="20"/>
  <c r="AB208" i="20"/>
  <c r="P208" i="20"/>
  <c r="D208" i="20"/>
  <c r="V207" i="20"/>
  <c r="J207" i="20"/>
  <c r="AB206" i="20"/>
  <c r="P206" i="20"/>
  <c r="D206" i="20"/>
  <c r="V205" i="20"/>
  <c r="J205" i="20"/>
  <c r="AB202" i="20"/>
  <c r="P202" i="20"/>
  <c r="D202" i="20"/>
  <c r="AA212" i="20"/>
  <c r="O212" i="20"/>
  <c r="C212" i="20"/>
  <c r="U211" i="20"/>
  <c r="I211" i="20"/>
  <c r="AA210" i="20"/>
  <c r="O210" i="20"/>
  <c r="C210" i="20"/>
  <c r="U209" i="20"/>
  <c r="I209" i="20"/>
  <c r="AA208" i="20"/>
  <c r="O208" i="20"/>
  <c r="C208" i="20"/>
  <c r="U207" i="20"/>
  <c r="I207" i="20"/>
  <c r="AA206" i="20"/>
  <c r="O206" i="20"/>
  <c r="C206" i="20"/>
  <c r="U205" i="20"/>
  <c r="I205" i="20"/>
  <c r="AA202" i="20"/>
  <c r="O202" i="20"/>
  <c r="Z212" i="20"/>
  <c r="N212" i="20"/>
  <c r="B212" i="20"/>
  <c r="T211" i="20"/>
  <c r="H211" i="20"/>
  <c r="Z210" i="20"/>
  <c r="N210" i="20"/>
  <c r="B210" i="20"/>
  <c r="T209" i="20"/>
  <c r="H209" i="20"/>
  <c r="Z208" i="20"/>
  <c r="N208" i="20"/>
  <c r="B208" i="20"/>
  <c r="T207" i="20"/>
  <c r="H207" i="20"/>
  <c r="Z206" i="20"/>
  <c r="N206" i="20"/>
  <c r="B206" i="20"/>
  <c r="T205" i="20"/>
  <c r="H205" i="20"/>
  <c r="Z202" i="20"/>
  <c r="N202" i="20"/>
  <c r="B202" i="20"/>
  <c r="Z200" i="20"/>
  <c r="R212" i="20"/>
  <c r="AD211" i="20"/>
  <c r="O211" i="20"/>
  <c r="AD210" i="20"/>
  <c r="L210" i="20"/>
  <c r="AA209" i="20"/>
  <c r="L209" i="20"/>
  <c r="X208" i="20"/>
  <c r="I208" i="20"/>
  <c r="X207" i="20"/>
  <c r="F207" i="20"/>
  <c r="U206" i="20"/>
  <c r="F206" i="20"/>
  <c r="R205" i="20"/>
  <c r="C205" i="20"/>
  <c r="AD202" i="20"/>
  <c r="L202" i="20"/>
  <c r="Q212" i="20"/>
  <c r="AC211" i="20"/>
  <c r="N211" i="20"/>
  <c r="AC210" i="20"/>
  <c r="K210" i="20"/>
  <c r="Z209" i="20"/>
  <c r="K209" i="20"/>
  <c r="W208" i="20"/>
  <c r="H208" i="20"/>
  <c r="W207" i="20"/>
  <c r="E207" i="20"/>
  <c r="T206" i="20"/>
  <c r="E206" i="20"/>
  <c r="Q205" i="20"/>
  <c r="B205" i="20"/>
  <c r="AC202" i="20"/>
  <c r="K202" i="20"/>
  <c r="AG194" i="20"/>
  <c r="BM194" i="20" s="1"/>
  <c r="U212" i="20"/>
  <c r="AE211" i="20"/>
  <c r="L211" i="20"/>
  <c r="V210" i="20"/>
  <c r="E210" i="20"/>
  <c r="O209" i="20"/>
  <c r="Y208" i="20"/>
  <c r="F208" i="20"/>
  <c r="P207" i="20"/>
  <c r="AC206" i="20"/>
  <c r="I206" i="20"/>
  <c r="S205" i="20"/>
  <c r="M202" i="20"/>
  <c r="T212" i="20"/>
  <c r="AB211" i="20"/>
  <c r="K211" i="20"/>
  <c r="U210" i="20"/>
  <c r="AE209" i="20"/>
  <c r="N209" i="20"/>
  <c r="V208" i="20"/>
  <c r="E208" i="20"/>
  <c r="O207" i="20"/>
  <c r="Y206" i="20"/>
  <c r="H206" i="20"/>
  <c r="P205" i="20"/>
  <c r="J202" i="20"/>
  <c r="C200" i="20"/>
  <c r="M212" i="20"/>
  <c r="Z211" i="20"/>
  <c r="F211" i="20"/>
  <c r="S210" i="20"/>
  <c r="AC209" i="20"/>
  <c r="G209" i="20"/>
  <c r="T208" i="20"/>
  <c r="AD207" i="20"/>
  <c r="M207" i="20"/>
  <c r="W206" i="20"/>
  <c r="AE205" i="20"/>
  <c r="N205" i="20"/>
  <c r="Y202" i="20"/>
  <c r="H202" i="20"/>
  <c r="L212" i="20"/>
  <c r="Y211" i="20"/>
  <c r="E211" i="20"/>
  <c r="R210" i="20"/>
  <c r="AB209" i="20"/>
  <c r="F209" i="20"/>
  <c r="S208" i="20"/>
  <c r="AC207" i="20"/>
  <c r="L207" i="20"/>
  <c r="V206" i="20"/>
  <c r="AD205" i="20"/>
  <c r="M205" i="20"/>
  <c r="X202" i="20"/>
  <c r="G202" i="20"/>
  <c r="H212" i="20"/>
  <c r="G211" i="20"/>
  <c r="I210" i="20"/>
  <c r="M209" i="20"/>
  <c r="L208" i="20"/>
  <c r="N207" i="20"/>
  <c r="M206" i="20"/>
  <c r="O205" i="20"/>
  <c r="T202" i="20"/>
  <c r="AE212" i="20"/>
  <c r="G212" i="20"/>
  <c r="D211" i="20"/>
  <c r="H210" i="20"/>
  <c r="E209" i="20"/>
  <c r="K208" i="20"/>
  <c r="K207" i="20"/>
  <c r="L206" i="20"/>
  <c r="L205" i="20"/>
  <c r="S202" i="20"/>
  <c r="AD212" i="20"/>
  <c r="F212" i="20"/>
  <c r="C211" i="20"/>
  <c r="G210" i="20"/>
  <c r="D209" i="20"/>
  <c r="J208" i="20"/>
  <c r="G207" i="20"/>
  <c r="K206" i="20"/>
  <c r="K205" i="20"/>
  <c r="R202" i="20"/>
  <c r="AC212" i="20"/>
  <c r="E212" i="20"/>
  <c r="B211" i="20"/>
  <c r="F210" i="20"/>
  <c r="C209" i="20"/>
  <c r="G208" i="20"/>
  <c r="D207" i="20"/>
  <c r="J206" i="20"/>
  <c r="G205" i="20"/>
  <c r="Q202" i="20"/>
  <c r="Y212" i="20"/>
  <c r="AA211" i="20"/>
  <c r="AE210" i="20"/>
  <c r="AD209" i="20"/>
  <c r="B209" i="20"/>
  <c r="AE207" i="20"/>
  <c r="C207" i="20"/>
  <c r="G206" i="20"/>
  <c r="F205" i="20"/>
  <c r="I202" i="20"/>
  <c r="X212" i="20"/>
  <c r="X211" i="20"/>
  <c r="Y210" i="20"/>
  <c r="Y209" i="20"/>
  <c r="AE208" i="20"/>
  <c r="AB207" i="20"/>
  <c r="B207" i="20"/>
  <c r="AC205" i="20"/>
  <c r="E205" i="20"/>
  <c r="F202" i="20"/>
  <c r="W212" i="20"/>
  <c r="W211" i="20"/>
  <c r="X210" i="20"/>
  <c r="X209" i="20"/>
  <c r="AD208" i="20"/>
  <c r="AA207" i="20"/>
  <c r="AE206" i="20"/>
  <c r="AB205" i="20"/>
  <c r="D205" i="20"/>
  <c r="E202" i="20"/>
  <c r="V212" i="20"/>
  <c r="S211" i="20"/>
  <c r="W210" i="20"/>
  <c r="W209" i="20"/>
  <c r="AC208" i="20"/>
  <c r="Z207" i="20"/>
  <c r="AD206" i="20"/>
  <c r="AA205" i="20"/>
  <c r="C202" i="20"/>
  <c r="S212" i="20"/>
  <c r="R211" i="20"/>
  <c r="T210" i="20"/>
  <c r="S209" i="20"/>
  <c r="U208" i="20"/>
  <c r="Y207" i="20"/>
  <c r="X206" i="20"/>
  <c r="Z205" i="20"/>
  <c r="AE202" i="20"/>
  <c r="R207" i="20"/>
  <c r="P211" i="20"/>
  <c r="B169" i="20"/>
  <c r="C170" i="20"/>
  <c r="M172" i="20"/>
  <c r="S207" i="20"/>
  <c r="Q211" i="20"/>
  <c r="G162" i="20"/>
  <c r="C169" i="20"/>
  <c r="E170" i="20"/>
  <c r="O172" i="20"/>
  <c r="M208" i="20"/>
  <c r="I212" i="20"/>
  <c r="D124" i="20"/>
  <c r="W124" i="20"/>
  <c r="L126" i="20"/>
  <c r="AE126" i="20"/>
  <c r="H129" i="20"/>
  <c r="Z129" i="20"/>
  <c r="N130" i="20"/>
  <c r="AE130" i="20"/>
  <c r="Q131" i="20"/>
  <c r="C132" i="20"/>
  <c r="V132" i="20"/>
  <c r="I133" i="20"/>
  <c r="Z133" i="20"/>
  <c r="M134" i="20"/>
  <c r="AC134" i="20"/>
  <c r="Q135" i="20"/>
  <c r="E136" i="20"/>
  <c r="K162" i="20"/>
  <c r="D168" i="20"/>
  <c r="D169" i="20"/>
  <c r="J170" i="20"/>
  <c r="Q172" i="20"/>
  <c r="Q208" i="20"/>
  <c r="J212" i="20"/>
  <c r="N162" i="20"/>
  <c r="E168" i="20"/>
  <c r="G169" i="20"/>
  <c r="O170" i="20"/>
  <c r="U172" i="20"/>
  <c r="R208" i="20"/>
  <c r="K212" i="20"/>
  <c r="AD136" i="20"/>
  <c r="R136" i="20"/>
  <c r="F136" i="20"/>
  <c r="X135" i="20"/>
  <c r="L135" i="20"/>
  <c r="AD134" i="20"/>
  <c r="R134" i="20"/>
  <c r="F134" i="20"/>
  <c r="X133" i="20"/>
  <c r="L133" i="20"/>
  <c r="AD132" i="20"/>
  <c r="R132" i="20"/>
  <c r="F132" i="20"/>
  <c r="X131" i="20"/>
  <c r="L131" i="20"/>
  <c r="AD130" i="20"/>
  <c r="R130" i="20"/>
  <c r="F130" i="20"/>
  <c r="X129" i="20"/>
  <c r="L129" i="20"/>
  <c r="AD126" i="20"/>
  <c r="R126" i="20"/>
  <c r="F126" i="20"/>
  <c r="R124" i="20"/>
  <c r="F124" i="20"/>
  <c r="AB136" i="20"/>
  <c r="O136" i="20"/>
  <c r="B136" i="20"/>
  <c r="S135" i="20"/>
  <c r="F135" i="20"/>
  <c r="W134" i="20"/>
  <c r="J134" i="20"/>
  <c r="AA133" i="20"/>
  <c r="N133" i="20"/>
  <c r="AE132" i="20"/>
  <c r="Q132" i="20"/>
  <c r="D132" i="20"/>
  <c r="U131" i="20"/>
  <c r="H131" i="20"/>
  <c r="Y130" i="20"/>
  <c r="L130" i="20"/>
  <c r="AC129" i="20"/>
  <c r="P129" i="20"/>
  <c r="C129" i="20"/>
  <c r="AA126" i="20"/>
  <c r="N126" i="20"/>
  <c r="V124" i="20"/>
  <c r="I124" i="20"/>
  <c r="Q136" i="20"/>
  <c r="C136" i="20"/>
  <c r="R135" i="20"/>
  <c r="D135" i="20"/>
  <c r="T134" i="20"/>
  <c r="E134" i="20"/>
  <c r="U133" i="20"/>
  <c r="G133" i="20"/>
  <c r="W132" i="20"/>
  <c r="I132" i="20"/>
  <c r="Y131" i="20"/>
  <c r="J131" i="20"/>
  <c r="Z130" i="20"/>
  <c r="K130" i="20"/>
  <c r="AA129" i="20"/>
  <c r="M129" i="20"/>
  <c r="Q126" i="20"/>
  <c r="C126" i="20"/>
  <c r="T124" i="20"/>
  <c r="E124" i="20"/>
  <c r="AC136" i="20"/>
  <c r="N136" i="20"/>
  <c r="AD135" i="20"/>
  <c r="P135" i="20"/>
  <c r="B135" i="20"/>
  <c r="Q134" i="20"/>
  <c r="C134" i="20"/>
  <c r="S133" i="20"/>
  <c r="E133" i="20"/>
  <c r="U132" i="20"/>
  <c r="G132" i="20"/>
  <c r="V131" i="20"/>
  <c r="G131" i="20"/>
  <c r="W130" i="20"/>
  <c r="I130" i="20"/>
  <c r="Y129" i="20"/>
  <c r="J129" i="20"/>
  <c r="AC126" i="20"/>
  <c r="O126" i="20"/>
  <c r="Q124" i="20"/>
  <c r="C124" i="20"/>
  <c r="AG118" i="20"/>
  <c r="BM118" i="20" s="1"/>
  <c r="H124" i="20"/>
  <c r="P126" i="20"/>
  <c r="K129" i="20"/>
  <c r="AD129" i="20"/>
  <c r="P130" i="20"/>
  <c r="C131" i="20"/>
  <c r="S131" i="20"/>
  <c r="H132" i="20"/>
  <c r="Y132" i="20"/>
  <c r="K133" i="20"/>
  <c r="AC133" i="20"/>
  <c r="O134" i="20"/>
  <c r="C135" i="20"/>
  <c r="U135" i="20"/>
  <c r="H136" i="20"/>
  <c r="X136" i="20"/>
  <c r="O162" i="20"/>
  <c r="F168" i="20"/>
  <c r="K169" i="20"/>
  <c r="P170" i="20"/>
  <c r="Z172" i="20"/>
  <c r="W205" i="20"/>
  <c r="P209" i="20"/>
  <c r="Q162" i="20"/>
  <c r="H168" i="20"/>
  <c r="P169" i="20"/>
  <c r="Q170" i="20"/>
  <c r="AB172" i="20"/>
  <c r="X205" i="20"/>
  <c r="Q209" i="20"/>
  <c r="U162" i="20"/>
  <c r="M168" i="20"/>
  <c r="Q169" i="20"/>
  <c r="S170" i="20"/>
  <c r="AC172" i="20"/>
  <c r="Y205" i="20"/>
  <c r="R209" i="20"/>
  <c r="L124" i="20"/>
  <c r="AB124" i="20"/>
  <c r="D126" i="20"/>
  <c r="U126" i="20"/>
  <c r="Q129" i="20"/>
  <c r="C130" i="20"/>
  <c r="T130" i="20"/>
  <c r="F131" i="20"/>
  <c r="Z131" i="20"/>
  <c r="L132" i="20"/>
  <c r="AB132" i="20"/>
  <c r="P133" i="20"/>
  <c r="B134" i="20"/>
  <c r="U134" i="20"/>
  <c r="H135" i="20"/>
  <c r="Y135" i="20"/>
  <c r="K136" i="20"/>
  <c r="AA136" i="20"/>
  <c r="AA162" i="20"/>
  <c r="R168" i="20"/>
  <c r="S169" i="20"/>
  <c r="Y170" i="20"/>
  <c r="AE172" i="20"/>
  <c r="U202" i="20"/>
  <c r="Q206" i="20"/>
  <c r="J210" i="20"/>
  <c r="E72" i="20"/>
  <c r="Q72" i="20"/>
  <c r="AC72" i="20"/>
  <c r="K73" i="20"/>
  <c r="W73" i="20"/>
  <c r="E74" i="20"/>
  <c r="Q74" i="20"/>
  <c r="AC74" i="20"/>
  <c r="K75" i="20"/>
  <c r="W75" i="20"/>
  <c r="E76" i="20"/>
  <c r="Q76" i="20"/>
  <c r="AC76" i="20"/>
  <c r="K77" i="20"/>
  <c r="W77" i="20"/>
  <c r="K79" i="20"/>
  <c r="AC124" i="20"/>
  <c r="E126" i="20"/>
  <c r="V126" i="20"/>
  <c r="R129" i="20"/>
  <c r="D130" i="20"/>
  <c r="U130" i="20"/>
  <c r="I131" i="20"/>
  <c r="AA131" i="20"/>
  <c r="M132" i="20"/>
  <c r="AC132" i="20"/>
  <c r="Q133" i="20"/>
  <c r="D134" i="20"/>
  <c r="V134" i="20"/>
  <c r="I135" i="20"/>
  <c r="Z135" i="20"/>
  <c r="L136" i="20"/>
  <c r="AE136" i="20"/>
  <c r="AB162" i="20"/>
  <c r="S168" i="20"/>
  <c r="U169" i="20"/>
  <c r="AC170" i="20"/>
  <c r="V202" i="20"/>
  <c r="R206" i="20"/>
  <c r="M210" i="20"/>
  <c r="N124" i="20"/>
  <c r="AE124" i="20"/>
  <c r="G126" i="20"/>
  <c r="W126" i="20"/>
  <c r="B129" i="20"/>
  <c r="S129" i="20"/>
  <c r="E130" i="20"/>
  <c r="V130" i="20"/>
  <c r="K131" i="20"/>
  <c r="AB131" i="20"/>
  <c r="N132" i="20"/>
  <c r="B133" i="20"/>
  <c r="R133" i="20"/>
  <c r="G134" i="20"/>
  <c r="X134" i="20"/>
  <c r="J135" i="20"/>
  <c r="AA135" i="20"/>
  <c r="M136" i="20"/>
  <c r="T168" i="20"/>
  <c r="Z169" i="20"/>
  <c r="AD170" i="20"/>
  <c r="C172" i="20"/>
  <c r="W202" i="20"/>
  <c r="S206" i="20"/>
  <c r="Q210" i="20"/>
  <c r="O124" i="20"/>
  <c r="H126" i="20"/>
  <c r="X126" i="20"/>
  <c r="D129" i="20"/>
  <c r="T129" i="20"/>
  <c r="G130" i="20"/>
  <c r="X130" i="20"/>
  <c r="M131" i="20"/>
  <c r="AC131" i="20"/>
  <c r="O132" i="20"/>
  <c r="C133" i="20"/>
  <c r="T133" i="20"/>
  <c r="H134" i="20"/>
  <c r="Y134" i="20"/>
  <c r="K135" i="20"/>
  <c r="AB135" i="20"/>
  <c r="P136" i="20"/>
  <c r="AE162" i="20"/>
  <c r="V168" i="20"/>
  <c r="AE169" i="20"/>
  <c r="AE170" i="20"/>
  <c r="G172" i="20"/>
  <c r="Q207" i="20"/>
  <c r="M211" i="20"/>
  <c r="F143" i="20"/>
  <c r="L149" i="20"/>
  <c r="Z149" i="20"/>
  <c r="G152" i="20"/>
  <c r="U152" i="20"/>
  <c r="F153" i="20"/>
  <c r="T153" i="20"/>
  <c r="O149" i="20"/>
  <c r="AC149" i="20"/>
  <c r="K152" i="20"/>
  <c r="Y152" i="20"/>
  <c r="J153" i="20"/>
  <c r="X153" i="20"/>
  <c r="M143" i="20"/>
  <c r="AA143" i="20"/>
  <c r="D149" i="20"/>
  <c r="R149" i="20"/>
  <c r="N152" i="20"/>
  <c r="AC152" i="20"/>
  <c r="M153" i="20"/>
  <c r="AA153" i="20"/>
  <c r="U153" i="20"/>
  <c r="I153" i="20"/>
  <c r="AA152" i="20"/>
  <c r="O152" i="20"/>
  <c r="C152" i="20"/>
  <c r="U149" i="20"/>
  <c r="I149" i="20"/>
  <c r="U143" i="20"/>
  <c r="I143" i="20"/>
  <c r="AE153" i="20"/>
  <c r="R153" i="20"/>
  <c r="E153" i="20"/>
  <c r="V152" i="20"/>
  <c r="I152" i="20"/>
  <c r="T149" i="20"/>
  <c r="G149" i="20"/>
  <c r="D143" i="20"/>
  <c r="O143" i="20"/>
  <c r="F149" i="20"/>
  <c r="V149" i="20"/>
  <c r="B152" i="20"/>
  <c r="Q152" i="20"/>
  <c r="AE152" i="20"/>
  <c r="O153" i="20"/>
  <c r="AC153" i="20"/>
  <c r="V286" i="20"/>
  <c r="J286" i="20"/>
  <c r="AB285" i="20"/>
  <c r="P285" i="20"/>
  <c r="D285" i="20"/>
  <c r="V282" i="20"/>
  <c r="J282" i="20"/>
  <c r="T286" i="20"/>
  <c r="H286" i="20"/>
  <c r="Z285" i="20"/>
  <c r="N285" i="20"/>
  <c r="B285" i="20"/>
  <c r="T282" i="20"/>
  <c r="H282" i="20"/>
  <c r="AA286" i="20"/>
  <c r="M286" i="20"/>
  <c r="AC285" i="20"/>
  <c r="M285" i="20"/>
  <c r="AE282" i="20"/>
  <c r="Q282" i="20"/>
  <c r="C282" i="20"/>
  <c r="X286" i="20"/>
  <c r="I286" i="20"/>
  <c r="X285" i="20"/>
  <c r="J285" i="20"/>
  <c r="AB282" i="20"/>
  <c r="N282" i="20"/>
  <c r="D276" i="20"/>
  <c r="U286" i="20"/>
  <c r="D286" i="20"/>
  <c r="R285" i="20"/>
  <c r="U282" i="20"/>
  <c r="D282" i="20"/>
  <c r="Z286" i="20"/>
  <c r="F286" i="20"/>
  <c r="S285" i="20"/>
  <c r="M282" i="20"/>
  <c r="W286" i="20"/>
  <c r="C286" i="20"/>
  <c r="O285" i="20"/>
  <c r="AC282" i="20"/>
  <c r="K282" i="20"/>
  <c r="AE286" i="20"/>
  <c r="N286" i="20"/>
  <c r="W285" i="20"/>
  <c r="F285" i="20"/>
  <c r="S282" i="20"/>
  <c r="E276" i="20"/>
  <c r="Y286" i="20"/>
  <c r="AD285" i="20"/>
  <c r="E285" i="20"/>
  <c r="R282" i="20"/>
  <c r="S286" i="20"/>
  <c r="AA285" i="20"/>
  <c r="C285" i="20"/>
  <c r="P282" i="20"/>
  <c r="R286" i="20"/>
  <c r="Y285" i="20"/>
  <c r="O282" i="20"/>
  <c r="Q286" i="20"/>
  <c r="V285" i="20"/>
  <c r="L282" i="20"/>
  <c r="P286" i="20"/>
  <c r="U285" i="20"/>
  <c r="I282" i="20"/>
  <c r="W276" i="20"/>
  <c r="O286" i="20"/>
  <c r="T285" i="20"/>
  <c r="G282" i="20"/>
  <c r="K286" i="20"/>
  <c r="L285" i="20"/>
  <c r="AA282" i="20"/>
  <c r="E282" i="20"/>
  <c r="G286" i="20"/>
  <c r="K285" i="20"/>
  <c r="Z282" i="20"/>
  <c r="B282" i="20"/>
  <c r="AD286" i="20"/>
  <c r="AC286" i="20"/>
  <c r="AB286" i="20"/>
  <c r="L286" i="20"/>
  <c r="E286" i="20"/>
  <c r="AD282" i="20"/>
  <c r="Y282" i="20"/>
  <c r="X282" i="20"/>
  <c r="B286" i="20"/>
  <c r="W282" i="20"/>
  <c r="AG270" i="20"/>
  <c r="BM270" i="20" s="1"/>
  <c r="AE285" i="20"/>
  <c r="F282" i="20"/>
  <c r="Q285" i="20"/>
  <c r="I285" i="20"/>
  <c r="H285" i="20"/>
  <c r="G285" i="20"/>
  <c r="R250" i="20"/>
  <c r="AB193" i="20"/>
  <c r="P193" i="20"/>
  <c r="D193" i="20"/>
  <c r="AB191" i="20"/>
  <c r="P191" i="20"/>
  <c r="D191" i="20"/>
  <c r="V190" i="20"/>
  <c r="J190" i="20"/>
  <c r="V188" i="20"/>
  <c r="J188" i="20"/>
  <c r="AB187" i="20"/>
  <c r="P187" i="20"/>
  <c r="D187" i="20"/>
  <c r="AA193" i="20"/>
  <c r="O193" i="20"/>
  <c r="C193" i="20"/>
  <c r="AA191" i="20"/>
  <c r="O191" i="20"/>
  <c r="C191" i="20"/>
  <c r="U190" i="20"/>
  <c r="I190" i="20"/>
  <c r="U188" i="20"/>
  <c r="I188" i="20"/>
  <c r="AA187" i="20"/>
  <c r="O187" i="20"/>
  <c r="C187" i="20"/>
  <c r="Q187" i="20"/>
  <c r="AE187" i="20"/>
  <c r="O188" i="20"/>
  <c r="AC188" i="20"/>
  <c r="M190" i="20"/>
  <c r="AA190" i="20"/>
  <c r="K191" i="20"/>
  <c r="Y191" i="20"/>
  <c r="I193" i="20"/>
  <c r="W193" i="20"/>
  <c r="AB269" i="20"/>
  <c r="P269" i="20"/>
  <c r="D269" i="20"/>
  <c r="AB267" i="20"/>
  <c r="P267" i="20"/>
  <c r="D267" i="20"/>
  <c r="V266" i="20"/>
  <c r="J266" i="20"/>
  <c r="V264" i="20"/>
  <c r="J264" i="20"/>
  <c r="AB263" i="20"/>
  <c r="P263" i="20"/>
  <c r="D263" i="20"/>
  <c r="D257" i="20"/>
  <c r="Y269" i="20"/>
  <c r="M269" i="20"/>
  <c r="Y267" i="20"/>
  <c r="M267" i="20"/>
  <c r="AE266" i="20"/>
  <c r="S266" i="20"/>
  <c r="AC269" i="20"/>
  <c r="N269" i="20"/>
  <c r="AE267" i="20"/>
  <c r="Q267" i="20"/>
  <c r="B267" i="20"/>
  <c r="Q266" i="20"/>
  <c r="D266" i="20"/>
  <c r="Y264" i="20"/>
  <c r="L264" i="20"/>
  <c r="AC263" i="20"/>
  <c r="O263" i="20"/>
  <c r="B263" i="20"/>
  <c r="AA269" i="20"/>
  <c r="K269" i="20"/>
  <c r="X267" i="20"/>
  <c r="I267" i="20"/>
  <c r="X266" i="20"/>
  <c r="H266" i="20"/>
  <c r="Z264" i="20"/>
  <c r="K264" i="20"/>
  <c r="Z263" i="20"/>
  <c r="L263" i="20"/>
  <c r="AC257" i="20"/>
  <c r="O257" i="20"/>
  <c r="Z269" i="20"/>
  <c r="J269" i="20"/>
  <c r="W267" i="20"/>
  <c r="H267" i="20"/>
  <c r="W266" i="20"/>
  <c r="G266" i="20"/>
  <c r="X264" i="20"/>
  <c r="I264" i="20"/>
  <c r="Y263" i="20"/>
  <c r="K263" i="20"/>
  <c r="N257" i="20"/>
  <c r="X269" i="20"/>
  <c r="I269" i="20"/>
  <c r="V267" i="20"/>
  <c r="G267" i="20"/>
  <c r="U266" i="20"/>
  <c r="F266" i="20"/>
  <c r="W264" i="20"/>
  <c r="H264" i="20"/>
  <c r="X263" i="20"/>
  <c r="J263" i="20"/>
  <c r="Z257" i="20"/>
  <c r="W269" i="20"/>
  <c r="H269" i="20"/>
  <c r="U267" i="20"/>
  <c r="F267" i="20"/>
  <c r="T266" i="20"/>
  <c r="E266" i="20"/>
  <c r="U264" i="20"/>
  <c r="G264" i="20"/>
  <c r="W263" i="20"/>
  <c r="I263" i="20"/>
  <c r="Y257" i="20"/>
  <c r="AG251" i="20"/>
  <c r="BM251" i="20" s="1"/>
  <c r="V269" i="20"/>
  <c r="G269" i="20"/>
  <c r="T267" i="20"/>
  <c r="E267" i="20"/>
  <c r="R266" i="20"/>
  <c r="C266" i="20"/>
  <c r="T264" i="20"/>
  <c r="F264" i="20"/>
  <c r="V263" i="20"/>
  <c r="H263" i="20"/>
  <c r="U269" i="20"/>
  <c r="F269" i="20"/>
  <c r="S267" i="20"/>
  <c r="C267" i="20"/>
  <c r="P266" i="20"/>
  <c r="B266" i="20"/>
  <c r="S264" i="20"/>
  <c r="E264" i="20"/>
  <c r="U263" i="20"/>
  <c r="G263" i="20"/>
  <c r="L269" i="20"/>
  <c r="J267" i="20"/>
  <c r="I266" i="20"/>
  <c r="M264" i="20"/>
  <c r="M263" i="20"/>
  <c r="E269" i="20"/>
  <c r="AD266" i="20"/>
  <c r="D264" i="20"/>
  <c r="F263" i="20"/>
  <c r="C269" i="20"/>
  <c r="AC266" i="20"/>
  <c r="AE264" i="20"/>
  <c r="C264" i="20"/>
  <c r="E263" i="20"/>
  <c r="B269" i="20"/>
  <c r="AD267" i="20"/>
  <c r="AB266" i="20"/>
  <c r="AD264" i="20"/>
  <c r="B264" i="20"/>
  <c r="C263" i="20"/>
  <c r="T257" i="20"/>
  <c r="P264" i="20"/>
  <c r="N267" i="20"/>
  <c r="Q264" i="20"/>
  <c r="O267" i="20"/>
  <c r="N263" i="20"/>
  <c r="R264" i="20"/>
  <c r="K266" i="20"/>
  <c r="R267" i="20"/>
  <c r="O269" i="20"/>
  <c r="G244" i="20"/>
  <c r="AD244" i="20"/>
  <c r="Z245" i="20"/>
  <c r="L247" i="20"/>
  <c r="I248" i="20"/>
  <c r="I250" i="20"/>
  <c r="Q263" i="20"/>
  <c r="AA264" i="20"/>
  <c r="L266" i="20"/>
  <c r="Z267" i="20"/>
  <c r="Q269" i="20"/>
  <c r="H244" i="20"/>
  <c r="AE244" i="20"/>
  <c r="AA245" i="20"/>
  <c r="M247" i="20"/>
  <c r="J248" i="20"/>
  <c r="J250" i="20"/>
  <c r="R263" i="20"/>
  <c r="AB264" i="20"/>
  <c r="M266" i="20"/>
  <c r="AA267" i="20"/>
  <c r="R269" i="20"/>
  <c r="N247" i="20"/>
  <c r="K248" i="20"/>
  <c r="K250" i="20"/>
  <c r="S263" i="20"/>
  <c r="AC264" i="20"/>
  <c r="N266" i="20"/>
  <c r="AC267" i="20"/>
  <c r="S269" i="20"/>
  <c r="Y231" i="20"/>
  <c r="M231" i="20"/>
  <c r="Y229" i="20"/>
  <c r="M229" i="20"/>
  <c r="AE228" i="20"/>
  <c r="S228" i="20"/>
  <c r="G228" i="20"/>
  <c r="X231" i="20"/>
  <c r="L231" i="20"/>
  <c r="X229" i="20"/>
  <c r="L229" i="20"/>
  <c r="AD228" i="20"/>
  <c r="R228" i="20"/>
  <c r="F228" i="20"/>
  <c r="AC231" i="20"/>
  <c r="O231" i="20"/>
  <c r="AE229" i="20"/>
  <c r="Q229" i="20"/>
  <c r="C229" i="20"/>
  <c r="Q228" i="20"/>
  <c r="C228" i="20"/>
  <c r="Y226" i="20"/>
  <c r="M226" i="20"/>
  <c r="AE225" i="20"/>
  <c r="S225" i="20"/>
  <c r="G225" i="20"/>
  <c r="AB231" i="20"/>
  <c r="N231" i="20"/>
  <c r="AD229" i="20"/>
  <c r="P229" i="20"/>
  <c r="B229" i="20"/>
  <c r="P228" i="20"/>
  <c r="B228" i="20"/>
  <c r="X226" i="20"/>
  <c r="L226" i="20"/>
  <c r="AD225" i="20"/>
  <c r="R225" i="20"/>
  <c r="F225" i="20"/>
  <c r="AD219" i="20"/>
  <c r="AG213" i="20"/>
  <c r="BM213" i="20" s="1"/>
  <c r="AA231" i="20"/>
  <c r="K231" i="20"/>
  <c r="AC229" i="20"/>
  <c r="O229" i="20"/>
  <c r="AC228" i="20"/>
  <c r="O228" i="20"/>
  <c r="W226" i="20"/>
  <c r="K226" i="20"/>
  <c r="AC225" i="20"/>
  <c r="Q225" i="20"/>
  <c r="E225" i="20"/>
  <c r="K225" i="20"/>
  <c r="Z225" i="20"/>
  <c r="N226" i="20"/>
  <c r="AC226" i="20"/>
  <c r="D228" i="20"/>
  <c r="W228" i="20"/>
  <c r="J229" i="20"/>
  <c r="H231" i="20"/>
  <c r="AD231" i="20"/>
  <c r="J244" i="20"/>
  <c r="F245" i="20"/>
  <c r="AC245" i="20"/>
  <c r="R247" i="20"/>
  <c r="L248" i="20"/>
  <c r="Q250" i="20"/>
  <c r="E257" i="20"/>
  <c r="T263" i="20"/>
  <c r="O266" i="20"/>
  <c r="T269" i="20"/>
  <c r="L225" i="20"/>
  <c r="AA225" i="20"/>
  <c r="O226" i="20"/>
  <c r="AD226" i="20"/>
  <c r="E228" i="20"/>
  <c r="X228" i="20"/>
  <c r="K229" i="20"/>
  <c r="I231" i="20"/>
  <c r="AE231" i="20"/>
  <c r="K244" i="20"/>
  <c r="K245" i="20"/>
  <c r="AD245" i="20"/>
  <c r="W247" i="20"/>
  <c r="Q248" i="20"/>
  <c r="F257" i="20"/>
  <c r="AA263" i="20"/>
  <c r="Y266" i="20"/>
  <c r="AD269" i="20"/>
  <c r="AB250" i="20"/>
  <c r="P250" i="20"/>
  <c r="D250" i="20"/>
  <c r="AB248" i="20"/>
  <c r="P248" i="20"/>
  <c r="D248" i="20"/>
  <c r="V247" i="20"/>
  <c r="J247" i="20"/>
  <c r="V245" i="20"/>
  <c r="J245" i="20"/>
  <c r="AB244" i="20"/>
  <c r="P244" i="20"/>
  <c r="D244" i="20"/>
  <c r="AB238" i="20"/>
  <c r="D238" i="20"/>
  <c r="AA250" i="20"/>
  <c r="O250" i="20"/>
  <c r="C250" i="20"/>
  <c r="AA248" i="20"/>
  <c r="O248" i="20"/>
  <c r="C248" i="20"/>
  <c r="U247" i="20"/>
  <c r="I247" i="20"/>
  <c r="U245" i="20"/>
  <c r="I245" i="20"/>
  <c r="AA244" i="20"/>
  <c r="O244" i="20"/>
  <c r="C244" i="20"/>
  <c r="Z250" i="20"/>
  <c r="N250" i="20"/>
  <c r="B250" i="20"/>
  <c r="Z248" i="20"/>
  <c r="N248" i="20"/>
  <c r="B248" i="20"/>
  <c r="T247" i="20"/>
  <c r="H247" i="20"/>
  <c r="T245" i="20"/>
  <c r="H245" i="20"/>
  <c r="Z244" i="20"/>
  <c r="N244" i="20"/>
  <c r="B244" i="20"/>
  <c r="Y250" i="20"/>
  <c r="M250" i="20"/>
  <c r="Y248" i="20"/>
  <c r="M248" i="20"/>
  <c r="AE247" i="20"/>
  <c r="S247" i="20"/>
  <c r="G247" i="20"/>
  <c r="AE245" i="20"/>
  <c r="S245" i="20"/>
  <c r="G245" i="20"/>
  <c r="Y244" i="20"/>
  <c r="M244" i="20"/>
  <c r="X250" i="20"/>
  <c r="L250" i="20"/>
  <c r="X248" i="20"/>
  <c r="AC250" i="20"/>
  <c r="G250" i="20"/>
  <c r="W248" i="20"/>
  <c r="G248" i="20"/>
  <c r="Q247" i="20"/>
  <c r="Y245" i="20"/>
  <c r="E245" i="20"/>
  <c r="S244" i="20"/>
  <c r="W250" i="20"/>
  <c r="F250" i="20"/>
  <c r="V248" i="20"/>
  <c r="F248" i="20"/>
  <c r="P247" i="20"/>
  <c r="X245" i="20"/>
  <c r="D245" i="20"/>
  <c r="R244" i="20"/>
  <c r="V250" i="20"/>
  <c r="E250" i="20"/>
  <c r="U248" i="20"/>
  <c r="E248" i="20"/>
  <c r="O247" i="20"/>
  <c r="W245" i="20"/>
  <c r="C245" i="20"/>
  <c r="Q244" i="20"/>
  <c r="U250" i="20"/>
  <c r="T248" i="20"/>
  <c r="AD247" i="20"/>
  <c r="L244" i="20"/>
  <c r="L245" i="20"/>
  <c r="X247" i="20"/>
  <c r="R248" i="20"/>
  <c r="S250" i="20"/>
  <c r="AD263" i="20"/>
  <c r="Z266" i="20"/>
  <c r="AE269" i="20"/>
  <c r="O326" i="20"/>
  <c r="U345" i="20"/>
  <c r="I345" i="20"/>
  <c r="U343" i="20"/>
  <c r="I343" i="20"/>
  <c r="U341" i="20"/>
  <c r="I341" i="20"/>
  <c r="AA340" i="20"/>
  <c r="O340" i="20"/>
  <c r="C340" i="20"/>
  <c r="U339" i="20"/>
  <c r="I339" i="20"/>
  <c r="AB345" i="20"/>
  <c r="O345" i="20"/>
  <c r="B345" i="20"/>
  <c r="W343" i="20"/>
  <c r="J343" i="20"/>
  <c r="AD341" i="20"/>
  <c r="Q341" i="20"/>
  <c r="D341" i="20"/>
  <c r="U340" i="20"/>
  <c r="H340" i="20"/>
  <c r="Y339" i="20"/>
  <c r="L339" i="20"/>
  <c r="V333" i="20"/>
  <c r="H333" i="20"/>
  <c r="AA345" i="20"/>
  <c r="N345" i="20"/>
  <c r="V343" i="20"/>
  <c r="H343" i="20"/>
  <c r="AC341" i="20"/>
  <c r="P341" i="20"/>
  <c r="C341" i="20"/>
  <c r="T340" i="20"/>
  <c r="G340" i="20"/>
  <c r="Z345" i="20"/>
  <c r="M345" i="20"/>
  <c r="T343" i="20"/>
  <c r="G343" i="20"/>
  <c r="AB341" i="20"/>
  <c r="O341" i="20"/>
  <c r="B341" i="20"/>
  <c r="S340" i="20"/>
  <c r="F340" i="20"/>
  <c r="Y345" i="20"/>
  <c r="L345" i="20"/>
  <c r="AC345" i="20"/>
  <c r="G345" i="20"/>
  <c r="AE343" i="20"/>
  <c r="O343" i="20"/>
  <c r="W341" i="20"/>
  <c r="F341" i="20"/>
  <c r="Q340" i="20"/>
  <c r="AD339" i="20"/>
  <c r="P339" i="20"/>
  <c r="B339" i="20"/>
  <c r="V345" i="20"/>
  <c r="D345" i="20"/>
  <c r="AB343" i="20"/>
  <c r="L343" i="20"/>
  <c r="S341" i="20"/>
  <c r="AD340" i="20"/>
  <c r="M340" i="20"/>
  <c r="AA339" i="20"/>
  <c r="M339" i="20"/>
  <c r="T333" i="20"/>
  <c r="T345" i="20"/>
  <c r="C345" i="20"/>
  <c r="AA343" i="20"/>
  <c r="K343" i="20"/>
  <c r="R341" i="20"/>
  <c r="AC340" i="20"/>
  <c r="L340" i="20"/>
  <c r="Z339" i="20"/>
  <c r="K339" i="20"/>
  <c r="AE345" i="20"/>
  <c r="E345" i="20"/>
  <c r="Q343" i="20"/>
  <c r="AE341" i="20"/>
  <c r="H341" i="20"/>
  <c r="N340" i="20"/>
  <c r="V339" i="20"/>
  <c r="D339" i="20"/>
  <c r="AD345" i="20"/>
  <c r="P343" i="20"/>
  <c r="AA341" i="20"/>
  <c r="G341" i="20"/>
  <c r="K340" i="20"/>
  <c r="T339" i="20"/>
  <c r="C339" i="20"/>
  <c r="X345" i="20"/>
  <c r="N343" i="20"/>
  <c r="Z341" i="20"/>
  <c r="E341" i="20"/>
  <c r="J340" i="20"/>
  <c r="S339" i="20"/>
  <c r="J345" i="20"/>
  <c r="D343" i="20"/>
  <c r="AE340" i="20"/>
  <c r="B340" i="20"/>
  <c r="G339" i="20"/>
  <c r="H345" i="20"/>
  <c r="C343" i="20"/>
  <c r="AB340" i="20"/>
  <c r="AE339" i="20"/>
  <c r="F339" i="20"/>
  <c r="D333" i="20"/>
  <c r="F345" i="20"/>
  <c r="AD343" i="20"/>
  <c r="B343" i="20"/>
  <c r="Z340" i="20"/>
  <c r="AC339" i="20"/>
  <c r="E339" i="20"/>
  <c r="AC343" i="20"/>
  <c r="Y341" i="20"/>
  <c r="Y340" i="20"/>
  <c r="AB339" i="20"/>
  <c r="Z343" i="20"/>
  <c r="X341" i="20"/>
  <c r="X340" i="20"/>
  <c r="X339" i="20"/>
  <c r="Y343" i="20"/>
  <c r="V341" i="20"/>
  <c r="W340" i="20"/>
  <c r="W339" i="20"/>
  <c r="W345" i="20"/>
  <c r="X343" i="20"/>
  <c r="T341" i="20"/>
  <c r="V340" i="20"/>
  <c r="R339" i="20"/>
  <c r="J339" i="20"/>
  <c r="M341" i="20"/>
  <c r="N339" i="20"/>
  <c r="N341" i="20"/>
  <c r="P352" i="20"/>
  <c r="Z354" i="20"/>
  <c r="J357" i="20"/>
  <c r="M359" i="20"/>
  <c r="W361" i="20"/>
  <c r="X364" i="20"/>
  <c r="L364" i="20"/>
  <c r="AD363" i="20"/>
  <c r="R363" i="20"/>
  <c r="F363" i="20"/>
  <c r="X362" i="20"/>
  <c r="L362" i="20"/>
  <c r="AD361" i="20"/>
  <c r="R361" i="20"/>
  <c r="F361" i="20"/>
  <c r="X360" i="20"/>
  <c r="L360" i="20"/>
  <c r="AD359" i="20"/>
  <c r="R359" i="20"/>
  <c r="F359" i="20"/>
  <c r="X358" i="20"/>
  <c r="L358" i="20"/>
  <c r="AD357" i="20"/>
  <c r="R357" i="20"/>
  <c r="F357" i="20"/>
  <c r="X354" i="20"/>
  <c r="L354" i="20"/>
  <c r="AD353" i="20"/>
  <c r="R353" i="20"/>
  <c r="F353" i="20"/>
  <c r="X352" i="20"/>
  <c r="L352" i="20"/>
  <c r="Z346" i="20"/>
  <c r="N346" i="20"/>
  <c r="B346" i="20"/>
  <c r="W364" i="20"/>
  <c r="K364" i="20"/>
  <c r="AC363" i="20"/>
  <c r="Q363" i="20"/>
  <c r="E363" i="20"/>
  <c r="W362" i="20"/>
  <c r="K362" i="20"/>
  <c r="AC361" i="20"/>
  <c r="Q361" i="20"/>
  <c r="E361" i="20"/>
  <c r="W360" i="20"/>
  <c r="K360" i="20"/>
  <c r="AC359" i="20"/>
  <c r="Q359" i="20"/>
  <c r="E359" i="20"/>
  <c r="W358" i="20"/>
  <c r="K358" i="20"/>
  <c r="AC357" i="20"/>
  <c r="Q357" i="20"/>
  <c r="E357" i="20"/>
  <c r="W354" i="20"/>
  <c r="K354" i="20"/>
  <c r="AC353" i="20"/>
  <c r="Q353" i="20"/>
  <c r="E353" i="20"/>
  <c r="W352" i="20"/>
  <c r="K352" i="20"/>
  <c r="V364" i="20"/>
  <c r="J364" i="20"/>
  <c r="AB363" i="20"/>
  <c r="P363" i="20"/>
  <c r="D363" i="20"/>
  <c r="V362" i="20"/>
  <c r="J362" i="20"/>
  <c r="AB361" i="20"/>
  <c r="P361" i="20"/>
  <c r="D361" i="20"/>
  <c r="V360" i="20"/>
  <c r="J360" i="20"/>
  <c r="AB359" i="20"/>
  <c r="P359" i="20"/>
  <c r="D359" i="20"/>
  <c r="V358" i="20"/>
  <c r="J358" i="20"/>
  <c r="AB357" i="20"/>
  <c r="P357" i="20"/>
  <c r="D357" i="20"/>
  <c r="V354" i="20"/>
  <c r="J354" i="20"/>
  <c r="AB353" i="20"/>
  <c r="P353" i="20"/>
  <c r="D353" i="20"/>
  <c r="V352" i="20"/>
  <c r="J352" i="20"/>
  <c r="U364" i="20"/>
  <c r="F364" i="20"/>
  <c r="U363" i="20"/>
  <c r="C363" i="20"/>
  <c r="R362" i="20"/>
  <c r="C362" i="20"/>
  <c r="O361" i="20"/>
  <c r="AD360" i="20"/>
  <c r="O360" i="20"/>
  <c r="AA359" i="20"/>
  <c r="L359" i="20"/>
  <c r="AA358" i="20"/>
  <c r="I358" i="20"/>
  <c r="X357" i="20"/>
  <c r="I357" i="20"/>
  <c r="R354" i="20"/>
  <c r="C354" i="20"/>
  <c r="O353" i="20"/>
  <c r="AD352" i="20"/>
  <c r="O352" i="20"/>
  <c r="W346" i="20"/>
  <c r="J346" i="20"/>
  <c r="T364" i="20"/>
  <c r="E364" i="20"/>
  <c r="T363" i="20"/>
  <c r="B363" i="20"/>
  <c r="Q362" i="20"/>
  <c r="B362" i="20"/>
  <c r="N361" i="20"/>
  <c r="AC360" i="20"/>
  <c r="N360" i="20"/>
  <c r="Z359" i="20"/>
  <c r="K359" i="20"/>
  <c r="Z358" i="20"/>
  <c r="H358" i="20"/>
  <c r="W357" i="20"/>
  <c r="H357" i="20"/>
  <c r="Q354" i="20"/>
  <c r="B354" i="20"/>
  <c r="N353" i="20"/>
  <c r="AC352" i="20"/>
  <c r="N352" i="20"/>
  <c r="V346" i="20"/>
  <c r="I346" i="20"/>
  <c r="S364" i="20"/>
  <c r="D364" i="20"/>
  <c r="S363" i="20"/>
  <c r="AE362" i="20"/>
  <c r="P362" i="20"/>
  <c r="AE361" i="20"/>
  <c r="M361" i="20"/>
  <c r="AB360" i="20"/>
  <c r="M360" i="20"/>
  <c r="Y359" i="20"/>
  <c r="J359" i="20"/>
  <c r="Y358" i="20"/>
  <c r="G358" i="20"/>
  <c r="V357" i="20"/>
  <c r="G357" i="20"/>
  <c r="AE354" i="20"/>
  <c r="P354" i="20"/>
  <c r="AE353" i="20"/>
  <c r="M353" i="20"/>
  <c r="AB352" i="20"/>
  <c r="M352" i="20"/>
  <c r="U346" i="20"/>
  <c r="H346" i="20"/>
  <c r="R364" i="20"/>
  <c r="C364" i="20"/>
  <c r="O363" i="20"/>
  <c r="AD362" i="20"/>
  <c r="O362" i="20"/>
  <c r="AA361" i="20"/>
  <c r="L361" i="20"/>
  <c r="AA360" i="20"/>
  <c r="I360" i="20"/>
  <c r="X359" i="20"/>
  <c r="I359" i="20"/>
  <c r="U358" i="20"/>
  <c r="F358" i="20"/>
  <c r="U357" i="20"/>
  <c r="C357" i="20"/>
  <c r="AD354" i="20"/>
  <c r="O354" i="20"/>
  <c r="AA353" i="20"/>
  <c r="L353" i="20"/>
  <c r="AA352" i="20"/>
  <c r="I352" i="20"/>
  <c r="T346" i="20"/>
  <c r="G346" i="20"/>
  <c r="Q364" i="20"/>
  <c r="B364" i="20"/>
  <c r="N363" i="20"/>
  <c r="AC362" i="20"/>
  <c r="N362" i="20"/>
  <c r="Z361" i="20"/>
  <c r="K361" i="20"/>
  <c r="Z360" i="20"/>
  <c r="H360" i="20"/>
  <c r="W359" i="20"/>
  <c r="H359" i="20"/>
  <c r="T358" i="20"/>
  <c r="E358" i="20"/>
  <c r="T357" i="20"/>
  <c r="B357" i="20"/>
  <c r="AC354" i="20"/>
  <c r="N354" i="20"/>
  <c r="Z353" i="20"/>
  <c r="K353" i="20"/>
  <c r="Z352" i="20"/>
  <c r="H352" i="20"/>
  <c r="AE364" i="20"/>
  <c r="P364" i="20"/>
  <c r="AE363" i="20"/>
  <c r="M363" i="20"/>
  <c r="AB362" i="20"/>
  <c r="M362" i="20"/>
  <c r="Y361" i="20"/>
  <c r="J361" i="20"/>
  <c r="Y360" i="20"/>
  <c r="G360" i="20"/>
  <c r="V359" i="20"/>
  <c r="G359" i="20"/>
  <c r="S358" i="20"/>
  <c r="D358" i="20"/>
  <c r="S357" i="20"/>
  <c r="AB354" i="20"/>
  <c r="M354" i="20"/>
  <c r="Y353" i="20"/>
  <c r="J353" i="20"/>
  <c r="Y352" i="20"/>
  <c r="G352" i="20"/>
  <c r="AE346" i="20"/>
  <c r="R346" i="20"/>
  <c r="AD364" i="20"/>
  <c r="O364" i="20"/>
  <c r="AA363" i="20"/>
  <c r="L363" i="20"/>
  <c r="AA362" i="20"/>
  <c r="I362" i="20"/>
  <c r="X361" i="20"/>
  <c r="I361" i="20"/>
  <c r="U360" i="20"/>
  <c r="F360" i="20"/>
  <c r="U359" i="20"/>
  <c r="C359" i="20"/>
  <c r="R358" i="20"/>
  <c r="C358" i="20"/>
  <c r="O357" i="20"/>
  <c r="AA354" i="20"/>
  <c r="I354" i="20"/>
  <c r="X353" i="20"/>
  <c r="I353" i="20"/>
  <c r="U352" i="20"/>
  <c r="Y364" i="20"/>
  <c r="J363" i="20"/>
  <c r="E362" i="20"/>
  <c r="T360" i="20"/>
  <c r="O359" i="20"/>
  <c r="M358" i="20"/>
  <c r="H354" i="20"/>
  <c r="C353" i="20"/>
  <c r="B352" i="20"/>
  <c r="P346" i="20"/>
  <c r="M364" i="20"/>
  <c r="H363" i="20"/>
  <c r="I364" i="20"/>
  <c r="G363" i="20"/>
  <c r="V361" i="20"/>
  <c r="Q360" i="20"/>
  <c r="B359" i="20"/>
  <c r="AA357" i="20"/>
  <c r="E354" i="20"/>
  <c r="T352" i="20"/>
  <c r="AG346" i="20"/>
  <c r="BM346" i="20" s="1"/>
  <c r="L346" i="20"/>
  <c r="H364" i="20"/>
  <c r="Z362" i="20"/>
  <c r="U361" i="20"/>
  <c r="P360" i="20"/>
  <c r="AE358" i="20"/>
  <c r="Z357" i="20"/>
  <c r="D354" i="20"/>
  <c r="S352" i="20"/>
  <c r="AD346" i="20"/>
  <c r="K346" i="20"/>
  <c r="AC364" i="20"/>
  <c r="I363" i="20"/>
  <c r="H361" i="20"/>
  <c r="T359" i="20"/>
  <c r="AE357" i="20"/>
  <c r="T354" i="20"/>
  <c r="AE352" i="20"/>
  <c r="AA346" i="20"/>
  <c r="AB364" i="20"/>
  <c r="Y362" i="20"/>
  <c r="G361" i="20"/>
  <c r="S359" i="20"/>
  <c r="Y357" i="20"/>
  <c r="S354" i="20"/>
  <c r="R352" i="20"/>
  <c r="Y346" i="20"/>
  <c r="AA364" i="20"/>
  <c r="U362" i="20"/>
  <c r="C361" i="20"/>
  <c r="N359" i="20"/>
  <c r="N357" i="20"/>
  <c r="G354" i="20"/>
  <c r="Q352" i="20"/>
  <c r="X346" i="20"/>
  <c r="B353" i="20"/>
  <c r="K357" i="20"/>
  <c r="AE359" i="20"/>
  <c r="D362" i="20"/>
  <c r="G364" i="20"/>
  <c r="C346" i="20"/>
  <c r="G353" i="20"/>
  <c r="L357" i="20"/>
  <c r="B360" i="20"/>
  <c r="F362" i="20"/>
  <c r="N364" i="20"/>
  <c r="D346" i="20"/>
  <c r="H353" i="20"/>
  <c r="M357" i="20"/>
  <c r="C360" i="20"/>
  <c r="G362" i="20"/>
  <c r="Z364" i="20"/>
  <c r="E346" i="20"/>
  <c r="S353" i="20"/>
  <c r="B358" i="20"/>
  <c r="D360" i="20"/>
  <c r="H362" i="20"/>
  <c r="F346" i="20"/>
  <c r="T353" i="20"/>
  <c r="N358" i="20"/>
  <c r="E360" i="20"/>
  <c r="S362" i="20"/>
  <c r="M346" i="20"/>
  <c r="U353" i="20"/>
  <c r="O358" i="20"/>
  <c r="R360" i="20"/>
  <c r="T362" i="20"/>
  <c r="X307" i="20"/>
  <c r="L307" i="20"/>
  <c r="AD306" i="20"/>
  <c r="R306" i="20"/>
  <c r="F306" i="20"/>
  <c r="X305" i="20"/>
  <c r="L305" i="20"/>
  <c r="AD304" i="20"/>
  <c r="R304" i="20"/>
  <c r="F304" i="20"/>
  <c r="X303" i="20"/>
  <c r="L303" i="20"/>
  <c r="X301" i="20"/>
  <c r="L301" i="20"/>
  <c r="AD300" i="20"/>
  <c r="R300" i="20"/>
  <c r="F300" i="20"/>
  <c r="K295" i="20"/>
  <c r="W295" i="20"/>
  <c r="D300" i="20"/>
  <c r="Q300" i="20"/>
  <c r="AE300" i="20"/>
  <c r="N301" i="20"/>
  <c r="AA301" i="20"/>
  <c r="F303" i="20"/>
  <c r="S303" i="20"/>
  <c r="B304" i="20"/>
  <c r="O304" i="20"/>
  <c r="AB304" i="20"/>
  <c r="K305" i="20"/>
  <c r="Y305" i="20"/>
  <c r="H306" i="20"/>
  <c r="U306" i="20"/>
  <c r="D307" i="20"/>
  <c r="Q307" i="20"/>
  <c r="AD307" i="20"/>
  <c r="D320" i="20"/>
  <c r="T320" i="20"/>
  <c r="E321" i="20"/>
  <c r="T321" i="20"/>
  <c r="I322" i="20"/>
  <c r="Z322" i="20"/>
  <c r="S324" i="20"/>
  <c r="G300" i="20"/>
  <c r="T300" i="20"/>
  <c r="C301" i="20"/>
  <c r="P301" i="20"/>
  <c r="AC301" i="20"/>
  <c r="H303" i="20"/>
  <c r="U303" i="20"/>
  <c r="D304" i="20"/>
  <c r="Q304" i="20"/>
  <c r="AE304" i="20"/>
  <c r="N305" i="20"/>
  <c r="AA305" i="20"/>
  <c r="J306" i="20"/>
  <c r="W306" i="20"/>
  <c r="F307" i="20"/>
  <c r="S307" i="20"/>
  <c r="AD326" i="20"/>
  <c r="R326" i="20"/>
  <c r="F326" i="20"/>
  <c r="AD324" i="20"/>
  <c r="T326" i="20"/>
  <c r="G326" i="20"/>
  <c r="AA324" i="20"/>
  <c r="O324" i="20"/>
  <c r="C324" i="20"/>
  <c r="AA322" i="20"/>
  <c r="O322" i="20"/>
  <c r="C322" i="20"/>
  <c r="U321" i="20"/>
  <c r="I321" i="20"/>
  <c r="AA320" i="20"/>
  <c r="O320" i="20"/>
  <c r="C320" i="20"/>
  <c r="Z326" i="20"/>
  <c r="L326" i="20"/>
  <c r="AC324" i="20"/>
  <c r="P324" i="20"/>
  <c r="B324" i="20"/>
  <c r="W322" i="20"/>
  <c r="J322" i="20"/>
  <c r="AA321" i="20"/>
  <c r="N321" i="20"/>
  <c r="AE320" i="20"/>
  <c r="R320" i="20"/>
  <c r="E320" i="20"/>
  <c r="W326" i="20"/>
  <c r="I326" i="20"/>
  <c r="Y324" i="20"/>
  <c r="L324" i="20"/>
  <c r="T322" i="20"/>
  <c r="G322" i="20"/>
  <c r="X321" i="20"/>
  <c r="K321" i="20"/>
  <c r="AB320" i="20"/>
  <c r="N320" i="20"/>
  <c r="X314" i="20"/>
  <c r="V326" i="20"/>
  <c r="H326" i="20"/>
  <c r="X324" i="20"/>
  <c r="K324" i="20"/>
  <c r="S322" i="20"/>
  <c r="F322" i="20"/>
  <c r="W321" i="20"/>
  <c r="M314" i="20"/>
  <c r="G320" i="20"/>
  <c r="V320" i="20"/>
  <c r="G321" i="20"/>
  <c r="Y321" i="20"/>
  <c r="L322" i="20"/>
  <c r="AC322" i="20"/>
  <c r="E324" i="20"/>
  <c r="U324" i="20"/>
  <c r="Q326" i="20"/>
  <c r="J371" i="20"/>
  <c r="AC371" i="20"/>
  <c r="S372" i="20"/>
  <c r="H373" i="20"/>
  <c r="Y373" i="20"/>
  <c r="S376" i="20"/>
  <c r="L377" i="20"/>
  <c r="E378" i="20"/>
  <c r="AE378" i="20"/>
  <c r="U379" i="20"/>
  <c r="N380" i="20"/>
  <c r="J381" i="20"/>
  <c r="C382" i="20"/>
  <c r="V382" i="20"/>
  <c r="S383" i="20"/>
  <c r="R365" i="20"/>
  <c r="K371" i="20"/>
  <c r="C372" i="20"/>
  <c r="T372" i="20"/>
  <c r="I373" i="20"/>
  <c r="AE373" i="20"/>
  <c r="U376" i="20"/>
  <c r="M377" i="20"/>
  <c r="I378" i="20"/>
  <c r="B379" i="20"/>
  <c r="W379" i="20"/>
  <c r="S380" i="20"/>
  <c r="K381" i="20"/>
  <c r="D382" i="20"/>
  <c r="AD382" i="20"/>
  <c r="AC383" i="20"/>
  <c r="Q383" i="20"/>
  <c r="E383" i="20"/>
  <c r="W382" i="20"/>
  <c r="K382" i="20"/>
  <c r="AC381" i="20"/>
  <c r="Q381" i="20"/>
  <c r="E381" i="20"/>
  <c r="W380" i="20"/>
  <c r="K380" i="20"/>
  <c r="AC379" i="20"/>
  <c r="Q379" i="20"/>
  <c r="E379" i="20"/>
  <c r="W378" i="20"/>
  <c r="K378" i="20"/>
  <c r="AC377" i="20"/>
  <c r="Q377" i="20"/>
  <c r="E377" i="20"/>
  <c r="W376" i="20"/>
  <c r="K376" i="20"/>
  <c r="X383" i="20"/>
  <c r="K383" i="20"/>
  <c r="AB382" i="20"/>
  <c r="O382" i="20"/>
  <c r="B382" i="20"/>
  <c r="S381" i="20"/>
  <c r="F381" i="20"/>
  <c r="V380" i="20"/>
  <c r="I380" i="20"/>
  <c r="Z379" i="20"/>
  <c r="M379" i="20"/>
  <c r="AD378" i="20"/>
  <c r="Q378" i="20"/>
  <c r="D378" i="20"/>
  <c r="U377" i="20"/>
  <c r="H377" i="20"/>
  <c r="Y376" i="20"/>
  <c r="L376" i="20"/>
  <c r="AB373" i="20"/>
  <c r="P373" i="20"/>
  <c r="D373" i="20"/>
  <c r="V372" i="20"/>
  <c r="J372" i="20"/>
  <c r="AB371" i="20"/>
  <c r="P371" i="20"/>
  <c r="D371" i="20"/>
  <c r="W383" i="20"/>
  <c r="J383" i="20"/>
  <c r="AA382" i="20"/>
  <c r="N382" i="20"/>
  <c r="AE381" i="20"/>
  <c r="R381" i="20"/>
  <c r="D381" i="20"/>
  <c r="U380" i="20"/>
  <c r="H380" i="20"/>
  <c r="Y379" i="20"/>
  <c r="L379" i="20"/>
  <c r="AC378" i="20"/>
  <c r="P378" i="20"/>
  <c r="C378" i="20"/>
  <c r="T377" i="20"/>
  <c r="G377" i="20"/>
  <c r="X376" i="20"/>
  <c r="J376" i="20"/>
  <c r="AA373" i="20"/>
  <c r="O373" i="20"/>
  <c r="C373" i="20"/>
  <c r="U372" i="20"/>
  <c r="I372" i="20"/>
  <c r="AA371" i="20"/>
  <c r="O371" i="20"/>
  <c r="C371" i="20"/>
  <c r="T383" i="20"/>
  <c r="G383" i="20"/>
  <c r="X382" i="20"/>
  <c r="J382" i="20"/>
  <c r="AA381" i="20"/>
  <c r="N381" i="20"/>
  <c r="AE380" i="20"/>
  <c r="R380" i="20"/>
  <c r="E380" i="20"/>
  <c r="V379" i="20"/>
  <c r="I379" i="20"/>
  <c r="Z378" i="20"/>
  <c r="M378" i="20"/>
  <c r="AD377" i="20"/>
  <c r="P377" i="20"/>
  <c r="C377" i="20"/>
  <c r="T376" i="20"/>
  <c r="G376" i="20"/>
  <c r="O383" i="20"/>
  <c r="AC382" i="20"/>
  <c r="I382" i="20"/>
  <c r="W381" i="20"/>
  <c r="G381" i="20"/>
  <c r="Q380" i="20"/>
  <c r="AE379" i="20"/>
  <c r="N379" i="20"/>
  <c r="Y378" i="20"/>
  <c r="H378" i="20"/>
  <c r="V377" i="20"/>
  <c r="B377" i="20"/>
  <c r="P376" i="20"/>
  <c r="AD373" i="20"/>
  <c r="N373" i="20"/>
  <c r="AD372" i="20"/>
  <c r="P372" i="20"/>
  <c r="B372" i="20"/>
  <c r="R371" i="20"/>
  <c r="B371" i="20"/>
  <c r="AC365" i="20"/>
  <c r="Q365" i="20"/>
  <c r="E365" i="20"/>
  <c r="AE383" i="20"/>
  <c r="N383" i="20"/>
  <c r="Z382" i="20"/>
  <c r="H382" i="20"/>
  <c r="V381" i="20"/>
  <c r="C381" i="20"/>
  <c r="P380" i="20"/>
  <c r="AD379" i="20"/>
  <c r="K379" i="20"/>
  <c r="X378" i="20"/>
  <c r="G378" i="20"/>
  <c r="S377" i="20"/>
  <c r="AE376" i="20"/>
  <c r="O376" i="20"/>
  <c r="AC373" i="20"/>
  <c r="M373" i="20"/>
  <c r="AC372" i="20"/>
  <c r="O372" i="20"/>
  <c r="AE371" i="20"/>
  <c r="Q371" i="20"/>
  <c r="AB365" i="20"/>
  <c r="P365" i="20"/>
  <c r="D365" i="20"/>
  <c r="AD383" i="20"/>
  <c r="M383" i="20"/>
  <c r="Y382" i="20"/>
  <c r="G382" i="20"/>
  <c r="U381" i="20"/>
  <c r="B381" i="20"/>
  <c r="O380" i="20"/>
  <c r="AB379" i="20"/>
  <c r="J379" i="20"/>
  <c r="V378" i="20"/>
  <c r="F378" i="20"/>
  <c r="R377" i="20"/>
  <c r="AD376" i="20"/>
  <c r="N376" i="20"/>
  <c r="Z373" i="20"/>
  <c r="L373" i="20"/>
  <c r="AB372" i="20"/>
  <c r="N372" i="20"/>
  <c r="AD371" i="20"/>
  <c r="N371" i="20"/>
  <c r="AA365" i="20"/>
  <c r="O365" i="20"/>
  <c r="C365" i="20"/>
  <c r="S365" i="20"/>
  <c r="L371" i="20"/>
  <c r="D372" i="20"/>
  <c r="W372" i="20"/>
  <c r="J373" i="20"/>
  <c r="B376" i="20"/>
  <c r="V376" i="20"/>
  <c r="N377" i="20"/>
  <c r="J378" i="20"/>
  <c r="C379" i="20"/>
  <c r="X379" i="20"/>
  <c r="T380" i="20"/>
  <c r="L381" i="20"/>
  <c r="E382" i="20"/>
  <c r="AE382" i="20"/>
  <c r="V383" i="20"/>
  <c r="B365" i="20"/>
  <c r="T365" i="20"/>
  <c r="M371" i="20"/>
  <c r="E372" i="20"/>
  <c r="X372" i="20"/>
  <c r="K373" i="20"/>
  <c r="C376" i="20"/>
  <c r="Z376" i="20"/>
  <c r="O377" i="20"/>
  <c r="L378" i="20"/>
  <c r="D379" i="20"/>
  <c r="AA379" i="20"/>
  <c r="X380" i="20"/>
  <c r="M381" i="20"/>
  <c r="F382" i="20"/>
  <c r="B383" i="20"/>
  <c r="Y383" i="20"/>
  <c r="F365" i="20"/>
  <c r="U365" i="20"/>
  <c r="S371" i="20"/>
  <c r="F372" i="20"/>
  <c r="Y372" i="20"/>
  <c r="Q373" i="20"/>
  <c r="D376" i="20"/>
  <c r="AA376" i="20"/>
  <c r="W377" i="20"/>
  <c r="N378" i="20"/>
  <c r="F379" i="20"/>
  <c r="B380" i="20"/>
  <c r="Y380" i="20"/>
  <c r="O381" i="20"/>
  <c r="L382" i="20"/>
  <c r="C383" i="20"/>
  <c r="Z383" i="20"/>
  <c r="G365" i="20"/>
  <c r="V365" i="20"/>
  <c r="T371" i="20"/>
  <c r="G372" i="20"/>
  <c r="Z372" i="20"/>
  <c r="R373" i="20"/>
  <c r="E376" i="20"/>
  <c r="AB376" i="20"/>
  <c r="X377" i="20"/>
  <c r="O378" i="20"/>
  <c r="G379" i="20"/>
  <c r="C380" i="20"/>
  <c r="Z380" i="20"/>
  <c r="P381" i="20"/>
  <c r="M382" i="20"/>
  <c r="D383" i="20"/>
  <c r="AA383" i="20"/>
  <c r="H365" i="20"/>
  <c r="W365" i="20"/>
  <c r="U371" i="20"/>
  <c r="H372" i="20"/>
  <c r="AA372" i="20"/>
  <c r="S373" i="20"/>
  <c r="F376" i="20"/>
  <c r="AC376" i="20"/>
  <c r="Y377" i="20"/>
  <c r="R378" i="20"/>
  <c r="H379" i="20"/>
  <c r="D380" i="20"/>
  <c r="AA380" i="20"/>
  <c r="T381" i="20"/>
  <c r="P382" i="20"/>
  <c r="F383" i="20"/>
  <c r="AB383" i="20"/>
  <c r="P200" i="20" l="1"/>
  <c r="Y48" i="20"/>
  <c r="I200" i="20"/>
  <c r="S29" i="20"/>
  <c r="N10" i="20"/>
  <c r="F48" i="20"/>
  <c r="J314" i="20"/>
  <c r="AB449" i="20"/>
  <c r="AB29" i="20"/>
  <c r="G109" i="3"/>
  <c r="E108" i="3"/>
  <c r="D130" i="3"/>
  <c r="D52" i="3" s="1"/>
  <c r="H295" i="20"/>
  <c r="D155" i="3"/>
  <c r="CT95" i="14"/>
  <c r="AF91" i="43" s="1"/>
  <c r="E119" i="12"/>
  <c r="E102" i="12"/>
  <c r="L84" i="10"/>
  <c r="E155" i="3"/>
  <c r="F105" i="3"/>
  <c r="EN81" i="14"/>
  <c r="DJ81" i="14" s="1"/>
  <c r="P10" i="20"/>
  <c r="B200" i="20"/>
  <c r="AE295" i="20"/>
  <c r="Q417" i="20"/>
  <c r="N417" i="20"/>
  <c r="AA417" i="20"/>
  <c r="AI90" i="43"/>
  <c r="AI55" i="43"/>
  <c r="AI26" i="43"/>
  <c r="AI48" i="43"/>
  <c r="AI100" i="43"/>
  <c r="AI24" i="43"/>
  <c r="AI12" i="43"/>
  <c r="AI27" i="43"/>
  <c r="AI102" i="43"/>
  <c r="AI97" i="43"/>
  <c r="AI32" i="43"/>
  <c r="AI59" i="43"/>
  <c r="AI95" i="43"/>
  <c r="AI25" i="43"/>
  <c r="AI10" i="43"/>
  <c r="AI101" i="43"/>
  <c r="AI92" i="43"/>
  <c r="AI81" i="43"/>
  <c r="AI66" i="43"/>
  <c r="AI51" i="43"/>
  <c r="AI8" i="43"/>
  <c r="AI49" i="43"/>
  <c r="AI104" i="43"/>
  <c r="AI9" i="43"/>
  <c r="AI11" i="43"/>
  <c r="AI86" i="43"/>
  <c r="AI2" i="43"/>
  <c r="AI93" i="43"/>
  <c r="AI88" i="43"/>
  <c r="AI76" i="43"/>
  <c r="AI52" i="43"/>
  <c r="AI31" i="43"/>
  <c r="AI29" i="43"/>
  <c r="AI87" i="43"/>
  <c r="AI28" i="43"/>
  <c r="AI61" i="43"/>
  <c r="AI85" i="43"/>
  <c r="AI15" i="43"/>
  <c r="AI47" i="43"/>
  <c r="AI14" i="43"/>
  <c r="AI33" i="43"/>
  <c r="AI13" i="43"/>
  <c r="AI96" i="43"/>
  <c r="AI103" i="43"/>
  <c r="AI94" i="43"/>
  <c r="AI65" i="43"/>
  <c r="AI70" i="43"/>
  <c r="AI53" i="43"/>
  <c r="AI30" i="43"/>
  <c r="AI80" i="43"/>
  <c r="U86" i="20"/>
  <c r="S219" i="20"/>
  <c r="F295" i="20"/>
  <c r="Z295" i="20"/>
  <c r="Y417" i="20"/>
  <c r="L417" i="20"/>
  <c r="R417" i="20"/>
  <c r="E114" i="12"/>
  <c r="R73" i="12"/>
  <c r="L54" i="10"/>
  <c r="AD417" i="20"/>
  <c r="E79" i="12"/>
  <c r="N79" i="12" s="1"/>
  <c r="L59" i="10"/>
  <c r="E117" i="12"/>
  <c r="J73" i="12"/>
  <c r="I73" i="12"/>
  <c r="M73" i="12"/>
  <c r="U73" i="12"/>
  <c r="E77" i="12"/>
  <c r="O77" i="12" s="1"/>
  <c r="AG73" i="12"/>
  <c r="AD73" i="12"/>
  <c r="K73" i="12"/>
  <c r="N73" i="12"/>
  <c r="L71" i="10"/>
  <c r="AH73" i="12"/>
  <c r="E109" i="12"/>
  <c r="AG109" i="12" s="1"/>
  <c r="E88" i="12"/>
  <c r="P73" i="12"/>
  <c r="H73" i="12"/>
  <c r="W73" i="12"/>
  <c r="Z73" i="12"/>
  <c r="AI73" i="12"/>
  <c r="O73" i="12"/>
  <c r="E111" i="12"/>
  <c r="W111" i="12" s="1"/>
  <c r="E121" i="12"/>
  <c r="E89" i="12"/>
  <c r="L88" i="10"/>
  <c r="L73" i="12"/>
  <c r="AA73" i="12"/>
  <c r="Q73" i="12"/>
  <c r="E85" i="12"/>
  <c r="L78" i="10"/>
  <c r="AC73" i="12"/>
  <c r="X73" i="12"/>
  <c r="L90" i="10"/>
  <c r="S73" i="12"/>
  <c r="L91" i="10"/>
  <c r="L58" i="10"/>
  <c r="L70" i="10"/>
  <c r="L79" i="10"/>
  <c r="L94" i="10"/>
  <c r="T200" i="20"/>
  <c r="N86" i="20"/>
  <c r="W181" i="20"/>
  <c r="K314" i="20"/>
  <c r="F105" i="20"/>
  <c r="O86" i="20"/>
  <c r="R219" i="20"/>
  <c r="F238" i="20"/>
  <c r="O314" i="20"/>
  <c r="W105" i="20"/>
  <c r="I449" i="20"/>
  <c r="AA181" i="20"/>
  <c r="AA449" i="20"/>
  <c r="Q181" i="20"/>
  <c r="V200" i="20"/>
  <c r="C314" i="20"/>
  <c r="W449" i="20"/>
  <c r="AA200" i="20"/>
  <c r="H238" i="20"/>
  <c r="N181" i="20"/>
  <c r="M86" i="20"/>
  <c r="P449" i="20"/>
  <c r="AA105" i="20"/>
  <c r="K449" i="20"/>
  <c r="L29" i="20"/>
  <c r="G105" i="20"/>
  <c r="G295" i="20"/>
  <c r="T86" i="20"/>
  <c r="L238" i="20"/>
  <c r="L200" i="20"/>
  <c r="B238" i="20"/>
  <c r="AE67" i="20"/>
  <c r="AD48" i="20"/>
  <c r="AC333" i="20"/>
  <c r="K219" i="20"/>
  <c r="W86" i="20"/>
  <c r="Z333" i="20"/>
  <c r="B434" i="20"/>
  <c r="B432" i="20" s="1"/>
  <c r="S67" i="20"/>
  <c r="AB295" i="20"/>
  <c r="B105" i="20"/>
  <c r="K200" i="20"/>
  <c r="AE105" i="20"/>
  <c r="N238" i="20"/>
  <c r="K29" i="20"/>
  <c r="K105" i="20"/>
  <c r="M449" i="20"/>
  <c r="G449" i="20"/>
  <c r="AB181" i="20"/>
  <c r="W67" i="20"/>
  <c r="AE200" i="20"/>
  <c r="AD29" i="20"/>
  <c r="F276" i="20"/>
  <c r="N314" i="20"/>
  <c r="J48" i="20"/>
  <c r="Q238" i="20"/>
  <c r="P238" i="20"/>
  <c r="Z86" i="20"/>
  <c r="O238" i="20"/>
  <c r="Y200" i="20"/>
  <c r="W10" i="20"/>
  <c r="Q219" i="20"/>
  <c r="AE29" i="20"/>
  <c r="W257" i="20"/>
  <c r="V219" i="20"/>
  <c r="C417" i="20"/>
  <c r="T67" i="20"/>
  <c r="M48" i="20"/>
  <c r="N200" i="20"/>
  <c r="H48" i="20"/>
  <c r="K333" i="20"/>
  <c r="Q48" i="20"/>
  <c r="S276" i="20"/>
  <c r="O29" i="20"/>
  <c r="U105" i="20"/>
  <c r="T181" i="20"/>
  <c r="Q67" i="20"/>
  <c r="P105" i="20"/>
  <c r="Z105" i="20"/>
  <c r="AB333" i="20"/>
  <c r="F10" i="20"/>
  <c r="W200" i="20"/>
  <c r="J200" i="20"/>
  <c r="M295" i="20"/>
  <c r="G29" i="20"/>
  <c r="AA414" i="20"/>
  <c r="H29" i="20"/>
  <c r="I333" i="20"/>
  <c r="AC105" i="20"/>
  <c r="M219" i="20"/>
  <c r="Z219" i="20"/>
  <c r="O181" i="20"/>
  <c r="H181" i="20"/>
  <c r="F200" i="20"/>
  <c r="D200" i="20"/>
  <c r="D390" i="20" s="1"/>
  <c r="Z29" i="20"/>
  <c r="AD200" i="20"/>
  <c r="F67" i="20"/>
  <c r="X257" i="20"/>
  <c r="X295" i="20"/>
  <c r="N219" i="20"/>
  <c r="M276" i="20"/>
  <c r="N333" i="20"/>
  <c r="AA333" i="20"/>
  <c r="I105" i="20"/>
  <c r="G238" i="20"/>
  <c r="L257" i="20"/>
  <c r="L295" i="20"/>
  <c r="U257" i="20"/>
  <c r="T276" i="20"/>
  <c r="S314" i="20"/>
  <c r="AE48" i="20"/>
  <c r="P67" i="20"/>
  <c r="W29" i="20"/>
  <c r="H417" i="20"/>
  <c r="AC200" i="20"/>
  <c r="L105" i="20"/>
  <c r="T238" i="20"/>
  <c r="B257" i="20"/>
  <c r="X219" i="20"/>
  <c r="AB276" i="20"/>
  <c r="Z276" i="20"/>
  <c r="J295" i="20"/>
  <c r="P333" i="20"/>
  <c r="F86" i="20"/>
  <c r="X181" i="20"/>
  <c r="M333" i="20"/>
  <c r="I276" i="20"/>
  <c r="E105" i="20"/>
  <c r="F181" i="20"/>
  <c r="S257" i="20"/>
  <c r="U449" i="20"/>
  <c r="F333" i="20"/>
  <c r="N67" i="20"/>
  <c r="AE449" i="20"/>
  <c r="Y238" i="20"/>
  <c r="N276" i="20"/>
  <c r="L86" i="20"/>
  <c r="AD449" i="20"/>
  <c r="S48" i="20"/>
  <c r="Y314" i="20"/>
  <c r="O200" i="20"/>
  <c r="O10" i="20"/>
  <c r="T314" i="20"/>
  <c r="B86" i="20"/>
  <c r="S238" i="20"/>
  <c r="Q86" i="20"/>
  <c r="N105" i="20"/>
  <c r="V86" i="20"/>
  <c r="H314" i="20"/>
  <c r="V48" i="20"/>
  <c r="V276" i="20"/>
  <c r="R48" i="20"/>
  <c r="O105" i="20"/>
  <c r="W238" i="20"/>
  <c r="AA257" i="20"/>
  <c r="AD181" i="20"/>
  <c r="T417" i="20"/>
  <c r="AB200" i="20"/>
  <c r="B333" i="20"/>
  <c r="AE314" i="20"/>
  <c r="G219" i="20"/>
  <c r="R86" i="20"/>
  <c r="M67" i="20"/>
  <c r="X67" i="20"/>
  <c r="K238" i="20"/>
  <c r="E417" i="20"/>
  <c r="L276" i="20"/>
  <c r="B276" i="20"/>
  <c r="J67" i="20"/>
  <c r="AA67" i="20"/>
  <c r="M257" i="20"/>
  <c r="W314" i="20"/>
  <c r="T295" i="20"/>
  <c r="AC86" i="20"/>
  <c r="B29" i="20"/>
  <c r="K276" i="20"/>
  <c r="I10" i="20"/>
  <c r="V29" i="20"/>
  <c r="N295" i="20"/>
  <c r="X417" i="20"/>
  <c r="I29" i="20"/>
  <c r="Y86" i="20"/>
  <c r="X200" i="20"/>
  <c r="U29" i="20"/>
  <c r="O48" i="20"/>
  <c r="M29" i="20"/>
  <c r="J219" i="20"/>
  <c r="B417" i="20"/>
  <c r="U200" i="20"/>
  <c r="Q449" i="20"/>
  <c r="V238" i="20"/>
  <c r="J86" i="20"/>
  <c r="N29" i="20"/>
  <c r="W143" i="20"/>
  <c r="N449" i="20"/>
  <c r="V181" i="20"/>
  <c r="AB257" i="20"/>
  <c r="G333" i="20"/>
  <c r="AA295" i="20"/>
  <c r="S295" i="20"/>
  <c r="AC143" i="20"/>
  <c r="O295" i="20"/>
  <c r="AC67" i="20"/>
  <c r="T29" i="20"/>
  <c r="J257" i="20"/>
  <c r="L219" i="20"/>
  <c r="S200" i="20"/>
  <c r="Y219" i="20"/>
  <c r="L181" i="20"/>
  <c r="S86" i="20"/>
  <c r="U219" i="20"/>
  <c r="S449" i="20"/>
  <c r="P257" i="20"/>
  <c r="O276" i="20"/>
  <c r="X276" i="20"/>
  <c r="AD295" i="20"/>
  <c r="AB219" i="20"/>
  <c r="H276" i="20"/>
  <c r="L314" i="20"/>
  <c r="AC181" i="20"/>
  <c r="U333" i="20"/>
  <c r="W48" i="20"/>
  <c r="K48" i="20"/>
  <c r="K86" i="20"/>
  <c r="H67" i="20"/>
  <c r="U181" i="20"/>
  <c r="AA276" i="20"/>
  <c r="R276" i="20"/>
  <c r="B48" i="20"/>
  <c r="AD276" i="20"/>
  <c r="Q105" i="20"/>
  <c r="G276" i="20"/>
  <c r="W219" i="20"/>
  <c r="V257" i="20"/>
  <c r="U276" i="20"/>
  <c r="AE219" i="20"/>
  <c r="AC449" i="20"/>
  <c r="G86" i="20"/>
  <c r="Z417" i="20"/>
  <c r="O417" i="20"/>
  <c r="AA219" i="20"/>
  <c r="R200" i="20"/>
  <c r="R295" i="20"/>
  <c r="AD105" i="20"/>
  <c r="AE181" i="20"/>
  <c r="R449" i="20"/>
  <c r="F29" i="20"/>
  <c r="Y276" i="20"/>
  <c r="AA48" i="20"/>
  <c r="AC295" i="20"/>
  <c r="V67" i="20"/>
  <c r="P48" i="20"/>
  <c r="AE276" i="20"/>
  <c r="X333" i="20"/>
  <c r="AC314" i="20"/>
  <c r="T219" i="20"/>
  <c r="X29" i="20"/>
  <c r="J449" i="20"/>
  <c r="I219" i="20"/>
  <c r="U10" i="20"/>
  <c r="Z449" i="20"/>
  <c r="K6" i="9"/>
  <c r="L6" i="9" s="1"/>
  <c r="M417" i="20"/>
  <c r="F417" i="20"/>
  <c r="P219" i="20"/>
  <c r="I295" i="20"/>
  <c r="AD86" i="20"/>
  <c r="O449" i="20"/>
  <c r="B314" i="20"/>
  <c r="AD238" i="20"/>
  <c r="B181" i="20"/>
  <c r="F449" i="20"/>
  <c r="AB143" i="20"/>
  <c r="Q295" i="20"/>
  <c r="AC417" i="20"/>
  <c r="G314" i="20"/>
  <c r="AE238" i="20"/>
  <c r="I48" i="20"/>
  <c r="AB67" i="20"/>
  <c r="J105" i="20"/>
  <c r="Q314" i="20"/>
  <c r="U456" i="20"/>
  <c r="Q456" i="20"/>
  <c r="J243" i="20"/>
  <c r="D455" i="20"/>
  <c r="Q224" i="20"/>
  <c r="S78" i="20"/>
  <c r="S71" i="20" s="1"/>
  <c r="AA243" i="20"/>
  <c r="K78" i="20"/>
  <c r="K71" i="20" s="1"/>
  <c r="W224" i="20"/>
  <c r="R53" i="20"/>
  <c r="Q53" i="20"/>
  <c r="X224" i="20"/>
  <c r="S224" i="20"/>
  <c r="U243" i="20"/>
  <c r="G243" i="20"/>
  <c r="T243" i="20"/>
  <c r="P186" i="20"/>
  <c r="H262" i="20"/>
  <c r="X262" i="20"/>
  <c r="V262" i="20"/>
  <c r="D287" i="20"/>
  <c r="C268" i="20"/>
  <c r="H192" i="20"/>
  <c r="J192" i="20"/>
  <c r="F91" i="20"/>
  <c r="D91" i="20"/>
  <c r="AB281" i="20"/>
  <c r="R281" i="20"/>
  <c r="M281" i="20"/>
  <c r="AE186" i="20"/>
  <c r="U186" i="20"/>
  <c r="AD34" i="20"/>
  <c r="Y34" i="20"/>
  <c r="B97" i="20"/>
  <c r="C91" i="20"/>
  <c r="E91" i="20"/>
  <c r="T91" i="20"/>
  <c r="J53" i="20"/>
  <c r="V53" i="20"/>
  <c r="C224" i="20"/>
  <c r="K224" i="20"/>
  <c r="E78" i="20"/>
  <c r="E71" i="20" s="1"/>
  <c r="H78" i="20"/>
  <c r="H71" i="20" s="1"/>
  <c r="D78" i="20"/>
  <c r="D71" i="20" s="1"/>
  <c r="D456" i="20"/>
  <c r="W456" i="20"/>
  <c r="H456" i="20"/>
  <c r="D243" i="20"/>
  <c r="Y78" i="20"/>
  <c r="Y71" i="20" s="1"/>
  <c r="H224" i="20"/>
  <c r="L53" i="20"/>
  <c r="X243" i="20"/>
  <c r="AD78" i="20"/>
  <c r="AD71" i="20" s="1"/>
  <c r="K53" i="20"/>
  <c r="L243" i="20"/>
  <c r="AD224" i="20"/>
  <c r="Y224" i="20"/>
  <c r="M243" i="20"/>
  <c r="Z243" i="20"/>
  <c r="J186" i="20"/>
  <c r="E288" i="20"/>
  <c r="AD262" i="20"/>
  <c r="AB262" i="20"/>
  <c r="G287" i="20"/>
  <c r="K192" i="20"/>
  <c r="W281" i="20"/>
  <c r="AC281" i="20"/>
  <c r="E281" i="20"/>
  <c r="X281" i="20"/>
  <c r="S281" i="20"/>
  <c r="B281" i="20"/>
  <c r="N262" i="20"/>
  <c r="Z262" i="20"/>
  <c r="W186" i="20"/>
  <c r="F186" i="20"/>
  <c r="AA186" i="20"/>
  <c r="AA34" i="20"/>
  <c r="H34" i="20"/>
  <c r="I34" i="20"/>
  <c r="C34" i="20"/>
  <c r="D34" i="20"/>
  <c r="AE34" i="20"/>
  <c r="U91" i="20"/>
  <c r="W91" i="20"/>
  <c r="Z91" i="20"/>
  <c r="C53" i="20"/>
  <c r="G53" i="20"/>
  <c r="T224" i="20"/>
  <c r="O78" i="20"/>
  <c r="O71" i="20" s="1"/>
  <c r="AE456" i="20"/>
  <c r="J456" i="20"/>
  <c r="AC456" i="20"/>
  <c r="N456" i="20"/>
  <c r="AE78" i="20"/>
  <c r="AE71" i="20" s="1"/>
  <c r="F243" i="20"/>
  <c r="O243" i="20"/>
  <c r="F53" i="20"/>
  <c r="C243" i="20"/>
  <c r="W78" i="20"/>
  <c r="W71" i="20" s="1"/>
  <c r="E53" i="20"/>
  <c r="AC224" i="20"/>
  <c r="AE224" i="20"/>
  <c r="AB224" i="20"/>
  <c r="S243" i="20"/>
  <c r="D186" i="20"/>
  <c r="J323" i="20"/>
  <c r="AE262" i="20"/>
  <c r="C262" i="20"/>
  <c r="E230" i="20"/>
  <c r="U281" i="20"/>
  <c r="AD281" i="20"/>
  <c r="Y281" i="20"/>
  <c r="H281" i="20"/>
  <c r="B262" i="20"/>
  <c r="K186" i="20"/>
  <c r="L186" i="20"/>
  <c r="Q34" i="20"/>
  <c r="T34" i="20"/>
  <c r="K34" i="20"/>
  <c r="N34" i="20"/>
  <c r="O34" i="20"/>
  <c r="K91" i="20"/>
  <c r="O91" i="20"/>
  <c r="P53" i="20"/>
  <c r="M53" i="20"/>
  <c r="T53" i="20"/>
  <c r="U53" i="20"/>
  <c r="U78" i="20"/>
  <c r="U71" i="20" s="1"/>
  <c r="F78" i="20"/>
  <c r="F71" i="20" s="1"/>
  <c r="V78" i="20"/>
  <c r="V71" i="20" s="1"/>
  <c r="F18" i="20"/>
  <c r="K18" i="20"/>
  <c r="Y456" i="20"/>
  <c r="P456" i="20"/>
  <c r="F456" i="20"/>
  <c r="T456" i="20"/>
  <c r="I224" i="20"/>
  <c r="O224" i="20"/>
  <c r="V224" i="20"/>
  <c r="P78" i="20"/>
  <c r="P71" i="20" s="1"/>
  <c r="N224" i="20"/>
  <c r="D224" i="20"/>
  <c r="E243" i="20"/>
  <c r="Y243" i="20"/>
  <c r="I37" i="20"/>
  <c r="Z186" i="20"/>
  <c r="W262" i="20"/>
  <c r="K342" i="20"/>
  <c r="S262" i="20"/>
  <c r="I262" i="20"/>
  <c r="AA268" i="20"/>
  <c r="C192" i="20"/>
  <c r="Y91" i="20"/>
  <c r="K281" i="20"/>
  <c r="C281" i="20"/>
  <c r="AE281" i="20"/>
  <c r="N281" i="20"/>
  <c r="M342" i="20"/>
  <c r="R186" i="20"/>
  <c r="P34" i="20"/>
  <c r="AC34" i="20"/>
  <c r="W34" i="20"/>
  <c r="Z34" i="20"/>
  <c r="AC91" i="20"/>
  <c r="AA53" i="20"/>
  <c r="AB53" i="20"/>
  <c r="B59" i="20"/>
  <c r="I53" i="20"/>
  <c r="J224" i="20"/>
  <c r="L78" i="20"/>
  <c r="L71" i="20" s="1"/>
  <c r="AC78" i="20"/>
  <c r="AC71" i="20" s="1"/>
  <c r="S456" i="20"/>
  <c r="C456" i="20"/>
  <c r="V456" i="20"/>
  <c r="L456" i="20"/>
  <c r="Z456" i="20"/>
  <c r="Q455" i="20"/>
  <c r="C455" i="20"/>
  <c r="R243" i="20"/>
  <c r="X78" i="20"/>
  <c r="X71" i="20" s="1"/>
  <c r="I78" i="20"/>
  <c r="I71" i="20" s="1"/>
  <c r="E224" i="20"/>
  <c r="J59" i="20"/>
  <c r="U224" i="20"/>
  <c r="K243" i="20"/>
  <c r="AE243" i="20"/>
  <c r="T186" i="20"/>
  <c r="K262" i="20"/>
  <c r="J342" i="20"/>
  <c r="G262" i="20"/>
  <c r="O262" i="20"/>
  <c r="K287" i="20"/>
  <c r="AD91" i="20"/>
  <c r="AB91" i="20"/>
  <c r="AA281" i="20"/>
  <c r="D281" i="20"/>
  <c r="T281" i="20"/>
  <c r="X186" i="20"/>
  <c r="G186" i="20"/>
  <c r="U34" i="20"/>
  <c r="F34" i="20"/>
  <c r="I243" i="20"/>
  <c r="Z53" i="20"/>
  <c r="S53" i="20"/>
  <c r="AA78" i="20"/>
  <c r="AA71" i="20" s="1"/>
  <c r="N78" i="20"/>
  <c r="N71" i="20" s="1"/>
  <c r="M456" i="20"/>
  <c r="O456" i="20"/>
  <c r="AB456" i="20"/>
  <c r="R456" i="20"/>
  <c r="AB243" i="20"/>
  <c r="Q78" i="20"/>
  <c r="Q71" i="20" s="1"/>
  <c r="F224" i="20"/>
  <c r="Q243" i="20"/>
  <c r="N186" i="20"/>
  <c r="F262" i="20"/>
  <c r="U262" i="20"/>
  <c r="D262" i="20"/>
  <c r="Q262" i="20"/>
  <c r="H342" i="20"/>
  <c r="D288" i="20"/>
  <c r="V91" i="20"/>
  <c r="F97" i="20"/>
  <c r="Q281" i="20"/>
  <c r="J281" i="20"/>
  <c r="Z281" i="20"/>
  <c r="Q186" i="20"/>
  <c r="AD186" i="20"/>
  <c r="M186" i="20"/>
  <c r="C186" i="20"/>
  <c r="AB34" i="20"/>
  <c r="H37" i="20"/>
  <c r="L34" i="20"/>
  <c r="G34" i="20"/>
  <c r="AD243" i="20"/>
  <c r="G249" i="20"/>
  <c r="I91" i="20"/>
  <c r="Q91" i="20"/>
  <c r="B91" i="20"/>
  <c r="D53" i="20"/>
  <c r="Y53" i="20"/>
  <c r="AA224" i="20"/>
  <c r="T78" i="20"/>
  <c r="T71" i="20" s="1"/>
  <c r="AA456" i="20"/>
  <c r="E456" i="20"/>
  <c r="X456" i="20"/>
  <c r="V243" i="20"/>
  <c r="G78" i="20"/>
  <c r="G71" i="20" s="1"/>
  <c r="Z78" i="20"/>
  <c r="Z71" i="20" s="1"/>
  <c r="J78" i="20"/>
  <c r="J71" i="20" s="1"/>
  <c r="AD53" i="20"/>
  <c r="AC53" i="20"/>
  <c r="L224" i="20"/>
  <c r="G224" i="20"/>
  <c r="I59" i="20"/>
  <c r="W243" i="20"/>
  <c r="H243" i="20"/>
  <c r="AB186" i="20"/>
  <c r="H186" i="20"/>
  <c r="L262" i="20"/>
  <c r="AA262" i="20"/>
  <c r="J262" i="20"/>
  <c r="E262" i="20"/>
  <c r="AC262" i="20"/>
  <c r="C230" i="20"/>
  <c r="H287" i="20"/>
  <c r="R91" i="20"/>
  <c r="P91" i="20"/>
  <c r="I281" i="20"/>
  <c r="P281" i="20"/>
  <c r="F281" i="20"/>
  <c r="M262" i="20"/>
  <c r="S186" i="20"/>
  <c r="I186" i="20"/>
  <c r="J34" i="20"/>
  <c r="V34" i="20"/>
  <c r="E34" i="20"/>
  <c r="R34" i="20"/>
  <c r="M34" i="20"/>
  <c r="G323" i="20"/>
  <c r="AA91" i="20"/>
  <c r="H91" i="20"/>
  <c r="AE53" i="20"/>
  <c r="V18" i="20"/>
  <c r="H18" i="20"/>
  <c r="I456" i="20"/>
  <c r="K456" i="20"/>
  <c r="AD456" i="20"/>
  <c r="P243" i="20"/>
  <c r="Z224" i="20"/>
  <c r="M78" i="20"/>
  <c r="M71" i="20" s="1"/>
  <c r="R78" i="20"/>
  <c r="R71" i="20" s="1"/>
  <c r="P224" i="20"/>
  <c r="F59" i="20"/>
  <c r="C78" i="20"/>
  <c r="C71" i="20" s="1"/>
  <c r="X53" i="20"/>
  <c r="W53" i="20"/>
  <c r="R224" i="20"/>
  <c r="M224" i="20"/>
  <c r="C59" i="20"/>
  <c r="AC243" i="20"/>
  <c r="N243" i="20"/>
  <c r="V186" i="20"/>
  <c r="F37" i="20"/>
  <c r="T262" i="20"/>
  <c r="K268" i="20"/>
  <c r="R262" i="20"/>
  <c r="P262" i="20"/>
  <c r="D192" i="20"/>
  <c r="J97" i="20"/>
  <c r="O281" i="20"/>
  <c r="V281" i="20"/>
  <c r="L281" i="20"/>
  <c r="G281" i="20"/>
  <c r="Y262" i="20"/>
  <c r="AC186" i="20"/>
  <c r="E186" i="20"/>
  <c r="Y186" i="20"/>
  <c r="O186" i="20"/>
  <c r="C37" i="20"/>
  <c r="X34" i="20"/>
  <c r="S34" i="20"/>
  <c r="N91" i="20"/>
  <c r="N53" i="20"/>
  <c r="O53" i="20"/>
  <c r="H53" i="20"/>
  <c r="AB78" i="20"/>
  <c r="AB71" i="20" s="1"/>
  <c r="C287" i="20"/>
  <c r="E455" i="20"/>
  <c r="Z414" i="20"/>
  <c r="D417" i="20"/>
  <c r="AE417" i="20"/>
  <c r="U414" i="20"/>
  <c r="I417" i="20"/>
  <c r="AD414" i="20"/>
  <c r="AB417" i="20"/>
  <c r="S417" i="20"/>
  <c r="V417" i="20"/>
  <c r="U417" i="20"/>
  <c r="K414" i="20"/>
  <c r="B414" i="20"/>
  <c r="O414" i="20"/>
  <c r="H414" i="20"/>
  <c r="K325" i="20"/>
  <c r="I56" i="20"/>
  <c r="C25" i="23"/>
  <c r="G414" i="20"/>
  <c r="I414" i="20"/>
  <c r="J417" i="20"/>
  <c r="W414" i="20"/>
  <c r="P417" i="20"/>
  <c r="G417" i="20"/>
  <c r="H344" i="20"/>
  <c r="J414" i="20"/>
  <c r="CH95" i="14"/>
  <c r="T91" i="43" s="1"/>
  <c r="N414" i="20"/>
  <c r="V414" i="20"/>
  <c r="AE414" i="20"/>
  <c r="T414" i="20"/>
  <c r="L414" i="20"/>
  <c r="EN95" i="14"/>
  <c r="DJ95" i="14" s="1"/>
  <c r="H10" i="20"/>
  <c r="G11" i="10"/>
  <c r="H11" i="10" s="1"/>
  <c r="J11" i="10" s="1"/>
  <c r="K11" i="10" s="1"/>
  <c r="O219" i="20"/>
  <c r="G15" i="10"/>
  <c r="H15" i="10" s="1"/>
  <c r="J15" i="10" s="1"/>
  <c r="K15" i="10" s="1"/>
  <c r="L15" i="10" s="1"/>
  <c r="G42" i="10"/>
  <c r="H42" i="10" s="1"/>
  <c r="J42" i="10" s="1"/>
  <c r="K42" i="10" s="1"/>
  <c r="E58" i="12" s="1"/>
  <c r="J238" i="20"/>
  <c r="G46" i="10"/>
  <c r="H46" i="10" s="1"/>
  <c r="J46" i="10" s="1"/>
  <c r="K46" i="10" s="1"/>
  <c r="L46" i="10" s="1"/>
  <c r="U314" i="20"/>
  <c r="G48" i="10"/>
  <c r="H48" i="10" s="1"/>
  <c r="J48" i="10" s="1"/>
  <c r="K48" i="10" s="1"/>
  <c r="L48" i="10" s="1"/>
  <c r="P181" i="20"/>
  <c r="T449" i="20"/>
  <c r="G37" i="10"/>
  <c r="H37" i="10" s="1"/>
  <c r="J37" i="10" s="1"/>
  <c r="K37" i="10" s="1"/>
  <c r="F314" i="20"/>
  <c r="AD344" i="20"/>
  <c r="C414" i="20"/>
  <c r="C49" i="5"/>
  <c r="E314" i="20"/>
  <c r="E111" i="3"/>
  <c r="AA29" i="20"/>
  <c r="E117" i="3"/>
  <c r="D167" i="3"/>
  <c r="D142" i="3"/>
  <c r="D64" i="3" s="1"/>
  <c r="AD49" i="5"/>
  <c r="AG124" i="11"/>
  <c r="Q49" i="5"/>
  <c r="O49" i="5"/>
  <c r="Q333" i="20"/>
  <c r="AH124" i="11"/>
  <c r="G49" i="5"/>
  <c r="C151" i="3"/>
  <c r="C126" i="3"/>
  <c r="C48" i="3" s="1"/>
  <c r="T319" i="20"/>
  <c r="G17" i="10"/>
  <c r="H17" i="10" s="1"/>
  <c r="J17" i="10" s="1"/>
  <c r="K17" i="10" s="1"/>
  <c r="B219" i="20"/>
  <c r="L82" i="10"/>
  <c r="S49" i="5"/>
  <c r="L449" i="20"/>
  <c r="Z67" i="20"/>
  <c r="AA49" i="5"/>
  <c r="O46" i="3"/>
  <c r="S414" i="20"/>
  <c r="AR124" i="11"/>
  <c r="G28" i="10"/>
  <c r="H28" i="10" s="1"/>
  <c r="J28" i="10" s="1"/>
  <c r="K28" i="10" s="1"/>
  <c r="E34" i="12" s="1"/>
  <c r="P143" i="20"/>
  <c r="AE49" i="5"/>
  <c r="H449" i="20"/>
  <c r="L49" i="5"/>
  <c r="L62" i="10"/>
  <c r="G32" i="10"/>
  <c r="H32" i="10" s="1"/>
  <c r="J32" i="10" s="1"/>
  <c r="K32" i="10" s="1"/>
  <c r="Y449" i="20"/>
  <c r="H49" i="5"/>
  <c r="B67" i="20"/>
  <c r="E112" i="12"/>
  <c r="AI112" i="12" s="1"/>
  <c r="D115" i="3"/>
  <c r="C140" i="3"/>
  <c r="C62" i="3" s="1"/>
  <c r="G34" i="10"/>
  <c r="H34" i="10" s="1"/>
  <c r="J34" i="10" s="1"/>
  <c r="K34" i="10" s="1"/>
  <c r="S105" i="20"/>
  <c r="T49" i="5"/>
  <c r="R10" i="20"/>
  <c r="E112" i="3"/>
  <c r="D137" i="3"/>
  <c r="D59" i="3" s="1"/>
  <c r="G23" i="10"/>
  <c r="H23" i="10" s="1"/>
  <c r="J23" i="10" s="1"/>
  <c r="K23" i="10" s="1"/>
  <c r="L23" i="10" s="1"/>
  <c r="P314" i="20"/>
  <c r="R314" i="20"/>
  <c r="R333" i="20"/>
  <c r="AZ68" i="14" a="1"/>
  <c r="AZ68" i="14" s="1"/>
  <c r="BJ68" i="14" s="1" a="1"/>
  <c r="BJ68" i="14" s="1"/>
  <c r="CN68" i="14" s="1"/>
  <c r="Z64" i="43" s="1"/>
  <c r="EL68" i="14"/>
  <c r="DH68" i="14" s="1"/>
  <c r="O338" i="20"/>
  <c r="F344" i="20"/>
  <c r="D344" i="20"/>
  <c r="BZ83" i="14"/>
  <c r="L79" i="43" s="1"/>
  <c r="FB83" i="14"/>
  <c r="DX83" i="14" s="1"/>
  <c r="CI95" i="14"/>
  <c r="U91" i="43" s="1"/>
  <c r="EK66" i="14"/>
  <c r="DG66" i="14" s="1"/>
  <c r="L344" i="20"/>
  <c r="BV79" i="14"/>
  <c r="H75" i="43" s="1"/>
  <c r="AW79" i="14" a="1"/>
  <c r="AW79" i="14" s="1"/>
  <c r="BB79" i="14" s="1" a="1"/>
  <c r="BB79" i="14" s="1"/>
  <c r="CF79" i="14" s="1"/>
  <c r="R75" i="43" s="1"/>
  <c r="Z344" i="20"/>
  <c r="G344" i="20"/>
  <c r="N174" i="20"/>
  <c r="U344" i="20"/>
  <c r="B344" i="20"/>
  <c r="M344" i="20"/>
  <c r="I325" i="20"/>
  <c r="Z338" i="20"/>
  <c r="B338" i="20"/>
  <c r="CB95" i="14"/>
  <c r="N91" i="43" s="1"/>
  <c r="B319" i="20"/>
  <c r="D319" i="20"/>
  <c r="JM92" i="14"/>
  <c r="IS92" i="14"/>
  <c r="JT92" i="14"/>
  <c r="IY92" i="14"/>
  <c r="JN92" i="14"/>
  <c r="JE92" i="14"/>
  <c r="IW92" i="14"/>
  <c r="JA92" i="14"/>
  <c r="IY83" i="14"/>
  <c r="IS83" i="14"/>
  <c r="IU92" i="14"/>
  <c r="JO92" i="14"/>
  <c r="JQ92" i="14"/>
  <c r="JI92" i="14"/>
  <c r="JS92" i="14"/>
  <c r="IT92" i="14"/>
  <c r="IX92" i="14"/>
  <c r="JB92" i="14"/>
  <c r="IQ92" i="14"/>
  <c r="JF92" i="14"/>
  <c r="JJ92" i="14"/>
  <c r="JC92" i="14"/>
  <c r="IR92" i="14"/>
  <c r="JR92" i="14"/>
  <c r="IZ92" i="14"/>
  <c r="JG92" i="14"/>
  <c r="JD92" i="14"/>
  <c r="IV92" i="14"/>
  <c r="JL92" i="14"/>
  <c r="JK92" i="14"/>
  <c r="JP92" i="14"/>
  <c r="JH92" i="14"/>
  <c r="IZ83" i="14"/>
  <c r="IU83" i="14"/>
  <c r="IV83" i="14"/>
  <c r="IX83" i="14"/>
  <c r="IW83" i="14"/>
  <c r="IT83" i="14"/>
  <c r="Y325" i="20"/>
  <c r="BW95" i="14"/>
  <c r="I91" i="43" s="1"/>
  <c r="EB95" i="14"/>
  <c r="CX95" i="14" s="1"/>
  <c r="CX177" i="14" s="1"/>
  <c r="D26" i="21" s="1"/>
  <c r="AX102" i="14" a="1"/>
  <c r="AX102" i="14" s="1"/>
  <c r="CB102" i="14" s="1"/>
  <c r="N98" i="43" s="1"/>
  <c r="EJ102" i="14"/>
  <c r="DF102" i="14" s="1"/>
  <c r="AA338" i="20"/>
  <c r="P49" i="5"/>
  <c r="V49" i="5"/>
  <c r="N49" i="5"/>
  <c r="M49" i="5"/>
  <c r="E49" i="5"/>
  <c r="D49" i="5"/>
  <c r="AC49" i="5"/>
  <c r="W49" i="5"/>
  <c r="AB49" i="5"/>
  <c r="Y338" i="20"/>
  <c r="CA82" i="14"/>
  <c r="M78" i="43" s="1"/>
  <c r="CN95" i="14"/>
  <c r="Z91" i="43" s="1"/>
  <c r="ES83" i="14"/>
  <c r="DO83" i="14" s="1"/>
  <c r="E344" i="20"/>
  <c r="O344" i="20"/>
  <c r="EL95" i="14"/>
  <c r="DH95" i="14" s="1"/>
  <c r="CU95" i="14"/>
  <c r="AG91" i="43" s="1"/>
  <c r="BY67" i="14"/>
  <c r="K63" i="43" s="1"/>
  <c r="BX46" i="14"/>
  <c r="J42" i="43" s="1"/>
  <c r="L167" i="20"/>
  <c r="F370" i="20"/>
  <c r="G338" i="20"/>
  <c r="CA48" i="14"/>
  <c r="M44" i="43" s="1"/>
  <c r="BE66" i="14" a="1"/>
  <c r="BE66" i="14" s="1"/>
  <c r="CI66" i="14" s="1"/>
  <c r="U62" i="43" s="1"/>
  <c r="BP83" i="14" a="1"/>
  <c r="BP83" i="14" s="1"/>
  <c r="CT83" i="14" s="1"/>
  <c r="AF79" i="43" s="1"/>
  <c r="BB81" i="14" a="1"/>
  <c r="BB81" i="14" s="1"/>
  <c r="BL81" i="14" s="1" a="1"/>
  <c r="BL81" i="14" s="1"/>
  <c r="CP81" i="14" s="1"/>
  <c r="AB77" i="43" s="1"/>
  <c r="BT95" i="14"/>
  <c r="F91" i="43" s="1"/>
  <c r="EV67" i="14"/>
  <c r="DR67" i="14" s="1"/>
  <c r="BC75" i="14" a="1"/>
  <c r="BC75" i="14" s="1"/>
  <c r="BM75" i="14" s="1" a="1"/>
  <c r="BM75" i="14" s="1"/>
  <c r="CQ75" i="14" s="1"/>
  <c r="AC71" i="43" s="1"/>
  <c r="W338" i="20"/>
  <c r="Y370" i="20"/>
  <c r="AC351" i="20"/>
  <c r="I370" i="20"/>
  <c r="G351" i="20"/>
  <c r="D351" i="20"/>
  <c r="O351" i="20"/>
  <c r="X351" i="20"/>
  <c r="J351" i="20"/>
  <c r="Y351" i="20"/>
  <c r="L351" i="20"/>
  <c r="AB351" i="20"/>
  <c r="AB370" i="20"/>
  <c r="Z370" i="20"/>
  <c r="B351" i="20"/>
  <c r="K351" i="20"/>
  <c r="G370" i="20"/>
  <c r="B370" i="20"/>
  <c r="J370" i="20"/>
  <c r="Z351" i="20"/>
  <c r="AA351" i="20"/>
  <c r="F351" i="20"/>
  <c r="C351" i="20"/>
  <c r="H351" i="20"/>
  <c r="P351" i="20"/>
  <c r="W351" i="20"/>
  <c r="K370" i="20"/>
  <c r="V370" i="20"/>
  <c r="AC370" i="20"/>
  <c r="AD370" i="20"/>
  <c r="C370" i="20"/>
  <c r="X370" i="20"/>
  <c r="T351" i="20"/>
  <c r="AD351" i="20"/>
  <c r="Q370" i="20"/>
  <c r="U370" i="20"/>
  <c r="V351" i="20"/>
  <c r="R351" i="20"/>
  <c r="U351" i="20"/>
  <c r="N351" i="20"/>
  <c r="E351" i="20"/>
  <c r="D370" i="20"/>
  <c r="W370" i="20"/>
  <c r="I351" i="20"/>
  <c r="P370" i="20"/>
  <c r="L370" i="20"/>
  <c r="E370" i="20"/>
  <c r="S351" i="20"/>
  <c r="AA370" i="20"/>
  <c r="AE370" i="20"/>
  <c r="Q351" i="20"/>
  <c r="H370" i="20"/>
  <c r="R370" i="20"/>
  <c r="M351" i="20"/>
  <c r="BW75" i="14"/>
  <c r="I71" i="43" s="1"/>
  <c r="EM67" i="14"/>
  <c r="DI67" i="14" s="1"/>
  <c r="V319" i="20"/>
  <c r="BU67" i="14"/>
  <c r="G63" i="43" s="1"/>
  <c r="C167" i="20"/>
  <c r="EQ20" i="14"/>
  <c r="DM20" i="14" s="1"/>
  <c r="BY20" i="14"/>
  <c r="K16" i="43" s="1"/>
  <c r="BC26" i="14" a="1"/>
  <c r="BC26" i="14" s="1"/>
  <c r="EY26" i="14" s="1"/>
  <c r="DU26" i="14" s="1"/>
  <c r="BW62" i="14"/>
  <c r="I58" i="43" s="1"/>
  <c r="J151" i="20"/>
  <c r="BD25" i="14" a="1"/>
  <c r="BD25" i="14" s="1"/>
  <c r="EZ25" i="14" s="1"/>
  <c r="DV25" i="14" s="1"/>
  <c r="EL67" i="14"/>
  <c r="DH67" i="14" s="1"/>
  <c r="BF68" i="14" a="1"/>
  <c r="BF68" i="14" s="1"/>
  <c r="CJ68" i="14" s="1"/>
  <c r="V64" i="43" s="1"/>
  <c r="EP43" i="14"/>
  <c r="DL43" i="14" s="1"/>
  <c r="Y344" i="20"/>
  <c r="BS72" i="14"/>
  <c r="E68" i="43" s="1"/>
  <c r="AB344" i="20"/>
  <c r="ED102" i="14"/>
  <c r="CZ102" i="14" s="1"/>
  <c r="IT102" i="14" s="1"/>
  <c r="BV102" i="14"/>
  <c r="H98" i="43" s="1"/>
  <c r="E338" i="20"/>
  <c r="BG82" i="14" a="1"/>
  <c r="BG82" i="14" s="1"/>
  <c r="CK82" i="14" s="1"/>
  <c r="W78" i="43" s="1"/>
  <c r="EG102" i="14"/>
  <c r="DC102" i="14" s="1"/>
  <c r="X167" i="20"/>
  <c r="CR95" i="14"/>
  <c r="AD91" i="43" s="1"/>
  <c r="I319" i="20"/>
  <c r="K338" i="20"/>
  <c r="L325" i="20"/>
  <c r="I246" i="20"/>
  <c r="CD67" i="14"/>
  <c r="P63" i="43" s="1"/>
  <c r="CF95" i="14"/>
  <c r="R91" i="43" s="1"/>
  <c r="Q344" i="20"/>
  <c r="X325" i="20"/>
  <c r="C189" i="20"/>
  <c r="R344" i="20"/>
  <c r="EP46" i="14"/>
  <c r="DL46" i="14" s="1"/>
  <c r="AC344" i="20"/>
  <c r="H325" i="20"/>
  <c r="BT67" i="14"/>
  <c r="F63" i="43" s="1"/>
  <c r="EL39" i="14"/>
  <c r="DH39" i="14" s="1"/>
  <c r="N338" i="20"/>
  <c r="M338" i="20"/>
  <c r="C344" i="20"/>
  <c r="D338" i="20"/>
  <c r="AB15" i="20"/>
  <c r="E167" i="20"/>
  <c r="EK64" i="14"/>
  <c r="DG64" i="14" s="1"/>
  <c r="AB338" i="20"/>
  <c r="W325" i="20"/>
  <c r="P338" i="20"/>
  <c r="AZ49" i="14" a="1"/>
  <c r="AZ49" i="14" s="1"/>
  <c r="CD49" i="14" s="1"/>
  <c r="P45" i="43" s="1"/>
  <c r="R167" i="20"/>
  <c r="F325" i="20"/>
  <c r="AC338" i="20"/>
  <c r="I344" i="20"/>
  <c r="X344" i="20"/>
  <c r="U319" i="20"/>
  <c r="H319" i="20"/>
  <c r="AA325" i="20"/>
  <c r="AB325" i="20"/>
  <c r="CB72" i="14"/>
  <c r="N68" i="43" s="1"/>
  <c r="AE167" i="20"/>
  <c r="BV60" i="14"/>
  <c r="H56" i="43" s="1"/>
  <c r="EM62" i="14"/>
  <c r="DI62" i="14" s="1"/>
  <c r="AX78" i="14" a="1"/>
  <c r="AX78" i="14" s="1"/>
  <c r="BC78" i="14" s="1" a="1"/>
  <c r="BC78" i="14" s="1"/>
  <c r="CG78" i="14" s="1"/>
  <c r="S74" i="43" s="1"/>
  <c r="BA83" i="14" a="1"/>
  <c r="BA83" i="14" s="1"/>
  <c r="BK83" i="14" s="1" a="1"/>
  <c r="BK83" i="14" s="1"/>
  <c r="CO83" i="14" s="1"/>
  <c r="AA79" i="43" s="1"/>
  <c r="K319" i="20"/>
  <c r="BH77" i="14" a="1"/>
  <c r="BH77" i="14" s="1"/>
  <c r="CL77" i="14" s="1"/>
  <c r="X73" i="43" s="1"/>
  <c r="EK49" i="14"/>
  <c r="DG49" i="14" s="1"/>
  <c r="K344" i="20"/>
  <c r="EP26" i="14"/>
  <c r="DL26" i="14" s="1"/>
  <c r="EP103" i="14"/>
  <c r="DL103" i="14" s="1"/>
  <c r="U167" i="20"/>
  <c r="AY49" i="14" a="1"/>
  <c r="AY49" i="14" s="1"/>
  <c r="CC49" i="14" s="1"/>
  <c r="O45" i="43" s="1"/>
  <c r="AA344" i="20"/>
  <c r="ET77" i="14"/>
  <c r="DP77" i="14" s="1"/>
  <c r="J344" i="20"/>
  <c r="O15" i="20"/>
  <c r="U338" i="20"/>
  <c r="O167" i="20"/>
  <c r="AB167" i="20"/>
  <c r="BW78" i="14"/>
  <c r="I74" i="43" s="1"/>
  <c r="EJ79" i="14"/>
  <c r="DF79" i="14" s="1"/>
  <c r="BE67" i="14" a="1"/>
  <c r="BE67" i="14" s="1"/>
  <c r="CI67" i="14" s="1"/>
  <c r="U63" i="43" s="1"/>
  <c r="I338" i="20"/>
  <c r="CH26" i="14"/>
  <c r="T22" i="43" s="1"/>
  <c r="BN26" i="14" a="1"/>
  <c r="BN26" i="14" s="1"/>
  <c r="CR26" i="14" s="1"/>
  <c r="AD22" i="43" s="1"/>
  <c r="AY24" i="14" a="1"/>
  <c r="AY24" i="14" s="1"/>
  <c r="CC24" i="14" s="1"/>
  <c r="O20" i="43" s="1"/>
  <c r="BS71" i="14"/>
  <c r="E67" i="43" s="1"/>
  <c r="BX103" i="14"/>
  <c r="J99" i="43" s="1"/>
  <c r="F167" i="20"/>
  <c r="BX60" i="14"/>
  <c r="J56" i="43" s="1"/>
  <c r="W319" i="20"/>
  <c r="Z319" i="20"/>
  <c r="BS68" i="14"/>
  <c r="E64" i="43" s="1"/>
  <c r="BC58" i="14" a="1"/>
  <c r="BC58" i="14" s="1"/>
  <c r="BM58" i="14" s="1" a="1"/>
  <c r="BM58" i="14" s="1"/>
  <c r="CQ58" i="14" s="1"/>
  <c r="AC54" i="43" s="1"/>
  <c r="EK24" i="14"/>
  <c r="DG24" i="14" s="1"/>
  <c r="BW58" i="14"/>
  <c r="I54" i="43" s="1"/>
  <c r="BT72" i="14"/>
  <c r="F68" i="43" s="1"/>
  <c r="AE319" i="20"/>
  <c r="AZ83" i="14" a="1"/>
  <c r="AZ83" i="14" s="1"/>
  <c r="CD83" i="14" s="1"/>
  <c r="P79" i="43" s="1"/>
  <c r="AE338" i="20"/>
  <c r="BB86" i="14" a="1"/>
  <c r="BB86" i="14" s="1"/>
  <c r="CF86" i="14" s="1"/>
  <c r="R82" i="43" s="1"/>
  <c r="BC42" i="14" a="1"/>
  <c r="BC42" i="14" s="1"/>
  <c r="EY42" i="14" s="1"/>
  <c r="DU42" i="14" s="1"/>
  <c r="BA47" i="14" a="1"/>
  <c r="BA47" i="14" s="1"/>
  <c r="BK47" i="14" s="1" a="1"/>
  <c r="BK47" i="14" s="1"/>
  <c r="CO47" i="14" s="1"/>
  <c r="AA43" i="43" s="1"/>
  <c r="X338" i="20"/>
  <c r="E56" i="20"/>
  <c r="BV44" i="14"/>
  <c r="H40" i="43" s="1"/>
  <c r="EI44" i="14"/>
  <c r="DE44" i="14" s="1"/>
  <c r="J325" i="20"/>
  <c r="AE344" i="20"/>
  <c r="E319" i="20"/>
  <c r="AD325" i="20"/>
  <c r="AD338" i="20"/>
  <c r="J338" i="20"/>
  <c r="V325" i="20"/>
  <c r="EH87" i="14"/>
  <c r="DD87" i="14" s="1"/>
  <c r="R319" i="20"/>
  <c r="BU47" i="14"/>
  <c r="G43" i="43" s="1"/>
  <c r="F338" i="20"/>
  <c r="BT27" i="14"/>
  <c r="F23" i="43" s="1"/>
  <c r="BC54" i="14" a="1"/>
  <c r="BC54" i="14" s="1"/>
  <c r="EY54" i="14" s="1"/>
  <c r="DU54" i="14" s="1"/>
  <c r="AC167" i="20"/>
  <c r="P167" i="20"/>
  <c r="BV11" i="14"/>
  <c r="H7" i="43" s="1"/>
  <c r="CL95" i="14"/>
  <c r="X91" i="43" s="1"/>
  <c r="W167" i="20"/>
  <c r="EM87" i="14"/>
  <c r="DI87" i="14" s="1"/>
  <c r="G167" i="20"/>
  <c r="F319" i="20"/>
  <c r="EI95" i="14"/>
  <c r="DE95" i="14" s="1"/>
  <c r="AX79" i="14" a="1"/>
  <c r="AX79" i="14" s="1"/>
  <c r="BC79" i="14" s="1" a="1"/>
  <c r="BC79" i="14" s="1"/>
  <c r="BH79" i="14" s="1" a="1"/>
  <c r="BH79" i="14" s="1"/>
  <c r="AY66" i="14" a="1"/>
  <c r="AY66" i="14" s="1"/>
  <c r="CC66" i="14" s="1"/>
  <c r="O62" i="43" s="1"/>
  <c r="BY66" i="14"/>
  <c r="K62" i="43" s="1"/>
  <c r="AZ64" i="14" a="1"/>
  <c r="AZ64" i="14" s="1"/>
  <c r="CD64" i="14" s="1"/>
  <c r="P60" i="43" s="1"/>
  <c r="AZ39" i="14" a="1"/>
  <c r="AZ39" i="14" s="1"/>
  <c r="CD39" i="14" s="1"/>
  <c r="P35" i="43" s="1"/>
  <c r="CA86" i="14"/>
  <c r="M82" i="43" s="1"/>
  <c r="BW83" i="14"/>
  <c r="I79" i="43" s="1"/>
  <c r="BY81" i="14"/>
  <c r="K77" i="43" s="1"/>
  <c r="BG81" i="14" a="1"/>
  <c r="BG81" i="14" s="1"/>
  <c r="FC81" i="14" s="1"/>
  <c r="DY81" i="14" s="1"/>
  <c r="EL64" i="14"/>
  <c r="DH64" i="14" s="1"/>
  <c r="AA167" i="20"/>
  <c r="BU93" i="14"/>
  <c r="G89" i="43" s="1"/>
  <c r="X319" i="20"/>
  <c r="EM83" i="14"/>
  <c r="DI83" i="14" s="1"/>
  <c r="BD43" i="14" a="1"/>
  <c r="BD43" i="14" s="1"/>
  <c r="CH43" i="14" s="1"/>
  <c r="T39" i="43" s="1"/>
  <c r="T338" i="20"/>
  <c r="CA81" i="14"/>
  <c r="M77" i="43" s="1"/>
  <c r="ER68" i="14"/>
  <c r="DN68" i="14" s="1"/>
  <c r="EO62" i="14"/>
  <c r="DK62" i="14" s="1"/>
  <c r="EO42" i="14"/>
  <c r="DK42" i="14" s="1"/>
  <c r="BT49" i="14"/>
  <c r="F45" i="43" s="1"/>
  <c r="EO26" i="14"/>
  <c r="DK26" i="14" s="1"/>
  <c r="W417" i="20"/>
  <c r="C338" i="20"/>
  <c r="EI86" i="14"/>
  <c r="DE86" i="14" s="1"/>
  <c r="CS95" i="14"/>
  <c r="AE91" i="43" s="1"/>
  <c r="EL83" i="14"/>
  <c r="DH83" i="14" s="1"/>
  <c r="C151" i="20"/>
  <c r="CO95" i="14"/>
  <c r="AA91" i="43" s="1"/>
  <c r="BY95" i="14"/>
  <c r="K91" i="43" s="1"/>
  <c r="BG83" i="14" a="1"/>
  <c r="BG83" i="14" s="1"/>
  <c r="BQ83" i="14" s="1" a="1"/>
  <c r="BQ83" i="14" s="1"/>
  <c r="CU83" i="14" s="1"/>
  <c r="AG79" i="43" s="1"/>
  <c r="BF49" i="14" a="1"/>
  <c r="BF49" i="14" s="1"/>
  <c r="BP49" i="14" s="1" a="1"/>
  <c r="BP49" i="14" s="1"/>
  <c r="CT49" i="14" s="1"/>
  <c r="AF45" i="43" s="1"/>
  <c r="BG48" i="14" a="1"/>
  <c r="BG48" i="14" s="1"/>
  <c r="CK48" i="14" s="1"/>
  <c r="W44" i="43" s="1"/>
  <c r="BZ49" i="14"/>
  <c r="L45" i="43" s="1"/>
  <c r="BH47" i="14" a="1"/>
  <c r="BH47" i="14" s="1"/>
  <c r="BR47" i="14" s="1" a="1"/>
  <c r="BR47" i="14" s="1"/>
  <c r="CV47" i="14" s="1"/>
  <c r="AH43" i="43" s="1"/>
  <c r="EK7" i="14"/>
  <c r="DG7" i="14" s="1"/>
  <c r="BV24" i="14"/>
  <c r="H20" i="43" s="1"/>
  <c r="K167" i="20"/>
  <c r="EF79" i="14"/>
  <c r="DB79" i="14" s="1"/>
  <c r="IV79" i="14" s="1"/>
  <c r="BB24" i="14" a="1"/>
  <c r="BB24" i="14" s="1"/>
  <c r="CF24" i="14" s="1"/>
  <c r="R20" i="43" s="1"/>
  <c r="BU46" i="14"/>
  <c r="G42" i="43" s="1"/>
  <c r="ET39" i="14"/>
  <c r="DP39" i="14" s="1"/>
  <c r="BX26" i="14"/>
  <c r="J22" i="43" s="1"/>
  <c r="EO27" i="14"/>
  <c r="DK27" i="14" s="1"/>
  <c r="Q15" i="20"/>
  <c r="N344" i="20"/>
  <c r="L338" i="20"/>
  <c r="ES43" i="14"/>
  <c r="DO43" i="14" s="1"/>
  <c r="EQ64" i="14"/>
  <c r="DM64" i="14" s="1"/>
  <c r="ES8" i="14"/>
  <c r="DO8" i="14" s="1"/>
  <c r="BA62" i="14" a="1"/>
  <c r="BA62" i="14" s="1"/>
  <c r="EW62" i="14" s="1"/>
  <c r="DS62" i="14" s="1"/>
  <c r="BE64" i="14" a="1"/>
  <c r="BE64" i="14" s="1"/>
  <c r="FA64" i="14" s="1"/>
  <c r="DW64" i="14" s="1"/>
  <c r="BX8" i="14"/>
  <c r="J4" i="43" s="1"/>
  <c r="H338" i="20"/>
  <c r="BD60" i="14" a="1"/>
  <c r="BD60" i="14" s="1"/>
  <c r="EZ60" i="14" s="1"/>
  <c r="DV60" i="14" s="1"/>
  <c r="BD8" i="14" a="1"/>
  <c r="BD8" i="14" s="1"/>
  <c r="CH8" i="14" s="1"/>
  <c r="T4" i="43" s="1"/>
  <c r="BY72" i="14"/>
  <c r="K68" i="43" s="1"/>
  <c r="CA8" i="14"/>
  <c r="M4" i="43" s="1"/>
  <c r="BS102" i="14"/>
  <c r="E98" i="43" s="1"/>
  <c r="BE54" i="14" a="1"/>
  <c r="BE54" i="14" s="1"/>
  <c r="BO54" i="14" s="1" a="1"/>
  <c r="BO54" i="14" s="1"/>
  <c r="CS54" i="14" s="1"/>
  <c r="AE50" i="43" s="1"/>
  <c r="ET47" i="14"/>
  <c r="DP47" i="14" s="1"/>
  <c r="N167" i="20"/>
  <c r="Q319" i="20"/>
  <c r="BX41" i="14"/>
  <c r="J37" i="43" s="1"/>
  <c r="E15" i="20"/>
  <c r="D15" i="20"/>
  <c r="D432" i="20"/>
  <c r="BX25" i="14"/>
  <c r="J21" i="43" s="1"/>
  <c r="BG43" i="14" a="1"/>
  <c r="BG43" i="14" s="1"/>
  <c r="CK43" i="14" s="1"/>
  <c r="W39" i="43" s="1"/>
  <c r="AY7" i="14" a="1"/>
  <c r="AY7" i="14" s="1"/>
  <c r="EU7" i="14" s="1"/>
  <c r="DQ7" i="14" s="1"/>
  <c r="E432" i="20"/>
  <c r="BY43" i="14"/>
  <c r="K39" i="43" s="1"/>
  <c r="P15" i="20"/>
  <c r="BF40" i="14" a="1"/>
  <c r="BF40" i="14" s="1"/>
  <c r="CJ40" i="14" s="1"/>
  <c r="V36" i="43" s="1"/>
  <c r="BX71" i="14"/>
  <c r="J67" i="43" s="1"/>
  <c r="BA20" i="14" a="1"/>
  <c r="BA20" i="14" s="1"/>
  <c r="CE20" i="14" s="1"/>
  <c r="Q16" i="43" s="1"/>
  <c r="AZ20" i="14" a="1"/>
  <c r="AZ20" i="14" s="1"/>
  <c r="EV20" i="14" s="1"/>
  <c r="DR20" i="14" s="1"/>
  <c r="CB71" i="14"/>
  <c r="N67" i="43" s="1"/>
  <c r="CK95" i="14"/>
  <c r="W91" i="43" s="1"/>
  <c r="BV41" i="14"/>
  <c r="H37" i="43" s="1"/>
  <c r="AW11" i="14" a="1"/>
  <c r="AW11" i="14" s="1"/>
  <c r="BB11" i="14" s="1" a="1"/>
  <c r="BB11" i="14" s="1"/>
  <c r="ES11" i="14" s="1"/>
  <c r="DO11" i="14" s="1"/>
  <c r="BB41" i="14" a="1"/>
  <c r="BB41" i="14" s="1"/>
  <c r="EX41" i="14" s="1"/>
  <c r="DT41" i="14" s="1"/>
  <c r="BZ40" i="14"/>
  <c r="L36" i="43" s="1"/>
  <c r="Q338" i="20"/>
  <c r="BU72" i="14"/>
  <c r="G68" i="43" s="1"/>
  <c r="EQ76" i="14"/>
  <c r="DM76" i="14" s="1"/>
  <c r="EQ40" i="14"/>
  <c r="DM40" i="14" s="1"/>
  <c r="AA15" i="20"/>
  <c r="ET27" i="14"/>
  <c r="DP27" i="14" s="1"/>
  <c r="BD62" i="14" a="1"/>
  <c r="BD62" i="14" s="1"/>
  <c r="EZ62" i="14" s="1"/>
  <c r="DV62" i="14" s="1"/>
  <c r="I167" i="20"/>
  <c r="B167" i="20"/>
  <c r="N325" i="20"/>
  <c r="K417" i="20"/>
  <c r="BW81" i="14"/>
  <c r="I77" i="43" s="1"/>
  <c r="S344" i="20"/>
  <c r="V167" i="20"/>
  <c r="AY72" i="14" a="1"/>
  <c r="AY72" i="14" s="1"/>
  <c r="EU72" i="14" s="1"/>
  <c r="DQ72" i="14" s="1"/>
  <c r="R338" i="20"/>
  <c r="AC15" i="20"/>
  <c r="EM60" i="14"/>
  <c r="DI60" i="14" s="1"/>
  <c r="BF21" i="14" a="1"/>
  <c r="BF21" i="14" s="1"/>
  <c r="BP21" i="14" s="1" a="1"/>
  <c r="BP21" i="14" s="1"/>
  <c r="CT21" i="14" s="1"/>
  <c r="AF17" i="43" s="1"/>
  <c r="EK83" i="14"/>
  <c r="DG83" i="14" s="1"/>
  <c r="JA83" i="14" s="1"/>
  <c r="BU73" i="14"/>
  <c r="G69" i="43" s="1"/>
  <c r="EJ44" i="14"/>
  <c r="DF44" i="14" s="1"/>
  <c r="Q414" i="20"/>
  <c r="BV95" i="14"/>
  <c r="H91" i="43" s="1"/>
  <c r="S167" i="20"/>
  <c r="B155" i="20"/>
  <c r="BX72" i="14"/>
  <c r="J68" i="43" s="1"/>
  <c r="BG72" i="14" a="1"/>
  <c r="BG72" i="14" s="1"/>
  <c r="BQ72" i="14" s="1" a="1"/>
  <c r="BQ72" i="14" s="1"/>
  <c r="CU72" i="14" s="1"/>
  <c r="AG68" i="43" s="1"/>
  <c r="BZ87" i="14"/>
  <c r="L83" i="43" s="1"/>
  <c r="G319" i="20"/>
  <c r="EL81" i="14"/>
  <c r="DH81" i="14" s="1"/>
  <c r="BE76" i="14" a="1"/>
  <c r="BE76" i="14" s="1"/>
  <c r="BO76" i="14" s="1" a="1"/>
  <c r="BO76" i="14" s="1"/>
  <c r="CS76" i="14" s="1"/>
  <c r="AE72" i="43" s="1"/>
  <c r="D154" i="20"/>
  <c r="BB43" i="14" a="1"/>
  <c r="BB43" i="14" s="1"/>
  <c r="CF43" i="14" s="1"/>
  <c r="R39" i="43" s="1"/>
  <c r="BG47" i="14" a="1"/>
  <c r="BG47" i="14" s="1"/>
  <c r="CK47" i="14" s="1"/>
  <c r="W43" i="43" s="1"/>
  <c r="EK82" i="14"/>
  <c r="DG82" i="14" s="1"/>
  <c r="EM20" i="14"/>
  <c r="DI20" i="14" s="1"/>
  <c r="P319" i="20"/>
  <c r="H246" i="20"/>
  <c r="BX62" i="14"/>
  <c r="J58" i="43" s="1"/>
  <c r="Y319" i="20"/>
  <c r="EP41" i="14"/>
  <c r="DL41" i="14" s="1"/>
  <c r="CA47" i="14"/>
  <c r="M43" i="43" s="1"/>
  <c r="P325" i="20"/>
  <c r="BE47" i="14" a="1"/>
  <c r="BE47" i="14" s="1"/>
  <c r="BO47" i="14" s="1" a="1"/>
  <c r="BO47" i="14" s="1"/>
  <c r="CS47" i="14" s="1"/>
  <c r="AE43" i="43" s="1"/>
  <c r="ER46" i="14"/>
  <c r="DN46" i="14" s="1"/>
  <c r="BX40" i="14"/>
  <c r="J36" i="43" s="1"/>
  <c r="CA72" i="14"/>
  <c r="M68" i="43" s="1"/>
  <c r="BS47" i="14"/>
  <c r="E43" i="43" s="1"/>
  <c r="D325" i="20"/>
  <c r="ES60" i="14"/>
  <c r="DO60" i="14" s="1"/>
  <c r="BA27" i="14" a="1"/>
  <c r="BA27" i="14" s="1"/>
  <c r="CE27" i="14" s="1"/>
  <c r="Q23" i="43" s="1"/>
  <c r="ER10" i="14"/>
  <c r="DN10" i="14" s="1"/>
  <c r="BU87" i="14"/>
  <c r="G83" i="43" s="1"/>
  <c r="J154" i="20"/>
  <c r="EK62" i="14"/>
  <c r="DG62" i="14" s="1"/>
  <c r="EP72" i="14"/>
  <c r="DL72" i="14" s="1"/>
  <c r="BV8" i="14"/>
  <c r="H4" i="43" s="1"/>
  <c r="Q167" i="20"/>
  <c r="Z167" i="20"/>
  <c r="W344" i="20"/>
  <c r="AZ81" i="14" a="1"/>
  <c r="AZ81" i="14" s="1"/>
  <c r="BJ81" i="14" s="1" a="1"/>
  <c r="BJ81" i="14" s="1"/>
  <c r="CN81" i="14" s="1"/>
  <c r="Z77" i="43" s="1"/>
  <c r="EO81" i="14"/>
  <c r="DK81" i="14" s="1"/>
  <c r="EP77" i="14"/>
  <c r="DL77" i="14" s="1"/>
  <c r="EU68" i="14"/>
  <c r="DQ68" i="14" s="1"/>
  <c r="BC43" i="14" a="1"/>
  <c r="BC43" i="14" s="1"/>
  <c r="BM43" i="14" s="1" a="1"/>
  <c r="BM43" i="14" s="1"/>
  <c r="CQ43" i="14" s="1"/>
  <c r="AC39" i="43" s="1"/>
  <c r="BC87" i="14" a="1"/>
  <c r="BC87" i="14" s="1"/>
  <c r="BH87" i="14" s="1" a="1"/>
  <c r="BH87" i="14" s="1"/>
  <c r="BM87" i="14" s="1" a="1"/>
  <c r="BM87" i="14" s="1"/>
  <c r="FD87" i="14" s="1"/>
  <c r="DZ87" i="14" s="1"/>
  <c r="BF81" i="14" a="1"/>
  <c r="BF81" i="14" s="1"/>
  <c r="CJ81" i="14" s="1"/>
  <c r="V77" i="43" s="1"/>
  <c r="AZ61" i="14" a="1"/>
  <c r="AZ61" i="14" s="1"/>
  <c r="EV61" i="14" s="1"/>
  <c r="DR61" i="14" s="1"/>
  <c r="M167" i="20"/>
  <c r="IQ102" i="14"/>
  <c r="EH78" i="14"/>
  <c r="DD78" i="14" s="1"/>
  <c r="BH64" i="14" a="1"/>
  <c r="BH64" i="14" s="1"/>
  <c r="CL64" i="14" s="1"/>
  <c r="X60" i="43" s="1"/>
  <c r="BZ103" i="14"/>
  <c r="L99" i="43" s="1"/>
  <c r="EO103" i="14"/>
  <c r="DK103" i="14" s="1"/>
  <c r="BT82" i="14"/>
  <c r="F78" i="43" s="1"/>
  <c r="G246" i="20"/>
  <c r="BE71" i="14" a="1"/>
  <c r="BE71" i="14" s="1"/>
  <c r="FA71" i="14" s="1"/>
  <c r="DW71" i="14" s="1"/>
  <c r="EQ71" i="14"/>
  <c r="DM71" i="14" s="1"/>
  <c r="EP39" i="14"/>
  <c r="DL39" i="14" s="1"/>
  <c r="BD39" i="14" a="1"/>
  <c r="BD39" i="14" s="1"/>
  <c r="CH39" i="14" s="1"/>
  <c r="T35" i="43" s="1"/>
  <c r="EO47" i="14"/>
  <c r="DK47" i="14" s="1"/>
  <c r="CH83" i="14"/>
  <c r="T79" i="43" s="1"/>
  <c r="AZ66" i="14" a="1"/>
  <c r="AZ66" i="14" s="1"/>
  <c r="BJ66" i="14" s="1" a="1"/>
  <c r="BJ66" i="14" s="1"/>
  <c r="CN66" i="14" s="1"/>
  <c r="Z62" i="43" s="1"/>
  <c r="ER71" i="14"/>
  <c r="DN71" i="14" s="1"/>
  <c r="BF71" i="14" a="1"/>
  <c r="BF71" i="14" s="1"/>
  <c r="CJ71" i="14" s="1"/>
  <c r="V67" i="43" s="1"/>
  <c r="BH61" i="14" a="1"/>
  <c r="BH61" i="14" s="1"/>
  <c r="FD61" i="14" s="1"/>
  <c r="DZ61" i="14" s="1"/>
  <c r="CC64" i="14"/>
  <c r="O60" i="43" s="1"/>
  <c r="EU64" i="14"/>
  <c r="DQ64" i="14" s="1"/>
  <c r="BE58" i="14" a="1"/>
  <c r="BE58" i="14" s="1"/>
  <c r="BY58" i="14"/>
  <c r="K54" i="43" s="1"/>
  <c r="BB48" i="14" a="1"/>
  <c r="BB48" i="14" s="1"/>
  <c r="EX48" i="14" s="1"/>
  <c r="DT48" i="14" s="1"/>
  <c r="BC47" i="14" a="1"/>
  <c r="BC47" i="14" s="1"/>
  <c r="CG47" i="14" s="1"/>
  <c r="S43" i="43" s="1"/>
  <c r="EK20" i="14"/>
  <c r="DG20" i="14" s="1"/>
  <c r="BS20" i="14"/>
  <c r="E16" i="43" s="1"/>
  <c r="EL26" i="14"/>
  <c r="DH26" i="14" s="1"/>
  <c r="BT26" i="14"/>
  <c r="F22" i="43" s="1"/>
  <c r="BE77" i="14" a="1"/>
  <c r="BE77" i="14" s="1"/>
  <c r="CI77" i="14" s="1"/>
  <c r="U73" i="43" s="1"/>
  <c r="AZ47" i="14" a="1"/>
  <c r="AZ47" i="14" s="1"/>
  <c r="BJ47" i="14" s="1" a="1"/>
  <c r="BJ47" i="14" s="1"/>
  <c r="CN47" i="14" s="1"/>
  <c r="Z43" i="43" s="1"/>
  <c r="BT47" i="14"/>
  <c r="F43" i="43" s="1"/>
  <c r="BE103" i="14" a="1"/>
  <c r="BE103" i="14" s="1"/>
  <c r="CI103" i="14" s="1"/>
  <c r="U99" i="43" s="1"/>
  <c r="AD319" i="20"/>
  <c r="L174" i="20"/>
  <c r="BH81" i="14" a="1"/>
  <c r="BH81" i="14" s="1"/>
  <c r="FD81" i="14" s="1"/>
  <c r="DZ81" i="14" s="1"/>
  <c r="AY76" i="14" a="1"/>
  <c r="AY76" i="14" s="1"/>
  <c r="BI76" i="14" s="1" a="1"/>
  <c r="BI76" i="14" s="1"/>
  <c r="CM76" i="14" s="1"/>
  <c r="Y72" i="43" s="1"/>
  <c r="ET48" i="14"/>
  <c r="DP48" i="14" s="1"/>
  <c r="EM26" i="14"/>
  <c r="DI26" i="14" s="1"/>
  <c r="BA26" i="14" a="1"/>
  <c r="BA26" i="14" s="1"/>
  <c r="EW26" i="14" s="1"/>
  <c r="DS26" i="14" s="1"/>
  <c r="EQ103" i="14"/>
  <c r="DM103" i="14" s="1"/>
  <c r="CB76" i="14"/>
  <c r="N72" i="43" s="1"/>
  <c r="BW60" i="14"/>
  <c r="I56" i="43" s="1"/>
  <c r="EQ58" i="14"/>
  <c r="DM58" i="14" s="1"/>
  <c r="BF61" i="14" a="1"/>
  <c r="BF61" i="14" s="1"/>
  <c r="BP61" i="14" s="1" a="1"/>
  <c r="BP61" i="14" s="1"/>
  <c r="CT61" i="14" s="1"/>
  <c r="AF57" i="43" s="1"/>
  <c r="CB20" i="14"/>
  <c r="N16" i="43" s="1"/>
  <c r="ES26" i="14"/>
  <c r="DO26" i="14" s="1"/>
  <c r="BG26" i="14" a="1"/>
  <c r="BG26" i="14" s="1"/>
  <c r="CK26" i="14" s="1"/>
  <c r="W22" i="43" s="1"/>
  <c r="BH7" i="14" a="1"/>
  <c r="BH7" i="14" s="1"/>
  <c r="ET7" i="14"/>
  <c r="DP7" i="14" s="1"/>
  <c r="CB7" i="14"/>
  <c r="N3" i="43" s="1"/>
  <c r="BC103" i="14" a="1"/>
  <c r="BC103" i="14" s="1"/>
  <c r="EY103" i="14" s="1"/>
  <c r="DU103" i="14" s="1"/>
  <c r="CG73" i="14"/>
  <c r="S69" i="43" s="1"/>
  <c r="BY71" i="14"/>
  <c r="K67" i="43" s="1"/>
  <c r="B53" i="20"/>
  <c r="ET73" i="14"/>
  <c r="DP73" i="14" s="1"/>
  <c r="BH73" i="14" a="1"/>
  <c r="BH73" i="14" s="1"/>
  <c r="CL73" i="14" s="1"/>
  <c r="X69" i="43" s="1"/>
  <c r="EX20" i="14"/>
  <c r="DT20" i="14" s="1"/>
  <c r="CF20" i="14"/>
  <c r="R16" i="43" s="1"/>
  <c r="AY20" i="14" a="1"/>
  <c r="AY20" i="14" s="1"/>
  <c r="BU61" i="14"/>
  <c r="G57" i="43" s="1"/>
  <c r="BA61" i="14" a="1"/>
  <c r="BA61" i="14" s="1"/>
  <c r="EW61" i="14" s="1"/>
  <c r="DS61" i="14" s="1"/>
  <c r="BY25" i="14"/>
  <c r="K21" i="43" s="1"/>
  <c r="BE25" i="14" a="1"/>
  <c r="BE25" i="14" s="1"/>
  <c r="BO25" i="14" s="1" a="1"/>
  <c r="BO25" i="14" s="1"/>
  <c r="CS25" i="14" s="1"/>
  <c r="AE21" i="43" s="1"/>
  <c r="EQ25" i="14"/>
  <c r="DM25" i="14" s="1"/>
  <c r="EO24" i="14"/>
  <c r="DK24" i="14" s="1"/>
  <c r="BW24" i="14"/>
  <c r="I20" i="43" s="1"/>
  <c r="EP9" i="14"/>
  <c r="DL9" i="14" s="1"/>
  <c r="BD9" i="14" a="1"/>
  <c r="BD9" i="14" s="1"/>
  <c r="BN9" i="14" s="1" a="1"/>
  <c r="BN9" i="14" s="1"/>
  <c r="CR9" i="14" s="1"/>
  <c r="AD5" i="43" s="1"/>
  <c r="BB103" i="14" a="1"/>
  <c r="BB103" i="14" s="1"/>
  <c r="CF103" i="14" s="1"/>
  <c r="R99" i="43" s="1"/>
  <c r="CA93" i="14"/>
  <c r="M89" i="43" s="1"/>
  <c r="BX95" i="14"/>
  <c r="J91" i="43" s="1"/>
  <c r="AD167" i="20"/>
  <c r="J167" i="20"/>
  <c r="B224" i="20"/>
  <c r="B78" i="20"/>
  <c r="B71" i="20" s="1"/>
  <c r="CB73" i="14"/>
  <c r="N69" i="43" s="1"/>
  <c r="BZ71" i="14"/>
  <c r="L67" i="43" s="1"/>
  <c r="EW25" i="14"/>
  <c r="DS25" i="14" s="1"/>
  <c r="BK25" i="14" a="1"/>
  <c r="BK25" i="14" s="1"/>
  <c r="CO25" i="14" s="1"/>
  <c r="AA21" i="43" s="1"/>
  <c r="EJ10" i="14"/>
  <c r="DF10" i="14" s="1"/>
  <c r="BW10" i="14"/>
  <c r="I6" i="43" s="1"/>
  <c r="B34" i="20"/>
  <c r="BA49" i="14" a="1"/>
  <c r="BA49" i="14" s="1"/>
  <c r="BU49" i="14"/>
  <c r="G45" i="43" s="1"/>
  <c r="FC8" i="14"/>
  <c r="DY8" i="14" s="1"/>
  <c r="BQ8" i="14" a="1"/>
  <c r="BQ8" i="14" s="1"/>
  <c r="CU8" i="14" s="1"/>
  <c r="AG4" i="43" s="1"/>
  <c r="CK8" i="14"/>
  <c r="W4" i="43" s="1"/>
  <c r="BG67" i="14" a="1"/>
  <c r="BG67" i="14" s="1"/>
  <c r="CK67" i="14" s="1"/>
  <c r="W63" i="43" s="1"/>
  <c r="CA67" i="14"/>
  <c r="M63" i="43" s="1"/>
  <c r="EK67" i="14"/>
  <c r="DG67" i="14" s="1"/>
  <c r="BS67" i="14"/>
  <c r="E63" i="43" s="1"/>
  <c r="BA93" i="14" a="1"/>
  <c r="BA93" i="14" s="1"/>
  <c r="EW93" i="14" s="1"/>
  <c r="DS93" i="14" s="1"/>
  <c r="EM82" i="14"/>
  <c r="DI82" i="14" s="1"/>
  <c r="BZ81" i="14"/>
  <c r="L77" i="43" s="1"/>
  <c r="IS78" i="14"/>
  <c r="BM81" i="14" a="1"/>
  <c r="BM81" i="14" s="1"/>
  <c r="CQ81" i="14" s="1"/>
  <c r="AC77" i="43" s="1"/>
  <c r="BH76" i="14" a="1"/>
  <c r="BH76" i="14" s="1"/>
  <c r="CL76" i="14" s="1"/>
  <c r="X72" i="43" s="1"/>
  <c r="H167" i="20"/>
  <c r="BC61" i="14" a="1"/>
  <c r="BC61" i="14" s="1"/>
  <c r="CG61" i="14" s="1"/>
  <c r="S57" i="43" s="1"/>
  <c r="EO61" i="14"/>
  <c r="DK61" i="14" s="1"/>
  <c r="EQ23" i="14"/>
  <c r="DM23" i="14" s="1"/>
  <c r="EO60" i="14"/>
  <c r="DK60" i="14" s="1"/>
  <c r="BG49" i="14" a="1"/>
  <c r="BG49" i="14" s="1"/>
  <c r="ES49" i="14"/>
  <c r="DO49" i="14" s="1"/>
  <c r="CA49" i="14"/>
  <c r="M45" i="43" s="1"/>
  <c r="EL50" i="14"/>
  <c r="DH50" i="14" s="1"/>
  <c r="AZ50" i="14" a="1"/>
  <c r="AZ50" i="14" s="1"/>
  <c r="CD50" i="14" s="1"/>
  <c r="P46" i="43" s="1"/>
  <c r="BT50" i="14"/>
  <c r="F46" i="43" s="1"/>
  <c r="BG93" i="14" a="1"/>
  <c r="BG93" i="14" s="1"/>
  <c r="FC93" i="14" s="1"/>
  <c r="DY93" i="14" s="1"/>
  <c r="F173" i="20"/>
  <c r="EQ77" i="14"/>
  <c r="DM77" i="14" s="1"/>
  <c r="BX68" i="14"/>
  <c r="J64" i="43" s="1"/>
  <c r="BE23" i="14" a="1"/>
  <c r="BE23" i="14" s="1"/>
  <c r="FA23" i="14" s="1"/>
  <c r="DW23" i="14" s="1"/>
  <c r="BG40" i="14" a="1"/>
  <c r="BG40" i="14" s="1"/>
  <c r="BQ40" i="14" s="1" a="1"/>
  <c r="BQ40" i="14" s="1"/>
  <c r="CU40" i="14" s="1"/>
  <c r="AG36" i="43" s="1"/>
  <c r="CA40" i="14"/>
  <c r="M36" i="43" s="1"/>
  <c r="ES40" i="14"/>
  <c r="DO40" i="14" s="1"/>
  <c r="BF39" i="14" a="1"/>
  <c r="BF39" i="14" s="1"/>
  <c r="ER39" i="14"/>
  <c r="DN39" i="14" s="1"/>
  <c r="EQ49" i="14"/>
  <c r="DM49" i="14" s="1"/>
  <c r="BE49" i="14" a="1"/>
  <c r="BE49" i="14" s="1"/>
  <c r="FA49" i="14" s="1"/>
  <c r="DW49" i="14" s="1"/>
  <c r="BY49" i="14"/>
  <c r="K45" i="43" s="1"/>
  <c r="BY7" i="14"/>
  <c r="K3" i="43" s="1"/>
  <c r="BE7" i="14" a="1"/>
  <c r="BE7" i="14" s="1"/>
  <c r="FA7" i="14" s="1"/>
  <c r="DW7" i="14" s="1"/>
  <c r="EQ7" i="14"/>
  <c r="DM7" i="14" s="1"/>
  <c r="BZ82" i="14"/>
  <c r="L78" i="43" s="1"/>
  <c r="EV73" i="14"/>
  <c r="DR73" i="14" s="1"/>
  <c r="CD73" i="14"/>
  <c r="P69" i="43" s="1"/>
  <c r="BZ60" i="14"/>
  <c r="L56" i="43" s="1"/>
  <c r="ER60" i="14"/>
  <c r="DN60" i="14" s="1"/>
  <c r="BF60" i="14" a="1"/>
  <c r="BF60" i="14" s="1"/>
  <c r="FB60" i="14" s="1"/>
  <c r="DX60" i="14" s="1"/>
  <c r="E325" i="20"/>
  <c r="AY60" i="14" a="1"/>
  <c r="AY60" i="14" s="1"/>
  <c r="CC60" i="14" s="1"/>
  <c r="O56" i="43" s="1"/>
  <c r="EO46" i="14"/>
  <c r="DK46" i="14" s="1"/>
  <c r="B243" i="20"/>
  <c r="Y167" i="20"/>
  <c r="BC39" i="14" a="1"/>
  <c r="BC39" i="14" s="1"/>
  <c r="CG39" i="14" s="1"/>
  <c r="S35" i="43" s="1"/>
  <c r="ET25" i="14"/>
  <c r="DP25" i="14" s="1"/>
  <c r="EN71" i="14"/>
  <c r="DJ71" i="14" s="1"/>
  <c r="EK60" i="14"/>
  <c r="DG60" i="14" s="1"/>
  <c r="D167" i="20"/>
  <c r="AY25" i="14" a="1"/>
  <c r="AY25" i="14" s="1"/>
  <c r="EU25" i="14" s="1"/>
  <c r="DQ25" i="14" s="1"/>
  <c r="EP71" i="14"/>
  <c r="DL71" i="14" s="1"/>
  <c r="BC27" i="14" a="1"/>
  <c r="BC27" i="14" s="1"/>
  <c r="EY27" i="14" s="1"/>
  <c r="DU27" i="14" s="1"/>
  <c r="AU10" i="14" a="1"/>
  <c r="AU10" i="14" s="1"/>
  <c r="BY10" i="14" s="1"/>
  <c r="K6" i="43" s="1"/>
  <c r="B186" i="20"/>
  <c r="B192" i="20"/>
  <c r="EM27" i="14"/>
  <c r="DI27" i="14" s="1"/>
  <c r="EN43" i="14"/>
  <c r="DJ43" i="14" s="1"/>
  <c r="BB71" i="14" a="1"/>
  <c r="BB71" i="14" s="1"/>
  <c r="T167" i="20"/>
  <c r="EO39" i="14"/>
  <c r="DK39" i="14" s="1"/>
  <c r="M325" i="20"/>
  <c r="BC23" i="14" a="1"/>
  <c r="BC23" i="14" s="1"/>
  <c r="EY23" i="14" s="1"/>
  <c r="DU23" i="14" s="1"/>
  <c r="EM46" i="14"/>
  <c r="DI46" i="14" s="1"/>
  <c r="BC46" i="14" a="1"/>
  <c r="BC46" i="14" s="1"/>
  <c r="BM46" i="14" s="1" a="1"/>
  <c r="BM46" i="14" s="1"/>
  <c r="CQ46" i="14" s="1"/>
  <c r="AC42" i="43" s="1"/>
  <c r="E155" i="20"/>
  <c r="CL41" i="14"/>
  <c r="X37" i="43" s="1"/>
  <c r="BR41" i="14" a="1"/>
  <c r="BR41" i="14" s="1"/>
  <c r="CV41" i="14" s="1"/>
  <c r="AH37" i="43" s="1"/>
  <c r="AY81" i="14" a="1"/>
  <c r="AY81" i="14" s="1"/>
  <c r="EU81" i="14" s="1"/>
  <c r="DQ81" i="14" s="1"/>
  <c r="EK81" i="14"/>
  <c r="DG81" i="14" s="1"/>
  <c r="EN62" i="14"/>
  <c r="DJ62" i="14" s="1"/>
  <c r="EP64" i="14"/>
  <c r="DL64" i="14" s="1"/>
  <c r="BX64" i="14"/>
  <c r="J60" i="43" s="1"/>
  <c r="ER73" i="14"/>
  <c r="DN73" i="14" s="1"/>
  <c r="BF73" i="14" a="1"/>
  <c r="BF73" i="14" s="1"/>
  <c r="BP73" i="14" s="1" a="1"/>
  <c r="BP73" i="14" s="1"/>
  <c r="CT73" i="14" s="1"/>
  <c r="AF69" i="43" s="1"/>
  <c r="EL48" i="14"/>
  <c r="DH48" i="14" s="1"/>
  <c r="AZ48" i="14" a="1"/>
  <c r="AZ48" i="14" s="1"/>
  <c r="BJ48" i="14" s="1" a="1"/>
  <c r="BJ48" i="14" s="1"/>
  <c r="CN48" i="14" s="1"/>
  <c r="Z44" i="43" s="1"/>
  <c r="BV83" i="14"/>
  <c r="H79" i="43" s="1"/>
  <c r="BX82" i="14"/>
  <c r="J78" i="43" s="1"/>
  <c r="BD82" i="14" a="1"/>
  <c r="BD82" i="14" s="1"/>
  <c r="CH82" i="14" s="1"/>
  <c r="T78" i="43" s="1"/>
  <c r="EP82" i="14"/>
  <c r="DL82" i="14" s="1"/>
  <c r="BT87" i="14"/>
  <c r="F83" i="43" s="1"/>
  <c r="AU87" i="14" a="1"/>
  <c r="AU87" i="14" s="1"/>
  <c r="BY62" i="14"/>
  <c r="K58" i="43" s="1"/>
  <c r="EQ62" i="14"/>
  <c r="DM62" i="14" s="1"/>
  <c r="BE62" i="14" a="1"/>
  <c r="BE62" i="14" s="1"/>
  <c r="FA62" i="14" s="1"/>
  <c r="DW62" i="14" s="1"/>
  <c r="EN73" i="14"/>
  <c r="DJ73" i="14" s="1"/>
  <c r="BB73" i="14" a="1"/>
  <c r="BB73" i="14" s="1"/>
  <c r="BL73" i="14" s="1" a="1"/>
  <c r="BL73" i="14" s="1"/>
  <c r="CP73" i="14" s="1"/>
  <c r="AB69" i="43" s="1"/>
  <c r="BV73" i="14"/>
  <c r="H69" i="43" s="1"/>
  <c r="CK27" i="14"/>
  <c r="W23" i="43" s="1"/>
  <c r="BQ27" i="14" a="1"/>
  <c r="BQ27" i="14" s="1"/>
  <c r="CU27" i="14" s="1"/>
  <c r="AG23" i="43" s="1"/>
  <c r="BX24" i="14"/>
  <c r="J20" i="43" s="1"/>
  <c r="EP24" i="14"/>
  <c r="DL24" i="14" s="1"/>
  <c r="EP27" i="14"/>
  <c r="DL27" i="14" s="1"/>
  <c r="BD27" i="14" a="1"/>
  <c r="BD27" i="14" s="1"/>
  <c r="BN27" i="14" s="1" a="1"/>
  <c r="BN27" i="14" s="1"/>
  <c r="CR27" i="14" s="1"/>
  <c r="AD23" i="43" s="1"/>
  <c r="BY46" i="14"/>
  <c r="K42" i="43" s="1"/>
  <c r="EQ46" i="14"/>
  <c r="DM46" i="14" s="1"/>
  <c r="AE174" i="20"/>
  <c r="EL66" i="14"/>
  <c r="DH66" i="14" s="1"/>
  <c r="Z325" i="20"/>
  <c r="BT48" i="14"/>
  <c r="F44" i="43" s="1"/>
  <c r="EN40" i="14"/>
  <c r="DJ40" i="14" s="1"/>
  <c r="BV40" i="14"/>
  <c r="H36" i="43" s="1"/>
  <c r="BB40" i="14" a="1"/>
  <c r="BB40" i="14" s="1"/>
  <c r="EV21" i="14"/>
  <c r="DR21" i="14" s="1"/>
  <c r="BJ21" i="14" a="1"/>
  <c r="BJ21" i="14" s="1"/>
  <c r="CN21" i="14" s="1"/>
  <c r="Z17" i="43" s="1"/>
  <c r="ES46" i="14"/>
  <c r="DO46" i="14" s="1"/>
  <c r="BG46" i="14" a="1"/>
  <c r="BG46" i="14" s="1"/>
  <c r="CK46" i="14" s="1"/>
  <c r="W42" i="43" s="1"/>
  <c r="EZ95" i="14"/>
  <c r="DV95" i="14" s="1"/>
  <c r="CQ95" i="14"/>
  <c r="AC91" i="43" s="1"/>
  <c r="BF103" i="14" a="1"/>
  <c r="BF103" i="14" s="1"/>
  <c r="CJ103" i="14" s="1"/>
  <c r="V99" i="43" s="1"/>
  <c r="BE81" i="14" a="1"/>
  <c r="BE81" i="14" s="1"/>
  <c r="FA81" i="14" s="1"/>
  <c r="DW81" i="14" s="1"/>
  <c r="BD64" i="14" a="1"/>
  <c r="BD64" i="14" s="1"/>
  <c r="CH64" i="14" s="1"/>
  <c r="T60" i="43" s="1"/>
  <c r="ET40" i="14"/>
  <c r="DP40" i="14" s="1"/>
  <c r="BH40" i="14" a="1"/>
  <c r="BH40" i="14" s="1"/>
  <c r="CL40" i="14" s="1"/>
  <c r="X36" i="43" s="1"/>
  <c r="BC93" i="14" a="1"/>
  <c r="BC93" i="14" s="1"/>
  <c r="CG93" i="14" s="1"/>
  <c r="S89" i="43" s="1"/>
  <c r="Q174" i="20"/>
  <c r="G174" i="20"/>
  <c r="BT78" i="14"/>
  <c r="F74" i="43" s="1"/>
  <c r="AU78" i="14" a="1"/>
  <c r="AU78" i="14" s="1"/>
  <c r="AZ78" i="14" s="1" a="1"/>
  <c r="AZ78" i="14" s="1"/>
  <c r="H171" i="20"/>
  <c r="BF76" i="14" a="1"/>
  <c r="BF76" i="14" s="1"/>
  <c r="CJ76" i="14" s="1"/>
  <c r="V72" i="43" s="1"/>
  <c r="EN77" i="14"/>
  <c r="DJ77" i="14" s="1"/>
  <c r="BV77" i="14"/>
  <c r="H73" i="43" s="1"/>
  <c r="CK61" i="14"/>
  <c r="W57" i="43" s="1"/>
  <c r="FC61" i="14"/>
  <c r="DY61" i="14" s="1"/>
  <c r="EZ46" i="14"/>
  <c r="DV46" i="14" s="1"/>
  <c r="CH46" i="14"/>
  <c r="T42" i="43" s="1"/>
  <c r="EQ83" i="14"/>
  <c r="DM83" i="14" s="1"/>
  <c r="BE83" i="14" a="1"/>
  <c r="BE83" i="14" s="1"/>
  <c r="K174" i="20"/>
  <c r="AV78" i="14" a="1"/>
  <c r="AV78" i="14" s="1"/>
  <c r="EM78" i="14" s="1"/>
  <c r="DI78" i="14" s="1"/>
  <c r="EO77" i="14"/>
  <c r="DK77" i="14" s="1"/>
  <c r="BC77" i="14" a="1"/>
  <c r="BC77" i="14" s="1"/>
  <c r="BM77" i="14" s="1" a="1"/>
  <c r="BM77" i="14" s="1"/>
  <c r="CQ77" i="14" s="1"/>
  <c r="AC73" i="43" s="1"/>
  <c r="BL76" i="14" a="1"/>
  <c r="BL76" i="14" s="1"/>
  <c r="CP76" i="14" s="1"/>
  <c r="AB72" i="43" s="1"/>
  <c r="ET62" i="14"/>
  <c r="DP62" i="14" s="1"/>
  <c r="BH62" i="14" a="1"/>
  <c r="BH62" i="14" s="1"/>
  <c r="BQ62" i="14" a="1"/>
  <c r="BQ62" i="14" s="1"/>
  <c r="CU62" i="14" s="1"/>
  <c r="AG58" i="43" s="1"/>
  <c r="AY27" i="14" a="1"/>
  <c r="AY27" i="14" s="1"/>
  <c r="BI27" i="14" s="1" a="1"/>
  <c r="BI27" i="14" s="1"/>
  <c r="CM27" i="14" s="1"/>
  <c r="Y23" i="43" s="1"/>
  <c r="EK27" i="14"/>
  <c r="DG27" i="14" s="1"/>
  <c r="BS27" i="14"/>
  <c r="E23" i="43" s="1"/>
  <c r="CA103" i="14"/>
  <c r="M99" i="43" s="1"/>
  <c r="BG103" i="14" a="1"/>
  <c r="BG103" i="14" s="1"/>
  <c r="CK103" i="14" s="1"/>
  <c r="W99" i="43" s="1"/>
  <c r="X174" i="20"/>
  <c r="EN82" i="14"/>
  <c r="DJ82" i="14" s="1"/>
  <c r="BB82" i="14" a="1"/>
  <c r="BB82" i="14" s="1"/>
  <c r="CB82" i="14"/>
  <c r="N78" i="43" s="1"/>
  <c r="EX76" i="14"/>
  <c r="DT76" i="14" s="1"/>
  <c r="V154" i="20"/>
  <c r="EN66" i="14"/>
  <c r="DJ66" i="14" s="1"/>
  <c r="BB66" i="14" a="1"/>
  <c r="BB66" i="14" s="1"/>
  <c r="CF66" i="14" s="1"/>
  <c r="R62" i="43" s="1"/>
  <c r="EO64" i="14"/>
  <c r="DK64" i="14" s="1"/>
  <c r="EM71" i="14"/>
  <c r="DI71" i="14" s="1"/>
  <c r="BU71" i="14"/>
  <c r="G67" i="43" s="1"/>
  <c r="BZ23" i="14"/>
  <c r="L19" i="43" s="1"/>
  <c r="ER23" i="14"/>
  <c r="DN23" i="14" s="1"/>
  <c r="BF23" i="14" a="1"/>
  <c r="BF23" i="14" s="1"/>
  <c r="BW93" i="14"/>
  <c r="I89" i="43" s="1"/>
  <c r="ER66" i="14"/>
  <c r="DN66" i="14" s="1"/>
  <c r="BF66" i="14" a="1"/>
  <c r="BF66" i="14" s="1"/>
  <c r="ER72" i="14"/>
  <c r="DN72" i="14" s="1"/>
  <c r="BF72" i="14" a="1"/>
  <c r="BF72" i="14" s="1"/>
  <c r="FB72" i="14" s="1"/>
  <c r="DX72" i="14" s="1"/>
  <c r="ER20" i="14"/>
  <c r="DN20" i="14" s="1"/>
  <c r="BF20" i="14" a="1"/>
  <c r="BF20" i="14" s="1"/>
  <c r="CJ20" i="14" s="1"/>
  <c r="V16" i="43" s="1"/>
  <c r="ET103" i="14"/>
  <c r="DP103" i="14" s="1"/>
  <c r="BY83" i="14"/>
  <c r="K79" i="43" s="1"/>
  <c r="AU86" i="14" a="1"/>
  <c r="AU86" i="14" s="1"/>
  <c r="AZ86" i="14" s="1" a="1"/>
  <c r="AZ86" i="14" s="1"/>
  <c r="EM76" i="14"/>
  <c r="DI76" i="14" s="1"/>
  <c r="ER76" i="14"/>
  <c r="DN76" i="14" s="1"/>
  <c r="EN76" i="14"/>
  <c r="DJ76" i="14" s="1"/>
  <c r="BV76" i="14"/>
  <c r="H72" i="43" s="1"/>
  <c r="EO66" i="14"/>
  <c r="DK66" i="14" s="1"/>
  <c r="BY73" i="14"/>
  <c r="K69" i="43" s="1"/>
  <c r="Y154" i="20"/>
  <c r="EO25" i="14"/>
  <c r="DK25" i="14" s="1"/>
  <c r="BC25" i="14" a="1"/>
  <c r="BC25" i="14" s="1"/>
  <c r="EY25" i="14" s="1"/>
  <c r="DU25" i="14" s="1"/>
  <c r="BW71" i="14"/>
  <c r="I67" i="43" s="1"/>
  <c r="BC71" i="14" a="1"/>
  <c r="BC71" i="14" s="1"/>
  <c r="EY71" i="14" s="1"/>
  <c r="DU71" i="14" s="1"/>
  <c r="EO71" i="14"/>
  <c r="DK71" i="14" s="1"/>
  <c r="CB9" i="14"/>
  <c r="N5" i="43" s="1"/>
  <c r="ET9" i="14"/>
  <c r="DP9" i="14" s="1"/>
  <c r="CE24" i="14"/>
  <c r="Q20" i="43" s="1"/>
  <c r="EW24" i="14"/>
  <c r="DS24" i="14" s="1"/>
  <c r="EN83" i="14"/>
  <c r="DJ83" i="14" s="1"/>
  <c r="BW76" i="14"/>
  <c r="I72" i="43" s="1"/>
  <c r="BS81" i="14"/>
  <c r="E77" i="43" s="1"/>
  <c r="BT76" i="14"/>
  <c r="F72" i="43" s="1"/>
  <c r="EL76" i="14"/>
  <c r="DH76" i="14" s="1"/>
  <c r="BZ73" i="14"/>
  <c r="L69" i="43" s="1"/>
  <c r="BE61" i="14" a="1"/>
  <c r="BE61" i="14" s="1"/>
  <c r="FA61" i="14" s="1"/>
  <c r="DW61" i="14" s="1"/>
  <c r="BN72" i="14" a="1"/>
  <c r="BN72" i="14" s="1"/>
  <c r="CR72" i="14" s="1"/>
  <c r="AD68" i="43" s="1"/>
  <c r="EZ72" i="14"/>
  <c r="DV72" i="14" s="1"/>
  <c r="EP42" i="14"/>
  <c r="DL42" i="14" s="1"/>
  <c r="BD42" i="14" a="1"/>
  <c r="BD42" i="14" s="1"/>
  <c r="BN42" i="14" s="1" a="1"/>
  <c r="BN42" i="14" s="1"/>
  <c r="CR42" i="14" s="1"/>
  <c r="AD38" i="43" s="1"/>
  <c r="R375" i="20"/>
  <c r="BL83" i="14" a="1"/>
  <c r="BL83" i="14" s="1"/>
  <c r="CP83" i="14" s="1"/>
  <c r="AB79" i="43" s="1"/>
  <c r="CF83" i="14"/>
  <c r="R79" i="43" s="1"/>
  <c r="H174" i="20"/>
  <c r="R174" i="20"/>
  <c r="BK67" i="14" a="1"/>
  <c r="BK67" i="14" s="1"/>
  <c r="CO67" i="14" s="1"/>
  <c r="AA63" i="43" s="1"/>
  <c r="EW67" i="14"/>
  <c r="DS67" i="14" s="1"/>
  <c r="AY61" i="14" a="1"/>
  <c r="AY61" i="14" s="1"/>
  <c r="BI61" i="14" s="1" a="1"/>
  <c r="BI61" i="14" s="1"/>
  <c r="CM61" i="14" s="1"/>
  <c r="Y57" i="43" s="1"/>
  <c r="BV61" i="14"/>
  <c r="H57" i="43" s="1"/>
  <c r="EN61" i="14"/>
  <c r="DJ61" i="14" s="1"/>
  <c r="BH49" i="14" a="1"/>
  <c r="BH49" i="14" s="1"/>
  <c r="FD49" i="14" s="1"/>
  <c r="DZ49" i="14" s="1"/>
  <c r="ET49" i="14"/>
  <c r="DP49" i="14" s="1"/>
  <c r="BD47" i="14" a="1"/>
  <c r="BD47" i="14" s="1"/>
  <c r="EZ47" i="14" s="1"/>
  <c r="DV47" i="14" s="1"/>
  <c r="EP47" i="14"/>
  <c r="DL47" i="14" s="1"/>
  <c r="BY42" i="14"/>
  <c r="K38" i="43" s="1"/>
  <c r="EQ42" i="14"/>
  <c r="DM42" i="14" s="1"/>
  <c r="EO7" i="14"/>
  <c r="DK7" i="14" s="1"/>
  <c r="BC7" i="14" a="1"/>
  <c r="BC7" i="14" s="1"/>
  <c r="EY7" i="14" s="1"/>
  <c r="DU7" i="14" s="1"/>
  <c r="CA61" i="14"/>
  <c r="M57" i="43" s="1"/>
  <c r="ES61" i="14"/>
  <c r="DO61" i="14" s="1"/>
  <c r="BU48" i="14"/>
  <c r="G44" i="43" s="1"/>
  <c r="BA48" i="14" a="1"/>
  <c r="BA48" i="14" s="1"/>
  <c r="BK48" i="14" s="1" a="1"/>
  <c r="BK48" i="14" s="1"/>
  <c r="CO48" i="14" s="1"/>
  <c r="AA44" i="43" s="1"/>
  <c r="EM48" i="14"/>
  <c r="DI48" i="14" s="1"/>
  <c r="I174" i="20"/>
  <c r="S174" i="20"/>
  <c r="C155" i="20"/>
  <c r="F155" i="20"/>
  <c r="E150" i="20"/>
  <c r="BB61" i="14" a="1"/>
  <c r="BB61" i="14" s="1"/>
  <c r="BL61" i="14" s="1" a="1"/>
  <c r="BL61" i="14" s="1"/>
  <c r="CP61" i="14" s="1"/>
  <c r="AB57" i="43" s="1"/>
  <c r="CA73" i="14"/>
  <c r="M69" i="43" s="1"/>
  <c r="BG73" i="14" a="1"/>
  <c r="BG73" i="14" s="1"/>
  <c r="FC73" i="14" s="1"/>
  <c r="DY73" i="14" s="1"/>
  <c r="ES73" i="14"/>
  <c r="DO73" i="14" s="1"/>
  <c r="CK62" i="14"/>
  <c r="W58" i="43" s="1"/>
  <c r="BC64" i="14" a="1"/>
  <c r="BC64" i="14" s="1"/>
  <c r="CG64" i="14" s="1"/>
  <c r="S60" i="43" s="1"/>
  <c r="EO72" i="14"/>
  <c r="DK72" i="14" s="1"/>
  <c r="BW72" i="14"/>
  <c r="I68" i="43" s="1"/>
  <c r="BG71" i="14" a="1"/>
  <c r="BG71" i="14" s="1"/>
  <c r="BQ71" i="14" s="1" a="1"/>
  <c r="BQ71" i="14" s="1"/>
  <c r="CU71" i="14" s="1"/>
  <c r="AG67" i="43" s="1"/>
  <c r="CA71" i="14"/>
  <c r="M67" i="43" s="1"/>
  <c r="BB26" i="14" a="1"/>
  <c r="BB26" i="14" s="1"/>
  <c r="BL26" i="14" s="1" a="1"/>
  <c r="BL26" i="14" s="1"/>
  <c r="CP26" i="14" s="1"/>
  <c r="AB22" i="43" s="1"/>
  <c r="EN26" i="14"/>
  <c r="DJ26" i="14" s="1"/>
  <c r="ES50" i="14"/>
  <c r="DO50" i="14" s="1"/>
  <c r="BG50" i="14" a="1"/>
  <c r="BG50" i="14" s="1"/>
  <c r="CK50" i="14" s="1"/>
  <c r="W46" i="43" s="1"/>
  <c r="BT7" i="14"/>
  <c r="F3" i="43" s="1"/>
  <c r="EL7" i="14"/>
  <c r="DH7" i="14" s="1"/>
  <c r="AZ7" i="14" a="1"/>
  <c r="AZ7" i="14" s="1"/>
  <c r="BJ7" i="14" s="1" a="1"/>
  <c r="BJ7" i="14" s="1"/>
  <c r="CN7" i="14" s="1"/>
  <c r="Z3" i="43" s="1"/>
  <c r="EQ8" i="14"/>
  <c r="DM8" i="14" s="1"/>
  <c r="BY8" i="14"/>
  <c r="K4" i="43" s="1"/>
  <c r="BE8" i="14" a="1"/>
  <c r="BE8" i="14" s="1"/>
  <c r="CI8" i="14" s="1"/>
  <c r="U4" i="43" s="1"/>
  <c r="BF46" i="14" a="1"/>
  <c r="BF46" i="14" s="1"/>
  <c r="BZ42" i="14"/>
  <c r="L38" i="43" s="1"/>
  <c r="BH20" i="14" a="1"/>
  <c r="BH20" i="14" s="1"/>
  <c r="BR20" i="14" s="1" a="1"/>
  <c r="BR20" i="14" s="1"/>
  <c r="CV20" i="14" s="1"/>
  <c r="AH16" i="43" s="1"/>
  <c r="BS25" i="14"/>
  <c r="E21" i="43" s="1"/>
  <c r="P344" i="20"/>
  <c r="ES54" i="14"/>
  <c r="DO54" i="14" s="1"/>
  <c r="EQ43" i="14"/>
  <c r="DM43" i="14" s="1"/>
  <c r="BI40" i="14" a="1"/>
  <c r="BI40" i="14" s="1"/>
  <c r="CM40" i="14" s="1"/>
  <c r="Y36" i="43" s="1"/>
  <c r="C15" i="20"/>
  <c r="BB46" i="14" a="1"/>
  <c r="BB46" i="14" s="1"/>
  <c r="BZ21" i="14"/>
  <c r="L17" i="43" s="1"/>
  <c r="EG10" i="14"/>
  <c r="DC10" i="14" s="1"/>
  <c r="R325" i="20"/>
  <c r="IQ79" i="14"/>
  <c r="BI64" i="14" a="1"/>
  <c r="BI64" i="14" s="1"/>
  <c r="CM64" i="14" s="1"/>
  <c r="Y60" i="43" s="1"/>
  <c r="BV46" i="14"/>
  <c r="H42" i="43" s="1"/>
  <c r="BW43" i="14"/>
  <c r="I39" i="43" s="1"/>
  <c r="Q325" i="20"/>
  <c r="BU42" i="14"/>
  <c r="G38" i="43" s="1"/>
  <c r="BX39" i="14"/>
  <c r="J35" i="43" s="1"/>
  <c r="BH25" i="14" a="1"/>
  <c r="BH25" i="14" s="1"/>
  <c r="FD25" i="14" s="1"/>
  <c r="DZ25" i="14" s="1"/>
  <c r="AZ71" i="14" a="1"/>
  <c r="AZ71" i="14" s="1"/>
  <c r="BJ71" i="14" s="1" a="1"/>
  <c r="BJ71" i="14" s="1"/>
  <c r="CN71" i="14" s="1"/>
  <c r="Z67" i="43" s="1"/>
  <c r="T344" i="20"/>
  <c r="AZ27" i="14" a="1"/>
  <c r="AZ27" i="14" s="1"/>
  <c r="BJ27" i="14" s="1" a="1"/>
  <c r="BJ27" i="14" s="1"/>
  <c r="CN27" i="14" s="1"/>
  <c r="Z23" i="43" s="1"/>
  <c r="BC83" i="14" a="1"/>
  <c r="BC83" i="14" s="1"/>
  <c r="S338" i="20"/>
  <c r="J155" i="20"/>
  <c r="ER42" i="14"/>
  <c r="DN42" i="14" s="1"/>
  <c r="BW54" i="14"/>
  <c r="I50" i="43" s="1"/>
  <c r="BS44" i="14"/>
  <c r="E40" i="43" s="1"/>
  <c r="BB25" i="14" a="1"/>
  <c r="BB25" i="14" s="1"/>
  <c r="BL25" i="14" s="1" a="1"/>
  <c r="BL25" i="14" s="1"/>
  <c r="CP25" i="14" s="1"/>
  <c r="AB21" i="43" s="1"/>
  <c r="BW23" i="14"/>
  <c r="I19" i="43" s="1"/>
  <c r="EL71" i="14"/>
  <c r="DH71" i="14" s="1"/>
  <c r="BL20" i="14" a="1"/>
  <c r="BL20" i="14" s="1"/>
  <c r="CP20" i="14" s="1"/>
  <c r="AB16" i="43" s="1"/>
  <c r="AX44" i="14" a="1"/>
  <c r="AX44" i="14" s="1"/>
  <c r="U325" i="20"/>
  <c r="IR81" i="14"/>
  <c r="IQ87" i="14"/>
  <c r="L283" i="17"/>
  <c r="M375" i="20"/>
  <c r="Q375" i="20"/>
  <c r="IT81" i="14"/>
  <c r="AC375" i="20"/>
  <c r="O204" i="20"/>
  <c r="AD204" i="20"/>
  <c r="V338" i="20"/>
  <c r="G128" i="20"/>
  <c r="AA109" i="20"/>
  <c r="AE109" i="20"/>
  <c r="M319" i="20"/>
  <c r="J15" i="20"/>
  <c r="S15" i="20"/>
  <c r="Z15" i="20"/>
  <c r="P109" i="20"/>
  <c r="N319" i="20"/>
  <c r="G325" i="20"/>
  <c r="N109" i="20"/>
  <c r="C432" i="20"/>
  <c r="T325" i="20"/>
  <c r="IS81" i="14"/>
  <c r="C400" i="20"/>
  <c r="AD396" i="20"/>
  <c r="B457" i="20"/>
  <c r="X396" i="20"/>
  <c r="X204" i="20"/>
  <c r="I451" i="20"/>
  <c r="G15" i="20"/>
  <c r="N400" i="20"/>
  <c r="AB128" i="20"/>
  <c r="D400" i="20"/>
  <c r="U400" i="20"/>
  <c r="AB400" i="20"/>
  <c r="Z396" i="20"/>
  <c r="L109" i="20"/>
  <c r="HE179" i="14"/>
  <c r="AD375" i="20"/>
  <c r="AB396" i="20"/>
  <c r="AE400" i="20"/>
  <c r="T128" i="20"/>
  <c r="B400" i="20"/>
  <c r="P396" i="20"/>
  <c r="AA396" i="20"/>
  <c r="AC396" i="20"/>
  <c r="W451" i="20"/>
  <c r="AC283" i="17"/>
  <c r="P451" i="20"/>
  <c r="GV179" i="14"/>
  <c r="C325" i="20"/>
  <c r="CY177" i="14"/>
  <c r="E26" i="21" s="1"/>
  <c r="K15" i="20"/>
  <c r="I375" i="20"/>
  <c r="V128" i="20"/>
  <c r="AD128" i="20"/>
  <c r="I396" i="20"/>
  <c r="J396" i="20"/>
  <c r="W400" i="20"/>
  <c r="J109" i="20"/>
  <c r="Q396" i="20"/>
  <c r="U451" i="20"/>
  <c r="M451" i="20"/>
  <c r="GR179" i="14"/>
  <c r="AG283" i="17"/>
  <c r="H451" i="20"/>
  <c r="Q283" i="17"/>
  <c r="GS179" i="14"/>
  <c r="AA319" i="20"/>
  <c r="B325" i="20"/>
  <c r="F15" i="20"/>
  <c r="V375" i="20"/>
  <c r="AE375" i="20"/>
  <c r="E128" i="20"/>
  <c r="H396" i="20"/>
  <c r="K128" i="20"/>
  <c r="W128" i="20"/>
  <c r="AE396" i="20"/>
  <c r="K400" i="20"/>
  <c r="V400" i="20"/>
  <c r="W109" i="20"/>
  <c r="AC319" i="20"/>
  <c r="O325" i="20"/>
  <c r="L15" i="20"/>
  <c r="AA400" i="20"/>
  <c r="Y400" i="20"/>
  <c r="S396" i="20"/>
  <c r="K396" i="20"/>
  <c r="N396" i="20"/>
  <c r="O109" i="20"/>
  <c r="AB451" i="20"/>
  <c r="HB179" i="14"/>
  <c r="HI179" i="14"/>
  <c r="K451" i="20"/>
  <c r="E283" i="17"/>
  <c r="AC325" i="20"/>
  <c r="O319" i="20"/>
  <c r="S375" i="20"/>
  <c r="S356" i="20"/>
  <c r="H400" i="20"/>
  <c r="J400" i="20"/>
  <c r="D451" i="20"/>
  <c r="S319" i="20"/>
  <c r="S283" i="17"/>
  <c r="HF179" i="14"/>
  <c r="C451" i="20"/>
  <c r="GW179" i="14"/>
  <c r="AB283" i="17"/>
  <c r="S325" i="20"/>
  <c r="H356" i="20"/>
  <c r="F400" i="20"/>
  <c r="U128" i="20"/>
  <c r="B396" i="20"/>
  <c r="I400" i="20"/>
  <c r="JI88" i="14"/>
  <c r="L451" i="20"/>
  <c r="IU81" i="14"/>
  <c r="GK179" i="14"/>
  <c r="P283" i="17"/>
  <c r="Y451" i="20"/>
  <c r="Z283" i="17"/>
  <c r="C319" i="20"/>
  <c r="T15" i="20"/>
  <c r="Z356" i="20"/>
  <c r="X400" i="20"/>
  <c r="T396" i="20"/>
  <c r="M396" i="20"/>
  <c r="E400" i="20"/>
  <c r="R400" i="20"/>
  <c r="Q400" i="20"/>
  <c r="HD179" i="14"/>
  <c r="AB319" i="20"/>
  <c r="D283" i="17"/>
  <c r="Y283" i="17"/>
  <c r="GP179" i="14"/>
  <c r="N283" i="17"/>
  <c r="AF283" i="17"/>
  <c r="V344" i="20"/>
  <c r="I15" i="20"/>
  <c r="H375" i="20"/>
  <c r="V356" i="20"/>
  <c r="P400" i="20"/>
  <c r="O128" i="20"/>
  <c r="G400" i="20"/>
  <c r="R128" i="20"/>
  <c r="C396" i="20"/>
  <c r="Z400" i="20"/>
  <c r="T400" i="20"/>
  <c r="L396" i="20"/>
  <c r="F396" i="20"/>
  <c r="AD400" i="20"/>
  <c r="AC400" i="20"/>
  <c r="S400" i="20"/>
  <c r="W396" i="20"/>
  <c r="O400" i="20"/>
  <c r="F451" i="20"/>
  <c r="AE283" i="17"/>
  <c r="M283" i="17"/>
  <c r="AA283" i="17"/>
  <c r="J319" i="20"/>
  <c r="AE325" i="20"/>
  <c r="V15" i="20"/>
  <c r="W356" i="20"/>
  <c r="C375" i="20"/>
  <c r="D396" i="20"/>
  <c r="O396" i="20"/>
  <c r="Y396" i="20"/>
  <c r="R396" i="20"/>
  <c r="M400" i="20"/>
  <c r="L400" i="20"/>
  <c r="N451" i="20"/>
  <c r="L319" i="20"/>
  <c r="T283" i="17"/>
  <c r="O283" i="17"/>
  <c r="X283" i="17"/>
  <c r="AB414" i="20"/>
  <c r="E414" i="20"/>
  <c r="B174" i="3"/>
  <c r="B178" i="3" s="1"/>
  <c r="D414" i="20"/>
  <c r="F414" i="20"/>
  <c r="P414" i="20"/>
  <c r="R414" i="20"/>
  <c r="AC414" i="20"/>
  <c r="Y356" i="20"/>
  <c r="X128" i="20"/>
  <c r="AB204" i="20"/>
  <c r="AE204" i="20"/>
  <c r="U204" i="20"/>
  <c r="G396" i="20"/>
  <c r="U396" i="20"/>
  <c r="N128" i="20"/>
  <c r="I109" i="20"/>
  <c r="Z171" i="20"/>
  <c r="S91" i="20"/>
  <c r="M15" i="20"/>
  <c r="W375" i="20"/>
  <c r="AA375" i="20"/>
  <c r="M356" i="20"/>
  <c r="N356" i="20"/>
  <c r="J356" i="20"/>
  <c r="C128" i="20"/>
  <c r="H204" i="20"/>
  <c r="E396" i="20"/>
  <c r="CH48" i="14"/>
  <c r="T44" i="43" s="1"/>
  <c r="EZ48" i="14"/>
  <c r="DV48" i="14" s="1"/>
  <c r="BN48" i="14" a="1"/>
  <c r="BN48" i="14" s="1"/>
  <c r="CR48" i="14" s="1"/>
  <c r="AD44" i="43" s="1"/>
  <c r="M91" i="20"/>
  <c r="FB42" i="14"/>
  <c r="DX42" i="14" s="1"/>
  <c r="BP42" i="14" a="1"/>
  <c r="BP42" i="14" s="1"/>
  <c r="CT42" i="14" s="1"/>
  <c r="AF38" i="43" s="1"/>
  <c r="CJ42" i="14"/>
  <c r="V38" i="43" s="1"/>
  <c r="E356" i="20"/>
  <c r="D375" i="20"/>
  <c r="N375" i="20"/>
  <c r="P375" i="20"/>
  <c r="AA356" i="20"/>
  <c r="Q356" i="20"/>
  <c r="Y204" i="20"/>
  <c r="W204" i="20"/>
  <c r="P128" i="20"/>
  <c r="B204" i="20"/>
  <c r="T204" i="20"/>
  <c r="E109" i="20"/>
  <c r="E451" i="20"/>
  <c r="B451" i="20"/>
  <c r="G91" i="20"/>
  <c r="R15" i="20"/>
  <c r="G375" i="20"/>
  <c r="U375" i="20"/>
  <c r="O356" i="20"/>
  <c r="C356" i="20"/>
  <c r="AC356" i="20"/>
  <c r="F356" i="20"/>
  <c r="J128" i="20"/>
  <c r="M128" i="20"/>
  <c r="AC128" i="20"/>
  <c r="Q204" i="20"/>
  <c r="F128" i="20"/>
  <c r="AE128" i="20"/>
  <c r="T109" i="20"/>
  <c r="O451" i="20"/>
  <c r="V451" i="20"/>
  <c r="EZ71" i="14"/>
  <c r="DV71" i="14" s="1"/>
  <c r="BN71" i="14" a="1"/>
  <c r="BN71" i="14" s="1"/>
  <c r="CR71" i="14" s="1"/>
  <c r="AD67" i="43" s="1"/>
  <c r="CH71" i="14"/>
  <c r="T67" i="43" s="1"/>
  <c r="CG60" i="14"/>
  <c r="S56" i="43" s="1"/>
  <c r="EY60" i="14"/>
  <c r="DU60" i="14" s="1"/>
  <c r="BM60" i="14" a="1"/>
  <c r="BM60" i="14" s="1"/>
  <c r="CQ60" i="14" s="1"/>
  <c r="AC56" i="43" s="1"/>
  <c r="BI47" i="14" a="1"/>
  <c r="BI47" i="14" s="1"/>
  <c r="CM47" i="14" s="1"/>
  <c r="Y43" i="43" s="1"/>
  <c r="CC47" i="14"/>
  <c r="O43" i="43" s="1"/>
  <c r="EU47" i="14"/>
  <c r="DQ47" i="14" s="1"/>
  <c r="EK44" i="14"/>
  <c r="DG44" i="14" s="1"/>
  <c r="BX44" i="14"/>
  <c r="J40" i="43" s="1"/>
  <c r="AY44" i="14" a="1"/>
  <c r="AY44" i="14" s="1"/>
  <c r="E375" i="20"/>
  <c r="T375" i="20"/>
  <c r="K356" i="20"/>
  <c r="U356" i="20"/>
  <c r="I356" i="20"/>
  <c r="R356" i="20"/>
  <c r="Y128" i="20"/>
  <c r="AA128" i="20"/>
  <c r="L204" i="20"/>
  <c r="AB109" i="20"/>
  <c r="F109" i="20"/>
  <c r="Q451" i="20"/>
  <c r="L375" i="20"/>
  <c r="X356" i="20"/>
  <c r="AD356" i="20"/>
  <c r="I128" i="20"/>
  <c r="AA204" i="20"/>
  <c r="E204" i="20"/>
  <c r="G204" i="20"/>
  <c r="V396" i="20"/>
  <c r="H109" i="20"/>
  <c r="R109" i="20"/>
  <c r="Z451" i="20"/>
  <c r="T451" i="20"/>
  <c r="AA451" i="20"/>
  <c r="CI72" i="14"/>
  <c r="U68" i="43" s="1"/>
  <c r="BO72" i="14" a="1"/>
  <c r="BO72" i="14" s="1"/>
  <c r="CS72" i="14" s="1"/>
  <c r="AE68" i="43" s="1"/>
  <c r="FA72" i="14"/>
  <c r="DW72" i="14" s="1"/>
  <c r="BZ44" i="14"/>
  <c r="L40" i="43" s="1"/>
  <c r="BA44" i="14" a="1"/>
  <c r="BA44" i="14" s="1"/>
  <c r="EM44" i="14"/>
  <c r="DI44" i="14" s="1"/>
  <c r="F375" i="20"/>
  <c r="Y375" i="20"/>
  <c r="D356" i="20"/>
  <c r="S128" i="20"/>
  <c r="AC204" i="20"/>
  <c r="M109" i="20"/>
  <c r="AC109" i="20"/>
  <c r="D109" i="20"/>
  <c r="K109" i="20"/>
  <c r="AD109" i="20"/>
  <c r="J451" i="20"/>
  <c r="CE82" i="14"/>
  <c r="Q78" i="43" s="1"/>
  <c r="BK82" i="14" a="1"/>
  <c r="BK82" i="14" s="1"/>
  <c r="CO82" i="14" s="1"/>
  <c r="AA78" i="43" s="1"/>
  <c r="EW82" i="14"/>
  <c r="DS82" i="14" s="1"/>
  <c r="J91" i="20"/>
  <c r="AB375" i="20"/>
  <c r="P356" i="20"/>
  <c r="B128" i="20"/>
  <c r="M204" i="20"/>
  <c r="S109" i="20"/>
  <c r="X109" i="20"/>
  <c r="S451" i="20"/>
  <c r="AD451" i="20"/>
  <c r="X451" i="20"/>
  <c r="BM48" i="14" a="1"/>
  <c r="BM48" i="14" s="1"/>
  <c r="CQ48" i="14" s="1"/>
  <c r="AC44" i="43" s="1"/>
  <c r="CG48" i="14"/>
  <c r="S44" i="43" s="1"/>
  <c r="EY48" i="14"/>
  <c r="DU48" i="14" s="1"/>
  <c r="X91" i="20"/>
  <c r="X15" i="20"/>
  <c r="O375" i="20"/>
  <c r="L356" i="20"/>
  <c r="G356" i="20"/>
  <c r="AB356" i="20"/>
  <c r="Z128" i="20"/>
  <c r="C204" i="20"/>
  <c r="J204" i="20"/>
  <c r="Y109" i="20"/>
  <c r="G451" i="20"/>
  <c r="R451" i="20"/>
  <c r="AE451" i="20"/>
  <c r="CF60" i="14"/>
  <c r="R56" i="43" s="1"/>
  <c r="EX60" i="14"/>
  <c r="DT60" i="14" s="1"/>
  <c r="BL60" i="14" a="1"/>
  <c r="BL60" i="14" s="1"/>
  <c r="CP60" i="14" s="1"/>
  <c r="AB56" i="43" s="1"/>
  <c r="B15" i="20"/>
  <c r="EZ41" i="14"/>
  <c r="DV41" i="14" s="1"/>
  <c r="CH41" i="14"/>
  <c r="T37" i="43" s="1"/>
  <c r="BN41" i="14" a="1"/>
  <c r="BN41" i="14" s="1"/>
  <c r="CR41" i="14" s="1"/>
  <c r="AD37" i="43" s="1"/>
  <c r="H128" i="20"/>
  <c r="R204" i="20"/>
  <c r="V204" i="20"/>
  <c r="L91" i="20"/>
  <c r="EW46" i="14"/>
  <c r="DS46" i="14" s="1"/>
  <c r="BK46" i="14" a="1"/>
  <c r="BK46" i="14" s="1"/>
  <c r="CO46" i="14" s="1"/>
  <c r="AA42" i="43" s="1"/>
  <c r="CE46" i="14"/>
  <c r="Q42" i="43" s="1"/>
  <c r="FA41" i="14"/>
  <c r="DW41" i="14" s="1"/>
  <c r="CI41" i="14"/>
  <c r="U37" i="43" s="1"/>
  <c r="BO41" i="14" a="1"/>
  <c r="BO41" i="14" s="1"/>
  <c r="CS41" i="14" s="1"/>
  <c r="AE37" i="43" s="1"/>
  <c r="AE15" i="20"/>
  <c r="B375" i="20"/>
  <c r="J375" i="20"/>
  <c r="B356" i="20"/>
  <c r="D128" i="20"/>
  <c r="V109" i="20"/>
  <c r="C109" i="20"/>
  <c r="G109" i="20"/>
  <c r="EO86" i="14"/>
  <c r="DK86" i="14" s="1"/>
  <c r="BC86" i="14" a="1"/>
  <c r="BC86" i="14" s="1"/>
  <c r="CB86" i="14"/>
  <c r="N82" i="43" s="1"/>
  <c r="P154" i="20"/>
  <c r="Z154" i="20"/>
  <c r="AE91" i="20"/>
  <c r="Y15" i="20"/>
  <c r="N15" i="20"/>
  <c r="Z375" i="20"/>
  <c r="X375" i="20"/>
  <c r="K375" i="20"/>
  <c r="AE356" i="20"/>
  <c r="T356" i="20"/>
  <c r="Q128" i="20"/>
  <c r="L128" i="20"/>
  <c r="Z204" i="20"/>
  <c r="D204" i="20"/>
  <c r="F204" i="20"/>
  <c r="K204" i="20"/>
  <c r="N204" i="20"/>
  <c r="P204" i="20"/>
  <c r="S204" i="20"/>
  <c r="I204" i="20"/>
  <c r="B109" i="20"/>
  <c r="Z109" i="20"/>
  <c r="Q109" i="20"/>
  <c r="U109" i="20"/>
  <c r="AC451" i="20"/>
  <c r="B189" i="20"/>
  <c r="CF62" i="14"/>
  <c r="R58" i="43" s="1"/>
  <c r="EX62" i="14"/>
  <c r="DT62" i="14" s="1"/>
  <c r="BL62" i="14" a="1"/>
  <c r="BL62" i="14" s="1"/>
  <c r="CP62" i="14" s="1"/>
  <c r="AB58" i="43" s="1"/>
  <c r="BJ25" i="14" a="1"/>
  <c r="BJ25" i="14" s="1"/>
  <c r="CN25" i="14" s="1"/>
  <c r="Z21" i="43" s="1"/>
  <c r="CD25" i="14"/>
  <c r="P21" i="43" s="1"/>
  <c r="EV25" i="14"/>
  <c r="DR25" i="14" s="1"/>
  <c r="BV78" i="14"/>
  <c r="H74" i="43" s="1"/>
  <c r="EI78" i="14"/>
  <c r="DE78" i="14" s="1"/>
  <c r="EQ93" i="14"/>
  <c r="DM93" i="14" s="1"/>
  <c r="BE93" i="14" a="1"/>
  <c r="BE93" i="14" s="1"/>
  <c r="C174" i="20"/>
  <c r="AD283" i="17"/>
  <c r="GT179" i="14"/>
  <c r="EH86" i="14"/>
  <c r="DD86" i="14" s="1"/>
  <c r="BU86" i="14"/>
  <c r="G82" i="43" s="1"/>
  <c r="EK73" i="14"/>
  <c r="DG73" i="14" s="1"/>
  <c r="ES58" i="14"/>
  <c r="DO58" i="14" s="1"/>
  <c r="FB50" i="14"/>
  <c r="DX50" i="14" s="1"/>
  <c r="BP50" i="14" a="1"/>
  <c r="BP50" i="14" s="1"/>
  <c r="CT50" i="14" s="1"/>
  <c r="AF46" i="43" s="1"/>
  <c r="BX61" i="14"/>
  <c r="J57" i="43" s="1"/>
  <c r="ER43" i="14"/>
  <c r="DN43" i="14" s="1"/>
  <c r="BZ43" i="14"/>
  <c r="L39" i="43" s="1"/>
  <c r="BF43" i="14" a="1"/>
  <c r="BF43" i="14" s="1"/>
  <c r="EU8" i="14"/>
  <c r="DQ8" i="14" s="1"/>
  <c r="BI8" i="14" a="1"/>
  <c r="BI8" i="14" s="1"/>
  <c r="CM8" i="14" s="1"/>
  <c r="Y4" i="43" s="1"/>
  <c r="CB23" i="14"/>
  <c r="N19" i="43" s="1"/>
  <c r="ET23" i="14"/>
  <c r="DP23" i="14" s="1"/>
  <c r="CF42" i="14"/>
  <c r="R38" i="43" s="1"/>
  <c r="EX42" i="14"/>
  <c r="DT42" i="14" s="1"/>
  <c r="BL42" i="14" a="1"/>
  <c r="BL42" i="14" s="1"/>
  <c r="CP42" i="14" s="1"/>
  <c r="AB38" i="43" s="1"/>
  <c r="BU21" i="14"/>
  <c r="G17" i="43" s="1"/>
  <c r="BA21" i="14" a="1"/>
  <c r="BA21" i="14" s="1"/>
  <c r="EM21" i="14"/>
  <c r="DI21" i="14" s="1"/>
  <c r="EO11" i="14"/>
  <c r="DK11" i="14" s="1"/>
  <c r="CB11" i="14"/>
  <c r="N7" i="43" s="1"/>
  <c r="E27" i="12"/>
  <c r="E38" i="12"/>
  <c r="L32" i="10"/>
  <c r="BT102" i="14"/>
  <c r="F98" i="43" s="1"/>
  <c r="IS102" i="14"/>
  <c r="IR102" i="14"/>
  <c r="AS102" i="14" a="1"/>
  <c r="AS102" i="14" s="1"/>
  <c r="EV95" i="14"/>
  <c r="DR95" i="14" s="1"/>
  <c r="CM95" i="14"/>
  <c r="Y91" i="43" s="1"/>
  <c r="EF86" i="14"/>
  <c r="DB86" i="14" s="1"/>
  <c r="EM79" i="14"/>
  <c r="DI79" i="14" s="1"/>
  <c r="BZ79" i="14"/>
  <c r="L75" i="43" s="1"/>
  <c r="HC179" i="14"/>
  <c r="JM88" i="14"/>
  <c r="JA88" i="14"/>
  <c r="JL88" i="14"/>
  <c r="IZ88" i="14"/>
  <c r="JJ88" i="14"/>
  <c r="IX88" i="14"/>
  <c r="JT88" i="14"/>
  <c r="JH88" i="14"/>
  <c r="IV88" i="14"/>
  <c r="IU88" i="14"/>
  <c r="IT88" i="14"/>
  <c r="JS88" i="14"/>
  <c r="IS88" i="14"/>
  <c r="JR88" i="14"/>
  <c r="IQ88" i="14"/>
  <c r="BS88" i="14"/>
  <c r="E84" i="43" s="1"/>
  <c r="JQ88" i="14"/>
  <c r="JO88" i="14"/>
  <c r="JK88" i="14"/>
  <c r="JG88" i="14"/>
  <c r="JF88" i="14"/>
  <c r="JE88" i="14"/>
  <c r="JC88" i="14"/>
  <c r="IY88" i="14"/>
  <c r="CA75" i="14"/>
  <c r="M71" i="43" s="1"/>
  <c r="BG75" i="14" a="1"/>
  <c r="BG75" i="14" s="1"/>
  <c r="BN81" i="14" a="1"/>
  <c r="BN81" i="14" s="1"/>
  <c r="CR81" i="14" s="1"/>
  <c r="AD77" i="43" s="1"/>
  <c r="BT77" i="14"/>
  <c r="F73" i="43" s="1"/>
  <c r="AZ77" i="14" a="1"/>
  <c r="AZ77" i="14" s="1"/>
  <c r="FD68" i="14"/>
  <c r="DZ68" i="14" s="1"/>
  <c r="CL68" i="14"/>
  <c r="X64" i="43" s="1"/>
  <c r="EM58" i="14"/>
  <c r="DI58" i="14" s="1"/>
  <c r="BU58" i="14"/>
  <c r="G54" i="43" s="1"/>
  <c r="BX73" i="14"/>
  <c r="J69" i="43" s="1"/>
  <c r="EP73" i="14"/>
  <c r="DL73" i="14" s="1"/>
  <c r="BJ54" i="14" a="1"/>
  <c r="BJ54" i="14" s="1"/>
  <c r="CN54" i="14" s="1"/>
  <c r="Z50" i="43" s="1"/>
  <c r="EN42" i="14"/>
  <c r="DJ42" i="14" s="1"/>
  <c r="BV42" i="14"/>
  <c r="H38" i="43" s="1"/>
  <c r="CJ50" i="14"/>
  <c r="V46" i="43" s="1"/>
  <c r="BA54" i="14" a="1"/>
  <c r="BA54" i="14" s="1"/>
  <c r="ES23" i="14"/>
  <c r="DO23" i="14" s="1"/>
  <c r="BU23" i="14"/>
  <c r="G19" i="43" s="1"/>
  <c r="EM23" i="14"/>
  <c r="DI23" i="14" s="1"/>
  <c r="BH71" i="14" a="1"/>
  <c r="BH71" i="14" s="1"/>
  <c r="BP47" i="14" a="1"/>
  <c r="BP47" i="14" s="1"/>
  <c r="CT47" i="14" s="1"/>
  <c r="AF43" i="43" s="1"/>
  <c r="EM43" i="14"/>
  <c r="DI43" i="14" s="1"/>
  <c r="BU43" i="14"/>
  <c r="G39" i="43" s="1"/>
  <c r="EM40" i="14"/>
  <c r="DI40" i="14" s="1"/>
  <c r="BU40" i="14"/>
  <c r="G36" i="43" s="1"/>
  <c r="BC8" i="14" a="1"/>
  <c r="BC8" i="14" s="1"/>
  <c r="EO8" i="14"/>
  <c r="DK8" i="14" s="1"/>
  <c r="BG20" i="14" a="1"/>
  <c r="BG20" i="14" s="1"/>
  <c r="ET10" i="14"/>
  <c r="DP10" i="14" s="1"/>
  <c r="CG10" i="14"/>
  <c r="S6" i="43" s="1"/>
  <c r="BH10" i="14" a="1"/>
  <c r="BH10" i="14" s="1"/>
  <c r="EO41" i="14"/>
  <c r="DK41" i="14" s="1"/>
  <c r="BW41" i="14"/>
  <c r="I37" i="43" s="1"/>
  <c r="CA44" i="14"/>
  <c r="M40" i="43" s="1"/>
  <c r="EN44" i="14"/>
  <c r="DJ44" i="14" s="1"/>
  <c r="EH44" i="14"/>
  <c r="DD44" i="14" s="1"/>
  <c r="EN7" i="14"/>
  <c r="DJ7" i="14" s="1"/>
  <c r="BV7" i="14"/>
  <c r="H3" i="43" s="1"/>
  <c r="BB7" i="14" a="1"/>
  <c r="BB7" i="14" s="1"/>
  <c r="E29" i="12"/>
  <c r="E40" i="12"/>
  <c r="L34" i="10"/>
  <c r="EU103" i="14"/>
  <c r="DQ103" i="14" s="1"/>
  <c r="CC103" i="14"/>
  <c r="O99" i="43" s="1"/>
  <c r="EF102" i="14"/>
  <c r="DB102" i="14" s="1"/>
  <c r="BU102" i="14"/>
  <c r="G98" i="43" s="1"/>
  <c r="AT102" i="14" a="1"/>
  <c r="AT102" i="14" s="1"/>
  <c r="BT103" i="14"/>
  <c r="F99" i="43" s="1"/>
  <c r="EL103" i="14"/>
  <c r="DH103" i="14" s="1"/>
  <c r="EP95" i="14"/>
  <c r="DL95" i="14" s="1"/>
  <c r="CG95" i="14"/>
  <c r="S91" i="43" s="1"/>
  <c r="JN88" i="14"/>
  <c r="BX88" i="14"/>
  <c r="J84" i="43" s="1"/>
  <c r="IR79" i="14"/>
  <c r="EF87" i="14"/>
  <c r="DB87" i="14" s="1"/>
  <c r="IR87" i="14"/>
  <c r="IT87" i="14"/>
  <c r="R283" i="17"/>
  <c r="EM75" i="14"/>
  <c r="DI75" i="14" s="1"/>
  <c r="BA75" i="14" a="1"/>
  <c r="BA75" i="14" s="1"/>
  <c r="BU75" i="14"/>
  <c r="G71" i="43" s="1"/>
  <c r="G283" i="17"/>
  <c r="CE81" i="14"/>
  <c r="Q77" i="43" s="1"/>
  <c r="EP76" i="14"/>
  <c r="DL76" i="14" s="1"/>
  <c r="BD66" i="14" a="1"/>
  <c r="BD66" i="14" s="1"/>
  <c r="BD77" i="14" a="1"/>
  <c r="BD77" i="14" s="1"/>
  <c r="BN68" i="14" a="1"/>
  <c r="BN68" i="14" s="1"/>
  <c r="CR68" i="14" s="1"/>
  <c r="AD64" i="43" s="1"/>
  <c r="EZ68" i="14"/>
  <c r="DV68" i="14" s="1"/>
  <c r="BX66" i="14"/>
  <c r="J62" i="43" s="1"/>
  <c r="EL73" i="14"/>
  <c r="DH73" i="14" s="1"/>
  <c r="BT73" i="14"/>
  <c r="F69" i="43" s="1"/>
  <c r="BE73" i="14" a="1"/>
  <c r="BE73" i="14" s="1"/>
  <c r="EL62" i="14"/>
  <c r="DH62" i="14" s="1"/>
  <c r="BD54" i="14" a="1"/>
  <c r="BD54" i="14" s="1"/>
  <c r="BD50" i="14" a="1"/>
  <c r="BD50" i="14" s="1"/>
  <c r="EP50" i="14"/>
  <c r="DL50" i="14" s="1"/>
  <c r="BU44" i="14"/>
  <c r="G40" i="43" s="1"/>
  <c r="BX50" i="14"/>
  <c r="J46" i="43" s="1"/>
  <c r="BH48" i="14" a="1"/>
  <c r="BH48" i="14" s="1"/>
  <c r="BG54" i="14" a="1"/>
  <c r="BG54" i="14" s="1"/>
  <c r="BB72" i="14" a="1"/>
  <c r="BB72" i="14" s="1"/>
  <c r="ET42" i="14"/>
  <c r="DP42" i="14" s="1"/>
  <c r="EN60" i="14"/>
  <c r="DJ60" i="14" s="1"/>
  <c r="EN47" i="14"/>
  <c r="DJ47" i="14" s="1"/>
  <c r="AU44" i="14" a="1"/>
  <c r="AU44" i="14" s="1"/>
  <c r="EN27" i="14"/>
  <c r="DJ27" i="14" s="1"/>
  <c r="BZ20" i="14"/>
  <c r="L16" i="43" s="1"/>
  <c r="BE27" i="14" a="1"/>
  <c r="BE27" i="14" s="1"/>
  <c r="CA10" i="14"/>
  <c r="M6" i="43" s="1"/>
  <c r="EN10" i="14"/>
  <c r="DJ10" i="14" s="1"/>
  <c r="BB10" i="14" a="1"/>
  <c r="BB10" i="14" s="1"/>
  <c r="CB40" i="14"/>
  <c r="N36" i="43" s="1"/>
  <c r="EZ20" i="14"/>
  <c r="DV20" i="14" s="1"/>
  <c r="BH8" i="14" a="1"/>
  <c r="BH8" i="14" s="1"/>
  <c r="W15" i="20"/>
  <c r="BW25" i="14"/>
  <c r="I21" i="43" s="1"/>
  <c r="E54" i="12"/>
  <c r="JD88" i="14"/>
  <c r="CA95" i="14"/>
  <c r="M91" i="43" s="1"/>
  <c r="EJ95" i="14"/>
  <c r="DF95" i="14" s="1"/>
  <c r="JB88" i="14"/>
  <c r="BS86" i="14"/>
  <c r="E82" i="43" s="1"/>
  <c r="BH83" i="14" a="1"/>
  <c r="BH83" i="14" s="1"/>
  <c r="BU79" i="14"/>
  <c r="G75" i="43" s="1"/>
  <c r="EH79" i="14"/>
  <c r="DD79" i="14" s="1"/>
  <c r="IU79" i="14"/>
  <c r="IT79" i="14"/>
  <c r="AW87" i="14" a="1"/>
  <c r="AW87" i="14" s="1"/>
  <c r="BU82" i="14"/>
  <c r="G78" i="43" s="1"/>
  <c r="AT87" i="14" a="1"/>
  <c r="AT87" i="14" s="1"/>
  <c r="GQ179" i="14"/>
  <c r="EP81" i="14"/>
  <c r="DL81" i="14" s="1"/>
  <c r="AY79" i="14" a="1"/>
  <c r="AY79" i="14" s="1"/>
  <c r="EK79" i="14"/>
  <c r="DG79" i="14" s="1"/>
  <c r="HJ179" i="14"/>
  <c r="CB81" i="14"/>
  <c r="N77" i="43" s="1"/>
  <c r="CF77" i="14"/>
  <c r="R73" i="43" s="1"/>
  <c r="BL77" i="14" a="1"/>
  <c r="BL77" i="14" s="1"/>
  <c r="CP77" i="14" s="1"/>
  <c r="AB73" i="43" s="1"/>
  <c r="CB64" i="14"/>
  <c r="N60" i="43" s="1"/>
  <c r="BS77" i="14"/>
  <c r="E73" i="43" s="1"/>
  <c r="EX77" i="14"/>
  <c r="DT77" i="14" s="1"/>
  <c r="CC68" i="14"/>
  <c r="O64" i="43" s="1"/>
  <c r="EQ61" i="14"/>
  <c r="DM61" i="14" s="1"/>
  <c r="BU64" i="14"/>
  <c r="G60" i="43" s="1"/>
  <c r="BA64" i="14" a="1"/>
  <c r="BA64" i="14" s="1"/>
  <c r="CG41" i="14"/>
  <c r="S37" i="43" s="1"/>
  <c r="EY41" i="14"/>
  <c r="DU41" i="14" s="1"/>
  <c r="CB61" i="14"/>
  <c r="N57" i="43" s="1"/>
  <c r="AY48" i="14" a="1"/>
  <c r="AY48" i="14" s="1"/>
  <c r="EN39" i="14"/>
  <c r="DJ39" i="14" s="1"/>
  <c r="BJ72" i="14" a="1"/>
  <c r="BJ72" i="14" s="1"/>
  <c r="CN72" i="14" s="1"/>
  <c r="Z68" i="43" s="1"/>
  <c r="EV72" i="14"/>
  <c r="DR72" i="14" s="1"/>
  <c r="BH72" i="14" a="1"/>
  <c r="BH72" i="14" s="1"/>
  <c r="BW49" i="14"/>
  <c r="I45" i="43" s="1"/>
  <c r="EL47" i="14"/>
  <c r="DH47" i="14" s="1"/>
  <c r="BH27" i="14" a="1"/>
  <c r="BH27" i="14" s="1"/>
  <c r="BC40" i="14" a="1"/>
  <c r="BC40" i="14" s="1"/>
  <c r="BE40" i="14" a="1"/>
  <c r="BE40" i="14" s="1"/>
  <c r="BF27" i="14" a="1"/>
  <c r="BF27" i="14" s="1"/>
  <c r="BE21" i="14" a="1"/>
  <c r="BE21" i="14" s="1"/>
  <c r="EQ21" i="14"/>
  <c r="DM21" i="14" s="1"/>
  <c r="AZ46" i="14" a="1"/>
  <c r="AZ46" i="14" s="1"/>
  <c r="AY46" i="14" a="1"/>
  <c r="AY46" i="14" s="1"/>
  <c r="BW8" i="14"/>
  <c r="I4" i="43" s="1"/>
  <c r="BX49" i="14"/>
  <c r="J45" i="43" s="1"/>
  <c r="BY41" i="14"/>
  <c r="K37" i="43" s="1"/>
  <c r="EQ41" i="14"/>
  <c r="DM41" i="14" s="1"/>
  <c r="BB8" i="14" a="1"/>
  <c r="BB8" i="14" s="1"/>
  <c r="BB44" i="14" a="1"/>
  <c r="BB44" i="14" s="1"/>
  <c r="BD7" i="14" a="1"/>
  <c r="BD7" i="14" s="1"/>
  <c r="Y414" i="20"/>
  <c r="AG119" i="12"/>
  <c r="U119" i="12"/>
  <c r="I119" i="12"/>
  <c r="AF119" i="12"/>
  <c r="T119" i="12"/>
  <c r="H119" i="12"/>
  <c r="AE119" i="12"/>
  <c r="S119" i="12"/>
  <c r="G119" i="12"/>
  <c r="AD119" i="12"/>
  <c r="R119" i="12"/>
  <c r="AC119" i="12"/>
  <c r="Q119" i="12"/>
  <c r="AB119" i="12"/>
  <c r="P119" i="12"/>
  <c r="Z119" i="12"/>
  <c r="N119" i="12"/>
  <c r="AA119" i="12"/>
  <c r="Y119" i="12"/>
  <c r="X119" i="12"/>
  <c r="W119" i="12"/>
  <c r="V119" i="12"/>
  <c r="O119" i="12"/>
  <c r="M119" i="12"/>
  <c r="L119" i="12"/>
  <c r="K119" i="12"/>
  <c r="AJ119" i="12"/>
  <c r="AI119" i="12"/>
  <c r="AH119" i="12"/>
  <c r="J119" i="12"/>
  <c r="AG95" i="12"/>
  <c r="U95" i="12"/>
  <c r="I95" i="12"/>
  <c r="AF95" i="12"/>
  <c r="T95" i="12"/>
  <c r="H95" i="12"/>
  <c r="AE95" i="12"/>
  <c r="S95" i="12"/>
  <c r="G95" i="12"/>
  <c r="AD95" i="12"/>
  <c r="R95" i="12"/>
  <c r="AC95" i="12"/>
  <c r="Q95" i="12"/>
  <c r="AB95" i="12"/>
  <c r="P95" i="12"/>
  <c r="Z95" i="12"/>
  <c r="N95" i="12"/>
  <c r="X95" i="12"/>
  <c r="W95" i="12"/>
  <c r="V95" i="12"/>
  <c r="O95" i="12"/>
  <c r="M95" i="12"/>
  <c r="L95" i="12"/>
  <c r="K95" i="12"/>
  <c r="AJ95" i="12"/>
  <c r="J95" i="12"/>
  <c r="AI95" i="12"/>
  <c r="AH95" i="12"/>
  <c r="AA95" i="12"/>
  <c r="Y95" i="12"/>
  <c r="AG71" i="12"/>
  <c r="U71" i="12"/>
  <c r="I71" i="12"/>
  <c r="AF71" i="12"/>
  <c r="T71" i="12"/>
  <c r="H71" i="12"/>
  <c r="AE71" i="12"/>
  <c r="S71" i="12"/>
  <c r="G71" i="12"/>
  <c r="AD71" i="12"/>
  <c r="R71" i="12"/>
  <c r="AC71" i="12"/>
  <c r="Q71" i="12"/>
  <c r="AB71" i="12"/>
  <c r="P71" i="12"/>
  <c r="Z71" i="12"/>
  <c r="N71" i="12"/>
  <c r="V71" i="12"/>
  <c r="O71" i="12"/>
  <c r="M71" i="12"/>
  <c r="L71" i="12"/>
  <c r="K71" i="12"/>
  <c r="AJ71" i="12"/>
  <c r="J71" i="12"/>
  <c r="AI71" i="12"/>
  <c r="AH71" i="12"/>
  <c r="AA71" i="12"/>
  <c r="Y71" i="12"/>
  <c r="X71" i="12"/>
  <c r="W71" i="12"/>
  <c r="E47" i="12"/>
  <c r="IR88" i="14"/>
  <c r="ED95" i="14"/>
  <c r="CZ95" i="14" s="1"/>
  <c r="BU95" i="14"/>
  <c r="G91" i="43" s="1"/>
  <c r="BA103" i="14" a="1"/>
  <c r="BA103" i="14" s="1"/>
  <c r="AZ103" i="14" a="1"/>
  <c r="AZ103" i="14" s="1"/>
  <c r="EI87" i="14"/>
  <c r="DE87" i="14" s="1"/>
  <c r="EG79" i="14"/>
  <c r="DC79" i="14" s="1"/>
  <c r="BS87" i="14"/>
  <c r="E83" i="43" s="1"/>
  <c r="IZ81" i="14"/>
  <c r="BH82" i="14" a="1"/>
  <c r="BH82" i="14" s="1"/>
  <c r="IR86" i="14"/>
  <c r="HA179" i="14"/>
  <c r="I283" i="17"/>
  <c r="H283" i="17"/>
  <c r="GX179" i="14"/>
  <c r="J150" i="20"/>
  <c r="D150" i="20"/>
  <c r="ES68" i="14"/>
  <c r="DO68" i="14" s="1"/>
  <c r="CD68" i="14"/>
  <c r="P64" i="43" s="1"/>
  <c r="BV66" i="14"/>
  <c r="H62" i="43" s="1"/>
  <c r="EP61" i="14"/>
  <c r="DL61" i="14" s="1"/>
  <c r="CA64" i="14"/>
  <c r="M60" i="43" s="1"/>
  <c r="BG64" i="14" a="1"/>
  <c r="BG64" i="14" s="1"/>
  <c r="ES64" i="14"/>
  <c r="DO64" i="14" s="1"/>
  <c r="EN54" i="14"/>
  <c r="DJ54" i="14" s="1"/>
  <c r="BB54" i="14" a="1"/>
  <c r="BB54" i="14" s="1"/>
  <c r="BV54" i="14"/>
  <c r="H50" i="43" s="1"/>
  <c r="CA41" i="14"/>
  <c r="M37" i="43" s="1"/>
  <c r="BG41" i="14" a="1"/>
  <c r="BG41" i="14" s="1"/>
  <c r="BD49" i="14" a="1"/>
  <c r="BD49" i="14" s="1"/>
  <c r="EL41" i="14"/>
  <c r="DH41" i="14" s="1"/>
  <c r="BT41" i="14"/>
  <c r="F37" i="43" s="1"/>
  <c r="EQ48" i="14"/>
  <c r="DM48" i="14" s="1"/>
  <c r="BE48" i="14" a="1"/>
  <c r="BE48" i="14" s="1"/>
  <c r="BQ25" i="14" a="1"/>
  <c r="BQ25" i="14" s="1"/>
  <c r="CU25" i="14" s="1"/>
  <c r="AG21" i="43" s="1"/>
  <c r="CG49" i="14"/>
  <c r="S45" i="43" s="1"/>
  <c r="BS48" i="14"/>
  <c r="E44" i="43" s="1"/>
  <c r="FD26" i="14"/>
  <c r="DZ26" i="14" s="1"/>
  <c r="BR26" i="14" a="1"/>
  <c r="BR26" i="14" s="1"/>
  <c r="CV26" i="14" s="1"/>
  <c r="AH22" i="43" s="1"/>
  <c r="CL26" i="14"/>
  <c r="X22" i="43" s="1"/>
  <c r="AY71" i="14" a="1"/>
  <c r="AY71" i="14" s="1"/>
  <c r="EQ60" i="14"/>
  <c r="DM60" i="14" s="1"/>
  <c r="FB47" i="14"/>
  <c r="DX47" i="14" s="1"/>
  <c r="ER27" i="14"/>
  <c r="DN27" i="14" s="1"/>
  <c r="CI9" i="14"/>
  <c r="U5" i="43" s="1"/>
  <c r="FA9" i="14"/>
  <c r="DW9" i="14" s="1"/>
  <c r="CA20" i="14"/>
  <c r="M16" i="43" s="1"/>
  <c r="EP21" i="14"/>
  <c r="DL21" i="14" s="1"/>
  <c r="BX21" i="14"/>
  <c r="J17" i="43" s="1"/>
  <c r="ET46" i="14"/>
  <c r="DP46" i="14" s="1"/>
  <c r="BE46" i="14" a="1"/>
  <c r="BE46" i="14" s="1"/>
  <c r="BH46" i="14" a="1"/>
  <c r="BH46" i="14" s="1"/>
  <c r="CD40" i="14"/>
  <c r="P36" i="43" s="1"/>
  <c r="BF41" i="14" a="1"/>
  <c r="BF41" i="14" s="1"/>
  <c r="ER26" i="14"/>
  <c r="DN26" i="14" s="1"/>
  <c r="BF26" i="14" a="1"/>
  <c r="BF26" i="14" s="1"/>
  <c r="BZ26" i="14"/>
  <c r="L22" i="43" s="1"/>
  <c r="CB24" i="14"/>
  <c r="N20" i="43" s="1"/>
  <c r="ET24" i="14"/>
  <c r="DP24" i="14" s="1"/>
  <c r="BF8" i="14" a="1"/>
  <c r="BF8" i="14" s="1"/>
  <c r="ER8" i="14"/>
  <c r="DN8" i="14" s="1"/>
  <c r="AZ43" i="14" a="1"/>
  <c r="AZ43" i="14" s="1"/>
  <c r="CA25" i="14"/>
  <c r="M21" i="43" s="1"/>
  <c r="E51" i="12"/>
  <c r="E62" i="12"/>
  <c r="BS103" i="14"/>
  <c r="E99" i="43" s="1"/>
  <c r="EK103" i="14"/>
  <c r="DG103" i="14" s="1"/>
  <c r="EY95" i="14"/>
  <c r="DU95" i="14" s="1"/>
  <c r="CP95" i="14"/>
  <c r="AB91" i="43" s="1"/>
  <c r="BI83" i="14" a="1"/>
  <c r="BI83" i="14" s="1"/>
  <c r="CM83" i="14" s="1"/>
  <c r="Y79" i="43" s="1"/>
  <c r="EU83" i="14"/>
  <c r="DQ83" i="14" s="1"/>
  <c r="CC83" i="14"/>
  <c r="O79" i="43" s="1"/>
  <c r="EZ83" i="14"/>
  <c r="DV83" i="14" s="1"/>
  <c r="AZ82" i="14" a="1"/>
  <c r="AZ82" i="14" s="1"/>
  <c r="IT78" i="14"/>
  <c r="GO179" i="14"/>
  <c r="HL179" i="14"/>
  <c r="HK179" i="14"/>
  <c r="EZ81" i="14"/>
  <c r="DV81" i="14" s="1"/>
  <c r="GL179" i="14"/>
  <c r="BU77" i="14"/>
  <c r="G73" i="43" s="1"/>
  <c r="EK77" i="14"/>
  <c r="DG77" i="14" s="1"/>
  <c r="EO68" i="14"/>
  <c r="DK68" i="14" s="1"/>
  <c r="BC68" i="14" a="1"/>
  <c r="BC68" i="14" s="1"/>
  <c r="EP67" i="14"/>
  <c r="DL67" i="14" s="1"/>
  <c r="BD67" i="14" a="1"/>
  <c r="BD67" i="14" s="1"/>
  <c r="BC66" i="14" a="1"/>
  <c r="BC66" i="14" s="1"/>
  <c r="BA77" i="14" a="1"/>
  <c r="BA77" i="14" s="1"/>
  <c r="BA73" i="14" a="1"/>
  <c r="BA73" i="14" s="1"/>
  <c r="EW50" i="14"/>
  <c r="DS50" i="14" s="1"/>
  <c r="CE50" i="14"/>
  <c r="Q46" i="43" s="1"/>
  <c r="EM41" i="14"/>
  <c r="DI41" i="14" s="1"/>
  <c r="BU41" i="14"/>
  <c r="G37" i="43" s="1"/>
  <c r="EP48" i="14"/>
  <c r="DL48" i="14" s="1"/>
  <c r="EU54" i="14"/>
  <c r="DQ54" i="14" s="1"/>
  <c r="CC54" i="14"/>
  <c r="O50" i="43" s="1"/>
  <c r="BU39" i="14"/>
  <c r="G35" i="43" s="1"/>
  <c r="BA39" i="14" a="1"/>
  <c r="BA39" i="14" s="1"/>
  <c r="EK39" i="14"/>
  <c r="DG39" i="14" s="1"/>
  <c r="BB39" i="14" a="1"/>
  <c r="BB39" i="14" s="1"/>
  <c r="CE67" i="14"/>
  <c r="Q63" i="43" s="1"/>
  <c r="BX48" i="14"/>
  <c r="J44" i="43" s="1"/>
  <c r="ES25" i="14"/>
  <c r="DO25" i="14" s="1"/>
  <c r="FC25" i="14"/>
  <c r="DY25" i="14" s="1"/>
  <c r="BE26" i="14" a="1"/>
  <c r="BE26" i="14" s="1"/>
  <c r="EQ26" i="14"/>
  <c r="DM26" i="14" s="1"/>
  <c r="ET60" i="14"/>
  <c r="DP60" i="14" s="1"/>
  <c r="BO43" i="14" a="1"/>
  <c r="BO43" i="14" s="1"/>
  <c r="CS43" i="14" s="1"/>
  <c r="AE39" i="43" s="1"/>
  <c r="CC9" i="14"/>
  <c r="O5" i="43" s="1"/>
  <c r="EU9" i="14"/>
  <c r="DQ9" i="14" s="1"/>
  <c r="CW177" i="14"/>
  <c r="C26" i="21" s="1"/>
  <c r="EG11" i="14"/>
  <c r="DC11" i="14" s="1"/>
  <c r="BG23" i="14" a="1"/>
  <c r="BG23" i="14" s="1"/>
  <c r="BN46" i="14" a="1"/>
  <c r="BN46" i="14" s="1"/>
  <c r="CR46" i="14" s="1"/>
  <c r="AD42" i="43" s="1"/>
  <c r="BS45" i="14"/>
  <c r="E41" i="43" s="1"/>
  <c r="AI41" i="43" s="1"/>
  <c r="BW40" i="14"/>
  <c r="I36" i="43" s="1"/>
  <c r="BB27" i="14" a="1"/>
  <c r="BB27" i="14" s="1"/>
  <c r="BW20" i="14"/>
  <c r="I16" i="43" s="1"/>
  <c r="CD21" i="14"/>
  <c r="P17" i="43" s="1"/>
  <c r="EL8" i="14"/>
  <c r="DH8" i="14" s="1"/>
  <c r="AZ8" i="14" a="1"/>
  <c r="AZ8" i="14" s="1"/>
  <c r="BT8" i="14"/>
  <c r="F4" i="43" s="1"/>
  <c r="EF44" i="14"/>
  <c r="DB44" i="14" s="1"/>
  <c r="BC20" i="14" a="1"/>
  <c r="BC20" i="14" s="1"/>
  <c r="BU7" i="14"/>
  <c r="G3" i="43" s="1"/>
  <c r="BA7" i="14" a="1"/>
  <c r="BA7" i="14" s="1"/>
  <c r="M414" i="20"/>
  <c r="AC115" i="12"/>
  <c r="Q115" i="12"/>
  <c r="AB115" i="12"/>
  <c r="P115" i="12"/>
  <c r="AA115" i="12"/>
  <c r="O115" i="12"/>
  <c r="Z115" i="12"/>
  <c r="N115" i="12"/>
  <c r="Y115" i="12"/>
  <c r="M115" i="12"/>
  <c r="AJ115" i="12"/>
  <c r="X115" i="12"/>
  <c r="L115" i="12"/>
  <c r="AH115" i="12"/>
  <c r="V115" i="12"/>
  <c r="J115" i="12"/>
  <c r="U115" i="12"/>
  <c r="T115" i="12"/>
  <c r="S115" i="12"/>
  <c r="R115" i="12"/>
  <c r="K115" i="12"/>
  <c r="I115" i="12"/>
  <c r="AI115" i="12"/>
  <c r="H115" i="12"/>
  <c r="AG115" i="12"/>
  <c r="G115" i="12"/>
  <c r="AF115" i="12"/>
  <c r="AE115" i="12"/>
  <c r="W115" i="12"/>
  <c r="AD115" i="12"/>
  <c r="AC91" i="12"/>
  <c r="Q91" i="12"/>
  <c r="AB91" i="12"/>
  <c r="P91" i="12"/>
  <c r="AA91" i="12"/>
  <c r="O91" i="12"/>
  <c r="Z91" i="12"/>
  <c r="N91" i="12"/>
  <c r="Y91" i="12"/>
  <c r="M91" i="12"/>
  <c r="AJ91" i="12"/>
  <c r="X91" i="12"/>
  <c r="L91" i="12"/>
  <c r="AH91" i="12"/>
  <c r="V91" i="12"/>
  <c r="J91" i="12"/>
  <c r="S91" i="12"/>
  <c r="R91" i="12"/>
  <c r="K91" i="12"/>
  <c r="I91" i="12"/>
  <c r="AI91" i="12"/>
  <c r="H91" i="12"/>
  <c r="AG91" i="12"/>
  <c r="G91" i="12"/>
  <c r="AF91" i="12"/>
  <c r="AE91" i="12"/>
  <c r="AD91" i="12"/>
  <c r="W91" i="12"/>
  <c r="U91" i="12"/>
  <c r="T91" i="12"/>
  <c r="AC67" i="12"/>
  <c r="Q67" i="12"/>
  <c r="AB67" i="12"/>
  <c r="P67" i="12"/>
  <c r="AA67" i="12"/>
  <c r="O67" i="12"/>
  <c r="Z67" i="12"/>
  <c r="N67" i="12"/>
  <c r="Y67" i="12"/>
  <c r="M67" i="12"/>
  <c r="AJ67" i="12"/>
  <c r="X67" i="12"/>
  <c r="L67" i="12"/>
  <c r="AH67" i="12"/>
  <c r="V67" i="12"/>
  <c r="J67" i="12"/>
  <c r="K67" i="12"/>
  <c r="I67" i="12"/>
  <c r="AI67" i="12"/>
  <c r="H67" i="12"/>
  <c r="AG67" i="12"/>
  <c r="G67" i="12"/>
  <c r="AF67" i="12"/>
  <c r="AE67" i="12"/>
  <c r="AD67" i="12"/>
  <c r="W67" i="12"/>
  <c r="U67" i="12"/>
  <c r="T67" i="12"/>
  <c r="S67" i="12"/>
  <c r="R67" i="12"/>
  <c r="E53" i="12"/>
  <c r="ER93" i="14"/>
  <c r="DN93" i="14" s="1"/>
  <c r="BZ93" i="14"/>
  <c r="L89" i="43" s="1"/>
  <c r="FD93" i="14"/>
  <c r="DZ93" i="14" s="1"/>
  <c r="BR93" i="14" a="1"/>
  <c r="BR93" i="14" s="1"/>
  <c r="CV93" i="14" s="1"/>
  <c r="AH89" i="43" s="1"/>
  <c r="CL93" i="14"/>
  <c r="X89" i="43" s="1"/>
  <c r="EP83" i="14"/>
  <c r="DL83" i="14" s="1"/>
  <c r="BF82" i="14" a="1"/>
  <c r="BF82" i="14" s="1"/>
  <c r="BV82" i="14"/>
  <c r="H78" i="43" s="1"/>
  <c r="AT86" i="14" a="1"/>
  <c r="AT86" i="14" s="1"/>
  <c r="BS78" i="14"/>
  <c r="E74" i="43" s="1"/>
  <c r="AT78" i="14" a="1"/>
  <c r="AT78" i="14" s="1"/>
  <c r="IV78" i="14" s="1"/>
  <c r="BX81" i="14"/>
  <c r="J77" i="43" s="1"/>
  <c r="GZ179" i="14"/>
  <c r="GY179" i="14"/>
  <c r="BK81" i="14" a="1"/>
  <c r="BK81" i="14" s="1"/>
  <c r="CO81" i="14" s="1"/>
  <c r="AA77" i="43" s="1"/>
  <c r="ER77" i="14"/>
  <c r="DN77" i="14" s="1"/>
  <c r="BG77" i="14" a="1"/>
  <c r="BG77" i="14" s="1"/>
  <c r="ET68" i="14"/>
  <c r="DP68" i="14" s="1"/>
  <c r="BR68" i="14" a="1"/>
  <c r="BR68" i="14" s="1"/>
  <c r="CV68" i="14" s="1"/>
  <c r="AH64" i="43" s="1"/>
  <c r="BG66" i="14" a="1"/>
  <c r="BG66" i="14" s="1"/>
  <c r="ES66" i="14"/>
  <c r="DO66" i="14" s="1"/>
  <c r="BH66" i="14" a="1"/>
  <c r="BH66" i="14" s="1"/>
  <c r="BG58" i="14" a="1"/>
  <c r="BG58" i="14" s="1"/>
  <c r="EY49" i="14"/>
  <c r="DU49" i="14" s="1"/>
  <c r="CI43" i="14"/>
  <c r="U39" i="43" s="1"/>
  <c r="BB49" i="14" a="1"/>
  <c r="BB49" i="14" s="1"/>
  <c r="EN49" i="14"/>
  <c r="DJ49" i="14" s="1"/>
  <c r="BV49" i="14"/>
  <c r="H45" i="43" s="1"/>
  <c r="BT43" i="14"/>
  <c r="F39" i="43" s="1"/>
  <c r="CB49" i="14"/>
  <c r="N45" i="43" s="1"/>
  <c r="CA39" i="14"/>
  <c r="M35" i="43" s="1"/>
  <c r="ES39" i="14"/>
  <c r="DO39" i="14" s="1"/>
  <c r="BG39" i="14" a="1"/>
  <c r="BG39" i="14" s="1"/>
  <c r="BA72" i="14" a="1"/>
  <c r="BA72" i="14" s="1"/>
  <c r="BZ54" i="14"/>
  <c r="L50" i="43" s="1"/>
  <c r="BF54" i="14" a="1"/>
  <c r="BF54" i="14" s="1"/>
  <c r="BH54" i="14" a="1"/>
  <c r="BH54" i="14" s="1"/>
  <c r="EK26" i="14"/>
  <c r="DG26" i="14" s="1"/>
  <c r="BS26" i="14"/>
  <c r="E22" i="43" s="1"/>
  <c r="AY26" i="14" a="1"/>
  <c r="AY26" i="14" s="1"/>
  <c r="CG22" i="14"/>
  <c r="S18" i="43" s="1"/>
  <c r="EY22" i="14"/>
  <c r="DU22" i="14" s="1"/>
  <c r="BM22" i="14" a="1"/>
  <c r="BM22" i="14" s="1"/>
  <c r="CQ22" i="14" s="1"/>
  <c r="AC18" i="43" s="1"/>
  <c r="ES71" i="14"/>
  <c r="DO71" i="14" s="1"/>
  <c r="EL60" i="14"/>
  <c r="DH60" i="14" s="1"/>
  <c r="EM24" i="14"/>
  <c r="DI24" i="14" s="1"/>
  <c r="BU24" i="14"/>
  <c r="G20" i="43" s="1"/>
  <c r="BA23" i="14" a="1"/>
  <c r="BA23" i="14" s="1"/>
  <c r="BW9" i="14"/>
  <c r="I5" i="43" s="1"/>
  <c r="EO9" i="14"/>
  <c r="DK9" i="14" s="1"/>
  <c r="BV9" i="14"/>
  <c r="H5" i="43" s="1"/>
  <c r="EN9" i="14"/>
  <c r="DJ9" i="14" s="1"/>
  <c r="BY48" i="14"/>
  <c r="K44" i="43" s="1"/>
  <c r="BZ11" i="14"/>
  <c r="L7" i="43" s="1"/>
  <c r="BA11" i="14" a="1"/>
  <c r="BA11" i="14" s="1"/>
  <c r="BG42" i="14" a="1"/>
  <c r="BG42" i="14" s="1"/>
  <c r="BH9" i="14" a="1"/>
  <c r="BH9" i="14" s="1"/>
  <c r="BG7" i="14" a="1"/>
  <c r="BG7" i="14" s="1"/>
  <c r="ES7" i="14"/>
  <c r="DO7" i="14" s="1"/>
  <c r="EI10" i="14"/>
  <c r="DE10" i="14" s="1"/>
  <c r="BV10" i="14"/>
  <c r="H6" i="43" s="1"/>
  <c r="G26" i="10"/>
  <c r="H26" i="10" s="1"/>
  <c r="J26" i="10" s="1"/>
  <c r="K26" i="10" s="1"/>
  <c r="G9" i="10"/>
  <c r="H9" i="10" s="1"/>
  <c r="J9" i="10" s="1"/>
  <c r="K9" i="10" s="1"/>
  <c r="G39" i="10"/>
  <c r="H39" i="10" s="1"/>
  <c r="J39" i="10" s="1"/>
  <c r="K39" i="10" s="1"/>
  <c r="G22" i="10"/>
  <c r="H22" i="10" s="1"/>
  <c r="J22" i="10" s="1"/>
  <c r="K22" i="10" s="1"/>
  <c r="G49" i="10"/>
  <c r="H49" i="10" s="1"/>
  <c r="J49" i="10" s="1"/>
  <c r="K49" i="10" s="1"/>
  <c r="G35" i="10"/>
  <c r="H35" i="10" s="1"/>
  <c r="J35" i="10" s="1"/>
  <c r="K35" i="10" s="1"/>
  <c r="G18" i="10"/>
  <c r="H18" i="10" s="1"/>
  <c r="J18" i="10" s="1"/>
  <c r="K18" i="10" s="1"/>
  <c r="C108" i="10"/>
  <c r="G47" i="10"/>
  <c r="H47" i="10" s="1"/>
  <c r="J47" i="10" s="1"/>
  <c r="K47" i="10" s="1"/>
  <c r="G33" i="10"/>
  <c r="H33" i="10" s="1"/>
  <c r="J33" i="10" s="1"/>
  <c r="K33" i="10" s="1"/>
  <c r="G16" i="10"/>
  <c r="H16" i="10" s="1"/>
  <c r="J16" i="10" s="1"/>
  <c r="K16" i="10" s="1"/>
  <c r="G45" i="10"/>
  <c r="H45" i="10" s="1"/>
  <c r="J45" i="10" s="1"/>
  <c r="K45" i="10" s="1"/>
  <c r="G31" i="10"/>
  <c r="H31" i="10" s="1"/>
  <c r="J31" i="10" s="1"/>
  <c r="K31" i="10" s="1"/>
  <c r="G14" i="10"/>
  <c r="H14" i="10" s="1"/>
  <c r="J14" i="10" s="1"/>
  <c r="K14" i="10" s="1"/>
  <c r="G40" i="10"/>
  <c r="H40" i="10" s="1"/>
  <c r="J40" i="10" s="1"/>
  <c r="K40" i="10" s="1"/>
  <c r="G43" i="10"/>
  <c r="H43" i="10" s="1"/>
  <c r="J43" i="10" s="1"/>
  <c r="K43" i="10" s="1"/>
  <c r="G29" i="10"/>
  <c r="H29" i="10" s="1"/>
  <c r="J29" i="10" s="1"/>
  <c r="K29" i="10" s="1"/>
  <c r="G12" i="10"/>
  <c r="H12" i="10" s="1"/>
  <c r="J12" i="10" s="1"/>
  <c r="K12" i="10" s="1"/>
  <c r="G38" i="10"/>
  <c r="H38" i="10" s="1"/>
  <c r="J38" i="10" s="1"/>
  <c r="K38" i="10" s="1"/>
  <c r="G21" i="10"/>
  <c r="H21" i="10" s="1"/>
  <c r="J21" i="10" s="1"/>
  <c r="K21" i="10" s="1"/>
  <c r="G41" i="10"/>
  <c r="H41" i="10" s="1"/>
  <c r="J41" i="10" s="1"/>
  <c r="K41" i="10" s="1"/>
  <c r="G27" i="10"/>
  <c r="H27" i="10" s="1"/>
  <c r="J27" i="10" s="1"/>
  <c r="K27" i="10" s="1"/>
  <c r="G10" i="10"/>
  <c r="H10" i="10" s="1"/>
  <c r="J10" i="10" s="1"/>
  <c r="K10" i="10" s="1"/>
  <c r="G50" i="10"/>
  <c r="H50" i="10" s="1"/>
  <c r="J50" i="10" s="1"/>
  <c r="K50" i="10" s="1"/>
  <c r="G36" i="10"/>
  <c r="H36" i="10" s="1"/>
  <c r="J36" i="10" s="1"/>
  <c r="K36" i="10" s="1"/>
  <c r="G19" i="10"/>
  <c r="H19" i="10" s="1"/>
  <c r="J19" i="10" s="1"/>
  <c r="K19" i="10" s="1"/>
  <c r="G25" i="10"/>
  <c r="H25" i="10" s="1"/>
  <c r="J25" i="10" s="1"/>
  <c r="K25" i="10" s="1"/>
  <c r="G8" i="10"/>
  <c r="H8" i="10" s="1"/>
  <c r="J8" i="10" s="1"/>
  <c r="K8" i="10" s="1"/>
  <c r="G44" i="10"/>
  <c r="H44" i="10" s="1"/>
  <c r="J44" i="10" s="1"/>
  <c r="K44" i="10" s="1"/>
  <c r="G30" i="10"/>
  <c r="H30" i="10" s="1"/>
  <c r="J30" i="10" s="1"/>
  <c r="K30" i="10" s="1"/>
  <c r="G13" i="10"/>
  <c r="H13" i="10" s="1"/>
  <c r="J13" i="10" s="1"/>
  <c r="K13" i="10" s="1"/>
  <c r="BH124" i="11"/>
  <c r="BA124" i="11"/>
  <c r="EM95" i="14"/>
  <c r="DI95" i="14" s="1"/>
  <c r="CD95" i="14"/>
  <c r="P91" i="43" s="1"/>
  <c r="AW78" i="14" a="1"/>
  <c r="AW78" i="14" s="1"/>
  <c r="W283" i="17"/>
  <c r="BC82" i="14" a="1"/>
  <c r="BC82" i="14" s="1"/>
  <c r="BW82" i="14"/>
  <c r="I78" i="43" s="1"/>
  <c r="IQ86" i="14"/>
  <c r="IT86" i="14"/>
  <c r="ER87" i="14"/>
  <c r="DN87" i="14" s="1"/>
  <c r="BF87" i="14" a="1"/>
  <c r="BF87" i="14" s="1"/>
  <c r="GN179" i="14"/>
  <c r="GM179" i="14"/>
  <c r="F283" i="17"/>
  <c r="EL77" i="14"/>
  <c r="DH77" i="14" s="1"/>
  <c r="X154" i="20"/>
  <c r="BA76" i="14" a="1"/>
  <c r="BA76" i="14" s="1"/>
  <c r="BA66" i="14" a="1"/>
  <c r="BA66" i="14" s="1"/>
  <c r="BU66" i="14"/>
  <c r="G62" i="43" s="1"/>
  <c r="BJ76" i="14" a="1"/>
  <c r="BJ76" i="14" s="1"/>
  <c r="CN76" i="14" s="1"/>
  <c r="Z72" i="43" s="1"/>
  <c r="AY62" i="14" a="1"/>
  <c r="AY62" i="14" s="1"/>
  <c r="BF64" i="14" a="1"/>
  <c r="BF64" i="14" s="1"/>
  <c r="BA58" i="14" a="1"/>
  <c r="BA58" i="14" s="1"/>
  <c r="EK50" i="14"/>
  <c r="DG50" i="14" s="1"/>
  <c r="BS50" i="14"/>
  <c r="E46" i="43" s="1"/>
  <c r="BU54" i="14"/>
  <c r="G50" i="43" s="1"/>
  <c r="BW61" i="14"/>
  <c r="I57" i="43" s="1"/>
  <c r="BF48" i="14" a="1"/>
  <c r="BF48" i="14" s="1"/>
  <c r="EU23" i="14"/>
  <c r="DQ23" i="14" s="1"/>
  <c r="CC23" i="14"/>
  <c r="O19" i="43" s="1"/>
  <c r="EV54" i="14"/>
  <c r="DR54" i="14" s="1"/>
  <c r="BG22" i="14" a="1"/>
  <c r="BG22" i="14" s="1"/>
  <c r="CA22" i="14"/>
  <c r="M18" i="43" s="1"/>
  <c r="AZ24" i="14" a="1"/>
  <c r="AZ24" i="14" s="1"/>
  <c r="BT24" i="14"/>
  <c r="F20" i="43" s="1"/>
  <c r="BG24" i="14" a="1"/>
  <c r="BG24" i="14" s="1"/>
  <c r="ES24" i="14"/>
  <c r="DO24" i="14" s="1"/>
  <c r="EL23" i="14"/>
  <c r="DH23" i="14" s="1"/>
  <c r="BT23" i="14"/>
  <c r="F19" i="43" s="1"/>
  <c r="BT11" i="14"/>
  <c r="F7" i="43" s="1"/>
  <c r="AU11" i="14" a="1"/>
  <c r="AU11" i="14" s="1"/>
  <c r="EP23" i="14"/>
  <c r="DL23" i="14" s="1"/>
  <c r="BD23" i="14" a="1"/>
  <c r="BD23" i="14" s="1"/>
  <c r="FA20" i="14"/>
  <c r="DW20" i="14" s="1"/>
  <c r="CI20" i="14"/>
  <c r="U16" i="43" s="1"/>
  <c r="EX9" i="14"/>
  <c r="DT9" i="14" s="1"/>
  <c r="BL9" i="14" a="1"/>
  <c r="BL9" i="14" s="1"/>
  <c r="CP9" i="14" s="1"/>
  <c r="AB5" i="43" s="1"/>
  <c r="CF9" i="14"/>
  <c r="R5" i="43" s="1"/>
  <c r="AY41" i="14" a="1"/>
  <c r="AY41" i="14" s="1"/>
  <c r="BS41" i="14"/>
  <c r="E37" i="43" s="1"/>
  <c r="EK41" i="14"/>
  <c r="DG41" i="14" s="1"/>
  <c r="ET41" i="14"/>
  <c r="DP41" i="14" s="1"/>
  <c r="CB41" i="14"/>
  <c r="N37" i="43" s="1"/>
  <c r="H15" i="20"/>
  <c r="CE25" i="14"/>
  <c r="Q21" i="43" s="1"/>
  <c r="CB10" i="14"/>
  <c r="N6" i="43" s="1"/>
  <c r="EO10" i="14"/>
  <c r="DK10" i="14" s="1"/>
  <c r="Y87" i="12"/>
  <c r="M87" i="12"/>
  <c r="AJ87" i="12"/>
  <c r="X87" i="12"/>
  <c r="L87" i="12"/>
  <c r="AI87" i="12"/>
  <c r="W87" i="12"/>
  <c r="K87" i="12"/>
  <c r="AH87" i="12"/>
  <c r="V87" i="12"/>
  <c r="J87" i="12"/>
  <c r="AG87" i="12"/>
  <c r="U87" i="12"/>
  <c r="I87" i="12"/>
  <c r="AF87" i="12"/>
  <c r="T87" i="12"/>
  <c r="H87" i="12"/>
  <c r="AD87" i="12"/>
  <c r="R87" i="12"/>
  <c r="AE87" i="12"/>
  <c r="AC87" i="12"/>
  <c r="AB87" i="12"/>
  <c r="AA87" i="12"/>
  <c r="Z87" i="12"/>
  <c r="S87" i="12"/>
  <c r="Q87" i="12"/>
  <c r="P87" i="12"/>
  <c r="O87" i="12"/>
  <c r="N87" i="12"/>
  <c r="G87" i="12"/>
  <c r="E10" i="12"/>
  <c r="L11" i="10"/>
  <c r="B200" i="17"/>
  <c r="B226" i="17" s="1"/>
  <c r="C175" i="17"/>
  <c r="C226" i="17"/>
  <c r="C200" i="17"/>
  <c r="B102" i="17"/>
  <c r="C102" i="17" s="1"/>
  <c r="CH103" i="14"/>
  <c r="T99" i="43" s="1"/>
  <c r="EE102" i="14"/>
  <c r="DA102" i="14" s="1"/>
  <c r="DA177" i="14" s="1"/>
  <c r="G26" i="21" s="1"/>
  <c r="BY93" i="14"/>
  <c r="K89" i="43" s="1"/>
  <c r="IW88" i="14"/>
  <c r="BT86" i="14"/>
  <c r="F82" i="43" s="1"/>
  <c r="K283" i="17"/>
  <c r="E174" i="20"/>
  <c r="AY82" i="14" a="1"/>
  <c r="AY82" i="14" s="1"/>
  <c r="IQ78" i="14"/>
  <c r="IU78" i="14"/>
  <c r="GI179" i="14"/>
  <c r="IS79" i="14"/>
  <c r="BS79" i="14"/>
  <c r="E75" i="43" s="1"/>
  <c r="C171" i="20"/>
  <c r="CG81" i="14"/>
  <c r="S77" i="43" s="1"/>
  <c r="CA76" i="14"/>
  <c r="M72" i="43" s="1"/>
  <c r="ES76" i="14"/>
  <c r="DO76" i="14" s="1"/>
  <c r="BG76" i="14" a="1"/>
  <c r="BG76" i="14" s="1"/>
  <c r="BV72" i="14"/>
  <c r="H68" i="43" s="1"/>
  <c r="H154" i="20"/>
  <c r="BS73" i="14"/>
  <c r="E69" i="43" s="1"/>
  <c r="BF77" i="14" a="1"/>
  <c r="BF77" i="14" s="1"/>
  <c r="BS76" i="14"/>
  <c r="E72" i="43" s="1"/>
  <c r="EP68" i="14"/>
  <c r="DL68" i="14" s="1"/>
  <c r="EN67" i="14"/>
  <c r="DJ67" i="14" s="1"/>
  <c r="BB67" i="14" a="1"/>
  <c r="BB67" i="14" s="1"/>
  <c r="EK61" i="14"/>
  <c r="DG61" i="14" s="1"/>
  <c r="BV62" i="14"/>
  <c r="H58" i="43" s="1"/>
  <c r="EL61" i="14"/>
  <c r="DH61" i="14" s="1"/>
  <c r="BD61" i="14" a="1"/>
  <c r="BD61" i="14" s="1"/>
  <c r="CB62" i="14"/>
  <c r="N58" i="43" s="1"/>
  <c r="BX54" i="14"/>
  <c r="J50" i="43" s="1"/>
  <c r="BK50" i="14" a="1"/>
  <c r="BK50" i="14" s="1"/>
  <c r="CO50" i="14" s="1"/>
  <c r="AA46" i="43" s="1"/>
  <c r="FD41" i="14"/>
  <c r="DZ41" i="14" s="1"/>
  <c r="BZ48" i="14"/>
  <c r="L44" i="43" s="1"/>
  <c r="CF48" i="14"/>
  <c r="R44" i="43" s="1"/>
  <c r="EQ72" i="14"/>
  <c r="DM72" i="14" s="1"/>
  <c r="BX67" i="14"/>
  <c r="J63" i="43" s="1"/>
  <c r="FA39" i="14"/>
  <c r="DW39" i="14" s="1"/>
  <c r="ER25" i="14"/>
  <c r="DN25" i="14" s="1"/>
  <c r="BF25" i="14" a="1"/>
  <c r="BF25" i="14" s="1"/>
  <c r="BX23" i="14"/>
  <c r="J19" i="43" s="1"/>
  <c r="BU22" i="14"/>
  <c r="G18" i="43" s="1"/>
  <c r="EM22" i="14"/>
  <c r="DI22" i="14" s="1"/>
  <c r="BA22" i="14" a="1"/>
  <c r="BA22" i="14" s="1"/>
  <c r="EK47" i="14"/>
  <c r="DG47" i="14" s="1"/>
  <c r="EQ47" i="14"/>
  <c r="DM47" i="14" s="1"/>
  <c r="EQ27" i="14"/>
  <c r="DM27" i="14" s="1"/>
  <c r="BZ24" i="14"/>
  <c r="L20" i="43" s="1"/>
  <c r="BF24" i="14" a="1"/>
  <c r="BF24" i="14" s="1"/>
  <c r="BM24" i="14" a="1"/>
  <c r="BM24" i="14" s="1"/>
  <c r="CQ24" i="14" s="1"/>
  <c r="AC20" i="43" s="1"/>
  <c r="CG24" i="14"/>
  <c r="S20" i="43" s="1"/>
  <c r="EM25" i="14"/>
  <c r="DI25" i="14" s="1"/>
  <c r="BU25" i="14"/>
  <c r="G21" i="43" s="1"/>
  <c r="BC11" i="14" a="1"/>
  <c r="BC11" i="14" s="1"/>
  <c r="BH23" i="14" a="1"/>
  <c r="BH23" i="14" s="1"/>
  <c r="EL20" i="14"/>
  <c r="DH20" i="14" s="1"/>
  <c r="BI9" i="14" a="1"/>
  <c r="BI9" i="14" s="1"/>
  <c r="CM9" i="14" s="1"/>
  <c r="Y5" i="43" s="1"/>
  <c r="BZ7" i="14"/>
  <c r="L3" i="43" s="1"/>
  <c r="EM39" i="14"/>
  <c r="DI39" i="14" s="1"/>
  <c r="AZ23" i="14" a="1"/>
  <c r="AZ23" i="14" s="1"/>
  <c r="BS42" i="14"/>
  <c r="E38" i="43" s="1"/>
  <c r="EK42" i="14"/>
  <c r="DG42" i="14" s="1"/>
  <c r="BH42" i="14" a="1"/>
  <c r="BH42" i="14" s="1"/>
  <c r="BZ9" i="14"/>
  <c r="L5" i="43" s="1"/>
  <c r="BF9" i="14" a="1"/>
  <c r="BF9" i="14" s="1"/>
  <c r="AZ41" i="14" a="1"/>
  <c r="AZ41" i="14" s="1"/>
  <c r="BW11" i="14"/>
  <c r="I7" i="43" s="1"/>
  <c r="EJ11" i="14"/>
  <c r="DF11" i="14" s="1"/>
  <c r="AW124" i="11"/>
  <c r="BB124" i="11"/>
  <c r="I181" i="20"/>
  <c r="AB10" i="20"/>
  <c r="BV103" i="14"/>
  <c r="H99" i="43" s="1"/>
  <c r="EO87" i="14"/>
  <c r="DK87" i="14" s="1"/>
  <c r="HH179" i="14"/>
  <c r="ES95" i="14"/>
  <c r="DO95" i="14" s="1"/>
  <c r="BE82" i="14" a="1"/>
  <c r="BE82" i="14" s="1"/>
  <c r="IS86" i="14"/>
  <c r="CA77" i="14"/>
  <c r="M73" i="43" s="1"/>
  <c r="F171" i="20"/>
  <c r="GU179" i="14"/>
  <c r="AU79" i="14" a="1"/>
  <c r="AU79" i="14" s="1"/>
  <c r="BC76" i="14" a="1"/>
  <c r="BC76" i="14" s="1"/>
  <c r="EV76" i="14"/>
  <c r="DR76" i="14" s="1"/>
  <c r="BD76" i="14" a="1"/>
  <c r="BD76" i="14" s="1"/>
  <c r="N154" i="20"/>
  <c r="FA68" i="14"/>
  <c r="DW68" i="14" s="1"/>
  <c r="BO68" i="14" a="1"/>
  <c r="BO68" i="14" s="1"/>
  <c r="CS68" i="14" s="1"/>
  <c r="AE64" i="43" s="1"/>
  <c r="F154" i="20"/>
  <c r="BZ62" i="14"/>
  <c r="L58" i="43" s="1"/>
  <c r="ER64" i="14"/>
  <c r="DN64" i="14" s="1"/>
  <c r="EO73" i="14"/>
  <c r="DK73" i="14" s="1"/>
  <c r="BW73" i="14"/>
  <c r="I69" i="43" s="1"/>
  <c r="K154" i="20"/>
  <c r="ES42" i="14"/>
  <c r="DO42" i="14" s="1"/>
  <c r="BE50" i="14" a="1"/>
  <c r="BE50" i="14" s="1"/>
  <c r="ER41" i="14"/>
  <c r="DN41" i="14" s="1"/>
  <c r="BY50" i="14"/>
  <c r="K46" i="43" s="1"/>
  <c r="BA43" i="14" a="1"/>
  <c r="BA43" i="14" s="1"/>
  <c r="EN48" i="14"/>
  <c r="DJ48" i="14" s="1"/>
  <c r="BO39" i="14" a="1"/>
  <c r="BO39" i="14" s="1"/>
  <c r="CS39" i="14" s="1"/>
  <c r="AE35" i="43" s="1"/>
  <c r="EL72" i="14"/>
  <c r="DH72" i="14" s="1"/>
  <c r="EL25" i="14"/>
  <c r="DH25" i="14" s="1"/>
  <c r="BT25" i="14"/>
  <c r="F21" i="43" s="1"/>
  <c r="EZ21" i="14"/>
  <c r="DV21" i="14" s="1"/>
  <c r="CH21" i="14"/>
  <c r="T17" i="43" s="1"/>
  <c r="BN21" i="14" a="1"/>
  <c r="BN21" i="14" s="1"/>
  <c r="CR21" i="14" s="1"/>
  <c r="AD17" i="43" s="1"/>
  <c r="BH39" i="14" a="1"/>
  <c r="BH39" i="14" s="1"/>
  <c r="CB43" i="14"/>
  <c r="N39" i="43" s="1"/>
  <c r="ET43" i="14"/>
  <c r="DP43" i="14" s="1"/>
  <c r="FC27" i="14"/>
  <c r="DY27" i="14" s="1"/>
  <c r="CB8" i="14"/>
  <c r="N4" i="43" s="1"/>
  <c r="BC9" i="14" a="1"/>
  <c r="BC9" i="14" s="1"/>
  <c r="EK46" i="14"/>
  <c r="DG46" i="14" s="1"/>
  <c r="BA42" i="14" a="1"/>
  <c r="BA42" i="14" s="1"/>
  <c r="CC40" i="14"/>
  <c r="O36" i="43" s="1"/>
  <c r="AZ26" i="14" a="1"/>
  <c r="AZ26" i="14" s="1"/>
  <c r="AZ9" i="14" a="1"/>
  <c r="AZ9" i="14" s="1"/>
  <c r="BT9" i="14"/>
  <c r="F5" i="43" s="1"/>
  <c r="EL9" i="14"/>
  <c r="DH9" i="14" s="1"/>
  <c r="BX7" i="14"/>
  <c r="J3" i="43" s="1"/>
  <c r="BF7" i="14" a="1"/>
  <c r="BF7" i="14" s="1"/>
  <c r="BE124" i="11"/>
  <c r="AT124" i="11"/>
  <c r="L17" i="10"/>
  <c r="E16" i="12"/>
  <c r="C241" i="17"/>
  <c r="C215" i="17"/>
  <c r="B215" i="17"/>
  <c r="B241" i="17" s="1"/>
  <c r="C190" i="17"/>
  <c r="B117" i="17"/>
  <c r="C117" i="17" s="1"/>
  <c r="BN103" i="14" a="1"/>
  <c r="BN103" i="14" s="1"/>
  <c r="CR103" i="14" s="1"/>
  <c r="AD99" i="43" s="1"/>
  <c r="ET83" i="14"/>
  <c r="DP83" i="14" s="1"/>
  <c r="BF93" i="14" a="1"/>
  <c r="BF93" i="14" s="1"/>
  <c r="EX93" i="14"/>
  <c r="DT93" i="14" s="1"/>
  <c r="BL93" i="14" a="1"/>
  <c r="BL93" i="14" s="1"/>
  <c r="CP93" i="14" s="1"/>
  <c r="AB89" i="43" s="1"/>
  <c r="V283" i="17"/>
  <c r="IU87" i="14"/>
  <c r="IS87" i="14"/>
  <c r="G171" i="20"/>
  <c r="HG179" i="14"/>
  <c r="IQ81" i="14"/>
  <c r="IY81" i="14"/>
  <c r="IX81" i="14"/>
  <c r="IW81" i="14"/>
  <c r="IV81" i="14"/>
  <c r="BA79" i="14" a="1"/>
  <c r="BA79" i="14" s="1"/>
  <c r="CB66" i="14"/>
  <c r="N62" i="43" s="1"/>
  <c r="I154" i="20"/>
  <c r="BB68" i="14" a="1"/>
  <c r="BB68" i="14" s="1"/>
  <c r="EN68" i="14"/>
  <c r="DJ68" i="14" s="1"/>
  <c r="CB68" i="14"/>
  <c r="N64" i="43" s="1"/>
  <c r="BM73" i="14" a="1"/>
  <c r="BM73" i="14" s="1"/>
  <c r="CQ73" i="14" s="1"/>
  <c r="AC69" i="43" s="1"/>
  <c r="BD73" i="14" a="1"/>
  <c r="BD73" i="14" s="1"/>
  <c r="BQ61" i="14" a="1"/>
  <c r="BQ61" i="14" s="1"/>
  <c r="CU61" i="14" s="1"/>
  <c r="AG57" i="43" s="1"/>
  <c r="AZ62" i="14" a="1"/>
  <c r="AZ62" i="14" s="1"/>
  <c r="EO49" i="14"/>
  <c r="DK49" i="14" s="1"/>
  <c r="ET54" i="14"/>
  <c r="DP54" i="14" s="1"/>
  <c r="BI54" i="14" a="1"/>
  <c r="BI54" i="14" s="1"/>
  <c r="CM54" i="14" s="1"/>
  <c r="Y50" i="43" s="1"/>
  <c r="AY50" i="14" a="1"/>
  <c r="AY50" i="14" s="1"/>
  <c r="FD43" i="14"/>
  <c r="DZ43" i="14" s="1"/>
  <c r="CL43" i="14"/>
  <c r="X39" i="43" s="1"/>
  <c r="BR43" i="14" a="1"/>
  <c r="BR43" i="14" s="1"/>
  <c r="CV43" i="14" s="1"/>
  <c r="AH39" i="43" s="1"/>
  <c r="BC72" i="14" a="1"/>
  <c r="BC72" i="14" s="1"/>
  <c r="BI23" i="14" a="1"/>
  <c r="BI23" i="14" s="1"/>
  <c r="CM23" i="14" s="1"/>
  <c r="Y19" i="43" s="1"/>
  <c r="BA71" i="14" a="1"/>
  <c r="BA71" i="14" s="1"/>
  <c r="AZ60" i="14" a="1"/>
  <c r="AZ60" i="14" s="1"/>
  <c r="BE60" i="14" a="1"/>
  <c r="BE60" i="14" s="1"/>
  <c r="BA60" i="14" a="1"/>
  <c r="BA60" i="14" s="1"/>
  <c r="BH60" i="14" a="1"/>
  <c r="BH60" i="14" s="1"/>
  <c r="BB47" i="14" a="1"/>
  <c r="BB47" i="14" s="1"/>
  <c r="CL24" i="14"/>
  <c r="X20" i="43" s="1"/>
  <c r="BR24" i="14" a="1"/>
  <c r="BR24" i="14" s="1"/>
  <c r="CV24" i="14" s="1"/>
  <c r="AH20" i="43" s="1"/>
  <c r="CC8" i="14"/>
  <c r="O4" i="43" s="1"/>
  <c r="EL40" i="14"/>
  <c r="DH40" i="14" s="1"/>
  <c r="BT40" i="14"/>
  <c r="F36" i="43" s="1"/>
  <c r="BD40" i="14" a="1"/>
  <c r="BD40" i="14" s="1"/>
  <c r="AD15" i="20"/>
  <c r="EH11" i="14"/>
  <c r="DD11" i="14" s="1"/>
  <c r="BU11" i="14"/>
  <c r="G7" i="43" s="1"/>
  <c r="EN20" i="14"/>
  <c r="DJ20" i="14" s="1"/>
  <c r="U15" i="20"/>
  <c r="CA9" i="14"/>
  <c r="M5" i="43" s="1"/>
  <c r="BG9" i="14" a="1"/>
  <c r="BG9" i="14" s="1"/>
  <c r="EL46" i="14"/>
  <c r="DH46" i="14" s="1"/>
  <c r="BM42" i="14" a="1"/>
  <c r="BM42" i="14" s="1"/>
  <c r="CQ42" i="14" s="1"/>
  <c r="AC38" i="43" s="1"/>
  <c r="CC42" i="14"/>
  <c r="O38" i="43" s="1"/>
  <c r="EU42" i="14"/>
  <c r="DQ42" i="14" s="1"/>
  <c r="BH21" i="14" a="1"/>
  <c r="BH21" i="14" s="1"/>
  <c r="BA41" i="14" a="1"/>
  <c r="BA41" i="14" s="1"/>
  <c r="EL24" i="14"/>
  <c r="DH24" i="14" s="1"/>
  <c r="BF10" i="14" a="1"/>
  <c r="BF10" i="14" s="1"/>
  <c r="BD124" i="11"/>
  <c r="G20" i="10"/>
  <c r="H20" i="10" s="1"/>
  <c r="J20" i="10" s="1"/>
  <c r="K20" i="10" s="1"/>
  <c r="G24" i="10"/>
  <c r="H24" i="10" s="1"/>
  <c r="J24" i="10" s="1"/>
  <c r="K24" i="10" s="1"/>
  <c r="ES103" i="14"/>
  <c r="DO103" i="14" s="1"/>
  <c r="BH103" i="14" a="1"/>
  <c r="BH103" i="14" s="1"/>
  <c r="BU103" i="14"/>
  <c r="G99" i="43" s="1"/>
  <c r="BX83" i="14"/>
  <c r="J79" i="43" s="1"/>
  <c r="EJ86" i="14"/>
  <c r="DF86" i="14" s="1"/>
  <c r="BW86" i="14"/>
  <c r="I82" i="43" s="1"/>
  <c r="AV86" i="14" a="1"/>
  <c r="AV86" i="14" s="1"/>
  <c r="BV86" i="14"/>
  <c r="H82" i="43" s="1"/>
  <c r="EK93" i="14"/>
  <c r="DG93" i="14" s="1"/>
  <c r="AY93" i="14" a="1"/>
  <c r="AY93" i="14" s="1"/>
  <c r="J283" i="17"/>
  <c r="D174" i="20"/>
  <c r="JP88" i="14"/>
  <c r="EO82" i="14"/>
  <c r="DK82" i="14" s="1"/>
  <c r="IU86" i="14"/>
  <c r="BY82" i="14"/>
  <c r="K78" i="43" s="1"/>
  <c r="U283" i="17"/>
  <c r="EJ87" i="14"/>
  <c r="DF87" i="14" s="1"/>
  <c r="BW87" i="14"/>
  <c r="I83" i="43" s="1"/>
  <c r="IR78" i="14"/>
  <c r="GJ179" i="14"/>
  <c r="B449" i="20"/>
  <c r="AY77" i="14" a="1"/>
  <c r="AY77" i="14" s="1"/>
  <c r="BW68" i="14"/>
  <c r="I64" i="43" s="1"/>
  <c r="BG68" i="14" a="1"/>
  <c r="BG68" i="14" s="1"/>
  <c r="F151" i="20"/>
  <c r="C154" i="20"/>
  <c r="BV64" i="14"/>
  <c r="H60" i="43" s="1"/>
  <c r="BB64" i="14" a="1"/>
  <c r="BB64" i="14" s="1"/>
  <c r="AY73" i="14" a="1"/>
  <c r="AY73" i="14" s="1"/>
  <c r="BJ73" i="14" a="1"/>
  <c r="BJ73" i="14" s="1"/>
  <c r="CN73" i="14" s="1"/>
  <c r="Z69" i="43" s="1"/>
  <c r="BF62" i="14" a="1"/>
  <c r="BF62" i="14" s="1"/>
  <c r="BC50" i="14" a="1"/>
  <c r="BC50" i="14" s="1"/>
  <c r="BW50" i="14"/>
  <c r="I46" i="43" s="1"/>
  <c r="EO50" i="14"/>
  <c r="DK50" i="14" s="1"/>
  <c r="EQ54" i="14"/>
  <c r="DM54" i="14" s="1"/>
  <c r="EK43" i="14"/>
  <c r="DG43" i="14" s="1"/>
  <c r="BS43" i="14"/>
  <c r="E39" i="43" s="1"/>
  <c r="BZ61" i="14"/>
  <c r="L57" i="43" s="1"/>
  <c r="EK54" i="14"/>
  <c r="DG54" i="14" s="1"/>
  <c r="BS54" i="14"/>
  <c r="E50" i="43" s="1"/>
  <c r="AY39" i="14" a="1"/>
  <c r="AY39" i="14" s="1"/>
  <c r="BW48" i="14"/>
  <c r="I44" i="43" s="1"/>
  <c r="EO48" i="14"/>
  <c r="DK48" i="14" s="1"/>
  <c r="BV21" i="14"/>
  <c r="H17" i="43" s="1"/>
  <c r="BB21" i="14" a="1"/>
  <c r="BB21" i="14" s="1"/>
  <c r="EN21" i="14"/>
  <c r="DJ21" i="14" s="1"/>
  <c r="CH24" i="14"/>
  <c r="T20" i="43" s="1"/>
  <c r="BG60" i="14" a="1"/>
  <c r="BG60" i="14" s="1"/>
  <c r="BZ47" i="14"/>
  <c r="L43" i="43" s="1"/>
  <c r="ER47" i="14"/>
  <c r="DN47" i="14" s="1"/>
  <c r="AY43" i="14" a="1"/>
  <c r="AY43" i="14" s="1"/>
  <c r="EG44" i="14"/>
  <c r="DC44" i="14" s="1"/>
  <c r="ES27" i="14"/>
  <c r="DO27" i="14" s="1"/>
  <c r="CA27" i="14"/>
  <c r="M23" i="43" s="1"/>
  <c r="BN24" i="14" a="1"/>
  <c r="BN24" i="14" s="1"/>
  <c r="CR24" i="14" s="1"/>
  <c r="AD20" i="43" s="1"/>
  <c r="BA40" i="14" a="1"/>
  <c r="BA40" i="14" s="1"/>
  <c r="BJ40" i="14" a="1"/>
  <c r="BJ40" i="14" s="1"/>
  <c r="CN40" i="14" s="1"/>
  <c r="Z36" i="43" s="1"/>
  <c r="EK23" i="14"/>
  <c r="DG23" i="14" s="1"/>
  <c r="BS23" i="14"/>
  <c r="E19" i="43" s="1"/>
  <c r="BK24" i="14" a="1"/>
  <c r="BK24" i="14" s="1"/>
  <c r="CO24" i="14" s="1"/>
  <c r="AA20" i="43" s="1"/>
  <c r="BN20" i="14" a="1"/>
  <c r="BN20" i="14" s="1"/>
  <c r="CR20" i="14" s="1"/>
  <c r="AD16" i="43" s="1"/>
  <c r="BU9" i="14"/>
  <c r="G5" i="43" s="1"/>
  <c r="EM9" i="14"/>
  <c r="DI9" i="14" s="1"/>
  <c r="BA9" i="14" a="1"/>
  <c r="BA9" i="14" s="1"/>
  <c r="BT42" i="14"/>
  <c r="F38" i="43" s="1"/>
  <c r="EL42" i="14"/>
  <c r="DH42" i="14" s="1"/>
  <c r="AZ42" i="14" a="1"/>
  <c r="AZ42" i="14" s="1"/>
  <c r="BE42" i="14" a="1"/>
  <c r="BE42" i="14" s="1"/>
  <c r="ET21" i="14"/>
  <c r="DP21" i="14" s="1"/>
  <c r="BV20" i="14"/>
  <c r="H16" i="43" s="1"/>
  <c r="BV25" i="14"/>
  <c r="H21" i="43" s="1"/>
  <c r="BF124" i="11"/>
  <c r="BS10" i="14"/>
  <c r="E6" i="43" s="1"/>
  <c r="AT10" i="14" a="1"/>
  <c r="AT10" i="14" s="1"/>
  <c r="E23" i="12"/>
  <c r="L28" i="10"/>
  <c r="G10" i="20"/>
  <c r="Y10" i="20"/>
  <c r="B214" i="17"/>
  <c r="B240" i="17" s="1"/>
  <c r="C240" i="17"/>
  <c r="B116" i="17"/>
  <c r="C116" i="17" s="1"/>
  <c r="C189" i="17"/>
  <c r="C214" i="17"/>
  <c r="AD92" i="12"/>
  <c r="R92" i="12"/>
  <c r="AC92" i="12"/>
  <c r="Q92" i="12"/>
  <c r="AB92" i="12"/>
  <c r="P92" i="12"/>
  <c r="AA92" i="12"/>
  <c r="O92" i="12"/>
  <c r="Z92" i="12"/>
  <c r="N92" i="12"/>
  <c r="Y92" i="12"/>
  <c r="M92" i="12"/>
  <c r="AI92" i="12"/>
  <c r="W92" i="12"/>
  <c r="K92" i="12"/>
  <c r="AF92" i="12"/>
  <c r="AE92" i="12"/>
  <c r="X92" i="12"/>
  <c r="V92" i="12"/>
  <c r="U92" i="12"/>
  <c r="T92" i="12"/>
  <c r="S92" i="12"/>
  <c r="L92" i="12"/>
  <c r="J92" i="12"/>
  <c r="AH92" i="12"/>
  <c r="AG92" i="12"/>
  <c r="I92" i="12"/>
  <c r="H92" i="12"/>
  <c r="G92" i="12"/>
  <c r="AJ92" i="12"/>
  <c r="AH120" i="12"/>
  <c r="V120" i="12"/>
  <c r="J120" i="12"/>
  <c r="AG120" i="12"/>
  <c r="U120" i="12"/>
  <c r="I120" i="12"/>
  <c r="AF120" i="12"/>
  <c r="T120" i="12"/>
  <c r="H120" i="12"/>
  <c r="AE120" i="12"/>
  <c r="S120" i="12"/>
  <c r="G120" i="12"/>
  <c r="AD120" i="12"/>
  <c r="R120" i="12"/>
  <c r="AC120" i="12"/>
  <c r="Q120" i="12"/>
  <c r="AA120" i="12"/>
  <c r="O120" i="12"/>
  <c r="W120" i="12"/>
  <c r="P120" i="12"/>
  <c r="N120" i="12"/>
  <c r="M120" i="12"/>
  <c r="L120" i="12"/>
  <c r="K120" i="12"/>
  <c r="AJ120" i="12"/>
  <c r="AI120" i="12"/>
  <c r="AB120" i="12"/>
  <c r="X120" i="12"/>
  <c r="Z120" i="12"/>
  <c r="Y120" i="12"/>
  <c r="AH96" i="12"/>
  <c r="V96" i="12"/>
  <c r="J96" i="12"/>
  <c r="AG96" i="12"/>
  <c r="U96" i="12"/>
  <c r="I96" i="12"/>
  <c r="AF96" i="12"/>
  <c r="T96" i="12"/>
  <c r="H96" i="12"/>
  <c r="AE96" i="12"/>
  <c r="S96" i="12"/>
  <c r="G96" i="12"/>
  <c r="AD96" i="12"/>
  <c r="R96" i="12"/>
  <c r="AC96" i="12"/>
  <c r="Q96" i="12"/>
  <c r="AA96" i="12"/>
  <c r="O96" i="12"/>
  <c r="N96" i="12"/>
  <c r="M96" i="12"/>
  <c r="L96" i="12"/>
  <c r="K96" i="12"/>
  <c r="AJ96" i="12"/>
  <c r="AI96" i="12"/>
  <c r="AB96" i="12"/>
  <c r="Z96" i="12"/>
  <c r="Y96" i="12"/>
  <c r="P96" i="12"/>
  <c r="X96" i="12"/>
  <c r="W96" i="12"/>
  <c r="HA52" i="14"/>
  <c r="IE52" i="14"/>
  <c r="BT54" i="14"/>
  <c r="F50" i="43" s="1"/>
  <c r="EL54" i="14"/>
  <c r="DH54" i="14" s="1"/>
  <c r="GO54" i="14"/>
  <c r="HS54" i="14"/>
  <c r="HC52" i="14"/>
  <c r="IG52" i="14"/>
  <c r="GZ54" i="14"/>
  <c r="ID54" i="14"/>
  <c r="HC53" i="14"/>
  <c r="IG53" i="14"/>
  <c r="HZ51" i="14"/>
  <c r="GV51" i="14"/>
  <c r="HN52" i="14"/>
  <c r="GJ52" i="14"/>
  <c r="IA52" i="14"/>
  <c r="GW52" i="14"/>
  <c r="IB52" i="14"/>
  <c r="GX52" i="14"/>
  <c r="IP52" i="14"/>
  <c r="HL52" i="14"/>
  <c r="HN91" i="14"/>
  <c r="GJ91" i="14"/>
  <c r="GJ59" i="14"/>
  <c r="HN59" i="14"/>
  <c r="GM61" i="14"/>
  <c r="HQ61" i="14"/>
  <c r="GL62" i="14"/>
  <c r="HP62" i="14"/>
  <c r="HI60" i="14"/>
  <c r="IM60" i="14"/>
  <c r="GK61" i="14"/>
  <c r="HO61" i="14"/>
  <c r="HL59" i="14"/>
  <c r="IP59" i="14"/>
  <c r="IE60" i="14"/>
  <c r="HA60" i="14"/>
  <c r="GT62" i="14"/>
  <c r="HX62" i="14"/>
  <c r="IF61" i="14"/>
  <c r="HB61" i="14"/>
  <c r="HW60" i="14"/>
  <c r="GS60" i="14"/>
  <c r="GI62" i="14"/>
  <c r="HM62" i="14"/>
  <c r="BS64" i="14"/>
  <c r="E60" i="43" s="1"/>
  <c r="GJ63" i="14"/>
  <c r="HN63" i="14"/>
  <c r="GR63" i="14"/>
  <c r="HV63" i="14"/>
  <c r="HG63" i="14"/>
  <c r="IK63" i="14"/>
  <c r="IB64" i="14"/>
  <c r="GX64" i="14"/>
  <c r="IO64" i="14"/>
  <c r="HK64" i="14"/>
  <c r="T370" i="20"/>
  <c r="S370" i="20"/>
  <c r="O370" i="20"/>
  <c r="N370" i="20"/>
  <c r="M370" i="20"/>
  <c r="AE351" i="20"/>
  <c r="E110" i="3"/>
  <c r="D135" i="3"/>
  <c r="D57" i="3" s="1"/>
  <c r="D160" i="3"/>
  <c r="E141" i="3"/>
  <c r="E63" i="3" s="1"/>
  <c r="F116" i="3"/>
  <c r="E166" i="3"/>
  <c r="HZ76" i="14"/>
  <c r="GV76" i="14"/>
  <c r="IE77" i="14"/>
  <c r="HA77" i="14"/>
  <c r="BS75" i="14"/>
  <c r="E71" i="43" s="1"/>
  <c r="AY75" i="14" a="1"/>
  <c r="AY75" i="14" s="1"/>
  <c r="HC75" i="14"/>
  <c r="IG75" i="14"/>
  <c r="HS77" i="14"/>
  <c r="GO77" i="14"/>
  <c r="HD76" i="14"/>
  <c r="IH76" i="14"/>
  <c r="GJ74" i="14"/>
  <c r="HN74" i="14"/>
  <c r="IK76" i="14"/>
  <c r="HG76" i="14"/>
  <c r="HO77" i="14"/>
  <c r="GK77" i="14"/>
  <c r="HP77" i="14"/>
  <c r="GL77" i="14"/>
  <c r="IO77" i="14"/>
  <c r="HK77" i="14"/>
  <c r="GX12" i="14"/>
  <c r="IB12" i="14"/>
  <c r="GL13" i="14"/>
  <c r="HP13" i="14"/>
  <c r="HF30" i="14"/>
  <c r="IJ30" i="14"/>
  <c r="GS29" i="14"/>
  <c r="HW29" i="14"/>
  <c r="GL22" i="14"/>
  <c r="HP22" i="14"/>
  <c r="HC22" i="14"/>
  <c r="IG22" i="14"/>
  <c r="HE20" i="14"/>
  <c r="II20" i="14"/>
  <c r="HH15" i="14"/>
  <c r="IL15" i="14"/>
  <c r="GP25" i="14"/>
  <c r="HT25" i="14"/>
  <c r="GN12" i="14"/>
  <c r="HR12" i="14"/>
  <c r="GQ16" i="14"/>
  <c r="HU16" i="14"/>
  <c r="HI22" i="14"/>
  <c r="IM22" i="14"/>
  <c r="HG31" i="14"/>
  <c r="IK31" i="14"/>
  <c r="GU47" i="14"/>
  <c r="HY47" i="14"/>
  <c r="HJ15" i="14"/>
  <c r="IN15" i="14"/>
  <c r="HA21" i="14"/>
  <c r="IE21" i="14"/>
  <c r="HI30" i="14"/>
  <c r="IM30" i="14"/>
  <c r="HD36" i="14"/>
  <c r="IH36" i="14"/>
  <c r="HA13" i="14"/>
  <c r="IE13" i="14"/>
  <c r="HV22" i="14"/>
  <c r="GR22" i="14"/>
  <c r="HS30" i="14"/>
  <c r="GO30" i="14"/>
  <c r="IF13" i="14"/>
  <c r="HB13" i="14"/>
  <c r="GN19" i="14"/>
  <c r="HR19" i="14"/>
  <c r="GK27" i="14"/>
  <c r="HO27" i="14"/>
  <c r="GT37" i="14"/>
  <c r="HX37" i="14"/>
  <c r="IE15" i="14"/>
  <c r="HA15" i="14"/>
  <c r="IA22" i="14"/>
  <c r="GW22" i="14"/>
  <c r="HG29" i="14"/>
  <c r="IK29" i="14"/>
  <c r="IH13" i="14"/>
  <c r="HD13" i="14"/>
  <c r="GP21" i="14"/>
  <c r="HT21" i="14"/>
  <c r="GM28" i="14"/>
  <c r="HQ28" i="14"/>
  <c r="HJ34" i="14"/>
  <c r="IN34" i="14"/>
  <c r="IJ12" i="14"/>
  <c r="HF12" i="14"/>
  <c r="GZ18" i="14"/>
  <c r="ID18" i="14"/>
  <c r="GL24" i="14"/>
  <c r="HP24" i="14"/>
  <c r="IC32" i="14"/>
  <c r="GY32" i="14"/>
  <c r="IK12" i="14"/>
  <c r="HG12" i="14"/>
  <c r="HA18" i="14"/>
  <c r="IE18" i="14"/>
  <c r="IL24" i="14"/>
  <c r="HH24" i="14"/>
  <c r="HZ12" i="14"/>
  <c r="GV12" i="14"/>
  <c r="HC20" i="14"/>
  <c r="IG20" i="14"/>
  <c r="GM25" i="14"/>
  <c r="HQ25" i="14"/>
  <c r="GS41" i="14"/>
  <c r="HW41" i="14"/>
  <c r="ID16" i="14"/>
  <c r="GZ16" i="14"/>
  <c r="HZ20" i="14"/>
  <c r="GV20" i="14"/>
  <c r="IG25" i="14"/>
  <c r="HC25" i="14"/>
  <c r="IB30" i="14"/>
  <c r="GX30" i="14"/>
  <c r="HF35" i="14"/>
  <c r="IJ35" i="14"/>
  <c r="GL44" i="14"/>
  <c r="HP44" i="14"/>
  <c r="IP17" i="14"/>
  <c r="HL17" i="14"/>
  <c r="IL21" i="14"/>
  <c r="HH21" i="14"/>
  <c r="GP27" i="14"/>
  <c r="HT27" i="14"/>
  <c r="HJ31" i="14"/>
  <c r="IN31" i="14"/>
  <c r="HF48" i="14"/>
  <c r="IJ48" i="14"/>
  <c r="HX24" i="14"/>
  <c r="GT24" i="14"/>
  <c r="HR30" i="14"/>
  <c r="GN30" i="14"/>
  <c r="ID40" i="14"/>
  <c r="GZ40" i="14"/>
  <c r="HF49" i="14"/>
  <c r="IJ49" i="14"/>
  <c r="IG29" i="14"/>
  <c r="HC29" i="14"/>
  <c r="GT35" i="14"/>
  <c r="HX35" i="14"/>
  <c r="GL41" i="14"/>
  <c r="HP41" i="14"/>
  <c r="IE20" i="14"/>
  <c r="HA20" i="14"/>
  <c r="IM24" i="14"/>
  <c r="HI24" i="14"/>
  <c r="IH29" i="14"/>
  <c r="HD29" i="14"/>
  <c r="HC36" i="14"/>
  <c r="IG36" i="14"/>
  <c r="GN42" i="14"/>
  <c r="HR42" i="14"/>
  <c r="HD38" i="14"/>
  <c r="IH38" i="14"/>
  <c r="GM47" i="14"/>
  <c r="HQ47" i="14"/>
  <c r="HP25" i="14"/>
  <c r="GL25" i="14"/>
  <c r="HX29" i="14"/>
  <c r="GT29" i="14"/>
  <c r="GW35" i="14"/>
  <c r="IA35" i="14"/>
  <c r="IJ40" i="14"/>
  <c r="HF40" i="14"/>
  <c r="HH50" i="14"/>
  <c r="IL50" i="14"/>
  <c r="HH48" i="14"/>
  <c r="IL48" i="14"/>
  <c r="IC34" i="14"/>
  <c r="GY34" i="14"/>
  <c r="HY38" i="14"/>
  <c r="GU38" i="14"/>
  <c r="HS44" i="14"/>
  <c r="GO44" i="14"/>
  <c r="IA48" i="14"/>
  <c r="GW48" i="14"/>
  <c r="HR35" i="14"/>
  <c r="GN35" i="14"/>
  <c r="HN39" i="14"/>
  <c r="GJ39" i="14"/>
  <c r="HU44" i="14"/>
  <c r="GQ44" i="14"/>
  <c r="HP49" i="14"/>
  <c r="GL49" i="14"/>
  <c r="HR36" i="14"/>
  <c r="GN36" i="14"/>
  <c r="HN40" i="14"/>
  <c r="GJ40" i="14"/>
  <c r="HU45" i="14"/>
  <c r="GQ45" i="14"/>
  <c r="HP50" i="14"/>
  <c r="GL50" i="14"/>
  <c r="IA40" i="14"/>
  <c r="GW40" i="14"/>
  <c r="HV45" i="14"/>
  <c r="GR45" i="14"/>
  <c r="IC50" i="14"/>
  <c r="GY50" i="14"/>
  <c r="HR38" i="14"/>
  <c r="GN38" i="14"/>
  <c r="HN42" i="14"/>
  <c r="GJ42" i="14"/>
  <c r="HU47" i="14"/>
  <c r="GQ47" i="14"/>
  <c r="HP42" i="14"/>
  <c r="GL42" i="14"/>
  <c r="HX46" i="14"/>
  <c r="GT46" i="14"/>
  <c r="HP93" i="14"/>
  <c r="GL93" i="14"/>
  <c r="HJ94" i="14"/>
  <c r="IN94" i="14"/>
  <c r="GM94" i="14"/>
  <c r="HQ94" i="14"/>
  <c r="HT93" i="14"/>
  <c r="GP93" i="14"/>
  <c r="II93" i="14"/>
  <c r="HE93" i="14"/>
  <c r="HX94" i="14"/>
  <c r="GT94" i="14"/>
  <c r="IL94" i="14"/>
  <c r="HH94" i="14"/>
  <c r="HN103" i="14"/>
  <c r="GJ103" i="14"/>
  <c r="GY56" i="14"/>
  <c r="IC56" i="14"/>
  <c r="BF58" i="14" a="1"/>
  <c r="BF58" i="14" s="1"/>
  <c r="BZ58" i="14"/>
  <c r="L54" i="43" s="1"/>
  <c r="HL55" i="14"/>
  <c r="IP55" i="14"/>
  <c r="GN56" i="14"/>
  <c r="HR56" i="14"/>
  <c r="GX58" i="14"/>
  <c r="IB58" i="14"/>
  <c r="IN57" i="14"/>
  <c r="HJ57" i="14"/>
  <c r="IJ55" i="14"/>
  <c r="HF55" i="14"/>
  <c r="GX57" i="14"/>
  <c r="IB57" i="14"/>
  <c r="GN58" i="14"/>
  <c r="HR58" i="14"/>
  <c r="HL57" i="14"/>
  <c r="IP57" i="14"/>
  <c r="HY57" i="14"/>
  <c r="GU57" i="14"/>
  <c r="GR90" i="14"/>
  <c r="HV90" i="14"/>
  <c r="HP90" i="14"/>
  <c r="GL90" i="14"/>
  <c r="GN9" i="14"/>
  <c r="HR9" i="14"/>
  <c r="GP8" i="14"/>
  <c r="HT8" i="14"/>
  <c r="BY9" i="14"/>
  <c r="K5" i="43" s="1"/>
  <c r="EQ9" i="14"/>
  <c r="DM9" i="14" s="1"/>
  <c r="HD8" i="14"/>
  <c r="IH8" i="14"/>
  <c r="EM8" i="14"/>
  <c r="DI8" i="14" s="1"/>
  <c r="BA8" i="14" a="1"/>
  <c r="BA8" i="14" s="1"/>
  <c r="BU8" i="14"/>
  <c r="G4" i="43" s="1"/>
  <c r="HM8" i="14"/>
  <c r="IQ8" i="14" s="1"/>
  <c r="GI8" i="14"/>
  <c r="HZ8" i="14"/>
  <c r="GV8" i="14"/>
  <c r="IA8" i="14"/>
  <c r="GW8" i="14"/>
  <c r="IB8" i="14"/>
  <c r="GX8" i="14"/>
  <c r="IO8" i="14"/>
  <c r="HK8" i="14"/>
  <c r="IE7" i="14"/>
  <c r="HA7" i="14"/>
  <c r="GP65" i="14"/>
  <c r="HT65" i="14"/>
  <c r="HB65" i="14"/>
  <c r="IF65" i="14"/>
  <c r="IA66" i="14"/>
  <c r="GW66" i="14"/>
  <c r="HV68" i="14"/>
  <c r="GR68" i="14"/>
  <c r="ID66" i="14"/>
  <c r="GZ66" i="14"/>
  <c r="EO67" i="14"/>
  <c r="DK67" i="14" s="1"/>
  <c r="BC67" i="14" a="1"/>
  <c r="BC67" i="14" s="1"/>
  <c r="GM67" i="14"/>
  <c r="HQ67" i="14"/>
  <c r="HO68" i="14"/>
  <c r="GK68" i="14"/>
  <c r="HQ65" i="14"/>
  <c r="GM65" i="14"/>
  <c r="IE65" i="14"/>
  <c r="HA65" i="14"/>
  <c r="IE67" i="14"/>
  <c r="HA67" i="14"/>
  <c r="HK11" i="14"/>
  <c r="IO11" i="14"/>
  <c r="HA11" i="14"/>
  <c r="IE11" i="14"/>
  <c r="IH11" i="14"/>
  <c r="HD11" i="14"/>
  <c r="IL10" i="14"/>
  <c r="HH10" i="14"/>
  <c r="IN10" i="14"/>
  <c r="HJ10" i="14"/>
  <c r="HF71" i="14"/>
  <c r="IJ71" i="14"/>
  <c r="GI70" i="14"/>
  <c r="HM70" i="14"/>
  <c r="HO70" i="14"/>
  <c r="GK70" i="14"/>
  <c r="HY71" i="14"/>
  <c r="GU71" i="14"/>
  <c r="II72" i="14"/>
  <c r="HE72" i="14"/>
  <c r="GW71" i="14"/>
  <c r="IA71" i="14"/>
  <c r="IB71" i="14"/>
  <c r="GX71" i="14"/>
  <c r="GY71" i="14"/>
  <c r="IC71" i="14"/>
  <c r="HT72" i="14"/>
  <c r="GP72" i="14"/>
  <c r="HO69" i="14"/>
  <c r="GK69" i="14"/>
  <c r="D69" i="20" s="1"/>
  <c r="IL69" i="14"/>
  <c r="HH69" i="14"/>
  <c r="AA69" i="20" s="1"/>
  <c r="ID69" i="14"/>
  <c r="GZ69" i="14"/>
  <c r="S69" i="20" s="1"/>
  <c r="T124" i="3"/>
  <c r="S46" i="3"/>
  <c r="AI111" i="12"/>
  <c r="I111" i="12"/>
  <c r="AE111" i="12"/>
  <c r="Q111" i="12"/>
  <c r="B197" i="17"/>
  <c r="B223" i="17" s="1"/>
  <c r="C172" i="17"/>
  <c r="C223" i="17"/>
  <c r="C197" i="17"/>
  <c r="B99" i="17"/>
  <c r="C99" i="17" s="1"/>
  <c r="BI124" i="11"/>
  <c r="AQ124" i="11"/>
  <c r="AA101" i="12"/>
  <c r="O101" i="12"/>
  <c r="Z101" i="12"/>
  <c r="N101" i="12"/>
  <c r="Y101" i="12"/>
  <c r="M101" i="12"/>
  <c r="AJ101" i="12"/>
  <c r="X101" i="12"/>
  <c r="L101" i="12"/>
  <c r="AI101" i="12"/>
  <c r="W101" i="12"/>
  <c r="K101" i="12"/>
  <c r="AH101" i="12"/>
  <c r="V101" i="12"/>
  <c r="J101" i="12"/>
  <c r="AF101" i="12"/>
  <c r="T101" i="12"/>
  <c r="H101" i="12"/>
  <c r="AE101" i="12"/>
  <c r="AD101" i="12"/>
  <c r="AC101" i="12"/>
  <c r="AB101" i="12"/>
  <c r="U101" i="12"/>
  <c r="S101" i="12"/>
  <c r="R101" i="12"/>
  <c r="Q101" i="12"/>
  <c r="P101" i="12"/>
  <c r="AG101" i="12"/>
  <c r="I101" i="12"/>
  <c r="G101" i="12"/>
  <c r="AE69" i="12"/>
  <c r="S69" i="12"/>
  <c r="G69" i="12"/>
  <c r="AD69" i="12"/>
  <c r="R69" i="12"/>
  <c r="AC69" i="12"/>
  <c r="Q69" i="12"/>
  <c r="AB69" i="12"/>
  <c r="P69" i="12"/>
  <c r="AA69" i="12"/>
  <c r="O69" i="12"/>
  <c r="Z69" i="12"/>
  <c r="N69" i="12"/>
  <c r="AJ69" i="12"/>
  <c r="X69" i="12"/>
  <c r="L69" i="12"/>
  <c r="K69" i="12"/>
  <c r="J69" i="12"/>
  <c r="AI69" i="12"/>
  <c r="I69" i="12"/>
  <c r="AH69" i="12"/>
  <c r="H69" i="12"/>
  <c r="AG69" i="12"/>
  <c r="AF69" i="12"/>
  <c r="Y69" i="12"/>
  <c r="W69" i="12"/>
  <c r="V69" i="12"/>
  <c r="U69" i="12"/>
  <c r="T69" i="12"/>
  <c r="M69" i="12"/>
  <c r="B143" i="20"/>
  <c r="C10" i="20"/>
  <c r="B10" i="20"/>
  <c r="AF118" i="12"/>
  <c r="T118" i="12"/>
  <c r="H118" i="12"/>
  <c r="AE118" i="12"/>
  <c r="S118" i="12"/>
  <c r="G118" i="12"/>
  <c r="AD118" i="12"/>
  <c r="R118" i="12"/>
  <c r="AC118" i="12"/>
  <c r="Q118" i="12"/>
  <c r="AB118" i="12"/>
  <c r="P118" i="12"/>
  <c r="AA118" i="12"/>
  <c r="O118" i="12"/>
  <c r="Y118" i="12"/>
  <c r="M118" i="12"/>
  <c r="K118" i="12"/>
  <c r="AJ118" i="12"/>
  <c r="J118" i="12"/>
  <c r="AI118" i="12"/>
  <c r="I118" i="12"/>
  <c r="AH118" i="12"/>
  <c r="AG118" i="12"/>
  <c r="Z118" i="12"/>
  <c r="X118" i="12"/>
  <c r="W118" i="12"/>
  <c r="V118" i="12"/>
  <c r="N118" i="12"/>
  <c r="L118" i="12"/>
  <c r="U118" i="12"/>
  <c r="U124" i="20"/>
  <c r="AB48" i="5"/>
  <c r="P48" i="5"/>
  <c r="D48" i="5"/>
  <c r="AA48" i="5"/>
  <c r="O48" i="5"/>
  <c r="C48" i="5"/>
  <c r="Z48" i="5"/>
  <c r="N48" i="5"/>
  <c r="S48" i="5"/>
  <c r="R48" i="5"/>
  <c r="AF48" i="5"/>
  <c r="Q48" i="5"/>
  <c r="AE48" i="5"/>
  <c r="M48" i="5"/>
  <c r="Y48" i="5"/>
  <c r="J48" i="5"/>
  <c r="X48" i="5"/>
  <c r="I48" i="5"/>
  <c r="W48" i="5"/>
  <c r="H48" i="5"/>
  <c r="V48" i="5"/>
  <c r="G48" i="5"/>
  <c r="E48" i="5"/>
  <c r="AD48" i="5"/>
  <c r="AC48" i="5"/>
  <c r="U48" i="5"/>
  <c r="T48" i="5"/>
  <c r="L48" i="5"/>
  <c r="K48" i="5"/>
  <c r="F48" i="5"/>
  <c r="AH72" i="12"/>
  <c r="V72" i="12"/>
  <c r="J72" i="12"/>
  <c r="AG72" i="12"/>
  <c r="U72" i="12"/>
  <c r="I72" i="12"/>
  <c r="AF72" i="12"/>
  <c r="T72" i="12"/>
  <c r="H72" i="12"/>
  <c r="AE72" i="12"/>
  <c r="S72" i="12"/>
  <c r="G72" i="12"/>
  <c r="AD72" i="12"/>
  <c r="R72" i="12"/>
  <c r="AC72" i="12"/>
  <c r="Q72" i="12"/>
  <c r="AA72" i="12"/>
  <c r="O72" i="12"/>
  <c r="L72" i="12"/>
  <c r="K72" i="12"/>
  <c r="AJ72" i="12"/>
  <c r="AI72" i="12"/>
  <c r="AB72" i="12"/>
  <c r="Z72" i="12"/>
  <c r="Y72" i="12"/>
  <c r="X72" i="12"/>
  <c r="W72" i="12"/>
  <c r="P72" i="12"/>
  <c r="N72" i="12"/>
  <c r="M72" i="12"/>
  <c r="AB90" i="12"/>
  <c r="P90" i="12"/>
  <c r="AA90" i="12"/>
  <c r="O90" i="12"/>
  <c r="Z90" i="12"/>
  <c r="N90" i="12"/>
  <c r="Y90" i="12"/>
  <c r="M90" i="12"/>
  <c r="AJ90" i="12"/>
  <c r="X90" i="12"/>
  <c r="L90" i="12"/>
  <c r="AI90" i="12"/>
  <c r="W90" i="12"/>
  <c r="K90" i="12"/>
  <c r="AG90" i="12"/>
  <c r="U90" i="12"/>
  <c r="I90" i="12"/>
  <c r="AE90" i="12"/>
  <c r="AD90" i="12"/>
  <c r="AC90" i="12"/>
  <c r="V90" i="12"/>
  <c r="T90" i="12"/>
  <c r="S90" i="12"/>
  <c r="R90" i="12"/>
  <c r="Q90" i="12"/>
  <c r="J90" i="12"/>
  <c r="AH90" i="12"/>
  <c r="AF90" i="12"/>
  <c r="H90" i="12"/>
  <c r="G90" i="12"/>
  <c r="HL51" i="14"/>
  <c r="IP51" i="14"/>
  <c r="GP51" i="14"/>
  <c r="HT51" i="14"/>
  <c r="GR54" i="14"/>
  <c r="HV54" i="14"/>
  <c r="HG51" i="14"/>
  <c r="IK51" i="14"/>
  <c r="GP54" i="14"/>
  <c r="HT54" i="14"/>
  <c r="IL51" i="14"/>
  <c r="HH51" i="14"/>
  <c r="HZ52" i="14"/>
  <c r="GV52" i="14"/>
  <c r="IM52" i="14"/>
  <c r="HI52" i="14"/>
  <c r="IN52" i="14"/>
  <c r="HJ52" i="14"/>
  <c r="HQ53" i="14"/>
  <c r="GM53" i="14"/>
  <c r="HR91" i="14"/>
  <c r="GN91" i="14"/>
  <c r="HZ91" i="14"/>
  <c r="GV91" i="14"/>
  <c r="HL60" i="14"/>
  <c r="IP60" i="14"/>
  <c r="HA59" i="14"/>
  <c r="IE59" i="14"/>
  <c r="GK59" i="14"/>
  <c r="HO59" i="14"/>
  <c r="IG62" i="14"/>
  <c r="HC62" i="14"/>
  <c r="GJ61" i="14"/>
  <c r="HN61" i="14"/>
  <c r="GW61" i="14"/>
  <c r="IA61" i="14"/>
  <c r="GM60" i="14"/>
  <c r="HQ60" i="14"/>
  <c r="HR61" i="14"/>
  <c r="GN61" i="14"/>
  <c r="IN62" i="14"/>
  <c r="HJ62" i="14"/>
  <c r="GU62" i="14"/>
  <c r="HY62" i="14"/>
  <c r="II60" i="14"/>
  <c r="HE60" i="14"/>
  <c r="IC62" i="14"/>
  <c r="GY62" i="14"/>
  <c r="HC64" i="14"/>
  <c r="IG64" i="14"/>
  <c r="HH63" i="14"/>
  <c r="IL63" i="14"/>
  <c r="GQ64" i="14"/>
  <c r="HU64" i="14"/>
  <c r="GT64" i="14"/>
  <c r="HX64" i="14"/>
  <c r="IN64" i="14"/>
  <c r="HJ64" i="14"/>
  <c r="HS63" i="14"/>
  <c r="GO63" i="14"/>
  <c r="C231" i="17"/>
  <c r="B205" i="17"/>
  <c r="B231" i="17" s="1"/>
  <c r="C205" i="17"/>
  <c r="B107" i="17"/>
  <c r="C107" i="17" s="1"/>
  <c r="C180" i="17"/>
  <c r="E173" i="20"/>
  <c r="HP75" i="14"/>
  <c r="GL75" i="14"/>
  <c r="II74" i="14"/>
  <c r="HE74" i="14"/>
  <c r="GX75" i="14"/>
  <c r="IB75" i="14"/>
  <c r="HN76" i="14"/>
  <c r="GJ76" i="14"/>
  <c r="IA74" i="14"/>
  <c r="GW74" i="14"/>
  <c r="GQ77" i="14"/>
  <c r="HU77" i="14"/>
  <c r="GV74" i="14"/>
  <c r="HZ74" i="14"/>
  <c r="HX77" i="14"/>
  <c r="GT77" i="14"/>
  <c r="IA77" i="14"/>
  <c r="GW77" i="14"/>
  <c r="IB77" i="14"/>
  <c r="GX77" i="14"/>
  <c r="II32" i="14"/>
  <c r="HE32" i="14"/>
  <c r="BS38" i="14"/>
  <c r="E34" i="43" s="1"/>
  <c r="AI34" i="43" s="1"/>
  <c r="GV13" i="14"/>
  <c r="HZ13" i="14"/>
  <c r="GQ36" i="14"/>
  <c r="HU36" i="14"/>
  <c r="GI35" i="14"/>
  <c r="HM35" i="14"/>
  <c r="BE24" i="14" a="1"/>
  <c r="BE24" i="14" s="1"/>
  <c r="BY24" i="14"/>
  <c r="K20" i="43" s="1"/>
  <c r="GL12" i="14"/>
  <c r="HP12" i="14"/>
  <c r="GM23" i="14"/>
  <c r="HQ23" i="14"/>
  <c r="HD22" i="14"/>
  <c r="IH22" i="14"/>
  <c r="HT16" i="14"/>
  <c r="GP16" i="14"/>
  <c r="IC19" i="14"/>
  <c r="GY19" i="14"/>
  <c r="HW26" i="14"/>
  <c r="GS26" i="14"/>
  <c r="HA38" i="14"/>
  <c r="IE38" i="14"/>
  <c r="GZ12" i="14"/>
  <c r="ID12" i="14"/>
  <c r="HG16" i="14"/>
  <c r="IK16" i="14"/>
  <c r="GP23" i="14"/>
  <c r="HT23" i="14"/>
  <c r="HQ32" i="14"/>
  <c r="GM32" i="14"/>
  <c r="HA50" i="14"/>
  <c r="IE50" i="14"/>
  <c r="GR16" i="14"/>
  <c r="HV16" i="14"/>
  <c r="BZ22" i="14"/>
  <c r="L18" i="43" s="1"/>
  <c r="BF22" i="14" a="1"/>
  <c r="BF22" i="14" s="1"/>
  <c r="HR37" i="14"/>
  <c r="GN37" i="14"/>
  <c r="GN14" i="14"/>
  <c r="HR14" i="14"/>
  <c r="HL22" i="14"/>
  <c r="IP22" i="14"/>
  <c r="GR37" i="14"/>
  <c r="HV37" i="14"/>
  <c r="HS14" i="14"/>
  <c r="GO14" i="14"/>
  <c r="HD19" i="14"/>
  <c r="IH19" i="14"/>
  <c r="HI27" i="14"/>
  <c r="IM27" i="14"/>
  <c r="GQ40" i="14"/>
  <c r="HU40" i="14"/>
  <c r="GV16" i="14"/>
  <c r="HZ16" i="14"/>
  <c r="IA23" i="14"/>
  <c r="GW23" i="14"/>
  <c r="GT30" i="14"/>
  <c r="HX30" i="14"/>
  <c r="HH36" i="14"/>
  <c r="IL36" i="14"/>
  <c r="HU14" i="14"/>
  <c r="GQ14" i="14"/>
  <c r="HE21" i="14"/>
  <c r="II21" i="14"/>
  <c r="HK28" i="14"/>
  <c r="IO28" i="14"/>
  <c r="HE35" i="14"/>
  <c r="II35" i="14"/>
  <c r="HW13" i="14"/>
  <c r="GS13" i="14"/>
  <c r="IK24" i="14"/>
  <c r="HG24" i="14"/>
  <c r="HA33" i="14"/>
  <c r="IE33" i="14"/>
  <c r="HX13" i="14"/>
  <c r="GT13" i="14"/>
  <c r="GK25" i="14"/>
  <c r="HO25" i="14"/>
  <c r="GV31" i="14"/>
  <c r="HZ31" i="14"/>
  <c r="GJ36" i="14"/>
  <c r="HN36" i="14"/>
  <c r="IL12" i="14"/>
  <c r="HH12" i="14"/>
  <c r="BS21" i="14"/>
  <c r="E17" i="43" s="1"/>
  <c r="AY21" i="14" a="1"/>
  <c r="AY21" i="14" s="1"/>
  <c r="EK21" i="14"/>
  <c r="DG21" i="14" s="1"/>
  <c r="HK25" i="14"/>
  <c r="IO25" i="14"/>
  <c r="GL45" i="14"/>
  <c r="HP45" i="14"/>
  <c r="IP16" i="14"/>
  <c r="HL16" i="14"/>
  <c r="IL20" i="14"/>
  <c r="HH20" i="14"/>
  <c r="HT26" i="14"/>
  <c r="GP26" i="14"/>
  <c r="IN30" i="14"/>
  <c r="HJ30" i="14"/>
  <c r="GT36" i="14"/>
  <c r="HX36" i="14"/>
  <c r="HJ44" i="14"/>
  <c r="IN44" i="14"/>
  <c r="HQ18" i="14"/>
  <c r="GM18" i="14"/>
  <c r="HM22" i="14"/>
  <c r="GI22" i="14"/>
  <c r="HB27" i="14"/>
  <c r="IF27" i="14"/>
  <c r="GK32" i="14"/>
  <c r="HO32" i="14"/>
  <c r="GT38" i="14"/>
  <c r="HX38" i="14"/>
  <c r="IJ24" i="14"/>
  <c r="HF24" i="14"/>
  <c r="ID30" i="14"/>
  <c r="GZ30" i="14"/>
  <c r="GI34" i="14"/>
  <c r="HM34" i="14"/>
  <c r="HC41" i="14"/>
  <c r="IG41" i="14"/>
  <c r="GV50" i="14"/>
  <c r="HZ50" i="14"/>
  <c r="HT30" i="14"/>
  <c r="GP30" i="14"/>
  <c r="HK35" i="14"/>
  <c r="IO35" i="14"/>
  <c r="HJ41" i="14"/>
  <c r="IN41" i="14"/>
  <c r="HR21" i="14"/>
  <c r="GN21" i="14"/>
  <c r="HN25" i="14"/>
  <c r="GJ25" i="14"/>
  <c r="HU30" i="14"/>
  <c r="GQ30" i="14"/>
  <c r="HU37" i="14"/>
  <c r="GQ37" i="14"/>
  <c r="HL42" i="14"/>
  <c r="IP42" i="14"/>
  <c r="GN39" i="14"/>
  <c r="HR39" i="14"/>
  <c r="GQ48" i="14"/>
  <c r="HU48" i="14"/>
  <c r="IB25" i="14"/>
  <c r="GX25" i="14"/>
  <c r="IJ29" i="14"/>
  <c r="HF29" i="14"/>
  <c r="GL36" i="14"/>
  <c r="HP36" i="14"/>
  <c r="GP41" i="14"/>
  <c r="HT41" i="14"/>
  <c r="GM45" i="14"/>
  <c r="HQ45" i="14"/>
  <c r="GI49" i="14"/>
  <c r="HM49" i="14"/>
  <c r="IO34" i="14"/>
  <c r="HK34" i="14"/>
  <c r="IK38" i="14"/>
  <c r="HG38" i="14"/>
  <c r="IE44" i="14"/>
  <c r="HA44" i="14"/>
  <c r="IM48" i="14"/>
  <c r="HI48" i="14"/>
  <c r="ID35" i="14"/>
  <c r="GZ35" i="14"/>
  <c r="HZ39" i="14"/>
  <c r="GV39" i="14"/>
  <c r="IG44" i="14"/>
  <c r="HC44" i="14"/>
  <c r="IB49" i="14"/>
  <c r="GX49" i="14"/>
  <c r="ID36" i="14"/>
  <c r="GZ36" i="14"/>
  <c r="HZ40" i="14"/>
  <c r="GV40" i="14"/>
  <c r="IG45" i="14"/>
  <c r="HC45" i="14"/>
  <c r="IB50" i="14"/>
  <c r="GX50" i="14"/>
  <c r="IM40" i="14"/>
  <c r="HI40" i="14"/>
  <c r="IH45" i="14"/>
  <c r="HD45" i="14"/>
  <c r="IO50" i="14"/>
  <c r="HK50" i="14"/>
  <c r="ID38" i="14"/>
  <c r="GZ38" i="14"/>
  <c r="HZ42" i="14"/>
  <c r="GV42" i="14"/>
  <c r="IG47" i="14"/>
  <c r="HC47" i="14"/>
  <c r="IB42" i="14"/>
  <c r="GX42" i="14"/>
  <c r="IJ46" i="14"/>
  <c r="HF46" i="14"/>
  <c r="GX94" i="14"/>
  <c r="IB94" i="14"/>
  <c r="EL93" i="14"/>
  <c r="DH93" i="14" s="1"/>
  <c r="AZ93" i="14" a="1"/>
  <c r="AZ93" i="14" s="1"/>
  <c r="IN93" i="14"/>
  <c r="HJ93" i="14"/>
  <c r="IF93" i="14"/>
  <c r="HB93" i="14"/>
  <c r="HV94" i="14"/>
  <c r="GR94" i="14"/>
  <c r="IJ94" i="14"/>
  <c r="HF94" i="14"/>
  <c r="GQ103" i="14"/>
  <c r="HU103" i="14"/>
  <c r="HZ103" i="14"/>
  <c r="GV103" i="14"/>
  <c r="GY55" i="14"/>
  <c r="IC55" i="14"/>
  <c r="HJ55" i="14"/>
  <c r="IN55" i="14"/>
  <c r="GW56" i="14"/>
  <c r="IA56" i="14"/>
  <c r="GZ56" i="14"/>
  <c r="ID56" i="14"/>
  <c r="GP56" i="14"/>
  <c r="HT56" i="14"/>
  <c r="EN58" i="14"/>
  <c r="DJ58" i="14" s="1"/>
  <c r="BB58" i="14" a="1"/>
  <c r="BB58" i="14" s="1"/>
  <c r="BV58" i="14"/>
  <c r="H54" i="43" s="1"/>
  <c r="HW56" i="14"/>
  <c r="GS56" i="14"/>
  <c r="EP58" i="14"/>
  <c r="DL58" i="14" s="1"/>
  <c r="BD58" i="14" a="1"/>
  <c r="BD58" i="14" s="1"/>
  <c r="IM58" i="14"/>
  <c r="HI58" i="14"/>
  <c r="GM58" i="14"/>
  <c r="HQ58" i="14"/>
  <c r="IK57" i="14"/>
  <c r="HG57" i="14"/>
  <c r="HM90" i="14"/>
  <c r="GI90" i="14"/>
  <c r="HD90" i="14"/>
  <c r="IH90" i="14"/>
  <c r="IB90" i="14"/>
  <c r="GX90" i="14"/>
  <c r="GZ9" i="14"/>
  <c r="ID9" i="14"/>
  <c r="HB9" i="14"/>
  <c r="IF9" i="14"/>
  <c r="HH6" i="14"/>
  <c r="IL6" i="14"/>
  <c r="GQ9" i="14"/>
  <c r="HU9" i="14"/>
  <c r="HY8" i="14"/>
  <c r="GU8" i="14"/>
  <c r="IL8" i="14"/>
  <c r="HH8" i="14"/>
  <c r="IM8" i="14"/>
  <c r="HI8" i="14"/>
  <c r="IN8" i="14"/>
  <c r="HJ8" i="14"/>
  <c r="HP9" i="14"/>
  <c r="GL9" i="14"/>
  <c r="F108" i="3"/>
  <c r="E133" i="3"/>
  <c r="E55" i="3" s="1"/>
  <c r="E158" i="3"/>
  <c r="BH67" i="14" a="1"/>
  <c r="BH67" i="14" s="1"/>
  <c r="ET67" i="14"/>
  <c r="DP67" i="14" s="1"/>
  <c r="GI67" i="14"/>
  <c r="HM67" i="14"/>
  <c r="GS65" i="14"/>
  <c r="HW65" i="14"/>
  <c r="HO67" i="14"/>
  <c r="GK67" i="14"/>
  <c r="GL67" i="14"/>
  <c r="HP67" i="14"/>
  <c r="GZ67" i="14"/>
  <c r="ID67" i="14"/>
  <c r="IB68" i="14"/>
  <c r="GX68" i="14"/>
  <c r="IC65" i="14"/>
  <c r="GY65" i="14"/>
  <c r="HR65" i="14"/>
  <c r="GN65" i="14"/>
  <c r="HY66" i="14"/>
  <c r="GU66" i="14"/>
  <c r="HR68" i="14"/>
  <c r="GN68" i="14"/>
  <c r="HL11" i="14"/>
  <c r="IP11" i="14"/>
  <c r="GQ10" i="14"/>
  <c r="HU10" i="14"/>
  <c r="HX10" i="14"/>
  <c r="GT10" i="14"/>
  <c r="HM11" i="14"/>
  <c r="GI11" i="14"/>
  <c r="HO11" i="14"/>
  <c r="GK11" i="14"/>
  <c r="GI71" i="14"/>
  <c r="HM71" i="14"/>
  <c r="HJ73" i="14"/>
  <c r="IN73" i="14"/>
  <c r="IF70" i="14"/>
  <c r="HB70" i="14"/>
  <c r="HE70" i="14"/>
  <c r="II70" i="14"/>
  <c r="IE72" i="14"/>
  <c r="HA72" i="14"/>
  <c r="IH73" i="14"/>
  <c r="HD73" i="14"/>
  <c r="HI71" i="14"/>
  <c r="IM71" i="14"/>
  <c r="IN71" i="14"/>
  <c r="HJ71" i="14"/>
  <c r="HK71" i="14"/>
  <c r="IO71" i="14"/>
  <c r="IF72" i="14"/>
  <c r="HB72" i="14"/>
  <c r="HP69" i="14"/>
  <c r="GL69" i="14"/>
  <c r="E69" i="20" s="1"/>
  <c r="HY69" i="14"/>
  <c r="GU69" i="14"/>
  <c r="N69" i="20" s="1"/>
  <c r="IP69" i="14"/>
  <c r="HL69" i="14"/>
  <c r="AE69" i="20" s="1"/>
  <c r="E132" i="3"/>
  <c r="E54" i="3" s="1"/>
  <c r="F107" i="3"/>
  <c r="E157" i="3"/>
  <c r="L112" i="12"/>
  <c r="C238" i="17"/>
  <c r="C212" i="17"/>
  <c r="B212" i="17"/>
  <c r="B238" i="17" s="1"/>
  <c r="C187" i="17"/>
  <c r="B114" i="17"/>
  <c r="C114" i="17" s="1"/>
  <c r="AL124" i="11"/>
  <c r="BC124" i="11"/>
  <c r="AI121" i="12"/>
  <c r="W121" i="12"/>
  <c r="X121" i="12"/>
  <c r="K121" i="12"/>
  <c r="AJ121" i="12"/>
  <c r="V121" i="12"/>
  <c r="J121" i="12"/>
  <c r="AH121" i="12"/>
  <c r="U121" i="12"/>
  <c r="I121" i="12"/>
  <c r="AG121" i="12"/>
  <c r="T121" i="12"/>
  <c r="H121" i="12"/>
  <c r="AF121" i="12"/>
  <c r="S121" i="12"/>
  <c r="G121" i="12"/>
  <c r="AE121" i="12"/>
  <c r="R121" i="12"/>
  <c r="AC121" i="12"/>
  <c r="P121" i="12"/>
  <c r="M121" i="12"/>
  <c r="L121" i="12"/>
  <c r="AD121" i="12"/>
  <c r="AB121" i="12"/>
  <c r="AA121" i="12"/>
  <c r="Z121" i="12"/>
  <c r="Y121" i="12"/>
  <c r="Q121" i="12"/>
  <c r="O121" i="12"/>
  <c r="N121" i="12"/>
  <c r="B112" i="17"/>
  <c r="C112" i="17" s="1"/>
  <c r="C236" i="17"/>
  <c r="C185" i="17"/>
  <c r="C210" i="17"/>
  <c r="B210" i="17"/>
  <c r="B236" i="17" s="1"/>
  <c r="Z88" i="12"/>
  <c r="N88" i="12"/>
  <c r="Y88" i="12"/>
  <c r="M88" i="12"/>
  <c r="AJ88" i="12"/>
  <c r="X88" i="12"/>
  <c r="L88" i="12"/>
  <c r="AI88" i="12"/>
  <c r="W88" i="12"/>
  <c r="K88" i="12"/>
  <c r="AH88" i="12"/>
  <c r="V88" i="12"/>
  <c r="J88" i="12"/>
  <c r="AG88" i="12"/>
  <c r="U88" i="12"/>
  <c r="I88" i="12"/>
  <c r="AE88" i="12"/>
  <c r="S88" i="12"/>
  <c r="G88" i="12"/>
  <c r="AB88" i="12"/>
  <c r="AA88" i="12"/>
  <c r="T88" i="12"/>
  <c r="R88" i="12"/>
  <c r="Q88" i="12"/>
  <c r="P88" i="12"/>
  <c r="O88" i="12"/>
  <c r="H88" i="12"/>
  <c r="AF88" i="12"/>
  <c r="AD88" i="12"/>
  <c r="AC88" i="12"/>
  <c r="AD68" i="12"/>
  <c r="R68" i="12"/>
  <c r="AC68" i="12"/>
  <c r="Q68" i="12"/>
  <c r="AB68" i="12"/>
  <c r="P68" i="12"/>
  <c r="AA68" i="12"/>
  <c r="O68" i="12"/>
  <c r="Z68" i="12"/>
  <c r="N68" i="12"/>
  <c r="Y68" i="12"/>
  <c r="M68" i="12"/>
  <c r="AI68" i="12"/>
  <c r="W68" i="12"/>
  <c r="K68" i="12"/>
  <c r="X68" i="12"/>
  <c r="V68" i="12"/>
  <c r="U68" i="12"/>
  <c r="T68" i="12"/>
  <c r="S68" i="12"/>
  <c r="L68" i="12"/>
  <c r="J68" i="12"/>
  <c r="AJ68" i="12"/>
  <c r="I68" i="12"/>
  <c r="AH68" i="12"/>
  <c r="H68" i="12"/>
  <c r="G68" i="12"/>
  <c r="AG68" i="12"/>
  <c r="AF68" i="12"/>
  <c r="AE68" i="12"/>
  <c r="AJ86" i="12"/>
  <c r="X86" i="12"/>
  <c r="L86" i="12"/>
  <c r="AI86" i="12"/>
  <c r="W86" i="12"/>
  <c r="K86" i="12"/>
  <c r="AH86" i="12"/>
  <c r="V86" i="12"/>
  <c r="J86" i="12"/>
  <c r="AG86" i="12"/>
  <c r="U86" i="12"/>
  <c r="I86" i="12"/>
  <c r="AF86" i="12"/>
  <c r="T86" i="12"/>
  <c r="H86" i="12"/>
  <c r="AE86" i="12"/>
  <c r="S86" i="12"/>
  <c r="G86" i="12"/>
  <c r="AC86" i="12"/>
  <c r="Q86" i="12"/>
  <c r="N86" i="12"/>
  <c r="M86" i="12"/>
  <c r="AD86" i="12"/>
  <c r="AB86" i="12"/>
  <c r="AA86" i="12"/>
  <c r="Z86" i="12"/>
  <c r="Y86" i="12"/>
  <c r="R86" i="12"/>
  <c r="P86" i="12"/>
  <c r="O86" i="12"/>
  <c r="C208" i="17"/>
  <c r="C234" i="17"/>
  <c r="C183" i="17"/>
  <c r="B208" i="17"/>
  <c r="B234" i="17" s="1"/>
  <c r="B110" i="17"/>
  <c r="C110" i="17" s="1"/>
  <c r="GP52" i="14"/>
  <c r="HT52" i="14"/>
  <c r="GR51" i="14"/>
  <c r="HV51" i="14"/>
  <c r="GZ53" i="14"/>
  <c r="ID53" i="14"/>
  <c r="HB54" i="14"/>
  <c r="IF54" i="14"/>
  <c r="HM52" i="14"/>
  <c r="GI52" i="14"/>
  <c r="IL52" i="14"/>
  <c r="HH52" i="14"/>
  <c r="HN53" i="14"/>
  <c r="GJ53" i="14"/>
  <c r="HO53" i="14"/>
  <c r="GK53" i="14"/>
  <c r="IC53" i="14"/>
  <c r="GY53" i="14"/>
  <c r="HA91" i="14"/>
  <c r="IE91" i="14"/>
  <c r="ID91" i="14"/>
  <c r="GZ91" i="14"/>
  <c r="IL91" i="14"/>
  <c r="HH91" i="14"/>
  <c r="HH59" i="14"/>
  <c r="IL59" i="14"/>
  <c r="GW59" i="14"/>
  <c r="IA59" i="14"/>
  <c r="GV61" i="14"/>
  <c r="HZ61" i="14"/>
  <c r="HI61" i="14"/>
  <c r="IM61" i="14"/>
  <c r="GY60" i="14"/>
  <c r="IC60" i="14"/>
  <c r="ID61" i="14"/>
  <c r="GZ61" i="14"/>
  <c r="IO62" i="14"/>
  <c r="HK62" i="14"/>
  <c r="HV61" i="14"/>
  <c r="GR61" i="14"/>
  <c r="GJ62" i="14"/>
  <c r="HN62" i="14"/>
  <c r="GU64" i="14"/>
  <c r="HY64" i="14"/>
  <c r="HM64" i="14"/>
  <c r="GI64" i="14"/>
  <c r="HF64" i="14"/>
  <c r="IJ64" i="14"/>
  <c r="HP63" i="14"/>
  <c r="GL63" i="14"/>
  <c r="IE63" i="14"/>
  <c r="HA63" i="14"/>
  <c r="BY75" i="14"/>
  <c r="K71" i="43" s="1"/>
  <c r="BE75" i="14" a="1"/>
  <c r="BE75" i="14" s="1"/>
  <c r="HZ77" i="14"/>
  <c r="GV77" i="14"/>
  <c r="HZ75" i="14"/>
  <c r="GV75" i="14"/>
  <c r="IL76" i="14"/>
  <c r="HH76" i="14"/>
  <c r="HN77" i="14"/>
  <c r="GJ77" i="14"/>
  <c r="HC77" i="14"/>
  <c r="IG77" i="14"/>
  <c r="HH74" i="14"/>
  <c r="IL74" i="14"/>
  <c r="IJ77" i="14"/>
  <c r="HF77" i="14"/>
  <c r="IM77" i="14"/>
  <c r="HI77" i="14"/>
  <c r="IN77" i="14"/>
  <c r="HJ77" i="14"/>
  <c r="HE18" i="14"/>
  <c r="II18" i="14"/>
  <c r="BY39" i="14"/>
  <c r="K35" i="43" s="1"/>
  <c r="EQ39" i="14"/>
  <c r="DM39" i="14" s="1"/>
  <c r="HI13" i="14"/>
  <c r="IM13" i="14"/>
  <c r="GJ35" i="14"/>
  <c r="HN35" i="14"/>
  <c r="IP25" i="14"/>
  <c r="HL25" i="14"/>
  <c r="GN18" i="14"/>
  <c r="HR18" i="14"/>
  <c r="HD23" i="14"/>
  <c r="IH23" i="14"/>
  <c r="HF16" i="14"/>
  <c r="IJ16" i="14"/>
  <c r="GQ20" i="14"/>
  <c r="HU20" i="14"/>
  <c r="GY27" i="14"/>
  <c r="IC27" i="14"/>
  <c r="HL12" i="14"/>
  <c r="IP12" i="14"/>
  <c r="HM17" i="14"/>
  <c r="GI17" i="14"/>
  <c r="HK23" i="14"/>
  <c r="IO23" i="14"/>
  <c r="IO32" i="14"/>
  <c r="HK32" i="14"/>
  <c r="GO12" i="14"/>
  <c r="HS12" i="14"/>
  <c r="HH16" i="14"/>
  <c r="IL16" i="14"/>
  <c r="GQ22" i="14"/>
  <c r="HU22" i="14"/>
  <c r="GZ14" i="14"/>
  <c r="ID14" i="14"/>
  <c r="GT18" i="14"/>
  <c r="HX18" i="14"/>
  <c r="GR23" i="14"/>
  <c r="HV23" i="14"/>
  <c r="IE14" i="14"/>
  <c r="HA14" i="14"/>
  <c r="GU20" i="14"/>
  <c r="HY20" i="14"/>
  <c r="GK28" i="14"/>
  <c r="HO28" i="14"/>
  <c r="GR42" i="14"/>
  <c r="HV42" i="14"/>
  <c r="HK16" i="14"/>
  <c r="IO16" i="14"/>
  <c r="HM24" i="14"/>
  <c r="GI24" i="14"/>
  <c r="GS31" i="14"/>
  <c r="HW31" i="14"/>
  <c r="GU37" i="14"/>
  <c r="HY37" i="14"/>
  <c r="IG14" i="14"/>
  <c r="HC14" i="14"/>
  <c r="BT22" i="14"/>
  <c r="F18" i="43" s="1"/>
  <c r="EL22" i="14"/>
  <c r="DH22" i="14" s="1"/>
  <c r="AZ22" i="14" a="1"/>
  <c r="AZ22" i="14" s="1"/>
  <c r="GJ29" i="14"/>
  <c r="HN29" i="14"/>
  <c r="HJ36" i="14"/>
  <c r="IN36" i="14"/>
  <c r="II13" i="14"/>
  <c r="HE13" i="14"/>
  <c r="IJ25" i="14"/>
  <c r="HF25" i="14"/>
  <c r="HL34" i="14"/>
  <c r="IP34" i="14"/>
  <c r="IJ13" i="14"/>
  <c r="HF13" i="14"/>
  <c r="GS19" i="14"/>
  <c r="HW19" i="14"/>
  <c r="HI25" i="14"/>
  <c r="IM25" i="14"/>
  <c r="HM13" i="14"/>
  <c r="GI13" i="14"/>
  <c r="GT17" i="14"/>
  <c r="HX17" i="14"/>
  <c r="GS21" i="14"/>
  <c r="HW21" i="14"/>
  <c r="HQ26" i="14"/>
  <c r="GM26" i="14"/>
  <c r="HD32" i="14"/>
  <c r="IH32" i="14"/>
  <c r="GT48" i="14"/>
  <c r="HX48" i="14"/>
  <c r="HQ17" i="14"/>
  <c r="GM17" i="14"/>
  <c r="HM21" i="14"/>
  <c r="GI21" i="14"/>
  <c r="IF26" i="14"/>
  <c r="HB26" i="14"/>
  <c r="HO31" i="14"/>
  <c r="GK31" i="14"/>
  <c r="HC37" i="14"/>
  <c r="IG37" i="14"/>
  <c r="GV45" i="14"/>
  <c r="HZ45" i="14"/>
  <c r="IC18" i="14"/>
  <c r="GY18" i="14"/>
  <c r="GU22" i="14"/>
  <c r="HY22" i="14"/>
  <c r="GO28" i="14"/>
  <c r="HS28" i="14"/>
  <c r="GW32" i="14"/>
  <c r="IA32" i="14"/>
  <c r="GZ39" i="14"/>
  <c r="ID39" i="14"/>
  <c r="HE49" i="14"/>
  <c r="II49" i="14"/>
  <c r="HW25" i="14"/>
  <c r="GS25" i="14"/>
  <c r="IP30" i="14"/>
  <c r="HL30" i="14"/>
  <c r="GZ34" i="14"/>
  <c r="ID34" i="14"/>
  <c r="HD42" i="14"/>
  <c r="IH42" i="14"/>
  <c r="HM25" i="14"/>
  <c r="GI25" i="14"/>
  <c r="IF30" i="14"/>
  <c r="HB30" i="14"/>
  <c r="HA36" i="14"/>
  <c r="IE36" i="14"/>
  <c r="GM42" i="14"/>
  <c r="HQ42" i="14"/>
  <c r="HC50" i="14"/>
  <c r="IG50" i="14"/>
  <c r="ID21" i="14"/>
  <c r="GZ21" i="14"/>
  <c r="HZ25" i="14"/>
  <c r="GV25" i="14"/>
  <c r="IG30" i="14"/>
  <c r="HC30" i="14"/>
  <c r="IM37" i="14"/>
  <c r="HI37" i="14"/>
  <c r="GN43" i="14"/>
  <c r="HR43" i="14"/>
  <c r="HE39" i="14"/>
  <c r="II39" i="14"/>
  <c r="IN25" i="14"/>
  <c r="HJ25" i="14"/>
  <c r="HW30" i="14"/>
  <c r="GS30" i="14"/>
  <c r="HE36" i="14"/>
  <c r="II36" i="14"/>
  <c r="GP42" i="14"/>
  <c r="HT42" i="14"/>
  <c r="GY45" i="14"/>
  <c r="IC45" i="14"/>
  <c r="GU49" i="14"/>
  <c r="HY49" i="14"/>
  <c r="HP35" i="14"/>
  <c r="GL35" i="14"/>
  <c r="HX39" i="14"/>
  <c r="GT39" i="14"/>
  <c r="HR45" i="14"/>
  <c r="GN45" i="14"/>
  <c r="HN49" i="14"/>
  <c r="GJ49" i="14"/>
  <c r="IP35" i="14"/>
  <c r="HL35" i="14"/>
  <c r="IL39" i="14"/>
  <c r="HH39" i="14"/>
  <c r="HT45" i="14"/>
  <c r="GP45" i="14"/>
  <c r="IN49" i="14"/>
  <c r="HJ49" i="14"/>
  <c r="IP36" i="14"/>
  <c r="HL36" i="14"/>
  <c r="IL40" i="14"/>
  <c r="HH40" i="14"/>
  <c r="HT46" i="14"/>
  <c r="GP46" i="14"/>
  <c r="IN50" i="14"/>
  <c r="HJ50" i="14"/>
  <c r="HN41" i="14"/>
  <c r="GJ41" i="14"/>
  <c r="HU46" i="14"/>
  <c r="GQ46" i="14"/>
  <c r="HW33" i="14"/>
  <c r="GS33" i="14"/>
  <c r="IP38" i="14"/>
  <c r="HL38" i="14"/>
  <c r="IL42" i="14"/>
  <c r="HH42" i="14"/>
  <c r="HT48" i="14"/>
  <c r="GP48" i="14"/>
  <c r="IN42" i="14"/>
  <c r="HJ42" i="14"/>
  <c r="HW47" i="14"/>
  <c r="GS47" i="14"/>
  <c r="GM93" i="14"/>
  <c r="HQ93" i="14"/>
  <c r="GX93" i="14"/>
  <c r="IB93" i="14"/>
  <c r="GQ94" i="14"/>
  <c r="HU94" i="14"/>
  <c r="GO94" i="14"/>
  <c r="HS94" i="14"/>
  <c r="IH94" i="14"/>
  <c r="HD94" i="14"/>
  <c r="HK103" i="14"/>
  <c r="IO103" i="14"/>
  <c r="HC103" i="14"/>
  <c r="IG103" i="14"/>
  <c r="IL103" i="14"/>
  <c r="HH103" i="14"/>
  <c r="HC57" i="14"/>
  <c r="IG57" i="14"/>
  <c r="GL56" i="14"/>
  <c r="HP56" i="14"/>
  <c r="HL56" i="14"/>
  <c r="IP56" i="14"/>
  <c r="HB56" i="14"/>
  <c r="IF56" i="14"/>
  <c r="HA58" i="14"/>
  <c r="IE58" i="14"/>
  <c r="II56" i="14"/>
  <c r="HE56" i="14"/>
  <c r="HP58" i="14"/>
  <c r="GL58" i="14"/>
  <c r="HO55" i="14"/>
  <c r="GK55" i="14"/>
  <c r="GY58" i="14"/>
  <c r="IC58" i="14"/>
  <c r="HX58" i="14"/>
  <c r="GT58" i="14"/>
  <c r="HW90" i="14"/>
  <c r="GS90" i="14"/>
  <c r="IN90" i="14"/>
  <c r="HJ90" i="14"/>
  <c r="GV6" i="14"/>
  <c r="HZ6" i="14"/>
  <c r="HD6" i="14"/>
  <c r="IH6" i="14"/>
  <c r="HB7" i="14"/>
  <c r="IF7" i="14"/>
  <c r="HC9" i="14"/>
  <c r="IG9" i="14"/>
  <c r="GT8" i="14"/>
  <c r="HX8" i="14"/>
  <c r="IK8" i="14"/>
  <c r="HG8" i="14"/>
  <c r="HM9" i="14"/>
  <c r="GI9" i="14"/>
  <c r="HN9" i="14"/>
  <c r="GJ9" i="14"/>
  <c r="HO9" i="14"/>
  <c r="GK9" i="14"/>
  <c r="IB9" i="14"/>
  <c r="GX9" i="14"/>
  <c r="HR8" i="14"/>
  <c r="GN8" i="14"/>
  <c r="HM66" i="14"/>
  <c r="GI66" i="14"/>
  <c r="IM67" i="14"/>
  <c r="HI67" i="14"/>
  <c r="HO66" i="14"/>
  <c r="GK66" i="14"/>
  <c r="HE65" i="14"/>
  <c r="II65" i="14"/>
  <c r="IB67" i="14"/>
  <c r="GX67" i="14"/>
  <c r="GY67" i="14"/>
  <c r="IC67" i="14"/>
  <c r="HN68" i="14"/>
  <c r="GJ68" i="14"/>
  <c r="HP65" i="14"/>
  <c r="GL65" i="14"/>
  <c r="IO65" i="14"/>
  <c r="HK65" i="14"/>
  <c r="ID65" i="14"/>
  <c r="GZ65" i="14"/>
  <c r="HH66" i="14"/>
  <c r="IL66" i="14"/>
  <c r="ID68" i="14"/>
  <c r="GZ68" i="14"/>
  <c r="GM10" i="14"/>
  <c r="HQ10" i="14"/>
  <c r="HC10" i="14"/>
  <c r="IG10" i="14"/>
  <c r="IJ10" i="14"/>
  <c r="HF10" i="14"/>
  <c r="HY11" i="14"/>
  <c r="GU11" i="14"/>
  <c r="IA11" i="14"/>
  <c r="GW11" i="14"/>
  <c r="GJ71" i="14"/>
  <c r="HN71" i="14"/>
  <c r="GQ72" i="14"/>
  <c r="HU72" i="14"/>
  <c r="GP71" i="14"/>
  <c r="HT71" i="14"/>
  <c r="HW71" i="14"/>
  <c r="GS71" i="14"/>
  <c r="ID73" i="14"/>
  <c r="GZ73" i="14"/>
  <c r="GT70" i="14"/>
  <c r="HX70" i="14"/>
  <c r="GJ72" i="14"/>
  <c r="HN72" i="14"/>
  <c r="HO72" i="14"/>
  <c r="GK72" i="14"/>
  <c r="GL72" i="14"/>
  <c r="HP72" i="14"/>
  <c r="HS73" i="14"/>
  <c r="GO73" i="14"/>
  <c r="IM69" i="14"/>
  <c r="HI69" i="14"/>
  <c r="AB69" i="20" s="1"/>
  <c r="AX124" i="11"/>
  <c r="AI97" i="12"/>
  <c r="W97" i="12"/>
  <c r="K97" i="12"/>
  <c r="AH97" i="12"/>
  <c r="V97" i="12"/>
  <c r="J97" i="12"/>
  <c r="AG97" i="12"/>
  <c r="U97" i="12"/>
  <c r="I97" i="12"/>
  <c r="AF97" i="12"/>
  <c r="T97" i="12"/>
  <c r="H97" i="12"/>
  <c r="AE97" i="12"/>
  <c r="S97" i="12"/>
  <c r="G97" i="12"/>
  <c r="AD97" i="12"/>
  <c r="R97" i="12"/>
  <c r="AB97" i="12"/>
  <c r="P97" i="12"/>
  <c r="AJ97" i="12"/>
  <c r="AC97" i="12"/>
  <c r="AA97" i="12"/>
  <c r="Z97" i="12"/>
  <c r="Y97" i="12"/>
  <c r="X97" i="12"/>
  <c r="Q97" i="12"/>
  <c r="O97" i="12"/>
  <c r="N97" i="12"/>
  <c r="M97" i="12"/>
  <c r="L97" i="12"/>
  <c r="AF94" i="12"/>
  <c r="T94" i="12"/>
  <c r="H94" i="12"/>
  <c r="AE94" i="12"/>
  <c r="S94" i="12"/>
  <c r="G94" i="12"/>
  <c r="AD94" i="12"/>
  <c r="R94" i="12"/>
  <c r="AC94" i="12"/>
  <c r="Q94" i="12"/>
  <c r="AB94" i="12"/>
  <c r="P94" i="12"/>
  <c r="AA94" i="12"/>
  <c r="O94" i="12"/>
  <c r="Y94" i="12"/>
  <c r="M94" i="12"/>
  <c r="AI94" i="12"/>
  <c r="I94" i="12"/>
  <c r="AH94" i="12"/>
  <c r="AG94" i="12"/>
  <c r="Z94" i="12"/>
  <c r="X94" i="12"/>
  <c r="W94" i="12"/>
  <c r="V94" i="12"/>
  <c r="U94" i="12"/>
  <c r="N94" i="12"/>
  <c r="K94" i="12"/>
  <c r="J94" i="12"/>
  <c r="AJ94" i="12"/>
  <c r="L94" i="12"/>
  <c r="AF70" i="12"/>
  <c r="T70" i="12"/>
  <c r="H70" i="12"/>
  <c r="AE70" i="12"/>
  <c r="S70" i="12"/>
  <c r="G70" i="12"/>
  <c r="AD70" i="12"/>
  <c r="R70" i="12"/>
  <c r="AC70" i="12"/>
  <c r="Q70" i="12"/>
  <c r="AB70" i="12"/>
  <c r="P70" i="12"/>
  <c r="AA70" i="12"/>
  <c r="O70" i="12"/>
  <c r="Y70" i="12"/>
  <c r="M70" i="12"/>
  <c r="AG70" i="12"/>
  <c r="Z70" i="12"/>
  <c r="X70" i="12"/>
  <c r="W70" i="12"/>
  <c r="V70" i="12"/>
  <c r="U70" i="12"/>
  <c r="N70" i="12"/>
  <c r="L70" i="12"/>
  <c r="K70" i="12"/>
  <c r="AJ70" i="12"/>
  <c r="AI70" i="12"/>
  <c r="AH70" i="12"/>
  <c r="J70" i="12"/>
  <c r="I70" i="12"/>
  <c r="D154" i="3"/>
  <c r="D129" i="3"/>
  <c r="D51" i="3" s="1"/>
  <c r="E104" i="3"/>
  <c r="HE53" i="14"/>
  <c r="II53" i="14"/>
  <c r="GT52" i="14"/>
  <c r="HX52" i="14"/>
  <c r="GY54" i="14"/>
  <c r="IC54" i="14"/>
  <c r="HX51" i="14"/>
  <c r="GT51" i="14"/>
  <c r="HY52" i="14"/>
  <c r="GU52" i="14"/>
  <c r="HM53" i="14"/>
  <c r="GI53" i="14"/>
  <c r="HZ53" i="14"/>
  <c r="GV53" i="14"/>
  <c r="IA53" i="14"/>
  <c r="GW53" i="14"/>
  <c r="IO53" i="14"/>
  <c r="HK53" i="14"/>
  <c r="GO91" i="14"/>
  <c r="HS91" i="14"/>
  <c r="GQ91" i="14"/>
  <c r="HU91" i="14"/>
  <c r="HO91" i="14"/>
  <c r="GK91" i="14"/>
  <c r="GK62" i="14"/>
  <c r="HO62" i="14"/>
  <c r="HI59" i="14"/>
  <c r="IM59" i="14"/>
  <c r="HH61" i="14"/>
  <c r="IL61" i="14"/>
  <c r="GO62" i="14"/>
  <c r="HS62" i="14"/>
  <c r="HK60" i="14"/>
  <c r="IO60" i="14"/>
  <c r="IP61" i="14"/>
  <c r="HL61" i="14"/>
  <c r="HW59" i="14"/>
  <c r="GS59" i="14"/>
  <c r="IH61" i="14"/>
  <c r="HD61" i="14"/>
  <c r="GV62" i="14"/>
  <c r="HZ62" i="14"/>
  <c r="HO63" i="14"/>
  <c r="GK63" i="14"/>
  <c r="IB63" i="14"/>
  <c r="GX63" i="14"/>
  <c r="HR64" i="14"/>
  <c r="GN64" i="14"/>
  <c r="HU76" i="14"/>
  <c r="GQ76" i="14"/>
  <c r="IG74" i="14"/>
  <c r="HC74" i="14"/>
  <c r="IF76" i="14"/>
  <c r="HB76" i="14"/>
  <c r="IL77" i="14"/>
  <c r="HH77" i="14"/>
  <c r="HV74" i="14"/>
  <c r="GR74" i="14"/>
  <c r="HO75" i="14"/>
  <c r="GK75" i="14"/>
  <c r="GI74" i="14"/>
  <c r="HM74" i="14"/>
  <c r="GI75" i="14"/>
  <c r="HM75" i="14"/>
  <c r="HR74" i="14"/>
  <c r="GN74" i="14"/>
  <c r="HS74" i="14"/>
  <c r="GO74" i="14"/>
  <c r="HT74" i="14"/>
  <c r="GP74" i="14"/>
  <c r="GT21" i="14"/>
  <c r="HX21" i="14"/>
  <c r="GJ14" i="14"/>
  <c r="HN14" i="14"/>
  <c r="EK40" i="14"/>
  <c r="DG40" i="14" s="1"/>
  <c r="BS40" i="14"/>
  <c r="E36" i="43" s="1"/>
  <c r="GW49" i="14"/>
  <c r="IA49" i="14"/>
  <c r="HK12" i="14"/>
  <c r="IO12" i="14"/>
  <c r="GU48" i="14"/>
  <c r="HY48" i="14"/>
  <c r="GX41" i="14"/>
  <c r="IB41" i="14"/>
  <c r="GU19" i="14"/>
  <c r="HY19" i="14"/>
  <c r="IJ20" i="14"/>
  <c r="HF20" i="14"/>
  <c r="IJ31" i="14"/>
  <c r="HF31" i="14"/>
  <c r="GS39" i="14"/>
  <c r="HW39" i="14"/>
  <c r="GM13" i="14"/>
  <c r="HQ13" i="14"/>
  <c r="GX17" i="14"/>
  <c r="IB17" i="14"/>
  <c r="HZ24" i="14"/>
  <c r="GV24" i="14"/>
  <c r="GJ33" i="14"/>
  <c r="HN33" i="14"/>
  <c r="HA12" i="14"/>
  <c r="IE12" i="14"/>
  <c r="GJ17" i="14"/>
  <c r="HN17" i="14"/>
  <c r="HJ22" i="14"/>
  <c r="IN22" i="14"/>
  <c r="HH38" i="14"/>
  <c r="IL38" i="14"/>
  <c r="HL14" i="14"/>
  <c r="IP14" i="14"/>
  <c r="HI18" i="14"/>
  <c r="IM18" i="14"/>
  <c r="HR31" i="14"/>
  <c r="GN31" i="14"/>
  <c r="GP40" i="14"/>
  <c r="HT40" i="14"/>
  <c r="HR15" i="14"/>
  <c r="GN15" i="14"/>
  <c r="HL20" i="14"/>
  <c r="IP20" i="14"/>
  <c r="HI28" i="14"/>
  <c r="IM28" i="14"/>
  <c r="GZ44" i="14"/>
  <c r="ID44" i="14"/>
  <c r="GO17" i="14"/>
  <c r="HS17" i="14"/>
  <c r="IF24" i="14"/>
  <c r="HB24" i="14"/>
  <c r="HT15" i="14"/>
  <c r="GP15" i="14"/>
  <c r="IB22" i="14"/>
  <c r="GX22" i="14"/>
  <c r="HH29" i="14"/>
  <c r="IL29" i="14"/>
  <c r="HV14" i="14"/>
  <c r="GR14" i="14"/>
  <c r="GR19" i="14"/>
  <c r="HV19" i="14"/>
  <c r="GJ26" i="14"/>
  <c r="HN26" i="14"/>
  <c r="HI35" i="14"/>
  <c r="IM35" i="14"/>
  <c r="HW14" i="14"/>
  <c r="GS14" i="14"/>
  <c r="HH19" i="14"/>
  <c r="IL19" i="14"/>
  <c r="HY13" i="14"/>
  <c r="GU13" i="14"/>
  <c r="HI17" i="14"/>
  <c r="IM17" i="14"/>
  <c r="HJ21" i="14"/>
  <c r="IN21" i="14"/>
  <c r="IO26" i="14"/>
  <c r="HK26" i="14"/>
  <c r="HF33" i="14"/>
  <c r="IJ33" i="14"/>
  <c r="GS49" i="14"/>
  <c r="HW49" i="14"/>
  <c r="IC17" i="14"/>
  <c r="GY17" i="14"/>
  <c r="HY21" i="14"/>
  <c r="GU21" i="14"/>
  <c r="HS27" i="14"/>
  <c r="GO27" i="14"/>
  <c r="IA31" i="14"/>
  <c r="GW31" i="14"/>
  <c r="GW46" i="14"/>
  <c r="IA46" i="14"/>
  <c r="IO18" i="14"/>
  <c r="HK18" i="14"/>
  <c r="HG22" i="14"/>
  <c r="IK22" i="14"/>
  <c r="HA28" i="14"/>
  <c r="IE28" i="14"/>
  <c r="HI32" i="14"/>
  <c r="IM32" i="14"/>
  <c r="GY40" i="14"/>
  <c r="IC40" i="14"/>
  <c r="GS50" i="14"/>
  <c r="HW50" i="14"/>
  <c r="II25" i="14"/>
  <c r="HE25" i="14"/>
  <c r="HQ31" i="14"/>
  <c r="GM31" i="14"/>
  <c r="GR35" i="14"/>
  <c r="HV35" i="14"/>
  <c r="GJ43" i="14"/>
  <c r="HN43" i="14"/>
  <c r="HY25" i="14"/>
  <c r="GU25" i="14"/>
  <c r="HS31" i="14"/>
  <c r="GO31" i="14"/>
  <c r="HK42" i="14"/>
  <c r="IO42" i="14"/>
  <c r="HW16" i="14"/>
  <c r="GS16" i="14"/>
  <c r="IP21" i="14"/>
  <c r="HL21" i="14"/>
  <c r="IL25" i="14"/>
  <c r="HH25" i="14"/>
  <c r="HT31" i="14"/>
  <c r="GP31" i="14"/>
  <c r="HL43" i="14"/>
  <c r="IP43" i="14"/>
  <c r="GM40" i="14"/>
  <c r="HQ40" i="14"/>
  <c r="GP49" i="14"/>
  <c r="HT49" i="14"/>
  <c r="HO26" i="14"/>
  <c r="GK26" i="14"/>
  <c r="II30" i="14"/>
  <c r="HE30" i="14"/>
  <c r="GQ43" i="14"/>
  <c r="HU43" i="14"/>
  <c r="HK45" i="14"/>
  <c r="IO45" i="14"/>
  <c r="HG49" i="14"/>
  <c r="IK49" i="14"/>
  <c r="IB35" i="14"/>
  <c r="GX35" i="14"/>
  <c r="IJ39" i="14"/>
  <c r="HF39" i="14"/>
  <c r="ID45" i="14"/>
  <c r="GZ45" i="14"/>
  <c r="HZ49" i="14"/>
  <c r="GV49" i="14"/>
  <c r="HQ36" i="14"/>
  <c r="GM36" i="14"/>
  <c r="HM40" i="14"/>
  <c r="GI40" i="14"/>
  <c r="IF45" i="14"/>
  <c r="HB45" i="14"/>
  <c r="HO50" i="14"/>
  <c r="GK50" i="14"/>
  <c r="HQ37" i="14"/>
  <c r="GM37" i="14"/>
  <c r="HM41" i="14"/>
  <c r="GI41" i="14"/>
  <c r="IF46" i="14"/>
  <c r="HB46" i="14"/>
  <c r="ID37" i="14"/>
  <c r="GZ37" i="14"/>
  <c r="HZ41" i="14"/>
  <c r="GV41" i="14"/>
  <c r="IG46" i="14"/>
  <c r="HC46" i="14"/>
  <c r="II33" i="14"/>
  <c r="HE33" i="14"/>
  <c r="HQ39" i="14"/>
  <c r="GM39" i="14"/>
  <c r="HM43" i="14"/>
  <c r="GI43" i="14"/>
  <c r="IF48" i="14"/>
  <c r="HB48" i="14"/>
  <c r="HO43" i="14"/>
  <c r="GK43" i="14"/>
  <c r="II47" i="14"/>
  <c r="HE47" i="14"/>
  <c r="GY94" i="14"/>
  <c r="IC94" i="14"/>
  <c r="HK94" i="14"/>
  <c r="IO94" i="14"/>
  <c r="HA94" i="14"/>
  <c r="IE94" i="14"/>
  <c r="HA103" i="14"/>
  <c r="IE103" i="14"/>
  <c r="HM94" i="14"/>
  <c r="GI94" i="14"/>
  <c r="GR103" i="14"/>
  <c r="HV103" i="14"/>
  <c r="HO103" i="14"/>
  <c r="GK103" i="14"/>
  <c r="HL58" i="14"/>
  <c r="IP58" i="14"/>
  <c r="GZ55" i="14"/>
  <c r="ID55" i="14"/>
  <c r="HQ57" i="14"/>
  <c r="GM57" i="14"/>
  <c r="HA57" i="14"/>
  <c r="IE57" i="14"/>
  <c r="GO57" i="14"/>
  <c r="HS57" i="14"/>
  <c r="HU57" i="14"/>
  <c r="GQ57" i="14"/>
  <c r="HW55" i="14"/>
  <c r="GS55" i="14"/>
  <c r="GW57" i="14"/>
  <c r="IA57" i="14"/>
  <c r="HH58" i="14"/>
  <c r="IL58" i="14"/>
  <c r="IA55" i="14"/>
  <c r="GW55" i="14"/>
  <c r="HK58" i="14"/>
  <c r="IO58" i="14"/>
  <c r="IJ58" i="14"/>
  <c r="HF58" i="14"/>
  <c r="GM90" i="14"/>
  <c r="HQ90" i="14"/>
  <c r="II90" i="14"/>
  <c r="HE90" i="14"/>
  <c r="HR90" i="14"/>
  <c r="GN90" i="14"/>
  <c r="GQ6" i="14"/>
  <c r="HU6" i="14"/>
  <c r="GR7" i="14"/>
  <c r="HV7" i="14"/>
  <c r="GI6" i="14"/>
  <c r="HM6" i="14"/>
  <c r="HF8" i="14"/>
  <c r="IJ8" i="14"/>
  <c r="HX9" i="14"/>
  <c r="GT9" i="14"/>
  <c r="HY9" i="14"/>
  <c r="GU9" i="14"/>
  <c r="HZ9" i="14"/>
  <c r="GV9" i="14"/>
  <c r="IA9" i="14"/>
  <c r="GW9" i="14"/>
  <c r="IN9" i="14"/>
  <c r="HJ9" i="14"/>
  <c r="ID8" i="14"/>
  <c r="GZ8" i="14"/>
  <c r="IN66" i="14"/>
  <c r="HJ66" i="14"/>
  <c r="HG68" i="14"/>
  <c r="IK68" i="14"/>
  <c r="HF65" i="14"/>
  <c r="IJ65" i="14"/>
  <c r="HP66" i="14"/>
  <c r="GL66" i="14"/>
  <c r="IO67" i="14"/>
  <c r="HK67" i="14"/>
  <c r="HL67" i="14"/>
  <c r="IP67" i="14"/>
  <c r="IA68" i="14"/>
  <c r="GW68" i="14"/>
  <c r="IB65" i="14"/>
  <c r="GX65" i="14"/>
  <c r="HW66" i="14"/>
  <c r="GS66" i="14"/>
  <c r="IP65" i="14"/>
  <c r="HL65" i="14"/>
  <c r="IP68" i="14"/>
  <c r="HL68" i="14"/>
  <c r="GN10" i="14"/>
  <c r="HR10" i="14"/>
  <c r="GP11" i="14"/>
  <c r="HT11" i="14"/>
  <c r="HW11" i="14"/>
  <c r="GS11" i="14"/>
  <c r="IK11" i="14"/>
  <c r="HG11" i="14"/>
  <c r="IM11" i="14"/>
  <c r="HI11" i="14"/>
  <c r="HL72" i="14"/>
  <c r="IP72" i="14"/>
  <c r="HH71" i="14"/>
  <c r="IL71" i="14"/>
  <c r="IC72" i="14"/>
  <c r="GY72" i="14"/>
  <c r="GQ70" i="14"/>
  <c r="HU70" i="14"/>
  <c r="IE71" i="14"/>
  <c r="HA71" i="14"/>
  <c r="GV72" i="14"/>
  <c r="HZ72" i="14"/>
  <c r="IA72" i="14"/>
  <c r="GW72" i="14"/>
  <c r="GX72" i="14"/>
  <c r="IB72" i="14"/>
  <c r="IE73" i="14"/>
  <c r="HA73" i="14"/>
  <c r="GX69" i="14"/>
  <c r="Q69" i="20" s="1"/>
  <c r="IB69" i="14"/>
  <c r="HT69" i="14"/>
  <c r="GP69" i="14"/>
  <c r="I69" i="20" s="1"/>
  <c r="AG107" i="12"/>
  <c r="U107" i="12"/>
  <c r="I107" i="12"/>
  <c r="AF107" i="12"/>
  <c r="T107" i="12"/>
  <c r="H107" i="12"/>
  <c r="AE107" i="12"/>
  <c r="S107" i="12"/>
  <c r="G107" i="12"/>
  <c r="AD107" i="12"/>
  <c r="R107" i="12"/>
  <c r="AC107" i="12"/>
  <c r="Q107" i="12"/>
  <c r="AB107" i="12"/>
  <c r="P107" i="12"/>
  <c r="Z107" i="12"/>
  <c r="N107" i="12"/>
  <c r="L107" i="12"/>
  <c r="K107" i="12"/>
  <c r="AJ107" i="12"/>
  <c r="J107" i="12"/>
  <c r="AI107" i="12"/>
  <c r="AH107" i="12"/>
  <c r="AA107" i="12"/>
  <c r="Y107" i="12"/>
  <c r="X107" i="12"/>
  <c r="W107" i="12"/>
  <c r="O107" i="12"/>
  <c r="M107" i="12"/>
  <c r="V107" i="12"/>
  <c r="AG83" i="12"/>
  <c r="U83" i="12"/>
  <c r="I83" i="12"/>
  <c r="AF83" i="12"/>
  <c r="T83" i="12"/>
  <c r="H83" i="12"/>
  <c r="AE83" i="12"/>
  <c r="S83" i="12"/>
  <c r="G83" i="12"/>
  <c r="AD83" i="12"/>
  <c r="R83" i="12"/>
  <c r="AC83" i="12"/>
  <c r="Q83" i="12"/>
  <c r="AB83" i="12"/>
  <c r="P83" i="12"/>
  <c r="Z83" i="12"/>
  <c r="N83" i="12"/>
  <c r="AJ83" i="12"/>
  <c r="J83" i="12"/>
  <c r="AI83" i="12"/>
  <c r="AH83" i="12"/>
  <c r="AA83" i="12"/>
  <c r="Y83" i="12"/>
  <c r="X83" i="12"/>
  <c r="W83" i="12"/>
  <c r="V83" i="12"/>
  <c r="O83" i="12"/>
  <c r="M83" i="12"/>
  <c r="L83" i="12"/>
  <c r="K83" i="12"/>
  <c r="C209" i="17"/>
  <c r="B209" i="17"/>
  <c r="B235" i="17" s="1"/>
  <c r="C235" i="17"/>
  <c r="C184" i="17"/>
  <c r="B111" i="17"/>
  <c r="C111" i="17" s="1"/>
  <c r="BJ124" i="11"/>
  <c r="AC10" i="20"/>
  <c r="AF106" i="12"/>
  <c r="T106" i="12"/>
  <c r="H106" i="12"/>
  <c r="AE106" i="12"/>
  <c r="S106" i="12"/>
  <c r="G106" i="12"/>
  <c r="AD106" i="12"/>
  <c r="R106" i="12"/>
  <c r="AC106" i="12"/>
  <c r="Q106" i="12"/>
  <c r="AB106" i="12"/>
  <c r="P106" i="12"/>
  <c r="AA106" i="12"/>
  <c r="O106" i="12"/>
  <c r="Y106" i="12"/>
  <c r="M106" i="12"/>
  <c r="W106" i="12"/>
  <c r="V106" i="12"/>
  <c r="U106" i="12"/>
  <c r="N106" i="12"/>
  <c r="L106" i="12"/>
  <c r="K106" i="12"/>
  <c r="AJ106" i="12"/>
  <c r="J106" i="12"/>
  <c r="AI106" i="12"/>
  <c r="I106" i="12"/>
  <c r="AH106" i="12"/>
  <c r="AG106" i="12"/>
  <c r="Z106" i="12"/>
  <c r="X106" i="12"/>
  <c r="AJ110" i="12"/>
  <c r="X110" i="12"/>
  <c r="L110" i="12"/>
  <c r="AI110" i="12"/>
  <c r="W110" i="12"/>
  <c r="K110" i="12"/>
  <c r="AH110" i="12"/>
  <c r="V110" i="12"/>
  <c r="J110" i="12"/>
  <c r="AG110" i="12"/>
  <c r="U110" i="12"/>
  <c r="I110" i="12"/>
  <c r="AF110" i="12"/>
  <c r="T110" i="12"/>
  <c r="H110" i="12"/>
  <c r="AE110" i="12"/>
  <c r="S110" i="12"/>
  <c r="G110" i="12"/>
  <c r="AC110" i="12"/>
  <c r="Q110" i="12"/>
  <c r="P110" i="12"/>
  <c r="O110" i="12"/>
  <c r="N110" i="12"/>
  <c r="M110" i="12"/>
  <c r="AD110" i="12"/>
  <c r="AB110" i="12"/>
  <c r="AA110" i="12"/>
  <c r="Z110" i="12"/>
  <c r="Y110" i="12"/>
  <c r="R110" i="12"/>
  <c r="C201" i="17"/>
  <c r="B201" i="17"/>
  <c r="B227" i="17" s="1"/>
  <c r="C227" i="17"/>
  <c r="C176" i="17"/>
  <c r="B103" i="17"/>
  <c r="C103" i="17" s="1"/>
  <c r="HD54" i="14"/>
  <c r="IH54" i="14"/>
  <c r="GL53" i="14"/>
  <c r="HP53" i="14"/>
  <c r="HB51" i="14"/>
  <c r="IF51" i="14"/>
  <c r="HK52" i="14"/>
  <c r="IO52" i="14"/>
  <c r="IJ51" i="14"/>
  <c r="HF51" i="14"/>
  <c r="IK52" i="14"/>
  <c r="HG52" i="14"/>
  <c r="HY53" i="14"/>
  <c r="GU53" i="14"/>
  <c r="IL53" i="14"/>
  <c r="HH53" i="14"/>
  <c r="IM53" i="14"/>
  <c r="HI53" i="14"/>
  <c r="HP54" i="14"/>
  <c r="GL54" i="14"/>
  <c r="HC91" i="14"/>
  <c r="IG91" i="14"/>
  <c r="IA91" i="14"/>
  <c r="GW91" i="14"/>
  <c r="GI60" i="14"/>
  <c r="HM60" i="14"/>
  <c r="GJ60" i="14"/>
  <c r="HN60" i="14"/>
  <c r="HQ62" i="14"/>
  <c r="GM62" i="14"/>
  <c r="II62" i="14"/>
  <c r="HE62" i="14"/>
  <c r="GL61" i="14"/>
  <c r="HP61" i="14"/>
  <c r="HW62" i="14"/>
  <c r="GS62" i="14"/>
  <c r="II59" i="14"/>
  <c r="HE59" i="14"/>
  <c r="GX62" i="14"/>
  <c r="IB62" i="14"/>
  <c r="HH62" i="14"/>
  <c r="IL62" i="14"/>
  <c r="HZ63" i="14"/>
  <c r="GV63" i="14"/>
  <c r="HT63" i="14"/>
  <c r="GP63" i="14"/>
  <c r="IA63" i="14"/>
  <c r="GW63" i="14"/>
  <c r="IN63" i="14"/>
  <c r="HJ63" i="14"/>
  <c r="ID64" i="14"/>
  <c r="GZ64" i="14"/>
  <c r="IN75" i="14"/>
  <c r="HJ75" i="14"/>
  <c r="BF75" i="14" a="1"/>
  <c r="BF75" i="14" s="1"/>
  <c r="BZ75" i="14"/>
  <c r="L71" i="43" s="1"/>
  <c r="IF77" i="14"/>
  <c r="HB77" i="14"/>
  <c r="GM74" i="14"/>
  <c r="HQ74" i="14"/>
  <c r="BB75" i="14" a="1"/>
  <c r="BB75" i="14" s="1"/>
  <c r="BV75" i="14"/>
  <c r="H71" i="43" s="1"/>
  <c r="EN75" i="14"/>
  <c r="DJ75" i="14" s="1"/>
  <c r="IM75" i="14"/>
  <c r="HI75" i="14"/>
  <c r="GU74" i="14"/>
  <c r="HY74" i="14"/>
  <c r="GU75" i="14"/>
  <c r="HY75" i="14"/>
  <c r="ID74" i="14"/>
  <c r="GZ74" i="14"/>
  <c r="IE74" i="14"/>
  <c r="HA74" i="14"/>
  <c r="IF74" i="14"/>
  <c r="HB74" i="14"/>
  <c r="ET26" i="14"/>
  <c r="DP26" i="14" s="1"/>
  <c r="CB26" i="14"/>
  <c r="N22" i="43" s="1"/>
  <c r="GT49" i="14"/>
  <c r="HX49" i="14"/>
  <c r="HJ12" i="14"/>
  <c r="IN12" i="14"/>
  <c r="HH14" i="14"/>
  <c r="IL14" i="14"/>
  <c r="GX48" i="14"/>
  <c r="IB48" i="14"/>
  <c r="IA28" i="14"/>
  <c r="GW28" i="14"/>
  <c r="GP20" i="14"/>
  <c r="HT20" i="14"/>
  <c r="GS34" i="14"/>
  <c r="HW34" i="14"/>
  <c r="GQ39" i="14"/>
  <c r="HU39" i="14"/>
  <c r="IB21" i="14"/>
  <c r="GX21" i="14"/>
  <c r="GI32" i="14"/>
  <c r="HM32" i="14"/>
  <c r="GY13" i="14"/>
  <c r="IC13" i="14"/>
  <c r="GR18" i="14"/>
  <c r="HV18" i="14"/>
  <c r="HX25" i="14"/>
  <c r="GT25" i="14"/>
  <c r="GU34" i="14"/>
  <c r="HY34" i="14"/>
  <c r="GN13" i="14"/>
  <c r="HR13" i="14"/>
  <c r="HA17" i="14"/>
  <c r="IE17" i="14"/>
  <c r="GQ23" i="14"/>
  <c r="HU23" i="14"/>
  <c r="GJ31" i="14"/>
  <c r="HN31" i="14"/>
  <c r="HL39" i="14"/>
  <c r="IP39" i="14"/>
  <c r="GM15" i="14"/>
  <c r="HQ15" i="14"/>
  <c r="GZ24" i="14"/>
  <c r="ID24" i="14"/>
  <c r="IP31" i="14"/>
  <c r="HL31" i="14"/>
  <c r="GK42" i="14"/>
  <c r="HO42" i="14"/>
  <c r="ID15" i="14"/>
  <c r="GZ15" i="14"/>
  <c r="GM21" i="14"/>
  <c r="HQ21" i="14"/>
  <c r="HE29" i="14"/>
  <c r="II29" i="14"/>
  <c r="GN46" i="14"/>
  <c r="HR46" i="14"/>
  <c r="HE17" i="14"/>
  <c r="II17" i="14"/>
  <c r="HA25" i="14"/>
  <c r="IE25" i="14"/>
  <c r="GR40" i="14"/>
  <c r="HV40" i="14"/>
  <c r="IF15" i="14"/>
  <c r="HB15" i="14"/>
  <c r="GY23" i="14"/>
  <c r="IC23" i="14"/>
  <c r="GU30" i="14"/>
  <c r="HY30" i="14"/>
  <c r="IH14" i="14"/>
  <c r="HD14" i="14"/>
  <c r="HG19" i="14"/>
  <c r="IK19" i="14"/>
  <c r="HH26" i="14"/>
  <c r="IL26" i="14"/>
  <c r="HB37" i="14"/>
  <c r="IF37" i="14"/>
  <c r="II14" i="14"/>
  <c r="HE14" i="14"/>
  <c r="GL20" i="14"/>
  <c r="HP20" i="14"/>
  <c r="GL26" i="14"/>
  <c r="HP26" i="14"/>
  <c r="HF37" i="14"/>
  <c r="IJ37" i="14"/>
  <c r="IK13" i="14"/>
  <c r="HG13" i="14"/>
  <c r="EO22" i="14"/>
  <c r="DK22" i="14" s="1"/>
  <c r="BW22" i="14"/>
  <c r="I18" i="43" s="1"/>
  <c r="GU27" i="14"/>
  <c r="HY27" i="14"/>
  <c r="GJ34" i="14"/>
  <c r="HN34" i="14"/>
  <c r="GT45" i="14"/>
  <c r="HX45" i="14"/>
  <c r="IO17" i="14"/>
  <c r="HK17" i="14"/>
  <c r="IK21" i="14"/>
  <c r="HG21" i="14"/>
  <c r="IE27" i="14"/>
  <c r="HA27" i="14"/>
  <c r="IM31" i="14"/>
  <c r="HI31" i="14"/>
  <c r="HD47" i="14"/>
  <c r="IH47" i="14"/>
  <c r="HP19" i="14"/>
  <c r="GL19" i="14"/>
  <c r="GT23" i="14"/>
  <c r="HX23" i="14"/>
  <c r="GN29" i="14"/>
  <c r="HR29" i="14"/>
  <c r="HS33" i="14"/>
  <c r="GO33" i="14"/>
  <c r="HB41" i="14"/>
  <c r="IF41" i="14"/>
  <c r="EN22" i="14"/>
  <c r="DJ22" i="14" s="1"/>
  <c r="BB22" i="14" a="1"/>
  <c r="BB22" i="14" s="1"/>
  <c r="BV22" i="14"/>
  <c r="H18" i="43" s="1"/>
  <c r="HV26" i="14"/>
  <c r="GR26" i="14"/>
  <c r="IC31" i="14"/>
  <c r="GY31" i="14"/>
  <c r="HH35" i="14"/>
  <c r="IL35" i="14"/>
  <c r="HH43" i="14"/>
  <c r="IL43" i="14"/>
  <c r="IK25" i="14"/>
  <c r="HG25" i="14"/>
  <c r="IE31" i="14"/>
  <c r="HA31" i="14"/>
  <c r="GM43" i="14"/>
  <c r="HQ43" i="14"/>
  <c r="II16" i="14"/>
  <c r="HE16" i="14"/>
  <c r="HQ22" i="14"/>
  <c r="GM22" i="14"/>
  <c r="HM26" i="14"/>
  <c r="GI26" i="14"/>
  <c r="IF31" i="14"/>
  <c r="HB31" i="14"/>
  <c r="GW44" i="14"/>
  <c r="IA44" i="14"/>
  <c r="HD40" i="14"/>
  <c r="IH40" i="14"/>
  <c r="EN50" i="14"/>
  <c r="DJ50" i="14" s="1"/>
  <c r="BV50" i="14"/>
  <c r="H46" i="43" s="1"/>
  <c r="BB50" i="14" a="1"/>
  <c r="BB50" i="14" s="1"/>
  <c r="IA26" i="14"/>
  <c r="GW26" i="14"/>
  <c r="HV31" i="14"/>
  <c r="GR31" i="14"/>
  <c r="GS37" i="14"/>
  <c r="HW37" i="14"/>
  <c r="GY44" i="14"/>
  <c r="IC44" i="14"/>
  <c r="GL46" i="14"/>
  <c r="HP46" i="14"/>
  <c r="BU50" i="14"/>
  <c r="G46" i="43" s="1"/>
  <c r="EM50" i="14"/>
  <c r="DI50" i="14" s="1"/>
  <c r="IN35" i="14"/>
  <c r="HJ35" i="14"/>
  <c r="HW40" i="14"/>
  <c r="GS40" i="14"/>
  <c r="IP45" i="14"/>
  <c r="HL45" i="14"/>
  <c r="IL49" i="14"/>
  <c r="HH49" i="14"/>
  <c r="IC36" i="14"/>
  <c r="GY36" i="14"/>
  <c r="HY40" i="14"/>
  <c r="GU40" i="14"/>
  <c r="HS46" i="14"/>
  <c r="GO46" i="14"/>
  <c r="IA50" i="14"/>
  <c r="GW50" i="14"/>
  <c r="IC37" i="14"/>
  <c r="GY37" i="14"/>
  <c r="HY41" i="14"/>
  <c r="GU41" i="14"/>
  <c r="HS47" i="14"/>
  <c r="GO47" i="14"/>
  <c r="IP37" i="14"/>
  <c r="HL37" i="14"/>
  <c r="IL41" i="14"/>
  <c r="HH41" i="14"/>
  <c r="HT47" i="14"/>
  <c r="GP47" i="14"/>
  <c r="HV34" i="14"/>
  <c r="GR34" i="14"/>
  <c r="IC39" i="14"/>
  <c r="GY39" i="14"/>
  <c r="HY43" i="14"/>
  <c r="GU43" i="14"/>
  <c r="HS49" i="14"/>
  <c r="GO49" i="14"/>
  <c r="IA43" i="14"/>
  <c r="GW43" i="14"/>
  <c r="HV48" i="14"/>
  <c r="GR48" i="14"/>
  <c r="HK93" i="14"/>
  <c r="IO93" i="14"/>
  <c r="EN93" i="14"/>
  <c r="DJ93" i="14" s="1"/>
  <c r="BV93" i="14"/>
  <c r="H89" i="43" s="1"/>
  <c r="GM103" i="14"/>
  <c r="HQ103" i="14"/>
  <c r="GP103" i="14"/>
  <c r="HT103" i="14"/>
  <c r="HX93" i="14"/>
  <c r="GT93" i="14"/>
  <c r="HY94" i="14"/>
  <c r="GU94" i="14"/>
  <c r="HD103" i="14"/>
  <c r="IH103" i="14"/>
  <c r="IA103" i="14"/>
  <c r="GW103" i="14"/>
  <c r="HI56" i="14"/>
  <c r="IM56" i="14"/>
  <c r="HC55" i="14"/>
  <c r="IG55" i="14"/>
  <c r="CB58" i="14"/>
  <c r="N54" i="43" s="1"/>
  <c r="ET58" i="14"/>
  <c r="DP58" i="14" s="1"/>
  <c r="BH58" i="14" a="1"/>
  <c r="BH58" i="14" s="1"/>
  <c r="GR58" i="14"/>
  <c r="HV58" i="14"/>
  <c r="HD57" i="14"/>
  <c r="IH57" i="14"/>
  <c r="IM57" i="14"/>
  <c r="HI57" i="14"/>
  <c r="II55" i="14"/>
  <c r="HE55" i="14"/>
  <c r="HM56" i="14"/>
  <c r="GI56" i="14"/>
  <c r="IM55" i="14"/>
  <c r="HI55" i="14"/>
  <c r="EK58" i="14"/>
  <c r="DG58" i="14" s="1"/>
  <c r="AY58" i="14" a="1"/>
  <c r="AY58" i="14" s="1"/>
  <c r="BS58" i="14"/>
  <c r="E54" i="43" s="1"/>
  <c r="HN57" i="14"/>
  <c r="GJ57" i="14"/>
  <c r="HS90" i="14"/>
  <c r="GO90" i="14"/>
  <c r="GT90" i="14"/>
  <c r="HX90" i="14"/>
  <c r="ID90" i="14"/>
  <c r="GZ90" i="14"/>
  <c r="GO9" i="14"/>
  <c r="HS9" i="14"/>
  <c r="GP7" i="14"/>
  <c r="HT7" i="14"/>
  <c r="EK8" i="14"/>
  <c r="DG8" i="14" s="1"/>
  <c r="BS8" i="14"/>
  <c r="E4" i="43" s="1"/>
  <c r="GU6" i="14"/>
  <c r="HY6" i="14"/>
  <c r="GS9" i="14"/>
  <c r="HW9" i="14"/>
  <c r="IJ9" i="14"/>
  <c r="HF9" i="14"/>
  <c r="IK9" i="14"/>
  <c r="HG9" i="14"/>
  <c r="IL9" i="14"/>
  <c r="HH9" i="14"/>
  <c r="IM9" i="14"/>
  <c r="HI9" i="14"/>
  <c r="IP8" i="14"/>
  <c r="HL8" i="14"/>
  <c r="IB66" i="14"/>
  <c r="GX66" i="14"/>
  <c r="IC66" i="14"/>
  <c r="GY66" i="14"/>
  <c r="BA68" i="14" a="1"/>
  <c r="BA68" i="14" s="1"/>
  <c r="EM68" i="14"/>
  <c r="DI68" i="14" s="1"/>
  <c r="GI68" i="14"/>
  <c r="HM68" i="14"/>
  <c r="IO68" i="14"/>
  <c r="HK68" i="14"/>
  <c r="IN65" i="14"/>
  <c r="HJ65" i="14"/>
  <c r="IJ66" i="14"/>
  <c r="HF66" i="14"/>
  <c r="HX66" i="14"/>
  <c r="GT66" i="14"/>
  <c r="HW67" i="14"/>
  <c r="GS67" i="14"/>
  <c r="IE68" i="14"/>
  <c r="HA68" i="14"/>
  <c r="GN11" i="14"/>
  <c r="HR11" i="14"/>
  <c r="GO10" i="14"/>
  <c r="HS10" i="14"/>
  <c r="HB11" i="14"/>
  <c r="IF11" i="14"/>
  <c r="II11" i="14"/>
  <c r="HE11" i="14"/>
  <c r="HO10" i="14"/>
  <c r="GK10" i="14"/>
  <c r="GV70" i="14"/>
  <c r="HZ70" i="14"/>
  <c r="GN71" i="14"/>
  <c r="HR71" i="14"/>
  <c r="GP73" i="14"/>
  <c r="HT73" i="14"/>
  <c r="GT72" i="14"/>
  <c r="HX72" i="14"/>
  <c r="IB73" i="14"/>
  <c r="GX73" i="14"/>
  <c r="HH70" i="14"/>
  <c r="IL70" i="14"/>
  <c r="HQ72" i="14"/>
  <c r="GM72" i="14"/>
  <c r="HH72" i="14"/>
  <c r="IL72" i="14"/>
  <c r="IM72" i="14"/>
  <c r="HI72" i="14"/>
  <c r="HJ72" i="14"/>
  <c r="IN72" i="14"/>
  <c r="II71" i="14"/>
  <c r="HE71" i="14"/>
  <c r="IF69" i="14"/>
  <c r="HB69" i="14"/>
  <c r="U69" i="20" s="1"/>
  <c r="IH69" i="14"/>
  <c r="HD69" i="14"/>
  <c r="W69" i="20" s="1"/>
  <c r="GV69" i="14"/>
  <c r="O69" i="20" s="1"/>
  <c r="HZ69" i="14"/>
  <c r="E128" i="3"/>
  <c r="E50" i="3" s="1"/>
  <c r="E153" i="3"/>
  <c r="F103" i="3"/>
  <c r="J123" i="3"/>
  <c r="I45" i="3"/>
  <c r="BS11" i="14"/>
  <c r="E7" i="43" s="1"/>
  <c r="AT11" i="14" a="1"/>
  <c r="AT11" i="14" s="1"/>
  <c r="U295" i="20"/>
  <c r="AI124" i="11"/>
  <c r="AM124" i="11"/>
  <c r="AE117" i="12"/>
  <c r="S117" i="12"/>
  <c r="G117" i="12"/>
  <c r="AD117" i="12"/>
  <c r="R117" i="12"/>
  <c r="AC117" i="12"/>
  <c r="Q117" i="12"/>
  <c r="AB117" i="12"/>
  <c r="P117" i="12"/>
  <c r="AA117" i="12"/>
  <c r="O117" i="12"/>
  <c r="Z117" i="12"/>
  <c r="N117" i="12"/>
  <c r="AJ117" i="12"/>
  <c r="X117" i="12"/>
  <c r="L117" i="12"/>
  <c r="V117" i="12"/>
  <c r="U117" i="12"/>
  <c r="T117" i="12"/>
  <c r="M117" i="12"/>
  <c r="K117" i="12"/>
  <c r="J117" i="12"/>
  <c r="AI117" i="12"/>
  <c r="I117" i="12"/>
  <c r="AH117" i="12"/>
  <c r="H117" i="12"/>
  <c r="AG117" i="12"/>
  <c r="AF117" i="12"/>
  <c r="Y117" i="12"/>
  <c r="W117" i="12"/>
  <c r="AE93" i="12"/>
  <c r="S93" i="12"/>
  <c r="G93" i="12"/>
  <c r="AD93" i="12"/>
  <c r="R93" i="12"/>
  <c r="AC93" i="12"/>
  <c r="Q93" i="12"/>
  <c r="AB93" i="12"/>
  <c r="P93" i="12"/>
  <c r="AA93" i="12"/>
  <c r="O93" i="12"/>
  <c r="Z93" i="12"/>
  <c r="N93" i="12"/>
  <c r="AJ93" i="12"/>
  <c r="X93" i="12"/>
  <c r="L93" i="12"/>
  <c r="T93" i="12"/>
  <c r="M93" i="12"/>
  <c r="K93" i="12"/>
  <c r="J93" i="12"/>
  <c r="AI93" i="12"/>
  <c r="I93" i="12"/>
  <c r="AH93" i="12"/>
  <c r="H93" i="12"/>
  <c r="AG93" i="12"/>
  <c r="AF93" i="12"/>
  <c r="Y93" i="12"/>
  <c r="W93" i="12"/>
  <c r="V93" i="12"/>
  <c r="U93" i="12"/>
  <c r="X449" i="20"/>
  <c r="AB114" i="12"/>
  <c r="P114" i="12"/>
  <c r="AA114" i="12"/>
  <c r="O114" i="12"/>
  <c r="Z114" i="12"/>
  <c r="N114" i="12"/>
  <c r="Y114" i="12"/>
  <c r="M114" i="12"/>
  <c r="AJ114" i="12"/>
  <c r="X114" i="12"/>
  <c r="L114" i="12"/>
  <c r="AI114" i="12"/>
  <c r="W114" i="12"/>
  <c r="K114" i="12"/>
  <c r="AG114" i="12"/>
  <c r="U114" i="12"/>
  <c r="I114" i="12"/>
  <c r="AH114" i="12"/>
  <c r="G114" i="12"/>
  <c r="AF114" i="12"/>
  <c r="AE114" i="12"/>
  <c r="AD114" i="12"/>
  <c r="AC114" i="12"/>
  <c r="V114" i="12"/>
  <c r="T114" i="12"/>
  <c r="S114" i="12"/>
  <c r="R114" i="12"/>
  <c r="Q114" i="12"/>
  <c r="J114" i="12"/>
  <c r="H114" i="12"/>
  <c r="R29" i="20"/>
  <c r="B124" i="20"/>
  <c r="AJ74" i="12"/>
  <c r="X74" i="12"/>
  <c r="L74" i="12"/>
  <c r="AI74" i="12"/>
  <c r="W74" i="12"/>
  <c r="K74" i="12"/>
  <c r="AH74" i="12"/>
  <c r="V74" i="12"/>
  <c r="J74" i="12"/>
  <c r="AG74" i="12"/>
  <c r="U74" i="12"/>
  <c r="I74" i="12"/>
  <c r="AF74" i="12"/>
  <c r="T74" i="12"/>
  <c r="H74" i="12"/>
  <c r="AE74" i="12"/>
  <c r="S74" i="12"/>
  <c r="G74" i="12"/>
  <c r="AC74" i="12"/>
  <c r="Q74" i="12"/>
  <c r="Z74" i="12"/>
  <c r="Y74" i="12"/>
  <c r="R74" i="12"/>
  <c r="P74" i="12"/>
  <c r="O74" i="12"/>
  <c r="N74" i="12"/>
  <c r="M74" i="12"/>
  <c r="AD74" i="12"/>
  <c r="AB74" i="12"/>
  <c r="AA74" i="12"/>
  <c r="S181" i="20"/>
  <c r="GI51" i="14"/>
  <c r="HM51" i="14"/>
  <c r="GK54" i="14"/>
  <c r="HO54" i="14"/>
  <c r="HB52" i="14"/>
  <c r="IF52" i="14"/>
  <c r="HB53" i="14"/>
  <c r="IF53" i="14"/>
  <c r="HW52" i="14"/>
  <c r="GS52" i="14"/>
  <c r="HX53" i="14"/>
  <c r="GT53" i="14"/>
  <c r="IK53" i="14"/>
  <c r="HG53" i="14"/>
  <c r="HM54" i="14"/>
  <c r="GI54" i="14"/>
  <c r="HN54" i="14"/>
  <c r="GJ54" i="14"/>
  <c r="IB54" i="14"/>
  <c r="GX54" i="14"/>
  <c r="HJ91" i="14"/>
  <c r="IN91" i="14"/>
  <c r="HV91" i="14"/>
  <c r="GR91" i="14"/>
  <c r="IM91" i="14"/>
  <c r="HI91" i="14"/>
  <c r="GR62" i="14"/>
  <c r="HV62" i="14"/>
  <c r="GN60" i="14"/>
  <c r="HR60" i="14"/>
  <c r="GV60" i="14"/>
  <c r="HZ60" i="14"/>
  <c r="IH62" i="14"/>
  <c r="HD62" i="14"/>
  <c r="GX61" i="14"/>
  <c r="IB61" i="14"/>
  <c r="HI62" i="14"/>
  <c r="IM62" i="14"/>
  <c r="HV60" i="14"/>
  <c r="GR60" i="14"/>
  <c r="HM59" i="14"/>
  <c r="GI59" i="14"/>
  <c r="HR62" i="14"/>
  <c r="GN62" i="14"/>
  <c r="IK64" i="14"/>
  <c r="HG64" i="14"/>
  <c r="HD63" i="14"/>
  <c r="IH63" i="14"/>
  <c r="GO64" i="14"/>
  <c r="HS64" i="14"/>
  <c r="GS63" i="14"/>
  <c r="HW63" i="14"/>
  <c r="IM63" i="14"/>
  <c r="HI63" i="14"/>
  <c r="HO64" i="14"/>
  <c r="GK64" i="14"/>
  <c r="IP64" i="14"/>
  <c r="HL64" i="14"/>
  <c r="AH108" i="12"/>
  <c r="V108" i="12"/>
  <c r="J108" i="12"/>
  <c r="AG108" i="12"/>
  <c r="U108" i="12"/>
  <c r="I108" i="12"/>
  <c r="AF108" i="12"/>
  <c r="T108" i="12"/>
  <c r="H108" i="12"/>
  <c r="AE108" i="12"/>
  <c r="S108" i="12"/>
  <c r="G108" i="12"/>
  <c r="AD108" i="12"/>
  <c r="R108" i="12"/>
  <c r="AC108" i="12"/>
  <c r="Q108" i="12"/>
  <c r="AA108" i="12"/>
  <c r="O108" i="12"/>
  <c r="AI108" i="12"/>
  <c r="AB108" i="12"/>
  <c r="Z108" i="12"/>
  <c r="Y108" i="12"/>
  <c r="X108" i="12"/>
  <c r="W108" i="12"/>
  <c r="P108" i="12"/>
  <c r="N108" i="12"/>
  <c r="M108" i="12"/>
  <c r="AJ108" i="12"/>
  <c r="L108" i="12"/>
  <c r="K108" i="12"/>
  <c r="HU75" i="14"/>
  <c r="GQ75" i="14"/>
  <c r="HO74" i="14"/>
  <c r="GK74" i="14"/>
  <c r="HK74" i="14"/>
  <c r="IO74" i="14"/>
  <c r="IH75" i="14"/>
  <c r="HD75" i="14"/>
  <c r="GP76" i="14"/>
  <c r="HT76" i="14"/>
  <c r="HG74" i="14"/>
  <c r="IK74" i="14"/>
  <c r="HG75" i="14"/>
  <c r="IK75" i="14"/>
  <c r="IP74" i="14"/>
  <c r="HL74" i="14"/>
  <c r="BD75" i="14" a="1"/>
  <c r="BD75" i="14" s="1"/>
  <c r="EP75" i="14"/>
  <c r="DL75" i="14" s="1"/>
  <c r="HS75" i="14"/>
  <c r="GO75" i="14"/>
  <c r="HF32" i="14"/>
  <c r="IJ32" i="14"/>
  <c r="GJ50" i="14"/>
  <c r="HN50" i="14"/>
  <c r="HH13" i="14"/>
  <c r="IL13" i="14"/>
  <c r="HJ13" i="14"/>
  <c r="IN13" i="14"/>
  <c r="GU29" i="14"/>
  <c r="HY29" i="14"/>
  <c r="BG21" i="14" a="1"/>
  <c r="BG21" i="14" s="1"/>
  <c r="CA21" i="14"/>
  <c r="M17" i="43" s="1"/>
  <c r="HF15" i="14"/>
  <c r="IJ15" i="14"/>
  <c r="GM12" i="14"/>
  <c r="HQ12" i="14"/>
  <c r="GL43" i="14"/>
  <c r="HP43" i="14"/>
  <c r="BE22" i="14" a="1"/>
  <c r="BE22" i="14" s="1"/>
  <c r="EQ22" i="14"/>
  <c r="DM22" i="14" s="1"/>
  <c r="HG32" i="14"/>
  <c r="IK32" i="14"/>
  <c r="HE41" i="14"/>
  <c r="II41" i="14"/>
  <c r="HK13" i="14"/>
  <c r="IO13" i="14"/>
  <c r="IK18" i="14"/>
  <c r="HG18" i="14"/>
  <c r="GV26" i="14"/>
  <c r="HZ26" i="14"/>
  <c r="HW35" i="14"/>
  <c r="GS35" i="14"/>
  <c r="GZ13" i="14"/>
  <c r="ID13" i="14"/>
  <c r="GS18" i="14"/>
  <c r="HW18" i="14"/>
  <c r="GX24" i="14"/>
  <c r="IB24" i="14"/>
  <c r="HH31" i="14"/>
  <c r="IL31" i="14"/>
  <c r="GO40" i="14"/>
  <c r="HS40" i="14"/>
  <c r="GY15" i="14"/>
  <c r="IC15" i="14"/>
  <c r="GM19" i="14"/>
  <c r="HQ19" i="14"/>
  <c r="GY25" i="14"/>
  <c r="IC25" i="14"/>
  <c r="GR32" i="14"/>
  <c r="HV32" i="14"/>
  <c r="HJ43" i="14"/>
  <c r="IN43" i="14"/>
  <c r="IP15" i="14"/>
  <c r="HL15" i="14"/>
  <c r="HC21" i="14"/>
  <c r="IG21" i="14"/>
  <c r="GR30" i="14"/>
  <c r="HV30" i="14"/>
  <c r="HV12" i="14"/>
  <c r="GR12" i="14"/>
  <c r="GV18" i="14"/>
  <c r="HZ18" i="14"/>
  <c r="GT32" i="14"/>
  <c r="HX32" i="14"/>
  <c r="GW42" i="14"/>
  <c r="IA42" i="14"/>
  <c r="GW16" i="14"/>
  <c r="IA16" i="14"/>
  <c r="HN24" i="14"/>
  <c r="GJ24" i="14"/>
  <c r="GW37" i="14"/>
  <c r="IA37" i="14"/>
  <c r="HU15" i="14"/>
  <c r="GQ15" i="14"/>
  <c r="GI20" i="14"/>
  <c r="HM20" i="14"/>
  <c r="GN27" i="14"/>
  <c r="HR27" i="14"/>
  <c r="HV15" i="14"/>
  <c r="GR15" i="14"/>
  <c r="HB20" i="14"/>
  <c r="IF20" i="14"/>
  <c r="HJ26" i="14"/>
  <c r="IN26" i="14"/>
  <c r="HB32" i="14"/>
  <c r="IF32" i="14"/>
  <c r="GO38" i="14"/>
  <c r="HS38" i="14"/>
  <c r="HX14" i="14"/>
  <c r="GT14" i="14"/>
  <c r="GK22" i="14"/>
  <c r="HO22" i="14"/>
  <c r="GV28" i="14"/>
  <c r="HZ28" i="14"/>
  <c r="GV46" i="14"/>
  <c r="HZ46" i="14"/>
  <c r="HP18" i="14"/>
  <c r="GL18" i="14"/>
  <c r="HX22" i="14"/>
  <c r="GT22" i="14"/>
  <c r="HR28" i="14"/>
  <c r="GN28" i="14"/>
  <c r="HN32" i="14"/>
  <c r="GJ32" i="14"/>
  <c r="HE48" i="14"/>
  <c r="II48" i="14"/>
  <c r="IB19" i="14"/>
  <c r="GX19" i="14"/>
  <c r="HF23" i="14"/>
  <c r="IJ23" i="14"/>
  <c r="GZ29" i="14"/>
  <c r="ID29" i="14"/>
  <c r="HH33" i="14"/>
  <c r="IL33" i="14"/>
  <c r="HB42" i="14"/>
  <c r="IF42" i="14"/>
  <c r="ET22" i="14"/>
  <c r="DP22" i="14" s="1"/>
  <c r="BH22" i="14" a="1"/>
  <c r="BH22" i="14" s="1"/>
  <c r="CB22" i="14"/>
  <c r="N18" i="43" s="1"/>
  <c r="IH26" i="14"/>
  <c r="HD26" i="14"/>
  <c r="IO31" i="14"/>
  <c r="HK31" i="14"/>
  <c r="GV36" i="14"/>
  <c r="HZ36" i="14"/>
  <c r="GN44" i="14"/>
  <c r="HR44" i="14"/>
  <c r="HX26" i="14"/>
  <c r="GT26" i="14"/>
  <c r="HR32" i="14"/>
  <c r="GN32" i="14"/>
  <c r="HK43" i="14"/>
  <c r="IO43" i="14"/>
  <c r="HV17" i="14"/>
  <c r="GR17" i="14"/>
  <c r="IC22" i="14"/>
  <c r="GY22" i="14"/>
  <c r="HY26" i="14"/>
  <c r="GU26" i="14"/>
  <c r="HS32" i="14"/>
  <c r="GO32" i="14"/>
  <c r="HH45" i="14"/>
  <c r="IL45" i="14"/>
  <c r="GO41" i="14"/>
  <c r="HS41" i="14"/>
  <c r="HE50" i="14"/>
  <c r="II50" i="14"/>
  <c r="IM26" i="14"/>
  <c r="HI26" i="14"/>
  <c r="IH31" i="14"/>
  <c r="HD31" i="14"/>
  <c r="GJ45" i="14"/>
  <c r="HN45" i="14"/>
  <c r="GX46" i="14"/>
  <c r="IB46" i="14"/>
  <c r="HO36" i="14"/>
  <c r="GK36" i="14"/>
  <c r="II40" i="14"/>
  <c r="HE40" i="14"/>
  <c r="HQ46" i="14"/>
  <c r="GM46" i="14"/>
  <c r="HM50" i="14"/>
  <c r="GI50" i="14"/>
  <c r="IO36" i="14"/>
  <c r="HK36" i="14"/>
  <c r="IK40" i="14"/>
  <c r="HG40" i="14"/>
  <c r="IE46" i="14"/>
  <c r="HA46" i="14"/>
  <c r="IM50" i="14"/>
  <c r="HI50" i="14"/>
  <c r="IO37" i="14"/>
  <c r="HK37" i="14"/>
  <c r="IK41" i="14"/>
  <c r="HG41" i="14"/>
  <c r="IE47" i="14"/>
  <c r="HA47" i="14"/>
  <c r="HQ38" i="14"/>
  <c r="GM38" i="14"/>
  <c r="HM42" i="14"/>
  <c r="GI42" i="14"/>
  <c r="IF47" i="14"/>
  <c r="HB47" i="14"/>
  <c r="IH34" i="14"/>
  <c r="HD34" i="14"/>
  <c r="IO39" i="14"/>
  <c r="HK39" i="14"/>
  <c r="IK43" i="14"/>
  <c r="HG43" i="14"/>
  <c r="IE49" i="14"/>
  <c r="HA49" i="14"/>
  <c r="IM43" i="14"/>
  <c r="HI43" i="14"/>
  <c r="IH48" i="14"/>
  <c r="HD48" i="14"/>
  <c r="CB93" i="14"/>
  <c r="N89" i="43" s="1"/>
  <c r="ET93" i="14"/>
  <c r="DP93" i="14" s="1"/>
  <c r="GY93" i="14"/>
  <c r="IC93" i="14"/>
  <c r="GN103" i="14"/>
  <c r="HR103" i="14"/>
  <c r="GQ93" i="14"/>
  <c r="HU93" i="14"/>
  <c r="IJ93" i="14"/>
  <c r="HF93" i="14"/>
  <c r="IK94" i="14"/>
  <c r="HG94" i="14"/>
  <c r="HW103" i="14"/>
  <c r="GS103" i="14"/>
  <c r="IM103" i="14"/>
  <c r="HI103" i="14"/>
  <c r="GJ55" i="14"/>
  <c r="HN55" i="14"/>
  <c r="GW58" i="14"/>
  <c r="IA58" i="14"/>
  <c r="BT58" i="14"/>
  <c r="F54" i="43" s="1"/>
  <c r="EL58" i="14"/>
  <c r="DH58" i="14" s="1"/>
  <c r="AZ58" i="14" a="1"/>
  <c r="AZ58" i="14" s="1"/>
  <c r="HV56" i="14"/>
  <c r="GR56" i="14"/>
  <c r="HO58" i="14"/>
  <c r="GK58" i="14"/>
  <c r="HY56" i="14"/>
  <c r="GU56" i="14"/>
  <c r="HN56" i="14"/>
  <c r="GJ56" i="14"/>
  <c r="HT58" i="14"/>
  <c r="GP58" i="14"/>
  <c r="HZ57" i="14"/>
  <c r="GV57" i="14"/>
  <c r="GP90" i="14"/>
  <c r="HT90" i="14"/>
  <c r="HF90" i="14"/>
  <c r="IJ90" i="14"/>
  <c r="IP90" i="14"/>
  <c r="HL90" i="14"/>
  <c r="GR6" i="14"/>
  <c r="HV6" i="14"/>
  <c r="GQ8" i="14"/>
  <c r="HU8" i="14"/>
  <c r="HB8" i="14"/>
  <c r="IF8" i="14"/>
  <c r="HC7" i="14"/>
  <c r="IG7" i="14"/>
  <c r="HG6" i="14"/>
  <c r="IK6" i="14"/>
  <c r="HE9" i="14"/>
  <c r="II9" i="14"/>
  <c r="HP6" i="14"/>
  <c r="GL6" i="14"/>
  <c r="HQ6" i="14"/>
  <c r="GM6" i="14"/>
  <c r="HR6" i="14"/>
  <c r="GN6" i="14"/>
  <c r="HS6" i="14"/>
  <c r="GO6" i="14"/>
  <c r="HQ9" i="14"/>
  <c r="GM9" i="14"/>
  <c r="HC65" i="14"/>
  <c r="IG65" i="14"/>
  <c r="IP66" i="14"/>
  <c r="HL66" i="14"/>
  <c r="GU68" i="14"/>
  <c r="HY68" i="14"/>
  <c r="HZ68" i="14"/>
  <c r="GV68" i="14"/>
  <c r="HO65" i="14"/>
  <c r="GK65" i="14"/>
  <c r="HV66" i="14"/>
  <c r="GR66" i="14"/>
  <c r="AY67" i="14" a="1"/>
  <c r="AY67" i="14" s="1"/>
  <c r="IK66" i="14"/>
  <c r="HG66" i="14"/>
  <c r="IJ67" i="14"/>
  <c r="HF67" i="14"/>
  <c r="GX11" i="14"/>
  <c r="IB11" i="14"/>
  <c r="GY10" i="14"/>
  <c r="IC10" i="14"/>
  <c r="GR10" i="14"/>
  <c r="HV10" i="14"/>
  <c r="HM10" i="14"/>
  <c r="IQ10" i="14" s="1"/>
  <c r="GI10" i="14"/>
  <c r="IA10" i="14"/>
  <c r="GW10" i="14"/>
  <c r="HQ73" i="14"/>
  <c r="GM73" i="14"/>
  <c r="HK73" i="14"/>
  <c r="IO73" i="14"/>
  <c r="GS73" i="14"/>
  <c r="HW73" i="14"/>
  <c r="HS70" i="14"/>
  <c r="GO70" i="14"/>
  <c r="HZ71" i="14"/>
  <c r="GV71" i="14"/>
  <c r="IJ72" i="14"/>
  <c r="HF72" i="14"/>
  <c r="GI73" i="14"/>
  <c r="HM73" i="14"/>
  <c r="HN73" i="14"/>
  <c r="GJ73" i="14"/>
  <c r="GK73" i="14"/>
  <c r="HO73" i="14"/>
  <c r="HV72" i="14"/>
  <c r="GR72" i="14"/>
  <c r="HU69" i="14"/>
  <c r="GQ69" i="14"/>
  <c r="J69" i="20" s="1"/>
  <c r="HJ69" i="14"/>
  <c r="AC69" i="20" s="1"/>
  <c r="IN69" i="14"/>
  <c r="E156" i="3"/>
  <c r="E131" i="3"/>
  <c r="E53" i="3" s="1"/>
  <c r="F106" i="3"/>
  <c r="AC103" i="12"/>
  <c r="Q103" i="12"/>
  <c r="AB103" i="12"/>
  <c r="P103" i="12"/>
  <c r="AA103" i="12"/>
  <c r="O103" i="12"/>
  <c r="Z103" i="12"/>
  <c r="N103" i="12"/>
  <c r="Y103" i="12"/>
  <c r="M103" i="12"/>
  <c r="AJ103" i="12"/>
  <c r="X103" i="12"/>
  <c r="L103" i="12"/>
  <c r="AH103" i="12"/>
  <c r="V103" i="12"/>
  <c r="J103" i="12"/>
  <c r="AG103" i="12"/>
  <c r="G103" i="12"/>
  <c r="AF103" i="12"/>
  <c r="AE103" i="12"/>
  <c r="AD103" i="12"/>
  <c r="W103" i="12"/>
  <c r="U103" i="12"/>
  <c r="T103" i="12"/>
  <c r="S103" i="12"/>
  <c r="R103" i="12"/>
  <c r="AI103" i="12"/>
  <c r="K103" i="12"/>
  <c r="I103" i="12"/>
  <c r="H103" i="12"/>
  <c r="Z79" i="12"/>
  <c r="V79" i="12"/>
  <c r="R79" i="12"/>
  <c r="C206" i="17"/>
  <c r="B206" i="17"/>
  <c r="B232" i="17" s="1"/>
  <c r="C232" i="17"/>
  <c r="C181" i="17"/>
  <c r="B108" i="17"/>
  <c r="C108" i="17" s="1"/>
  <c r="AU124" i="11"/>
  <c r="AY124" i="11"/>
  <c r="AA113" i="12"/>
  <c r="O113" i="12"/>
  <c r="Z113" i="12"/>
  <c r="N113" i="12"/>
  <c r="Y113" i="12"/>
  <c r="M113" i="12"/>
  <c r="AJ113" i="12"/>
  <c r="X113" i="12"/>
  <c r="L113" i="12"/>
  <c r="AI113" i="12"/>
  <c r="W113" i="12"/>
  <c r="K113" i="12"/>
  <c r="AH113" i="12"/>
  <c r="V113" i="12"/>
  <c r="J113" i="12"/>
  <c r="AF113" i="12"/>
  <c r="T113" i="12"/>
  <c r="H113" i="12"/>
  <c r="S113" i="12"/>
  <c r="R113" i="12"/>
  <c r="Q113" i="12"/>
  <c r="P113" i="12"/>
  <c r="I113" i="12"/>
  <c r="G113" i="12"/>
  <c r="AG113" i="12"/>
  <c r="AE113" i="12"/>
  <c r="AD113" i="12"/>
  <c r="AC113" i="12"/>
  <c r="AB113" i="12"/>
  <c r="U113" i="12"/>
  <c r="AA89" i="12"/>
  <c r="O89" i="12"/>
  <c r="Z89" i="12"/>
  <c r="N89" i="12"/>
  <c r="Y89" i="12"/>
  <c r="M89" i="12"/>
  <c r="AJ89" i="12"/>
  <c r="X89" i="12"/>
  <c r="L89" i="12"/>
  <c r="AI89" i="12"/>
  <c r="W89" i="12"/>
  <c r="K89" i="12"/>
  <c r="AH89" i="12"/>
  <c r="V89" i="12"/>
  <c r="J89" i="12"/>
  <c r="AF89" i="12"/>
  <c r="T89" i="12"/>
  <c r="H89" i="12"/>
  <c r="Q89" i="12"/>
  <c r="P89" i="12"/>
  <c r="I89" i="12"/>
  <c r="G89" i="12"/>
  <c r="AG89" i="12"/>
  <c r="AE89" i="12"/>
  <c r="AD89" i="12"/>
  <c r="AC89" i="12"/>
  <c r="AB89" i="12"/>
  <c r="U89" i="12"/>
  <c r="S89" i="12"/>
  <c r="R89" i="12"/>
  <c r="AH84" i="12"/>
  <c r="V84" i="12"/>
  <c r="J84" i="12"/>
  <c r="AG84" i="12"/>
  <c r="U84" i="12"/>
  <c r="I84" i="12"/>
  <c r="AF84" i="12"/>
  <c r="T84" i="12"/>
  <c r="H84" i="12"/>
  <c r="AE84" i="12"/>
  <c r="S84" i="12"/>
  <c r="G84" i="12"/>
  <c r="AD84" i="12"/>
  <c r="R84" i="12"/>
  <c r="AC84" i="12"/>
  <c r="Q84" i="12"/>
  <c r="AA84" i="12"/>
  <c r="O84" i="12"/>
  <c r="Z84" i="12"/>
  <c r="Y84" i="12"/>
  <c r="X84" i="12"/>
  <c r="W84" i="12"/>
  <c r="P84" i="12"/>
  <c r="N84" i="12"/>
  <c r="M84" i="12"/>
  <c r="L84" i="12"/>
  <c r="K84" i="12"/>
  <c r="AJ84" i="12"/>
  <c r="AI84" i="12"/>
  <c r="AB84" i="12"/>
  <c r="I238" i="20"/>
  <c r="I67" i="20"/>
  <c r="AE10" i="20"/>
  <c r="B295" i="20"/>
  <c r="U67" i="20"/>
  <c r="C242" i="17"/>
  <c r="B118" i="17"/>
  <c r="C118" i="17" s="1"/>
  <c r="C216" i="17"/>
  <c r="B216" i="17"/>
  <c r="B242" i="17" s="1"/>
  <c r="C191" i="17"/>
  <c r="S10" i="20"/>
  <c r="C237" i="17"/>
  <c r="C211" i="17"/>
  <c r="B211" i="17"/>
  <c r="B237" i="17" s="1"/>
  <c r="C186" i="17"/>
  <c r="B113" i="17"/>
  <c r="C113" i="17" s="1"/>
  <c r="GM52" i="14"/>
  <c r="HQ52" i="14"/>
  <c r="HL54" i="14"/>
  <c r="IP54" i="14"/>
  <c r="GO53" i="14"/>
  <c r="HS53" i="14"/>
  <c r="HA54" i="14"/>
  <c r="IE54" i="14"/>
  <c r="II52" i="14"/>
  <c r="HE52" i="14"/>
  <c r="IJ53" i="14"/>
  <c r="HF53" i="14"/>
  <c r="HX54" i="14"/>
  <c r="GT54" i="14"/>
  <c r="HY54" i="14"/>
  <c r="GU54" i="14"/>
  <c r="HZ54" i="14"/>
  <c r="GV54" i="14"/>
  <c r="IN54" i="14"/>
  <c r="HJ54" i="14"/>
  <c r="GP91" i="14"/>
  <c r="HT91" i="14"/>
  <c r="IH91" i="14"/>
  <c r="HD91" i="14"/>
  <c r="HQ91" i="14"/>
  <c r="GM91" i="14"/>
  <c r="GO59" i="14"/>
  <c r="HS59" i="14"/>
  <c r="HH60" i="14"/>
  <c r="IL60" i="14"/>
  <c r="GM59" i="14"/>
  <c r="HQ59" i="14"/>
  <c r="HJ61" i="14"/>
  <c r="IN61" i="14"/>
  <c r="HU59" i="14"/>
  <c r="GQ59" i="14"/>
  <c r="IH60" i="14"/>
  <c r="HD60" i="14"/>
  <c r="HY59" i="14"/>
  <c r="GU59" i="14"/>
  <c r="ID62" i="14"/>
  <c r="GZ62" i="14"/>
  <c r="HD64" i="14"/>
  <c r="IH64" i="14"/>
  <c r="GR64" i="14"/>
  <c r="HV64" i="14"/>
  <c r="GJ64" i="14"/>
  <c r="HN64" i="14"/>
  <c r="IA64" i="14"/>
  <c r="GW64" i="14"/>
  <c r="IF64" i="14"/>
  <c r="HB64" i="14"/>
  <c r="D138" i="3"/>
  <c r="D60" i="3" s="1"/>
  <c r="E113" i="3"/>
  <c r="D163" i="3"/>
  <c r="HY77" i="14"/>
  <c r="GU77" i="14"/>
  <c r="IA76" i="14"/>
  <c r="GW76" i="14"/>
  <c r="IM74" i="14"/>
  <c r="HI74" i="14"/>
  <c r="HB75" i="14"/>
  <c r="IF75" i="14"/>
  <c r="HO76" i="14"/>
  <c r="GK76" i="14"/>
  <c r="GP77" i="14"/>
  <c r="HT77" i="14"/>
  <c r="GT75" i="14"/>
  <c r="HX75" i="14"/>
  <c r="GT76" i="14"/>
  <c r="HX76" i="14"/>
  <c r="HQ75" i="14"/>
  <c r="GM75" i="14"/>
  <c r="HR75" i="14"/>
  <c r="GN75" i="14"/>
  <c r="IE75" i="14"/>
  <c r="HA75" i="14"/>
  <c r="HT24" i="14"/>
  <c r="GP24" i="14"/>
  <c r="HH23" i="14"/>
  <c r="IL23" i="14"/>
  <c r="GX13" i="14"/>
  <c r="IB13" i="14"/>
  <c r="HG14" i="14"/>
  <c r="IK14" i="14"/>
  <c r="GV17" i="14"/>
  <c r="HZ17" i="14"/>
  <c r="GI15" i="14"/>
  <c r="HM15" i="14"/>
  <c r="HC31" i="14"/>
  <c r="IG31" i="14"/>
  <c r="GN22" i="14"/>
  <c r="HR22" i="14"/>
  <c r="GO45" i="14"/>
  <c r="HS45" i="14"/>
  <c r="IA17" i="14"/>
  <c r="GW17" i="14"/>
  <c r="HS22" i="14"/>
  <c r="GO22" i="14"/>
  <c r="GY28" i="14"/>
  <c r="IC28" i="14"/>
  <c r="GI33" i="14"/>
  <c r="HM33" i="14"/>
  <c r="GX43" i="14"/>
  <c r="IB43" i="14"/>
  <c r="GL14" i="14"/>
  <c r="HP14" i="14"/>
  <c r="HM19" i="14"/>
  <c r="GI19" i="14"/>
  <c r="GZ27" i="14"/>
  <c r="ID27" i="14"/>
  <c r="IB36" i="14"/>
  <c r="GX36" i="14"/>
  <c r="HL13" i="14"/>
  <c r="IP13" i="14"/>
  <c r="HH18" i="14"/>
  <c r="IL18" i="14"/>
  <c r="GW25" i="14"/>
  <c r="IA25" i="14"/>
  <c r="GP32" i="14"/>
  <c r="HT32" i="14"/>
  <c r="GZ43" i="14"/>
  <c r="ID43" i="14"/>
  <c r="HK15" i="14"/>
  <c r="IO15" i="14"/>
  <c r="HC19" i="14"/>
  <c r="IG19" i="14"/>
  <c r="IC26" i="14"/>
  <c r="GY26" i="14"/>
  <c r="HP33" i="14"/>
  <c r="GL33" i="14"/>
  <c r="GP44" i="14"/>
  <c r="HT44" i="14"/>
  <c r="GU16" i="14"/>
  <c r="HY16" i="14"/>
  <c r="EK22" i="14"/>
  <c r="DG22" i="14" s="1"/>
  <c r="BS22" i="14"/>
  <c r="E18" i="43" s="1"/>
  <c r="AY22" i="14" a="1"/>
  <c r="AY22" i="14" s="1"/>
  <c r="GQ31" i="14"/>
  <c r="HU31" i="14"/>
  <c r="IH12" i="14"/>
  <c r="HD12" i="14"/>
  <c r="HA26" i="14"/>
  <c r="IE26" i="14"/>
  <c r="GW33" i="14"/>
  <c r="IA33" i="14"/>
  <c r="HB44" i="14"/>
  <c r="IF44" i="14"/>
  <c r="GP17" i="14"/>
  <c r="HT17" i="14"/>
  <c r="HC24" i="14"/>
  <c r="IG24" i="14"/>
  <c r="HA40" i="14"/>
  <c r="IE40" i="14"/>
  <c r="IG15" i="14"/>
  <c r="HC15" i="14"/>
  <c r="GZ20" i="14"/>
  <c r="ID20" i="14"/>
  <c r="HL27" i="14"/>
  <c r="IP27" i="14"/>
  <c r="HK40" i="14"/>
  <c r="IO40" i="14"/>
  <c r="IH15" i="14"/>
  <c r="HD15" i="14"/>
  <c r="HV27" i="14"/>
  <c r="GR27" i="14"/>
  <c r="HD33" i="14"/>
  <c r="IH33" i="14"/>
  <c r="HL40" i="14"/>
  <c r="IP40" i="14"/>
  <c r="IJ14" i="14"/>
  <c r="HF14" i="14"/>
  <c r="GK18" i="14"/>
  <c r="HO18" i="14"/>
  <c r="HB22" i="14"/>
  <c r="IF22" i="14"/>
  <c r="HT29" i="14"/>
  <c r="GP29" i="14"/>
  <c r="GY47" i="14"/>
  <c r="IC47" i="14"/>
  <c r="IB18" i="14"/>
  <c r="GX18" i="14"/>
  <c r="IJ22" i="14"/>
  <c r="HF22" i="14"/>
  <c r="ID28" i="14"/>
  <c r="GZ28" i="14"/>
  <c r="HZ32" i="14"/>
  <c r="GV32" i="14"/>
  <c r="GS38" i="14"/>
  <c r="HW38" i="14"/>
  <c r="HD49" i="14"/>
  <c r="IH49" i="14"/>
  <c r="IN19" i="14"/>
  <c r="HJ19" i="14"/>
  <c r="GS24" i="14"/>
  <c r="HW24" i="14"/>
  <c r="HL29" i="14"/>
  <c r="IP29" i="14"/>
  <c r="GX34" i="14"/>
  <c r="IB34" i="14"/>
  <c r="HC43" i="14"/>
  <c r="IG43" i="14"/>
  <c r="HN22" i="14"/>
  <c r="GJ22" i="14"/>
  <c r="HU27" i="14"/>
  <c r="GQ27" i="14"/>
  <c r="HP32" i="14"/>
  <c r="GL32" i="14"/>
  <c r="GK37" i="14"/>
  <c r="HO37" i="14"/>
  <c r="HL44" i="14"/>
  <c r="IP44" i="14"/>
  <c r="IJ26" i="14"/>
  <c r="HF26" i="14"/>
  <c r="ID32" i="14"/>
  <c r="GZ32" i="14"/>
  <c r="GP37" i="14"/>
  <c r="HT37" i="14"/>
  <c r="GU44" i="14"/>
  <c r="HY44" i="14"/>
  <c r="IH17" i="14"/>
  <c r="HD17" i="14"/>
  <c r="IO22" i="14"/>
  <c r="HK22" i="14"/>
  <c r="IK26" i="14"/>
  <c r="HG26" i="14"/>
  <c r="IE32" i="14"/>
  <c r="HA32" i="14"/>
  <c r="HC38" i="14"/>
  <c r="IG38" i="14"/>
  <c r="GI46" i="14"/>
  <c r="HM46" i="14"/>
  <c r="GO42" i="14"/>
  <c r="HS42" i="14"/>
  <c r="HR23" i="14"/>
  <c r="GN23" i="14"/>
  <c r="HN27" i="14"/>
  <c r="GJ27" i="14"/>
  <c r="HU32" i="14"/>
  <c r="GQ32" i="14"/>
  <c r="HJ45" i="14"/>
  <c r="IN45" i="14"/>
  <c r="HJ46" i="14"/>
  <c r="IN46" i="14"/>
  <c r="GT50" i="14"/>
  <c r="HX50" i="14"/>
  <c r="IA36" i="14"/>
  <c r="GW36" i="14"/>
  <c r="HV41" i="14"/>
  <c r="GR41" i="14"/>
  <c r="IC46" i="14"/>
  <c r="GY46" i="14"/>
  <c r="HY50" i="14"/>
  <c r="GU50" i="14"/>
  <c r="HP37" i="14"/>
  <c r="GL37" i="14"/>
  <c r="HX41" i="14"/>
  <c r="GT41" i="14"/>
  <c r="HR47" i="14"/>
  <c r="GN47" i="14"/>
  <c r="HU33" i="14"/>
  <c r="GQ33" i="14"/>
  <c r="HP38" i="14"/>
  <c r="GL38" i="14"/>
  <c r="HX42" i="14"/>
  <c r="GT42" i="14"/>
  <c r="HR48" i="14"/>
  <c r="GN48" i="14"/>
  <c r="IC38" i="14"/>
  <c r="GY38" i="14"/>
  <c r="HY42" i="14"/>
  <c r="GU42" i="14"/>
  <c r="HS48" i="14"/>
  <c r="GO48" i="14"/>
  <c r="HU35" i="14"/>
  <c r="GQ35" i="14"/>
  <c r="HP40" i="14"/>
  <c r="GL40" i="14"/>
  <c r="HX44" i="14"/>
  <c r="GT44" i="14"/>
  <c r="HR50" i="14"/>
  <c r="GN50" i="14"/>
  <c r="HN44" i="14"/>
  <c r="GJ44" i="14"/>
  <c r="HU49" i="14"/>
  <c r="GQ49" i="14"/>
  <c r="HL93" i="14"/>
  <c r="IP93" i="14"/>
  <c r="GZ93" i="14"/>
  <c r="ID93" i="14"/>
  <c r="GO93" i="14"/>
  <c r="HS93" i="14"/>
  <c r="HC93" i="14"/>
  <c r="IG93" i="14"/>
  <c r="HW94" i="14"/>
  <c r="GS94" i="14"/>
  <c r="HL103" i="14"/>
  <c r="IP103" i="14"/>
  <c r="II103" i="14"/>
  <c r="HE103" i="14"/>
  <c r="HP103" i="14"/>
  <c r="GL103" i="14"/>
  <c r="GN55" i="14"/>
  <c r="HR55" i="14"/>
  <c r="HJ56" i="14"/>
  <c r="IN56" i="14"/>
  <c r="HK55" i="14"/>
  <c r="IO55" i="14"/>
  <c r="GM55" i="14"/>
  <c r="HQ55" i="14"/>
  <c r="HT55" i="14"/>
  <c r="GP55" i="14"/>
  <c r="GZ58" i="14"/>
  <c r="ID58" i="14"/>
  <c r="IH56" i="14"/>
  <c r="HD56" i="14"/>
  <c r="IH58" i="14"/>
  <c r="HD58" i="14"/>
  <c r="IK56" i="14"/>
  <c r="HG56" i="14"/>
  <c r="HZ56" i="14"/>
  <c r="GV56" i="14"/>
  <c r="IF58" i="14"/>
  <c r="HB58" i="14"/>
  <c r="IL57" i="14"/>
  <c r="HH57" i="14"/>
  <c r="GQ90" i="14"/>
  <c r="HU90" i="14"/>
  <c r="HN90" i="14"/>
  <c r="GJ90" i="14"/>
  <c r="HD7" i="14"/>
  <c r="IH7" i="14"/>
  <c r="EK9" i="14"/>
  <c r="DG9" i="14" s="1"/>
  <c r="BS9" i="14"/>
  <c r="E5" i="43" s="1"/>
  <c r="HL9" i="14"/>
  <c r="IP9" i="14"/>
  <c r="GT7" i="14"/>
  <c r="HX7" i="14"/>
  <c r="HO6" i="14"/>
  <c r="GK6" i="14"/>
  <c r="IB6" i="14"/>
  <c r="GX6" i="14"/>
  <c r="IC6" i="14"/>
  <c r="GY6" i="14"/>
  <c r="ID6" i="14"/>
  <c r="GZ6" i="14"/>
  <c r="IE6" i="14"/>
  <c r="HA6" i="14"/>
  <c r="IC9" i="14"/>
  <c r="GY9" i="14"/>
  <c r="IO66" i="14"/>
  <c r="HK66" i="14"/>
  <c r="GQ65" i="14"/>
  <c r="HU65" i="14"/>
  <c r="GV66" i="14"/>
  <c r="HZ66" i="14"/>
  <c r="HX67" i="14"/>
  <c r="GT67" i="14"/>
  <c r="HN67" i="14"/>
  <c r="GJ67" i="14"/>
  <c r="IM68" i="14"/>
  <c r="HI68" i="14"/>
  <c r="IN68" i="14"/>
  <c r="HJ68" i="14"/>
  <c r="IA65" i="14"/>
  <c r="GW65" i="14"/>
  <c r="II66" i="14"/>
  <c r="HE66" i="14"/>
  <c r="HU67" i="14"/>
  <c r="GQ67" i="14"/>
  <c r="BF67" i="14" a="1"/>
  <c r="BF67" i="14" s="1"/>
  <c r="ER67" i="14"/>
  <c r="DN67" i="14" s="1"/>
  <c r="EQ68" i="14"/>
  <c r="DM68" i="14" s="1"/>
  <c r="BY68" i="14"/>
  <c r="K64" i="43" s="1"/>
  <c r="HA10" i="14"/>
  <c r="IE10" i="14"/>
  <c r="GL11" i="14"/>
  <c r="HP11" i="14"/>
  <c r="HD10" i="14"/>
  <c r="IH10" i="14"/>
  <c r="HY10" i="14"/>
  <c r="GU10" i="14"/>
  <c r="IM10" i="14"/>
  <c r="HI10" i="14"/>
  <c r="GW70" i="14"/>
  <c r="IA70" i="14"/>
  <c r="IF71" i="14"/>
  <c r="HB71" i="14"/>
  <c r="IE70" i="14"/>
  <c r="HA70" i="14"/>
  <c r="HN70" i="14"/>
  <c r="GJ70" i="14"/>
  <c r="HF70" i="14"/>
  <c r="IJ70" i="14"/>
  <c r="HC72" i="14"/>
  <c r="IG72" i="14"/>
  <c r="HP73" i="14"/>
  <c r="GL73" i="14"/>
  <c r="GU73" i="14"/>
  <c r="HY73" i="14"/>
  <c r="HZ73" i="14"/>
  <c r="GV73" i="14"/>
  <c r="GW73" i="14"/>
  <c r="IA73" i="14"/>
  <c r="IH72" i="14"/>
  <c r="HD72" i="14"/>
  <c r="HE69" i="14"/>
  <c r="X69" i="20" s="1"/>
  <c r="II69" i="14"/>
  <c r="GI69" i="14"/>
  <c r="B69" i="20" s="1"/>
  <c r="HM69" i="14"/>
  <c r="P46" i="3"/>
  <c r="BZ10" i="14"/>
  <c r="L6" i="43" s="1"/>
  <c r="EM10" i="14"/>
  <c r="DI10" i="14" s="1"/>
  <c r="Y99" i="12"/>
  <c r="M99" i="12"/>
  <c r="AJ99" i="12"/>
  <c r="X99" i="12"/>
  <c r="L99" i="12"/>
  <c r="AI99" i="12"/>
  <c r="W99" i="12"/>
  <c r="K99" i="12"/>
  <c r="AH99" i="12"/>
  <c r="V99" i="12"/>
  <c r="J99" i="12"/>
  <c r="AG99" i="12"/>
  <c r="U99" i="12"/>
  <c r="I99" i="12"/>
  <c r="AF99" i="12"/>
  <c r="T99" i="12"/>
  <c r="H99" i="12"/>
  <c r="AD99" i="12"/>
  <c r="R99" i="12"/>
  <c r="Z99" i="12"/>
  <c r="S99" i="12"/>
  <c r="Q99" i="12"/>
  <c r="P99" i="12"/>
  <c r="O99" i="12"/>
  <c r="N99" i="12"/>
  <c r="G99" i="12"/>
  <c r="AE99" i="12"/>
  <c r="AC99" i="12"/>
  <c r="AB99" i="12"/>
  <c r="AA99" i="12"/>
  <c r="Y75" i="12"/>
  <c r="M75" i="12"/>
  <c r="AJ75" i="12"/>
  <c r="X75" i="12"/>
  <c r="L75" i="12"/>
  <c r="AI75" i="12"/>
  <c r="W75" i="12"/>
  <c r="K75" i="12"/>
  <c r="AH75" i="12"/>
  <c r="V75" i="12"/>
  <c r="J75" i="12"/>
  <c r="AG75" i="12"/>
  <c r="U75" i="12"/>
  <c r="I75" i="12"/>
  <c r="AF75" i="12"/>
  <c r="T75" i="12"/>
  <c r="H75" i="12"/>
  <c r="AD75" i="12"/>
  <c r="R75" i="12"/>
  <c r="Q75" i="12"/>
  <c r="P75" i="12"/>
  <c r="O75" i="12"/>
  <c r="N75" i="12"/>
  <c r="G75" i="12"/>
  <c r="AE75" i="12"/>
  <c r="AC75" i="12"/>
  <c r="AB75" i="12"/>
  <c r="AA75" i="12"/>
  <c r="Z75" i="12"/>
  <c r="S75" i="12"/>
  <c r="BG124" i="11"/>
  <c r="AN124" i="11"/>
  <c r="AJ98" i="12"/>
  <c r="X98" i="12"/>
  <c r="L98" i="12"/>
  <c r="AI98" i="12"/>
  <c r="W98" i="12"/>
  <c r="K98" i="12"/>
  <c r="AH98" i="12"/>
  <c r="V98" i="12"/>
  <c r="J98" i="12"/>
  <c r="AG98" i="12"/>
  <c r="U98" i="12"/>
  <c r="I98" i="12"/>
  <c r="AF98" i="12"/>
  <c r="T98" i="12"/>
  <c r="H98" i="12"/>
  <c r="AE98" i="12"/>
  <c r="S98" i="12"/>
  <c r="G98" i="12"/>
  <c r="AC98" i="12"/>
  <c r="Q98" i="12"/>
  <c r="AB98" i="12"/>
  <c r="AA98" i="12"/>
  <c r="Z98" i="12"/>
  <c r="Y98" i="12"/>
  <c r="R98" i="12"/>
  <c r="P98" i="12"/>
  <c r="O98" i="12"/>
  <c r="N98" i="12"/>
  <c r="M98" i="12"/>
  <c r="AD98" i="12"/>
  <c r="AA10" i="20"/>
  <c r="R143" i="20"/>
  <c r="AD10" i="20"/>
  <c r="AD67" i="20"/>
  <c r="X10" i="20"/>
  <c r="B109" i="17"/>
  <c r="C109" i="17" s="1"/>
  <c r="C233" i="17"/>
  <c r="C207" i="17"/>
  <c r="B207" i="17"/>
  <c r="B233" i="17" s="1"/>
  <c r="C182" i="17"/>
  <c r="GN51" i="14"/>
  <c r="HR51" i="14"/>
  <c r="HJ53" i="14"/>
  <c r="IN53" i="14"/>
  <c r="GQ51" i="14"/>
  <c r="HU51" i="14"/>
  <c r="GN54" i="14"/>
  <c r="HR54" i="14"/>
  <c r="GX53" i="14"/>
  <c r="IB53" i="14"/>
  <c r="HD51" i="14"/>
  <c r="IH51" i="14"/>
  <c r="GS51" i="14"/>
  <c r="HW51" i="14"/>
  <c r="HV53" i="14"/>
  <c r="GR53" i="14"/>
  <c r="HW54" i="14"/>
  <c r="GS54" i="14"/>
  <c r="IJ54" i="14"/>
  <c r="HF54" i="14"/>
  <c r="IK54" i="14"/>
  <c r="HG54" i="14"/>
  <c r="IL54" i="14"/>
  <c r="HH54" i="14"/>
  <c r="GS91" i="14"/>
  <c r="HW91" i="14"/>
  <c r="IC91" i="14"/>
  <c r="GY91" i="14"/>
  <c r="HK61" i="14"/>
  <c r="IO61" i="14"/>
  <c r="GU60" i="14"/>
  <c r="HY60" i="14"/>
  <c r="GI61" i="14"/>
  <c r="HM61" i="14"/>
  <c r="GL59" i="14"/>
  <c r="HP59" i="14"/>
  <c r="GY59" i="14"/>
  <c r="IC59" i="14"/>
  <c r="GQ62" i="14"/>
  <c r="HU62" i="14"/>
  <c r="IG59" i="14"/>
  <c r="HC59" i="14"/>
  <c r="HV59" i="14"/>
  <c r="GR59" i="14"/>
  <c r="HU61" i="14"/>
  <c r="GQ61" i="14"/>
  <c r="IK59" i="14"/>
  <c r="HG59" i="14"/>
  <c r="IP62" i="14"/>
  <c r="HL62" i="14"/>
  <c r="HE63" i="14"/>
  <c r="II63" i="14"/>
  <c r="GV64" i="14"/>
  <c r="HZ64" i="14"/>
  <c r="IM64" i="14"/>
  <c r="HI64" i="14"/>
  <c r="HR63" i="14"/>
  <c r="GN63" i="14"/>
  <c r="E127" i="3"/>
  <c r="E49" i="3" s="1"/>
  <c r="F102" i="3"/>
  <c r="E152" i="3"/>
  <c r="IB74" i="14"/>
  <c r="GX74" i="14"/>
  <c r="GZ77" i="14"/>
  <c r="ID77" i="14"/>
  <c r="IA75" i="14"/>
  <c r="GW75" i="14"/>
  <c r="IM76" i="14"/>
  <c r="HI76" i="14"/>
  <c r="GN77" i="14"/>
  <c r="HR77" i="14"/>
  <c r="GT74" i="14"/>
  <c r="HX74" i="14"/>
  <c r="HF75" i="14"/>
  <c r="IJ75" i="14"/>
  <c r="HF76" i="14"/>
  <c r="IJ76" i="14"/>
  <c r="IC75" i="14"/>
  <c r="GY75" i="14"/>
  <c r="ID75" i="14"/>
  <c r="GZ75" i="14"/>
  <c r="HR76" i="14"/>
  <c r="GN76" i="14"/>
  <c r="GQ24" i="14"/>
  <c r="HU24" i="14"/>
  <c r="GV43" i="14"/>
  <c r="HZ43" i="14"/>
  <c r="GI14" i="14"/>
  <c r="HM14" i="14"/>
  <c r="IA21" i="14"/>
  <c r="GW21" i="14"/>
  <c r="HI12" i="14"/>
  <c r="IM12" i="14"/>
  <c r="GU17" i="14"/>
  <c r="HY17" i="14"/>
  <c r="BD22" i="14" a="1"/>
  <c r="BD22" i="14" s="1"/>
  <c r="EP22" i="14"/>
  <c r="DL22" i="14" s="1"/>
  <c r="GL16" i="14"/>
  <c r="HP16" i="14"/>
  <c r="GT15" i="14"/>
  <c r="HX15" i="14"/>
  <c r="HO23" i="14"/>
  <c r="GK23" i="14"/>
  <c r="IH16" i="14"/>
  <c r="HD16" i="14"/>
  <c r="GJ13" i="14"/>
  <c r="HN13" i="14"/>
  <c r="GK14" i="14"/>
  <c r="HO14" i="14"/>
  <c r="HE22" i="14"/>
  <c r="II22" i="14"/>
  <c r="HX34" i="14"/>
  <c r="GT34" i="14"/>
  <c r="GT47" i="14"/>
  <c r="HX47" i="14"/>
  <c r="GX14" i="14"/>
  <c r="IB14" i="14"/>
  <c r="GZ19" i="14"/>
  <c r="ID19" i="14"/>
  <c r="IG28" i="14"/>
  <c r="HC28" i="14"/>
  <c r="HF38" i="14"/>
  <c r="IJ38" i="14"/>
  <c r="GM14" i="14"/>
  <c r="HQ14" i="14"/>
  <c r="GJ19" i="14"/>
  <c r="HN19" i="14"/>
  <c r="GX26" i="14"/>
  <c r="IB26" i="14"/>
  <c r="GK33" i="14"/>
  <c r="HO33" i="14"/>
  <c r="GK44" i="14"/>
  <c r="HO44" i="14"/>
  <c r="GT16" i="14"/>
  <c r="HX16" i="14"/>
  <c r="GT20" i="14"/>
  <c r="HX20" i="14"/>
  <c r="GI27" i="14"/>
  <c r="HM27" i="14"/>
  <c r="HJ16" i="14"/>
  <c r="IN16" i="14"/>
  <c r="GS22" i="14"/>
  <c r="HW22" i="14"/>
  <c r="GS32" i="14"/>
  <c r="HW32" i="14"/>
  <c r="HU13" i="14"/>
  <c r="GQ13" i="14"/>
  <c r="GO19" i="14"/>
  <c r="HS19" i="14"/>
  <c r="GL27" i="14"/>
  <c r="HP27" i="14"/>
  <c r="HF17" i="14"/>
  <c r="IJ17" i="14"/>
  <c r="HB25" i="14"/>
  <c r="IF25" i="14"/>
  <c r="GT31" i="14"/>
  <c r="HX31" i="14"/>
  <c r="GY42" i="14"/>
  <c r="IC42" i="14"/>
  <c r="GI16" i="14"/>
  <c r="HM16" i="14"/>
  <c r="GQ21" i="14"/>
  <c r="HU21" i="14"/>
  <c r="HU28" i="14"/>
  <c r="GQ28" i="14"/>
  <c r="GZ42" i="14"/>
  <c r="ID42" i="14"/>
  <c r="GJ16" i="14"/>
  <c r="HN16" i="14"/>
  <c r="GR21" i="14"/>
  <c r="HV21" i="14"/>
  <c r="GT28" i="14"/>
  <c r="HX28" i="14"/>
  <c r="GQ41" i="14"/>
  <c r="HU41" i="14"/>
  <c r="HW15" i="14"/>
  <c r="GS15" i="14"/>
  <c r="HB18" i="14"/>
  <c r="IF18" i="14"/>
  <c r="BV23" i="14"/>
  <c r="H19" i="43" s="1"/>
  <c r="EN23" i="14"/>
  <c r="DJ23" i="14" s="1"/>
  <c r="BB23" i="14" a="1"/>
  <c r="BB23" i="14" s="1"/>
  <c r="IE30" i="14"/>
  <c r="HA30" i="14"/>
  <c r="GO36" i="14"/>
  <c r="HS36" i="14"/>
  <c r="HC48" i="14"/>
  <c r="IG48" i="14"/>
  <c r="IN18" i="14"/>
  <c r="HJ18" i="14"/>
  <c r="HW23" i="14"/>
  <c r="GS23" i="14"/>
  <c r="IP28" i="14"/>
  <c r="HL28" i="14"/>
  <c r="IL32" i="14"/>
  <c r="HH32" i="14"/>
  <c r="GU39" i="14"/>
  <c r="HY39" i="14"/>
  <c r="GR50" i="14"/>
  <c r="HV50" i="14"/>
  <c r="HO20" i="14"/>
  <c r="GK20" i="14"/>
  <c r="HE24" i="14"/>
  <c r="II24" i="14"/>
  <c r="GM30" i="14"/>
  <c r="HQ30" i="14"/>
  <c r="HT35" i="14"/>
  <c r="GP35" i="14"/>
  <c r="GM44" i="14"/>
  <c r="HQ44" i="14"/>
  <c r="HZ22" i="14"/>
  <c r="GV22" i="14"/>
  <c r="IG27" i="14"/>
  <c r="HC27" i="14"/>
  <c r="IB32" i="14"/>
  <c r="GX32" i="14"/>
  <c r="HE37" i="14"/>
  <c r="II37" i="14"/>
  <c r="GX45" i="14"/>
  <c r="IB45" i="14"/>
  <c r="HW27" i="14"/>
  <c r="GS27" i="14"/>
  <c r="IP32" i="14"/>
  <c r="HL32" i="14"/>
  <c r="HG37" i="14"/>
  <c r="IK37" i="14"/>
  <c r="HF45" i="14"/>
  <c r="IJ45" i="14"/>
  <c r="HU18" i="14"/>
  <c r="GQ18" i="14"/>
  <c r="HP23" i="14"/>
  <c r="GL23" i="14"/>
  <c r="HX27" i="14"/>
  <c r="GT27" i="14"/>
  <c r="GV33" i="14"/>
  <c r="HZ33" i="14"/>
  <c r="HM39" i="14"/>
  <c r="GI39" i="14"/>
  <c r="HI46" i="14"/>
  <c r="IM46" i="14"/>
  <c r="GO43" i="14"/>
  <c r="HS43" i="14"/>
  <c r="ID23" i="14"/>
  <c r="GZ23" i="14"/>
  <c r="HZ27" i="14"/>
  <c r="GV27" i="14"/>
  <c r="IG32" i="14"/>
  <c r="HC32" i="14"/>
  <c r="HN38" i="14"/>
  <c r="GJ38" i="14"/>
  <c r="GK46" i="14"/>
  <c r="HO46" i="14"/>
  <c r="GK47" i="14"/>
  <c r="HO47" i="14"/>
  <c r="HF50" i="14"/>
  <c r="IJ50" i="14"/>
  <c r="IM36" i="14"/>
  <c r="HI36" i="14"/>
  <c r="IH41" i="14"/>
  <c r="HD41" i="14"/>
  <c r="IO46" i="14"/>
  <c r="HK46" i="14"/>
  <c r="IK50" i="14"/>
  <c r="HG50" i="14"/>
  <c r="IB37" i="14"/>
  <c r="GX37" i="14"/>
  <c r="IJ41" i="14"/>
  <c r="HF41" i="14"/>
  <c r="ID47" i="14"/>
  <c r="GZ47" i="14"/>
  <c r="IG33" i="14"/>
  <c r="HC33" i="14"/>
  <c r="IB38" i="14"/>
  <c r="GX38" i="14"/>
  <c r="IJ42" i="14"/>
  <c r="HF42" i="14"/>
  <c r="ID48" i="14"/>
  <c r="GZ48" i="14"/>
  <c r="IO38" i="14"/>
  <c r="HK38" i="14"/>
  <c r="IK42" i="14"/>
  <c r="HG42" i="14"/>
  <c r="IE48" i="14"/>
  <c r="HA48" i="14"/>
  <c r="IG35" i="14"/>
  <c r="HC35" i="14"/>
  <c r="IB40" i="14"/>
  <c r="GX40" i="14"/>
  <c r="IJ44" i="14"/>
  <c r="HF44" i="14"/>
  <c r="ID50" i="14"/>
  <c r="GZ50" i="14"/>
  <c r="HZ44" i="14"/>
  <c r="GV44" i="14"/>
  <c r="IG49" i="14"/>
  <c r="HC49" i="14"/>
  <c r="GN93" i="14"/>
  <c r="HR93" i="14"/>
  <c r="GK94" i="14"/>
  <c r="HO94" i="14"/>
  <c r="HA93" i="14"/>
  <c r="IE93" i="14"/>
  <c r="GP94" i="14"/>
  <c r="HT94" i="14"/>
  <c r="II94" i="14"/>
  <c r="HE94" i="14"/>
  <c r="HO93" i="14"/>
  <c r="GK93" i="14"/>
  <c r="HX103" i="14"/>
  <c r="GT103" i="14"/>
  <c r="IB103" i="14"/>
  <c r="GX103" i="14"/>
  <c r="GQ55" i="14"/>
  <c r="HU55" i="14"/>
  <c r="GM56" i="14"/>
  <c r="HQ56" i="14"/>
  <c r="GX56" i="14"/>
  <c r="IB56" i="14"/>
  <c r="IF55" i="14"/>
  <c r="HB55" i="14"/>
  <c r="HV55" i="14"/>
  <c r="GR55" i="14"/>
  <c r="GS57" i="14"/>
  <c r="HW57" i="14"/>
  <c r="HM55" i="14"/>
  <c r="GI55" i="14"/>
  <c r="IL56" i="14"/>
  <c r="HH56" i="14"/>
  <c r="HX57" i="14"/>
  <c r="GT57" i="14"/>
  <c r="HM58" i="14"/>
  <c r="GI58" i="14"/>
  <c r="HY90" i="14"/>
  <c r="GU90" i="14"/>
  <c r="HZ90" i="14"/>
  <c r="GV90" i="14"/>
  <c r="HG7" i="14"/>
  <c r="IK7" i="14"/>
  <c r="GO8" i="14"/>
  <c r="HS8" i="14"/>
  <c r="HA9" i="14"/>
  <c r="IE9" i="14"/>
  <c r="GT6" i="14"/>
  <c r="HX6" i="14"/>
  <c r="HF7" i="14"/>
  <c r="IJ7" i="14"/>
  <c r="IA6" i="14"/>
  <c r="GW6" i="14"/>
  <c r="IN6" i="14"/>
  <c r="HJ6" i="14"/>
  <c r="IO6" i="14"/>
  <c r="HK6" i="14"/>
  <c r="IP6" i="14"/>
  <c r="HL6" i="14"/>
  <c r="HR7" i="14"/>
  <c r="GN7" i="14"/>
  <c r="IO9" i="14"/>
  <c r="HK9" i="14"/>
  <c r="GR65" i="14"/>
  <c r="HV65" i="14"/>
  <c r="HG67" i="14"/>
  <c r="IK67" i="14"/>
  <c r="IA67" i="14"/>
  <c r="GW67" i="14"/>
  <c r="GI65" i="14"/>
  <c r="HM65" i="14"/>
  <c r="HN65" i="14"/>
  <c r="GJ65" i="14"/>
  <c r="IM65" i="14"/>
  <c r="HI65" i="14"/>
  <c r="IH67" i="14"/>
  <c r="HD67" i="14"/>
  <c r="HV67" i="14"/>
  <c r="GR67" i="14"/>
  <c r="HT68" i="14"/>
  <c r="GP68" i="14"/>
  <c r="HK10" i="14"/>
  <c r="IO10" i="14"/>
  <c r="GZ10" i="14"/>
  <c r="ID10" i="14"/>
  <c r="GQ11" i="14"/>
  <c r="HU11" i="14"/>
  <c r="IK10" i="14"/>
  <c r="HG10" i="14"/>
  <c r="HN11" i="14"/>
  <c r="GJ11" i="14"/>
  <c r="HR72" i="14"/>
  <c r="GN72" i="14"/>
  <c r="GN73" i="14"/>
  <c r="HR73" i="14"/>
  <c r="GO71" i="14"/>
  <c r="HS71" i="14"/>
  <c r="IG70" i="14"/>
  <c r="HC70" i="14"/>
  <c r="HX71" i="14"/>
  <c r="GT71" i="14"/>
  <c r="HB73" i="14"/>
  <c r="IF73" i="14"/>
  <c r="II73" i="14"/>
  <c r="HE73" i="14"/>
  <c r="HG73" i="14"/>
  <c r="IK73" i="14"/>
  <c r="IL73" i="14"/>
  <c r="HH73" i="14"/>
  <c r="HI73" i="14"/>
  <c r="IM73" i="14"/>
  <c r="HU73" i="14"/>
  <c r="GQ73" i="14"/>
  <c r="HV69" i="14"/>
  <c r="GR69" i="14"/>
  <c r="K69" i="20" s="1"/>
  <c r="GW69" i="14"/>
  <c r="P69" i="20" s="1"/>
  <c r="IA69" i="14"/>
  <c r="R46" i="3"/>
  <c r="AS124" i="11"/>
  <c r="S143" i="20"/>
  <c r="C229" i="17"/>
  <c r="C203" i="17"/>
  <c r="B203" i="17"/>
  <c r="B229" i="17" s="1"/>
  <c r="C178" i="17"/>
  <c r="B105" i="17"/>
  <c r="C105" i="17" s="1"/>
  <c r="AJ124" i="11"/>
  <c r="AZ124" i="11"/>
  <c r="AI85" i="12"/>
  <c r="W85" i="12"/>
  <c r="K85" i="12"/>
  <c r="AH85" i="12"/>
  <c r="V85" i="12"/>
  <c r="J85" i="12"/>
  <c r="AG85" i="12"/>
  <c r="U85" i="12"/>
  <c r="I85" i="12"/>
  <c r="AF85" i="12"/>
  <c r="T85" i="12"/>
  <c r="H85" i="12"/>
  <c r="AE85" i="12"/>
  <c r="S85" i="12"/>
  <c r="G85" i="12"/>
  <c r="AD85" i="12"/>
  <c r="R85" i="12"/>
  <c r="AB85" i="12"/>
  <c r="P85" i="12"/>
  <c r="Q85" i="12"/>
  <c r="O85" i="12"/>
  <c r="N85" i="12"/>
  <c r="M85" i="12"/>
  <c r="L85" i="12"/>
  <c r="AJ85" i="12"/>
  <c r="AC85" i="12"/>
  <c r="AA85" i="12"/>
  <c r="Z85" i="12"/>
  <c r="Y85" i="12"/>
  <c r="X85" i="12"/>
  <c r="C228" i="17"/>
  <c r="C202" i="17"/>
  <c r="B202" i="17"/>
  <c r="B228" i="17" s="1"/>
  <c r="C177" i="17"/>
  <c r="B104" i="17"/>
  <c r="C104" i="17" s="1"/>
  <c r="C225" i="17"/>
  <c r="C174" i="17"/>
  <c r="B101" i="17"/>
  <c r="C101" i="17" s="1"/>
  <c r="C199" i="17"/>
  <c r="B199" i="17"/>
  <c r="B225" i="17" s="1"/>
  <c r="AB102" i="12"/>
  <c r="P102" i="12"/>
  <c r="AA102" i="12"/>
  <c r="O102" i="12"/>
  <c r="Z102" i="12"/>
  <c r="N102" i="12"/>
  <c r="Y102" i="12"/>
  <c r="M102" i="12"/>
  <c r="AJ102" i="12"/>
  <c r="X102" i="12"/>
  <c r="L102" i="12"/>
  <c r="AI102" i="12"/>
  <c r="W102" i="12"/>
  <c r="K102" i="12"/>
  <c r="AG102" i="12"/>
  <c r="U102" i="12"/>
  <c r="I102" i="12"/>
  <c r="S102" i="12"/>
  <c r="R102" i="12"/>
  <c r="Q102" i="12"/>
  <c r="J102" i="12"/>
  <c r="H102" i="12"/>
  <c r="AH102" i="12"/>
  <c r="G102" i="12"/>
  <c r="AF102" i="12"/>
  <c r="AE102" i="12"/>
  <c r="AD102" i="12"/>
  <c r="AC102" i="12"/>
  <c r="V102" i="12"/>
  <c r="T102" i="12"/>
  <c r="Z10" i="20"/>
  <c r="C139" i="3"/>
  <c r="C61" i="3" s="1"/>
  <c r="C164" i="3"/>
  <c r="D114" i="3"/>
  <c r="GO52" i="14"/>
  <c r="HS52" i="14"/>
  <c r="HI54" i="14"/>
  <c r="IM54" i="14"/>
  <c r="GQ52" i="14"/>
  <c r="HU52" i="14"/>
  <c r="GW54" i="14"/>
  <c r="IA54" i="14"/>
  <c r="HF52" i="14"/>
  <c r="IJ52" i="14"/>
  <c r="HE51" i="14"/>
  <c r="II51" i="14"/>
  <c r="IH53" i="14"/>
  <c r="HD53" i="14"/>
  <c r="II54" i="14"/>
  <c r="HE54" i="14"/>
  <c r="HP51" i="14"/>
  <c r="GL51" i="14"/>
  <c r="HQ51" i="14"/>
  <c r="GM51" i="14"/>
  <c r="HS51" i="14"/>
  <c r="GO51" i="14"/>
  <c r="HB91" i="14"/>
  <c r="IF91" i="14"/>
  <c r="IP91" i="14"/>
  <c r="HL91" i="14"/>
  <c r="HE91" i="14"/>
  <c r="II91" i="14"/>
  <c r="IO91" i="14"/>
  <c r="HK91" i="14"/>
  <c r="EY62" i="14"/>
  <c r="DU62" i="14" s="1"/>
  <c r="CG62" i="14"/>
  <c r="S58" i="43" s="1"/>
  <c r="GZ60" i="14"/>
  <c r="ID60" i="14"/>
  <c r="GU61" i="14"/>
  <c r="HY61" i="14"/>
  <c r="GX59" i="14"/>
  <c r="IB59" i="14"/>
  <c r="HK59" i="14"/>
  <c r="IO59" i="14"/>
  <c r="HF62" i="14"/>
  <c r="IJ62" i="14"/>
  <c r="HT60" i="14"/>
  <c r="GP60" i="14"/>
  <c r="IH59" i="14"/>
  <c r="HD59" i="14"/>
  <c r="IG61" i="14"/>
  <c r="HC61" i="14"/>
  <c r="HX60" i="14"/>
  <c r="GT60" i="14"/>
  <c r="HT62" i="14"/>
  <c r="GP62" i="14"/>
  <c r="IF63" i="14"/>
  <c r="HB63" i="14"/>
  <c r="GT63" i="14"/>
  <c r="HX63" i="14"/>
  <c r="HH64" i="14"/>
  <c r="IL64" i="14"/>
  <c r="HQ63" i="14"/>
  <c r="GM63" i="14"/>
  <c r="ID63" i="14"/>
  <c r="GZ63" i="14"/>
  <c r="AD80" i="12"/>
  <c r="R80" i="12"/>
  <c r="AC80" i="12"/>
  <c r="Q80" i="12"/>
  <c r="AB80" i="12"/>
  <c r="P80" i="12"/>
  <c r="AA80" i="12"/>
  <c r="O80" i="12"/>
  <c r="Z80" i="12"/>
  <c r="N80" i="12"/>
  <c r="Y80" i="12"/>
  <c r="M80" i="12"/>
  <c r="AI80" i="12"/>
  <c r="W80" i="12"/>
  <c r="K80" i="12"/>
  <c r="L80" i="12"/>
  <c r="J80" i="12"/>
  <c r="AJ80" i="12"/>
  <c r="I80" i="12"/>
  <c r="AH80" i="12"/>
  <c r="H80" i="12"/>
  <c r="AG80" i="12"/>
  <c r="G80" i="12"/>
  <c r="AF80" i="12"/>
  <c r="AE80" i="12"/>
  <c r="X80" i="12"/>
  <c r="V80" i="12"/>
  <c r="T80" i="12"/>
  <c r="S80" i="12"/>
  <c r="U80" i="12"/>
  <c r="IH74" i="14"/>
  <c r="HD74" i="14"/>
  <c r="IG76" i="14"/>
  <c r="HC76" i="14"/>
  <c r="HM77" i="14"/>
  <c r="GI77" i="14"/>
  <c r="HW74" i="14"/>
  <c r="GS74" i="14"/>
  <c r="HF74" i="14"/>
  <c r="IJ74" i="14"/>
  <c r="GS76" i="14"/>
  <c r="HW76" i="14"/>
  <c r="GS77" i="14"/>
  <c r="HW77" i="14"/>
  <c r="IO75" i="14"/>
  <c r="HK75" i="14"/>
  <c r="IP75" i="14"/>
  <c r="HL75" i="14"/>
  <c r="ID76" i="14"/>
  <c r="GZ76" i="14"/>
  <c r="HA45" i="14"/>
  <c r="IE45" i="14"/>
  <c r="EP20" i="14"/>
  <c r="DL20" i="14" s="1"/>
  <c r="BX20" i="14"/>
  <c r="J16" i="43" s="1"/>
  <c r="HL24" i="14"/>
  <c r="IP24" i="14"/>
  <c r="GW13" i="14"/>
  <c r="IA13" i="14"/>
  <c r="GV14" i="14"/>
  <c r="HZ14" i="14"/>
  <c r="GN26" i="14"/>
  <c r="HR26" i="14"/>
  <c r="HR25" i="14"/>
  <c r="GN25" i="14"/>
  <c r="HJ17" i="14"/>
  <c r="IN17" i="14"/>
  <c r="GM16" i="14"/>
  <c r="HQ16" i="14"/>
  <c r="GZ41" i="14"/>
  <c r="ID41" i="14"/>
  <c r="GX28" i="14"/>
  <c r="IB28" i="14"/>
  <c r="HS18" i="14"/>
  <c r="GO18" i="14"/>
  <c r="HG15" i="14"/>
  <c r="IK15" i="14"/>
  <c r="GW14" i="14"/>
  <c r="IA14" i="14"/>
  <c r="GO23" i="14"/>
  <c r="HS23" i="14"/>
  <c r="GK35" i="14"/>
  <c r="HO35" i="14"/>
  <c r="HJ14" i="14"/>
  <c r="IN14" i="14"/>
  <c r="HV20" i="14"/>
  <c r="GR20" i="14"/>
  <c r="GW29" i="14"/>
  <c r="IA29" i="14"/>
  <c r="HB39" i="14"/>
  <c r="IF39" i="14"/>
  <c r="GY14" i="14"/>
  <c r="IC14" i="14"/>
  <c r="HA19" i="14"/>
  <c r="IE19" i="14"/>
  <c r="IH27" i="14"/>
  <c r="HD27" i="14"/>
  <c r="GV47" i="14"/>
  <c r="HZ47" i="14"/>
  <c r="HI16" i="14"/>
  <c r="IM16" i="14"/>
  <c r="HK20" i="14"/>
  <c r="IO20" i="14"/>
  <c r="HG27" i="14"/>
  <c r="IK27" i="14"/>
  <c r="IG34" i="14"/>
  <c r="HC34" i="14"/>
  <c r="HH47" i="14"/>
  <c r="IL47" i="14"/>
  <c r="GL17" i="14"/>
  <c r="HP17" i="14"/>
  <c r="HZ23" i="14"/>
  <c r="GV23" i="14"/>
  <c r="GT33" i="14"/>
  <c r="HX33" i="14"/>
  <c r="IG13" i="14"/>
  <c r="HC13" i="14"/>
  <c r="HE19" i="14"/>
  <c r="II19" i="14"/>
  <c r="HJ27" i="14"/>
  <c r="IN27" i="14"/>
  <c r="GS46" i="14"/>
  <c r="HW46" i="14"/>
  <c r="GW18" i="14"/>
  <c r="IA18" i="14"/>
  <c r="GU32" i="14"/>
  <c r="HY32" i="14"/>
  <c r="HG44" i="14"/>
  <c r="IK44" i="14"/>
  <c r="GX16" i="14"/>
  <c r="IB16" i="14"/>
  <c r="HF21" i="14"/>
  <c r="IJ21" i="14"/>
  <c r="GK29" i="14"/>
  <c r="HO29" i="14"/>
  <c r="HI44" i="14"/>
  <c r="IM44" i="14"/>
  <c r="GY16" i="14"/>
  <c r="IC16" i="14"/>
  <c r="HI21" i="14"/>
  <c r="IM21" i="14"/>
  <c r="GL29" i="14"/>
  <c r="HP29" i="14"/>
  <c r="HI42" i="14"/>
  <c r="IM42" i="14"/>
  <c r="II15" i="14"/>
  <c r="HE15" i="14"/>
  <c r="HN23" i="14"/>
  <c r="GJ23" i="14"/>
  <c r="HB49" i="14"/>
  <c r="IF49" i="14"/>
  <c r="HO19" i="14"/>
  <c r="GK19" i="14"/>
  <c r="II23" i="14"/>
  <c r="HE23" i="14"/>
  <c r="HQ29" i="14"/>
  <c r="GM29" i="14"/>
  <c r="GM33" i="14"/>
  <c r="HQ33" i="14"/>
  <c r="GT40" i="14"/>
  <c r="HX40" i="14"/>
  <c r="HS16" i="14"/>
  <c r="GO16" i="14"/>
  <c r="IA20" i="14"/>
  <c r="GW20" i="14"/>
  <c r="GR25" i="14"/>
  <c r="HV25" i="14"/>
  <c r="GY30" i="14"/>
  <c r="IC30" i="14"/>
  <c r="HG35" i="14"/>
  <c r="IK35" i="14"/>
  <c r="HK44" i="14"/>
  <c r="IO44" i="14"/>
  <c r="IL22" i="14"/>
  <c r="HH22" i="14"/>
  <c r="HT28" i="14"/>
  <c r="GP28" i="14"/>
  <c r="IN32" i="14"/>
  <c r="HJ32" i="14"/>
  <c r="HE46" i="14"/>
  <c r="II46" i="14"/>
  <c r="II27" i="14"/>
  <c r="HE27" i="14"/>
  <c r="GU33" i="14"/>
  <c r="HY33" i="14"/>
  <c r="HH46" i="14"/>
  <c r="IL46" i="14"/>
  <c r="IG18" i="14"/>
  <c r="HC18" i="14"/>
  <c r="IB23" i="14"/>
  <c r="GX23" i="14"/>
  <c r="IJ27" i="14"/>
  <c r="HF27" i="14"/>
  <c r="GL34" i="14"/>
  <c r="HP34" i="14"/>
  <c r="HD39" i="14"/>
  <c r="IH39" i="14"/>
  <c r="GJ47" i="14"/>
  <c r="HN47" i="14"/>
  <c r="GX44" i="14"/>
  <c r="IB44" i="14"/>
  <c r="IP23" i="14"/>
  <c r="HL23" i="14"/>
  <c r="IL27" i="14"/>
  <c r="HH27" i="14"/>
  <c r="GX33" i="14"/>
  <c r="IB33" i="14"/>
  <c r="HE38" i="14"/>
  <c r="II38" i="14"/>
  <c r="GR47" i="14"/>
  <c r="HV47" i="14"/>
  <c r="GW47" i="14"/>
  <c r="IA47" i="14"/>
  <c r="HR33" i="14"/>
  <c r="GN33" i="14"/>
  <c r="HN37" i="14"/>
  <c r="GJ37" i="14"/>
  <c r="HU42" i="14"/>
  <c r="GQ42" i="14"/>
  <c r="HP47" i="14"/>
  <c r="GL47" i="14"/>
  <c r="HT33" i="14"/>
  <c r="GP33" i="14"/>
  <c r="IN37" i="14"/>
  <c r="HJ37" i="14"/>
  <c r="HW42" i="14"/>
  <c r="GS42" i="14"/>
  <c r="IP47" i="14"/>
  <c r="HL47" i="14"/>
  <c r="HT34" i="14"/>
  <c r="GP34" i="14"/>
  <c r="IN38" i="14"/>
  <c r="HJ38" i="14"/>
  <c r="HW43" i="14"/>
  <c r="GS43" i="14"/>
  <c r="IP48" i="14"/>
  <c r="HL48" i="14"/>
  <c r="HP39" i="14"/>
  <c r="GL39" i="14"/>
  <c r="HX43" i="14"/>
  <c r="GT43" i="14"/>
  <c r="HR49" i="14"/>
  <c r="GN49" i="14"/>
  <c r="HT36" i="14"/>
  <c r="GP36" i="14"/>
  <c r="IN40" i="14"/>
  <c r="HJ40" i="14"/>
  <c r="HW45" i="14"/>
  <c r="GS45" i="14"/>
  <c r="IP50" i="14"/>
  <c r="HL50" i="14"/>
  <c r="IL44" i="14"/>
  <c r="HH44" i="14"/>
  <c r="HT50" i="14"/>
  <c r="GP50" i="14"/>
  <c r="IG94" i="14"/>
  <c r="HC94" i="14"/>
  <c r="IH93" i="14"/>
  <c r="HD93" i="14"/>
  <c r="GN94" i="14"/>
  <c r="HR94" i="14"/>
  <c r="HB94" i="14"/>
  <c r="IF94" i="14"/>
  <c r="HB103" i="14"/>
  <c r="IF103" i="14"/>
  <c r="IA93" i="14"/>
  <c r="GW93" i="14"/>
  <c r="IJ103" i="14"/>
  <c r="HF103" i="14"/>
  <c r="IN103" i="14"/>
  <c r="HJ103" i="14"/>
  <c r="GV55" i="14"/>
  <c r="HZ55" i="14"/>
  <c r="HH55" i="14"/>
  <c r="IL55" i="14"/>
  <c r="HB57" i="14"/>
  <c r="IF57" i="14"/>
  <c r="GO56" i="14"/>
  <c r="HS56" i="14"/>
  <c r="IH55" i="14"/>
  <c r="HD55" i="14"/>
  <c r="IO57" i="14"/>
  <c r="HK57" i="14"/>
  <c r="HY55" i="14"/>
  <c r="GU55" i="14"/>
  <c r="GK57" i="14"/>
  <c r="HO57" i="14"/>
  <c r="IJ57" i="14"/>
  <c r="HF57" i="14"/>
  <c r="HY58" i="14"/>
  <c r="GU58" i="14"/>
  <c r="GY90" i="14"/>
  <c r="IC90" i="14"/>
  <c r="IL90" i="14"/>
  <c r="HH90" i="14"/>
  <c r="GP9" i="14"/>
  <c r="HT9" i="14"/>
  <c r="HF6" i="14"/>
  <c r="IJ6" i="14"/>
  <c r="GS8" i="14"/>
  <c r="HW8" i="14"/>
  <c r="IM6" i="14"/>
  <c r="HI6" i="14"/>
  <c r="HO7" i="14"/>
  <c r="GK7" i="14"/>
  <c r="HP7" i="14"/>
  <c r="GL7" i="14"/>
  <c r="HQ7" i="14"/>
  <c r="GM7" i="14"/>
  <c r="ID7" i="14"/>
  <c r="GZ7" i="14"/>
  <c r="HE68" i="14"/>
  <c r="II68" i="14"/>
  <c r="EK68" i="14"/>
  <c r="DG68" i="14" s="1"/>
  <c r="GQ68" i="14"/>
  <c r="HU68" i="14"/>
  <c r="IN67" i="14"/>
  <c r="HJ67" i="14"/>
  <c r="GU65" i="14"/>
  <c r="HY65" i="14"/>
  <c r="HZ65" i="14"/>
  <c r="GV65" i="14"/>
  <c r="GQ66" i="14"/>
  <c r="HU66" i="14"/>
  <c r="HT67" i="14"/>
  <c r="GP67" i="14"/>
  <c r="GM68" i="14"/>
  <c r="HQ68" i="14"/>
  <c r="II67" i="14"/>
  <c r="HE67" i="14"/>
  <c r="HD68" i="14"/>
  <c r="IH68" i="14"/>
  <c r="HL10" i="14"/>
  <c r="IP10" i="14"/>
  <c r="GM11" i="14"/>
  <c r="HQ11" i="14"/>
  <c r="HC11" i="14"/>
  <c r="IG11" i="14"/>
  <c r="HX11" i="14"/>
  <c r="GT11" i="14"/>
  <c r="HZ11" i="14"/>
  <c r="GV11" i="14"/>
  <c r="GO72" i="14"/>
  <c r="HS72" i="14"/>
  <c r="HG71" i="14"/>
  <c r="IK71" i="14"/>
  <c r="GR71" i="14"/>
  <c r="HV71" i="14"/>
  <c r="ID72" i="14"/>
  <c r="GZ72" i="14"/>
  <c r="GS70" i="14"/>
  <c r="HW70" i="14"/>
  <c r="GL70" i="14"/>
  <c r="HP70" i="14"/>
  <c r="HQ70" i="14"/>
  <c r="GM70" i="14"/>
  <c r="HR70" i="14"/>
  <c r="GN70" i="14"/>
  <c r="HV70" i="14"/>
  <c r="GR70" i="14"/>
  <c r="IG73" i="14"/>
  <c r="HC73" i="14"/>
  <c r="IE69" i="14"/>
  <c r="HA69" i="14"/>
  <c r="T69" i="20" s="1"/>
  <c r="HF69" i="14"/>
  <c r="Y69" i="20" s="1"/>
  <c r="IJ69" i="14"/>
  <c r="HQ69" i="14"/>
  <c r="GM69" i="14"/>
  <c r="F69" i="20" s="1"/>
  <c r="Q46" i="3"/>
  <c r="AV124" i="11"/>
  <c r="AO124" i="11"/>
  <c r="C198" i="17"/>
  <c r="B198" i="17"/>
  <c r="B224" i="17" s="1"/>
  <c r="C224" i="17"/>
  <c r="B100" i="17"/>
  <c r="C100" i="17" s="1"/>
  <c r="C173" i="17"/>
  <c r="E10" i="20"/>
  <c r="C213" i="17"/>
  <c r="B213" i="17"/>
  <c r="B239" i="17" s="1"/>
  <c r="B115" i="17"/>
  <c r="C115" i="17" s="1"/>
  <c r="C239" i="17"/>
  <c r="C188" i="17"/>
  <c r="R181" i="20"/>
  <c r="B204" i="17"/>
  <c r="B230" i="17" s="1"/>
  <c r="C230" i="17"/>
  <c r="C204" i="17"/>
  <c r="C179" i="17"/>
  <c r="B106" i="17"/>
  <c r="C106" i="17" s="1"/>
  <c r="Z76" i="12"/>
  <c r="N76" i="12"/>
  <c r="Y76" i="12"/>
  <c r="M76" i="12"/>
  <c r="AJ76" i="12"/>
  <c r="X76" i="12"/>
  <c r="L76" i="12"/>
  <c r="AI76" i="12"/>
  <c r="W76" i="12"/>
  <c r="K76" i="12"/>
  <c r="AH76" i="12"/>
  <c r="V76" i="12"/>
  <c r="J76" i="12"/>
  <c r="AG76" i="12"/>
  <c r="U76" i="12"/>
  <c r="I76" i="12"/>
  <c r="AE76" i="12"/>
  <c r="S76" i="12"/>
  <c r="G76" i="12"/>
  <c r="H76" i="12"/>
  <c r="AF76" i="12"/>
  <c r="AD76" i="12"/>
  <c r="AC76" i="12"/>
  <c r="AB76" i="12"/>
  <c r="AA76" i="12"/>
  <c r="T76" i="12"/>
  <c r="R76" i="12"/>
  <c r="Q76" i="12"/>
  <c r="P76" i="12"/>
  <c r="O76" i="12"/>
  <c r="GZ51" i="14"/>
  <c r="ID51" i="14"/>
  <c r="HL53" i="14"/>
  <c r="IP53" i="14"/>
  <c r="GU51" i="14"/>
  <c r="HY51" i="14"/>
  <c r="HC51" i="14"/>
  <c r="IG51" i="14"/>
  <c r="GR52" i="14"/>
  <c r="HV52" i="14"/>
  <c r="HU54" i="14"/>
  <c r="GQ54" i="14"/>
  <c r="HO51" i="14"/>
  <c r="GK51" i="14"/>
  <c r="IB51" i="14"/>
  <c r="GX51" i="14"/>
  <c r="IC51" i="14"/>
  <c r="GY51" i="14"/>
  <c r="IE51" i="14"/>
  <c r="HA51" i="14"/>
  <c r="IJ91" i="14"/>
  <c r="HF91" i="14"/>
  <c r="HX91" i="14"/>
  <c r="GT91" i="14"/>
  <c r="HM91" i="14"/>
  <c r="GI91" i="14"/>
  <c r="GT61" i="14"/>
  <c r="HX61" i="14"/>
  <c r="HA62" i="14"/>
  <c r="IE62" i="14"/>
  <c r="HG61" i="14"/>
  <c r="IK61" i="14"/>
  <c r="HJ59" i="14"/>
  <c r="IN59" i="14"/>
  <c r="GL60" i="14"/>
  <c r="HP60" i="14"/>
  <c r="HT59" i="14"/>
  <c r="GP59" i="14"/>
  <c r="IF60" i="14"/>
  <c r="HB60" i="14"/>
  <c r="HU60" i="14"/>
  <c r="GQ60" i="14"/>
  <c r="GW62" i="14"/>
  <c r="IA62" i="14"/>
  <c r="IJ60" i="14"/>
  <c r="HF60" i="14"/>
  <c r="IF62" i="14"/>
  <c r="HB62" i="14"/>
  <c r="HA64" i="14"/>
  <c r="IE64" i="14"/>
  <c r="HE64" i="14"/>
  <c r="II64" i="14"/>
  <c r="GQ63" i="14"/>
  <c r="HU63" i="14"/>
  <c r="GS64" i="14"/>
  <c r="HW64" i="14"/>
  <c r="IC63" i="14"/>
  <c r="GY63" i="14"/>
  <c r="IP63" i="14"/>
  <c r="HL63" i="14"/>
  <c r="E101" i="3"/>
  <c r="D151" i="3"/>
  <c r="D126" i="3"/>
  <c r="D48" i="3" s="1"/>
  <c r="CB75" i="14"/>
  <c r="N71" i="43" s="1"/>
  <c r="ET75" i="14"/>
  <c r="DP75" i="14" s="1"/>
  <c r="BH75" i="14" a="1"/>
  <c r="BH75" i="14" s="1"/>
  <c r="IK77" i="14"/>
  <c r="HG77" i="14"/>
  <c r="HL77" i="14"/>
  <c r="IP77" i="14"/>
  <c r="HN75" i="14"/>
  <c r="GJ75" i="14"/>
  <c r="GS75" i="14"/>
  <c r="HW75" i="14"/>
  <c r="HE76" i="14"/>
  <c r="II76" i="14"/>
  <c r="HE77" i="14"/>
  <c r="II77" i="14"/>
  <c r="HP76" i="14"/>
  <c r="GL76" i="14"/>
  <c r="HQ76" i="14"/>
  <c r="GM76" i="14"/>
  <c r="IP76" i="14"/>
  <c r="HL76" i="14"/>
  <c r="GR38" i="14"/>
  <c r="HV38" i="14"/>
  <c r="IN33" i="14"/>
  <c r="HJ33" i="14"/>
  <c r="GU14" i="14"/>
  <c r="HY14" i="14"/>
  <c r="GO26" i="14"/>
  <c r="HS26" i="14"/>
  <c r="GO25" i="14"/>
  <c r="HS25" i="14"/>
  <c r="GK12" i="14"/>
  <c r="HO12" i="14"/>
  <c r="HI14" i="14"/>
  <c r="IM14" i="14"/>
  <c r="HT18" i="14"/>
  <c r="GP18" i="14"/>
  <c r="HI23" i="14"/>
  <c r="IM23" i="14"/>
  <c r="HZ29" i="14"/>
  <c r="GV29" i="14"/>
  <c r="GS36" i="14"/>
  <c r="HW36" i="14"/>
  <c r="HJ48" i="14"/>
  <c r="IN48" i="14"/>
  <c r="GK15" i="14"/>
  <c r="HO15" i="14"/>
  <c r="HG20" i="14"/>
  <c r="IK20" i="14"/>
  <c r="GJ30" i="14"/>
  <c r="HN30" i="14"/>
  <c r="HK14" i="14"/>
  <c r="IO14" i="14"/>
  <c r="GS20" i="14"/>
  <c r="HW20" i="14"/>
  <c r="HF28" i="14"/>
  <c r="IJ28" i="14"/>
  <c r="GV34" i="14"/>
  <c r="HZ34" i="14"/>
  <c r="GP12" i="14"/>
  <c r="HT12" i="14"/>
  <c r="GK17" i="14"/>
  <c r="HO17" i="14"/>
  <c r="BW21" i="14"/>
  <c r="I17" i="43" s="1"/>
  <c r="BC21" i="14" a="1"/>
  <c r="BC21" i="14" s="1"/>
  <c r="EO21" i="14"/>
  <c r="DK21" i="14" s="1"/>
  <c r="GJ28" i="14"/>
  <c r="HN28" i="14"/>
  <c r="IC35" i="14"/>
  <c r="GY35" i="14"/>
  <c r="HU12" i="14"/>
  <c r="GQ12" i="14"/>
  <c r="HC17" i="14"/>
  <c r="IG17" i="14"/>
  <c r="HA24" i="14"/>
  <c r="IE24" i="14"/>
  <c r="HG34" i="14"/>
  <c r="IK34" i="14"/>
  <c r="HT14" i="14"/>
  <c r="GP14" i="14"/>
  <c r="GX20" i="14"/>
  <c r="IB20" i="14"/>
  <c r="GL28" i="14"/>
  <c r="HP28" i="14"/>
  <c r="IM34" i="14"/>
  <c r="HI34" i="14"/>
  <c r="HW12" i="14"/>
  <c r="GS12" i="14"/>
  <c r="GQ19" i="14"/>
  <c r="HU19" i="14"/>
  <c r="HE26" i="14"/>
  <c r="II26" i="14"/>
  <c r="GY33" i="14"/>
  <c r="IC33" i="14"/>
  <c r="GU46" i="14"/>
  <c r="HY46" i="14"/>
  <c r="GQ17" i="14"/>
  <c r="HU17" i="14"/>
  <c r="GZ22" i="14"/>
  <c r="ID22" i="14"/>
  <c r="HI29" i="14"/>
  <c r="IM29" i="14"/>
  <c r="HG46" i="14"/>
  <c r="IK46" i="14"/>
  <c r="GS17" i="14"/>
  <c r="HW17" i="14"/>
  <c r="IE22" i="14"/>
  <c r="HA22" i="14"/>
  <c r="HJ29" i="14"/>
  <c r="IN29" i="14"/>
  <c r="GK45" i="14"/>
  <c r="HO45" i="14"/>
  <c r="GK16" i="14"/>
  <c r="HO16" i="14"/>
  <c r="GT19" i="14"/>
  <c r="HX19" i="14"/>
  <c r="IG23" i="14"/>
  <c r="HC23" i="14"/>
  <c r="GP38" i="14"/>
  <c r="HT38" i="14"/>
  <c r="BH50" i="14" a="1"/>
  <c r="BH50" i="14" s="1"/>
  <c r="ET50" i="14"/>
  <c r="DP50" i="14" s="1"/>
  <c r="IA19" i="14"/>
  <c r="GW19" i="14"/>
  <c r="HV24" i="14"/>
  <c r="GR24" i="14"/>
  <c r="IC29" i="14"/>
  <c r="GY29" i="14"/>
  <c r="IK33" i="14"/>
  <c r="HG33" i="14"/>
  <c r="HA41" i="14"/>
  <c r="IE41" i="14"/>
  <c r="IE16" i="14"/>
  <c r="HA16" i="14"/>
  <c r="IM20" i="14"/>
  <c r="HI20" i="14"/>
  <c r="HD25" i="14"/>
  <c r="IH25" i="14"/>
  <c r="HK30" i="14"/>
  <c r="IO30" i="14"/>
  <c r="HY36" i="14"/>
  <c r="GU36" i="14"/>
  <c r="GW45" i="14"/>
  <c r="IA45" i="14"/>
  <c r="HM23" i="14"/>
  <c r="GI23" i="14"/>
  <c r="IF28" i="14"/>
  <c r="HB28" i="14"/>
  <c r="GR33" i="14"/>
  <c r="HV33" i="14"/>
  <c r="HG47" i="14"/>
  <c r="IK47" i="14"/>
  <c r="HV28" i="14"/>
  <c r="GR28" i="14"/>
  <c r="HK33" i="14"/>
  <c r="IO33" i="14"/>
  <c r="HB38" i="14"/>
  <c r="IF38" i="14"/>
  <c r="GI47" i="14"/>
  <c r="HM47" i="14"/>
  <c r="HT19" i="14"/>
  <c r="GP19" i="14"/>
  <c r="IN23" i="14"/>
  <c r="HJ23" i="14"/>
  <c r="HW28" i="14"/>
  <c r="GS28" i="14"/>
  <c r="HF34" i="14"/>
  <c r="IJ34" i="14"/>
  <c r="HC40" i="14"/>
  <c r="IG40" i="14"/>
  <c r="GL48" i="14"/>
  <c r="HP48" i="14"/>
  <c r="HI45" i="14"/>
  <c r="IM45" i="14"/>
  <c r="HQ24" i="14"/>
  <c r="GM24" i="14"/>
  <c r="HM28" i="14"/>
  <c r="GI28" i="14"/>
  <c r="HS39" i="14"/>
  <c r="GO39" i="14"/>
  <c r="GS48" i="14"/>
  <c r="HW48" i="14"/>
  <c r="HI47" i="14"/>
  <c r="IM47" i="14"/>
  <c r="ID33" i="14"/>
  <c r="GZ33" i="14"/>
  <c r="HZ37" i="14"/>
  <c r="GV37" i="14"/>
  <c r="IG42" i="14"/>
  <c r="HC42" i="14"/>
  <c r="IB47" i="14"/>
  <c r="GX47" i="14"/>
  <c r="IF33" i="14"/>
  <c r="HB33" i="14"/>
  <c r="HO38" i="14"/>
  <c r="GK38" i="14"/>
  <c r="II42" i="14"/>
  <c r="HE42" i="14"/>
  <c r="HQ48" i="14"/>
  <c r="GM48" i="14"/>
  <c r="IF34" i="14"/>
  <c r="HB34" i="14"/>
  <c r="HO39" i="14"/>
  <c r="GK39" i="14"/>
  <c r="II43" i="14"/>
  <c r="HE43" i="14"/>
  <c r="HQ49" i="14"/>
  <c r="GM49" i="14"/>
  <c r="IB39" i="14"/>
  <c r="GX39" i="14"/>
  <c r="IJ43" i="14"/>
  <c r="HF43" i="14"/>
  <c r="ID49" i="14"/>
  <c r="GZ49" i="14"/>
  <c r="IF36" i="14"/>
  <c r="HB36" i="14"/>
  <c r="HO41" i="14"/>
  <c r="GK41" i="14"/>
  <c r="II45" i="14"/>
  <c r="HE45" i="14"/>
  <c r="HQ41" i="14"/>
  <c r="GM41" i="14"/>
  <c r="HM45" i="14"/>
  <c r="GI45" i="14"/>
  <c r="IF50" i="14"/>
  <c r="HB50" i="14"/>
  <c r="HV93" i="14"/>
  <c r="GR93" i="14"/>
  <c r="GL94" i="14"/>
  <c r="HP94" i="14"/>
  <c r="GZ94" i="14"/>
  <c r="ID94" i="14"/>
  <c r="GY103" i="14"/>
  <c r="IC103" i="14"/>
  <c r="HM93" i="14"/>
  <c r="GI93" i="14"/>
  <c r="IM93" i="14"/>
  <c r="HI93" i="14"/>
  <c r="HM103" i="14"/>
  <c r="GI103" i="14"/>
  <c r="GK56" i="14"/>
  <c r="HO56" i="14"/>
  <c r="GN57" i="14"/>
  <c r="HR57" i="14"/>
  <c r="GV58" i="14"/>
  <c r="HZ58" i="14"/>
  <c r="HA56" i="14"/>
  <c r="IE56" i="14"/>
  <c r="HU56" i="14"/>
  <c r="GQ56" i="14"/>
  <c r="GJ58" i="14"/>
  <c r="HN58" i="14"/>
  <c r="IK55" i="14"/>
  <c r="HG55" i="14"/>
  <c r="GZ57" i="14"/>
  <c r="ID57" i="14"/>
  <c r="HW58" i="14"/>
  <c r="GS58" i="14"/>
  <c r="IK58" i="14"/>
  <c r="HG58" i="14"/>
  <c r="IE90" i="14"/>
  <c r="HA90" i="14"/>
  <c r="HO90" i="14"/>
  <c r="GK90" i="14"/>
  <c r="HC6" i="14"/>
  <c r="IG6" i="14"/>
  <c r="HE6" i="14"/>
  <c r="II6" i="14"/>
  <c r="GS7" i="14"/>
  <c r="HW7" i="14"/>
  <c r="HE8" i="14"/>
  <c r="II8" i="14"/>
  <c r="HN7" i="14"/>
  <c r="GJ7" i="14"/>
  <c r="IA7" i="14"/>
  <c r="GW7" i="14"/>
  <c r="IB7" i="14"/>
  <c r="GX7" i="14"/>
  <c r="IC7" i="14"/>
  <c r="GY7" i="14"/>
  <c r="IP7" i="14"/>
  <c r="HL7" i="14"/>
  <c r="HT6" i="14"/>
  <c r="GP6" i="14"/>
  <c r="GT65" i="14"/>
  <c r="HX65" i="14"/>
  <c r="GT68" i="14"/>
  <c r="HX68" i="14"/>
  <c r="HG65" i="14"/>
  <c r="IK65" i="14"/>
  <c r="IL65" i="14"/>
  <c r="HH65" i="14"/>
  <c r="HD66" i="14"/>
  <c r="IH66" i="14"/>
  <c r="IG67" i="14"/>
  <c r="HC67" i="14"/>
  <c r="IF68" i="14"/>
  <c r="HB68" i="14"/>
  <c r="HS68" i="14"/>
  <c r="GO68" i="14"/>
  <c r="HT66" i="14"/>
  <c r="GP66" i="14"/>
  <c r="GY11" i="14"/>
  <c r="IC11" i="14"/>
  <c r="GP10" i="14"/>
  <c r="HT10" i="14"/>
  <c r="HW10" i="14"/>
  <c r="GS10" i="14"/>
  <c r="IJ11" i="14"/>
  <c r="HF11" i="14"/>
  <c r="IL11" i="14"/>
  <c r="HH11" i="14"/>
  <c r="HD71" i="14"/>
  <c r="IH71" i="14"/>
  <c r="GS72" i="14"/>
  <c r="HW72" i="14"/>
  <c r="HL71" i="14"/>
  <c r="IP71" i="14"/>
  <c r="IC73" i="14"/>
  <c r="GY73" i="14"/>
  <c r="HI70" i="14"/>
  <c r="IM70" i="14"/>
  <c r="GX70" i="14"/>
  <c r="IB70" i="14"/>
  <c r="IC70" i="14"/>
  <c r="GY70" i="14"/>
  <c r="ID70" i="14"/>
  <c r="GZ70" i="14"/>
  <c r="IH70" i="14"/>
  <c r="HD70" i="14"/>
  <c r="HS69" i="14"/>
  <c r="GO69" i="14"/>
  <c r="H69" i="20" s="1"/>
  <c r="GS69" i="14"/>
  <c r="L69" i="20" s="1"/>
  <c r="HW69" i="14"/>
  <c r="IC69" i="14"/>
  <c r="GY69" i="14"/>
  <c r="R69" i="20" s="1"/>
  <c r="C174" i="3"/>
  <c r="D173" i="3"/>
  <c r="AP5" i="9"/>
  <c r="M5" i="9"/>
  <c r="AB78" i="12"/>
  <c r="P78" i="12"/>
  <c r="AA78" i="12"/>
  <c r="O78" i="12"/>
  <c r="Z78" i="12"/>
  <c r="N78" i="12"/>
  <c r="Y78" i="12"/>
  <c r="M78" i="12"/>
  <c r="AJ78" i="12"/>
  <c r="X78" i="12"/>
  <c r="L78" i="12"/>
  <c r="AI78" i="12"/>
  <c r="W78" i="12"/>
  <c r="K78" i="12"/>
  <c r="AG78" i="12"/>
  <c r="U78" i="12"/>
  <c r="I78" i="12"/>
  <c r="Q78" i="12"/>
  <c r="J78" i="12"/>
  <c r="H78" i="12"/>
  <c r="AH78" i="12"/>
  <c r="G78" i="12"/>
  <c r="AF78" i="12"/>
  <c r="AE78" i="12"/>
  <c r="AD78" i="12"/>
  <c r="AC78" i="12"/>
  <c r="V78" i="12"/>
  <c r="T78" i="12"/>
  <c r="S78" i="12"/>
  <c r="R78" i="12"/>
  <c r="AF82" i="12"/>
  <c r="T82" i="12"/>
  <c r="H82" i="12"/>
  <c r="AE82" i="12"/>
  <c r="S82" i="12"/>
  <c r="G82" i="12"/>
  <c r="AD82" i="12"/>
  <c r="R82" i="12"/>
  <c r="AC82" i="12"/>
  <c r="Q82" i="12"/>
  <c r="AB82" i="12"/>
  <c r="P82" i="12"/>
  <c r="AA82" i="12"/>
  <c r="O82" i="12"/>
  <c r="Y82" i="12"/>
  <c r="M82" i="12"/>
  <c r="U82" i="12"/>
  <c r="N82" i="12"/>
  <c r="L82" i="12"/>
  <c r="K82" i="12"/>
  <c r="AJ82" i="12"/>
  <c r="J82" i="12"/>
  <c r="AI82" i="12"/>
  <c r="I82" i="12"/>
  <c r="AH82" i="12"/>
  <c r="AG82" i="12"/>
  <c r="Z82" i="12"/>
  <c r="W82" i="12"/>
  <c r="V82" i="12"/>
  <c r="X82" i="12"/>
  <c r="AD104" i="12"/>
  <c r="R104" i="12"/>
  <c r="AC104" i="12"/>
  <c r="Q104" i="12"/>
  <c r="AB104" i="12"/>
  <c r="P104" i="12"/>
  <c r="AA104" i="12"/>
  <c r="O104" i="12"/>
  <c r="Z104" i="12"/>
  <c r="N104" i="12"/>
  <c r="Y104" i="12"/>
  <c r="M104" i="12"/>
  <c r="AI104" i="12"/>
  <c r="W104" i="12"/>
  <c r="K104" i="12"/>
  <c r="T104" i="12"/>
  <c r="S104" i="12"/>
  <c r="L104" i="12"/>
  <c r="J104" i="12"/>
  <c r="AJ104" i="12"/>
  <c r="I104" i="12"/>
  <c r="AH104" i="12"/>
  <c r="H104" i="12"/>
  <c r="AG104" i="12"/>
  <c r="G104" i="12"/>
  <c r="AF104" i="12"/>
  <c r="AE104" i="12"/>
  <c r="X104" i="12"/>
  <c r="V104" i="12"/>
  <c r="U104" i="12"/>
  <c r="HK54" i="14"/>
  <c r="IO54" i="14"/>
  <c r="GN53" i="14"/>
  <c r="HR53" i="14"/>
  <c r="GY52" i="14"/>
  <c r="IC52" i="14"/>
  <c r="HD52" i="14"/>
  <c r="IH52" i="14"/>
  <c r="IG54" i="14"/>
  <c r="HC54" i="14"/>
  <c r="IA51" i="14"/>
  <c r="GW51" i="14"/>
  <c r="IN51" i="14"/>
  <c r="HJ51" i="14"/>
  <c r="IO51" i="14"/>
  <c r="HK51" i="14"/>
  <c r="HR52" i="14"/>
  <c r="GN52" i="14"/>
  <c r="GL91" i="14"/>
  <c r="HP91" i="14"/>
  <c r="HY91" i="14"/>
  <c r="GU91" i="14"/>
  <c r="GY61" i="14"/>
  <c r="IC61" i="14"/>
  <c r="GV59" i="14"/>
  <c r="HZ59" i="14"/>
  <c r="GK60" i="14"/>
  <c r="HO60" i="14"/>
  <c r="GX60" i="14"/>
  <c r="IB60" i="14"/>
  <c r="GN59" i="14"/>
  <c r="HR59" i="14"/>
  <c r="IF59" i="14"/>
  <c r="HB59" i="14"/>
  <c r="HS61" i="14"/>
  <c r="GO61" i="14"/>
  <c r="IG60" i="14"/>
  <c r="HC60" i="14"/>
  <c r="HX59" i="14"/>
  <c r="GT59" i="14"/>
  <c r="HW61" i="14"/>
  <c r="GS61" i="14"/>
  <c r="GI63" i="14"/>
  <c r="HM63" i="14"/>
  <c r="IO63" i="14"/>
  <c r="HK63" i="14"/>
  <c r="HQ64" i="14"/>
  <c r="GM64" i="14"/>
  <c r="IC74" i="14"/>
  <c r="GY74" i="14"/>
  <c r="HV75" i="14"/>
  <c r="GR75" i="14"/>
  <c r="GL74" i="14"/>
  <c r="HP74" i="14"/>
  <c r="GQ74" i="14"/>
  <c r="HU74" i="14"/>
  <c r="IL75" i="14"/>
  <c r="HH75" i="14"/>
  <c r="HE75" i="14"/>
  <c r="II75" i="14"/>
  <c r="GR77" i="14"/>
  <c r="HV77" i="14"/>
  <c r="HM76" i="14"/>
  <c r="GI76" i="14"/>
  <c r="IB76" i="14"/>
  <c r="GX76" i="14"/>
  <c r="IC76" i="14"/>
  <c r="GY76" i="14"/>
  <c r="HQ77" i="14"/>
  <c r="GM77" i="14"/>
  <c r="GR39" i="14"/>
  <c r="HV39" i="14"/>
  <c r="GK13" i="14"/>
  <c r="HO13" i="14"/>
  <c r="GQ38" i="14"/>
  <c r="HU38" i="14"/>
  <c r="GR36" i="14"/>
  <c r="HV36" i="14"/>
  <c r="GW27" i="14"/>
  <c r="IA27" i="14"/>
  <c r="HL26" i="14"/>
  <c r="IP26" i="14"/>
  <c r="GN20" i="14"/>
  <c r="HR20" i="14"/>
  <c r="GU15" i="14"/>
  <c r="HY15" i="14"/>
  <c r="HE31" i="14"/>
  <c r="II31" i="14"/>
  <c r="GV19" i="14"/>
  <c r="HZ19" i="14"/>
  <c r="HD18" i="14"/>
  <c r="IH18" i="14"/>
  <c r="GJ15" i="14"/>
  <c r="HN15" i="14"/>
  <c r="IJ18" i="14"/>
  <c r="HF18" i="14"/>
  <c r="GU24" i="14"/>
  <c r="HY24" i="14"/>
  <c r="HM30" i="14"/>
  <c r="GI30" i="14"/>
  <c r="HI49" i="14"/>
  <c r="IM49" i="14"/>
  <c r="GW15" i="14"/>
  <c r="IA15" i="14"/>
  <c r="GY21" i="14"/>
  <c r="IC21" i="14"/>
  <c r="HH30" i="14"/>
  <c r="IL30" i="14"/>
  <c r="GY43" i="14"/>
  <c r="IC43" i="14"/>
  <c r="GL15" i="14"/>
  <c r="HP15" i="14"/>
  <c r="HJ20" i="14"/>
  <c r="IN20" i="14"/>
  <c r="GX29" i="14"/>
  <c r="IB29" i="14"/>
  <c r="GV35" i="14"/>
  <c r="HZ35" i="14"/>
  <c r="HB12" i="14"/>
  <c r="IF12" i="14"/>
  <c r="HB17" i="14"/>
  <c r="IF17" i="14"/>
  <c r="GL21" i="14"/>
  <c r="HP21" i="14"/>
  <c r="HH28" i="14"/>
  <c r="IL28" i="14"/>
  <c r="HF36" i="14"/>
  <c r="IJ36" i="14"/>
  <c r="IG12" i="14"/>
  <c r="HC12" i="14"/>
  <c r="GU18" i="14"/>
  <c r="HY18" i="14"/>
  <c r="GZ25" i="14"/>
  <c r="ID25" i="14"/>
  <c r="IF35" i="14"/>
  <c r="HB35" i="14"/>
  <c r="IF14" i="14"/>
  <c r="HB14" i="14"/>
  <c r="GO21" i="14"/>
  <c r="HS21" i="14"/>
  <c r="HJ28" i="14"/>
  <c r="IN28" i="14"/>
  <c r="II12" i="14"/>
  <c r="HE12" i="14"/>
  <c r="HF19" i="14"/>
  <c r="IJ19" i="14"/>
  <c r="GM27" i="14"/>
  <c r="HQ27" i="14"/>
  <c r="HG17" i="14"/>
  <c r="IK17" i="14"/>
  <c r="HA23" i="14"/>
  <c r="IE23" i="14"/>
  <c r="GV30" i="14"/>
  <c r="HZ30" i="14"/>
  <c r="HM12" i="14"/>
  <c r="GI12" i="14"/>
  <c r="HH17" i="14"/>
  <c r="IL17" i="14"/>
  <c r="IF23" i="14"/>
  <c r="HB23" i="14"/>
  <c r="GW30" i="14"/>
  <c r="IA30" i="14"/>
  <c r="HB16" i="14"/>
  <c r="IF16" i="14"/>
  <c r="HK19" i="14"/>
  <c r="IO19" i="14"/>
  <c r="HS24" i="14"/>
  <c r="GO24" i="14"/>
  <c r="ID31" i="14"/>
  <c r="GZ31" i="14"/>
  <c r="GQ50" i="14"/>
  <c r="HU50" i="14"/>
  <c r="IM19" i="14"/>
  <c r="HI19" i="14"/>
  <c r="IH24" i="14"/>
  <c r="HD24" i="14"/>
  <c r="IO29" i="14"/>
  <c r="HK29" i="14"/>
  <c r="GW34" i="14"/>
  <c r="IA34" i="14"/>
  <c r="HA42" i="14"/>
  <c r="IE42" i="14"/>
  <c r="HR17" i="14"/>
  <c r="GN17" i="14"/>
  <c r="HN21" i="14"/>
  <c r="GJ21" i="14"/>
  <c r="GQ26" i="14"/>
  <c r="HU26" i="14"/>
  <c r="GL31" i="14"/>
  <c r="HP31" i="14"/>
  <c r="GI37" i="14"/>
  <c r="HM37" i="14"/>
  <c r="GZ46" i="14"/>
  <c r="ID46" i="14"/>
  <c r="HY23" i="14"/>
  <c r="GU23" i="14"/>
  <c r="HS29" i="14"/>
  <c r="GO29" i="14"/>
  <c r="HI33" i="14"/>
  <c r="IM33" i="14"/>
  <c r="GV38" i="14"/>
  <c r="HZ38" i="14"/>
  <c r="HG48" i="14"/>
  <c r="IK48" i="14"/>
  <c r="IH28" i="14"/>
  <c r="HD28" i="14"/>
  <c r="GK34" i="14"/>
  <c r="HO34" i="14"/>
  <c r="HC39" i="14"/>
  <c r="IG39" i="14"/>
  <c r="HK47" i="14"/>
  <c r="IO47" i="14"/>
  <c r="IF19" i="14"/>
  <c r="HB19" i="14"/>
  <c r="HO24" i="14"/>
  <c r="GK24" i="14"/>
  <c r="II28" i="14"/>
  <c r="HE28" i="14"/>
  <c r="GU35" i="14"/>
  <c r="HY35" i="14"/>
  <c r="GN41" i="14"/>
  <c r="HR41" i="14"/>
  <c r="GK49" i="14"/>
  <c r="HO49" i="14"/>
  <c r="GJ46" i="14"/>
  <c r="HN46" i="14"/>
  <c r="IC24" i="14"/>
  <c r="GY24" i="14"/>
  <c r="HY28" i="14"/>
  <c r="GU28" i="14"/>
  <c r="GQ34" i="14"/>
  <c r="HU34" i="14"/>
  <c r="IK39" i="14"/>
  <c r="HG39" i="14"/>
  <c r="GJ48" i="14"/>
  <c r="HN48" i="14"/>
  <c r="IP33" i="14"/>
  <c r="HL33" i="14"/>
  <c r="IL37" i="14"/>
  <c r="HH37" i="14"/>
  <c r="HT43" i="14"/>
  <c r="GP43" i="14"/>
  <c r="IN47" i="14"/>
  <c r="HJ47" i="14"/>
  <c r="HS34" i="14"/>
  <c r="GO34" i="14"/>
  <c r="IA38" i="14"/>
  <c r="GW38" i="14"/>
  <c r="HV43" i="14"/>
  <c r="GR43" i="14"/>
  <c r="IC48" i="14"/>
  <c r="GY48" i="14"/>
  <c r="HS35" i="14"/>
  <c r="GO35" i="14"/>
  <c r="IA39" i="14"/>
  <c r="GW39" i="14"/>
  <c r="HV44" i="14"/>
  <c r="GR44" i="14"/>
  <c r="IC49" i="14"/>
  <c r="GY49" i="14"/>
  <c r="IN39" i="14"/>
  <c r="HJ39" i="14"/>
  <c r="HW44" i="14"/>
  <c r="GS44" i="14"/>
  <c r="IP49" i="14"/>
  <c r="HL49" i="14"/>
  <c r="HS37" i="14"/>
  <c r="GO37" i="14"/>
  <c r="IA41" i="14"/>
  <c r="GW41" i="14"/>
  <c r="HV46" i="14"/>
  <c r="GR46" i="14"/>
  <c r="IC41" i="14"/>
  <c r="GY41" i="14"/>
  <c r="HY45" i="14"/>
  <c r="GU45" i="14"/>
  <c r="GJ93" i="14"/>
  <c r="HN93" i="14"/>
  <c r="HI94" i="14"/>
  <c r="IM94" i="14"/>
  <c r="EP93" i="14"/>
  <c r="DL93" i="14" s="1"/>
  <c r="BD93" i="14" a="1"/>
  <c r="BD93" i="14" s="1"/>
  <c r="HL94" i="14"/>
  <c r="IP94" i="14"/>
  <c r="GZ103" i="14"/>
  <c r="ID103" i="14"/>
  <c r="HY93" i="14"/>
  <c r="GU93" i="14"/>
  <c r="HN94" i="14"/>
  <c r="GJ94" i="14"/>
  <c r="HY103" i="14"/>
  <c r="GU103" i="14"/>
  <c r="GX55" i="14"/>
  <c r="IB55" i="14"/>
  <c r="HU58" i="14"/>
  <c r="GQ58" i="14"/>
  <c r="GO55" i="14"/>
  <c r="HS55" i="14"/>
  <c r="GP57" i="14"/>
  <c r="HT57" i="14"/>
  <c r="IG56" i="14"/>
  <c r="HC56" i="14"/>
  <c r="IG58" i="14"/>
  <c r="HC58" i="14"/>
  <c r="HX56" i="14"/>
  <c r="GT56" i="14"/>
  <c r="GO58" i="14"/>
  <c r="HS58" i="14"/>
  <c r="II58" i="14"/>
  <c r="HE58" i="14"/>
  <c r="IK90" i="14"/>
  <c r="HG90" i="14"/>
  <c r="HB90" i="14"/>
  <c r="IF90" i="14"/>
  <c r="IA90" i="14"/>
  <c r="GW90" i="14"/>
  <c r="GJ6" i="14"/>
  <c r="HN6" i="14"/>
  <c r="GS6" i="14"/>
  <c r="HW6" i="14"/>
  <c r="GQ7" i="14"/>
  <c r="HU7" i="14"/>
  <c r="GU7" i="14"/>
  <c r="HY7" i="14"/>
  <c r="HE7" i="14"/>
  <c r="II7" i="14"/>
  <c r="GR9" i="14"/>
  <c r="HV9" i="14"/>
  <c r="HZ7" i="14"/>
  <c r="GV7" i="14"/>
  <c r="IM7" i="14"/>
  <c r="HI7" i="14"/>
  <c r="IN7" i="14"/>
  <c r="HJ7" i="14"/>
  <c r="IO7" i="14"/>
  <c r="HK7" i="14"/>
  <c r="HQ8" i="14"/>
  <c r="GM8" i="14"/>
  <c r="IF6" i="14"/>
  <c r="HB6" i="14"/>
  <c r="G159" i="3"/>
  <c r="G134" i="3"/>
  <c r="G56" i="3" s="1"/>
  <c r="H109" i="3"/>
  <c r="HW68" i="14"/>
  <c r="GS68" i="14"/>
  <c r="IL67" i="14"/>
  <c r="HH67" i="14"/>
  <c r="GJ66" i="14"/>
  <c r="HN66" i="14"/>
  <c r="IM66" i="14"/>
  <c r="HI66" i="14"/>
  <c r="IL68" i="14"/>
  <c r="HH68" i="14"/>
  <c r="GN66" i="14"/>
  <c r="HR66" i="14"/>
  <c r="GO66" i="14"/>
  <c r="HS66" i="14"/>
  <c r="GN67" i="14"/>
  <c r="HR67" i="14"/>
  <c r="HP68" i="14"/>
  <c r="GL68" i="14"/>
  <c r="HC68" i="14"/>
  <c r="IG68" i="14"/>
  <c r="IF66" i="14"/>
  <c r="HB66" i="14"/>
  <c r="E161" i="3"/>
  <c r="E136" i="3"/>
  <c r="E58" i="3" s="1"/>
  <c r="F111" i="3"/>
  <c r="GZ11" i="14"/>
  <c r="ID11" i="14"/>
  <c r="HB10" i="14"/>
  <c r="IF10" i="14"/>
  <c r="II10" i="14"/>
  <c r="HE10" i="14"/>
  <c r="HN10" i="14"/>
  <c r="GJ10" i="14"/>
  <c r="HP10" i="14"/>
  <c r="GL10" i="14"/>
  <c r="IK72" i="14"/>
  <c r="HG72" i="14"/>
  <c r="IJ73" i="14"/>
  <c r="HF73" i="14"/>
  <c r="GR73" i="14"/>
  <c r="HV73" i="14"/>
  <c r="GU72" i="14"/>
  <c r="HY72" i="14"/>
  <c r="GP70" i="14"/>
  <c r="HT70" i="14"/>
  <c r="ID71" i="14"/>
  <c r="GZ71" i="14"/>
  <c r="HJ70" i="14"/>
  <c r="IN70" i="14"/>
  <c r="IO70" i="14"/>
  <c r="HK70" i="14"/>
  <c r="IP70" i="14"/>
  <c r="HL70" i="14"/>
  <c r="HU71" i="14"/>
  <c r="GQ71" i="14"/>
  <c r="GJ69" i="14"/>
  <c r="C69" i="20" s="1"/>
  <c r="HN69" i="14"/>
  <c r="IG69" i="14"/>
  <c r="HC69" i="14"/>
  <c r="V69" i="20" s="1"/>
  <c r="IK69" i="14"/>
  <c r="HG69" i="14"/>
  <c r="Z69" i="20" s="1"/>
  <c r="IO69" i="14"/>
  <c r="HK69" i="14"/>
  <c r="AD69" i="20" s="1"/>
  <c r="EH10" i="14"/>
  <c r="DD10" i="14" s="1"/>
  <c r="BU10" i="14"/>
  <c r="G6" i="43" s="1"/>
  <c r="AK124" i="11"/>
  <c r="AP124" i="11"/>
  <c r="AE105" i="12"/>
  <c r="S105" i="12"/>
  <c r="G105" i="12"/>
  <c r="AD105" i="12"/>
  <c r="R105" i="12"/>
  <c r="AC105" i="12"/>
  <c r="Q105" i="12"/>
  <c r="AB105" i="12"/>
  <c r="P105" i="12"/>
  <c r="AA105" i="12"/>
  <c r="O105" i="12"/>
  <c r="Z105" i="12"/>
  <c r="N105" i="12"/>
  <c r="AJ105" i="12"/>
  <c r="X105" i="12"/>
  <c r="L105" i="12"/>
  <c r="AH105" i="12"/>
  <c r="H105" i="12"/>
  <c r="AG105" i="12"/>
  <c r="AF105" i="12"/>
  <c r="Y105" i="12"/>
  <c r="W105" i="12"/>
  <c r="V105" i="12"/>
  <c r="U105" i="12"/>
  <c r="T105" i="12"/>
  <c r="M105" i="12"/>
  <c r="K105" i="12"/>
  <c r="J105" i="12"/>
  <c r="I105" i="12"/>
  <c r="AI105" i="12"/>
  <c r="AE81" i="12"/>
  <c r="S81" i="12"/>
  <c r="G81" i="12"/>
  <c r="AD81" i="12"/>
  <c r="R81" i="12"/>
  <c r="AC81" i="12"/>
  <c r="Q81" i="12"/>
  <c r="AB81" i="12"/>
  <c r="P81" i="12"/>
  <c r="AA81" i="12"/>
  <c r="O81" i="12"/>
  <c r="Z81" i="12"/>
  <c r="N81" i="12"/>
  <c r="AJ81" i="12"/>
  <c r="X81" i="12"/>
  <c r="L81" i="12"/>
  <c r="AF81" i="12"/>
  <c r="Y81" i="12"/>
  <c r="W81" i="12"/>
  <c r="V81" i="12"/>
  <c r="U81" i="12"/>
  <c r="T81" i="12"/>
  <c r="M81" i="12"/>
  <c r="K81" i="12"/>
  <c r="J81" i="12"/>
  <c r="AI81" i="12"/>
  <c r="AH81" i="12"/>
  <c r="AG81" i="12"/>
  <c r="I81" i="12"/>
  <c r="H81" i="12"/>
  <c r="T10" i="20"/>
  <c r="F434" i="20"/>
  <c r="F432" i="20" s="1"/>
  <c r="R67" i="20"/>
  <c r="Z100" i="12"/>
  <c r="N100" i="12"/>
  <c r="Y100" i="12"/>
  <c r="M100" i="12"/>
  <c r="AJ100" i="12"/>
  <c r="X100" i="12"/>
  <c r="L100" i="12"/>
  <c r="AI100" i="12"/>
  <c r="W100" i="12"/>
  <c r="K100" i="12"/>
  <c r="AH100" i="12"/>
  <c r="V100" i="12"/>
  <c r="J100" i="12"/>
  <c r="AG100" i="12"/>
  <c r="U100" i="12"/>
  <c r="I100" i="12"/>
  <c r="AE100" i="12"/>
  <c r="S100" i="12"/>
  <c r="G100" i="12"/>
  <c r="P100" i="12"/>
  <c r="O100" i="12"/>
  <c r="H100" i="12"/>
  <c r="AF100" i="12"/>
  <c r="AD100" i="12"/>
  <c r="AC100" i="12"/>
  <c r="AB100" i="12"/>
  <c r="AA100" i="12"/>
  <c r="R100" i="12"/>
  <c r="Q100" i="12"/>
  <c r="T100" i="12"/>
  <c r="GS53" i="14"/>
  <c r="HW53" i="14"/>
  <c r="GM54" i="14"/>
  <c r="HQ54" i="14"/>
  <c r="GP53" i="14"/>
  <c r="HT53" i="14"/>
  <c r="HA53" i="14"/>
  <c r="IE53" i="14"/>
  <c r="GQ53" i="14"/>
  <c r="HU53" i="14"/>
  <c r="HN51" i="14"/>
  <c r="GJ51" i="14"/>
  <c r="IM51" i="14"/>
  <c r="HI51" i="14"/>
  <c r="HO52" i="14"/>
  <c r="GK52" i="14"/>
  <c r="HP52" i="14"/>
  <c r="GL52" i="14"/>
  <c r="ID52" i="14"/>
  <c r="GZ52" i="14"/>
  <c r="GX91" i="14"/>
  <c r="IB91" i="14"/>
  <c r="IK91" i="14"/>
  <c r="HG91" i="14"/>
  <c r="HF61" i="14"/>
  <c r="IJ61" i="14"/>
  <c r="HG62" i="14"/>
  <c r="IK62" i="14"/>
  <c r="HG60" i="14"/>
  <c r="IK60" i="14"/>
  <c r="ES62" i="14"/>
  <c r="DO62" i="14" s="1"/>
  <c r="CA62" i="14"/>
  <c r="M58" i="43" s="1"/>
  <c r="GW60" i="14"/>
  <c r="IA60" i="14"/>
  <c r="HJ60" i="14"/>
  <c r="IN60" i="14"/>
  <c r="GZ59" i="14"/>
  <c r="ID59" i="14"/>
  <c r="HS60" i="14"/>
  <c r="GO60" i="14"/>
  <c r="IE61" i="14"/>
  <c r="HA61" i="14"/>
  <c r="HT61" i="14"/>
  <c r="GP61" i="14"/>
  <c r="IJ59" i="14"/>
  <c r="HF59" i="14"/>
  <c r="II61" i="14"/>
  <c r="HE61" i="14"/>
  <c r="HF63" i="14"/>
  <c r="IJ63" i="14"/>
  <c r="HC63" i="14"/>
  <c r="IG63" i="14"/>
  <c r="HT64" i="14"/>
  <c r="GP64" i="14"/>
  <c r="GU63" i="14"/>
  <c r="HY63" i="14"/>
  <c r="HP64" i="14"/>
  <c r="GL64" i="14"/>
  <c r="IC64" i="14"/>
  <c r="GY64" i="14"/>
  <c r="AD116" i="12"/>
  <c r="R116" i="12"/>
  <c r="AC116" i="12"/>
  <c r="Q116" i="12"/>
  <c r="AB116" i="12"/>
  <c r="P116" i="12"/>
  <c r="AA116" i="12"/>
  <c r="O116" i="12"/>
  <c r="Z116" i="12"/>
  <c r="N116" i="12"/>
  <c r="Y116" i="12"/>
  <c r="M116" i="12"/>
  <c r="AI116" i="12"/>
  <c r="W116" i="12"/>
  <c r="K116" i="12"/>
  <c r="AH116" i="12"/>
  <c r="H116" i="12"/>
  <c r="AG116" i="12"/>
  <c r="G116" i="12"/>
  <c r="AF116" i="12"/>
  <c r="AE116" i="12"/>
  <c r="X116" i="12"/>
  <c r="V116" i="12"/>
  <c r="U116" i="12"/>
  <c r="T116" i="12"/>
  <c r="S116" i="12"/>
  <c r="L116" i="12"/>
  <c r="J116" i="12"/>
  <c r="I116" i="12"/>
  <c r="AJ116" i="12"/>
  <c r="HT75" i="14"/>
  <c r="GP75" i="14"/>
  <c r="HA76" i="14"/>
  <c r="IE76" i="14"/>
  <c r="HJ74" i="14"/>
  <c r="IN74" i="14"/>
  <c r="EL75" i="14"/>
  <c r="DH75" i="14" s="1"/>
  <c r="AZ75" i="14" a="1"/>
  <c r="AZ75" i="14" s="1"/>
  <c r="BT75" i="14"/>
  <c r="F71" i="43" s="1"/>
  <c r="GO76" i="14"/>
  <c r="HS76" i="14"/>
  <c r="GR76" i="14"/>
  <c r="HV76" i="14"/>
  <c r="HD77" i="14"/>
  <c r="IH77" i="14"/>
  <c r="HY76" i="14"/>
  <c r="GU76" i="14"/>
  <c r="IN76" i="14"/>
  <c r="HJ76" i="14"/>
  <c r="IO76" i="14"/>
  <c r="HK76" i="14"/>
  <c r="IC77" i="14"/>
  <c r="GY77" i="14"/>
  <c r="GW12" i="14"/>
  <c r="IA12" i="14"/>
  <c r="ER50" i="14"/>
  <c r="DN50" i="14" s="1"/>
  <c r="BZ50" i="14"/>
  <c r="L46" i="43" s="1"/>
  <c r="GY12" i="14"/>
  <c r="IC12" i="14"/>
  <c r="HD30" i="14"/>
  <c r="IH30" i="14"/>
  <c r="HK21" i="14"/>
  <c r="IO21" i="14"/>
  <c r="IB27" i="14"/>
  <c r="GX27" i="14"/>
  <c r="EL21" i="14"/>
  <c r="DH21" i="14" s="1"/>
  <c r="BT21" i="14"/>
  <c r="F17" i="43" s="1"/>
  <c r="HC16" i="14"/>
  <c r="IG16" i="14"/>
  <c r="GN34" i="14"/>
  <c r="HR34" i="14"/>
  <c r="HD20" i="14"/>
  <c r="IH20" i="14"/>
  <c r="HL19" i="14"/>
  <c r="IP19" i="14"/>
  <c r="GV15" i="14"/>
  <c r="HZ15" i="14"/>
  <c r="IK30" i="14"/>
  <c r="HG30" i="14"/>
  <c r="GO50" i="14"/>
  <c r="HS50" i="14"/>
  <c r="HI15" i="14"/>
  <c r="IM15" i="14"/>
  <c r="GP22" i="14"/>
  <c r="HT22" i="14"/>
  <c r="GI31" i="14"/>
  <c r="HM31" i="14"/>
  <c r="GI44" i="14"/>
  <c r="HM44" i="14"/>
  <c r="GX15" i="14"/>
  <c r="IB15" i="14"/>
  <c r="GK21" i="14"/>
  <c r="HO21" i="14"/>
  <c r="GK30" i="14"/>
  <c r="HO30" i="14"/>
  <c r="GO13" i="14"/>
  <c r="HS13" i="14"/>
  <c r="HB21" i="14"/>
  <c r="IF21" i="14"/>
  <c r="IF29" i="14"/>
  <c r="HB29" i="14"/>
  <c r="HT13" i="14"/>
  <c r="GP13" i="14"/>
  <c r="HL18" i="14"/>
  <c r="IP18" i="14"/>
  <c r="GZ26" i="14"/>
  <c r="ID26" i="14"/>
  <c r="HG36" i="14"/>
  <c r="IK36" i="14"/>
  <c r="HS15" i="14"/>
  <c r="GO15" i="14"/>
  <c r="HD21" i="14"/>
  <c r="IH21" i="14"/>
  <c r="GI29" i="14"/>
  <c r="HM29" i="14"/>
  <c r="HD35" i="14"/>
  <c r="IH35" i="14"/>
  <c r="HV13" i="14"/>
  <c r="GR13" i="14"/>
  <c r="GY20" i="14"/>
  <c r="IC20" i="14"/>
  <c r="HK27" i="14"/>
  <c r="IO27" i="14"/>
  <c r="HX12" i="14"/>
  <c r="GT12" i="14"/>
  <c r="GI18" i="14"/>
  <c r="HM18" i="14"/>
  <c r="GU31" i="14"/>
  <c r="HY31" i="14"/>
  <c r="HY12" i="14"/>
  <c r="GU12" i="14"/>
  <c r="GJ18" i="14"/>
  <c r="HN18" i="14"/>
  <c r="GN24" i="14"/>
  <c r="HR24" i="14"/>
  <c r="HN12" i="14"/>
  <c r="GJ12" i="14"/>
  <c r="GM20" i="14"/>
  <c r="HQ20" i="14"/>
  <c r="HJ24" i="14"/>
  <c r="IN24" i="14"/>
  <c r="GP39" i="14"/>
  <c r="HT39" i="14"/>
  <c r="HR16" i="14"/>
  <c r="GN16" i="14"/>
  <c r="HN20" i="14"/>
  <c r="GJ20" i="14"/>
  <c r="HU25" i="14"/>
  <c r="GQ25" i="14"/>
  <c r="HP30" i="14"/>
  <c r="GL30" i="14"/>
  <c r="GM35" i="14"/>
  <c r="HQ35" i="14"/>
  <c r="HA43" i="14"/>
  <c r="IE43" i="14"/>
  <c r="ID17" i="14"/>
  <c r="GZ17" i="14"/>
  <c r="HZ21" i="14"/>
  <c r="GV21" i="14"/>
  <c r="HC26" i="14"/>
  <c r="IG26" i="14"/>
  <c r="GX31" i="14"/>
  <c r="IB31" i="14"/>
  <c r="HD37" i="14"/>
  <c r="IH37" i="14"/>
  <c r="HF47" i="14"/>
  <c r="IJ47" i="14"/>
  <c r="IK23" i="14"/>
  <c r="HG23" i="14"/>
  <c r="IE29" i="14"/>
  <c r="HA29" i="14"/>
  <c r="IE39" i="14"/>
  <c r="HA39" i="14"/>
  <c r="HU29" i="14"/>
  <c r="GQ29" i="14"/>
  <c r="HE34" i="14"/>
  <c r="II34" i="14"/>
  <c r="HB40" i="14"/>
  <c r="IF40" i="14"/>
  <c r="GI48" i="14"/>
  <c r="HM48" i="14"/>
  <c r="HS20" i="14"/>
  <c r="GO20" i="14"/>
  <c r="IA24" i="14"/>
  <c r="GW24" i="14"/>
  <c r="HV29" i="14"/>
  <c r="GR29" i="14"/>
  <c r="GI36" i="14"/>
  <c r="HM36" i="14"/>
  <c r="HL41" i="14"/>
  <c r="IP41" i="14"/>
  <c r="HD50" i="14"/>
  <c r="IH50" i="14"/>
  <c r="HL46" i="14"/>
  <c r="IP46" i="14"/>
  <c r="IO24" i="14"/>
  <c r="HK24" i="14"/>
  <c r="IK28" i="14"/>
  <c r="HG28" i="14"/>
  <c r="HH34" i="14"/>
  <c r="IL34" i="14"/>
  <c r="HR40" i="14"/>
  <c r="GN40" i="14"/>
  <c r="GR49" i="14"/>
  <c r="HV49" i="14"/>
  <c r="GV48" i="14"/>
  <c r="HZ48" i="14"/>
  <c r="HQ34" i="14"/>
  <c r="GM34" i="14"/>
  <c r="HM38" i="14"/>
  <c r="GI38" i="14"/>
  <c r="IF43" i="14"/>
  <c r="HB43" i="14"/>
  <c r="HO48" i="14"/>
  <c r="GK48" i="14"/>
  <c r="IE34" i="14"/>
  <c r="HA34" i="14"/>
  <c r="IM38" i="14"/>
  <c r="HI38" i="14"/>
  <c r="IH43" i="14"/>
  <c r="HD43" i="14"/>
  <c r="IO48" i="14"/>
  <c r="HK48" i="14"/>
  <c r="IE35" i="14"/>
  <c r="HA35" i="14"/>
  <c r="IM39" i="14"/>
  <c r="HI39" i="14"/>
  <c r="IH44" i="14"/>
  <c r="HD44" i="14"/>
  <c r="IO49" i="14"/>
  <c r="HK49" i="14"/>
  <c r="HO40" i="14"/>
  <c r="GK40" i="14"/>
  <c r="II44" i="14"/>
  <c r="HE44" i="14"/>
  <c r="HQ50" i="14"/>
  <c r="GM50" i="14"/>
  <c r="IE37" i="14"/>
  <c r="HA37" i="14"/>
  <c r="IM41" i="14"/>
  <c r="HI41" i="14"/>
  <c r="IH46" i="14"/>
  <c r="HD46" i="14"/>
  <c r="IO41" i="14"/>
  <c r="HK41" i="14"/>
  <c r="IK45" i="14"/>
  <c r="HG45" i="14"/>
  <c r="GW94" i="14"/>
  <c r="IA94" i="14"/>
  <c r="HZ93" i="14"/>
  <c r="GV93" i="14"/>
  <c r="IL93" i="14"/>
  <c r="HH93" i="14"/>
  <c r="GO103" i="14"/>
  <c r="HS103" i="14"/>
  <c r="HW93" i="14"/>
  <c r="GS93" i="14"/>
  <c r="IK93" i="14"/>
  <c r="HG93" i="14"/>
  <c r="HZ94" i="14"/>
  <c r="GV94" i="14"/>
  <c r="IK103" i="14"/>
  <c r="HG103" i="14"/>
  <c r="HK56" i="14"/>
  <c r="IO56" i="14"/>
  <c r="GL57" i="14"/>
  <c r="HP57" i="14"/>
  <c r="GL55" i="14"/>
  <c r="HP55" i="14"/>
  <c r="HA55" i="14"/>
  <c r="IE55" i="14"/>
  <c r="HE57" i="14"/>
  <c r="II57" i="14"/>
  <c r="HV57" i="14"/>
  <c r="GR57" i="14"/>
  <c r="HX55" i="14"/>
  <c r="GT55" i="14"/>
  <c r="IJ56" i="14"/>
  <c r="HF56" i="14"/>
  <c r="GY57" i="14"/>
  <c r="IC57" i="14"/>
  <c r="IN58" i="14"/>
  <c r="HJ58" i="14"/>
  <c r="HM57" i="14"/>
  <c r="GI57" i="14"/>
  <c r="HK90" i="14"/>
  <c r="IO90" i="14"/>
  <c r="HC90" i="14"/>
  <c r="IG90" i="14"/>
  <c r="IM90" i="14"/>
  <c r="HI90" i="14"/>
  <c r="GI7" i="14"/>
  <c r="HM7" i="14"/>
  <c r="HA8" i="14"/>
  <c r="IE8" i="14"/>
  <c r="HC8" i="14"/>
  <c r="IG8" i="14"/>
  <c r="GR8" i="14"/>
  <c r="HV8" i="14"/>
  <c r="HD9" i="14"/>
  <c r="IH9" i="14"/>
  <c r="IL7" i="14"/>
  <c r="HH7" i="14"/>
  <c r="HN8" i="14"/>
  <c r="GJ8" i="14"/>
  <c r="HO8" i="14"/>
  <c r="GK8" i="14"/>
  <c r="HP8" i="14"/>
  <c r="GL8" i="14"/>
  <c r="IC8" i="14"/>
  <c r="GY8" i="14"/>
  <c r="HS7" i="14"/>
  <c r="GO7" i="14"/>
  <c r="HZ67" i="14"/>
  <c r="GV67" i="14"/>
  <c r="HF68" i="14"/>
  <c r="IJ68" i="14"/>
  <c r="HD65" i="14"/>
  <c r="IH65" i="14"/>
  <c r="GU67" i="14"/>
  <c r="HY67" i="14"/>
  <c r="HQ66" i="14"/>
  <c r="GM66" i="14"/>
  <c r="HA66" i="14"/>
  <c r="IE66" i="14"/>
  <c r="HC66" i="14"/>
  <c r="IG66" i="14"/>
  <c r="HB67" i="14"/>
  <c r="IF67" i="14"/>
  <c r="IC68" i="14"/>
  <c r="GY68" i="14"/>
  <c r="HS65" i="14"/>
  <c r="GO65" i="14"/>
  <c r="HS67" i="14"/>
  <c r="GO67" i="14"/>
  <c r="HJ11" i="14"/>
  <c r="IN11" i="14"/>
  <c r="GO11" i="14"/>
  <c r="HS11" i="14"/>
  <c r="HV11" i="14"/>
  <c r="GR11" i="14"/>
  <c r="HZ10" i="14"/>
  <c r="GV10" i="14"/>
  <c r="IB10" i="14"/>
  <c r="GX10" i="14"/>
  <c r="HK72" i="14"/>
  <c r="IO72" i="14"/>
  <c r="GU70" i="14"/>
  <c r="HY70" i="14"/>
  <c r="HL73" i="14"/>
  <c r="IP73" i="14"/>
  <c r="GT73" i="14"/>
  <c r="HX73" i="14"/>
  <c r="HG70" i="14"/>
  <c r="IK70" i="14"/>
  <c r="HM72" i="14"/>
  <c r="GI72" i="14"/>
  <c r="GK71" i="14"/>
  <c r="HO71" i="14"/>
  <c r="HP71" i="14"/>
  <c r="GL71" i="14"/>
  <c r="GM71" i="14"/>
  <c r="HQ71" i="14"/>
  <c r="IG71" i="14"/>
  <c r="HC71" i="14"/>
  <c r="E151" i="20"/>
  <c r="GT69" i="14"/>
  <c r="M69" i="20" s="1"/>
  <c r="HX69" i="14"/>
  <c r="HR69" i="14"/>
  <c r="GN69" i="14"/>
  <c r="G69" i="20" s="1"/>
  <c r="N125" i="3"/>
  <c r="M47" i="3"/>
  <c r="G105" i="3" l="1"/>
  <c r="F130" i="3"/>
  <c r="F52" i="3" s="1"/>
  <c r="F155" i="3"/>
  <c r="BL48" i="14" a="1"/>
  <c r="BL48" i="14" s="1"/>
  <c r="CP48" i="14" s="1"/>
  <c r="AB44" i="43" s="1"/>
  <c r="BJ64" i="14" a="1"/>
  <c r="BJ64" i="14" s="1"/>
  <c r="CN64" i="14" s="1"/>
  <c r="Z60" i="43" s="1"/>
  <c r="BO7" i="14" a="1"/>
  <c r="BO7" i="14" s="1"/>
  <c r="CS7" i="14" s="1"/>
  <c r="AE3" i="43" s="1"/>
  <c r="BO66" i="14" a="1"/>
  <c r="BO66" i="14" s="1"/>
  <c r="CS66" i="14" s="1"/>
  <c r="AE62" i="43" s="1"/>
  <c r="F108" i="43"/>
  <c r="G108" i="43"/>
  <c r="E108" i="43"/>
  <c r="E110" i="43" s="1"/>
  <c r="H108" i="43"/>
  <c r="G111" i="12"/>
  <c r="L111" i="12"/>
  <c r="X111" i="12"/>
  <c r="AH109" i="12"/>
  <c r="S111" i="12"/>
  <c r="R111" i="12"/>
  <c r="J111" i="12"/>
  <c r="AJ111" i="12"/>
  <c r="O111" i="12"/>
  <c r="Z111" i="12"/>
  <c r="AD111" i="12"/>
  <c r="V111" i="12"/>
  <c r="M111" i="12"/>
  <c r="AA111" i="12"/>
  <c r="V350" i="20" s="1"/>
  <c r="V349" i="20" s="1"/>
  <c r="H111" i="12"/>
  <c r="AH111" i="12"/>
  <c r="Y111" i="12"/>
  <c r="P111" i="12"/>
  <c r="N111" i="12"/>
  <c r="AB111" i="12"/>
  <c r="T111" i="12"/>
  <c r="K111" i="12"/>
  <c r="E14" i="12"/>
  <c r="BA102" i="14" a="1"/>
  <c r="BA102" i="14" s="1"/>
  <c r="BD102" i="14" s="1" a="1"/>
  <c r="BD102" i="14" s="1"/>
  <c r="U111" i="12"/>
  <c r="AJ109" i="12"/>
  <c r="AE369" i="20" s="1"/>
  <c r="AE368" i="20" s="1"/>
  <c r="AG111" i="12"/>
  <c r="AC111" i="12"/>
  <c r="AF111" i="12"/>
  <c r="AI91" i="43"/>
  <c r="AI84" i="43"/>
  <c r="C33" i="20"/>
  <c r="I33" i="20"/>
  <c r="CI7" i="14"/>
  <c r="U3" i="43" s="1"/>
  <c r="L42" i="10"/>
  <c r="AA112" i="12"/>
  <c r="U112" i="12"/>
  <c r="Q109" i="12"/>
  <c r="K109" i="12"/>
  <c r="G79" i="12"/>
  <c r="S79" i="12"/>
  <c r="AH79" i="12"/>
  <c r="O79" i="12"/>
  <c r="G77" i="12"/>
  <c r="H79" i="12"/>
  <c r="T79" i="12"/>
  <c r="L79" i="12"/>
  <c r="AA79" i="12"/>
  <c r="V369" i="20" s="1"/>
  <c r="V368" i="20" s="1"/>
  <c r="T77" i="12"/>
  <c r="AD77" i="12"/>
  <c r="P109" i="12"/>
  <c r="AF79" i="12"/>
  <c r="U79" i="12"/>
  <c r="X79" i="12"/>
  <c r="P79" i="12"/>
  <c r="I77" i="12"/>
  <c r="R77" i="12"/>
  <c r="AG79" i="12"/>
  <c r="W79" i="12"/>
  <c r="AJ79" i="12"/>
  <c r="AE350" i="20" s="1"/>
  <c r="AE349" i="20" s="1"/>
  <c r="AB79" i="12"/>
  <c r="H109" i="12"/>
  <c r="AI79" i="12"/>
  <c r="AD79" i="12"/>
  <c r="M79" i="12"/>
  <c r="Q79" i="12"/>
  <c r="AC109" i="12"/>
  <c r="T109" i="12"/>
  <c r="I79" i="12"/>
  <c r="AE79" i="12"/>
  <c r="Z350" i="20" s="1"/>
  <c r="Z349" i="20" s="1"/>
  <c r="Y79" i="12"/>
  <c r="AC79" i="12"/>
  <c r="AG77" i="12"/>
  <c r="Y109" i="12"/>
  <c r="S109" i="12"/>
  <c r="AA109" i="12"/>
  <c r="J109" i="12"/>
  <c r="K79" i="12"/>
  <c r="J79" i="12"/>
  <c r="H33" i="20"/>
  <c r="C185" i="20"/>
  <c r="F33" i="20"/>
  <c r="Z109" i="12"/>
  <c r="X109" i="12"/>
  <c r="AE109" i="12"/>
  <c r="V109" i="12"/>
  <c r="Z77" i="12"/>
  <c r="AH77" i="12"/>
  <c r="P77" i="12"/>
  <c r="Y77" i="12"/>
  <c r="V77" i="12"/>
  <c r="K77" i="12"/>
  <c r="M77" i="12"/>
  <c r="J77" i="12"/>
  <c r="AJ77" i="12"/>
  <c r="AF77" i="12"/>
  <c r="S77" i="12"/>
  <c r="L77" i="12"/>
  <c r="H77" i="12"/>
  <c r="AI77" i="12"/>
  <c r="AB77" i="12"/>
  <c r="W77" i="12"/>
  <c r="U77" i="12"/>
  <c r="E64" i="12"/>
  <c r="Z64" i="12" s="1"/>
  <c r="AE77" i="12"/>
  <c r="L109" i="12"/>
  <c r="AB109" i="12"/>
  <c r="AF109" i="12"/>
  <c r="W109" i="12"/>
  <c r="M109" i="12"/>
  <c r="H369" i="20" s="1"/>
  <c r="H368" i="20" s="1"/>
  <c r="R109" i="12"/>
  <c r="I109" i="12"/>
  <c r="AI109" i="12"/>
  <c r="X77" i="12"/>
  <c r="Q77" i="12"/>
  <c r="N109" i="12"/>
  <c r="I369" i="20" s="1"/>
  <c r="I368" i="20" s="1"/>
  <c r="AD109" i="12"/>
  <c r="U109" i="12"/>
  <c r="N77" i="12"/>
  <c r="O109" i="12"/>
  <c r="G109" i="12"/>
  <c r="AC77" i="12"/>
  <c r="AA77" i="12"/>
  <c r="H112" i="12"/>
  <c r="AB112" i="12"/>
  <c r="AG112" i="12"/>
  <c r="X112" i="12"/>
  <c r="AF112" i="12"/>
  <c r="AC112" i="12"/>
  <c r="J112" i="12"/>
  <c r="AJ112" i="12"/>
  <c r="O112" i="12"/>
  <c r="AD112" i="12"/>
  <c r="V112" i="12"/>
  <c r="M112" i="12"/>
  <c r="P112" i="12"/>
  <c r="G112" i="12"/>
  <c r="AH112" i="12"/>
  <c r="Y112" i="12"/>
  <c r="Q112" i="12"/>
  <c r="S112" i="12"/>
  <c r="K112" i="12"/>
  <c r="N112" i="12"/>
  <c r="R112" i="12"/>
  <c r="AE112" i="12"/>
  <c r="W112" i="12"/>
  <c r="Z112" i="12"/>
  <c r="T112" i="12"/>
  <c r="I112" i="12"/>
  <c r="C390" i="20"/>
  <c r="N390" i="20"/>
  <c r="T390" i="20"/>
  <c r="AE390" i="20"/>
  <c r="L390" i="20"/>
  <c r="V390" i="20"/>
  <c r="M390" i="20"/>
  <c r="AC390" i="20"/>
  <c r="O390" i="20"/>
  <c r="AO6" i="9"/>
  <c r="W390" i="20"/>
  <c r="K390" i="20"/>
  <c r="J390" i="20"/>
  <c r="Y390" i="20"/>
  <c r="G390" i="20"/>
  <c r="H390" i="20"/>
  <c r="Q390" i="20"/>
  <c r="F390" i="20"/>
  <c r="X390" i="20"/>
  <c r="AB390" i="20"/>
  <c r="BR77" i="14" a="1"/>
  <c r="BR77" i="14" s="1"/>
  <c r="CV77" i="14" s="1"/>
  <c r="AH73" i="43" s="1"/>
  <c r="G242" i="20"/>
  <c r="BG79" i="14" a="1"/>
  <c r="BG79" i="14" s="1"/>
  <c r="BO67" i="14" a="1"/>
  <c r="BO67" i="14" s="1"/>
  <c r="CS67" i="14" s="1"/>
  <c r="AE63" i="43" s="1"/>
  <c r="K249" i="20"/>
  <c r="I249" i="20"/>
  <c r="I242" i="20" s="1"/>
  <c r="D18" i="20"/>
  <c r="K56" i="20"/>
  <c r="AB97" i="20"/>
  <c r="C454" i="20"/>
  <c r="J287" i="20"/>
  <c r="L342" i="20"/>
  <c r="L337" i="20" s="1"/>
  <c r="D37" i="20"/>
  <c r="D33" i="20" s="1"/>
  <c r="K37" i="20"/>
  <c r="K33" i="20" s="1"/>
  <c r="Z287" i="20"/>
  <c r="Q37" i="20"/>
  <c r="Q33" i="20" s="1"/>
  <c r="K283" i="20"/>
  <c r="K230" i="20"/>
  <c r="AE287" i="20"/>
  <c r="J455" i="20"/>
  <c r="R56" i="20"/>
  <c r="Y455" i="20"/>
  <c r="G97" i="20"/>
  <c r="N268" i="20"/>
  <c r="W342" i="20"/>
  <c r="W337" i="20" s="1"/>
  <c r="Y192" i="20"/>
  <c r="P192" i="20"/>
  <c r="V287" i="20"/>
  <c r="E268" i="20"/>
  <c r="D284" i="20"/>
  <c r="H189" i="20"/>
  <c r="H185" i="20" s="1"/>
  <c r="P265" i="20"/>
  <c r="I455" i="20"/>
  <c r="E265" i="20"/>
  <c r="S230" i="20"/>
  <c r="M37" i="20"/>
  <c r="M33" i="20" s="1"/>
  <c r="F323" i="20"/>
  <c r="F318" i="20" s="1"/>
  <c r="G18" i="20"/>
  <c r="K323" i="20"/>
  <c r="K318" i="20" s="1"/>
  <c r="E249" i="20"/>
  <c r="F56" i="20"/>
  <c r="F52" i="20" s="1"/>
  <c r="K19" i="20"/>
  <c r="J37" i="20"/>
  <c r="J33" i="20" s="1"/>
  <c r="E283" i="20"/>
  <c r="O246" i="20"/>
  <c r="D457" i="20"/>
  <c r="C18" i="20"/>
  <c r="Q230" i="20"/>
  <c r="Q268" i="20"/>
  <c r="J230" i="20"/>
  <c r="F287" i="20"/>
  <c r="S18" i="20"/>
  <c r="J268" i="20"/>
  <c r="I230" i="20"/>
  <c r="O18" i="20"/>
  <c r="K97" i="20"/>
  <c r="F192" i="20"/>
  <c r="H59" i="20"/>
  <c r="B230" i="20"/>
  <c r="R59" i="20"/>
  <c r="C249" i="20"/>
  <c r="F283" i="20"/>
  <c r="I323" i="20"/>
  <c r="I318" i="20" s="1"/>
  <c r="C342" i="20"/>
  <c r="C337" i="20" s="1"/>
  <c r="C283" i="20"/>
  <c r="E454" i="20"/>
  <c r="V342" i="20"/>
  <c r="V337" i="20" s="1"/>
  <c r="E18" i="20"/>
  <c r="D97" i="20"/>
  <c r="E342" i="20"/>
  <c r="E337" i="20" s="1"/>
  <c r="K455" i="20"/>
  <c r="W37" i="20"/>
  <c r="W33" i="20" s="1"/>
  <c r="N455" i="20"/>
  <c r="D454" i="20"/>
  <c r="O192" i="20"/>
  <c r="AA230" i="20"/>
  <c r="L287" i="20"/>
  <c r="W97" i="20"/>
  <c r="AD230" i="20"/>
  <c r="F246" i="20"/>
  <c r="F230" i="20"/>
  <c r="O59" i="20"/>
  <c r="T18" i="20"/>
  <c r="G37" i="20"/>
  <c r="G33" i="20" s="1"/>
  <c r="AC268" i="20"/>
  <c r="I192" i="20"/>
  <c r="H97" i="20"/>
  <c r="K246" i="20"/>
  <c r="AA265" i="20"/>
  <c r="AA261" i="20" s="1"/>
  <c r="H323" i="20"/>
  <c r="H318" i="20" s="1"/>
  <c r="AE268" i="20"/>
  <c r="I268" i="20"/>
  <c r="G230" i="20"/>
  <c r="L59" i="20"/>
  <c r="Z323" i="20"/>
  <c r="Z318" i="20" s="1"/>
  <c r="D56" i="20"/>
  <c r="I52" i="20"/>
  <c r="H268" i="20"/>
  <c r="K59" i="20"/>
  <c r="AA18" i="20"/>
  <c r="I97" i="20"/>
  <c r="G342" i="20"/>
  <c r="G337" i="20" s="1"/>
  <c r="Q18" i="20"/>
  <c r="C302" i="20"/>
  <c r="C299" i="20" s="1"/>
  <c r="D342" i="20"/>
  <c r="D337" i="20" s="1"/>
  <c r="X455" i="20"/>
  <c r="K265" i="20"/>
  <c r="K261" i="20" s="1"/>
  <c r="G59" i="20"/>
  <c r="I283" i="20"/>
  <c r="W230" i="20"/>
  <c r="F268" i="20"/>
  <c r="J18" i="20"/>
  <c r="D268" i="20"/>
  <c r="W59" i="20"/>
  <c r="C457" i="20"/>
  <c r="W455" i="20"/>
  <c r="B268" i="20"/>
  <c r="H455" i="20"/>
  <c r="O454" i="20"/>
  <c r="C323" i="20"/>
  <c r="C318" i="20" s="1"/>
  <c r="F454" i="20"/>
  <c r="D283" i="20"/>
  <c r="D246" i="20"/>
  <c r="F342" i="20"/>
  <c r="F337" i="20" s="1"/>
  <c r="V37" i="20"/>
  <c r="V33" i="20" s="1"/>
  <c r="C97" i="20"/>
  <c r="AB268" i="20"/>
  <c r="S455" i="20"/>
  <c r="AB342" i="20"/>
  <c r="AB337" i="20" s="1"/>
  <c r="G94" i="20"/>
  <c r="Z249" i="20"/>
  <c r="E287" i="20"/>
  <c r="D59" i="20"/>
  <c r="I342" i="20"/>
  <c r="I337" i="20" s="1"/>
  <c r="I287" i="20"/>
  <c r="E59" i="20"/>
  <c r="E52" i="20" s="1"/>
  <c r="D249" i="20"/>
  <c r="G456" i="20"/>
  <c r="E97" i="20"/>
  <c r="AA455" i="20"/>
  <c r="J283" i="20"/>
  <c r="H249" i="20"/>
  <c r="H242" i="20" s="1"/>
  <c r="E323" i="20"/>
  <c r="E318" i="20" s="1"/>
  <c r="E37" i="20"/>
  <c r="E33" i="20" s="1"/>
  <c r="I94" i="20"/>
  <c r="P455" i="20"/>
  <c r="AB59" i="20"/>
  <c r="L18" i="20"/>
  <c r="O287" i="20"/>
  <c r="P37" i="20"/>
  <c r="P33" i="20" s="1"/>
  <c r="D230" i="20"/>
  <c r="P283" i="20"/>
  <c r="M227" i="20"/>
  <c r="J56" i="20"/>
  <c r="J52" i="20" s="1"/>
  <c r="D189" i="20"/>
  <c r="D185" i="20" s="1"/>
  <c r="I18" i="20"/>
  <c r="G268" i="20"/>
  <c r="F455" i="20"/>
  <c r="B458" i="20"/>
  <c r="J454" i="20"/>
  <c r="E192" i="20"/>
  <c r="F249" i="20"/>
  <c r="G455" i="20"/>
  <c r="X268" i="20"/>
  <c r="D323" i="20"/>
  <c r="D318" i="20" s="1"/>
  <c r="J249" i="20"/>
  <c r="K454" i="20"/>
  <c r="Y287" i="20"/>
  <c r="Z192" i="20"/>
  <c r="AD287" i="20"/>
  <c r="I227" i="20"/>
  <c r="AA287" i="20"/>
  <c r="K457" i="20"/>
  <c r="L192" i="20"/>
  <c r="Z455" i="20"/>
  <c r="H230" i="20"/>
  <c r="R18" i="20"/>
  <c r="L37" i="20"/>
  <c r="L33" i="20" s="1"/>
  <c r="U37" i="20"/>
  <c r="U33" i="20" s="1"/>
  <c r="D265" i="20"/>
  <c r="H458" i="20"/>
  <c r="C288" i="20"/>
  <c r="G192" i="20"/>
  <c r="C56" i="20"/>
  <c r="C52" i="20" s="1"/>
  <c r="J457" i="20"/>
  <c r="W56" i="20"/>
  <c r="H337" i="20"/>
  <c r="Z390" i="20"/>
  <c r="F189" i="20"/>
  <c r="E390" i="20"/>
  <c r="AA390" i="20"/>
  <c r="P390" i="20"/>
  <c r="ES79" i="14"/>
  <c r="DO79" i="14" s="1"/>
  <c r="CG42" i="14"/>
  <c r="S38" i="43" s="1"/>
  <c r="CA79" i="14"/>
  <c r="M75" i="43" s="1"/>
  <c r="EN79" i="14"/>
  <c r="DJ79" i="14" s="1"/>
  <c r="EV68" i="14"/>
  <c r="DR68" i="14" s="1"/>
  <c r="JL68" i="14" s="1"/>
  <c r="EV64" i="14"/>
  <c r="DR64" i="14" s="1"/>
  <c r="JL64" i="14" s="1"/>
  <c r="I457" i="20"/>
  <c r="D140" i="3"/>
  <c r="D62" i="3" s="1"/>
  <c r="E115" i="3"/>
  <c r="D165" i="3"/>
  <c r="F117" i="3"/>
  <c r="E142" i="3"/>
  <c r="E64" i="3" s="1"/>
  <c r="E167" i="3"/>
  <c r="E162" i="3"/>
  <c r="E137" i="3"/>
  <c r="E59" i="3" s="1"/>
  <c r="F112" i="3"/>
  <c r="AP6" i="9"/>
  <c r="M6" i="9"/>
  <c r="B192" i="3"/>
  <c r="B177" i="3"/>
  <c r="H56" i="20"/>
  <c r="BM26" i="14" a="1"/>
  <c r="BM26" i="14" s="1"/>
  <c r="CQ26" i="14" s="1"/>
  <c r="AC22" i="43" s="1"/>
  <c r="FC82" i="14"/>
  <c r="DY82" i="14" s="1"/>
  <c r="FB68" i="14"/>
  <c r="DX68" i="14" s="1"/>
  <c r="K458" i="20"/>
  <c r="CG75" i="14"/>
  <c r="S71" i="43" s="1"/>
  <c r="EY75" i="14"/>
  <c r="DU75" i="14" s="1"/>
  <c r="EM102" i="14"/>
  <c r="DI102" i="14" s="1"/>
  <c r="EV81" i="14"/>
  <c r="DR81" i="14" s="1"/>
  <c r="BI49" i="14" a="1"/>
  <c r="BI49" i="14" s="1"/>
  <c r="CM49" i="14" s="1"/>
  <c r="Y45" i="43" s="1"/>
  <c r="EY58" i="14"/>
  <c r="DU58" i="14" s="1"/>
  <c r="F265" i="20"/>
  <c r="CB78" i="14"/>
  <c r="N74" i="43" s="1"/>
  <c r="EO78" i="14"/>
  <c r="DK78" i="14" s="1"/>
  <c r="ET78" i="14"/>
  <c r="DP78" i="14" s="1"/>
  <c r="BH78" i="14" a="1"/>
  <c r="BH78" i="14" s="1"/>
  <c r="EY78" i="14" s="1"/>
  <c r="DU78" i="14" s="1"/>
  <c r="G56" i="20"/>
  <c r="H155" i="20"/>
  <c r="FA67" i="14"/>
  <c r="DW67" i="14" s="1"/>
  <c r="BP68" i="14" a="1"/>
  <c r="BP68" i="14" s="1"/>
  <c r="CT68" i="14" s="1"/>
  <c r="AF64" i="43" s="1"/>
  <c r="CF81" i="14"/>
  <c r="R77" i="43" s="1"/>
  <c r="EX81" i="14"/>
  <c r="DT81" i="14" s="1"/>
  <c r="BQ82" i="14" a="1"/>
  <c r="BQ82" i="14" s="1"/>
  <c r="CU82" i="14" s="1"/>
  <c r="AG78" i="43" s="1"/>
  <c r="EW47" i="14"/>
  <c r="DS47" i="14" s="1"/>
  <c r="CL47" i="14"/>
  <c r="X43" i="43" s="1"/>
  <c r="M56" i="20"/>
  <c r="M337" i="20"/>
  <c r="EW83" i="14"/>
  <c r="DS83" i="14" s="1"/>
  <c r="FA66" i="14"/>
  <c r="DW66" i="14" s="1"/>
  <c r="CE83" i="14"/>
  <c r="Q79" i="43" s="1"/>
  <c r="X457" i="20"/>
  <c r="FD47" i="14"/>
  <c r="DZ47" i="14" s="1"/>
  <c r="EU49" i="14"/>
  <c r="DQ49" i="14" s="1"/>
  <c r="BP71" i="14" a="1"/>
  <c r="BP71" i="14" s="1"/>
  <c r="CT71" i="14" s="1"/>
  <c r="AF67" i="43" s="1"/>
  <c r="E227" i="20"/>
  <c r="E223" i="20" s="1"/>
  <c r="CH60" i="14"/>
  <c r="T56" i="43" s="1"/>
  <c r="C227" i="20"/>
  <c r="C223" i="20" s="1"/>
  <c r="EX66" i="14"/>
  <c r="DT66" i="14" s="1"/>
  <c r="CG58" i="14"/>
  <c r="S54" i="43" s="1"/>
  <c r="BN25" i="14" a="1"/>
  <c r="BN25" i="14" s="1"/>
  <c r="CR25" i="14" s="1"/>
  <c r="AD21" i="43" s="1"/>
  <c r="BL66" i="14" a="1"/>
  <c r="BL66" i="14" s="1"/>
  <c r="CP66" i="14" s="1"/>
  <c r="AB62" i="43" s="1"/>
  <c r="BK20" i="14" a="1"/>
  <c r="BK20" i="14" s="1"/>
  <c r="CO20" i="14" s="1"/>
  <c r="AA16" i="43" s="1"/>
  <c r="CH25" i="14"/>
  <c r="T21" i="43" s="1"/>
  <c r="EW20" i="14"/>
  <c r="DS20" i="14" s="1"/>
  <c r="ES86" i="14"/>
  <c r="DO86" i="14" s="1"/>
  <c r="CG103" i="14"/>
  <c r="S99" i="43" s="1"/>
  <c r="BM103" i="14" a="1"/>
  <c r="BM103" i="14" s="1"/>
  <c r="CQ103" i="14" s="1"/>
  <c r="AC99" i="43" s="1"/>
  <c r="JC83" i="14"/>
  <c r="JG83" i="14"/>
  <c r="JK83" i="14"/>
  <c r="JH83" i="14"/>
  <c r="JJ83" i="14"/>
  <c r="JE83" i="14"/>
  <c r="JF83" i="14"/>
  <c r="JD83" i="14"/>
  <c r="JI83" i="14"/>
  <c r="JB83" i="14"/>
  <c r="F227" i="20"/>
  <c r="B190" i="3"/>
  <c r="B185" i="3"/>
  <c r="B180" i="3"/>
  <c r="C458" i="20"/>
  <c r="J337" i="20"/>
  <c r="G151" i="20"/>
  <c r="FB71" i="14"/>
  <c r="DX71" i="14" s="1"/>
  <c r="AB395" i="20"/>
  <c r="CF25" i="14"/>
  <c r="R21" i="43" s="1"/>
  <c r="CG26" i="14"/>
  <c r="S22" i="43" s="1"/>
  <c r="BM54" i="14" a="1"/>
  <c r="BM54" i="14" s="1"/>
  <c r="CQ54" i="14" s="1"/>
  <c r="AC50" i="43" s="1"/>
  <c r="E458" i="20"/>
  <c r="FD73" i="14"/>
  <c r="DZ73" i="14" s="1"/>
  <c r="G457" i="20"/>
  <c r="K227" i="20"/>
  <c r="B56" i="20"/>
  <c r="B52" i="20" s="1"/>
  <c r="K337" i="20"/>
  <c r="BJ20" i="14" a="1"/>
  <c r="BJ20" i="14" s="1"/>
  <c r="CN20" i="14" s="1"/>
  <c r="Z16" i="43" s="1"/>
  <c r="FC103" i="14"/>
  <c r="DY103" i="14" s="1"/>
  <c r="BK93" i="14" a="1"/>
  <c r="BK93" i="14" s="1"/>
  <c r="CO93" i="14" s="1"/>
  <c r="AA89" i="43" s="1"/>
  <c r="FA54" i="14"/>
  <c r="DW54" i="14" s="1"/>
  <c r="CE93" i="14"/>
  <c r="Q89" i="43" s="1"/>
  <c r="EV66" i="14"/>
  <c r="DR66" i="14" s="1"/>
  <c r="BQ103" i="14" a="1"/>
  <c r="BQ103" i="14" s="1"/>
  <c r="CU103" i="14" s="1"/>
  <c r="AG99" i="43" s="1"/>
  <c r="EY47" i="14"/>
  <c r="DU47" i="14" s="1"/>
  <c r="CD66" i="14"/>
  <c r="P62" i="43" s="1"/>
  <c r="CC25" i="14"/>
  <c r="O21" i="43" s="1"/>
  <c r="CC81" i="14"/>
  <c r="O77" i="43" s="1"/>
  <c r="BI24" i="14" a="1"/>
  <c r="BI24" i="14" s="1"/>
  <c r="CM24" i="14" s="1"/>
  <c r="Y20" i="43" s="1"/>
  <c r="F453" i="20"/>
  <c r="CG25" i="14"/>
  <c r="S21" i="43" s="1"/>
  <c r="BL24" i="14" a="1"/>
  <c r="BL24" i="14" s="1"/>
  <c r="CP24" i="14" s="1"/>
  <c r="AB20" i="43" s="1"/>
  <c r="I151" i="20"/>
  <c r="CD47" i="14"/>
  <c r="P43" i="43" s="1"/>
  <c r="EV47" i="14"/>
  <c r="DR47" i="14" s="1"/>
  <c r="BM25" i="14" a="1"/>
  <c r="BM25" i="14" s="1"/>
  <c r="CQ25" i="14" s="1"/>
  <c r="AC21" i="43" s="1"/>
  <c r="EX24" i="14"/>
  <c r="DT24" i="14" s="1"/>
  <c r="J265" i="20"/>
  <c r="BL103" i="14" a="1"/>
  <c r="BL103" i="14" s="1"/>
  <c r="CP103" i="14" s="1"/>
  <c r="AB99" i="43" s="1"/>
  <c r="EX103" i="14"/>
  <c r="DT103" i="14" s="1"/>
  <c r="Q457" i="20"/>
  <c r="C246" i="20"/>
  <c r="Y246" i="20"/>
  <c r="I150" i="20"/>
  <c r="I155" i="20"/>
  <c r="O395" i="20"/>
  <c r="CE47" i="14"/>
  <c r="Q43" i="43" s="1"/>
  <c r="EU24" i="14"/>
  <c r="DQ24" i="14" s="1"/>
  <c r="FD77" i="14"/>
  <c r="DZ77" i="14" s="1"/>
  <c r="D151" i="20"/>
  <c r="D147" i="20" s="1"/>
  <c r="U246" i="20"/>
  <c r="CI47" i="14"/>
  <c r="U43" i="43" s="1"/>
  <c r="JD81" i="14"/>
  <c r="CC72" i="14"/>
  <c r="O68" i="43" s="1"/>
  <c r="CI25" i="14"/>
  <c r="U21" i="43" s="1"/>
  <c r="EV83" i="14"/>
  <c r="DR83" i="14" s="1"/>
  <c r="BJ83" i="14" a="1"/>
  <c r="BJ83" i="14" s="1"/>
  <c r="CN83" i="14" s="1"/>
  <c r="Z79" i="43" s="1"/>
  <c r="G173" i="20"/>
  <c r="G166" i="20" s="1"/>
  <c r="CJ49" i="14"/>
  <c r="V45" i="43" s="1"/>
  <c r="BJ49" i="14" a="1"/>
  <c r="BJ49" i="14" s="1"/>
  <c r="CN49" i="14" s="1"/>
  <c r="Z45" i="43" s="1"/>
  <c r="CF41" i="14"/>
  <c r="R37" i="43" s="1"/>
  <c r="FB49" i="14"/>
  <c r="DX49" i="14" s="1"/>
  <c r="EY39" i="14"/>
  <c r="DU39" i="14" s="1"/>
  <c r="D227" i="20"/>
  <c r="F395" i="20"/>
  <c r="EV49" i="14"/>
  <c r="DR49" i="14" s="1"/>
  <c r="BN43" i="14" a="1"/>
  <c r="BN43" i="14" s="1"/>
  <c r="CR43" i="14" s="1"/>
  <c r="AD39" i="43" s="1"/>
  <c r="EX25" i="14"/>
  <c r="DT25" i="14" s="1"/>
  <c r="BN82" i="14" a="1"/>
  <c r="BN82" i="14" s="1"/>
  <c r="CR82" i="14" s="1"/>
  <c r="AD78" i="43" s="1"/>
  <c r="BM39" i="14" a="1"/>
  <c r="BM39" i="14" s="1"/>
  <c r="CQ39" i="14" s="1"/>
  <c r="AC35" i="43" s="1"/>
  <c r="EZ82" i="14"/>
  <c r="DV82" i="14" s="1"/>
  <c r="J318" i="20"/>
  <c r="H173" i="20"/>
  <c r="H166" i="20" s="1"/>
  <c r="ET79" i="14"/>
  <c r="DP79" i="14" s="1"/>
  <c r="BJ50" i="14" a="1"/>
  <c r="BJ50" i="14" s="1"/>
  <c r="CN50" i="14" s="1"/>
  <c r="Z46" i="43" s="1"/>
  <c r="CG54" i="14"/>
  <c r="S50" i="43" s="1"/>
  <c r="BO23" i="14" a="1"/>
  <c r="BO23" i="14" s="1"/>
  <c r="CS23" i="14" s="1"/>
  <c r="AE19" i="43" s="1"/>
  <c r="BG86" i="14" a="1"/>
  <c r="BG86" i="14" s="1"/>
  <c r="BL86" i="14" s="1" a="1"/>
  <c r="BL86" i="14" s="1"/>
  <c r="O174" i="20"/>
  <c r="CI54" i="14"/>
  <c r="U50" i="43" s="1"/>
  <c r="EV50" i="14"/>
  <c r="DR50" i="14" s="1"/>
  <c r="CE62" i="14"/>
  <c r="Q58" i="43" s="1"/>
  <c r="CG79" i="14"/>
  <c r="S75" i="43" s="1"/>
  <c r="AZ10" i="14" a="1"/>
  <c r="AZ10" i="14" s="1"/>
  <c r="CD10" i="14" s="1"/>
  <c r="P6" i="43" s="1"/>
  <c r="CK81" i="14"/>
  <c r="W77" i="43" s="1"/>
  <c r="BM23" i="14" a="1"/>
  <c r="BM23" i="14" s="1"/>
  <c r="CQ23" i="14" s="1"/>
  <c r="AC19" i="43" s="1"/>
  <c r="G265" i="20"/>
  <c r="BI66" i="14" a="1"/>
  <c r="BI66" i="14" s="1"/>
  <c r="CM66" i="14" s="1"/>
  <c r="Y62" i="43" s="1"/>
  <c r="BR76" i="14" a="1"/>
  <c r="BR76" i="14" s="1"/>
  <c r="CV76" i="14" s="1"/>
  <c r="AH72" i="43" s="1"/>
  <c r="BQ48" i="14" a="1"/>
  <c r="BQ48" i="14" s="1"/>
  <c r="CU48" i="14" s="1"/>
  <c r="AG44" i="43" s="1"/>
  <c r="G189" i="20"/>
  <c r="AA173" i="20"/>
  <c r="CI64" i="14"/>
  <c r="U60" i="43" s="1"/>
  <c r="CG23" i="14"/>
  <c r="S19" i="43" s="1"/>
  <c r="EU66" i="14"/>
  <c r="DQ66" i="14" s="1"/>
  <c r="E395" i="20"/>
  <c r="CI23" i="14"/>
  <c r="U19" i="43" s="1"/>
  <c r="FB20" i="14"/>
  <c r="DX20" i="14" s="1"/>
  <c r="AD189" i="20"/>
  <c r="BQ81" i="14" a="1"/>
  <c r="BQ81" i="14" s="1"/>
  <c r="CU81" i="14" s="1"/>
  <c r="AG77" i="43" s="1"/>
  <c r="CE48" i="14"/>
  <c r="Q44" i="43" s="1"/>
  <c r="CB79" i="14"/>
  <c r="N75" i="43" s="1"/>
  <c r="G284" i="20"/>
  <c r="FC48" i="14"/>
  <c r="DY48" i="14" s="1"/>
  <c r="E147" i="20"/>
  <c r="EO79" i="14"/>
  <c r="DK79" i="14" s="1"/>
  <c r="EU61" i="14"/>
  <c r="DQ61" i="14" s="1"/>
  <c r="JK61" i="14" s="1"/>
  <c r="CC61" i="14"/>
  <c r="O57" i="43" s="1"/>
  <c r="CG7" i="14"/>
  <c r="S3" i="43" s="1"/>
  <c r="EW48" i="14"/>
  <c r="DS48" i="14" s="1"/>
  <c r="CI61" i="14"/>
  <c r="U57" i="43" s="1"/>
  <c r="BO49" i="14" a="1"/>
  <c r="BO49" i="14" s="1"/>
  <c r="CS49" i="14" s="1"/>
  <c r="AE45" i="43" s="1"/>
  <c r="BO61" i="14" a="1"/>
  <c r="BO61" i="14" s="1"/>
  <c r="CS61" i="14" s="1"/>
  <c r="AE57" i="43" s="1"/>
  <c r="P395" i="20"/>
  <c r="FA77" i="14"/>
  <c r="DW77" i="14" s="1"/>
  <c r="EZ43" i="14"/>
  <c r="DV43" i="14" s="1"/>
  <c r="BO77" i="14" a="1"/>
  <c r="BO77" i="14" s="1"/>
  <c r="CS77" i="14" s="1"/>
  <c r="AE73" i="43" s="1"/>
  <c r="AD154" i="20"/>
  <c r="CQ87" i="14"/>
  <c r="AC83" i="43" s="1"/>
  <c r="CH42" i="14"/>
  <c r="T38" i="43" s="1"/>
  <c r="CL87" i="14"/>
  <c r="X83" i="43" s="1"/>
  <c r="BN8" i="14" a="1"/>
  <c r="BN8" i="14" s="1"/>
  <c r="CR8" i="14" s="1"/>
  <c r="AD4" i="43" s="1"/>
  <c r="CK83" i="14"/>
  <c r="W79" i="43" s="1"/>
  <c r="G227" i="20"/>
  <c r="P174" i="20"/>
  <c r="EZ42" i="14"/>
  <c r="DV42" i="14" s="1"/>
  <c r="JC81" i="14"/>
  <c r="EZ39" i="14"/>
  <c r="DV39" i="14" s="1"/>
  <c r="L154" i="20"/>
  <c r="FA47" i="14"/>
  <c r="DW47" i="14" s="1"/>
  <c r="CL49" i="14"/>
  <c r="X45" i="43" s="1"/>
  <c r="CL20" i="14"/>
  <c r="X16" i="43" s="1"/>
  <c r="CK73" i="14"/>
  <c r="W69" i="43" s="1"/>
  <c r="EU27" i="14"/>
  <c r="DQ27" i="14" s="1"/>
  <c r="BY86" i="14"/>
  <c r="K82" i="43" s="1"/>
  <c r="H227" i="20"/>
  <c r="FD64" i="14"/>
  <c r="DZ64" i="14" s="1"/>
  <c r="BR64" i="14" a="1"/>
  <c r="BR64" i="14" s="1"/>
  <c r="CV64" i="14" s="1"/>
  <c r="AH60" i="43" s="1"/>
  <c r="CC27" i="14"/>
  <c r="O23" i="43" s="1"/>
  <c r="BR73" i="14" a="1"/>
  <c r="BR73" i="14" s="1"/>
  <c r="CV73" i="14" s="1"/>
  <c r="AH69" i="43" s="1"/>
  <c r="EL86" i="14"/>
  <c r="DH86" i="14" s="1"/>
  <c r="C265" i="20"/>
  <c r="C261" i="20" s="1"/>
  <c r="T154" i="20"/>
  <c r="BQ47" i="14" a="1"/>
  <c r="BQ47" i="14" s="1"/>
  <c r="CU47" i="14" s="1"/>
  <c r="AG43" i="43" s="1"/>
  <c r="BR87" i="14" a="1"/>
  <c r="BR87" i="14" s="1"/>
  <c r="CV87" i="14" s="1"/>
  <c r="AH83" i="43" s="1"/>
  <c r="E302" i="20"/>
  <c r="E299" i="20" s="1"/>
  <c r="EY77" i="14"/>
  <c r="DU77" i="14" s="1"/>
  <c r="BM47" i="14" a="1"/>
  <c r="BM47" i="14" s="1"/>
  <c r="CQ47" i="14" s="1"/>
  <c r="AC43" i="43" s="1"/>
  <c r="E189" i="20"/>
  <c r="FB21" i="14"/>
  <c r="DX21" i="14" s="1"/>
  <c r="CG77" i="14"/>
  <c r="S73" i="43" s="1"/>
  <c r="CG43" i="14"/>
  <c r="S39" i="43" s="1"/>
  <c r="CH62" i="14"/>
  <c r="T58" i="43" s="1"/>
  <c r="Z395" i="20"/>
  <c r="FC47" i="14"/>
  <c r="DY47" i="14" s="1"/>
  <c r="BZ78" i="14"/>
  <c r="L74" i="43" s="1"/>
  <c r="E94" i="20"/>
  <c r="FD20" i="14"/>
  <c r="DZ20" i="14" s="1"/>
  <c r="CJ21" i="14"/>
  <c r="V17" i="43" s="1"/>
  <c r="BN39" i="14" a="1"/>
  <c r="BN39" i="14" s="1"/>
  <c r="CR39" i="14" s="1"/>
  <c r="AD35" i="43" s="1"/>
  <c r="EY43" i="14"/>
  <c r="DU43" i="14" s="1"/>
  <c r="EU76" i="14"/>
  <c r="DQ76" i="14" s="1"/>
  <c r="JK76" i="14" s="1"/>
  <c r="CZ177" i="14"/>
  <c r="F26" i="21" s="1"/>
  <c r="K302" i="20"/>
  <c r="K299" i="20" s="1"/>
  <c r="FC71" i="14"/>
  <c r="DY71" i="14" s="1"/>
  <c r="EZ8" i="14"/>
  <c r="DV8" i="14" s="1"/>
  <c r="FC46" i="14"/>
  <c r="DY46" i="14" s="1"/>
  <c r="BK26" i="14" a="1"/>
  <c r="BK26" i="14" s="1"/>
  <c r="CO26" i="14" s="1"/>
  <c r="AA22" i="43" s="1"/>
  <c r="O150" i="20"/>
  <c r="BP40" i="14" a="1"/>
  <c r="BP40" i="14" s="1"/>
  <c r="CT40" i="14" s="1"/>
  <c r="AF36" i="43" s="1"/>
  <c r="J19" i="20"/>
  <c r="Q395" i="20"/>
  <c r="J284" i="20"/>
  <c r="EV27" i="14"/>
  <c r="DR27" i="14" s="1"/>
  <c r="FA103" i="14"/>
  <c r="DW103" i="14" s="1"/>
  <c r="FC26" i="14"/>
  <c r="DY26" i="14" s="1"/>
  <c r="BP81" i="14" a="1"/>
  <c r="BP81" i="14" s="1"/>
  <c r="CT81" i="14" s="1"/>
  <c r="AF77" i="43" s="1"/>
  <c r="FB40" i="14"/>
  <c r="DX40" i="14" s="1"/>
  <c r="CD27" i="14"/>
  <c r="P23" i="43" s="1"/>
  <c r="CK93" i="14"/>
  <c r="W89" i="43" s="1"/>
  <c r="H265" i="20"/>
  <c r="H150" i="20"/>
  <c r="FB73" i="14"/>
  <c r="DX73" i="14" s="1"/>
  <c r="F457" i="20"/>
  <c r="CD61" i="14"/>
  <c r="P57" i="43" s="1"/>
  <c r="FC83" i="14"/>
  <c r="DY83" i="14" s="1"/>
  <c r="J227" i="20"/>
  <c r="J94" i="20"/>
  <c r="J90" i="20" s="1"/>
  <c r="BK27" i="14" a="1"/>
  <c r="BK27" i="14" s="1"/>
  <c r="CO27" i="14" s="1"/>
  <c r="AA23" i="43" s="1"/>
  <c r="CG87" i="14"/>
  <c r="S83" i="43" s="1"/>
  <c r="EV39" i="14"/>
  <c r="DR39" i="14" s="1"/>
  <c r="C395" i="20"/>
  <c r="EW27" i="14"/>
  <c r="DS27" i="14" s="1"/>
  <c r="BI60" i="14" a="1"/>
  <c r="BI60" i="14" s="1"/>
  <c r="CM60" i="14" s="1"/>
  <c r="Y56" i="43" s="1"/>
  <c r="BQ93" i="14" a="1"/>
  <c r="BQ93" i="14" s="1"/>
  <c r="CU93" i="14" s="1"/>
  <c r="AG89" i="43" s="1"/>
  <c r="CG71" i="14"/>
  <c r="S67" i="43" s="1"/>
  <c r="BJ39" i="14" a="1"/>
  <c r="BJ39" i="14" s="1"/>
  <c r="CN39" i="14" s="1"/>
  <c r="Z35" i="43" s="1"/>
  <c r="CD48" i="14"/>
  <c r="P44" i="43" s="1"/>
  <c r="K395" i="20"/>
  <c r="EY87" i="14"/>
  <c r="DU87" i="14" s="1"/>
  <c r="D395" i="20"/>
  <c r="CK71" i="14"/>
  <c r="W67" i="43" s="1"/>
  <c r="BN60" i="14" a="1"/>
  <c r="BN60" i="14" s="1"/>
  <c r="CR60" i="14" s="1"/>
  <c r="AD56" i="43" s="1"/>
  <c r="E284" i="20"/>
  <c r="CL81" i="14"/>
  <c r="X77" i="43" s="1"/>
  <c r="CA11" i="14"/>
  <c r="M7" i="43" s="1"/>
  <c r="C147" i="20"/>
  <c r="EN11" i="14"/>
  <c r="DJ11" i="14" s="1"/>
  <c r="R94" i="20"/>
  <c r="JB81" i="14"/>
  <c r="B185" i="20"/>
  <c r="BK61" i="14" a="1"/>
  <c r="BK61" i="14" s="1"/>
  <c r="CO61" i="14" s="1"/>
  <c r="AA57" i="43" s="1"/>
  <c r="BR81" i="14" a="1"/>
  <c r="BR81" i="14" s="1"/>
  <c r="CV81" i="14" s="1"/>
  <c r="AH77" i="43" s="1"/>
  <c r="K173" i="20"/>
  <c r="CG27" i="14"/>
  <c r="S23" i="43" s="1"/>
  <c r="Z174" i="20"/>
  <c r="BL43" i="14" a="1"/>
  <c r="BL43" i="14" s="1"/>
  <c r="CP43" i="14" s="1"/>
  <c r="AB39" i="43" s="1"/>
  <c r="CF11" i="14"/>
  <c r="R7" i="43" s="1"/>
  <c r="BO8" i="14" a="1"/>
  <c r="BO8" i="14" s="1"/>
  <c r="CS8" i="14" s="1"/>
  <c r="AE4" i="43" s="1"/>
  <c r="BI7" i="14" a="1"/>
  <c r="BI7" i="14" s="1"/>
  <c r="CM7" i="14" s="1"/>
  <c r="Y3" i="43" s="1"/>
  <c r="BQ46" i="14" a="1"/>
  <c r="BQ46" i="14" s="1"/>
  <c r="CU46" i="14" s="1"/>
  <c r="AG42" i="43" s="1"/>
  <c r="FC43" i="14"/>
  <c r="DY43" i="14" s="1"/>
  <c r="BP20" i="14" a="1"/>
  <c r="BP20" i="14" s="1"/>
  <c r="CT20" i="14" s="1"/>
  <c r="AF16" i="43" s="1"/>
  <c r="AD171" i="20"/>
  <c r="JE81" i="14"/>
  <c r="BP72" i="14" a="1"/>
  <c r="BP72" i="14" s="1"/>
  <c r="CT72" i="14" s="1"/>
  <c r="AF68" i="43" s="1"/>
  <c r="BR49" i="14" a="1"/>
  <c r="BR49" i="14" s="1"/>
  <c r="CV49" i="14" s="1"/>
  <c r="AH45" i="43" s="1"/>
  <c r="AA174" i="20"/>
  <c r="FC67" i="14"/>
  <c r="DY67" i="14" s="1"/>
  <c r="BR40" i="14" a="1"/>
  <c r="BR40" i="14" s="1"/>
  <c r="CV40" i="14" s="1"/>
  <c r="AH36" i="43" s="1"/>
  <c r="CE61" i="14"/>
  <c r="Q57" i="43" s="1"/>
  <c r="BN62" i="14" a="1"/>
  <c r="BN62" i="14" s="1"/>
  <c r="CR62" i="14" s="1"/>
  <c r="AD58" i="43" s="1"/>
  <c r="J189" i="20"/>
  <c r="J185" i="20" s="1"/>
  <c r="BQ67" i="14" a="1"/>
  <c r="BQ67" i="14" s="1"/>
  <c r="CU67" i="14" s="1"/>
  <c r="AG63" i="43" s="1"/>
  <c r="CD20" i="14"/>
  <c r="P16" i="43" s="1"/>
  <c r="JH81" i="14"/>
  <c r="FD40" i="14"/>
  <c r="DZ40" i="14" s="1"/>
  <c r="F166" i="20"/>
  <c r="BP76" i="14" a="1"/>
  <c r="BP76" i="14" s="1"/>
  <c r="CT76" i="14" s="1"/>
  <c r="AF72" i="43" s="1"/>
  <c r="BA78" i="14" a="1"/>
  <c r="BA78" i="14" s="1"/>
  <c r="CE78" i="14" s="1"/>
  <c r="Q74" i="43" s="1"/>
  <c r="BM7" i="14" a="1"/>
  <c r="BM7" i="14" s="1"/>
  <c r="CQ7" i="14" s="1"/>
  <c r="AC3" i="43" s="1"/>
  <c r="BJ61" i="14" a="1"/>
  <c r="BJ61" i="14" s="1"/>
  <c r="CN61" i="14" s="1"/>
  <c r="Z57" i="43" s="1"/>
  <c r="CL25" i="14"/>
  <c r="X21" i="43" s="1"/>
  <c r="EY64" i="14"/>
  <c r="DU64" i="14" s="1"/>
  <c r="AA154" i="20"/>
  <c r="EL10" i="14"/>
  <c r="DH10" i="14" s="1"/>
  <c r="FB81" i="14"/>
  <c r="DX81" i="14" s="1"/>
  <c r="CC76" i="14"/>
  <c r="O72" i="43" s="1"/>
  <c r="BI25" i="14" a="1"/>
  <c r="BI25" i="14" s="1"/>
  <c r="CM25" i="14" s="1"/>
  <c r="Y21" i="43" s="1"/>
  <c r="BL41" i="14" a="1"/>
  <c r="BL41" i="14" s="1"/>
  <c r="CP41" i="14" s="1"/>
  <c r="AB37" i="43" s="1"/>
  <c r="BG11" i="14" a="1"/>
  <c r="BG11" i="14" s="1"/>
  <c r="EX11" i="14" s="1"/>
  <c r="DT11" i="14" s="1"/>
  <c r="BN47" i="14" a="1"/>
  <c r="BN47" i="14" s="1"/>
  <c r="CR47" i="14" s="1"/>
  <c r="AD43" i="43" s="1"/>
  <c r="F284" i="20"/>
  <c r="BI81" i="14" a="1"/>
  <c r="BI81" i="14" s="1"/>
  <c r="CM81" i="14" s="1"/>
  <c r="Y77" i="43" s="1"/>
  <c r="FA8" i="14"/>
  <c r="DW8" i="14" s="1"/>
  <c r="EX43" i="14"/>
  <c r="DT43" i="14" s="1"/>
  <c r="G155" i="20"/>
  <c r="AC265" i="20"/>
  <c r="I395" i="20"/>
  <c r="H94" i="20"/>
  <c r="CD81" i="14"/>
  <c r="P77" i="43" s="1"/>
  <c r="I171" i="20"/>
  <c r="CJ72" i="14"/>
  <c r="V68" i="43" s="1"/>
  <c r="T171" i="20"/>
  <c r="AC395" i="20"/>
  <c r="CC7" i="14"/>
  <c r="O3" i="43" s="1"/>
  <c r="Y174" i="20"/>
  <c r="E457" i="20"/>
  <c r="FD76" i="14"/>
  <c r="DZ76" i="14" s="1"/>
  <c r="Q265" i="20"/>
  <c r="V395" i="20"/>
  <c r="CH47" i="14"/>
  <c r="T43" i="43" s="1"/>
  <c r="K94" i="20"/>
  <c r="D19" i="20"/>
  <c r="JI81" i="14"/>
  <c r="FA76" i="14"/>
  <c r="DW76" i="14" s="1"/>
  <c r="F302" i="20"/>
  <c r="F299" i="20" s="1"/>
  <c r="BR25" i="14" a="1"/>
  <c r="BR25" i="14" s="1"/>
  <c r="CV25" i="14" s="1"/>
  <c r="AH21" i="43" s="1"/>
  <c r="Q154" i="20"/>
  <c r="JF81" i="14"/>
  <c r="BM64" i="14" a="1"/>
  <c r="BM64" i="14" s="1"/>
  <c r="CQ64" i="14" s="1"/>
  <c r="AC60" i="43" s="1"/>
  <c r="EZ9" i="14"/>
  <c r="DV9" i="14" s="1"/>
  <c r="K171" i="20"/>
  <c r="EV48" i="14"/>
  <c r="DR48" i="14" s="1"/>
  <c r="H457" i="20"/>
  <c r="BR61" i="14" a="1"/>
  <c r="BR61" i="14" s="1"/>
  <c r="CV61" i="14" s="1"/>
  <c r="AH57" i="43" s="1"/>
  <c r="BQ43" i="14" a="1"/>
  <c r="BQ43" i="14" s="1"/>
  <c r="CU43" i="14" s="1"/>
  <c r="AG39" i="43" s="1"/>
  <c r="BQ73" i="14" a="1"/>
  <c r="BQ73" i="14" s="1"/>
  <c r="CU73" i="14" s="1"/>
  <c r="AG69" i="43" s="1"/>
  <c r="CJ73" i="14"/>
  <c r="V69" i="43" s="1"/>
  <c r="CI49" i="14"/>
  <c r="U45" i="43" s="1"/>
  <c r="CH9" i="14"/>
  <c r="T5" i="43" s="1"/>
  <c r="BM71" i="14" a="1"/>
  <c r="BM71" i="14" s="1"/>
  <c r="CQ71" i="14" s="1"/>
  <c r="AC67" i="43" s="1"/>
  <c r="FB103" i="14"/>
  <c r="DX103" i="14" s="1"/>
  <c r="BQ26" i="14" a="1"/>
  <c r="BQ26" i="14" s="1"/>
  <c r="CU26" i="14" s="1"/>
  <c r="AG22" i="43" s="1"/>
  <c r="FB76" i="14"/>
  <c r="DX76" i="14" s="1"/>
  <c r="BP103" i="14" a="1"/>
  <c r="BP103" i="14" s="1"/>
  <c r="CT103" i="14" s="1"/>
  <c r="AF99" i="43" s="1"/>
  <c r="E22" i="20"/>
  <c r="E402" i="20" s="1"/>
  <c r="G22" i="20"/>
  <c r="AA395" i="20"/>
  <c r="BO64" i="14" a="1"/>
  <c r="BO64" i="14" s="1"/>
  <c r="CS64" i="14" s="1"/>
  <c r="AE60" i="43" s="1"/>
  <c r="CJ60" i="14"/>
  <c r="V56" i="43" s="1"/>
  <c r="BK62" i="14" a="1"/>
  <c r="BK62" i="14" s="1"/>
  <c r="CO62" i="14" s="1"/>
  <c r="AA58" i="43" s="1"/>
  <c r="CI76" i="14"/>
  <c r="U72" i="43" s="1"/>
  <c r="JA81" i="14"/>
  <c r="V174" i="20"/>
  <c r="CL61" i="14"/>
  <c r="X57" i="43" s="1"/>
  <c r="G318" i="20"/>
  <c r="JJ81" i="14"/>
  <c r="CE26" i="14"/>
  <c r="Q22" i="43" s="1"/>
  <c r="EZ64" i="14"/>
  <c r="DV64" i="14" s="1"/>
  <c r="BN64" i="14" a="1"/>
  <c r="BN64" i="14" s="1"/>
  <c r="CR64" i="14" s="1"/>
  <c r="AD60" i="43" s="1"/>
  <c r="BO103" i="14" a="1"/>
  <c r="BO103" i="14" s="1"/>
  <c r="CS103" i="14" s="1"/>
  <c r="AE99" i="43" s="1"/>
  <c r="BI72" i="14" a="1"/>
  <c r="BI72" i="14" s="1"/>
  <c r="CM72" i="14" s="1"/>
  <c r="Y68" i="43" s="1"/>
  <c r="O173" i="20"/>
  <c r="T395" i="20"/>
  <c r="J171" i="20"/>
  <c r="T297" i="20"/>
  <c r="IY78" i="14"/>
  <c r="C453" i="20"/>
  <c r="FC72" i="14"/>
  <c r="DY72" i="14" s="1"/>
  <c r="CK72" i="14"/>
  <c r="W68" i="43" s="1"/>
  <c r="BM27" i="14" a="1"/>
  <c r="BM27" i="14" s="1"/>
  <c r="CQ27" i="14" s="1"/>
  <c r="AC23" i="43" s="1"/>
  <c r="E246" i="20"/>
  <c r="EU60" i="14"/>
  <c r="DQ60" i="14" s="1"/>
  <c r="CG46" i="14"/>
  <c r="S42" i="43" s="1"/>
  <c r="E171" i="20"/>
  <c r="E166" i="20" s="1"/>
  <c r="ET87" i="14"/>
  <c r="DP87" i="14" s="1"/>
  <c r="FA25" i="14"/>
  <c r="DW25" i="14" s="1"/>
  <c r="CK40" i="14"/>
  <c r="W36" i="43" s="1"/>
  <c r="FC40" i="14"/>
  <c r="DY40" i="14" s="1"/>
  <c r="FA58" i="14"/>
  <c r="DW58" i="14" s="1"/>
  <c r="BO58" i="14" a="1"/>
  <c r="BO58" i="14" s="1"/>
  <c r="CS58" i="14" s="1"/>
  <c r="AE54" i="43" s="1"/>
  <c r="CI58" i="14"/>
  <c r="U54" i="43" s="1"/>
  <c r="B283" i="20"/>
  <c r="EX71" i="14"/>
  <c r="DT71" i="14" s="1"/>
  <c r="CF71" i="14"/>
  <c r="R67" i="43" s="1"/>
  <c r="BL71" i="14" a="1"/>
  <c r="BL71" i="14" s="1"/>
  <c r="CP71" i="14" s="1"/>
  <c r="AB67" i="43" s="1"/>
  <c r="F259" i="20"/>
  <c r="G31" i="20"/>
  <c r="B227" i="20"/>
  <c r="CC20" i="14"/>
  <c r="O16" i="43" s="1"/>
  <c r="EU20" i="14"/>
  <c r="DQ20" i="14" s="1"/>
  <c r="BI20" i="14" a="1"/>
  <c r="BI20" i="14" s="1"/>
  <c r="CM20" i="14" s="1"/>
  <c r="Y16" i="43" s="1"/>
  <c r="B342" i="20"/>
  <c r="B337" i="20" s="1"/>
  <c r="B287" i="20"/>
  <c r="B456" i="20"/>
  <c r="BM61" i="14" a="1"/>
  <c r="BM61" i="14" s="1"/>
  <c r="CQ61" i="14" s="1"/>
  <c r="AC57" i="43" s="1"/>
  <c r="EY61" i="14"/>
  <c r="DU61" i="14" s="1"/>
  <c r="CL7" i="14"/>
  <c r="X3" i="43" s="1"/>
  <c r="FD7" i="14"/>
  <c r="DZ7" i="14" s="1"/>
  <c r="BR7" i="14" a="1"/>
  <c r="BR7" i="14" s="1"/>
  <c r="CV7" i="14" s="1"/>
  <c r="AH3" i="43" s="1"/>
  <c r="B288" i="20"/>
  <c r="B154" i="20"/>
  <c r="G19" i="20"/>
  <c r="B173" i="20"/>
  <c r="B37" i="20"/>
  <c r="B33" i="20" s="1"/>
  <c r="CE49" i="14"/>
  <c r="Q45" i="43" s="1"/>
  <c r="BK49" i="14" a="1"/>
  <c r="BK49" i="14" s="1"/>
  <c r="CO49" i="14" s="1"/>
  <c r="AA45" i="43" s="1"/>
  <c r="EW49" i="14"/>
  <c r="DS49" i="14" s="1"/>
  <c r="B249" i="20"/>
  <c r="B150" i="20"/>
  <c r="BP60" i="14" a="1"/>
  <c r="BP60" i="14" s="1"/>
  <c r="CT60" i="14" s="1"/>
  <c r="AF56" i="43" s="1"/>
  <c r="B454" i="20"/>
  <c r="B171" i="20"/>
  <c r="B455" i="20"/>
  <c r="EY46" i="14"/>
  <c r="DU46" i="14" s="1"/>
  <c r="FC49" i="14"/>
  <c r="DY49" i="14" s="1"/>
  <c r="BQ49" i="14" a="1"/>
  <c r="BQ49" i="14" s="1"/>
  <c r="CU49" i="14" s="1"/>
  <c r="AG45" i="43" s="1"/>
  <c r="CK49" i="14"/>
  <c r="W45" i="43" s="1"/>
  <c r="CJ61" i="14"/>
  <c r="V57" i="43" s="1"/>
  <c r="FB61" i="14"/>
  <c r="DX61" i="14" s="1"/>
  <c r="B323" i="20"/>
  <c r="B318" i="20" s="1"/>
  <c r="FB39" i="14"/>
  <c r="DX39" i="14" s="1"/>
  <c r="BP39" i="14" a="1"/>
  <c r="BP39" i="14" s="1"/>
  <c r="CT39" i="14" s="1"/>
  <c r="AF35" i="43" s="1"/>
  <c r="CJ39" i="14"/>
  <c r="V35" i="43" s="1"/>
  <c r="BO71" i="14" a="1"/>
  <c r="BO71" i="14" s="1"/>
  <c r="CS71" i="14" s="1"/>
  <c r="AE67" i="43" s="1"/>
  <c r="CI71" i="14"/>
  <c r="U67" i="43" s="1"/>
  <c r="B18" i="20"/>
  <c r="C19" i="20"/>
  <c r="EY83" i="14"/>
  <c r="DU83" i="14" s="1"/>
  <c r="CG83" i="14"/>
  <c r="S79" i="43" s="1"/>
  <c r="BM83" i="14" a="1"/>
  <c r="BM83" i="14" s="1"/>
  <c r="CQ83" i="14" s="1"/>
  <c r="AC79" i="43" s="1"/>
  <c r="T189" i="20"/>
  <c r="BO81" i="14" a="1"/>
  <c r="BO81" i="14" s="1"/>
  <c r="CS81" i="14" s="1"/>
  <c r="AE77" i="43" s="1"/>
  <c r="CI81" i="14"/>
  <c r="U77" i="43" s="1"/>
  <c r="EX46" i="14"/>
  <c r="DT46" i="14" s="1"/>
  <c r="BL46" i="14" a="1"/>
  <c r="BL46" i="14" s="1"/>
  <c r="CP46" i="14" s="1"/>
  <c r="AB42" i="43" s="1"/>
  <c r="CF46" i="14"/>
  <c r="R42" i="43" s="1"/>
  <c r="CH27" i="14"/>
  <c r="T23" i="43" s="1"/>
  <c r="EZ27" i="14"/>
  <c r="DV27" i="14" s="1"/>
  <c r="EX73" i="14"/>
  <c r="DT73" i="14" s="1"/>
  <c r="CF73" i="14"/>
  <c r="R69" i="43" s="1"/>
  <c r="FB46" i="14"/>
  <c r="DX46" i="14" s="1"/>
  <c r="CJ46" i="14"/>
  <c r="V42" i="43" s="1"/>
  <c r="BP46" i="14" a="1"/>
  <c r="BP46" i="14" s="1"/>
  <c r="CT46" i="14" s="1"/>
  <c r="AF42" i="43" s="1"/>
  <c r="FC50" i="14"/>
  <c r="DY50" i="14" s="1"/>
  <c r="BQ50" i="14" a="1"/>
  <c r="BQ50" i="14" s="1"/>
  <c r="CU50" i="14" s="1"/>
  <c r="AG46" i="43" s="1"/>
  <c r="EL87" i="14"/>
  <c r="DH87" i="14" s="1"/>
  <c r="AZ87" i="14" a="1"/>
  <c r="AZ87" i="14" s="1"/>
  <c r="BY87" i="14"/>
  <c r="K83" i="43" s="1"/>
  <c r="CF61" i="14"/>
  <c r="R57" i="43" s="1"/>
  <c r="EX61" i="14"/>
  <c r="DT61" i="14" s="1"/>
  <c r="EX82" i="14"/>
  <c r="DT82" i="14" s="1"/>
  <c r="BL82" i="14" a="1"/>
  <c r="BL82" i="14" s="1"/>
  <c r="CP82" i="14" s="1"/>
  <c r="AB78" i="43" s="1"/>
  <c r="CF82" i="14"/>
  <c r="R78" i="43" s="1"/>
  <c r="BO62" i="14" a="1"/>
  <c r="BO62" i="14" s="1"/>
  <c r="CS62" i="14" s="1"/>
  <c r="AE58" i="43" s="1"/>
  <c r="CI62" i="14"/>
  <c r="U58" i="43" s="1"/>
  <c r="EV71" i="14"/>
  <c r="DR71" i="14" s="1"/>
  <c r="CD71" i="14"/>
  <c r="P67" i="43" s="1"/>
  <c r="CJ66" i="14"/>
  <c r="V62" i="43" s="1"/>
  <c r="FB66" i="14"/>
  <c r="DX66" i="14" s="1"/>
  <c r="BP66" i="14" a="1"/>
  <c r="BP66" i="14" s="1"/>
  <c r="CT66" i="14" s="1"/>
  <c r="AF62" i="43" s="1"/>
  <c r="EY93" i="14"/>
  <c r="DU93" i="14" s="1"/>
  <c r="BM93" i="14" a="1"/>
  <c r="BM93" i="14" s="1"/>
  <c r="CQ93" i="14" s="1"/>
  <c r="AC89" i="43" s="1"/>
  <c r="N31" i="20"/>
  <c r="C297" i="20"/>
  <c r="F183" i="20"/>
  <c r="EX26" i="14"/>
  <c r="DT26" i="14" s="1"/>
  <c r="CF26" i="14"/>
  <c r="R22" i="43" s="1"/>
  <c r="CI83" i="14"/>
  <c r="U79" i="43" s="1"/>
  <c r="FA83" i="14"/>
  <c r="DW83" i="14" s="1"/>
  <c r="BO83" i="14" a="1"/>
  <c r="BO83" i="14" s="1"/>
  <c r="CS83" i="14" s="1"/>
  <c r="AE79" i="43" s="1"/>
  <c r="Q297" i="20"/>
  <c r="X297" i="20"/>
  <c r="IU68" i="14"/>
  <c r="IY79" i="14"/>
  <c r="O154" i="20"/>
  <c r="CL62" i="14"/>
  <c r="X58" i="43" s="1"/>
  <c r="BR62" i="14" a="1"/>
  <c r="BR62" i="14" s="1"/>
  <c r="CV62" i="14" s="1"/>
  <c r="AH58" i="43" s="1"/>
  <c r="FD62" i="14"/>
  <c r="DZ62" i="14" s="1"/>
  <c r="N297" i="20"/>
  <c r="AB174" i="20"/>
  <c r="AD297" i="20"/>
  <c r="JG81" i="14"/>
  <c r="IZ78" i="14"/>
  <c r="FB23" i="14"/>
  <c r="DX23" i="14" s="1"/>
  <c r="BP23" i="14" a="1"/>
  <c r="BP23" i="14" s="1"/>
  <c r="CT23" i="14" s="1"/>
  <c r="AF19" i="43" s="1"/>
  <c r="CJ23" i="14"/>
  <c r="V19" i="43" s="1"/>
  <c r="EL78" i="14"/>
  <c r="DH78" i="14" s="1"/>
  <c r="BY78" i="14"/>
  <c r="K74" i="43" s="1"/>
  <c r="U297" i="20"/>
  <c r="CB44" i="14"/>
  <c r="N40" i="43" s="1"/>
  <c r="BC44" i="14" a="1"/>
  <c r="BC44" i="14" s="1"/>
  <c r="EO44" i="14"/>
  <c r="DK44" i="14" s="1"/>
  <c r="U174" i="20"/>
  <c r="S31" i="20"/>
  <c r="Y31" i="20"/>
  <c r="N335" i="20"/>
  <c r="AE297" i="20"/>
  <c r="EV7" i="14"/>
  <c r="DR7" i="14" s="1"/>
  <c r="CD7" i="14"/>
  <c r="P3" i="43" s="1"/>
  <c r="EX40" i="14"/>
  <c r="DT40" i="14" s="1"/>
  <c r="CF40" i="14"/>
  <c r="R36" i="43" s="1"/>
  <c r="BL40" i="14" a="1"/>
  <c r="BL40" i="14" s="1"/>
  <c r="CP40" i="14" s="1"/>
  <c r="AB36" i="43" s="1"/>
  <c r="AE164" i="20"/>
  <c r="B193" i="3"/>
  <c r="AC221" i="20"/>
  <c r="B188" i="3"/>
  <c r="L94" i="20"/>
  <c r="Q278" i="20"/>
  <c r="BU179" i="14"/>
  <c r="JE67" i="14"/>
  <c r="B179" i="3"/>
  <c r="B175" i="3"/>
  <c r="W240" i="20"/>
  <c r="B184" i="3"/>
  <c r="B183" i="3"/>
  <c r="Q31" i="20"/>
  <c r="S183" i="20"/>
  <c r="M50" i="20"/>
  <c r="B189" i="3"/>
  <c r="Q173" i="20"/>
  <c r="B191" i="3"/>
  <c r="G21" i="20"/>
  <c r="B31" i="20"/>
  <c r="B176" i="3"/>
  <c r="B186" i="3"/>
  <c r="B181" i="3"/>
  <c r="B194" i="3"/>
  <c r="B70" i="3"/>
  <c r="G7" i="9" s="1"/>
  <c r="AK7" i="9" s="1"/>
  <c r="AC31" i="20"/>
  <c r="B187" i="3"/>
  <c r="B182" i="3"/>
  <c r="D240" i="20"/>
  <c r="JC9" i="14"/>
  <c r="M316" i="20"/>
  <c r="IT64" i="14"/>
  <c r="AD31" i="20"/>
  <c r="W297" i="20"/>
  <c r="D297" i="20"/>
  <c r="D453" i="20"/>
  <c r="IV86" i="14"/>
  <c r="AB221" i="20"/>
  <c r="Q316" i="20"/>
  <c r="J50" i="20"/>
  <c r="G297" i="20"/>
  <c r="F147" i="20"/>
  <c r="B19" i="20"/>
  <c r="IS62" i="14"/>
  <c r="F22" i="20"/>
  <c r="IZ50" i="14"/>
  <c r="U31" i="20"/>
  <c r="W259" i="20"/>
  <c r="D302" i="20"/>
  <c r="D299" i="20" s="1"/>
  <c r="IZ79" i="14"/>
  <c r="IU102" i="14"/>
  <c r="N316" i="20"/>
  <c r="T259" i="20"/>
  <c r="I302" i="20"/>
  <c r="I299" i="20" s="1"/>
  <c r="AD259" i="20"/>
  <c r="T335" i="20"/>
  <c r="K50" i="20"/>
  <c r="BT179" i="14"/>
  <c r="P335" i="20"/>
  <c r="IU11" i="14"/>
  <c r="JC61" i="14"/>
  <c r="C21" i="20"/>
  <c r="V31" i="20"/>
  <c r="H21" i="20"/>
  <c r="JG49" i="14"/>
  <c r="L297" i="20"/>
  <c r="D50" i="20"/>
  <c r="I189" i="20"/>
  <c r="AC278" i="20"/>
  <c r="W50" i="20"/>
  <c r="JL38" i="14"/>
  <c r="IW68" i="14"/>
  <c r="B335" i="20"/>
  <c r="D173" i="20"/>
  <c r="I22" i="20"/>
  <c r="JC46" i="14"/>
  <c r="V335" i="20"/>
  <c r="JH8" i="14"/>
  <c r="E316" i="20"/>
  <c r="C335" i="20"/>
  <c r="H278" i="20"/>
  <c r="IT103" i="14"/>
  <c r="B316" i="20"/>
  <c r="I259" i="20"/>
  <c r="T221" i="20"/>
  <c r="P50" i="20"/>
  <c r="BS177" i="14"/>
  <c r="I390" i="20"/>
  <c r="V50" i="20"/>
  <c r="W31" i="20"/>
  <c r="L259" i="20"/>
  <c r="B246" i="20"/>
  <c r="S265" i="20"/>
  <c r="JB68" i="14"/>
  <c r="DB177" i="14"/>
  <c r="H26" i="21" s="1"/>
  <c r="J164" i="20"/>
  <c r="JJ38" i="14"/>
  <c r="J240" i="20"/>
  <c r="K221" i="20"/>
  <c r="JD68" i="14"/>
  <c r="Z297" i="20"/>
  <c r="M240" i="20"/>
  <c r="IT68" i="14"/>
  <c r="IT11" i="14"/>
  <c r="JK8" i="14"/>
  <c r="IV102" i="14"/>
  <c r="P145" i="20"/>
  <c r="JN45" i="14"/>
  <c r="I183" i="20"/>
  <c r="D335" i="20"/>
  <c r="J259" i="20"/>
  <c r="IQ11" i="14"/>
  <c r="Z240" i="20"/>
  <c r="BV177" i="14"/>
  <c r="F25" i="21" s="1"/>
  <c r="B21" i="20"/>
  <c r="C22" i="20"/>
  <c r="C173" i="20"/>
  <c r="C166" i="20" s="1"/>
  <c r="H19" i="20"/>
  <c r="JB48" i="14"/>
  <c r="H183" i="20"/>
  <c r="JE58" i="14"/>
  <c r="AA259" i="20"/>
  <c r="JH68" i="14"/>
  <c r="Q259" i="20"/>
  <c r="V183" i="20"/>
  <c r="H259" i="20"/>
  <c r="JI58" i="14"/>
  <c r="AB31" i="20"/>
  <c r="B183" i="20"/>
  <c r="IV38" i="14"/>
  <c r="IX62" i="14"/>
  <c r="BU177" i="14"/>
  <c r="E25" i="21" s="1"/>
  <c r="E36" i="21" s="1"/>
  <c r="JI9" i="14"/>
  <c r="I173" i="20"/>
  <c r="K284" i="20"/>
  <c r="DC177" i="14"/>
  <c r="I26" i="21" s="1"/>
  <c r="K278" i="20"/>
  <c r="I221" i="20"/>
  <c r="IV76" i="14"/>
  <c r="G183" i="20"/>
  <c r="I297" i="20"/>
  <c r="AE31" i="20"/>
  <c r="IQ68" i="14"/>
  <c r="J335" i="20"/>
  <c r="IZ46" i="14"/>
  <c r="IW64" i="14"/>
  <c r="IV73" i="14"/>
  <c r="IW8" i="14"/>
  <c r="M259" i="20"/>
  <c r="S221" i="20"/>
  <c r="AA50" i="20"/>
  <c r="IT47" i="14"/>
  <c r="W183" i="20"/>
  <c r="H335" i="20"/>
  <c r="N278" i="20"/>
  <c r="S297" i="20"/>
  <c r="IS58" i="14"/>
  <c r="IS67" i="14"/>
  <c r="D458" i="20"/>
  <c r="IS68" i="14"/>
  <c r="IZ72" i="14"/>
  <c r="IY54" i="14"/>
  <c r="V145" i="20"/>
  <c r="IX77" i="14"/>
  <c r="IQ9" i="14"/>
  <c r="K21" i="20"/>
  <c r="JC54" i="14"/>
  <c r="G240" i="20"/>
  <c r="D31" i="20"/>
  <c r="M335" i="20"/>
  <c r="IS64" i="14"/>
  <c r="JF8" i="14"/>
  <c r="F19" i="20"/>
  <c r="JC73" i="14"/>
  <c r="JJ46" i="14"/>
  <c r="IY68" i="14"/>
  <c r="AD335" i="20"/>
  <c r="R221" i="20"/>
  <c r="IR9" i="14"/>
  <c r="AB240" i="20"/>
  <c r="X316" i="20"/>
  <c r="IZ9" i="14"/>
  <c r="I19" i="20"/>
  <c r="J22" i="20"/>
  <c r="JI54" i="14"/>
  <c r="JE48" i="14"/>
  <c r="Z50" i="20"/>
  <c r="AA316" i="20"/>
  <c r="M31" i="20"/>
  <c r="JB9" i="14"/>
  <c r="JH54" i="14"/>
  <c r="C12" i="20"/>
  <c r="M12" i="20"/>
  <c r="Q240" i="20"/>
  <c r="IU62" i="14"/>
  <c r="S390" i="20"/>
  <c r="F12" i="20"/>
  <c r="Z259" i="20"/>
  <c r="K123" i="3"/>
  <c r="J45" i="3"/>
  <c r="O221" i="20"/>
  <c r="IR8" i="14"/>
  <c r="V316" i="20"/>
  <c r="FB75" i="14"/>
  <c r="DX75" i="14" s="1"/>
  <c r="BP75" i="14" a="1"/>
  <c r="BP75" i="14" s="1"/>
  <c r="CT75" i="14" s="1"/>
  <c r="AF71" i="43" s="1"/>
  <c r="CJ75" i="14"/>
  <c r="V71" i="43" s="1"/>
  <c r="B164" i="20"/>
  <c r="Z145" i="20"/>
  <c r="G108" i="3"/>
  <c r="F133" i="3"/>
  <c r="F55" i="3" s="1"/>
  <c r="F158" i="3"/>
  <c r="CF58" i="14"/>
  <c r="R54" i="43" s="1"/>
  <c r="BL58" i="14" a="1"/>
  <c r="BL58" i="14" s="1"/>
  <c r="CP58" i="14" s="1"/>
  <c r="AB54" i="43" s="1"/>
  <c r="EX58" i="14"/>
  <c r="DT58" i="14" s="1"/>
  <c r="CD93" i="14"/>
  <c r="P89" i="43" s="1"/>
  <c r="EV93" i="14"/>
  <c r="DR93" i="14" s="1"/>
  <c r="BJ93" i="14" a="1"/>
  <c r="BJ93" i="14" s="1"/>
  <c r="CN93" i="14" s="1"/>
  <c r="Z89" i="43" s="1"/>
  <c r="S12" i="20"/>
  <c r="E164" i="20"/>
  <c r="D183" i="20"/>
  <c r="AC297" i="20"/>
  <c r="T50" i="20"/>
  <c r="JC64" i="14"/>
  <c r="CK60" i="14"/>
  <c r="W56" i="43" s="1"/>
  <c r="FC60" i="14"/>
  <c r="DY60" i="14" s="1"/>
  <c r="BQ60" i="14" a="1"/>
  <c r="BQ60" i="14" s="1"/>
  <c r="CU60" i="14" s="1"/>
  <c r="AG56" i="43" s="1"/>
  <c r="JC45" i="14"/>
  <c r="JR45" i="14"/>
  <c r="JB49" i="14"/>
  <c r="IY73" i="14"/>
  <c r="E30" i="12"/>
  <c r="L24" i="10"/>
  <c r="EZ40" i="14"/>
  <c r="DV40" i="14" s="1"/>
  <c r="BN40" i="14" a="1"/>
  <c r="BN40" i="14" s="1"/>
  <c r="CR40" i="14" s="1"/>
  <c r="AD36" i="43" s="1"/>
  <c r="CH40" i="14"/>
  <c r="T36" i="43" s="1"/>
  <c r="CF47" i="14"/>
  <c r="R43" i="43" s="1"/>
  <c r="EX47" i="14"/>
  <c r="DT47" i="14" s="1"/>
  <c r="BL47" i="14" a="1"/>
  <c r="BL47" i="14" s="1"/>
  <c r="CP47" i="14" s="1"/>
  <c r="AB43" i="43" s="1"/>
  <c r="CG72" i="14"/>
  <c r="S68" i="43" s="1"/>
  <c r="EY72" i="14"/>
  <c r="DU72" i="14" s="1"/>
  <c r="BM72" i="14" a="1"/>
  <c r="BM72" i="14" s="1"/>
  <c r="CQ72" i="14" s="1"/>
  <c r="AC68" i="43" s="1"/>
  <c r="BI50" i="14" a="1"/>
  <c r="BI50" i="14" s="1"/>
  <c r="CM50" i="14" s="1"/>
  <c r="Y46" i="43" s="1"/>
  <c r="EU50" i="14"/>
  <c r="DQ50" i="14" s="1"/>
  <c r="CC50" i="14"/>
  <c r="O46" i="43" s="1"/>
  <c r="BJ62" i="14" a="1"/>
  <c r="BJ62" i="14" s="1"/>
  <c r="CN62" i="14" s="1"/>
  <c r="Z58" i="43" s="1"/>
  <c r="EV62" i="14"/>
  <c r="DR62" i="14" s="1"/>
  <c r="CD62" i="14"/>
  <c r="P58" i="43" s="1"/>
  <c r="JJ73" i="14"/>
  <c r="EW43" i="14"/>
  <c r="DS43" i="14" s="1"/>
  <c r="CE43" i="14"/>
  <c r="Q39" i="43" s="1"/>
  <c r="BK43" i="14" a="1"/>
  <c r="BK43" i="14" s="1"/>
  <c r="CO43" i="14" s="1"/>
  <c r="AA39" i="43" s="1"/>
  <c r="JF72" i="14"/>
  <c r="IT8" i="14"/>
  <c r="IW47" i="14"/>
  <c r="IV47" i="14"/>
  <c r="IU47" i="14"/>
  <c r="IX61" i="14"/>
  <c r="CJ77" i="14"/>
  <c r="V73" i="43" s="1"/>
  <c r="FB77" i="14"/>
  <c r="DX77" i="14" s="1"/>
  <c r="BP77" i="14" a="1"/>
  <c r="BP77" i="14" s="1"/>
  <c r="CT77" i="14" s="1"/>
  <c r="AF73" i="43" s="1"/>
  <c r="JH50" i="14"/>
  <c r="BI62" i="14" a="1"/>
  <c r="BI62" i="14" s="1"/>
  <c r="CM62" i="14" s="1"/>
  <c r="Y58" i="43" s="1"/>
  <c r="CC62" i="14"/>
  <c r="O58" i="43" s="1"/>
  <c r="EU62" i="14"/>
  <c r="DQ62" i="14" s="1"/>
  <c r="EY82" i="14"/>
  <c r="DU82" i="14" s="1"/>
  <c r="BM82" i="14" a="1"/>
  <c r="BM82" i="14" s="1"/>
  <c r="CQ82" i="14" s="1"/>
  <c r="AC78" i="43" s="1"/>
  <c r="CG82" i="14"/>
  <c r="S78" i="43" s="1"/>
  <c r="E12" i="12"/>
  <c r="L13" i="10"/>
  <c r="E20" i="12"/>
  <c r="L21" i="10"/>
  <c r="L16" i="10"/>
  <c r="E15" i="12"/>
  <c r="E45" i="12"/>
  <c r="L39" i="10"/>
  <c r="CE11" i="14"/>
  <c r="Q7" i="43" s="1"/>
  <c r="BF11" i="14" a="1"/>
  <c r="BF11" i="14" s="1"/>
  <c r="ER11" i="14"/>
  <c r="DN11" i="14" s="1"/>
  <c r="JB61" i="14"/>
  <c r="F21" i="20"/>
  <c r="CF39" i="14"/>
  <c r="R35" i="43" s="1"/>
  <c r="EX39" i="14"/>
  <c r="DT39" i="14" s="1"/>
  <c r="BL39" i="14" a="1"/>
  <c r="BL39" i="14" s="1"/>
  <c r="CP39" i="14" s="1"/>
  <c r="AB35" i="43" s="1"/>
  <c r="JB64" i="14"/>
  <c r="BO48" i="14" a="1"/>
  <c r="BO48" i="14" s="1"/>
  <c r="CS48" i="14" s="1"/>
  <c r="AE44" i="43" s="1"/>
  <c r="CI48" i="14"/>
  <c r="U44" i="43" s="1"/>
  <c r="FA48" i="14"/>
  <c r="DW48" i="14" s="1"/>
  <c r="JI50" i="14"/>
  <c r="JC103" i="14"/>
  <c r="IT46" i="14"/>
  <c r="IS48" i="14"/>
  <c r="IT48" i="14"/>
  <c r="JB62" i="14"/>
  <c r="JB77" i="14"/>
  <c r="EK87" i="14"/>
  <c r="DG87" i="14" s="1"/>
  <c r="BX87" i="14"/>
  <c r="J83" i="43" s="1"/>
  <c r="AY87" i="14" a="1"/>
  <c r="AY87" i="14" s="1"/>
  <c r="IW87" i="14"/>
  <c r="CF10" i="14"/>
  <c r="R6" i="43" s="1"/>
  <c r="BG10" i="14" a="1"/>
  <c r="BG10" i="14" s="1"/>
  <c r="ES10" i="14"/>
  <c r="DO10" i="14" s="1"/>
  <c r="BY44" i="14"/>
  <c r="K40" i="43" s="1"/>
  <c r="AZ44" i="14" a="1"/>
  <c r="AZ44" i="14" s="1"/>
  <c r="EL44" i="14"/>
  <c r="DH44" i="14" s="1"/>
  <c r="CE75" i="14"/>
  <c r="Q71" i="43" s="1"/>
  <c r="BK75" i="14" a="1"/>
  <c r="BK75" i="14" s="1"/>
  <c r="CO75" i="14" s="1"/>
  <c r="AA71" i="43" s="1"/>
  <c r="EW75" i="14"/>
  <c r="DS75" i="14" s="1"/>
  <c r="BM8" i="14" a="1"/>
  <c r="BM8" i="14" s="1"/>
  <c r="CQ8" i="14" s="1"/>
  <c r="AC4" i="43" s="1"/>
  <c r="CG8" i="14"/>
  <c r="S4" i="43" s="1"/>
  <c r="EY8" i="14"/>
  <c r="DU8" i="14" s="1"/>
  <c r="IU58" i="14"/>
  <c r="JF61" i="14"/>
  <c r="JB73" i="14"/>
  <c r="M174" i="20"/>
  <c r="W174" i="20"/>
  <c r="Y395" i="20"/>
  <c r="AE395" i="20"/>
  <c r="J395" i="20"/>
  <c r="CC44" i="14"/>
  <c r="O40" i="43" s="1"/>
  <c r="BD44" i="14" a="1"/>
  <c r="BD44" i="14" s="1"/>
  <c r="EP44" i="14"/>
  <c r="DL44" i="14" s="1"/>
  <c r="M278" i="20"/>
  <c r="Y259" i="20"/>
  <c r="J278" i="20"/>
  <c r="EX23" i="14"/>
  <c r="DT23" i="14" s="1"/>
  <c r="CF23" i="14"/>
  <c r="R19" i="43" s="1"/>
  <c r="BL23" i="14" a="1"/>
  <c r="BL23" i="14" s="1"/>
  <c r="CP23" i="14" s="1"/>
  <c r="AB19" i="43" s="1"/>
  <c r="T282" i="17"/>
  <c r="T281" i="17" s="1"/>
  <c r="IC177" i="14"/>
  <c r="S16" i="21" s="1"/>
  <c r="S23" i="21" s="1"/>
  <c r="I316" i="20"/>
  <c r="G106" i="3"/>
  <c r="F131" i="3"/>
  <c r="F53" i="3" s="1"/>
  <c r="F156" i="3"/>
  <c r="R297" i="20"/>
  <c r="JF67" i="14"/>
  <c r="GN178" i="14"/>
  <c r="GN177" i="14"/>
  <c r="G88" i="20"/>
  <c r="CD58" i="14"/>
  <c r="P54" i="43" s="1"/>
  <c r="BJ58" i="14" a="1"/>
  <c r="BJ58" i="14" s="1"/>
  <c r="CN58" i="14" s="1"/>
  <c r="Z54" i="43" s="1"/>
  <c r="EV58" i="14"/>
  <c r="DR58" i="14" s="1"/>
  <c r="G103" i="3"/>
  <c r="F153" i="3"/>
  <c r="F128" i="3"/>
  <c r="F50" i="3" s="1"/>
  <c r="IS8" i="14"/>
  <c r="N240" i="20"/>
  <c r="X183" i="20"/>
  <c r="T12" i="20"/>
  <c r="AA278" i="20"/>
  <c r="F297" i="20"/>
  <c r="Q164" i="20"/>
  <c r="T31" i="20"/>
  <c r="G259" i="20"/>
  <c r="AC282" i="17"/>
  <c r="AC281" i="17" s="1"/>
  <c r="IL177" i="14"/>
  <c r="AB16" i="21" s="1"/>
  <c r="AB23" i="21" s="1"/>
  <c r="IT49" i="14"/>
  <c r="JO38" i="14"/>
  <c r="JR38" i="14"/>
  <c r="Y278" i="20"/>
  <c r="IU64" i="14"/>
  <c r="EK10" i="14"/>
  <c r="DG10" i="14" s="1"/>
  <c r="AY10" i="14" a="1"/>
  <c r="AY10" i="14" s="1"/>
  <c r="IV10" i="14"/>
  <c r="BX10" i="14"/>
  <c r="J6" i="43" s="1"/>
  <c r="IY10" i="14"/>
  <c r="JG8" i="14"/>
  <c r="EW40" i="14"/>
  <c r="DS40" i="14" s="1"/>
  <c r="CE40" i="14"/>
  <c r="Q36" i="43" s="1"/>
  <c r="BK40" i="14" a="1"/>
  <c r="BK40" i="14" s="1"/>
  <c r="CO40" i="14" s="1"/>
  <c r="AA36" i="43" s="1"/>
  <c r="JJ45" i="14"/>
  <c r="IU45" i="14"/>
  <c r="CF64" i="14"/>
  <c r="R60" i="43" s="1"/>
  <c r="EX64" i="14"/>
  <c r="DT64" i="14" s="1"/>
  <c r="BL64" i="14" a="1"/>
  <c r="BL64" i="14" s="1"/>
  <c r="CP64" i="14" s="1"/>
  <c r="AB60" i="43" s="1"/>
  <c r="IR73" i="14"/>
  <c r="BQ68" i="14" a="1"/>
  <c r="BQ68" i="14" s="1"/>
  <c r="CU68" i="14" s="1"/>
  <c r="AG64" i="43" s="1"/>
  <c r="FC68" i="14"/>
  <c r="DY68" i="14" s="1"/>
  <c r="CK68" i="14"/>
  <c r="W64" i="43" s="1"/>
  <c r="E19" i="12"/>
  <c r="L20" i="10"/>
  <c r="CL60" i="14"/>
  <c r="X56" i="43" s="1"/>
  <c r="BR60" i="14" a="1"/>
  <c r="BR60" i="14" s="1"/>
  <c r="CV60" i="14" s="1"/>
  <c r="AH56" i="43" s="1"/>
  <c r="FD60" i="14"/>
  <c r="DZ60" i="14" s="1"/>
  <c r="JD77" i="14"/>
  <c r="FB93" i="14"/>
  <c r="DX93" i="14" s="1"/>
  <c r="BP93" i="14" a="1"/>
  <c r="BP93" i="14" s="1"/>
  <c r="CT93" i="14" s="1"/>
  <c r="AF89" i="43" s="1"/>
  <c r="CJ93" i="14"/>
  <c r="V89" i="43" s="1"/>
  <c r="JG76" i="14"/>
  <c r="CD41" i="14"/>
  <c r="P37" i="43" s="1"/>
  <c r="EV41" i="14"/>
  <c r="DR41" i="14" s="1"/>
  <c r="BJ41" i="14" a="1"/>
  <c r="BJ41" i="14" s="1"/>
  <c r="CN41" i="14" s="1"/>
  <c r="Z37" i="43" s="1"/>
  <c r="IX47" i="14"/>
  <c r="IY47" i="14"/>
  <c r="JG47" i="14"/>
  <c r="JA58" i="14"/>
  <c r="JK38" i="14"/>
  <c r="JD62" i="14"/>
  <c r="JJ61" i="14"/>
  <c r="JI73" i="14"/>
  <c r="IY11" i="14"/>
  <c r="IY46" i="14"/>
  <c r="IY61" i="14"/>
  <c r="JF62" i="14"/>
  <c r="IW73" i="14"/>
  <c r="JB76" i="14"/>
  <c r="E36" i="12"/>
  <c r="L30" i="10"/>
  <c r="E44" i="12"/>
  <c r="L38" i="10"/>
  <c r="L33" i="10"/>
  <c r="E39" i="12"/>
  <c r="E8" i="12"/>
  <c r="L9" i="10"/>
  <c r="IU54" i="14"/>
  <c r="BL27" i="14" a="1"/>
  <c r="BL27" i="14" s="1"/>
  <c r="CP27" i="14" s="1"/>
  <c r="AB23" i="43" s="1"/>
  <c r="EX27" i="14"/>
  <c r="DT27" i="14" s="1"/>
  <c r="CF27" i="14"/>
  <c r="R23" i="43" s="1"/>
  <c r="IZ62" i="14"/>
  <c r="IQ77" i="14"/>
  <c r="JB8" i="14"/>
  <c r="IU72" i="14"/>
  <c r="JH77" i="14"/>
  <c r="K150" i="20"/>
  <c r="JF48" i="14"/>
  <c r="JC77" i="14"/>
  <c r="Y171" i="20"/>
  <c r="O171" i="20"/>
  <c r="IW103" i="14"/>
  <c r="AB54" i="12"/>
  <c r="P54" i="12"/>
  <c r="AA54" i="12"/>
  <c r="O54" i="12"/>
  <c r="Z54" i="12"/>
  <c r="N54" i="12"/>
  <c r="Y54" i="12"/>
  <c r="M54" i="12"/>
  <c r="AJ54" i="12"/>
  <c r="X54" i="12"/>
  <c r="L54" i="12"/>
  <c r="AI54" i="12"/>
  <c r="W54" i="12"/>
  <c r="K54" i="12"/>
  <c r="AG54" i="12"/>
  <c r="U54" i="12"/>
  <c r="I54" i="12"/>
  <c r="H54" i="12"/>
  <c r="AH54" i="12"/>
  <c r="G54" i="12"/>
  <c r="AF54" i="12"/>
  <c r="AE54" i="12"/>
  <c r="AD54" i="12"/>
  <c r="AC54" i="12"/>
  <c r="V54" i="12"/>
  <c r="T54" i="12"/>
  <c r="S54" i="12"/>
  <c r="R54" i="12"/>
  <c r="Q54" i="12"/>
  <c r="J54" i="12"/>
  <c r="P189" i="20"/>
  <c r="T174" i="20"/>
  <c r="AD174" i="20"/>
  <c r="IZ58" i="14"/>
  <c r="JG61" i="14"/>
  <c r="Y27" i="12"/>
  <c r="M27" i="12"/>
  <c r="AJ27" i="12"/>
  <c r="X27" i="12"/>
  <c r="L27" i="12"/>
  <c r="AI27" i="12"/>
  <c r="W27" i="12"/>
  <c r="K27" i="12"/>
  <c r="AH27" i="12"/>
  <c r="V27" i="12"/>
  <c r="J27" i="12"/>
  <c r="AG27" i="12"/>
  <c r="U27" i="12"/>
  <c r="I27" i="12"/>
  <c r="AF27" i="12"/>
  <c r="T27" i="12"/>
  <c r="H27" i="12"/>
  <c r="AD27" i="12"/>
  <c r="R27" i="12"/>
  <c r="G27" i="12"/>
  <c r="AE27" i="12"/>
  <c r="AC27" i="12"/>
  <c r="AB27" i="12"/>
  <c r="AA27" i="12"/>
  <c r="Z27" i="12"/>
  <c r="S27" i="12"/>
  <c r="Q27" i="12"/>
  <c r="P27" i="12"/>
  <c r="O27" i="12"/>
  <c r="N27" i="12"/>
  <c r="JA54" i="14"/>
  <c r="JI103" i="14"/>
  <c r="JG67" i="14"/>
  <c r="HE178" i="14"/>
  <c r="HE177" i="14"/>
  <c r="X88" i="20"/>
  <c r="R164" i="20"/>
  <c r="N259" i="20"/>
  <c r="N5" i="9"/>
  <c r="AQ5" i="9"/>
  <c r="X282" i="17"/>
  <c r="X281" i="17" s="1"/>
  <c r="IG177" i="14"/>
  <c r="W16" i="21" s="1"/>
  <c r="W23" i="21" s="1"/>
  <c r="F101" i="3"/>
  <c r="E151" i="3"/>
  <c r="E126" i="3"/>
  <c r="E48" i="3" s="1"/>
  <c r="S335" i="20"/>
  <c r="JI68" i="14"/>
  <c r="JC68" i="14"/>
  <c r="F335" i="20"/>
  <c r="R282" i="17"/>
  <c r="R281" i="17" s="1"/>
  <c r="IA177" i="14"/>
  <c r="Q16" i="21" s="1"/>
  <c r="Q23" i="21" s="1"/>
  <c r="J316" i="20"/>
  <c r="V278" i="20"/>
  <c r="GX178" i="14"/>
  <c r="GX177" i="14"/>
  <c r="Q88" i="20"/>
  <c r="U164" i="20"/>
  <c r="I282" i="17"/>
  <c r="I281" i="17" s="1"/>
  <c r="HR177" i="14"/>
  <c r="H16" i="21" s="1"/>
  <c r="H23" i="21" s="1"/>
  <c r="B284" i="20"/>
  <c r="AA221" i="20"/>
  <c r="EW68" i="14"/>
  <c r="DS68" i="14" s="1"/>
  <c r="CE68" i="14"/>
  <c r="Q64" i="43" s="1"/>
  <c r="BK68" i="14" a="1"/>
  <c r="BK68" i="14" s="1"/>
  <c r="JC8" i="14"/>
  <c r="EX50" i="14"/>
  <c r="DT50" i="14" s="1"/>
  <c r="BL50" i="14" a="1"/>
  <c r="BL50" i="14" s="1"/>
  <c r="CP50" i="14" s="1"/>
  <c r="AB46" i="43" s="1"/>
  <c r="CF50" i="14"/>
  <c r="R46" i="43" s="1"/>
  <c r="AD164" i="20"/>
  <c r="L282" i="17"/>
  <c r="L281" i="17" s="1"/>
  <c r="HU177" i="14"/>
  <c r="K16" i="21" s="1"/>
  <c r="K23" i="21" s="1"/>
  <c r="P316" i="20"/>
  <c r="V240" i="20"/>
  <c r="O259" i="20"/>
  <c r="O145" i="20"/>
  <c r="Y282" i="17"/>
  <c r="Y281" i="17" s="1"/>
  <c r="IH177" i="14"/>
  <c r="X16" i="21" s="1"/>
  <c r="X23" i="21" s="1"/>
  <c r="BJ22" i="14" a="1"/>
  <c r="BJ22" i="14" s="1"/>
  <c r="CN22" i="14" s="1"/>
  <c r="Z18" i="43" s="1"/>
  <c r="EV22" i="14"/>
  <c r="DR22" i="14" s="1"/>
  <c r="CD22" i="14"/>
  <c r="P18" i="43" s="1"/>
  <c r="P183" i="20"/>
  <c r="K335" i="20"/>
  <c r="C145" i="20"/>
  <c r="T145" i="20"/>
  <c r="HH178" i="14"/>
  <c r="HH177" i="14"/>
  <c r="AA88" i="20"/>
  <c r="IY49" i="14"/>
  <c r="E12" i="20"/>
  <c r="JS38" i="14"/>
  <c r="JC38" i="14"/>
  <c r="AA31" i="20"/>
  <c r="T183" i="20"/>
  <c r="I335" i="20"/>
  <c r="AA297" i="20"/>
  <c r="F50" i="20"/>
  <c r="O12" i="20"/>
  <c r="CC75" i="14"/>
  <c r="O71" i="43" s="1"/>
  <c r="EU75" i="14"/>
  <c r="DQ75" i="14" s="1"/>
  <c r="BI75" i="14" a="1"/>
  <c r="BI75" i="14" s="1"/>
  <c r="CM75" i="14" s="1"/>
  <c r="Y71" i="43" s="1"/>
  <c r="JE64" i="14"/>
  <c r="JB54" i="14"/>
  <c r="JK45" i="14"/>
  <c r="JG45" i="14"/>
  <c r="EM86" i="14"/>
  <c r="DI86" i="14" s="1"/>
  <c r="BA86" i="14" a="1"/>
  <c r="BA86" i="14" s="1"/>
  <c r="BZ86" i="14"/>
  <c r="L82" i="43" s="1"/>
  <c r="CL103" i="14"/>
  <c r="X99" i="43" s="1"/>
  <c r="FD103" i="14"/>
  <c r="DZ103" i="14" s="1"/>
  <c r="BR103" i="14" a="1"/>
  <c r="BR103" i="14" s="1"/>
  <c r="CV103" i="14" s="1"/>
  <c r="AH99" i="43" s="1"/>
  <c r="CE60" i="14"/>
  <c r="Q56" i="43" s="1"/>
  <c r="BK60" i="14" a="1"/>
  <c r="BK60" i="14" s="1"/>
  <c r="CO60" i="14" s="1"/>
  <c r="AA56" i="43" s="1"/>
  <c r="EW60" i="14"/>
  <c r="DS60" i="14" s="1"/>
  <c r="JH62" i="14"/>
  <c r="IX86" i="14"/>
  <c r="JG9" i="14"/>
  <c r="FB9" i="14"/>
  <c r="DX9" i="14" s="1"/>
  <c r="CJ9" i="14"/>
  <c r="V5" i="43" s="1"/>
  <c r="BP9" i="14" a="1"/>
  <c r="BP9" i="14" s="1"/>
  <c r="CT9" i="14" s="1"/>
  <c r="AF5" i="43" s="1"/>
  <c r="CL23" i="14"/>
  <c r="X19" i="43" s="1"/>
  <c r="BR23" i="14" a="1"/>
  <c r="BR23" i="14" s="1"/>
  <c r="CV23" i="14" s="1"/>
  <c r="AH19" i="43" s="1"/>
  <c r="FD23" i="14"/>
  <c r="DZ23" i="14" s="1"/>
  <c r="JA47" i="14"/>
  <c r="JK47" i="14"/>
  <c r="IY48" i="14"/>
  <c r="IZ61" i="14"/>
  <c r="BL67" i="14" a="1"/>
  <c r="BL67" i="14" s="1"/>
  <c r="CP67" i="14" s="1"/>
  <c r="AB63" i="43" s="1"/>
  <c r="EX67" i="14"/>
  <c r="DT67" i="14" s="1"/>
  <c r="CF67" i="14"/>
  <c r="R63" i="43" s="1"/>
  <c r="IT72" i="14"/>
  <c r="CK76" i="14"/>
  <c r="W72" i="43" s="1"/>
  <c r="BQ76" i="14" a="1"/>
  <c r="BQ76" i="14" s="1"/>
  <c r="CU76" i="14" s="1"/>
  <c r="AG72" i="43" s="1"/>
  <c r="FC76" i="14"/>
  <c r="DY76" i="14" s="1"/>
  <c r="M154" i="20"/>
  <c r="W154" i="20"/>
  <c r="JE9" i="14"/>
  <c r="CC41" i="14"/>
  <c r="O37" i="43" s="1"/>
  <c r="EU41" i="14"/>
  <c r="DQ41" i="14" s="1"/>
  <c r="BI41" i="14" a="1"/>
  <c r="BI41" i="14" s="1"/>
  <c r="CM41" i="14" s="1"/>
  <c r="Y37" i="43" s="1"/>
  <c r="BY11" i="14"/>
  <c r="K7" i="43" s="1"/>
  <c r="EL11" i="14"/>
  <c r="DH11" i="14" s="1"/>
  <c r="AZ11" i="14" a="1"/>
  <c r="AZ11" i="14" s="1"/>
  <c r="IY50" i="14"/>
  <c r="EW58" i="14"/>
  <c r="DS58" i="14" s="1"/>
  <c r="CE58" i="14"/>
  <c r="Q54" i="43" s="1"/>
  <c r="BK58" i="14" a="1"/>
  <c r="BK58" i="14" s="1"/>
  <c r="CO58" i="14" s="1"/>
  <c r="AA54" i="43" s="1"/>
  <c r="JG62" i="14"/>
  <c r="R171" i="20"/>
  <c r="AB171" i="20"/>
  <c r="E60" i="12"/>
  <c r="L44" i="10"/>
  <c r="E11" i="12"/>
  <c r="L12" i="10"/>
  <c r="L47" i="10"/>
  <c r="E63" i="12"/>
  <c r="E32" i="12"/>
  <c r="L26" i="10"/>
  <c r="IV46" i="14"/>
  <c r="FB54" i="14"/>
  <c r="DX54" i="14" s="1"/>
  <c r="CJ54" i="14"/>
  <c r="V50" i="43" s="1"/>
  <c r="BP54" i="14" a="1"/>
  <c r="BP54" i="14" s="1"/>
  <c r="CT54" i="14" s="1"/>
  <c r="AF50" i="43" s="1"/>
  <c r="FD66" i="14"/>
  <c r="DZ66" i="14" s="1"/>
  <c r="CL66" i="14"/>
  <c r="X62" i="43" s="1"/>
  <c r="BR66" i="14" a="1"/>
  <c r="BR66" i="14" s="1"/>
  <c r="CV66" i="14" s="1"/>
  <c r="AH62" i="43" s="1"/>
  <c r="U173" i="20"/>
  <c r="EK78" i="14"/>
  <c r="DG78" i="14" s="1"/>
  <c r="AY78" i="14" a="1"/>
  <c r="AY78" i="14" s="1"/>
  <c r="BX78" i="14"/>
  <c r="J74" i="43" s="1"/>
  <c r="CJ82" i="14"/>
  <c r="V78" i="43" s="1"/>
  <c r="BP82" i="14" a="1"/>
  <c r="BP82" i="14" s="1"/>
  <c r="CT82" i="14" s="1"/>
  <c r="AF78" i="43" s="1"/>
  <c r="FB82" i="14"/>
  <c r="DX82" i="14" s="1"/>
  <c r="IR10" i="14"/>
  <c r="CE7" i="14"/>
  <c r="Q3" i="43" s="1"/>
  <c r="EW7" i="14"/>
  <c r="DS7" i="14" s="1"/>
  <c r="BK7" i="14" a="1"/>
  <c r="BK7" i="14" s="1"/>
  <c r="CO7" i="14" s="1"/>
  <c r="AA3" i="43" s="1"/>
  <c r="IX103" i="14"/>
  <c r="BP26" i="14" a="1"/>
  <c r="BP26" i="14" s="1"/>
  <c r="CT26" i="14" s="1"/>
  <c r="AF22" i="43" s="1"/>
  <c r="FB26" i="14"/>
  <c r="DX26" i="14" s="1"/>
  <c r="CJ26" i="14"/>
  <c r="V22" i="43" s="1"/>
  <c r="JC72" i="14"/>
  <c r="FD82" i="14"/>
  <c r="DZ82" i="14" s="1"/>
  <c r="BR82" i="14" a="1"/>
  <c r="BR82" i="14" s="1"/>
  <c r="CV82" i="14" s="1"/>
  <c r="AH78" i="43" s="1"/>
  <c r="CL82" i="14"/>
  <c r="X78" i="43" s="1"/>
  <c r="IZ48" i="14"/>
  <c r="IU48" i="14"/>
  <c r="CE64" i="14"/>
  <c r="Q60" i="43" s="1"/>
  <c r="BK64" i="14" a="1"/>
  <c r="BK64" i="14" s="1"/>
  <c r="EW64" i="14"/>
  <c r="DS64" i="14" s="1"/>
  <c r="IV64" i="14"/>
  <c r="IS103" i="14"/>
  <c r="E43" i="12"/>
  <c r="L37" i="10"/>
  <c r="W395" i="20"/>
  <c r="EX72" i="14"/>
  <c r="DT72" i="14" s="1"/>
  <c r="BL72" i="14" a="1"/>
  <c r="BL72" i="14" s="1"/>
  <c r="CP72" i="14" s="1"/>
  <c r="AB68" i="43" s="1"/>
  <c r="CF72" i="14"/>
  <c r="R68" i="43" s="1"/>
  <c r="IR77" i="14"/>
  <c r="IZ86" i="14"/>
  <c r="CK75" i="14"/>
  <c r="W71" i="43" s="1"/>
  <c r="BQ75" i="14" a="1"/>
  <c r="BQ75" i="14" s="1"/>
  <c r="CU75" i="14" s="1"/>
  <c r="AG71" i="43" s="1"/>
  <c r="FC75" i="14"/>
  <c r="DY75" i="14" s="1"/>
  <c r="EH102" i="14"/>
  <c r="DD102" i="14" s="1"/>
  <c r="BW102" i="14"/>
  <c r="I98" i="43" s="1"/>
  <c r="I108" i="43" s="1"/>
  <c r="AV102" i="14" a="1"/>
  <c r="AV102" i="14" s="1"/>
  <c r="JG73" i="14"/>
  <c r="FA93" i="14"/>
  <c r="DW93" i="14" s="1"/>
  <c r="CI93" i="14"/>
  <c r="U89" i="43" s="1"/>
  <c r="BO93" i="14" a="1"/>
  <c r="BO93" i="14" s="1"/>
  <c r="CS93" i="14" s="1"/>
  <c r="AE89" i="43" s="1"/>
  <c r="D12" i="20"/>
  <c r="GW178" i="14"/>
  <c r="GW177" i="14"/>
  <c r="P88" i="20"/>
  <c r="X12" i="20"/>
  <c r="M183" i="20"/>
  <c r="C259" i="20"/>
  <c r="G434" i="20"/>
  <c r="G432" i="20" s="1"/>
  <c r="AD145" i="20"/>
  <c r="HC178" i="14"/>
  <c r="HC177" i="14"/>
  <c r="V88" i="20"/>
  <c r="BM21" i="14" a="1"/>
  <c r="BM21" i="14" s="1"/>
  <c r="CQ21" i="14" s="1"/>
  <c r="AC17" i="43" s="1"/>
  <c r="EY21" i="14"/>
  <c r="DU21" i="14" s="1"/>
  <c r="CG21" i="14"/>
  <c r="S17" i="43" s="1"/>
  <c r="J145" i="20"/>
  <c r="AE145" i="20"/>
  <c r="G221" i="20"/>
  <c r="O50" i="20"/>
  <c r="JJ68" i="14"/>
  <c r="JE68" i="14"/>
  <c r="AB145" i="20"/>
  <c r="B145" i="20"/>
  <c r="C50" i="20"/>
  <c r="CH22" i="14"/>
  <c r="T18" i="43" s="1"/>
  <c r="EZ22" i="14"/>
  <c r="DV22" i="14" s="1"/>
  <c r="BN22" i="14" a="1"/>
  <c r="BN22" i="14" s="1"/>
  <c r="CR22" i="14" s="1"/>
  <c r="AD18" i="43" s="1"/>
  <c r="F127" i="3"/>
  <c r="F49" i="3" s="1"/>
  <c r="F152" i="3"/>
  <c r="G102" i="3"/>
  <c r="X31" i="20"/>
  <c r="S282" i="17"/>
  <c r="S281" i="17" s="1"/>
  <c r="IB177" i="14"/>
  <c r="R16" i="21" s="1"/>
  <c r="R23" i="21" s="1"/>
  <c r="W12" i="20"/>
  <c r="F113" i="3"/>
  <c r="E163" i="3"/>
  <c r="E138" i="3"/>
  <c r="E60" i="3" s="1"/>
  <c r="J183" i="20"/>
  <c r="F145" i="20"/>
  <c r="GM178" i="14"/>
  <c r="GM177" i="14"/>
  <c r="F88" i="20"/>
  <c r="K12" i="20"/>
  <c r="H164" i="20"/>
  <c r="R390" i="20"/>
  <c r="JD8" i="14"/>
  <c r="P31" i="20"/>
  <c r="L278" i="20"/>
  <c r="GQ178" i="14"/>
  <c r="GQ177" i="14"/>
  <c r="J88" i="20"/>
  <c r="U145" i="20"/>
  <c r="HD178" i="14"/>
  <c r="HD177" i="14"/>
  <c r="W88" i="20"/>
  <c r="E31" i="20"/>
  <c r="I145" i="20"/>
  <c r="JD49" i="14"/>
  <c r="IU49" i="14"/>
  <c r="IQ38" i="14"/>
  <c r="JT38" i="14"/>
  <c r="G12" i="20"/>
  <c r="V164" i="20"/>
  <c r="JF64" i="14"/>
  <c r="IX64" i="14"/>
  <c r="B302" i="20"/>
  <c r="B299" i="20" s="1"/>
  <c r="JF54" i="14"/>
  <c r="JL45" i="14"/>
  <c r="JS45" i="14"/>
  <c r="JD61" i="14"/>
  <c r="IZ76" i="14"/>
  <c r="EW10" i="14"/>
  <c r="DS10" i="14" s="1"/>
  <c r="BK10" i="14" a="1"/>
  <c r="BK10" i="14" s="1"/>
  <c r="CJ10" i="14"/>
  <c r="V6" i="43" s="1"/>
  <c r="CK9" i="14"/>
  <c r="W5" i="43" s="1"/>
  <c r="FC9" i="14"/>
  <c r="DY9" i="14" s="1"/>
  <c r="BQ9" i="14" a="1"/>
  <c r="BQ9" i="14" s="1"/>
  <c r="CU9" i="14" s="1"/>
  <c r="AG5" i="43" s="1"/>
  <c r="JD46" i="14"/>
  <c r="BO60" i="14" a="1"/>
  <c r="BO60" i="14" s="1"/>
  <c r="CS60" i="14" s="1"/>
  <c r="AE56" i="43" s="1"/>
  <c r="FA60" i="14"/>
  <c r="DW60" i="14" s="1"/>
  <c r="CI60" i="14"/>
  <c r="U56" i="43" s="1"/>
  <c r="CG9" i="14"/>
  <c r="S5" i="43" s="1"/>
  <c r="BM9" i="14" a="1"/>
  <c r="BM9" i="14" s="1"/>
  <c r="CQ9" i="14" s="1"/>
  <c r="AC5" i="43" s="1"/>
  <c r="EY9" i="14"/>
  <c r="DU9" i="14" s="1"/>
  <c r="JE61" i="14"/>
  <c r="JF73" i="14"/>
  <c r="CI82" i="14"/>
  <c r="U78" i="43" s="1"/>
  <c r="FA82" i="14"/>
  <c r="DW82" i="14" s="1"/>
  <c r="BO82" i="14" a="1"/>
  <c r="BO82" i="14" s="1"/>
  <c r="CS82" i="14" s="1"/>
  <c r="AE78" i="43" s="1"/>
  <c r="IY8" i="14"/>
  <c r="IQ47" i="14"/>
  <c r="EW22" i="14"/>
  <c r="DS22" i="14" s="1"/>
  <c r="BK22" i="14" a="1"/>
  <c r="BK22" i="14" s="1"/>
  <c r="CO22" i="14" s="1"/>
  <c r="AA18" i="43" s="1"/>
  <c r="CE22" i="14"/>
  <c r="Q18" i="43" s="1"/>
  <c r="IV72" i="14"/>
  <c r="IQ76" i="14"/>
  <c r="JA79" i="14"/>
  <c r="BI82" i="14" a="1"/>
  <c r="BI82" i="14" s="1"/>
  <c r="CM82" i="14" s="1"/>
  <c r="Y78" i="43" s="1"/>
  <c r="EU82" i="14"/>
  <c r="DQ82" i="14" s="1"/>
  <c r="CC82" i="14"/>
  <c r="O78" i="43" s="1"/>
  <c r="FC22" i="14"/>
  <c r="DY22" i="14" s="1"/>
  <c r="BQ22" i="14" a="1"/>
  <c r="BQ22" i="14" s="1"/>
  <c r="CU22" i="14" s="1"/>
  <c r="AG18" i="43" s="1"/>
  <c r="CK22" i="14"/>
  <c r="W18" i="43" s="1"/>
  <c r="JN38" i="14"/>
  <c r="IT50" i="14"/>
  <c r="JA50" i="14"/>
  <c r="IQ62" i="14"/>
  <c r="E7" i="12"/>
  <c r="L8" i="10"/>
  <c r="E35" i="12"/>
  <c r="L29" i="10"/>
  <c r="E26" i="12"/>
  <c r="E56" i="12"/>
  <c r="AB154" i="20"/>
  <c r="R154" i="20"/>
  <c r="AE173" i="20"/>
  <c r="BS179" i="14"/>
  <c r="B453" i="20"/>
  <c r="CI26" i="14"/>
  <c r="U22" i="43" s="1"/>
  <c r="BO26" i="14" a="1"/>
  <c r="BO26" i="14" s="1"/>
  <c r="CS26" i="14" s="1"/>
  <c r="AE22" i="43" s="1"/>
  <c r="FA26" i="14"/>
  <c r="DW26" i="14" s="1"/>
  <c r="IW50" i="14"/>
  <c r="JE72" i="14"/>
  <c r="IZ54" i="14"/>
  <c r="IY62" i="14"/>
  <c r="F94" i="20"/>
  <c r="F90" i="20" s="1"/>
  <c r="IV48" i="14"/>
  <c r="JJ54" i="14"/>
  <c r="IR45" i="14"/>
  <c r="IS72" i="14"/>
  <c r="CI27" i="14"/>
  <c r="U23" i="43" s="1"/>
  <c r="FA27" i="14"/>
  <c r="DW27" i="14" s="1"/>
  <c r="BO27" i="14" a="1"/>
  <c r="BO27" i="14" s="1"/>
  <c r="CS27" i="14" s="1"/>
  <c r="AE23" i="43" s="1"/>
  <c r="CF7" i="14"/>
  <c r="R3" i="43" s="1"/>
  <c r="BL7" i="14" a="1"/>
  <c r="BL7" i="14" s="1"/>
  <c r="CP7" i="14" s="1"/>
  <c r="AB3" i="43" s="1"/>
  <c r="EX7" i="14"/>
  <c r="DT7" i="14" s="1"/>
  <c r="CJ43" i="14"/>
  <c r="V39" i="43" s="1"/>
  <c r="BP43" i="14" a="1"/>
  <c r="BP43" i="14" s="1"/>
  <c r="CT43" i="14" s="1"/>
  <c r="AF39" i="43" s="1"/>
  <c r="FB43" i="14"/>
  <c r="DX43" i="14" s="1"/>
  <c r="JH73" i="14"/>
  <c r="G150" i="20"/>
  <c r="ET86" i="14"/>
  <c r="DP86" i="14" s="1"/>
  <c r="CG86" i="14"/>
  <c r="S82" i="43" s="1"/>
  <c r="BH86" i="14" a="1"/>
  <c r="BH86" i="14" s="1"/>
  <c r="W282" i="17"/>
  <c r="W281" i="17" s="1"/>
  <c r="IF177" i="14"/>
  <c r="V16" i="21" s="1"/>
  <c r="V23" i="21" s="1"/>
  <c r="J282" i="17"/>
  <c r="J281" i="17" s="1"/>
  <c r="HS177" i="14"/>
  <c r="I16" i="21" s="1"/>
  <c r="I23" i="21" s="1"/>
  <c r="Y183" i="20"/>
  <c r="L12" i="20"/>
  <c r="R278" i="20"/>
  <c r="GK178" i="14"/>
  <c r="GK177" i="14"/>
  <c r="D88" i="20"/>
  <c r="F316" i="20"/>
  <c r="F278" i="20"/>
  <c r="D145" i="20"/>
  <c r="IZ73" i="14"/>
  <c r="BI67" i="14" a="1"/>
  <c r="BI67" i="14" s="1"/>
  <c r="CM67" i="14" s="1"/>
  <c r="Y63" i="43" s="1"/>
  <c r="EU67" i="14"/>
  <c r="DQ67" i="14" s="1"/>
  <c r="CC67" i="14"/>
  <c r="O63" i="43" s="1"/>
  <c r="H282" i="17"/>
  <c r="H281" i="17" s="1"/>
  <c r="HQ177" i="14"/>
  <c r="G16" i="21" s="1"/>
  <c r="G23" i="21" s="1"/>
  <c r="BQ21" i="14" a="1"/>
  <c r="BQ21" i="14" s="1"/>
  <c r="CU21" i="14" s="1"/>
  <c r="AG17" i="43" s="1"/>
  <c r="FC21" i="14"/>
  <c r="DY21" i="14" s="1"/>
  <c r="CK21" i="14"/>
  <c r="W17" i="43" s="1"/>
  <c r="JE8" i="14"/>
  <c r="U240" i="20"/>
  <c r="Z164" i="20"/>
  <c r="AA145" i="20"/>
  <c r="AE50" i="20"/>
  <c r="X259" i="20"/>
  <c r="AE278" i="20"/>
  <c r="Q282" i="17"/>
  <c r="Q281" i="17" s="1"/>
  <c r="HZ177" i="14"/>
  <c r="P16" i="21" s="1"/>
  <c r="P23" i="21" s="1"/>
  <c r="D316" i="20"/>
  <c r="AA183" i="20"/>
  <c r="G50" i="20"/>
  <c r="IW49" i="14"/>
  <c r="CI24" i="14"/>
  <c r="U20" i="43" s="1"/>
  <c r="BO24" i="14" a="1"/>
  <c r="BO24" i="14" s="1"/>
  <c r="CS24" i="14" s="1"/>
  <c r="AE20" i="43" s="1"/>
  <c r="FA24" i="14"/>
  <c r="DW24" i="14" s="1"/>
  <c r="IR38" i="14"/>
  <c r="JD38" i="14"/>
  <c r="X240" i="20"/>
  <c r="AE335" i="20"/>
  <c r="B390" i="20"/>
  <c r="Y12" i="20"/>
  <c r="JG64" i="14"/>
  <c r="JJ64" i="14"/>
  <c r="O335" i="20"/>
  <c r="IS10" i="14"/>
  <c r="CI42" i="14"/>
  <c r="U38" i="43" s="1"/>
  <c r="BO42" i="14" a="1"/>
  <c r="BO42" i="14" s="1"/>
  <c r="CS42" i="14" s="1"/>
  <c r="AE38" i="43" s="1"/>
  <c r="FA42" i="14"/>
  <c r="DW42" i="14" s="1"/>
  <c r="EX21" i="14"/>
  <c r="DT21" i="14" s="1"/>
  <c r="CF21" i="14"/>
  <c r="R17" i="43" s="1"/>
  <c r="BL21" i="14" a="1"/>
  <c r="BL21" i="14" s="1"/>
  <c r="CP21" i="14" s="1"/>
  <c r="AB17" i="43" s="1"/>
  <c r="B265" i="20"/>
  <c r="JO45" i="14"/>
  <c r="IW45" i="14"/>
  <c r="JJ67" i="14"/>
  <c r="JI46" i="14"/>
  <c r="CD60" i="14"/>
  <c r="P56" i="43" s="1"/>
  <c r="EV60" i="14"/>
  <c r="DR60" i="14" s="1"/>
  <c r="BJ60" i="14" a="1"/>
  <c r="BJ60" i="14" s="1"/>
  <c r="CN60" i="14" s="1"/>
  <c r="Z56" i="43" s="1"/>
  <c r="IZ47" i="14"/>
  <c r="IS61" i="14"/>
  <c r="JA77" i="14"/>
  <c r="IX58" i="14"/>
  <c r="ET11" i="14"/>
  <c r="DP11" i="14" s="1"/>
  <c r="CG11" i="14"/>
  <c r="S7" i="43" s="1"/>
  <c r="BH11" i="14" a="1"/>
  <c r="BH11" i="14" s="1"/>
  <c r="JC47" i="14"/>
  <c r="IV61" i="14"/>
  <c r="S154" i="20"/>
  <c r="AC154" i="20"/>
  <c r="J246" i="20"/>
  <c r="B151" i="20"/>
  <c r="CJ48" i="14"/>
  <c r="V44" i="43" s="1"/>
  <c r="BP48" i="14" a="1"/>
  <c r="BP48" i="14" s="1"/>
  <c r="CT48" i="14" s="1"/>
  <c r="AF44" i="43" s="1"/>
  <c r="FB48" i="14"/>
  <c r="DX48" i="14" s="1"/>
  <c r="IU50" i="14"/>
  <c r="IR62" i="14"/>
  <c r="JI62" i="14"/>
  <c r="EW87" i="14"/>
  <c r="DS87" i="14" s="1"/>
  <c r="CJ87" i="14"/>
  <c r="V83" i="43" s="1"/>
  <c r="BK87" i="14" a="1"/>
  <c r="BK87" i="14" s="1"/>
  <c r="IV87" i="14"/>
  <c r="E31" i="12"/>
  <c r="L25" i="10"/>
  <c r="E59" i="12"/>
  <c r="L43" i="10"/>
  <c r="E50" i="12"/>
  <c r="IX8" i="14"/>
  <c r="E19" i="20"/>
  <c r="IY77" i="14"/>
  <c r="S171" i="20"/>
  <c r="AC171" i="20"/>
  <c r="JD9" i="14"/>
  <c r="CG20" i="14"/>
  <c r="S16" i="43" s="1"/>
  <c r="BM20" i="14" a="1"/>
  <c r="BM20" i="14" s="1"/>
  <c r="CQ20" i="14" s="1"/>
  <c r="AC16" i="43" s="1"/>
  <c r="EY20" i="14"/>
  <c r="DU20" i="14" s="1"/>
  <c r="CE39" i="14"/>
  <c r="Q35" i="43" s="1"/>
  <c r="EW39" i="14"/>
  <c r="DS39" i="14" s="1"/>
  <c r="BK39" i="14" a="1"/>
  <c r="BK39" i="14" s="1"/>
  <c r="CO39" i="14" s="1"/>
  <c r="AA35" i="43" s="1"/>
  <c r="EW73" i="14"/>
  <c r="DS73" i="14" s="1"/>
  <c r="CE73" i="14"/>
  <c r="Q69" i="43" s="1"/>
  <c r="BK73" i="14" a="1"/>
  <c r="BK73" i="14" s="1"/>
  <c r="CO73" i="14" s="1"/>
  <c r="AA69" i="43" s="1"/>
  <c r="JE73" i="14"/>
  <c r="IW72" i="14"/>
  <c r="JD103" i="14"/>
  <c r="AJ62" i="12"/>
  <c r="X62" i="12"/>
  <c r="L62" i="12"/>
  <c r="AI62" i="12"/>
  <c r="W62" i="12"/>
  <c r="K62" i="12"/>
  <c r="AH62" i="12"/>
  <c r="V62" i="12"/>
  <c r="J62" i="12"/>
  <c r="AG62" i="12"/>
  <c r="U62" i="12"/>
  <c r="I62" i="12"/>
  <c r="AF62" i="12"/>
  <c r="T62" i="12"/>
  <c r="H62" i="12"/>
  <c r="AE62" i="12"/>
  <c r="S62" i="12"/>
  <c r="G62" i="12"/>
  <c r="AC62" i="12"/>
  <c r="Q62" i="12"/>
  <c r="AD62" i="12"/>
  <c r="AB62" i="12"/>
  <c r="AA62" i="12"/>
  <c r="Z62" i="12"/>
  <c r="Y62" i="12"/>
  <c r="R62" i="12"/>
  <c r="P62" i="12"/>
  <c r="O62" i="12"/>
  <c r="N62" i="12"/>
  <c r="M62" i="12"/>
  <c r="CJ41" i="14"/>
  <c r="V37" i="43" s="1"/>
  <c r="BP41" i="14" a="1"/>
  <c r="BP41" i="14" s="1"/>
  <c r="CT41" i="14" s="1"/>
  <c r="AF37" i="43" s="1"/>
  <c r="FB41" i="14"/>
  <c r="DX41" i="14" s="1"/>
  <c r="BI71" i="14" a="1"/>
  <c r="BI71" i="14" s="1"/>
  <c r="CM71" i="14" s="1"/>
  <c r="Y67" i="43" s="1"/>
  <c r="CC71" i="14"/>
  <c r="O67" i="43" s="1"/>
  <c r="EU71" i="14"/>
  <c r="DQ71" i="14" s="1"/>
  <c r="IV58" i="14"/>
  <c r="JG72" i="14"/>
  <c r="JE54" i="14"/>
  <c r="IX78" i="14"/>
  <c r="K151" i="20"/>
  <c r="CD103" i="14"/>
  <c r="P99" i="43" s="1"/>
  <c r="BJ103" i="14" a="1"/>
  <c r="BJ103" i="14" s="1"/>
  <c r="EV103" i="14"/>
  <c r="DR103" i="14" s="1"/>
  <c r="EU46" i="14"/>
  <c r="DQ46" i="14" s="1"/>
  <c r="JE46" i="14"/>
  <c r="BI46" i="14" a="1"/>
  <c r="BI46" i="14" s="1"/>
  <c r="CC46" i="14"/>
  <c r="O42" i="43" s="1"/>
  <c r="CL27" i="14"/>
  <c r="X23" i="43" s="1"/>
  <c r="BR27" i="14" a="1"/>
  <c r="BR27" i="14" s="1"/>
  <c r="CV27" i="14" s="1"/>
  <c r="AH23" i="43" s="1"/>
  <c r="FD27" i="14"/>
  <c r="DZ27" i="14" s="1"/>
  <c r="JC58" i="14"/>
  <c r="IX48" i="14"/>
  <c r="IS54" i="14"/>
  <c r="IV62" i="14"/>
  <c r="BR8" i="14" a="1"/>
  <c r="BR8" i="14" s="1"/>
  <c r="CV8" i="14" s="1"/>
  <c r="AH4" i="43" s="1"/>
  <c r="FD8" i="14"/>
  <c r="DZ8" i="14" s="1"/>
  <c r="CL8" i="14"/>
  <c r="X4" i="43" s="1"/>
  <c r="I21" i="20"/>
  <c r="CK54" i="14"/>
  <c r="W50" i="43" s="1"/>
  <c r="FC54" i="14"/>
  <c r="DY54" i="14" s="1"/>
  <c r="BQ54" i="14" a="1"/>
  <c r="BQ54" i="14" s="1"/>
  <c r="CU54" i="14" s="1"/>
  <c r="AG50" i="43" s="1"/>
  <c r="JB45" i="14"/>
  <c r="CH77" i="14"/>
  <c r="T73" i="43" s="1"/>
  <c r="BN77" i="14" a="1"/>
  <c r="BN77" i="14" s="1"/>
  <c r="CR77" i="14" s="1"/>
  <c r="AD73" i="43" s="1"/>
  <c r="EZ77" i="14"/>
  <c r="DV77" i="14" s="1"/>
  <c r="IW78" i="14"/>
  <c r="Z40" i="12"/>
  <c r="U65" i="20" s="1"/>
  <c r="N40" i="12"/>
  <c r="I65" i="20" s="1"/>
  <c r="Y40" i="12"/>
  <c r="T65" i="20" s="1"/>
  <c r="M40" i="12"/>
  <c r="H65" i="20" s="1"/>
  <c r="AJ40" i="12"/>
  <c r="AE65" i="20" s="1"/>
  <c r="X40" i="12"/>
  <c r="S65" i="20" s="1"/>
  <c r="L40" i="12"/>
  <c r="G65" i="20" s="1"/>
  <c r="AI40" i="12"/>
  <c r="AD65" i="20" s="1"/>
  <c r="W40" i="12"/>
  <c r="R65" i="20" s="1"/>
  <c r="K40" i="12"/>
  <c r="F65" i="20" s="1"/>
  <c r="AH40" i="12"/>
  <c r="AC65" i="20" s="1"/>
  <c r="V40" i="12"/>
  <c r="Q65" i="20" s="1"/>
  <c r="J40" i="12"/>
  <c r="E65" i="20" s="1"/>
  <c r="AG40" i="12"/>
  <c r="AB65" i="20" s="1"/>
  <c r="U40" i="12"/>
  <c r="P65" i="20" s="1"/>
  <c r="I40" i="12"/>
  <c r="D65" i="20" s="1"/>
  <c r="AE40" i="12"/>
  <c r="Z65" i="20" s="1"/>
  <c r="S40" i="12"/>
  <c r="N65" i="20" s="1"/>
  <c r="G40" i="12"/>
  <c r="B65" i="20" s="1"/>
  <c r="Q40" i="12"/>
  <c r="L65" i="20" s="1"/>
  <c r="P40" i="12"/>
  <c r="K65" i="20" s="1"/>
  <c r="O40" i="12"/>
  <c r="J65" i="20" s="1"/>
  <c r="H40" i="12"/>
  <c r="C65" i="20" s="1"/>
  <c r="AF40" i="12"/>
  <c r="AA65" i="20" s="1"/>
  <c r="AD40" i="12"/>
  <c r="Y65" i="20" s="1"/>
  <c r="AC40" i="12"/>
  <c r="X65" i="20" s="1"/>
  <c r="AB40" i="12"/>
  <c r="W65" i="20" s="1"/>
  <c r="AA40" i="12"/>
  <c r="V65" i="20" s="1"/>
  <c r="T40" i="12"/>
  <c r="O65" i="20" s="1"/>
  <c r="R40" i="12"/>
  <c r="M65" i="20" s="1"/>
  <c r="IQ73" i="14"/>
  <c r="CD77" i="14"/>
  <c r="P73" i="43" s="1"/>
  <c r="BJ77" i="14" a="1"/>
  <c r="BJ77" i="14" s="1"/>
  <c r="CN77" i="14" s="1"/>
  <c r="Z73" i="43" s="1"/>
  <c r="EV77" i="14"/>
  <c r="DR77" i="14" s="1"/>
  <c r="EW21" i="14"/>
  <c r="DS21" i="14" s="1"/>
  <c r="CE21" i="14"/>
  <c r="Q17" i="43" s="1"/>
  <c r="BK21" i="14" a="1"/>
  <c r="BK21" i="14" s="1"/>
  <c r="CO21" i="14" s="1"/>
  <c r="AA17" i="43" s="1"/>
  <c r="IX72" i="14"/>
  <c r="JH103" i="14"/>
  <c r="IX11" i="14"/>
  <c r="Z282" i="17"/>
  <c r="Z281" i="17" s="1"/>
  <c r="II177" i="14"/>
  <c r="Y16" i="21" s="1"/>
  <c r="Y23" i="21" s="1"/>
  <c r="C164" i="20"/>
  <c r="AB50" i="20"/>
  <c r="CD75" i="14"/>
  <c r="P71" i="43" s="1"/>
  <c r="EV75" i="14"/>
  <c r="DR75" i="14" s="1"/>
  <c r="BJ75" i="14" a="1"/>
  <c r="BJ75" i="14" s="1"/>
  <c r="CN75" i="14" s="1"/>
  <c r="Z71" i="43" s="1"/>
  <c r="AA164" i="20"/>
  <c r="F164" i="20"/>
  <c r="D174" i="3"/>
  <c r="E173" i="3"/>
  <c r="JK68" i="14"/>
  <c r="HI178" i="14"/>
  <c r="HI177" i="14"/>
  <c r="AB88" i="20"/>
  <c r="E335" i="20"/>
  <c r="N221" i="20"/>
  <c r="AD221" i="20"/>
  <c r="V12" i="20"/>
  <c r="AC335" i="20"/>
  <c r="V259" i="20"/>
  <c r="C185" i="3"/>
  <c r="C194" i="3"/>
  <c r="C186" i="3"/>
  <c r="C191" i="3"/>
  <c r="C183" i="3"/>
  <c r="C175" i="3"/>
  <c r="C188" i="3"/>
  <c r="C180" i="3"/>
  <c r="C193" i="3"/>
  <c r="C177" i="3"/>
  <c r="C190" i="3"/>
  <c r="C182" i="3"/>
  <c r="C187" i="3"/>
  <c r="C179" i="3"/>
  <c r="C181" i="3"/>
  <c r="C176" i="3"/>
  <c r="C189" i="3"/>
  <c r="C70" i="3"/>
  <c r="C184" i="3"/>
  <c r="C178" i="3"/>
  <c r="C192" i="3"/>
  <c r="Q221" i="20"/>
  <c r="BR75" i="14" a="1"/>
  <c r="BR75" i="14" s="1"/>
  <c r="CV75" i="14" s="1"/>
  <c r="AH71" i="43" s="1"/>
  <c r="CL75" i="14"/>
  <c r="X71" i="43" s="1"/>
  <c r="FD75" i="14"/>
  <c r="DZ75" i="14" s="1"/>
  <c r="R31" i="20"/>
  <c r="F221" i="20"/>
  <c r="IX68" i="14"/>
  <c r="IR68" i="14"/>
  <c r="AD282" i="17"/>
  <c r="AD281" i="17" s="1"/>
  <c r="IM177" i="14"/>
  <c r="AC16" i="21" s="1"/>
  <c r="AC23" i="21" s="1"/>
  <c r="O316" i="20"/>
  <c r="AD278" i="20"/>
  <c r="O282" i="17"/>
  <c r="O281" i="17" s="1"/>
  <c r="HX177" i="14"/>
  <c r="N16" i="21" s="1"/>
  <c r="N23" i="21" s="1"/>
  <c r="K316" i="20"/>
  <c r="R183" i="20"/>
  <c r="L335" i="20"/>
  <c r="G335" i="20"/>
  <c r="AD390" i="20"/>
  <c r="P221" i="20"/>
  <c r="F282" i="17"/>
  <c r="F281" i="17" s="1"/>
  <c r="HO177" i="14"/>
  <c r="E16" i="21" s="1"/>
  <c r="E23" i="21" s="1"/>
  <c r="K259" i="20"/>
  <c r="IU67" i="14"/>
  <c r="GL178" i="14"/>
  <c r="GL177" i="14"/>
  <c r="E88" i="20"/>
  <c r="M282" i="17"/>
  <c r="M281" i="17" s="1"/>
  <c r="HV177" i="14"/>
  <c r="L16" i="21" s="1"/>
  <c r="L23" i="21" s="1"/>
  <c r="CL22" i="14"/>
  <c r="X18" i="43" s="1"/>
  <c r="BR22" i="14" a="1"/>
  <c r="BR22" i="14" s="1"/>
  <c r="CV22" i="14" s="1"/>
  <c r="AH18" i="43" s="1"/>
  <c r="FD22" i="14"/>
  <c r="DZ22" i="14" s="1"/>
  <c r="IT58" i="14"/>
  <c r="I31" i="20"/>
  <c r="Y335" i="20"/>
  <c r="B240" i="20"/>
  <c r="N164" i="20"/>
  <c r="AB183" i="20"/>
  <c r="AE259" i="20"/>
  <c r="M221" i="20"/>
  <c r="IW9" i="14"/>
  <c r="GV178" i="14"/>
  <c r="GV177" i="14"/>
  <c r="O88" i="20"/>
  <c r="L50" i="20"/>
  <c r="IV49" i="14"/>
  <c r="JI49" i="14"/>
  <c r="IS38" i="14"/>
  <c r="B22" i="20"/>
  <c r="H31" i="20"/>
  <c r="AA335" i="20"/>
  <c r="U50" i="20"/>
  <c r="AE316" i="20"/>
  <c r="JI64" i="14"/>
  <c r="IR64" i="14"/>
  <c r="C183" i="20"/>
  <c r="IW10" i="14"/>
  <c r="EV42" i="14"/>
  <c r="DR42" i="14" s="1"/>
  <c r="CD42" i="14"/>
  <c r="P38" i="43" s="1"/>
  <c r="BJ42" i="14" a="1"/>
  <c r="BJ42" i="14" s="1"/>
  <c r="CN42" i="14" s="1"/>
  <c r="Z38" i="43" s="1"/>
  <c r="IV45" i="14"/>
  <c r="JA45" i="14"/>
  <c r="JI45" i="14"/>
  <c r="EU77" i="14"/>
  <c r="DQ77" i="14" s="1"/>
  <c r="CC77" i="14"/>
  <c r="O73" i="43" s="1"/>
  <c r="BI77" i="14" a="1"/>
  <c r="BI77" i="14" s="1"/>
  <c r="CM77" i="14" s="1"/>
  <c r="Y73" i="43" s="1"/>
  <c r="JH9" i="14"/>
  <c r="EW71" i="14"/>
  <c r="DS71" i="14" s="1"/>
  <c r="BK71" i="14" a="1"/>
  <c r="BK71" i="14" s="1"/>
  <c r="CO71" i="14" s="1"/>
  <c r="AA67" i="43" s="1"/>
  <c r="CE71" i="14"/>
  <c r="Q67" i="43" s="1"/>
  <c r="JJ49" i="14"/>
  <c r="Y189" i="20"/>
  <c r="JF77" i="14"/>
  <c r="IT9" i="14"/>
  <c r="JA9" i="14"/>
  <c r="CG76" i="14"/>
  <c r="S72" i="43" s="1"/>
  <c r="BM76" i="14" a="1"/>
  <c r="BM76" i="14" s="1"/>
  <c r="CQ76" i="14" s="1"/>
  <c r="AC72" i="43" s="1"/>
  <c r="EY76" i="14"/>
  <c r="DU76" i="14" s="1"/>
  <c r="IZ103" i="14"/>
  <c r="CL42" i="14"/>
  <c r="X38" i="43" s="1"/>
  <c r="FD42" i="14"/>
  <c r="DZ42" i="14" s="1"/>
  <c r="BR42" i="14" a="1"/>
  <c r="BR42" i="14" s="1"/>
  <c r="CV42" i="14" s="1"/>
  <c r="AH38" i="43" s="1"/>
  <c r="BP24" i="14" a="1"/>
  <c r="BP24" i="14" s="1"/>
  <c r="CT24" i="14" s="1"/>
  <c r="AF20" i="43" s="1"/>
  <c r="CJ24" i="14"/>
  <c r="V20" i="43" s="1"/>
  <c r="FB24" i="14"/>
  <c r="DX24" i="14" s="1"/>
  <c r="JF47" i="14"/>
  <c r="JA61" i="14"/>
  <c r="IY64" i="14"/>
  <c r="IR76" i="14"/>
  <c r="AF10" i="12"/>
  <c r="T10" i="12"/>
  <c r="H10" i="12"/>
  <c r="AE10" i="12"/>
  <c r="S10" i="12"/>
  <c r="G10" i="12"/>
  <c r="AD10" i="12"/>
  <c r="R10" i="12"/>
  <c r="AC10" i="12"/>
  <c r="Q10" i="12"/>
  <c r="AB10" i="12"/>
  <c r="P10" i="12"/>
  <c r="AA10" i="12"/>
  <c r="O10" i="12"/>
  <c r="W10" i="12"/>
  <c r="V10" i="12"/>
  <c r="U10" i="12"/>
  <c r="N10" i="12"/>
  <c r="M10" i="12"/>
  <c r="AJ10" i="12"/>
  <c r="L10" i="12"/>
  <c r="AI10" i="12"/>
  <c r="K10" i="12"/>
  <c r="AH10" i="12"/>
  <c r="J10" i="12"/>
  <c r="AG10" i="12"/>
  <c r="I10" i="12"/>
  <c r="X10" i="12"/>
  <c r="Z10" i="12"/>
  <c r="Y10" i="12"/>
  <c r="JG54" i="14"/>
  <c r="IX50" i="14"/>
  <c r="IR50" i="14"/>
  <c r="FB64" i="14"/>
  <c r="DX64" i="14" s="1"/>
  <c r="CJ64" i="14"/>
  <c r="V60" i="43" s="1"/>
  <c r="BP64" i="14" a="1"/>
  <c r="BP64" i="14" s="1"/>
  <c r="CT64" i="14" s="1"/>
  <c r="AF60" i="43" s="1"/>
  <c r="JF76" i="14"/>
  <c r="IY103" i="14"/>
  <c r="E55" i="12"/>
  <c r="E22" i="12"/>
  <c r="EU26" i="14"/>
  <c r="DQ26" i="14" s="1"/>
  <c r="CC26" i="14"/>
  <c r="O22" i="43" s="1"/>
  <c r="BI26" i="14" a="1"/>
  <c r="BI26" i="14" s="1"/>
  <c r="CM26" i="14" s="1"/>
  <c r="Y22" i="43" s="1"/>
  <c r="JJ58" i="14"/>
  <c r="IS77" i="14"/>
  <c r="CD78" i="14"/>
  <c r="P74" i="43" s="1"/>
  <c r="BE78" i="14" a="1"/>
  <c r="BE78" i="14" s="1"/>
  <c r="EQ78" i="14"/>
  <c r="DM78" i="14" s="1"/>
  <c r="J173" i="20"/>
  <c r="L64" i="12"/>
  <c r="I64" i="12"/>
  <c r="P64" i="12"/>
  <c r="CK23" i="14"/>
  <c r="W19" i="43" s="1"/>
  <c r="FC23" i="14"/>
  <c r="DY23" i="14" s="1"/>
  <c r="BQ23" i="14" a="1"/>
  <c r="BQ23" i="14" s="1"/>
  <c r="CU23" i="14" s="1"/>
  <c r="AG19" i="43" s="1"/>
  <c r="D22" i="20"/>
  <c r="D402" i="20" s="1"/>
  <c r="JC62" i="14"/>
  <c r="BN67" i="14" a="1"/>
  <c r="BN67" i="14" s="1"/>
  <c r="CR67" i="14" s="1"/>
  <c r="AD63" i="43" s="1"/>
  <c r="EZ67" i="14"/>
  <c r="DV67" i="14" s="1"/>
  <c r="CH67" i="14"/>
  <c r="T63" i="43" s="1"/>
  <c r="CD82" i="14"/>
  <c r="P78" i="43" s="1"/>
  <c r="EV82" i="14"/>
  <c r="DR82" i="14" s="1"/>
  <c r="BJ82" i="14" a="1"/>
  <c r="BJ82" i="14" s="1"/>
  <c r="CN82" i="14" s="1"/>
  <c r="Z78" i="43" s="1"/>
  <c r="Y51" i="12"/>
  <c r="M51" i="12"/>
  <c r="AJ51" i="12"/>
  <c r="X51" i="12"/>
  <c r="L51" i="12"/>
  <c r="AI51" i="12"/>
  <c r="W51" i="12"/>
  <c r="K51" i="12"/>
  <c r="AH51" i="12"/>
  <c r="V51" i="12"/>
  <c r="J51" i="12"/>
  <c r="AG51" i="12"/>
  <c r="U51" i="12"/>
  <c r="I51" i="12"/>
  <c r="AF51" i="12"/>
  <c r="T51" i="12"/>
  <c r="H51" i="12"/>
  <c r="AD51" i="12"/>
  <c r="R51" i="12"/>
  <c r="O51" i="12"/>
  <c r="N51" i="12"/>
  <c r="G51" i="12"/>
  <c r="AE51" i="12"/>
  <c r="AC51" i="12"/>
  <c r="AB51" i="12"/>
  <c r="AA51" i="12"/>
  <c r="Z51" i="12"/>
  <c r="S51" i="12"/>
  <c r="Q51" i="12"/>
  <c r="P51" i="12"/>
  <c r="EV43" i="14"/>
  <c r="DR43" i="14" s="1"/>
  <c r="CD43" i="14"/>
  <c r="P39" i="43" s="1"/>
  <c r="BJ43" i="14" a="1"/>
  <c r="BJ43" i="14" s="1"/>
  <c r="CN43" i="14" s="1"/>
  <c r="Z39" i="43" s="1"/>
  <c r="J21" i="20"/>
  <c r="CE103" i="14"/>
  <c r="Q99" i="43" s="1"/>
  <c r="EW103" i="14"/>
  <c r="DS103" i="14" s="1"/>
  <c r="BK103" i="14" a="1"/>
  <c r="BK103" i="14" s="1"/>
  <c r="CO103" i="14" s="1"/>
  <c r="AA99" i="43" s="1"/>
  <c r="CD46" i="14"/>
  <c r="P42" i="43" s="1"/>
  <c r="EV46" i="14"/>
  <c r="DR46" i="14" s="1"/>
  <c r="BJ46" i="14" a="1"/>
  <c r="BJ46" i="14" s="1"/>
  <c r="CN46" i="14" s="1"/>
  <c r="Z42" i="43" s="1"/>
  <c r="BI48" i="14" a="1"/>
  <c r="BI48" i="14" s="1"/>
  <c r="CM48" i="14" s="1"/>
  <c r="Y44" i="43" s="1"/>
  <c r="EU48" i="14"/>
  <c r="DQ48" i="14" s="1"/>
  <c r="CC48" i="14"/>
  <c r="O44" i="43" s="1"/>
  <c r="JJ48" i="14"/>
  <c r="IV77" i="14"/>
  <c r="CC79" i="14"/>
  <c r="O75" i="43" s="1"/>
  <c r="BD79" i="14" a="1"/>
  <c r="BD79" i="14" s="1"/>
  <c r="EP79" i="14"/>
  <c r="DL79" i="14" s="1"/>
  <c r="IW86" i="14"/>
  <c r="IZ10" i="14"/>
  <c r="FA73" i="14"/>
  <c r="DW73" i="14" s="1"/>
  <c r="CI73" i="14"/>
  <c r="U69" i="43" s="1"/>
  <c r="BO73" i="14" a="1"/>
  <c r="BO73" i="14" s="1"/>
  <c r="CS73" i="14" s="1"/>
  <c r="AE69" i="43" s="1"/>
  <c r="IZ64" i="14"/>
  <c r="AA29" i="12"/>
  <c r="O29" i="12"/>
  <c r="Z29" i="12"/>
  <c r="N29" i="12"/>
  <c r="Y29" i="12"/>
  <c r="M29" i="12"/>
  <c r="AJ29" i="12"/>
  <c r="X29" i="12"/>
  <c r="L29" i="12"/>
  <c r="AI29" i="12"/>
  <c r="W29" i="12"/>
  <c r="K29" i="12"/>
  <c r="AH29" i="12"/>
  <c r="V29" i="12"/>
  <c r="J29" i="12"/>
  <c r="AF29" i="12"/>
  <c r="T29" i="12"/>
  <c r="H29" i="12"/>
  <c r="R29" i="12"/>
  <c r="Q29" i="12"/>
  <c r="P29" i="12"/>
  <c r="I29" i="12"/>
  <c r="G29" i="12"/>
  <c r="AG29" i="12"/>
  <c r="AE29" i="12"/>
  <c r="AD29" i="12"/>
  <c r="AC29" i="12"/>
  <c r="U29" i="12"/>
  <c r="S29" i="12"/>
  <c r="AB29" i="12"/>
  <c r="D21" i="20"/>
  <c r="JJ62" i="14"/>
  <c r="B395" i="20"/>
  <c r="R395" i="20"/>
  <c r="GY178" i="14"/>
  <c r="GY177" i="14"/>
  <c r="R88" i="20"/>
  <c r="U12" i="20"/>
  <c r="N12" i="20"/>
  <c r="AC240" i="20"/>
  <c r="H316" i="20"/>
  <c r="O183" i="20"/>
  <c r="Z316" i="20"/>
  <c r="AC183" i="20"/>
  <c r="AC259" i="20"/>
  <c r="N50" i="20"/>
  <c r="JF68" i="14"/>
  <c r="B50" i="20"/>
  <c r="GT178" i="14"/>
  <c r="GT177" i="14"/>
  <c r="M88" i="20"/>
  <c r="Z183" i="20"/>
  <c r="U278" i="20"/>
  <c r="S145" i="20"/>
  <c r="AB297" i="20"/>
  <c r="AD316" i="20"/>
  <c r="T164" i="20"/>
  <c r="I278" i="20"/>
  <c r="P297" i="20"/>
  <c r="JH67" i="14"/>
  <c r="G282" i="17"/>
  <c r="G281" i="17" s="1"/>
  <c r="HP177" i="14"/>
  <c r="F16" i="21" s="1"/>
  <c r="F23" i="21" s="1"/>
  <c r="GR178" i="14"/>
  <c r="GR177" i="14"/>
  <c r="K88" i="20"/>
  <c r="CH75" i="14"/>
  <c r="T71" i="43" s="1"/>
  <c r="BN75" i="14" a="1"/>
  <c r="BN75" i="14" s="1"/>
  <c r="CR75" i="14" s="1"/>
  <c r="AD71" i="43" s="1"/>
  <c r="EZ75" i="14"/>
  <c r="DV75" i="14" s="1"/>
  <c r="AD240" i="20"/>
  <c r="D164" i="20"/>
  <c r="AB259" i="20"/>
  <c r="EK11" i="14"/>
  <c r="DG11" i="14" s="1"/>
  <c r="AY11" i="14" a="1"/>
  <c r="AY11" i="14" s="1"/>
  <c r="BX11" i="14"/>
  <c r="J7" i="43" s="1"/>
  <c r="CC58" i="14"/>
  <c r="O54" i="43" s="1"/>
  <c r="EU58" i="14"/>
  <c r="DQ58" i="14" s="1"/>
  <c r="BI58" i="14" a="1"/>
  <c r="BI58" i="14" s="1"/>
  <c r="CM58" i="14" s="1"/>
  <c r="Y54" i="43" s="1"/>
  <c r="T240" i="20"/>
  <c r="EX75" i="14"/>
  <c r="DT75" i="14" s="1"/>
  <c r="BL75" i="14" a="1"/>
  <c r="BL75" i="14" s="1"/>
  <c r="CP75" i="14" s="1"/>
  <c r="AB71" i="43" s="1"/>
  <c r="CF75" i="14"/>
  <c r="R71" i="43" s="1"/>
  <c r="AC164" i="20"/>
  <c r="L183" i="20"/>
  <c r="S50" i="20"/>
  <c r="AE12" i="20"/>
  <c r="H145" i="20"/>
  <c r="M297" i="20"/>
  <c r="R50" i="20"/>
  <c r="IQ67" i="14"/>
  <c r="IY67" i="14"/>
  <c r="IT67" i="14"/>
  <c r="IZ67" i="14"/>
  <c r="IW67" i="14"/>
  <c r="IX67" i="14"/>
  <c r="JF49" i="14"/>
  <c r="IX38" i="14"/>
  <c r="JE38" i="14"/>
  <c r="D221" i="20"/>
  <c r="JD64" i="14"/>
  <c r="CC39" i="14"/>
  <c r="O35" i="43" s="1"/>
  <c r="EU39" i="14"/>
  <c r="DQ39" i="14" s="1"/>
  <c r="BI39" i="14" a="1"/>
  <c r="BI39" i="14" s="1"/>
  <c r="CM39" i="14" s="1"/>
  <c r="Y35" i="43" s="1"/>
  <c r="JH45" i="14"/>
  <c r="JM45" i="14"/>
  <c r="BP62" i="14" a="1"/>
  <c r="BP62" i="14" s="1"/>
  <c r="CT62" i="14" s="1"/>
  <c r="AF58" i="43" s="1"/>
  <c r="CJ62" i="14"/>
  <c r="V58" i="43" s="1"/>
  <c r="FB62" i="14"/>
  <c r="DX62" i="14" s="1"/>
  <c r="IW62" i="14"/>
  <c r="CC93" i="14"/>
  <c r="O89" i="43" s="1"/>
  <c r="BI93" i="14" a="1"/>
  <c r="BI93" i="14" s="1"/>
  <c r="CM93" i="14" s="1"/>
  <c r="Y89" i="43" s="1"/>
  <c r="EU93" i="14"/>
  <c r="DQ93" i="14" s="1"/>
  <c r="IT62" i="14"/>
  <c r="IV67" i="14"/>
  <c r="JG103" i="14"/>
  <c r="Z16" i="12"/>
  <c r="N16" i="12"/>
  <c r="Y16" i="12"/>
  <c r="M16" i="12"/>
  <c r="AJ16" i="12"/>
  <c r="X16" i="12"/>
  <c r="L16" i="12"/>
  <c r="AI16" i="12"/>
  <c r="W16" i="12"/>
  <c r="K16" i="12"/>
  <c r="AH16" i="12"/>
  <c r="V16" i="12"/>
  <c r="J16" i="12"/>
  <c r="AG16" i="12"/>
  <c r="U16" i="12"/>
  <c r="I16" i="12"/>
  <c r="AA16" i="12"/>
  <c r="T16" i="12"/>
  <c r="S16" i="12"/>
  <c r="R16" i="12"/>
  <c r="Q16" i="12"/>
  <c r="P16" i="12"/>
  <c r="O16" i="12"/>
  <c r="AF16" i="12"/>
  <c r="H16" i="12"/>
  <c r="AE16" i="12"/>
  <c r="G16" i="12"/>
  <c r="AD16" i="12"/>
  <c r="AC16" i="12"/>
  <c r="AB16" i="12"/>
  <c r="JJ9" i="14"/>
  <c r="IY38" i="14"/>
  <c r="Q171" i="20"/>
  <c r="AA171" i="20"/>
  <c r="IU103" i="14"/>
  <c r="JH47" i="14"/>
  <c r="IR47" i="14"/>
  <c r="JH61" i="14"/>
  <c r="IZ77" i="14"/>
  <c r="IX76" i="14"/>
  <c r="IT76" i="14"/>
  <c r="IU46" i="14"/>
  <c r="I265" i="20"/>
  <c r="JC50" i="14"/>
  <c r="JD50" i="14"/>
  <c r="JE77" i="14"/>
  <c r="JF103" i="14"/>
  <c r="E18" i="12"/>
  <c r="L19" i="10"/>
  <c r="E46" i="12"/>
  <c r="L40" i="10"/>
  <c r="L18" i="10"/>
  <c r="E17" i="12"/>
  <c r="CK7" i="14"/>
  <c r="W3" i="43" s="1"/>
  <c r="FC7" i="14"/>
  <c r="DY7" i="14" s="1"/>
  <c r="BQ7" i="14" a="1"/>
  <c r="BQ7" i="14" s="1"/>
  <c r="CU7" i="14" s="1"/>
  <c r="AG3" i="43" s="1"/>
  <c r="BL49" i="14" a="1"/>
  <c r="BL49" i="14" s="1"/>
  <c r="CF49" i="14"/>
  <c r="R45" i="43" s="1"/>
  <c r="EX49" i="14"/>
  <c r="DT49" i="14" s="1"/>
  <c r="CK77" i="14"/>
  <c r="W73" i="43" s="1"/>
  <c r="FC77" i="14"/>
  <c r="DY77" i="14" s="1"/>
  <c r="BQ77" i="14" a="1"/>
  <c r="BQ77" i="14" s="1"/>
  <c r="CU77" i="14" s="1"/>
  <c r="AG73" i="43" s="1"/>
  <c r="JJ103" i="14"/>
  <c r="AA53" i="12"/>
  <c r="O53" i="12"/>
  <c r="Z53" i="12"/>
  <c r="N53" i="12"/>
  <c r="Y53" i="12"/>
  <c r="M53" i="12"/>
  <c r="AJ53" i="12"/>
  <c r="X53" i="12"/>
  <c r="L53" i="12"/>
  <c r="AI53" i="12"/>
  <c r="W53" i="12"/>
  <c r="K53" i="12"/>
  <c r="AH53" i="12"/>
  <c r="V53" i="12"/>
  <c r="J53" i="12"/>
  <c r="AF53" i="12"/>
  <c r="T53" i="12"/>
  <c r="H53" i="12"/>
  <c r="U53" i="12"/>
  <c r="S53" i="12"/>
  <c r="R53" i="12"/>
  <c r="Q53" i="12"/>
  <c r="P53" i="12"/>
  <c r="I53" i="12"/>
  <c r="G53" i="12"/>
  <c r="AG53" i="12"/>
  <c r="AE53" i="12"/>
  <c r="AD53" i="12"/>
  <c r="AC53" i="12"/>
  <c r="AB53" i="12"/>
  <c r="IT54" i="14"/>
  <c r="IT73" i="14"/>
  <c r="IZ11" i="14"/>
  <c r="JF46" i="14"/>
  <c r="CK41" i="14"/>
  <c r="W37" i="43" s="1"/>
  <c r="FC41" i="14"/>
  <c r="DY41" i="14" s="1"/>
  <c r="BQ41" i="14" a="1"/>
  <c r="BQ41" i="14" s="1"/>
  <c r="CU41" i="14" s="1"/>
  <c r="AG37" i="43" s="1"/>
  <c r="IW48" i="14"/>
  <c r="IQ48" i="14"/>
  <c r="IX9" i="14"/>
  <c r="FD48" i="14"/>
  <c r="DZ48" i="14" s="1"/>
  <c r="CL48" i="14"/>
  <c r="X44" i="43" s="1"/>
  <c r="BR48" i="14" a="1"/>
  <c r="BR48" i="14" s="1"/>
  <c r="CV48" i="14" s="1"/>
  <c r="AH44" i="43" s="1"/>
  <c r="EZ66" i="14"/>
  <c r="DV66" i="14" s="1"/>
  <c r="BN66" i="14" a="1"/>
  <c r="BN66" i="14" s="1"/>
  <c r="CR66" i="14" s="1"/>
  <c r="AD62" i="43" s="1"/>
  <c r="CH66" i="14"/>
  <c r="T62" i="43" s="1"/>
  <c r="EW54" i="14"/>
  <c r="DS54" i="14" s="1"/>
  <c r="CE54" i="14"/>
  <c r="Q50" i="43" s="1"/>
  <c r="BK54" i="14" a="1"/>
  <c r="BK54" i="14" s="1"/>
  <c r="CO54" i="14" s="1"/>
  <c r="AA50" i="43" s="1"/>
  <c r="JA62" i="14"/>
  <c r="CE44" i="14"/>
  <c r="Q40" i="43" s="1"/>
  <c r="BF44" i="14" a="1"/>
  <c r="BF44" i="14" s="1"/>
  <c r="ER44" i="14"/>
  <c r="DN44" i="14" s="1"/>
  <c r="JP45" i="14"/>
  <c r="G395" i="20"/>
  <c r="V221" i="20"/>
  <c r="B12" i="20"/>
  <c r="K164" i="20"/>
  <c r="U316" i="20"/>
  <c r="AB12" i="20"/>
  <c r="X164" i="20"/>
  <c r="W335" i="20"/>
  <c r="FB67" i="14"/>
  <c r="DX67" i="14" s="1"/>
  <c r="BP67" i="14" a="1"/>
  <c r="BP67" i="14" s="1"/>
  <c r="CT67" i="14" s="1"/>
  <c r="AF63" i="43" s="1"/>
  <c r="CJ67" i="14"/>
  <c r="V63" i="43" s="1"/>
  <c r="CC22" i="14"/>
  <c r="O18" i="43" s="1"/>
  <c r="EU22" i="14"/>
  <c r="DQ22" i="14" s="1"/>
  <c r="BI22" i="14" a="1"/>
  <c r="BI22" i="14" s="1"/>
  <c r="CM22" i="14" s="1"/>
  <c r="Y18" i="43" s="1"/>
  <c r="P164" i="20"/>
  <c r="JA67" i="14"/>
  <c r="C316" i="20"/>
  <c r="AE240" i="20"/>
  <c r="AC50" i="20"/>
  <c r="O31" i="20"/>
  <c r="D259" i="20"/>
  <c r="Y50" i="20"/>
  <c r="S316" i="20"/>
  <c r="W164" i="20"/>
  <c r="X50" i="20"/>
  <c r="S259" i="20"/>
  <c r="F132" i="3"/>
  <c r="F54" i="3" s="1"/>
  <c r="G107" i="3"/>
  <c r="F157" i="3"/>
  <c r="X221" i="20"/>
  <c r="EZ58" i="14"/>
  <c r="DV58" i="14" s="1"/>
  <c r="CH58" i="14"/>
  <c r="T54" i="43" s="1"/>
  <c r="BN58" i="14" a="1"/>
  <c r="BN58" i="14" s="1"/>
  <c r="CR58" i="14" s="1"/>
  <c r="AD54" i="43" s="1"/>
  <c r="JG38" i="14"/>
  <c r="JF38" i="14"/>
  <c r="O240" i="20"/>
  <c r="W278" i="20"/>
  <c r="I50" i="20"/>
  <c r="BP58" i="14" a="1"/>
  <c r="BP58" i="14" s="1"/>
  <c r="CT58" i="14" s="1"/>
  <c r="AF54" i="43" s="1"/>
  <c r="FB58" i="14"/>
  <c r="DX58" i="14" s="1"/>
  <c r="CJ58" i="14"/>
  <c r="V54" i="43" s="1"/>
  <c r="C240" i="20"/>
  <c r="Z31" i="20"/>
  <c r="AE183" i="20"/>
  <c r="JT45" i="14"/>
  <c r="IS45" i="14"/>
  <c r="CE41" i="14"/>
  <c r="Q37" i="43" s="1"/>
  <c r="EW41" i="14"/>
  <c r="DS41" i="14" s="1"/>
  <c r="BK41" i="14" a="1"/>
  <c r="BK41" i="14" s="1"/>
  <c r="CO41" i="14" s="1"/>
  <c r="AA37" i="43" s="1"/>
  <c r="U395" i="20"/>
  <c r="CH73" i="14"/>
  <c r="T69" i="43" s="1"/>
  <c r="EZ73" i="14"/>
  <c r="DV73" i="14" s="1"/>
  <c r="BN73" i="14" a="1"/>
  <c r="BN73" i="14" s="1"/>
  <c r="CR73" i="14" s="1"/>
  <c r="AD69" i="43" s="1"/>
  <c r="JF9" i="14"/>
  <c r="BR39" i="14" a="1"/>
  <c r="BR39" i="14" s="1"/>
  <c r="CV39" i="14" s="1"/>
  <c r="AH35" i="43" s="1"/>
  <c r="CL39" i="14"/>
  <c r="X35" i="43" s="1"/>
  <c r="FD39" i="14"/>
  <c r="DZ39" i="14" s="1"/>
  <c r="IX73" i="14"/>
  <c r="AJ14" i="12"/>
  <c r="X14" i="12"/>
  <c r="L14" i="12"/>
  <c r="AI14" i="12"/>
  <c r="W14" i="12"/>
  <c r="K14" i="12"/>
  <c r="AH14" i="12"/>
  <c r="V14" i="12"/>
  <c r="J14" i="12"/>
  <c r="AG14" i="12"/>
  <c r="U14" i="12"/>
  <c r="I14" i="12"/>
  <c r="AF14" i="12"/>
  <c r="T14" i="12"/>
  <c r="H14" i="12"/>
  <c r="AE14" i="12"/>
  <c r="S14" i="12"/>
  <c r="G14" i="12"/>
  <c r="Z14" i="12"/>
  <c r="Y14" i="12"/>
  <c r="R14" i="12"/>
  <c r="Q14" i="12"/>
  <c r="P14" i="12"/>
  <c r="O14" i="12"/>
  <c r="N14" i="12"/>
  <c r="M14" i="12"/>
  <c r="AD14" i="12"/>
  <c r="AC14" i="12"/>
  <c r="AB14" i="12"/>
  <c r="AA14" i="12"/>
  <c r="JI47" i="14"/>
  <c r="JD47" i="14"/>
  <c r="BN61" i="14" a="1"/>
  <c r="BN61" i="14" s="1"/>
  <c r="CH61" i="14"/>
  <c r="T57" i="43" s="1"/>
  <c r="EZ61" i="14"/>
  <c r="DV61" i="14" s="1"/>
  <c r="IY76" i="14"/>
  <c r="IS76" i="14"/>
  <c r="JK103" i="14"/>
  <c r="IR11" i="14"/>
  <c r="JB50" i="14"/>
  <c r="JF50" i="14"/>
  <c r="JH76" i="14"/>
  <c r="L36" i="10"/>
  <c r="E42" i="12"/>
  <c r="L14" i="10"/>
  <c r="E13" i="12"/>
  <c r="E41" i="12"/>
  <c r="L35" i="10"/>
  <c r="IS9" i="14"/>
  <c r="JD73" i="14"/>
  <c r="EK86" i="14"/>
  <c r="DG86" i="14" s="1"/>
  <c r="BX86" i="14"/>
  <c r="J82" i="43" s="1"/>
  <c r="AY86" i="14" a="1"/>
  <c r="AY86" i="14" s="1"/>
  <c r="IY86" i="14"/>
  <c r="U369" i="20"/>
  <c r="U368" i="20" s="1"/>
  <c r="U350" i="20"/>
  <c r="U349" i="20" s="1"/>
  <c r="JH58" i="14"/>
  <c r="U154" i="20"/>
  <c r="AE154" i="20"/>
  <c r="CL46" i="14"/>
  <c r="X42" i="43" s="1"/>
  <c r="BR46" i="14" a="1"/>
  <c r="BR46" i="14" s="1"/>
  <c r="CV46" i="14" s="1"/>
  <c r="AH42" i="43" s="1"/>
  <c r="FD46" i="14"/>
  <c r="DZ46" i="14" s="1"/>
  <c r="JA46" i="14"/>
  <c r="CK64" i="14"/>
  <c r="W60" i="43" s="1"/>
  <c r="FC64" i="14"/>
  <c r="DY64" i="14" s="1"/>
  <c r="BQ64" i="14" a="1"/>
  <c r="BQ64" i="14" s="1"/>
  <c r="CU64" i="14" s="1"/>
  <c r="AG60" i="43" s="1"/>
  <c r="H151" i="20"/>
  <c r="CI21" i="14"/>
  <c r="U17" i="43" s="1"/>
  <c r="FA21" i="14"/>
  <c r="DW21" i="14" s="1"/>
  <c r="BO21" i="14" a="1"/>
  <c r="BO21" i="14" s="1"/>
  <c r="CS21" i="14" s="1"/>
  <c r="AE17" i="43" s="1"/>
  <c r="JG48" i="14"/>
  <c r="JC48" i="14"/>
  <c r="IX54" i="14"/>
  <c r="EZ50" i="14"/>
  <c r="DV50" i="14" s="1"/>
  <c r="BN50" i="14" a="1"/>
  <c r="BN50" i="14" s="1"/>
  <c r="CR50" i="14" s="1"/>
  <c r="AD46" i="43" s="1"/>
  <c r="CH50" i="14"/>
  <c r="T46" i="43" s="1"/>
  <c r="C284" i="20"/>
  <c r="JB103" i="14"/>
  <c r="CL10" i="14"/>
  <c r="X6" i="43" s="1"/>
  <c r="EY10" i="14"/>
  <c r="DU10" i="14" s="1"/>
  <c r="BM10" i="14" a="1"/>
  <c r="BM10" i="14" s="1"/>
  <c r="CL71" i="14"/>
  <c r="X67" i="43" s="1"/>
  <c r="BR71" i="14" a="1"/>
  <c r="BR71" i="14" s="1"/>
  <c r="CV71" i="14" s="1"/>
  <c r="AH67" i="43" s="1"/>
  <c r="FD71" i="14"/>
  <c r="DZ71" i="14" s="1"/>
  <c r="D171" i="20"/>
  <c r="V94" i="20"/>
  <c r="IU77" i="14"/>
  <c r="X395" i="20"/>
  <c r="AE221" i="20"/>
  <c r="E183" i="20"/>
  <c r="H50" i="20"/>
  <c r="C278" i="20"/>
  <c r="GP178" i="14"/>
  <c r="GP177" i="14"/>
  <c r="I88" i="20"/>
  <c r="X145" i="20"/>
  <c r="E221" i="20"/>
  <c r="AA282" i="17"/>
  <c r="AA281" i="17" s="1"/>
  <c r="IJ177" i="14"/>
  <c r="Z16" i="21" s="1"/>
  <c r="Z23" i="21" s="1"/>
  <c r="W316" i="20"/>
  <c r="AG282" i="17"/>
  <c r="AG281" i="17" s="1"/>
  <c r="IP177" i="14"/>
  <c r="AF16" i="21" s="1"/>
  <c r="AF23" i="21" s="1"/>
  <c r="BT177" i="14"/>
  <c r="D25" i="21" s="1"/>
  <c r="D36" i="21" s="1"/>
  <c r="IR58" i="14"/>
  <c r="IQ58" i="14"/>
  <c r="AB164" i="20"/>
  <c r="IT61" i="14"/>
  <c r="IU61" i="14"/>
  <c r="IQ61" i="14"/>
  <c r="IR61" i="14"/>
  <c r="HA178" i="14"/>
  <c r="HA177" i="14"/>
  <c r="T88" i="20"/>
  <c r="U390" i="20"/>
  <c r="N145" i="20"/>
  <c r="B297" i="20"/>
  <c r="IR67" i="14"/>
  <c r="CI22" i="14"/>
  <c r="U18" i="43" s="1"/>
  <c r="FA22" i="14"/>
  <c r="DW22" i="14" s="1"/>
  <c r="BO22" i="14" a="1"/>
  <c r="BO22" i="14" s="1"/>
  <c r="CS22" i="14" s="1"/>
  <c r="AE18" i="43" s="1"/>
  <c r="M164" i="20"/>
  <c r="B259" i="20"/>
  <c r="D278" i="20"/>
  <c r="H297" i="20"/>
  <c r="B94" i="20"/>
  <c r="B90" i="20" s="1"/>
  <c r="AB316" i="20"/>
  <c r="CL58" i="14"/>
  <c r="X54" i="43" s="1"/>
  <c r="BR58" i="14" a="1"/>
  <c r="BR58" i="14" s="1"/>
  <c r="CV58" i="14" s="1"/>
  <c r="AH54" i="43" s="1"/>
  <c r="FD58" i="14"/>
  <c r="DZ58" i="14" s="1"/>
  <c r="CF22" i="14"/>
  <c r="R18" i="43" s="1"/>
  <c r="EX22" i="14"/>
  <c r="DT22" i="14" s="1"/>
  <c r="BL22" i="14" a="1"/>
  <c r="BL22" i="14" s="1"/>
  <c r="CP22" i="14" s="1"/>
  <c r="AB18" i="43" s="1"/>
  <c r="S240" i="20"/>
  <c r="F240" i="20"/>
  <c r="L164" i="20"/>
  <c r="Q50" i="20"/>
  <c r="D282" i="17"/>
  <c r="D281" i="17" s="1"/>
  <c r="HM177" i="14"/>
  <c r="C16" i="21" s="1"/>
  <c r="C23" i="21" s="1"/>
  <c r="L316" i="20"/>
  <c r="I240" i="20"/>
  <c r="K240" i="20"/>
  <c r="Y297" i="20"/>
  <c r="AD50" i="20"/>
  <c r="S278" i="20"/>
  <c r="Q145" i="20"/>
  <c r="U221" i="20"/>
  <c r="IS49" i="14"/>
  <c r="IQ49" i="14"/>
  <c r="JA49" i="14"/>
  <c r="IZ49" i="14"/>
  <c r="JH49" i="14"/>
  <c r="IT38" i="14"/>
  <c r="JA38" i="14"/>
  <c r="E145" i="20"/>
  <c r="BM67" i="14" a="1"/>
  <c r="BM67" i="14" s="1"/>
  <c r="CQ67" i="14" s="1"/>
  <c r="AC63" i="43" s="1"/>
  <c r="EY67" i="14"/>
  <c r="DU67" i="14" s="1"/>
  <c r="CG67" i="14"/>
  <c r="S63" i="43" s="1"/>
  <c r="IU8" i="14"/>
  <c r="Y316" i="20"/>
  <c r="Z12" i="20"/>
  <c r="IQ64" i="14"/>
  <c r="JK54" i="14"/>
  <c r="JI38" i="14"/>
  <c r="IQ45" i="14"/>
  <c r="JE45" i="14"/>
  <c r="N171" i="20"/>
  <c r="X171" i="20"/>
  <c r="IS11" i="14"/>
  <c r="IY9" i="14"/>
  <c r="EV9" i="14"/>
  <c r="DR9" i="14" s="1"/>
  <c r="CD9" i="14"/>
  <c r="P5" i="43" s="1"/>
  <c r="BJ9" i="14" a="1"/>
  <c r="BJ9" i="14" s="1"/>
  <c r="JA48" i="14"/>
  <c r="CD23" i="14"/>
  <c r="P19" i="43" s="1"/>
  <c r="BJ23" i="14" a="1"/>
  <c r="BJ23" i="14" s="1"/>
  <c r="CN23" i="14" s="1"/>
  <c r="Z19" i="43" s="1"/>
  <c r="EV23" i="14"/>
  <c r="DR23" i="14" s="1"/>
  <c r="JJ47" i="14"/>
  <c r="JC76" i="14"/>
  <c r="IW76" i="14"/>
  <c r="IX79" i="14"/>
  <c r="IZ87" i="14"/>
  <c r="H395" i="20"/>
  <c r="EZ23" i="14"/>
  <c r="DV23" i="14" s="1"/>
  <c r="CH23" i="14"/>
  <c r="T19" i="43" s="1"/>
  <c r="BN23" i="14" a="1"/>
  <c r="BN23" i="14" s="1"/>
  <c r="CR23" i="14" s="1"/>
  <c r="AD19" i="43" s="1"/>
  <c r="CK24" i="14"/>
  <c r="W20" i="43" s="1"/>
  <c r="BQ24" i="14" a="1"/>
  <c r="BQ24" i="14" s="1"/>
  <c r="CU24" i="14" s="1"/>
  <c r="AG20" i="43" s="1"/>
  <c r="FC24" i="14"/>
  <c r="DY24" i="14" s="1"/>
  <c r="IQ50" i="14"/>
  <c r="JG50" i="14"/>
  <c r="EW66" i="14"/>
  <c r="DS66" i="14" s="1"/>
  <c r="CE66" i="14"/>
  <c r="Q62" i="43" s="1"/>
  <c r="BK66" i="14" a="1"/>
  <c r="BK66" i="14" s="1"/>
  <c r="CO66" i="14" s="1"/>
  <c r="AA62" i="43" s="1"/>
  <c r="L173" i="20"/>
  <c r="V173" i="20"/>
  <c r="EN78" i="14"/>
  <c r="DJ78" i="14" s="1"/>
  <c r="CA78" i="14"/>
  <c r="M74" i="43" s="1"/>
  <c r="BB78" i="14" a="1"/>
  <c r="BB78" i="14" s="1"/>
  <c r="L50" i="10"/>
  <c r="E66" i="12"/>
  <c r="E37" i="12"/>
  <c r="L31" i="10"/>
  <c r="L49" i="10"/>
  <c r="E65" i="12"/>
  <c r="CL9" i="14"/>
  <c r="X5" i="43" s="1"/>
  <c r="BR9" i="14" a="1"/>
  <c r="BR9" i="14" s="1"/>
  <c r="CV9" i="14" s="1"/>
  <c r="AH5" i="43" s="1"/>
  <c r="FD9" i="14"/>
  <c r="DZ9" i="14" s="1"/>
  <c r="EW23" i="14"/>
  <c r="DS23" i="14" s="1"/>
  <c r="CE23" i="14"/>
  <c r="Q19" i="43" s="1"/>
  <c r="BK23" i="14" a="1"/>
  <c r="BK23" i="14" s="1"/>
  <c r="CO23" i="14" s="1"/>
  <c r="AA19" i="43" s="1"/>
  <c r="CL54" i="14"/>
  <c r="X50" i="43" s="1"/>
  <c r="BR54" i="14" a="1"/>
  <c r="BR54" i="14" s="1"/>
  <c r="CV54" i="14" s="1"/>
  <c r="AH50" i="43" s="1"/>
  <c r="FD54" i="14"/>
  <c r="DZ54" i="14" s="1"/>
  <c r="CE72" i="14"/>
  <c r="Q68" i="43" s="1"/>
  <c r="EW72" i="14"/>
  <c r="DS72" i="14" s="1"/>
  <c r="BK72" i="14" a="1"/>
  <c r="BK72" i="14" s="1"/>
  <c r="CO72" i="14" s="1"/>
  <c r="AA68" i="43" s="1"/>
  <c r="JJ72" i="14"/>
  <c r="FC66" i="14"/>
  <c r="DY66" i="14" s="1"/>
  <c r="BQ66" i="14" a="1"/>
  <c r="BQ66" i="14" s="1"/>
  <c r="CU66" i="14" s="1"/>
  <c r="AG62" i="43" s="1"/>
  <c r="CK66" i="14"/>
  <c r="W62" i="43" s="1"/>
  <c r="C94" i="20"/>
  <c r="JF58" i="14"/>
  <c r="CE77" i="14"/>
  <c r="Q73" i="43" s="1"/>
  <c r="EW77" i="14"/>
  <c r="DS77" i="14" s="1"/>
  <c r="BK77" i="14" a="1"/>
  <c r="BK77" i="14" s="1"/>
  <c r="CO77" i="14" s="1"/>
  <c r="AA73" i="43" s="1"/>
  <c r="IW11" i="14"/>
  <c r="CI46" i="14"/>
  <c r="U42" i="43" s="1"/>
  <c r="BO46" i="14" a="1"/>
  <c r="BO46" i="14" s="1"/>
  <c r="CS46" i="14" s="1"/>
  <c r="AE42" i="43" s="1"/>
  <c r="FA46" i="14"/>
  <c r="DW46" i="14" s="1"/>
  <c r="CF54" i="14"/>
  <c r="R50" i="43" s="1"/>
  <c r="EX54" i="14"/>
  <c r="DT54" i="14" s="1"/>
  <c r="BL54" i="14" a="1"/>
  <c r="BL54" i="14" s="1"/>
  <c r="CP54" i="14" s="1"/>
  <c r="AB50" i="43" s="1"/>
  <c r="IS73" i="14"/>
  <c r="EQ86" i="14"/>
  <c r="DM86" i="14" s="1"/>
  <c r="BE86" i="14" a="1"/>
  <c r="BE86" i="14" s="1"/>
  <c r="CD86" i="14"/>
  <c r="P82" i="43" s="1"/>
  <c r="JE103" i="14"/>
  <c r="CH7" i="14"/>
  <c r="T3" i="43" s="1"/>
  <c r="EZ7" i="14"/>
  <c r="DV7" i="14" s="1"/>
  <c r="BN7" i="14" a="1"/>
  <c r="BN7" i="14" s="1"/>
  <c r="CR7" i="14" s="1"/>
  <c r="AD3" i="43" s="1"/>
  <c r="JH48" i="14"/>
  <c r="K189" i="20"/>
  <c r="K185" i="20" s="1"/>
  <c r="JA64" i="14"/>
  <c r="IW79" i="14"/>
  <c r="JG58" i="14"/>
  <c r="JD45" i="14"/>
  <c r="EZ54" i="14"/>
  <c r="DV54" i="14" s="1"/>
  <c r="CH54" i="14"/>
  <c r="T50" i="43" s="1"/>
  <c r="BN54" i="14" a="1"/>
  <c r="BN54" i="14" s="1"/>
  <c r="CR54" i="14" s="1"/>
  <c r="AD50" i="43" s="1"/>
  <c r="JH64" i="14"/>
  <c r="IV11" i="14"/>
  <c r="JD54" i="14"/>
  <c r="JG77" i="14"/>
  <c r="IW102" i="14"/>
  <c r="JJ77" i="14"/>
  <c r="BV179" i="14"/>
  <c r="E453" i="20"/>
  <c r="J147" i="20"/>
  <c r="JC49" i="14"/>
  <c r="M395" i="20"/>
  <c r="N282" i="17"/>
  <c r="N281" i="17" s="1"/>
  <c r="HW177" i="14"/>
  <c r="M16" i="21" s="1"/>
  <c r="M23" i="21" s="1"/>
  <c r="AD183" i="20"/>
  <c r="BT178" i="14"/>
  <c r="H134" i="3"/>
  <c r="H56" i="3" s="1"/>
  <c r="I109" i="3"/>
  <c r="H159" i="3"/>
  <c r="GS178" i="14"/>
  <c r="GS177" i="14"/>
  <c r="L88" i="20"/>
  <c r="O164" i="20"/>
  <c r="J12" i="20"/>
  <c r="I12" i="20"/>
  <c r="JA72" i="14"/>
  <c r="JB72" i="14"/>
  <c r="IY72" i="14"/>
  <c r="T278" i="20"/>
  <c r="E297" i="20"/>
  <c r="E282" i="17"/>
  <c r="E281" i="17" s="1"/>
  <c r="HN177" i="14"/>
  <c r="D16" i="21" s="1"/>
  <c r="D23" i="21" s="1"/>
  <c r="EZ93" i="14"/>
  <c r="DV93" i="14" s="1"/>
  <c r="CH93" i="14"/>
  <c r="T89" i="43" s="1"/>
  <c r="BN93" i="14" a="1"/>
  <c r="BN93" i="14" s="1"/>
  <c r="CR93" i="14" s="1"/>
  <c r="AD89" i="43" s="1"/>
  <c r="U183" i="20"/>
  <c r="R145" i="20"/>
  <c r="K282" i="17"/>
  <c r="K281" i="17" s="1"/>
  <c r="HT177" i="14"/>
  <c r="J16" i="21" s="1"/>
  <c r="J23" i="21" s="1"/>
  <c r="IV103" i="14"/>
  <c r="R335" i="20"/>
  <c r="M145" i="20"/>
  <c r="IZ68" i="14"/>
  <c r="JG68" i="14"/>
  <c r="HF178" i="14"/>
  <c r="HF177" i="14"/>
  <c r="Y88" i="20"/>
  <c r="Y240" i="20"/>
  <c r="Q183" i="20"/>
  <c r="L145" i="20"/>
  <c r="HK178" i="14"/>
  <c r="HK177" i="14"/>
  <c r="AD88" i="20"/>
  <c r="E259" i="20"/>
  <c r="Y221" i="20"/>
  <c r="V282" i="17"/>
  <c r="V281" i="17" s="1"/>
  <c r="IE177" i="14"/>
  <c r="U16" i="21" s="1"/>
  <c r="U23" i="21" s="1"/>
  <c r="IQ46" i="14"/>
  <c r="IS46" i="14"/>
  <c r="IU10" i="14"/>
  <c r="JB67" i="14"/>
  <c r="AB282" i="17"/>
  <c r="AB281" i="17" s="1"/>
  <c r="IK177" i="14"/>
  <c r="AA16" i="21" s="1"/>
  <c r="AA23" i="21" s="1"/>
  <c r="BS178" i="14"/>
  <c r="P282" i="17"/>
  <c r="P281" i="17" s="1"/>
  <c r="HY177" i="14"/>
  <c r="O16" i="21" s="1"/>
  <c r="O23" i="21" s="1"/>
  <c r="IV8" i="14"/>
  <c r="J221" i="20"/>
  <c r="GI178" i="14"/>
  <c r="GI177" i="14"/>
  <c r="B88" i="20"/>
  <c r="K145" i="20"/>
  <c r="FA75" i="14"/>
  <c r="DW75" i="14" s="1"/>
  <c r="BO75" i="14" a="1"/>
  <c r="BO75" i="14" s="1"/>
  <c r="CS75" i="14" s="1"/>
  <c r="AE71" i="43" s="1"/>
  <c r="CI75" i="14"/>
  <c r="U71" i="43" s="1"/>
  <c r="O278" i="20"/>
  <c r="J297" i="20"/>
  <c r="FD67" i="14"/>
  <c r="DZ67" i="14" s="1"/>
  <c r="CL67" i="14"/>
  <c r="X63" i="43" s="1"/>
  <c r="BR67" i="14" a="1"/>
  <c r="BR67" i="14" s="1"/>
  <c r="CV67" i="14" s="1"/>
  <c r="AH63" i="43" s="1"/>
  <c r="AC316" i="20"/>
  <c r="EU21" i="14"/>
  <c r="DQ21" i="14" s="1"/>
  <c r="BI21" i="14" a="1"/>
  <c r="BI21" i="14" s="1"/>
  <c r="CM21" i="14" s="1"/>
  <c r="Y17" i="43" s="1"/>
  <c r="CC21" i="14"/>
  <c r="O17" i="43" s="1"/>
  <c r="JP38" i="14"/>
  <c r="JM38" i="14"/>
  <c r="B221" i="20"/>
  <c r="D94" i="20"/>
  <c r="Q12" i="20"/>
  <c r="F166" i="3"/>
  <c r="F141" i="3"/>
  <c r="F63" i="3" s="1"/>
  <c r="G116" i="3"/>
  <c r="E135" i="3"/>
  <c r="E57" i="3" s="1"/>
  <c r="F110" i="3"/>
  <c r="E160" i="3"/>
  <c r="K31" i="20"/>
  <c r="AF34" i="12"/>
  <c r="T34" i="12"/>
  <c r="H34" i="12"/>
  <c r="AE34" i="12"/>
  <c r="S34" i="12"/>
  <c r="G34" i="12"/>
  <c r="AD34" i="12"/>
  <c r="R34" i="12"/>
  <c r="AC34" i="12"/>
  <c r="Q34" i="12"/>
  <c r="AB34" i="12"/>
  <c r="P34" i="12"/>
  <c r="AA34" i="12"/>
  <c r="O34" i="12"/>
  <c r="Y34" i="12"/>
  <c r="M34" i="12"/>
  <c r="AJ34" i="12"/>
  <c r="J34" i="12"/>
  <c r="AI34" i="12"/>
  <c r="I34" i="12"/>
  <c r="AH34" i="12"/>
  <c r="AG34" i="12"/>
  <c r="Z34" i="12"/>
  <c r="X34" i="12"/>
  <c r="W34" i="12"/>
  <c r="V34" i="12"/>
  <c r="U34" i="12"/>
  <c r="L34" i="12"/>
  <c r="K34" i="12"/>
  <c r="N34" i="12"/>
  <c r="EU43" i="14"/>
  <c r="DQ43" i="14" s="1"/>
  <c r="CC43" i="14"/>
  <c r="O39" i="43" s="1"/>
  <c r="BI43" i="14" a="1"/>
  <c r="BI43" i="14" s="1"/>
  <c r="CM43" i="14" s="1"/>
  <c r="Y39" i="43" s="1"/>
  <c r="IX45" i="14"/>
  <c r="JQ45" i="14"/>
  <c r="EU73" i="14"/>
  <c r="DQ73" i="14" s="1"/>
  <c r="BI73" i="14" a="1"/>
  <c r="BI73" i="14" s="1"/>
  <c r="CC73" i="14"/>
  <c r="O69" i="43" s="1"/>
  <c r="JA73" i="14"/>
  <c r="JC67" i="14"/>
  <c r="FD21" i="14"/>
  <c r="DZ21" i="14" s="1"/>
  <c r="BR21" i="14" a="1"/>
  <c r="BR21" i="14" s="1"/>
  <c r="CV21" i="14" s="1"/>
  <c r="AH17" i="43" s="1"/>
  <c r="CL21" i="14"/>
  <c r="X17" i="43" s="1"/>
  <c r="EX68" i="14"/>
  <c r="DT68" i="14" s="1"/>
  <c r="CF68" i="14"/>
  <c r="R64" i="43" s="1"/>
  <c r="BL68" i="14" a="1"/>
  <c r="BL68" i="14" s="1"/>
  <c r="CP68" i="14" s="1"/>
  <c r="AB64" i="43" s="1"/>
  <c r="CE79" i="14"/>
  <c r="Q75" i="43" s="1"/>
  <c r="ER79" i="14"/>
  <c r="DN79" i="14" s="1"/>
  <c r="BF79" i="14" a="1"/>
  <c r="BF79" i="14" s="1"/>
  <c r="FB7" i="14"/>
  <c r="DX7" i="14" s="1"/>
  <c r="CJ7" i="14"/>
  <c r="V3" i="43" s="1"/>
  <c r="BP7" i="14" a="1"/>
  <c r="BP7" i="14" s="1"/>
  <c r="CT7" i="14" s="1"/>
  <c r="AF3" i="43" s="1"/>
  <c r="EV26" i="14"/>
  <c r="DR26" i="14" s="1"/>
  <c r="CD26" i="14"/>
  <c r="P22" i="43" s="1"/>
  <c r="BJ26" i="14" a="1"/>
  <c r="BJ26" i="14" s="1"/>
  <c r="CN26" i="14" s="1"/>
  <c r="Z22" i="43" s="1"/>
  <c r="IT77" i="14"/>
  <c r="IS47" i="14"/>
  <c r="CJ25" i="14"/>
  <c r="V21" i="43" s="1"/>
  <c r="BP25" i="14" a="1"/>
  <c r="BP25" i="14" s="1"/>
  <c r="CT25" i="14" s="1"/>
  <c r="AF21" i="43" s="1"/>
  <c r="FB25" i="14"/>
  <c r="DX25" i="14" s="1"/>
  <c r="JD76" i="14"/>
  <c r="JI76" i="14"/>
  <c r="IW58" i="14"/>
  <c r="IS50" i="14"/>
  <c r="JJ50" i="14"/>
  <c r="JK64" i="14"/>
  <c r="E9" i="12"/>
  <c r="L10" i="10"/>
  <c r="L45" i="10"/>
  <c r="E61" i="12"/>
  <c r="L22" i="10"/>
  <c r="E28" i="12"/>
  <c r="CK42" i="14"/>
  <c r="W38" i="43" s="1"/>
  <c r="FC42" i="14"/>
  <c r="DY42" i="14" s="1"/>
  <c r="BQ42" i="14" a="1"/>
  <c r="BQ42" i="14" s="1"/>
  <c r="CU42" i="14" s="1"/>
  <c r="AG38" i="43" s="1"/>
  <c r="CK39" i="14"/>
  <c r="W35" i="43" s="1"/>
  <c r="BQ39" i="14" a="1"/>
  <c r="BQ39" i="14" s="1"/>
  <c r="CU39" i="14" s="1"/>
  <c r="AG35" i="43" s="1"/>
  <c r="FC39" i="14"/>
  <c r="DY39" i="14" s="1"/>
  <c r="EV8" i="14"/>
  <c r="DR8" i="14" s="1"/>
  <c r="BJ8" i="14" a="1"/>
  <c r="BJ8" i="14" s="1"/>
  <c r="CD8" i="14"/>
  <c r="P4" i="43" s="1"/>
  <c r="JJ8" i="14"/>
  <c r="EY68" i="14"/>
  <c r="DU68" i="14" s="1"/>
  <c r="CG68" i="14"/>
  <c r="S64" i="43" s="1"/>
  <c r="BM68" i="14" a="1"/>
  <c r="BM68" i="14" s="1"/>
  <c r="CQ68" i="14" s="1"/>
  <c r="AC64" i="43" s="1"/>
  <c r="IY87" i="14"/>
  <c r="IQ103" i="14"/>
  <c r="JI72" i="14"/>
  <c r="AF58" i="12"/>
  <c r="T58" i="12"/>
  <c r="H58" i="12"/>
  <c r="AE58" i="12"/>
  <c r="S58" i="12"/>
  <c r="G58" i="12"/>
  <c r="AD58" i="12"/>
  <c r="R58" i="12"/>
  <c r="AC58" i="12"/>
  <c r="Q58" i="12"/>
  <c r="AB58" i="12"/>
  <c r="P58" i="12"/>
  <c r="AA58" i="12"/>
  <c r="O58" i="12"/>
  <c r="Y58" i="12"/>
  <c r="M58" i="12"/>
  <c r="L58" i="12"/>
  <c r="K58" i="12"/>
  <c r="AJ58" i="12"/>
  <c r="J58" i="12"/>
  <c r="AI58" i="12"/>
  <c r="I58" i="12"/>
  <c r="AH58" i="12"/>
  <c r="AG58" i="12"/>
  <c r="Z58" i="12"/>
  <c r="X58" i="12"/>
  <c r="W58" i="12"/>
  <c r="V58" i="12"/>
  <c r="U58" i="12"/>
  <c r="N58" i="12"/>
  <c r="CF44" i="14"/>
  <c r="R40" i="43" s="1"/>
  <c r="BG44" i="14" a="1"/>
  <c r="BG44" i="14" s="1"/>
  <c r="ES44" i="14"/>
  <c r="DO44" i="14" s="1"/>
  <c r="BP27" i="14" a="1"/>
  <c r="BP27" i="14" s="1"/>
  <c r="CT27" i="14" s="1"/>
  <c r="AF23" i="43" s="1"/>
  <c r="FB27" i="14"/>
  <c r="DX27" i="14" s="1"/>
  <c r="CJ27" i="14"/>
  <c r="V23" i="43" s="1"/>
  <c r="FD72" i="14"/>
  <c r="DZ72" i="14" s="1"/>
  <c r="BR72" i="14" a="1"/>
  <c r="BR72" i="14" s="1"/>
  <c r="CV72" i="14" s="1"/>
  <c r="AH68" i="43" s="1"/>
  <c r="CL72" i="14"/>
  <c r="X68" i="43" s="1"/>
  <c r="JI48" i="14"/>
  <c r="IR48" i="14"/>
  <c r="JB38" i="14"/>
  <c r="EN87" i="14"/>
  <c r="DJ87" i="14" s="1"/>
  <c r="BB87" i="14" a="1"/>
  <c r="BB87" i="14" s="1"/>
  <c r="CA87" i="14"/>
  <c r="M83" i="43" s="1"/>
  <c r="FD83" i="14"/>
  <c r="DZ83" i="14" s="1"/>
  <c r="CL83" i="14"/>
  <c r="X79" i="43" s="1"/>
  <c r="BR83" i="14" a="1"/>
  <c r="BR83" i="14" s="1"/>
  <c r="CV83" i="14" s="1"/>
  <c r="AH79" i="43" s="1"/>
  <c r="IW46" i="14"/>
  <c r="JB58" i="14"/>
  <c r="JA103" i="14"/>
  <c r="L395" i="20"/>
  <c r="AE282" i="17"/>
  <c r="AE281" i="17" s="1"/>
  <c r="IN177" i="14"/>
  <c r="AD16" i="21" s="1"/>
  <c r="AD23" i="21" s="1"/>
  <c r="G111" i="3"/>
  <c r="F161" i="3"/>
  <c r="F136" i="3"/>
  <c r="F58" i="3" s="1"/>
  <c r="FD50" i="14"/>
  <c r="DZ50" i="14" s="1"/>
  <c r="CL50" i="14"/>
  <c r="X46" i="43" s="1"/>
  <c r="BR50" i="14" a="1"/>
  <c r="BR50" i="14" s="1"/>
  <c r="CV50" i="14" s="1"/>
  <c r="AH46" i="43" s="1"/>
  <c r="GJ178" i="14"/>
  <c r="GJ177" i="14"/>
  <c r="C88" i="20"/>
  <c r="L221" i="20"/>
  <c r="L240" i="20"/>
  <c r="G164" i="20"/>
  <c r="F31" i="20"/>
  <c r="D164" i="3"/>
  <c r="E114" i="3"/>
  <c r="D139" i="3"/>
  <c r="D61" i="3" s="1"/>
  <c r="AF282" i="17"/>
  <c r="AF281" i="17" s="1"/>
  <c r="IO177" i="14"/>
  <c r="AE16" i="21" s="1"/>
  <c r="AE23" i="21" s="1"/>
  <c r="K183" i="20"/>
  <c r="AB278" i="20"/>
  <c r="B278" i="20"/>
  <c r="C221" i="20"/>
  <c r="GZ178" i="14"/>
  <c r="GZ177" i="14"/>
  <c r="S88" i="20"/>
  <c r="G316" i="20"/>
  <c r="P278" i="20"/>
  <c r="H221" i="20"/>
  <c r="HG178" i="14"/>
  <c r="HG177" i="14"/>
  <c r="Z88" i="20"/>
  <c r="L31" i="20"/>
  <c r="IQ54" i="14"/>
  <c r="IW54" i="14"/>
  <c r="IR54" i="14"/>
  <c r="GU178" i="14"/>
  <c r="GU177" i="14"/>
  <c r="N88" i="20"/>
  <c r="U335" i="20"/>
  <c r="U259" i="20"/>
  <c r="G145" i="20"/>
  <c r="BV178" i="14"/>
  <c r="H240" i="20"/>
  <c r="E154" i="3"/>
  <c r="E129" i="3"/>
  <c r="E51" i="3" s="1"/>
  <c r="F104" i="3"/>
  <c r="AC145" i="20"/>
  <c r="E50" i="20"/>
  <c r="H12" i="20"/>
  <c r="AA240" i="20"/>
  <c r="IU38" i="14"/>
  <c r="P240" i="20"/>
  <c r="Z335" i="20"/>
  <c r="R259" i="20"/>
  <c r="G278" i="20"/>
  <c r="EW8" i="14"/>
  <c r="DS8" i="14" s="1"/>
  <c r="CE8" i="14"/>
  <c r="Q4" i="43" s="1"/>
  <c r="BK8" i="14" a="1"/>
  <c r="BK8" i="14" s="1"/>
  <c r="CO8" i="14" s="1"/>
  <c r="AA4" i="43" s="1"/>
  <c r="IX10" i="14"/>
  <c r="E21" i="20"/>
  <c r="EW9" i="14"/>
  <c r="DS9" i="14" s="1"/>
  <c r="CE9" i="14"/>
  <c r="Q5" i="43" s="1"/>
  <c r="BK9" i="14" a="1"/>
  <c r="BK9" i="14" s="1"/>
  <c r="CO9" i="14" s="1"/>
  <c r="AA5" i="43" s="1"/>
  <c r="JD58" i="14"/>
  <c r="IY45" i="14"/>
  <c r="IT45" i="14"/>
  <c r="EX79" i="14"/>
  <c r="DT79" i="14" s="1"/>
  <c r="CK79" i="14"/>
  <c r="W75" i="43" s="1"/>
  <c r="BL79" i="14" a="1"/>
  <c r="BL79" i="14" s="1"/>
  <c r="JB47" i="14"/>
  <c r="IU76" i="14"/>
  <c r="IV9" i="14"/>
  <c r="JK9" i="14"/>
  <c r="IR46" i="14"/>
  <c r="JB46" i="14"/>
  <c r="JE47" i="14"/>
  <c r="IW61" i="14"/>
  <c r="JE76" i="14"/>
  <c r="JA76" i="14"/>
  <c r="IZ8" i="14"/>
  <c r="CD24" i="14"/>
  <c r="P20" i="43" s="1"/>
  <c r="BJ24" i="14" a="1"/>
  <c r="BJ24" i="14" s="1"/>
  <c r="CN24" i="14" s="1"/>
  <c r="Z20" i="43" s="1"/>
  <c r="EV24" i="14"/>
  <c r="DR24" i="14" s="1"/>
  <c r="JE50" i="14"/>
  <c r="JE62" i="14"/>
  <c r="CE76" i="14"/>
  <c r="Q72" i="43" s="1"/>
  <c r="EW76" i="14"/>
  <c r="DS76" i="14" s="1"/>
  <c r="BK76" i="14" a="1"/>
  <c r="BK76" i="14" s="1"/>
  <c r="E25" i="12"/>
  <c r="E33" i="12"/>
  <c r="L27" i="10"/>
  <c r="E24" i="12"/>
  <c r="E52" i="12"/>
  <c r="BQ58" i="14" a="1"/>
  <c r="BQ58" i="14" s="1"/>
  <c r="CU58" i="14" s="1"/>
  <c r="AG54" i="43" s="1"/>
  <c r="CK58" i="14"/>
  <c r="W54" i="43" s="1"/>
  <c r="FC58" i="14"/>
  <c r="DY58" i="14" s="1"/>
  <c r="JD72" i="14"/>
  <c r="BM66" i="14" a="1"/>
  <c r="BM66" i="14" s="1"/>
  <c r="CQ66" i="14" s="1"/>
  <c r="AC62" i="43" s="1"/>
  <c r="CG66" i="14"/>
  <c r="S62" i="43" s="1"/>
  <c r="EY66" i="14"/>
  <c r="DU66" i="14" s="1"/>
  <c r="IR103" i="14"/>
  <c r="FB8" i="14"/>
  <c r="DX8" i="14" s="1"/>
  <c r="BP8" i="14" a="1"/>
  <c r="BP8" i="14" s="1"/>
  <c r="CT8" i="14" s="1"/>
  <c r="AF4" i="43" s="1"/>
  <c r="CJ8" i="14"/>
  <c r="V4" i="43" s="1"/>
  <c r="JH72" i="14"/>
  <c r="FA40" i="14"/>
  <c r="DW40" i="14" s="1"/>
  <c r="BO40" i="14" a="1"/>
  <c r="BO40" i="14" s="1"/>
  <c r="CS40" i="14" s="1"/>
  <c r="AE36" i="43" s="1"/>
  <c r="CI40" i="14"/>
  <c r="U36" i="43" s="1"/>
  <c r="JD48" i="14"/>
  <c r="IX87" i="14"/>
  <c r="JI77" i="14"/>
  <c r="BX102" i="14"/>
  <c r="J98" i="43" s="1"/>
  <c r="EI102" i="14"/>
  <c r="DE102" i="14" s="1"/>
  <c r="AW102" i="14" a="1"/>
  <c r="AW102" i="14" s="1"/>
  <c r="CK20" i="14"/>
  <c r="W16" i="43" s="1"/>
  <c r="FC20" i="14"/>
  <c r="DY20" i="14" s="1"/>
  <c r="BQ20" i="14" a="1"/>
  <c r="BQ20" i="14" s="1"/>
  <c r="CU20" i="14" s="1"/>
  <c r="AG16" i="43" s="1"/>
  <c r="M150" i="20"/>
  <c r="R240" i="20"/>
  <c r="Y164" i="20"/>
  <c r="R12" i="20"/>
  <c r="Y145" i="20"/>
  <c r="HL178" i="14"/>
  <c r="HL177" i="14"/>
  <c r="AE88" i="20"/>
  <c r="O297" i="20"/>
  <c r="Z278" i="20"/>
  <c r="E240" i="20"/>
  <c r="W221" i="20"/>
  <c r="S164" i="20"/>
  <c r="J31" i="20"/>
  <c r="O125" i="3"/>
  <c r="N47" i="3"/>
  <c r="Z221" i="20"/>
  <c r="T316" i="20"/>
  <c r="IW38" i="14"/>
  <c r="P12" i="20"/>
  <c r="AB335" i="20"/>
  <c r="HB178" i="14"/>
  <c r="HB177" i="14"/>
  <c r="U88" i="20"/>
  <c r="E278" i="20"/>
  <c r="Q335" i="20"/>
  <c r="IV68" i="14"/>
  <c r="JA68" i="14"/>
  <c r="X335" i="20"/>
  <c r="HJ178" i="14"/>
  <c r="HJ177" i="14"/>
  <c r="AC88" i="20"/>
  <c r="P259" i="20"/>
  <c r="U282" i="17"/>
  <c r="U281" i="17" s="1"/>
  <c r="ID177" i="14"/>
  <c r="T16" i="21" s="1"/>
  <c r="T23" i="21" s="1"/>
  <c r="N183" i="20"/>
  <c r="X278" i="20"/>
  <c r="K297" i="20"/>
  <c r="JD67" i="14"/>
  <c r="GO178" i="14"/>
  <c r="GO177" i="14"/>
  <c r="H88" i="20"/>
  <c r="I164" i="20"/>
  <c r="AC12" i="20"/>
  <c r="W145" i="20"/>
  <c r="AD12" i="20"/>
  <c r="V297" i="20"/>
  <c r="R316" i="20"/>
  <c r="IR49" i="14"/>
  <c r="AA12" i="20"/>
  <c r="BP22" i="14" a="1"/>
  <c r="BP22" i="14" s="1"/>
  <c r="CT22" i="14" s="1"/>
  <c r="AF18" i="43" s="1"/>
  <c r="FB22" i="14"/>
  <c r="DX22" i="14" s="1"/>
  <c r="CJ22" i="14"/>
  <c r="V18" i="43" s="1"/>
  <c r="JH38" i="14"/>
  <c r="JQ38" i="14"/>
  <c r="U124" i="3"/>
  <c r="T46" i="3"/>
  <c r="C31" i="20"/>
  <c r="AG23" i="12"/>
  <c r="U23" i="12"/>
  <c r="I23" i="12"/>
  <c r="AF23" i="12"/>
  <c r="T23" i="12"/>
  <c r="H23" i="12"/>
  <c r="AE23" i="12"/>
  <c r="S23" i="12"/>
  <c r="G23" i="12"/>
  <c r="AD23" i="12"/>
  <c r="R23" i="12"/>
  <c r="AC23" i="12"/>
  <c r="Q23" i="12"/>
  <c r="AB23" i="12"/>
  <c r="P23" i="12"/>
  <c r="Z23" i="12"/>
  <c r="N23" i="12"/>
  <c r="K23" i="12"/>
  <c r="AJ23" i="12"/>
  <c r="J23" i="12"/>
  <c r="AI23" i="12"/>
  <c r="AH23" i="12"/>
  <c r="AA23" i="12"/>
  <c r="Y23" i="12"/>
  <c r="X23" i="12"/>
  <c r="W23" i="12"/>
  <c r="V23" i="12"/>
  <c r="O23" i="12"/>
  <c r="M23" i="12"/>
  <c r="L23" i="12"/>
  <c r="IT10" i="14"/>
  <c r="IY58" i="14"/>
  <c r="IX49" i="14"/>
  <c r="IZ45" i="14"/>
  <c r="JF45" i="14"/>
  <c r="EY50" i="14"/>
  <c r="DU50" i="14" s="1"/>
  <c r="CG50" i="14"/>
  <c r="S46" i="43" s="1"/>
  <c r="BM50" i="14" a="1"/>
  <c r="BM50" i="14" s="1"/>
  <c r="CQ50" i="14" s="1"/>
  <c r="AC46" i="43" s="1"/>
  <c r="EY79" i="14"/>
  <c r="DU79" i="14" s="1"/>
  <c r="CL79" i="14"/>
  <c r="X75" i="43" s="1"/>
  <c r="BM79" i="14" a="1"/>
  <c r="BM79" i="14" s="1"/>
  <c r="AD395" i="20"/>
  <c r="IZ38" i="14"/>
  <c r="IU9" i="14"/>
  <c r="CE42" i="14"/>
  <c r="Q38" i="43" s="1"/>
  <c r="EW42" i="14"/>
  <c r="DS42" i="14" s="1"/>
  <c r="BK42" i="14" a="1"/>
  <c r="BK42" i="14" s="1"/>
  <c r="CO42" i="14" s="1"/>
  <c r="AA38" i="43" s="1"/>
  <c r="JG46" i="14"/>
  <c r="IV54" i="14"/>
  <c r="BO50" i="14" a="1"/>
  <c r="BO50" i="14" s="1"/>
  <c r="CS50" i="14" s="1"/>
  <c r="AE46" i="43" s="1"/>
  <c r="FA50" i="14"/>
  <c r="DW50" i="14" s="1"/>
  <c r="CI50" i="14"/>
  <c r="U46" i="43" s="1"/>
  <c r="JI67" i="14"/>
  <c r="CH76" i="14"/>
  <c r="T72" i="43" s="1"/>
  <c r="EZ76" i="14"/>
  <c r="DV76" i="14" s="1"/>
  <c r="BN76" i="14" a="1"/>
  <c r="BN76" i="14" s="1"/>
  <c r="CR76" i="14" s="1"/>
  <c r="AD72" i="43" s="1"/>
  <c r="EL79" i="14"/>
  <c r="DH79" i="14" s="1"/>
  <c r="BY79" i="14"/>
  <c r="K75" i="43" s="1"/>
  <c r="AZ79" i="14" a="1"/>
  <c r="AZ79" i="14" s="1"/>
  <c r="IX46" i="14"/>
  <c r="JA8" i="14"/>
  <c r="JE49" i="14"/>
  <c r="JI61" i="14"/>
  <c r="JJ76" i="14"/>
  <c r="JH46" i="14"/>
  <c r="IV50" i="14"/>
  <c r="E49" i="12"/>
  <c r="E57" i="12"/>
  <c r="L41" i="10"/>
  <c r="E48" i="12"/>
  <c r="E21" i="12"/>
  <c r="IU73" i="14"/>
  <c r="IW77" i="14"/>
  <c r="JL54" i="14"/>
  <c r="IR72" i="14"/>
  <c r="IQ72" i="14"/>
  <c r="EZ49" i="14"/>
  <c r="DV49" i="14" s="1"/>
  <c r="CH49" i="14"/>
  <c r="T45" i="43" s="1"/>
  <c r="BN49" i="14" a="1"/>
  <c r="BN49" i="14" s="1"/>
  <c r="CR49" i="14" s="1"/>
  <c r="AD45" i="43" s="1"/>
  <c r="AG47" i="12"/>
  <c r="U47" i="12"/>
  <c r="I47" i="12"/>
  <c r="AF47" i="12"/>
  <c r="T47" i="12"/>
  <c r="H47" i="12"/>
  <c r="AE47" i="12"/>
  <c r="S47" i="12"/>
  <c r="G47" i="12"/>
  <c r="AD47" i="12"/>
  <c r="R47" i="12"/>
  <c r="AC47" i="12"/>
  <c r="Q47" i="12"/>
  <c r="AB47" i="12"/>
  <c r="P47" i="12"/>
  <c r="Z47" i="12"/>
  <c r="N47" i="12"/>
  <c r="M47" i="12"/>
  <c r="L47" i="12"/>
  <c r="K47" i="12"/>
  <c r="AJ47" i="12"/>
  <c r="J47" i="12"/>
  <c r="AI47" i="12"/>
  <c r="AH47" i="12"/>
  <c r="AA47" i="12"/>
  <c r="Y47" i="12"/>
  <c r="X47" i="12"/>
  <c r="W47" i="12"/>
  <c r="V47" i="12"/>
  <c r="O47" i="12"/>
  <c r="EX8" i="14"/>
  <c r="DT8" i="14" s="1"/>
  <c r="BL8" i="14" a="1"/>
  <c r="BL8" i="14" s="1"/>
  <c r="CP8" i="14" s="1"/>
  <c r="AB4" i="43" s="1"/>
  <c r="CF8" i="14"/>
  <c r="R4" i="43" s="1"/>
  <c r="EY40" i="14"/>
  <c r="DU40" i="14" s="1"/>
  <c r="BM40" i="14" a="1"/>
  <c r="BM40" i="14" s="1"/>
  <c r="CQ40" i="14" s="1"/>
  <c r="AC36" i="43" s="1"/>
  <c r="CG40" i="14"/>
  <c r="S36" i="43" s="1"/>
  <c r="W227" i="20"/>
  <c r="BU178" i="14"/>
  <c r="AJ38" i="12"/>
  <c r="X38" i="12"/>
  <c r="L38" i="12"/>
  <c r="AI38" i="12"/>
  <c r="W38" i="12"/>
  <c r="K38" i="12"/>
  <c r="AH38" i="12"/>
  <c r="V38" i="12"/>
  <c r="J38" i="12"/>
  <c r="AG38" i="12"/>
  <c r="U38" i="12"/>
  <c r="I38" i="12"/>
  <c r="AF38" i="12"/>
  <c r="T38" i="12"/>
  <c r="H38" i="12"/>
  <c r="AE38" i="12"/>
  <c r="S38" i="12"/>
  <c r="G38" i="12"/>
  <c r="AC38" i="12"/>
  <c r="Q38" i="12"/>
  <c r="AD38" i="12"/>
  <c r="AB38" i="12"/>
  <c r="AA38" i="12"/>
  <c r="Z38" i="12"/>
  <c r="Y38" i="12"/>
  <c r="R38" i="12"/>
  <c r="P38" i="12"/>
  <c r="O38" i="12"/>
  <c r="N38" i="12"/>
  <c r="M38" i="12"/>
  <c r="JI8" i="14"/>
  <c r="N395" i="20"/>
  <c r="S395" i="20"/>
  <c r="P171" i="20"/>
  <c r="Q350" i="20" l="1"/>
  <c r="Q349" i="20" s="1"/>
  <c r="R64" i="12"/>
  <c r="AJ64" i="12"/>
  <c r="F369" i="20"/>
  <c r="F368" i="20" s="1"/>
  <c r="M350" i="20"/>
  <c r="M349" i="20" s="1"/>
  <c r="U64" i="12"/>
  <c r="AB64" i="12"/>
  <c r="J64" i="12"/>
  <c r="O64" i="12"/>
  <c r="AI64" i="12"/>
  <c r="G130" i="3"/>
  <c r="G52" i="3" s="1"/>
  <c r="G155" i="3"/>
  <c r="H105" i="3"/>
  <c r="EP102" i="14"/>
  <c r="DL102" i="14" s="1"/>
  <c r="CE102" i="14"/>
  <c r="Q98" i="43" s="1"/>
  <c r="N108" i="43"/>
  <c r="F110" i="43"/>
  <c r="G110" i="43" s="1"/>
  <c r="H110" i="43" s="1"/>
  <c r="I110" i="43" s="1"/>
  <c r="J108" i="43"/>
  <c r="K108" i="43"/>
  <c r="D369" i="20"/>
  <c r="D368" i="20" s="1"/>
  <c r="W350" i="20"/>
  <c r="W349" i="20" s="1"/>
  <c r="P350" i="20"/>
  <c r="P349" i="20" s="1"/>
  <c r="O350" i="20"/>
  <c r="O349" i="20" s="1"/>
  <c r="F350" i="20"/>
  <c r="F349" i="20" s="1"/>
  <c r="Q369" i="20"/>
  <c r="Q368" i="20" s="1"/>
  <c r="M369" i="20"/>
  <c r="M368" i="20" s="1"/>
  <c r="R369" i="20"/>
  <c r="R368" i="20" s="1"/>
  <c r="AB350" i="20"/>
  <c r="AB349" i="20" s="1"/>
  <c r="Y369" i="20"/>
  <c r="Y368" i="20" s="1"/>
  <c r="H350" i="20"/>
  <c r="H349" i="20" s="1"/>
  <c r="N369" i="20"/>
  <c r="N368" i="20" s="1"/>
  <c r="K369" i="20"/>
  <c r="K368" i="20" s="1"/>
  <c r="J223" i="20"/>
  <c r="J261" i="20"/>
  <c r="AC261" i="20"/>
  <c r="C242" i="20"/>
  <c r="D90" i="20"/>
  <c r="G223" i="20"/>
  <c r="K242" i="20"/>
  <c r="K52" i="20"/>
  <c r="C399" i="20"/>
  <c r="E261" i="20"/>
  <c r="Y185" i="20"/>
  <c r="B223" i="20"/>
  <c r="P185" i="20"/>
  <c r="H399" i="20"/>
  <c r="G90" i="20"/>
  <c r="C397" i="20"/>
  <c r="Q261" i="20"/>
  <c r="F401" i="20"/>
  <c r="H90" i="20"/>
  <c r="D280" i="20"/>
  <c r="J242" i="20"/>
  <c r="C402" i="20"/>
  <c r="I223" i="20"/>
  <c r="I185" i="20"/>
  <c r="C280" i="20"/>
  <c r="C90" i="20"/>
  <c r="K90" i="20"/>
  <c r="H52" i="20"/>
  <c r="AI16" i="43"/>
  <c r="AI20" i="43"/>
  <c r="AI63" i="43"/>
  <c r="AI89" i="43"/>
  <c r="AI79" i="43"/>
  <c r="I261" i="20"/>
  <c r="AI39" i="43"/>
  <c r="AI18" i="43"/>
  <c r="AI35" i="43"/>
  <c r="AI71" i="43"/>
  <c r="AI38" i="43"/>
  <c r="AI37" i="43"/>
  <c r="AI36" i="43"/>
  <c r="AI3" i="43"/>
  <c r="AI68" i="43"/>
  <c r="AI58" i="43"/>
  <c r="AI67" i="43"/>
  <c r="AI50" i="43"/>
  <c r="AI73" i="43"/>
  <c r="AI56" i="43"/>
  <c r="AI23" i="43"/>
  <c r="AI77" i="43"/>
  <c r="AI54" i="43"/>
  <c r="AI17" i="43"/>
  <c r="AI19" i="43"/>
  <c r="F399" i="20"/>
  <c r="AI21" i="43"/>
  <c r="AI22" i="43"/>
  <c r="AI44" i="43"/>
  <c r="E401" i="20"/>
  <c r="AI78" i="43"/>
  <c r="AI46" i="43"/>
  <c r="AI43" i="43"/>
  <c r="AI62" i="43"/>
  <c r="R97" i="20"/>
  <c r="R90" i="20" s="1"/>
  <c r="AD369" i="20"/>
  <c r="AD368" i="20" s="1"/>
  <c r="Z369" i="20"/>
  <c r="Z368" i="20" s="1"/>
  <c r="L369" i="20"/>
  <c r="L368" i="20" s="1"/>
  <c r="G52" i="20"/>
  <c r="F185" i="20"/>
  <c r="W223" i="20"/>
  <c r="E185" i="20"/>
  <c r="I90" i="20"/>
  <c r="R52" i="20"/>
  <c r="K223" i="20"/>
  <c r="D242" i="20"/>
  <c r="B261" i="20"/>
  <c r="D261" i="20"/>
  <c r="Y350" i="20"/>
  <c r="Y349" i="20" s="1"/>
  <c r="AB369" i="20"/>
  <c r="AB368" i="20" s="1"/>
  <c r="AD350" i="20"/>
  <c r="AD349" i="20" s="1"/>
  <c r="C350" i="20"/>
  <c r="C349" i="20" s="1"/>
  <c r="L350" i="20"/>
  <c r="L349" i="20" s="1"/>
  <c r="B350" i="20"/>
  <c r="B349" i="20" s="1"/>
  <c r="X350" i="20"/>
  <c r="X349" i="20" s="1"/>
  <c r="T369" i="20"/>
  <c r="T368" i="20" s="1"/>
  <c r="N350" i="20"/>
  <c r="N349" i="20" s="1"/>
  <c r="J369" i="20"/>
  <c r="J368" i="20" s="1"/>
  <c r="O369" i="20"/>
  <c r="O368" i="20" s="1"/>
  <c r="P369" i="20"/>
  <c r="P368" i="20" s="1"/>
  <c r="T350" i="20"/>
  <c r="T349" i="20" s="1"/>
  <c r="S369" i="20"/>
  <c r="S368" i="20" s="1"/>
  <c r="I350" i="20"/>
  <c r="I349" i="20" s="1"/>
  <c r="K350" i="20"/>
  <c r="K349" i="20" s="1"/>
  <c r="J350" i="20"/>
  <c r="J349" i="20" s="1"/>
  <c r="D350" i="20"/>
  <c r="D349" i="20" s="1"/>
  <c r="E350" i="20"/>
  <c r="E349" i="20" s="1"/>
  <c r="W369" i="20"/>
  <c r="W368" i="20" s="1"/>
  <c r="C369" i="20"/>
  <c r="C368" i="20" s="1"/>
  <c r="B369" i="20"/>
  <c r="B368" i="20" s="1"/>
  <c r="D52" i="20"/>
  <c r="E242" i="20"/>
  <c r="D223" i="20"/>
  <c r="AB56" i="20"/>
  <c r="AB52" i="20" s="1"/>
  <c r="H223" i="20"/>
  <c r="G185" i="20"/>
  <c r="W52" i="20"/>
  <c r="G399" i="20"/>
  <c r="G261" i="20"/>
  <c r="F223" i="20"/>
  <c r="H261" i="20"/>
  <c r="F242" i="20"/>
  <c r="F261" i="20"/>
  <c r="G369" i="20"/>
  <c r="G368" i="20" s="1"/>
  <c r="AA369" i="20"/>
  <c r="AA368" i="20" s="1"/>
  <c r="AC369" i="20"/>
  <c r="AC368" i="20" s="1"/>
  <c r="AC350" i="20"/>
  <c r="AC349" i="20" s="1"/>
  <c r="X369" i="20"/>
  <c r="X368" i="20" s="1"/>
  <c r="AA64" i="12"/>
  <c r="Q64" i="12"/>
  <c r="AG64" i="12"/>
  <c r="X64" i="12"/>
  <c r="AC64" i="12"/>
  <c r="T64" i="12"/>
  <c r="V64" i="12"/>
  <c r="M64" i="12"/>
  <c r="G350" i="20"/>
  <c r="G349" i="20" s="1"/>
  <c r="AD64" i="12"/>
  <c r="G64" i="12"/>
  <c r="AH64" i="12"/>
  <c r="Y64" i="12"/>
  <c r="R350" i="20"/>
  <c r="R349" i="20" s="1"/>
  <c r="AF64" i="12"/>
  <c r="S64" i="12"/>
  <c r="K64" i="12"/>
  <c r="N64" i="12"/>
  <c r="AA350" i="20"/>
  <c r="AA349" i="20" s="1"/>
  <c r="S350" i="20"/>
  <c r="S349" i="20" s="1"/>
  <c r="E369" i="20"/>
  <c r="E368" i="20" s="1"/>
  <c r="H64" i="12"/>
  <c r="AE64" i="12"/>
  <c r="W64" i="12"/>
  <c r="E90" i="20"/>
  <c r="P59" i="20"/>
  <c r="X287" i="20"/>
  <c r="AD37" i="20"/>
  <c r="AD33" i="20" s="1"/>
  <c r="L323" i="20"/>
  <c r="L318" i="20" s="1"/>
  <c r="AC37" i="20"/>
  <c r="AC33" i="20" s="1"/>
  <c r="W249" i="20"/>
  <c r="W246" i="20"/>
  <c r="AD342" i="20"/>
  <c r="AD337" i="20" s="1"/>
  <c r="P302" i="20"/>
  <c r="P299" i="20" s="1"/>
  <c r="L56" i="20"/>
  <c r="L52" i="20" s="1"/>
  <c r="V457" i="20"/>
  <c r="R192" i="20"/>
  <c r="L283" i="20"/>
  <c r="U18" i="20"/>
  <c r="T56" i="20"/>
  <c r="W323" i="20"/>
  <c r="W318" i="20" s="1"/>
  <c r="V268" i="20"/>
  <c r="Z227" i="20"/>
  <c r="K22" i="20"/>
  <c r="K14" i="20" s="1"/>
  <c r="O268" i="20"/>
  <c r="AE97" i="20"/>
  <c r="Z265" i="20"/>
  <c r="AC18" i="20"/>
  <c r="AD227" i="20"/>
  <c r="AD223" i="20" s="1"/>
  <c r="P230" i="20"/>
  <c r="T457" i="20"/>
  <c r="Z342" i="20"/>
  <c r="Z337" i="20" s="1"/>
  <c r="G283" i="20"/>
  <c r="N59" i="20"/>
  <c r="Z59" i="20"/>
  <c r="R249" i="20"/>
  <c r="M454" i="20"/>
  <c r="N287" i="20"/>
  <c r="G454" i="20"/>
  <c r="AA227" i="20"/>
  <c r="AA223" i="20" s="1"/>
  <c r="Q59" i="20"/>
  <c r="N458" i="20"/>
  <c r="AA56" i="20"/>
  <c r="S37" i="20"/>
  <c r="S33" i="20" s="1"/>
  <c r="U249" i="20"/>
  <c r="U242" i="20" s="1"/>
  <c r="M246" i="20"/>
  <c r="W192" i="20"/>
  <c r="AE59" i="20"/>
  <c r="I454" i="20"/>
  <c r="V249" i="20"/>
  <c r="N56" i="20"/>
  <c r="M323" i="20"/>
  <c r="M318" i="20" s="1"/>
  <c r="T192" i="20"/>
  <c r="T185" i="20" s="1"/>
  <c r="AC59" i="20"/>
  <c r="X19" i="20"/>
  <c r="Y230" i="20"/>
  <c r="S192" i="20"/>
  <c r="Z37" i="20"/>
  <c r="Z33" i="20" s="1"/>
  <c r="M455" i="20"/>
  <c r="V455" i="20"/>
  <c r="R268" i="20"/>
  <c r="AA192" i="20"/>
  <c r="I453" i="20"/>
  <c r="AA94" i="20"/>
  <c r="AD455" i="20"/>
  <c r="R37" i="20"/>
  <c r="R33" i="20" s="1"/>
  <c r="L455" i="20"/>
  <c r="G458" i="20"/>
  <c r="T323" i="20"/>
  <c r="T318" i="20" s="1"/>
  <c r="U227" i="20"/>
  <c r="AB249" i="20"/>
  <c r="AA342" i="20"/>
  <c r="AA337" i="20" s="1"/>
  <c r="T37" i="20"/>
  <c r="T33" i="20" s="1"/>
  <c r="AA59" i="20"/>
  <c r="T265" i="20"/>
  <c r="AC189" i="20"/>
  <c r="O249" i="20"/>
  <c r="O242" i="20" s="1"/>
  <c r="AA249" i="20"/>
  <c r="Z246" i="20"/>
  <c r="Z242" i="20" s="1"/>
  <c r="N230" i="20"/>
  <c r="AE249" i="20"/>
  <c r="M249" i="20"/>
  <c r="T342" i="20"/>
  <c r="T337" i="20" s="1"/>
  <c r="V56" i="20"/>
  <c r="H284" i="20"/>
  <c r="H398" i="20" s="1"/>
  <c r="AB192" i="20"/>
  <c r="F458" i="20"/>
  <c r="F450" i="20" s="1"/>
  <c r="U59" i="20"/>
  <c r="X249" i="20"/>
  <c r="P227" i="20"/>
  <c r="O189" i="20"/>
  <c r="O185" i="20" s="1"/>
  <c r="U97" i="20"/>
  <c r="O230" i="20"/>
  <c r="AB37" i="20"/>
  <c r="AB33" i="20" s="1"/>
  <c r="U287" i="20"/>
  <c r="P287" i="20"/>
  <c r="T230" i="20"/>
  <c r="V192" i="20"/>
  <c r="T455" i="20"/>
  <c r="AA457" i="20"/>
  <c r="W287" i="20"/>
  <c r="AD268" i="20"/>
  <c r="N283" i="20"/>
  <c r="O94" i="20"/>
  <c r="T268" i="20"/>
  <c r="AD323" i="20"/>
  <c r="AD318" i="20" s="1"/>
  <c r="Q342" i="20"/>
  <c r="Q337" i="20" s="1"/>
  <c r="Q227" i="20"/>
  <c r="Q223" i="20" s="1"/>
  <c r="S56" i="20"/>
  <c r="AD265" i="20"/>
  <c r="Y249" i="20"/>
  <c r="Y242" i="20" s="1"/>
  <c r="Q249" i="20"/>
  <c r="X230" i="20"/>
  <c r="S287" i="20"/>
  <c r="O283" i="20"/>
  <c r="AC457" i="20"/>
  <c r="L249" i="20"/>
  <c r="U284" i="20"/>
  <c r="N249" i="20"/>
  <c r="V189" i="20"/>
  <c r="S249" i="20"/>
  <c r="S59" i="20"/>
  <c r="O457" i="20"/>
  <c r="L97" i="20"/>
  <c r="L90" i="20" s="1"/>
  <c r="H454" i="20"/>
  <c r="P342" i="20"/>
  <c r="P337" i="20" s="1"/>
  <c r="Y18" i="20"/>
  <c r="M287" i="20"/>
  <c r="Z18" i="20"/>
  <c r="Y59" i="20"/>
  <c r="Q192" i="20"/>
  <c r="N457" i="20"/>
  <c r="AD457" i="20"/>
  <c r="T59" i="20"/>
  <c r="AE342" i="20"/>
  <c r="AE337" i="20" s="1"/>
  <c r="AE323" i="20"/>
  <c r="AE318" i="20" s="1"/>
  <c r="M18" i="20"/>
  <c r="L230" i="20"/>
  <c r="AB265" i="20"/>
  <c r="AB261" i="20" s="1"/>
  <c r="AC287" i="20"/>
  <c r="AD94" i="20"/>
  <c r="S457" i="20"/>
  <c r="X323" i="20"/>
  <c r="X318" i="20" s="1"/>
  <c r="X192" i="20"/>
  <c r="V265" i="20"/>
  <c r="AE192" i="20"/>
  <c r="Y37" i="20"/>
  <c r="Y33" i="20" s="1"/>
  <c r="Y323" i="20"/>
  <c r="Y318" i="20" s="1"/>
  <c r="AC249" i="20"/>
  <c r="Z268" i="20"/>
  <c r="Y457" i="20"/>
  <c r="R455" i="20"/>
  <c r="R230" i="20"/>
  <c r="Z189" i="20"/>
  <c r="Z185" i="20" s="1"/>
  <c r="W268" i="20"/>
  <c r="Q287" i="20"/>
  <c r="Z230" i="20"/>
  <c r="W265" i="20"/>
  <c r="Y94" i="20"/>
  <c r="U56" i="20"/>
  <c r="Y342" i="20"/>
  <c r="Y337" i="20" s="1"/>
  <c r="AD59" i="20"/>
  <c r="U342" i="20"/>
  <c r="U337" i="20" s="1"/>
  <c r="U323" i="20"/>
  <c r="U318" i="20" s="1"/>
  <c r="S323" i="20"/>
  <c r="S318" i="20" s="1"/>
  <c r="AA323" i="20"/>
  <c r="AA318" i="20" s="1"/>
  <c r="AB227" i="20"/>
  <c r="X18" i="20"/>
  <c r="V230" i="20"/>
  <c r="R265" i="20"/>
  <c r="P454" i="20"/>
  <c r="AD249" i="20"/>
  <c r="AC342" i="20"/>
  <c r="AC337" i="20" s="1"/>
  <c r="N323" i="20"/>
  <c r="N318" i="20" s="1"/>
  <c r="G288" i="20"/>
  <c r="G402" i="20" s="1"/>
  <c r="N192" i="20"/>
  <c r="L265" i="20"/>
  <c r="U192" i="20"/>
  <c r="N302" i="20"/>
  <c r="N299" i="20" s="1"/>
  <c r="O323" i="20"/>
  <c r="O318" i="20" s="1"/>
  <c r="P268" i="20"/>
  <c r="P261" i="20" s="1"/>
  <c r="AB455" i="20"/>
  <c r="AB230" i="20"/>
  <c r="AC192" i="20"/>
  <c r="M268" i="20"/>
  <c r="R323" i="20"/>
  <c r="R318" i="20" s="1"/>
  <c r="AB18" i="20"/>
  <c r="Q94" i="20"/>
  <c r="U268" i="20"/>
  <c r="AE455" i="20"/>
  <c r="AC455" i="20"/>
  <c r="T287" i="20"/>
  <c r="M59" i="20"/>
  <c r="M52" i="20" s="1"/>
  <c r="AB287" i="20"/>
  <c r="P323" i="20"/>
  <c r="P318" i="20" s="1"/>
  <c r="AC230" i="20"/>
  <c r="O455" i="20"/>
  <c r="AE56" i="20"/>
  <c r="AE230" i="20"/>
  <c r="Q323" i="20"/>
  <c r="Q318" i="20" s="1"/>
  <c r="X342" i="20"/>
  <c r="X337" i="20" s="1"/>
  <c r="V323" i="20"/>
  <c r="V318" i="20" s="1"/>
  <c r="R227" i="20"/>
  <c r="M457" i="20"/>
  <c r="V246" i="20"/>
  <c r="L457" i="20"/>
  <c r="T94" i="20"/>
  <c r="T249" i="20"/>
  <c r="Y227" i="20"/>
  <c r="S342" i="20"/>
  <c r="S337" i="20" s="1"/>
  <c r="AE18" i="20"/>
  <c r="O37" i="20"/>
  <c r="O33" i="20" s="1"/>
  <c r="T19" i="20"/>
  <c r="AB323" i="20"/>
  <c r="AB318" i="20" s="1"/>
  <c r="AA37" i="20"/>
  <c r="AA33" i="20" s="1"/>
  <c r="AC227" i="20"/>
  <c r="V97" i="20"/>
  <c r="V90" i="20" s="1"/>
  <c r="J302" i="20"/>
  <c r="J299" i="20" s="1"/>
  <c r="AE246" i="20"/>
  <c r="P18" i="20"/>
  <c r="F288" i="20"/>
  <c r="F402" i="20" s="1"/>
  <c r="P249" i="20"/>
  <c r="H283" i="20"/>
  <c r="O342" i="20"/>
  <c r="O337" i="20" s="1"/>
  <c r="X59" i="20"/>
  <c r="H288" i="20"/>
  <c r="U230" i="20"/>
  <c r="AC323" i="20"/>
  <c r="AC318" i="20" s="1"/>
  <c r="N342" i="20"/>
  <c r="N337" i="20" s="1"/>
  <c r="N18" i="20"/>
  <c r="Q56" i="20"/>
  <c r="N37" i="20"/>
  <c r="N33" i="20" s="1"/>
  <c r="L268" i="20"/>
  <c r="S246" i="20"/>
  <c r="AD192" i="20"/>
  <c r="AD185" i="20" s="1"/>
  <c r="M97" i="20"/>
  <c r="I284" i="20"/>
  <c r="I398" i="20" s="1"/>
  <c r="M230" i="20"/>
  <c r="M223" i="20" s="1"/>
  <c r="Y268" i="20"/>
  <c r="R246" i="20"/>
  <c r="Z97" i="20"/>
  <c r="AB94" i="20"/>
  <c r="AB90" i="20" s="1"/>
  <c r="U455" i="20"/>
  <c r="R287" i="20"/>
  <c r="S268" i="20"/>
  <c r="S261" i="20" s="1"/>
  <c r="AE37" i="20"/>
  <c r="AE33" i="20" s="1"/>
  <c r="AB246" i="20"/>
  <c r="P97" i="20"/>
  <c r="V59" i="20"/>
  <c r="R342" i="20"/>
  <c r="R337" i="20" s="1"/>
  <c r="AD18" i="20"/>
  <c r="BW178" i="14"/>
  <c r="BM78" i="14" a="1"/>
  <c r="BM78" i="14" s="1"/>
  <c r="CQ78" i="14" s="1"/>
  <c r="AC74" i="43" s="1"/>
  <c r="CL78" i="14"/>
  <c r="X74" i="43" s="1"/>
  <c r="AQ6" i="9"/>
  <c r="N6" i="9"/>
  <c r="F137" i="3"/>
  <c r="F59" i="3" s="1"/>
  <c r="G112" i="3"/>
  <c r="F162" i="3"/>
  <c r="F167" i="3"/>
  <c r="F142" i="3"/>
  <c r="F64" i="3" s="1"/>
  <c r="G117" i="3"/>
  <c r="Q189" i="20"/>
  <c r="E140" i="3"/>
  <c r="E62" i="3" s="1"/>
  <c r="F115" i="3"/>
  <c r="E165" i="3"/>
  <c r="JM47" i="14"/>
  <c r="AC56" i="20"/>
  <c r="M265" i="20"/>
  <c r="CB179" i="14"/>
  <c r="K453" i="20"/>
  <c r="K450" i="20" s="1"/>
  <c r="E450" i="20"/>
  <c r="JK49" i="14"/>
  <c r="JL47" i="14"/>
  <c r="JL76" i="14"/>
  <c r="N151" i="20"/>
  <c r="JO83" i="14"/>
  <c r="JM83" i="14"/>
  <c r="JR83" i="14"/>
  <c r="JS83" i="14"/>
  <c r="JP83" i="14"/>
  <c r="JT83" i="14"/>
  <c r="JQ83" i="14"/>
  <c r="JL83" i="14"/>
  <c r="JN83" i="14"/>
  <c r="C25" i="21"/>
  <c r="C36" i="21" s="1"/>
  <c r="C450" i="20"/>
  <c r="B81" i="3"/>
  <c r="C16" i="5" s="1"/>
  <c r="C14" i="8" s="1"/>
  <c r="B199" i="20" s="1"/>
  <c r="D53" i="16"/>
  <c r="B74" i="3"/>
  <c r="C9" i="5" s="1"/>
  <c r="C10" i="6" s="1"/>
  <c r="B79" i="3"/>
  <c r="C14" i="5" s="1"/>
  <c r="C15" i="6" s="1"/>
  <c r="B82" i="3"/>
  <c r="C17" i="5" s="1"/>
  <c r="C90" i="8" s="1"/>
  <c r="D56" i="16"/>
  <c r="B89" i="3"/>
  <c r="C24" i="5" s="1"/>
  <c r="C97" i="8" s="1"/>
  <c r="B80" i="3"/>
  <c r="C15" i="5" s="1"/>
  <c r="C63" i="8" s="1"/>
  <c r="D57" i="16"/>
  <c r="B90" i="3"/>
  <c r="C25" i="5" s="1"/>
  <c r="C23" i="8" s="1"/>
  <c r="B86" i="3"/>
  <c r="C21" i="5" s="1"/>
  <c r="C19" i="8" s="1"/>
  <c r="B294" i="20" s="1"/>
  <c r="D54" i="16"/>
  <c r="B88" i="3"/>
  <c r="C23" i="5" s="1"/>
  <c r="C24" i="6" s="1"/>
  <c r="B76" i="3"/>
  <c r="C11" i="5" s="1"/>
  <c r="C9" i="8" s="1"/>
  <c r="B104" i="20" s="1"/>
  <c r="D55" i="16"/>
  <c r="B73" i="3"/>
  <c r="C8" i="5" s="1"/>
  <c r="C9" i="6" s="1"/>
  <c r="B84" i="3"/>
  <c r="C19" i="5" s="1"/>
  <c r="C20" i="6" s="1"/>
  <c r="B78" i="3"/>
  <c r="C13" i="5" s="1"/>
  <c r="C14" i="6" s="1"/>
  <c r="B72" i="3"/>
  <c r="C7" i="5" s="1"/>
  <c r="C5" i="8" s="1"/>
  <c r="B28" i="20" s="1"/>
  <c r="R173" i="20"/>
  <c r="R166" i="20" s="1"/>
  <c r="B77" i="3"/>
  <c r="C12" i="5" s="1"/>
  <c r="C13" i="6" s="1"/>
  <c r="B87" i="3"/>
  <c r="C22" i="5" s="1"/>
  <c r="C23" i="6" s="1"/>
  <c r="B71" i="3"/>
  <c r="C6" i="5" s="1"/>
  <c r="C54" i="8" s="1"/>
  <c r="B75" i="3"/>
  <c r="C10" i="5" s="1"/>
  <c r="C83" i="8" s="1"/>
  <c r="N265" i="20"/>
  <c r="N261" i="20" s="1"/>
  <c r="B83" i="3"/>
  <c r="C18" i="5" s="1"/>
  <c r="C19" i="6" s="1"/>
  <c r="B85" i="3"/>
  <c r="C20" i="5" s="1"/>
  <c r="C21" i="6" s="1"/>
  <c r="E397" i="20"/>
  <c r="I147" i="20"/>
  <c r="S94" i="20"/>
  <c r="N150" i="20"/>
  <c r="BL11" i="14" a="1"/>
  <c r="BL11" i="14" s="1"/>
  <c r="CP11" i="14" s="1"/>
  <c r="AB7" i="43" s="1"/>
  <c r="CK11" i="14"/>
  <c r="W7" i="43" s="1"/>
  <c r="N19" i="20"/>
  <c r="EX86" i="14"/>
  <c r="DT86" i="14" s="1"/>
  <c r="CK86" i="14"/>
  <c r="W82" i="43" s="1"/>
  <c r="W457" i="20"/>
  <c r="L227" i="20"/>
  <c r="AE227" i="20"/>
  <c r="JM81" i="14"/>
  <c r="JP81" i="14"/>
  <c r="O302" i="20"/>
  <c r="O299" i="20" s="1"/>
  <c r="K155" i="20"/>
  <c r="K147" i="20" s="1"/>
  <c r="R189" i="20"/>
  <c r="DF177" i="14"/>
  <c r="L26" i="21" s="1"/>
  <c r="JN81" i="14"/>
  <c r="AD56" i="20"/>
  <c r="W19" i="20"/>
  <c r="X265" i="20"/>
  <c r="X261" i="20" s="1"/>
  <c r="JL49" i="14"/>
  <c r="T227" i="20"/>
  <c r="J399" i="20"/>
  <c r="N189" i="20"/>
  <c r="H401" i="20"/>
  <c r="S227" i="20"/>
  <c r="S223" i="20" s="1"/>
  <c r="T150" i="20"/>
  <c r="JL61" i="14"/>
  <c r="W189" i="20"/>
  <c r="AB173" i="20"/>
  <c r="AB166" i="20" s="1"/>
  <c r="M19" i="20"/>
  <c r="F36" i="21"/>
  <c r="DD177" i="14"/>
  <c r="J26" i="21" s="1"/>
  <c r="I166" i="20"/>
  <c r="L189" i="20"/>
  <c r="L185" i="20" s="1"/>
  <c r="J166" i="20"/>
  <c r="JL72" i="14"/>
  <c r="E398" i="20"/>
  <c r="K166" i="20"/>
  <c r="P453" i="20"/>
  <c r="M155" i="20"/>
  <c r="P155" i="20"/>
  <c r="JK72" i="14"/>
  <c r="F397" i="20"/>
  <c r="AC94" i="20"/>
  <c r="AA151" i="20"/>
  <c r="AE189" i="20"/>
  <c r="AB189" i="20"/>
  <c r="U189" i="20"/>
  <c r="S189" i="20"/>
  <c r="Y173" i="20"/>
  <c r="Y166" i="20" s="1"/>
  <c r="P246" i="20"/>
  <c r="JQ47" i="14"/>
  <c r="E280" i="20"/>
  <c r="L246" i="20"/>
  <c r="K399" i="20"/>
  <c r="EQ10" i="14"/>
  <c r="DM10" i="14" s="1"/>
  <c r="BE10" i="14" a="1"/>
  <c r="BE10" i="14" s="1"/>
  <c r="EV10" i="14" s="1"/>
  <c r="DR10" i="14" s="1"/>
  <c r="JM61" i="14"/>
  <c r="Q151" i="20"/>
  <c r="G398" i="20"/>
  <c r="P19" i="20"/>
  <c r="E399" i="20"/>
  <c r="AC246" i="20"/>
  <c r="JO61" i="14"/>
  <c r="P284" i="20"/>
  <c r="ER78" i="14"/>
  <c r="DN78" i="14" s="1"/>
  <c r="AA166" i="20"/>
  <c r="BF78" i="14" a="1"/>
  <c r="BF78" i="14" s="1"/>
  <c r="EW78" i="14" s="1"/>
  <c r="DS78" i="14" s="1"/>
  <c r="M189" i="20"/>
  <c r="V151" i="20"/>
  <c r="AB457" i="20"/>
  <c r="K401" i="20"/>
  <c r="JN61" i="14"/>
  <c r="D450" i="20"/>
  <c r="O166" i="20"/>
  <c r="I399" i="20"/>
  <c r="G14" i="20"/>
  <c r="I401" i="20"/>
  <c r="B166" i="20"/>
  <c r="JK81" i="14"/>
  <c r="X189" i="20"/>
  <c r="JO81" i="14"/>
  <c r="JL81" i="14"/>
  <c r="JL48" i="14"/>
  <c r="JO48" i="14"/>
  <c r="P457" i="20"/>
  <c r="Z457" i="20"/>
  <c r="JK62" i="14"/>
  <c r="JR81" i="14"/>
  <c r="O227" i="20"/>
  <c r="B280" i="20"/>
  <c r="JS81" i="14"/>
  <c r="S19" i="20"/>
  <c r="JT81" i="14"/>
  <c r="B402" i="20"/>
  <c r="H22" i="20"/>
  <c r="JQ81" i="14"/>
  <c r="B147" i="20"/>
  <c r="R457" i="20"/>
  <c r="AD19" i="20"/>
  <c r="D397" i="20"/>
  <c r="C7" i="19"/>
  <c r="C401" i="20"/>
  <c r="JM49" i="14"/>
  <c r="JC78" i="14"/>
  <c r="JE86" i="14"/>
  <c r="JM64" i="14"/>
  <c r="JS48" i="14"/>
  <c r="I397" i="20"/>
  <c r="G401" i="20"/>
  <c r="B399" i="20"/>
  <c r="N227" i="20"/>
  <c r="B242" i="20"/>
  <c r="AC173" i="20"/>
  <c r="AC166" i="20" s="1"/>
  <c r="JK58" i="14"/>
  <c r="JR103" i="14"/>
  <c r="D166" i="20"/>
  <c r="JN54" i="14"/>
  <c r="JC86" i="14"/>
  <c r="JA10" i="14"/>
  <c r="L151" i="20"/>
  <c r="BW179" i="14"/>
  <c r="M192" i="20"/>
  <c r="B401" i="20"/>
  <c r="JE78" i="14"/>
  <c r="JC11" i="14"/>
  <c r="B450" i="20"/>
  <c r="JL50" i="14"/>
  <c r="BH44" i="14" a="1"/>
  <c r="BH44" i="14" s="1"/>
  <c r="CG44" i="14"/>
  <c r="S40" i="43" s="1"/>
  <c r="ET44" i="14"/>
  <c r="DP44" i="14" s="1"/>
  <c r="N246" i="20"/>
  <c r="JA11" i="14"/>
  <c r="JM54" i="14"/>
  <c r="JS64" i="14"/>
  <c r="JC79" i="14"/>
  <c r="JN77" i="14"/>
  <c r="JN50" i="14"/>
  <c r="JC10" i="14"/>
  <c r="JN62" i="14"/>
  <c r="JO47" i="14"/>
  <c r="AA246" i="20"/>
  <c r="JO49" i="14"/>
  <c r="JK77" i="14"/>
  <c r="JM50" i="14"/>
  <c r="BX178" i="14"/>
  <c r="JA87" i="14"/>
  <c r="JT61" i="14"/>
  <c r="JE11" i="14"/>
  <c r="EQ87" i="14"/>
  <c r="DM87" i="14" s="1"/>
  <c r="CD87" i="14"/>
  <c r="P83" i="43" s="1"/>
  <c r="BE87" i="14" a="1"/>
  <c r="BE87" i="14" s="1"/>
  <c r="JR73" i="14"/>
  <c r="AC19" i="20"/>
  <c r="M173" i="20"/>
  <c r="JM76" i="14"/>
  <c r="JK50" i="14"/>
  <c r="D14" i="20"/>
  <c r="X227" i="20"/>
  <c r="JE10" i="14"/>
  <c r="JS72" i="14"/>
  <c r="JP64" i="14"/>
  <c r="Q166" i="20"/>
  <c r="JC87" i="14"/>
  <c r="JR64" i="14"/>
  <c r="JT47" i="14"/>
  <c r="JS47" i="14"/>
  <c r="JQ64" i="14"/>
  <c r="JP47" i="14"/>
  <c r="JQ62" i="14"/>
  <c r="JN64" i="14"/>
  <c r="JR47" i="14"/>
  <c r="M21" i="20"/>
  <c r="X21" i="20"/>
  <c r="JK48" i="14"/>
  <c r="S173" i="20"/>
  <c r="S166" i="20" s="1"/>
  <c r="JT73" i="14"/>
  <c r="JP48" i="14"/>
  <c r="JN48" i="14"/>
  <c r="AC21" i="20"/>
  <c r="JP62" i="14"/>
  <c r="JN67" i="14"/>
  <c r="B397" i="20"/>
  <c r="Q246" i="20"/>
  <c r="JQ58" i="14"/>
  <c r="AA19" i="20"/>
  <c r="R21" i="20"/>
  <c r="D401" i="20"/>
  <c r="JP58" i="14"/>
  <c r="Y265" i="20"/>
  <c r="U21" i="20"/>
  <c r="AE21" i="20"/>
  <c r="X173" i="20"/>
  <c r="X166" i="20" s="1"/>
  <c r="X94" i="20"/>
  <c r="W173" i="20"/>
  <c r="JQ61" i="14"/>
  <c r="J398" i="20"/>
  <c r="O265" i="20"/>
  <c r="Q19" i="20"/>
  <c r="Q21" i="20"/>
  <c r="AA21" i="20"/>
  <c r="C14" i="20"/>
  <c r="DE177" i="14"/>
  <c r="K26" i="21" s="1"/>
  <c r="JM62" i="14"/>
  <c r="L21" i="20"/>
  <c r="O284" i="20"/>
  <c r="Z21" i="20"/>
  <c r="L171" i="20"/>
  <c r="L166" i="20" s="1"/>
  <c r="R392" i="20"/>
  <c r="V21" i="20"/>
  <c r="K398" i="20"/>
  <c r="W171" i="20"/>
  <c r="P21" i="20"/>
  <c r="JO62" i="14"/>
  <c r="JN8" i="14"/>
  <c r="M392" i="20"/>
  <c r="IW177" i="14"/>
  <c r="M66" i="9" s="1"/>
  <c r="M171" i="20"/>
  <c r="C392" i="20"/>
  <c r="IQ177" i="14"/>
  <c r="G66" i="9" s="1"/>
  <c r="AK66" i="9" s="1"/>
  <c r="B428" i="20" s="1"/>
  <c r="B426" i="20" s="1"/>
  <c r="JT76" i="14"/>
  <c r="JF79" i="14"/>
  <c r="AC392" i="20"/>
  <c r="AD392" i="20"/>
  <c r="JQ73" i="14"/>
  <c r="AD21" i="20"/>
  <c r="JQ72" i="14"/>
  <c r="JL77" i="14"/>
  <c r="B14" i="20"/>
  <c r="JB78" i="14"/>
  <c r="JB87" i="14"/>
  <c r="P392" i="20"/>
  <c r="H392" i="20"/>
  <c r="S21" i="20"/>
  <c r="T21" i="20"/>
  <c r="C398" i="20"/>
  <c r="JK73" i="14"/>
  <c r="JR9" i="14"/>
  <c r="JN46" i="14"/>
  <c r="H147" i="20"/>
  <c r="R150" i="20"/>
  <c r="E139" i="3"/>
  <c r="E61" i="3" s="1"/>
  <c r="E164" i="3"/>
  <c r="F114" i="3"/>
  <c r="BX177" i="14"/>
  <c r="H25" i="21" s="1"/>
  <c r="H36" i="21" s="1"/>
  <c r="JP54" i="14"/>
  <c r="AA97" i="20"/>
  <c r="B398" i="20"/>
  <c r="AA65" i="12"/>
  <c r="V448" i="20" s="1"/>
  <c r="V447" i="20" s="1"/>
  <c r="O65" i="12"/>
  <c r="J448" i="20" s="1"/>
  <c r="J447" i="20" s="1"/>
  <c r="Z65" i="12"/>
  <c r="U448" i="20" s="1"/>
  <c r="U447" i="20" s="1"/>
  <c r="N65" i="12"/>
  <c r="Y65" i="12"/>
  <c r="M65" i="12"/>
  <c r="AJ65" i="12"/>
  <c r="AE448" i="20" s="1"/>
  <c r="AE447" i="20" s="1"/>
  <c r="X65" i="12"/>
  <c r="S448" i="20" s="1"/>
  <c r="S447" i="20" s="1"/>
  <c r="L65" i="12"/>
  <c r="AI65" i="12"/>
  <c r="AD448" i="20" s="1"/>
  <c r="AD447" i="20" s="1"/>
  <c r="W65" i="12"/>
  <c r="K65" i="12"/>
  <c r="F448" i="20" s="1"/>
  <c r="F447" i="20" s="1"/>
  <c r="AH65" i="12"/>
  <c r="AC448" i="20" s="1"/>
  <c r="AC447" i="20" s="1"/>
  <c r="V65" i="12"/>
  <c r="J65" i="12"/>
  <c r="E448" i="20" s="1"/>
  <c r="E447" i="20" s="1"/>
  <c r="AF65" i="12"/>
  <c r="AA448" i="20" s="1"/>
  <c r="AA447" i="20" s="1"/>
  <c r="T65" i="12"/>
  <c r="H65" i="12"/>
  <c r="C448" i="20" s="1"/>
  <c r="C447" i="20" s="1"/>
  <c r="I65" i="12"/>
  <c r="G65" i="12"/>
  <c r="AG65" i="12"/>
  <c r="AB448" i="20" s="1"/>
  <c r="AB447" i="20" s="1"/>
  <c r="AE65" i="12"/>
  <c r="AD65" i="12"/>
  <c r="Y448" i="20" s="1"/>
  <c r="Y447" i="20" s="1"/>
  <c r="AC65" i="12"/>
  <c r="X448" i="20" s="1"/>
  <c r="X447" i="20" s="1"/>
  <c r="AB65" i="12"/>
  <c r="W448" i="20" s="1"/>
  <c r="W447" i="20" s="1"/>
  <c r="U65" i="12"/>
  <c r="P448" i="20" s="1"/>
  <c r="P447" i="20" s="1"/>
  <c r="S65" i="12"/>
  <c r="R65" i="12"/>
  <c r="Q65" i="12"/>
  <c r="P65" i="12"/>
  <c r="AE19" i="20"/>
  <c r="JQ77" i="14"/>
  <c r="L22" i="20"/>
  <c r="N392" i="20"/>
  <c r="EU79" i="14"/>
  <c r="DQ79" i="14" s="1"/>
  <c r="CH79" i="14"/>
  <c r="T75" i="43" s="1"/>
  <c r="BI79" i="14" a="1"/>
  <c r="BI79" i="14" s="1"/>
  <c r="V392" i="20"/>
  <c r="JE87" i="14"/>
  <c r="JN58" i="14"/>
  <c r="W21" i="20"/>
  <c r="JQ67" i="14"/>
  <c r="JR62" i="14"/>
  <c r="AD8" i="12"/>
  <c r="R8" i="12"/>
  <c r="AC8" i="12"/>
  <c r="Q8" i="12"/>
  <c r="AB8" i="12"/>
  <c r="P8" i="12"/>
  <c r="AA8" i="12"/>
  <c r="O8" i="12"/>
  <c r="Z8" i="12"/>
  <c r="N8" i="12"/>
  <c r="Y8" i="12"/>
  <c r="M8" i="12"/>
  <c r="AF8" i="12"/>
  <c r="H8" i="12"/>
  <c r="AE8" i="12"/>
  <c r="G8" i="12"/>
  <c r="X8" i="12"/>
  <c r="W8" i="12"/>
  <c r="V8" i="12"/>
  <c r="U8" i="12"/>
  <c r="T8" i="12"/>
  <c r="S8" i="12"/>
  <c r="AJ8" i="12"/>
  <c r="L8" i="12"/>
  <c r="J8" i="12"/>
  <c r="I8" i="12"/>
  <c r="AI8" i="12"/>
  <c r="AH8" i="12"/>
  <c r="AG8" i="12"/>
  <c r="K8" i="12"/>
  <c r="JB10" i="14"/>
  <c r="Z94" i="20"/>
  <c r="Y15" i="12"/>
  <c r="M15" i="12"/>
  <c r="AJ15" i="12"/>
  <c r="X15" i="12"/>
  <c r="L15" i="12"/>
  <c r="AI15" i="12"/>
  <c r="W15" i="12"/>
  <c r="K15" i="12"/>
  <c r="AH15" i="12"/>
  <c r="V15" i="12"/>
  <c r="J15" i="12"/>
  <c r="AG15" i="12"/>
  <c r="U15" i="12"/>
  <c r="I15" i="12"/>
  <c r="AF15" i="12"/>
  <c r="T15" i="12"/>
  <c r="H15" i="12"/>
  <c r="O15" i="12"/>
  <c r="N15" i="12"/>
  <c r="AE15" i="12"/>
  <c r="G15" i="12"/>
  <c r="AD15" i="12"/>
  <c r="AC15" i="12"/>
  <c r="AB15" i="12"/>
  <c r="AA15" i="12"/>
  <c r="Z15" i="12"/>
  <c r="S15" i="12"/>
  <c r="R15" i="12"/>
  <c r="Q15" i="12"/>
  <c r="P15" i="12"/>
  <c r="JN76" i="14"/>
  <c r="AI25" i="12"/>
  <c r="W25" i="12"/>
  <c r="K25" i="12"/>
  <c r="AH25" i="12"/>
  <c r="V25" i="12"/>
  <c r="J25" i="12"/>
  <c r="AG25" i="12"/>
  <c r="U25" i="12"/>
  <c r="I25" i="12"/>
  <c r="AF25" i="12"/>
  <c r="T25" i="12"/>
  <c r="H25" i="12"/>
  <c r="AE25" i="12"/>
  <c r="S25" i="12"/>
  <c r="G25" i="12"/>
  <c r="AD25" i="12"/>
  <c r="R25" i="12"/>
  <c r="AB25" i="12"/>
  <c r="P25" i="12"/>
  <c r="X25" i="12"/>
  <c r="Q25" i="12"/>
  <c r="O25" i="12"/>
  <c r="N25" i="12"/>
  <c r="M25" i="12"/>
  <c r="L25" i="12"/>
  <c r="AJ25" i="12"/>
  <c r="AC25" i="12"/>
  <c r="AA25" i="12"/>
  <c r="Z25" i="12"/>
  <c r="Y25" i="12"/>
  <c r="JO54" i="14"/>
  <c r="JO50" i="14"/>
  <c r="JD87" i="14"/>
  <c r="AC97" i="20"/>
  <c r="JP72" i="14"/>
  <c r="M151" i="20"/>
  <c r="U19" i="20"/>
  <c r="AB392" i="20"/>
  <c r="EW44" i="14"/>
  <c r="DS44" i="14" s="1"/>
  <c r="BK44" i="14" a="1"/>
  <c r="BK44" i="14" s="1"/>
  <c r="CJ44" i="14"/>
  <c r="V40" i="43" s="1"/>
  <c r="JN103" i="14"/>
  <c r="AB18" i="12"/>
  <c r="P18" i="12"/>
  <c r="AA18" i="12"/>
  <c r="O18" i="12"/>
  <c r="Z18" i="12"/>
  <c r="N18" i="12"/>
  <c r="Y18" i="12"/>
  <c r="M18" i="12"/>
  <c r="AJ18" i="12"/>
  <c r="X18" i="12"/>
  <c r="L18" i="12"/>
  <c r="AI18" i="12"/>
  <c r="W18" i="12"/>
  <c r="K18" i="12"/>
  <c r="AG18" i="12"/>
  <c r="U18" i="12"/>
  <c r="R18" i="12"/>
  <c r="Q18" i="12"/>
  <c r="J18" i="12"/>
  <c r="I18" i="12"/>
  <c r="AH18" i="12"/>
  <c r="H18" i="12"/>
  <c r="AF18" i="12"/>
  <c r="G18" i="12"/>
  <c r="AE18" i="12"/>
  <c r="AD18" i="12"/>
  <c r="AC18" i="12"/>
  <c r="V18" i="12"/>
  <c r="T18" i="12"/>
  <c r="S18" i="12"/>
  <c r="JT64" i="14"/>
  <c r="JS9" i="14"/>
  <c r="JM67" i="14"/>
  <c r="L150" i="20"/>
  <c r="JS58" i="14"/>
  <c r="N453" i="20"/>
  <c r="U457" i="20"/>
  <c r="JA86" i="14"/>
  <c r="AG11" i="12"/>
  <c r="U11" i="12"/>
  <c r="I11" i="12"/>
  <c r="AF11" i="12"/>
  <c r="T11" i="12"/>
  <c r="H11" i="12"/>
  <c r="AE11" i="12"/>
  <c r="S11" i="12"/>
  <c r="G11" i="12"/>
  <c r="AD11" i="12"/>
  <c r="R11" i="12"/>
  <c r="AC11" i="12"/>
  <c r="Q11" i="12"/>
  <c r="AB11" i="12"/>
  <c r="P11" i="12"/>
  <c r="AI11" i="12"/>
  <c r="K11" i="12"/>
  <c r="AH11" i="12"/>
  <c r="J11" i="12"/>
  <c r="AA11" i="12"/>
  <c r="Z11" i="12"/>
  <c r="Y11" i="12"/>
  <c r="X11" i="12"/>
  <c r="W11" i="12"/>
  <c r="V11" i="12"/>
  <c r="O11" i="12"/>
  <c r="AJ11" i="12"/>
  <c r="N11" i="12"/>
  <c r="M11" i="12"/>
  <c r="L11" i="12"/>
  <c r="JS50" i="14"/>
  <c r="F398" i="20"/>
  <c r="JL58" i="14"/>
  <c r="P150" i="20"/>
  <c r="Y39" i="12"/>
  <c r="T46" i="20" s="1"/>
  <c r="M39" i="12"/>
  <c r="H46" i="20" s="1"/>
  <c r="AJ39" i="12"/>
  <c r="AE46" i="20" s="1"/>
  <c r="X39" i="12"/>
  <c r="L39" i="12"/>
  <c r="AI39" i="12"/>
  <c r="AD46" i="20" s="1"/>
  <c r="W39" i="12"/>
  <c r="R46" i="20" s="1"/>
  <c r="K39" i="12"/>
  <c r="F46" i="20" s="1"/>
  <c r="AH39" i="12"/>
  <c r="AC46" i="20" s="1"/>
  <c r="V39" i="12"/>
  <c r="Q46" i="20" s="1"/>
  <c r="J39" i="12"/>
  <c r="E46" i="20" s="1"/>
  <c r="AG39" i="12"/>
  <c r="U39" i="12"/>
  <c r="P46" i="20" s="1"/>
  <c r="I39" i="12"/>
  <c r="D46" i="20" s="1"/>
  <c r="AF39" i="12"/>
  <c r="AA46" i="20" s="1"/>
  <c r="T39" i="12"/>
  <c r="O46" i="20" s="1"/>
  <c r="H39" i="12"/>
  <c r="C46" i="20" s="1"/>
  <c r="AD39" i="12"/>
  <c r="Y46" i="20" s="1"/>
  <c r="R39" i="12"/>
  <c r="M46" i="20" s="1"/>
  <c r="AA39" i="12"/>
  <c r="V46" i="20" s="1"/>
  <c r="Z39" i="12"/>
  <c r="S39" i="12"/>
  <c r="N46" i="20" s="1"/>
  <c r="Q39" i="12"/>
  <c r="L46" i="20" s="1"/>
  <c r="P39" i="12"/>
  <c r="K46" i="20" s="1"/>
  <c r="O39" i="12"/>
  <c r="J46" i="20" s="1"/>
  <c r="N39" i="12"/>
  <c r="I46" i="20" s="1"/>
  <c r="G39" i="12"/>
  <c r="B46" i="20" s="1"/>
  <c r="AE39" i="12"/>
  <c r="Z46" i="20" s="1"/>
  <c r="AC39" i="12"/>
  <c r="X46" i="20" s="1"/>
  <c r="AB39" i="12"/>
  <c r="W46" i="20" s="1"/>
  <c r="JT50" i="14"/>
  <c r="AC19" i="12"/>
  <c r="X331" i="20" s="1"/>
  <c r="Q19" i="12"/>
  <c r="L331" i="20" s="1"/>
  <c r="AB19" i="12"/>
  <c r="W331" i="20" s="1"/>
  <c r="P19" i="12"/>
  <c r="K331" i="20" s="1"/>
  <c r="AA19" i="12"/>
  <c r="V331" i="20" s="1"/>
  <c r="O19" i="12"/>
  <c r="J331" i="20" s="1"/>
  <c r="Z19" i="12"/>
  <c r="U331" i="20" s="1"/>
  <c r="N19" i="12"/>
  <c r="I331" i="20" s="1"/>
  <c r="Y19" i="12"/>
  <c r="T331" i="20" s="1"/>
  <c r="M19" i="12"/>
  <c r="H331" i="20" s="1"/>
  <c r="AJ19" i="12"/>
  <c r="AE331" i="20" s="1"/>
  <c r="X19" i="12"/>
  <c r="S331" i="20" s="1"/>
  <c r="L19" i="12"/>
  <c r="G331" i="20" s="1"/>
  <c r="AH19" i="12"/>
  <c r="AC331" i="20" s="1"/>
  <c r="V19" i="12"/>
  <c r="Q331" i="20" s="1"/>
  <c r="J19" i="12"/>
  <c r="E331" i="20" s="1"/>
  <c r="AF19" i="12"/>
  <c r="AA331" i="20" s="1"/>
  <c r="AE19" i="12"/>
  <c r="Z331" i="20" s="1"/>
  <c r="AD19" i="12"/>
  <c r="Y331" i="20" s="1"/>
  <c r="W19" i="12"/>
  <c r="R331" i="20" s="1"/>
  <c r="U19" i="12"/>
  <c r="P331" i="20" s="1"/>
  <c r="T19" i="12"/>
  <c r="O331" i="20" s="1"/>
  <c r="S19" i="12"/>
  <c r="N331" i="20" s="1"/>
  <c r="R19" i="12"/>
  <c r="M331" i="20" s="1"/>
  <c r="K19" i="12"/>
  <c r="F331" i="20" s="1"/>
  <c r="AI19" i="12"/>
  <c r="AD331" i="20" s="1"/>
  <c r="AG19" i="12"/>
  <c r="AB331" i="20" s="1"/>
  <c r="I19" i="12"/>
  <c r="D331" i="20" s="1"/>
  <c r="H19" i="12"/>
  <c r="C331" i="20" s="1"/>
  <c r="G19" i="12"/>
  <c r="B331" i="20" s="1"/>
  <c r="BW177" i="14"/>
  <c r="G25" i="21" s="1"/>
  <c r="G36" i="21" s="1"/>
  <c r="JR67" i="14"/>
  <c r="S97" i="20"/>
  <c r="I134" i="3"/>
  <c r="I56" i="3" s="1"/>
  <c r="J109" i="3"/>
  <c r="I159" i="3"/>
  <c r="Q97" i="20"/>
  <c r="AA41" i="12"/>
  <c r="O41" i="12"/>
  <c r="Z41" i="12"/>
  <c r="N41" i="12"/>
  <c r="Y41" i="12"/>
  <c r="M41" i="12"/>
  <c r="AJ41" i="12"/>
  <c r="X41" i="12"/>
  <c r="L41" i="12"/>
  <c r="AI41" i="12"/>
  <c r="W41" i="12"/>
  <c r="K41" i="12"/>
  <c r="AH41" i="12"/>
  <c r="V41" i="12"/>
  <c r="J41" i="12"/>
  <c r="AF41" i="12"/>
  <c r="T41" i="12"/>
  <c r="H41" i="12"/>
  <c r="AG41" i="12"/>
  <c r="AE41" i="12"/>
  <c r="AD41" i="12"/>
  <c r="AC41" i="12"/>
  <c r="AB41" i="12"/>
  <c r="U41" i="12"/>
  <c r="S41" i="12"/>
  <c r="R41" i="12"/>
  <c r="Q41" i="12"/>
  <c r="P41" i="12"/>
  <c r="I41" i="12"/>
  <c r="G41" i="12"/>
  <c r="JP50" i="14"/>
  <c r="G132" i="3"/>
  <c r="G54" i="3" s="1"/>
  <c r="H107" i="3"/>
  <c r="G157" i="3"/>
  <c r="CP49" i="14"/>
  <c r="AB45" i="43" s="1"/>
  <c r="AI45" i="43" s="1"/>
  <c r="JR49" i="14"/>
  <c r="JP49" i="14"/>
  <c r="JN49" i="14"/>
  <c r="JT49" i="14"/>
  <c r="JS49" i="14"/>
  <c r="U392" i="20"/>
  <c r="JM103" i="14"/>
  <c r="D448" i="20"/>
  <c r="D447" i="20" s="1"/>
  <c r="JQ48" i="14"/>
  <c r="CN103" i="14"/>
  <c r="Z99" i="43" s="1"/>
  <c r="AI99" i="43" s="1"/>
  <c r="JS103" i="14"/>
  <c r="JT58" i="14"/>
  <c r="JO9" i="14"/>
  <c r="JO67" i="14"/>
  <c r="JN72" i="14"/>
  <c r="G113" i="3"/>
  <c r="F138" i="3"/>
  <c r="F60" i="3" s="1"/>
  <c r="F163" i="3"/>
  <c r="AE457" i="20"/>
  <c r="Z173" i="20"/>
  <c r="Z166" i="20" s="1"/>
  <c r="JM77" i="14"/>
  <c r="O392" i="20"/>
  <c r="D398" i="20"/>
  <c r="G302" i="20"/>
  <c r="G299" i="20" s="1"/>
  <c r="G156" i="3"/>
  <c r="H106" i="3"/>
  <c r="G131" i="3"/>
  <c r="G53" i="3" s="1"/>
  <c r="CD44" i="14"/>
  <c r="P40" i="43" s="1"/>
  <c r="EQ44" i="14"/>
  <c r="DM44" i="14" s="1"/>
  <c r="BE44" i="14" a="1"/>
  <c r="BE44" i="14" s="1"/>
  <c r="JM72" i="14"/>
  <c r="F14" i="20"/>
  <c r="AE21" i="12"/>
  <c r="S21" i="12"/>
  <c r="G21" i="12"/>
  <c r="AD21" i="12"/>
  <c r="R21" i="12"/>
  <c r="AC21" i="12"/>
  <c r="Q21" i="12"/>
  <c r="AB21" i="12"/>
  <c r="P21" i="12"/>
  <c r="AA21" i="12"/>
  <c r="O21" i="12"/>
  <c r="Z21" i="12"/>
  <c r="N21" i="12"/>
  <c r="AJ21" i="12"/>
  <c r="X21" i="12"/>
  <c r="L21" i="12"/>
  <c r="AG21" i="12"/>
  <c r="AF21" i="12"/>
  <c r="Y21" i="12"/>
  <c r="W21" i="12"/>
  <c r="V21" i="12"/>
  <c r="U21" i="12"/>
  <c r="T21" i="12"/>
  <c r="M21" i="12"/>
  <c r="K21" i="12"/>
  <c r="AI21" i="12"/>
  <c r="AH21" i="12"/>
  <c r="J21" i="12"/>
  <c r="I21" i="12"/>
  <c r="H21" i="12"/>
  <c r="BG87" i="14" a="1"/>
  <c r="BG87" i="14" s="1"/>
  <c r="CF87" i="14"/>
  <c r="R83" i="43" s="1"/>
  <c r="ES87" i="14"/>
  <c r="DO87" i="14" s="1"/>
  <c r="AI37" i="12"/>
  <c r="W37" i="12"/>
  <c r="K37" i="12"/>
  <c r="AH37" i="12"/>
  <c r="V37" i="12"/>
  <c r="J37" i="12"/>
  <c r="AG37" i="12"/>
  <c r="U37" i="12"/>
  <c r="I37" i="12"/>
  <c r="AF37" i="12"/>
  <c r="T37" i="12"/>
  <c r="H37" i="12"/>
  <c r="AE37" i="12"/>
  <c r="S37" i="12"/>
  <c r="G37" i="12"/>
  <c r="AD37" i="12"/>
  <c r="R37" i="12"/>
  <c r="AB37" i="12"/>
  <c r="P37" i="12"/>
  <c r="L37" i="12"/>
  <c r="AJ37" i="12"/>
  <c r="AC37" i="12"/>
  <c r="AA37" i="12"/>
  <c r="Z37" i="12"/>
  <c r="Y37" i="12"/>
  <c r="X37" i="12"/>
  <c r="Q37" i="12"/>
  <c r="O37" i="12"/>
  <c r="N37" i="12"/>
  <c r="M37" i="12"/>
  <c r="AI13" i="12"/>
  <c r="AD293" i="20" s="1"/>
  <c r="W13" i="12"/>
  <c r="R293" i="20" s="1"/>
  <c r="K13" i="12"/>
  <c r="F293" i="20" s="1"/>
  <c r="AH13" i="12"/>
  <c r="AC293" i="20" s="1"/>
  <c r="V13" i="12"/>
  <c r="Q293" i="20" s="1"/>
  <c r="J13" i="12"/>
  <c r="E293" i="20" s="1"/>
  <c r="AG13" i="12"/>
  <c r="AB293" i="20" s="1"/>
  <c r="U13" i="12"/>
  <c r="P293" i="20" s="1"/>
  <c r="I13" i="12"/>
  <c r="D293" i="20" s="1"/>
  <c r="AF13" i="12"/>
  <c r="AA293" i="20" s="1"/>
  <c r="T13" i="12"/>
  <c r="O293" i="20" s="1"/>
  <c r="H13" i="12"/>
  <c r="C293" i="20" s="1"/>
  <c r="AE13" i="12"/>
  <c r="Z293" i="20" s="1"/>
  <c r="S13" i="12"/>
  <c r="N293" i="20" s="1"/>
  <c r="G13" i="12"/>
  <c r="B293" i="20" s="1"/>
  <c r="AD13" i="12"/>
  <c r="Y293" i="20" s="1"/>
  <c r="R13" i="12"/>
  <c r="M293" i="20" s="1"/>
  <c r="M13" i="12"/>
  <c r="H293" i="20" s="1"/>
  <c r="AJ13" i="12"/>
  <c r="AE293" i="20" s="1"/>
  <c r="L13" i="12"/>
  <c r="G293" i="20" s="1"/>
  <c r="AC13" i="12"/>
  <c r="X293" i="20" s="1"/>
  <c r="AB13" i="12"/>
  <c r="W293" i="20" s="1"/>
  <c r="AA13" i="12"/>
  <c r="V293" i="20" s="1"/>
  <c r="Z13" i="12"/>
  <c r="U293" i="20" s="1"/>
  <c r="Y13" i="12"/>
  <c r="T293" i="20" s="1"/>
  <c r="X13" i="12"/>
  <c r="S293" i="20" s="1"/>
  <c r="Q13" i="12"/>
  <c r="L293" i="20" s="1"/>
  <c r="P13" i="12"/>
  <c r="K293" i="20" s="1"/>
  <c r="O13" i="12"/>
  <c r="J293" i="20" s="1"/>
  <c r="N13" i="12"/>
  <c r="I293" i="20" s="1"/>
  <c r="JS73" i="14"/>
  <c r="FC86" i="14"/>
  <c r="DY86" i="14" s="1"/>
  <c r="BQ86" i="14" a="1"/>
  <c r="BQ86" i="14" s="1"/>
  <c r="CU86" i="14" s="1"/>
  <c r="AG82" i="43" s="1"/>
  <c r="CP86" i="14"/>
  <c r="AB82" i="43" s="1"/>
  <c r="CL11" i="14"/>
  <c r="X7" i="43" s="1"/>
  <c r="BM11" i="14" a="1"/>
  <c r="BM11" i="14" s="1"/>
  <c r="EY11" i="14"/>
  <c r="DU11" i="14" s="1"/>
  <c r="JT67" i="14"/>
  <c r="G147" i="20"/>
  <c r="JO103" i="14"/>
  <c r="AD56" i="12"/>
  <c r="R56" i="12"/>
  <c r="AC56" i="12"/>
  <c r="Q56" i="12"/>
  <c r="AB56" i="12"/>
  <c r="P56" i="12"/>
  <c r="AA56" i="12"/>
  <c r="O56" i="12"/>
  <c r="Z56" i="12"/>
  <c r="N56" i="12"/>
  <c r="Y56" i="12"/>
  <c r="M56" i="12"/>
  <c r="AI56" i="12"/>
  <c r="W56" i="12"/>
  <c r="K56" i="12"/>
  <c r="AJ56" i="12"/>
  <c r="I56" i="12"/>
  <c r="AH56" i="12"/>
  <c r="H56" i="12"/>
  <c r="AG56" i="12"/>
  <c r="G56" i="12"/>
  <c r="AF56" i="12"/>
  <c r="AE56" i="12"/>
  <c r="X56" i="12"/>
  <c r="V56" i="12"/>
  <c r="U56" i="12"/>
  <c r="T56" i="12"/>
  <c r="S56" i="12"/>
  <c r="L56" i="12"/>
  <c r="J56" i="12"/>
  <c r="W392" i="20"/>
  <c r="AC43" i="12"/>
  <c r="Q43" i="12"/>
  <c r="AB43" i="12"/>
  <c r="P43" i="12"/>
  <c r="AA43" i="12"/>
  <c r="O43" i="12"/>
  <c r="Z43" i="12"/>
  <c r="N43" i="12"/>
  <c r="Y43" i="12"/>
  <c r="M43" i="12"/>
  <c r="AJ43" i="12"/>
  <c r="X43" i="12"/>
  <c r="L43" i="12"/>
  <c r="AH43" i="12"/>
  <c r="V43" i="12"/>
  <c r="J43" i="12"/>
  <c r="AI43" i="12"/>
  <c r="H43" i="12"/>
  <c r="AG43" i="12"/>
  <c r="G43" i="12"/>
  <c r="AF43" i="12"/>
  <c r="AE43" i="12"/>
  <c r="AD43" i="12"/>
  <c r="W43" i="12"/>
  <c r="U43" i="12"/>
  <c r="T43" i="12"/>
  <c r="S43" i="12"/>
  <c r="R43" i="12"/>
  <c r="K43" i="12"/>
  <c r="I43" i="12"/>
  <c r="AH60" i="12"/>
  <c r="V60" i="12"/>
  <c r="J60" i="12"/>
  <c r="AG60" i="12"/>
  <c r="U60" i="12"/>
  <c r="I60" i="12"/>
  <c r="AF60" i="12"/>
  <c r="T60" i="12"/>
  <c r="H60" i="12"/>
  <c r="AE60" i="12"/>
  <c r="S60" i="12"/>
  <c r="G60" i="12"/>
  <c r="AD60" i="12"/>
  <c r="R60" i="12"/>
  <c r="AC60" i="12"/>
  <c r="Q60" i="12"/>
  <c r="AA60" i="12"/>
  <c r="O60" i="12"/>
  <c r="X60" i="12"/>
  <c r="W60" i="12"/>
  <c r="P60" i="12"/>
  <c r="N60" i="12"/>
  <c r="M60" i="12"/>
  <c r="L60" i="12"/>
  <c r="K60" i="12"/>
  <c r="AJ60" i="12"/>
  <c r="AI60" i="12"/>
  <c r="AB60" i="12"/>
  <c r="Z60" i="12"/>
  <c r="Y60" i="12"/>
  <c r="JD11" i="14"/>
  <c r="JN68" i="14"/>
  <c r="H103" i="3"/>
  <c r="G128" i="3"/>
  <c r="G50" i="3" s="1"/>
  <c r="G153" i="3"/>
  <c r="BI44" i="14" a="1"/>
  <c r="BI44" i="14" s="1"/>
  <c r="EU44" i="14"/>
  <c r="DQ44" i="14" s="1"/>
  <c r="CH44" i="14"/>
  <c r="T40" i="43" s="1"/>
  <c r="U171" i="20"/>
  <c r="U166" i="20" s="1"/>
  <c r="AD20" i="12"/>
  <c r="Y312" i="20" s="1"/>
  <c r="R20" i="12"/>
  <c r="M312" i="20" s="1"/>
  <c r="AC20" i="12"/>
  <c r="X312" i="20" s="1"/>
  <c r="Q20" i="12"/>
  <c r="L312" i="20" s="1"/>
  <c r="AB20" i="12"/>
  <c r="W312" i="20" s="1"/>
  <c r="P20" i="12"/>
  <c r="K312" i="20" s="1"/>
  <c r="AA20" i="12"/>
  <c r="V312" i="20" s="1"/>
  <c r="O20" i="12"/>
  <c r="J312" i="20" s="1"/>
  <c r="Z20" i="12"/>
  <c r="U312" i="20" s="1"/>
  <c r="N20" i="12"/>
  <c r="I312" i="20" s="1"/>
  <c r="Y20" i="12"/>
  <c r="T312" i="20" s="1"/>
  <c r="M20" i="12"/>
  <c r="H312" i="20" s="1"/>
  <c r="AI20" i="12"/>
  <c r="AD312" i="20" s="1"/>
  <c r="W20" i="12"/>
  <c r="R312" i="20" s="1"/>
  <c r="K20" i="12"/>
  <c r="F312" i="20" s="1"/>
  <c r="S20" i="12"/>
  <c r="N312" i="20" s="1"/>
  <c r="L20" i="12"/>
  <c r="G312" i="20" s="1"/>
  <c r="J20" i="12"/>
  <c r="E312" i="20" s="1"/>
  <c r="AJ20" i="12"/>
  <c r="AE312" i="20" s="1"/>
  <c r="I20" i="12"/>
  <c r="D312" i="20" s="1"/>
  <c r="AH20" i="12"/>
  <c r="AC312" i="20" s="1"/>
  <c r="H20" i="12"/>
  <c r="C312" i="20" s="1"/>
  <c r="AG20" i="12"/>
  <c r="AB312" i="20" s="1"/>
  <c r="G20" i="12"/>
  <c r="B312" i="20" s="1"/>
  <c r="AF20" i="12"/>
  <c r="AA312" i="20" s="1"/>
  <c r="AE20" i="12"/>
  <c r="Z312" i="20" s="1"/>
  <c r="X20" i="12"/>
  <c r="S312" i="20" s="1"/>
  <c r="U20" i="12"/>
  <c r="P312" i="20" s="1"/>
  <c r="T20" i="12"/>
  <c r="O312" i="20" s="1"/>
  <c r="V20" i="12"/>
  <c r="Q312" i="20" s="1"/>
  <c r="IR177" i="14"/>
  <c r="H66" i="9" s="1"/>
  <c r="AL66" i="9" s="1"/>
  <c r="C428" i="20" s="1"/>
  <c r="C426" i="20" s="1"/>
  <c r="JP77" i="14"/>
  <c r="JQ50" i="14"/>
  <c r="EX44" i="14"/>
  <c r="DT44" i="14" s="1"/>
  <c r="CK44" i="14"/>
  <c r="W40" i="43" s="1"/>
  <c r="BL44" i="14" a="1"/>
  <c r="BL44" i="14" s="1"/>
  <c r="EW79" i="14"/>
  <c r="DS79" i="14" s="1"/>
  <c r="BK79" i="14" a="1"/>
  <c r="BK79" i="14" s="1"/>
  <c r="CJ79" i="14"/>
  <c r="V75" i="43" s="1"/>
  <c r="AB66" i="12"/>
  <c r="W409" i="20" s="1"/>
  <c r="W408" i="20" s="1"/>
  <c r="P66" i="12"/>
  <c r="K409" i="20" s="1"/>
  <c r="K408" i="20" s="1"/>
  <c r="AA66" i="12"/>
  <c r="V409" i="20" s="1"/>
  <c r="V408" i="20" s="1"/>
  <c r="O66" i="12"/>
  <c r="J409" i="20" s="1"/>
  <c r="J408" i="20" s="1"/>
  <c r="Z66" i="12"/>
  <c r="U409" i="20" s="1"/>
  <c r="U408" i="20" s="1"/>
  <c r="N66" i="12"/>
  <c r="I409" i="20" s="1"/>
  <c r="I408" i="20" s="1"/>
  <c r="Y66" i="12"/>
  <c r="T409" i="20" s="1"/>
  <c r="T408" i="20" s="1"/>
  <c r="M66" i="12"/>
  <c r="H409" i="20" s="1"/>
  <c r="H408" i="20" s="1"/>
  <c r="AJ66" i="12"/>
  <c r="AE409" i="20" s="1"/>
  <c r="AE408" i="20" s="1"/>
  <c r="X66" i="12"/>
  <c r="S409" i="20" s="1"/>
  <c r="S408" i="20" s="1"/>
  <c r="L66" i="12"/>
  <c r="G409" i="20" s="1"/>
  <c r="G408" i="20" s="1"/>
  <c r="AI66" i="12"/>
  <c r="AD409" i="20" s="1"/>
  <c r="AD408" i="20" s="1"/>
  <c r="W66" i="12"/>
  <c r="R409" i="20" s="1"/>
  <c r="R408" i="20" s="1"/>
  <c r="K66" i="12"/>
  <c r="F409" i="20" s="1"/>
  <c r="F408" i="20" s="1"/>
  <c r="AG66" i="12"/>
  <c r="AB409" i="20" s="1"/>
  <c r="AB408" i="20" s="1"/>
  <c r="U66" i="12"/>
  <c r="P409" i="20" s="1"/>
  <c r="P408" i="20" s="1"/>
  <c r="I66" i="12"/>
  <c r="D409" i="20" s="1"/>
  <c r="D408" i="20" s="1"/>
  <c r="AC66" i="12"/>
  <c r="X409" i="20" s="1"/>
  <c r="X408" i="20" s="1"/>
  <c r="V66" i="12"/>
  <c r="Q409" i="20" s="1"/>
  <c r="Q408" i="20" s="1"/>
  <c r="T66" i="12"/>
  <c r="O409" i="20" s="1"/>
  <c r="O408" i="20" s="1"/>
  <c r="S66" i="12"/>
  <c r="N409" i="20" s="1"/>
  <c r="N408" i="20" s="1"/>
  <c r="R66" i="12"/>
  <c r="M409" i="20" s="1"/>
  <c r="M408" i="20" s="1"/>
  <c r="Q66" i="12"/>
  <c r="L409" i="20" s="1"/>
  <c r="L408" i="20" s="1"/>
  <c r="J66" i="12"/>
  <c r="E409" i="20" s="1"/>
  <c r="E408" i="20" s="1"/>
  <c r="H66" i="12"/>
  <c r="C409" i="20" s="1"/>
  <c r="C408" i="20" s="1"/>
  <c r="AH66" i="12"/>
  <c r="AC409" i="20" s="1"/>
  <c r="AC408" i="20" s="1"/>
  <c r="G66" i="12"/>
  <c r="B409" i="20" s="1"/>
  <c r="B408" i="20" s="1"/>
  <c r="AF66" i="12"/>
  <c r="AA409" i="20" s="1"/>
  <c r="AA408" i="20" s="1"/>
  <c r="AE66" i="12"/>
  <c r="Z409" i="20" s="1"/>
  <c r="Z408" i="20" s="1"/>
  <c r="AD66" i="12"/>
  <c r="Y409" i="20" s="1"/>
  <c r="Y408" i="20" s="1"/>
  <c r="JR61" i="14"/>
  <c r="AD97" i="20"/>
  <c r="J401" i="20"/>
  <c r="J14" i="20"/>
  <c r="I448" i="20"/>
  <c r="I447" i="20" s="1"/>
  <c r="E57" i="16"/>
  <c r="E55" i="16"/>
  <c r="E53" i="16"/>
  <c r="E56" i="16"/>
  <c r="E54" i="16"/>
  <c r="H7" i="9"/>
  <c r="AL7" i="9" s="1"/>
  <c r="C84" i="3"/>
  <c r="D19" i="5" s="1"/>
  <c r="D20" i="6" s="1"/>
  <c r="C75" i="3"/>
  <c r="D10" i="5" s="1"/>
  <c r="C89" i="3"/>
  <c r="D24" i="5" s="1"/>
  <c r="C81" i="3"/>
  <c r="D16" i="5" s="1"/>
  <c r="C73" i="3"/>
  <c r="D8" i="5" s="1"/>
  <c r="C83" i="3"/>
  <c r="D18" i="5" s="1"/>
  <c r="C76" i="3"/>
  <c r="D11" i="5" s="1"/>
  <c r="C88" i="3"/>
  <c r="D23" i="5" s="1"/>
  <c r="C74" i="3"/>
  <c r="D9" i="5" s="1"/>
  <c r="C80" i="3"/>
  <c r="D15" i="5" s="1"/>
  <c r="C82" i="3"/>
  <c r="D17" i="5" s="1"/>
  <c r="C87" i="3"/>
  <c r="D22" i="5" s="1"/>
  <c r="C77" i="3"/>
  <c r="D12" i="5" s="1"/>
  <c r="D13" i="6" s="1"/>
  <c r="C86" i="3"/>
  <c r="D21" i="5" s="1"/>
  <c r="C78" i="3"/>
  <c r="D13" i="5" s="1"/>
  <c r="D14" i="6" s="1"/>
  <c r="C85" i="3"/>
  <c r="D20" i="5" s="1"/>
  <c r="D21" i="6" s="1"/>
  <c r="C71" i="3"/>
  <c r="C90" i="3"/>
  <c r="D25" i="5" s="1"/>
  <c r="C72" i="3"/>
  <c r="D7" i="5" s="1"/>
  <c r="C79" i="3"/>
  <c r="D14" i="5" s="1"/>
  <c r="D15" i="6" s="1"/>
  <c r="N22" i="20"/>
  <c r="JL67" i="14"/>
  <c r="JM58" i="14"/>
  <c r="P173" i="20"/>
  <c r="P166" i="20" s="1"/>
  <c r="JM8" i="14"/>
  <c r="AD246" i="20"/>
  <c r="CO68" i="14"/>
  <c r="AA64" i="43" s="1"/>
  <c r="AI64" i="43" s="1"/>
  <c r="JT68" i="14"/>
  <c r="JQ68" i="14"/>
  <c r="JP68" i="14"/>
  <c r="JM68" i="14"/>
  <c r="JS68" i="14"/>
  <c r="JO68" i="14"/>
  <c r="JR68" i="14"/>
  <c r="G101" i="3"/>
  <c r="F151" i="3"/>
  <c r="F126" i="3"/>
  <c r="F48" i="3" s="1"/>
  <c r="JQ9" i="14"/>
  <c r="JT48" i="14"/>
  <c r="AD44" i="12"/>
  <c r="R44" i="12"/>
  <c r="AC44" i="12"/>
  <c r="Q44" i="12"/>
  <c r="AB44" i="12"/>
  <c r="P44" i="12"/>
  <c r="AA44" i="12"/>
  <c r="O44" i="12"/>
  <c r="Z44" i="12"/>
  <c r="N44" i="12"/>
  <c r="Y44" i="12"/>
  <c r="M44" i="12"/>
  <c r="AI44" i="12"/>
  <c r="W44" i="12"/>
  <c r="K44" i="12"/>
  <c r="U44" i="12"/>
  <c r="T44" i="12"/>
  <c r="S44" i="12"/>
  <c r="L44" i="12"/>
  <c r="J44" i="12"/>
  <c r="AJ44" i="12"/>
  <c r="I44" i="12"/>
  <c r="AH44" i="12"/>
  <c r="H44" i="12"/>
  <c r="AG44" i="12"/>
  <c r="G44" i="12"/>
  <c r="AF44" i="12"/>
  <c r="AE44" i="12"/>
  <c r="X44" i="12"/>
  <c r="V44" i="12"/>
  <c r="EP10" i="14"/>
  <c r="DL10" i="14" s="1"/>
  <c r="CC10" i="14"/>
  <c r="O6" i="43" s="1"/>
  <c r="BD10" i="14" a="1"/>
  <c r="BD10" i="14" s="1"/>
  <c r="JD10" i="14"/>
  <c r="AE171" i="20"/>
  <c r="AE166" i="20" s="1"/>
  <c r="N94" i="20"/>
  <c r="Z28" i="12"/>
  <c r="N28" i="12"/>
  <c r="Y28" i="12"/>
  <c r="M28" i="12"/>
  <c r="AJ28" i="12"/>
  <c r="X28" i="12"/>
  <c r="L28" i="12"/>
  <c r="AI28" i="12"/>
  <c r="W28" i="12"/>
  <c r="K28" i="12"/>
  <c r="AH28" i="12"/>
  <c r="V28" i="12"/>
  <c r="J28" i="12"/>
  <c r="AG28" i="12"/>
  <c r="U28" i="12"/>
  <c r="I28" i="12"/>
  <c r="AE28" i="12"/>
  <c r="S28" i="12"/>
  <c r="G28" i="12"/>
  <c r="AC28" i="12"/>
  <c r="AB28" i="12"/>
  <c r="AA28" i="12"/>
  <c r="T28" i="12"/>
  <c r="R28" i="12"/>
  <c r="Q28" i="12"/>
  <c r="P28" i="12"/>
  <c r="O28" i="12"/>
  <c r="H28" i="12"/>
  <c r="AF28" i="12"/>
  <c r="AD28" i="12"/>
  <c r="JS8" i="14"/>
  <c r="CQ10" i="14"/>
  <c r="AC6" i="43" s="1"/>
  <c r="BR10" i="14" a="1"/>
  <c r="BR10" i="14" s="1"/>
  <c r="CV10" i="14" s="1"/>
  <c r="AH6" i="43" s="1"/>
  <c r="FD10" i="14"/>
  <c r="DZ10" i="14" s="1"/>
  <c r="AB21" i="20"/>
  <c r="AB42" i="12"/>
  <c r="P42" i="12"/>
  <c r="AA42" i="12"/>
  <c r="O42" i="12"/>
  <c r="Z42" i="12"/>
  <c r="N42" i="12"/>
  <c r="Y42" i="12"/>
  <c r="M42" i="12"/>
  <c r="AJ42" i="12"/>
  <c r="X42" i="12"/>
  <c r="L42" i="12"/>
  <c r="AI42" i="12"/>
  <c r="W42" i="12"/>
  <c r="K42" i="12"/>
  <c r="AG42" i="12"/>
  <c r="U42" i="12"/>
  <c r="I42" i="12"/>
  <c r="T42" i="12"/>
  <c r="S42" i="12"/>
  <c r="R42" i="12"/>
  <c r="Q42" i="12"/>
  <c r="J42" i="12"/>
  <c r="H42" i="12"/>
  <c r="AH42" i="12"/>
  <c r="G42" i="12"/>
  <c r="AF42" i="12"/>
  <c r="AE42" i="12"/>
  <c r="V42" i="12"/>
  <c r="AD42" i="12"/>
  <c r="AC42" i="12"/>
  <c r="JR72" i="14"/>
  <c r="BG102" i="14" a="1"/>
  <c r="BG102" i="14" s="1"/>
  <c r="CH102" i="14"/>
  <c r="T98" i="43" s="1"/>
  <c r="ES102" i="14"/>
  <c r="DO102" i="14" s="1"/>
  <c r="AF22" i="12"/>
  <c r="T22" i="12"/>
  <c r="H22" i="12"/>
  <c r="AE22" i="12"/>
  <c r="S22" i="12"/>
  <c r="G22" i="12"/>
  <c r="AD22" i="12"/>
  <c r="R22" i="12"/>
  <c r="AC22" i="12"/>
  <c r="Q22" i="12"/>
  <c r="AB22" i="12"/>
  <c r="P22" i="12"/>
  <c r="AA22" i="12"/>
  <c r="O22" i="12"/>
  <c r="Y22" i="12"/>
  <c r="M22" i="12"/>
  <c r="V22" i="12"/>
  <c r="U22" i="12"/>
  <c r="N22" i="12"/>
  <c r="L22" i="12"/>
  <c r="K22" i="12"/>
  <c r="AJ22" i="12"/>
  <c r="J22" i="12"/>
  <c r="AI22" i="12"/>
  <c r="I22" i="12"/>
  <c r="AH22" i="12"/>
  <c r="AG22" i="12"/>
  <c r="Z22" i="12"/>
  <c r="X22" i="12"/>
  <c r="W22" i="12"/>
  <c r="U94" i="20"/>
  <c r="JR54" i="14"/>
  <c r="AJ50" i="12"/>
  <c r="X50" i="12"/>
  <c r="L50" i="12"/>
  <c r="AI50" i="12"/>
  <c r="W50" i="12"/>
  <c r="K50" i="12"/>
  <c r="AH50" i="12"/>
  <c r="V50" i="12"/>
  <c r="J50" i="12"/>
  <c r="AG50" i="12"/>
  <c r="U50" i="12"/>
  <c r="I50" i="12"/>
  <c r="AF50" i="12"/>
  <c r="T50" i="12"/>
  <c r="H50" i="12"/>
  <c r="AE50" i="12"/>
  <c r="S50" i="12"/>
  <c r="G50" i="12"/>
  <c r="AC50" i="12"/>
  <c r="Q50" i="12"/>
  <c r="R50" i="12"/>
  <c r="P50" i="12"/>
  <c r="O50" i="12"/>
  <c r="N50" i="12"/>
  <c r="M50" i="12"/>
  <c r="AD50" i="12"/>
  <c r="AB50" i="12"/>
  <c r="AA50" i="12"/>
  <c r="Z50" i="12"/>
  <c r="Y50" i="12"/>
  <c r="Y392" i="20"/>
  <c r="Y97" i="20"/>
  <c r="AJ26" i="12"/>
  <c r="X26" i="12"/>
  <c r="L26" i="12"/>
  <c r="AI26" i="12"/>
  <c r="W26" i="12"/>
  <c r="K26" i="12"/>
  <c r="AH26" i="12"/>
  <c r="V26" i="12"/>
  <c r="J26" i="12"/>
  <c r="AG26" i="12"/>
  <c r="U26" i="12"/>
  <c r="I26" i="12"/>
  <c r="AF26" i="12"/>
  <c r="T26" i="12"/>
  <c r="H26" i="12"/>
  <c r="AE26" i="12"/>
  <c r="S26" i="12"/>
  <c r="G26" i="12"/>
  <c r="AC26" i="12"/>
  <c r="Q26" i="12"/>
  <c r="O26" i="12"/>
  <c r="N26" i="12"/>
  <c r="M26" i="12"/>
  <c r="AD26" i="12"/>
  <c r="AB26" i="12"/>
  <c r="AA26" i="12"/>
  <c r="Z26" i="12"/>
  <c r="Y26" i="12"/>
  <c r="P26" i="12"/>
  <c r="R26" i="12"/>
  <c r="BE11" i="14" a="1"/>
  <c r="BE11" i="14" s="1"/>
  <c r="CD11" i="14"/>
  <c r="P7" i="43" s="1"/>
  <c r="EQ11" i="14"/>
  <c r="DM11" i="14" s="1"/>
  <c r="T246" i="20"/>
  <c r="JR58" i="14"/>
  <c r="EX10" i="14"/>
  <c r="DT10" i="14" s="1"/>
  <c r="BL10" i="14" a="1"/>
  <c r="BL10" i="14" s="1"/>
  <c r="CK10" i="14"/>
  <c r="W6" i="43" s="1"/>
  <c r="JQ54" i="14"/>
  <c r="AH12" i="12"/>
  <c r="V12" i="12"/>
  <c r="J12" i="12"/>
  <c r="AG12" i="12"/>
  <c r="U12" i="12"/>
  <c r="I12" i="12"/>
  <c r="AF12" i="12"/>
  <c r="T12" i="12"/>
  <c r="H12" i="12"/>
  <c r="AE12" i="12"/>
  <c r="S12" i="12"/>
  <c r="G12" i="12"/>
  <c r="AD12" i="12"/>
  <c r="R12" i="12"/>
  <c r="AC12" i="12"/>
  <c r="Q12" i="12"/>
  <c r="X12" i="12"/>
  <c r="W12" i="12"/>
  <c r="P12" i="12"/>
  <c r="O12" i="12"/>
  <c r="N12" i="12"/>
  <c r="M12" i="12"/>
  <c r="AJ12" i="12"/>
  <c r="L12" i="12"/>
  <c r="AI12" i="12"/>
  <c r="K12" i="12"/>
  <c r="AB12" i="12"/>
  <c r="AA12" i="12"/>
  <c r="Z12" i="12"/>
  <c r="Y12" i="12"/>
  <c r="O19" i="20"/>
  <c r="CP79" i="14"/>
  <c r="AB75" i="43" s="1"/>
  <c r="BQ79" i="14" a="1"/>
  <c r="BQ79" i="14" s="1"/>
  <c r="CU79" i="14" s="1"/>
  <c r="AG75" i="43" s="1"/>
  <c r="FC79" i="14"/>
  <c r="DY79" i="14" s="1"/>
  <c r="S46" i="20"/>
  <c r="N173" i="20"/>
  <c r="N166" i="20" s="1"/>
  <c r="F135" i="3"/>
  <c r="F57" i="3" s="1"/>
  <c r="G110" i="3"/>
  <c r="F160" i="3"/>
  <c r="JS67" i="14"/>
  <c r="BJ86" i="14" a="1"/>
  <c r="BJ86" i="14" s="1"/>
  <c r="CI86" i="14"/>
  <c r="U82" i="43" s="1"/>
  <c r="EV86" i="14"/>
  <c r="DR86" i="14" s="1"/>
  <c r="CF78" i="14"/>
  <c r="R74" i="43" s="1"/>
  <c r="BG78" i="14" a="1"/>
  <c r="BG78" i="14" s="1"/>
  <c r="ES78" i="14"/>
  <c r="DO78" i="14" s="1"/>
  <c r="Z392" i="20"/>
  <c r="CC86" i="14"/>
  <c r="O82" i="43" s="1"/>
  <c r="BD86" i="14" a="1"/>
  <c r="BD86" i="14" s="1"/>
  <c r="EP86" i="14"/>
  <c r="DL86" i="14" s="1"/>
  <c r="JD86" i="14"/>
  <c r="B392" i="20"/>
  <c r="T97" i="20"/>
  <c r="AE392" i="20"/>
  <c r="Q448" i="20"/>
  <c r="Q447" i="20" s="1"/>
  <c r="N21" i="20"/>
  <c r="Y21" i="20"/>
  <c r="L392" i="20"/>
  <c r="O97" i="20"/>
  <c r="JR77" i="14"/>
  <c r="G392" i="20"/>
  <c r="K392" i="20"/>
  <c r="D392" i="20"/>
  <c r="JT54" i="14"/>
  <c r="P151" i="20"/>
  <c r="AH36" i="12"/>
  <c r="V36" i="12"/>
  <c r="J36" i="12"/>
  <c r="AG36" i="12"/>
  <c r="U36" i="12"/>
  <c r="I36" i="12"/>
  <c r="AF36" i="12"/>
  <c r="T36" i="12"/>
  <c r="H36" i="12"/>
  <c r="AE36" i="12"/>
  <c r="S36" i="12"/>
  <c r="G36" i="12"/>
  <c r="AD36" i="12"/>
  <c r="R36" i="12"/>
  <c r="AC36" i="12"/>
  <c r="Q36" i="12"/>
  <c r="AA36" i="12"/>
  <c r="O36" i="12"/>
  <c r="P36" i="12"/>
  <c r="N36" i="12"/>
  <c r="M36" i="12"/>
  <c r="L36" i="12"/>
  <c r="K36" i="12"/>
  <c r="AJ36" i="12"/>
  <c r="AI36" i="12"/>
  <c r="AB36" i="12"/>
  <c r="Z36" i="12"/>
  <c r="X36" i="12"/>
  <c r="W36" i="12"/>
  <c r="Y36" i="12"/>
  <c r="JN47" i="14"/>
  <c r="G46" i="20"/>
  <c r="Z52" i="12"/>
  <c r="U141" i="20" s="1"/>
  <c r="N52" i="12"/>
  <c r="I141" i="20" s="1"/>
  <c r="Y52" i="12"/>
  <c r="T141" i="20" s="1"/>
  <c r="M52" i="12"/>
  <c r="H141" i="20" s="1"/>
  <c r="AJ52" i="12"/>
  <c r="X52" i="12"/>
  <c r="S141" i="20" s="1"/>
  <c r="L52" i="12"/>
  <c r="G141" i="20" s="1"/>
  <c r="AI52" i="12"/>
  <c r="W52" i="12"/>
  <c r="R141" i="20" s="1"/>
  <c r="K52" i="12"/>
  <c r="F141" i="20" s="1"/>
  <c r="AH52" i="12"/>
  <c r="AC141" i="20" s="1"/>
  <c r="V52" i="12"/>
  <c r="Q141" i="20" s="1"/>
  <c r="J52" i="12"/>
  <c r="E141" i="20" s="1"/>
  <c r="AG52" i="12"/>
  <c r="AB141" i="20" s="1"/>
  <c r="U52" i="12"/>
  <c r="P141" i="20" s="1"/>
  <c r="I52" i="12"/>
  <c r="D141" i="20" s="1"/>
  <c r="AE52" i="12"/>
  <c r="Z141" i="20" s="1"/>
  <c r="S52" i="12"/>
  <c r="N141" i="20" s="1"/>
  <c r="G52" i="12"/>
  <c r="B141" i="20" s="1"/>
  <c r="AF52" i="12"/>
  <c r="AA141" i="20" s="1"/>
  <c r="AD52" i="12"/>
  <c r="AC52" i="12"/>
  <c r="X141" i="20" s="1"/>
  <c r="AB52" i="12"/>
  <c r="W141" i="20" s="1"/>
  <c r="AA52" i="12"/>
  <c r="V141" i="20" s="1"/>
  <c r="T52" i="12"/>
  <c r="O141" i="20" s="1"/>
  <c r="R52" i="12"/>
  <c r="M141" i="20" s="1"/>
  <c r="Q52" i="12"/>
  <c r="L141" i="20" s="1"/>
  <c r="P52" i="12"/>
  <c r="K141" i="20" s="1"/>
  <c r="O52" i="12"/>
  <c r="J141" i="20" s="1"/>
  <c r="H52" i="12"/>
  <c r="C141" i="20" s="1"/>
  <c r="H111" i="3"/>
  <c r="G161" i="3"/>
  <c r="G136" i="3"/>
  <c r="G58" i="3" s="1"/>
  <c r="AI61" i="12"/>
  <c r="W61" i="12"/>
  <c r="K61" i="12"/>
  <c r="AH61" i="12"/>
  <c r="V61" i="12"/>
  <c r="J61" i="12"/>
  <c r="AG61" i="12"/>
  <c r="U61" i="12"/>
  <c r="I61" i="12"/>
  <c r="AF61" i="12"/>
  <c r="T61" i="12"/>
  <c r="H61" i="12"/>
  <c r="AE61" i="12"/>
  <c r="S61" i="12"/>
  <c r="G61" i="12"/>
  <c r="AD61" i="12"/>
  <c r="R61" i="12"/>
  <c r="AB61" i="12"/>
  <c r="P61" i="12"/>
  <c r="N61" i="12"/>
  <c r="M61" i="12"/>
  <c r="L61" i="12"/>
  <c r="AJ61" i="12"/>
  <c r="AC61" i="12"/>
  <c r="AA61" i="12"/>
  <c r="Z61" i="12"/>
  <c r="Y61" i="12"/>
  <c r="O61" i="12"/>
  <c r="X61" i="12"/>
  <c r="Q61" i="12"/>
  <c r="I392" i="20"/>
  <c r="J453" i="20"/>
  <c r="CN9" i="14"/>
  <c r="Z5" i="43" s="1"/>
  <c r="AI5" i="43" s="1"/>
  <c r="JN9" i="14"/>
  <c r="JP9" i="14"/>
  <c r="L284" i="20"/>
  <c r="JS77" i="14"/>
  <c r="CR61" i="14"/>
  <c r="AD57" i="43" s="1"/>
  <c r="AI57" i="43" s="1"/>
  <c r="JP61" i="14"/>
  <c r="JD78" i="14"/>
  <c r="JQ46" i="14"/>
  <c r="K448" i="20"/>
  <c r="K447" i="20" s="1"/>
  <c r="AC55" i="12"/>
  <c r="Q55" i="12"/>
  <c r="AB55" i="12"/>
  <c r="W160" i="20" s="1"/>
  <c r="P55" i="12"/>
  <c r="K160" i="20" s="1"/>
  <c r="AA55" i="12"/>
  <c r="O55" i="12"/>
  <c r="Z55" i="12"/>
  <c r="U160" i="20" s="1"/>
  <c r="N55" i="12"/>
  <c r="I160" i="20" s="1"/>
  <c r="Y55" i="12"/>
  <c r="T160" i="20" s="1"/>
  <c r="M55" i="12"/>
  <c r="AJ55" i="12"/>
  <c r="AE160" i="20" s="1"/>
  <c r="X55" i="12"/>
  <c r="S160" i="20" s="1"/>
  <c r="L55" i="12"/>
  <c r="AH55" i="12"/>
  <c r="AC160" i="20" s="1"/>
  <c r="V55" i="12"/>
  <c r="Q160" i="20" s="1"/>
  <c r="J55" i="12"/>
  <c r="W55" i="12"/>
  <c r="R160" i="20" s="1"/>
  <c r="U55" i="12"/>
  <c r="P160" i="20" s="1"/>
  <c r="T55" i="12"/>
  <c r="O160" i="20" s="1"/>
  <c r="S55" i="12"/>
  <c r="R55" i="12"/>
  <c r="M160" i="20" s="1"/>
  <c r="K55" i="12"/>
  <c r="F160" i="20" s="1"/>
  <c r="I55" i="12"/>
  <c r="D160" i="20" s="1"/>
  <c r="AI55" i="12"/>
  <c r="AD160" i="20" s="1"/>
  <c r="H55" i="12"/>
  <c r="AG55" i="12"/>
  <c r="G55" i="12"/>
  <c r="B160" i="20" s="1"/>
  <c r="AF55" i="12"/>
  <c r="AA160" i="20" s="1"/>
  <c r="AE55" i="12"/>
  <c r="Z160" i="20" s="1"/>
  <c r="AD55" i="12"/>
  <c r="Y160" i="20" s="1"/>
  <c r="AE94" i="20"/>
  <c r="L19" i="20"/>
  <c r="T173" i="20"/>
  <c r="T166" i="20" s="1"/>
  <c r="AG59" i="12"/>
  <c r="U59" i="12"/>
  <c r="I59" i="12"/>
  <c r="AF59" i="12"/>
  <c r="T59" i="12"/>
  <c r="H59" i="12"/>
  <c r="AE59" i="12"/>
  <c r="S59" i="12"/>
  <c r="G59" i="12"/>
  <c r="AD59" i="12"/>
  <c r="R59" i="12"/>
  <c r="AC59" i="12"/>
  <c r="Q59" i="12"/>
  <c r="AB59" i="12"/>
  <c r="P59" i="12"/>
  <c r="Z59" i="12"/>
  <c r="N59" i="12"/>
  <c r="AH59" i="12"/>
  <c r="AA59" i="12"/>
  <c r="Y59" i="12"/>
  <c r="X59" i="12"/>
  <c r="W59" i="12"/>
  <c r="V59" i="12"/>
  <c r="O59" i="12"/>
  <c r="M59" i="12"/>
  <c r="L59" i="12"/>
  <c r="K59" i="12"/>
  <c r="J59" i="12"/>
  <c r="AJ59" i="12"/>
  <c r="AI59" i="12"/>
  <c r="O21" i="20"/>
  <c r="AG35" i="12"/>
  <c r="U35" i="12"/>
  <c r="I35" i="12"/>
  <c r="AF35" i="12"/>
  <c r="T35" i="12"/>
  <c r="H35" i="12"/>
  <c r="AE35" i="12"/>
  <c r="S35" i="12"/>
  <c r="G35" i="12"/>
  <c r="AD35" i="12"/>
  <c r="R35" i="12"/>
  <c r="AC35" i="12"/>
  <c r="Q35" i="12"/>
  <c r="AB35" i="12"/>
  <c r="P35" i="12"/>
  <c r="Z35" i="12"/>
  <c r="N35" i="12"/>
  <c r="Y35" i="12"/>
  <c r="X35" i="12"/>
  <c r="W35" i="12"/>
  <c r="V35" i="12"/>
  <c r="O35" i="12"/>
  <c r="M35" i="12"/>
  <c r="L35" i="12"/>
  <c r="K35" i="12"/>
  <c r="AJ35" i="12"/>
  <c r="J35" i="12"/>
  <c r="AI35" i="12"/>
  <c r="AH35" i="12"/>
  <c r="AA35" i="12"/>
  <c r="G152" i="3"/>
  <c r="G127" i="3"/>
  <c r="G49" i="3" s="1"/>
  <c r="H102" i="3"/>
  <c r="BX179" i="14"/>
  <c r="G453" i="20"/>
  <c r="BY178" i="14"/>
  <c r="BY177" i="14"/>
  <c r="I25" i="21" s="1"/>
  <c r="I36" i="21" s="1"/>
  <c r="H302" i="20"/>
  <c r="H299" i="20" s="1"/>
  <c r="JO77" i="14"/>
  <c r="O151" i="20"/>
  <c r="T392" i="20"/>
  <c r="JR50" i="14"/>
  <c r="I14" i="20"/>
  <c r="JQ103" i="14"/>
  <c r="U46" i="20"/>
  <c r="AI49" i="12"/>
  <c r="W49" i="12"/>
  <c r="K49" i="12"/>
  <c r="AH49" i="12"/>
  <c r="V49" i="12"/>
  <c r="J49" i="12"/>
  <c r="AG49" i="12"/>
  <c r="U49" i="12"/>
  <c r="I49" i="12"/>
  <c r="AF49" i="12"/>
  <c r="T49" i="12"/>
  <c r="H49" i="12"/>
  <c r="AE49" i="12"/>
  <c r="Z122" i="20" s="1"/>
  <c r="S49" i="12"/>
  <c r="G49" i="12"/>
  <c r="AD49" i="12"/>
  <c r="R49" i="12"/>
  <c r="AB49" i="12"/>
  <c r="P49" i="12"/>
  <c r="Z49" i="12"/>
  <c r="Y49" i="12"/>
  <c r="X49" i="12"/>
  <c r="Q49" i="12"/>
  <c r="O49" i="12"/>
  <c r="N49" i="12"/>
  <c r="M49" i="12"/>
  <c r="L49" i="12"/>
  <c r="AJ49" i="12"/>
  <c r="AC49" i="12"/>
  <c r="AA49" i="12"/>
  <c r="CD79" i="14"/>
  <c r="P75" i="43" s="1"/>
  <c r="EQ79" i="14"/>
  <c r="DM79" i="14" s="1"/>
  <c r="BE79" i="14" a="1"/>
  <c r="BE79" i="14" s="1"/>
  <c r="JD79" i="14"/>
  <c r="JE79" i="14"/>
  <c r="AA392" i="20"/>
  <c r="F154" i="3"/>
  <c r="G104" i="3"/>
  <c r="F129" i="3"/>
  <c r="F51" i="3" s="1"/>
  <c r="JP67" i="14"/>
  <c r="G141" i="3"/>
  <c r="G63" i="3" s="1"/>
  <c r="G166" i="3"/>
  <c r="H116" i="3"/>
  <c r="B443" i="20"/>
  <c r="B441" i="20" s="1"/>
  <c r="J392" i="20"/>
  <c r="JQ49" i="14"/>
  <c r="IU177" i="14"/>
  <c r="K66" i="9" s="1"/>
  <c r="JM9" i="14"/>
  <c r="JT77" i="14"/>
  <c r="JB86" i="14"/>
  <c r="AA17" i="12"/>
  <c r="O17" i="12"/>
  <c r="Z17" i="12"/>
  <c r="N17" i="12"/>
  <c r="Y17" i="12"/>
  <c r="M17" i="12"/>
  <c r="AJ17" i="12"/>
  <c r="X17" i="12"/>
  <c r="L17" i="12"/>
  <c r="AI17" i="12"/>
  <c r="W17" i="12"/>
  <c r="K17" i="12"/>
  <c r="AH17" i="12"/>
  <c r="V17" i="12"/>
  <c r="J17" i="12"/>
  <c r="AF17" i="12"/>
  <c r="H17" i="12"/>
  <c r="AE17" i="12"/>
  <c r="G17" i="12"/>
  <c r="AD17" i="12"/>
  <c r="AC17" i="12"/>
  <c r="AB17" i="12"/>
  <c r="U17" i="12"/>
  <c r="T17" i="12"/>
  <c r="S17" i="12"/>
  <c r="R17" i="12"/>
  <c r="AG17" i="12"/>
  <c r="Q17" i="12"/>
  <c r="P17" i="12"/>
  <c r="I17" i="12"/>
  <c r="Y141" i="20"/>
  <c r="AD141" i="20"/>
  <c r="JL103" i="14"/>
  <c r="JT9" i="14"/>
  <c r="E174" i="3"/>
  <c r="F173" i="3"/>
  <c r="AD173" i="20"/>
  <c r="AD166" i="20" s="1"/>
  <c r="JL9" i="14"/>
  <c r="EK102" i="14"/>
  <c r="DG102" i="14" s="1"/>
  <c r="AY102" i="14" a="1"/>
  <c r="AY102" i="14" s="1"/>
  <c r="BZ102" i="14"/>
  <c r="L98" i="43" s="1"/>
  <c r="L108" i="43" s="1"/>
  <c r="IZ102" i="14"/>
  <c r="IX102" i="14"/>
  <c r="IY102" i="14"/>
  <c r="CO64" i="14"/>
  <c r="AA60" i="43" s="1"/>
  <c r="AI60" i="43" s="1"/>
  <c r="JO64" i="14"/>
  <c r="JO72" i="14"/>
  <c r="X97" i="20"/>
  <c r="EP78" i="14"/>
  <c r="DL78" i="14" s="1"/>
  <c r="CC78" i="14"/>
  <c r="O74" i="43" s="1"/>
  <c r="BD78" i="14" a="1"/>
  <c r="BD78" i="14" s="1"/>
  <c r="JA78" i="14"/>
  <c r="O56" i="20"/>
  <c r="O22" i="20"/>
  <c r="EW11" i="14"/>
  <c r="DS11" i="14" s="1"/>
  <c r="BK11" i="14" a="1"/>
  <c r="BK11" i="14" s="1"/>
  <c r="CJ11" i="14"/>
  <c r="V7" i="43" s="1"/>
  <c r="G133" i="3"/>
  <c r="G55" i="3" s="1"/>
  <c r="G158" i="3"/>
  <c r="H108" i="3"/>
  <c r="L123" i="3"/>
  <c r="K45" i="3"/>
  <c r="AE57" i="12"/>
  <c r="S57" i="12"/>
  <c r="G57" i="12"/>
  <c r="AD57" i="12"/>
  <c r="R57" i="12"/>
  <c r="AC57" i="12"/>
  <c r="Q57" i="12"/>
  <c r="AB57" i="12"/>
  <c r="P57" i="12"/>
  <c r="AA57" i="12"/>
  <c r="O57" i="12"/>
  <c r="Z57" i="12"/>
  <c r="N57" i="12"/>
  <c r="AJ57" i="12"/>
  <c r="X57" i="12"/>
  <c r="L57" i="12"/>
  <c r="W57" i="12"/>
  <c r="V57" i="12"/>
  <c r="U57" i="12"/>
  <c r="T57" i="12"/>
  <c r="M57" i="12"/>
  <c r="K57" i="12"/>
  <c r="J57" i="12"/>
  <c r="AI57" i="12"/>
  <c r="I57" i="12"/>
  <c r="AH57" i="12"/>
  <c r="H57" i="12"/>
  <c r="AF57" i="12"/>
  <c r="Y57" i="12"/>
  <c r="AG57" i="12"/>
  <c r="BY179" i="14"/>
  <c r="H453" i="20"/>
  <c r="EL102" i="14"/>
  <c r="DH102" i="14" s="1"/>
  <c r="AZ102" i="14" a="1"/>
  <c r="AZ102" i="14" s="1"/>
  <c r="CA102" i="14"/>
  <c r="M98" i="43" s="1"/>
  <c r="M108" i="43" s="1"/>
  <c r="AH24" i="12"/>
  <c r="V24" i="12"/>
  <c r="J24" i="12"/>
  <c r="AG24" i="12"/>
  <c r="U24" i="12"/>
  <c r="I24" i="12"/>
  <c r="AF24" i="12"/>
  <c r="T24" i="12"/>
  <c r="H24" i="12"/>
  <c r="AE24" i="12"/>
  <c r="S24" i="12"/>
  <c r="G24" i="12"/>
  <c r="AD24" i="12"/>
  <c r="R24" i="12"/>
  <c r="AC24" i="12"/>
  <c r="Q24" i="12"/>
  <c r="AA24" i="12"/>
  <c r="O24" i="12"/>
  <c r="AB24" i="12"/>
  <c r="Z24" i="12"/>
  <c r="Y24" i="12"/>
  <c r="X24" i="12"/>
  <c r="W24" i="12"/>
  <c r="P24" i="12"/>
  <c r="N24" i="12"/>
  <c r="M24" i="12"/>
  <c r="L24" i="12"/>
  <c r="AJ24" i="12"/>
  <c r="AI24" i="12"/>
  <c r="K24" i="12"/>
  <c r="CO76" i="14"/>
  <c r="AA72" i="43" s="1"/>
  <c r="AI72" i="43" s="1"/>
  <c r="JQ76" i="14"/>
  <c r="JP76" i="14"/>
  <c r="JO76" i="14"/>
  <c r="JR76" i="14"/>
  <c r="JS54" i="14"/>
  <c r="AB19" i="20"/>
  <c r="P56" i="20"/>
  <c r="JB79" i="14"/>
  <c r="JT62" i="14"/>
  <c r="CC11" i="14"/>
  <c r="O7" i="43" s="1"/>
  <c r="EP11" i="14"/>
  <c r="DL11" i="14" s="1"/>
  <c r="BD11" i="14" a="1"/>
  <c r="BD11" i="14" s="1"/>
  <c r="JB11" i="14"/>
  <c r="M448" i="20"/>
  <c r="M447" i="20" s="1"/>
  <c r="EV78" i="14"/>
  <c r="DR78" i="14" s="1"/>
  <c r="BJ78" i="14" a="1"/>
  <c r="BJ78" i="14" s="1"/>
  <c r="CI78" i="14"/>
  <c r="U74" i="43" s="1"/>
  <c r="T151" i="20"/>
  <c r="D190" i="3"/>
  <c r="D178" i="3"/>
  <c r="D191" i="3"/>
  <c r="D183" i="3"/>
  <c r="D175" i="3"/>
  <c r="D188" i="3"/>
  <c r="D180" i="3"/>
  <c r="D193" i="3"/>
  <c r="D177" i="3"/>
  <c r="D185" i="3"/>
  <c r="D182" i="3"/>
  <c r="D187" i="3"/>
  <c r="D179" i="3"/>
  <c r="D176" i="3"/>
  <c r="D194" i="3"/>
  <c r="D186" i="3"/>
  <c r="D70" i="3"/>
  <c r="D189" i="3"/>
  <c r="D181" i="3"/>
  <c r="D184" i="3"/>
  <c r="D192" i="3"/>
  <c r="CM46" i="14"/>
  <c r="Y42" i="43" s="1"/>
  <c r="AI42" i="43" s="1"/>
  <c r="JO46" i="14"/>
  <c r="JT46" i="14"/>
  <c r="JM46" i="14"/>
  <c r="JK46" i="14"/>
  <c r="JL46" i="14"/>
  <c r="JR46" i="14"/>
  <c r="AC31" i="12"/>
  <c r="Q31" i="12"/>
  <c r="AB31" i="12"/>
  <c r="P31" i="12"/>
  <c r="AA31" i="12"/>
  <c r="O31" i="12"/>
  <c r="Z31" i="12"/>
  <c r="N31" i="12"/>
  <c r="Y31" i="12"/>
  <c r="M31" i="12"/>
  <c r="AJ31" i="12"/>
  <c r="X31" i="12"/>
  <c r="L31" i="12"/>
  <c r="AH31" i="12"/>
  <c r="V31" i="12"/>
  <c r="J31" i="12"/>
  <c r="T31" i="12"/>
  <c r="S31" i="12"/>
  <c r="R31" i="12"/>
  <c r="K31" i="12"/>
  <c r="I31" i="12"/>
  <c r="AI31" i="12"/>
  <c r="H31" i="12"/>
  <c r="AG31" i="12"/>
  <c r="G31" i="12"/>
  <c r="AF31" i="12"/>
  <c r="AE31" i="12"/>
  <c r="W31" i="12"/>
  <c r="U31" i="12"/>
  <c r="AD31" i="12"/>
  <c r="EY86" i="14"/>
  <c r="DU86" i="14" s="1"/>
  <c r="CL86" i="14"/>
  <c r="X82" i="43" s="1"/>
  <c r="BM86" i="14" a="1"/>
  <c r="BM86" i="14" s="1"/>
  <c r="AC7" i="12"/>
  <c r="Q7" i="12"/>
  <c r="AB7" i="12"/>
  <c r="P7" i="12"/>
  <c r="AA7" i="12"/>
  <c r="O7" i="12"/>
  <c r="Z7" i="12"/>
  <c r="N7" i="12"/>
  <c r="Y7" i="12"/>
  <c r="M7" i="12"/>
  <c r="AJ7" i="12"/>
  <c r="X7" i="12"/>
  <c r="L7" i="12"/>
  <c r="W7" i="12"/>
  <c r="V7" i="12"/>
  <c r="U7" i="12"/>
  <c r="T7" i="12"/>
  <c r="S7" i="12"/>
  <c r="R7" i="12"/>
  <c r="AI7" i="12"/>
  <c r="K7" i="12"/>
  <c r="AH7" i="12"/>
  <c r="J7" i="12"/>
  <c r="AG7" i="12"/>
  <c r="I7" i="12"/>
  <c r="AF7" i="12"/>
  <c r="AE7" i="12"/>
  <c r="AD7" i="12"/>
  <c r="H7" i="12"/>
  <c r="G7" i="12"/>
  <c r="JP46" i="14"/>
  <c r="AD32" i="12"/>
  <c r="R32" i="12"/>
  <c r="AC32" i="12"/>
  <c r="Q32" i="12"/>
  <c r="AB32" i="12"/>
  <c r="P32" i="12"/>
  <c r="AA32" i="12"/>
  <c r="O32" i="12"/>
  <c r="Z32" i="12"/>
  <c r="N32" i="12"/>
  <c r="Y32" i="12"/>
  <c r="M32" i="12"/>
  <c r="AI32" i="12"/>
  <c r="W32" i="12"/>
  <c r="K32" i="12"/>
  <c r="AG32" i="12"/>
  <c r="G32" i="12"/>
  <c r="AF32" i="12"/>
  <c r="AE32" i="12"/>
  <c r="X32" i="12"/>
  <c r="V32" i="12"/>
  <c r="U32" i="12"/>
  <c r="T32" i="12"/>
  <c r="S32" i="12"/>
  <c r="L32" i="12"/>
  <c r="AH32" i="12"/>
  <c r="J32" i="12"/>
  <c r="I32" i="12"/>
  <c r="H32" i="12"/>
  <c r="AJ32" i="12"/>
  <c r="H434" i="20"/>
  <c r="H432" i="20" s="1"/>
  <c r="G160" i="20"/>
  <c r="JL62" i="14"/>
  <c r="E14" i="20"/>
  <c r="AH48" i="12"/>
  <c r="V48" i="12"/>
  <c r="J48" i="12"/>
  <c r="AG48" i="12"/>
  <c r="U48" i="12"/>
  <c r="I48" i="12"/>
  <c r="D122" i="20" s="1"/>
  <c r="AF48" i="12"/>
  <c r="T48" i="12"/>
  <c r="O122" i="20" s="1"/>
  <c r="H48" i="12"/>
  <c r="C122" i="20" s="1"/>
  <c r="AE48" i="12"/>
  <c r="S48" i="12"/>
  <c r="G48" i="12"/>
  <c r="AD48" i="12"/>
  <c r="R48" i="12"/>
  <c r="AC48" i="12"/>
  <c r="Q48" i="12"/>
  <c r="L122" i="20" s="1"/>
  <c r="AA48" i="12"/>
  <c r="O48" i="12"/>
  <c r="AJ48" i="12"/>
  <c r="AI48" i="12"/>
  <c r="AB48" i="12"/>
  <c r="Z48" i="12"/>
  <c r="U122" i="20" s="1"/>
  <c r="Y48" i="12"/>
  <c r="X48" i="12"/>
  <c r="S122" i="20" s="1"/>
  <c r="W48" i="12"/>
  <c r="P48" i="12"/>
  <c r="N48" i="12"/>
  <c r="I122" i="20" s="1"/>
  <c r="M48" i="12"/>
  <c r="L48" i="12"/>
  <c r="K48" i="12"/>
  <c r="AB46" i="20"/>
  <c r="P125" i="3"/>
  <c r="O47" i="3"/>
  <c r="M94" i="20"/>
  <c r="AE9" i="12"/>
  <c r="S9" i="12"/>
  <c r="G9" i="12"/>
  <c r="AD9" i="12"/>
  <c r="R9" i="12"/>
  <c r="AC9" i="12"/>
  <c r="Q9" i="12"/>
  <c r="AB9" i="12"/>
  <c r="P9" i="12"/>
  <c r="AA9" i="12"/>
  <c r="O9" i="12"/>
  <c r="Z9" i="12"/>
  <c r="N9" i="12"/>
  <c r="AJ9" i="12"/>
  <c r="L9" i="12"/>
  <c r="AI9" i="12"/>
  <c r="K9" i="12"/>
  <c r="AH9" i="12"/>
  <c r="J9" i="12"/>
  <c r="AG9" i="12"/>
  <c r="I9" i="12"/>
  <c r="AF9" i="12"/>
  <c r="H9" i="12"/>
  <c r="Y9" i="12"/>
  <c r="X9" i="12"/>
  <c r="W9" i="12"/>
  <c r="V9" i="12"/>
  <c r="U9" i="12"/>
  <c r="T9" i="12"/>
  <c r="M9" i="12"/>
  <c r="CM73" i="14"/>
  <c r="Y69" i="43" s="1"/>
  <c r="AI69" i="43" s="1"/>
  <c r="JO73" i="14"/>
  <c r="JN73" i="14"/>
  <c r="JP73" i="14"/>
  <c r="JL73" i="14"/>
  <c r="R19" i="20"/>
  <c r="JT72" i="14"/>
  <c r="JP103" i="14"/>
  <c r="O448" i="20"/>
  <c r="O447" i="20" s="1"/>
  <c r="JK67" i="14"/>
  <c r="JS46" i="14"/>
  <c r="JM48" i="14"/>
  <c r="JR48" i="14"/>
  <c r="N97" i="20"/>
  <c r="Y63" i="12"/>
  <c r="M63" i="12"/>
  <c r="AJ63" i="12"/>
  <c r="X63" i="12"/>
  <c r="L63" i="12"/>
  <c r="AI63" i="12"/>
  <c r="W63" i="12"/>
  <c r="K63" i="12"/>
  <c r="AH63" i="12"/>
  <c r="V63" i="12"/>
  <c r="J63" i="12"/>
  <c r="AG63" i="12"/>
  <c r="U63" i="12"/>
  <c r="I63" i="12"/>
  <c r="AF63" i="12"/>
  <c r="T63" i="12"/>
  <c r="H63" i="12"/>
  <c r="AD63" i="12"/>
  <c r="R63" i="12"/>
  <c r="AC63" i="12"/>
  <c r="AB63" i="12"/>
  <c r="AA63" i="12"/>
  <c r="Z63" i="12"/>
  <c r="S63" i="12"/>
  <c r="Q63" i="12"/>
  <c r="P63" i="12"/>
  <c r="O63" i="12"/>
  <c r="N63" i="12"/>
  <c r="AE63" i="12"/>
  <c r="G63" i="12"/>
  <c r="Y56" i="20"/>
  <c r="BF86" i="14" a="1"/>
  <c r="BF86" i="14" s="1"/>
  <c r="CE86" i="14"/>
  <c r="Q82" i="43" s="1"/>
  <c r="Q108" i="43" s="1"/>
  <c r="ER86" i="14"/>
  <c r="DN86" i="14" s="1"/>
  <c r="E392" i="20"/>
  <c r="AR5" i="9"/>
  <c r="O5" i="9"/>
  <c r="JO58" i="14"/>
  <c r="U265" i="20"/>
  <c r="JS61" i="14"/>
  <c r="AB30" i="12"/>
  <c r="P30" i="12"/>
  <c r="AA30" i="12"/>
  <c r="O30" i="12"/>
  <c r="Z30" i="12"/>
  <c r="N30" i="12"/>
  <c r="Y30" i="12"/>
  <c r="M30" i="12"/>
  <c r="AJ30" i="12"/>
  <c r="X30" i="12"/>
  <c r="L30" i="12"/>
  <c r="AI30" i="12"/>
  <c r="W30" i="12"/>
  <c r="K30" i="12"/>
  <c r="AG30" i="12"/>
  <c r="U30" i="12"/>
  <c r="I30" i="12"/>
  <c r="AF30" i="12"/>
  <c r="AE30" i="12"/>
  <c r="AD30" i="12"/>
  <c r="AC30" i="12"/>
  <c r="V30" i="12"/>
  <c r="T30" i="12"/>
  <c r="S30" i="12"/>
  <c r="R30" i="12"/>
  <c r="Q30" i="12"/>
  <c r="AH30" i="12"/>
  <c r="J30" i="12"/>
  <c r="H30" i="12"/>
  <c r="G30" i="12"/>
  <c r="F392" i="20"/>
  <c r="JS76" i="14"/>
  <c r="V124" i="3"/>
  <c r="U46" i="3"/>
  <c r="CQ79" i="14"/>
  <c r="AC75" i="43" s="1"/>
  <c r="BR79" i="14" a="1"/>
  <c r="BR79" i="14" s="1"/>
  <c r="CV79" i="14" s="1"/>
  <c r="AH75" i="43" s="1"/>
  <c r="FD79" i="14"/>
  <c r="DZ79" i="14" s="1"/>
  <c r="AE33" i="12"/>
  <c r="S33" i="12"/>
  <c r="G33" i="12"/>
  <c r="AD33" i="12"/>
  <c r="R33" i="12"/>
  <c r="AC33" i="12"/>
  <c r="Q33" i="12"/>
  <c r="AB33" i="12"/>
  <c r="P33" i="12"/>
  <c r="AA33" i="12"/>
  <c r="O33" i="12"/>
  <c r="Z33" i="12"/>
  <c r="N33" i="12"/>
  <c r="AJ33" i="12"/>
  <c r="X33" i="12"/>
  <c r="L33" i="12"/>
  <c r="U33" i="12"/>
  <c r="T33" i="12"/>
  <c r="M33" i="12"/>
  <c r="K33" i="12"/>
  <c r="J33" i="12"/>
  <c r="AI33" i="12"/>
  <c r="I33" i="12"/>
  <c r="AH33" i="12"/>
  <c r="H33" i="12"/>
  <c r="AG33" i="12"/>
  <c r="AF33" i="12"/>
  <c r="Y33" i="12"/>
  <c r="W33" i="12"/>
  <c r="V33" i="12"/>
  <c r="CN8" i="14"/>
  <c r="Z4" i="43" s="1"/>
  <c r="JT8" i="14"/>
  <c r="JQ8" i="14"/>
  <c r="JP8" i="14"/>
  <c r="JO8" i="14"/>
  <c r="JL8" i="14"/>
  <c r="Q392" i="20"/>
  <c r="IV177" i="14"/>
  <c r="L66" i="9" s="1"/>
  <c r="Z56" i="20"/>
  <c r="JR8" i="14"/>
  <c r="AF46" i="12"/>
  <c r="T46" i="12"/>
  <c r="H46" i="12"/>
  <c r="AE46" i="12"/>
  <c r="S46" i="12"/>
  <c r="G46" i="12"/>
  <c r="AD46" i="12"/>
  <c r="R46" i="12"/>
  <c r="AC46" i="12"/>
  <c r="Q46" i="12"/>
  <c r="AB46" i="12"/>
  <c r="P46" i="12"/>
  <c r="AA46" i="12"/>
  <c r="O46" i="12"/>
  <c r="Y46" i="12"/>
  <c r="M46" i="12"/>
  <c r="X46" i="12"/>
  <c r="W46" i="12"/>
  <c r="V46" i="12"/>
  <c r="U46" i="12"/>
  <c r="N46" i="12"/>
  <c r="L46" i="12"/>
  <c r="K46" i="12"/>
  <c r="AJ46" i="12"/>
  <c r="J46" i="12"/>
  <c r="AI46" i="12"/>
  <c r="I46" i="12"/>
  <c r="AH46" i="12"/>
  <c r="AG46" i="12"/>
  <c r="Z46" i="12"/>
  <c r="AE141" i="20"/>
  <c r="B448" i="20"/>
  <c r="B447" i="20" s="1"/>
  <c r="G448" i="20"/>
  <c r="G447" i="20" s="1"/>
  <c r="JS62" i="14"/>
  <c r="JT103" i="14"/>
  <c r="FB87" i="14"/>
  <c r="DX87" i="14" s="1"/>
  <c r="CO87" i="14"/>
  <c r="AA83" i="43" s="1"/>
  <c r="BP87" i="14" a="1"/>
  <c r="BP87" i="14" s="1"/>
  <c r="CT87" i="14" s="1"/>
  <c r="AF83" i="43" s="1"/>
  <c r="U151" i="20"/>
  <c r="FB10" i="14"/>
  <c r="DX10" i="14" s="1"/>
  <c r="CO10" i="14"/>
  <c r="AA6" i="43" s="1"/>
  <c r="BP10" i="14" a="1"/>
  <c r="BP10" i="14" s="1"/>
  <c r="CT10" i="14" s="1"/>
  <c r="AF6" i="43" s="1"/>
  <c r="D399" i="20"/>
  <c r="X392" i="20"/>
  <c r="K397" i="20"/>
  <c r="IS177" i="14"/>
  <c r="I66" i="9" s="1"/>
  <c r="AM66" i="9" s="1"/>
  <c r="D428" i="20" s="1"/>
  <c r="D426" i="20" s="1"/>
  <c r="P94" i="20"/>
  <c r="AE265" i="20"/>
  <c r="AE261" i="20" s="1"/>
  <c r="EP87" i="14"/>
  <c r="DL87" i="14" s="1"/>
  <c r="BD87" i="14" a="1"/>
  <c r="BD87" i="14" s="1"/>
  <c r="CC87" i="14"/>
  <c r="O83" i="43" s="1"/>
  <c r="AE45" i="12"/>
  <c r="S45" i="12"/>
  <c r="G45" i="12"/>
  <c r="AD45" i="12"/>
  <c r="R45" i="12"/>
  <c r="AC45" i="12"/>
  <c r="Q45" i="12"/>
  <c r="AB45" i="12"/>
  <c r="P45" i="12"/>
  <c r="AA45" i="12"/>
  <c r="O45" i="12"/>
  <c r="Z45" i="12"/>
  <c r="N45" i="12"/>
  <c r="AJ45" i="12"/>
  <c r="X45" i="12"/>
  <c r="L45" i="12"/>
  <c r="AI45" i="12"/>
  <c r="I45" i="12"/>
  <c r="AH45" i="12"/>
  <c r="H45" i="12"/>
  <c r="AG45" i="12"/>
  <c r="AF45" i="12"/>
  <c r="Y45" i="12"/>
  <c r="W45" i="12"/>
  <c r="V45" i="12"/>
  <c r="U45" i="12"/>
  <c r="T45" i="12"/>
  <c r="M45" i="12"/>
  <c r="K45" i="12"/>
  <c r="J45" i="12"/>
  <c r="IT177" i="14"/>
  <c r="J66" i="9" s="1"/>
  <c r="AN66" i="9" s="1"/>
  <c r="E428" i="20" s="1"/>
  <c r="E426" i="20" s="1"/>
  <c r="S392" i="20"/>
  <c r="JM73" i="14"/>
  <c r="H130" i="3" l="1"/>
  <c r="H52" i="3" s="1"/>
  <c r="H155" i="3"/>
  <c r="I105" i="3"/>
  <c r="J110" i="43"/>
  <c r="K110" i="43" s="1"/>
  <c r="L110" i="43" s="1"/>
  <c r="M110" i="43" s="1"/>
  <c r="N110" i="43" s="1"/>
  <c r="AI4" i="43"/>
  <c r="FD78" i="14"/>
  <c r="DZ78" i="14" s="1"/>
  <c r="T27" i="20"/>
  <c r="C43" i="5"/>
  <c r="C44" i="5"/>
  <c r="C37" i="5"/>
  <c r="AB242" i="20"/>
  <c r="Y223" i="20"/>
  <c r="O90" i="20"/>
  <c r="Q242" i="20"/>
  <c r="N223" i="20"/>
  <c r="AA90" i="20"/>
  <c r="AE52" i="20"/>
  <c r="U261" i="20"/>
  <c r="C394" i="20"/>
  <c r="H450" i="20"/>
  <c r="AD90" i="20"/>
  <c r="L242" i="20"/>
  <c r="R261" i="20"/>
  <c r="O223" i="20"/>
  <c r="T399" i="20"/>
  <c r="L261" i="20"/>
  <c r="AE90" i="20"/>
  <c r="AD261" i="20"/>
  <c r="AA399" i="20"/>
  <c r="F280" i="20"/>
  <c r="F394" i="20" s="1"/>
  <c r="P223" i="20"/>
  <c r="Z261" i="20"/>
  <c r="AA52" i="20"/>
  <c r="T261" i="20"/>
  <c r="AD52" i="20"/>
  <c r="R242" i="20"/>
  <c r="T52" i="20"/>
  <c r="U90" i="20"/>
  <c r="V52" i="20"/>
  <c r="AE242" i="20"/>
  <c r="S185" i="20"/>
  <c r="Q52" i="20"/>
  <c r="R185" i="20"/>
  <c r="X223" i="20"/>
  <c r="M90" i="20"/>
  <c r="O261" i="20"/>
  <c r="S242" i="20"/>
  <c r="Z90" i="20"/>
  <c r="U185" i="20"/>
  <c r="H280" i="20"/>
  <c r="AB223" i="20"/>
  <c r="H402" i="20"/>
  <c r="P242" i="20"/>
  <c r="G280" i="20"/>
  <c r="G394" i="20" s="1"/>
  <c r="X399" i="20"/>
  <c r="M261" i="20"/>
  <c r="U401" i="20"/>
  <c r="W185" i="20"/>
  <c r="N399" i="20"/>
  <c r="Z223" i="20"/>
  <c r="Y90" i="20"/>
  <c r="AE223" i="20"/>
  <c r="N397" i="20"/>
  <c r="G450" i="20"/>
  <c r="N242" i="20"/>
  <c r="Y261" i="20"/>
  <c r="W261" i="20"/>
  <c r="W242" i="20"/>
  <c r="R223" i="20"/>
  <c r="U223" i="20"/>
  <c r="F27" i="20"/>
  <c r="L448" i="20"/>
  <c r="L447" i="20" s="1"/>
  <c r="T448" i="20"/>
  <c r="T447" i="20" s="1"/>
  <c r="X185" i="20"/>
  <c r="L401" i="20"/>
  <c r="T223" i="20"/>
  <c r="S52" i="20"/>
  <c r="V185" i="20"/>
  <c r="V242" i="20"/>
  <c r="M242" i="20"/>
  <c r="N52" i="20"/>
  <c r="AC185" i="20"/>
  <c r="U52" i="20"/>
  <c r="R448" i="20"/>
  <c r="R447" i="20" s="1"/>
  <c r="H448" i="20"/>
  <c r="H447" i="20" s="1"/>
  <c r="M236" i="20"/>
  <c r="AE27" i="20"/>
  <c r="Z448" i="20"/>
  <c r="Z447" i="20" s="1"/>
  <c r="AC27" i="20"/>
  <c r="L27" i="20"/>
  <c r="N448" i="20"/>
  <c r="N447" i="20" s="1"/>
  <c r="M27" i="20"/>
  <c r="G27" i="20"/>
  <c r="N27" i="20"/>
  <c r="E236" i="20"/>
  <c r="Z27" i="20"/>
  <c r="R236" i="20"/>
  <c r="K122" i="20"/>
  <c r="Q122" i="20"/>
  <c r="H27" i="20"/>
  <c r="E160" i="20"/>
  <c r="H236" i="20"/>
  <c r="U236" i="20"/>
  <c r="T122" i="20"/>
  <c r="AD27" i="20"/>
  <c r="X27" i="20"/>
  <c r="Y27" i="20"/>
  <c r="AD236" i="20"/>
  <c r="AD122" i="20"/>
  <c r="B122" i="20"/>
  <c r="AB122" i="20"/>
  <c r="I27" i="20"/>
  <c r="AB27" i="20"/>
  <c r="H160" i="20"/>
  <c r="P90" i="20"/>
  <c r="AE401" i="20"/>
  <c r="AC223" i="20"/>
  <c r="T242" i="20"/>
  <c r="Q399" i="20"/>
  <c r="AC399" i="20"/>
  <c r="Q185" i="20"/>
  <c r="AC52" i="20"/>
  <c r="V261" i="20"/>
  <c r="AA242" i="20"/>
  <c r="AB185" i="20"/>
  <c r="L223" i="20"/>
  <c r="AE185" i="20"/>
  <c r="AA189" i="20"/>
  <c r="AA185" i="20" s="1"/>
  <c r="Y19" i="20"/>
  <c r="Y399" i="20" s="1"/>
  <c r="V401" i="20"/>
  <c r="U453" i="20"/>
  <c r="U302" i="20"/>
  <c r="U299" i="20" s="1"/>
  <c r="N454" i="20"/>
  <c r="N450" i="20" s="1"/>
  <c r="V19" i="20"/>
  <c r="J458" i="20"/>
  <c r="J450" i="20" s="1"/>
  <c r="Z284" i="20"/>
  <c r="X56" i="20"/>
  <c r="X52" i="20" s="1"/>
  <c r="Q90" i="20"/>
  <c r="U283" i="20"/>
  <c r="BZ178" i="14"/>
  <c r="Q283" i="20"/>
  <c r="AE284" i="20"/>
  <c r="R454" i="20"/>
  <c r="L454" i="20"/>
  <c r="Q458" i="20"/>
  <c r="AD242" i="20"/>
  <c r="Q284" i="20"/>
  <c r="Q398" i="20" s="1"/>
  <c r="P399" i="20"/>
  <c r="BR78" i="14" a="1"/>
  <c r="BR78" i="14" s="1"/>
  <c r="CV78" i="14" s="1"/>
  <c r="AH74" i="43" s="1"/>
  <c r="N185" i="20"/>
  <c r="U454" i="20"/>
  <c r="X37" i="20"/>
  <c r="X33" i="20" s="1"/>
  <c r="M302" i="20"/>
  <c r="M299" i="20" s="1"/>
  <c r="T284" i="20"/>
  <c r="T398" i="20" s="1"/>
  <c r="T454" i="20"/>
  <c r="Q22" i="20"/>
  <c r="Q14" i="20" s="1"/>
  <c r="V227" i="20"/>
  <c r="V223" i="20" s="1"/>
  <c r="T283" i="20"/>
  <c r="Y454" i="20"/>
  <c r="AD399" i="20"/>
  <c r="AD454" i="20"/>
  <c r="M283" i="20"/>
  <c r="S283" i="20"/>
  <c r="W18" i="20"/>
  <c r="L288" i="20"/>
  <c r="L280" i="20" s="1"/>
  <c r="N284" i="20"/>
  <c r="N398" i="20" s="1"/>
  <c r="P22" i="20"/>
  <c r="P14" i="20" s="1"/>
  <c r="S399" i="20"/>
  <c r="Z283" i="20"/>
  <c r="AC242" i="20"/>
  <c r="C64" i="8"/>
  <c r="C17" i="6"/>
  <c r="D262" i="17" s="1"/>
  <c r="BZ177" i="14"/>
  <c r="J25" i="21" s="1"/>
  <c r="J36" i="21" s="1"/>
  <c r="C72" i="8"/>
  <c r="C20" i="8"/>
  <c r="B313" i="20" s="1"/>
  <c r="C6" i="8"/>
  <c r="B47" i="20" s="1"/>
  <c r="C81" i="8"/>
  <c r="C39" i="5"/>
  <c r="C88" i="8"/>
  <c r="C79" i="8"/>
  <c r="C29" i="8"/>
  <c r="C25" i="6"/>
  <c r="G79" i="9" s="1"/>
  <c r="AK79" i="9" s="1"/>
  <c r="C45" i="8"/>
  <c r="C47" i="8"/>
  <c r="C22" i="8"/>
  <c r="C46" i="5"/>
  <c r="C70" i="8"/>
  <c r="C40" i="5"/>
  <c r="I288" i="20"/>
  <c r="I402" i="20" s="1"/>
  <c r="C34" i="5"/>
  <c r="C58" i="8"/>
  <c r="AA27" i="20"/>
  <c r="K27" i="20"/>
  <c r="D27" i="20"/>
  <c r="P27" i="20"/>
  <c r="W236" i="20"/>
  <c r="AE122" i="20"/>
  <c r="AA122" i="20"/>
  <c r="F122" i="20"/>
  <c r="J160" i="20"/>
  <c r="F236" i="20"/>
  <c r="G122" i="20"/>
  <c r="P122" i="20"/>
  <c r="V160" i="20"/>
  <c r="H122" i="20"/>
  <c r="Y236" i="20"/>
  <c r="J27" i="20"/>
  <c r="S236" i="20"/>
  <c r="B236" i="20"/>
  <c r="E122" i="20"/>
  <c r="U103" i="20"/>
  <c r="B103" i="20"/>
  <c r="AD198" i="20"/>
  <c r="R27" i="20"/>
  <c r="AB160" i="20"/>
  <c r="G236" i="20"/>
  <c r="Q236" i="20"/>
  <c r="I236" i="20"/>
  <c r="R122" i="20"/>
  <c r="Y122" i="20"/>
  <c r="AC122" i="20"/>
  <c r="H198" i="20"/>
  <c r="C160" i="20"/>
  <c r="FC11" i="14"/>
  <c r="DY11" i="14" s="1"/>
  <c r="BQ11" i="14" a="1"/>
  <c r="BQ11" i="14" s="1"/>
  <c r="CU11" i="14" s="1"/>
  <c r="AG7" i="43" s="1"/>
  <c r="C42" i="8"/>
  <c r="C67" i="8"/>
  <c r="C89" i="8"/>
  <c r="X160" i="20"/>
  <c r="F165" i="3"/>
  <c r="G115" i="3"/>
  <c r="F140" i="3"/>
  <c r="F62" i="3" s="1"/>
  <c r="M122" i="20"/>
  <c r="N236" i="20"/>
  <c r="N122" i="20"/>
  <c r="Q27" i="20"/>
  <c r="B27" i="20"/>
  <c r="Z236" i="20"/>
  <c r="L160" i="20"/>
  <c r="W122" i="20"/>
  <c r="S27" i="20"/>
  <c r="G167" i="3"/>
  <c r="H117" i="3"/>
  <c r="G142" i="3"/>
  <c r="G64" i="3" s="1"/>
  <c r="T236" i="20"/>
  <c r="V27" i="20"/>
  <c r="C27" i="20"/>
  <c r="AA198" i="20"/>
  <c r="O27" i="20"/>
  <c r="AB236" i="20"/>
  <c r="J122" i="20"/>
  <c r="B198" i="20"/>
  <c r="U27" i="20"/>
  <c r="V122" i="20"/>
  <c r="D198" i="20"/>
  <c r="L198" i="20"/>
  <c r="E27" i="20"/>
  <c r="S217" i="20"/>
  <c r="G162" i="3"/>
  <c r="H112" i="3"/>
  <c r="G137" i="3"/>
  <c r="G59" i="3" s="1"/>
  <c r="C236" i="20"/>
  <c r="W27" i="20"/>
  <c r="N160" i="20"/>
  <c r="D236" i="20"/>
  <c r="X122" i="20"/>
  <c r="O6" i="9"/>
  <c r="AR6" i="9"/>
  <c r="G198" i="20"/>
  <c r="Y198" i="20"/>
  <c r="B179" i="20"/>
  <c r="G179" i="20"/>
  <c r="C94" i="8"/>
  <c r="C84" i="8"/>
  <c r="C22" i="6"/>
  <c r="D267" i="17" s="1"/>
  <c r="C57" i="8"/>
  <c r="C45" i="5"/>
  <c r="C59" i="8"/>
  <c r="C33" i="8"/>
  <c r="C17" i="8"/>
  <c r="B256" i="20" s="1"/>
  <c r="B252" i="20"/>
  <c r="C11" i="6"/>
  <c r="D176" i="17" s="1"/>
  <c r="C39" i="8"/>
  <c r="C8" i="8"/>
  <c r="B85" i="20" s="1"/>
  <c r="C92" i="8"/>
  <c r="C26" i="6"/>
  <c r="D242" i="17" s="1"/>
  <c r="D204" i="17"/>
  <c r="C61" i="8"/>
  <c r="C73" i="8"/>
  <c r="C11" i="8"/>
  <c r="B142" i="20" s="1"/>
  <c r="C48" i="8"/>
  <c r="C86" i="8"/>
  <c r="C98" i="8"/>
  <c r="C36" i="8"/>
  <c r="M399" i="20"/>
  <c r="N155" i="20"/>
  <c r="N147" i="20" s="1"/>
  <c r="Y150" i="20"/>
  <c r="AD151" i="20"/>
  <c r="Y151" i="20"/>
  <c r="S90" i="20"/>
  <c r="C8" i="6"/>
  <c r="C32" i="8"/>
  <c r="C7" i="8"/>
  <c r="B66" i="20" s="1"/>
  <c r="C82" i="8"/>
  <c r="C55" i="8"/>
  <c r="C80" i="8"/>
  <c r="C33" i="5"/>
  <c r="C91" i="8"/>
  <c r="C42" i="5"/>
  <c r="C40" i="8"/>
  <c r="C96" i="8"/>
  <c r="C10" i="8"/>
  <c r="B123" i="20" s="1"/>
  <c r="C35" i="5"/>
  <c r="C12" i="6"/>
  <c r="D177" i="17" s="1"/>
  <c r="C34" i="8"/>
  <c r="C35" i="8"/>
  <c r="C21" i="8"/>
  <c r="B332" i="20" s="1"/>
  <c r="C18" i="6"/>
  <c r="G77" i="9" s="1"/>
  <c r="AK77" i="9" s="1"/>
  <c r="B220" i="20" s="1"/>
  <c r="C47" i="5"/>
  <c r="C85" i="8"/>
  <c r="C36" i="5"/>
  <c r="C46" i="8"/>
  <c r="C60" i="8"/>
  <c r="C71" i="8"/>
  <c r="C95" i="8"/>
  <c r="C15" i="8"/>
  <c r="B218" i="20" s="1"/>
  <c r="C65" i="8"/>
  <c r="C41" i="5"/>
  <c r="C12" i="8"/>
  <c r="B161" i="20" s="1"/>
  <c r="C38" i="5"/>
  <c r="C87" i="8"/>
  <c r="C37" i="8"/>
  <c r="C62" i="8"/>
  <c r="C68" i="8"/>
  <c r="C4" i="8"/>
  <c r="B9" i="20" s="1"/>
  <c r="C16" i="6"/>
  <c r="D181" i="17" s="1"/>
  <c r="C32" i="5"/>
  <c r="C30" i="5"/>
  <c r="C31" i="8"/>
  <c r="C7" i="6"/>
  <c r="C13" i="8"/>
  <c r="B180" i="20" s="1"/>
  <c r="C56" i="8"/>
  <c r="C38" i="8"/>
  <c r="D58" i="16"/>
  <c r="C93" i="8"/>
  <c r="C44" i="8"/>
  <c r="C18" i="8"/>
  <c r="B275" i="20" s="1"/>
  <c r="C66" i="8"/>
  <c r="C31" i="5"/>
  <c r="C69" i="8"/>
  <c r="D237" i="17"/>
  <c r="C16" i="8"/>
  <c r="B237" i="20" s="1"/>
  <c r="C30" i="8"/>
  <c r="C43" i="8"/>
  <c r="C41" i="8"/>
  <c r="R401" i="20"/>
  <c r="IX177" i="14"/>
  <c r="N66" i="9" s="1"/>
  <c r="AR66" i="9" s="1"/>
  <c r="I428" i="20" s="1"/>
  <c r="I426" i="20" s="1"/>
  <c r="T302" i="20"/>
  <c r="T299" i="20" s="1"/>
  <c r="S150" i="20"/>
  <c r="X150" i="20"/>
  <c r="W399" i="20"/>
  <c r="O397" i="20"/>
  <c r="L398" i="20"/>
  <c r="DI177" i="14"/>
  <c r="O26" i="21" s="1"/>
  <c r="E394" i="20"/>
  <c r="AB401" i="20"/>
  <c r="M147" i="20"/>
  <c r="H14" i="20"/>
  <c r="CI10" i="14"/>
  <c r="U6" i="43" s="1"/>
  <c r="BJ10" i="14" a="1"/>
  <c r="BJ10" i="14" s="1"/>
  <c r="BO10" i="14" s="1" a="1"/>
  <c r="BO10" i="14" s="1"/>
  <c r="CS10" i="14" s="1"/>
  <c r="AE6" i="43" s="1"/>
  <c r="CJ78" i="14"/>
  <c r="V74" i="43" s="1"/>
  <c r="M185" i="20"/>
  <c r="BK78" i="14" a="1"/>
  <c r="BK78" i="14" s="1"/>
  <c r="FB78" i="14" s="1"/>
  <c r="DX78" i="14" s="1"/>
  <c r="X90" i="20"/>
  <c r="M453" i="20"/>
  <c r="JH87" i="14"/>
  <c r="M401" i="20"/>
  <c r="G397" i="20"/>
  <c r="B394" i="20"/>
  <c r="AC401" i="20"/>
  <c r="D394" i="20"/>
  <c r="X246" i="20"/>
  <c r="X242" i="20" s="1"/>
  <c r="Q401" i="20"/>
  <c r="JJ79" i="14"/>
  <c r="AP66" i="9"/>
  <c r="G428" i="20" s="1"/>
  <c r="G426" i="20" s="1"/>
  <c r="M284" i="20"/>
  <c r="M398" i="20" s="1"/>
  <c r="L155" i="20"/>
  <c r="V171" i="20"/>
  <c r="V166" i="20" s="1"/>
  <c r="F92" i="9"/>
  <c r="M22" i="20"/>
  <c r="M14" i="20" s="1"/>
  <c r="JG78" i="14"/>
  <c r="JF87" i="14"/>
  <c r="JF11" i="14"/>
  <c r="EV87" i="14"/>
  <c r="DR87" i="14" s="1"/>
  <c r="CI87" i="14"/>
  <c r="U83" i="43" s="1"/>
  <c r="BJ87" i="14" a="1"/>
  <c r="BJ87" i="14" s="1"/>
  <c r="CL44" i="14"/>
  <c r="X40" i="43" s="1"/>
  <c r="EY44" i="14"/>
  <c r="DU44" i="14" s="1"/>
  <c r="BM44" i="14" a="1"/>
  <c r="BM44" i="14" s="1"/>
  <c r="T401" i="20"/>
  <c r="M166" i="20"/>
  <c r="JB102" i="14"/>
  <c r="T90" i="20"/>
  <c r="W166" i="20"/>
  <c r="P401" i="20"/>
  <c r="DH177" i="14"/>
  <c r="N26" i="21" s="1"/>
  <c r="AC90" i="20"/>
  <c r="Z401" i="20"/>
  <c r="AO66" i="9"/>
  <c r="F428" i="20" s="1"/>
  <c r="F426" i="20" s="1"/>
  <c r="JG10" i="14"/>
  <c r="W401" i="20"/>
  <c r="O401" i="20"/>
  <c r="IY177" i="14"/>
  <c r="O66" i="9" s="1"/>
  <c r="AS66" i="9" s="1"/>
  <c r="J428" i="20" s="1"/>
  <c r="J426" i="20" s="1"/>
  <c r="U398" i="20"/>
  <c r="IZ177" i="14"/>
  <c r="P66" i="9" s="1"/>
  <c r="AT66" i="9" s="1"/>
  <c r="K428" i="20" s="1"/>
  <c r="K426" i="20" s="1"/>
  <c r="JA102" i="14"/>
  <c r="JA177" i="14" s="1"/>
  <c r="Q66" i="9" s="1"/>
  <c r="AU66" i="9" s="1"/>
  <c r="L428" i="20" s="1"/>
  <c r="L426" i="20" s="1"/>
  <c r="Y401" i="20"/>
  <c r="S401" i="20"/>
  <c r="JG11" i="14"/>
  <c r="Q122" i="12"/>
  <c r="Q123" i="12"/>
  <c r="L84" i="20"/>
  <c r="L302" i="20"/>
  <c r="L299" i="20" s="1"/>
  <c r="CC178" i="14"/>
  <c r="D6" i="5"/>
  <c r="C67" i="3"/>
  <c r="D9" i="6"/>
  <c r="D31" i="8"/>
  <c r="D81" i="8"/>
  <c r="D56" i="8"/>
  <c r="D6" i="8"/>
  <c r="C47" i="20" s="1"/>
  <c r="D32" i="5"/>
  <c r="AC255" i="20"/>
  <c r="S255" i="20"/>
  <c r="B255" i="20"/>
  <c r="I107" i="3"/>
  <c r="H132" i="3"/>
  <c r="H54" i="3" s="1"/>
  <c r="H157" i="3"/>
  <c r="Y217" i="20"/>
  <c r="G217" i="20"/>
  <c r="J134" i="3"/>
  <c r="J56" i="3" s="1"/>
  <c r="K109" i="3"/>
  <c r="J159" i="3"/>
  <c r="CO44" i="14"/>
  <c r="AA40" i="43" s="1"/>
  <c r="FB44" i="14"/>
  <c r="DX44" i="14" s="1"/>
  <c r="BP44" i="14" a="1"/>
  <c r="BP44" i="14" s="1"/>
  <c r="CT44" i="14" s="1"/>
  <c r="AF40" i="43" s="1"/>
  <c r="R151" i="20"/>
  <c r="AE274" i="20"/>
  <c r="N274" i="20"/>
  <c r="R274" i="20"/>
  <c r="X8" i="20"/>
  <c r="E8" i="20"/>
  <c r="JG87" i="14"/>
  <c r="JI87" i="14"/>
  <c r="AI125" i="12"/>
  <c r="AD406" i="20"/>
  <c r="O453" i="20"/>
  <c r="L122" i="12"/>
  <c r="L123" i="12"/>
  <c r="G84" i="20"/>
  <c r="J125" i="12"/>
  <c r="E406" i="20"/>
  <c r="O125" i="12"/>
  <c r="J406" i="20"/>
  <c r="AD401" i="20"/>
  <c r="EV102" i="14"/>
  <c r="DR102" i="14" s="1"/>
  <c r="CK102" i="14"/>
  <c r="W98" i="43" s="1"/>
  <c r="BJ102" i="14" a="1"/>
  <c r="BJ102" i="14" s="1"/>
  <c r="Y179" i="20"/>
  <c r="N179" i="20"/>
  <c r="S179" i="20"/>
  <c r="D68" i="8"/>
  <c r="D43" i="8"/>
  <c r="D93" i="8"/>
  <c r="D18" i="8"/>
  <c r="C275" i="20" s="1"/>
  <c r="D44" i="5"/>
  <c r="D17" i="6"/>
  <c r="D40" i="5"/>
  <c r="D14" i="8"/>
  <c r="C199" i="20" s="1"/>
  <c r="D39" i="8"/>
  <c r="D89" i="8"/>
  <c r="D64" i="8"/>
  <c r="H153" i="3"/>
  <c r="H128" i="3"/>
  <c r="H50" i="3" s="1"/>
  <c r="I103" i="3"/>
  <c r="CQ11" i="14"/>
  <c r="AC7" i="43" s="1"/>
  <c r="BR11" i="14" a="1"/>
  <c r="BR11" i="14" s="1"/>
  <c r="CV11" i="14" s="1"/>
  <c r="AH7" i="43" s="1"/>
  <c r="FD11" i="14"/>
  <c r="DZ11" i="14" s="1"/>
  <c r="EX87" i="14"/>
  <c r="DT87" i="14" s="1"/>
  <c r="BL87" i="14" a="1"/>
  <c r="BL87" i="14" s="1"/>
  <c r="CK87" i="14"/>
  <c r="W83" i="43" s="1"/>
  <c r="AD255" i="20"/>
  <c r="AE255" i="20"/>
  <c r="N255" i="20"/>
  <c r="Z217" i="20"/>
  <c r="DL177" i="14"/>
  <c r="R26" i="21" s="1"/>
  <c r="V103" i="20"/>
  <c r="N103" i="20"/>
  <c r="G274" i="20"/>
  <c r="Z274" i="20"/>
  <c r="AD274" i="20"/>
  <c r="Y8" i="20"/>
  <c r="Q8" i="20"/>
  <c r="I123" i="12"/>
  <c r="I122" i="12"/>
  <c r="D84" i="20"/>
  <c r="D254" i="17"/>
  <c r="D174" i="17"/>
  <c r="D225" i="17"/>
  <c r="D199" i="17"/>
  <c r="G71" i="9"/>
  <c r="AK71" i="9" s="1"/>
  <c r="B49" i="20" s="1"/>
  <c r="B43" i="20"/>
  <c r="J236" i="20"/>
  <c r="Z52" i="20"/>
  <c r="W94" i="20"/>
  <c r="W90" i="20" s="1"/>
  <c r="EW86" i="14"/>
  <c r="DS86" i="14" s="1"/>
  <c r="BK86" i="14" a="1"/>
  <c r="BK86" i="14" s="1"/>
  <c r="CJ86" i="14"/>
  <c r="V82" i="43" s="1"/>
  <c r="S302" i="20"/>
  <c r="S299" i="20" s="1"/>
  <c r="O198" i="20"/>
  <c r="T198" i="20"/>
  <c r="AG122" i="12"/>
  <c r="AG123" i="12"/>
  <c r="AB84" i="20"/>
  <c r="X122" i="12"/>
  <c r="X123" i="12"/>
  <c r="S84" i="20"/>
  <c r="F406" i="20"/>
  <c r="K125" i="12"/>
  <c r="AA125" i="12"/>
  <c r="V406" i="20"/>
  <c r="H166" i="3"/>
  <c r="I116" i="3"/>
  <c r="H141" i="3"/>
  <c r="H63" i="3" s="1"/>
  <c r="JJ87" i="14"/>
  <c r="JI11" i="14"/>
  <c r="Z453" i="20"/>
  <c r="AA179" i="20"/>
  <c r="Z179" i="20"/>
  <c r="AE179" i="20"/>
  <c r="D37" i="5"/>
  <c r="D36" i="8"/>
  <c r="D61" i="8"/>
  <c r="D86" i="8"/>
  <c r="D11" i="8"/>
  <c r="C142" i="20" s="1"/>
  <c r="D25" i="6"/>
  <c r="D72" i="8"/>
  <c r="D47" i="8"/>
  <c r="D22" i="8"/>
  <c r="D97" i="8"/>
  <c r="C443" i="20"/>
  <c r="C441" i="20" s="1"/>
  <c r="D189" i="17"/>
  <c r="D240" i="17"/>
  <c r="D269" i="17"/>
  <c r="D214" i="17"/>
  <c r="G82" i="9"/>
  <c r="AK82" i="9" s="1"/>
  <c r="B334" i="20" s="1"/>
  <c r="B328" i="20"/>
  <c r="C40" i="6"/>
  <c r="F255" i="20"/>
  <c r="I255" i="20"/>
  <c r="Z255" i="20"/>
  <c r="G138" i="3"/>
  <c r="G60" i="3" s="1"/>
  <c r="G163" i="3"/>
  <c r="H113" i="3"/>
  <c r="AB217" i="20"/>
  <c r="AE217" i="20"/>
  <c r="K288" i="20"/>
  <c r="CB178" i="14"/>
  <c r="CB177" i="14"/>
  <c r="L25" i="21" s="1"/>
  <c r="L36" i="21" s="1"/>
  <c r="E103" i="20"/>
  <c r="Z103" i="20"/>
  <c r="CE179" i="14"/>
  <c r="H274" i="20"/>
  <c r="C274" i="20"/>
  <c r="B8" i="20"/>
  <c r="AC8" i="20"/>
  <c r="DG177" i="14"/>
  <c r="M26" i="21" s="1"/>
  <c r="AA236" i="20"/>
  <c r="V236" i="20"/>
  <c r="CH87" i="14"/>
  <c r="T83" i="43" s="1"/>
  <c r="BI87" i="14" a="1"/>
  <c r="BI87" i="14" s="1"/>
  <c r="EU87" i="14"/>
  <c r="DQ87" i="14" s="1"/>
  <c r="Y52" i="20"/>
  <c r="P198" i="20"/>
  <c r="I198" i="20"/>
  <c r="J122" i="12"/>
  <c r="J123" i="12"/>
  <c r="E84" i="20"/>
  <c r="AJ123" i="12"/>
  <c r="AJ122" i="12"/>
  <c r="AE84" i="20"/>
  <c r="FD86" i="14"/>
  <c r="DZ86" i="14" s="1"/>
  <c r="CQ86" i="14"/>
  <c r="AC82" i="43" s="1"/>
  <c r="BR86" i="14" a="1"/>
  <c r="BR86" i="14" s="1"/>
  <c r="CV86" i="14" s="1"/>
  <c r="AH82" i="43" s="1"/>
  <c r="M125" i="12"/>
  <c r="H406" i="20"/>
  <c r="K406" i="20"/>
  <c r="P125" i="12"/>
  <c r="CH78" i="14"/>
  <c r="T74" i="43" s="1"/>
  <c r="EU78" i="14"/>
  <c r="DQ78" i="14" s="1"/>
  <c r="BI78" i="14" a="1"/>
  <c r="BI78" i="14" s="1"/>
  <c r="JJ78" i="14"/>
  <c r="JI78" i="14"/>
  <c r="G173" i="3"/>
  <c r="F174" i="3"/>
  <c r="EV79" i="14"/>
  <c r="DR79" i="14" s="1"/>
  <c r="BJ79" i="14" a="1"/>
  <c r="BJ79" i="14" s="1"/>
  <c r="CI79" i="14"/>
  <c r="U75" i="43" s="1"/>
  <c r="JG79" i="14"/>
  <c r="FA86" i="14"/>
  <c r="DW86" i="14" s="1"/>
  <c r="CN86" i="14"/>
  <c r="Z82" i="43" s="1"/>
  <c r="BO86" i="14" a="1"/>
  <c r="BO86" i="14" s="1"/>
  <c r="CS86" i="14" s="1"/>
  <c r="AE82" i="43" s="1"/>
  <c r="D235" i="17"/>
  <c r="D209" i="17"/>
  <c r="D264" i="17"/>
  <c r="D184" i="17"/>
  <c r="G78" i="9"/>
  <c r="AK78" i="9" s="1"/>
  <c r="B239" i="20" s="1"/>
  <c r="B233" i="20"/>
  <c r="C179" i="20"/>
  <c r="D179" i="20"/>
  <c r="H179" i="20"/>
  <c r="D22" i="6"/>
  <c r="D45" i="5"/>
  <c r="D19" i="8"/>
  <c r="C294" i="20" s="1"/>
  <c r="D69" i="8"/>
  <c r="D44" i="8"/>
  <c r="D94" i="8"/>
  <c r="D11" i="6"/>
  <c r="D83" i="8"/>
  <c r="D34" i="5"/>
  <c r="D33" i="8"/>
  <c r="D58" i="8"/>
  <c r="D8" i="8"/>
  <c r="C85" i="20" s="1"/>
  <c r="H255" i="20"/>
  <c r="U255" i="20"/>
  <c r="B217" i="20"/>
  <c r="C217" i="20"/>
  <c r="H217" i="20"/>
  <c r="G103" i="20"/>
  <c r="AC103" i="20"/>
  <c r="C103" i="20"/>
  <c r="I274" i="20"/>
  <c r="O274" i="20"/>
  <c r="Z8" i="20"/>
  <c r="F8" i="20"/>
  <c r="AA401" i="20"/>
  <c r="AF122" i="12"/>
  <c r="AF123" i="12"/>
  <c r="AA84" i="20"/>
  <c r="Z125" i="12"/>
  <c r="U406" i="20"/>
  <c r="D258" i="17"/>
  <c r="D229" i="17"/>
  <c r="D203" i="17"/>
  <c r="D178" i="17"/>
  <c r="B125" i="20"/>
  <c r="B119" i="20"/>
  <c r="N198" i="20"/>
  <c r="AC122" i="12"/>
  <c r="X84" i="20"/>
  <c r="AC123" i="12"/>
  <c r="K236" i="20"/>
  <c r="Q198" i="20"/>
  <c r="U198" i="20"/>
  <c r="AH123" i="12"/>
  <c r="AH122" i="12"/>
  <c r="AC84" i="20"/>
  <c r="M122" i="12"/>
  <c r="M123" i="12"/>
  <c r="H84" i="20"/>
  <c r="F57" i="16"/>
  <c r="F55" i="16"/>
  <c r="F53" i="16"/>
  <c r="F56" i="16"/>
  <c r="F54" i="16"/>
  <c r="I7" i="9"/>
  <c r="AM7" i="9" s="1"/>
  <c r="D89" i="3"/>
  <c r="E24" i="5" s="1"/>
  <c r="D84" i="3"/>
  <c r="E19" i="5" s="1"/>
  <c r="E20" i="6" s="1"/>
  <c r="D81" i="3"/>
  <c r="E16" i="5" s="1"/>
  <c r="D73" i="3"/>
  <c r="E8" i="5" s="1"/>
  <c r="D78" i="3"/>
  <c r="E13" i="5" s="1"/>
  <c r="E14" i="6" s="1"/>
  <c r="D80" i="3"/>
  <c r="E15" i="5" s="1"/>
  <c r="D88" i="3"/>
  <c r="E23" i="5" s="1"/>
  <c r="D74" i="3"/>
  <c r="E9" i="5" s="1"/>
  <c r="D85" i="3"/>
  <c r="E20" i="5" s="1"/>
  <c r="E21" i="6" s="1"/>
  <c r="D87" i="3"/>
  <c r="E22" i="5" s="1"/>
  <c r="D77" i="3"/>
  <c r="E12" i="5" s="1"/>
  <c r="E13" i="6" s="1"/>
  <c r="D82" i="3"/>
  <c r="E17" i="5" s="1"/>
  <c r="D86" i="3"/>
  <c r="E21" i="5" s="1"/>
  <c r="D83" i="3"/>
  <c r="E18" i="5" s="1"/>
  <c r="D90" i="3"/>
  <c r="E25" i="5" s="1"/>
  <c r="D76" i="3"/>
  <c r="E11" i="5" s="1"/>
  <c r="D72" i="3"/>
  <c r="E7" i="5" s="1"/>
  <c r="D79" i="3"/>
  <c r="E14" i="5" s="1"/>
  <c r="E15" i="6" s="1"/>
  <c r="D71" i="3"/>
  <c r="D75" i="3"/>
  <c r="E10" i="5" s="1"/>
  <c r="P52" i="20"/>
  <c r="P398" i="20"/>
  <c r="T125" i="12"/>
  <c r="O406" i="20"/>
  <c r="W406" i="20"/>
  <c r="AB125" i="12"/>
  <c r="M123" i="3"/>
  <c r="L45" i="3"/>
  <c r="L453" i="20"/>
  <c r="E183" i="3"/>
  <c r="E188" i="3"/>
  <c r="E180" i="3"/>
  <c r="E193" i="3"/>
  <c r="E177" i="3"/>
  <c r="E185" i="3"/>
  <c r="E190" i="3"/>
  <c r="E182" i="3"/>
  <c r="E187" i="3"/>
  <c r="E179" i="3"/>
  <c r="E176" i="3"/>
  <c r="E192" i="3"/>
  <c r="E184" i="3"/>
  <c r="E189" i="3"/>
  <c r="E175" i="3"/>
  <c r="E186" i="3"/>
  <c r="E70" i="3"/>
  <c r="E194" i="3"/>
  <c r="E191" i="3"/>
  <c r="E178" i="3"/>
  <c r="E181" i="3"/>
  <c r="JH79" i="14"/>
  <c r="N401" i="20"/>
  <c r="N14" i="20"/>
  <c r="J179" i="20"/>
  <c r="P179" i="20"/>
  <c r="T179" i="20"/>
  <c r="D85" i="8"/>
  <c r="D36" i="5"/>
  <c r="D35" i="8"/>
  <c r="D10" i="8"/>
  <c r="C123" i="20" s="1"/>
  <c r="D60" i="8"/>
  <c r="D17" i="8"/>
  <c r="C256" i="20" s="1"/>
  <c r="D43" i="5"/>
  <c r="D92" i="8"/>
  <c r="D67" i="8"/>
  <c r="D42" i="8"/>
  <c r="O255" i="20"/>
  <c r="J255" i="20"/>
  <c r="D217" i="20"/>
  <c r="O217" i="20"/>
  <c r="T217" i="20"/>
  <c r="H103" i="20"/>
  <c r="F103" i="20"/>
  <c r="O103" i="20"/>
  <c r="U399" i="20"/>
  <c r="J274" i="20"/>
  <c r="AA274" i="20"/>
  <c r="I8" i="20"/>
  <c r="R8" i="20"/>
  <c r="D239" i="17"/>
  <c r="D268" i="17"/>
  <c r="D213" i="17"/>
  <c r="D188" i="17"/>
  <c r="B309" i="20"/>
  <c r="G81" i="9"/>
  <c r="AK81" i="9" s="1"/>
  <c r="B315" i="20" s="1"/>
  <c r="C39" i="6"/>
  <c r="F164" i="3"/>
  <c r="G114" i="3"/>
  <c r="F139" i="3"/>
  <c r="F61" i="3" s="1"/>
  <c r="W122" i="12"/>
  <c r="W123" i="12"/>
  <c r="R84" i="20"/>
  <c r="S198" i="20"/>
  <c r="J198" i="20"/>
  <c r="K122" i="12"/>
  <c r="K123" i="12"/>
  <c r="F84" i="20"/>
  <c r="Y122" i="12"/>
  <c r="Y123" i="12"/>
  <c r="T84" i="20"/>
  <c r="U125" i="12"/>
  <c r="P406" i="20"/>
  <c r="Q125" i="12"/>
  <c r="L406" i="20"/>
  <c r="I108" i="3"/>
  <c r="H158" i="3"/>
  <c r="H133" i="3"/>
  <c r="H55" i="3" s="1"/>
  <c r="I458" i="20"/>
  <c r="I450" i="20" s="1"/>
  <c r="BZ179" i="14"/>
  <c r="L399" i="20"/>
  <c r="L14" i="20"/>
  <c r="JJ86" i="14"/>
  <c r="G160" i="3"/>
  <c r="G135" i="3"/>
  <c r="G57" i="3" s="1"/>
  <c r="H110" i="3"/>
  <c r="AC151" i="20"/>
  <c r="X151" i="20"/>
  <c r="K179" i="20"/>
  <c r="AB179" i="20"/>
  <c r="I179" i="20"/>
  <c r="G151" i="3"/>
  <c r="H101" i="3"/>
  <c r="G126" i="3"/>
  <c r="G48" i="3" s="1"/>
  <c r="D23" i="6"/>
  <c r="D70" i="8"/>
  <c r="D20" i="8"/>
  <c r="C313" i="20" s="1"/>
  <c r="D46" i="5"/>
  <c r="D45" i="8"/>
  <c r="D95" i="8"/>
  <c r="E58" i="16"/>
  <c r="P255" i="20"/>
  <c r="V255" i="20"/>
  <c r="CI44" i="14"/>
  <c r="U40" i="43" s="1"/>
  <c r="BJ44" i="14" a="1"/>
  <c r="BJ44" i="14" s="1"/>
  <c r="EV44" i="14"/>
  <c r="DR44" i="14" s="1"/>
  <c r="J288" i="20"/>
  <c r="CA178" i="14"/>
  <c r="CA177" i="14"/>
  <c r="K25" i="21" s="1"/>
  <c r="K36" i="21" s="1"/>
  <c r="K217" i="20"/>
  <c r="AA217" i="20"/>
  <c r="I217" i="20"/>
  <c r="I103" i="20"/>
  <c r="AD103" i="20"/>
  <c r="AA103" i="20"/>
  <c r="D200" i="17"/>
  <c r="D226" i="17"/>
  <c r="D255" i="17"/>
  <c r="D175" i="17"/>
  <c r="B62" i="20"/>
  <c r="G72" i="9"/>
  <c r="AK72" i="9" s="1"/>
  <c r="B68" i="20" s="1"/>
  <c r="L274" i="20"/>
  <c r="D274" i="20"/>
  <c r="K8" i="20"/>
  <c r="J8" i="20"/>
  <c r="AD8" i="20"/>
  <c r="AE399" i="20"/>
  <c r="AC236" i="20"/>
  <c r="L236" i="20"/>
  <c r="Z198" i="20"/>
  <c r="V198" i="20"/>
  <c r="AI122" i="12"/>
  <c r="AD84" i="20"/>
  <c r="AI123" i="12"/>
  <c r="N122" i="12"/>
  <c r="N123" i="12"/>
  <c r="I84" i="20"/>
  <c r="AB399" i="20"/>
  <c r="AG125" i="12"/>
  <c r="AB406" i="20"/>
  <c r="V125" i="12"/>
  <c r="Q406" i="20"/>
  <c r="AC125" i="12"/>
  <c r="X406" i="20"/>
  <c r="EN102" i="14"/>
  <c r="DJ102" i="14" s="1"/>
  <c r="DJ177" i="14" s="1"/>
  <c r="P26" i="21" s="1"/>
  <c r="BB102" i="14" a="1"/>
  <c r="BB102" i="14" s="1"/>
  <c r="CC102" i="14"/>
  <c r="O98" i="43" s="1"/>
  <c r="O108" i="43" s="1"/>
  <c r="JC102" i="14"/>
  <c r="H152" i="3"/>
  <c r="H127" i="3"/>
  <c r="H49" i="3" s="1"/>
  <c r="I102" i="3"/>
  <c r="CA179" i="14"/>
  <c r="O399" i="20"/>
  <c r="O14" i="20"/>
  <c r="L179" i="20"/>
  <c r="E179" i="20"/>
  <c r="U179" i="20"/>
  <c r="D18" i="6"/>
  <c r="D15" i="8"/>
  <c r="C218" i="20" s="1"/>
  <c r="D65" i="8"/>
  <c r="D41" i="5"/>
  <c r="D40" i="8"/>
  <c r="D90" i="8"/>
  <c r="O155" i="20"/>
  <c r="O147" i="20" s="1"/>
  <c r="Q255" i="20"/>
  <c r="K255" i="20"/>
  <c r="L217" i="20"/>
  <c r="E217" i="20"/>
  <c r="U217" i="20"/>
  <c r="AE103" i="20"/>
  <c r="K103" i="20"/>
  <c r="D103" i="20"/>
  <c r="S274" i="20"/>
  <c r="P274" i="20"/>
  <c r="L8" i="20"/>
  <c r="C8" i="20"/>
  <c r="G8" i="20"/>
  <c r="AE198" i="20"/>
  <c r="K198" i="20"/>
  <c r="R122" i="12"/>
  <c r="R123" i="12"/>
  <c r="M84" i="20"/>
  <c r="Z122" i="12"/>
  <c r="U84" i="20"/>
  <c r="Z123" i="12"/>
  <c r="X401" i="20"/>
  <c r="Y125" i="12"/>
  <c r="T406" i="20"/>
  <c r="R406" i="20"/>
  <c r="W125" i="12"/>
  <c r="R125" i="12"/>
  <c r="M406" i="20"/>
  <c r="BI86" i="14" a="1"/>
  <c r="BI86" i="14" s="1"/>
  <c r="EU86" i="14"/>
  <c r="DQ86" i="14" s="1"/>
  <c r="CH86" i="14"/>
  <c r="T82" i="43" s="1"/>
  <c r="JH86" i="14"/>
  <c r="JF86" i="14"/>
  <c r="JI86" i="14"/>
  <c r="JG86" i="14"/>
  <c r="M179" i="20"/>
  <c r="Q179" i="20"/>
  <c r="D16" i="6"/>
  <c r="D38" i="8"/>
  <c r="D63" i="8"/>
  <c r="D39" i="5"/>
  <c r="D88" i="8"/>
  <c r="D13" i="8"/>
  <c r="C180" i="20" s="1"/>
  <c r="BP79" i="14" a="1"/>
  <c r="BP79" i="14" s="1"/>
  <c r="CT79" i="14" s="1"/>
  <c r="AF75" i="43" s="1"/>
  <c r="CO79" i="14"/>
  <c r="AA75" i="43" s="1"/>
  <c r="FB79" i="14"/>
  <c r="DX79" i="14" s="1"/>
  <c r="R255" i="20"/>
  <c r="W255" i="20"/>
  <c r="M217" i="20"/>
  <c r="Q217" i="20"/>
  <c r="J217" i="20"/>
  <c r="U150" i="20"/>
  <c r="J103" i="20"/>
  <c r="W103" i="20"/>
  <c r="P103" i="20"/>
  <c r="Q150" i="20"/>
  <c r="K274" i="20"/>
  <c r="AB274" i="20"/>
  <c r="M8" i="20"/>
  <c r="O8" i="20"/>
  <c r="S8" i="20"/>
  <c r="EZ79" i="14"/>
  <c r="DV79" i="14" s="1"/>
  <c r="CM79" i="14"/>
  <c r="Y75" i="43" s="1"/>
  <c r="BN79" i="14" a="1"/>
  <c r="BN79" i="14" s="1"/>
  <c r="CR79" i="14" s="1"/>
  <c r="AD75" i="43" s="1"/>
  <c r="AB150" i="20"/>
  <c r="W150" i="20"/>
  <c r="Z151" i="20"/>
  <c r="AE151" i="20"/>
  <c r="X236" i="20"/>
  <c r="Q125" i="3"/>
  <c r="P47" i="3"/>
  <c r="C198" i="20"/>
  <c r="W198" i="20"/>
  <c r="G122" i="12"/>
  <c r="G123" i="12"/>
  <c r="B84" i="20"/>
  <c r="S122" i="12"/>
  <c r="S123" i="12"/>
  <c r="N84" i="20"/>
  <c r="O122" i="12"/>
  <c r="O123" i="12"/>
  <c r="J84" i="20"/>
  <c r="EU11" i="14"/>
  <c r="DQ11" i="14" s="1"/>
  <c r="BI11" i="14" a="1"/>
  <c r="BI11" i="14" s="1"/>
  <c r="CH11" i="14"/>
  <c r="T7" i="43" s="1"/>
  <c r="JJ11" i="14"/>
  <c r="JH11" i="14"/>
  <c r="AF125" i="12"/>
  <c r="AA406" i="20"/>
  <c r="G406" i="20"/>
  <c r="L125" i="12"/>
  <c r="AD125" i="12"/>
  <c r="Y406" i="20"/>
  <c r="I111" i="3"/>
  <c r="H161" i="3"/>
  <c r="H136" i="3"/>
  <c r="H58" i="3" s="1"/>
  <c r="JF78" i="14"/>
  <c r="CP10" i="14"/>
  <c r="AB6" i="43" s="1"/>
  <c r="BQ10" i="14" a="1"/>
  <c r="BQ10" i="14" s="1"/>
  <c r="CU10" i="14" s="1"/>
  <c r="AG6" i="43" s="1"/>
  <c r="FC10" i="14"/>
  <c r="DY10" i="14" s="1"/>
  <c r="O179" i="20"/>
  <c r="AC179" i="20"/>
  <c r="D10" i="6"/>
  <c r="D32" i="8"/>
  <c r="D7" i="8"/>
  <c r="C66" i="20" s="1"/>
  <c r="D33" i="5"/>
  <c r="D82" i="8"/>
  <c r="D57" i="8"/>
  <c r="T255" i="20"/>
  <c r="L255" i="20"/>
  <c r="N217" i="20"/>
  <c r="AC217" i="20"/>
  <c r="V217" i="20"/>
  <c r="P147" i="20"/>
  <c r="P397" i="20"/>
  <c r="Q103" i="20"/>
  <c r="L103" i="20"/>
  <c r="AB103" i="20"/>
  <c r="T274" i="20"/>
  <c r="W274" i="20"/>
  <c r="E274" i="20"/>
  <c r="N8" i="20"/>
  <c r="AA8" i="20"/>
  <c r="AE8" i="20"/>
  <c r="AQ66" i="9"/>
  <c r="H428" i="20" s="1"/>
  <c r="H426" i="20" s="1"/>
  <c r="AB198" i="20"/>
  <c r="H123" i="12"/>
  <c r="H122" i="12"/>
  <c r="C84" i="20"/>
  <c r="T122" i="12"/>
  <c r="T123" i="12"/>
  <c r="O84" i="20"/>
  <c r="AA122" i="12"/>
  <c r="AA123" i="12"/>
  <c r="V84" i="20"/>
  <c r="H125" i="12"/>
  <c r="C406" i="20"/>
  <c r="X125" i="12"/>
  <c r="S406" i="20"/>
  <c r="G125" i="12"/>
  <c r="B406" i="20"/>
  <c r="CO11" i="14"/>
  <c r="AA7" i="43" s="1"/>
  <c r="FB11" i="14"/>
  <c r="DX11" i="14" s="1"/>
  <c r="BP11" i="14" a="1"/>
  <c r="BP11" i="14" s="1"/>
  <c r="CT11" i="14" s="1"/>
  <c r="AF7" i="43" s="1"/>
  <c r="O52" i="20"/>
  <c r="O398" i="20"/>
  <c r="V179" i="20"/>
  <c r="F179" i="20"/>
  <c r="N90" i="20"/>
  <c r="JJ10" i="14"/>
  <c r="D62" i="8"/>
  <c r="D12" i="8"/>
  <c r="C161" i="20" s="1"/>
  <c r="D38" i="5"/>
  <c r="D87" i="8"/>
  <c r="D37" i="8"/>
  <c r="D24" i="6"/>
  <c r="D47" i="5"/>
  <c r="D21" i="8"/>
  <c r="C332" i="20" s="1"/>
  <c r="D96" i="8"/>
  <c r="D71" i="8"/>
  <c r="D46" i="8"/>
  <c r="C255" i="20"/>
  <c r="AA255" i="20"/>
  <c r="X255" i="20"/>
  <c r="H156" i="3"/>
  <c r="I106" i="3"/>
  <c r="H131" i="3"/>
  <c r="H53" i="3" s="1"/>
  <c r="P217" i="20"/>
  <c r="F217" i="20"/>
  <c r="R103" i="20"/>
  <c r="X103" i="20"/>
  <c r="U274" i="20"/>
  <c r="M274" i="20"/>
  <c r="Q274" i="20"/>
  <c r="U8" i="20"/>
  <c r="D8" i="20"/>
  <c r="H8" i="20"/>
  <c r="W124" i="3"/>
  <c r="V46" i="3"/>
  <c r="AS5" i="9"/>
  <c r="P5" i="9"/>
  <c r="O236" i="20"/>
  <c r="I434" i="20"/>
  <c r="I432" i="20" s="1"/>
  <c r="E198" i="20"/>
  <c r="F198" i="20"/>
  <c r="X198" i="20"/>
  <c r="AD122" i="12"/>
  <c r="AD123" i="12"/>
  <c r="Y84" i="20"/>
  <c r="U123" i="12"/>
  <c r="U122" i="12"/>
  <c r="P84" i="20"/>
  <c r="P122" i="12"/>
  <c r="K84" i="20"/>
  <c r="P123" i="12"/>
  <c r="CD102" i="14"/>
  <c r="P98" i="43" s="1"/>
  <c r="P108" i="43" s="1"/>
  <c r="EO102" i="14"/>
  <c r="DK102" i="14" s="1"/>
  <c r="BC102" i="14" a="1"/>
  <c r="BC102" i="14" s="1"/>
  <c r="AC406" i="20"/>
  <c r="AH125" i="12"/>
  <c r="AJ125" i="12"/>
  <c r="AE406" i="20"/>
  <c r="N406" i="20"/>
  <c r="S125" i="12"/>
  <c r="JH78" i="14"/>
  <c r="W179" i="20"/>
  <c r="R179" i="20"/>
  <c r="JH10" i="14"/>
  <c r="D8" i="6"/>
  <c r="D5" i="8"/>
  <c r="C28" i="20" s="1"/>
  <c r="D80" i="8"/>
  <c r="D31" i="5"/>
  <c r="D30" i="8"/>
  <c r="D55" i="8"/>
  <c r="D12" i="6"/>
  <c r="D9" i="8"/>
  <c r="C104" i="20" s="1"/>
  <c r="D84" i="8"/>
  <c r="D34" i="8"/>
  <c r="D35" i="5"/>
  <c r="D59" i="8"/>
  <c r="CM44" i="14"/>
  <c r="Y40" i="43" s="1"/>
  <c r="BN44" i="14" a="1"/>
  <c r="BN44" i="14" s="1"/>
  <c r="CR44" i="14" s="1"/>
  <c r="AD40" i="43" s="1"/>
  <c r="EZ44" i="14"/>
  <c r="DV44" i="14" s="1"/>
  <c r="D255" i="20"/>
  <c r="AB255" i="20"/>
  <c r="M255" i="20"/>
  <c r="W217" i="20"/>
  <c r="R217" i="20"/>
  <c r="S103" i="20"/>
  <c r="M103" i="20"/>
  <c r="V274" i="20"/>
  <c r="Y274" i="20"/>
  <c r="AC274" i="20"/>
  <c r="V8" i="20"/>
  <c r="P8" i="20"/>
  <c r="T8" i="20"/>
  <c r="JK79" i="14"/>
  <c r="P236" i="20"/>
  <c r="AE236" i="20"/>
  <c r="R399" i="20"/>
  <c r="AC198" i="20"/>
  <c r="R198" i="20"/>
  <c r="M198" i="20"/>
  <c r="AE122" i="12"/>
  <c r="AE123" i="12"/>
  <c r="Z84" i="20"/>
  <c r="V123" i="12"/>
  <c r="V122" i="12"/>
  <c r="Q84" i="20"/>
  <c r="AB122" i="12"/>
  <c r="W84" i="20"/>
  <c r="AB123" i="12"/>
  <c r="FA78" i="14"/>
  <c r="DW78" i="14" s="1"/>
  <c r="CN78" i="14"/>
  <c r="Z74" i="43" s="1"/>
  <c r="BO78" i="14" a="1"/>
  <c r="BO78" i="14" s="1"/>
  <c r="I125" i="12"/>
  <c r="D406" i="20"/>
  <c r="N125" i="12"/>
  <c r="I406" i="20"/>
  <c r="AE125" i="12"/>
  <c r="Z406" i="20"/>
  <c r="H104" i="3"/>
  <c r="G129" i="3"/>
  <c r="G51" i="3" s="1"/>
  <c r="G154" i="3"/>
  <c r="JI79" i="14"/>
  <c r="EX78" i="14"/>
  <c r="DT78" i="14" s="1"/>
  <c r="BL78" i="14" a="1"/>
  <c r="BL78" i="14" s="1"/>
  <c r="CK78" i="14"/>
  <c r="W74" i="43" s="1"/>
  <c r="CI11" i="14"/>
  <c r="U7" i="43" s="1"/>
  <c r="EV11" i="14"/>
  <c r="DR11" i="14" s="1"/>
  <c r="BJ11" i="14" a="1"/>
  <c r="BJ11" i="14" s="1"/>
  <c r="X179" i="20"/>
  <c r="AD179" i="20"/>
  <c r="EU10" i="14"/>
  <c r="DQ10" i="14" s="1"/>
  <c r="CH10" i="14"/>
  <c r="T6" i="43" s="1"/>
  <c r="BI10" i="14" a="1"/>
  <c r="BI10" i="14" s="1"/>
  <c r="JF10" i="14"/>
  <c r="JI10" i="14"/>
  <c r="D26" i="6"/>
  <c r="D23" i="8"/>
  <c r="D48" i="8"/>
  <c r="D98" i="8"/>
  <c r="D73" i="8"/>
  <c r="D19" i="6"/>
  <c r="D91" i="8"/>
  <c r="D41" i="8"/>
  <c r="D66" i="8"/>
  <c r="D16" i="8"/>
  <c r="C237" i="20" s="1"/>
  <c r="D42" i="5"/>
  <c r="CP44" i="14"/>
  <c r="AB40" i="43" s="1"/>
  <c r="FC44" i="14"/>
  <c r="DY44" i="14" s="1"/>
  <c r="BQ44" i="14" a="1"/>
  <c r="BQ44" i="14" s="1"/>
  <c r="CU44" i="14" s="1"/>
  <c r="AG40" i="43" s="1"/>
  <c r="E255" i="20"/>
  <c r="G255" i="20"/>
  <c r="Y255" i="20"/>
  <c r="X217" i="20"/>
  <c r="AD217" i="20"/>
  <c r="T103" i="20"/>
  <c r="Y103" i="20"/>
  <c r="D231" i="17"/>
  <c r="D180" i="17"/>
  <c r="D205" i="17"/>
  <c r="D260" i="17"/>
  <c r="B163" i="20"/>
  <c r="B157" i="20"/>
  <c r="X274" i="20"/>
  <c r="B274" i="20"/>
  <c r="F274" i="20"/>
  <c r="W8" i="20"/>
  <c r="AB8" i="20"/>
  <c r="J105" i="3" l="1"/>
  <c r="I130" i="3"/>
  <c r="I52" i="3" s="1"/>
  <c r="I155" i="3"/>
  <c r="O110" i="43"/>
  <c r="P110" i="43" s="1"/>
  <c r="Q110" i="43" s="1"/>
  <c r="W108" i="43"/>
  <c r="T108" i="43"/>
  <c r="L402" i="20"/>
  <c r="AE398" i="20"/>
  <c r="M397" i="20"/>
  <c r="H394" i="20"/>
  <c r="Z398" i="20"/>
  <c r="AE453" i="20"/>
  <c r="D224" i="17"/>
  <c r="Q454" i="20"/>
  <c r="AA283" i="20"/>
  <c r="S454" i="20"/>
  <c r="V283" i="20"/>
  <c r="R284" i="20"/>
  <c r="R398" i="20" s="1"/>
  <c r="AE302" i="20"/>
  <c r="AE299" i="20" s="1"/>
  <c r="AB454" i="20"/>
  <c r="Z302" i="20"/>
  <c r="Z299" i="20" s="1"/>
  <c r="AE283" i="20"/>
  <c r="W454" i="20"/>
  <c r="U22" i="20"/>
  <c r="U14" i="20" s="1"/>
  <c r="AA22" i="20"/>
  <c r="AA14" i="20" s="1"/>
  <c r="R283" i="20"/>
  <c r="AE454" i="20"/>
  <c r="S453" i="20"/>
  <c r="Y283" i="20"/>
  <c r="AD284" i="20"/>
  <c r="AA284" i="20"/>
  <c r="AA398" i="20" s="1"/>
  <c r="AD283" i="20"/>
  <c r="AC283" i="20"/>
  <c r="V22" i="20"/>
  <c r="V14" i="20" s="1"/>
  <c r="AC302" i="20"/>
  <c r="AC299" i="20" s="1"/>
  <c r="Y284" i="20"/>
  <c r="Y398" i="20" s="1"/>
  <c r="V284" i="20"/>
  <c r="Z454" i="20"/>
  <c r="S284" i="20"/>
  <c r="X283" i="20"/>
  <c r="L458" i="20"/>
  <c r="L450" i="20" s="1"/>
  <c r="D233" i="17"/>
  <c r="D182" i="17"/>
  <c r="B311" i="20"/>
  <c r="AH308" i="20" s="1"/>
  <c r="B195" i="20"/>
  <c r="G76" i="9"/>
  <c r="AK76" i="9" s="1"/>
  <c r="B201" i="20" s="1"/>
  <c r="B197" i="20" s="1"/>
  <c r="D207" i="17"/>
  <c r="B45" i="20"/>
  <c r="AH42" i="20" s="1"/>
  <c r="D215" i="17"/>
  <c r="B366" i="20"/>
  <c r="AH365" i="20" s="1"/>
  <c r="D190" i="17"/>
  <c r="D270" i="17"/>
  <c r="D241" i="17"/>
  <c r="B347" i="20"/>
  <c r="AH346" i="20" s="1"/>
  <c r="G83" i="9"/>
  <c r="AK83" i="9" s="1"/>
  <c r="B258" i="20"/>
  <c r="B254" i="20" s="1"/>
  <c r="AH251" i="20" s="1"/>
  <c r="I280" i="20"/>
  <c r="I394" i="20" s="1"/>
  <c r="D212" i="17"/>
  <c r="D187" i="17"/>
  <c r="C34" i="6"/>
  <c r="G80" i="9"/>
  <c r="AK80" i="9" s="1"/>
  <c r="B296" i="20" s="1"/>
  <c r="B292" i="20" s="1"/>
  <c r="B290" i="20"/>
  <c r="D238" i="17"/>
  <c r="D216" i="17"/>
  <c r="BK92" i="9"/>
  <c r="BC92" i="9"/>
  <c r="AU92" i="9"/>
  <c r="AM92" i="9"/>
  <c r="BA92" i="9"/>
  <c r="AK92" i="9"/>
  <c r="BE92" i="9"/>
  <c r="AV92" i="9"/>
  <c r="BJ92" i="9"/>
  <c r="BB92" i="9"/>
  <c r="AT92" i="9"/>
  <c r="AL92" i="9"/>
  <c r="BI92" i="9"/>
  <c r="AS92" i="9"/>
  <c r="AW92" i="9"/>
  <c r="AN92" i="9"/>
  <c r="BH92" i="9"/>
  <c r="AZ92" i="9"/>
  <c r="AR92" i="9"/>
  <c r="AY92" i="9"/>
  <c r="AQ92" i="9"/>
  <c r="BD92" i="9"/>
  <c r="BG92" i="9"/>
  <c r="BM92" i="9"/>
  <c r="BN92" i="9"/>
  <c r="BF92" i="9"/>
  <c r="AX92" i="9"/>
  <c r="AP92" i="9"/>
  <c r="BL92" i="9"/>
  <c r="AO92" i="9"/>
  <c r="H137" i="3"/>
  <c r="H59" i="3" s="1"/>
  <c r="I112" i="3"/>
  <c r="H162" i="3"/>
  <c r="P6" i="9"/>
  <c r="AS6" i="9"/>
  <c r="H142" i="3"/>
  <c r="H64" i="3" s="1"/>
  <c r="I117" i="3"/>
  <c r="H167" i="3"/>
  <c r="G165" i="3"/>
  <c r="H115" i="3"/>
  <c r="G140" i="3"/>
  <c r="G62" i="3" s="1"/>
  <c r="B138" i="20"/>
  <c r="D210" i="17"/>
  <c r="D265" i="17"/>
  <c r="D236" i="17"/>
  <c r="D185" i="17"/>
  <c r="B159" i="20"/>
  <c r="AH156" i="20" s="1"/>
  <c r="D232" i="17"/>
  <c r="G75" i="9"/>
  <c r="AK75" i="9" s="1"/>
  <c r="B182" i="20" s="1"/>
  <c r="B178" i="20" s="1"/>
  <c r="D206" i="17"/>
  <c r="D261" i="17"/>
  <c r="B121" i="20"/>
  <c r="AH118" i="20" s="1"/>
  <c r="B81" i="20"/>
  <c r="D201" i="17"/>
  <c r="D256" i="17"/>
  <c r="D179" i="17"/>
  <c r="C35" i="6"/>
  <c r="D259" i="17"/>
  <c r="B144" i="20"/>
  <c r="B140" i="20" s="1"/>
  <c r="D230" i="17"/>
  <c r="B64" i="20"/>
  <c r="AH61" i="20" s="1"/>
  <c r="D227" i="17"/>
  <c r="G73" i="9"/>
  <c r="AK73" i="9" s="1"/>
  <c r="B87" i="20" s="1"/>
  <c r="B83" i="20" s="1"/>
  <c r="D191" i="17"/>
  <c r="D271" i="17"/>
  <c r="G74" i="9"/>
  <c r="AK74" i="9" s="1"/>
  <c r="B106" i="20" s="1"/>
  <c r="B102" i="20" s="1"/>
  <c r="C33" i="6"/>
  <c r="B24" i="20"/>
  <c r="AD150" i="20"/>
  <c r="Q155" i="20"/>
  <c r="Q147" i="20" s="1"/>
  <c r="B100" i="20"/>
  <c r="D202" i="17"/>
  <c r="D228" i="17"/>
  <c r="D257" i="17"/>
  <c r="D173" i="17"/>
  <c r="G70" i="9"/>
  <c r="AK70" i="9" s="1"/>
  <c r="B30" i="20" s="1"/>
  <c r="B26" i="20" s="1"/>
  <c r="D198" i="17"/>
  <c r="D253" i="17"/>
  <c r="C36" i="6"/>
  <c r="B176" i="20"/>
  <c r="B330" i="20"/>
  <c r="AH327" i="20" s="1"/>
  <c r="B214" i="20"/>
  <c r="D208" i="17"/>
  <c r="D234" i="17"/>
  <c r="D263" i="17"/>
  <c r="D183" i="17"/>
  <c r="C37" i="6"/>
  <c r="B271" i="20"/>
  <c r="C38" i="6"/>
  <c r="C99" i="8"/>
  <c r="C10" i="18" s="1"/>
  <c r="C43" i="18" s="1"/>
  <c r="C49" i="8"/>
  <c r="C8" i="18" s="1"/>
  <c r="C41" i="18" s="1"/>
  <c r="C27" i="6"/>
  <c r="C74" i="8"/>
  <c r="AC150" i="20"/>
  <c r="T397" i="20"/>
  <c r="D252" i="17"/>
  <c r="D273" i="17" s="1"/>
  <c r="D172" i="17"/>
  <c r="D223" i="17"/>
  <c r="D197" i="17"/>
  <c r="C32" i="6"/>
  <c r="B5" i="20"/>
  <c r="G69" i="9"/>
  <c r="AK69" i="9" s="1"/>
  <c r="B11" i="20" s="1"/>
  <c r="B277" i="20"/>
  <c r="B273" i="20" s="1"/>
  <c r="B235" i="20"/>
  <c r="AH232" i="20" s="1"/>
  <c r="D211" i="17"/>
  <c r="D266" i="17"/>
  <c r="D186" i="17"/>
  <c r="B389" i="20"/>
  <c r="C7" i="21" s="1"/>
  <c r="C24" i="8"/>
  <c r="E32" i="17" s="1"/>
  <c r="D46" i="6"/>
  <c r="S155" i="20"/>
  <c r="R302" i="20"/>
  <c r="R299" i="20" s="1"/>
  <c r="CN10" i="14"/>
  <c r="Z6" i="43" s="1"/>
  <c r="FA10" i="14"/>
  <c r="DW10" i="14" s="1"/>
  <c r="L397" i="20"/>
  <c r="BP78" i="14" a="1"/>
  <c r="BP78" i="14" s="1"/>
  <c r="CT78" i="14" s="1"/>
  <c r="AF74" i="43" s="1"/>
  <c r="CO78" i="14"/>
  <c r="AA74" i="43" s="1"/>
  <c r="JB177" i="14"/>
  <c r="R66" i="9" s="1"/>
  <c r="AV66" i="9" s="1"/>
  <c r="M428" i="20" s="1"/>
  <c r="M426" i="20" s="1"/>
  <c r="R453" i="20"/>
  <c r="L147" i="20"/>
  <c r="L394" i="20" s="1"/>
  <c r="JK87" i="14"/>
  <c r="JL10" i="14"/>
  <c r="JC177" i="14"/>
  <c r="S66" i="9" s="1"/>
  <c r="AW66" i="9" s="1"/>
  <c r="N428" i="20" s="1"/>
  <c r="N426" i="20" s="1"/>
  <c r="V399" i="20"/>
  <c r="JM78" i="14"/>
  <c r="CN87" i="14"/>
  <c r="Z83" i="43" s="1"/>
  <c r="FA87" i="14"/>
  <c r="DW87" i="14" s="1"/>
  <c r="BO87" i="14" a="1"/>
  <c r="BO87" i="14" s="1"/>
  <c r="CS87" i="14" s="1"/>
  <c r="AE83" i="43" s="1"/>
  <c r="BR44" i="14" a="1"/>
  <c r="BR44" i="14" s="1"/>
  <c r="CV44" i="14" s="1"/>
  <c r="AH40" i="43" s="1"/>
  <c r="CQ44" i="14"/>
  <c r="AC40" i="43" s="1"/>
  <c r="FD44" i="14"/>
  <c r="DZ44" i="14" s="1"/>
  <c r="CC179" i="14"/>
  <c r="JM10" i="14"/>
  <c r="JL87" i="14"/>
  <c r="JM86" i="14"/>
  <c r="JL78" i="14"/>
  <c r="S397" i="20"/>
  <c r="JO79" i="14"/>
  <c r="F58" i="16"/>
  <c r="T11" i="21"/>
  <c r="T12" i="18"/>
  <c r="T45" i="18" s="1"/>
  <c r="O288" i="20"/>
  <c r="CF178" i="14"/>
  <c r="AA9" i="18"/>
  <c r="AA42" i="18" s="1"/>
  <c r="S11" i="21"/>
  <c r="S12" i="18"/>
  <c r="S45" i="18" s="1"/>
  <c r="JP79" i="14"/>
  <c r="FA11" i="14"/>
  <c r="DW11" i="14" s="1"/>
  <c r="CN11" i="14"/>
  <c r="Z7" i="43" s="1"/>
  <c r="BO11" i="14" a="1"/>
  <c r="BO11" i="14" s="1"/>
  <c r="CS11" i="14" s="1"/>
  <c r="AE7" i="43" s="1"/>
  <c r="I104" i="3"/>
  <c r="H129" i="3"/>
  <c r="H51" i="3" s="1"/>
  <c r="H154" i="3"/>
  <c r="AE127" i="12"/>
  <c r="AE129" i="12"/>
  <c r="D11" i="21"/>
  <c r="D12" i="18"/>
  <c r="D45" i="18" s="1"/>
  <c r="N9" i="18"/>
  <c r="N42" i="18" s="1"/>
  <c r="E263" i="17"/>
  <c r="E234" i="17"/>
  <c r="E183" i="17"/>
  <c r="E208" i="17"/>
  <c r="C214" i="20"/>
  <c r="H77" i="9"/>
  <c r="AL77" i="9" s="1"/>
  <c r="C220" i="20" s="1"/>
  <c r="C216" i="20" s="1"/>
  <c r="D37" i="6"/>
  <c r="AI129" i="12"/>
  <c r="AI127" i="12"/>
  <c r="E268" i="17"/>
  <c r="E239" i="17"/>
  <c r="E188" i="17"/>
  <c r="E213" i="17"/>
  <c r="C309" i="20"/>
  <c r="H81" i="9"/>
  <c r="AL81" i="9" s="1"/>
  <c r="C315" i="20" s="1"/>
  <c r="C311" i="20" s="1"/>
  <c r="D39" i="6"/>
  <c r="H135" i="3"/>
  <c r="H57" i="3" s="1"/>
  <c r="H160" i="3"/>
  <c r="I110" i="3"/>
  <c r="Q11" i="21"/>
  <c r="Q12" i="18"/>
  <c r="Q45" i="18" s="1"/>
  <c r="N123" i="3"/>
  <c r="M45" i="3"/>
  <c r="E38" i="5"/>
  <c r="E12" i="8"/>
  <c r="D161" i="20" s="1"/>
  <c r="E37" i="8"/>
  <c r="E62" i="8"/>
  <c r="E87" i="8"/>
  <c r="E24" i="6"/>
  <c r="E71" i="8"/>
  <c r="E46" i="8"/>
  <c r="E21" i="8"/>
  <c r="D332" i="20" s="1"/>
  <c r="E96" i="8"/>
  <c r="E47" i="5"/>
  <c r="AB9" i="18"/>
  <c r="AB42" i="18" s="1"/>
  <c r="EZ87" i="14"/>
  <c r="DV87" i="14" s="1"/>
  <c r="BN87" i="14" a="1"/>
  <c r="BN87" i="14" s="1"/>
  <c r="CM87" i="14"/>
  <c r="Y83" i="43" s="1"/>
  <c r="AC9" i="18"/>
  <c r="AC42" i="18" s="1"/>
  <c r="JN11" i="14"/>
  <c r="AD11" i="21"/>
  <c r="AD12" i="18"/>
  <c r="AD45" i="18" s="1"/>
  <c r="Q9" i="18"/>
  <c r="Q42" i="18" s="1"/>
  <c r="U388" i="20"/>
  <c r="V6" i="21" s="1"/>
  <c r="Z11" i="21"/>
  <c r="Z12" i="18"/>
  <c r="Z45" i="18" s="1"/>
  <c r="CS78" i="14"/>
  <c r="AE74" i="43" s="1"/>
  <c r="E205" i="17"/>
  <c r="E260" i="17"/>
  <c r="E231" i="17"/>
  <c r="E180" i="17"/>
  <c r="C163" i="20"/>
  <c r="C159" i="20" s="1"/>
  <c r="C157" i="20"/>
  <c r="H11" i="21"/>
  <c r="H12" i="18"/>
  <c r="H45" i="18" s="1"/>
  <c r="K9" i="18"/>
  <c r="K42" i="18" s="1"/>
  <c r="R125" i="3"/>
  <c r="Q47" i="3"/>
  <c r="R127" i="12"/>
  <c r="R129" i="12"/>
  <c r="R11" i="21"/>
  <c r="R12" i="18"/>
  <c r="R45" i="18" s="1"/>
  <c r="JN86" i="14"/>
  <c r="X11" i="21"/>
  <c r="X12" i="18"/>
  <c r="X45" i="18" s="1"/>
  <c r="E8" i="6"/>
  <c r="E5" i="8"/>
  <c r="D28" i="20" s="1"/>
  <c r="E80" i="8"/>
  <c r="E31" i="5"/>
  <c r="E55" i="8"/>
  <c r="E30" i="8"/>
  <c r="E16" i="6"/>
  <c r="E39" i="5"/>
  <c r="E88" i="8"/>
  <c r="E38" i="8"/>
  <c r="E63" i="8"/>
  <c r="E13" i="8"/>
  <c r="D180" i="20" s="1"/>
  <c r="AH129" i="12"/>
  <c r="AH127" i="12"/>
  <c r="AC127" i="12"/>
  <c r="AC129" i="12"/>
  <c r="AF129" i="12"/>
  <c r="AF127" i="12"/>
  <c r="E201" i="17"/>
  <c r="E256" i="17"/>
  <c r="E227" i="17"/>
  <c r="E176" i="17"/>
  <c r="H73" i="9"/>
  <c r="AL73" i="9" s="1"/>
  <c r="C87" i="20" s="1"/>
  <c r="C83" i="20" s="1"/>
  <c r="C81" i="20"/>
  <c r="D34" i="6"/>
  <c r="JN79" i="14"/>
  <c r="AG129" i="12"/>
  <c r="AG127" i="12"/>
  <c r="FC87" i="14"/>
  <c r="DY87" i="14" s="1"/>
  <c r="CP87" i="14"/>
  <c r="AB83" i="43" s="1"/>
  <c r="BQ87" i="14" a="1"/>
  <c r="BQ87" i="14" s="1"/>
  <c r="E237" i="17"/>
  <c r="E266" i="17"/>
  <c r="E211" i="17"/>
  <c r="E186" i="17"/>
  <c r="C277" i="20"/>
  <c r="C273" i="20" s="1"/>
  <c r="C271" i="20"/>
  <c r="K134" i="3"/>
  <c r="K56" i="3" s="1"/>
  <c r="K159" i="3"/>
  <c r="L109" i="3"/>
  <c r="E254" i="17"/>
  <c r="E225" i="17"/>
  <c r="E199" i="17"/>
  <c r="E174" i="17"/>
  <c r="H71" i="9"/>
  <c r="AL71" i="9" s="1"/>
  <c r="C49" i="20" s="1"/>
  <c r="C45" i="20" s="1"/>
  <c r="C43" i="20"/>
  <c r="Z129" i="12"/>
  <c r="Z127" i="12"/>
  <c r="G164" i="3"/>
  <c r="H114" i="3"/>
  <c r="G139" i="3"/>
  <c r="G61" i="3" s="1"/>
  <c r="E12" i="18"/>
  <c r="E45" i="18" s="1"/>
  <c r="E11" i="21"/>
  <c r="E224" i="17"/>
  <c r="E253" i="17"/>
  <c r="E198" i="17"/>
  <c r="E173" i="17"/>
  <c r="H70" i="9"/>
  <c r="AL70" i="9" s="1"/>
  <c r="C30" i="20" s="1"/>
  <c r="C26" i="20" s="1"/>
  <c r="C24" i="20"/>
  <c r="D33" i="6"/>
  <c r="Y11" i="21"/>
  <c r="Y12" i="18"/>
  <c r="Y45" i="18" s="1"/>
  <c r="E258" i="17"/>
  <c r="E203" i="17"/>
  <c r="E178" i="17"/>
  <c r="E229" i="17"/>
  <c r="C125" i="20"/>
  <c r="C121" i="20" s="1"/>
  <c r="C119" i="20"/>
  <c r="D35" i="6"/>
  <c r="E6" i="5"/>
  <c r="D67" i="3"/>
  <c r="E10" i="6"/>
  <c r="E32" i="8"/>
  <c r="E57" i="8"/>
  <c r="E7" i="8"/>
  <c r="D66" i="20" s="1"/>
  <c r="E33" i="5"/>
  <c r="E82" i="8"/>
  <c r="M129" i="12"/>
  <c r="M127" i="12"/>
  <c r="Y9" i="18"/>
  <c r="Y42" i="18" s="1"/>
  <c r="ER102" i="14"/>
  <c r="DN102" i="14" s="1"/>
  <c r="BF102" i="14" a="1"/>
  <c r="BF102" i="14" s="1"/>
  <c r="CG102" i="14"/>
  <c r="S98" i="43" s="1"/>
  <c r="S108" i="43" s="1"/>
  <c r="W9" i="18"/>
  <c r="W42" i="18" s="1"/>
  <c r="O127" i="12"/>
  <c r="O129" i="12"/>
  <c r="EZ86" i="14"/>
  <c r="DV86" i="14" s="1"/>
  <c r="CM86" i="14"/>
  <c r="Y82" i="43" s="1"/>
  <c r="BN86" i="14" a="1"/>
  <c r="BN86" i="14" s="1"/>
  <c r="CR86" i="14" s="1"/>
  <c r="AD82" i="43" s="1"/>
  <c r="JK86" i="14"/>
  <c r="JL86" i="14"/>
  <c r="U11" i="21"/>
  <c r="U12" i="18"/>
  <c r="U45" i="18" s="1"/>
  <c r="I127" i="3"/>
  <c r="I49" i="3" s="1"/>
  <c r="I152" i="3"/>
  <c r="J102" i="3"/>
  <c r="JO86" i="14"/>
  <c r="H126" i="3"/>
  <c r="H48" i="3" s="1"/>
  <c r="H151" i="3"/>
  <c r="I101" i="3"/>
  <c r="G57" i="16"/>
  <c r="G55" i="16"/>
  <c r="G53" i="16"/>
  <c r="G56" i="16"/>
  <c r="G54" i="16"/>
  <c r="J7" i="9"/>
  <c r="AN7" i="9" s="1"/>
  <c r="E82" i="3"/>
  <c r="F17" i="5" s="1"/>
  <c r="E81" i="3"/>
  <c r="F16" i="5" s="1"/>
  <c r="E73" i="3"/>
  <c r="F8" i="5" s="1"/>
  <c r="E89" i="3"/>
  <c r="F24" i="5" s="1"/>
  <c r="E78" i="3"/>
  <c r="F13" i="5" s="1"/>
  <c r="F14" i="6" s="1"/>
  <c r="E86" i="3"/>
  <c r="F21" i="5" s="1"/>
  <c r="E71" i="3"/>
  <c r="E88" i="3"/>
  <c r="F23" i="5" s="1"/>
  <c r="E74" i="3"/>
  <c r="F9" i="5" s="1"/>
  <c r="E85" i="3"/>
  <c r="F20" i="5" s="1"/>
  <c r="F21" i="6" s="1"/>
  <c r="E72" i="3"/>
  <c r="F7" i="5" s="1"/>
  <c r="E80" i="3"/>
  <c r="F15" i="5" s="1"/>
  <c r="E90" i="3"/>
  <c r="F25" i="5" s="1"/>
  <c r="E76" i="3"/>
  <c r="F11" i="5" s="1"/>
  <c r="E77" i="3"/>
  <c r="F12" i="5" s="1"/>
  <c r="F13" i="6" s="1"/>
  <c r="E79" i="3"/>
  <c r="F14" i="5" s="1"/>
  <c r="F15" i="6" s="1"/>
  <c r="E87" i="3"/>
  <c r="F22" i="5" s="1"/>
  <c r="E84" i="3"/>
  <c r="F19" i="5" s="1"/>
  <c r="F20" i="6" s="1"/>
  <c r="E83" i="3"/>
  <c r="F18" i="5" s="1"/>
  <c r="E75" i="3"/>
  <c r="F10" i="5" s="1"/>
  <c r="E12" i="6"/>
  <c r="E9" i="8"/>
  <c r="D104" i="20" s="1"/>
  <c r="E59" i="8"/>
  <c r="E34" i="8"/>
  <c r="E35" i="5"/>
  <c r="E84" i="8"/>
  <c r="AD9" i="18"/>
  <c r="AD42" i="18" s="1"/>
  <c r="EZ78" i="14"/>
  <c r="DV78" i="14" s="1"/>
  <c r="CM78" i="14"/>
  <c r="Y74" i="43" s="1"/>
  <c r="BN78" i="14" a="1"/>
  <c r="BN78" i="14" s="1"/>
  <c r="CR78" i="14" s="1"/>
  <c r="AD74" i="43" s="1"/>
  <c r="JK78" i="14"/>
  <c r="DO177" i="14"/>
  <c r="U26" i="21" s="1"/>
  <c r="H388" i="20"/>
  <c r="I6" i="21" s="1"/>
  <c r="CM11" i="14"/>
  <c r="Y7" i="43" s="1"/>
  <c r="EZ11" i="14"/>
  <c r="DV11" i="14" s="1"/>
  <c r="BN11" i="14" a="1"/>
  <c r="BN11" i="14" s="1"/>
  <c r="CR11" i="14" s="1"/>
  <c r="AD7" i="43" s="1"/>
  <c r="C388" i="20"/>
  <c r="D6" i="21" s="1"/>
  <c r="AE9" i="18"/>
  <c r="AE42" i="18" s="1"/>
  <c r="E11" i="6"/>
  <c r="E34" i="5"/>
  <c r="E58" i="8"/>
  <c r="E83" i="8"/>
  <c r="E33" i="8"/>
  <c r="E8" i="8"/>
  <c r="D85" i="20" s="1"/>
  <c r="D443" i="20"/>
  <c r="D441" i="20" s="1"/>
  <c r="X129" i="12"/>
  <c r="X127" i="12"/>
  <c r="E233" i="17"/>
  <c r="E262" i="17"/>
  <c r="E207" i="17"/>
  <c r="E182" i="17"/>
  <c r="H76" i="9"/>
  <c r="AL76" i="9" s="1"/>
  <c r="C201" i="20" s="1"/>
  <c r="C197" i="20" s="1"/>
  <c r="C195" i="20"/>
  <c r="E264" i="17"/>
  <c r="E235" i="17"/>
  <c r="E184" i="17"/>
  <c r="E209" i="17"/>
  <c r="H78" i="9"/>
  <c r="AL78" i="9" s="1"/>
  <c r="C239" i="20" s="1"/>
  <c r="C235" i="20" s="1"/>
  <c r="C233" i="20"/>
  <c r="JK10" i="14"/>
  <c r="Z9" i="18"/>
  <c r="Z42" i="18" s="1"/>
  <c r="CK179" i="14"/>
  <c r="T453" i="20"/>
  <c r="T388" i="20"/>
  <c r="U6" i="21" s="1"/>
  <c r="AD127" i="12"/>
  <c r="AD129" i="12"/>
  <c r="AA129" i="12"/>
  <c r="AA127" i="12"/>
  <c r="AD302" i="20"/>
  <c r="I161" i="3"/>
  <c r="J111" i="3"/>
  <c r="I136" i="3"/>
  <c r="I58" i="3" s="1"/>
  <c r="S388" i="20"/>
  <c r="T6" i="21" s="1"/>
  <c r="AC11" i="21"/>
  <c r="AC12" i="18"/>
  <c r="AC45" i="18" s="1"/>
  <c r="E26" i="6"/>
  <c r="E23" i="8"/>
  <c r="E73" i="8"/>
  <c r="E98" i="8"/>
  <c r="E48" i="8"/>
  <c r="E37" i="5"/>
  <c r="E86" i="8"/>
  <c r="E61" i="8"/>
  <c r="E11" i="8"/>
  <c r="D142" i="20" s="1"/>
  <c r="E36" i="8"/>
  <c r="AJ129" i="12"/>
  <c r="AJ127" i="12"/>
  <c r="Q388" i="20"/>
  <c r="R6" i="21" s="1"/>
  <c r="K11" i="21"/>
  <c r="K12" i="18"/>
  <c r="K45" i="18" s="1"/>
  <c r="AE11" i="21"/>
  <c r="AE12" i="18"/>
  <c r="AE45" i="18" s="1"/>
  <c r="D7" i="6"/>
  <c r="D54" i="8"/>
  <c r="D74" i="8" s="1"/>
  <c r="D4" i="8"/>
  <c r="D29" i="8"/>
  <c r="D49" i="8" s="1"/>
  <c r="D8" i="18" s="1"/>
  <c r="D41" i="18" s="1"/>
  <c r="D79" i="8"/>
  <c r="D99" i="8" s="1"/>
  <c r="D10" i="18" s="1"/>
  <c r="D43" i="18" s="1"/>
  <c r="D30" i="5"/>
  <c r="M9" i="18"/>
  <c r="M42" i="18" s="1"/>
  <c r="JO10" i="14"/>
  <c r="CP78" i="14"/>
  <c r="AB74" i="43" s="1"/>
  <c r="BQ78" i="14" a="1"/>
  <c r="BQ78" i="14" s="1"/>
  <c r="FC78" i="14"/>
  <c r="DY78" i="14" s="1"/>
  <c r="JN78" i="14"/>
  <c r="X9" i="18"/>
  <c r="X42" i="18" s="1"/>
  <c r="P388" i="20"/>
  <c r="Q6" i="21" s="1"/>
  <c r="M458" i="20"/>
  <c r="M450" i="20" s="1"/>
  <c r="CD179" i="14"/>
  <c r="I156" i="3"/>
  <c r="I131" i="3"/>
  <c r="I53" i="3" s="1"/>
  <c r="J106" i="3"/>
  <c r="Y302" i="20"/>
  <c r="Y299" i="20" s="1"/>
  <c r="AB12" i="18"/>
  <c r="AB45" i="18" s="1"/>
  <c r="AB11" i="21"/>
  <c r="O9" i="18"/>
  <c r="O42" i="18" s="1"/>
  <c r="O388" i="20"/>
  <c r="P6" i="21" s="1"/>
  <c r="U397" i="20"/>
  <c r="AD388" i="20"/>
  <c r="AE6" i="21" s="1"/>
  <c r="P11" i="21"/>
  <c r="P12" i="18"/>
  <c r="P45" i="18" s="1"/>
  <c r="E19" i="6"/>
  <c r="E41" i="8"/>
  <c r="E16" i="8"/>
  <c r="D237" i="20" s="1"/>
  <c r="E91" i="8"/>
  <c r="E66" i="8"/>
  <c r="E42" i="5"/>
  <c r="E9" i="6"/>
  <c r="E31" i="8"/>
  <c r="E81" i="8"/>
  <c r="E56" i="8"/>
  <c r="E32" i="5"/>
  <c r="E6" i="8"/>
  <c r="D47" i="20" s="1"/>
  <c r="D5" i="16" a="1"/>
  <c r="FA79" i="14"/>
  <c r="DW79" i="14" s="1"/>
  <c r="CN79" i="14"/>
  <c r="Z75" i="43" s="1"/>
  <c r="BO79" i="14" a="1"/>
  <c r="BO79" i="14" s="1"/>
  <c r="CS79" i="14" s="1"/>
  <c r="AE75" i="43" s="1"/>
  <c r="JM79" i="14"/>
  <c r="CH179" i="14"/>
  <c r="Q453" i="20"/>
  <c r="AF9" i="18"/>
  <c r="AF42" i="18" s="1"/>
  <c r="E270" i="17"/>
  <c r="E241" i="17"/>
  <c r="E190" i="17"/>
  <c r="E215" i="17"/>
  <c r="C347" i="20"/>
  <c r="H83" i="9"/>
  <c r="AL83" i="9" s="1"/>
  <c r="H79" i="9"/>
  <c r="AL79" i="9" s="1"/>
  <c r="C366" i="20"/>
  <c r="W11" i="21"/>
  <c r="W12" i="18"/>
  <c r="W45" i="18" s="1"/>
  <c r="Y388" i="20"/>
  <c r="Z6" i="21" s="1"/>
  <c r="N288" i="20"/>
  <c r="CE177" i="14"/>
  <c r="O25" i="21" s="1"/>
  <c r="O36" i="21" s="1"/>
  <c r="CE178" i="14"/>
  <c r="W151" i="20"/>
  <c r="Q127" i="12"/>
  <c r="Q129" i="12"/>
  <c r="H138" i="3"/>
  <c r="H60" i="3" s="1"/>
  <c r="H163" i="3"/>
  <c r="I113" i="3"/>
  <c r="W388" i="20"/>
  <c r="X6" i="21" s="1"/>
  <c r="V388" i="20"/>
  <c r="W6" i="21" s="1"/>
  <c r="E257" i="17"/>
  <c r="E202" i="17"/>
  <c r="E177" i="17"/>
  <c r="E228" i="17"/>
  <c r="H74" i="9"/>
  <c r="AL74" i="9" s="1"/>
  <c r="C106" i="20" s="1"/>
  <c r="C102" i="20" s="1"/>
  <c r="C100" i="20"/>
  <c r="Q5" i="9"/>
  <c r="AT5" i="9"/>
  <c r="P9" i="18"/>
  <c r="P42" i="18" s="1"/>
  <c r="S129" i="12"/>
  <c r="S127" i="12"/>
  <c r="M388" i="20"/>
  <c r="N6" i="21" s="1"/>
  <c r="AE150" i="20"/>
  <c r="Z150" i="20"/>
  <c r="V155" i="20"/>
  <c r="M288" i="20"/>
  <c r="CD178" i="14"/>
  <c r="CD177" i="14"/>
  <c r="N25" i="21" s="1"/>
  <c r="N36" i="21" s="1"/>
  <c r="J388" i="20"/>
  <c r="K6" i="21" s="1"/>
  <c r="J280" i="20"/>
  <c r="J394" i="20" s="1"/>
  <c r="J402" i="20"/>
  <c r="U9" i="18"/>
  <c r="U42" i="18" s="1"/>
  <c r="E265" i="17"/>
  <c r="E210" i="17"/>
  <c r="E185" i="17"/>
  <c r="E236" i="17"/>
  <c r="C258" i="20"/>
  <c r="C254" i="20" s="1"/>
  <c r="C252" i="20"/>
  <c r="D38" i="6"/>
  <c r="E22" i="6"/>
  <c r="E45" i="5"/>
  <c r="E94" i="8"/>
  <c r="E69" i="8"/>
  <c r="E44" i="8"/>
  <c r="E19" i="8"/>
  <c r="D294" i="20" s="1"/>
  <c r="E17" i="6"/>
  <c r="E40" i="5"/>
  <c r="E14" i="8"/>
  <c r="D199" i="20" s="1"/>
  <c r="E64" i="8"/>
  <c r="E89" i="8"/>
  <c r="E39" i="8"/>
  <c r="F388" i="20"/>
  <c r="G6" i="21" s="1"/>
  <c r="B216" i="20"/>
  <c r="L11" i="21"/>
  <c r="L12" i="18"/>
  <c r="L45" i="18" s="1"/>
  <c r="G11" i="21"/>
  <c r="G12" i="18"/>
  <c r="G45" i="18" s="1"/>
  <c r="JO87" i="14"/>
  <c r="F11" i="21"/>
  <c r="F12" i="18"/>
  <c r="F45" i="18" s="1"/>
  <c r="JL79" i="14"/>
  <c r="CC177" i="14"/>
  <c r="M25" i="21" s="1"/>
  <c r="M36" i="21" s="1"/>
  <c r="E93" i="8"/>
  <c r="E18" i="8"/>
  <c r="D275" i="20" s="1"/>
  <c r="E68" i="8"/>
  <c r="E43" i="8"/>
  <c r="E44" i="5"/>
  <c r="JM11" i="14"/>
  <c r="E259" i="17"/>
  <c r="E179" i="17"/>
  <c r="E204" i="17"/>
  <c r="E230" i="17"/>
  <c r="C144" i="20"/>
  <c r="C140" i="20" s="1"/>
  <c r="C138" i="20"/>
  <c r="T458" i="20"/>
  <c r="T22" i="20"/>
  <c r="AB127" i="12"/>
  <c r="AB129" i="12"/>
  <c r="J434" i="20"/>
  <c r="J432" i="20" s="1"/>
  <c r="T127" i="12"/>
  <c r="T129" i="12"/>
  <c r="DK177" i="14"/>
  <c r="Q26" i="21" s="1"/>
  <c r="JO11" i="14"/>
  <c r="K388" i="20"/>
  <c r="L6" i="21" s="1"/>
  <c r="Y129" i="12"/>
  <c r="Y127" i="12"/>
  <c r="S9" i="18"/>
  <c r="S42" i="18" s="1"/>
  <c r="E17" i="8"/>
  <c r="D256" i="20" s="1"/>
  <c r="E67" i="8"/>
  <c r="E92" i="8"/>
  <c r="E42" i="8"/>
  <c r="E43" i="5"/>
  <c r="Z388" i="20"/>
  <c r="AA6" i="21" s="1"/>
  <c r="F188" i="3"/>
  <c r="F176" i="3"/>
  <c r="F180" i="3"/>
  <c r="F193" i="3"/>
  <c r="F177" i="3"/>
  <c r="F185" i="3"/>
  <c r="F190" i="3"/>
  <c r="F182" i="3"/>
  <c r="F187" i="3"/>
  <c r="F179" i="3"/>
  <c r="F192" i="3"/>
  <c r="F184" i="3"/>
  <c r="F189" i="3"/>
  <c r="F181" i="3"/>
  <c r="F175" i="3"/>
  <c r="F194" i="3"/>
  <c r="F70" i="3"/>
  <c r="F183" i="3"/>
  <c r="F191" i="3"/>
  <c r="F178" i="3"/>
  <c r="F186" i="3"/>
  <c r="F9" i="18"/>
  <c r="F42" i="18" s="1"/>
  <c r="AC388" i="20"/>
  <c r="AD6" i="21" s="1"/>
  <c r="I129" i="12"/>
  <c r="I127" i="12"/>
  <c r="N12" i="18"/>
  <c r="N45" i="18" s="1"/>
  <c r="N11" i="21"/>
  <c r="I9" i="18"/>
  <c r="I42" i="18" s="1"/>
  <c r="V12" i="18"/>
  <c r="V45" i="18" s="1"/>
  <c r="V11" i="21"/>
  <c r="U129" i="12"/>
  <c r="U127" i="12"/>
  <c r="E271" i="17"/>
  <c r="E216" i="17"/>
  <c r="E191" i="17"/>
  <c r="E242" i="17"/>
  <c r="CM10" i="14"/>
  <c r="Y6" i="43" s="1"/>
  <c r="EZ10" i="14"/>
  <c r="DV10" i="14" s="1"/>
  <c r="BN10" i="14" a="1"/>
  <c r="BN10" i="14" s="1"/>
  <c r="JN10" i="14"/>
  <c r="AA11" i="21"/>
  <c r="AA12" i="18"/>
  <c r="AA45" i="18" s="1"/>
  <c r="E240" i="17"/>
  <c r="E269" i="17"/>
  <c r="E189" i="17"/>
  <c r="E214" i="17"/>
  <c r="H82" i="9"/>
  <c r="AL82" i="9" s="1"/>
  <c r="C334" i="20" s="1"/>
  <c r="C330" i="20" s="1"/>
  <c r="C328" i="20"/>
  <c r="D40" i="6"/>
  <c r="C9" i="18"/>
  <c r="C42" i="18" s="1"/>
  <c r="E261" i="17"/>
  <c r="E232" i="17"/>
  <c r="E181" i="17"/>
  <c r="E206" i="17"/>
  <c r="C176" i="20"/>
  <c r="H75" i="9"/>
  <c r="AL75" i="9" s="1"/>
  <c r="C182" i="20" s="1"/>
  <c r="C178" i="20" s="1"/>
  <c r="D36" i="6"/>
  <c r="BE102" i="14" a="1"/>
  <c r="BE102" i="14" s="1"/>
  <c r="CF102" i="14"/>
  <c r="R98" i="43" s="1"/>
  <c r="R108" i="43" s="1"/>
  <c r="EQ102" i="14"/>
  <c r="DM102" i="14" s="1"/>
  <c r="DM177" i="14" s="1"/>
  <c r="S26" i="21" s="1"/>
  <c r="JE102" i="14"/>
  <c r="CN44" i="14"/>
  <c r="Z40" i="43" s="1"/>
  <c r="BO44" i="14" a="1"/>
  <c r="BO44" i="14" s="1"/>
  <c r="CS44" i="14" s="1"/>
  <c r="AE40" i="43" s="1"/>
  <c r="FA44" i="14"/>
  <c r="DW44" i="14" s="1"/>
  <c r="W129" i="12"/>
  <c r="W127" i="12"/>
  <c r="JD102" i="14"/>
  <c r="JD177" i="14" s="1"/>
  <c r="T66" i="9" s="1"/>
  <c r="AX66" i="9" s="1"/>
  <c r="O428" i="20" s="1"/>
  <c r="O426" i="20" s="1"/>
  <c r="E18" i="6"/>
  <c r="E41" i="5"/>
  <c r="E65" i="8"/>
  <c r="E90" i="8"/>
  <c r="E15" i="8"/>
  <c r="D218" i="20" s="1"/>
  <c r="E40" i="8"/>
  <c r="E25" i="6"/>
  <c r="E22" i="8"/>
  <c r="E97" i="8"/>
  <c r="E72" i="8"/>
  <c r="E47" i="8"/>
  <c r="E267" i="17"/>
  <c r="E212" i="17"/>
  <c r="E187" i="17"/>
  <c r="E238" i="17"/>
  <c r="H80" i="9"/>
  <c r="AL80" i="9" s="1"/>
  <c r="C296" i="20" s="1"/>
  <c r="C292" i="20" s="1"/>
  <c r="C290" i="20"/>
  <c r="G174" i="3"/>
  <c r="H173" i="3"/>
  <c r="J129" i="12"/>
  <c r="J127" i="12"/>
  <c r="B388" i="20"/>
  <c r="C6" i="21" s="1"/>
  <c r="K280" i="20"/>
  <c r="K394" i="20" s="1"/>
  <c r="K402" i="20"/>
  <c r="J116" i="3"/>
  <c r="I166" i="3"/>
  <c r="I141" i="3"/>
  <c r="I63" i="3" s="1"/>
  <c r="JL11" i="14"/>
  <c r="E9" i="18"/>
  <c r="E42" i="18" s="1"/>
  <c r="H9" i="18"/>
  <c r="H42" i="18" s="1"/>
  <c r="E388" i="20"/>
  <c r="F6" i="21" s="1"/>
  <c r="I157" i="3"/>
  <c r="J107" i="3"/>
  <c r="I132" i="3"/>
  <c r="I54" i="3" s="1"/>
  <c r="AA388" i="20"/>
  <c r="AB6" i="21" s="1"/>
  <c r="V150" i="20"/>
  <c r="AA150" i="20"/>
  <c r="M11" i="21"/>
  <c r="M12" i="18"/>
  <c r="M45" i="18" s="1"/>
  <c r="AF11" i="21"/>
  <c r="AF12" i="18"/>
  <c r="AF45" i="18" s="1"/>
  <c r="L9" i="18"/>
  <c r="L42" i="18" s="1"/>
  <c r="JN87" i="14"/>
  <c r="Q302" i="20"/>
  <c r="Q299" i="20" s="1"/>
  <c r="V129" i="12"/>
  <c r="V127" i="12"/>
  <c r="O11" i="21"/>
  <c r="O12" i="18"/>
  <c r="O45" i="18" s="1"/>
  <c r="X124" i="3"/>
  <c r="W46" i="3"/>
  <c r="C11" i="21"/>
  <c r="C12" i="18"/>
  <c r="C45" i="18" s="1"/>
  <c r="H129" i="12"/>
  <c r="H127" i="12"/>
  <c r="G129" i="12"/>
  <c r="G127" i="12"/>
  <c r="V9" i="18"/>
  <c r="V42" i="18" s="1"/>
  <c r="J9" i="18"/>
  <c r="J42" i="18" s="1"/>
  <c r="I158" i="3"/>
  <c r="J108" i="3"/>
  <c r="I133" i="3"/>
  <c r="I55" i="3" s="1"/>
  <c r="G9" i="18"/>
  <c r="G42" i="18" s="1"/>
  <c r="R388" i="20"/>
  <c r="S6" i="21" s="1"/>
  <c r="JF102" i="14"/>
  <c r="JK11" i="14"/>
  <c r="E36" i="5"/>
  <c r="E10" i="8"/>
  <c r="D123" i="20" s="1"/>
  <c r="E60" i="8"/>
  <c r="E85" i="8"/>
  <c r="E35" i="8"/>
  <c r="I11" i="21"/>
  <c r="I12" i="18"/>
  <c r="I45" i="18" s="1"/>
  <c r="L129" i="12"/>
  <c r="L127" i="12"/>
  <c r="X388" i="20"/>
  <c r="Y6" i="21" s="1"/>
  <c r="JO78" i="14"/>
  <c r="D388" i="20"/>
  <c r="E6" i="21" s="1"/>
  <c r="N388" i="20"/>
  <c r="O6" i="21" s="1"/>
  <c r="L388" i="20"/>
  <c r="M6" i="21" s="1"/>
  <c r="AB388" i="20"/>
  <c r="AC6" i="21" s="1"/>
  <c r="J11" i="21"/>
  <c r="J12" i="18"/>
  <c r="J45" i="18" s="1"/>
  <c r="R9" i="18"/>
  <c r="R42" i="18" s="1"/>
  <c r="P127" i="12"/>
  <c r="P129" i="12"/>
  <c r="X302" i="20"/>
  <c r="X299" i="20" s="1"/>
  <c r="D9" i="18"/>
  <c r="D42" i="18" s="1"/>
  <c r="AE388" i="20"/>
  <c r="AF6" i="21" s="1"/>
  <c r="E255" i="17"/>
  <c r="E175" i="17"/>
  <c r="E226" i="17"/>
  <c r="E200" i="17"/>
  <c r="H72" i="9"/>
  <c r="AL72" i="9" s="1"/>
  <c r="C68" i="20" s="1"/>
  <c r="C64" i="20" s="1"/>
  <c r="C62" i="20"/>
  <c r="G388" i="20"/>
  <c r="H6" i="21" s="1"/>
  <c r="N129" i="12"/>
  <c r="N127" i="12"/>
  <c r="K129" i="12"/>
  <c r="K127" i="12"/>
  <c r="I388" i="20"/>
  <c r="J6" i="21" s="1"/>
  <c r="E23" i="6"/>
  <c r="E20" i="8"/>
  <c r="D313" i="20" s="1"/>
  <c r="E46" i="5"/>
  <c r="E95" i="8"/>
  <c r="E45" i="8"/>
  <c r="E70" i="8"/>
  <c r="JM87" i="14"/>
  <c r="T9" i="18"/>
  <c r="T42" i="18" s="1"/>
  <c r="CO86" i="14"/>
  <c r="AA82" i="43" s="1"/>
  <c r="BP86" i="14" a="1"/>
  <c r="BP86" i="14" s="1"/>
  <c r="CT86" i="14" s="1"/>
  <c r="AF82" i="43" s="1"/>
  <c r="FB86" i="14"/>
  <c r="DX86" i="14" s="1"/>
  <c r="I153" i="3"/>
  <c r="I128" i="3"/>
  <c r="I50" i="3" s="1"/>
  <c r="J103" i="3"/>
  <c r="CN102" i="14"/>
  <c r="Z98" i="43" s="1"/>
  <c r="EY102" i="14"/>
  <c r="DU102" i="14" s="1"/>
  <c r="BM102" i="14" a="1"/>
  <c r="BM102" i="14" s="1"/>
  <c r="J130" i="3" l="1"/>
  <c r="J52" i="3" s="1"/>
  <c r="J155" i="3"/>
  <c r="K105" i="3"/>
  <c r="Z108" i="43"/>
  <c r="R110" i="43"/>
  <c r="S110" i="43" s="1"/>
  <c r="T110" i="43" s="1"/>
  <c r="C44" i="6"/>
  <c r="Q450" i="20"/>
  <c r="AI7" i="43"/>
  <c r="AI75" i="43"/>
  <c r="AI82" i="43"/>
  <c r="AI40" i="43"/>
  <c r="C43" i="6"/>
  <c r="AC397" i="20"/>
  <c r="W283" i="20"/>
  <c r="W284" i="20"/>
  <c r="W398" i="20" s="1"/>
  <c r="AC453" i="20"/>
  <c r="CF177" i="14"/>
  <c r="P25" i="21" s="1"/>
  <c r="P36" i="21" s="1"/>
  <c r="AC454" i="20"/>
  <c r="W458" i="20"/>
  <c r="W22" i="20"/>
  <c r="W14" i="20" s="1"/>
  <c r="AB302" i="20"/>
  <c r="AB299" i="20" s="1"/>
  <c r="X454" i="20"/>
  <c r="AB283" i="20"/>
  <c r="Q288" i="20"/>
  <c r="Q280" i="20" s="1"/>
  <c r="Z22" i="20"/>
  <c r="AA454" i="20"/>
  <c r="AE22" i="20"/>
  <c r="AE14" i="20" s="1"/>
  <c r="AC284" i="20"/>
  <c r="V454" i="20"/>
  <c r="X284" i="20"/>
  <c r="X398" i="20" s="1"/>
  <c r="X453" i="20"/>
  <c r="C3" i="21"/>
  <c r="D4" i="16"/>
  <c r="C8" i="21" s="1"/>
  <c r="AH23" i="20"/>
  <c r="AH194" i="20"/>
  <c r="AH289" i="20"/>
  <c r="AT6" i="9"/>
  <c r="Q6" i="9"/>
  <c r="I115" i="3"/>
  <c r="H165" i="3"/>
  <c r="H140" i="3"/>
  <c r="H62" i="3" s="1"/>
  <c r="J117" i="3"/>
  <c r="I142" i="3"/>
  <c r="I64" i="3" s="1"/>
  <c r="I167" i="3"/>
  <c r="I162" i="3"/>
  <c r="I137" i="3"/>
  <c r="I59" i="3" s="1"/>
  <c r="J112" i="3"/>
  <c r="AH137" i="20"/>
  <c r="AH80" i="20"/>
  <c r="G89" i="17"/>
  <c r="E45" i="17"/>
  <c r="E47" i="17"/>
  <c r="D44" i="16"/>
  <c r="D46" i="16"/>
  <c r="D47" i="16"/>
  <c r="AH99" i="20"/>
  <c r="AH213" i="20"/>
  <c r="D243" i="17"/>
  <c r="D272" i="17"/>
  <c r="D274" i="17" s="1"/>
  <c r="T155" i="20"/>
  <c r="T147" i="20" s="1"/>
  <c r="AH175" i="20"/>
  <c r="AH270" i="20"/>
  <c r="B385" i="20"/>
  <c r="E46" i="17"/>
  <c r="G90" i="17"/>
  <c r="G92" i="17"/>
  <c r="E44" i="17"/>
  <c r="E56" i="17" s="1"/>
  <c r="D5" i="16"/>
  <c r="G88" i="17"/>
  <c r="E48" i="17"/>
  <c r="D18" i="16"/>
  <c r="D40" i="16" s="1"/>
  <c r="G93" i="17"/>
  <c r="D217" i="17"/>
  <c r="D218" i="17" s="1"/>
  <c r="D219" i="17" s="1"/>
  <c r="C29" i="6"/>
  <c r="D48" i="16"/>
  <c r="G91" i="17"/>
  <c r="G52" i="9"/>
  <c r="AK52" i="9" s="1"/>
  <c r="D45" i="16"/>
  <c r="C7" i="18"/>
  <c r="C34" i="18" s="1"/>
  <c r="C36" i="18" s="1"/>
  <c r="G53" i="9"/>
  <c r="AK53" i="9" s="1"/>
  <c r="D192" i="17"/>
  <c r="D9" i="17" s="1"/>
  <c r="R397" i="20"/>
  <c r="E35" i="17"/>
  <c r="AK150" i="9"/>
  <c r="M11" i="18" s="1"/>
  <c r="M44" i="18" s="1"/>
  <c r="B391" i="20"/>
  <c r="E36" i="17"/>
  <c r="E34" i="17"/>
  <c r="E33" i="17"/>
  <c r="AI213" i="20"/>
  <c r="W302" i="20"/>
  <c r="W299" i="20" s="1"/>
  <c r="JQ86" i="14"/>
  <c r="JF177" i="14"/>
  <c r="V66" i="9" s="1"/>
  <c r="AZ66" i="9" s="1"/>
  <c r="Q428" i="20" s="1"/>
  <c r="Q426" i="20" s="1"/>
  <c r="R155" i="20"/>
  <c r="R147" i="20" s="1"/>
  <c r="JR10" i="14"/>
  <c r="JS79" i="14"/>
  <c r="JR78" i="14"/>
  <c r="JP86" i="14"/>
  <c r="AI308" i="20"/>
  <c r="CN179" i="14"/>
  <c r="DN177" i="14"/>
  <c r="T26" i="21" s="1"/>
  <c r="CH178" i="14"/>
  <c r="W453" i="20"/>
  <c r="AI137" i="20"/>
  <c r="JS86" i="14"/>
  <c r="Q397" i="20"/>
  <c r="JQ79" i="14"/>
  <c r="JT79" i="14"/>
  <c r="JT86" i="14"/>
  <c r="AI80" i="20"/>
  <c r="AI270" i="20"/>
  <c r="AI42" i="20"/>
  <c r="AI251" i="20"/>
  <c r="AI175" i="20"/>
  <c r="AI232" i="20"/>
  <c r="AI118" i="20"/>
  <c r="AI156" i="20"/>
  <c r="AI61" i="20"/>
  <c r="AI99" i="20"/>
  <c r="AI194" i="20"/>
  <c r="AI23" i="20"/>
  <c r="JI102" i="14"/>
  <c r="F25" i="6"/>
  <c r="F97" i="8"/>
  <c r="F72" i="8"/>
  <c r="F47" i="8"/>
  <c r="F22" i="8"/>
  <c r="JP11" i="14"/>
  <c r="I135" i="3"/>
  <c r="I57" i="3" s="1"/>
  <c r="J110" i="3"/>
  <c r="I160" i="3"/>
  <c r="R288" i="20"/>
  <c r="R280" i="20" s="1"/>
  <c r="CI178" i="14"/>
  <c r="O280" i="20"/>
  <c r="O394" i="20" s="1"/>
  <c r="O402" i="20"/>
  <c r="X46" i="3"/>
  <c r="Y124" i="3"/>
  <c r="F37" i="5"/>
  <c r="F11" i="8"/>
  <c r="E142" i="20" s="1"/>
  <c r="F36" i="8"/>
  <c r="F86" i="8"/>
  <c r="F61" i="8"/>
  <c r="F17" i="6"/>
  <c r="F14" i="8"/>
  <c r="E199" i="20" s="1"/>
  <c r="F40" i="5"/>
  <c r="F89" i="8"/>
  <c r="F64" i="8"/>
  <c r="F39" i="8"/>
  <c r="J127" i="3"/>
  <c r="J49" i="3" s="1"/>
  <c r="J152" i="3"/>
  <c r="K102" i="3"/>
  <c r="F232" i="17"/>
  <c r="F181" i="17"/>
  <c r="F206" i="17"/>
  <c r="F261" i="17"/>
  <c r="I75" i="9"/>
  <c r="AM75" i="9" s="1"/>
  <c r="D182" i="20" s="1"/>
  <c r="D178" i="20" s="1"/>
  <c r="D176" i="20"/>
  <c r="E36" i="6"/>
  <c r="F60" i="8"/>
  <c r="F85" i="8"/>
  <c r="F10" i="8"/>
  <c r="E123" i="20" s="1"/>
  <c r="F35" i="8"/>
  <c r="F36" i="5"/>
  <c r="E443" i="20"/>
  <c r="E441" i="20" s="1"/>
  <c r="F226" i="17"/>
  <c r="F175" i="17"/>
  <c r="F200" i="17"/>
  <c r="F255" i="17"/>
  <c r="D62" i="20"/>
  <c r="I72" i="9"/>
  <c r="AM72" i="9" s="1"/>
  <c r="D68" i="20" s="1"/>
  <c r="D64" i="20" s="1"/>
  <c r="CU87" i="14"/>
  <c r="AG83" i="43" s="1"/>
  <c r="JS87" i="14"/>
  <c r="JT87" i="14"/>
  <c r="K116" i="3"/>
  <c r="J166" i="3"/>
  <c r="J141" i="3"/>
  <c r="J63" i="3" s="1"/>
  <c r="AI289" i="20"/>
  <c r="O458" i="20"/>
  <c r="O450" i="20" s="1"/>
  <c r="CF179" i="14"/>
  <c r="D24" i="8"/>
  <c r="C9" i="20"/>
  <c r="F271" i="17"/>
  <c r="F216" i="17"/>
  <c r="F191" i="17"/>
  <c r="F242" i="17"/>
  <c r="F9" i="6"/>
  <c r="F81" i="8"/>
  <c r="F31" i="8"/>
  <c r="F56" i="8"/>
  <c r="F32" i="5"/>
  <c r="F6" i="8"/>
  <c r="E47" i="20" s="1"/>
  <c r="ET102" i="14"/>
  <c r="DP102" i="14" s="1"/>
  <c r="DP177" i="14" s="1"/>
  <c r="V26" i="21" s="1"/>
  <c r="BH102" i="14" a="1"/>
  <c r="BH102" i="14" s="1"/>
  <c r="CI102" i="14"/>
  <c r="U98" i="43" s="1"/>
  <c r="U108" i="43" s="1"/>
  <c r="JR86" i="14"/>
  <c r="AI327" i="20"/>
  <c r="CR10" i="14"/>
  <c r="AD6" i="43" s="1"/>
  <c r="JS10" i="14"/>
  <c r="Y155" i="20"/>
  <c r="Y147" i="20" s="1"/>
  <c r="N280" i="20"/>
  <c r="N394" i="20" s="1"/>
  <c r="N402" i="20"/>
  <c r="AI346" i="20"/>
  <c r="JR79" i="14"/>
  <c r="E252" i="17"/>
  <c r="E172" i="17"/>
  <c r="E192" i="17" s="1"/>
  <c r="E223" i="17"/>
  <c r="E243" i="17" s="1"/>
  <c r="E197" i="17"/>
  <c r="E217" i="17" s="1"/>
  <c r="D27" i="6"/>
  <c r="H69" i="9"/>
  <c r="AL69" i="9" s="1"/>
  <c r="C5" i="20"/>
  <c r="D32" i="6"/>
  <c r="AD299" i="20"/>
  <c r="AD397" i="20"/>
  <c r="F257" i="17"/>
  <c r="F228" i="17"/>
  <c r="F202" i="17"/>
  <c r="F177" i="17"/>
  <c r="D100" i="20"/>
  <c r="I74" i="9"/>
  <c r="AM74" i="9" s="1"/>
  <c r="D106" i="20" s="1"/>
  <c r="D102" i="20" s="1"/>
  <c r="F8" i="6"/>
  <c r="F5" i="8"/>
  <c r="E28" i="20" s="1"/>
  <c r="F31" i="5"/>
  <c r="F30" i="8"/>
  <c r="F55" i="8"/>
  <c r="F80" i="8"/>
  <c r="Z397" i="20"/>
  <c r="AE397" i="20"/>
  <c r="AI365" i="20"/>
  <c r="F268" i="17"/>
  <c r="F213" i="17"/>
  <c r="F239" i="17"/>
  <c r="F188" i="17"/>
  <c r="I81" i="9"/>
  <c r="AM81" i="9" s="1"/>
  <c r="D315" i="20" s="1"/>
  <c r="D311" i="20" s="1"/>
  <c r="D309" i="20"/>
  <c r="E39" i="6"/>
  <c r="F68" i="8"/>
  <c r="F43" i="8"/>
  <c r="F93" i="8"/>
  <c r="F18" i="8"/>
  <c r="E275" i="20" s="1"/>
  <c r="F44" i="5"/>
  <c r="F18" i="6"/>
  <c r="F65" i="8"/>
  <c r="F41" i="5"/>
  <c r="F40" i="8"/>
  <c r="F90" i="8"/>
  <c r="F15" i="8"/>
  <c r="E218" i="20" s="1"/>
  <c r="CR87" i="14"/>
  <c r="AD83" i="43" s="1"/>
  <c r="JP87" i="14"/>
  <c r="JR87" i="14"/>
  <c r="JE177" i="14"/>
  <c r="U66" i="9" s="1"/>
  <c r="AY66" i="9" s="1"/>
  <c r="P428" i="20" s="1"/>
  <c r="P426" i="20" s="1"/>
  <c r="G58" i="16"/>
  <c r="B7" i="20"/>
  <c r="JQ11" i="14"/>
  <c r="V302" i="20"/>
  <c r="V299" i="20" s="1"/>
  <c r="H55" i="16"/>
  <c r="H53" i="16"/>
  <c r="H56" i="16"/>
  <c r="H54" i="16"/>
  <c r="H57" i="16"/>
  <c r="K7" i="9"/>
  <c r="AO7" i="9" s="1"/>
  <c r="F87" i="3"/>
  <c r="G22" i="5" s="1"/>
  <c r="F89" i="3"/>
  <c r="G24" i="5" s="1"/>
  <c r="F78" i="3"/>
  <c r="G13" i="5" s="1"/>
  <c r="G14" i="6" s="1"/>
  <c r="F86" i="3"/>
  <c r="G21" i="5" s="1"/>
  <c r="F71" i="3"/>
  <c r="F83" i="3"/>
  <c r="G18" i="5" s="1"/>
  <c r="F76" i="3"/>
  <c r="G11" i="5" s="1"/>
  <c r="F85" i="3"/>
  <c r="G20" i="5" s="1"/>
  <c r="G21" i="6" s="1"/>
  <c r="F82" i="3"/>
  <c r="G17" i="5" s="1"/>
  <c r="F72" i="3"/>
  <c r="G7" i="5" s="1"/>
  <c r="F90" i="3"/>
  <c r="G25" i="5" s="1"/>
  <c r="F77" i="3"/>
  <c r="G12" i="5" s="1"/>
  <c r="G13" i="6" s="1"/>
  <c r="F81" i="3"/>
  <c r="G16" i="5" s="1"/>
  <c r="F73" i="3"/>
  <c r="G8" i="5" s="1"/>
  <c r="F74" i="3"/>
  <c r="G9" i="5" s="1"/>
  <c r="F80" i="3"/>
  <c r="G15" i="5" s="1"/>
  <c r="F79" i="3"/>
  <c r="G14" i="5" s="1"/>
  <c r="G15" i="6" s="1"/>
  <c r="F84" i="3"/>
  <c r="G19" i="5" s="1"/>
  <c r="G20" i="6" s="1"/>
  <c r="F88" i="3"/>
  <c r="G23" i="5" s="1"/>
  <c r="F75" i="3"/>
  <c r="G10" i="5" s="1"/>
  <c r="CU78" i="14"/>
  <c r="AG74" i="43" s="1"/>
  <c r="AI74" i="43" s="1"/>
  <c r="JT78" i="14"/>
  <c r="F256" i="17"/>
  <c r="F201" i="17"/>
  <c r="F227" i="17"/>
  <c r="F176" i="17"/>
  <c r="I73" i="9"/>
  <c r="AM73" i="9" s="1"/>
  <c r="D87" i="20" s="1"/>
  <c r="D83" i="20" s="1"/>
  <c r="D81" i="20"/>
  <c r="E34" i="6"/>
  <c r="F11" i="6"/>
  <c r="F58" i="8"/>
  <c r="F83" i="8"/>
  <c r="F34" i="5"/>
  <c r="F33" i="8"/>
  <c r="F8" i="8"/>
  <c r="E85" i="20" s="1"/>
  <c r="F10" i="6"/>
  <c r="F82" i="8"/>
  <c r="F7" i="8"/>
  <c r="E66" i="20" s="1"/>
  <c r="F33" i="5"/>
  <c r="F32" i="8"/>
  <c r="F57" i="8"/>
  <c r="K434" i="20"/>
  <c r="K432" i="20" s="1"/>
  <c r="F240" i="17"/>
  <c r="F214" i="17"/>
  <c r="F189" i="17"/>
  <c r="F269" i="17"/>
  <c r="I82" i="9"/>
  <c r="AM82" i="9" s="1"/>
  <c r="D334" i="20" s="1"/>
  <c r="D330" i="20" s="1"/>
  <c r="D328" i="20"/>
  <c r="E40" i="6"/>
  <c r="F267" i="17"/>
  <c r="F212" i="17"/>
  <c r="F187" i="17"/>
  <c r="F238" i="17"/>
  <c r="D290" i="20"/>
  <c r="I80" i="9"/>
  <c r="AM80" i="9" s="1"/>
  <c r="D296" i="20" s="1"/>
  <c r="D292" i="20" s="1"/>
  <c r="F235" i="17"/>
  <c r="F184" i="17"/>
  <c r="F264" i="17"/>
  <c r="F209" i="17"/>
  <c r="I78" i="9"/>
  <c r="AM78" i="9" s="1"/>
  <c r="D239" i="20" s="1"/>
  <c r="D235" i="20" s="1"/>
  <c r="D233" i="20"/>
  <c r="F16" i="6"/>
  <c r="F63" i="8"/>
  <c r="F39" i="5"/>
  <c r="F88" i="8"/>
  <c r="F38" i="8"/>
  <c r="F13" i="8"/>
  <c r="E180" i="20" s="1"/>
  <c r="H164" i="3"/>
  <c r="I114" i="3"/>
  <c r="H139" i="3"/>
  <c r="H61" i="3" s="1"/>
  <c r="JT10" i="14"/>
  <c r="X397" i="20"/>
  <c r="JS11" i="14"/>
  <c r="JT11" i="14"/>
  <c r="U155" i="20"/>
  <c r="Y453" i="20"/>
  <c r="T450" i="20"/>
  <c r="F19" i="6"/>
  <c r="F16" i="8"/>
  <c r="E237" i="20" s="1"/>
  <c r="F66" i="8"/>
  <c r="F41" i="8"/>
  <c r="F91" i="8"/>
  <c r="F42" i="5"/>
  <c r="F24" i="6"/>
  <c r="F21" i="8"/>
  <c r="E332" i="20" s="1"/>
  <c r="F47" i="5"/>
  <c r="F96" i="8"/>
  <c r="F46" i="8"/>
  <c r="F71" i="8"/>
  <c r="F231" i="17"/>
  <c r="F205" i="17"/>
  <c r="F260" i="17"/>
  <c r="F180" i="17"/>
  <c r="D163" i="20"/>
  <c r="D159" i="20" s="1"/>
  <c r="D157" i="20"/>
  <c r="G193" i="3"/>
  <c r="G181" i="3"/>
  <c r="G177" i="3"/>
  <c r="G185" i="3"/>
  <c r="G190" i="3"/>
  <c r="G182" i="3"/>
  <c r="G187" i="3"/>
  <c r="G179" i="3"/>
  <c r="G192" i="3"/>
  <c r="G184" i="3"/>
  <c r="G176" i="3"/>
  <c r="G70" i="3"/>
  <c r="G189" i="3"/>
  <c r="G188" i="3"/>
  <c r="G183" i="3"/>
  <c r="G191" i="3"/>
  <c r="G178" i="3"/>
  <c r="G194" i="3"/>
  <c r="G175" i="3"/>
  <c r="G186" i="3"/>
  <c r="G180" i="3"/>
  <c r="F22" i="6"/>
  <c r="F45" i="5"/>
  <c r="F44" i="8"/>
  <c r="F69" i="8"/>
  <c r="F94" i="8"/>
  <c r="F19" i="8"/>
  <c r="E294" i="20" s="1"/>
  <c r="JR11" i="14"/>
  <c r="R5" i="9"/>
  <c r="AU5" i="9"/>
  <c r="V453" i="20"/>
  <c r="F26" i="6"/>
  <c r="F23" i="8"/>
  <c r="F73" i="8"/>
  <c r="F48" i="8"/>
  <c r="F98" i="8"/>
  <c r="E7" i="6"/>
  <c r="E54" i="8"/>
  <c r="E74" i="8" s="1"/>
  <c r="E4" i="8"/>
  <c r="E79" i="8"/>
  <c r="E99" i="8" s="1"/>
  <c r="E10" i="18" s="1"/>
  <c r="E43" i="18" s="1"/>
  <c r="E29" i="8"/>
  <c r="E49" i="8" s="1"/>
  <c r="E8" i="18" s="1"/>
  <c r="E41" i="18" s="1"/>
  <c r="E30" i="5"/>
  <c r="J158" i="3"/>
  <c r="K108" i="3"/>
  <c r="J133" i="3"/>
  <c r="J55" i="3" s="1"/>
  <c r="K107" i="3"/>
  <c r="J132" i="3"/>
  <c r="J54" i="3" s="1"/>
  <c r="J157" i="3"/>
  <c r="F263" i="17"/>
  <c r="F208" i="17"/>
  <c r="F234" i="17"/>
  <c r="F183" i="17"/>
  <c r="D214" i="20"/>
  <c r="I77" i="9"/>
  <c r="AM77" i="9" s="1"/>
  <c r="D220" i="20" s="1"/>
  <c r="D216" i="20" s="1"/>
  <c r="E37" i="6"/>
  <c r="JG102" i="14"/>
  <c r="JG177" i="14" s="1"/>
  <c r="W66" i="9" s="1"/>
  <c r="BA66" i="9" s="1"/>
  <c r="R428" i="20" s="1"/>
  <c r="R426" i="20" s="1"/>
  <c r="T14" i="20"/>
  <c r="F262" i="17"/>
  <c r="F233" i="17"/>
  <c r="F207" i="17"/>
  <c r="F182" i="17"/>
  <c r="I76" i="9"/>
  <c r="AM76" i="9" s="1"/>
  <c r="D201" i="20" s="1"/>
  <c r="D197" i="20" s="1"/>
  <c r="D195" i="20"/>
  <c r="F254" i="17"/>
  <c r="F225" i="17"/>
  <c r="F199" i="17"/>
  <c r="F174" i="17"/>
  <c r="I71" i="9"/>
  <c r="AM71" i="9" s="1"/>
  <c r="D49" i="20" s="1"/>
  <c r="D45" i="20" s="1"/>
  <c r="D43" i="20"/>
  <c r="F17" i="8"/>
  <c r="E256" i="20" s="1"/>
  <c r="F42" i="8"/>
  <c r="F43" i="5"/>
  <c r="F92" i="8"/>
  <c r="F67" i="8"/>
  <c r="I126" i="3"/>
  <c r="I48" i="3" s="1"/>
  <c r="I151" i="3"/>
  <c r="J101" i="3"/>
  <c r="JP10" i="14"/>
  <c r="F12" i="6"/>
  <c r="F34" i="8"/>
  <c r="F35" i="5"/>
  <c r="F59" i="8"/>
  <c r="F84" i="8"/>
  <c r="F9" i="8"/>
  <c r="E104" i="20" s="1"/>
  <c r="V147" i="20"/>
  <c r="F241" i="17"/>
  <c r="F190" i="17"/>
  <c r="F215" i="17"/>
  <c r="F270" i="17"/>
  <c r="I79" i="9"/>
  <c r="AM79" i="9" s="1"/>
  <c r="I83" i="9"/>
  <c r="AM83" i="9" s="1"/>
  <c r="D347" i="20"/>
  <c r="D366" i="20"/>
  <c r="F258" i="17"/>
  <c r="F203" i="17"/>
  <c r="F178" i="17"/>
  <c r="F229" i="17"/>
  <c r="D125" i="20"/>
  <c r="D121" i="20" s="1"/>
  <c r="D119" i="20"/>
  <c r="E35" i="6"/>
  <c r="F265" i="17"/>
  <c r="F210" i="17"/>
  <c r="F185" i="17"/>
  <c r="F236" i="17"/>
  <c r="D258" i="20"/>
  <c r="D254" i="20" s="1"/>
  <c r="D252" i="20"/>
  <c r="E38" i="6"/>
  <c r="P288" i="20"/>
  <c r="CG177" i="14"/>
  <c r="Q25" i="21" s="1"/>
  <c r="Q36" i="21" s="1"/>
  <c r="CG178" i="14"/>
  <c r="F259" i="17"/>
  <c r="F204" i="17"/>
  <c r="F230" i="17"/>
  <c r="F179" i="17"/>
  <c r="D144" i="20"/>
  <c r="D140" i="20" s="1"/>
  <c r="D138" i="20"/>
  <c r="JQ10" i="14"/>
  <c r="JS78" i="14"/>
  <c r="F23" i="6"/>
  <c r="F46" i="5"/>
  <c r="F20" i="8"/>
  <c r="E313" i="20" s="1"/>
  <c r="F70" i="8"/>
  <c r="F95" i="8"/>
  <c r="F45" i="8"/>
  <c r="P458" i="20"/>
  <c r="P450" i="20" s="1"/>
  <c r="CG179" i="14"/>
  <c r="F253" i="17"/>
  <c r="F224" i="17"/>
  <c r="F198" i="17"/>
  <c r="F173" i="17"/>
  <c r="I70" i="9"/>
  <c r="AM70" i="9" s="1"/>
  <c r="D30" i="20" s="1"/>
  <c r="D26" i="20" s="1"/>
  <c r="D24" i="20"/>
  <c r="E33" i="6"/>
  <c r="JQ78" i="14"/>
  <c r="O123" i="3"/>
  <c r="N45" i="3"/>
  <c r="I129" i="3"/>
  <c r="I51" i="3" s="1"/>
  <c r="J104" i="3"/>
  <c r="I154" i="3"/>
  <c r="J161" i="3"/>
  <c r="J136" i="3"/>
  <c r="J58" i="3" s="1"/>
  <c r="K111" i="3"/>
  <c r="CQ102" i="14"/>
  <c r="AC98" i="43" s="1"/>
  <c r="AC108" i="43" s="1"/>
  <c r="BP102" i="14" a="1"/>
  <c r="BP102" i="14" s="1"/>
  <c r="CT102" i="14" s="1"/>
  <c r="AF98" i="43" s="1"/>
  <c r="AF108" i="43" s="1"/>
  <c r="FB102" i="14"/>
  <c r="DX102" i="14" s="1"/>
  <c r="J131" i="3"/>
  <c r="J53" i="3" s="1"/>
  <c r="K106" i="3"/>
  <c r="J156" i="3"/>
  <c r="M402" i="20"/>
  <c r="M280" i="20"/>
  <c r="M394" i="20" s="1"/>
  <c r="I163" i="3"/>
  <c r="J113" i="3"/>
  <c r="I138" i="3"/>
  <c r="I60" i="3" s="1"/>
  <c r="L159" i="3"/>
  <c r="L134" i="3"/>
  <c r="L56" i="3" s="1"/>
  <c r="M109" i="3"/>
  <c r="J128" i="3"/>
  <c r="J50" i="3" s="1"/>
  <c r="J153" i="3"/>
  <c r="K103" i="3"/>
  <c r="JH102" i="14"/>
  <c r="CH177" i="14"/>
  <c r="R25" i="21" s="1"/>
  <c r="R36" i="21" s="1"/>
  <c r="H174" i="3"/>
  <c r="I173" i="3"/>
  <c r="F237" i="17"/>
  <c r="F266" i="17"/>
  <c r="F186" i="17"/>
  <c r="F211" i="17"/>
  <c r="D277" i="20"/>
  <c r="D273" i="20" s="1"/>
  <c r="D271" i="20"/>
  <c r="DR177" i="14"/>
  <c r="X26" i="21" s="1"/>
  <c r="JP78" i="14"/>
  <c r="F37" i="8"/>
  <c r="F38" i="5"/>
  <c r="F87" i="8"/>
  <c r="F62" i="8"/>
  <c r="F12" i="8"/>
  <c r="E161" i="20" s="1"/>
  <c r="F6" i="5"/>
  <c r="E67" i="3"/>
  <c r="BI102" i="14" a="1"/>
  <c r="BI102" i="14" s="1"/>
  <c r="CJ102" i="14"/>
  <c r="V98" i="43" s="1"/>
  <c r="V108" i="43" s="1"/>
  <c r="EU102" i="14"/>
  <c r="DQ102" i="14" s="1"/>
  <c r="S125" i="3"/>
  <c r="R47" i="3"/>
  <c r="AB453" i="20"/>
  <c r="JQ87" i="14"/>
  <c r="K155" i="3" l="1"/>
  <c r="L105" i="3"/>
  <c r="K130" i="3"/>
  <c r="K52" i="3" s="1"/>
  <c r="U110" i="43"/>
  <c r="V110" i="43" s="1"/>
  <c r="W110" i="43" s="1"/>
  <c r="AI6" i="43"/>
  <c r="Q402" i="20"/>
  <c r="W450" i="20"/>
  <c r="AB397" i="20"/>
  <c r="AI83" i="43"/>
  <c r="AB284" i="20"/>
  <c r="AA453" i="20"/>
  <c r="D44" i="6"/>
  <c r="E4" i="16"/>
  <c r="D12" i="17"/>
  <c r="D277" i="17"/>
  <c r="E59" i="17"/>
  <c r="J162" i="3"/>
  <c r="K112" i="3"/>
  <c r="J137" i="3"/>
  <c r="J59" i="3" s="1"/>
  <c r="J142" i="3"/>
  <c r="J64" i="3" s="1"/>
  <c r="J167" i="3"/>
  <c r="K117" i="3"/>
  <c r="I165" i="3"/>
  <c r="J115" i="3"/>
  <c r="I140" i="3"/>
  <c r="I62" i="3" s="1"/>
  <c r="R6" i="9"/>
  <c r="AU6" i="9"/>
  <c r="E57" i="17"/>
  <c r="D10" i="17"/>
  <c r="D11" i="17" s="1"/>
  <c r="W155" i="20"/>
  <c r="W147" i="20" s="1"/>
  <c r="W397" i="20"/>
  <c r="E51" i="17"/>
  <c r="D49" i="16"/>
  <c r="D6" i="16"/>
  <c r="C9" i="21"/>
  <c r="C10" i="21" s="1"/>
  <c r="AK149" i="9"/>
  <c r="D280" i="17" s="1"/>
  <c r="E58" i="17"/>
  <c r="D2" i="9"/>
  <c r="G94" i="17"/>
  <c r="D112" i="17" s="1"/>
  <c r="B407" i="20"/>
  <c r="B405" i="20" s="1"/>
  <c r="B404" i="20" s="1"/>
  <c r="B403" i="20" s="1"/>
  <c r="E60" i="17"/>
  <c r="D279" i="17"/>
  <c r="E39" i="17"/>
  <c r="AJ308" i="20"/>
  <c r="D43" i="6"/>
  <c r="V397" i="20"/>
  <c r="AB151" i="20"/>
  <c r="E272" i="17"/>
  <c r="E12" i="17" s="1"/>
  <c r="E273" i="17"/>
  <c r="JH177" i="14"/>
  <c r="X66" i="9" s="1"/>
  <c r="BB66" i="9" s="1"/>
  <c r="S428" i="20" s="1"/>
  <c r="S426" i="20" s="1"/>
  <c r="JK102" i="14"/>
  <c r="AJ61" i="20"/>
  <c r="AJ251" i="20"/>
  <c r="AJ137" i="20"/>
  <c r="AJ232" i="20"/>
  <c r="AJ289" i="20"/>
  <c r="AJ327" i="20"/>
  <c r="AJ194" i="20"/>
  <c r="AJ156" i="20"/>
  <c r="AJ42" i="20"/>
  <c r="AJ80" i="20"/>
  <c r="AJ118" i="20"/>
  <c r="AJ23" i="20"/>
  <c r="AJ213" i="20"/>
  <c r="J135" i="3"/>
  <c r="J57" i="3" s="1"/>
  <c r="K110" i="3"/>
  <c r="J160" i="3"/>
  <c r="G235" i="17"/>
  <c r="G264" i="17"/>
  <c r="G209" i="17"/>
  <c r="G184" i="17"/>
  <c r="J78" i="9"/>
  <c r="AN78" i="9" s="1"/>
  <c r="E239" i="20" s="1"/>
  <c r="E235" i="20" s="1"/>
  <c r="E233" i="20"/>
  <c r="K133" i="3"/>
  <c r="K55" i="3" s="1"/>
  <c r="K158" i="3"/>
  <c r="L108" i="3"/>
  <c r="G18" i="6"/>
  <c r="G41" i="5"/>
  <c r="G90" i="8"/>
  <c r="G15" i="8"/>
  <c r="F218" i="20" s="1"/>
  <c r="G40" i="8"/>
  <c r="G65" i="8"/>
  <c r="AA302" i="20"/>
  <c r="AJ175" i="20"/>
  <c r="P280" i="20"/>
  <c r="P402" i="20"/>
  <c r="U288" i="20"/>
  <c r="U280" i="20" s="1"/>
  <c r="CL178" i="14"/>
  <c r="G204" i="17"/>
  <c r="G230" i="17"/>
  <c r="G179" i="17"/>
  <c r="G259" i="17"/>
  <c r="E138" i="20"/>
  <c r="E144" i="20"/>
  <c r="E140" i="20" s="1"/>
  <c r="G210" i="17"/>
  <c r="G265" i="17"/>
  <c r="G185" i="17"/>
  <c r="G236" i="17"/>
  <c r="E258" i="20"/>
  <c r="E254" i="20" s="1"/>
  <c r="E252" i="20"/>
  <c r="F38" i="6"/>
  <c r="G242" i="17"/>
  <c r="G216" i="17"/>
  <c r="G271" i="17"/>
  <c r="G191" i="17"/>
  <c r="G11" i="6"/>
  <c r="G34" i="5"/>
  <c r="G33" i="8"/>
  <c r="G83" i="8"/>
  <c r="G58" i="8"/>
  <c r="G8" i="8"/>
  <c r="F85" i="20" s="1"/>
  <c r="G18" i="8"/>
  <c r="F275" i="20" s="1"/>
  <c r="G43" i="8"/>
  <c r="G93" i="8"/>
  <c r="G68" i="8"/>
  <c r="G44" i="5"/>
  <c r="G253" i="17"/>
  <c r="G173" i="17"/>
  <c r="G224" i="17"/>
  <c r="G198" i="17"/>
  <c r="J70" i="9"/>
  <c r="AN70" i="9" s="1"/>
  <c r="E30" i="20" s="1"/>
  <c r="E26" i="20" s="1"/>
  <c r="E24" i="20"/>
  <c r="F33" i="6"/>
  <c r="G256" i="17"/>
  <c r="G176" i="17"/>
  <c r="G201" i="17"/>
  <c r="G227" i="17"/>
  <c r="J73" i="9"/>
  <c r="AN73" i="9" s="1"/>
  <c r="E87" i="20" s="1"/>
  <c r="E83" i="20" s="1"/>
  <c r="E81" i="20"/>
  <c r="F34" i="6"/>
  <c r="H58" i="16"/>
  <c r="G267" i="17"/>
  <c r="G238" i="17"/>
  <c r="G187" i="17"/>
  <c r="G212" i="17"/>
  <c r="J80" i="9"/>
  <c r="AN80" i="9" s="1"/>
  <c r="E296" i="20" s="1"/>
  <c r="E292" i="20" s="1"/>
  <c r="E290" i="20"/>
  <c r="X155" i="20"/>
  <c r="X147" i="20" s="1"/>
  <c r="G261" i="17"/>
  <c r="G232" i="17"/>
  <c r="G206" i="17"/>
  <c r="G181" i="17"/>
  <c r="J75" i="9"/>
  <c r="AN75" i="9" s="1"/>
  <c r="E182" i="20" s="1"/>
  <c r="E178" i="20" s="1"/>
  <c r="E176" i="20"/>
  <c r="F36" i="6"/>
  <c r="G24" i="6"/>
  <c r="G71" i="8"/>
  <c r="G21" i="8"/>
  <c r="F332" i="20" s="1"/>
  <c r="G47" i="5"/>
  <c r="G96" i="8"/>
  <c r="G46" i="8"/>
  <c r="G12" i="6"/>
  <c r="G59" i="8"/>
  <c r="G35" i="5"/>
  <c r="G34" i="8"/>
  <c r="G84" i="8"/>
  <c r="G9" i="8"/>
  <c r="F104" i="20" s="1"/>
  <c r="G254" i="17"/>
  <c r="G199" i="17"/>
  <c r="G225" i="17"/>
  <c r="G174" i="17"/>
  <c r="J71" i="9"/>
  <c r="AN71" i="9" s="1"/>
  <c r="E49" i="20" s="1"/>
  <c r="E45" i="20" s="1"/>
  <c r="E43" i="20"/>
  <c r="G207" i="17"/>
  <c r="G262" i="17"/>
  <c r="G233" i="17"/>
  <c r="G182" i="17"/>
  <c r="J76" i="9"/>
  <c r="AN76" i="9" s="1"/>
  <c r="E201" i="20" s="1"/>
  <c r="E197" i="20" s="1"/>
  <c r="E195" i="20"/>
  <c r="Z124" i="3"/>
  <c r="Y46" i="3"/>
  <c r="G35" i="8"/>
  <c r="G85" i="8"/>
  <c r="G10" i="8"/>
  <c r="F123" i="20" s="1"/>
  <c r="G60" i="8"/>
  <c r="G36" i="5"/>
  <c r="G26" i="6"/>
  <c r="G23" i="8"/>
  <c r="G98" i="8"/>
  <c r="G48" i="8"/>
  <c r="G73" i="8"/>
  <c r="G234" i="17"/>
  <c r="G263" i="17"/>
  <c r="G208" i="17"/>
  <c r="G183" i="17"/>
  <c r="J77" i="9"/>
  <c r="AN77" i="9" s="1"/>
  <c r="E220" i="20" s="1"/>
  <c r="E216" i="20" s="1"/>
  <c r="E214" i="20"/>
  <c r="F37" i="6"/>
  <c r="G226" i="17"/>
  <c r="G255" i="17"/>
  <c r="G200" i="17"/>
  <c r="G175" i="17"/>
  <c r="J72" i="9"/>
  <c r="AN72" i="9" s="1"/>
  <c r="E68" i="20" s="1"/>
  <c r="E64" i="20" s="1"/>
  <c r="E62" i="20"/>
  <c r="G17" i="8"/>
  <c r="F256" i="20" s="1"/>
  <c r="G92" i="8"/>
  <c r="G43" i="5"/>
  <c r="G67" i="8"/>
  <c r="G42" i="8"/>
  <c r="G19" i="6"/>
  <c r="G41" i="8"/>
  <c r="G91" i="8"/>
  <c r="G42" i="5"/>
  <c r="G16" i="8"/>
  <c r="F237" i="20" s="1"/>
  <c r="G66" i="8"/>
  <c r="G237" i="17"/>
  <c r="G266" i="17"/>
  <c r="G211" i="17"/>
  <c r="G186" i="17"/>
  <c r="E277" i="20"/>
  <c r="E273" i="20" s="1"/>
  <c r="E271" i="20"/>
  <c r="AJ99" i="20"/>
  <c r="C385" i="20"/>
  <c r="L106" i="3"/>
  <c r="K131" i="3"/>
  <c r="K53" i="3" s="1"/>
  <c r="K156" i="3"/>
  <c r="J129" i="3"/>
  <c r="J51" i="3" s="1"/>
  <c r="K104" i="3"/>
  <c r="J154" i="3"/>
  <c r="I174" i="3"/>
  <c r="J173" i="3"/>
  <c r="H186" i="3"/>
  <c r="H193" i="3"/>
  <c r="H185" i="3"/>
  <c r="H190" i="3"/>
  <c r="H182" i="3"/>
  <c r="H187" i="3"/>
  <c r="H179" i="3"/>
  <c r="H192" i="3"/>
  <c r="H184" i="3"/>
  <c r="H176" i="3"/>
  <c r="H189" i="3"/>
  <c r="H181" i="3"/>
  <c r="H70" i="3"/>
  <c r="H194" i="3"/>
  <c r="H178" i="3"/>
  <c r="H188" i="3"/>
  <c r="H183" i="3"/>
  <c r="H191" i="3"/>
  <c r="H180" i="3"/>
  <c r="H177" i="3"/>
  <c r="H175" i="3"/>
  <c r="AJ270" i="20"/>
  <c r="U147" i="20"/>
  <c r="C11" i="20"/>
  <c r="C391" i="20" s="1"/>
  <c r="AL150" i="9"/>
  <c r="N11" i="18" s="1"/>
  <c r="N44" i="18" s="1"/>
  <c r="M134" i="3"/>
  <c r="M56" i="3" s="1"/>
  <c r="N109" i="3"/>
  <c r="M159" i="3"/>
  <c r="K136" i="3"/>
  <c r="K58" i="3" s="1"/>
  <c r="L111" i="3"/>
  <c r="K161" i="3"/>
  <c r="L434" i="20"/>
  <c r="L432" i="20" s="1"/>
  <c r="G6" i="5"/>
  <c r="F67" i="3"/>
  <c r="F443" i="20"/>
  <c r="F441" i="20" s="1"/>
  <c r="AH4" i="20"/>
  <c r="B387" i="20"/>
  <c r="J163" i="3"/>
  <c r="J138" i="3"/>
  <c r="J60" i="3" s="1"/>
  <c r="K113" i="3"/>
  <c r="AJ346" i="20"/>
  <c r="J126" i="3"/>
  <c r="J48" i="3" s="1"/>
  <c r="J151" i="3"/>
  <c r="K101" i="3"/>
  <c r="S5" i="9"/>
  <c r="AV5" i="9"/>
  <c r="G16" i="6"/>
  <c r="G38" i="8"/>
  <c r="G88" i="8"/>
  <c r="G63" i="8"/>
  <c r="G39" i="5"/>
  <c r="G13" i="8"/>
  <c r="F180" i="20" s="1"/>
  <c r="G22" i="6"/>
  <c r="G45" i="5"/>
  <c r="G69" i="8"/>
  <c r="G44" i="8"/>
  <c r="G19" i="8"/>
  <c r="F294" i="20" s="1"/>
  <c r="G94" i="8"/>
  <c r="D3" i="21"/>
  <c r="D7" i="18"/>
  <c r="D34" i="18" s="1"/>
  <c r="D36" i="18" s="1"/>
  <c r="H91" i="17"/>
  <c r="H93" i="17"/>
  <c r="H88" i="17"/>
  <c r="H92" i="17"/>
  <c r="E47" i="16"/>
  <c r="E45" i="16"/>
  <c r="E48" i="16"/>
  <c r="E5" i="16" a="1"/>
  <c r="E5" i="16" s="1"/>
  <c r="E46" i="16"/>
  <c r="H90" i="17"/>
  <c r="E44" i="16"/>
  <c r="H89" i="17"/>
  <c r="H52" i="9"/>
  <c r="AL52" i="9" s="1"/>
  <c r="D29" i="6"/>
  <c r="H53" i="9"/>
  <c r="AL53" i="9" s="1"/>
  <c r="E18" i="16"/>
  <c r="E40" i="16" s="1"/>
  <c r="F45" i="17"/>
  <c r="F48" i="17"/>
  <c r="F44" i="17"/>
  <c r="F47" i="17"/>
  <c r="F46" i="17"/>
  <c r="AD453" i="20"/>
  <c r="G231" i="17"/>
  <c r="G205" i="17"/>
  <c r="G260" i="17"/>
  <c r="G180" i="17"/>
  <c r="E163" i="20"/>
  <c r="E159" i="20" s="1"/>
  <c r="E157" i="20"/>
  <c r="AJ365" i="20"/>
  <c r="G240" i="17"/>
  <c r="G214" i="17"/>
  <c r="G269" i="17"/>
  <c r="G189" i="17"/>
  <c r="J82" i="9"/>
  <c r="AN82" i="9" s="1"/>
  <c r="E334" i="20" s="1"/>
  <c r="E330" i="20" s="1"/>
  <c r="E328" i="20"/>
  <c r="F40" i="6"/>
  <c r="G62" i="8"/>
  <c r="G87" i="8"/>
  <c r="G37" i="8"/>
  <c r="G12" i="8"/>
  <c r="F161" i="20" s="1"/>
  <c r="G38" i="5"/>
  <c r="S458" i="20"/>
  <c r="S450" i="20" s="1"/>
  <c r="S22" i="20"/>
  <c r="S151" i="20"/>
  <c r="CJ179" i="14"/>
  <c r="E24" i="8"/>
  <c r="D9" i="20"/>
  <c r="G10" i="6"/>
  <c r="G7" i="8"/>
  <c r="F66" i="20" s="1"/>
  <c r="G32" i="8"/>
  <c r="G82" i="8"/>
  <c r="G33" i="5"/>
  <c r="G57" i="8"/>
  <c r="G37" i="5"/>
  <c r="G11" i="8"/>
  <c r="F142" i="20" s="1"/>
  <c r="G61" i="8"/>
  <c r="G86" i="8"/>
  <c r="G36" i="8"/>
  <c r="E218" i="17"/>
  <c r="E219" i="17" s="1"/>
  <c r="R458" i="20"/>
  <c r="R450" i="20" s="1"/>
  <c r="R22" i="20"/>
  <c r="CI179" i="14"/>
  <c r="CI177" i="14"/>
  <c r="S25" i="21" s="1"/>
  <c r="S36" i="21" s="1"/>
  <c r="K152" i="3"/>
  <c r="K127" i="3"/>
  <c r="K49" i="3" s="1"/>
  <c r="L102" i="3"/>
  <c r="G241" i="17"/>
  <c r="G270" i="17"/>
  <c r="G215" i="17"/>
  <c r="G190" i="17"/>
  <c r="J79" i="9"/>
  <c r="AN79" i="9" s="1"/>
  <c r="J83" i="9"/>
  <c r="AN83" i="9" s="1"/>
  <c r="E366" i="20"/>
  <c r="E347" i="20"/>
  <c r="T288" i="20"/>
  <c r="CK178" i="14"/>
  <c r="CK177" i="14"/>
  <c r="U25" i="21" s="1"/>
  <c r="U36" i="21" s="1"/>
  <c r="I55" i="16"/>
  <c r="I53" i="16"/>
  <c r="I56" i="16"/>
  <c r="I54" i="16"/>
  <c r="I57" i="16"/>
  <c r="L7" i="9"/>
  <c r="AP7" i="9" s="1"/>
  <c r="G80" i="3"/>
  <c r="H15" i="5" s="1"/>
  <c r="G86" i="3"/>
  <c r="H21" i="5" s="1"/>
  <c r="G71" i="3"/>
  <c r="G83" i="3"/>
  <c r="H18" i="5" s="1"/>
  <c r="G76" i="3"/>
  <c r="H11" i="5" s="1"/>
  <c r="G72" i="3"/>
  <c r="H7" i="5" s="1"/>
  <c r="G79" i="3"/>
  <c r="H14" i="5" s="1"/>
  <c r="H15" i="6" s="1"/>
  <c r="G90" i="3"/>
  <c r="H25" i="5" s="1"/>
  <c r="G82" i="3"/>
  <c r="H17" i="5" s="1"/>
  <c r="G77" i="3"/>
  <c r="H12" i="5" s="1"/>
  <c r="H13" i="6" s="1"/>
  <c r="G81" i="3"/>
  <c r="H16" i="5" s="1"/>
  <c r="G85" i="3"/>
  <c r="H20" i="5" s="1"/>
  <c r="H21" i="6" s="1"/>
  <c r="G73" i="3"/>
  <c r="H8" i="5" s="1"/>
  <c r="G84" i="3"/>
  <c r="H19" i="5" s="1"/>
  <c r="H20" i="6" s="1"/>
  <c r="G75" i="3"/>
  <c r="H10" i="5" s="1"/>
  <c r="G89" i="3"/>
  <c r="H24" i="5" s="1"/>
  <c r="G87" i="3"/>
  <c r="H22" i="5" s="1"/>
  <c r="G88" i="3"/>
  <c r="H23" i="5" s="1"/>
  <c r="G78" i="3"/>
  <c r="H13" i="5" s="1"/>
  <c r="H14" i="6" s="1"/>
  <c r="G74" i="3"/>
  <c r="H9" i="5" s="1"/>
  <c r="Z458" i="20"/>
  <c r="Z450" i="20" s="1"/>
  <c r="Z19" i="20"/>
  <c r="CQ179" i="14"/>
  <c r="L103" i="3"/>
  <c r="K128" i="3"/>
  <c r="K50" i="3" s="1"/>
  <c r="K153" i="3"/>
  <c r="K132" i="3"/>
  <c r="K54" i="3" s="1"/>
  <c r="K157" i="3"/>
  <c r="L107" i="3"/>
  <c r="S288" i="20"/>
  <c r="S280" i="20" s="1"/>
  <c r="CJ177" i="14"/>
  <c r="T25" i="21" s="1"/>
  <c r="T36" i="21" s="1"/>
  <c r="CJ178" i="14"/>
  <c r="I164" i="3"/>
  <c r="I139" i="3"/>
  <c r="I61" i="3" s="1"/>
  <c r="J114" i="3"/>
  <c r="G9" i="6"/>
  <c r="G31" i="8"/>
  <c r="G81" i="8"/>
  <c r="G56" i="8"/>
  <c r="G6" i="8"/>
  <c r="F47" i="20" s="1"/>
  <c r="G32" i="5"/>
  <c r="G25" i="6"/>
  <c r="G22" i="8"/>
  <c r="G97" i="8"/>
  <c r="G72" i="8"/>
  <c r="G47" i="8"/>
  <c r="AB155" i="20"/>
  <c r="EW102" i="14"/>
  <c r="DS102" i="14" s="1"/>
  <c r="DS177" i="14" s="1"/>
  <c r="Y26" i="21" s="1"/>
  <c r="BK102" i="14" a="1"/>
  <c r="BK102" i="14" s="1"/>
  <c r="CL102" i="14"/>
  <c r="X98" i="43" s="1"/>
  <c r="X108" i="43" s="1"/>
  <c r="JJ102" i="14"/>
  <c r="JJ177" i="14" s="1"/>
  <c r="Z66" i="9" s="1"/>
  <c r="BD66" i="9" s="1"/>
  <c r="U428" i="20" s="1"/>
  <c r="U426" i="20" s="1"/>
  <c r="K166" i="3"/>
  <c r="L116" i="3"/>
  <c r="K141" i="3"/>
  <c r="K63" i="3" s="1"/>
  <c r="G258" i="17"/>
  <c r="G229" i="17"/>
  <c r="G203" i="17"/>
  <c r="G178" i="17"/>
  <c r="E125" i="20"/>
  <c r="E121" i="20" s="1"/>
  <c r="E119" i="20"/>
  <c r="F35" i="6"/>
  <c r="F36" i="17"/>
  <c r="F32" i="17"/>
  <c r="F34" i="17"/>
  <c r="F33" i="17"/>
  <c r="F35" i="17"/>
  <c r="F7" i="6"/>
  <c r="F54" i="8"/>
  <c r="F74" i="8" s="1"/>
  <c r="F29" i="8"/>
  <c r="F49" i="8" s="1"/>
  <c r="F8" i="18" s="1"/>
  <c r="F41" i="18" s="1"/>
  <c r="F4" i="8"/>
  <c r="F79" i="8"/>
  <c r="F99" i="8" s="1"/>
  <c r="F10" i="18" s="1"/>
  <c r="F43" i="18" s="1"/>
  <c r="F30" i="5"/>
  <c r="G228" i="17"/>
  <c r="G257" i="17"/>
  <c r="G202" i="17"/>
  <c r="G177" i="17"/>
  <c r="E100" i="20"/>
  <c r="J74" i="9"/>
  <c r="AN74" i="9" s="1"/>
  <c r="E106" i="20" s="1"/>
  <c r="E102" i="20" s="1"/>
  <c r="D245" i="17"/>
  <c r="D246" i="17" s="1"/>
  <c r="G5" i="8"/>
  <c r="F28" i="20" s="1"/>
  <c r="G8" i="6"/>
  <c r="G31" i="5"/>
  <c r="G55" i="8"/>
  <c r="G30" i="8"/>
  <c r="G80" i="8"/>
  <c r="T125" i="3"/>
  <c r="S47" i="3"/>
  <c r="AC458" i="20"/>
  <c r="AC450" i="20" s="1"/>
  <c r="AC22" i="20"/>
  <c r="CT179" i="14"/>
  <c r="P123" i="3"/>
  <c r="O45" i="3"/>
  <c r="EX102" i="14"/>
  <c r="DT102" i="14" s="1"/>
  <c r="BL102" i="14" a="1"/>
  <c r="BL102" i="14" s="1"/>
  <c r="CM102" i="14"/>
  <c r="Y98" i="43" s="1"/>
  <c r="Y108" i="43" s="1"/>
  <c r="JL102" i="14"/>
  <c r="G239" i="17"/>
  <c r="G213" i="17"/>
  <c r="G188" i="17"/>
  <c r="G268" i="17"/>
  <c r="E309" i="20"/>
  <c r="J81" i="9"/>
  <c r="AN81" i="9" s="1"/>
  <c r="E315" i="20" s="1"/>
  <c r="E311" i="20" s="1"/>
  <c r="F39" i="6"/>
  <c r="DU177" i="14"/>
  <c r="AA26" i="21" s="1"/>
  <c r="F172" i="17"/>
  <c r="F192" i="17" s="1"/>
  <c r="F252" i="17"/>
  <c r="F223" i="17"/>
  <c r="F243" i="17" s="1"/>
  <c r="F197" i="17"/>
  <c r="F217" i="17" s="1"/>
  <c r="E27" i="6"/>
  <c r="I69" i="9"/>
  <c r="AM69" i="9" s="1"/>
  <c r="D5" i="20"/>
  <c r="E32" i="6"/>
  <c r="DQ177" i="14"/>
  <c r="W26" i="21" s="1"/>
  <c r="G17" i="6"/>
  <c r="G40" i="5"/>
  <c r="G14" i="8"/>
  <c r="F199" i="20" s="1"/>
  <c r="G39" i="8"/>
  <c r="G64" i="8"/>
  <c r="G89" i="8"/>
  <c r="G23" i="6"/>
  <c r="G70" i="8"/>
  <c r="G45" i="8"/>
  <c r="G95" i="8"/>
  <c r="G20" i="8"/>
  <c r="F313" i="20" s="1"/>
  <c r="G46" i="5"/>
  <c r="E9" i="17"/>
  <c r="C389" i="20"/>
  <c r="D7" i="21" s="1"/>
  <c r="JI177" i="14"/>
  <c r="Y66" i="9" s="1"/>
  <c r="BC66" i="9" s="1"/>
  <c r="T428" i="20" s="1"/>
  <c r="T426" i="20" s="1"/>
  <c r="L155" i="3" l="1"/>
  <c r="M105" i="3"/>
  <c r="L130" i="3"/>
  <c r="L52" i="3" s="1"/>
  <c r="X110" i="43"/>
  <c r="Y110" i="43" s="1"/>
  <c r="Z110" i="43" s="1"/>
  <c r="AB398" i="20"/>
  <c r="X288" i="20"/>
  <c r="X280" i="20" s="1"/>
  <c r="E44" i="6"/>
  <c r="F4" i="16"/>
  <c r="S6" i="9"/>
  <c r="AV6" i="9"/>
  <c r="K115" i="3"/>
  <c r="J140" i="3"/>
  <c r="J62" i="3" s="1"/>
  <c r="J165" i="3"/>
  <c r="K167" i="3"/>
  <c r="L117" i="3"/>
  <c r="K142" i="3"/>
  <c r="K64" i="3" s="1"/>
  <c r="L112" i="3"/>
  <c r="K137" i="3"/>
  <c r="K59" i="3" s="1"/>
  <c r="K162" i="3"/>
  <c r="AB147" i="20"/>
  <c r="AH403" i="20"/>
  <c r="Z155" i="20"/>
  <c r="Z147" i="20" s="1"/>
  <c r="M13" i="18"/>
  <c r="M46" i="18" s="1"/>
  <c r="C12" i="21"/>
  <c r="C13" i="21" s="1"/>
  <c r="C14" i="21" s="1"/>
  <c r="E63" i="17"/>
  <c r="E64" i="17" s="1"/>
  <c r="D117" i="17"/>
  <c r="D104" i="17"/>
  <c r="D113" i="17"/>
  <c r="D116" i="17"/>
  <c r="D114" i="17"/>
  <c r="D100" i="17"/>
  <c r="D99" i="17"/>
  <c r="D103" i="17"/>
  <c r="D101" i="17"/>
  <c r="D115" i="17"/>
  <c r="D102" i="17"/>
  <c r="D118" i="17"/>
  <c r="D111" i="17"/>
  <c r="D105" i="17"/>
  <c r="D106" i="17"/>
  <c r="D8" i="17"/>
  <c r="D107" i="17"/>
  <c r="D109" i="17"/>
  <c r="D110" i="17"/>
  <c r="D108" i="17"/>
  <c r="E65" i="17"/>
  <c r="D278" i="17"/>
  <c r="D285" i="17" s="1"/>
  <c r="D286" i="17" s="1"/>
  <c r="D290" i="17" s="1"/>
  <c r="E277" i="17"/>
  <c r="AK99" i="20"/>
  <c r="E43" i="6"/>
  <c r="JK177" i="14"/>
  <c r="AA66" i="9" s="1"/>
  <c r="BE66" i="9" s="1"/>
  <c r="V428" i="20" s="1"/>
  <c r="V426" i="20" s="1"/>
  <c r="U394" i="20"/>
  <c r="F272" i="17"/>
  <c r="F277" i="17" s="1"/>
  <c r="F273" i="17"/>
  <c r="E274" i="17"/>
  <c r="U402" i="20"/>
  <c r="JL177" i="14"/>
  <c r="AB66" i="9" s="1"/>
  <c r="BF66" i="9" s="1"/>
  <c r="W428" i="20" s="1"/>
  <c r="W426" i="20" s="1"/>
  <c r="AK251" i="20"/>
  <c r="AK80" i="20"/>
  <c r="AK289" i="20"/>
  <c r="AK213" i="20"/>
  <c r="AK232" i="20"/>
  <c r="AK175" i="20"/>
  <c r="E279" i="17"/>
  <c r="AK42" i="20"/>
  <c r="AK270" i="20"/>
  <c r="AK194" i="20"/>
  <c r="C7" i="20"/>
  <c r="AI4" i="20" s="1"/>
  <c r="AK61" i="20"/>
  <c r="AK156" i="20"/>
  <c r="AK23" i="20"/>
  <c r="F39" i="17"/>
  <c r="AK327" i="20"/>
  <c r="F59" i="17"/>
  <c r="AK308" i="20"/>
  <c r="AK118" i="20"/>
  <c r="AK137" i="20"/>
  <c r="E10" i="17"/>
  <c r="E11" i="17" s="1"/>
  <c r="E245" i="17"/>
  <c r="E246" i="17" s="1"/>
  <c r="J139" i="3"/>
  <c r="J61" i="3" s="1"/>
  <c r="J164" i="3"/>
  <c r="K114" i="3"/>
  <c r="H22" i="6"/>
  <c r="H45" i="5"/>
  <c r="H94" i="8"/>
  <c r="H69" i="8"/>
  <c r="H19" i="8"/>
  <c r="G294" i="20" s="1"/>
  <c r="H44" i="8"/>
  <c r="M102" i="3"/>
  <c r="L127" i="3"/>
  <c r="L49" i="3" s="1"/>
  <c r="L152" i="3"/>
  <c r="Q123" i="3"/>
  <c r="P45" i="3"/>
  <c r="M108" i="3"/>
  <c r="L158" i="3"/>
  <c r="L133" i="3"/>
  <c r="L55" i="3" s="1"/>
  <c r="D385" i="20"/>
  <c r="T280" i="20"/>
  <c r="T394" i="20" s="1"/>
  <c r="T402" i="20"/>
  <c r="H240" i="17"/>
  <c r="H214" i="17"/>
  <c r="H269" i="17"/>
  <c r="H189" i="17"/>
  <c r="K82" i="9"/>
  <c r="AO82" i="9" s="1"/>
  <c r="F334" i="20" s="1"/>
  <c r="F330" i="20" s="1"/>
  <c r="F328" i="20"/>
  <c r="G40" i="6"/>
  <c r="D8" i="21"/>
  <c r="E6" i="16"/>
  <c r="V288" i="20"/>
  <c r="CM178" i="14"/>
  <c r="CM177" i="14"/>
  <c r="W25" i="21" s="1"/>
  <c r="W36" i="21" s="1"/>
  <c r="AM150" i="9"/>
  <c r="O11" i="18" s="1"/>
  <c r="O44" i="18" s="1"/>
  <c r="D11" i="20"/>
  <c r="D391" i="20" s="1"/>
  <c r="C407" i="20"/>
  <c r="C405" i="20" s="1"/>
  <c r="C404" i="20" s="1"/>
  <c r="C403" i="20" s="1"/>
  <c r="AI403" i="20" s="1"/>
  <c r="AL149" i="9"/>
  <c r="E280" i="17" s="1"/>
  <c r="F24" i="8"/>
  <c r="E9" i="20"/>
  <c r="H24" i="6"/>
  <c r="H47" i="5"/>
  <c r="H46" i="8"/>
  <c r="H96" i="8"/>
  <c r="H21" i="8"/>
  <c r="G332" i="20" s="1"/>
  <c r="H71" i="8"/>
  <c r="AK346" i="20"/>
  <c r="DT177" i="14"/>
  <c r="Z26" i="21" s="1"/>
  <c r="T5" i="9"/>
  <c r="AW5" i="9"/>
  <c r="I191" i="3"/>
  <c r="I179" i="3"/>
  <c r="I190" i="3"/>
  <c r="I182" i="3"/>
  <c r="I187" i="3"/>
  <c r="I192" i="3"/>
  <c r="I184" i="3"/>
  <c r="I176" i="3"/>
  <c r="I189" i="3"/>
  <c r="I181" i="3"/>
  <c r="I70" i="3"/>
  <c r="I194" i="3"/>
  <c r="I178" i="3"/>
  <c r="I186" i="3"/>
  <c r="I175" i="3"/>
  <c r="I183" i="3"/>
  <c r="I188" i="3"/>
  <c r="I177" i="3"/>
  <c r="I193" i="3"/>
  <c r="I185" i="3"/>
  <c r="I180" i="3"/>
  <c r="AA299" i="20"/>
  <c r="AA397" i="20"/>
  <c r="H26" i="6"/>
  <c r="H23" i="8"/>
  <c r="H98" i="8"/>
  <c r="H48" i="8"/>
  <c r="H73" i="8"/>
  <c r="L136" i="3"/>
  <c r="L58" i="3" s="1"/>
  <c r="L161" i="3"/>
  <c r="M111" i="3"/>
  <c r="H175" i="17"/>
  <c r="H255" i="17"/>
  <c r="H200" i="17"/>
  <c r="H226" i="17"/>
  <c r="K72" i="9"/>
  <c r="AO72" i="9" s="1"/>
  <c r="F68" i="20" s="1"/>
  <c r="F64" i="20" s="1"/>
  <c r="F62" i="20"/>
  <c r="L166" i="3"/>
  <c r="M116" i="3"/>
  <c r="L141" i="3"/>
  <c r="L63" i="3" s="1"/>
  <c r="H37" i="5"/>
  <c r="H36" i="8"/>
  <c r="H86" i="8"/>
  <c r="H11" i="8"/>
  <c r="G142" i="20" s="1"/>
  <c r="H61" i="8"/>
  <c r="H94" i="17"/>
  <c r="M434" i="20"/>
  <c r="M432" i="20" s="1"/>
  <c r="AC14" i="20"/>
  <c r="F218" i="17"/>
  <c r="F219" i="17" s="1"/>
  <c r="EZ102" i="14"/>
  <c r="DV102" i="14" s="1"/>
  <c r="DV177" i="14" s="1"/>
  <c r="AB26" i="21" s="1"/>
  <c r="BN102" i="14" a="1"/>
  <c r="BN102" i="14" s="1"/>
  <c r="CO102" i="14"/>
  <c r="AA98" i="43" s="1"/>
  <c r="AA108" i="43" s="1"/>
  <c r="JM102" i="14"/>
  <c r="JM177" i="14" s="1"/>
  <c r="AC66" i="9" s="1"/>
  <c r="BG66" i="9" s="1"/>
  <c r="X428" i="20" s="1"/>
  <c r="X426" i="20" s="1"/>
  <c r="L132" i="3"/>
  <c r="L54" i="3" s="1"/>
  <c r="L157" i="3"/>
  <c r="M107" i="3"/>
  <c r="H25" i="6"/>
  <c r="H97" i="8"/>
  <c r="H47" i="8"/>
  <c r="H72" i="8"/>
  <c r="H22" i="8"/>
  <c r="H12" i="8"/>
  <c r="G161" i="20" s="1"/>
  <c r="H37" i="8"/>
  <c r="H62" i="8"/>
  <c r="H38" i="5"/>
  <c r="H87" i="8"/>
  <c r="H230" i="17"/>
  <c r="H179" i="17"/>
  <c r="H204" i="17"/>
  <c r="H259" i="17"/>
  <c r="F144" i="20"/>
  <c r="F140" i="20" s="1"/>
  <c r="F138" i="20"/>
  <c r="G35" i="17"/>
  <c r="G32" i="17"/>
  <c r="G34" i="17"/>
  <c r="G36" i="17"/>
  <c r="G33" i="17"/>
  <c r="H237" i="17"/>
  <c r="H266" i="17"/>
  <c r="H211" i="17"/>
  <c r="H186" i="17"/>
  <c r="F277" i="20"/>
  <c r="F273" i="20" s="1"/>
  <c r="F271" i="20"/>
  <c r="H256" i="17"/>
  <c r="H201" i="17"/>
  <c r="H227" i="17"/>
  <c r="H176" i="17"/>
  <c r="K73" i="9"/>
  <c r="AO73" i="9" s="1"/>
  <c r="F87" i="20" s="1"/>
  <c r="F83" i="20" s="1"/>
  <c r="F81" i="20"/>
  <c r="G34" i="6"/>
  <c r="M106" i="3"/>
  <c r="L131" i="3"/>
  <c r="L53" i="3" s="1"/>
  <c r="L156" i="3"/>
  <c r="H10" i="6"/>
  <c r="H32" i="8"/>
  <c r="H57" i="8"/>
  <c r="H82" i="8"/>
  <c r="H33" i="5"/>
  <c r="H7" i="8"/>
  <c r="G66" i="20" s="1"/>
  <c r="U458" i="20"/>
  <c r="U450" i="20" s="1"/>
  <c r="CL179" i="14"/>
  <c r="H23" i="6"/>
  <c r="H70" i="8"/>
  <c r="H46" i="5"/>
  <c r="H20" i="8"/>
  <c r="G313" i="20" s="1"/>
  <c r="H45" i="8"/>
  <c r="H95" i="8"/>
  <c r="G252" i="17"/>
  <c r="G223" i="17"/>
  <c r="G243" i="17" s="1"/>
  <c r="G197" i="17"/>
  <c r="G217" i="17" s="1"/>
  <c r="G172" i="17"/>
  <c r="G192" i="17" s="1"/>
  <c r="F27" i="6"/>
  <c r="J69" i="9"/>
  <c r="AN69" i="9" s="1"/>
  <c r="E5" i="20"/>
  <c r="F32" i="6"/>
  <c r="H11" i="6"/>
  <c r="H34" i="5"/>
  <c r="H58" i="8"/>
  <c r="H33" i="8"/>
  <c r="H83" i="8"/>
  <c r="H8" i="8"/>
  <c r="G85" i="20" s="1"/>
  <c r="H8" i="6"/>
  <c r="H5" i="8"/>
  <c r="G28" i="20" s="1"/>
  <c r="H80" i="8"/>
  <c r="H30" i="8"/>
  <c r="H55" i="8"/>
  <c r="H31" i="5"/>
  <c r="G443" i="20"/>
  <c r="G441" i="20" s="1"/>
  <c r="H231" i="17"/>
  <c r="H205" i="17"/>
  <c r="H260" i="17"/>
  <c r="H180" i="17"/>
  <c r="F163" i="20"/>
  <c r="F159" i="20" s="1"/>
  <c r="F157" i="20"/>
  <c r="F58" i="17"/>
  <c r="H267" i="17"/>
  <c r="H212" i="17"/>
  <c r="H187" i="17"/>
  <c r="H238" i="17"/>
  <c r="K80" i="9"/>
  <c r="AO80" i="9" s="1"/>
  <c r="F296" i="20" s="1"/>
  <c r="F292" i="20" s="1"/>
  <c r="F290" i="20"/>
  <c r="H184" i="17"/>
  <c r="H264" i="17"/>
  <c r="H235" i="17"/>
  <c r="H209" i="17"/>
  <c r="K78" i="9"/>
  <c r="AO78" i="9" s="1"/>
  <c r="F239" i="20" s="1"/>
  <c r="F235" i="20" s="1"/>
  <c r="F233" i="20"/>
  <c r="H258" i="17"/>
  <c r="H203" i="17"/>
  <c r="H178" i="17"/>
  <c r="H229" i="17"/>
  <c r="F125" i="20"/>
  <c r="F121" i="20" s="1"/>
  <c r="F119" i="20"/>
  <c r="G35" i="6"/>
  <c r="H10" i="8"/>
  <c r="G123" i="20" s="1"/>
  <c r="H60" i="8"/>
  <c r="H36" i="5"/>
  <c r="H35" i="8"/>
  <c r="H85" i="8"/>
  <c r="H18" i="6"/>
  <c r="H40" i="8"/>
  <c r="H41" i="5"/>
  <c r="H15" i="8"/>
  <c r="G218" i="20" s="1"/>
  <c r="H65" i="8"/>
  <c r="H90" i="8"/>
  <c r="AH384" i="20"/>
  <c r="AH459" i="20"/>
  <c r="J174" i="3"/>
  <c r="K173" i="3"/>
  <c r="AA155" i="20"/>
  <c r="AK365" i="20"/>
  <c r="H17" i="8"/>
  <c r="G256" i="20" s="1"/>
  <c r="H67" i="8"/>
  <c r="H43" i="5"/>
  <c r="H92" i="8"/>
  <c r="H42" i="8"/>
  <c r="D9" i="21"/>
  <c r="K129" i="3"/>
  <c r="K51" i="3" s="1"/>
  <c r="K154" i="3"/>
  <c r="L104" i="3"/>
  <c r="CL177" i="14"/>
  <c r="V25" i="21" s="1"/>
  <c r="V36" i="21" s="1"/>
  <c r="J53" i="16"/>
  <c r="J56" i="16"/>
  <c r="J54" i="16"/>
  <c r="J57" i="16"/>
  <c r="J55" i="16"/>
  <c r="M7" i="9"/>
  <c r="AQ7" i="9" s="1"/>
  <c r="H85" i="3"/>
  <c r="I20" i="5" s="1"/>
  <c r="I21" i="6" s="1"/>
  <c r="H83" i="3"/>
  <c r="I18" i="5" s="1"/>
  <c r="H76" i="3"/>
  <c r="I11" i="5" s="1"/>
  <c r="H88" i="3"/>
  <c r="I23" i="5" s="1"/>
  <c r="H80" i="3"/>
  <c r="I15" i="5" s="1"/>
  <c r="H74" i="3"/>
  <c r="I9" i="5" s="1"/>
  <c r="H90" i="3"/>
  <c r="I25" i="5" s="1"/>
  <c r="H82" i="3"/>
  <c r="I17" i="5" s="1"/>
  <c r="H77" i="3"/>
  <c r="I12" i="5" s="1"/>
  <c r="I13" i="6" s="1"/>
  <c r="H87" i="3"/>
  <c r="I22" i="5" s="1"/>
  <c r="H75" i="3"/>
  <c r="I10" i="5" s="1"/>
  <c r="H79" i="3"/>
  <c r="I14" i="5" s="1"/>
  <c r="I15" i="6" s="1"/>
  <c r="H81" i="3"/>
  <c r="I16" i="5" s="1"/>
  <c r="H86" i="3"/>
  <c r="I21" i="5" s="1"/>
  <c r="H73" i="3"/>
  <c r="I8" i="5" s="1"/>
  <c r="H71" i="3"/>
  <c r="H84" i="3"/>
  <c r="I19" i="5" s="1"/>
  <c r="I20" i="6" s="1"/>
  <c r="H72" i="3"/>
  <c r="I7" i="5" s="1"/>
  <c r="H89" i="3"/>
  <c r="I24" i="5" s="1"/>
  <c r="H78" i="3"/>
  <c r="I13" i="5" s="1"/>
  <c r="I14" i="6" s="1"/>
  <c r="H271" i="17"/>
  <c r="H216" i="17"/>
  <c r="H242" i="17"/>
  <c r="H191" i="17"/>
  <c r="H253" i="17"/>
  <c r="H198" i="17"/>
  <c r="H224" i="17"/>
  <c r="H173" i="17"/>
  <c r="K70" i="9"/>
  <c r="AO70" i="9" s="1"/>
  <c r="F30" i="20" s="1"/>
  <c r="F26" i="20" s="1"/>
  <c r="F24" i="20"/>
  <c r="G33" i="6"/>
  <c r="H270" i="17"/>
  <c r="H190" i="17"/>
  <c r="H241" i="17"/>
  <c r="H215" i="17"/>
  <c r="K79" i="9"/>
  <c r="AO79" i="9" s="1"/>
  <c r="K83" i="9"/>
  <c r="AO83" i="9" s="1"/>
  <c r="F366" i="20"/>
  <c r="F347" i="20"/>
  <c r="E49" i="16"/>
  <c r="F9" i="17"/>
  <c r="V458" i="20"/>
  <c r="V450" i="20" s="1"/>
  <c r="CM179" i="14"/>
  <c r="H9" i="6"/>
  <c r="H81" i="8"/>
  <c r="H56" i="8"/>
  <c r="H31" i="8"/>
  <c r="H6" i="8"/>
  <c r="G47" i="20" s="1"/>
  <c r="H32" i="5"/>
  <c r="H12" i="6"/>
  <c r="H84" i="8"/>
  <c r="H9" i="8"/>
  <c r="G104" i="20" s="1"/>
  <c r="H34" i="8"/>
  <c r="H59" i="8"/>
  <c r="H35" i="5"/>
  <c r="F56" i="17"/>
  <c r="F51" i="17"/>
  <c r="N134" i="3"/>
  <c r="N56" i="3" s="1"/>
  <c r="O109" i="3"/>
  <c r="N159" i="3"/>
  <c r="H228" i="17"/>
  <c r="H257" i="17"/>
  <c r="H202" i="17"/>
  <c r="H177" i="17"/>
  <c r="K74" i="9"/>
  <c r="AO74" i="9" s="1"/>
  <c r="F106" i="20" s="1"/>
  <c r="F102" i="20" s="1"/>
  <c r="F100" i="20"/>
  <c r="H261" i="17"/>
  <c r="H232" i="17"/>
  <c r="H181" i="17"/>
  <c r="H206" i="17"/>
  <c r="K75" i="9"/>
  <c r="AO75" i="9" s="1"/>
  <c r="F182" i="20" s="1"/>
  <c r="F178" i="20" s="1"/>
  <c r="F176" i="20"/>
  <c r="G36" i="6"/>
  <c r="H239" i="17"/>
  <c r="H213" i="17"/>
  <c r="H268" i="17"/>
  <c r="H188" i="17"/>
  <c r="F309" i="20"/>
  <c r="K81" i="9"/>
  <c r="AO81" i="9" s="1"/>
  <c r="F315" i="20" s="1"/>
  <c r="F311" i="20" s="1"/>
  <c r="G39" i="6"/>
  <c r="E3" i="21"/>
  <c r="E7" i="18"/>
  <c r="E34" i="18" s="1"/>
  <c r="E36" i="18" s="1"/>
  <c r="I91" i="17"/>
  <c r="I93" i="17"/>
  <c r="I88" i="17"/>
  <c r="I89" i="17"/>
  <c r="I90" i="17"/>
  <c r="F47" i="16"/>
  <c r="F45" i="16"/>
  <c r="F5" i="16" a="1"/>
  <c r="F5" i="16" s="1"/>
  <c r="E9" i="21" s="1"/>
  <c r="F48" i="16"/>
  <c r="F46" i="16"/>
  <c r="F44" i="16"/>
  <c r="I92" i="17"/>
  <c r="I53" i="9"/>
  <c r="AM53" i="9" s="1"/>
  <c r="I52" i="9"/>
  <c r="AM52" i="9" s="1"/>
  <c r="E29" i="6"/>
  <c r="F18" i="16"/>
  <c r="F40" i="16" s="1"/>
  <c r="G48" i="17"/>
  <c r="G44" i="17"/>
  <c r="G46" i="17"/>
  <c r="G45" i="17"/>
  <c r="G47" i="17"/>
  <c r="R402" i="20"/>
  <c r="R14" i="20"/>
  <c r="R394" i="20" s="1"/>
  <c r="D389" i="20"/>
  <c r="E7" i="21" s="1"/>
  <c r="K126" i="3"/>
  <c r="K48" i="3" s="1"/>
  <c r="L101" i="3"/>
  <c r="K151" i="3"/>
  <c r="H43" i="8"/>
  <c r="H93" i="8"/>
  <c r="H68" i="8"/>
  <c r="H18" i="8"/>
  <c r="G275" i="20" s="1"/>
  <c r="H44" i="5"/>
  <c r="H19" i="6"/>
  <c r="H42" i="5"/>
  <c r="H41" i="8"/>
  <c r="H16" i="8"/>
  <c r="G237" i="20" s="1"/>
  <c r="H66" i="8"/>
  <c r="H91" i="8"/>
  <c r="S398" i="20"/>
  <c r="S147" i="20"/>
  <c r="F60" i="17"/>
  <c r="G7" i="6"/>
  <c r="G79" i="8"/>
  <c r="G99" i="8" s="1"/>
  <c r="G10" i="18" s="1"/>
  <c r="G43" i="18" s="1"/>
  <c r="G4" i="8"/>
  <c r="G54" i="8"/>
  <c r="G74" i="8" s="1"/>
  <c r="G30" i="5"/>
  <c r="G29" i="8"/>
  <c r="G49" i="8" s="1"/>
  <c r="G8" i="18" s="1"/>
  <c r="G41" i="18" s="1"/>
  <c r="Z46" i="3"/>
  <c r="AA124" i="3"/>
  <c r="H265" i="17"/>
  <c r="H210" i="17"/>
  <c r="H236" i="17"/>
  <c r="H185" i="17"/>
  <c r="F258" i="20"/>
  <c r="F254" i="20" s="1"/>
  <c r="F252" i="20"/>
  <c r="G38" i="6"/>
  <c r="M103" i="3"/>
  <c r="L128" i="3"/>
  <c r="L50" i="3" s="1"/>
  <c r="L153" i="3"/>
  <c r="H16" i="6"/>
  <c r="H38" i="8"/>
  <c r="H39" i="5"/>
  <c r="H88" i="8"/>
  <c r="H63" i="8"/>
  <c r="H13" i="8"/>
  <c r="G180" i="20" s="1"/>
  <c r="Z399" i="20"/>
  <c r="Z14" i="20"/>
  <c r="U125" i="3"/>
  <c r="T47" i="3"/>
  <c r="H262" i="17"/>
  <c r="H233" i="17"/>
  <c r="H207" i="17"/>
  <c r="H182" i="17"/>
  <c r="K76" i="9"/>
  <c r="AO76" i="9" s="1"/>
  <c r="F201" i="20" s="1"/>
  <c r="F197" i="20" s="1"/>
  <c r="F195" i="20"/>
  <c r="W288" i="20"/>
  <c r="CN177" i="14"/>
  <c r="X25" i="21" s="1"/>
  <c r="X36" i="21" s="1"/>
  <c r="CN178" i="14"/>
  <c r="FA102" i="14"/>
  <c r="DW102" i="14" s="1"/>
  <c r="CP102" i="14"/>
  <c r="AB98" i="43" s="1"/>
  <c r="AB108" i="43" s="1"/>
  <c r="BO102" i="14" a="1"/>
  <c r="BO102" i="14" s="1"/>
  <c r="JN102" i="14"/>
  <c r="JO102" i="14"/>
  <c r="DX177" i="14"/>
  <c r="AD26" i="21" s="1"/>
  <c r="H225" i="17"/>
  <c r="H254" i="17"/>
  <c r="H199" i="17"/>
  <c r="H174" i="17"/>
  <c r="K71" i="9"/>
  <c r="AO71" i="9" s="1"/>
  <c r="F49" i="20" s="1"/>
  <c r="F45" i="20" s="1"/>
  <c r="F43" i="20"/>
  <c r="H17" i="6"/>
  <c r="H40" i="5"/>
  <c r="H14" i="8"/>
  <c r="G199" i="20" s="1"/>
  <c r="H89" i="8"/>
  <c r="H64" i="8"/>
  <c r="H39" i="8"/>
  <c r="G67" i="3"/>
  <c r="H6" i="5"/>
  <c r="I58" i="16"/>
  <c r="S402" i="20"/>
  <c r="S14" i="20"/>
  <c r="F57" i="17"/>
  <c r="K163" i="3"/>
  <c r="L113" i="3"/>
  <c r="K138" i="3"/>
  <c r="K60" i="3" s="1"/>
  <c r="H234" i="17"/>
  <c r="H263" i="17"/>
  <c r="H208" i="17"/>
  <c r="H183" i="17"/>
  <c r="F214" i="20"/>
  <c r="K77" i="9"/>
  <c r="AO77" i="9" s="1"/>
  <c r="F220" i="20" s="1"/>
  <c r="F216" i="20" s="1"/>
  <c r="G37" i="6"/>
  <c r="K135" i="3"/>
  <c r="K57" i="3" s="1"/>
  <c r="L110" i="3"/>
  <c r="K160" i="3"/>
  <c r="M155" i="3" l="1"/>
  <c r="N105" i="3"/>
  <c r="M130" i="3"/>
  <c r="M52" i="3" s="1"/>
  <c r="AA110" i="43"/>
  <c r="AB110" i="43" s="1"/>
  <c r="AC110" i="43" s="1"/>
  <c r="F44" i="6"/>
  <c r="G4" i="16"/>
  <c r="M112" i="3"/>
  <c r="L137" i="3"/>
  <c r="L59" i="3" s="1"/>
  <c r="L162" i="3"/>
  <c r="L142" i="3"/>
  <c r="L64" i="3" s="1"/>
  <c r="L167" i="3"/>
  <c r="M117" i="3"/>
  <c r="K140" i="3"/>
  <c r="K62" i="3" s="1"/>
  <c r="K165" i="3"/>
  <c r="L115" i="3"/>
  <c r="T6" i="9"/>
  <c r="AW6" i="9"/>
  <c r="AC155" i="20"/>
  <c r="AC147" i="20" s="1"/>
  <c r="D289" i="17"/>
  <c r="D119" i="17"/>
  <c r="D288" i="17"/>
  <c r="F12" i="17"/>
  <c r="F43" i="6"/>
  <c r="AL80" i="20"/>
  <c r="G57" i="17"/>
  <c r="DW177" i="14"/>
  <c r="AC26" i="21" s="1"/>
  <c r="AE155" i="20"/>
  <c r="AE147" i="20" s="1"/>
  <c r="G272" i="17"/>
  <c r="G12" i="17" s="1"/>
  <c r="G273" i="17"/>
  <c r="F274" i="17"/>
  <c r="AL289" i="20"/>
  <c r="AL99" i="20"/>
  <c r="S394" i="20"/>
  <c r="AL308" i="20"/>
  <c r="E278" i="17"/>
  <c r="E285" i="17" s="1"/>
  <c r="E286" i="17" s="1"/>
  <c r="E288" i="17" s="1"/>
  <c r="AL194" i="20"/>
  <c r="C387" i="20"/>
  <c r="AI384" i="20" s="1"/>
  <c r="AL327" i="20"/>
  <c r="AL118" i="20"/>
  <c r="AL42" i="20"/>
  <c r="AL175" i="20"/>
  <c r="AL137" i="20"/>
  <c r="AL251" i="20"/>
  <c r="F10" i="17"/>
  <c r="F11" i="17" s="1"/>
  <c r="F245" i="17"/>
  <c r="F246" i="17" s="1"/>
  <c r="AL232" i="20"/>
  <c r="AL213" i="20"/>
  <c r="G60" i="17"/>
  <c r="AL156" i="20"/>
  <c r="D12" i="21"/>
  <c r="D13" i="21" s="1"/>
  <c r="AL270" i="20"/>
  <c r="N13" i="18"/>
  <c r="N46" i="18" s="1"/>
  <c r="AL23" i="20"/>
  <c r="D10" i="21"/>
  <c r="I17" i="8"/>
  <c r="H256" i="20" s="1"/>
  <c r="I92" i="8"/>
  <c r="I43" i="5"/>
  <c r="I67" i="8"/>
  <c r="I42" i="8"/>
  <c r="I256" i="17"/>
  <c r="I227" i="17"/>
  <c r="I176" i="17"/>
  <c r="I201" i="17"/>
  <c r="L73" i="9"/>
  <c r="AP73" i="9" s="1"/>
  <c r="G87" i="20" s="1"/>
  <c r="G83" i="20" s="1"/>
  <c r="G81" i="20"/>
  <c r="H34" i="6"/>
  <c r="G39" i="17"/>
  <c r="Y458" i="20"/>
  <c r="Y450" i="20" s="1"/>
  <c r="Y22" i="20"/>
  <c r="CP179" i="14"/>
  <c r="E8" i="21"/>
  <c r="E10" i="21" s="1"/>
  <c r="F6" i="16"/>
  <c r="AL346" i="20"/>
  <c r="I16" i="6"/>
  <c r="I63" i="8"/>
  <c r="I39" i="5"/>
  <c r="I38" i="8"/>
  <c r="I88" i="8"/>
  <c r="I13" i="8"/>
  <c r="H180" i="20" s="1"/>
  <c r="I226" i="17"/>
  <c r="I255" i="17"/>
  <c r="I200" i="17"/>
  <c r="I175" i="17"/>
  <c r="G62" i="20"/>
  <c r="L72" i="9"/>
  <c r="AP72" i="9" s="1"/>
  <c r="G68" i="20" s="1"/>
  <c r="G64" i="20" s="1"/>
  <c r="E116" i="17"/>
  <c r="E113" i="17"/>
  <c r="E110" i="17"/>
  <c r="E107" i="17"/>
  <c r="E104" i="17"/>
  <c r="E101" i="17"/>
  <c r="E117" i="17"/>
  <c r="E112" i="17"/>
  <c r="E108" i="17"/>
  <c r="E105" i="17"/>
  <c r="E102" i="17"/>
  <c r="E99" i="17"/>
  <c r="E106" i="17"/>
  <c r="E103" i="17"/>
  <c r="E100" i="17"/>
  <c r="E118" i="17"/>
  <c r="E114" i="17"/>
  <c r="E109" i="17"/>
  <c r="E8" i="17"/>
  <c r="E115" i="17"/>
  <c r="E111" i="17"/>
  <c r="AA288" i="20"/>
  <c r="AA280" i="20" s="1"/>
  <c r="CR178" i="14"/>
  <c r="L160" i="3"/>
  <c r="M110" i="3"/>
  <c r="L135" i="3"/>
  <c r="L57" i="3" s="1"/>
  <c r="W402" i="20"/>
  <c r="W280" i="20"/>
  <c r="W394" i="20" s="1"/>
  <c r="Y288" i="20"/>
  <c r="Y280" i="20" s="1"/>
  <c r="CP178" i="14"/>
  <c r="CP177" i="14"/>
  <c r="Z25" i="21" s="1"/>
  <c r="Z36" i="21" s="1"/>
  <c r="K53" i="16"/>
  <c r="K56" i="16"/>
  <c r="K54" i="16"/>
  <c r="K57" i="16"/>
  <c r="K55" i="16"/>
  <c r="N7" i="9"/>
  <c r="AR7" i="9" s="1"/>
  <c r="I90" i="3"/>
  <c r="J25" i="5" s="1"/>
  <c r="I78" i="3"/>
  <c r="J13" i="5" s="1"/>
  <c r="J14" i="6" s="1"/>
  <c r="I88" i="3"/>
  <c r="J23" i="5" s="1"/>
  <c r="I80" i="3"/>
  <c r="J15" i="5" s="1"/>
  <c r="I74" i="3"/>
  <c r="J9" i="5" s="1"/>
  <c r="I79" i="3"/>
  <c r="J14" i="5" s="1"/>
  <c r="J15" i="6" s="1"/>
  <c r="I87" i="3"/>
  <c r="J22" i="5" s="1"/>
  <c r="I75" i="3"/>
  <c r="J10" i="5" s="1"/>
  <c r="I84" i="3"/>
  <c r="J19" i="5" s="1"/>
  <c r="J20" i="6" s="1"/>
  <c r="I86" i="3"/>
  <c r="J21" i="5" s="1"/>
  <c r="I73" i="3"/>
  <c r="J8" i="5" s="1"/>
  <c r="I77" i="3"/>
  <c r="J12" i="5" s="1"/>
  <c r="J13" i="6" s="1"/>
  <c r="I76" i="3"/>
  <c r="J11" i="5" s="1"/>
  <c r="I85" i="3"/>
  <c r="J20" i="5" s="1"/>
  <c r="J21" i="6" s="1"/>
  <c r="I72" i="3"/>
  <c r="J7" i="5" s="1"/>
  <c r="I89" i="3"/>
  <c r="J24" i="5" s="1"/>
  <c r="I83" i="3"/>
  <c r="J18" i="5" s="1"/>
  <c r="I81" i="3"/>
  <c r="J16" i="5" s="1"/>
  <c r="I71" i="3"/>
  <c r="I82" i="3"/>
  <c r="J17" i="5" s="1"/>
  <c r="U5" i="9"/>
  <c r="AX5" i="9"/>
  <c r="E389" i="20"/>
  <c r="F7" i="21" s="1"/>
  <c r="I267" i="17"/>
  <c r="I238" i="17"/>
  <c r="I187" i="17"/>
  <c r="I212" i="17"/>
  <c r="L80" i="9"/>
  <c r="AP80" i="9" s="1"/>
  <c r="G296" i="20" s="1"/>
  <c r="G292" i="20" s="1"/>
  <c r="G290" i="20"/>
  <c r="I6" i="5"/>
  <c r="H67" i="3"/>
  <c r="V125" i="3"/>
  <c r="U47" i="3"/>
  <c r="M153" i="3"/>
  <c r="M128" i="3"/>
  <c r="M50" i="3" s="1"/>
  <c r="N103" i="3"/>
  <c r="I24" i="6"/>
  <c r="I96" i="8"/>
  <c r="I47" i="5"/>
  <c r="I46" i="8"/>
  <c r="I21" i="8"/>
  <c r="H332" i="20" s="1"/>
  <c r="I71" i="8"/>
  <c r="I260" i="17"/>
  <c r="I231" i="17"/>
  <c r="I205" i="17"/>
  <c r="I180" i="17"/>
  <c r="G163" i="20"/>
  <c r="G159" i="20" s="1"/>
  <c r="G157" i="20"/>
  <c r="N116" i="3"/>
  <c r="M141" i="3"/>
  <c r="M63" i="3" s="1"/>
  <c r="M166" i="3"/>
  <c r="I263" i="17"/>
  <c r="I183" i="17"/>
  <c r="I234" i="17"/>
  <c r="I208" i="17"/>
  <c r="L77" i="9"/>
  <c r="AP77" i="9" s="1"/>
  <c r="G220" i="20" s="1"/>
  <c r="G216" i="20" s="1"/>
  <c r="G214" i="20"/>
  <c r="H37" i="6"/>
  <c r="I268" i="17"/>
  <c r="I239" i="17"/>
  <c r="I188" i="17"/>
  <c r="I213" i="17"/>
  <c r="L81" i="9"/>
  <c r="AP81" i="9" s="1"/>
  <c r="G315" i="20" s="1"/>
  <c r="G311" i="20" s="1"/>
  <c r="G309" i="20"/>
  <c r="H39" i="6"/>
  <c r="I19" i="6"/>
  <c r="I41" i="8"/>
  <c r="I16" i="8"/>
  <c r="H237" i="20" s="1"/>
  <c r="I91" i="8"/>
  <c r="I66" i="8"/>
  <c r="I42" i="5"/>
  <c r="L173" i="3"/>
  <c r="K174" i="3"/>
  <c r="E11" i="20"/>
  <c r="E391" i="20" s="1"/>
  <c r="AN150" i="9"/>
  <c r="G279" i="17" s="1"/>
  <c r="H32" i="17"/>
  <c r="H34" i="17"/>
  <c r="H36" i="17"/>
  <c r="H33" i="17"/>
  <c r="H35" i="17"/>
  <c r="V280" i="20"/>
  <c r="V402" i="20"/>
  <c r="M133" i="3"/>
  <c r="M55" i="3" s="1"/>
  <c r="N108" i="3"/>
  <c r="M158" i="3"/>
  <c r="L114" i="3"/>
  <c r="K139" i="3"/>
  <c r="K61" i="3" s="1"/>
  <c r="K164" i="3"/>
  <c r="AL365" i="20"/>
  <c r="D407" i="20"/>
  <c r="D405" i="20" s="1"/>
  <c r="D404" i="20" s="1"/>
  <c r="D403" i="20" s="1"/>
  <c r="AJ403" i="20" s="1"/>
  <c r="AM149" i="9"/>
  <c r="F280" i="17" s="1"/>
  <c r="M131" i="3"/>
  <c r="M53" i="3" s="1"/>
  <c r="N106" i="3"/>
  <c r="M156" i="3"/>
  <c r="I262" i="17"/>
  <c r="I233" i="17"/>
  <c r="I182" i="17"/>
  <c r="I207" i="17"/>
  <c r="L76" i="9"/>
  <c r="AP76" i="9" s="1"/>
  <c r="G201" i="20" s="1"/>
  <c r="G197" i="20" s="1"/>
  <c r="G195" i="20"/>
  <c r="I257" i="17"/>
  <c r="I228" i="17"/>
  <c r="I202" i="17"/>
  <c r="I177" i="17"/>
  <c r="L74" i="9"/>
  <c r="AP74" i="9" s="1"/>
  <c r="G106" i="20" s="1"/>
  <c r="G102" i="20" s="1"/>
  <c r="G100" i="20"/>
  <c r="I38" i="5"/>
  <c r="I62" i="8"/>
  <c r="I37" i="8"/>
  <c r="I12" i="8"/>
  <c r="H161" i="20" s="1"/>
  <c r="I87" i="8"/>
  <c r="I43" i="8"/>
  <c r="I68" i="8"/>
  <c r="I18" i="8"/>
  <c r="H275" i="20" s="1"/>
  <c r="I93" i="8"/>
  <c r="I44" i="5"/>
  <c r="J184" i="3"/>
  <c r="J187" i="3"/>
  <c r="J179" i="3"/>
  <c r="J192" i="3"/>
  <c r="J176" i="3"/>
  <c r="J189" i="3"/>
  <c r="J181" i="3"/>
  <c r="J194" i="3"/>
  <c r="J178" i="3"/>
  <c r="J186" i="3"/>
  <c r="J175" i="3"/>
  <c r="J191" i="3"/>
  <c r="J183" i="3"/>
  <c r="J70" i="3"/>
  <c r="J182" i="3"/>
  <c r="J177" i="3"/>
  <c r="J190" i="3"/>
  <c r="J185" i="3"/>
  <c r="J188" i="3"/>
  <c r="J180" i="3"/>
  <c r="J193" i="3"/>
  <c r="I253" i="17"/>
  <c r="I173" i="17"/>
  <c r="I224" i="17"/>
  <c r="I198" i="17"/>
  <c r="L70" i="9"/>
  <c r="AP70" i="9" s="1"/>
  <c r="G30" i="20" s="1"/>
  <c r="G26" i="20" s="1"/>
  <c r="G24" i="20"/>
  <c r="H33" i="6"/>
  <c r="F3" i="21"/>
  <c r="F7" i="18"/>
  <c r="F34" i="18" s="1"/>
  <c r="F36" i="18" s="1"/>
  <c r="J93" i="17"/>
  <c r="J88" i="17"/>
  <c r="J89" i="17"/>
  <c r="J92" i="17"/>
  <c r="J90" i="17"/>
  <c r="G45" i="16"/>
  <c r="G5" i="16" a="1"/>
  <c r="G5" i="16" s="1"/>
  <c r="G48" i="16"/>
  <c r="G46" i="16"/>
  <c r="G44" i="16"/>
  <c r="J91" i="17"/>
  <c r="G47" i="16"/>
  <c r="F29" i="6"/>
  <c r="J53" i="9"/>
  <c r="AN53" i="9" s="1"/>
  <c r="J52" i="9"/>
  <c r="AN52" i="9" s="1"/>
  <c r="G18" i="16"/>
  <c r="G40" i="16" s="1"/>
  <c r="H44" i="17"/>
  <c r="H45" i="17"/>
  <c r="H48" i="17"/>
  <c r="H47" i="17"/>
  <c r="H46" i="17"/>
  <c r="G56" i="17"/>
  <c r="G51" i="17"/>
  <c r="I10" i="6"/>
  <c r="I82" i="8"/>
  <c r="I33" i="5"/>
  <c r="I32" i="8"/>
  <c r="I57" i="8"/>
  <c r="I7" i="8"/>
  <c r="H66" i="20" s="1"/>
  <c r="BQ102" i="14" a="1"/>
  <c r="BQ102" i="14" s="1"/>
  <c r="CR102" i="14"/>
  <c r="AD98" i="43" s="1"/>
  <c r="AD108" i="43" s="1"/>
  <c r="FC102" i="14"/>
  <c r="DY102" i="14" s="1"/>
  <c r="DY177" i="14" s="1"/>
  <c r="AE26" i="21" s="1"/>
  <c r="JP102" i="14"/>
  <c r="JP177" i="14" s="1"/>
  <c r="AF66" i="9" s="1"/>
  <c r="BJ66" i="9" s="1"/>
  <c r="AA428" i="20" s="1"/>
  <c r="AA426" i="20" s="1"/>
  <c r="L138" i="3"/>
  <c r="L60" i="3" s="1"/>
  <c r="L163" i="3"/>
  <c r="M113" i="3"/>
  <c r="I240" i="17"/>
  <c r="I269" i="17"/>
  <c r="I214" i="17"/>
  <c r="I189" i="17"/>
  <c r="L82" i="9"/>
  <c r="AP82" i="9" s="1"/>
  <c r="G334" i="20" s="1"/>
  <c r="G330" i="20" s="1"/>
  <c r="G328" i="20"/>
  <c r="H40" i="6"/>
  <c r="I264" i="17"/>
  <c r="I235" i="17"/>
  <c r="I209" i="17"/>
  <c r="I184" i="17"/>
  <c r="L78" i="9"/>
  <c r="AP78" i="9" s="1"/>
  <c r="G239" i="20" s="1"/>
  <c r="G235" i="20" s="1"/>
  <c r="G233" i="20"/>
  <c r="D7" i="20"/>
  <c r="O134" i="3"/>
  <c r="O56" i="3" s="1"/>
  <c r="P109" i="3"/>
  <c r="O159" i="3"/>
  <c r="F49" i="16"/>
  <c r="I11" i="6"/>
  <c r="I58" i="8"/>
  <c r="I33" i="8"/>
  <c r="I83" i="8"/>
  <c r="I34" i="5"/>
  <c r="I8" i="8"/>
  <c r="H85" i="20" s="1"/>
  <c r="J58" i="16"/>
  <c r="G9" i="17"/>
  <c r="I270" i="17"/>
  <c r="I215" i="17"/>
  <c r="I241" i="17"/>
  <c r="I190" i="17"/>
  <c r="L79" i="9"/>
  <c r="AP79" i="9" s="1"/>
  <c r="L83" i="9"/>
  <c r="AP83" i="9" s="1"/>
  <c r="G366" i="20"/>
  <c r="G347" i="20"/>
  <c r="Q45" i="3"/>
  <c r="R123" i="3"/>
  <c r="AD155" i="20"/>
  <c r="AD147" i="20" s="1"/>
  <c r="AA147" i="20"/>
  <c r="H252" i="17"/>
  <c r="H172" i="17"/>
  <c r="H192" i="17" s="1"/>
  <c r="H197" i="17"/>
  <c r="H217" i="17" s="1"/>
  <c r="H223" i="17"/>
  <c r="H243" i="17" s="1"/>
  <c r="G27" i="6"/>
  <c r="F5" i="20"/>
  <c r="K69" i="9"/>
  <c r="AO69" i="9" s="1"/>
  <c r="G32" i="6"/>
  <c r="Z288" i="20"/>
  <c r="CQ178" i="14"/>
  <c r="CQ177" i="14"/>
  <c r="AA25" i="21" s="1"/>
  <c r="AA36" i="21" s="1"/>
  <c r="AL61" i="20"/>
  <c r="JR102" i="14"/>
  <c r="I23" i="6"/>
  <c r="I20" i="8"/>
  <c r="H313" i="20" s="1"/>
  <c r="I45" i="8"/>
  <c r="I46" i="5"/>
  <c r="I70" i="8"/>
  <c r="I95" i="8"/>
  <c r="G218" i="17"/>
  <c r="G219" i="17" s="1"/>
  <c r="G10" i="17" s="1"/>
  <c r="M157" i="3"/>
  <c r="N107" i="3"/>
  <c r="M132" i="3"/>
  <c r="M54" i="3" s="1"/>
  <c r="I22" i="6"/>
  <c r="I45" i="5"/>
  <c r="I19" i="8"/>
  <c r="H294" i="20" s="1"/>
  <c r="I44" i="8"/>
  <c r="I69" i="8"/>
  <c r="I94" i="8"/>
  <c r="M136" i="3"/>
  <c r="M58" i="3" s="1"/>
  <c r="N111" i="3"/>
  <c r="M161" i="3"/>
  <c r="N434" i="20"/>
  <c r="N432" i="20" s="1"/>
  <c r="G24" i="8"/>
  <c r="F9" i="20"/>
  <c r="I94" i="17"/>
  <c r="JO177" i="14"/>
  <c r="AE66" i="9" s="1"/>
  <c r="BI66" i="9" s="1"/>
  <c r="Z428" i="20" s="1"/>
  <c r="Z426" i="20" s="1"/>
  <c r="G59" i="17"/>
  <c r="F65" i="17"/>
  <c r="F63" i="17"/>
  <c r="F64" i="17" s="1"/>
  <c r="I37" i="5"/>
  <c r="I36" i="8"/>
  <c r="I11" i="8"/>
  <c r="H142" i="20" s="1"/>
  <c r="I86" i="8"/>
  <c r="I61" i="8"/>
  <c r="I35" i="8"/>
  <c r="I36" i="5"/>
  <c r="I85" i="8"/>
  <c r="I10" i="8"/>
  <c r="H123" i="20" s="1"/>
  <c r="I60" i="8"/>
  <c r="H443" i="20"/>
  <c r="H441" i="20" s="1"/>
  <c r="F279" i="17"/>
  <c r="I225" i="17"/>
  <c r="I199" i="17"/>
  <c r="I254" i="17"/>
  <c r="I174" i="17"/>
  <c r="L71" i="9"/>
  <c r="AP71" i="9" s="1"/>
  <c r="G49" i="20" s="1"/>
  <c r="G45" i="20" s="1"/>
  <c r="G43" i="20"/>
  <c r="L126" i="3"/>
  <c r="L48" i="3" s="1"/>
  <c r="M101" i="3"/>
  <c r="L151" i="3"/>
  <c r="I17" i="6"/>
  <c r="I14" i="8"/>
  <c r="H199" i="20" s="1"/>
  <c r="I40" i="5"/>
  <c r="I39" i="8"/>
  <c r="I64" i="8"/>
  <c r="I89" i="8"/>
  <c r="I12" i="6"/>
  <c r="I35" i="5"/>
  <c r="I59" i="8"/>
  <c r="I84" i="8"/>
  <c r="I34" i="8"/>
  <c r="I9" i="8"/>
  <c r="H104" i="20" s="1"/>
  <c r="E385" i="20"/>
  <c r="H7" i="6"/>
  <c r="H29" i="8"/>
  <c r="H49" i="8" s="1"/>
  <c r="H8" i="18" s="1"/>
  <c r="H41" i="18" s="1"/>
  <c r="H54" i="8"/>
  <c r="H74" i="8" s="1"/>
  <c r="H30" i="5"/>
  <c r="H79" i="8"/>
  <c r="H99" i="8" s="1"/>
  <c r="H10" i="18" s="1"/>
  <c r="H43" i="18" s="1"/>
  <c r="H4" i="8"/>
  <c r="JN177" i="14"/>
  <c r="AD66" i="9" s="1"/>
  <c r="BH66" i="9" s="1"/>
  <c r="Y428" i="20" s="1"/>
  <c r="Y426" i="20" s="1"/>
  <c r="I266" i="17"/>
  <c r="I237" i="17"/>
  <c r="I186" i="17"/>
  <c r="I211" i="17"/>
  <c r="G277" i="20"/>
  <c r="G273" i="20" s="1"/>
  <c r="G271" i="20"/>
  <c r="I25" i="6"/>
  <c r="I47" i="8"/>
  <c r="I72" i="8"/>
  <c r="I97" i="8"/>
  <c r="I22" i="8"/>
  <c r="I18" i="6"/>
  <c r="I41" i="5"/>
  <c r="I15" i="8"/>
  <c r="H218" i="20" s="1"/>
  <c r="I90" i="8"/>
  <c r="I40" i="8"/>
  <c r="I65" i="8"/>
  <c r="I265" i="17"/>
  <c r="I185" i="17"/>
  <c r="I210" i="17"/>
  <c r="I236" i="17"/>
  <c r="G258" i="20"/>
  <c r="G254" i="20" s="1"/>
  <c r="G252" i="20"/>
  <c r="H38" i="6"/>
  <c r="I271" i="17"/>
  <c r="I216" i="17"/>
  <c r="I191" i="17"/>
  <c r="I242" i="17"/>
  <c r="M152" i="3"/>
  <c r="M127" i="3"/>
  <c r="M49" i="3" s="1"/>
  <c r="N102" i="3"/>
  <c r="X458" i="20"/>
  <c r="X450" i="20" s="1"/>
  <c r="X22" i="20"/>
  <c r="CO178" i="14"/>
  <c r="CO177" i="14"/>
  <c r="Y25" i="21" s="1"/>
  <c r="Y36" i="21" s="1"/>
  <c r="CO179" i="14"/>
  <c r="I9" i="6"/>
  <c r="I31" i="8"/>
  <c r="I81" i="8"/>
  <c r="I56" i="8"/>
  <c r="I32" i="5"/>
  <c r="I6" i="8"/>
  <c r="H47" i="20" s="1"/>
  <c r="FD102" i="14"/>
  <c r="DZ102" i="14" s="1"/>
  <c r="BR102" i="14" a="1"/>
  <c r="BR102" i="14" s="1"/>
  <c r="CS102" i="14"/>
  <c r="AE98" i="43" s="1"/>
  <c r="AE108" i="43" s="1"/>
  <c r="JQ102" i="14"/>
  <c r="I261" i="17"/>
  <c r="I206" i="17"/>
  <c r="I181" i="17"/>
  <c r="I232" i="17"/>
  <c r="L75" i="9"/>
  <c r="AP75" i="9" s="1"/>
  <c r="G182" i="20" s="1"/>
  <c r="G178" i="20" s="1"/>
  <c r="G176" i="20"/>
  <c r="H36" i="6"/>
  <c r="AA46" i="3"/>
  <c r="AB124" i="3"/>
  <c r="G58" i="17"/>
  <c r="I8" i="6"/>
  <c r="I5" i="8"/>
  <c r="H28" i="20" s="1"/>
  <c r="I30" i="8"/>
  <c r="I55" i="8"/>
  <c r="I80" i="8"/>
  <c r="I31" i="5"/>
  <c r="I26" i="6"/>
  <c r="I23" i="8"/>
  <c r="I73" i="8"/>
  <c r="I48" i="8"/>
  <c r="I98" i="8"/>
  <c r="M104" i="3"/>
  <c r="L129" i="3"/>
  <c r="L51" i="3" s="1"/>
  <c r="L154" i="3"/>
  <c r="I258" i="17"/>
  <c r="I229" i="17"/>
  <c r="I203" i="17"/>
  <c r="I178" i="17"/>
  <c r="G125" i="20"/>
  <c r="G121" i="20" s="1"/>
  <c r="G119" i="20"/>
  <c r="H35" i="6"/>
  <c r="I259" i="17"/>
  <c r="I230" i="17"/>
  <c r="I179" i="17"/>
  <c r="I204" i="17"/>
  <c r="G144" i="20"/>
  <c r="G140" i="20" s="1"/>
  <c r="G138" i="20"/>
  <c r="N155" i="3" l="1"/>
  <c r="N130" i="3"/>
  <c r="N52" i="3" s="1"/>
  <c r="O105" i="3"/>
  <c r="AD110" i="43"/>
  <c r="AE110" i="43" s="1"/>
  <c r="AF110" i="43" s="1"/>
  <c r="G44" i="6"/>
  <c r="H4" i="16"/>
  <c r="G277" i="17"/>
  <c r="U6" i="9"/>
  <c r="AX6" i="9"/>
  <c r="L140" i="3"/>
  <c r="L62" i="3" s="1"/>
  <c r="L165" i="3"/>
  <c r="M115" i="3"/>
  <c r="M142" i="3"/>
  <c r="M64" i="3" s="1"/>
  <c r="M167" i="3"/>
  <c r="N117" i="3"/>
  <c r="M137" i="3"/>
  <c r="M59" i="3" s="1"/>
  <c r="M162" i="3"/>
  <c r="N112" i="3"/>
  <c r="D291" i="17"/>
  <c r="D292" i="17" s="1"/>
  <c r="G43" i="6"/>
  <c r="AM61" i="20"/>
  <c r="E290" i="17"/>
  <c r="E289" i="17"/>
  <c r="H272" i="17"/>
  <c r="H12" i="17" s="1"/>
  <c r="H273" i="17"/>
  <c r="G274" i="17"/>
  <c r="AM289" i="20"/>
  <c r="AM99" i="20"/>
  <c r="JQ177" i="14"/>
  <c r="AG66" i="9" s="1"/>
  <c r="BK66" i="9" s="1"/>
  <c r="AB428" i="20" s="1"/>
  <c r="AB426" i="20" s="1"/>
  <c r="DZ177" i="14"/>
  <c r="JR177" i="14"/>
  <c r="AH66" i="9" s="1"/>
  <c r="BL66" i="9" s="1"/>
  <c r="AC428" i="20" s="1"/>
  <c r="AC426" i="20" s="1"/>
  <c r="AM80" i="20"/>
  <c r="AM308" i="20"/>
  <c r="AI459" i="20"/>
  <c r="AM251" i="20"/>
  <c r="AM175" i="20"/>
  <c r="H58" i="17"/>
  <c r="AM327" i="20"/>
  <c r="P11" i="18"/>
  <c r="P44" i="18" s="1"/>
  <c r="AM42" i="20"/>
  <c r="AM194" i="20"/>
  <c r="AM213" i="20"/>
  <c r="H60" i="17"/>
  <c r="AM23" i="20"/>
  <c r="H57" i="17"/>
  <c r="E12" i="21"/>
  <c r="E13" i="21" s="1"/>
  <c r="E14" i="21" s="1"/>
  <c r="AM270" i="20"/>
  <c r="AM232" i="20"/>
  <c r="H9" i="17"/>
  <c r="G245" i="17"/>
  <c r="G246" i="17" s="1"/>
  <c r="K58" i="16"/>
  <c r="AM137" i="20"/>
  <c r="AM156" i="20"/>
  <c r="D14" i="21"/>
  <c r="Z280" i="20"/>
  <c r="Z394" i="20" s="1"/>
  <c r="Z402" i="20"/>
  <c r="I7" i="6"/>
  <c r="I4" i="8"/>
  <c r="I54" i="8"/>
  <c r="I74" i="8" s="1"/>
  <c r="I79" i="8"/>
  <c r="I99" i="8" s="1"/>
  <c r="I10" i="18" s="1"/>
  <c r="I43" i="18" s="1"/>
  <c r="I30" i="5"/>
  <c r="I29" i="8"/>
  <c r="I49" i="8" s="1"/>
  <c r="I8" i="18" s="1"/>
  <c r="I41" i="18" s="1"/>
  <c r="V5" i="9"/>
  <c r="AY5" i="9"/>
  <c r="J17" i="8"/>
  <c r="I256" i="20" s="1"/>
  <c r="J42" i="8"/>
  <c r="J43" i="5"/>
  <c r="J67" i="8"/>
  <c r="J92" i="8"/>
  <c r="J266" i="17"/>
  <c r="J211" i="17"/>
  <c r="J237" i="17"/>
  <c r="J186" i="17"/>
  <c r="H277" i="20"/>
  <c r="H273" i="20" s="1"/>
  <c r="H271" i="20"/>
  <c r="J229" i="17"/>
  <c r="J203" i="17"/>
  <c r="J258" i="17"/>
  <c r="J178" i="17"/>
  <c r="H119" i="20"/>
  <c r="H125" i="20"/>
  <c r="H121" i="20" s="1"/>
  <c r="I35" i="6"/>
  <c r="AD288" i="20"/>
  <c r="AD280" i="20" s="1"/>
  <c r="CU178" i="14"/>
  <c r="H56" i="17"/>
  <c r="H51" i="17"/>
  <c r="O13" i="18"/>
  <c r="O46" i="18" s="1"/>
  <c r="K189" i="3"/>
  <c r="K177" i="3"/>
  <c r="K179" i="3"/>
  <c r="K192" i="3"/>
  <c r="K176" i="3"/>
  <c r="K184" i="3"/>
  <c r="K181" i="3"/>
  <c r="K194" i="3"/>
  <c r="K178" i="3"/>
  <c r="K186" i="3"/>
  <c r="K175" i="3"/>
  <c r="K191" i="3"/>
  <c r="K183" i="3"/>
  <c r="K188" i="3"/>
  <c r="K180" i="3"/>
  <c r="K182" i="3"/>
  <c r="K190" i="3"/>
  <c r="K187" i="3"/>
  <c r="K70" i="3"/>
  <c r="K185" i="3"/>
  <c r="K193" i="3"/>
  <c r="J18" i="6"/>
  <c r="J90" i="8"/>
  <c r="J40" i="8"/>
  <c r="J65" i="8"/>
  <c r="J41" i="5"/>
  <c r="J15" i="8"/>
  <c r="I218" i="20" s="1"/>
  <c r="J11" i="6"/>
  <c r="J34" i="5"/>
  <c r="J58" i="8"/>
  <c r="J33" i="8"/>
  <c r="J83" i="8"/>
  <c r="J8" i="8"/>
  <c r="I85" i="20" s="1"/>
  <c r="I443" i="20"/>
  <c r="I441" i="20" s="1"/>
  <c r="J22" i="6"/>
  <c r="J45" i="5"/>
  <c r="J44" i="8"/>
  <c r="J69" i="8"/>
  <c r="J94" i="8"/>
  <c r="J19" i="8"/>
  <c r="I294" i="20" s="1"/>
  <c r="F9" i="21"/>
  <c r="AB458" i="20"/>
  <c r="AB450" i="20" s="1"/>
  <c r="AB22" i="20"/>
  <c r="CS179" i="14"/>
  <c r="I252" i="17"/>
  <c r="I223" i="17"/>
  <c r="I243" i="17" s="1"/>
  <c r="I197" i="17"/>
  <c r="I217" i="17" s="1"/>
  <c r="I172" i="17"/>
  <c r="I192" i="17" s="1"/>
  <c r="H27" i="6"/>
  <c r="L69" i="9"/>
  <c r="AP69" i="9" s="1"/>
  <c r="G5" i="20"/>
  <c r="H32" i="6"/>
  <c r="J257" i="17"/>
  <c r="J228" i="17"/>
  <c r="J202" i="17"/>
  <c r="J177" i="17"/>
  <c r="M74" i="9"/>
  <c r="AQ74" i="9" s="1"/>
  <c r="H106" i="20" s="1"/>
  <c r="H102" i="20" s="1"/>
  <c r="H100" i="20"/>
  <c r="F11" i="20"/>
  <c r="F391" i="20" s="1"/>
  <c r="AO150" i="9"/>
  <c r="Q11" i="18" s="1"/>
  <c r="Q44" i="18" s="1"/>
  <c r="F8" i="21"/>
  <c r="G6" i="16"/>
  <c r="M173" i="3"/>
  <c r="L174" i="3"/>
  <c r="J6" i="5"/>
  <c r="I67" i="3"/>
  <c r="J23" i="6"/>
  <c r="J46" i="5"/>
  <c r="J70" i="8"/>
  <c r="J45" i="8"/>
  <c r="J20" i="8"/>
  <c r="I313" i="20" s="1"/>
  <c r="J95" i="8"/>
  <c r="M126" i="3"/>
  <c r="M48" i="3" s="1"/>
  <c r="M151" i="3"/>
  <c r="N101" i="3"/>
  <c r="E407" i="20"/>
  <c r="E405" i="20" s="1"/>
  <c r="E404" i="20" s="1"/>
  <c r="E403" i="20" s="1"/>
  <c r="AK403" i="20" s="1"/>
  <c r="AN149" i="9"/>
  <c r="G280" i="17" s="1"/>
  <c r="G278" i="17" s="1"/>
  <c r="J17" i="6"/>
  <c r="J14" i="8"/>
  <c r="I199" i="20" s="1"/>
  <c r="J40" i="5"/>
  <c r="J64" i="8"/>
  <c r="J39" i="8"/>
  <c r="J89" i="8"/>
  <c r="J62" i="8"/>
  <c r="J38" i="5"/>
  <c r="J37" i="8"/>
  <c r="J12" i="8"/>
  <c r="I161" i="20" s="1"/>
  <c r="J87" i="8"/>
  <c r="Y402" i="20"/>
  <c r="Y14" i="20"/>
  <c r="Y394" i="20" s="1"/>
  <c r="CV102" i="14"/>
  <c r="AH98" i="43" s="1"/>
  <c r="AH108" i="43" s="1"/>
  <c r="JT102" i="14"/>
  <c r="F385" i="20"/>
  <c r="J271" i="17"/>
  <c r="J216" i="17"/>
  <c r="J191" i="17"/>
  <c r="J242" i="17"/>
  <c r="AC124" i="3"/>
  <c r="AB46" i="3"/>
  <c r="X402" i="20"/>
  <c r="X14" i="20"/>
  <c r="X394" i="20" s="1"/>
  <c r="J263" i="17"/>
  <c r="J208" i="17"/>
  <c r="J183" i="17"/>
  <c r="J234" i="17"/>
  <c r="M77" i="9"/>
  <c r="AQ77" i="9" s="1"/>
  <c r="H220" i="20" s="1"/>
  <c r="H216" i="20" s="1"/>
  <c r="H214" i="20"/>
  <c r="I37" i="6"/>
  <c r="N136" i="3"/>
  <c r="N58" i="3" s="1"/>
  <c r="O111" i="3"/>
  <c r="N161" i="3"/>
  <c r="J238" i="17"/>
  <c r="J187" i="17"/>
  <c r="J267" i="17"/>
  <c r="J212" i="17"/>
  <c r="H290" i="20"/>
  <c r="M80" i="9"/>
  <c r="AQ80" i="9" s="1"/>
  <c r="H296" i="20" s="1"/>
  <c r="H292" i="20" s="1"/>
  <c r="G3" i="21"/>
  <c r="G7" i="18"/>
  <c r="G34" i="18" s="1"/>
  <c r="G36" i="18" s="1"/>
  <c r="K93" i="17"/>
  <c r="K88" i="17"/>
  <c r="K89" i="17"/>
  <c r="K92" i="17"/>
  <c r="H45" i="16"/>
  <c r="H5" i="16" a="1"/>
  <c r="H5" i="16" s="1"/>
  <c r="G9" i="21" s="1"/>
  <c r="H48" i="16"/>
  <c r="H46" i="16"/>
  <c r="H44" i="16"/>
  <c r="K90" i="17"/>
  <c r="K91" i="17"/>
  <c r="H47" i="16"/>
  <c r="K53" i="9"/>
  <c r="AO53" i="9" s="1"/>
  <c r="K52" i="9"/>
  <c r="AO52" i="9" s="1"/>
  <c r="G29" i="6"/>
  <c r="H18" i="16"/>
  <c r="H40" i="16" s="1"/>
  <c r="I45" i="17"/>
  <c r="I46" i="17"/>
  <c r="I47" i="17"/>
  <c r="I48" i="17"/>
  <c r="I44" i="17"/>
  <c r="J256" i="17"/>
  <c r="J227" i="17"/>
  <c r="J176" i="17"/>
  <c r="J201" i="17"/>
  <c r="M73" i="9"/>
  <c r="AQ73" i="9" s="1"/>
  <c r="H87" i="20" s="1"/>
  <c r="H83" i="20" s="1"/>
  <c r="H81" i="20"/>
  <c r="I34" i="6"/>
  <c r="M163" i="3"/>
  <c r="N113" i="3"/>
  <c r="M138" i="3"/>
  <c r="M60" i="3" s="1"/>
  <c r="N141" i="3"/>
  <c r="N63" i="3" s="1"/>
  <c r="O116" i="3"/>
  <c r="N166" i="3"/>
  <c r="J269" i="17"/>
  <c r="J240" i="17"/>
  <c r="J214" i="17"/>
  <c r="J189" i="17"/>
  <c r="M82" i="9"/>
  <c r="AQ82" i="9" s="1"/>
  <c r="H334" i="20" s="1"/>
  <c r="H330" i="20" s="1"/>
  <c r="H328" i="20"/>
  <c r="I40" i="6"/>
  <c r="J19" i="6"/>
  <c r="J16" i="8"/>
  <c r="I237" i="20" s="1"/>
  <c r="J41" i="8"/>
  <c r="J91" i="8"/>
  <c r="J66" i="8"/>
  <c r="J42" i="5"/>
  <c r="J10" i="6"/>
  <c r="J32" i="8"/>
  <c r="J33" i="5"/>
  <c r="J82" i="8"/>
  <c r="J57" i="8"/>
  <c r="J7" i="8"/>
  <c r="I66" i="20" s="1"/>
  <c r="AM118" i="20"/>
  <c r="S123" i="3"/>
  <c r="R45" i="3"/>
  <c r="L56" i="16"/>
  <c r="L54" i="16"/>
  <c r="L57" i="16"/>
  <c r="L55" i="16"/>
  <c r="L53" i="16"/>
  <c r="O7" i="9"/>
  <c r="AS7" i="9" s="1"/>
  <c r="J83" i="3"/>
  <c r="K18" i="5" s="1"/>
  <c r="J88" i="3"/>
  <c r="K23" i="5" s="1"/>
  <c r="J80" i="3"/>
  <c r="K15" i="5" s="1"/>
  <c r="J74" i="3"/>
  <c r="K9" i="5" s="1"/>
  <c r="J85" i="3"/>
  <c r="K20" i="5" s="1"/>
  <c r="K21" i="6" s="1"/>
  <c r="J72" i="3"/>
  <c r="K7" i="5" s="1"/>
  <c r="J87" i="3"/>
  <c r="K22" i="5" s="1"/>
  <c r="J75" i="3"/>
  <c r="K10" i="5" s="1"/>
  <c r="J81" i="3"/>
  <c r="K16" i="5" s="1"/>
  <c r="J84" i="3"/>
  <c r="K19" i="5" s="1"/>
  <c r="K20" i="6" s="1"/>
  <c r="J73" i="3"/>
  <c r="K8" i="5" s="1"/>
  <c r="J76" i="3"/>
  <c r="K11" i="5" s="1"/>
  <c r="J90" i="3"/>
  <c r="K25" i="5" s="1"/>
  <c r="J86" i="3"/>
  <c r="K21" i="5" s="1"/>
  <c r="J89" i="3"/>
  <c r="K24" i="5" s="1"/>
  <c r="J79" i="3"/>
  <c r="K14" i="5" s="1"/>
  <c r="K15" i="6" s="1"/>
  <c r="J82" i="3"/>
  <c r="K17" i="5" s="1"/>
  <c r="J77" i="3"/>
  <c r="K12" i="5" s="1"/>
  <c r="K13" i="6" s="1"/>
  <c r="J78" i="3"/>
  <c r="K13" i="5" s="1"/>
  <c r="K14" i="6" s="1"/>
  <c r="J71" i="3"/>
  <c r="AA402" i="20"/>
  <c r="AJ4" i="20"/>
  <c r="D387" i="20"/>
  <c r="AJ384" i="20" s="1"/>
  <c r="J239" i="17"/>
  <c r="J188" i="17"/>
  <c r="J213" i="17"/>
  <c r="J268" i="17"/>
  <c r="M81" i="9"/>
  <c r="AQ81" i="9" s="1"/>
  <c r="H315" i="20" s="1"/>
  <c r="H311" i="20" s="1"/>
  <c r="H309" i="20"/>
  <c r="I39" i="6"/>
  <c r="G11" i="17"/>
  <c r="J226" i="17"/>
  <c r="J255" i="17"/>
  <c r="J200" i="17"/>
  <c r="J175" i="17"/>
  <c r="M72" i="9"/>
  <c r="AQ72" i="9" s="1"/>
  <c r="H68" i="20" s="1"/>
  <c r="H64" i="20" s="1"/>
  <c r="H62" i="20"/>
  <c r="N128" i="3"/>
  <c r="N50" i="3" s="1"/>
  <c r="O103" i="3"/>
  <c r="N153" i="3"/>
  <c r="J25" i="6"/>
  <c r="J47" i="8"/>
  <c r="J22" i="8"/>
  <c r="J97" i="8"/>
  <c r="J72" i="8"/>
  <c r="J16" i="6"/>
  <c r="J38" i="8"/>
  <c r="J39" i="5"/>
  <c r="J88" i="8"/>
  <c r="J63" i="8"/>
  <c r="J13" i="8"/>
  <c r="I180" i="20" s="1"/>
  <c r="N152" i="3"/>
  <c r="O102" i="3"/>
  <c r="N127" i="3"/>
  <c r="N49" i="3" s="1"/>
  <c r="H218" i="17"/>
  <c r="H219" i="17" s="1"/>
  <c r="H10" i="17" s="1"/>
  <c r="J94" i="17"/>
  <c r="J260" i="17"/>
  <c r="J205" i="17"/>
  <c r="J231" i="17"/>
  <c r="J180" i="17"/>
  <c r="H163" i="20"/>
  <c r="H159" i="20" s="1"/>
  <c r="H157" i="20"/>
  <c r="J8" i="6"/>
  <c r="J5" i="8"/>
  <c r="I28" i="20" s="1"/>
  <c r="J55" i="8"/>
  <c r="J80" i="8"/>
  <c r="J30" i="8"/>
  <c r="J31" i="5"/>
  <c r="J24" i="6"/>
  <c r="J47" i="5"/>
  <c r="J46" i="8"/>
  <c r="J96" i="8"/>
  <c r="J71" i="8"/>
  <c r="J21" i="8"/>
  <c r="I332" i="20" s="1"/>
  <c r="J254" i="17"/>
  <c r="J225" i="17"/>
  <c r="J199" i="17"/>
  <c r="J174" i="17"/>
  <c r="M71" i="9"/>
  <c r="AQ71" i="9" s="1"/>
  <c r="H49" i="20" s="1"/>
  <c r="H45" i="20" s="1"/>
  <c r="H43" i="20"/>
  <c r="J230" i="17"/>
  <c r="J179" i="17"/>
  <c r="J204" i="17"/>
  <c r="J259" i="17"/>
  <c r="H144" i="20"/>
  <c r="H140" i="20" s="1"/>
  <c r="H138" i="20"/>
  <c r="AC288" i="20"/>
  <c r="CT178" i="14"/>
  <c r="CT177" i="14"/>
  <c r="AD25" i="21" s="1"/>
  <c r="AD36" i="21" s="1"/>
  <c r="O107" i="3"/>
  <c r="N132" i="3"/>
  <c r="N54" i="3" s="1"/>
  <c r="N157" i="3"/>
  <c r="G65" i="17"/>
  <c r="G63" i="17"/>
  <c r="G64" i="17" s="1"/>
  <c r="H39" i="17"/>
  <c r="J43" i="8"/>
  <c r="J93" i="8"/>
  <c r="J18" i="8"/>
  <c r="I275" i="20" s="1"/>
  <c r="J68" i="8"/>
  <c r="J44" i="5"/>
  <c r="J37" i="5"/>
  <c r="J86" i="8"/>
  <c r="J61" i="8"/>
  <c r="J11" i="8"/>
  <c r="I142" i="20" s="1"/>
  <c r="J36" i="8"/>
  <c r="M160" i="3"/>
  <c r="N110" i="3"/>
  <c r="M135" i="3"/>
  <c r="M57" i="3" s="1"/>
  <c r="J262" i="17"/>
  <c r="J207" i="17"/>
  <c r="J182" i="17"/>
  <c r="J233" i="17"/>
  <c r="M76" i="9"/>
  <c r="AQ76" i="9" s="1"/>
  <c r="H201" i="20" s="1"/>
  <c r="H197" i="20" s="1"/>
  <c r="H195" i="20"/>
  <c r="F116" i="17"/>
  <c r="F113" i="17"/>
  <c r="F110" i="17"/>
  <c r="F117" i="17"/>
  <c r="F112" i="17"/>
  <c r="F108" i="17"/>
  <c r="F105" i="17"/>
  <c r="F102" i="17"/>
  <c r="F99" i="17"/>
  <c r="F107" i="17"/>
  <c r="F106" i="17"/>
  <c r="F104" i="17"/>
  <c r="F103" i="17"/>
  <c r="F101" i="17"/>
  <c r="F100" i="17"/>
  <c r="F118" i="17"/>
  <c r="F114" i="17"/>
  <c r="F109" i="17"/>
  <c r="F115" i="17"/>
  <c r="F111" i="17"/>
  <c r="F8" i="17"/>
  <c r="G49" i="16"/>
  <c r="L139" i="3"/>
  <c r="L61" i="3" s="1"/>
  <c r="L164" i="3"/>
  <c r="M114" i="3"/>
  <c r="J264" i="17"/>
  <c r="J235" i="17"/>
  <c r="J209" i="17"/>
  <c r="J184" i="17"/>
  <c r="M78" i="9"/>
  <c r="AQ78" i="9" s="1"/>
  <c r="H239" i="20" s="1"/>
  <c r="H235" i="20" s="1"/>
  <c r="H233" i="20"/>
  <c r="J12" i="6"/>
  <c r="J84" i="8"/>
  <c r="J35" i="5"/>
  <c r="J59" i="8"/>
  <c r="J9" i="8"/>
  <c r="I104" i="20" s="1"/>
  <c r="J34" i="8"/>
  <c r="J26" i="6"/>
  <c r="J23" i="8"/>
  <c r="J48" i="8"/>
  <c r="J98" i="8"/>
  <c r="J73" i="8"/>
  <c r="J261" i="17"/>
  <c r="J232" i="17"/>
  <c r="J206" i="17"/>
  <c r="J181" i="17"/>
  <c r="H176" i="20"/>
  <c r="M75" i="9"/>
  <c r="AQ75" i="9" s="1"/>
  <c r="H182" i="20" s="1"/>
  <c r="H178" i="20" s="1"/>
  <c r="I36" i="6"/>
  <c r="J265" i="17"/>
  <c r="J185" i="17"/>
  <c r="J236" i="17"/>
  <c r="J210" i="17"/>
  <c r="H258" i="20"/>
  <c r="H254" i="20" s="1"/>
  <c r="H252" i="20"/>
  <c r="I38" i="6"/>
  <c r="M129" i="3"/>
  <c r="M51" i="3" s="1"/>
  <c r="M154" i="3"/>
  <c r="N104" i="3"/>
  <c r="O434" i="20"/>
  <c r="O432" i="20" s="1"/>
  <c r="J270" i="17"/>
  <c r="J215" i="17"/>
  <c r="J241" i="17"/>
  <c r="J190" i="17"/>
  <c r="M79" i="9"/>
  <c r="AQ79" i="9" s="1"/>
  <c r="M83" i="9"/>
  <c r="AQ83" i="9" s="1"/>
  <c r="H347" i="20"/>
  <c r="H366" i="20"/>
  <c r="H24" i="8"/>
  <c r="G9" i="20"/>
  <c r="F389" i="20"/>
  <c r="G7" i="21" s="1"/>
  <c r="AB288" i="20"/>
  <c r="AB280" i="20" s="1"/>
  <c r="CS178" i="14"/>
  <c r="CS177" i="14"/>
  <c r="AC25" i="21" s="1"/>
  <c r="AC36" i="21" s="1"/>
  <c r="AM346" i="20"/>
  <c r="P134" i="3"/>
  <c r="P56" i="3" s="1"/>
  <c r="P159" i="3"/>
  <c r="Q109" i="3"/>
  <c r="AA458" i="20"/>
  <c r="AA450" i="20" s="1"/>
  <c r="CR179" i="14"/>
  <c r="O106" i="3"/>
  <c r="N156" i="3"/>
  <c r="N131" i="3"/>
  <c r="N53" i="3" s="1"/>
  <c r="W125" i="3"/>
  <c r="V47" i="3"/>
  <c r="E7" i="20"/>
  <c r="J60" i="8"/>
  <c r="J85" i="8"/>
  <c r="J10" i="8"/>
  <c r="I123" i="20" s="1"/>
  <c r="J36" i="5"/>
  <c r="J35" i="8"/>
  <c r="CR177" i="14"/>
  <c r="AB25" i="21" s="1"/>
  <c r="AB36" i="21" s="1"/>
  <c r="E119" i="17"/>
  <c r="J173" i="17"/>
  <c r="J253" i="17"/>
  <c r="J224" i="17"/>
  <c r="J198" i="17"/>
  <c r="M70" i="9"/>
  <c r="AQ70" i="9" s="1"/>
  <c r="H30" i="20" s="1"/>
  <c r="H26" i="20" s="1"/>
  <c r="H24" i="20"/>
  <c r="I33" i="6"/>
  <c r="F278" i="17"/>
  <c r="F285" i="17" s="1"/>
  <c r="F286" i="17" s="1"/>
  <c r="I32" i="17"/>
  <c r="I34" i="17"/>
  <c r="I36" i="17"/>
  <c r="I33" i="17"/>
  <c r="I35" i="17"/>
  <c r="AA394" i="20"/>
  <c r="AM365" i="20"/>
  <c r="CU102" i="14"/>
  <c r="AG98" i="43" s="1"/>
  <c r="AG108" i="43" s="1"/>
  <c r="JS102" i="14"/>
  <c r="JS177" i="14" s="1"/>
  <c r="AI66" i="9" s="1"/>
  <c r="BM66" i="9" s="1"/>
  <c r="AD428" i="20" s="1"/>
  <c r="AD426" i="20" s="1"/>
  <c r="H59" i="17"/>
  <c r="N158" i="3"/>
  <c r="O108" i="3"/>
  <c r="N133" i="3"/>
  <c r="N55" i="3" s="1"/>
  <c r="J9" i="6"/>
  <c r="J31" i="8"/>
  <c r="J56" i="8"/>
  <c r="J81" i="8"/>
  <c r="J6" i="8"/>
  <c r="I47" i="20" s="1"/>
  <c r="J32" i="5"/>
  <c r="P105" i="3" l="1"/>
  <c r="O130" i="3"/>
  <c r="O52" i="3" s="1"/>
  <c r="O155" i="3"/>
  <c r="AG110" i="43"/>
  <c r="AH110" i="43" s="1"/>
  <c r="AI98" i="43"/>
  <c r="H44" i="6"/>
  <c r="I4" i="16"/>
  <c r="G285" i="17"/>
  <c r="G286" i="17" s="1"/>
  <c r="G290" i="17" s="1"/>
  <c r="N137" i="3"/>
  <c r="N59" i="3" s="1"/>
  <c r="O112" i="3"/>
  <c r="N162" i="3"/>
  <c r="N142" i="3"/>
  <c r="N64" i="3" s="1"/>
  <c r="O117" i="3"/>
  <c r="N167" i="3"/>
  <c r="M165" i="3"/>
  <c r="N115" i="3"/>
  <c r="M140" i="3"/>
  <c r="M62" i="3" s="1"/>
  <c r="V6" i="9"/>
  <c r="AY6" i="9"/>
  <c r="D13" i="17"/>
  <c r="D14" i="17" s="1"/>
  <c r="D18" i="17" s="1"/>
  <c r="D16" i="17" s="1"/>
  <c r="D20" i="17" s="1"/>
  <c r="C21" i="21" s="1"/>
  <c r="E291" i="17"/>
  <c r="E292" i="17" s="1"/>
  <c r="H277" i="17"/>
  <c r="H11" i="17"/>
  <c r="AN118" i="20"/>
  <c r="H43" i="6"/>
  <c r="I272" i="17"/>
  <c r="I277" i="17" s="1"/>
  <c r="I273" i="17"/>
  <c r="H274" i="17"/>
  <c r="AN99" i="20"/>
  <c r="AN175" i="20"/>
  <c r="AN23" i="20"/>
  <c r="F7" i="20"/>
  <c r="AL4" i="20" s="1"/>
  <c r="AN232" i="20"/>
  <c r="AN194" i="20"/>
  <c r="AN213" i="20"/>
  <c r="AN289" i="20"/>
  <c r="F12" i="21"/>
  <c r="F13" i="21" s="1"/>
  <c r="AN42" i="20"/>
  <c r="AN270" i="20"/>
  <c r="AN80" i="20"/>
  <c r="AN61" i="20"/>
  <c r="AN327" i="20"/>
  <c r="AN308" i="20"/>
  <c r="H49" i="16"/>
  <c r="I9" i="17"/>
  <c r="AN137" i="20"/>
  <c r="AN156" i="20"/>
  <c r="F10" i="21"/>
  <c r="H279" i="17"/>
  <c r="AB402" i="20"/>
  <c r="AB14" i="20"/>
  <c r="AB394" i="20" s="1"/>
  <c r="K85" i="8"/>
  <c r="K35" i="8"/>
  <c r="K10" i="8"/>
  <c r="J123" i="20" s="1"/>
  <c r="K36" i="5"/>
  <c r="K60" i="8"/>
  <c r="O141" i="3"/>
  <c r="O63" i="3" s="1"/>
  <c r="O166" i="3"/>
  <c r="P116" i="3"/>
  <c r="I51" i="17"/>
  <c r="I56" i="17"/>
  <c r="P111" i="3"/>
  <c r="O161" i="3"/>
  <c r="O136" i="3"/>
  <c r="O58" i="3" s="1"/>
  <c r="K240" i="17"/>
  <c r="K214" i="17"/>
  <c r="K269" i="17"/>
  <c r="K189" i="17"/>
  <c r="N82" i="9"/>
  <c r="AR82" i="9" s="1"/>
  <c r="I334" i="20" s="1"/>
  <c r="I330" i="20" s="1"/>
  <c r="I328" i="20"/>
  <c r="J40" i="6"/>
  <c r="P103" i="3"/>
  <c r="O128" i="3"/>
  <c r="O50" i="3" s="1"/>
  <c r="O153" i="3"/>
  <c r="K18" i="6"/>
  <c r="K40" i="8"/>
  <c r="K65" i="8"/>
  <c r="K41" i="5"/>
  <c r="K15" i="8"/>
  <c r="J218" i="20" s="1"/>
  <c r="K90" i="8"/>
  <c r="K8" i="6"/>
  <c r="K5" i="8"/>
  <c r="J28" i="20" s="1"/>
  <c r="K30" i="8"/>
  <c r="K55" i="8"/>
  <c r="K80" i="8"/>
  <c r="K31" i="5"/>
  <c r="I60" i="17"/>
  <c r="K23" i="6"/>
  <c r="K20" i="8"/>
  <c r="J313" i="20" s="1"/>
  <c r="K95" i="8"/>
  <c r="K46" i="5"/>
  <c r="K45" i="8"/>
  <c r="K70" i="8"/>
  <c r="K262" i="17"/>
  <c r="K207" i="17"/>
  <c r="K182" i="17"/>
  <c r="K233" i="17"/>
  <c r="N76" i="9"/>
  <c r="AR76" i="9" s="1"/>
  <c r="I201" i="20" s="1"/>
  <c r="I197" i="20" s="1"/>
  <c r="I195" i="20"/>
  <c r="AK4" i="20"/>
  <c r="E387" i="20"/>
  <c r="AN251" i="20"/>
  <c r="K37" i="8"/>
  <c r="K12" i="8"/>
  <c r="J161" i="20" s="1"/>
  <c r="K87" i="8"/>
  <c r="K38" i="5"/>
  <c r="K62" i="8"/>
  <c r="K18" i="8"/>
  <c r="J275" i="20" s="1"/>
  <c r="K68" i="8"/>
  <c r="K43" i="8"/>
  <c r="K93" i="8"/>
  <c r="K44" i="5"/>
  <c r="I59" i="17"/>
  <c r="P13" i="18"/>
  <c r="P46" i="18" s="1"/>
  <c r="G385" i="20"/>
  <c r="AN365" i="20"/>
  <c r="O157" i="3"/>
  <c r="P107" i="3"/>
  <c r="O132" i="3"/>
  <c r="O54" i="3" s="1"/>
  <c r="K25" i="6"/>
  <c r="K72" i="8"/>
  <c r="K97" i="8"/>
  <c r="K47" i="8"/>
  <c r="K22" i="8"/>
  <c r="K10" i="6"/>
  <c r="K32" i="8"/>
  <c r="K82" i="8"/>
  <c r="K33" i="5"/>
  <c r="K7" i="8"/>
  <c r="J66" i="20" s="1"/>
  <c r="K57" i="8"/>
  <c r="L58" i="16"/>
  <c r="K264" i="17"/>
  <c r="K235" i="17"/>
  <c r="K209" i="17"/>
  <c r="K184" i="17"/>
  <c r="N78" i="9"/>
  <c r="AR78" i="9" s="1"/>
  <c r="I239" i="20" s="1"/>
  <c r="I235" i="20" s="1"/>
  <c r="I233" i="20"/>
  <c r="N138" i="3"/>
  <c r="N60" i="3" s="1"/>
  <c r="N163" i="3"/>
  <c r="O113" i="3"/>
  <c r="I58" i="17"/>
  <c r="K239" i="17"/>
  <c r="K213" i="17"/>
  <c r="K268" i="17"/>
  <c r="K188" i="17"/>
  <c r="N81" i="9"/>
  <c r="AR81" i="9" s="1"/>
  <c r="I315" i="20" s="1"/>
  <c r="I311" i="20" s="1"/>
  <c r="I309" i="20"/>
  <c r="J39" i="6"/>
  <c r="G11" i="20"/>
  <c r="G391" i="20" s="1"/>
  <c r="AP150" i="9"/>
  <c r="R11" i="18" s="1"/>
  <c r="R44" i="18" s="1"/>
  <c r="K256" i="17"/>
  <c r="K227" i="17"/>
  <c r="K201" i="17"/>
  <c r="K176" i="17"/>
  <c r="N73" i="9"/>
  <c r="AR73" i="9" s="1"/>
  <c r="I87" i="20" s="1"/>
  <c r="I83" i="20" s="1"/>
  <c r="I81" i="20"/>
  <c r="J34" i="6"/>
  <c r="W5" i="9"/>
  <c r="AZ5" i="9"/>
  <c r="AD458" i="20"/>
  <c r="AD450" i="20" s="1"/>
  <c r="AD22" i="20"/>
  <c r="CU179" i="14"/>
  <c r="G389" i="20"/>
  <c r="H7" i="21" s="1"/>
  <c r="X125" i="3"/>
  <c r="W47" i="3"/>
  <c r="AN346" i="20"/>
  <c r="N154" i="3"/>
  <c r="O104" i="3"/>
  <c r="N129" i="3"/>
  <c r="N51" i="3" s="1"/>
  <c r="K216" i="17"/>
  <c r="K242" i="17"/>
  <c r="K271" i="17"/>
  <c r="K191" i="17"/>
  <c r="N160" i="3"/>
  <c r="O110" i="3"/>
  <c r="N135" i="3"/>
  <c r="N57" i="3" s="1"/>
  <c r="G117" i="17"/>
  <c r="G114" i="17"/>
  <c r="G111" i="17"/>
  <c r="G108" i="17"/>
  <c r="G105" i="17"/>
  <c r="G102" i="17"/>
  <c r="G99" i="17"/>
  <c r="G112" i="17"/>
  <c r="G113" i="17"/>
  <c r="G107" i="17"/>
  <c r="G106" i="17"/>
  <c r="G104" i="17"/>
  <c r="G103" i="17"/>
  <c r="G101" i="17"/>
  <c r="G100" i="17"/>
  <c r="G118" i="17"/>
  <c r="G109" i="17"/>
  <c r="G110" i="17"/>
  <c r="G115" i="17"/>
  <c r="G116" i="17"/>
  <c r="G8" i="17"/>
  <c r="K22" i="6"/>
  <c r="K45" i="5"/>
  <c r="K94" i="8"/>
  <c r="K44" i="8"/>
  <c r="K19" i="8"/>
  <c r="J294" i="20" s="1"/>
  <c r="K69" i="8"/>
  <c r="K16" i="6"/>
  <c r="K88" i="8"/>
  <c r="K63" i="8"/>
  <c r="K39" i="5"/>
  <c r="K38" i="8"/>
  <c r="K13" i="8"/>
  <c r="J180" i="20" s="1"/>
  <c r="I57" i="17"/>
  <c r="H3" i="21"/>
  <c r="H7" i="18"/>
  <c r="H34" i="18" s="1"/>
  <c r="H36" i="18" s="1"/>
  <c r="L93" i="17"/>
  <c r="L92" i="17"/>
  <c r="L91" i="17"/>
  <c r="L89" i="17"/>
  <c r="L90" i="17"/>
  <c r="L88" i="17"/>
  <c r="I48" i="16"/>
  <c r="I46" i="16"/>
  <c r="I44" i="16"/>
  <c r="I47" i="16"/>
  <c r="I5" i="16" a="1"/>
  <c r="I5" i="16" s="1"/>
  <c r="H9" i="21" s="1"/>
  <c r="I45" i="16"/>
  <c r="L53" i="9"/>
  <c r="AP53" i="9" s="1"/>
  <c r="L52" i="9"/>
  <c r="AP52" i="9" s="1"/>
  <c r="H29" i="6"/>
  <c r="I18" i="16"/>
  <c r="I40" i="16" s="1"/>
  <c r="J47" i="17"/>
  <c r="J48" i="17"/>
  <c r="J44" i="17"/>
  <c r="J45" i="17"/>
  <c r="J46" i="17"/>
  <c r="I24" i="8"/>
  <c r="H9" i="20"/>
  <c r="K266" i="17"/>
  <c r="K211" i="17"/>
  <c r="K237" i="17"/>
  <c r="K186" i="17"/>
  <c r="I277" i="20"/>
  <c r="I273" i="20" s="1"/>
  <c r="I271" i="20"/>
  <c r="K26" i="6"/>
  <c r="K23" i="8"/>
  <c r="K48" i="8"/>
  <c r="K98" i="8"/>
  <c r="K73" i="8"/>
  <c r="K24" i="6"/>
  <c r="K71" i="8"/>
  <c r="K21" i="8"/>
  <c r="J332" i="20" s="1"/>
  <c r="K96" i="8"/>
  <c r="K46" i="8"/>
  <c r="K47" i="5"/>
  <c r="JT177" i="14"/>
  <c r="K205" i="17"/>
  <c r="K260" i="17"/>
  <c r="K180" i="17"/>
  <c r="K231" i="17"/>
  <c r="I163" i="20"/>
  <c r="I159" i="20" s="1"/>
  <c r="I157" i="20"/>
  <c r="N126" i="3"/>
  <c r="N48" i="3" s="1"/>
  <c r="N151" i="3"/>
  <c r="O101" i="3"/>
  <c r="J7" i="6"/>
  <c r="J30" i="5"/>
  <c r="J29" i="8"/>
  <c r="J49" i="8" s="1"/>
  <c r="J8" i="18" s="1"/>
  <c r="J41" i="18" s="1"/>
  <c r="J79" i="8"/>
  <c r="J99" i="8" s="1"/>
  <c r="J10" i="18" s="1"/>
  <c r="J43" i="18" s="1"/>
  <c r="J4" i="8"/>
  <c r="J54" i="8"/>
  <c r="J74" i="8" s="1"/>
  <c r="K208" i="17"/>
  <c r="K263" i="17"/>
  <c r="K183" i="17"/>
  <c r="K234" i="17"/>
  <c r="I214" i="20"/>
  <c r="N77" i="9"/>
  <c r="AR77" i="9" s="1"/>
  <c r="I220" i="20" s="1"/>
  <c r="I216" i="20" s="1"/>
  <c r="J37" i="6"/>
  <c r="J252" i="17"/>
  <c r="J223" i="17"/>
  <c r="J243" i="17" s="1"/>
  <c r="J197" i="17"/>
  <c r="J217" i="17" s="1"/>
  <c r="J172" i="17"/>
  <c r="J192" i="17" s="1"/>
  <c r="I27" i="6"/>
  <c r="M69" i="9"/>
  <c r="AQ69" i="9" s="1"/>
  <c r="H5" i="20"/>
  <c r="I32" i="6"/>
  <c r="Q159" i="3"/>
  <c r="R109" i="3"/>
  <c r="Q134" i="3"/>
  <c r="Q56" i="3" s="1"/>
  <c r="M164" i="3"/>
  <c r="M139" i="3"/>
  <c r="M61" i="3" s="1"/>
  <c r="N114" i="3"/>
  <c r="AE288" i="20"/>
  <c r="CV178" i="14"/>
  <c r="CV177" i="14"/>
  <c r="AC280" i="20"/>
  <c r="AC394" i="20" s="1"/>
  <c r="AC402" i="20"/>
  <c r="K261" i="17"/>
  <c r="K232" i="17"/>
  <c r="K206" i="17"/>
  <c r="K181" i="17"/>
  <c r="N75" i="9"/>
  <c r="AR75" i="9" s="1"/>
  <c r="I182" i="20" s="1"/>
  <c r="I178" i="20" s="1"/>
  <c r="I176" i="20"/>
  <c r="J36" i="6"/>
  <c r="K12" i="6"/>
  <c r="K34" i="8"/>
  <c r="K35" i="5"/>
  <c r="K9" i="8"/>
  <c r="J104" i="20" s="1"/>
  <c r="K84" i="8"/>
  <c r="K59" i="8"/>
  <c r="K19" i="6"/>
  <c r="K42" i="5"/>
  <c r="K66" i="8"/>
  <c r="K41" i="8"/>
  <c r="K91" i="8"/>
  <c r="K16" i="8"/>
  <c r="J237" i="20" s="1"/>
  <c r="AE458" i="20"/>
  <c r="AE450" i="20" s="1"/>
  <c r="CV179" i="14"/>
  <c r="I218" i="17"/>
  <c r="I219" i="17" s="1"/>
  <c r="I10" i="17" s="1"/>
  <c r="H65" i="17"/>
  <c r="H63" i="17"/>
  <c r="H64" i="17" s="1"/>
  <c r="F119" i="17"/>
  <c r="K253" i="17"/>
  <c r="K224" i="17"/>
  <c r="K173" i="17"/>
  <c r="K198" i="17"/>
  <c r="N70" i="9"/>
  <c r="AR70" i="9" s="1"/>
  <c r="I30" i="20" s="1"/>
  <c r="I26" i="20" s="1"/>
  <c r="I24" i="20"/>
  <c r="J33" i="6"/>
  <c r="K9" i="6"/>
  <c r="K31" i="8"/>
  <c r="K81" i="8"/>
  <c r="K56" i="8"/>
  <c r="K6" i="8"/>
  <c r="J47" i="20" s="1"/>
  <c r="K32" i="5"/>
  <c r="F407" i="20"/>
  <c r="F405" i="20" s="1"/>
  <c r="F404" i="20" s="1"/>
  <c r="F403" i="20" s="1"/>
  <c r="AL403" i="20" s="1"/>
  <c r="AO149" i="9"/>
  <c r="H280" i="17" s="1"/>
  <c r="AD124" i="3"/>
  <c r="AC46" i="3"/>
  <c r="L194" i="3"/>
  <c r="L182" i="3"/>
  <c r="L192" i="3"/>
  <c r="L176" i="3"/>
  <c r="L184" i="3"/>
  <c r="L189" i="3"/>
  <c r="L181" i="3"/>
  <c r="L70" i="3"/>
  <c r="L178" i="3"/>
  <c r="L186" i="3"/>
  <c r="L175" i="3"/>
  <c r="L191" i="3"/>
  <c r="L183" i="3"/>
  <c r="L188" i="3"/>
  <c r="L180" i="3"/>
  <c r="L190" i="3"/>
  <c r="L177" i="3"/>
  <c r="L187" i="3"/>
  <c r="L185" i="3"/>
  <c r="L193" i="3"/>
  <c r="L179" i="3"/>
  <c r="K17" i="8"/>
  <c r="J256" i="20" s="1"/>
  <c r="K67" i="8"/>
  <c r="K43" i="5"/>
  <c r="K92" i="8"/>
  <c r="K42" i="8"/>
  <c r="AJ459" i="20"/>
  <c r="N173" i="3"/>
  <c r="M174" i="3"/>
  <c r="CU177" i="14"/>
  <c r="AE25" i="21" s="1"/>
  <c r="AE36" i="21" s="1"/>
  <c r="K270" i="17"/>
  <c r="K215" i="17"/>
  <c r="K241" i="17"/>
  <c r="K190" i="17"/>
  <c r="N79" i="9"/>
  <c r="AR79" i="9" s="1"/>
  <c r="N83" i="9"/>
  <c r="AR83" i="9" s="1"/>
  <c r="I347" i="20"/>
  <c r="I366" i="20"/>
  <c r="K37" i="5"/>
  <c r="K11" i="8"/>
  <c r="J142" i="20" s="1"/>
  <c r="K86" i="8"/>
  <c r="K36" i="8"/>
  <c r="K61" i="8"/>
  <c r="O133" i="3"/>
  <c r="O55" i="3" s="1"/>
  <c r="O158" i="3"/>
  <c r="P108" i="3"/>
  <c r="O131" i="3"/>
  <c r="O53" i="3" s="1"/>
  <c r="O156" i="3"/>
  <c r="P106" i="3"/>
  <c r="O152" i="3"/>
  <c r="P102" i="3"/>
  <c r="O127" i="3"/>
  <c r="O49" i="3" s="1"/>
  <c r="K17" i="6"/>
  <c r="K40" i="5"/>
  <c r="K14" i="8"/>
  <c r="J199" i="20" s="1"/>
  <c r="K39" i="8"/>
  <c r="K89" i="8"/>
  <c r="K64" i="8"/>
  <c r="J443" i="20"/>
  <c r="J441" i="20" s="1"/>
  <c r="T123" i="3"/>
  <c r="S45" i="3"/>
  <c r="K255" i="17"/>
  <c r="K226" i="17"/>
  <c r="K200" i="17"/>
  <c r="K175" i="17"/>
  <c r="I62" i="20"/>
  <c r="N72" i="9"/>
  <c r="AR72" i="9" s="1"/>
  <c r="I68" i="20" s="1"/>
  <c r="I64" i="20" s="1"/>
  <c r="G8" i="21"/>
  <c r="G10" i="21" s="1"/>
  <c r="H6" i="16"/>
  <c r="K94" i="17"/>
  <c r="K238" i="17"/>
  <c r="K187" i="17"/>
  <c r="K267" i="17"/>
  <c r="K212" i="17"/>
  <c r="N80" i="9"/>
  <c r="AR80" i="9" s="1"/>
  <c r="I296" i="20" s="1"/>
  <c r="I292" i="20" s="1"/>
  <c r="I290" i="20"/>
  <c r="M56" i="16"/>
  <c r="M54" i="16"/>
  <c r="M57" i="16"/>
  <c r="M55" i="16"/>
  <c r="M53" i="16"/>
  <c r="P7" i="9"/>
  <c r="AT7" i="9" s="1"/>
  <c r="K88" i="3"/>
  <c r="L23" i="5" s="1"/>
  <c r="K85" i="3"/>
  <c r="L20" i="5" s="1"/>
  <c r="L21" i="6" s="1"/>
  <c r="K72" i="3"/>
  <c r="L7" i="5" s="1"/>
  <c r="K82" i="3"/>
  <c r="L17" i="5" s="1"/>
  <c r="K77" i="3"/>
  <c r="L12" i="5" s="1"/>
  <c r="L13" i="6" s="1"/>
  <c r="K84" i="3"/>
  <c r="L19" i="5" s="1"/>
  <c r="L20" i="6" s="1"/>
  <c r="K81" i="3"/>
  <c r="L16" i="5" s="1"/>
  <c r="K73" i="3"/>
  <c r="L8" i="5" s="1"/>
  <c r="K89" i="3"/>
  <c r="L24" i="5" s="1"/>
  <c r="K86" i="3"/>
  <c r="L21" i="5" s="1"/>
  <c r="K76" i="3"/>
  <c r="L11" i="5" s="1"/>
  <c r="K90" i="3"/>
  <c r="L25" i="5" s="1"/>
  <c r="K80" i="3"/>
  <c r="L15" i="5" s="1"/>
  <c r="K79" i="3"/>
  <c r="L14" i="5" s="1"/>
  <c r="L15" i="6" s="1"/>
  <c r="K87" i="3"/>
  <c r="L22" i="5" s="1"/>
  <c r="K78" i="3"/>
  <c r="L13" i="5" s="1"/>
  <c r="L14" i="6" s="1"/>
  <c r="K75" i="3"/>
  <c r="L10" i="5" s="1"/>
  <c r="K83" i="3"/>
  <c r="L18" i="5" s="1"/>
  <c r="K71" i="3"/>
  <c r="K74" i="3"/>
  <c r="L9" i="5" s="1"/>
  <c r="K265" i="17"/>
  <c r="K236" i="17"/>
  <c r="K210" i="17"/>
  <c r="K185" i="17"/>
  <c r="I252" i="20"/>
  <c r="I258" i="20"/>
  <c r="I254" i="20" s="1"/>
  <c r="J38" i="6"/>
  <c r="K258" i="17"/>
  <c r="K229" i="17"/>
  <c r="K178" i="17"/>
  <c r="K203" i="17"/>
  <c r="I125" i="20"/>
  <c r="I121" i="20" s="1"/>
  <c r="I119" i="20"/>
  <c r="J35" i="6"/>
  <c r="J34" i="17"/>
  <c r="J36" i="17"/>
  <c r="J33" i="17"/>
  <c r="J35" i="17"/>
  <c r="J32" i="17"/>
  <c r="K225" i="17"/>
  <c r="K174" i="17"/>
  <c r="K254" i="17"/>
  <c r="K199" i="17"/>
  <c r="N71" i="9"/>
  <c r="AR71" i="9" s="1"/>
  <c r="I49" i="20" s="1"/>
  <c r="I45" i="20" s="1"/>
  <c r="I43" i="20"/>
  <c r="I39" i="17"/>
  <c r="F290" i="17"/>
  <c r="F288" i="17"/>
  <c r="F289" i="17"/>
  <c r="K257" i="17"/>
  <c r="K228" i="17"/>
  <c r="K177" i="17"/>
  <c r="K202" i="17"/>
  <c r="N74" i="9"/>
  <c r="AR74" i="9" s="1"/>
  <c r="I106" i="20" s="1"/>
  <c r="I102" i="20" s="1"/>
  <c r="I100" i="20"/>
  <c r="K230" i="17"/>
  <c r="K204" i="17"/>
  <c r="K259" i="17"/>
  <c r="K179" i="17"/>
  <c r="I144" i="20"/>
  <c r="I140" i="20" s="1"/>
  <c r="I138" i="20"/>
  <c r="K6" i="5"/>
  <c r="J67" i="3"/>
  <c r="K11" i="6"/>
  <c r="K83" i="8"/>
  <c r="K33" i="8"/>
  <c r="K58" i="8"/>
  <c r="K34" i="5"/>
  <c r="K8" i="8"/>
  <c r="J85" i="20" s="1"/>
  <c r="H245" i="17"/>
  <c r="H246" i="17" s="1"/>
  <c r="P434" i="20"/>
  <c r="P432" i="20" s="1"/>
  <c r="P130" i="3" l="1"/>
  <c r="P52" i="3" s="1"/>
  <c r="P155" i="3"/>
  <c r="Q105" i="3"/>
  <c r="I44" i="6"/>
  <c r="J4" i="16"/>
  <c r="G289" i="17"/>
  <c r="G288" i="17"/>
  <c r="AZ6" i="9"/>
  <c r="W6" i="9"/>
  <c r="N140" i="3"/>
  <c r="N62" i="3" s="1"/>
  <c r="O115" i="3"/>
  <c r="N165" i="3"/>
  <c r="P117" i="3"/>
  <c r="O142" i="3"/>
  <c r="O64" i="3" s="1"/>
  <c r="O167" i="3"/>
  <c r="P112" i="3"/>
  <c r="O162" i="3"/>
  <c r="O137" i="3"/>
  <c r="O59" i="3" s="1"/>
  <c r="D15" i="17"/>
  <c r="D17" i="17" s="1"/>
  <c r="E13" i="17"/>
  <c r="E14" i="17" s="1"/>
  <c r="E18" i="17" s="1"/>
  <c r="E15" i="17" s="1"/>
  <c r="I12" i="17"/>
  <c r="F387" i="20"/>
  <c r="AL384" i="20" s="1"/>
  <c r="B24" i="2"/>
  <c r="AF25" i="21"/>
  <c r="AO61" i="20"/>
  <c r="I43" i="6"/>
  <c r="AO232" i="20"/>
  <c r="J272" i="17"/>
  <c r="J277" i="17" s="1"/>
  <c r="J273" i="17"/>
  <c r="I274" i="17"/>
  <c r="F14" i="21"/>
  <c r="AO251" i="20"/>
  <c r="H278" i="17"/>
  <c r="H285" i="17" s="1"/>
  <c r="H286" i="17" s="1"/>
  <c r="H289" i="17" s="1"/>
  <c r="AO80" i="20"/>
  <c r="AO156" i="20"/>
  <c r="AO137" i="20"/>
  <c r="I11" i="17"/>
  <c r="AO327" i="20"/>
  <c r="I279" i="17"/>
  <c r="AO308" i="20"/>
  <c r="G7" i="20"/>
  <c r="AM4" i="20" s="1"/>
  <c r="L94" i="17"/>
  <c r="I108" i="17" s="1"/>
  <c r="J60" i="17"/>
  <c r="J59" i="17"/>
  <c r="AO194" i="20"/>
  <c r="AO175" i="20"/>
  <c r="AO270" i="20"/>
  <c r="J9" i="17"/>
  <c r="AO213" i="20"/>
  <c r="AO42" i="20"/>
  <c r="AO118" i="20"/>
  <c r="AO99" i="20"/>
  <c r="AO289" i="20"/>
  <c r="L26" i="6"/>
  <c r="L23" i="8"/>
  <c r="L98" i="8"/>
  <c r="L73" i="8"/>
  <c r="L48" i="8"/>
  <c r="AK384" i="20"/>
  <c r="AK459" i="20"/>
  <c r="P128" i="3"/>
  <c r="P50" i="3" s="1"/>
  <c r="P153" i="3"/>
  <c r="Q103" i="3"/>
  <c r="L93" i="8"/>
  <c r="L18" i="8"/>
  <c r="K275" i="20" s="1"/>
  <c r="L68" i="8"/>
  <c r="L43" i="8"/>
  <c r="L44" i="5"/>
  <c r="P136" i="3"/>
  <c r="P58" i="3" s="1"/>
  <c r="P161" i="3"/>
  <c r="Q111" i="3"/>
  <c r="L22" i="6"/>
  <c r="L45" i="5"/>
  <c r="L19" i="8"/>
  <c r="K294" i="20" s="1"/>
  <c r="L69" i="8"/>
  <c r="L44" i="8"/>
  <c r="L94" i="8"/>
  <c r="L257" i="17"/>
  <c r="L228" i="17"/>
  <c r="L202" i="17"/>
  <c r="L177" i="17"/>
  <c r="O74" i="9"/>
  <c r="AS74" i="9" s="1"/>
  <c r="J106" i="20" s="1"/>
  <c r="J102" i="20" s="1"/>
  <c r="J100" i="20"/>
  <c r="L239" i="17"/>
  <c r="L188" i="17"/>
  <c r="L213" i="17"/>
  <c r="L268" i="17"/>
  <c r="J309" i="20"/>
  <c r="O81" i="9"/>
  <c r="AS81" i="9" s="1"/>
  <c r="J315" i="20" s="1"/>
  <c r="J311" i="20" s="1"/>
  <c r="K39" i="6"/>
  <c r="I65" i="17"/>
  <c r="I63" i="17"/>
  <c r="I64" i="17" s="1"/>
  <c r="BA5" i="9"/>
  <c r="X5" i="9"/>
  <c r="L265" i="17"/>
  <c r="L236" i="17"/>
  <c r="L185" i="17"/>
  <c r="L210" i="17"/>
  <c r="J258" i="20"/>
  <c r="J254" i="20" s="1"/>
  <c r="J252" i="20"/>
  <c r="K38" i="6"/>
  <c r="L24" i="6"/>
  <c r="L47" i="5"/>
  <c r="L21" i="8"/>
  <c r="K332" i="20" s="1"/>
  <c r="L96" i="8"/>
  <c r="L46" i="8"/>
  <c r="L71" i="8"/>
  <c r="H385" i="20"/>
  <c r="K7" i="6"/>
  <c r="K29" i="8"/>
  <c r="K49" i="8" s="1"/>
  <c r="K8" i="18" s="1"/>
  <c r="K41" i="18" s="1"/>
  <c r="K79" i="8"/>
  <c r="K99" i="8" s="1"/>
  <c r="K10" i="18" s="1"/>
  <c r="K43" i="18" s="1"/>
  <c r="K54" i="8"/>
  <c r="K74" i="8" s="1"/>
  <c r="K30" i="5"/>
  <c r="K4" i="8"/>
  <c r="AE124" i="3"/>
  <c r="AE46" i="3" s="1"/>
  <c r="AD46" i="3"/>
  <c r="AE280" i="20"/>
  <c r="AE402" i="20"/>
  <c r="H11" i="20"/>
  <c r="H391" i="20" s="1"/>
  <c r="AQ150" i="9"/>
  <c r="S11" i="18" s="1"/>
  <c r="S44" i="18" s="1"/>
  <c r="L269" i="17"/>
  <c r="L240" i="17"/>
  <c r="L214" i="17"/>
  <c r="L189" i="17"/>
  <c r="J328" i="20"/>
  <c r="O82" i="9"/>
  <c r="AS82" i="9" s="1"/>
  <c r="J334" i="20" s="1"/>
  <c r="J330" i="20" s="1"/>
  <c r="K40" i="6"/>
  <c r="G407" i="20"/>
  <c r="G405" i="20" s="1"/>
  <c r="G404" i="20" s="1"/>
  <c r="G403" i="20" s="1"/>
  <c r="AM403" i="20" s="1"/>
  <c r="AP149" i="9"/>
  <c r="I280" i="17" s="1"/>
  <c r="L241" i="17"/>
  <c r="L270" i="17"/>
  <c r="L215" i="17"/>
  <c r="L190" i="17"/>
  <c r="O79" i="9"/>
  <c r="AS79" i="9" s="1"/>
  <c r="O83" i="9"/>
  <c r="AS83" i="9" s="1"/>
  <c r="J366" i="20"/>
  <c r="J347" i="20"/>
  <c r="L173" i="17"/>
  <c r="L253" i="17"/>
  <c r="L224" i="17"/>
  <c r="L198" i="17"/>
  <c r="O70" i="9"/>
  <c r="AS70" i="9" s="1"/>
  <c r="J30" i="20" s="1"/>
  <c r="J26" i="20" s="1"/>
  <c r="J24" i="20"/>
  <c r="K33" i="6"/>
  <c r="O129" i="3"/>
  <c r="O51" i="3" s="1"/>
  <c r="P104" i="3"/>
  <c r="O154" i="3"/>
  <c r="L266" i="17"/>
  <c r="L211" i="17"/>
  <c r="L186" i="17"/>
  <c r="L237" i="17"/>
  <c r="J277" i="20"/>
  <c r="J273" i="20" s="1"/>
  <c r="J271" i="20"/>
  <c r="L12" i="6"/>
  <c r="L84" i="8"/>
  <c r="L9" i="8"/>
  <c r="K104" i="20" s="1"/>
  <c r="L59" i="8"/>
  <c r="L35" i="5"/>
  <c r="L34" i="8"/>
  <c r="L10" i="6"/>
  <c r="L57" i="8"/>
  <c r="L33" i="5"/>
  <c r="L7" i="8"/>
  <c r="K66" i="20" s="1"/>
  <c r="L32" i="8"/>
  <c r="L82" i="8"/>
  <c r="L9" i="6"/>
  <c r="L81" i="8"/>
  <c r="L56" i="8"/>
  <c r="L31" i="8"/>
  <c r="L6" i="8"/>
  <c r="K47" i="20" s="1"/>
  <c r="L32" i="5"/>
  <c r="L6" i="5"/>
  <c r="K67" i="3"/>
  <c r="L17" i="6"/>
  <c r="L40" i="5"/>
  <c r="L14" i="8"/>
  <c r="K199" i="20" s="1"/>
  <c r="L64" i="8"/>
  <c r="L39" i="8"/>
  <c r="L89" i="8"/>
  <c r="L179" i="17"/>
  <c r="L204" i="17"/>
  <c r="L259" i="17"/>
  <c r="L230" i="17"/>
  <c r="J144" i="20"/>
  <c r="J140" i="20" s="1"/>
  <c r="J138" i="20"/>
  <c r="I245" i="17"/>
  <c r="I246" i="17" s="1"/>
  <c r="L225" i="17"/>
  <c r="L199" i="17"/>
  <c r="L254" i="17"/>
  <c r="L174" i="17"/>
  <c r="O71" i="9"/>
  <c r="AS71" i="9" s="1"/>
  <c r="J49" i="20" s="1"/>
  <c r="J45" i="20" s="1"/>
  <c r="J43" i="20"/>
  <c r="N139" i="3"/>
  <c r="N61" i="3" s="1"/>
  <c r="O114" i="3"/>
  <c r="N164" i="3"/>
  <c r="I3" i="21"/>
  <c r="I7" i="18"/>
  <c r="I34" i="18" s="1"/>
  <c r="I36" i="18" s="1"/>
  <c r="M89" i="17"/>
  <c r="M92" i="17"/>
  <c r="M90" i="17"/>
  <c r="M93" i="17"/>
  <c r="M88" i="17"/>
  <c r="J48" i="16"/>
  <c r="J46" i="16"/>
  <c r="J44" i="16"/>
  <c r="J47" i="16"/>
  <c r="J5" i="16" a="1"/>
  <c r="J5" i="16" s="1"/>
  <c r="I9" i="21" s="1"/>
  <c r="M91" i="17"/>
  <c r="J45" i="16"/>
  <c r="M53" i="9"/>
  <c r="AQ53" i="9" s="1"/>
  <c r="M52" i="9"/>
  <c r="AQ52" i="9" s="1"/>
  <c r="I29" i="6"/>
  <c r="J18" i="16"/>
  <c r="J40" i="16" s="1"/>
  <c r="K47" i="17"/>
  <c r="K48" i="17"/>
  <c r="K44" i="17"/>
  <c r="K45" i="17"/>
  <c r="K46" i="17"/>
  <c r="L238" i="17"/>
  <c r="L212" i="17"/>
  <c r="L187" i="17"/>
  <c r="L267" i="17"/>
  <c r="O80" i="9"/>
  <c r="AS80" i="9" s="1"/>
  <c r="J296" i="20" s="1"/>
  <c r="J292" i="20" s="1"/>
  <c r="J290" i="20"/>
  <c r="O160" i="3"/>
  <c r="P110" i="3"/>
  <c r="O135" i="3"/>
  <c r="O57" i="3" s="1"/>
  <c r="Y125" i="3"/>
  <c r="X47" i="3"/>
  <c r="P141" i="3"/>
  <c r="P63" i="3" s="1"/>
  <c r="P166" i="3"/>
  <c r="Q116" i="3"/>
  <c r="L229" i="17"/>
  <c r="L203" i="17"/>
  <c r="L178" i="17"/>
  <c r="L258" i="17"/>
  <c r="J125" i="20"/>
  <c r="J121" i="20" s="1"/>
  <c r="J119" i="20"/>
  <c r="K35" i="6"/>
  <c r="L8" i="6"/>
  <c r="L5" i="8"/>
  <c r="K28" i="20" s="1"/>
  <c r="L80" i="8"/>
  <c r="L30" i="8"/>
  <c r="L31" i="5"/>
  <c r="L55" i="8"/>
  <c r="H389" i="20"/>
  <c r="I7" i="21" s="1"/>
  <c r="P157" i="3"/>
  <c r="Q107" i="3"/>
  <c r="P132" i="3"/>
  <c r="P54" i="3" s="1"/>
  <c r="L260" i="17"/>
  <c r="L205" i="17"/>
  <c r="L180" i="17"/>
  <c r="L231" i="17"/>
  <c r="J163" i="20"/>
  <c r="J159" i="20" s="1"/>
  <c r="J157" i="20"/>
  <c r="L256" i="17"/>
  <c r="L176" i="17"/>
  <c r="L201" i="17"/>
  <c r="L227" i="17"/>
  <c r="O73" i="9"/>
  <c r="AS73" i="9" s="1"/>
  <c r="J87" i="20" s="1"/>
  <c r="J83" i="20" s="1"/>
  <c r="J81" i="20"/>
  <c r="K34" i="6"/>
  <c r="L17" i="8"/>
  <c r="K256" i="20" s="1"/>
  <c r="L43" i="5"/>
  <c r="L92" i="8"/>
  <c r="L42" i="8"/>
  <c r="L67" i="8"/>
  <c r="L11" i="6"/>
  <c r="L34" i="5"/>
  <c r="L58" i="8"/>
  <c r="L83" i="8"/>
  <c r="L33" i="8"/>
  <c r="L8" i="8"/>
  <c r="K85" i="20" s="1"/>
  <c r="L182" i="17"/>
  <c r="L262" i="17"/>
  <c r="L207" i="17"/>
  <c r="L233" i="17"/>
  <c r="O76" i="9"/>
  <c r="AS76" i="9" s="1"/>
  <c r="J201" i="20" s="1"/>
  <c r="J197" i="20" s="1"/>
  <c r="J195" i="20"/>
  <c r="AO346" i="20"/>
  <c r="O173" i="3"/>
  <c r="N174" i="3"/>
  <c r="N56" i="16"/>
  <c r="N54" i="16"/>
  <c r="N57" i="16"/>
  <c r="N55" i="16"/>
  <c r="N53" i="16"/>
  <c r="Q7" i="9"/>
  <c r="AU7" i="9" s="1"/>
  <c r="L81" i="3"/>
  <c r="M16" i="5" s="1"/>
  <c r="L85" i="3"/>
  <c r="M20" i="5" s="1"/>
  <c r="M21" i="6" s="1"/>
  <c r="L72" i="3"/>
  <c r="M7" i="5" s="1"/>
  <c r="L82" i="3"/>
  <c r="M17" i="5" s="1"/>
  <c r="L77" i="3"/>
  <c r="M12" i="5" s="1"/>
  <c r="M13" i="6" s="1"/>
  <c r="L90" i="3"/>
  <c r="M25" i="5" s="1"/>
  <c r="L79" i="3"/>
  <c r="M14" i="5" s="1"/>
  <c r="M15" i="6" s="1"/>
  <c r="L73" i="3"/>
  <c r="M8" i="5" s="1"/>
  <c r="L86" i="3"/>
  <c r="M21" i="5" s="1"/>
  <c r="L71" i="3"/>
  <c r="L89" i="3"/>
  <c r="M24" i="5" s="1"/>
  <c r="L78" i="3"/>
  <c r="M13" i="5" s="1"/>
  <c r="M14" i="6" s="1"/>
  <c r="L76" i="3"/>
  <c r="M11" i="5" s="1"/>
  <c r="L80" i="3"/>
  <c r="M15" i="5" s="1"/>
  <c r="L84" i="3"/>
  <c r="M19" i="5" s="1"/>
  <c r="M20" i="6" s="1"/>
  <c r="L75" i="3"/>
  <c r="M10" i="5" s="1"/>
  <c r="L83" i="3"/>
  <c r="M18" i="5" s="1"/>
  <c r="L88" i="3"/>
  <c r="M23" i="5" s="1"/>
  <c r="L87" i="3"/>
  <c r="M22" i="5" s="1"/>
  <c r="L74" i="3"/>
  <c r="M9" i="5" s="1"/>
  <c r="J218" i="17"/>
  <c r="J219" i="17" s="1"/>
  <c r="J24" i="8"/>
  <c r="I9" i="20"/>
  <c r="K36" i="17"/>
  <c r="K33" i="17"/>
  <c r="K34" i="17"/>
  <c r="K35" i="17"/>
  <c r="K32" i="17"/>
  <c r="H8" i="21"/>
  <c r="H10" i="21" s="1"/>
  <c r="I6" i="16"/>
  <c r="L25" i="6"/>
  <c r="L47" i="8"/>
  <c r="L97" i="8"/>
  <c r="L72" i="8"/>
  <c r="L22" i="8"/>
  <c r="P156" i="3"/>
  <c r="P131" i="3"/>
  <c r="P53" i="3" s="1"/>
  <c r="Q106" i="3"/>
  <c r="J39" i="17"/>
  <c r="L19" i="6"/>
  <c r="L42" i="5"/>
  <c r="L41" i="8"/>
  <c r="L91" i="8"/>
  <c r="L16" i="8"/>
  <c r="K237" i="20" s="1"/>
  <c r="L66" i="8"/>
  <c r="P133" i="3"/>
  <c r="P55" i="3" s="1"/>
  <c r="P158" i="3"/>
  <c r="Q108" i="3"/>
  <c r="AO365" i="20"/>
  <c r="M187" i="3"/>
  <c r="M175" i="3"/>
  <c r="M184" i="3"/>
  <c r="M189" i="3"/>
  <c r="M181" i="3"/>
  <c r="M70" i="3"/>
  <c r="M178" i="3"/>
  <c r="M194" i="3"/>
  <c r="M186" i="3"/>
  <c r="M191" i="3"/>
  <c r="M183" i="3"/>
  <c r="M188" i="3"/>
  <c r="M180" i="3"/>
  <c r="M193" i="3"/>
  <c r="M185" i="3"/>
  <c r="M177" i="3"/>
  <c r="M190" i="3"/>
  <c r="M176" i="3"/>
  <c r="M192" i="3"/>
  <c r="M179" i="3"/>
  <c r="M182" i="3"/>
  <c r="F291" i="17"/>
  <c r="L37" i="5"/>
  <c r="L61" i="8"/>
  <c r="L36" i="8"/>
  <c r="L86" i="8"/>
  <c r="L11" i="8"/>
  <c r="K142" i="20" s="1"/>
  <c r="K443" i="20"/>
  <c r="K441" i="20" s="1"/>
  <c r="G12" i="21"/>
  <c r="G13" i="21" s="1"/>
  <c r="G14" i="21" s="1"/>
  <c r="O163" i="3"/>
  <c r="O138" i="3"/>
  <c r="O60" i="3" s="1"/>
  <c r="P113" i="3"/>
  <c r="D19" i="17"/>
  <c r="O151" i="3"/>
  <c r="O126" i="3"/>
  <c r="O48" i="3" s="1"/>
  <c r="P101" i="3"/>
  <c r="L23" i="6"/>
  <c r="L95" i="8"/>
  <c r="L46" i="5"/>
  <c r="L70" i="8"/>
  <c r="L45" i="8"/>
  <c r="L20" i="8"/>
  <c r="K313" i="20" s="1"/>
  <c r="M58" i="16"/>
  <c r="U123" i="3"/>
  <c r="T45" i="3"/>
  <c r="Q102" i="3"/>
  <c r="P127" i="3"/>
  <c r="P49" i="3" s="1"/>
  <c r="P152" i="3"/>
  <c r="L235" i="17"/>
  <c r="L264" i="17"/>
  <c r="L184" i="17"/>
  <c r="L209" i="17"/>
  <c r="O78" i="9"/>
  <c r="AS78" i="9" s="1"/>
  <c r="J239" i="20" s="1"/>
  <c r="J235" i="20" s="1"/>
  <c r="J233" i="20"/>
  <c r="AJ66" i="9"/>
  <c r="BN66" i="9" s="1"/>
  <c r="AE428" i="20" s="1"/>
  <c r="AE426" i="20" s="1"/>
  <c r="AF26" i="21"/>
  <c r="L191" i="17"/>
  <c r="L242" i="17"/>
  <c r="L271" i="17"/>
  <c r="L216" i="17"/>
  <c r="J58" i="17"/>
  <c r="G119" i="17"/>
  <c r="AD402" i="20"/>
  <c r="AD14" i="20"/>
  <c r="AD394" i="20" s="1"/>
  <c r="L87" i="8"/>
  <c r="L37" i="8"/>
  <c r="L38" i="5"/>
  <c r="L62" i="8"/>
  <c r="L12" i="8"/>
  <c r="K161" i="20" s="1"/>
  <c r="L36" i="5"/>
  <c r="L10" i="8"/>
  <c r="K123" i="20" s="1"/>
  <c r="L35" i="8"/>
  <c r="L60" i="8"/>
  <c r="L85" i="8"/>
  <c r="H116" i="17"/>
  <c r="H113" i="17"/>
  <c r="H110" i="17"/>
  <c r="H107" i="17"/>
  <c r="H104" i="17"/>
  <c r="H101" i="17"/>
  <c r="H117" i="17"/>
  <c r="H108" i="17"/>
  <c r="H106" i="17"/>
  <c r="H105" i="17"/>
  <c r="H103" i="17"/>
  <c r="H102" i="17"/>
  <c r="H100" i="17"/>
  <c r="H99" i="17"/>
  <c r="H118" i="17"/>
  <c r="H109" i="17"/>
  <c r="H114" i="17"/>
  <c r="H115" i="17"/>
  <c r="H111" i="17"/>
  <c r="H112" i="17"/>
  <c r="H8" i="17"/>
  <c r="Q13" i="18"/>
  <c r="Q46" i="18" s="1"/>
  <c r="J57" i="17"/>
  <c r="I49" i="16"/>
  <c r="L234" i="17"/>
  <c r="L263" i="17"/>
  <c r="L208" i="17"/>
  <c r="L183" i="17"/>
  <c r="J214" i="20"/>
  <c r="O77" i="9"/>
  <c r="AS77" i="9" s="1"/>
  <c r="J220" i="20" s="1"/>
  <c r="J216" i="20" s="1"/>
  <c r="K37" i="6"/>
  <c r="L16" i="6"/>
  <c r="L88" i="8"/>
  <c r="L38" i="8"/>
  <c r="L39" i="5"/>
  <c r="L63" i="8"/>
  <c r="L13" i="8"/>
  <c r="K180" i="20" s="1"/>
  <c r="L18" i="6"/>
  <c r="L41" i="5"/>
  <c r="L65" i="8"/>
  <c r="L90" i="8"/>
  <c r="L40" i="8"/>
  <c r="L15" i="8"/>
  <c r="K218" i="20" s="1"/>
  <c r="AO23" i="20"/>
  <c r="S109" i="3"/>
  <c r="R159" i="3"/>
  <c r="R134" i="3"/>
  <c r="R56" i="3" s="1"/>
  <c r="K252" i="17"/>
  <c r="K223" i="17"/>
  <c r="K243" i="17" s="1"/>
  <c r="K197" i="17"/>
  <c r="K217" i="17" s="1"/>
  <c r="K172" i="17"/>
  <c r="K192" i="17" s="1"/>
  <c r="J27" i="6"/>
  <c r="I5" i="20"/>
  <c r="N69" i="9"/>
  <c r="AR69" i="9" s="1"/>
  <c r="J32" i="6"/>
  <c r="J56" i="17"/>
  <c r="J51" i="17"/>
  <c r="L232" i="17"/>
  <c r="L261" i="17"/>
  <c r="L206" i="17"/>
  <c r="L181" i="17"/>
  <c r="O75" i="9"/>
  <c r="AS75" i="9" s="1"/>
  <c r="J182" i="20" s="1"/>
  <c r="J178" i="20" s="1"/>
  <c r="J176" i="20"/>
  <c r="K36" i="6"/>
  <c r="Q434" i="20"/>
  <c r="Q432" i="20" s="1"/>
  <c r="L226" i="17"/>
  <c r="L255" i="17"/>
  <c r="L175" i="17"/>
  <c r="L200" i="17"/>
  <c r="J62" i="20"/>
  <c r="O72" i="9"/>
  <c r="AS72" i="9" s="1"/>
  <c r="J68" i="20" s="1"/>
  <c r="J64" i="20" s="1"/>
  <c r="R105" i="3" l="1"/>
  <c r="Q130" i="3"/>
  <c r="Q52" i="3" s="1"/>
  <c r="Q155" i="3"/>
  <c r="J44" i="6"/>
  <c r="K4" i="16"/>
  <c r="G291" i="17"/>
  <c r="G292" i="17" s="1"/>
  <c r="Q117" i="3"/>
  <c r="P167" i="3"/>
  <c r="P142" i="3"/>
  <c r="P64" i="3" s="1"/>
  <c r="P115" i="3"/>
  <c r="O165" i="3"/>
  <c r="O140" i="3"/>
  <c r="O62" i="3" s="1"/>
  <c r="Q112" i="3"/>
  <c r="P162" i="3"/>
  <c r="P137" i="3"/>
  <c r="P59" i="3" s="1"/>
  <c r="X6" i="9"/>
  <c r="BA6" i="9"/>
  <c r="AF36" i="21"/>
  <c r="E16" i="17"/>
  <c r="E20" i="17" s="1"/>
  <c r="D21" i="21" s="1"/>
  <c r="J12" i="17"/>
  <c r="AL459" i="20"/>
  <c r="AP213" i="20"/>
  <c r="J43" i="6"/>
  <c r="H290" i="17"/>
  <c r="K272" i="17"/>
  <c r="K12" i="17" s="1"/>
  <c r="K273" i="17"/>
  <c r="AP61" i="20"/>
  <c r="J274" i="17"/>
  <c r="H288" i="17"/>
  <c r="AP308" i="20"/>
  <c r="AP327" i="20"/>
  <c r="AP80" i="20"/>
  <c r="J279" i="17"/>
  <c r="AP99" i="20"/>
  <c r="I8" i="17"/>
  <c r="AP270" i="20"/>
  <c r="I112" i="17"/>
  <c r="I100" i="17"/>
  <c r="I103" i="17"/>
  <c r="I106" i="17"/>
  <c r="I99" i="17"/>
  <c r="I278" i="17"/>
  <c r="I285" i="17" s="1"/>
  <c r="I286" i="17" s="1"/>
  <c r="I288" i="17" s="1"/>
  <c r="AP232" i="20"/>
  <c r="AP42" i="20"/>
  <c r="I110" i="17"/>
  <c r="I105" i="17"/>
  <c r="I116" i="17"/>
  <c r="I102" i="17"/>
  <c r="G387" i="20"/>
  <c r="AM384" i="20" s="1"/>
  <c r="I115" i="17"/>
  <c r="I111" i="17"/>
  <c r="I104" i="17"/>
  <c r="I114" i="17"/>
  <c r="I107" i="17"/>
  <c r="I117" i="17"/>
  <c r="AP194" i="20"/>
  <c r="I109" i="17"/>
  <c r="I113" i="17"/>
  <c r="I118" i="17"/>
  <c r="AP251" i="20"/>
  <c r="H7" i="20"/>
  <c r="H387" i="20" s="1"/>
  <c r="AN384" i="20" s="1"/>
  <c r="I101" i="17"/>
  <c r="AP137" i="20"/>
  <c r="K9" i="17"/>
  <c r="K57" i="17"/>
  <c r="R13" i="18"/>
  <c r="R46" i="18" s="1"/>
  <c r="AP175" i="20"/>
  <c r="AP118" i="20"/>
  <c r="AP156" i="20"/>
  <c r="AP289" i="20"/>
  <c r="AP23" i="20"/>
  <c r="J10" i="17"/>
  <c r="J11" i="17" s="1"/>
  <c r="J245" i="17"/>
  <c r="J246" i="17" s="1"/>
  <c r="P138" i="3"/>
  <c r="P60" i="3" s="1"/>
  <c r="P163" i="3"/>
  <c r="Q113" i="3"/>
  <c r="M24" i="6"/>
  <c r="M47" i="5"/>
  <c r="M46" i="8"/>
  <c r="M96" i="8"/>
  <c r="M21" i="8"/>
  <c r="L332" i="20" s="1"/>
  <c r="M71" i="8"/>
  <c r="M26" i="6"/>
  <c r="M23" i="8"/>
  <c r="M48" i="8"/>
  <c r="M98" i="8"/>
  <c r="M73" i="8"/>
  <c r="M256" i="17"/>
  <c r="M227" i="17"/>
  <c r="M201" i="17"/>
  <c r="M176" i="17"/>
  <c r="P73" i="9"/>
  <c r="AT73" i="9" s="1"/>
  <c r="K87" i="20" s="1"/>
  <c r="K83" i="20" s="1"/>
  <c r="K81" i="20"/>
  <c r="L34" i="6"/>
  <c r="K58" i="17"/>
  <c r="M254" i="17"/>
  <c r="M225" i="17"/>
  <c r="M174" i="17"/>
  <c r="M199" i="17"/>
  <c r="P71" i="9"/>
  <c r="AT71" i="9" s="1"/>
  <c r="K49" i="20" s="1"/>
  <c r="K45" i="20" s="1"/>
  <c r="K43" i="20"/>
  <c r="M257" i="17"/>
  <c r="M177" i="17"/>
  <c r="M228" i="17"/>
  <c r="M202" i="17"/>
  <c r="K100" i="20"/>
  <c r="P74" i="9"/>
  <c r="AT74" i="9" s="1"/>
  <c r="K106" i="20" s="1"/>
  <c r="K102" i="20" s="1"/>
  <c r="E19" i="17"/>
  <c r="AP365" i="20"/>
  <c r="H119" i="17"/>
  <c r="M19" i="6"/>
  <c r="M41" i="8"/>
  <c r="M42" i="5"/>
  <c r="M91" i="8"/>
  <c r="M66" i="8"/>
  <c r="M16" i="8"/>
  <c r="L237" i="20" s="1"/>
  <c r="M35" i="8"/>
  <c r="M36" i="5"/>
  <c r="M10" i="8"/>
  <c r="L123" i="20" s="1"/>
  <c r="M60" i="8"/>
  <c r="M85" i="8"/>
  <c r="L443" i="20"/>
  <c r="L441" i="20" s="1"/>
  <c r="M253" i="17"/>
  <c r="M224" i="17"/>
  <c r="M198" i="17"/>
  <c r="M173" i="17"/>
  <c r="P70" i="9"/>
  <c r="AT70" i="9" s="1"/>
  <c r="K30" i="20" s="1"/>
  <c r="K26" i="20" s="1"/>
  <c r="K24" i="20"/>
  <c r="L33" i="6"/>
  <c r="Z125" i="3"/>
  <c r="Y47" i="3"/>
  <c r="BB5" i="9"/>
  <c r="Y5" i="9"/>
  <c r="J3" i="21"/>
  <c r="J7" i="18"/>
  <c r="J34" i="18" s="1"/>
  <c r="J36" i="18" s="1"/>
  <c r="N93" i="17"/>
  <c r="N92" i="17"/>
  <c r="N89" i="17"/>
  <c r="N90" i="17"/>
  <c r="N91" i="17"/>
  <c r="K48" i="16"/>
  <c r="K46" i="16"/>
  <c r="K44" i="16"/>
  <c r="K5" i="16" a="1"/>
  <c r="K5" i="16" s="1"/>
  <c r="J9" i="21" s="1"/>
  <c r="K47" i="16"/>
  <c r="K45" i="16"/>
  <c r="N88" i="17"/>
  <c r="N53" i="9"/>
  <c r="AR53" i="9" s="1"/>
  <c r="N52" i="9"/>
  <c r="AR52" i="9" s="1"/>
  <c r="J29" i="6"/>
  <c r="K18" i="16"/>
  <c r="K40" i="16" s="1"/>
  <c r="L44" i="17"/>
  <c r="L47" i="17"/>
  <c r="L48" i="17"/>
  <c r="L45" i="17"/>
  <c r="L46" i="17"/>
  <c r="M264" i="17"/>
  <c r="M235" i="17"/>
  <c r="M209" i="17"/>
  <c r="M184" i="17"/>
  <c r="P78" i="9"/>
  <c r="AT78" i="9" s="1"/>
  <c r="K239" i="20" s="1"/>
  <c r="K235" i="20" s="1"/>
  <c r="K233" i="20"/>
  <c r="M87" i="8"/>
  <c r="M12" i="8"/>
  <c r="L161" i="20" s="1"/>
  <c r="M38" i="5"/>
  <c r="M37" i="8"/>
  <c r="M62" i="8"/>
  <c r="M260" i="17"/>
  <c r="M205" i="17"/>
  <c r="M180" i="17"/>
  <c r="M231" i="17"/>
  <c r="K163" i="20"/>
  <c r="K159" i="20" s="1"/>
  <c r="K157" i="20"/>
  <c r="M239" i="17"/>
  <c r="M268" i="17"/>
  <c r="M213" i="17"/>
  <c r="M188" i="17"/>
  <c r="P81" i="9"/>
  <c r="AT81" i="9" s="1"/>
  <c r="K315" i="20" s="1"/>
  <c r="K311" i="20" s="1"/>
  <c r="K309" i="20"/>
  <c r="L39" i="6"/>
  <c r="M259" i="17"/>
  <c r="M204" i="17"/>
  <c r="M230" i="17"/>
  <c r="M179" i="17"/>
  <c r="K144" i="20"/>
  <c r="K140" i="20" s="1"/>
  <c r="K138" i="20"/>
  <c r="Q131" i="3"/>
  <c r="Q53" i="3" s="1"/>
  <c r="Q156" i="3"/>
  <c r="R106" i="3"/>
  <c r="I389" i="20"/>
  <c r="J7" i="21" s="1"/>
  <c r="M11" i="6"/>
  <c r="M34" i="5"/>
  <c r="M58" i="8"/>
  <c r="M83" i="8"/>
  <c r="M33" i="8"/>
  <c r="M8" i="8"/>
  <c r="L85" i="20" s="1"/>
  <c r="M18" i="6"/>
  <c r="M15" i="8"/>
  <c r="L218" i="20" s="1"/>
  <c r="M90" i="8"/>
  <c r="M40" i="8"/>
  <c r="M41" i="5"/>
  <c r="M65" i="8"/>
  <c r="K56" i="17"/>
  <c r="K51" i="17"/>
  <c r="J49" i="16"/>
  <c r="K24" i="8"/>
  <c r="J9" i="20"/>
  <c r="R434" i="20"/>
  <c r="R432" i="20" s="1"/>
  <c r="M270" i="17"/>
  <c r="M241" i="17"/>
  <c r="M190" i="17"/>
  <c r="M215" i="17"/>
  <c r="P83" i="9"/>
  <c r="AT83" i="9" s="1"/>
  <c r="P79" i="9"/>
  <c r="AT79" i="9" s="1"/>
  <c r="K347" i="20"/>
  <c r="K366" i="20"/>
  <c r="Q157" i="3"/>
  <c r="R107" i="3"/>
  <c r="Q132" i="3"/>
  <c r="Q54" i="3" s="1"/>
  <c r="J63" i="17"/>
  <c r="J64" i="17" s="1"/>
  <c r="J65" i="17"/>
  <c r="S159" i="3"/>
  <c r="S134" i="3"/>
  <c r="S56" i="3" s="1"/>
  <c r="T109" i="3"/>
  <c r="F292" i="17"/>
  <c r="F13" i="17"/>
  <c r="F14" i="17" s="1"/>
  <c r="F18" i="17" s="1"/>
  <c r="R108" i="3"/>
  <c r="Q158" i="3"/>
  <c r="Q133" i="3"/>
  <c r="Q55" i="3" s="1"/>
  <c r="L36" i="17"/>
  <c r="L33" i="17"/>
  <c r="L35" i="17"/>
  <c r="L32" i="17"/>
  <c r="L34" i="17"/>
  <c r="M17" i="8"/>
  <c r="L256" i="20" s="1"/>
  <c r="M42" i="8"/>
  <c r="M92" i="8"/>
  <c r="M67" i="8"/>
  <c r="M43" i="5"/>
  <c r="M8" i="6"/>
  <c r="M5" i="8"/>
  <c r="L28" i="20" s="1"/>
  <c r="M31" i="5"/>
  <c r="M30" i="8"/>
  <c r="M80" i="8"/>
  <c r="M55" i="8"/>
  <c r="P135" i="3"/>
  <c r="P57" i="3" s="1"/>
  <c r="P160" i="3"/>
  <c r="Q110" i="3"/>
  <c r="K60" i="17"/>
  <c r="M262" i="17"/>
  <c r="M233" i="17"/>
  <c r="M207" i="17"/>
  <c r="M182" i="17"/>
  <c r="P76" i="9"/>
  <c r="AT76" i="9" s="1"/>
  <c r="K201" i="20" s="1"/>
  <c r="K197" i="20" s="1"/>
  <c r="K195" i="20"/>
  <c r="M23" i="6"/>
  <c r="M95" i="8"/>
  <c r="M70" i="8"/>
  <c r="M46" i="5"/>
  <c r="M20" i="8"/>
  <c r="L313" i="20" s="1"/>
  <c r="M45" i="8"/>
  <c r="M261" i="17"/>
  <c r="M232" i="17"/>
  <c r="M206" i="17"/>
  <c r="M181" i="17"/>
  <c r="P75" i="9"/>
  <c r="AT75" i="9" s="1"/>
  <c r="K182" i="20" s="1"/>
  <c r="K178" i="20" s="1"/>
  <c r="K176" i="20"/>
  <c r="L36" i="6"/>
  <c r="M16" i="6"/>
  <c r="M63" i="8"/>
  <c r="M39" i="5"/>
  <c r="M88" i="8"/>
  <c r="M38" i="8"/>
  <c r="M13" i="8"/>
  <c r="L180" i="20" s="1"/>
  <c r="M18" i="8"/>
  <c r="L275" i="20" s="1"/>
  <c r="M68" i="8"/>
  <c r="M93" i="8"/>
  <c r="M43" i="8"/>
  <c r="M44" i="5"/>
  <c r="N58" i="16"/>
  <c r="K59" i="17"/>
  <c r="M269" i="17"/>
  <c r="M214" i="17"/>
  <c r="M189" i="17"/>
  <c r="M240" i="17"/>
  <c r="K328" i="20"/>
  <c r="P82" i="9"/>
  <c r="AT82" i="9" s="1"/>
  <c r="K334" i="20" s="1"/>
  <c r="K330" i="20" s="1"/>
  <c r="L40" i="6"/>
  <c r="Q127" i="3"/>
  <c r="Q49" i="3" s="1"/>
  <c r="R102" i="3"/>
  <c r="Q152" i="3"/>
  <c r="M12" i="6"/>
  <c r="M9" i="8"/>
  <c r="L104" i="20" s="1"/>
  <c r="M34" i="8"/>
  <c r="M35" i="5"/>
  <c r="M84" i="8"/>
  <c r="M59" i="8"/>
  <c r="M17" i="6"/>
  <c r="M40" i="5"/>
  <c r="M14" i="8"/>
  <c r="L199" i="20" s="1"/>
  <c r="M39" i="8"/>
  <c r="M89" i="8"/>
  <c r="M64" i="8"/>
  <c r="O139" i="3"/>
  <c r="O61" i="3" s="1"/>
  <c r="O164" i="3"/>
  <c r="P114" i="3"/>
  <c r="L7" i="6"/>
  <c r="L79" i="8"/>
  <c r="L99" i="8" s="1"/>
  <c r="L10" i="18" s="1"/>
  <c r="L43" i="18" s="1"/>
  <c r="L30" i="5"/>
  <c r="L4" i="8"/>
  <c r="L29" i="8"/>
  <c r="L49" i="8" s="1"/>
  <c r="L8" i="18" s="1"/>
  <c r="L41" i="18" s="1"/>
  <c r="L54" i="8"/>
  <c r="L74" i="8" s="1"/>
  <c r="I11" i="20"/>
  <c r="I391" i="20" s="1"/>
  <c r="AR150" i="9"/>
  <c r="K279" i="17" s="1"/>
  <c r="P151" i="3"/>
  <c r="P126" i="3"/>
  <c r="P48" i="3" s="1"/>
  <c r="Q101" i="3"/>
  <c r="M37" i="5"/>
  <c r="M11" i="8"/>
  <c r="L142" i="20" s="1"/>
  <c r="M61" i="8"/>
  <c r="M36" i="8"/>
  <c r="M86" i="8"/>
  <c r="M265" i="17"/>
  <c r="M236" i="17"/>
  <c r="M185" i="17"/>
  <c r="M210" i="17"/>
  <c r="K258" i="20"/>
  <c r="K254" i="20" s="1"/>
  <c r="K252" i="20"/>
  <c r="L38" i="6"/>
  <c r="M94" i="17"/>
  <c r="M255" i="17"/>
  <c r="M226" i="17"/>
  <c r="M200" i="17"/>
  <c r="M175" i="17"/>
  <c r="K62" i="20"/>
  <c r="P72" i="9"/>
  <c r="AT72" i="9" s="1"/>
  <c r="K68" i="20" s="1"/>
  <c r="K64" i="20" s="1"/>
  <c r="M238" i="17"/>
  <c r="M212" i="17"/>
  <c r="M187" i="17"/>
  <c r="M267" i="17"/>
  <c r="K290" i="20"/>
  <c r="P80" i="9"/>
  <c r="AT80" i="9" s="1"/>
  <c r="K296" i="20" s="1"/>
  <c r="K292" i="20" s="1"/>
  <c r="M266" i="17"/>
  <c r="M186" i="17"/>
  <c r="M211" i="17"/>
  <c r="M237" i="17"/>
  <c r="K277" i="20"/>
  <c r="K273" i="20" s="1"/>
  <c r="K271" i="20"/>
  <c r="I385" i="20"/>
  <c r="V123" i="3"/>
  <c r="U45" i="3"/>
  <c r="O54" i="16"/>
  <c r="O57" i="16"/>
  <c r="O55" i="16"/>
  <c r="O53" i="16"/>
  <c r="O56" i="16"/>
  <c r="R7" i="9"/>
  <c r="AV7" i="9" s="1"/>
  <c r="M86" i="3"/>
  <c r="N21" i="5" s="1"/>
  <c r="M82" i="3"/>
  <c r="N17" i="5" s="1"/>
  <c r="M77" i="3"/>
  <c r="N12" i="5" s="1"/>
  <c r="N13" i="6" s="1"/>
  <c r="M90" i="3"/>
  <c r="N25" i="5" s="1"/>
  <c r="M79" i="3"/>
  <c r="N14" i="5" s="1"/>
  <c r="N15" i="6" s="1"/>
  <c r="M87" i="3"/>
  <c r="N22" i="5" s="1"/>
  <c r="M75" i="3"/>
  <c r="N10" i="5" s="1"/>
  <c r="M89" i="3"/>
  <c r="N24" i="5" s="1"/>
  <c r="M81" i="3"/>
  <c r="N16" i="5" s="1"/>
  <c r="M76" i="3"/>
  <c r="N11" i="5" s="1"/>
  <c r="M78" i="3"/>
  <c r="N13" i="5" s="1"/>
  <c r="N14" i="6" s="1"/>
  <c r="M71" i="3"/>
  <c r="M80" i="3"/>
  <c r="N15" i="5" s="1"/>
  <c r="M85" i="3"/>
  <c r="N20" i="5" s="1"/>
  <c r="N21" i="6" s="1"/>
  <c r="M72" i="3"/>
  <c r="N7" i="5" s="1"/>
  <c r="M84" i="3"/>
  <c r="N19" i="5" s="1"/>
  <c r="N20" i="6" s="1"/>
  <c r="M83" i="3"/>
  <c r="N18" i="5" s="1"/>
  <c r="M88" i="3"/>
  <c r="N23" i="5" s="1"/>
  <c r="M74" i="3"/>
  <c r="N9" i="5" s="1"/>
  <c r="M73" i="3"/>
  <c r="N8" i="5" s="1"/>
  <c r="M25" i="6"/>
  <c r="M47" i="8"/>
  <c r="M72" i="8"/>
  <c r="M22" i="8"/>
  <c r="M97" i="8"/>
  <c r="H407" i="20"/>
  <c r="H405" i="20" s="1"/>
  <c r="H404" i="20" s="1"/>
  <c r="H403" i="20" s="1"/>
  <c r="AN403" i="20" s="1"/>
  <c r="AQ149" i="9"/>
  <c r="J280" i="17" s="1"/>
  <c r="L223" i="17"/>
  <c r="L243" i="17" s="1"/>
  <c r="L252" i="17"/>
  <c r="L172" i="17"/>
  <c r="L192" i="17" s="1"/>
  <c r="L197" i="17"/>
  <c r="L217" i="17" s="1"/>
  <c r="K27" i="6"/>
  <c r="J5" i="20"/>
  <c r="O69" i="9"/>
  <c r="AS69" i="9" s="1"/>
  <c r="K32" i="6"/>
  <c r="Q128" i="3"/>
  <c r="Q50" i="3" s="1"/>
  <c r="R103" i="3"/>
  <c r="Q153" i="3"/>
  <c r="M242" i="17"/>
  <c r="M271" i="17"/>
  <c r="M191" i="17"/>
  <c r="M216" i="17"/>
  <c r="M203" i="17"/>
  <c r="M258" i="17"/>
  <c r="M178" i="17"/>
  <c r="M229" i="17"/>
  <c r="K119" i="20"/>
  <c r="K125" i="20"/>
  <c r="K121" i="20" s="1"/>
  <c r="L35" i="6"/>
  <c r="L67" i="3"/>
  <c r="M6" i="5"/>
  <c r="H12" i="21"/>
  <c r="H13" i="21" s="1"/>
  <c r="H14" i="21" s="1"/>
  <c r="Q161" i="3"/>
  <c r="Q136" i="3"/>
  <c r="Q58" i="3" s="1"/>
  <c r="R111" i="3"/>
  <c r="K39" i="17"/>
  <c r="M22" i="6"/>
  <c r="M45" i="5"/>
  <c r="M19" i="8"/>
  <c r="L294" i="20" s="1"/>
  <c r="M94" i="8"/>
  <c r="M69" i="8"/>
  <c r="M44" i="8"/>
  <c r="N192" i="3"/>
  <c r="N180" i="3"/>
  <c r="N189" i="3"/>
  <c r="N181" i="3"/>
  <c r="N70" i="3"/>
  <c r="N178" i="3"/>
  <c r="N194" i="3"/>
  <c r="N186" i="3"/>
  <c r="N191" i="3"/>
  <c r="N183" i="3"/>
  <c r="N175" i="3"/>
  <c r="N188" i="3"/>
  <c r="N193" i="3"/>
  <c r="N185" i="3"/>
  <c r="N177" i="3"/>
  <c r="N190" i="3"/>
  <c r="N176" i="3"/>
  <c r="N182" i="3"/>
  <c r="N184" i="3"/>
  <c r="N179" i="3"/>
  <c r="N187" i="3"/>
  <c r="Q166" i="3"/>
  <c r="Q141" i="3"/>
  <c r="Q63" i="3" s="1"/>
  <c r="R116" i="3"/>
  <c r="P154" i="3"/>
  <c r="Q104" i="3"/>
  <c r="P129" i="3"/>
  <c r="P51" i="3" s="1"/>
  <c r="B367" i="20"/>
  <c r="B374" i="20" s="1"/>
  <c r="BN365" i="20" s="1"/>
  <c r="B329" i="20"/>
  <c r="B336" i="20" s="1"/>
  <c r="B348" i="20"/>
  <c r="B355" i="20" s="1"/>
  <c r="BN346" i="20" s="1"/>
  <c r="B310" i="20"/>
  <c r="B317" i="20" s="1"/>
  <c r="B272" i="20"/>
  <c r="B279" i="20" s="1"/>
  <c r="B253" i="20"/>
  <c r="B260" i="20" s="1"/>
  <c r="B291" i="20"/>
  <c r="B298" i="20" s="1"/>
  <c r="B234" i="20"/>
  <c r="B241" i="20" s="1"/>
  <c r="B196" i="20"/>
  <c r="B203" i="20" s="1"/>
  <c r="B158" i="20"/>
  <c r="B165" i="20" s="1"/>
  <c r="B82" i="20"/>
  <c r="B89" i="20" s="1"/>
  <c r="B215" i="20"/>
  <c r="B222" i="20" s="1"/>
  <c r="B139" i="20"/>
  <c r="B146" i="20" s="1"/>
  <c r="B177" i="20"/>
  <c r="B184" i="20" s="1"/>
  <c r="B25" i="20"/>
  <c r="B32" i="20" s="1"/>
  <c r="B44" i="20"/>
  <c r="B51" i="20" s="1"/>
  <c r="B120" i="20"/>
  <c r="B127" i="20" s="1"/>
  <c r="B101" i="20"/>
  <c r="B108" i="20" s="1"/>
  <c r="B63" i="20"/>
  <c r="B70" i="20" s="1"/>
  <c r="B6" i="20"/>
  <c r="D21" i="17"/>
  <c r="C14" i="18" s="1"/>
  <c r="C47" i="18" s="1"/>
  <c r="K218" i="17"/>
  <c r="K219" i="17" s="1"/>
  <c r="M263" i="17"/>
  <c r="M234" i="17"/>
  <c r="M183" i="17"/>
  <c r="M208" i="17"/>
  <c r="P77" i="9"/>
  <c r="AT77" i="9" s="1"/>
  <c r="K220" i="20" s="1"/>
  <c r="K216" i="20" s="1"/>
  <c r="K214" i="20"/>
  <c r="L37" i="6"/>
  <c r="M10" i="6"/>
  <c r="M33" i="5"/>
  <c r="M82" i="8"/>
  <c r="M7" i="8"/>
  <c r="L66" i="20" s="1"/>
  <c r="M32" i="8"/>
  <c r="M57" i="8"/>
  <c r="M9" i="6"/>
  <c r="M56" i="8"/>
  <c r="M81" i="8"/>
  <c r="M31" i="8"/>
  <c r="M6" i="8"/>
  <c r="L47" i="20" s="1"/>
  <c r="M32" i="5"/>
  <c r="O174" i="3"/>
  <c r="P173" i="3"/>
  <c r="I8" i="21"/>
  <c r="I10" i="21" s="1"/>
  <c r="J6" i="16"/>
  <c r="AP346" i="20"/>
  <c r="R155" i="3" l="1"/>
  <c r="R130" i="3"/>
  <c r="R52" i="3" s="1"/>
  <c r="S105" i="3"/>
  <c r="K44" i="6"/>
  <c r="L4" i="16"/>
  <c r="G13" i="17"/>
  <c r="G14" i="17" s="1"/>
  <c r="G18" i="17" s="1"/>
  <c r="G15" i="17" s="1"/>
  <c r="BB6" i="9"/>
  <c r="Y6" i="9"/>
  <c r="R112" i="3"/>
  <c r="Q137" i="3"/>
  <c r="Q59" i="3" s="1"/>
  <c r="Q162" i="3"/>
  <c r="P140" i="3"/>
  <c r="P62" i="3" s="1"/>
  <c r="P165" i="3"/>
  <c r="Q115" i="3"/>
  <c r="R117" i="3"/>
  <c r="Q142" i="3"/>
  <c r="Q64" i="3" s="1"/>
  <c r="Q167" i="3"/>
  <c r="E17" i="17"/>
  <c r="K277" i="17"/>
  <c r="AQ99" i="20"/>
  <c r="J278" i="17"/>
  <c r="J285" i="17" s="1"/>
  <c r="J286" i="17" s="1"/>
  <c r="J288" i="17" s="1"/>
  <c r="K43" i="6"/>
  <c r="H291" i="17"/>
  <c r="H13" i="17" s="1"/>
  <c r="H14" i="17" s="1"/>
  <c r="H18" i="17" s="1"/>
  <c r="AN4" i="20"/>
  <c r="L272" i="17"/>
  <c r="L12" i="17" s="1"/>
  <c r="L273" i="17"/>
  <c r="K274" i="17"/>
  <c r="AQ118" i="20"/>
  <c r="AQ327" i="20"/>
  <c r="AQ289" i="20"/>
  <c r="I290" i="17"/>
  <c r="AQ42" i="20"/>
  <c r="AQ137" i="20"/>
  <c r="I289" i="17"/>
  <c r="AQ61" i="20"/>
  <c r="AQ80" i="20"/>
  <c r="I119" i="17"/>
  <c r="AQ156" i="20"/>
  <c r="AQ232" i="20"/>
  <c r="AQ251" i="20"/>
  <c r="S13" i="18"/>
  <c r="S46" i="18" s="1"/>
  <c r="AM459" i="20"/>
  <c r="AQ270" i="20"/>
  <c r="AQ308" i="20"/>
  <c r="O58" i="16"/>
  <c r="AQ213" i="20"/>
  <c r="AQ194" i="20"/>
  <c r="N94" i="17"/>
  <c r="K108" i="17" s="1"/>
  <c r="I12" i="21"/>
  <c r="I13" i="21" s="1"/>
  <c r="I14" i="21" s="1"/>
  <c r="L39" i="17"/>
  <c r="AQ23" i="20"/>
  <c r="K10" i="17"/>
  <c r="K11" i="17" s="1"/>
  <c r="K245" i="17"/>
  <c r="K246" i="17" s="1"/>
  <c r="B137" i="20"/>
  <c r="BN137" i="20"/>
  <c r="K3" i="21"/>
  <c r="K7" i="18"/>
  <c r="K34" i="18" s="1"/>
  <c r="K36" i="18" s="1"/>
  <c r="O92" i="17"/>
  <c r="O90" i="17"/>
  <c r="O91" i="17"/>
  <c r="L46" i="16"/>
  <c r="L44" i="16"/>
  <c r="L5" i="16" a="1"/>
  <c r="L5" i="16" s="1"/>
  <c r="K9" i="21" s="1"/>
  <c r="L47" i="16"/>
  <c r="L45" i="16"/>
  <c r="O89" i="17"/>
  <c r="O88" i="17"/>
  <c r="O93" i="17"/>
  <c r="L48" i="16"/>
  <c r="L18" i="16"/>
  <c r="L40" i="16" s="1"/>
  <c r="O53" i="9"/>
  <c r="AS53" i="9" s="1"/>
  <c r="O52" i="9"/>
  <c r="AS52" i="9" s="1"/>
  <c r="K29" i="6"/>
  <c r="M47" i="17"/>
  <c r="M48" i="17"/>
  <c r="M44" i="17"/>
  <c r="M45" i="17"/>
  <c r="M46" i="17"/>
  <c r="N85" i="8"/>
  <c r="N60" i="8"/>
  <c r="N10" i="8"/>
  <c r="M123" i="20" s="1"/>
  <c r="N36" i="5"/>
  <c r="N35" i="8"/>
  <c r="I7" i="20"/>
  <c r="N16" i="6"/>
  <c r="N39" i="5"/>
  <c r="N63" i="8"/>
  <c r="N38" i="8"/>
  <c r="N88" i="8"/>
  <c r="N13" i="8"/>
  <c r="M180" i="20" s="1"/>
  <c r="N259" i="17"/>
  <c r="N204" i="17"/>
  <c r="N230" i="17"/>
  <c r="N179" i="17"/>
  <c r="L138" i="20"/>
  <c r="L144" i="20"/>
  <c r="L140" i="20" s="1"/>
  <c r="R101" i="3"/>
  <c r="Q126" i="3"/>
  <c r="Q48" i="3" s="1"/>
  <c r="Q151" i="3"/>
  <c r="N6" i="5"/>
  <c r="M67" i="3"/>
  <c r="N18" i="6"/>
  <c r="N40" i="8"/>
  <c r="N65" i="8"/>
  <c r="N41" i="5"/>
  <c r="N15" i="8"/>
  <c r="M218" i="20" s="1"/>
  <c r="N90" i="8"/>
  <c r="N261" i="17"/>
  <c r="N206" i="17"/>
  <c r="N181" i="17"/>
  <c r="N232" i="17"/>
  <c r="L176" i="20"/>
  <c r="Q75" i="9"/>
  <c r="AU75" i="9" s="1"/>
  <c r="L182" i="20" s="1"/>
  <c r="L178" i="20" s="1"/>
  <c r="M36" i="6"/>
  <c r="L58" i="17"/>
  <c r="J8" i="21"/>
  <c r="J10" i="21" s="1"/>
  <c r="K6" i="16"/>
  <c r="BN61" i="20"/>
  <c r="B61" i="20"/>
  <c r="N227" i="17"/>
  <c r="N256" i="17"/>
  <c r="N201" i="17"/>
  <c r="N176" i="17"/>
  <c r="Q73" i="9"/>
  <c r="AU73" i="9" s="1"/>
  <c r="L87" i="20" s="1"/>
  <c r="L83" i="20" s="1"/>
  <c r="L81" i="20"/>
  <c r="M34" i="6"/>
  <c r="BN80" i="20"/>
  <c r="B80" i="20"/>
  <c r="P54" i="16"/>
  <c r="P57" i="16"/>
  <c r="P55" i="16"/>
  <c r="P53" i="16"/>
  <c r="P56" i="16"/>
  <c r="S7" i="9"/>
  <c r="AW7" i="9" s="1"/>
  <c r="N79" i="3"/>
  <c r="O14" i="5" s="1"/>
  <c r="O15" i="6" s="1"/>
  <c r="N90" i="3"/>
  <c r="O25" i="5" s="1"/>
  <c r="N87" i="3"/>
  <c r="O22" i="5" s="1"/>
  <c r="N75" i="3"/>
  <c r="O10" i="5" s="1"/>
  <c r="N84" i="3"/>
  <c r="O19" i="5" s="1"/>
  <c r="O20" i="6" s="1"/>
  <c r="N78" i="3"/>
  <c r="O13" i="5" s="1"/>
  <c r="O14" i="6" s="1"/>
  <c r="N71" i="3"/>
  <c r="N83" i="3"/>
  <c r="O18" i="5" s="1"/>
  <c r="N86" i="3"/>
  <c r="O21" i="5" s="1"/>
  <c r="N76" i="3"/>
  <c r="O11" i="5" s="1"/>
  <c r="N85" i="3"/>
  <c r="O20" i="5" s="1"/>
  <c r="O21" i="6" s="1"/>
  <c r="N81" i="3"/>
  <c r="O16" i="5" s="1"/>
  <c r="N72" i="3"/>
  <c r="O7" i="5" s="1"/>
  <c r="N89" i="3"/>
  <c r="O24" i="5" s="1"/>
  <c r="N73" i="3"/>
  <c r="O8" i="5" s="1"/>
  <c r="N80" i="3"/>
  <c r="O15" i="5" s="1"/>
  <c r="N88" i="3"/>
  <c r="O23" i="5" s="1"/>
  <c r="N74" i="3"/>
  <c r="O9" i="5" s="1"/>
  <c r="N82" i="3"/>
  <c r="O17" i="5" s="1"/>
  <c r="N77" i="3"/>
  <c r="O12" i="5" s="1"/>
  <c r="O13" i="6" s="1"/>
  <c r="L9" i="17"/>
  <c r="N270" i="17"/>
  <c r="N215" i="17"/>
  <c r="N241" i="17"/>
  <c r="N190" i="17"/>
  <c r="L347" i="20"/>
  <c r="Q83" i="9"/>
  <c r="AU83" i="9" s="1"/>
  <c r="Q79" i="9"/>
  <c r="AU79" i="9" s="1"/>
  <c r="L366" i="20"/>
  <c r="N37" i="5"/>
  <c r="N86" i="8"/>
  <c r="N11" i="8"/>
  <c r="M142" i="20" s="1"/>
  <c r="N36" i="8"/>
  <c r="N61" i="8"/>
  <c r="N198" i="17"/>
  <c r="N173" i="17"/>
  <c r="N224" i="17"/>
  <c r="N253" i="17"/>
  <c r="Q70" i="9"/>
  <c r="AU70" i="9" s="1"/>
  <c r="L30" i="20" s="1"/>
  <c r="L26" i="20" s="1"/>
  <c r="L24" i="20"/>
  <c r="M33" i="6"/>
  <c r="R132" i="3"/>
  <c r="R54" i="3" s="1"/>
  <c r="S107" i="3"/>
  <c r="R157" i="3"/>
  <c r="R156" i="3"/>
  <c r="S106" i="3"/>
  <c r="R131" i="3"/>
  <c r="R53" i="3" s="1"/>
  <c r="L57" i="17"/>
  <c r="N269" i="17"/>
  <c r="N214" i="17"/>
  <c r="N189" i="17"/>
  <c r="N240" i="17"/>
  <c r="Q82" i="9"/>
  <c r="AU82" i="9" s="1"/>
  <c r="L334" i="20" s="1"/>
  <c r="L330" i="20" s="1"/>
  <c r="L328" i="20"/>
  <c r="M40" i="6"/>
  <c r="B289" i="20"/>
  <c r="BN289" i="20"/>
  <c r="S103" i="3"/>
  <c r="R128" i="3"/>
  <c r="R50" i="3" s="1"/>
  <c r="R153" i="3"/>
  <c r="BN251" i="20"/>
  <c r="B251" i="20"/>
  <c r="BN327" i="20"/>
  <c r="B327" i="20"/>
  <c r="J385" i="20"/>
  <c r="N225" i="17"/>
  <c r="N174" i="17"/>
  <c r="N254" i="17"/>
  <c r="N199" i="17"/>
  <c r="Q71" i="9"/>
  <c r="AU71" i="9" s="1"/>
  <c r="L49" i="20" s="1"/>
  <c r="L45" i="20" s="1"/>
  <c r="L43" i="20"/>
  <c r="N267" i="17"/>
  <c r="N212" i="17"/>
  <c r="N238" i="17"/>
  <c r="N187" i="17"/>
  <c r="Q80" i="9"/>
  <c r="AU80" i="9" s="1"/>
  <c r="L296" i="20" s="1"/>
  <c r="L292" i="20" s="1"/>
  <c r="L290" i="20"/>
  <c r="B213" i="20"/>
  <c r="BN213" i="20"/>
  <c r="L218" i="17"/>
  <c r="L219" i="17" s="1"/>
  <c r="BN156" i="20"/>
  <c r="B156" i="20"/>
  <c r="AN459" i="20"/>
  <c r="M7" i="6"/>
  <c r="M29" i="8"/>
  <c r="M49" i="8" s="1"/>
  <c r="M8" i="18" s="1"/>
  <c r="M41" i="18" s="1"/>
  <c r="M4" i="8"/>
  <c r="M30" i="5"/>
  <c r="M54" i="8"/>
  <c r="M74" i="8" s="1"/>
  <c r="M79" i="8"/>
  <c r="M99" i="8" s="1"/>
  <c r="M10" i="18" s="1"/>
  <c r="M43" i="18" s="1"/>
  <c r="N22" i="6"/>
  <c r="N45" i="5"/>
  <c r="N44" i="8"/>
  <c r="N94" i="8"/>
  <c r="N69" i="8"/>
  <c r="N19" i="8"/>
  <c r="M294" i="20" s="1"/>
  <c r="L60" i="17"/>
  <c r="N258" i="17"/>
  <c r="N203" i="17"/>
  <c r="N178" i="17"/>
  <c r="N229" i="17"/>
  <c r="L125" i="20"/>
  <c r="L121" i="20" s="1"/>
  <c r="L119" i="20"/>
  <c r="M35" i="6"/>
  <c r="Q138" i="3"/>
  <c r="Q60" i="3" s="1"/>
  <c r="Q163" i="3"/>
  <c r="R113" i="3"/>
  <c r="B175" i="20"/>
  <c r="BN175" i="20"/>
  <c r="BN194" i="20"/>
  <c r="B194" i="20"/>
  <c r="N56" i="8"/>
  <c r="N9" i="6"/>
  <c r="N81" i="8"/>
  <c r="N31" i="8"/>
  <c r="N32" i="5"/>
  <c r="N6" i="8"/>
  <c r="M47" i="20" s="1"/>
  <c r="N12" i="6"/>
  <c r="N84" i="8"/>
  <c r="N34" i="8"/>
  <c r="N59" i="8"/>
  <c r="N35" i="5"/>
  <c r="N9" i="8"/>
  <c r="M104" i="20" s="1"/>
  <c r="W123" i="3"/>
  <c r="V45" i="3"/>
  <c r="N177" i="17"/>
  <c r="N257" i="17"/>
  <c r="N228" i="17"/>
  <c r="N202" i="17"/>
  <c r="L100" i="20"/>
  <c r="Q74" i="9"/>
  <c r="AU74" i="9" s="1"/>
  <c r="L106" i="20" s="1"/>
  <c r="L102" i="20" s="1"/>
  <c r="AQ365" i="20"/>
  <c r="L59" i="17"/>
  <c r="K49" i="16"/>
  <c r="C367" i="20"/>
  <c r="C374" i="20" s="1"/>
  <c r="BO365" i="20" s="1"/>
  <c r="C310" i="20"/>
  <c r="C317" i="20" s="1"/>
  <c r="C348" i="20"/>
  <c r="C355" i="20" s="1"/>
  <c r="BO346" i="20" s="1"/>
  <c r="C329" i="20"/>
  <c r="C336" i="20" s="1"/>
  <c r="C253" i="20"/>
  <c r="C260" i="20" s="1"/>
  <c r="C234" i="20"/>
  <c r="C241" i="20" s="1"/>
  <c r="C291" i="20"/>
  <c r="C298" i="20" s="1"/>
  <c r="C177" i="20"/>
  <c r="C184" i="20" s="1"/>
  <c r="C272" i="20"/>
  <c r="C279" i="20" s="1"/>
  <c r="C158" i="20"/>
  <c r="C165" i="20" s="1"/>
  <c r="C196" i="20"/>
  <c r="C203" i="20" s="1"/>
  <c r="C215" i="20"/>
  <c r="C222" i="20" s="1"/>
  <c r="C82" i="20"/>
  <c r="C89" i="20" s="1"/>
  <c r="C101" i="20"/>
  <c r="C108" i="20" s="1"/>
  <c r="C44" i="20"/>
  <c r="C51" i="20" s="1"/>
  <c r="C63" i="20"/>
  <c r="C70" i="20" s="1"/>
  <c r="C6" i="20"/>
  <c r="C139" i="20"/>
  <c r="C146" i="20" s="1"/>
  <c r="C120" i="20"/>
  <c r="C127" i="20" s="1"/>
  <c r="C25" i="20"/>
  <c r="C32" i="20" s="1"/>
  <c r="E21" i="17"/>
  <c r="D14" i="18" s="1"/>
  <c r="D47" i="18" s="1"/>
  <c r="N26" i="6"/>
  <c r="N23" i="8"/>
  <c r="N73" i="8"/>
  <c r="N48" i="8"/>
  <c r="N98" i="8"/>
  <c r="P139" i="3"/>
  <c r="P61" i="3" s="1"/>
  <c r="P164" i="3"/>
  <c r="Q114" i="3"/>
  <c r="K63" i="17"/>
  <c r="K64" i="17" s="1"/>
  <c r="K65" i="17"/>
  <c r="P174" i="3"/>
  <c r="Q173" i="3"/>
  <c r="B386" i="20"/>
  <c r="C4" i="21" s="1"/>
  <c r="C5" i="21" s="1"/>
  <c r="C15" i="21" s="1"/>
  <c r="B13" i="20"/>
  <c r="BN232" i="20"/>
  <c r="B232" i="20"/>
  <c r="Q154" i="3"/>
  <c r="R104" i="3"/>
  <c r="Q129" i="3"/>
  <c r="Q51" i="3" s="1"/>
  <c r="N10" i="6"/>
  <c r="N82" i="8"/>
  <c r="N32" i="8"/>
  <c r="N33" i="5"/>
  <c r="N7" i="8"/>
  <c r="M66" i="20" s="1"/>
  <c r="N57" i="8"/>
  <c r="N17" i="6"/>
  <c r="N40" i="5"/>
  <c r="N14" i="8"/>
  <c r="M199" i="20" s="1"/>
  <c r="N39" i="8"/>
  <c r="N64" i="8"/>
  <c r="N89" i="8"/>
  <c r="N268" i="17"/>
  <c r="N239" i="17"/>
  <c r="N188" i="17"/>
  <c r="N213" i="17"/>
  <c r="Q81" i="9"/>
  <c r="AU81" i="9" s="1"/>
  <c r="L315" i="20" s="1"/>
  <c r="L311" i="20" s="1"/>
  <c r="L309" i="20"/>
  <c r="M39" i="6"/>
  <c r="R110" i="3"/>
  <c r="Q135" i="3"/>
  <c r="Q57" i="3" s="1"/>
  <c r="Q160" i="3"/>
  <c r="S108" i="3"/>
  <c r="R133" i="3"/>
  <c r="R55" i="3" s="1"/>
  <c r="R158" i="3"/>
  <c r="AQ346" i="20"/>
  <c r="J389" i="20"/>
  <c r="K7" i="21" s="1"/>
  <c r="N263" i="17"/>
  <c r="N183" i="17"/>
  <c r="N208" i="17"/>
  <c r="N234" i="17"/>
  <c r="Q77" i="9"/>
  <c r="AU77" i="9" s="1"/>
  <c r="L220" i="20" s="1"/>
  <c r="L216" i="20" s="1"/>
  <c r="L214" i="20"/>
  <c r="M37" i="6"/>
  <c r="N260" i="17"/>
  <c r="N205" i="17"/>
  <c r="N180" i="17"/>
  <c r="N231" i="17"/>
  <c r="L163" i="20"/>
  <c r="L159" i="20" s="1"/>
  <c r="L157" i="20"/>
  <c r="L51" i="17"/>
  <c r="L56" i="17"/>
  <c r="Z5" i="9"/>
  <c r="BC5" i="9"/>
  <c r="O185" i="3"/>
  <c r="O178" i="3"/>
  <c r="O194" i="3"/>
  <c r="O186" i="3"/>
  <c r="O191" i="3"/>
  <c r="O183" i="3"/>
  <c r="O175" i="3"/>
  <c r="O188" i="3"/>
  <c r="O180" i="3"/>
  <c r="O193" i="3"/>
  <c r="O177" i="3"/>
  <c r="O190" i="3"/>
  <c r="O182" i="3"/>
  <c r="O189" i="3"/>
  <c r="O184" i="3"/>
  <c r="O179" i="3"/>
  <c r="O192" i="3"/>
  <c r="O176" i="3"/>
  <c r="O187" i="3"/>
  <c r="O181" i="3"/>
  <c r="O70" i="3"/>
  <c r="N24" i="6"/>
  <c r="N96" i="8"/>
  <c r="N21" i="8"/>
  <c r="M332" i="20" s="1"/>
  <c r="N71" i="8"/>
  <c r="N47" i="5"/>
  <c r="N46" i="8"/>
  <c r="F15" i="17"/>
  <c r="F16" i="17"/>
  <c r="F20" i="17" s="1"/>
  <c r="E21" i="21" s="1"/>
  <c r="M35" i="17"/>
  <c r="M36" i="17"/>
  <c r="M33" i="17"/>
  <c r="M32" i="17"/>
  <c r="M34" i="17"/>
  <c r="S434" i="20"/>
  <c r="S432" i="20" s="1"/>
  <c r="N19" i="6"/>
  <c r="N16" i="8"/>
  <c r="M237" i="20" s="1"/>
  <c r="N91" i="8"/>
  <c r="N66" i="8"/>
  <c r="N42" i="5"/>
  <c r="N41" i="8"/>
  <c r="N11" i="6"/>
  <c r="N34" i="5"/>
  <c r="N33" i="8"/>
  <c r="N83" i="8"/>
  <c r="N58" i="8"/>
  <c r="N8" i="8"/>
  <c r="M85" i="20" s="1"/>
  <c r="L24" i="8"/>
  <c r="K9" i="20"/>
  <c r="N186" i="17"/>
  <c r="N211" i="17"/>
  <c r="N237" i="17"/>
  <c r="N266" i="17"/>
  <c r="L277" i="20"/>
  <c r="L273" i="20" s="1"/>
  <c r="L271" i="20"/>
  <c r="BN118" i="20"/>
  <c r="B118" i="20"/>
  <c r="BN270" i="20"/>
  <c r="B270" i="20"/>
  <c r="S111" i="3"/>
  <c r="R136" i="3"/>
  <c r="R58" i="3" s="1"/>
  <c r="R161" i="3"/>
  <c r="N17" i="8"/>
  <c r="M256" i="20" s="1"/>
  <c r="N42" i="8"/>
  <c r="N92" i="8"/>
  <c r="N67" i="8"/>
  <c r="N43" i="5"/>
  <c r="N23" i="6"/>
  <c r="N20" i="8"/>
  <c r="M313" i="20" s="1"/>
  <c r="N70" i="8"/>
  <c r="N45" i="8"/>
  <c r="N46" i="5"/>
  <c r="N95" i="8"/>
  <c r="T11" i="18"/>
  <c r="T44" i="18" s="1"/>
  <c r="N265" i="17"/>
  <c r="N236" i="17"/>
  <c r="N210" i="17"/>
  <c r="N185" i="17"/>
  <c r="L258" i="20"/>
  <c r="L254" i="20" s="1"/>
  <c r="L252" i="20"/>
  <c r="M38" i="6"/>
  <c r="T159" i="3"/>
  <c r="T134" i="3"/>
  <c r="T56" i="3" s="1"/>
  <c r="U109" i="3"/>
  <c r="I407" i="20"/>
  <c r="I405" i="20" s="1"/>
  <c r="I404" i="20" s="1"/>
  <c r="I403" i="20" s="1"/>
  <c r="AO403" i="20" s="1"/>
  <c r="AR149" i="9"/>
  <c r="K280" i="17" s="1"/>
  <c r="K278" i="17" s="1"/>
  <c r="N242" i="17"/>
  <c r="N271" i="17"/>
  <c r="N191" i="17"/>
  <c r="N216" i="17"/>
  <c r="BN42" i="20"/>
  <c r="B42" i="20"/>
  <c r="BN308" i="20"/>
  <c r="B308" i="20"/>
  <c r="M443" i="20"/>
  <c r="M441" i="20" s="1"/>
  <c r="AA125" i="3"/>
  <c r="Z47" i="3"/>
  <c r="N264" i="17"/>
  <c r="N209" i="17"/>
  <c r="N184" i="17"/>
  <c r="N235" i="17"/>
  <c r="Q78" i="9"/>
  <c r="AU78" i="9" s="1"/>
  <c r="L239" i="20" s="1"/>
  <c r="L235" i="20" s="1"/>
  <c r="L233" i="20"/>
  <c r="N255" i="17"/>
  <c r="N200" i="17"/>
  <c r="N175" i="17"/>
  <c r="N226" i="17"/>
  <c r="Q72" i="9"/>
  <c r="AU72" i="9" s="1"/>
  <c r="L68" i="20" s="1"/>
  <c r="L64" i="20" s="1"/>
  <c r="L62" i="20"/>
  <c r="N25" i="6"/>
  <c r="N97" i="8"/>
  <c r="N72" i="8"/>
  <c r="N22" i="8"/>
  <c r="N47" i="8"/>
  <c r="BN99" i="20"/>
  <c r="B99" i="20"/>
  <c r="R166" i="3"/>
  <c r="R141" i="3"/>
  <c r="R63" i="3" s="1"/>
  <c r="S116" i="3"/>
  <c r="N8" i="6"/>
  <c r="N5" i="8"/>
  <c r="M28" i="20" s="1"/>
  <c r="N55" i="8"/>
  <c r="N80" i="8"/>
  <c r="N31" i="5"/>
  <c r="N30" i="8"/>
  <c r="R127" i="3"/>
  <c r="R49" i="3" s="1"/>
  <c r="S102" i="3"/>
  <c r="R152" i="3"/>
  <c r="BN23" i="20"/>
  <c r="B23" i="20"/>
  <c r="J11" i="20"/>
  <c r="J391" i="20" s="1"/>
  <c r="AS150" i="9"/>
  <c r="L279" i="17" s="1"/>
  <c r="N43" i="8"/>
  <c r="N18" i="8"/>
  <c r="M275" i="20" s="1"/>
  <c r="N68" i="8"/>
  <c r="N93" i="8"/>
  <c r="N44" i="5"/>
  <c r="N38" i="5"/>
  <c r="N37" i="8"/>
  <c r="N62" i="8"/>
  <c r="N87" i="8"/>
  <c r="N12" i="8"/>
  <c r="M161" i="20" s="1"/>
  <c r="AQ175" i="20"/>
  <c r="J117" i="17"/>
  <c r="J114" i="17"/>
  <c r="J111" i="17"/>
  <c r="J106" i="17"/>
  <c r="J103" i="17"/>
  <c r="J100" i="17"/>
  <c r="J118" i="17"/>
  <c r="J113" i="17"/>
  <c r="J109" i="17"/>
  <c r="J108" i="17"/>
  <c r="J107" i="17"/>
  <c r="J105" i="17"/>
  <c r="J104" i="17"/>
  <c r="J102" i="17"/>
  <c r="J101" i="17"/>
  <c r="J99" i="17"/>
  <c r="J115" i="17"/>
  <c r="J110" i="17"/>
  <c r="J116" i="17"/>
  <c r="J112" i="17"/>
  <c r="J8" i="17"/>
  <c r="M223" i="17"/>
  <c r="M243" i="17" s="1"/>
  <c r="M197" i="17"/>
  <c r="M217" i="17" s="1"/>
  <c r="M252" i="17"/>
  <c r="M172" i="17"/>
  <c r="M192" i="17" s="1"/>
  <c r="L27" i="6"/>
  <c r="P69" i="9"/>
  <c r="AT69" i="9" s="1"/>
  <c r="K5" i="20"/>
  <c r="L32" i="6"/>
  <c r="N262" i="17"/>
  <c r="N233" i="17"/>
  <c r="N207" i="17"/>
  <c r="N182" i="17"/>
  <c r="Q76" i="9"/>
  <c r="AU76" i="9" s="1"/>
  <c r="L201" i="20" s="1"/>
  <c r="L197" i="20" s="1"/>
  <c r="L195" i="20"/>
  <c r="S130" i="3" l="1"/>
  <c r="S52" i="3" s="1"/>
  <c r="S155" i="3"/>
  <c r="T105" i="3"/>
  <c r="L44" i="6"/>
  <c r="M4" i="16"/>
  <c r="G16" i="17"/>
  <c r="G20" i="17" s="1"/>
  <c r="F21" i="21" s="1"/>
  <c r="S117" i="3"/>
  <c r="R167" i="3"/>
  <c r="R142" i="3"/>
  <c r="R64" i="3" s="1"/>
  <c r="R162" i="3"/>
  <c r="R137" i="3"/>
  <c r="R59" i="3" s="1"/>
  <c r="S112" i="3"/>
  <c r="Q140" i="3"/>
  <c r="Q62" i="3" s="1"/>
  <c r="Q165" i="3"/>
  <c r="R115" i="3"/>
  <c r="BC6" i="9"/>
  <c r="Z6" i="9"/>
  <c r="K285" i="17"/>
  <c r="K286" i="17" s="1"/>
  <c r="K288" i="17" s="1"/>
  <c r="H292" i="17"/>
  <c r="J290" i="17"/>
  <c r="J289" i="17"/>
  <c r="L277" i="17"/>
  <c r="AR99" i="20"/>
  <c r="L43" i="6"/>
  <c r="I291" i="17"/>
  <c r="I292" i="17" s="1"/>
  <c r="M272" i="17"/>
  <c r="M12" i="17" s="1"/>
  <c r="M273" i="17"/>
  <c r="L274" i="17"/>
  <c r="AR289" i="20"/>
  <c r="J12" i="21"/>
  <c r="J13" i="21" s="1"/>
  <c r="J14" i="21" s="1"/>
  <c r="AR80" i="20"/>
  <c r="K116" i="17"/>
  <c r="K113" i="17"/>
  <c r="K100" i="17"/>
  <c r="K117" i="17"/>
  <c r="AR251" i="20"/>
  <c r="AR23" i="20"/>
  <c r="K114" i="17"/>
  <c r="K109" i="17"/>
  <c r="K111" i="17"/>
  <c r="K103" i="17"/>
  <c r="K110" i="17"/>
  <c r="K106" i="17"/>
  <c r="K99" i="17"/>
  <c r="K112" i="17"/>
  <c r="K101" i="17"/>
  <c r="K115" i="17"/>
  <c r="AR137" i="20"/>
  <c r="K102" i="17"/>
  <c r="K118" i="17"/>
  <c r="K104" i="17"/>
  <c r="K105" i="17"/>
  <c r="K107" i="17"/>
  <c r="K8" i="17"/>
  <c r="L10" i="17"/>
  <c r="L11" i="17" s="1"/>
  <c r="L245" i="17"/>
  <c r="L246" i="17" s="1"/>
  <c r="AR156" i="20"/>
  <c r="AR327" i="20"/>
  <c r="AR175" i="20"/>
  <c r="M39" i="17"/>
  <c r="AR213" i="20"/>
  <c r="AR42" i="20"/>
  <c r="AR270" i="20"/>
  <c r="AR308" i="20"/>
  <c r="AR61" i="20"/>
  <c r="AR118" i="20"/>
  <c r="AR232" i="20"/>
  <c r="AR194" i="20"/>
  <c r="O260" i="17"/>
  <c r="O231" i="17"/>
  <c r="O205" i="17"/>
  <c r="O180" i="17"/>
  <c r="M163" i="20"/>
  <c r="M159" i="20" s="1"/>
  <c r="M157" i="20"/>
  <c r="O268" i="17"/>
  <c r="O239" i="17"/>
  <c r="O213" i="17"/>
  <c r="O188" i="17"/>
  <c r="R81" i="9"/>
  <c r="AV81" i="9" s="1"/>
  <c r="M315" i="20" s="1"/>
  <c r="M311" i="20" s="1"/>
  <c r="M309" i="20"/>
  <c r="N39" i="6"/>
  <c r="K389" i="20"/>
  <c r="L7" i="21" s="1"/>
  <c r="H15" i="17"/>
  <c r="H16" i="17"/>
  <c r="H20" i="17" s="1"/>
  <c r="G21" i="21" s="1"/>
  <c r="T13" i="18"/>
  <c r="T46" i="18" s="1"/>
  <c r="T434" i="20"/>
  <c r="T432" i="20" s="1"/>
  <c r="T108" i="3"/>
  <c r="S133" i="3"/>
  <c r="S55" i="3" s="1"/>
  <c r="S158" i="3"/>
  <c r="BO23" i="20"/>
  <c r="C23" i="20"/>
  <c r="BO175" i="20"/>
  <c r="C175" i="20"/>
  <c r="X123" i="3"/>
  <c r="W45" i="3"/>
  <c r="O238" i="17"/>
  <c r="O212" i="17"/>
  <c r="O187" i="17"/>
  <c r="O267" i="17"/>
  <c r="R80" i="9"/>
  <c r="AV80" i="9" s="1"/>
  <c r="M296" i="20" s="1"/>
  <c r="M292" i="20" s="1"/>
  <c r="M290" i="20"/>
  <c r="O18" i="6"/>
  <c r="O40" i="8"/>
  <c r="O41" i="5"/>
  <c r="O90" i="8"/>
  <c r="O15" i="8"/>
  <c r="N218" i="20" s="1"/>
  <c r="O65" i="8"/>
  <c r="O19" i="6"/>
  <c r="O16" i="8"/>
  <c r="N237" i="20" s="1"/>
  <c r="O91" i="8"/>
  <c r="O66" i="8"/>
  <c r="O41" i="8"/>
  <c r="O42" i="5"/>
  <c r="O203" i="17"/>
  <c r="O229" i="17"/>
  <c r="O178" i="17"/>
  <c r="O258" i="17"/>
  <c r="M125" i="20"/>
  <c r="M121" i="20" s="1"/>
  <c r="M119" i="20"/>
  <c r="N35" i="6"/>
  <c r="O209" i="17"/>
  <c r="O264" i="17"/>
  <c r="O184" i="17"/>
  <c r="O235" i="17"/>
  <c r="M233" i="20"/>
  <c r="R78" i="9"/>
  <c r="AV78" i="9" s="1"/>
  <c r="M239" i="20" s="1"/>
  <c r="M235" i="20" s="1"/>
  <c r="BO270" i="20"/>
  <c r="C270" i="20"/>
  <c r="L3" i="21"/>
  <c r="L7" i="18"/>
  <c r="L34" i="18" s="1"/>
  <c r="L36" i="18" s="1"/>
  <c r="P92" i="17"/>
  <c r="P90" i="17"/>
  <c r="P88" i="17"/>
  <c r="M46" i="16"/>
  <c r="M44" i="16"/>
  <c r="M5" i="16" a="1"/>
  <c r="M5" i="16" s="1"/>
  <c r="L9" i="21" s="1"/>
  <c r="M47" i="16"/>
  <c r="M45" i="16"/>
  <c r="P91" i="17"/>
  <c r="P89" i="17"/>
  <c r="P93" i="17"/>
  <c r="M48" i="16"/>
  <c r="M18" i="16"/>
  <c r="M40" i="16" s="1"/>
  <c r="P53" i="9"/>
  <c r="AT53" i="9" s="1"/>
  <c r="P52" i="9"/>
  <c r="AT52" i="9" s="1"/>
  <c r="L29" i="6"/>
  <c r="N46" i="17"/>
  <c r="N48" i="17"/>
  <c r="N44" i="17"/>
  <c r="N45" i="17"/>
  <c r="N47" i="17"/>
  <c r="J119" i="17"/>
  <c r="S127" i="3"/>
  <c r="S49" i="3" s="1"/>
  <c r="T102" i="3"/>
  <c r="S152" i="3"/>
  <c r="AA5" i="9"/>
  <c r="BD5" i="9"/>
  <c r="BO118" i="20"/>
  <c r="C118" i="20"/>
  <c r="BO289" i="20"/>
  <c r="C289" i="20"/>
  <c r="O259" i="17"/>
  <c r="O204" i="17"/>
  <c r="O230" i="17"/>
  <c r="O179" i="17"/>
  <c r="M138" i="20"/>
  <c r="M144" i="20"/>
  <c r="M140" i="20" s="1"/>
  <c r="O10" i="6"/>
  <c r="O32" i="8"/>
  <c r="O82" i="8"/>
  <c r="O7" i="8"/>
  <c r="N66" i="20" s="1"/>
  <c r="O33" i="5"/>
  <c r="O57" i="8"/>
  <c r="O6" i="5"/>
  <c r="N67" i="3"/>
  <c r="O206" i="17"/>
  <c r="O261" i="17"/>
  <c r="O181" i="17"/>
  <c r="O232" i="17"/>
  <c r="M176" i="20"/>
  <c r="R75" i="9"/>
  <c r="AV75" i="9" s="1"/>
  <c r="M182" i="20" s="1"/>
  <c r="M178" i="20" s="1"/>
  <c r="N36" i="6"/>
  <c r="M58" i="17"/>
  <c r="O94" i="17"/>
  <c r="M9" i="17"/>
  <c r="U134" i="3"/>
  <c r="U56" i="3" s="1"/>
  <c r="V109" i="3"/>
  <c r="U159" i="3"/>
  <c r="O269" i="17"/>
  <c r="O214" i="17"/>
  <c r="O240" i="17"/>
  <c r="O189" i="17"/>
  <c r="R82" i="9"/>
  <c r="AV82" i="9" s="1"/>
  <c r="M334" i="20" s="1"/>
  <c r="M330" i="20" s="1"/>
  <c r="M328" i="20"/>
  <c r="N40" i="6"/>
  <c r="L63" i="17"/>
  <c r="L64" i="17" s="1"/>
  <c r="L65" i="17"/>
  <c r="Q139" i="3"/>
  <c r="Q61" i="3" s="1"/>
  <c r="Q164" i="3"/>
  <c r="R114" i="3"/>
  <c r="BO137" i="20"/>
  <c r="C137" i="20"/>
  <c r="BO232" i="20"/>
  <c r="C232" i="20"/>
  <c r="AR365" i="20"/>
  <c r="O24" i="6"/>
  <c r="O21" i="8"/>
  <c r="N332" i="20" s="1"/>
  <c r="O46" i="8"/>
  <c r="O47" i="5"/>
  <c r="O96" i="8"/>
  <c r="O71" i="8"/>
  <c r="O37" i="5"/>
  <c r="O11" i="8"/>
  <c r="N142" i="20" s="1"/>
  <c r="O36" i="8"/>
  <c r="O86" i="8"/>
  <c r="O61" i="8"/>
  <c r="M57" i="17"/>
  <c r="P190" i="3"/>
  <c r="P178" i="3"/>
  <c r="P194" i="3"/>
  <c r="P186" i="3"/>
  <c r="P191" i="3"/>
  <c r="P183" i="3"/>
  <c r="P175" i="3"/>
  <c r="P188" i="3"/>
  <c r="P180" i="3"/>
  <c r="P193" i="3"/>
  <c r="P177" i="3"/>
  <c r="P185" i="3"/>
  <c r="P182" i="3"/>
  <c r="P187" i="3"/>
  <c r="P179" i="3"/>
  <c r="P184" i="3"/>
  <c r="P176" i="3"/>
  <c r="P192" i="3"/>
  <c r="P189" i="3"/>
  <c r="P181" i="3"/>
  <c r="P70" i="3"/>
  <c r="O85" i="8"/>
  <c r="O36" i="5"/>
  <c r="O10" i="8"/>
  <c r="N123" i="20" s="1"/>
  <c r="O35" i="8"/>
  <c r="O60" i="8"/>
  <c r="O22" i="6"/>
  <c r="O45" i="5"/>
  <c r="O44" i="8"/>
  <c r="O69" i="8"/>
  <c r="O94" i="8"/>
  <c r="O19" i="8"/>
  <c r="N294" i="20" s="1"/>
  <c r="S101" i="3"/>
  <c r="R151" i="3"/>
  <c r="R126" i="3"/>
  <c r="R48" i="3" s="1"/>
  <c r="M218" i="17"/>
  <c r="M219" i="17" s="1"/>
  <c r="O265" i="17"/>
  <c r="O236" i="17"/>
  <c r="O210" i="17"/>
  <c r="O185" i="17"/>
  <c r="M258" i="20"/>
  <c r="M254" i="20" s="1"/>
  <c r="M252" i="20"/>
  <c r="N38" i="6"/>
  <c r="F17" i="17"/>
  <c r="F19" i="17"/>
  <c r="Q57" i="16"/>
  <c r="Q55" i="16"/>
  <c r="Q53" i="16"/>
  <c r="Q56" i="16"/>
  <c r="Q54" i="16"/>
  <c r="T7" i="9"/>
  <c r="AX7" i="9" s="1"/>
  <c r="O84" i="3"/>
  <c r="P19" i="5" s="1"/>
  <c r="P20" i="6" s="1"/>
  <c r="O87" i="3"/>
  <c r="P22" i="5" s="1"/>
  <c r="O79" i="3"/>
  <c r="P14" i="5" s="1"/>
  <c r="P15" i="6" s="1"/>
  <c r="O75" i="3"/>
  <c r="P10" i="5" s="1"/>
  <c r="O73" i="3"/>
  <c r="P8" i="5" s="1"/>
  <c r="O86" i="3"/>
  <c r="P21" i="5" s="1"/>
  <c r="O76" i="3"/>
  <c r="P11" i="5" s="1"/>
  <c r="O83" i="3"/>
  <c r="P18" i="5" s="1"/>
  <c r="O80" i="3"/>
  <c r="P15" i="5" s="1"/>
  <c r="O74" i="3"/>
  <c r="P9" i="5" s="1"/>
  <c r="O90" i="3"/>
  <c r="P25" i="5" s="1"/>
  <c r="O72" i="3"/>
  <c r="P7" i="5" s="1"/>
  <c r="O81" i="3"/>
  <c r="P16" i="5" s="1"/>
  <c r="O89" i="3"/>
  <c r="P24" i="5" s="1"/>
  <c r="O88" i="3"/>
  <c r="P23" i="5" s="1"/>
  <c r="O78" i="3"/>
  <c r="P13" i="5" s="1"/>
  <c r="P14" i="6" s="1"/>
  <c r="O71" i="3"/>
  <c r="O82" i="3"/>
  <c r="P17" i="5" s="1"/>
  <c r="O77" i="3"/>
  <c r="P12" i="5" s="1"/>
  <c r="P13" i="6" s="1"/>
  <c r="O85" i="3"/>
  <c r="P20" i="5" s="1"/>
  <c r="P21" i="6" s="1"/>
  <c r="R135" i="3"/>
  <c r="R57" i="3" s="1"/>
  <c r="S110" i="3"/>
  <c r="R160" i="3"/>
  <c r="R154" i="3"/>
  <c r="S104" i="3"/>
  <c r="R129" i="3"/>
  <c r="R51" i="3" s="1"/>
  <c r="C386" i="20"/>
  <c r="D4" i="21" s="1"/>
  <c r="D5" i="21" s="1"/>
  <c r="D15" i="21" s="1"/>
  <c r="C13" i="20"/>
  <c r="BO251" i="20"/>
  <c r="C251" i="20"/>
  <c r="O16" i="6"/>
  <c r="O88" i="8"/>
  <c r="O63" i="8"/>
  <c r="O39" i="5"/>
  <c r="O38" i="8"/>
  <c r="O13" i="8"/>
  <c r="N180" i="20" s="1"/>
  <c r="O17" i="8"/>
  <c r="N256" i="20" s="1"/>
  <c r="O43" i="5"/>
  <c r="O92" i="8"/>
  <c r="O67" i="8"/>
  <c r="O42" i="8"/>
  <c r="M51" i="17"/>
  <c r="M56" i="17"/>
  <c r="K385" i="20"/>
  <c r="O242" i="17"/>
  <c r="O271" i="17"/>
  <c r="O216" i="17"/>
  <c r="O191" i="17"/>
  <c r="O12" i="6"/>
  <c r="O35" i="5"/>
  <c r="O34" i="8"/>
  <c r="O84" i="8"/>
  <c r="O9" i="8"/>
  <c r="N104" i="20" s="1"/>
  <c r="O59" i="8"/>
  <c r="N33" i="17"/>
  <c r="N36" i="17"/>
  <c r="N35" i="17"/>
  <c r="N32" i="17"/>
  <c r="N34" i="17"/>
  <c r="O262" i="17"/>
  <c r="O233" i="17"/>
  <c r="O207" i="17"/>
  <c r="O182" i="17"/>
  <c r="R76" i="9"/>
  <c r="AV76" i="9" s="1"/>
  <c r="M201" i="20" s="1"/>
  <c r="M197" i="20" s="1"/>
  <c r="M195" i="20"/>
  <c r="BO61" i="20"/>
  <c r="C61" i="20"/>
  <c r="BO327" i="20"/>
  <c r="C327" i="20"/>
  <c r="S113" i="3"/>
  <c r="R138" i="3"/>
  <c r="R60" i="3" s="1"/>
  <c r="R163" i="3"/>
  <c r="S153" i="3"/>
  <c r="T103" i="3"/>
  <c r="S128" i="3"/>
  <c r="S50" i="3" s="1"/>
  <c r="T106" i="3"/>
  <c r="S156" i="3"/>
  <c r="S131" i="3"/>
  <c r="S53" i="3" s="1"/>
  <c r="O9" i="6"/>
  <c r="O56" i="8"/>
  <c r="O81" i="8"/>
  <c r="O31" i="8"/>
  <c r="O32" i="5"/>
  <c r="O6" i="8"/>
  <c r="N47" i="20" s="1"/>
  <c r="N443" i="20"/>
  <c r="N441" i="20" s="1"/>
  <c r="M60" i="17"/>
  <c r="K8" i="21"/>
  <c r="K10" i="21" s="1"/>
  <c r="L6" i="16"/>
  <c r="O255" i="17"/>
  <c r="O175" i="17"/>
  <c r="O200" i="17"/>
  <c r="O226" i="17"/>
  <c r="M62" i="20"/>
  <c r="R72" i="9"/>
  <c r="AV72" i="9" s="1"/>
  <c r="M68" i="20" s="1"/>
  <c r="M64" i="20" s="1"/>
  <c r="O237" i="17"/>
  <c r="O211" i="17"/>
  <c r="O186" i="17"/>
  <c r="O266" i="17"/>
  <c r="M277" i="20"/>
  <c r="M273" i="20" s="1"/>
  <c r="M271" i="20"/>
  <c r="O256" i="17"/>
  <c r="O201" i="17"/>
  <c r="O227" i="17"/>
  <c r="O176" i="17"/>
  <c r="M81" i="20"/>
  <c r="R73" i="9"/>
  <c r="AV73" i="9" s="1"/>
  <c r="M87" i="20" s="1"/>
  <c r="M83" i="20" s="1"/>
  <c r="N34" i="6"/>
  <c r="BO42" i="20"/>
  <c r="C42" i="20"/>
  <c r="AR346" i="20"/>
  <c r="O25" i="6"/>
  <c r="O22" i="8"/>
  <c r="O97" i="8"/>
  <c r="O47" i="8"/>
  <c r="O72" i="8"/>
  <c r="O11" i="6"/>
  <c r="O83" i="8"/>
  <c r="O34" i="5"/>
  <c r="O33" i="8"/>
  <c r="O58" i="8"/>
  <c r="O8" i="8"/>
  <c r="N85" i="20" s="1"/>
  <c r="M59" i="17"/>
  <c r="K11" i="20"/>
  <c r="K391" i="20" s="1"/>
  <c r="AT150" i="9"/>
  <c r="M279" i="17" s="1"/>
  <c r="U11" i="18"/>
  <c r="U44" i="18" s="1"/>
  <c r="O241" i="17"/>
  <c r="O215" i="17"/>
  <c r="O270" i="17"/>
  <c r="O190" i="17"/>
  <c r="R83" i="9"/>
  <c r="AV83" i="9" s="1"/>
  <c r="R79" i="9"/>
  <c r="AV79" i="9" s="1"/>
  <c r="M366" i="20"/>
  <c r="M347" i="20"/>
  <c r="J7" i="20"/>
  <c r="BO99" i="20"/>
  <c r="C99" i="20"/>
  <c r="BO308" i="20"/>
  <c r="C308" i="20"/>
  <c r="O257" i="17"/>
  <c r="O228" i="17"/>
  <c r="O202" i="17"/>
  <c r="O177" i="17"/>
  <c r="R74" i="9"/>
  <c r="AV74" i="9" s="1"/>
  <c r="M106" i="20" s="1"/>
  <c r="M102" i="20" s="1"/>
  <c r="M100" i="20"/>
  <c r="G19" i="17"/>
  <c r="M24" i="8"/>
  <c r="L9" i="20"/>
  <c r="O8" i="6"/>
  <c r="O5" i="8"/>
  <c r="N28" i="20" s="1"/>
  <c r="O80" i="8"/>
  <c r="O31" i="5"/>
  <c r="O30" i="8"/>
  <c r="O55" i="8"/>
  <c r="O23" i="6"/>
  <c r="O95" i="8"/>
  <c r="O70" i="8"/>
  <c r="O45" i="8"/>
  <c r="O46" i="5"/>
  <c r="O20" i="8"/>
  <c r="N313" i="20" s="1"/>
  <c r="P58" i="16"/>
  <c r="O263" i="17"/>
  <c r="O208" i="17"/>
  <c r="O234" i="17"/>
  <c r="O183" i="17"/>
  <c r="R77" i="9"/>
  <c r="AV77" i="9" s="1"/>
  <c r="M220" i="20" s="1"/>
  <c r="M216" i="20" s="1"/>
  <c r="M214" i="20"/>
  <c r="N37" i="6"/>
  <c r="AO4" i="20"/>
  <c r="I387" i="20"/>
  <c r="AO384" i="20" s="1"/>
  <c r="BN4" i="20"/>
  <c r="B4" i="20"/>
  <c r="B384" i="20" s="1"/>
  <c r="B459" i="20" s="1"/>
  <c r="B393" i="20"/>
  <c r="BN384" i="20" s="1"/>
  <c r="BO80" i="20"/>
  <c r="C80" i="20"/>
  <c r="S132" i="3"/>
  <c r="S54" i="3" s="1"/>
  <c r="T107" i="3"/>
  <c r="S157" i="3"/>
  <c r="O17" i="6"/>
  <c r="O40" i="5"/>
  <c r="O14" i="8"/>
  <c r="N199" i="20" s="1"/>
  <c r="O89" i="8"/>
  <c r="O64" i="8"/>
  <c r="O39" i="8"/>
  <c r="O26" i="6"/>
  <c r="O23" i="8"/>
  <c r="O48" i="8"/>
  <c r="O98" i="8"/>
  <c r="O73" i="8"/>
  <c r="J407" i="20"/>
  <c r="J405" i="20" s="1"/>
  <c r="J404" i="20" s="1"/>
  <c r="J403" i="20" s="1"/>
  <c r="AP403" i="20" s="1"/>
  <c r="AS149" i="9"/>
  <c r="L280" i="17" s="1"/>
  <c r="L278" i="17" s="1"/>
  <c r="L49" i="16"/>
  <c r="O198" i="17"/>
  <c r="O173" i="17"/>
  <c r="O224" i="17"/>
  <c r="O253" i="17"/>
  <c r="R70" i="9"/>
  <c r="AV70" i="9" s="1"/>
  <c r="M30" i="20" s="1"/>
  <c r="M26" i="20" s="1"/>
  <c r="M24" i="20"/>
  <c r="N33" i="6"/>
  <c r="AB125" i="3"/>
  <c r="AA47" i="3"/>
  <c r="T111" i="3"/>
  <c r="S161" i="3"/>
  <c r="S136" i="3"/>
  <c r="S58" i="3" s="1"/>
  <c r="BO213" i="20"/>
  <c r="C213" i="20"/>
  <c r="N252" i="17"/>
  <c r="N223" i="17"/>
  <c r="N243" i="17" s="1"/>
  <c r="N197" i="17"/>
  <c r="N217" i="17" s="1"/>
  <c r="N172" i="17"/>
  <c r="N192" i="17" s="1"/>
  <c r="M27" i="6"/>
  <c r="Q69" i="9"/>
  <c r="AU69" i="9" s="1"/>
  <c r="L5" i="20"/>
  <c r="M32" i="6"/>
  <c r="O43" i="8"/>
  <c r="O18" i="8"/>
  <c r="N275" i="20" s="1"/>
  <c r="O93" i="8"/>
  <c r="O68" i="8"/>
  <c r="O44" i="5"/>
  <c r="O62" i="8"/>
  <c r="O37" i="8"/>
  <c r="O87" i="8"/>
  <c r="O38" i="5"/>
  <c r="O12" i="8"/>
  <c r="N161" i="20" s="1"/>
  <c r="N7" i="6"/>
  <c r="N4" i="8"/>
  <c r="N30" i="5"/>
  <c r="N54" i="8"/>
  <c r="N74" i="8" s="1"/>
  <c r="N79" i="8"/>
  <c r="N99" i="8" s="1"/>
  <c r="N10" i="18" s="1"/>
  <c r="N43" i="18" s="1"/>
  <c r="N29" i="8"/>
  <c r="N49" i="8" s="1"/>
  <c r="N8" i="18" s="1"/>
  <c r="N41" i="18" s="1"/>
  <c r="BO156" i="20"/>
  <c r="C156" i="20"/>
  <c r="O254" i="17"/>
  <c r="O199" i="17"/>
  <c r="O174" i="17"/>
  <c r="O225" i="17"/>
  <c r="R71" i="9"/>
  <c r="AV71" i="9" s="1"/>
  <c r="M49" i="20" s="1"/>
  <c r="M45" i="20" s="1"/>
  <c r="M43" i="20"/>
  <c r="S141" i="3"/>
  <c r="S63" i="3" s="1"/>
  <c r="S166" i="3"/>
  <c r="T116" i="3"/>
  <c r="Q174" i="3"/>
  <c r="R173" i="3"/>
  <c r="BO194" i="20"/>
  <c r="C194" i="20"/>
  <c r="T130" i="3" l="1"/>
  <c r="T52" i="3" s="1"/>
  <c r="T155" i="3"/>
  <c r="U105" i="3"/>
  <c r="M44" i="6"/>
  <c r="N4" i="16"/>
  <c r="G17" i="17"/>
  <c r="BD6" i="9"/>
  <c r="AA6" i="9"/>
  <c r="T112" i="3"/>
  <c r="S162" i="3"/>
  <c r="S137" i="3"/>
  <c r="S59" i="3" s="1"/>
  <c r="S115" i="3"/>
  <c r="R165" i="3"/>
  <c r="R140" i="3"/>
  <c r="R62" i="3" s="1"/>
  <c r="S167" i="3"/>
  <c r="T117" i="3"/>
  <c r="S142" i="3"/>
  <c r="S64" i="3" s="1"/>
  <c r="L285" i="17"/>
  <c r="L286" i="17" s="1"/>
  <c r="L288" i="17" s="1"/>
  <c r="K290" i="17"/>
  <c r="K289" i="17"/>
  <c r="J291" i="17"/>
  <c r="J292" i="17" s="1"/>
  <c r="M277" i="17"/>
  <c r="I13" i="17"/>
  <c r="I14" i="17" s="1"/>
  <c r="I18" i="17" s="1"/>
  <c r="I15" i="17" s="1"/>
  <c r="AS175" i="20"/>
  <c r="AS232" i="20"/>
  <c r="M43" i="6"/>
  <c r="AS308" i="20"/>
  <c r="N272" i="17"/>
  <c r="N277" i="17" s="1"/>
  <c r="N273" i="17"/>
  <c r="M274" i="17"/>
  <c r="AS118" i="20"/>
  <c r="AS80" i="20"/>
  <c r="AS156" i="20"/>
  <c r="K119" i="17"/>
  <c r="AS99" i="20"/>
  <c r="AS137" i="20"/>
  <c r="M10" i="17"/>
  <c r="M11" i="17" s="1"/>
  <c r="M245" i="17"/>
  <c r="M246" i="17" s="1"/>
  <c r="AS327" i="20"/>
  <c r="M49" i="16"/>
  <c r="AS213" i="20"/>
  <c r="AS194" i="20"/>
  <c r="P94" i="17"/>
  <c r="M114" i="17" s="1"/>
  <c r="AS23" i="20"/>
  <c r="AS270" i="20"/>
  <c r="AS289" i="20"/>
  <c r="AS251" i="20"/>
  <c r="AS42" i="20"/>
  <c r="N9" i="17"/>
  <c r="T156" i="3"/>
  <c r="U106" i="3"/>
  <c r="T131" i="3"/>
  <c r="T53" i="3" s="1"/>
  <c r="L389" i="20"/>
  <c r="M7" i="21" s="1"/>
  <c r="O34" i="17"/>
  <c r="O33" i="17"/>
  <c r="O35" i="17"/>
  <c r="O32" i="17"/>
  <c r="O36" i="17"/>
  <c r="V11" i="18"/>
  <c r="V44" i="18" s="1"/>
  <c r="U103" i="3"/>
  <c r="T128" i="3"/>
  <c r="T50" i="3" s="1"/>
  <c r="T153" i="3"/>
  <c r="P25" i="6"/>
  <c r="P22" i="8"/>
  <c r="P72" i="8"/>
  <c r="P47" i="8"/>
  <c r="P97" i="8"/>
  <c r="P23" i="6"/>
  <c r="P20" i="8"/>
  <c r="O313" i="20" s="1"/>
  <c r="P95" i="8"/>
  <c r="P45" i="8"/>
  <c r="P46" i="5"/>
  <c r="P70" i="8"/>
  <c r="P224" i="17"/>
  <c r="P173" i="17"/>
  <c r="P253" i="17"/>
  <c r="P198" i="17"/>
  <c r="S70" i="9"/>
  <c r="AW70" i="9" s="1"/>
  <c r="N30" i="20" s="1"/>
  <c r="N26" i="20" s="1"/>
  <c r="N24" i="20"/>
  <c r="O33" i="6"/>
  <c r="P37" i="5"/>
  <c r="P36" i="8"/>
  <c r="P11" i="8"/>
  <c r="O142" i="20" s="1"/>
  <c r="P61" i="8"/>
  <c r="P86" i="8"/>
  <c r="O443" i="20"/>
  <c r="O441" i="20" s="1"/>
  <c r="P270" i="17"/>
  <c r="P241" i="17"/>
  <c r="P190" i="17"/>
  <c r="P215" i="17"/>
  <c r="N366" i="20"/>
  <c r="S79" i="9"/>
  <c r="AW79" i="9" s="1"/>
  <c r="S83" i="9"/>
  <c r="AW83" i="9" s="1"/>
  <c r="N347" i="20"/>
  <c r="M63" i="17"/>
  <c r="M64" i="17" s="1"/>
  <c r="M65" i="17"/>
  <c r="S154" i="3"/>
  <c r="T104" i="3"/>
  <c r="S129" i="3"/>
  <c r="S51" i="3" s="1"/>
  <c r="P17" i="6"/>
  <c r="P14" i="8"/>
  <c r="O199" i="20" s="1"/>
  <c r="P40" i="5"/>
  <c r="P39" i="8"/>
  <c r="P89" i="8"/>
  <c r="P64" i="8"/>
  <c r="P17" i="8"/>
  <c r="O256" i="20" s="1"/>
  <c r="P43" i="5"/>
  <c r="P92" i="8"/>
  <c r="P42" i="8"/>
  <c r="P67" i="8"/>
  <c r="O7" i="6"/>
  <c r="O29" i="8"/>
  <c r="O49" i="8" s="1"/>
  <c r="O8" i="18" s="1"/>
  <c r="O41" i="18" s="1"/>
  <c r="O54" i="8"/>
  <c r="O74" i="8" s="1"/>
  <c r="O79" i="8"/>
  <c r="O99" i="8" s="1"/>
  <c r="O10" i="18" s="1"/>
  <c r="O43" i="18" s="1"/>
  <c r="O4" i="8"/>
  <c r="O30" i="5"/>
  <c r="T152" i="3"/>
  <c r="U102" i="3"/>
  <c r="T127" i="3"/>
  <c r="T49" i="3" s="1"/>
  <c r="P263" i="17"/>
  <c r="P183" i="17"/>
  <c r="P234" i="17"/>
  <c r="P208" i="17"/>
  <c r="S77" i="9"/>
  <c r="AW77" i="9" s="1"/>
  <c r="N220" i="20" s="1"/>
  <c r="N216" i="20" s="1"/>
  <c r="N214" i="20"/>
  <c r="O37" i="6"/>
  <c r="BO4" i="20"/>
  <c r="C4" i="20"/>
  <c r="C384" i="20" s="1"/>
  <c r="C459" i="20" s="1"/>
  <c r="C393" i="20"/>
  <c r="BO384" i="20" s="1"/>
  <c r="P11" i="6"/>
  <c r="P34" i="5"/>
  <c r="P83" i="8"/>
  <c r="P58" i="8"/>
  <c r="P33" i="8"/>
  <c r="P8" i="8"/>
  <c r="O85" i="20" s="1"/>
  <c r="K407" i="20"/>
  <c r="K405" i="20" s="1"/>
  <c r="K404" i="20" s="1"/>
  <c r="K403" i="20" s="1"/>
  <c r="AQ403" i="20" s="1"/>
  <c r="AT149" i="9"/>
  <c r="M280" i="17" s="1"/>
  <c r="M278" i="17" s="1"/>
  <c r="E348" i="20"/>
  <c r="E355" i="20" s="1"/>
  <c r="BQ346" i="20" s="1"/>
  <c r="E367" i="20"/>
  <c r="E374" i="20" s="1"/>
  <c r="BQ365" i="20" s="1"/>
  <c r="E310" i="20"/>
  <c r="E317" i="20" s="1"/>
  <c r="E272" i="20"/>
  <c r="E279" i="20" s="1"/>
  <c r="E329" i="20"/>
  <c r="E336" i="20" s="1"/>
  <c r="E253" i="20"/>
  <c r="E260" i="20" s="1"/>
  <c r="E291" i="20"/>
  <c r="E298" i="20" s="1"/>
  <c r="E234" i="20"/>
  <c r="E241" i="20" s="1"/>
  <c r="E215" i="20"/>
  <c r="E222" i="20" s="1"/>
  <c r="E196" i="20"/>
  <c r="E203" i="20" s="1"/>
  <c r="E177" i="20"/>
  <c r="E184" i="20" s="1"/>
  <c r="E101" i="20"/>
  <c r="E108" i="20" s="1"/>
  <c r="E120" i="20"/>
  <c r="E127" i="20" s="1"/>
  <c r="E158" i="20"/>
  <c r="E165" i="20" s="1"/>
  <c r="E44" i="20"/>
  <c r="E51" i="20" s="1"/>
  <c r="E63" i="20"/>
  <c r="E70" i="20" s="1"/>
  <c r="E139" i="20"/>
  <c r="E146" i="20" s="1"/>
  <c r="E6" i="20"/>
  <c r="E25" i="20"/>
  <c r="E32" i="20" s="1"/>
  <c r="E82" i="20"/>
  <c r="E89" i="20" s="1"/>
  <c r="G21" i="17"/>
  <c r="F14" i="18" s="1"/>
  <c r="F47" i="18" s="1"/>
  <c r="AS61" i="20"/>
  <c r="P8" i="6"/>
  <c r="P5" i="8"/>
  <c r="O28" i="20" s="1"/>
  <c r="P30" i="8"/>
  <c r="P31" i="5"/>
  <c r="P55" i="8"/>
  <c r="P80" i="8"/>
  <c r="Q58" i="16"/>
  <c r="P238" i="17"/>
  <c r="P267" i="17"/>
  <c r="P212" i="17"/>
  <c r="P187" i="17"/>
  <c r="S80" i="9"/>
  <c r="AW80" i="9" s="1"/>
  <c r="N296" i="20" s="1"/>
  <c r="N292" i="20" s="1"/>
  <c r="N290" i="20"/>
  <c r="H17" i="17"/>
  <c r="H19" i="17"/>
  <c r="P233" i="17"/>
  <c r="P262" i="17"/>
  <c r="P207" i="17"/>
  <c r="P182" i="17"/>
  <c r="S76" i="9"/>
  <c r="AW76" i="9" s="1"/>
  <c r="N201" i="20" s="1"/>
  <c r="N197" i="20" s="1"/>
  <c r="N195" i="20"/>
  <c r="T132" i="3"/>
  <c r="T54" i="3" s="1"/>
  <c r="U107" i="3"/>
  <c r="T157" i="3"/>
  <c r="AP4" i="20"/>
  <c r="J387" i="20"/>
  <c r="AP384" i="20" s="1"/>
  <c r="P261" i="17"/>
  <c r="P232" i="17"/>
  <c r="P206" i="17"/>
  <c r="P181" i="17"/>
  <c r="S75" i="9"/>
  <c r="AW75" i="9" s="1"/>
  <c r="N182" i="20" s="1"/>
  <c r="N178" i="20" s="1"/>
  <c r="N176" i="20"/>
  <c r="O36" i="6"/>
  <c r="P26" i="6"/>
  <c r="P23" i="8"/>
  <c r="P98" i="8"/>
  <c r="P48" i="8"/>
  <c r="P73" i="8"/>
  <c r="P230" i="17"/>
  <c r="P259" i="17"/>
  <c r="P204" i="17"/>
  <c r="P179" i="17"/>
  <c r="N144" i="20"/>
  <c r="N140" i="20" s="1"/>
  <c r="N138" i="20"/>
  <c r="L117" i="17"/>
  <c r="L114" i="17"/>
  <c r="L111" i="17"/>
  <c r="L108" i="17"/>
  <c r="L105" i="17"/>
  <c r="L102" i="17"/>
  <c r="L99" i="17"/>
  <c r="L118" i="17"/>
  <c r="L109" i="17"/>
  <c r="L110" i="17"/>
  <c r="L115" i="17"/>
  <c r="L116" i="17"/>
  <c r="L112" i="17"/>
  <c r="L113" i="17"/>
  <c r="L106" i="17"/>
  <c r="L103" i="17"/>
  <c r="L100" i="17"/>
  <c r="L8" i="17"/>
  <c r="L107" i="17"/>
  <c r="L104" i="17"/>
  <c r="L101" i="17"/>
  <c r="K7" i="20"/>
  <c r="AC125" i="3"/>
  <c r="AB47" i="3"/>
  <c r="P87" i="8"/>
  <c r="P38" i="5"/>
  <c r="P12" i="8"/>
  <c r="O161" i="20" s="1"/>
  <c r="P62" i="8"/>
  <c r="P37" i="8"/>
  <c r="P254" i="17"/>
  <c r="P174" i="17"/>
  <c r="P199" i="17"/>
  <c r="P225" i="17"/>
  <c r="S71" i="9"/>
  <c r="AW71" i="9" s="1"/>
  <c r="N49" i="20" s="1"/>
  <c r="N45" i="20" s="1"/>
  <c r="N43" i="20"/>
  <c r="S138" i="3"/>
  <c r="S60" i="3" s="1"/>
  <c r="T113" i="3"/>
  <c r="S163" i="3"/>
  <c r="S135" i="3"/>
  <c r="S57" i="3" s="1"/>
  <c r="T110" i="3"/>
  <c r="S160" i="3"/>
  <c r="P10" i="6"/>
  <c r="P7" i="8"/>
  <c r="O66" i="20" s="1"/>
  <c r="P33" i="5"/>
  <c r="P82" i="8"/>
  <c r="P32" i="8"/>
  <c r="P57" i="8"/>
  <c r="N59" i="17"/>
  <c r="T133" i="3"/>
  <c r="T55" i="3" s="1"/>
  <c r="T158" i="3"/>
  <c r="U108" i="3"/>
  <c r="P239" i="17"/>
  <c r="P268" i="17"/>
  <c r="P213" i="17"/>
  <c r="P188" i="17"/>
  <c r="S81" i="9"/>
  <c r="AW81" i="9" s="1"/>
  <c r="N315" i="20" s="1"/>
  <c r="N311" i="20" s="1"/>
  <c r="N309" i="20"/>
  <c r="O39" i="6"/>
  <c r="R174" i="3"/>
  <c r="S173" i="3"/>
  <c r="P177" i="17"/>
  <c r="P228" i="17"/>
  <c r="P202" i="17"/>
  <c r="P257" i="17"/>
  <c r="S74" i="9"/>
  <c r="AW74" i="9" s="1"/>
  <c r="N106" i="20" s="1"/>
  <c r="N102" i="20" s="1"/>
  <c r="N100" i="20"/>
  <c r="P16" i="6"/>
  <c r="P38" i="8"/>
  <c r="P88" i="8"/>
  <c r="P63" i="8"/>
  <c r="P39" i="5"/>
  <c r="P13" i="8"/>
  <c r="O180" i="20" s="1"/>
  <c r="D348" i="20"/>
  <c r="D355" i="20" s="1"/>
  <c r="BP346" i="20" s="1"/>
  <c r="D367" i="20"/>
  <c r="D374" i="20" s="1"/>
  <c r="BP365" i="20" s="1"/>
  <c r="D329" i="20"/>
  <c r="D336" i="20" s="1"/>
  <c r="D253" i="20"/>
  <c r="D260" i="20" s="1"/>
  <c r="D272" i="20"/>
  <c r="D279" i="20" s="1"/>
  <c r="D310" i="20"/>
  <c r="D317" i="20" s="1"/>
  <c r="D291" i="20"/>
  <c r="D298" i="20" s="1"/>
  <c r="D234" i="20"/>
  <c r="D241" i="20" s="1"/>
  <c r="D139" i="20"/>
  <c r="D146" i="20" s="1"/>
  <c r="D196" i="20"/>
  <c r="D203" i="20" s="1"/>
  <c r="D177" i="20"/>
  <c r="D184" i="20" s="1"/>
  <c r="D215" i="20"/>
  <c r="D222" i="20" s="1"/>
  <c r="D82" i="20"/>
  <c r="D89" i="20" s="1"/>
  <c r="D101" i="20"/>
  <c r="D108" i="20" s="1"/>
  <c r="D120" i="20"/>
  <c r="D127" i="20" s="1"/>
  <c r="D158" i="20"/>
  <c r="D165" i="20" s="1"/>
  <c r="D44" i="20"/>
  <c r="D51" i="20" s="1"/>
  <c r="D63" i="20"/>
  <c r="D70" i="20" s="1"/>
  <c r="D6" i="20"/>
  <c r="D25" i="20"/>
  <c r="D32" i="20" s="1"/>
  <c r="F21" i="17"/>
  <c r="E14" i="18" s="1"/>
  <c r="E47" i="18" s="1"/>
  <c r="R164" i="3"/>
  <c r="R139" i="3"/>
  <c r="R61" i="3" s="1"/>
  <c r="S114" i="3"/>
  <c r="N57" i="17"/>
  <c r="P242" i="17"/>
  <c r="P271" i="17"/>
  <c r="P216" i="17"/>
  <c r="P191" i="17"/>
  <c r="Q183" i="3"/>
  <c r="Q191" i="3"/>
  <c r="Q175" i="3"/>
  <c r="Q188" i="3"/>
  <c r="Q180" i="3"/>
  <c r="Q193" i="3"/>
  <c r="Q177" i="3"/>
  <c r="Q185" i="3"/>
  <c r="Q190" i="3"/>
  <c r="Q182" i="3"/>
  <c r="Q187" i="3"/>
  <c r="Q179" i="3"/>
  <c r="Q176" i="3"/>
  <c r="Q184" i="3"/>
  <c r="Q192" i="3"/>
  <c r="Q178" i="3"/>
  <c r="Q186" i="3"/>
  <c r="Q181" i="3"/>
  <c r="Q194" i="3"/>
  <c r="Q70" i="3"/>
  <c r="Q189" i="3"/>
  <c r="P93" i="8"/>
  <c r="P43" i="8"/>
  <c r="P18" i="8"/>
  <c r="O275" i="20" s="1"/>
  <c r="P68" i="8"/>
  <c r="P44" i="5"/>
  <c r="P19" i="6"/>
  <c r="P16" i="8"/>
  <c r="O237" i="20" s="1"/>
  <c r="P41" i="8"/>
  <c r="P91" i="8"/>
  <c r="P66" i="8"/>
  <c r="P42" i="5"/>
  <c r="N51" i="17"/>
  <c r="N56" i="17"/>
  <c r="BE5" i="9"/>
  <c r="AB5" i="9"/>
  <c r="N218" i="17"/>
  <c r="N219" i="17" s="1"/>
  <c r="N24" i="8"/>
  <c r="M9" i="20"/>
  <c r="AO459" i="20"/>
  <c r="P36" i="5"/>
  <c r="P10" i="8"/>
  <c r="O123" i="20" s="1"/>
  <c r="P35" i="8"/>
  <c r="P60" i="8"/>
  <c r="P85" i="8"/>
  <c r="P12" i="6"/>
  <c r="P35" i="5"/>
  <c r="P84" i="8"/>
  <c r="P59" i="8"/>
  <c r="P34" i="8"/>
  <c r="P9" i="8"/>
  <c r="O104" i="20" s="1"/>
  <c r="V134" i="3"/>
  <c r="V56" i="3" s="1"/>
  <c r="W109" i="3"/>
  <c r="V159" i="3"/>
  <c r="P255" i="17"/>
  <c r="P200" i="17"/>
  <c r="P226" i="17"/>
  <c r="P175" i="17"/>
  <c r="S72" i="9"/>
  <c r="AW72" i="9" s="1"/>
  <c r="N68" i="20" s="1"/>
  <c r="N64" i="20" s="1"/>
  <c r="N62" i="20"/>
  <c r="N60" i="17"/>
  <c r="L8" i="21"/>
  <c r="L10" i="21" s="1"/>
  <c r="M6" i="16"/>
  <c r="P264" i="17"/>
  <c r="P209" i="17"/>
  <c r="P184" i="17"/>
  <c r="P235" i="17"/>
  <c r="N233" i="20"/>
  <c r="S78" i="9"/>
  <c r="AW78" i="9" s="1"/>
  <c r="N239" i="20" s="1"/>
  <c r="N235" i="20" s="1"/>
  <c r="P24" i="6"/>
  <c r="P46" i="8"/>
  <c r="P96" i="8"/>
  <c r="P71" i="8"/>
  <c r="P47" i="5"/>
  <c r="P21" i="8"/>
  <c r="O332" i="20" s="1"/>
  <c r="U13" i="18"/>
  <c r="U46" i="18" s="1"/>
  <c r="AS346" i="20"/>
  <c r="P227" i="17"/>
  <c r="P256" i="17"/>
  <c r="P176" i="17"/>
  <c r="P201" i="17"/>
  <c r="S73" i="9"/>
  <c r="AW73" i="9" s="1"/>
  <c r="N87" i="20" s="1"/>
  <c r="N83" i="20" s="1"/>
  <c r="N81" i="20"/>
  <c r="O34" i="6"/>
  <c r="N39" i="17"/>
  <c r="P18" i="6"/>
  <c r="P65" i="8"/>
  <c r="P41" i="5"/>
  <c r="P15" i="8"/>
  <c r="O218" i="20" s="1"/>
  <c r="P40" i="8"/>
  <c r="P90" i="8"/>
  <c r="P22" i="6"/>
  <c r="P45" i="5"/>
  <c r="P69" i="8"/>
  <c r="P94" i="8"/>
  <c r="P19" i="8"/>
  <c r="O294" i="20" s="1"/>
  <c r="P44" i="8"/>
  <c r="S151" i="3"/>
  <c r="T101" i="3"/>
  <c r="S126" i="3"/>
  <c r="S48" i="3" s="1"/>
  <c r="P229" i="17"/>
  <c r="P258" i="17"/>
  <c r="P203" i="17"/>
  <c r="P178" i="17"/>
  <c r="N119" i="20"/>
  <c r="N125" i="20"/>
  <c r="N121" i="20" s="1"/>
  <c r="O35" i="6"/>
  <c r="N58" i="17"/>
  <c r="R57" i="16"/>
  <c r="R55" i="16"/>
  <c r="R53" i="16"/>
  <c r="R56" i="16"/>
  <c r="R54" i="16"/>
  <c r="U7" i="9"/>
  <c r="AY7" i="9" s="1"/>
  <c r="P89" i="3"/>
  <c r="Q24" i="5" s="1"/>
  <c r="P84" i="3"/>
  <c r="Q19" i="5" s="1"/>
  <c r="Q20" i="6" s="1"/>
  <c r="P73" i="3"/>
  <c r="Q8" i="5" s="1"/>
  <c r="P81" i="3"/>
  <c r="Q16" i="5" s="1"/>
  <c r="P83" i="3"/>
  <c r="Q18" i="5" s="1"/>
  <c r="P80" i="3"/>
  <c r="Q15" i="5" s="1"/>
  <c r="P74" i="3"/>
  <c r="Q9" i="5" s="1"/>
  <c r="P88" i="3"/>
  <c r="Q23" i="5" s="1"/>
  <c r="P90" i="3"/>
  <c r="Q25" i="5" s="1"/>
  <c r="P72" i="3"/>
  <c r="Q7" i="5" s="1"/>
  <c r="P78" i="3"/>
  <c r="Q13" i="5" s="1"/>
  <c r="Q14" i="6" s="1"/>
  <c r="P85" i="3"/>
  <c r="Q20" i="5" s="1"/>
  <c r="Q21" i="6" s="1"/>
  <c r="P79" i="3"/>
  <c r="Q14" i="5" s="1"/>
  <c r="Q15" i="6" s="1"/>
  <c r="P75" i="3"/>
  <c r="Q10" i="5" s="1"/>
  <c r="P86" i="3"/>
  <c r="Q21" i="5" s="1"/>
  <c r="P76" i="3"/>
  <c r="Q11" i="5" s="1"/>
  <c r="P71" i="3"/>
  <c r="P82" i="3"/>
  <c r="Q17" i="5" s="1"/>
  <c r="P77" i="3"/>
  <c r="Q12" i="5" s="1"/>
  <c r="Q13" i="6" s="1"/>
  <c r="P87" i="3"/>
  <c r="Q22" i="5" s="1"/>
  <c r="P186" i="17"/>
  <c r="P237" i="17"/>
  <c r="P211" i="17"/>
  <c r="P266" i="17"/>
  <c r="N277" i="20"/>
  <c r="N273" i="20" s="1"/>
  <c r="N271" i="20"/>
  <c r="O223" i="17"/>
  <c r="O243" i="17" s="1"/>
  <c r="O252" i="17"/>
  <c r="O172" i="17"/>
  <c r="O192" i="17" s="1"/>
  <c r="O197" i="17"/>
  <c r="O217" i="17" s="1"/>
  <c r="N27" i="6"/>
  <c r="M5" i="20"/>
  <c r="R69" i="9"/>
  <c r="AV69" i="9" s="1"/>
  <c r="N32" i="6"/>
  <c r="L385" i="20"/>
  <c r="T141" i="3"/>
  <c r="T63" i="3" s="1"/>
  <c r="T166" i="3"/>
  <c r="U116" i="3"/>
  <c r="P260" i="17"/>
  <c r="P231" i="17"/>
  <c r="P205" i="17"/>
  <c r="P180" i="17"/>
  <c r="N163" i="20"/>
  <c r="N159" i="20" s="1"/>
  <c r="N157" i="20"/>
  <c r="L11" i="20"/>
  <c r="L391" i="20" s="1"/>
  <c r="AU150" i="9"/>
  <c r="N279" i="17" s="1"/>
  <c r="U111" i="3"/>
  <c r="T136" i="3"/>
  <c r="T58" i="3" s="1"/>
  <c r="T161" i="3"/>
  <c r="M3" i="21"/>
  <c r="M7" i="18"/>
  <c r="M34" i="18" s="1"/>
  <c r="M36" i="18" s="1"/>
  <c r="Q93" i="17"/>
  <c r="Q92" i="17"/>
  <c r="Q91" i="17"/>
  <c r="Q90" i="17"/>
  <c r="Q89" i="17"/>
  <c r="Q88" i="17"/>
  <c r="N5" i="16" a="1"/>
  <c r="N5" i="16" s="1"/>
  <c r="M9" i="21" s="1"/>
  <c r="N44" i="16"/>
  <c r="N47" i="16"/>
  <c r="N45" i="16"/>
  <c r="N48" i="16"/>
  <c r="N18" i="16"/>
  <c r="N40" i="16" s="1"/>
  <c r="N46" i="16"/>
  <c r="M29" i="6"/>
  <c r="Q52" i="9"/>
  <c r="AU52" i="9" s="1"/>
  <c r="Q53" i="9"/>
  <c r="AU53" i="9" s="1"/>
  <c r="O45" i="17"/>
  <c r="O48" i="17"/>
  <c r="O47" i="17"/>
  <c r="O44" i="17"/>
  <c r="O46" i="17"/>
  <c r="K12" i="21"/>
  <c r="K13" i="21" s="1"/>
  <c r="K14" i="21" s="1"/>
  <c r="AS365" i="20"/>
  <c r="P236" i="17"/>
  <c r="P265" i="17"/>
  <c r="P210" i="17"/>
  <c r="P185" i="17"/>
  <c r="N258" i="20"/>
  <c r="N254" i="20" s="1"/>
  <c r="N252" i="20"/>
  <c r="O38" i="6"/>
  <c r="P6" i="5"/>
  <c r="O67" i="3"/>
  <c r="P9" i="6"/>
  <c r="P56" i="8"/>
  <c r="P81" i="8"/>
  <c r="P31" i="8"/>
  <c r="P32" i="5"/>
  <c r="P6" i="8"/>
  <c r="O47" i="20" s="1"/>
  <c r="P269" i="17"/>
  <c r="P214" i="17"/>
  <c r="P189" i="17"/>
  <c r="P240" i="17"/>
  <c r="S82" i="9"/>
  <c r="AW82" i="9" s="1"/>
  <c r="N334" i="20" s="1"/>
  <c r="N330" i="20" s="1"/>
  <c r="N328" i="20"/>
  <c r="O40" i="6"/>
  <c r="U434" i="20"/>
  <c r="U432" i="20" s="1"/>
  <c r="Y123" i="3"/>
  <c r="X45" i="3"/>
  <c r="V105" i="3" l="1"/>
  <c r="U130" i="3"/>
  <c r="U52" i="3" s="1"/>
  <c r="U155" i="3"/>
  <c r="N44" i="6"/>
  <c r="O4" i="16"/>
  <c r="K291" i="17"/>
  <c r="K292" i="17" s="1"/>
  <c r="M285" i="17"/>
  <c r="M286" i="17" s="1"/>
  <c r="M289" i="17" s="1"/>
  <c r="S140" i="3"/>
  <c r="S62" i="3" s="1"/>
  <c r="S165" i="3"/>
  <c r="T115" i="3"/>
  <c r="L290" i="17"/>
  <c r="T162" i="3"/>
  <c r="U112" i="3"/>
  <c r="T137" i="3"/>
  <c r="T59" i="3" s="1"/>
  <c r="T142" i="3"/>
  <c r="T64" i="3" s="1"/>
  <c r="T167" i="3"/>
  <c r="U117" i="3"/>
  <c r="BE6" i="9"/>
  <c r="AB6" i="9"/>
  <c r="L289" i="17"/>
  <c r="I16" i="17"/>
  <c r="I20" i="17" s="1"/>
  <c r="H21" i="21" s="1"/>
  <c r="J13" i="17"/>
  <c r="J14" i="17" s="1"/>
  <c r="J18" i="17" s="1"/>
  <c r="J16" i="17" s="1"/>
  <c r="J20" i="17" s="1"/>
  <c r="I21" i="21" s="1"/>
  <c r="N12" i="17"/>
  <c r="N43" i="6"/>
  <c r="O60" i="17"/>
  <c r="M101" i="17"/>
  <c r="O272" i="17"/>
  <c r="O277" i="17" s="1"/>
  <c r="O273" i="17"/>
  <c r="N274" i="17"/>
  <c r="AT175" i="20"/>
  <c r="AT23" i="20"/>
  <c r="M112" i="17"/>
  <c r="M113" i="17"/>
  <c r="M104" i="17"/>
  <c r="M118" i="17"/>
  <c r="M107" i="17"/>
  <c r="M99" i="17"/>
  <c r="M102" i="17"/>
  <c r="M105" i="17"/>
  <c r="M111" i="17"/>
  <c r="M100" i="17"/>
  <c r="M103" i="17"/>
  <c r="M106" i="17"/>
  <c r="M115" i="17"/>
  <c r="M109" i="17"/>
  <c r="W11" i="18"/>
  <c r="W44" i="18" s="1"/>
  <c r="M108" i="17"/>
  <c r="AT156" i="20"/>
  <c r="M110" i="17"/>
  <c r="AP459" i="20"/>
  <c r="AT308" i="20"/>
  <c r="M8" i="17"/>
  <c r="M116" i="17"/>
  <c r="O58" i="17"/>
  <c r="AT118" i="20"/>
  <c r="M117" i="17"/>
  <c r="AT270" i="20"/>
  <c r="Q94" i="17"/>
  <c r="N111" i="17" s="1"/>
  <c r="AT99" i="20"/>
  <c r="AT80" i="20"/>
  <c r="AT232" i="20"/>
  <c r="AT327" i="20"/>
  <c r="AT251" i="20"/>
  <c r="AT61" i="20"/>
  <c r="AT194" i="20"/>
  <c r="AT289" i="20"/>
  <c r="AT137" i="20"/>
  <c r="N10" i="17"/>
  <c r="N11" i="17" s="1"/>
  <c r="N245" i="17"/>
  <c r="N246" i="17" s="1"/>
  <c r="D289" i="20"/>
  <c r="BP289" i="20"/>
  <c r="O24" i="8"/>
  <c r="N9" i="20"/>
  <c r="Q11" i="6"/>
  <c r="Q58" i="8"/>
  <c r="Q33" i="8"/>
  <c r="Q83" i="8"/>
  <c r="Q34" i="5"/>
  <c r="Q8" i="8"/>
  <c r="P85" i="20" s="1"/>
  <c r="V13" i="18"/>
  <c r="V46" i="18" s="1"/>
  <c r="Q68" i="8"/>
  <c r="Q43" i="8"/>
  <c r="Q93" i="8"/>
  <c r="Q18" i="8"/>
  <c r="P275" i="20" s="1"/>
  <c r="Q44" i="5"/>
  <c r="BP156" i="20"/>
  <c r="D156" i="20"/>
  <c r="BP251" i="20"/>
  <c r="D251" i="20"/>
  <c r="BQ80" i="20"/>
  <c r="E80" i="20"/>
  <c r="BQ232" i="20"/>
  <c r="E232" i="20"/>
  <c r="AT365" i="20"/>
  <c r="L7" i="20"/>
  <c r="L407" i="20"/>
  <c r="L405" i="20" s="1"/>
  <c r="L404" i="20" s="1"/>
  <c r="L403" i="20" s="1"/>
  <c r="AR403" i="20" s="1"/>
  <c r="AU149" i="9"/>
  <c r="N280" i="17" s="1"/>
  <c r="N278" i="17" s="1"/>
  <c r="N285" i="17" s="1"/>
  <c r="N286" i="17" s="1"/>
  <c r="V111" i="3"/>
  <c r="U161" i="3"/>
  <c r="U136" i="3"/>
  <c r="U58" i="3" s="1"/>
  <c r="Q22" i="6"/>
  <c r="Q45" i="5"/>
  <c r="Q94" i="8"/>
  <c r="Q19" i="8"/>
  <c r="P294" i="20" s="1"/>
  <c r="Q44" i="8"/>
  <c r="Q69" i="8"/>
  <c r="Q261" i="17"/>
  <c r="Q181" i="17"/>
  <c r="Q232" i="17"/>
  <c r="Q206" i="17"/>
  <c r="O176" i="20"/>
  <c r="T75" i="9"/>
  <c r="AX75" i="9" s="1"/>
  <c r="O182" i="20" s="1"/>
  <c r="O178" i="20" s="1"/>
  <c r="P36" i="6"/>
  <c r="D61" i="20"/>
  <c r="BP61" i="20"/>
  <c r="U158" i="3"/>
  <c r="U133" i="3"/>
  <c r="U55" i="3" s="1"/>
  <c r="V108" i="3"/>
  <c r="P7" i="6"/>
  <c r="P79" i="8"/>
  <c r="P99" i="8" s="1"/>
  <c r="P10" i="18" s="1"/>
  <c r="P43" i="18" s="1"/>
  <c r="P54" i="8"/>
  <c r="P74" i="8" s="1"/>
  <c r="P29" i="8"/>
  <c r="P49" i="8" s="1"/>
  <c r="P8" i="18" s="1"/>
  <c r="P41" i="18" s="1"/>
  <c r="P30" i="5"/>
  <c r="P4" i="8"/>
  <c r="M11" i="20"/>
  <c r="M391" i="20" s="1"/>
  <c r="AV150" i="9"/>
  <c r="X11" i="18" s="1"/>
  <c r="X44" i="18" s="1"/>
  <c r="Q37" i="5"/>
  <c r="Q86" i="8"/>
  <c r="Q61" i="8"/>
  <c r="Q11" i="8"/>
  <c r="P142" i="20" s="1"/>
  <c r="Q36" i="8"/>
  <c r="Q25" i="6"/>
  <c r="Q47" i="8"/>
  <c r="Q97" i="8"/>
  <c r="Q72" i="8"/>
  <c r="Q22" i="8"/>
  <c r="Q258" i="17"/>
  <c r="Q178" i="17"/>
  <c r="Q203" i="17"/>
  <c r="Q229" i="17"/>
  <c r="O125" i="20"/>
  <c r="O121" i="20" s="1"/>
  <c r="O119" i="20"/>
  <c r="P35" i="6"/>
  <c r="AC5" i="9"/>
  <c r="BF5" i="9"/>
  <c r="BP118" i="20"/>
  <c r="D118" i="20"/>
  <c r="BP327" i="20"/>
  <c r="D327" i="20"/>
  <c r="T138" i="3"/>
  <c r="T60" i="3" s="1"/>
  <c r="T163" i="3"/>
  <c r="U113" i="3"/>
  <c r="BQ23" i="20"/>
  <c r="E23" i="20"/>
  <c r="BQ289" i="20"/>
  <c r="E289" i="20"/>
  <c r="P197" i="17"/>
  <c r="P217" i="17" s="1"/>
  <c r="P252" i="17"/>
  <c r="P223" i="17"/>
  <c r="P243" i="17" s="1"/>
  <c r="P172" i="17"/>
  <c r="P192" i="17" s="1"/>
  <c r="O27" i="6"/>
  <c r="S69" i="9"/>
  <c r="AW69" i="9" s="1"/>
  <c r="N5" i="20"/>
  <c r="O32" i="6"/>
  <c r="Q270" i="17"/>
  <c r="Q241" i="17"/>
  <c r="Q190" i="17"/>
  <c r="Q215" i="17"/>
  <c r="O347" i="20"/>
  <c r="T83" i="9"/>
  <c r="AX83" i="9" s="1"/>
  <c r="T79" i="9"/>
  <c r="AX79" i="9" s="1"/>
  <c r="O366" i="20"/>
  <c r="T173" i="3"/>
  <c r="S174" i="3"/>
  <c r="V434" i="20"/>
  <c r="V432" i="20" s="1"/>
  <c r="BP99" i="20"/>
  <c r="D99" i="20"/>
  <c r="E386" i="20"/>
  <c r="F4" i="21" s="1"/>
  <c r="F5" i="21" s="1"/>
  <c r="F15" i="21" s="1"/>
  <c r="E13" i="20"/>
  <c r="BQ251" i="20"/>
  <c r="E251" i="20"/>
  <c r="Q262" i="17"/>
  <c r="Q233" i="17"/>
  <c r="Q207" i="17"/>
  <c r="Q182" i="17"/>
  <c r="T76" i="9"/>
  <c r="AX76" i="9" s="1"/>
  <c r="O201" i="20" s="1"/>
  <c r="O197" i="20" s="1"/>
  <c r="O195" i="20"/>
  <c r="D308" i="20"/>
  <c r="BP308" i="20"/>
  <c r="BQ194" i="20"/>
  <c r="E194" i="20"/>
  <c r="AT213" i="20"/>
  <c r="N3" i="21"/>
  <c r="N7" i="18"/>
  <c r="N34" i="18" s="1"/>
  <c r="N36" i="18" s="1"/>
  <c r="R92" i="17"/>
  <c r="R90" i="17"/>
  <c r="R91" i="17"/>
  <c r="R93" i="17"/>
  <c r="O44" i="16"/>
  <c r="O47" i="16"/>
  <c r="O45" i="16"/>
  <c r="R89" i="17"/>
  <c r="O48" i="16"/>
  <c r="R88" i="17"/>
  <c r="O46" i="16"/>
  <c r="O5" i="16" a="1"/>
  <c r="O5" i="16" s="1"/>
  <c r="N9" i="21" s="1"/>
  <c r="R52" i="9"/>
  <c r="AV52" i="9" s="1"/>
  <c r="R53" i="9"/>
  <c r="AV53" i="9" s="1"/>
  <c r="N29" i="6"/>
  <c r="O18" i="16"/>
  <c r="O40" i="16" s="1"/>
  <c r="P47" i="17"/>
  <c r="P45" i="17"/>
  <c r="P48" i="17"/>
  <c r="P44" i="17"/>
  <c r="P46" i="17"/>
  <c r="Q26" i="6"/>
  <c r="Q23" i="8"/>
  <c r="Q73" i="8"/>
  <c r="Q98" i="8"/>
  <c r="Q48" i="8"/>
  <c r="Q264" i="17"/>
  <c r="Q235" i="17"/>
  <c r="Q184" i="17"/>
  <c r="Q209" i="17"/>
  <c r="T78" i="9"/>
  <c r="AX78" i="9" s="1"/>
  <c r="O239" i="20" s="1"/>
  <c r="O235" i="20" s="1"/>
  <c r="O233" i="20"/>
  <c r="S164" i="3"/>
  <c r="T114" i="3"/>
  <c r="S139" i="3"/>
  <c r="S61" i="3" s="1"/>
  <c r="BP80" i="20"/>
  <c r="D80" i="20"/>
  <c r="E137" i="20"/>
  <c r="BQ137" i="20"/>
  <c r="BQ327" i="20"/>
  <c r="E327" i="20"/>
  <c r="U156" i="3"/>
  <c r="V106" i="3"/>
  <c r="U131" i="3"/>
  <c r="U53" i="3" s="1"/>
  <c r="P33" i="17"/>
  <c r="P35" i="17"/>
  <c r="P32" i="17"/>
  <c r="P34" i="17"/>
  <c r="P36" i="17"/>
  <c r="BQ175" i="20"/>
  <c r="E175" i="20"/>
  <c r="BP42" i="20"/>
  <c r="D42" i="20"/>
  <c r="O56" i="17"/>
  <c r="O51" i="17"/>
  <c r="O218" i="17"/>
  <c r="O219" i="17" s="1"/>
  <c r="O10" i="17" s="1"/>
  <c r="Q10" i="8"/>
  <c r="P123" i="20" s="1"/>
  <c r="Q60" i="8"/>
  <c r="Q36" i="5"/>
  <c r="Q85" i="8"/>
  <c r="Q35" i="8"/>
  <c r="Q24" i="6"/>
  <c r="Q71" i="8"/>
  <c r="Q46" i="8"/>
  <c r="Q96" i="8"/>
  <c r="Q47" i="5"/>
  <c r="Q21" i="8"/>
  <c r="P332" i="20" s="1"/>
  <c r="D213" i="20"/>
  <c r="BP213" i="20"/>
  <c r="Q242" i="17"/>
  <c r="Q271" i="17"/>
  <c r="Q216" i="17"/>
  <c r="Q191" i="17"/>
  <c r="F348" i="20"/>
  <c r="F355" i="20" s="1"/>
  <c r="BR346" i="20" s="1"/>
  <c r="F367" i="20"/>
  <c r="F374" i="20" s="1"/>
  <c r="BR365" i="20" s="1"/>
  <c r="F329" i="20"/>
  <c r="F336" i="20" s="1"/>
  <c r="F310" i="20"/>
  <c r="F317" i="20" s="1"/>
  <c r="F291" i="20"/>
  <c r="F298" i="20" s="1"/>
  <c r="F272" i="20"/>
  <c r="F279" i="20" s="1"/>
  <c r="F234" i="20"/>
  <c r="F241" i="20" s="1"/>
  <c r="F215" i="20"/>
  <c r="F222" i="20" s="1"/>
  <c r="F253" i="20"/>
  <c r="F260" i="20" s="1"/>
  <c r="F120" i="20"/>
  <c r="F127" i="20" s="1"/>
  <c r="F196" i="20"/>
  <c r="F203" i="20" s="1"/>
  <c r="F139" i="20"/>
  <c r="F146" i="20" s="1"/>
  <c r="F177" i="20"/>
  <c r="F184" i="20" s="1"/>
  <c r="F101" i="20"/>
  <c r="F108" i="20" s="1"/>
  <c r="F158" i="20"/>
  <c r="F165" i="20" s="1"/>
  <c r="F63" i="20"/>
  <c r="F70" i="20" s="1"/>
  <c r="F82" i="20"/>
  <c r="F89" i="20" s="1"/>
  <c r="F6" i="20"/>
  <c r="F25" i="20"/>
  <c r="F32" i="20" s="1"/>
  <c r="F44" i="20"/>
  <c r="F51" i="20" s="1"/>
  <c r="H21" i="17"/>
  <c r="G14" i="18" s="1"/>
  <c r="G47" i="18" s="1"/>
  <c r="BQ61" i="20"/>
  <c r="E61" i="20"/>
  <c r="BQ270" i="20"/>
  <c r="E270" i="20"/>
  <c r="U104" i="3"/>
  <c r="T129" i="3"/>
  <c r="T51" i="3" s="1"/>
  <c r="T154" i="3"/>
  <c r="U153" i="3"/>
  <c r="V103" i="3"/>
  <c r="U128" i="3"/>
  <c r="U50" i="3" s="1"/>
  <c r="Q17" i="6"/>
  <c r="Q14" i="8"/>
  <c r="P199" i="20" s="1"/>
  <c r="Q40" i="5"/>
  <c r="Q39" i="8"/>
  <c r="Q64" i="8"/>
  <c r="Q89" i="8"/>
  <c r="T160" i="3"/>
  <c r="U110" i="3"/>
  <c r="T135" i="3"/>
  <c r="T57" i="3" s="1"/>
  <c r="Q9" i="6"/>
  <c r="Q31" i="8"/>
  <c r="Q56" i="8"/>
  <c r="Q81" i="8"/>
  <c r="Q32" i="5"/>
  <c r="Q6" i="8"/>
  <c r="P47" i="20" s="1"/>
  <c r="Z123" i="3"/>
  <c r="Y45" i="3"/>
  <c r="Q23" i="6"/>
  <c r="Q46" i="5"/>
  <c r="Q70" i="8"/>
  <c r="Q20" i="8"/>
  <c r="P313" i="20" s="1"/>
  <c r="Q95" i="8"/>
  <c r="Q45" i="8"/>
  <c r="M8" i="21"/>
  <c r="M10" i="21" s="1"/>
  <c r="N6" i="16"/>
  <c r="O59" i="17"/>
  <c r="O9" i="17"/>
  <c r="Q18" i="6"/>
  <c r="Q15" i="8"/>
  <c r="P218" i="20" s="1"/>
  <c r="Q90" i="8"/>
  <c r="Q65" i="8"/>
  <c r="Q40" i="8"/>
  <c r="Q41" i="5"/>
  <c r="Q10" i="6"/>
  <c r="Q82" i="8"/>
  <c r="Q57" i="8"/>
  <c r="Q32" i="8"/>
  <c r="Q7" i="8"/>
  <c r="P66" i="20" s="1"/>
  <c r="Q33" i="5"/>
  <c r="T151" i="3"/>
  <c r="U101" i="3"/>
  <c r="T126" i="3"/>
  <c r="T48" i="3" s="1"/>
  <c r="Q269" i="17"/>
  <c r="Q240" i="17"/>
  <c r="Q214" i="17"/>
  <c r="Q189" i="17"/>
  <c r="T82" i="9"/>
  <c r="AX82" i="9" s="1"/>
  <c r="O334" i="20" s="1"/>
  <c r="O330" i="20" s="1"/>
  <c r="O328" i="20"/>
  <c r="P40" i="6"/>
  <c r="D175" i="20"/>
  <c r="BP175" i="20"/>
  <c r="Q231" i="17"/>
  <c r="Q260" i="17"/>
  <c r="Q205" i="17"/>
  <c r="Q180" i="17"/>
  <c r="O163" i="20"/>
  <c r="O159" i="20" s="1"/>
  <c r="O157" i="20"/>
  <c r="U157" i="3"/>
  <c r="V107" i="3"/>
  <c r="U132" i="3"/>
  <c r="U54" i="3" s="1"/>
  <c r="BQ42" i="20"/>
  <c r="E42" i="20"/>
  <c r="BQ308" i="20"/>
  <c r="E308" i="20"/>
  <c r="Q201" i="17"/>
  <c r="Q227" i="17"/>
  <c r="Q176" i="17"/>
  <c r="Q256" i="17"/>
  <c r="T73" i="9"/>
  <c r="AX73" i="9" s="1"/>
  <c r="O87" i="20" s="1"/>
  <c r="O83" i="20" s="1"/>
  <c r="O81" i="20"/>
  <c r="P34" i="6"/>
  <c r="Q259" i="17"/>
  <c r="Q230" i="17"/>
  <c r="Q179" i="17"/>
  <c r="Q204" i="17"/>
  <c r="O144" i="20"/>
  <c r="O140" i="20" s="1"/>
  <c r="O138" i="20"/>
  <c r="I19" i="17"/>
  <c r="S57" i="16"/>
  <c r="S55" i="16"/>
  <c r="S53" i="16"/>
  <c r="S56" i="16"/>
  <c r="S54" i="16"/>
  <c r="V7" i="9"/>
  <c r="AZ7" i="9" s="1"/>
  <c r="Q82" i="3"/>
  <c r="R17" i="5" s="1"/>
  <c r="Q84" i="3"/>
  <c r="R19" i="5" s="1"/>
  <c r="R20" i="6" s="1"/>
  <c r="Q73" i="3"/>
  <c r="R8" i="5" s="1"/>
  <c r="Q81" i="3"/>
  <c r="R16" i="5" s="1"/>
  <c r="Q89" i="3"/>
  <c r="R24" i="5" s="1"/>
  <c r="Q78" i="3"/>
  <c r="R13" i="5" s="1"/>
  <c r="R14" i="6" s="1"/>
  <c r="Q71" i="3"/>
  <c r="Q80" i="3"/>
  <c r="R15" i="5" s="1"/>
  <c r="Q74" i="3"/>
  <c r="R9" i="5" s="1"/>
  <c r="Q85" i="3"/>
  <c r="R20" i="5" s="1"/>
  <c r="R21" i="6" s="1"/>
  <c r="Q72" i="3"/>
  <c r="R7" i="5" s="1"/>
  <c r="Q88" i="3"/>
  <c r="R23" i="5" s="1"/>
  <c r="Q90" i="3"/>
  <c r="R25" i="5" s="1"/>
  <c r="Q79" i="3"/>
  <c r="R14" i="5" s="1"/>
  <c r="R15" i="6" s="1"/>
  <c r="Q76" i="3"/>
  <c r="R11" i="5" s="1"/>
  <c r="Q75" i="3"/>
  <c r="R10" i="5" s="1"/>
  <c r="Q83" i="3"/>
  <c r="R18" i="5" s="1"/>
  <c r="Q77" i="3"/>
  <c r="R12" i="5" s="1"/>
  <c r="R13" i="6" s="1"/>
  <c r="Q87" i="3"/>
  <c r="R22" i="5" s="1"/>
  <c r="Q86" i="3"/>
  <c r="R21" i="5" s="1"/>
  <c r="R188" i="3"/>
  <c r="R176" i="3"/>
  <c r="R183" i="3"/>
  <c r="R180" i="3"/>
  <c r="R193" i="3"/>
  <c r="R177" i="3"/>
  <c r="R185" i="3"/>
  <c r="R190" i="3"/>
  <c r="R182" i="3"/>
  <c r="R187" i="3"/>
  <c r="R179" i="3"/>
  <c r="R192" i="3"/>
  <c r="R184" i="3"/>
  <c r="R191" i="3"/>
  <c r="R178" i="3"/>
  <c r="R189" i="3"/>
  <c r="R186" i="3"/>
  <c r="R181" i="3"/>
  <c r="R194" i="3"/>
  <c r="R70" i="3"/>
  <c r="R175" i="3"/>
  <c r="BQ213" i="20"/>
  <c r="E213" i="20"/>
  <c r="Q17" i="8"/>
  <c r="P256" i="20" s="1"/>
  <c r="Q67" i="8"/>
  <c r="Q42" i="8"/>
  <c r="Q92" i="8"/>
  <c r="Q43" i="5"/>
  <c r="Q267" i="17"/>
  <c r="Q238" i="17"/>
  <c r="Q187" i="17"/>
  <c r="Q212" i="17"/>
  <c r="O290" i="20"/>
  <c r="T80" i="9"/>
  <c r="AX80" i="9" s="1"/>
  <c r="O296" i="20" s="1"/>
  <c r="O292" i="20" s="1"/>
  <c r="W134" i="3"/>
  <c r="W56" i="3" s="1"/>
  <c r="X109" i="3"/>
  <c r="W159" i="3"/>
  <c r="M385" i="20"/>
  <c r="N49" i="16"/>
  <c r="Q6" i="5"/>
  <c r="P67" i="3"/>
  <c r="Q16" i="6"/>
  <c r="Q38" i="8"/>
  <c r="Q63" i="8"/>
  <c r="Q88" i="8"/>
  <c r="Q39" i="5"/>
  <c r="Q13" i="8"/>
  <c r="P180" i="20" s="1"/>
  <c r="Q263" i="17"/>
  <c r="Q208" i="17"/>
  <c r="Q234" i="17"/>
  <c r="Q183" i="17"/>
  <c r="O214" i="20"/>
  <c r="T77" i="9"/>
  <c r="AX77" i="9" s="1"/>
  <c r="O220" i="20" s="1"/>
  <c r="O216" i="20" s="1"/>
  <c r="P37" i="6"/>
  <c r="AT42" i="20"/>
  <c r="BP194" i="20"/>
  <c r="D194" i="20"/>
  <c r="BQ156" i="20"/>
  <c r="E156" i="20"/>
  <c r="U127" i="3"/>
  <c r="U49" i="3" s="1"/>
  <c r="V102" i="3"/>
  <c r="U152" i="3"/>
  <c r="D386" i="20"/>
  <c r="E4" i="21" s="1"/>
  <c r="E5" i="21" s="1"/>
  <c r="E15" i="21" s="1"/>
  <c r="D13" i="20"/>
  <c r="AT346" i="20"/>
  <c r="R58" i="16"/>
  <c r="Q8" i="6"/>
  <c r="Q5" i="8"/>
  <c r="P28" i="20" s="1"/>
  <c r="Q30" i="8"/>
  <c r="Q31" i="5"/>
  <c r="Q55" i="8"/>
  <c r="Q80" i="8"/>
  <c r="U166" i="3"/>
  <c r="U141" i="3"/>
  <c r="U63" i="3" s="1"/>
  <c r="V116" i="3"/>
  <c r="Q19" i="6"/>
  <c r="Q42" i="5"/>
  <c r="Q91" i="8"/>
  <c r="Q41" i="8"/>
  <c r="Q16" i="8"/>
  <c r="P237" i="20" s="1"/>
  <c r="Q66" i="8"/>
  <c r="Q228" i="17"/>
  <c r="Q202" i="17"/>
  <c r="Q257" i="17"/>
  <c r="Q177" i="17"/>
  <c r="T74" i="9"/>
  <c r="AX74" i="9" s="1"/>
  <c r="O106" i="20" s="1"/>
  <c r="O102" i="20" s="1"/>
  <c r="O100" i="20"/>
  <c r="BP137" i="20"/>
  <c r="D137" i="20"/>
  <c r="AD125" i="3"/>
  <c r="AC47" i="3"/>
  <c r="BQ118" i="20"/>
  <c r="E118" i="20"/>
  <c r="Q254" i="17"/>
  <c r="Q199" i="17"/>
  <c r="Q225" i="17"/>
  <c r="Q174" i="17"/>
  <c r="T71" i="9"/>
  <c r="AX71" i="9" s="1"/>
  <c r="O49" i="20" s="1"/>
  <c r="O45" i="20" s="1"/>
  <c r="O43" i="20"/>
  <c r="Q38" i="5"/>
  <c r="Q62" i="8"/>
  <c r="Q12" i="8"/>
  <c r="P161" i="20" s="1"/>
  <c r="Q37" i="8"/>
  <c r="Q87" i="8"/>
  <c r="BP270" i="20"/>
  <c r="D270" i="20"/>
  <c r="L119" i="17"/>
  <c r="O57" i="17"/>
  <c r="Q12" i="6"/>
  <c r="Q35" i="5"/>
  <c r="Q59" i="8"/>
  <c r="Q9" i="8"/>
  <c r="P104" i="20" s="1"/>
  <c r="Q34" i="8"/>
  <c r="Q84" i="8"/>
  <c r="P443" i="20"/>
  <c r="P441" i="20" s="1"/>
  <c r="M389" i="20"/>
  <c r="N7" i="21" s="1"/>
  <c r="N63" i="17"/>
  <c r="N64" i="17" s="1"/>
  <c r="N65" i="17"/>
  <c r="Q237" i="17"/>
  <c r="Q211" i="17"/>
  <c r="Q266" i="17"/>
  <c r="Q186" i="17"/>
  <c r="O277" i="20"/>
  <c r="O273" i="20" s="1"/>
  <c r="O271" i="20"/>
  <c r="BP23" i="20"/>
  <c r="D23" i="20"/>
  <c r="BP232" i="20"/>
  <c r="D232" i="20"/>
  <c r="Q255" i="17"/>
  <c r="Q175" i="17"/>
  <c r="Q226" i="17"/>
  <c r="Q200" i="17"/>
  <c r="T72" i="9"/>
  <c r="AX72" i="9" s="1"/>
  <c r="O68" i="20" s="1"/>
  <c r="O64" i="20" s="1"/>
  <c r="O62" i="20"/>
  <c r="AQ4" i="20"/>
  <c r="K387" i="20"/>
  <c r="Q253" i="17"/>
  <c r="Q198" i="17"/>
  <c r="Q224" i="17"/>
  <c r="Q173" i="17"/>
  <c r="T70" i="9"/>
  <c r="AX70" i="9" s="1"/>
  <c r="O30" i="20" s="1"/>
  <c r="O26" i="20" s="1"/>
  <c r="O24" i="20"/>
  <c r="P33" i="6"/>
  <c r="BQ99" i="20"/>
  <c r="E99" i="20"/>
  <c r="L12" i="21"/>
  <c r="L13" i="21" s="1"/>
  <c r="L14" i="21" s="1"/>
  <c r="Q236" i="17"/>
  <c r="Q185" i="17"/>
  <c r="Q265" i="17"/>
  <c r="Q210" i="17"/>
  <c r="O258" i="20"/>
  <c r="O254" i="20" s="1"/>
  <c r="O252" i="20"/>
  <c r="P38" i="6"/>
  <c r="Q268" i="17"/>
  <c r="Q239" i="17"/>
  <c r="Q213" i="17"/>
  <c r="Q188" i="17"/>
  <c r="T81" i="9"/>
  <c r="AX81" i="9" s="1"/>
  <c r="O315" i="20" s="1"/>
  <c r="O311" i="20" s="1"/>
  <c r="O309" i="20"/>
  <c r="P39" i="6"/>
  <c r="O39" i="17"/>
  <c r="V155" i="3" l="1"/>
  <c r="W105" i="3"/>
  <c r="V130" i="3"/>
  <c r="V52" i="3" s="1"/>
  <c r="O44" i="6"/>
  <c r="P4" i="16"/>
  <c r="K13" i="17"/>
  <c r="K14" i="17" s="1"/>
  <c r="K18" i="17" s="1"/>
  <c r="K16" i="17" s="1"/>
  <c r="K20" i="17" s="1"/>
  <c r="J21" i="21" s="1"/>
  <c r="L291" i="17"/>
  <c r="L292" i="17" s="1"/>
  <c r="I17" i="17"/>
  <c r="J15" i="17"/>
  <c r="J17" i="17" s="1"/>
  <c r="M288" i="17"/>
  <c r="M290" i="17"/>
  <c r="U137" i="3"/>
  <c r="U59" i="3" s="1"/>
  <c r="U162" i="3"/>
  <c r="V112" i="3"/>
  <c r="AC6" i="9"/>
  <c r="BF6" i="9"/>
  <c r="T165" i="3"/>
  <c r="T140" i="3"/>
  <c r="T62" i="3" s="1"/>
  <c r="U115" i="3"/>
  <c r="V117" i="3"/>
  <c r="U142" i="3"/>
  <c r="U64" i="3" s="1"/>
  <c r="U167" i="3"/>
  <c r="O43" i="6"/>
  <c r="O12" i="17"/>
  <c r="N108" i="17"/>
  <c r="N116" i="17"/>
  <c r="N8" i="17"/>
  <c r="N110" i="17"/>
  <c r="P272" i="17"/>
  <c r="P277" i="17" s="1"/>
  <c r="P273" i="17"/>
  <c r="N100" i="17"/>
  <c r="N114" i="17"/>
  <c r="O274" i="17"/>
  <c r="N105" i="17"/>
  <c r="N109" i="17"/>
  <c r="AU118" i="20"/>
  <c r="AU175" i="20"/>
  <c r="AU289" i="20"/>
  <c r="P60" i="17"/>
  <c r="AU80" i="20"/>
  <c r="M119" i="17"/>
  <c r="O279" i="17"/>
  <c r="P9" i="17"/>
  <c r="N103" i="17"/>
  <c r="N112" i="17"/>
  <c r="AU327" i="20"/>
  <c r="N106" i="17"/>
  <c r="N115" i="17"/>
  <c r="N101" i="17"/>
  <c r="N118" i="17"/>
  <c r="N104" i="17"/>
  <c r="N107" i="17"/>
  <c r="AU232" i="20"/>
  <c r="AU42" i="20"/>
  <c r="N113" i="17"/>
  <c r="N99" i="17"/>
  <c r="N117" i="17"/>
  <c r="AU308" i="20"/>
  <c r="N102" i="17"/>
  <c r="AU137" i="20"/>
  <c r="P59" i="17"/>
  <c r="AU23" i="20"/>
  <c r="M7" i="20"/>
  <c r="AS4" i="20" s="1"/>
  <c r="AU99" i="20"/>
  <c r="AU61" i="20"/>
  <c r="AU156" i="20"/>
  <c r="W13" i="18"/>
  <c r="W46" i="18" s="1"/>
  <c r="AU251" i="20"/>
  <c r="AU213" i="20"/>
  <c r="M12" i="21"/>
  <c r="M13" i="21" s="1"/>
  <c r="M14" i="21" s="1"/>
  <c r="N289" i="17"/>
  <c r="N288" i="17"/>
  <c r="N290" i="17"/>
  <c r="R228" i="17"/>
  <c r="R202" i="17"/>
  <c r="R257" i="17"/>
  <c r="R177" i="17"/>
  <c r="U74" i="9"/>
  <c r="AY74" i="9" s="1"/>
  <c r="P106" i="20" s="1"/>
  <c r="P102" i="20" s="1"/>
  <c r="P100" i="20"/>
  <c r="R265" i="17"/>
  <c r="R210" i="17"/>
  <c r="R236" i="17"/>
  <c r="R185" i="17"/>
  <c r="P258" i="20"/>
  <c r="P254" i="20" s="1"/>
  <c r="P252" i="20"/>
  <c r="Q38" i="6"/>
  <c r="R10" i="6"/>
  <c r="R82" i="8"/>
  <c r="R32" i="8"/>
  <c r="R7" i="8"/>
  <c r="Q66" i="20" s="1"/>
  <c r="R33" i="5"/>
  <c r="R57" i="8"/>
  <c r="R18" i="6"/>
  <c r="R40" i="8"/>
  <c r="R41" i="5"/>
  <c r="R90" i="8"/>
  <c r="R15" i="8"/>
  <c r="Q218" i="20" s="1"/>
  <c r="R65" i="8"/>
  <c r="G367" i="20"/>
  <c r="G374" i="20" s="1"/>
  <c r="BS365" i="20" s="1"/>
  <c r="G272" i="20"/>
  <c r="G279" i="20" s="1"/>
  <c r="G348" i="20"/>
  <c r="G355" i="20" s="1"/>
  <c r="BS346" i="20" s="1"/>
  <c r="G329" i="20"/>
  <c r="G336" i="20" s="1"/>
  <c r="G310" i="20"/>
  <c r="G317" i="20" s="1"/>
  <c r="G215" i="20"/>
  <c r="G222" i="20" s="1"/>
  <c r="G253" i="20"/>
  <c r="G260" i="20" s="1"/>
  <c r="G291" i="20"/>
  <c r="G298" i="20" s="1"/>
  <c r="G234" i="20"/>
  <c r="G241" i="20" s="1"/>
  <c r="G139" i="20"/>
  <c r="G146" i="20" s="1"/>
  <c r="G196" i="20"/>
  <c r="G203" i="20" s="1"/>
  <c r="G158" i="20"/>
  <c r="G165" i="20" s="1"/>
  <c r="G120" i="20"/>
  <c r="G127" i="20" s="1"/>
  <c r="G177" i="20"/>
  <c r="G184" i="20" s="1"/>
  <c r="G63" i="20"/>
  <c r="G70" i="20" s="1"/>
  <c r="G101" i="20"/>
  <c r="G108" i="20" s="1"/>
  <c r="G6" i="20"/>
  <c r="G44" i="20"/>
  <c r="G51" i="20" s="1"/>
  <c r="G25" i="20"/>
  <c r="G32" i="20" s="1"/>
  <c r="G82" i="20"/>
  <c r="G89" i="20" s="1"/>
  <c r="I21" i="17"/>
  <c r="H14" i="18" s="1"/>
  <c r="H47" i="18" s="1"/>
  <c r="R254" i="17"/>
  <c r="R199" i="17"/>
  <c r="R225" i="17"/>
  <c r="R174" i="17"/>
  <c r="U71" i="9"/>
  <c r="AY71" i="9" s="1"/>
  <c r="P49" i="20" s="1"/>
  <c r="P45" i="20" s="1"/>
  <c r="P43" i="20"/>
  <c r="V128" i="3"/>
  <c r="V50" i="3" s="1"/>
  <c r="V153" i="3"/>
  <c r="W103" i="3"/>
  <c r="F386" i="20"/>
  <c r="G4" i="21" s="1"/>
  <c r="G5" i="21" s="1"/>
  <c r="G15" i="21" s="1"/>
  <c r="F13" i="20"/>
  <c r="BR270" i="20"/>
  <c r="F270" i="20"/>
  <c r="R260" i="17"/>
  <c r="R231" i="17"/>
  <c r="R180" i="17"/>
  <c r="R205" i="17"/>
  <c r="P163" i="20"/>
  <c r="P159" i="20" s="1"/>
  <c r="P157" i="20"/>
  <c r="R23" i="6"/>
  <c r="R95" i="8"/>
  <c r="R70" i="8"/>
  <c r="R20" i="8"/>
  <c r="Q313" i="20" s="1"/>
  <c r="R45" i="8"/>
  <c r="R46" i="5"/>
  <c r="R16" i="6"/>
  <c r="R39" i="5"/>
  <c r="R38" i="8"/>
  <c r="R88" i="8"/>
  <c r="R63" i="8"/>
  <c r="R13" i="8"/>
  <c r="Q180" i="20" s="1"/>
  <c r="BR80" i="20"/>
  <c r="F80" i="20"/>
  <c r="F289" i="20"/>
  <c r="BR289" i="20"/>
  <c r="P58" i="17"/>
  <c r="V161" i="3"/>
  <c r="V136" i="3"/>
  <c r="V58" i="3" s="1"/>
  <c r="W111" i="3"/>
  <c r="R237" i="17"/>
  <c r="R211" i="17"/>
  <c r="R266" i="17"/>
  <c r="R186" i="17"/>
  <c r="P277" i="20"/>
  <c r="P273" i="20" s="1"/>
  <c r="P271" i="20"/>
  <c r="N389" i="20"/>
  <c r="O7" i="21" s="1"/>
  <c r="X134" i="3"/>
  <c r="X56" i="3" s="1"/>
  <c r="X159" i="3"/>
  <c r="Y109" i="3"/>
  <c r="R22" i="6"/>
  <c r="R45" i="5"/>
  <c r="R44" i="8"/>
  <c r="R94" i="8"/>
  <c r="R19" i="8"/>
  <c r="Q294" i="20" s="1"/>
  <c r="R69" i="8"/>
  <c r="R271" i="17"/>
  <c r="R242" i="17"/>
  <c r="R216" i="17"/>
  <c r="R191" i="17"/>
  <c r="R94" i="17"/>
  <c r="AU346" i="20"/>
  <c r="R259" i="17"/>
  <c r="R204" i="17"/>
  <c r="R230" i="17"/>
  <c r="R179" i="17"/>
  <c r="P138" i="20"/>
  <c r="P144" i="20"/>
  <c r="P140" i="20" s="1"/>
  <c r="V127" i="3"/>
  <c r="V49" i="3" s="1"/>
  <c r="V152" i="3"/>
  <c r="W102" i="3"/>
  <c r="R181" i="17"/>
  <c r="R261" i="17"/>
  <c r="R232" i="17"/>
  <c r="R206" i="17"/>
  <c r="P176" i="20"/>
  <c r="U75" i="9"/>
  <c r="AY75" i="9" s="1"/>
  <c r="P182" i="20" s="1"/>
  <c r="P178" i="20" s="1"/>
  <c r="Q36" i="6"/>
  <c r="R36" i="5"/>
  <c r="R35" i="8"/>
  <c r="R60" i="8"/>
  <c r="R10" i="8"/>
  <c r="Q123" i="20" s="1"/>
  <c r="R85" i="8"/>
  <c r="U135" i="3"/>
  <c r="U57" i="3" s="1"/>
  <c r="U160" i="3"/>
  <c r="V110" i="3"/>
  <c r="BR61" i="20"/>
  <c r="F61" i="20"/>
  <c r="F308" i="20"/>
  <c r="BR308" i="20"/>
  <c r="R258" i="17"/>
  <c r="R178" i="17"/>
  <c r="R229" i="17"/>
  <c r="R203" i="17"/>
  <c r="P125" i="20"/>
  <c r="P121" i="20" s="1"/>
  <c r="P119" i="20"/>
  <c r="Q35" i="6"/>
  <c r="P51" i="17"/>
  <c r="P56" i="17"/>
  <c r="P218" i="17"/>
  <c r="P219" i="17" s="1"/>
  <c r="V158" i="3"/>
  <c r="V133" i="3"/>
  <c r="V55" i="3" s="1"/>
  <c r="W108" i="3"/>
  <c r="Q33" i="17"/>
  <c r="Q35" i="17"/>
  <c r="Q32" i="17"/>
  <c r="Q34" i="17"/>
  <c r="Q36" i="17"/>
  <c r="BR232" i="20"/>
  <c r="F232" i="20"/>
  <c r="U126" i="3"/>
  <c r="U48" i="3" s="1"/>
  <c r="V101" i="3"/>
  <c r="U151" i="3"/>
  <c r="BR156" i="20"/>
  <c r="F156" i="20"/>
  <c r="T55" i="16"/>
  <c r="T53" i="16"/>
  <c r="T56" i="16"/>
  <c r="T54" i="16"/>
  <c r="T57" i="16"/>
  <c r="W7" i="9"/>
  <c r="BA7" i="9" s="1"/>
  <c r="R87" i="3"/>
  <c r="S22" i="5" s="1"/>
  <c r="R81" i="3"/>
  <c r="S16" i="5" s="1"/>
  <c r="R89" i="3"/>
  <c r="S24" i="5" s="1"/>
  <c r="R78" i="3"/>
  <c r="S13" i="5" s="1"/>
  <c r="S14" i="6" s="1"/>
  <c r="R71" i="3"/>
  <c r="R86" i="3"/>
  <c r="S21" i="5" s="1"/>
  <c r="R76" i="3"/>
  <c r="S11" i="5" s="1"/>
  <c r="R88" i="3"/>
  <c r="S23" i="5" s="1"/>
  <c r="R77" i="3"/>
  <c r="S12" i="5" s="1"/>
  <c r="S13" i="6" s="1"/>
  <c r="R85" i="3"/>
  <c r="S20" i="5" s="1"/>
  <c r="S21" i="6" s="1"/>
  <c r="R72" i="3"/>
  <c r="S7" i="5" s="1"/>
  <c r="R79" i="3"/>
  <c r="S14" i="5" s="1"/>
  <c r="S15" i="6" s="1"/>
  <c r="R84" i="3"/>
  <c r="S19" i="5" s="1"/>
  <c r="S20" i="6" s="1"/>
  <c r="R75" i="3"/>
  <c r="S10" i="5" s="1"/>
  <c r="R73" i="3"/>
  <c r="S8" i="5" s="1"/>
  <c r="R80" i="3"/>
  <c r="S15" i="5" s="1"/>
  <c r="R83" i="3"/>
  <c r="S18" i="5" s="1"/>
  <c r="R82" i="3"/>
  <c r="S17" i="5" s="1"/>
  <c r="R74" i="3"/>
  <c r="S9" i="5" s="1"/>
  <c r="R90" i="3"/>
  <c r="S25" i="5" s="1"/>
  <c r="R19" i="6"/>
  <c r="R91" i="8"/>
  <c r="R41" i="8"/>
  <c r="R66" i="8"/>
  <c r="R16" i="8"/>
  <c r="Q237" i="20" s="1"/>
  <c r="R42" i="5"/>
  <c r="R263" i="17"/>
  <c r="R208" i="17"/>
  <c r="R234" i="17"/>
  <c r="R183" i="17"/>
  <c r="U77" i="9"/>
  <c r="AY77" i="9" s="1"/>
  <c r="P220" i="20" s="1"/>
  <c r="P216" i="20" s="1"/>
  <c r="P214" i="20"/>
  <c r="Q37" i="6"/>
  <c r="V104" i="3"/>
  <c r="U129" i="3"/>
  <c r="U51" i="3" s="1"/>
  <c r="U154" i="3"/>
  <c r="BR99" i="20"/>
  <c r="F99" i="20"/>
  <c r="P57" i="17"/>
  <c r="W434" i="20"/>
  <c r="W432" i="20" s="1"/>
  <c r="AE125" i="3"/>
  <c r="AE47" i="3" s="1"/>
  <c r="AD47" i="3"/>
  <c r="R11" i="6"/>
  <c r="R83" i="8"/>
  <c r="R58" i="8"/>
  <c r="R33" i="8"/>
  <c r="R34" i="5"/>
  <c r="R8" i="8"/>
  <c r="Q85" i="20" s="1"/>
  <c r="R6" i="5"/>
  <c r="Q67" i="3"/>
  <c r="Q443" i="20"/>
  <c r="Q441" i="20" s="1"/>
  <c r="O11" i="17"/>
  <c r="AA123" i="3"/>
  <c r="Z45" i="3"/>
  <c r="BR175" i="20"/>
  <c r="F175" i="20"/>
  <c r="N8" i="21"/>
  <c r="N10" i="21" s="1"/>
  <c r="O6" i="16"/>
  <c r="AD5" i="9"/>
  <c r="BG5" i="9"/>
  <c r="P24" i="8"/>
  <c r="O9" i="20"/>
  <c r="BR23" i="20"/>
  <c r="F23" i="20"/>
  <c r="Q7" i="6"/>
  <c r="Q79" i="8"/>
  <c r="Q99" i="8" s="1"/>
  <c r="Q10" i="18" s="1"/>
  <c r="Q43" i="18" s="1"/>
  <c r="Q29" i="8"/>
  <c r="Q49" i="8" s="1"/>
  <c r="Q8" i="18" s="1"/>
  <c r="Q41" i="18" s="1"/>
  <c r="Q30" i="5"/>
  <c r="Q54" i="8"/>
  <c r="Q74" i="8" s="1"/>
  <c r="Q4" i="8"/>
  <c r="R12" i="6"/>
  <c r="R9" i="8"/>
  <c r="Q104" i="20" s="1"/>
  <c r="R34" i="8"/>
  <c r="R35" i="5"/>
  <c r="R59" i="8"/>
  <c r="R84" i="8"/>
  <c r="R37" i="5"/>
  <c r="R86" i="8"/>
  <c r="R11" i="8"/>
  <c r="Q142" i="20" s="1"/>
  <c r="R36" i="8"/>
  <c r="R61" i="8"/>
  <c r="F137" i="20"/>
  <c r="BR137" i="20"/>
  <c r="P39" i="17"/>
  <c r="S193" i="3"/>
  <c r="S181" i="3"/>
  <c r="S188" i="3"/>
  <c r="S180" i="3"/>
  <c r="S177" i="3"/>
  <c r="S185" i="3"/>
  <c r="S190" i="3"/>
  <c r="S182" i="3"/>
  <c r="S187" i="3"/>
  <c r="S179" i="3"/>
  <c r="S70" i="3"/>
  <c r="S192" i="3"/>
  <c r="S184" i="3"/>
  <c r="S176" i="3"/>
  <c r="S189" i="3"/>
  <c r="S183" i="3"/>
  <c r="S191" i="3"/>
  <c r="S178" i="3"/>
  <c r="S186" i="3"/>
  <c r="S194" i="3"/>
  <c r="S175" i="3"/>
  <c r="AU194" i="20"/>
  <c r="R241" i="17"/>
  <c r="R190" i="17"/>
  <c r="R270" i="17"/>
  <c r="R215" i="17"/>
  <c r="U83" i="9"/>
  <c r="AY83" i="9" s="1"/>
  <c r="U79" i="9"/>
  <c r="AY79" i="9" s="1"/>
  <c r="P366" i="20"/>
  <c r="P347" i="20"/>
  <c r="AR4" i="20"/>
  <c r="L387" i="20"/>
  <c r="R93" i="8"/>
  <c r="R68" i="8"/>
  <c r="R43" i="8"/>
  <c r="R18" i="8"/>
  <c r="Q275" i="20" s="1"/>
  <c r="R44" i="5"/>
  <c r="R268" i="17"/>
  <c r="R213" i="17"/>
  <c r="R188" i="17"/>
  <c r="R239" i="17"/>
  <c r="U81" i="9"/>
  <c r="AY81" i="9" s="1"/>
  <c r="P315" i="20" s="1"/>
  <c r="P311" i="20" s="1"/>
  <c r="P309" i="20"/>
  <c r="Q39" i="6"/>
  <c r="R253" i="17"/>
  <c r="R224" i="17"/>
  <c r="R198" i="17"/>
  <c r="R173" i="17"/>
  <c r="U70" i="9"/>
  <c r="AY70" i="9" s="1"/>
  <c r="P30" i="20" s="1"/>
  <c r="P26" i="20" s="1"/>
  <c r="P24" i="20"/>
  <c r="Q33" i="6"/>
  <c r="J19" i="17"/>
  <c r="R62" i="8"/>
  <c r="R37" i="8"/>
  <c r="R12" i="8"/>
  <c r="Q161" i="20" s="1"/>
  <c r="R87" i="8"/>
  <c r="R38" i="5"/>
  <c r="R25" i="6"/>
  <c r="R97" i="8"/>
  <c r="R47" i="8"/>
  <c r="R22" i="8"/>
  <c r="R72" i="8"/>
  <c r="BR194" i="20"/>
  <c r="F194" i="20"/>
  <c r="O65" i="17"/>
  <c r="O63" i="17"/>
  <c r="O64" i="17" s="1"/>
  <c r="O49" i="16"/>
  <c r="T174" i="3"/>
  <c r="U173" i="3"/>
  <c r="U138" i="3"/>
  <c r="U60" i="3" s="1"/>
  <c r="U163" i="3"/>
  <c r="V113" i="3"/>
  <c r="W116" i="3"/>
  <c r="V141" i="3"/>
  <c r="V63" i="3" s="1"/>
  <c r="V166" i="3"/>
  <c r="AQ384" i="20"/>
  <c r="AQ459" i="20"/>
  <c r="BR327" i="20"/>
  <c r="F327" i="20"/>
  <c r="R26" i="6"/>
  <c r="R23" i="8"/>
  <c r="R48" i="8"/>
  <c r="R98" i="8"/>
  <c r="R73" i="8"/>
  <c r="R17" i="6"/>
  <c r="R40" i="5"/>
  <c r="R14" i="8"/>
  <c r="Q199" i="20" s="1"/>
  <c r="R89" i="8"/>
  <c r="R64" i="8"/>
  <c r="R39" i="8"/>
  <c r="S58" i="16"/>
  <c r="W107" i="3"/>
  <c r="V157" i="3"/>
  <c r="V132" i="3"/>
  <c r="V54" i="3" s="1"/>
  <c r="BR118" i="20"/>
  <c r="F118" i="20"/>
  <c r="R269" i="17"/>
  <c r="R240" i="17"/>
  <c r="R214" i="17"/>
  <c r="R189" i="17"/>
  <c r="P328" i="20"/>
  <c r="U82" i="9"/>
  <c r="AY82" i="9" s="1"/>
  <c r="P334" i="20" s="1"/>
  <c r="P330" i="20" s="1"/>
  <c r="Q40" i="6"/>
  <c r="T164" i="3"/>
  <c r="U114" i="3"/>
  <c r="T139" i="3"/>
  <c r="T61" i="3" s="1"/>
  <c r="BQ4" i="20"/>
  <c r="E4" i="20"/>
  <c r="E384" i="20" s="1"/>
  <c r="E459" i="20" s="1"/>
  <c r="E393" i="20"/>
  <c r="BQ384" i="20" s="1"/>
  <c r="N385" i="20"/>
  <c r="R256" i="17"/>
  <c r="R201" i="17"/>
  <c r="R176" i="17"/>
  <c r="R227" i="17"/>
  <c r="U73" i="9"/>
  <c r="AY73" i="9" s="1"/>
  <c r="P87" i="20" s="1"/>
  <c r="P83" i="20" s="1"/>
  <c r="P81" i="20"/>
  <c r="Q34" i="6"/>
  <c r="R264" i="17"/>
  <c r="R235" i="17"/>
  <c r="R209" i="17"/>
  <c r="R184" i="17"/>
  <c r="U78" i="9"/>
  <c r="AY78" i="9" s="1"/>
  <c r="P239" i="20" s="1"/>
  <c r="P235" i="20" s="1"/>
  <c r="P233" i="20"/>
  <c r="AU270" i="20"/>
  <c r="R24" i="6"/>
  <c r="R21" i="8"/>
  <c r="Q332" i="20" s="1"/>
  <c r="R96" i="8"/>
  <c r="R46" i="8"/>
  <c r="R71" i="8"/>
  <c r="R47" i="5"/>
  <c r="R9" i="6"/>
  <c r="R81" i="8"/>
  <c r="R56" i="8"/>
  <c r="R31" i="8"/>
  <c r="R32" i="5"/>
  <c r="R6" i="8"/>
  <c r="Q47" i="20" s="1"/>
  <c r="R262" i="17"/>
  <c r="R233" i="17"/>
  <c r="R207" i="17"/>
  <c r="R182" i="17"/>
  <c r="U76" i="9"/>
  <c r="AY76" i="9" s="1"/>
  <c r="P201" i="20" s="1"/>
  <c r="P197" i="20" s="1"/>
  <c r="P195" i="20"/>
  <c r="BR251" i="20"/>
  <c r="F251" i="20"/>
  <c r="M407" i="20"/>
  <c r="M405" i="20" s="1"/>
  <c r="M404" i="20" s="1"/>
  <c r="M403" i="20" s="1"/>
  <c r="AS403" i="20" s="1"/>
  <c r="AV149" i="9"/>
  <c r="O280" i="17" s="1"/>
  <c r="AU365" i="20"/>
  <c r="N11" i="20"/>
  <c r="N391" i="20" s="1"/>
  <c r="AW150" i="9"/>
  <c r="P279" i="17" s="1"/>
  <c r="O245" i="17"/>
  <c r="O246" i="17" s="1"/>
  <c r="D4" i="20"/>
  <c r="D384" i="20" s="1"/>
  <c r="D459" i="20" s="1"/>
  <c r="BP4" i="20"/>
  <c r="D393" i="20"/>
  <c r="BP384" i="20" s="1"/>
  <c r="R8" i="6"/>
  <c r="R5" i="8"/>
  <c r="Q28" i="20" s="1"/>
  <c r="R55" i="8"/>
  <c r="R31" i="5"/>
  <c r="R80" i="8"/>
  <c r="R30" i="8"/>
  <c r="R17" i="8"/>
  <c r="Q256" i="20" s="1"/>
  <c r="R92" i="8"/>
  <c r="R42" i="8"/>
  <c r="R43" i="5"/>
  <c r="R67" i="8"/>
  <c r="R175" i="17"/>
  <c r="R255" i="17"/>
  <c r="R226" i="17"/>
  <c r="R200" i="17"/>
  <c r="P62" i="20"/>
  <c r="U72" i="9"/>
  <c r="AY72" i="9" s="1"/>
  <c r="P68" i="20" s="1"/>
  <c r="P64" i="20" s="1"/>
  <c r="BR42" i="20"/>
  <c r="F42" i="20"/>
  <c r="BR213" i="20"/>
  <c r="F213" i="20"/>
  <c r="V156" i="3"/>
  <c r="V131" i="3"/>
  <c r="V53" i="3" s="1"/>
  <c r="W106" i="3"/>
  <c r="O3" i="21"/>
  <c r="O7" i="18"/>
  <c r="O34" i="18" s="1"/>
  <c r="O36" i="18" s="1"/>
  <c r="S91" i="17"/>
  <c r="S88" i="17"/>
  <c r="S93" i="17"/>
  <c r="S89" i="17"/>
  <c r="P47" i="16"/>
  <c r="P45" i="16"/>
  <c r="P48" i="16"/>
  <c r="P18" i="16"/>
  <c r="P40" i="16" s="1"/>
  <c r="S90" i="17"/>
  <c r="P5" i="16" a="1"/>
  <c r="P5" i="16" s="1"/>
  <c r="O9" i="21" s="1"/>
  <c r="S92" i="17"/>
  <c r="P46" i="16"/>
  <c r="P44" i="16"/>
  <c r="O29" i="6"/>
  <c r="S53" i="9"/>
  <c r="AW53" i="9" s="1"/>
  <c r="S52" i="9"/>
  <c r="AW52" i="9" s="1"/>
  <c r="Q48" i="17"/>
  <c r="Q44" i="17"/>
  <c r="Q47" i="17"/>
  <c r="Q45" i="17"/>
  <c r="Q46" i="17"/>
  <c r="Q252" i="17"/>
  <c r="Q172" i="17"/>
  <c r="Q192" i="17" s="1"/>
  <c r="Q197" i="17"/>
  <c r="Q217" i="17" s="1"/>
  <c r="Q223" i="17"/>
  <c r="Q243" i="17" s="1"/>
  <c r="P27" i="6"/>
  <c r="T69" i="9"/>
  <c r="AX69" i="9" s="1"/>
  <c r="O5" i="20"/>
  <c r="P32" i="6"/>
  <c r="R267" i="17"/>
  <c r="R187" i="17"/>
  <c r="R238" i="17"/>
  <c r="R212" i="17"/>
  <c r="P290" i="20"/>
  <c r="U80" i="9"/>
  <c r="AY80" i="9" s="1"/>
  <c r="P296" i="20" s="1"/>
  <c r="P292" i="20" s="1"/>
  <c r="X105" i="3" l="1"/>
  <c r="W130" i="3"/>
  <c r="W52" i="3" s="1"/>
  <c r="W155" i="3"/>
  <c r="P44" i="6"/>
  <c r="Q4" i="16"/>
  <c r="L13" i="17"/>
  <c r="L14" i="17" s="1"/>
  <c r="L18" i="17" s="1"/>
  <c r="L16" i="17" s="1"/>
  <c r="L20" i="17" s="1"/>
  <c r="K21" i="21" s="1"/>
  <c r="K15" i="17"/>
  <c r="K17" i="17" s="1"/>
  <c r="M291" i="17"/>
  <c r="M292" i="17" s="1"/>
  <c r="W117" i="3"/>
  <c r="V142" i="3"/>
  <c r="V64" i="3" s="1"/>
  <c r="V167" i="3"/>
  <c r="U140" i="3"/>
  <c r="U62" i="3" s="1"/>
  <c r="U165" i="3"/>
  <c r="V115" i="3"/>
  <c r="AD6" i="9"/>
  <c r="BG6" i="9"/>
  <c r="W112" i="3"/>
  <c r="V137" i="3"/>
  <c r="V59" i="3" s="1"/>
  <c r="V162" i="3"/>
  <c r="P12" i="17"/>
  <c r="O278" i="17"/>
  <c r="O285" i="17" s="1"/>
  <c r="O286" i="17" s="1"/>
  <c r="O289" i="17" s="1"/>
  <c r="AV137" i="20"/>
  <c r="P43" i="6"/>
  <c r="Q272" i="17"/>
  <c r="Q277" i="17" s="1"/>
  <c r="Q273" i="17"/>
  <c r="P274" i="17"/>
  <c r="AV175" i="20"/>
  <c r="AV42" i="20"/>
  <c r="AV194" i="20"/>
  <c r="AV99" i="20"/>
  <c r="AV289" i="20"/>
  <c r="M387" i="20"/>
  <c r="AS384" i="20" s="1"/>
  <c r="AV270" i="20"/>
  <c r="Q59" i="17"/>
  <c r="N119" i="17"/>
  <c r="Q57" i="17"/>
  <c r="N12" i="21"/>
  <c r="N13" i="21" s="1"/>
  <c r="N14" i="21" s="1"/>
  <c r="AV251" i="20"/>
  <c r="AV308" i="20"/>
  <c r="AV213" i="20"/>
  <c r="Q60" i="17"/>
  <c r="AV23" i="20"/>
  <c r="AV118" i="20"/>
  <c r="X13" i="18"/>
  <c r="X46" i="18" s="1"/>
  <c r="AV156" i="20"/>
  <c r="P49" i="16"/>
  <c r="AV232" i="20"/>
  <c r="AV80" i="20"/>
  <c r="N291" i="17"/>
  <c r="N292" i="17" s="1"/>
  <c r="P10" i="17"/>
  <c r="P11" i="17" s="1"/>
  <c r="P245" i="17"/>
  <c r="P246" i="17" s="1"/>
  <c r="S235" i="17"/>
  <c r="S264" i="17"/>
  <c r="S184" i="17"/>
  <c r="S209" i="17"/>
  <c r="V78" i="9"/>
  <c r="AZ78" i="9" s="1"/>
  <c r="Q239" i="20" s="1"/>
  <c r="Q235" i="20" s="1"/>
  <c r="Q233" i="20"/>
  <c r="S36" i="5"/>
  <c r="S60" i="8"/>
  <c r="S85" i="8"/>
  <c r="S10" i="8"/>
  <c r="R123" i="20" s="1"/>
  <c r="S35" i="8"/>
  <c r="Q39" i="17"/>
  <c r="BS118" i="20"/>
  <c r="G118" i="20"/>
  <c r="S226" i="17"/>
  <c r="S255" i="17"/>
  <c r="S200" i="17"/>
  <c r="S175" i="17"/>
  <c r="V72" i="9"/>
  <c r="AZ72" i="9" s="1"/>
  <c r="Q68" i="20" s="1"/>
  <c r="Q64" i="20" s="1"/>
  <c r="Q62" i="20"/>
  <c r="H367" i="20"/>
  <c r="H374" i="20" s="1"/>
  <c r="H348" i="20"/>
  <c r="H355" i="20" s="1"/>
  <c r="BT346" i="20" s="1"/>
  <c r="H310" i="20"/>
  <c r="H317" i="20" s="1"/>
  <c r="H329" i="20"/>
  <c r="H336" i="20" s="1"/>
  <c r="H272" i="20"/>
  <c r="H279" i="20" s="1"/>
  <c r="H291" i="20"/>
  <c r="H298" i="20" s="1"/>
  <c r="H215" i="20"/>
  <c r="H222" i="20" s="1"/>
  <c r="H196" i="20"/>
  <c r="H203" i="20" s="1"/>
  <c r="H234" i="20"/>
  <c r="H241" i="20" s="1"/>
  <c r="H253" i="20"/>
  <c r="H260" i="20" s="1"/>
  <c r="H177" i="20"/>
  <c r="H184" i="20" s="1"/>
  <c r="H120" i="20"/>
  <c r="H127" i="20" s="1"/>
  <c r="H158" i="20"/>
  <c r="H165" i="20" s="1"/>
  <c r="H139" i="20"/>
  <c r="H146" i="20" s="1"/>
  <c r="H63" i="20"/>
  <c r="H70" i="20" s="1"/>
  <c r="H101" i="20"/>
  <c r="H108" i="20" s="1"/>
  <c r="H6" i="20"/>
  <c r="H44" i="20"/>
  <c r="H51" i="20" s="1"/>
  <c r="H25" i="20"/>
  <c r="H32" i="20" s="1"/>
  <c r="H82" i="20"/>
  <c r="H89" i="20" s="1"/>
  <c r="J21" i="17"/>
  <c r="I14" i="18" s="1"/>
  <c r="I47" i="18" s="1"/>
  <c r="R252" i="17"/>
  <c r="R172" i="17"/>
  <c r="R192" i="17" s="1"/>
  <c r="R197" i="17"/>
  <c r="R217" i="17" s="1"/>
  <c r="R223" i="17"/>
  <c r="R243" i="17" s="1"/>
  <c r="U69" i="9"/>
  <c r="AY69" i="9" s="1"/>
  <c r="Q27" i="6"/>
  <c r="P5" i="20"/>
  <c r="Q32" i="6"/>
  <c r="S26" i="6"/>
  <c r="S23" i="8"/>
  <c r="S73" i="8"/>
  <c r="S98" i="8"/>
  <c r="S48" i="8"/>
  <c r="S24" i="6"/>
  <c r="S21" i="8"/>
  <c r="R332" i="20" s="1"/>
  <c r="S46" i="8"/>
  <c r="S71" i="8"/>
  <c r="S96" i="8"/>
  <c r="S47" i="5"/>
  <c r="N7" i="20"/>
  <c r="S261" i="17"/>
  <c r="S232" i="17"/>
  <c r="S206" i="17"/>
  <c r="S181" i="17"/>
  <c r="Q176" i="20"/>
  <c r="V75" i="9"/>
  <c r="AZ75" i="9" s="1"/>
  <c r="Q182" i="20" s="1"/>
  <c r="Q178" i="20" s="1"/>
  <c r="R36" i="6"/>
  <c r="BS156" i="20"/>
  <c r="G156" i="20"/>
  <c r="U55" i="16"/>
  <c r="U53" i="16"/>
  <c r="U56" i="16"/>
  <c r="U54" i="16"/>
  <c r="U57" i="16"/>
  <c r="S80" i="3"/>
  <c r="T15" i="5" s="1"/>
  <c r="S89" i="3"/>
  <c r="T24" i="5" s="1"/>
  <c r="S78" i="3"/>
  <c r="T13" i="5" s="1"/>
  <c r="T14" i="6" s="1"/>
  <c r="S71" i="3"/>
  <c r="S86" i="3"/>
  <c r="T21" i="5" s="1"/>
  <c r="S76" i="3"/>
  <c r="T11" i="5" s="1"/>
  <c r="S83" i="3"/>
  <c r="T18" i="5" s="1"/>
  <c r="X7" i="9"/>
  <c r="BB7" i="9" s="1"/>
  <c r="S85" i="3"/>
  <c r="T20" i="5" s="1"/>
  <c r="T21" i="6" s="1"/>
  <c r="S72" i="3"/>
  <c r="T7" i="5" s="1"/>
  <c r="S82" i="3"/>
  <c r="T17" i="5" s="1"/>
  <c r="S77" i="3"/>
  <c r="T12" i="5" s="1"/>
  <c r="T13" i="6" s="1"/>
  <c r="S90" i="3"/>
  <c r="T25" i="5" s="1"/>
  <c r="S84" i="3"/>
  <c r="T19" i="5" s="1"/>
  <c r="T20" i="6" s="1"/>
  <c r="S75" i="3"/>
  <c r="T10" i="5" s="1"/>
  <c r="S88" i="3"/>
  <c r="T23" i="5" s="1"/>
  <c r="S79" i="3"/>
  <c r="T14" i="5" s="1"/>
  <c r="T15" i="6" s="1"/>
  <c r="S74" i="3"/>
  <c r="T9" i="5" s="1"/>
  <c r="S87" i="3"/>
  <c r="T22" i="5" s="1"/>
  <c r="S81" i="3"/>
  <c r="T16" i="5" s="1"/>
  <c r="S73" i="3"/>
  <c r="T8" i="5" s="1"/>
  <c r="Q218" i="17"/>
  <c r="Q219" i="17" s="1"/>
  <c r="S94" i="17"/>
  <c r="R7" i="6"/>
  <c r="R29" i="8"/>
  <c r="R49" i="8" s="1"/>
  <c r="R8" i="18" s="1"/>
  <c r="R41" i="18" s="1"/>
  <c r="R30" i="5"/>
  <c r="R54" i="8"/>
  <c r="R74" i="8" s="1"/>
  <c r="R4" i="8"/>
  <c r="R79" i="8"/>
  <c r="R99" i="8" s="1"/>
  <c r="R10" i="18" s="1"/>
  <c r="R43" i="18" s="1"/>
  <c r="S10" i="6"/>
  <c r="S57" i="8"/>
  <c r="S7" i="8"/>
  <c r="R66" i="20" s="1"/>
  <c r="S33" i="5"/>
  <c r="S82" i="8"/>
  <c r="S32" i="8"/>
  <c r="S12" i="6"/>
  <c r="S59" i="8"/>
  <c r="S9" i="8"/>
  <c r="R104" i="20" s="1"/>
  <c r="S84" i="8"/>
  <c r="S34" i="8"/>
  <c r="S35" i="5"/>
  <c r="BS194" i="20"/>
  <c r="G194" i="20"/>
  <c r="S18" i="8"/>
  <c r="R275" i="20" s="1"/>
  <c r="S93" i="8"/>
  <c r="S68" i="8"/>
  <c r="S43" i="8"/>
  <c r="S44" i="5"/>
  <c r="BS270" i="20"/>
  <c r="G270" i="20"/>
  <c r="S260" i="17"/>
  <c r="S231" i="17"/>
  <c r="S180" i="17"/>
  <c r="S205" i="17"/>
  <c r="Q163" i="20"/>
  <c r="Q159" i="20" s="1"/>
  <c r="Q157" i="20"/>
  <c r="V163" i="3"/>
  <c r="V138" i="3"/>
  <c r="V60" i="3" s="1"/>
  <c r="W113" i="3"/>
  <c r="AV61" i="20"/>
  <c r="S257" i="17"/>
  <c r="S228" i="17"/>
  <c r="S202" i="17"/>
  <c r="S177" i="17"/>
  <c r="V74" i="9"/>
  <c r="AZ74" i="9" s="1"/>
  <c r="Q106" i="20" s="1"/>
  <c r="Q102" i="20" s="1"/>
  <c r="Q100" i="20"/>
  <c r="S18" i="6"/>
  <c r="S41" i="5"/>
  <c r="S90" i="8"/>
  <c r="S40" i="8"/>
  <c r="S65" i="8"/>
  <c r="S15" i="8"/>
  <c r="R218" i="20" s="1"/>
  <c r="S22" i="6"/>
  <c r="S45" i="5"/>
  <c r="S69" i="8"/>
  <c r="S19" i="8"/>
  <c r="R294" i="20" s="1"/>
  <c r="S94" i="8"/>
  <c r="S44" i="8"/>
  <c r="W133" i="3"/>
  <c r="W55" i="3" s="1"/>
  <c r="W158" i="3"/>
  <c r="X108" i="3"/>
  <c r="BS137" i="20"/>
  <c r="G137" i="20"/>
  <c r="Y11" i="18"/>
  <c r="Y44" i="18" s="1"/>
  <c r="AR384" i="20"/>
  <c r="AR459" i="20"/>
  <c r="Q58" i="17"/>
  <c r="S210" i="17"/>
  <c r="S236" i="17"/>
  <c r="S185" i="17"/>
  <c r="S265" i="17"/>
  <c r="Q258" i="20"/>
  <c r="Q254" i="20" s="1"/>
  <c r="Q252" i="20"/>
  <c r="R38" i="6"/>
  <c r="AV346" i="20"/>
  <c r="S19" i="6"/>
  <c r="S16" i="8"/>
  <c r="R237" i="20" s="1"/>
  <c r="S42" i="5"/>
  <c r="S66" i="8"/>
  <c r="S91" i="8"/>
  <c r="S41" i="8"/>
  <c r="S6" i="5"/>
  <c r="R67" i="3"/>
  <c r="BR4" i="20"/>
  <c r="F4" i="20"/>
  <c r="F384" i="20" s="1"/>
  <c r="F459" i="20" s="1"/>
  <c r="F393" i="20"/>
  <c r="BR384" i="20" s="1"/>
  <c r="BS232" i="20"/>
  <c r="G232" i="20"/>
  <c r="AV365" i="20"/>
  <c r="S16" i="6"/>
  <c r="S88" i="8"/>
  <c r="S39" i="5"/>
  <c r="S38" i="8"/>
  <c r="S63" i="8"/>
  <c r="S13" i="8"/>
  <c r="R180" i="20" s="1"/>
  <c r="S37" i="5"/>
  <c r="S61" i="8"/>
  <c r="S11" i="8"/>
  <c r="R142" i="20" s="1"/>
  <c r="S36" i="8"/>
  <c r="S86" i="8"/>
  <c r="V126" i="3"/>
  <c r="V48" i="3" s="1"/>
  <c r="W101" i="3"/>
  <c r="V151" i="3"/>
  <c r="BS80" i="20"/>
  <c r="G80" i="20"/>
  <c r="G289" i="20"/>
  <c r="BS289" i="20"/>
  <c r="K19" i="17"/>
  <c r="AV327" i="20"/>
  <c r="V129" i="3"/>
  <c r="V51" i="3" s="1"/>
  <c r="V154" i="3"/>
  <c r="W104" i="3"/>
  <c r="S240" i="17"/>
  <c r="S269" i="17"/>
  <c r="S189" i="17"/>
  <c r="S214" i="17"/>
  <c r="Q328" i="20"/>
  <c r="V82" i="9"/>
  <c r="AZ82" i="9" s="1"/>
  <c r="Q334" i="20" s="1"/>
  <c r="Q330" i="20" s="1"/>
  <c r="R40" i="6"/>
  <c r="U174" i="3"/>
  <c r="V173" i="3"/>
  <c r="S241" i="17"/>
  <c r="S270" i="17"/>
  <c r="S215" i="17"/>
  <c r="S190" i="17"/>
  <c r="Q366" i="20"/>
  <c r="V83" i="9"/>
  <c r="AZ83" i="9" s="1"/>
  <c r="V79" i="9"/>
  <c r="AZ79" i="9" s="1"/>
  <c r="Q347" i="20"/>
  <c r="S9" i="6"/>
  <c r="S81" i="8"/>
  <c r="S56" i="8"/>
  <c r="S31" i="8"/>
  <c r="S6" i="8"/>
  <c r="R47" i="20" s="1"/>
  <c r="S32" i="5"/>
  <c r="S25" i="6"/>
  <c r="S22" i="8"/>
  <c r="S47" i="8"/>
  <c r="S97" i="8"/>
  <c r="S72" i="8"/>
  <c r="R443" i="20"/>
  <c r="R441" i="20" s="1"/>
  <c r="W153" i="3"/>
  <c r="X103" i="3"/>
  <c r="W128" i="3"/>
  <c r="W50" i="3" s="1"/>
  <c r="BS23" i="20"/>
  <c r="G23" i="20"/>
  <c r="BS251" i="20"/>
  <c r="G251" i="20"/>
  <c r="S263" i="17"/>
  <c r="S234" i="17"/>
  <c r="S208" i="17"/>
  <c r="S183" i="17"/>
  <c r="Q214" i="20"/>
  <c r="V77" i="9"/>
  <c r="AZ77" i="9" s="1"/>
  <c r="Q220" i="20" s="1"/>
  <c r="Q216" i="20" s="1"/>
  <c r="R37" i="6"/>
  <c r="S254" i="17"/>
  <c r="S199" i="17"/>
  <c r="S225" i="17"/>
  <c r="S174" i="17"/>
  <c r="Q43" i="20"/>
  <c r="V71" i="9"/>
  <c r="AZ71" i="9" s="1"/>
  <c r="Q49" i="20" s="1"/>
  <c r="Q45" i="20" s="1"/>
  <c r="W166" i="3"/>
  <c r="W141" i="3"/>
  <c r="W63" i="3" s="1"/>
  <c r="X116" i="3"/>
  <c r="Q9" i="17"/>
  <c r="Q51" i="17"/>
  <c r="Q56" i="17"/>
  <c r="O389" i="20"/>
  <c r="P7" i="21" s="1"/>
  <c r="AB123" i="3"/>
  <c r="AA45" i="3"/>
  <c r="S11" i="6"/>
  <c r="S58" i="8"/>
  <c r="S34" i="5"/>
  <c r="S33" i="8"/>
  <c r="S83" i="8"/>
  <c r="S8" i="8"/>
  <c r="R85" i="20" s="1"/>
  <c r="S40" i="5"/>
  <c r="S17" i="6"/>
  <c r="S14" i="8"/>
  <c r="R199" i="20" s="1"/>
  <c r="S39" i="8"/>
  <c r="S64" i="8"/>
  <c r="S89" i="8"/>
  <c r="S258" i="17"/>
  <c r="S203" i="17"/>
  <c r="S229" i="17"/>
  <c r="S178" i="17"/>
  <c r="Q125" i="20"/>
  <c r="Q121" i="20" s="1"/>
  <c r="Q119" i="20"/>
  <c r="R35" i="6"/>
  <c r="W127" i="3"/>
  <c r="W49" i="3" s="1"/>
  <c r="W152" i="3"/>
  <c r="X102" i="3"/>
  <c r="S239" i="17"/>
  <c r="S268" i="17"/>
  <c r="S213" i="17"/>
  <c r="S188" i="17"/>
  <c r="Q309" i="20"/>
  <c r="V81" i="9"/>
  <c r="AZ81" i="9" s="1"/>
  <c r="Q315" i="20" s="1"/>
  <c r="Q311" i="20" s="1"/>
  <c r="R39" i="6"/>
  <c r="BS42" i="20"/>
  <c r="G42" i="20"/>
  <c r="BS213" i="20"/>
  <c r="G213" i="20"/>
  <c r="BS175" i="20"/>
  <c r="G175" i="20"/>
  <c r="S233" i="17"/>
  <c r="S207" i="17"/>
  <c r="S262" i="17"/>
  <c r="S182" i="17"/>
  <c r="V76" i="9"/>
  <c r="AZ76" i="9" s="1"/>
  <c r="Q201" i="20" s="1"/>
  <c r="Q197" i="20" s="1"/>
  <c r="Q195" i="20"/>
  <c r="V114" i="3"/>
  <c r="U164" i="3"/>
  <c r="U139" i="3"/>
  <c r="U61" i="3" s="1"/>
  <c r="T186" i="3"/>
  <c r="T177" i="3"/>
  <c r="T193" i="3"/>
  <c r="T185" i="3"/>
  <c r="T190" i="3"/>
  <c r="T182" i="3"/>
  <c r="T187" i="3"/>
  <c r="T179" i="3"/>
  <c r="T192" i="3"/>
  <c r="T184" i="3"/>
  <c r="T176" i="3"/>
  <c r="T189" i="3"/>
  <c r="T70" i="3"/>
  <c r="T181" i="3"/>
  <c r="T191" i="3"/>
  <c r="T178" i="3"/>
  <c r="T194" i="3"/>
  <c r="T180" i="3"/>
  <c r="T175" i="3"/>
  <c r="T188" i="3"/>
  <c r="T183" i="3"/>
  <c r="Q24" i="8"/>
  <c r="P9" i="20"/>
  <c r="R35" i="17"/>
  <c r="R32" i="17"/>
  <c r="R34" i="17"/>
  <c r="R36" i="17"/>
  <c r="R33" i="17"/>
  <c r="S176" i="17"/>
  <c r="S227" i="17"/>
  <c r="S256" i="17"/>
  <c r="S201" i="17"/>
  <c r="Q81" i="20"/>
  <c r="V73" i="9"/>
  <c r="AZ73" i="9" s="1"/>
  <c r="Q87" i="20" s="1"/>
  <c r="Q83" i="20" s="1"/>
  <c r="R34" i="6"/>
  <c r="S17" i="8"/>
  <c r="R256" i="20" s="1"/>
  <c r="S43" i="5"/>
  <c r="S67" i="8"/>
  <c r="S92" i="8"/>
  <c r="S42" i="8"/>
  <c r="S23" i="6"/>
  <c r="S20" i="8"/>
  <c r="R313" i="20" s="1"/>
  <c r="S45" i="8"/>
  <c r="S70" i="8"/>
  <c r="S46" i="5"/>
  <c r="S95" i="8"/>
  <c r="S267" i="17"/>
  <c r="S238" i="17"/>
  <c r="S212" i="17"/>
  <c r="S187" i="17"/>
  <c r="V80" i="9"/>
  <c r="AZ80" i="9" s="1"/>
  <c r="Q296" i="20" s="1"/>
  <c r="Q292" i="20" s="1"/>
  <c r="Q290" i="20"/>
  <c r="G386" i="20"/>
  <c r="H4" i="21" s="1"/>
  <c r="H5" i="21" s="1"/>
  <c r="H15" i="21" s="1"/>
  <c r="G13" i="20"/>
  <c r="G308" i="20"/>
  <c r="BS308" i="20"/>
  <c r="O385" i="20"/>
  <c r="N407" i="20"/>
  <c r="N405" i="20" s="1"/>
  <c r="N404" i="20" s="1"/>
  <c r="N403" i="20" s="1"/>
  <c r="AT403" i="20" s="1"/>
  <c r="AW149" i="9"/>
  <c r="P280" i="17" s="1"/>
  <c r="P278" i="17" s="1"/>
  <c r="P285" i="17" s="1"/>
  <c r="P286" i="17" s="1"/>
  <c r="O8" i="21"/>
  <c r="O10" i="21" s="1"/>
  <c r="P6" i="16"/>
  <c r="W131" i="3"/>
  <c r="W53" i="3" s="1"/>
  <c r="X106" i="3"/>
  <c r="W156" i="3"/>
  <c r="S259" i="17"/>
  <c r="S204" i="17"/>
  <c r="S230" i="17"/>
  <c r="S179" i="17"/>
  <c r="Q144" i="20"/>
  <c r="Q140" i="20" s="1"/>
  <c r="Q138" i="20"/>
  <c r="X434" i="20"/>
  <c r="X432" i="20" s="1"/>
  <c r="S12" i="8"/>
  <c r="R161" i="20" s="1"/>
  <c r="S87" i="8"/>
  <c r="S38" i="5"/>
  <c r="S37" i="8"/>
  <c r="S62" i="8"/>
  <c r="P63" i="17"/>
  <c r="P64" i="17" s="1"/>
  <c r="P65" i="17"/>
  <c r="W161" i="3"/>
  <c r="W136" i="3"/>
  <c r="W58" i="3" s="1"/>
  <c r="X111" i="3"/>
  <c r="BS99" i="20"/>
  <c r="G99" i="20"/>
  <c r="BS327" i="20"/>
  <c r="G327" i="20"/>
  <c r="P3" i="21"/>
  <c r="P7" i="18"/>
  <c r="P34" i="18" s="1"/>
  <c r="P36" i="18" s="1"/>
  <c r="T91" i="17"/>
  <c r="T88" i="17"/>
  <c r="T89" i="17"/>
  <c r="Q47" i="16"/>
  <c r="Q45" i="16"/>
  <c r="Q48" i="16"/>
  <c r="Q5" i="16" a="1"/>
  <c r="Q5" i="16" s="1"/>
  <c r="P9" i="21" s="1"/>
  <c r="T90" i="17"/>
  <c r="T92" i="17"/>
  <c r="Q46" i="16"/>
  <c r="T93" i="17"/>
  <c r="Q44" i="16"/>
  <c r="P29" i="6"/>
  <c r="T53" i="9"/>
  <c r="AX53" i="9" s="1"/>
  <c r="T52" i="9"/>
  <c r="AX52" i="9" s="1"/>
  <c r="Q18" i="16"/>
  <c r="Q40" i="16" s="1"/>
  <c r="R45" i="17"/>
  <c r="R48" i="17"/>
  <c r="R44" i="17"/>
  <c r="R47" i="17"/>
  <c r="R46" i="17"/>
  <c r="O11" i="20"/>
  <c r="O391" i="20" s="1"/>
  <c r="AX150" i="9"/>
  <c r="Z11" i="18" s="1"/>
  <c r="Z44" i="18" s="1"/>
  <c r="S224" i="17"/>
  <c r="S253" i="17"/>
  <c r="S173" i="17"/>
  <c r="S198" i="17"/>
  <c r="V70" i="9"/>
  <c r="AZ70" i="9" s="1"/>
  <c r="Q30" i="20" s="1"/>
  <c r="Q26" i="20" s="1"/>
  <c r="Q24" i="20"/>
  <c r="R33" i="6"/>
  <c r="X107" i="3"/>
  <c r="W132" i="3"/>
  <c r="W54" i="3" s="1"/>
  <c r="W157" i="3"/>
  <c r="S242" i="17"/>
  <c r="S216" i="17"/>
  <c r="S271" i="17"/>
  <c r="S191" i="17"/>
  <c r="S237" i="17"/>
  <c r="S266" i="17"/>
  <c r="S211" i="17"/>
  <c r="S186" i="17"/>
  <c r="Q277" i="20"/>
  <c r="Q273" i="20" s="1"/>
  <c r="Q271" i="20"/>
  <c r="AE5" i="9"/>
  <c r="BH5" i="9"/>
  <c r="S8" i="6"/>
  <c r="S5" i="8"/>
  <c r="R28" i="20" s="1"/>
  <c r="S80" i="8"/>
  <c r="S30" i="8"/>
  <c r="S31" i="5"/>
  <c r="S55" i="8"/>
  <c r="T58" i="16"/>
  <c r="V135" i="3"/>
  <c r="V57" i="3" s="1"/>
  <c r="W110" i="3"/>
  <c r="V160" i="3"/>
  <c r="O116" i="17"/>
  <c r="O113" i="17"/>
  <c r="O110" i="17"/>
  <c r="O107" i="17"/>
  <c r="O104" i="17"/>
  <c r="O101" i="17"/>
  <c r="O114" i="17"/>
  <c r="O115" i="17"/>
  <c r="O111" i="17"/>
  <c r="O112" i="17"/>
  <c r="O117" i="17"/>
  <c r="O108" i="17"/>
  <c r="O106" i="17"/>
  <c r="O105" i="17"/>
  <c r="O103" i="17"/>
  <c r="O102" i="17"/>
  <c r="O100" i="17"/>
  <c r="O118" i="17"/>
  <c r="O109" i="17"/>
  <c r="O8" i="17"/>
  <c r="O99" i="17"/>
  <c r="Y159" i="3"/>
  <c r="Z109" i="3"/>
  <c r="Y134" i="3"/>
  <c r="Y56" i="3" s="1"/>
  <c r="G61" i="20"/>
  <c r="BS61" i="20"/>
  <c r="X155" i="3" l="1"/>
  <c r="Y105" i="3"/>
  <c r="X130" i="3"/>
  <c r="X52" i="3" s="1"/>
  <c r="Q44" i="6"/>
  <c r="R4" i="16"/>
  <c r="M13" i="17"/>
  <c r="M14" i="17" s="1"/>
  <c r="M18" i="17" s="1"/>
  <c r="M15" i="17" s="1"/>
  <c r="L15" i="17"/>
  <c r="L17" i="17" s="1"/>
  <c r="AE6" i="9"/>
  <c r="BH6" i="9"/>
  <c r="W162" i="3"/>
  <c r="W137" i="3"/>
  <c r="W59" i="3" s="1"/>
  <c r="X112" i="3"/>
  <c r="V140" i="3"/>
  <c r="V62" i="3" s="1"/>
  <c r="W115" i="3"/>
  <c r="V165" i="3"/>
  <c r="W142" i="3"/>
  <c r="W64" i="3" s="1"/>
  <c r="X117" i="3"/>
  <c r="W167" i="3"/>
  <c r="O288" i="17"/>
  <c r="O290" i="17"/>
  <c r="AW42" i="20"/>
  <c r="Q12" i="17"/>
  <c r="Q43" i="6"/>
  <c r="AS459" i="20"/>
  <c r="R272" i="17"/>
  <c r="R277" i="17" s="1"/>
  <c r="R273" i="17"/>
  <c r="Q274" i="17"/>
  <c r="AW80" i="20"/>
  <c r="AW156" i="20"/>
  <c r="AW99" i="20"/>
  <c r="AW327" i="20"/>
  <c r="AW175" i="20"/>
  <c r="AW251" i="20"/>
  <c r="AW194" i="20"/>
  <c r="AW118" i="20"/>
  <c r="AW270" i="20"/>
  <c r="AW289" i="20"/>
  <c r="AW61" i="20"/>
  <c r="N13" i="17"/>
  <c r="N14" i="17" s="1"/>
  <c r="N18" i="17" s="1"/>
  <c r="N16" i="17" s="1"/>
  <c r="N20" i="17" s="1"/>
  <c r="M21" i="21" s="1"/>
  <c r="AW232" i="20"/>
  <c r="AW23" i="20"/>
  <c r="AW213" i="20"/>
  <c r="R9" i="17"/>
  <c r="R59" i="17"/>
  <c r="R58" i="17"/>
  <c r="AW137" i="20"/>
  <c r="R57" i="17"/>
  <c r="AW308" i="20"/>
  <c r="U58" i="16"/>
  <c r="Q10" i="17"/>
  <c r="Q11" i="17" s="1"/>
  <c r="Q245" i="17"/>
  <c r="Q246" i="17" s="1"/>
  <c r="P289" i="17"/>
  <c r="P288" i="17"/>
  <c r="P290" i="17"/>
  <c r="V174" i="3"/>
  <c r="W173" i="3"/>
  <c r="T10" i="6"/>
  <c r="T33" i="5"/>
  <c r="T57" i="8"/>
  <c r="T7" i="8"/>
  <c r="S66" i="20" s="1"/>
  <c r="T32" i="8"/>
  <c r="T82" i="8"/>
  <c r="S443" i="20"/>
  <c r="S441" i="20" s="1"/>
  <c r="BT156" i="20"/>
  <c r="H156" i="20"/>
  <c r="BT365" i="20"/>
  <c r="H397" i="20"/>
  <c r="U191" i="3"/>
  <c r="U179" i="3"/>
  <c r="U193" i="3"/>
  <c r="U185" i="3"/>
  <c r="U190" i="3"/>
  <c r="U182" i="3"/>
  <c r="U187" i="3"/>
  <c r="U192" i="3"/>
  <c r="U184" i="3"/>
  <c r="U176" i="3"/>
  <c r="U189" i="3"/>
  <c r="U70" i="3"/>
  <c r="U181" i="3"/>
  <c r="U194" i="3"/>
  <c r="U178" i="3"/>
  <c r="U177" i="3"/>
  <c r="U186" i="3"/>
  <c r="U180" i="3"/>
  <c r="U175" i="3"/>
  <c r="U188" i="3"/>
  <c r="U183" i="3"/>
  <c r="T228" i="17"/>
  <c r="T257" i="17"/>
  <c r="T177" i="17"/>
  <c r="T202" i="17"/>
  <c r="W74" i="9"/>
  <c r="BA74" i="9" s="1"/>
  <c r="R106" i="20" s="1"/>
  <c r="R102" i="20" s="1"/>
  <c r="R100" i="20"/>
  <c r="S252" i="17"/>
  <c r="S223" i="17"/>
  <c r="S243" i="17" s="1"/>
  <c r="S172" i="17"/>
  <c r="S192" i="17" s="1"/>
  <c r="S197" i="17"/>
  <c r="S217" i="17" s="1"/>
  <c r="R27" i="6"/>
  <c r="V69" i="9"/>
  <c r="AZ69" i="9" s="1"/>
  <c r="Q5" i="20"/>
  <c r="R32" i="6"/>
  <c r="T37" i="8"/>
  <c r="T62" i="8"/>
  <c r="T38" i="5"/>
  <c r="T87" i="8"/>
  <c r="T12" i="8"/>
  <c r="S161" i="20" s="1"/>
  <c r="T19" i="6"/>
  <c r="T41" i="8"/>
  <c r="T91" i="8"/>
  <c r="T16" i="8"/>
  <c r="S237" i="20" s="1"/>
  <c r="T66" i="8"/>
  <c r="T42" i="5"/>
  <c r="T240" i="17"/>
  <c r="T269" i="17"/>
  <c r="T214" i="17"/>
  <c r="T189" i="17"/>
  <c r="W82" i="9"/>
  <c r="BA82" i="9" s="1"/>
  <c r="R334" i="20" s="1"/>
  <c r="R330" i="20" s="1"/>
  <c r="R328" i="20"/>
  <c r="S40" i="6"/>
  <c r="R218" i="17"/>
  <c r="R219" i="17" s="1"/>
  <c r="BT118" i="20"/>
  <c r="H118" i="20"/>
  <c r="L19" i="17"/>
  <c r="P8" i="21"/>
  <c r="P10" i="21" s="1"/>
  <c r="Q6" i="16"/>
  <c r="BT137" i="20"/>
  <c r="H137" i="20"/>
  <c r="I329" i="20"/>
  <c r="I336" i="20" s="1"/>
  <c r="I367" i="20"/>
  <c r="I374" i="20" s="1"/>
  <c r="BU365" i="20" s="1"/>
  <c r="I348" i="20"/>
  <c r="I355" i="20" s="1"/>
  <c r="BU346" i="20" s="1"/>
  <c r="I310" i="20"/>
  <c r="I317" i="20" s="1"/>
  <c r="I272" i="20"/>
  <c r="I279" i="20" s="1"/>
  <c r="I291" i="20"/>
  <c r="I298" i="20" s="1"/>
  <c r="I253" i="20"/>
  <c r="I260" i="20" s="1"/>
  <c r="I215" i="20"/>
  <c r="I222" i="20" s="1"/>
  <c r="I196" i="20"/>
  <c r="I203" i="20" s="1"/>
  <c r="I139" i="20"/>
  <c r="I146" i="20" s="1"/>
  <c r="I234" i="20"/>
  <c r="I241" i="20" s="1"/>
  <c r="I177" i="20"/>
  <c r="I184" i="20" s="1"/>
  <c r="I120" i="20"/>
  <c r="I127" i="20" s="1"/>
  <c r="I158" i="20"/>
  <c r="I165" i="20" s="1"/>
  <c r="I6" i="20"/>
  <c r="I101" i="20"/>
  <c r="I108" i="20" s="1"/>
  <c r="I82" i="20"/>
  <c r="I89" i="20" s="1"/>
  <c r="I25" i="20"/>
  <c r="I32" i="20" s="1"/>
  <c r="I44" i="20"/>
  <c r="I51" i="20" s="1"/>
  <c r="I63" i="20"/>
  <c r="I70" i="20" s="1"/>
  <c r="K21" i="17"/>
  <c r="J14" i="18" s="1"/>
  <c r="J47" i="18" s="1"/>
  <c r="T267" i="17"/>
  <c r="T187" i="17"/>
  <c r="T238" i="17"/>
  <c r="T212" i="17"/>
  <c r="W80" i="9"/>
  <c r="BA80" i="9" s="1"/>
  <c r="R296" i="20" s="1"/>
  <c r="R292" i="20" s="1"/>
  <c r="R290" i="20"/>
  <c r="T24" i="6"/>
  <c r="T46" i="8"/>
  <c r="T96" i="8"/>
  <c r="T47" i="5"/>
  <c r="T21" i="8"/>
  <c r="S332" i="20" s="1"/>
  <c r="T71" i="8"/>
  <c r="BT175" i="20"/>
  <c r="H175" i="20"/>
  <c r="T237" i="17"/>
  <c r="T266" i="17"/>
  <c r="T211" i="17"/>
  <c r="T186" i="17"/>
  <c r="R277" i="20"/>
  <c r="R273" i="20" s="1"/>
  <c r="R271" i="20"/>
  <c r="P11" i="20"/>
  <c r="P391" i="20" s="1"/>
  <c r="AY150" i="9"/>
  <c r="AA11" i="18" s="1"/>
  <c r="AA44" i="18" s="1"/>
  <c r="Y434" i="20"/>
  <c r="Y432" i="20" s="1"/>
  <c r="Q279" i="17"/>
  <c r="T11" i="6"/>
  <c r="T58" i="8"/>
  <c r="T83" i="8"/>
  <c r="T34" i="5"/>
  <c r="T33" i="8"/>
  <c r="T8" i="8"/>
  <c r="S85" i="20" s="1"/>
  <c r="T12" i="6"/>
  <c r="T9" i="8"/>
  <c r="S104" i="20" s="1"/>
  <c r="T84" i="8"/>
  <c r="T34" i="8"/>
  <c r="T35" i="5"/>
  <c r="T59" i="8"/>
  <c r="BT251" i="20"/>
  <c r="H251" i="20"/>
  <c r="T253" i="17"/>
  <c r="T198" i="17"/>
  <c r="T224" i="17"/>
  <c r="T173" i="17"/>
  <c r="W70" i="9"/>
  <c r="BA70" i="9" s="1"/>
  <c r="R30" i="20" s="1"/>
  <c r="R26" i="20" s="1"/>
  <c r="R24" i="20"/>
  <c r="S33" i="6"/>
  <c r="T231" i="17"/>
  <c r="T260" i="17"/>
  <c r="T205" i="17"/>
  <c r="T180" i="17"/>
  <c r="R163" i="20"/>
  <c r="R159" i="20" s="1"/>
  <c r="R157" i="20"/>
  <c r="Q63" i="17"/>
  <c r="Q64" i="17" s="1"/>
  <c r="Q65" i="17"/>
  <c r="AW346" i="20"/>
  <c r="T235" i="17"/>
  <c r="T184" i="17"/>
  <c r="T209" i="17"/>
  <c r="T264" i="17"/>
  <c r="W78" i="9"/>
  <c r="BA78" i="9" s="1"/>
  <c r="R239" i="20" s="1"/>
  <c r="R235" i="20" s="1"/>
  <c r="R233" i="20"/>
  <c r="P118" i="17"/>
  <c r="P115" i="17"/>
  <c r="P112" i="17"/>
  <c r="P109" i="17"/>
  <c r="P106" i="17"/>
  <c r="P103" i="17"/>
  <c r="P100" i="17"/>
  <c r="P110" i="17"/>
  <c r="P111" i="17"/>
  <c r="P116" i="17"/>
  <c r="P117" i="17"/>
  <c r="P113" i="17"/>
  <c r="P108" i="17"/>
  <c r="P107" i="17"/>
  <c r="P105" i="17"/>
  <c r="P104" i="17"/>
  <c r="P102" i="17"/>
  <c r="P101" i="17"/>
  <c r="P99" i="17"/>
  <c r="P8" i="17"/>
  <c r="P114" i="17"/>
  <c r="T17" i="8"/>
  <c r="S256" i="20" s="1"/>
  <c r="T42" i="8"/>
  <c r="T67" i="8"/>
  <c r="T92" i="8"/>
  <c r="T43" i="5"/>
  <c r="T22" i="6"/>
  <c r="T45" i="5"/>
  <c r="T94" i="8"/>
  <c r="T69" i="8"/>
  <c r="T44" i="8"/>
  <c r="T19" i="8"/>
  <c r="S294" i="20" s="1"/>
  <c r="BT232" i="20"/>
  <c r="H232" i="20"/>
  <c r="T181" i="17"/>
  <c r="T261" i="17"/>
  <c r="T232" i="17"/>
  <c r="T206" i="17"/>
  <c r="R176" i="20"/>
  <c r="W75" i="9"/>
  <c r="BA75" i="9" s="1"/>
  <c r="R182" i="20" s="1"/>
  <c r="R178" i="20" s="1"/>
  <c r="S36" i="6"/>
  <c r="T23" i="6"/>
  <c r="T20" i="8"/>
  <c r="S313" i="20" s="1"/>
  <c r="T46" i="5"/>
  <c r="T70" i="8"/>
  <c r="T95" i="8"/>
  <c r="T45" i="8"/>
  <c r="O12" i="21"/>
  <c r="O13" i="21" s="1"/>
  <c r="O14" i="21" s="1"/>
  <c r="BI5" i="9"/>
  <c r="AF5" i="9"/>
  <c r="X136" i="3"/>
  <c r="X58" i="3" s="1"/>
  <c r="X161" i="3"/>
  <c r="Y111" i="3"/>
  <c r="X132" i="3"/>
  <c r="X54" i="3" s="1"/>
  <c r="X157" i="3"/>
  <c r="Y107" i="3"/>
  <c r="T241" i="17"/>
  <c r="T190" i="17"/>
  <c r="T270" i="17"/>
  <c r="T215" i="17"/>
  <c r="W83" i="9"/>
  <c r="BA83" i="9" s="1"/>
  <c r="W79" i="9"/>
  <c r="BA79" i="9" s="1"/>
  <c r="R366" i="20"/>
  <c r="R347" i="20"/>
  <c r="T204" i="17"/>
  <c r="T259" i="17"/>
  <c r="T230" i="17"/>
  <c r="T179" i="17"/>
  <c r="R144" i="20"/>
  <c r="R140" i="20" s="1"/>
  <c r="R138" i="20"/>
  <c r="T6" i="5"/>
  <c r="S67" i="3"/>
  <c r="AT4" i="20"/>
  <c r="N387" i="20"/>
  <c r="AT384" i="20" s="1"/>
  <c r="BT80" i="20"/>
  <c r="H80" i="20"/>
  <c r="BT194" i="20"/>
  <c r="H194" i="20"/>
  <c r="T213" i="17"/>
  <c r="T268" i="17"/>
  <c r="T239" i="17"/>
  <c r="T188" i="17"/>
  <c r="R309" i="20"/>
  <c r="W81" i="9"/>
  <c r="BA81" i="9" s="1"/>
  <c r="R315" i="20" s="1"/>
  <c r="R311" i="20" s="1"/>
  <c r="S39" i="6"/>
  <c r="Q49" i="16"/>
  <c r="Y13" i="18"/>
  <c r="Y46" i="18" s="1"/>
  <c r="Z134" i="3"/>
  <c r="Z56" i="3" s="1"/>
  <c r="AA109" i="3"/>
  <c r="Z159" i="3"/>
  <c r="W135" i="3"/>
  <c r="W57" i="3" s="1"/>
  <c r="X110" i="3"/>
  <c r="W160" i="3"/>
  <c r="R56" i="17"/>
  <c r="R51" i="17"/>
  <c r="T236" i="17"/>
  <c r="T265" i="17"/>
  <c r="T210" i="17"/>
  <c r="T185" i="17"/>
  <c r="R258" i="20"/>
  <c r="R254" i="20" s="1"/>
  <c r="R252" i="20"/>
  <c r="S38" i="6"/>
  <c r="T201" i="17"/>
  <c r="T227" i="17"/>
  <c r="T176" i="17"/>
  <c r="T256" i="17"/>
  <c r="W73" i="9"/>
  <c r="BA73" i="9" s="1"/>
  <c r="R87" i="20" s="1"/>
  <c r="R83" i="20" s="1"/>
  <c r="R81" i="20"/>
  <c r="S34" i="6"/>
  <c r="Y108" i="3"/>
  <c r="X158" i="3"/>
  <c r="X133" i="3"/>
  <c r="X55" i="3" s="1"/>
  <c r="T26" i="6"/>
  <c r="T23" i="8"/>
  <c r="T48" i="8"/>
  <c r="T98" i="8"/>
  <c r="T73" i="8"/>
  <c r="T37" i="5"/>
  <c r="T86" i="8"/>
  <c r="T61" i="8"/>
  <c r="T36" i="8"/>
  <c r="T11" i="8"/>
  <c r="S142" i="20" s="1"/>
  <c r="T216" i="17"/>
  <c r="T271" i="17"/>
  <c r="T242" i="17"/>
  <c r="T191" i="17"/>
  <c r="BT23" i="20"/>
  <c r="H23" i="20"/>
  <c r="BT213" i="20"/>
  <c r="H213" i="20"/>
  <c r="T262" i="17"/>
  <c r="T233" i="17"/>
  <c r="T207" i="17"/>
  <c r="T182" i="17"/>
  <c r="W76" i="9"/>
  <c r="BA76" i="9" s="1"/>
  <c r="R201" i="20" s="1"/>
  <c r="R197" i="20" s="1"/>
  <c r="R195" i="20"/>
  <c r="T225" i="17"/>
  <c r="T254" i="17"/>
  <c r="T199" i="17"/>
  <c r="T174" i="17"/>
  <c r="W71" i="9"/>
  <c r="BA71" i="9" s="1"/>
  <c r="R49" i="20" s="1"/>
  <c r="R45" i="20" s="1"/>
  <c r="R43" i="20"/>
  <c r="T93" i="8"/>
  <c r="T68" i="8"/>
  <c r="T43" i="8"/>
  <c r="T18" i="8"/>
  <c r="S275" i="20" s="1"/>
  <c r="T44" i="5"/>
  <c r="O119" i="17"/>
  <c r="R60" i="17"/>
  <c r="R39" i="17"/>
  <c r="Y103" i="3"/>
  <c r="X128" i="3"/>
  <c r="X50" i="3" s="1"/>
  <c r="X153" i="3"/>
  <c r="AW365" i="20"/>
  <c r="W138" i="3"/>
  <c r="W60" i="3" s="1"/>
  <c r="X113" i="3"/>
  <c r="W163" i="3"/>
  <c r="T226" i="17"/>
  <c r="T175" i="17"/>
  <c r="T255" i="17"/>
  <c r="T200" i="17"/>
  <c r="W72" i="9"/>
  <c r="BA72" i="9" s="1"/>
  <c r="R68" i="20" s="1"/>
  <c r="R64" i="20" s="1"/>
  <c r="R62" i="20"/>
  <c r="T36" i="5"/>
  <c r="T85" i="8"/>
  <c r="T60" i="8"/>
  <c r="T10" i="8"/>
  <c r="S123" i="20" s="1"/>
  <c r="T35" i="8"/>
  <c r="T25" i="6"/>
  <c r="T47" i="8"/>
  <c r="T22" i="8"/>
  <c r="T97" i="8"/>
  <c r="T72" i="8"/>
  <c r="BT42" i="20"/>
  <c r="H42" i="20"/>
  <c r="H289" i="20"/>
  <c r="BT289" i="20"/>
  <c r="O407" i="20"/>
  <c r="O405" i="20" s="1"/>
  <c r="O404" i="20" s="1"/>
  <c r="O403" i="20" s="1"/>
  <c r="AU403" i="20" s="1"/>
  <c r="AX149" i="9"/>
  <c r="Q280" i="17" s="1"/>
  <c r="T94" i="17"/>
  <c r="Y106" i="3"/>
  <c r="X131" i="3"/>
  <c r="X53" i="3" s="1"/>
  <c r="X156" i="3"/>
  <c r="V53" i="16"/>
  <c r="V56" i="16"/>
  <c r="V54" i="16"/>
  <c r="V57" i="16"/>
  <c r="V55" i="16"/>
  <c r="T85" i="3"/>
  <c r="U20" i="5" s="1"/>
  <c r="U21" i="6" s="1"/>
  <c r="T86" i="3"/>
  <c r="U21" i="5" s="1"/>
  <c r="T76" i="3"/>
  <c r="U11" i="5" s="1"/>
  <c r="T83" i="3"/>
  <c r="U18" i="5" s="1"/>
  <c r="T74" i="3"/>
  <c r="U9" i="5" s="1"/>
  <c r="Y7" i="9"/>
  <c r="BC7" i="9" s="1"/>
  <c r="T77" i="3"/>
  <c r="U12" i="5" s="1"/>
  <c r="U13" i="6" s="1"/>
  <c r="T79" i="3"/>
  <c r="U14" i="5" s="1"/>
  <c r="U15" i="6" s="1"/>
  <c r="T75" i="3"/>
  <c r="U10" i="5" s="1"/>
  <c r="T90" i="3"/>
  <c r="U25" i="5" s="1"/>
  <c r="T82" i="3"/>
  <c r="U17" i="5" s="1"/>
  <c r="T89" i="3"/>
  <c r="U24" i="5" s="1"/>
  <c r="T88" i="3"/>
  <c r="U23" i="5" s="1"/>
  <c r="T78" i="3"/>
  <c r="U13" i="5" s="1"/>
  <c r="U14" i="6" s="1"/>
  <c r="T84" i="3"/>
  <c r="U19" i="5" s="1"/>
  <c r="U20" i="6" s="1"/>
  <c r="T71" i="3"/>
  <c r="T87" i="3"/>
  <c r="U22" i="5" s="1"/>
  <c r="T73" i="3"/>
  <c r="U8" i="5" s="1"/>
  <c r="T72" i="3"/>
  <c r="U7" i="5" s="1"/>
  <c r="T81" i="3"/>
  <c r="U16" i="5" s="1"/>
  <c r="T80" i="3"/>
  <c r="U15" i="5" s="1"/>
  <c r="AC123" i="3"/>
  <c r="AB45" i="3"/>
  <c r="T234" i="17"/>
  <c r="T263" i="17"/>
  <c r="T208" i="17"/>
  <c r="T183" i="17"/>
  <c r="R214" i="20"/>
  <c r="W77" i="9"/>
  <c r="BA77" i="9" s="1"/>
  <c r="R220" i="20" s="1"/>
  <c r="R216" i="20" s="1"/>
  <c r="S37" i="6"/>
  <c r="H386" i="20"/>
  <c r="I4" i="21" s="1"/>
  <c r="I5" i="21" s="1"/>
  <c r="I15" i="21" s="1"/>
  <c r="H13" i="20"/>
  <c r="BT270" i="20"/>
  <c r="H270" i="20"/>
  <c r="V164" i="3"/>
  <c r="V139" i="3"/>
  <c r="V61" i="3" s="1"/>
  <c r="W114" i="3"/>
  <c r="BS4" i="20"/>
  <c r="G4" i="20"/>
  <c r="G384" i="20" s="1"/>
  <c r="G459" i="20" s="1"/>
  <c r="G393" i="20"/>
  <c r="BS384" i="20" s="1"/>
  <c r="P389" i="20"/>
  <c r="Q7" i="21" s="1"/>
  <c r="Y102" i="3"/>
  <c r="X152" i="3"/>
  <c r="X127" i="3"/>
  <c r="X49" i="3" s="1"/>
  <c r="O7" i="20"/>
  <c r="R24" i="8"/>
  <c r="Q9" i="20"/>
  <c r="T9" i="6"/>
  <c r="T31" i="8"/>
  <c r="T81" i="8"/>
  <c r="T56" i="8"/>
  <c r="T32" i="5"/>
  <c r="T6" i="8"/>
  <c r="S47" i="20" s="1"/>
  <c r="T18" i="6"/>
  <c r="T40" i="8"/>
  <c r="T41" i="5"/>
  <c r="T90" i="8"/>
  <c r="T65" i="8"/>
  <c r="T15" i="8"/>
  <c r="S218" i="20" s="1"/>
  <c r="T16" i="6"/>
  <c r="T38" i="8"/>
  <c r="T39" i="5"/>
  <c r="T88" i="8"/>
  <c r="T63" i="8"/>
  <c r="T13" i="8"/>
  <c r="S180" i="20" s="1"/>
  <c r="P385" i="20"/>
  <c r="BT99" i="20"/>
  <c r="H99" i="20"/>
  <c r="BT327" i="20"/>
  <c r="H327" i="20"/>
  <c r="T258" i="17"/>
  <c r="T178" i="17"/>
  <c r="T203" i="17"/>
  <c r="T229" i="17"/>
  <c r="R125" i="20"/>
  <c r="R121" i="20" s="1"/>
  <c r="R119" i="20"/>
  <c r="S35" i="6"/>
  <c r="S35" i="17"/>
  <c r="S32" i="17"/>
  <c r="S36" i="17"/>
  <c r="S34" i="17"/>
  <c r="S33" i="17"/>
  <c r="X166" i="3"/>
  <c r="Y116" i="3"/>
  <c r="X141" i="3"/>
  <c r="X63" i="3" s="1"/>
  <c r="W154" i="3"/>
  <c r="X104" i="3"/>
  <c r="W129" i="3"/>
  <c r="W51" i="3" s="1"/>
  <c r="W126" i="3"/>
  <c r="W48" i="3" s="1"/>
  <c r="X101" i="3"/>
  <c r="W151" i="3"/>
  <c r="S7" i="6"/>
  <c r="S4" i="8"/>
  <c r="S54" i="8"/>
  <c r="S74" i="8" s="1"/>
  <c r="S79" i="8"/>
  <c r="S99" i="8" s="1"/>
  <c r="S10" i="18" s="1"/>
  <c r="S43" i="18" s="1"/>
  <c r="S30" i="5"/>
  <c r="S29" i="8"/>
  <c r="S49" i="8" s="1"/>
  <c r="S8" i="18" s="1"/>
  <c r="S41" i="18" s="1"/>
  <c r="T17" i="6"/>
  <c r="T40" i="5"/>
  <c r="T14" i="8"/>
  <c r="S199" i="20" s="1"/>
  <c r="T89" i="8"/>
  <c r="T64" i="8"/>
  <c r="T39" i="8"/>
  <c r="T8" i="6"/>
  <c r="T5" i="8"/>
  <c r="S28" i="20" s="1"/>
  <c r="T80" i="8"/>
  <c r="T55" i="8"/>
  <c r="T31" i="5"/>
  <c r="T30" i="8"/>
  <c r="Q3" i="21"/>
  <c r="Q7" i="18"/>
  <c r="Q34" i="18" s="1"/>
  <c r="Q36" i="18" s="1"/>
  <c r="U91" i="17"/>
  <c r="U88" i="17"/>
  <c r="U93" i="17"/>
  <c r="R47" i="16"/>
  <c r="R45" i="16"/>
  <c r="R5" i="16" a="1"/>
  <c r="R5" i="16" s="1"/>
  <c r="Q9" i="21" s="1"/>
  <c r="R48" i="16"/>
  <c r="U90" i="17"/>
  <c r="U92" i="17"/>
  <c r="U89" i="17"/>
  <c r="R46" i="16"/>
  <c r="R44" i="16"/>
  <c r="U53" i="9"/>
  <c r="AY53" i="9" s="1"/>
  <c r="U52" i="9"/>
  <c r="AY52" i="9" s="1"/>
  <c r="Q29" i="6"/>
  <c r="R18" i="16"/>
  <c r="R40" i="16" s="1"/>
  <c r="S48" i="17"/>
  <c r="S44" i="17"/>
  <c r="S47" i="17"/>
  <c r="S46" i="17"/>
  <c r="S45" i="17"/>
  <c r="H61" i="20"/>
  <c r="BT61" i="20"/>
  <c r="H308" i="20"/>
  <c r="BT308" i="20"/>
  <c r="Y155" i="3" l="1"/>
  <c r="Z105" i="3"/>
  <c r="Y130" i="3"/>
  <c r="Y52" i="3" s="1"/>
  <c r="R44" i="6"/>
  <c r="S4" i="16"/>
  <c r="M16" i="17"/>
  <c r="M20" i="17" s="1"/>
  <c r="L21" i="21" s="1"/>
  <c r="X142" i="3"/>
  <c r="X64" i="3" s="1"/>
  <c r="Y117" i="3"/>
  <c r="X167" i="3"/>
  <c r="W140" i="3"/>
  <c r="W62" i="3" s="1"/>
  <c r="W165" i="3"/>
  <c r="X115" i="3"/>
  <c r="Y112" i="3"/>
  <c r="X137" i="3"/>
  <c r="X59" i="3" s="1"/>
  <c r="X162" i="3"/>
  <c r="BI6" i="9"/>
  <c r="AF6" i="9"/>
  <c r="R12" i="17"/>
  <c r="O291" i="17"/>
  <c r="O292" i="17" s="1"/>
  <c r="R43" i="6"/>
  <c r="S272" i="17"/>
  <c r="S12" i="17" s="1"/>
  <c r="S273" i="17"/>
  <c r="AX99" i="20"/>
  <c r="S58" i="17"/>
  <c r="R274" i="17"/>
  <c r="AX175" i="20"/>
  <c r="S59" i="17"/>
  <c r="AX327" i="20"/>
  <c r="N15" i="17"/>
  <c r="N17" i="17" s="1"/>
  <c r="AX194" i="20"/>
  <c r="AX213" i="20"/>
  <c r="S57" i="17"/>
  <c r="AX308" i="20"/>
  <c r="AX80" i="20"/>
  <c r="AX156" i="20"/>
  <c r="AX137" i="20"/>
  <c r="AX42" i="20"/>
  <c r="AX232" i="20"/>
  <c r="Q278" i="17"/>
  <c r="Q285" i="17" s="1"/>
  <c r="Q286" i="17" s="1"/>
  <c r="Q289" i="17" s="1"/>
  <c r="AX61" i="20"/>
  <c r="P7" i="20"/>
  <c r="AV4" i="20" s="1"/>
  <c r="S60" i="17"/>
  <c r="R279" i="17"/>
  <c r="AX23" i="20"/>
  <c r="S9" i="17"/>
  <c r="AX270" i="20"/>
  <c r="U94" i="17"/>
  <c r="R105" i="17" s="1"/>
  <c r="S39" i="17"/>
  <c r="AX251" i="20"/>
  <c r="AX289" i="20"/>
  <c r="R49" i="16"/>
  <c r="Z13" i="18"/>
  <c r="Z46" i="18" s="1"/>
  <c r="V58" i="16"/>
  <c r="P12" i="21"/>
  <c r="P13" i="21" s="1"/>
  <c r="P14" i="21" s="1"/>
  <c r="R10" i="17"/>
  <c r="R11" i="17" s="1"/>
  <c r="R245" i="17"/>
  <c r="R246" i="17" s="1"/>
  <c r="I386" i="20"/>
  <c r="J4" i="21" s="1"/>
  <c r="J5" i="21" s="1"/>
  <c r="J15" i="21" s="1"/>
  <c r="I13" i="20"/>
  <c r="U235" i="17"/>
  <c r="U209" i="17"/>
  <c r="U184" i="17"/>
  <c r="U264" i="17"/>
  <c r="X78" i="9"/>
  <c r="BB78" i="9" s="1"/>
  <c r="S239" i="20" s="1"/>
  <c r="S235" i="20" s="1"/>
  <c r="S233" i="20"/>
  <c r="AD123" i="3"/>
  <c r="AC45" i="3"/>
  <c r="R65" i="17"/>
  <c r="R63" i="17"/>
  <c r="R64" i="17" s="1"/>
  <c r="AX346" i="20"/>
  <c r="BU156" i="20"/>
  <c r="I156" i="20"/>
  <c r="U261" i="17"/>
  <c r="U232" i="17"/>
  <c r="U206" i="17"/>
  <c r="U181" i="17"/>
  <c r="S176" i="20"/>
  <c r="X75" i="9"/>
  <c r="BB75" i="9" s="1"/>
  <c r="S182" i="20" s="1"/>
  <c r="S178" i="20" s="1"/>
  <c r="T36" i="6"/>
  <c r="U199" i="17"/>
  <c r="U254" i="17"/>
  <c r="U225" i="17"/>
  <c r="U174" i="17"/>
  <c r="X71" i="9"/>
  <c r="BB71" i="9" s="1"/>
  <c r="S49" i="20" s="1"/>
  <c r="S45" i="20" s="1"/>
  <c r="S43" i="20"/>
  <c r="BT4" i="20"/>
  <c r="H4" i="20"/>
  <c r="H384" i="20" s="1"/>
  <c r="H459" i="20" s="1"/>
  <c r="H393" i="20"/>
  <c r="BT384" i="20" s="1"/>
  <c r="U17" i="6"/>
  <c r="U40" i="5"/>
  <c r="U14" i="8"/>
  <c r="T199" i="20" s="1"/>
  <c r="U39" i="8"/>
  <c r="U64" i="8"/>
  <c r="U89" i="8"/>
  <c r="U11" i="6"/>
  <c r="U33" i="8"/>
  <c r="U83" i="8"/>
  <c r="U58" i="8"/>
  <c r="U34" i="5"/>
  <c r="U8" i="8"/>
  <c r="T85" i="20" s="1"/>
  <c r="Y131" i="3"/>
  <c r="Y53" i="3" s="1"/>
  <c r="Z106" i="3"/>
  <c r="Y156" i="3"/>
  <c r="AX365" i="20"/>
  <c r="Y136" i="3"/>
  <c r="Y58" i="3" s="1"/>
  <c r="Y161" i="3"/>
  <c r="Z111" i="3"/>
  <c r="U228" i="17"/>
  <c r="U257" i="17"/>
  <c r="U202" i="17"/>
  <c r="U177" i="17"/>
  <c r="X74" i="9"/>
  <c r="BB74" i="9" s="1"/>
  <c r="S106" i="20" s="1"/>
  <c r="S102" i="20" s="1"/>
  <c r="S100" i="20"/>
  <c r="BU118" i="20"/>
  <c r="I118" i="20"/>
  <c r="BU327" i="20"/>
  <c r="I327" i="20"/>
  <c r="U259" i="17"/>
  <c r="U230" i="17"/>
  <c r="U179" i="17"/>
  <c r="U204" i="17"/>
  <c r="S144" i="20"/>
  <c r="S140" i="20" s="1"/>
  <c r="S138" i="20"/>
  <c r="U16" i="6"/>
  <c r="U88" i="8"/>
  <c r="U63" i="8"/>
  <c r="U39" i="5"/>
  <c r="U38" i="8"/>
  <c r="U13" i="8"/>
  <c r="T180" i="20" s="1"/>
  <c r="U26" i="6"/>
  <c r="U23" i="8"/>
  <c r="U98" i="8"/>
  <c r="U48" i="8"/>
  <c r="U73" i="8"/>
  <c r="X126" i="3"/>
  <c r="X48" i="3" s="1"/>
  <c r="Y101" i="3"/>
  <c r="X151" i="3"/>
  <c r="Q389" i="20"/>
  <c r="R7" i="21" s="1"/>
  <c r="U8" i="6"/>
  <c r="U5" i="8"/>
  <c r="T28" i="20" s="1"/>
  <c r="U31" i="5"/>
  <c r="U55" i="8"/>
  <c r="U80" i="8"/>
  <c r="U30" i="8"/>
  <c r="U62" i="8"/>
  <c r="U87" i="8"/>
  <c r="U12" i="8"/>
  <c r="T161" i="20" s="1"/>
  <c r="U37" i="8"/>
  <c r="U38" i="5"/>
  <c r="X160" i="3"/>
  <c r="Y110" i="3"/>
  <c r="X135" i="3"/>
  <c r="X57" i="3" s="1"/>
  <c r="U265" i="17"/>
  <c r="U185" i="17"/>
  <c r="U210" i="17"/>
  <c r="U236" i="17"/>
  <c r="S258" i="20"/>
  <c r="S254" i="20" s="1"/>
  <c r="S252" i="20"/>
  <c r="T38" i="6"/>
  <c r="BU175" i="20"/>
  <c r="I175" i="20"/>
  <c r="W174" i="3"/>
  <c r="X173" i="3"/>
  <c r="I308" i="20"/>
  <c r="BU308" i="20"/>
  <c r="T34" i="17"/>
  <c r="T35" i="17"/>
  <c r="T32" i="17"/>
  <c r="T36" i="17"/>
  <c r="T33" i="17"/>
  <c r="U9" i="6"/>
  <c r="U81" i="8"/>
  <c r="U56" i="8"/>
  <c r="U31" i="8"/>
  <c r="U32" i="5"/>
  <c r="U6" i="8"/>
  <c r="T47" i="20" s="1"/>
  <c r="U35" i="8"/>
  <c r="U60" i="8"/>
  <c r="U10" i="8"/>
  <c r="T123" i="20" s="1"/>
  <c r="U85" i="8"/>
  <c r="U36" i="5"/>
  <c r="U258" i="17"/>
  <c r="U178" i="17"/>
  <c r="U229" i="17"/>
  <c r="U203" i="17"/>
  <c r="S125" i="20"/>
  <c r="S121" i="20" s="1"/>
  <c r="S119" i="20"/>
  <c r="T35" i="6"/>
  <c r="U271" i="17"/>
  <c r="U216" i="17"/>
  <c r="U242" i="17"/>
  <c r="U191" i="17"/>
  <c r="T7" i="6"/>
  <c r="T79" i="8"/>
  <c r="T99" i="8" s="1"/>
  <c r="T10" i="18" s="1"/>
  <c r="T43" i="18" s="1"/>
  <c r="T30" i="5"/>
  <c r="T29" i="8"/>
  <c r="T49" i="8" s="1"/>
  <c r="T8" i="18" s="1"/>
  <c r="T41" i="18" s="1"/>
  <c r="T4" i="8"/>
  <c r="T54" i="8"/>
  <c r="T74" i="8" s="1"/>
  <c r="AT459" i="20"/>
  <c r="BU232" i="20"/>
  <c r="I232" i="20"/>
  <c r="V184" i="3"/>
  <c r="V190" i="3"/>
  <c r="V182" i="3"/>
  <c r="V187" i="3"/>
  <c r="V179" i="3"/>
  <c r="V192" i="3"/>
  <c r="V176" i="3"/>
  <c r="V189" i="3"/>
  <c r="V181" i="3"/>
  <c r="V194" i="3"/>
  <c r="V178" i="3"/>
  <c r="V186" i="3"/>
  <c r="V175" i="3"/>
  <c r="V185" i="3"/>
  <c r="V191" i="3"/>
  <c r="V180" i="3"/>
  <c r="V193" i="3"/>
  <c r="V70" i="3"/>
  <c r="V183" i="3"/>
  <c r="V188" i="3"/>
  <c r="V177" i="3"/>
  <c r="U255" i="17"/>
  <c r="U226" i="17"/>
  <c r="U200" i="17"/>
  <c r="U175" i="17"/>
  <c r="S62" i="20"/>
  <c r="X72" i="9"/>
  <c r="BB72" i="9" s="1"/>
  <c r="S68" i="20" s="1"/>
  <c r="S64" i="20" s="1"/>
  <c r="BU137" i="20"/>
  <c r="I137" i="20"/>
  <c r="U253" i="17"/>
  <c r="U173" i="17"/>
  <c r="U224" i="17"/>
  <c r="U198" i="17"/>
  <c r="S24" i="20"/>
  <c r="X70" i="9"/>
  <c r="BB70" i="9" s="1"/>
  <c r="S30" i="20" s="1"/>
  <c r="S26" i="20" s="1"/>
  <c r="T33" i="6"/>
  <c r="U23" i="6"/>
  <c r="U20" i="8"/>
  <c r="T313" i="20" s="1"/>
  <c r="U45" i="8"/>
  <c r="U46" i="5"/>
  <c r="U95" i="8"/>
  <c r="U70" i="8"/>
  <c r="T443" i="20"/>
  <c r="T441" i="20" s="1"/>
  <c r="S56" i="17"/>
  <c r="S51" i="17"/>
  <c r="U262" i="17"/>
  <c r="U233" i="17"/>
  <c r="U207" i="17"/>
  <c r="U182" i="17"/>
  <c r="X76" i="9"/>
  <c r="BB76" i="9" s="1"/>
  <c r="S201" i="20" s="1"/>
  <c r="S197" i="20" s="1"/>
  <c r="S195" i="20"/>
  <c r="Y104" i="3"/>
  <c r="X129" i="3"/>
  <c r="X51" i="3" s="1"/>
  <c r="X154" i="3"/>
  <c r="X114" i="3"/>
  <c r="W139" i="3"/>
  <c r="W61" i="3" s="1"/>
  <c r="W164" i="3"/>
  <c r="U6" i="5"/>
  <c r="T67" i="3"/>
  <c r="U10" i="6"/>
  <c r="U33" i="5"/>
  <c r="U57" i="8"/>
  <c r="U7" i="8"/>
  <c r="T66" i="20" s="1"/>
  <c r="U82" i="8"/>
  <c r="U32" i="8"/>
  <c r="Q116" i="17"/>
  <c r="Q113" i="17"/>
  <c r="Q110" i="17"/>
  <c r="Q107" i="17"/>
  <c r="Q104" i="17"/>
  <c r="Q101" i="17"/>
  <c r="Q115" i="17"/>
  <c r="Q111" i="17"/>
  <c r="Q117" i="17"/>
  <c r="Q112" i="17"/>
  <c r="Q108" i="17"/>
  <c r="Q105" i="17"/>
  <c r="Q102" i="17"/>
  <c r="Q99" i="17"/>
  <c r="Q106" i="17"/>
  <c r="Q103" i="17"/>
  <c r="Q100" i="17"/>
  <c r="Q8" i="17"/>
  <c r="Q109" i="17"/>
  <c r="Q114" i="17"/>
  <c r="Q118" i="17"/>
  <c r="AA134" i="3"/>
  <c r="AA56" i="3" s="1"/>
  <c r="AB109" i="3"/>
  <c r="AA159" i="3"/>
  <c r="AG5" i="9"/>
  <c r="BJ5" i="9"/>
  <c r="U268" i="17"/>
  <c r="U188" i="17"/>
  <c r="U213" i="17"/>
  <c r="U239" i="17"/>
  <c r="X81" i="9"/>
  <c r="BB81" i="9" s="1"/>
  <c r="S315" i="20" s="1"/>
  <c r="S311" i="20" s="1"/>
  <c r="S309" i="20"/>
  <c r="T39" i="6"/>
  <c r="P119" i="17"/>
  <c r="BU194" i="20"/>
  <c r="I194" i="20"/>
  <c r="J367" i="20"/>
  <c r="J374" i="20" s="1"/>
  <c r="J310" i="20"/>
  <c r="J317" i="20" s="1"/>
  <c r="J348" i="20"/>
  <c r="J355" i="20" s="1"/>
  <c r="BV346" i="20" s="1"/>
  <c r="J291" i="20"/>
  <c r="J298" i="20" s="1"/>
  <c r="J329" i="20"/>
  <c r="J336" i="20" s="1"/>
  <c r="J272" i="20"/>
  <c r="J279" i="20" s="1"/>
  <c r="J253" i="20"/>
  <c r="J260" i="20" s="1"/>
  <c r="J234" i="20"/>
  <c r="J241" i="20" s="1"/>
  <c r="J177" i="20"/>
  <c r="J184" i="20" s="1"/>
  <c r="J196" i="20"/>
  <c r="J203" i="20" s="1"/>
  <c r="J158" i="20"/>
  <c r="J165" i="20" s="1"/>
  <c r="J215" i="20"/>
  <c r="J222" i="20" s="1"/>
  <c r="J139" i="20"/>
  <c r="J146" i="20" s="1"/>
  <c r="J101" i="20"/>
  <c r="J108" i="20" s="1"/>
  <c r="J6" i="20"/>
  <c r="J82" i="20"/>
  <c r="J89" i="20" s="1"/>
  <c r="J25" i="20"/>
  <c r="J32" i="20" s="1"/>
  <c r="J44" i="20"/>
  <c r="J51" i="20" s="1"/>
  <c r="J120" i="20"/>
  <c r="J127" i="20" s="1"/>
  <c r="J63" i="20"/>
  <c r="J70" i="20" s="1"/>
  <c r="L21" i="17"/>
  <c r="K14" i="18" s="1"/>
  <c r="K47" i="18" s="1"/>
  <c r="U260" i="17"/>
  <c r="U205" i="17"/>
  <c r="U231" i="17"/>
  <c r="U180" i="17"/>
  <c r="S163" i="20"/>
  <c r="S159" i="20" s="1"/>
  <c r="S157" i="20"/>
  <c r="W53" i="16"/>
  <c r="W56" i="16"/>
  <c r="W54" i="16"/>
  <c r="W57" i="16"/>
  <c r="W55" i="16"/>
  <c r="Z7" i="9"/>
  <c r="BD7" i="9" s="1"/>
  <c r="U90" i="3"/>
  <c r="V25" i="5" s="1"/>
  <c r="U78" i="3"/>
  <c r="V13" i="5" s="1"/>
  <c r="V14" i="6" s="1"/>
  <c r="U83" i="3"/>
  <c r="V18" i="5" s="1"/>
  <c r="U74" i="3"/>
  <c r="V9" i="5" s="1"/>
  <c r="U88" i="3"/>
  <c r="V23" i="5" s="1"/>
  <c r="U80" i="3"/>
  <c r="V15" i="5" s="1"/>
  <c r="U82" i="3"/>
  <c r="V17" i="5" s="1"/>
  <c r="U79" i="3"/>
  <c r="V14" i="5" s="1"/>
  <c r="V15" i="6" s="1"/>
  <c r="U75" i="3"/>
  <c r="V10" i="5" s="1"/>
  <c r="U87" i="3"/>
  <c r="V22" i="5" s="1"/>
  <c r="U89" i="3"/>
  <c r="V24" i="5" s="1"/>
  <c r="U72" i="3"/>
  <c r="V7" i="5" s="1"/>
  <c r="U71" i="3"/>
  <c r="U84" i="3"/>
  <c r="V19" i="5" s="1"/>
  <c r="V20" i="6" s="1"/>
  <c r="U77" i="3"/>
  <c r="V12" i="5" s="1"/>
  <c r="V13" i="6" s="1"/>
  <c r="U85" i="3"/>
  <c r="V20" i="5" s="1"/>
  <c r="V21" i="6" s="1"/>
  <c r="U81" i="3"/>
  <c r="V16" i="5" s="1"/>
  <c r="U73" i="3"/>
  <c r="V8" i="5" s="1"/>
  <c r="U86" i="3"/>
  <c r="V21" i="5" s="1"/>
  <c r="U76" i="3"/>
  <c r="V11" i="5" s="1"/>
  <c r="P291" i="17"/>
  <c r="Z102" i="3"/>
  <c r="Y152" i="3"/>
  <c r="Y127" i="3"/>
  <c r="Y49" i="3" s="1"/>
  <c r="U68" i="8"/>
  <c r="U18" i="8"/>
  <c r="T275" i="20" s="1"/>
  <c r="U93" i="8"/>
  <c r="U43" i="8"/>
  <c r="U44" i="5"/>
  <c r="X138" i="3"/>
  <c r="X60" i="3" s="1"/>
  <c r="X163" i="3"/>
  <c r="Y113" i="3"/>
  <c r="Z108" i="3"/>
  <c r="Y158" i="3"/>
  <c r="Y133" i="3"/>
  <c r="Y55" i="3" s="1"/>
  <c r="AX118" i="20"/>
  <c r="Z434" i="20"/>
  <c r="Z432" i="20" s="1"/>
  <c r="I61" i="20"/>
  <c r="BU61" i="20"/>
  <c r="BU213" i="20"/>
  <c r="I213" i="20"/>
  <c r="M19" i="17"/>
  <c r="BU99" i="20"/>
  <c r="I99" i="20"/>
  <c r="U256" i="17"/>
  <c r="U176" i="17"/>
  <c r="U227" i="17"/>
  <c r="U201" i="17"/>
  <c r="X73" i="9"/>
  <c r="BB73" i="9" s="1"/>
  <c r="S87" i="20" s="1"/>
  <c r="S83" i="20" s="1"/>
  <c r="S81" i="20"/>
  <c r="T34" i="6"/>
  <c r="BU42" i="20"/>
  <c r="I42" i="20"/>
  <c r="BU251" i="20"/>
  <c r="I251" i="20"/>
  <c r="Q385" i="20"/>
  <c r="S24" i="8"/>
  <c r="R9" i="20"/>
  <c r="U18" i="6"/>
  <c r="U90" i="8"/>
  <c r="U15" i="8"/>
  <c r="T218" i="20" s="1"/>
  <c r="U40" i="8"/>
  <c r="U41" i="5"/>
  <c r="U65" i="8"/>
  <c r="T172" i="17"/>
  <c r="T192" i="17" s="1"/>
  <c r="T223" i="17"/>
  <c r="T243" i="17" s="1"/>
  <c r="T197" i="17"/>
  <c r="T217" i="17" s="1"/>
  <c r="T252" i="17"/>
  <c r="S27" i="6"/>
  <c r="R5" i="20"/>
  <c r="W69" i="9"/>
  <c r="BA69" i="9" s="1"/>
  <c r="S32" i="6"/>
  <c r="U24" i="6"/>
  <c r="U71" i="8"/>
  <c r="U47" i="5"/>
  <c r="U21" i="8"/>
  <c r="T332" i="20" s="1"/>
  <c r="U46" i="8"/>
  <c r="U96" i="8"/>
  <c r="U12" i="6"/>
  <c r="U34" i="8"/>
  <c r="U35" i="5"/>
  <c r="U9" i="8"/>
  <c r="T104" i="20" s="1"/>
  <c r="U59" i="8"/>
  <c r="U84" i="8"/>
  <c r="U237" i="17"/>
  <c r="U266" i="17"/>
  <c r="U211" i="17"/>
  <c r="U186" i="17"/>
  <c r="S277" i="20"/>
  <c r="S273" i="20" s="1"/>
  <c r="S271" i="20"/>
  <c r="U267" i="17"/>
  <c r="U238" i="17"/>
  <c r="U212" i="17"/>
  <c r="U187" i="17"/>
  <c r="X80" i="9"/>
  <c r="BB80" i="9" s="1"/>
  <c r="S296" i="20" s="1"/>
  <c r="S292" i="20" s="1"/>
  <c r="S290" i="20"/>
  <c r="U240" i="17"/>
  <c r="U269" i="17"/>
  <c r="U214" i="17"/>
  <c r="U189" i="17"/>
  <c r="X82" i="9"/>
  <c r="BB82" i="9" s="1"/>
  <c r="S334" i="20" s="1"/>
  <c r="S330" i="20" s="1"/>
  <c r="S328" i="20"/>
  <c r="T40" i="6"/>
  <c r="BU23" i="20"/>
  <c r="I23" i="20"/>
  <c r="I289" i="20"/>
  <c r="BU289" i="20"/>
  <c r="Q11" i="20"/>
  <c r="Q391" i="20" s="1"/>
  <c r="AZ150" i="9"/>
  <c r="S279" i="17" s="1"/>
  <c r="S218" i="17"/>
  <c r="S219" i="17" s="1"/>
  <c r="U17" i="8"/>
  <c r="T256" i="20" s="1"/>
  <c r="U92" i="8"/>
  <c r="U43" i="5"/>
  <c r="U42" i="8"/>
  <c r="U67" i="8"/>
  <c r="Y153" i="3"/>
  <c r="Z103" i="3"/>
  <c r="Y128" i="3"/>
  <c r="Y50" i="3" s="1"/>
  <c r="Q8" i="21"/>
  <c r="Q10" i="21" s="1"/>
  <c r="R6" i="16"/>
  <c r="U263" i="17"/>
  <c r="U234" i="17"/>
  <c r="U183" i="17"/>
  <c r="U208" i="17"/>
  <c r="S214" i="20"/>
  <c r="X77" i="9"/>
  <c r="BB77" i="9" s="1"/>
  <c r="S220" i="20" s="1"/>
  <c r="S216" i="20" s="1"/>
  <c r="T37" i="6"/>
  <c r="AU4" i="20"/>
  <c r="O387" i="20"/>
  <c r="AU384" i="20" s="1"/>
  <c r="U37" i="5"/>
  <c r="U36" i="8"/>
  <c r="U86" i="8"/>
  <c r="U61" i="8"/>
  <c r="U11" i="8"/>
  <c r="T142" i="20" s="1"/>
  <c r="U19" i="6"/>
  <c r="U66" i="8"/>
  <c r="U91" i="8"/>
  <c r="U16" i="8"/>
  <c r="T237" i="20" s="1"/>
  <c r="U42" i="5"/>
  <c r="U41" i="8"/>
  <c r="Y166" i="3"/>
  <c r="Z116" i="3"/>
  <c r="Y141" i="3"/>
  <c r="Y63" i="3" s="1"/>
  <c r="P407" i="20"/>
  <c r="P405" i="20" s="1"/>
  <c r="P404" i="20" s="1"/>
  <c r="P403" i="20" s="1"/>
  <c r="AV403" i="20" s="1"/>
  <c r="AY149" i="9"/>
  <c r="R280" i="17" s="1"/>
  <c r="U25" i="6"/>
  <c r="U47" i="8"/>
  <c r="U22" i="8"/>
  <c r="U72" i="8"/>
  <c r="U97" i="8"/>
  <c r="U22" i="6"/>
  <c r="U45" i="5"/>
  <c r="U94" i="8"/>
  <c r="U44" i="8"/>
  <c r="U69" i="8"/>
  <c r="U19" i="8"/>
  <c r="T294" i="20" s="1"/>
  <c r="U241" i="17"/>
  <c r="U270" i="17"/>
  <c r="U215" i="17"/>
  <c r="U190" i="17"/>
  <c r="X79" i="9"/>
  <c r="BB79" i="9" s="1"/>
  <c r="X83" i="9"/>
  <c r="BB83" i="9" s="1"/>
  <c r="S347" i="20"/>
  <c r="S366" i="20"/>
  <c r="Y132" i="3"/>
  <c r="Y54" i="3" s="1"/>
  <c r="Y157" i="3"/>
  <c r="Z107" i="3"/>
  <c r="BU80" i="20"/>
  <c r="I80" i="20"/>
  <c r="BU270" i="20"/>
  <c r="I270" i="20"/>
  <c r="R3" i="21"/>
  <c r="R7" i="18"/>
  <c r="R34" i="18" s="1"/>
  <c r="R36" i="18" s="1"/>
  <c r="V91" i="17"/>
  <c r="V88" i="17"/>
  <c r="V93" i="17"/>
  <c r="V89" i="17"/>
  <c r="V92" i="17"/>
  <c r="V90" i="17"/>
  <c r="S45" i="16"/>
  <c r="S5" i="16" a="1"/>
  <c r="S5" i="16" s="1"/>
  <c r="R9" i="21" s="1"/>
  <c r="S48" i="16"/>
  <c r="S46" i="16"/>
  <c r="S44" i="16"/>
  <c r="S47" i="16"/>
  <c r="V53" i="9"/>
  <c r="AZ53" i="9" s="1"/>
  <c r="V52" i="9"/>
  <c r="AZ52" i="9" s="1"/>
  <c r="R29" i="6"/>
  <c r="S18" i="16"/>
  <c r="S40" i="16" s="1"/>
  <c r="T48" i="17"/>
  <c r="T45" i="17"/>
  <c r="T44" i="17"/>
  <c r="T47" i="17"/>
  <c r="T46" i="17"/>
  <c r="Z130" i="3" l="1"/>
  <c r="Z52" i="3" s="1"/>
  <c r="AA105" i="3"/>
  <c r="Z155" i="3"/>
  <c r="S44" i="6"/>
  <c r="T4" i="16"/>
  <c r="M17" i="17"/>
  <c r="BJ6" i="9"/>
  <c r="AG6" i="9"/>
  <c r="Y137" i="3"/>
  <c r="Y59" i="3" s="1"/>
  <c r="Z112" i="3"/>
  <c r="Y162" i="3"/>
  <c r="X140" i="3"/>
  <c r="X62" i="3" s="1"/>
  <c r="X165" i="3"/>
  <c r="Y115" i="3"/>
  <c r="Y142" i="3"/>
  <c r="Y64" i="3" s="1"/>
  <c r="Z117" i="3"/>
  <c r="Y167" i="3"/>
  <c r="S277" i="17"/>
  <c r="O13" i="17"/>
  <c r="O14" i="17" s="1"/>
  <c r="O18" i="17" s="1"/>
  <c r="O16" i="17" s="1"/>
  <c r="O20" i="17" s="1"/>
  <c r="N21" i="21" s="1"/>
  <c r="N19" i="17"/>
  <c r="L367" i="20" s="1"/>
  <c r="L374" i="20" s="1"/>
  <c r="BX365" i="20" s="1"/>
  <c r="S43" i="6"/>
  <c r="T272" i="17"/>
  <c r="T277" i="17" s="1"/>
  <c r="T273" i="17"/>
  <c r="R278" i="17"/>
  <c r="R285" i="17" s="1"/>
  <c r="R286" i="17" s="1"/>
  <c r="R290" i="17" s="1"/>
  <c r="S274" i="17"/>
  <c r="AY175" i="20"/>
  <c r="R112" i="17"/>
  <c r="R117" i="17"/>
  <c r="R110" i="17"/>
  <c r="R111" i="17"/>
  <c r="R115" i="17"/>
  <c r="AY42" i="20"/>
  <c r="R113" i="17"/>
  <c r="R116" i="17"/>
  <c r="T57" i="17"/>
  <c r="R99" i="17"/>
  <c r="R109" i="17"/>
  <c r="R114" i="17"/>
  <c r="AY61" i="20"/>
  <c r="R103" i="17"/>
  <c r="T60" i="17"/>
  <c r="AY137" i="20"/>
  <c r="R118" i="17"/>
  <c r="R100" i="17"/>
  <c r="R101" i="17"/>
  <c r="AY23" i="20"/>
  <c r="R104" i="17"/>
  <c r="Q288" i="17"/>
  <c r="R106" i="17"/>
  <c r="R107" i="17"/>
  <c r="R102" i="17"/>
  <c r="R108" i="17"/>
  <c r="AY251" i="20"/>
  <c r="AY232" i="20"/>
  <c r="AB11" i="18"/>
  <c r="AB44" i="18" s="1"/>
  <c r="P387" i="20"/>
  <c r="AV384" i="20" s="1"/>
  <c r="Q290" i="17"/>
  <c r="AY213" i="20"/>
  <c r="AY118" i="20"/>
  <c r="R8" i="17"/>
  <c r="AY99" i="20"/>
  <c r="AY80" i="20"/>
  <c r="T58" i="17"/>
  <c r="T59" i="17"/>
  <c r="AY289" i="20"/>
  <c r="AY194" i="20"/>
  <c r="AY156" i="20"/>
  <c r="AY327" i="20"/>
  <c r="AY270" i="20"/>
  <c r="AY308" i="20"/>
  <c r="S10" i="17"/>
  <c r="S11" i="17" s="1"/>
  <c r="S245" i="17"/>
  <c r="S246" i="17" s="1"/>
  <c r="V235" i="17"/>
  <c r="V209" i="17"/>
  <c r="V184" i="17"/>
  <c r="V264" i="17"/>
  <c r="Y78" i="9"/>
  <c r="BC78" i="9" s="1"/>
  <c r="T239" i="20" s="1"/>
  <c r="T235" i="20" s="1"/>
  <c r="T233" i="20"/>
  <c r="Y163" i="3"/>
  <c r="Z113" i="3"/>
  <c r="Y138" i="3"/>
  <c r="Y60" i="3" s="1"/>
  <c r="Z152" i="3"/>
  <c r="AA102" i="3"/>
  <c r="Z127" i="3"/>
  <c r="Z49" i="3" s="1"/>
  <c r="V23" i="6"/>
  <c r="V95" i="8"/>
  <c r="V70" i="8"/>
  <c r="V46" i="5"/>
  <c r="V45" i="8"/>
  <c r="V20" i="8"/>
  <c r="U313" i="20" s="1"/>
  <c r="W58" i="16"/>
  <c r="BV80" i="20"/>
  <c r="J80" i="20"/>
  <c r="BV289" i="20"/>
  <c r="J289" i="20"/>
  <c r="V255" i="17"/>
  <c r="V226" i="17"/>
  <c r="V200" i="17"/>
  <c r="V175" i="17"/>
  <c r="Y72" i="9"/>
  <c r="BC72" i="9" s="1"/>
  <c r="T68" i="20" s="1"/>
  <c r="T64" i="20" s="1"/>
  <c r="T62" i="20"/>
  <c r="Y173" i="3"/>
  <c r="X174" i="3"/>
  <c r="V261" i="17"/>
  <c r="V232" i="17"/>
  <c r="V181" i="17"/>
  <c r="V206" i="17"/>
  <c r="Y75" i="9"/>
  <c r="BC75" i="9" s="1"/>
  <c r="T182" i="20" s="1"/>
  <c r="T178" i="20" s="1"/>
  <c r="T176" i="20"/>
  <c r="U36" i="6"/>
  <c r="BV327" i="20"/>
  <c r="J327" i="20"/>
  <c r="V185" i="17"/>
  <c r="V210" i="17"/>
  <c r="V265" i="17"/>
  <c r="V236" i="17"/>
  <c r="T258" i="20"/>
  <c r="T254" i="20" s="1"/>
  <c r="T252" i="20"/>
  <c r="U38" i="6"/>
  <c r="R8" i="21"/>
  <c r="R10" i="21" s="1"/>
  <c r="S6" i="16"/>
  <c r="V257" i="17"/>
  <c r="V228" i="17"/>
  <c r="V202" i="17"/>
  <c r="V177" i="17"/>
  <c r="Y74" i="9"/>
  <c r="BC74" i="9" s="1"/>
  <c r="T106" i="20" s="1"/>
  <c r="T102" i="20" s="1"/>
  <c r="T100" i="20"/>
  <c r="R11" i="20"/>
  <c r="R391" i="20" s="1"/>
  <c r="BA150" i="9"/>
  <c r="T279" i="17" s="1"/>
  <c r="V263" i="17"/>
  <c r="V208" i="17"/>
  <c r="V234" i="17"/>
  <c r="V183" i="17"/>
  <c r="Y77" i="9"/>
  <c r="BC77" i="9" s="1"/>
  <c r="T220" i="20" s="1"/>
  <c r="T216" i="20" s="1"/>
  <c r="T214" i="20"/>
  <c r="U37" i="6"/>
  <c r="P292" i="17"/>
  <c r="P13" i="17"/>
  <c r="P14" i="17" s="1"/>
  <c r="P18" i="17" s="1"/>
  <c r="V11" i="6"/>
  <c r="V83" i="8"/>
  <c r="V34" i="5"/>
  <c r="V58" i="8"/>
  <c r="V33" i="8"/>
  <c r="V8" i="8"/>
  <c r="U85" i="20" s="1"/>
  <c r="J386" i="20"/>
  <c r="K4" i="21" s="1"/>
  <c r="K5" i="21" s="1"/>
  <c r="K15" i="21" s="1"/>
  <c r="J13" i="20"/>
  <c r="U252" i="17"/>
  <c r="U223" i="17"/>
  <c r="U243" i="17" s="1"/>
  <c r="U197" i="17"/>
  <c r="U217" i="17" s="1"/>
  <c r="U172" i="17"/>
  <c r="U192" i="17" s="1"/>
  <c r="T27" i="6"/>
  <c r="X69" i="9"/>
  <c r="BB69" i="9" s="1"/>
  <c r="S5" i="20"/>
  <c r="T32" i="6"/>
  <c r="V254" i="17"/>
  <c r="V199" i="17"/>
  <c r="V225" i="17"/>
  <c r="V174" i="17"/>
  <c r="T43" i="20"/>
  <c r="Y71" i="9"/>
  <c r="BC71" i="9" s="1"/>
  <c r="T49" i="20" s="1"/>
  <c r="T45" i="20" s="1"/>
  <c r="W189" i="3"/>
  <c r="W177" i="3"/>
  <c r="W187" i="3"/>
  <c r="W179" i="3"/>
  <c r="W192" i="3"/>
  <c r="W176" i="3"/>
  <c r="W184" i="3"/>
  <c r="W181" i="3"/>
  <c r="W194" i="3"/>
  <c r="W178" i="3"/>
  <c r="W186" i="3"/>
  <c r="W175" i="3"/>
  <c r="W191" i="3"/>
  <c r="W183" i="3"/>
  <c r="W185" i="3"/>
  <c r="W190" i="3"/>
  <c r="W180" i="3"/>
  <c r="W193" i="3"/>
  <c r="W70" i="3"/>
  <c r="W188" i="3"/>
  <c r="W182" i="3"/>
  <c r="Z101" i="3"/>
  <c r="Y151" i="3"/>
  <c r="Y126" i="3"/>
  <c r="Y48" i="3" s="1"/>
  <c r="AY346" i="20"/>
  <c r="V230" i="17"/>
  <c r="V179" i="17"/>
  <c r="V259" i="17"/>
  <c r="V204" i="17"/>
  <c r="T144" i="20"/>
  <c r="T140" i="20" s="1"/>
  <c r="T138" i="20"/>
  <c r="R385" i="20"/>
  <c r="R389" i="20"/>
  <c r="S7" i="21" s="1"/>
  <c r="V12" i="6"/>
  <c r="V9" i="8"/>
  <c r="U104" i="20" s="1"/>
  <c r="V35" i="5"/>
  <c r="V59" i="8"/>
  <c r="V84" i="8"/>
  <c r="V34" i="8"/>
  <c r="V87" i="8"/>
  <c r="V62" i="8"/>
  <c r="V37" i="8"/>
  <c r="V38" i="5"/>
  <c r="V12" i="8"/>
  <c r="U161" i="20" s="1"/>
  <c r="BV99" i="20"/>
  <c r="J99" i="20"/>
  <c r="J308" i="20"/>
  <c r="BV308" i="20"/>
  <c r="U7" i="6"/>
  <c r="U30" i="5"/>
  <c r="U29" i="8"/>
  <c r="U49" i="8" s="1"/>
  <c r="U8" i="18" s="1"/>
  <c r="U41" i="18" s="1"/>
  <c r="U54" i="8"/>
  <c r="U74" i="8" s="1"/>
  <c r="U4" i="8"/>
  <c r="U79" i="8"/>
  <c r="U99" i="8" s="1"/>
  <c r="U10" i="18" s="1"/>
  <c r="U43" i="18" s="1"/>
  <c r="Z110" i="3"/>
  <c r="Y135" i="3"/>
  <c r="Y57" i="3" s="1"/>
  <c r="Y160" i="3"/>
  <c r="T56" i="17"/>
  <c r="T51" i="17"/>
  <c r="S3" i="21"/>
  <c r="S7" i="18"/>
  <c r="S34" i="18" s="1"/>
  <c r="S36" i="18" s="1"/>
  <c r="W91" i="17"/>
  <c r="W88" i="17"/>
  <c r="W93" i="17"/>
  <c r="W89" i="17"/>
  <c r="W92" i="17"/>
  <c r="W90" i="17"/>
  <c r="T45" i="16"/>
  <c r="T5" i="16" a="1"/>
  <c r="T5" i="16" s="1"/>
  <c r="S9" i="21" s="1"/>
  <c r="T48" i="16"/>
  <c r="T46" i="16"/>
  <c r="T44" i="16"/>
  <c r="T47" i="16"/>
  <c r="W53" i="9"/>
  <c r="BA53" i="9" s="1"/>
  <c r="W52" i="9"/>
  <c r="BA52" i="9" s="1"/>
  <c r="S29" i="6"/>
  <c r="T18" i="16"/>
  <c r="T40" i="16" s="1"/>
  <c r="U48" i="17"/>
  <c r="U44" i="17"/>
  <c r="U45" i="17"/>
  <c r="U46" i="17"/>
  <c r="U47" i="17"/>
  <c r="U32" i="17"/>
  <c r="U34" i="17"/>
  <c r="U36" i="17"/>
  <c r="U33" i="17"/>
  <c r="U35" i="17"/>
  <c r="V22" i="6"/>
  <c r="V45" i="5"/>
  <c r="V69" i="8"/>
  <c r="V44" i="8"/>
  <c r="V19" i="8"/>
  <c r="U294" i="20" s="1"/>
  <c r="V94" i="8"/>
  <c r="V18" i="6"/>
  <c r="V90" i="8"/>
  <c r="V40" i="8"/>
  <c r="V15" i="8"/>
  <c r="U218" i="20" s="1"/>
  <c r="V65" i="8"/>
  <c r="V41" i="5"/>
  <c r="BV137" i="20"/>
  <c r="J137" i="20"/>
  <c r="BV365" i="20"/>
  <c r="J397" i="20"/>
  <c r="AA434" i="20"/>
  <c r="AA432" i="20" s="1"/>
  <c r="AE123" i="3"/>
  <c r="AE45" i="3" s="1"/>
  <c r="AD45" i="3"/>
  <c r="V176" i="17"/>
  <c r="V256" i="17"/>
  <c r="V227" i="17"/>
  <c r="V201" i="17"/>
  <c r="Y73" i="9"/>
  <c r="BC73" i="9" s="1"/>
  <c r="T87" i="20" s="1"/>
  <c r="T83" i="20" s="1"/>
  <c r="T81" i="20"/>
  <c r="U34" i="6"/>
  <c r="V267" i="17"/>
  <c r="V238" i="17"/>
  <c r="V212" i="17"/>
  <c r="V187" i="17"/>
  <c r="Y80" i="9"/>
  <c r="BC80" i="9" s="1"/>
  <c r="T296" i="20" s="1"/>
  <c r="T292" i="20" s="1"/>
  <c r="T290" i="20"/>
  <c r="AA116" i="3"/>
  <c r="Z141" i="3"/>
  <c r="Z63" i="3" s="1"/>
  <c r="Z166" i="3"/>
  <c r="Z128" i="3"/>
  <c r="Z50" i="3" s="1"/>
  <c r="AA103" i="3"/>
  <c r="Z153" i="3"/>
  <c r="Q407" i="20"/>
  <c r="Q405" i="20" s="1"/>
  <c r="Q404" i="20" s="1"/>
  <c r="Q403" i="20" s="1"/>
  <c r="AW403" i="20" s="1"/>
  <c r="AZ149" i="9"/>
  <c r="S280" i="17" s="1"/>
  <c r="S278" i="17" s="1"/>
  <c r="V9" i="6"/>
  <c r="V56" i="8"/>
  <c r="V31" i="8"/>
  <c r="V81" i="8"/>
  <c r="V32" i="5"/>
  <c r="V6" i="8"/>
  <c r="U47" i="20" s="1"/>
  <c r="V16" i="6"/>
  <c r="V38" i="8"/>
  <c r="V88" i="8"/>
  <c r="V39" i="5"/>
  <c r="V63" i="8"/>
  <c r="V13" i="8"/>
  <c r="U180" i="20" s="1"/>
  <c r="BV213" i="20"/>
  <c r="J213" i="20"/>
  <c r="AH5" i="9"/>
  <c r="BK5" i="9"/>
  <c r="V188" i="17"/>
  <c r="V268" i="17"/>
  <c r="V239" i="17"/>
  <c r="V213" i="17"/>
  <c r="T309" i="20"/>
  <c r="Y81" i="9"/>
  <c r="BC81" i="9" s="1"/>
  <c r="T315" i="20" s="1"/>
  <c r="T311" i="20" s="1"/>
  <c r="U39" i="6"/>
  <c r="AA106" i="3"/>
  <c r="Z131" i="3"/>
  <c r="Z53" i="3" s="1"/>
  <c r="Z156" i="3"/>
  <c r="AU459" i="20"/>
  <c r="BU4" i="20"/>
  <c r="I4" i="20"/>
  <c r="I384" i="20" s="1"/>
  <c r="I459" i="20" s="1"/>
  <c r="I393" i="20"/>
  <c r="BU384" i="20" s="1"/>
  <c r="V25" i="6"/>
  <c r="V72" i="8"/>
  <c r="V22" i="8"/>
  <c r="V97" i="8"/>
  <c r="V47" i="8"/>
  <c r="V260" i="17"/>
  <c r="V205" i="17"/>
  <c r="V231" i="17"/>
  <c r="V180" i="17"/>
  <c r="T163" i="20"/>
  <c r="T159" i="20" s="1"/>
  <c r="T157" i="20"/>
  <c r="T218" i="17"/>
  <c r="T219" i="17" s="1"/>
  <c r="V17" i="6"/>
  <c r="V14" i="8"/>
  <c r="U199" i="20" s="1"/>
  <c r="V40" i="5"/>
  <c r="V64" i="8"/>
  <c r="V39" i="8"/>
  <c r="V89" i="8"/>
  <c r="V24" i="6"/>
  <c r="V47" i="5"/>
  <c r="V46" i="8"/>
  <c r="V96" i="8"/>
  <c r="V21" i="8"/>
  <c r="U332" i="20" s="1"/>
  <c r="V71" i="8"/>
  <c r="BV156" i="20"/>
  <c r="J156" i="20"/>
  <c r="Q119" i="17"/>
  <c r="S63" i="17"/>
  <c r="S64" i="17" s="1"/>
  <c r="S65" i="17"/>
  <c r="T39" i="17"/>
  <c r="V253" i="17"/>
  <c r="V173" i="17"/>
  <c r="V224" i="17"/>
  <c r="V198" i="17"/>
  <c r="Y70" i="9"/>
  <c r="BC70" i="9" s="1"/>
  <c r="T30" i="20" s="1"/>
  <c r="T26" i="20" s="1"/>
  <c r="T24" i="20"/>
  <c r="U33" i="6"/>
  <c r="V262" i="17"/>
  <c r="V233" i="17"/>
  <c r="V207" i="17"/>
  <c r="V182" i="17"/>
  <c r="Y76" i="9"/>
  <c r="BC76" i="9" s="1"/>
  <c r="T201" i="20" s="1"/>
  <c r="T197" i="20" s="1"/>
  <c r="T195" i="20"/>
  <c r="AY365" i="20"/>
  <c r="V270" i="17"/>
  <c r="V241" i="17"/>
  <c r="V190" i="17"/>
  <c r="V215" i="17"/>
  <c r="Y83" i="9"/>
  <c r="BC83" i="9" s="1"/>
  <c r="Y79" i="9"/>
  <c r="BC79" i="9" s="1"/>
  <c r="T366" i="20"/>
  <c r="T347" i="20"/>
  <c r="V94" i="17"/>
  <c r="Z157" i="3"/>
  <c r="Z132" i="3"/>
  <c r="Z54" i="3" s="1"/>
  <c r="AA107" i="3"/>
  <c r="AA13" i="18"/>
  <c r="AA46" i="18" s="1"/>
  <c r="V43" i="8"/>
  <c r="V18" i="8"/>
  <c r="U275" i="20" s="1"/>
  <c r="V93" i="8"/>
  <c r="V68" i="8"/>
  <c r="V44" i="5"/>
  <c r="V10" i="6"/>
  <c r="V82" i="8"/>
  <c r="V32" i="8"/>
  <c r="V57" i="8"/>
  <c r="V7" i="8"/>
  <c r="U66" i="20" s="1"/>
  <c r="V33" i="5"/>
  <c r="BV194" i="20"/>
  <c r="J194" i="20"/>
  <c r="X139" i="3"/>
  <c r="X61" i="3" s="1"/>
  <c r="Y114" i="3"/>
  <c r="X164" i="3"/>
  <c r="V271" i="17"/>
  <c r="V191" i="17"/>
  <c r="V242" i="17"/>
  <c r="V216" i="17"/>
  <c r="Z158" i="3"/>
  <c r="Z133" i="3"/>
  <c r="Z55" i="3" s="1"/>
  <c r="AA108" i="3"/>
  <c r="U443" i="20"/>
  <c r="U441" i="20" s="1"/>
  <c r="BV23" i="20"/>
  <c r="J23" i="20"/>
  <c r="S49" i="16"/>
  <c r="Q12" i="21"/>
  <c r="Q13" i="21" s="1"/>
  <c r="Q14" i="21" s="1"/>
  <c r="V269" i="17"/>
  <c r="V214" i="17"/>
  <c r="V240" i="17"/>
  <c r="V189" i="17"/>
  <c r="Y82" i="9"/>
  <c r="BC82" i="9" s="1"/>
  <c r="T334" i="20" s="1"/>
  <c r="T330" i="20" s="1"/>
  <c r="T328" i="20"/>
  <c r="U40" i="6"/>
  <c r="T9" i="17"/>
  <c r="V10" i="8"/>
  <c r="U123" i="20" s="1"/>
  <c r="V36" i="5"/>
  <c r="V85" i="8"/>
  <c r="V35" i="8"/>
  <c r="V60" i="8"/>
  <c r="V19" i="6"/>
  <c r="V66" i="8"/>
  <c r="V91" i="8"/>
  <c r="V41" i="8"/>
  <c r="V16" i="8"/>
  <c r="U237" i="20" s="1"/>
  <c r="V42" i="5"/>
  <c r="J175" i="20"/>
  <c r="BV175" i="20"/>
  <c r="AB134" i="3"/>
  <c r="AB56" i="3" s="1"/>
  <c r="AC109" i="3"/>
  <c r="AB159" i="3"/>
  <c r="X56" i="16"/>
  <c r="X54" i="16"/>
  <c r="X57" i="16"/>
  <c r="X55" i="16"/>
  <c r="X53" i="16"/>
  <c r="AA7" i="9"/>
  <c r="V83" i="3"/>
  <c r="W18" i="5" s="1"/>
  <c r="V74" i="3"/>
  <c r="W9" i="5" s="1"/>
  <c r="V88" i="3"/>
  <c r="W23" i="5" s="1"/>
  <c r="V80" i="3"/>
  <c r="W15" i="5" s="1"/>
  <c r="V72" i="3"/>
  <c r="W7" i="5" s="1"/>
  <c r="V90" i="3"/>
  <c r="W25" i="5" s="1"/>
  <c r="V79" i="3"/>
  <c r="W14" i="5" s="1"/>
  <c r="W15" i="6" s="1"/>
  <c r="V75" i="3"/>
  <c r="W10" i="5" s="1"/>
  <c r="V84" i="3"/>
  <c r="W19" i="5" s="1"/>
  <c r="W20" i="6" s="1"/>
  <c r="V73" i="3"/>
  <c r="W8" i="5" s="1"/>
  <c r="V87" i="3"/>
  <c r="W22" i="5" s="1"/>
  <c r="V78" i="3"/>
  <c r="W13" i="5" s="1"/>
  <c r="W14" i="6" s="1"/>
  <c r="V71" i="3"/>
  <c r="W6" i="5" s="1"/>
  <c r="V77" i="3"/>
  <c r="W12" i="5" s="1"/>
  <c r="W13" i="6" s="1"/>
  <c r="V89" i="3"/>
  <c r="W24" i="5" s="1"/>
  <c r="V82" i="3"/>
  <c r="W17" i="5" s="1"/>
  <c r="V81" i="3"/>
  <c r="W16" i="5" s="1"/>
  <c r="V86" i="3"/>
  <c r="W21" i="5" s="1"/>
  <c r="V85" i="3"/>
  <c r="W20" i="5" s="1"/>
  <c r="W21" i="6" s="1"/>
  <c r="V76" i="3"/>
  <c r="W11" i="5" s="1"/>
  <c r="V258" i="17"/>
  <c r="V203" i="17"/>
  <c r="V229" i="17"/>
  <c r="V178" i="17"/>
  <c r="T125" i="20"/>
  <c r="T121" i="20" s="1"/>
  <c r="T119" i="20"/>
  <c r="U35" i="6"/>
  <c r="Q7" i="20"/>
  <c r="V17" i="8"/>
  <c r="U256" i="20" s="1"/>
  <c r="V67" i="8"/>
  <c r="V42" i="8"/>
  <c r="V92" i="8"/>
  <c r="V43" i="5"/>
  <c r="V37" i="5"/>
  <c r="V36" i="8"/>
  <c r="V61" i="8"/>
  <c r="V11" i="8"/>
  <c r="U142" i="20" s="1"/>
  <c r="V86" i="8"/>
  <c r="J61" i="20"/>
  <c r="BV61" i="20"/>
  <c r="BV232" i="20"/>
  <c r="J232" i="20"/>
  <c r="K329" i="20"/>
  <c r="K336" i="20" s="1"/>
  <c r="K367" i="20"/>
  <c r="K374" i="20" s="1"/>
  <c r="BW365" i="20" s="1"/>
  <c r="K291" i="20"/>
  <c r="K298" i="20" s="1"/>
  <c r="K310" i="20"/>
  <c r="K317" i="20" s="1"/>
  <c r="K348" i="20"/>
  <c r="K355" i="20" s="1"/>
  <c r="BW346" i="20" s="1"/>
  <c r="K272" i="20"/>
  <c r="K279" i="20" s="1"/>
  <c r="K253" i="20"/>
  <c r="K260" i="20" s="1"/>
  <c r="K234" i="20"/>
  <c r="K241" i="20" s="1"/>
  <c r="K120" i="20"/>
  <c r="K127" i="20" s="1"/>
  <c r="K177" i="20"/>
  <c r="K184" i="20" s="1"/>
  <c r="K196" i="20"/>
  <c r="K203" i="20" s="1"/>
  <c r="K158" i="20"/>
  <c r="K165" i="20" s="1"/>
  <c r="K215" i="20"/>
  <c r="K222" i="20" s="1"/>
  <c r="K139" i="20"/>
  <c r="K146" i="20" s="1"/>
  <c r="K63" i="20"/>
  <c r="K70" i="20" s="1"/>
  <c r="K6" i="20"/>
  <c r="K101" i="20"/>
  <c r="K108" i="20" s="1"/>
  <c r="K82" i="20"/>
  <c r="K89" i="20" s="1"/>
  <c r="K44" i="20"/>
  <c r="K51" i="20" s="1"/>
  <c r="K25" i="20"/>
  <c r="K32" i="20" s="1"/>
  <c r="M21" i="17"/>
  <c r="L14" i="18" s="1"/>
  <c r="L47" i="18" s="1"/>
  <c r="V266" i="17"/>
  <c r="V237" i="17"/>
  <c r="V211" i="17"/>
  <c r="V186" i="17"/>
  <c r="T277" i="20"/>
  <c r="T273" i="20" s="1"/>
  <c r="T271" i="20"/>
  <c r="V6" i="5"/>
  <c r="U67" i="3"/>
  <c r="V26" i="6"/>
  <c r="V23" i="8"/>
  <c r="V73" i="8"/>
  <c r="V98" i="8"/>
  <c r="V48" i="8"/>
  <c r="BV118" i="20"/>
  <c r="J118" i="20"/>
  <c r="BV251" i="20"/>
  <c r="J251" i="20"/>
  <c r="Y129" i="3"/>
  <c r="Y51" i="3" s="1"/>
  <c r="Y154" i="3"/>
  <c r="Z104" i="3"/>
  <c r="T24" i="8"/>
  <c r="S9" i="20"/>
  <c r="V8" i="6"/>
  <c r="V5" i="8"/>
  <c r="U28" i="20" s="1"/>
  <c r="V31" i="5"/>
  <c r="V55" i="8"/>
  <c r="V80" i="8"/>
  <c r="V30" i="8"/>
  <c r="BV42" i="20"/>
  <c r="J42" i="20"/>
  <c r="BV270" i="20"/>
  <c r="J270" i="20"/>
  <c r="Z136" i="3"/>
  <c r="Z58" i="3" s="1"/>
  <c r="AA111" i="3"/>
  <c r="Z161" i="3"/>
  <c r="AB105" i="3" l="1"/>
  <c r="AA155" i="3"/>
  <c r="AA130" i="3"/>
  <c r="AA52" i="3" s="1"/>
  <c r="T44" i="6"/>
  <c r="U4" i="16"/>
  <c r="T12" i="17"/>
  <c r="Z142" i="3"/>
  <c r="Z64" i="3" s="1"/>
  <c r="Z167" i="3"/>
  <c r="AA117" i="3"/>
  <c r="Y140" i="3"/>
  <c r="Y62" i="3" s="1"/>
  <c r="Z115" i="3"/>
  <c r="Y165" i="3"/>
  <c r="Z137" i="3"/>
  <c r="Z59" i="3" s="1"/>
  <c r="Z162" i="3"/>
  <c r="AA112" i="3"/>
  <c r="BK6" i="9"/>
  <c r="AH6" i="9"/>
  <c r="S285" i="17"/>
  <c r="S286" i="17" s="1"/>
  <c r="S290" i="17" s="1"/>
  <c r="L348" i="20"/>
  <c r="L355" i="20" s="1"/>
  <c r="BX346" i="20" s="1"/>
  <c r="N21" i="17"/>
  <c r="M14" i="18" s="1"/>
  <c r="M47" i="18" s="1"/>
  <c r="M48" i="18" s="1"/>
  <c r="M50" i="18" s="1"/>
  <c r="L63" i="20"/>
  <c r="L70" i="20" s="1"/>
  <c r="L61" i="20" s="1"/>
  <c r="L177" i="20"/>
  <c r="L184" i="20" s="1"/>
  <c r="L175" i="20" s="1"/>
  <c r="L139" i="20"/>
  <c r="L146" i="20" s="1"/>
  <c r="BX137" i="20" s="1"/>
  <c r="L215" i="20"/>
  <c r="L222" i="20" s="1"/>
  <c r="BX213" i="20" s="1"/>
  <c r="L158" i="20"/>
  <c r="L165" i="20" s="1"/>
  <c r="L156" i="20" s="1"/>
  <c r="L234" i="20"/>
  <c r="L241" i="20" s="1"/>
  <c r="BX232" i="20" s="1"/>
  <c r="L272" i="20"/>
  <c r="L279" i="20" s="1"/>
  <c r="L270" i="20" s="1"/>
  <c r="L25" i="20"/>
  <c r="L32" i="20" s="1"/>
  <c r="L23" i="20" s="1"/>
  <c r="L291" i="20"/>
  <c r="L298" i="20" s="1"/>
  <c r="BX289" i="20" s="1"/>
  <c r="L82" i="20"/>
  <c r="L89" i="20" s="1"/>
  <c r="L80" i="20" s="1"/>
  <c r="L310" i="20"/>
  <c r="L317" i="20" s="1"/>
  <c r="BX308" i="20" s="1"/>
  <c r="L120" i="20"/>
  <c r="L127" i="20" s="1"/>
  <c r="L118" i="20" s="1"/>
  <c r="L253" i="20"/>
  <c r="L260" i="20" s="1"/>
  <c r="L251" i="20" s="1"/>
  <c r="O15" i="17"/>
  <c r="L6" i="20"/>
  <c r="L13" i="20" s="1"/>
  <c r="L196" i="20"/>
  <c r="L203" i="20" s="1"/>
  <c r="BX194" i="20" s="1"/>
  <c r="L329" i="20"/>
  <c r="L336" i="20" s="1"/>
  <c r="L327" i="20" s="1"/>
  <c r="L44" i="20"/>
  <c r="L51" i="20" s="1"/>
  <c r="L42" i="20" s="1"/>
  <c r="L101" i="20"/>
  <c r="L108" i="20" s="1"/>
  <c r="BX99" i="20" s="1"/>
  <c r="T43" i="6"/>
  <c r="R288" i="17"/>
  <c r="R289" i="17"/>
  <c r="U272" i="17"/>
  <c r="U277" i="17" s="1"/>
  <c r="U273" i="17"/>
  <c r="T274" i="17"/>
  <c r="AZ99" i="20"/>
  <c r="AZ175" i="20"/>
  <c r="R119" i="17"/>
  <c r="Q291" i="17"/>
  <c r="Q292" i="17" s="1"/>
  <c r="AZ289" i="20"/>
  <c r="AZ137" i="20"/>
  <c r="AZ61" i="20"/>
  <c r="AZ213" i="20"/>
  <c r="AV459" i="20"/>
  <c r="AB13" i="18"/>
  <c r="AB46" i="18" s="1"/>
  <c r="AZ118" i="20"/>
  <c r="T49" i="16"/>
  <c r="AC11" i="18"/>
  <c r="AC44" i="18" s="1"/>
  <c r="AZ251" i="20"/>
  <c r="AZ194" i="20"/>
  <c r="AZ80" i="20"/>
  <c r="AZ23" i="20"/>
  <c r="U39" i="17"/>
  <c r="AZ327" i="20"/>
  <c r="U59" i="17"/>
  <c r="U58" i="17"/>
  <c r="AZ156" i="20"/>
  <c r="U57" i="17"/>
  <c r="AZ232" i="20"/>
  <c r="X58" i="16"/>
  <c r="T10" i="17"/>
  <c r="T11" i="17" s="1"/>
  <c r="T245" i="17"/>
  <c r="T246" i="17" s="1"/>
  <c r="BW23" i="20"/>
  <c r="K23" i="20"/>
  <c r="W211" i="17"/>
  <c r="W266" i="17"/>
  <c r="W186" i="17"/>
  <c r="W237" i="17"/>
  <c r="U277" i="20"/>
  <c r="U273" i="20" s="1"/>
  <c r="U271" i="20"/>
  <c r="AB434" i="20"/>
  <c r="AB432" i="20" s="1"/>
  <c r="U24" i="8"/>
  <c r="T9" i="20"/>
  <c r="Z126" i="3"/>
  <c r="Z48" i="3" s="1"/>
  <c r="Z151" i="3"/>
  <c r="AA101" i="3"/>
  <c r="W256" i="17"/>
  <c r="W227" i="17"/>
  <c r="W176" i="17"/>
  <c r="W201" i="17"/>
  <c r="Z73" i="9"/>
  <c r="BD73" i="9" s="1"/>
  <c r="U87" i="20" s="1"/>
  <c r="U83" i="20" s="1"/>
  <c r="U81" i="20"/>
  <c r="V34" i="6"/>
  <c r="W239" i="17"/>
  <c r="W268" i="17"/>
  <c r="W213" i="17"/>
  <c r="W188" i="17"/>
  <c r="Z81" i="9"/>
  <c r="BD81" i="9" s="1"/>
  <c r="U315" i="20" s="1"/>
  <c r="U311" i="20" s="1"/>
  <c r="U309" i="20"/>
  <c r="V39" i="6"/>
  <c r="W25" i="6"/>
  <c r="W97" i="8"/>
  <c r="W47" i="8"/>
  <c r="W22" i="8"/>
  <c r="W72" i="8"/>
  <c r="W8" i="6"/>
  <c r="W5" i="8"/>
  <c r="V28" i="20" s="1"/>
  <c r="W30" i="8"/>
  <c r="W55" i="8"/>
  <c r="W31" i="5"/>
  <c r="W80" i="8"/>
  <c r="AZ270" i="20"/>
  <c r="BL5" i="9"/>
  <c r="AI5" i="9"/>
  <c r="AA128" i="3"/>
  <c r="AA50" i="3" s="1"/>
  <c r="AA153" i="3"/>
  <c r="AB103" i="3"/>
  <c r="P16" i="17"/>
  <c r="P20" i="17" s="1"/>
  <c r="O21" i="21" s="1"/>
  <c r="P15" i="17"/>
  <c r="BW213" i="20"/>
  <c r="K213" i="20"/>
  <c r="W18" i="6"/>
  <c r="W41" i="5"/>
  <c r="W15" i="8"/>
  <c r="V218" i="20" s="1"/>
  <c r="W65" i="8"/>
  <c r="W90" i="8"/>
  <c r="W40" i="8"/>
  <c r="BW251" i="20"/>
  <c r="K251" i="20"/>
  <c r="BW270" i="20"/>
  <c r="K270" i="20"/>
  <c r="AZ42" i="20"/>
  <c r="W36" i="5"/>
  <c r="W85" i="8"/>
  <c r="W35" i="8"/>
  <c r="W60" i="8"/>
  <c r="W10" i="8"/>
  <c r="V123" i="20" s="1"/>
  <c r="W205" i="17"/>
  <c r="W260" i="17"/>
  <c r="W231" i="17"/>
  <c r="W180" i="17"/>
  <c r="U163" i="20"/>
  <c r="U159" i="20" s="1"/>
  <c r="U157" i="20"/>
  <c r="AA152" i="3"/>
  <c r="AB102" i="3"/>
  <c r="AA127" i="3"/>
  <c r="AA49" i="3" s="1"/>
  <c r="BW232" i="20"/>
  <c r="K232" i="20"/>
  <c r="W229" i="17"/>
  <c r="W258" i="17"/>
  <c r="W203" i="17"/>
  <c r="W178" i="17"/>
  <c r="U125" i="20"/>
  <c r="U121" i="20" s="1"/>
  <c r="U119" i="20"/>
  <c r="V35" i="6"/>
  <c r="BW42" i="20"/>
  <c r="K42" i="20"/>
  <c r="BW80" i="20"/>
  <c r="K80" i="20"/>
  <c r="W16" i="6"/>
  <c r="W39" i="5"/>
  <c r="W38" i="8"/>
  <c r="W63" i="8"/>
  <c r="W88" i="8"/>
  <c r="W13" i="8"/>
  <c r="V180" i="20" s="1"/>
  <c r="W7" i="6"/>
  <c r="W79" i="8"/>
  <c r="W29" i="8"/>
  <c r="W30" i="5"/>
  <c r="W54" i="8"/>
  <c r="W4" i="8"/>
  <c r="W24" i="6"/>
  <c r="W46" i="8"/>
  <c r="W21" i="8"/>
  <c r="V332" i="20" s="1"/>
  <c r="W71" i="8"/>
  <c r="W47" i="5"/>
  <c r="W96" i="8"/>
  <c r="U56" i="17"/>
  <c r="U51" i="17"/>
  <c r="Y56" i="16"/>
  <c r="Y54" i="16"/>
  <c r="Y57" i="16"/>
  <c r="Y55" i="16"/>
  <c r="Y53" i="16"/>
  <c r="AB7" i="9"/>
  <c r="W88" i="3"/>
  <c r="X23" i="5" s="1"/>
  <c r="W80" i="3"/>
  <c r="X15" i="5" s="1"/>
  <c r="W72" i="3"/>
  <c r="X7" i="5" s="1"/>
  <c r="W85" i="3"/>
  <c r="X20" i="5" s="1"/>
  <c r="X21" i="6" s="1"/>
  <c r="W77" i="3"/>
  <c r="X12" i="5" s="1"/>
  <c r="X13" i="6" s="1"/>
  <c r="W87" i="3"/>
  <c r="X22" i="5" s="1"/>
  <c r="W81" i="3"/>
  <c r="X16" i="5" s="1"/>
  <c r="W84" i="3"/>
  <c r="X19" i="5" s="1"/>
  <c r="X20" i="6" s="1"/>
  <c r="W73" i="3"/>
  <c r="X8" i="5" s="1"/>
  <c r="W78" i="3"/>
  <c r="X13" i="5" s="1"/>
  <c r="X14" i="6" s="1"/>
  <c r="W71" i="3"/>
  <c r="X6" i="5" s="1"/>
  <c r="W83" i="3"/>
  <c r="X18" i="5" s="1"/>
  <c r="W82" i="3"/>
  <c r="X17" i="5" s="1"/>
  <c r="W89" i="3"/>
  <c r="X24" i="5" s="1"/>
  <c r="W74" i="3"/>
  <c r="X9" i="5" s="1"/>
  <c r="W90" i="3"/>
  <c r="X25" i="5" s="1"/>
  <c r="W86" i="3"/>
  <c r="X21" i="5" s="1"/>
  <c r="W75" i="3"/>
  <c r="X10" i="5" s="1"/>
  <c r="W79" i="3"/>
  <c r="X14" i="5" s="1"/>
  <c r="X15" i="6" s="1"/>
  <c r="W76" i="3"/>
  <c r="X11" i="5" s="1"/>
  <c r="BW327" i="20"/>
  <c r="K327" i="20"/>
  <c r="W9" i="6"/>
  <c r="W31" i="8"/>
  <c r="W56" i="8"/>
  <c r="W81" i="8"/>
  <c r="W32" i="5"/>
  <c r="W6" i="8"/>
  <c r="V47" i="20" s="1"/>
  <c r="BE7" i="9"/>
  <c r="S389" i="20"/>
  <c r="T7" i="21" s="1"/>
  <c r="W208" i="17"/>
  <c r="W234" i="17"/>
  <c r="W183" i="17"/>
  <c r="W263" i="17"/>
  <c r="U214" i="20"/>
  <c r="Z77" i="9"/>
  <c r="BD77" i="9" s="1"/>
  <c r="U220" i="20" s="1"/>
  <c r="U216" i="20" s="1"/>
  <c r="V37" i="6"/>
  <c r="BW99" i="20"/>
  <c r="K99" i="20"/>
  <c r="W230" i="17"/>
  <c r="W259" i="17"/>
  <c r="W179" i="17"/>
  <c r="W204" i="17"/>
  <c r="U138" i="20"/>
  <c r="U144" i="20"/>
  <c r="U140" i="20" s="1"/>
  <c r="V7" i="6"/>
  <c r="V30" i="5"/>
  <c r="V54" i="8"/>
  <c r="V74" i="8" s="1"/>
  <c r="V29" i="8"/>
  <c r="V49" i="8" s="1"/>
  <c r="V8" i="18" s="1"/>
  <c r="V41" i="18" s="1"/>
  <c r="V4" i="8"/>
  <c r="V79" i="8"/>
  <c r="V99" i="8" s="1"/>
  <c r="V10" i="18" s="1"/>
  <c r="V43" i="18" s="1"/>
  <c r="K386" i="20"/>
  <c r="L4" i="21" s="1"/>
  <c r="L5" i="21" s="1"/>
  <c r="L15" i="21" s="1"/>
  <c r="K13" i="20"/>
  <c r="BW308" i="20"/>
  <c r="K308" i="20"/>
  <c r="W37" i="5"/>
  <c r="W36" i="8"/>
  <c r="W86" i="8"/>
  <c r="W11" i="8"/>
  <c r="V142" i="20" s="1"/>
  <c r="W61" i="8"/>
  <c r="W10" i="6"/>
  <c r="W33" i="5"/>
  <c r="W7" i="8"/>
  <c r="V66" i="20" s="1"/>
  <c r="W82" i="8"/>
  <c r="W57" i="8"/>
  <c r="W32" i="8"/>
  <c r="W262" i="17"/>
  <c r="W233" i="17"/>
  <c r="W207" i="17"/>
  <c r="W182" i="17"/>
  <c r="Z76" i="9"/>
  <c r="BD76" i="9" s="1"/>
  <c r="U201" i="20" s="1"/>
  <c r="U197" i="20" s="1"/>
  <c r="U195" i="20"/>
  <c r="W254" i="17"/>
  <c r="W174" i="17"/>
  <c r="W225" i="17"/>
  <c r="W199" i="17"/>
  <c r="Z71" i="9"/>
  <c r="BD71" i="9" s="1"/>
  <c r="U49" i="20" s="1"/>
  <c r="U45" i="20" s="1"/>
  <c r="U43" i="20"/>
  <c r="U60" i="17"/>
  <c r="V252" i="17"/>
  <c r="V223" i="17"/>
  <c r="V243" i="17" s="1"/>
  <c r="V197" i="17"/>
  <c r="V217" i="17" s="1"/>
  <c r="V172" i="17"/>
  <c r="V192" i="17" s="1"/>
  <c r="U27" i="6"/>
  <c r="T5" i="20"/>
  <c r="Y69" i="9"/>
  <c r="BC69" i="9" s="1"/>
  <c r="U32" i="6"/>
  <c r="BV4" i="20"/>
  <c r="J4" i="20"/>
  <c r="J384" i="20" s="1"/>
  <c r="J459" i="20" s="1"/>
  <c r="J393" i="20"/>
  <c r="BV384" i="20" s="1"/>
  <c r="AW4" i="20"/>
  <c r="Q387" i="20"/>
  <c r="AW384" i="20" s="1"/>
  <c r="W17" i="6"/>
  <c r="W14" i="8"/>
  <c r="V199" i="20" s="1"/>
  <c r="W40" i="5"/>
  <c r="W39" i="8"/>
  <c r="W89" i="8"/>
  <c r="W64" i="8"/>
  <c r="W26" i="6"/>
  <c r="W23" i="8"/>
  <c r="W98" i="8"/>
  <c r="W48" i="8"/>
  <c r="W73" i="8"/>
  <c r="W19" i="6"/>
  <c r="W16" i="8"/>
  <c r="V237" i="20" s="1"/>
  <c r="W42" i="5"/>
  <c r="W91" i="8"/>
  <c r="W66" i="8"/>
  <c r="W41" i="8"/>
  <c r="AA157" i="3"/>
  <c r="AA132" i="3"/>
  <c r="AA54" i="3" s="1"/>
  <c r="AB107" i="3"/>
  <c r="AB106" i="3"/>
  <c r="AA156" i="3"/>
  <c r="AA131" i="3"/>
  <c r="AA53" i="3" s="1"/>
  <c r="AA141" i="3"/>
  <c r="AA63" i="3" s="1"/>
  <c r="AA166" i="3"/>
  <c r="AB116" i="3"/>
  <c r="W267" i="17"/>
  <c r="W238" i="17"/>
  <c r="W212" i="17"/>
  <c r="W187" i="17"/>
  <c r="U290" i="20"/>
  <c r="Z80" i="9"/>
  <c r="BD80" i="9" s="1"/>
  <c r="U296" i="20" s="1"/>
  <c r="U292" i="20" s="1"/>
  <c r="T63" i="17"/>
  <c r="T64" i="17" s="1"/>
  <c r="T65" i="17"/>
  <c r="S385" i="20"/>
  <c r="Z163" i="3"/>
  <c r="AA113" i="3"/>
  <c r="Z138" i="3"/>
  <c r="Z60" i="3" s="1"/>
  <c r="BW118" i="20"/>
  <c r="K118" i="20"/>
  <c r="V32" i="17"/>
  <c r="V34" i="17"/>
  <c r="V36" i="17"/>
  <c r="V33" i="17"/>
  <c r="V35" i="17"/>
  <c r="Z129" i="3"/>
  <c r="Z51" i="3" s="1"/>
  <c r="Z154" i="3"/>
  <c r="AA104" i="3"/>
  <c r="W271" i="17"/>
  <c r="W216" i="17"/>
  <c r="W242" i="17"/>
  <c r="W191" i="17"/>
  <c r="BW61" i="20"/>
  <c r="K61" i="20"/>
  <c r="BW289" i="20"/>
  <c r="K289" i="20"/>
  <c r="BW137" i="20"/>
  <c r="K137" i="20"/>
  <c r="W23" i="6"/>
  <c r="W95" i="8"/>
  <c r="W45" i="8"/>
  <c r="W46" i="5"/>
  <c r="W20" i="8"/>
  <c r="V313" i="20" s="1"/>
  <c r="W70" i="8"/>
  <c r="W235" i="17"/>
  <c r="W209" i="17"/>
  <c r="W264" i="17"/>
  <c r="W184" i="17"/>
  <c r="Z78" i="9"/>
  <c r="BD78" i="9" s="1"/>
  <c r="U239" i="20" s="1"/>
  <c r="U235" i="20" s="1"/>
  <c r="U233" i="20"/>
  <c r="W200" i="17"/>
  <c r="W175" i="17"/>
  <c r="W226" i="17"/>
  <c r="W255" i="17"/>
  <c r="U62" i="20"/>
  <c r="Z72" i="9"/>
  <c r="BD72" i="9" s="1"/>
  <c r="U68" i="20" s="1"/>
  <c r="U64" i="20" s="1"/>
  <c r="S11" i="20"/>
  <c r="S391" i="20" s="1"/>
  <c r="BB150" i="9"/>
  <c r="U279" i="17" s="1"/>
  <c r="X194" i="3"/>
  <c r="X182" i="3"/>
  <c r="X179" i="3"/>
  <c r="X192" i="3"/>
  <c r="X176" i="3"/>
  <c r="X184" i="3"/>
  <c r="X70" i="3"/>
  <c r="X189" i="3"/>
  <c r="X181" i="3"/>
  <c r="X178" i="3"/>
  <c r="X186" i="3"/>
  <c r="X175" i="3"/>
  <c r="X191" i="3"/>
  <c r="X183" i="3"/>
  <c r="X188" i="3"/>
  <c r="X180" i="3"/>
  <c r="X185" i="3"/>
  <c r="X190" i="3"/>
  <c r="X177" i="3"/>
  <c r="X193" i="3"/>
  <c r="X187" i="3"/>
  <c r="R407" i="20"/>
  <c r="R405" i="20" s="1"/>
  <c r="R404" i="20" s="1"/>
  <c r="R403" i="20" s="1"/>
  <c r="AX403" i="20" s="1"/>
  <c r="BA149" i="9"/>
  <c r="T280" i="17" s="1"/>
  <c r="T278" i="17" s="1"/>
  <c r="T285" i="17" s="1"/>
  <c r="T286" i="17" s="1"/>
  <c r="T3" i="21"/>
  <c r="T7" i="18"/>
  <c r="T34" i="18" s="1"/>
  <c r="T36" i="18" s="1"/>
  <c r="X93" i="17"/>
  <c r="X92" i="17"/>
  <c r="X91" i="17"/>
  <c r="X88" i="17"/>
  <c r="X89" i="17"/>
  <c r="U48" i="16"/>
  <c r="U46" i="16"/>
  <c r="X90" i="17"/>
  <c r="U44" i="16"/>
  <c r="U47" i="16"/>
  <c r="U5" i="16" a="1"/>
  <c r="U5" i="16" s="1"/>
  <c r="T9" i="21" s="1"/>
  <c r="U45" i="16"/>
  <c r="X53" i="9"/>
  <c r="BB53" i="9" s="1"/>
  <c r="X52" i="9"/>
  <c r="BB52" i="9" s="1"/>
  <c r="T29" i="6"/>
  <c r="U18" i="16"/>
  <c r="U40" i="16" s="1"/>
  <c r="V44" i="17"/>
  <c r="V45" i="17"/>
  <c r="V46" i="17"/>
  <c r="V47" i="17"/>
  <c r="V48" i="17"/>
  <c r="Z173" i="3"/>
  <c r="Y174" i="3"/>
  <c r="AA136" i="3"/>
  <c r="AA58" i="3" s="1"/>
  <c r="AB111" i="3"/>
  <c r="AA161" i="3"/>
  <c r="BW156" i="20"/>
  <c r="K156" i="20"/>
  <c r="S117" i="17"/>
  <c r="S114" i="17"/>
  <c r="S111" i="17"/>
  <c r="S108" i="17"/>
  <c r="S105" i="17"/>
  <c r="S102" i="17"/>
  <c r="S99" i="17"/>
  <c r="S115" i="17"/>
  <c r="S116" i="17"/>
  <c r="S112" i="17"/>
  <c r="S107" i="17"/>
  <c r="S106" i="17"/>
  <c r="S104" i="17"/>
  <c r="S103" i="17"/>
  <c r="S101" i="17"/>
  <c r="S100" i="17"/>
  <c r="S113" i="17"/>
  <c r="S118" i="17"/>
  <c r="S109" i="17"/>
  <c r="S110" i="17"/>
  <c r="S8" i="17"/>
  <c r="R12" i="21"/>
  <c r="R13" i="21" s="1"/>
  <c r="R14" i="21" s="1"/>
  <c r="W202" i="17"/>
  <c r="W257" i="17"/>
  <c r="W177" i="17"/>
  <c r="W228" i="17"/>
  <c r="Z74" i="9"/>
  <c r="BD74" i="9" s="1"/>
  <c r="U106" i="20" s="1"/>
  <c r="U102" i="20" s="1"/>
  <c r="U100" i="20"/>
  <c r="U9" i="17"/>
  <c r="AB108" i="3"/>
  <c r="AA133" i="3"/>
  <c r="AA55" i="3" s="1"/>
  <c r="AA158" i="3"/>
  <c r="Y139" i="3"/>
  <c r="Y61" i="3" s="1"/>
  <c r="Z114" i="3"/>
  <c r="Y164" i="3"/>
  <c r="AZ346" i="20"/>
  <c r="W270" i="17"/>
  <c r="W241" i="17"/>
  <c r="W215" i="17"/>
  <c r="W190" i="17"/>
  <c r="Z79" i="9"/>
  <c r="BD79" i="9" s="1"/>
  <c r="Z83" i="9"/>
  <c r="BD83" i="9" s="1"/>
  <c r="U347" i="20"/>
  <c r="U366" i="20"/>
  <c r="S8" i="21"/>
  <c r="S10" i="21" s="1"/>
  <c r="T6" i="16"/>
  <c r="W94" i="17"/>
  <c r="R7" i="20"/>
  <c r="U218" i="17"/>
  <c r="U219" i="17" s="1"/>
  <c r="W12" i="6"/>
  <c r="W35" i="5"/>
  <c r="W59" i="8"/>
  <c r="W84" i="8"/>
  <c r="W9" i="8"/>
  <c r="V104" i="20" s="1"/>
  <c r="W34" i="8"/>
  <c r="W17" i="8"/>
  <c r="V256" i="20" s="1"/>
  <c r="W92" i="8"/>
  <c r="W42" i="8"/>
  <c r="W67" i="8"/>
  <c r="W43" i="5"/>
  <c r="W253" i="17"/>
  <c r="W224" i="17"/>
  <c r="W198" i="17"/>
  <c r="W173" i="17"/>
  <c r="Z70" i="9"/>
  <c r="BD70" i="9" s="1"/>
  <c r="U30" i="20" s="1"/>
  <c r="U26" i="20" s="1"/>
  <c r="U24" i="20"/>
  <c r="V33" i="6"/>
  <c r="BW194" i="20"/>
  <c r="K194" i="20"/>
  <c r="W265" i="17"/>
  <c r="W210" i="17"/>
  <c r="W185" i="17"/>
  <c r="W236" i="17"/>
  <c r="U258" i="20"/>
  <c r="U254" i="20" s="1"/>
  <c r="U252" i="20"/>
  <c r="V38" i="6"/>
  <c r="W43" i="8"/>
  <c r="W18" i="8"/>
  <c r="V275" i="20" s="1"/>
  <c r="W68" i="8"/>
  <c r="W93" i="8"/>
  <c r="W44" i="5"/>
  <c r="W11" i="6"/>
  <c r="W34" i="5"/>
  <c r="W83" i="8"/>
  <c r="W33" i="8"/>
  <c r="W58" i="8"/>
  <c r="W8" i="8"/>
  <c r="V85" i="20" s="1"/>
  <c r="AC134" i="3"/>
  <c r="AC56" i="3" s="1"/>
  <c r="AD109" i="3"/>
  <c r="AC159" i="3"/>
  <c r="BW175" i="20"/>
  <c r="K175" i="20"/>
  <c r="W22" i="6"/>
  <c r="W45" i="5"/>
  <c r="W69" i="8"/>
  <c r="W19" i="8"/>
  <c r="V294" i="20" s="1"/>
  <c r="W94" i="8"/>
  <c r="W44" i="8"/>
  <c r="W37" i="8"/>
  <c r="W38" i="5"/>
  <c r="W12" i="8"/>
  <c r="V161" i="20" s="1"/>
  <c r="W62" i="8"/>
  <c r="W87" i="8"/>
  <c r="AZ365" i="20"/>
  <c r="W240" i="17"/>
  <c r="W214" i="17"/>
  <c r="W269" i="17"/>
  <c r="W189" i="17"/>
  <c r="Z82" i="9"/>
  <c r="BD82" i="9" s="1"/>
  <c r="U334" i="20" s="1"/>
  <c r="U330" i="20" s="1"/>
  <c r="U328" i="20"/>
  <c r="V40" i="6"/>
  <c r="W232" i="17"/>
  <c r="W261" i="17"/>
  <c r="W206" i="17"/>
  <c r="W181" i="17"/>
  <c r="Z75" i="9"/>
  <c r="BD75" i="9" s="1"/>
  <c r="U182" i="20" s="1"/>
  <c r="U178" i="20" s="1"/>
  <c r="U176" i="20"/>
  <c r="V36" i="6"/>
  <c r="AZ308" i="20"/>
  <c r="Z160" i="3"/>
  <c r="AA110" i="3"/>
  <c r="Z135" i="3"/>
  <c r="Z57" i="3" s="1"/>
  <c r="AB155" i="3" l="1"/>
  <c r="AB130" i="3"/>
  <c r="AB52" i="3" s="1"/>
  <c r="AC105" i="3"/>
  <c r="U44" i="6"/>
  <c r="V4" i="16"/>
  <c r="S288" i="17"/>
  <c r="AA137" i="3"/>
  <c r="AA59" i="3" s="1"/>
  <c r="AB112" i="3"/>
  <c r="AA162" i="3"/>
  <c r="S289" i="17"/>
  <c r="BL6" i="9"/>
  <c r="AI6" i="9"/>
  <c r="BX23" i="20"/>
  <c r="Z165" i="3"/>
  <c r="Z140" i="3"/>
  <c r="Z62" i="3" s="1"/>
  <c r="AA115" i="3"/>
  <c r="AA142" i="3"/>
  <c r="AA64" i="3" s="1"/>
  <c r="AB117" i="3"/>
  <c r="AA167" i="3"/>
  <c r="BX42" i="20"/>
  <c r="L232" i="20"/>
  <c r="BX61" i="20"/>
  <c r="BX156" i="20"/>
  <c r="BX251" i="20"/>
  <c r="BX270" i="20"/>
  <c r="L213" i="20"/>
  <c r="BX175" i="20"/>
  <c r="BX80" i="20"/>
  <c r="L194" i="20"/>
  <c r="L137" i="20"/>
  <c r="BX327" i="20"/>
  <c r="L308" i="20"/>
  <c r="BX118" i="20"/>
  <c r="L289" i="20"/>
  <c r="L99" i="20"/>
  <c r="L386" i="20"/>
  <c r="M4" i="21" s="1"/>
  <c r="M5" i="21" s="1"/>
  <c r="M15" i="21" s="1"/>
  <c r="O19" i="17"/>
  <c r="O17" i="17"/>
  <c r="U12" i="17"/>
  <c r="R291" i="17"/>
  <c r="R292" i="17" s="1"/>
  <c r="U43" i="6"/>
  <c r="BA156" i="20"/>
  <c r="V272" i="17"/>
  <c r="V12" i="17" s="1"/>
  <c r="V273" i="17"/>
  <c r="U274" i="17"/>
  <c r="Q13" i="17"/>
  <c r="Q14" i="17" s="1"/>
  <c r="Q18" i="17" s="1"/>
  <c r="Q16" i="17" s="1"/>
  <c r="Q20" i="17" s="1"/>
  <c r="P21" i="21" s="1"/>
  <c r="BA308" i="20"/>
  <c r="V59" i="17"/>
  <c r="BA61" i="20"/>
  <c r="BA80" i="20"/>
  <c r="V57" i="17"/>
  <c r="BA270" i="20"/>
  <c r="BA99" i="20"/>
  <c r="V60" i="17"/>
  <c r="BA213" i="20"/>
  <c r="AD11" i="18"/>
  <c r="AD44" i="18" s="1"/>
  <c r="V58" i="17"/>
  <c r="BA289" i="20"/>
  <c r="BA137" i="20"/>
  <c r="V9" i="17"/>
  <c r="BA327" i="20"/>
  <c r="BA194" i="20"/>
  <c r="BA118" i="20"/>
  <c r="AW459" i="20"/>
  <c r="BA175" i="20"/>
  <c r="BA251" i="20"/>
  <c r="BA23" i="20"/>
  <c r="U49" i="16"/>
  <c r="BA232" i="20"/>
  <c r="Y58" i="16"/>
  <c r="U10" i="17"/>
  <c r="U11" i="17" s="1"/>
  <c r="U245" i="17"/>
  <c r="U246" i="17" s="1"/>
  <c r="T290" i="17"/>
  <c r="T288" i="17"/>
  <c r="T289" i="17"/>
  <c r="X10" i="6"/>
  <c r="X7" i="8"/>
  <c r="W66" i="20" s="1"/>
  <c r="X82" i="8"/>
  <c r="X33" i="5"/>
  <c r="X57" i="8"/>
  <c r="X32" i="8"/>
  <c r="X229" i="17"/>
  <c r="X258" i="17"/>
  <c r="X203" i="17"/>
  <c r="X178" i="17"/>
  <c r="V125" i="20"/>
  <c r="V121" i="20" s="1"/>
  <c r="V119" i="20"/>
  <c r="W35" i="6"/>
  <c r="AC434" i="20"/>
  <c r="AC432" i="20" s="1"/>
  <c r="X173" i="17"/>
  <c r="X253" i="17"/>
  <c r="X198" i="17"/>
  <c r="X224" i="17"/>
  <c r="AA70" i="9"/>
  <c r="BE70" i="9" s="1"/>
  <c r="V30" i="20" s="1"/>
  <c r="V26" i="20" s="1"/>
  <c r="V24" i="20"/>
  <c r="W33" i="6"/>
  <c r="X25" i="6"/>
  <c r="X47" i="8"/>
  <c r="X97" i="8"/>
  <c r="X72" i="8"/>
  <c r="X22" i="8"/>
  <c r="X43" i="8"/>
  <c r="X18" i="8"/>
  <c r="W275" i="20" s="1"/>
  <c r="X93" i="8"/>
  <c r="X68" i="8"/>
  <c r="X44" i="5"/>
  <c r="BA346" i="20"/>
  <c r="AX4" i="20"/>
  <c r="R387" i="20"/>
  <c r="AX384" i="20" s="1"/>
  <c r="AB133" i="3"/>
  <c r="AB55" i="3" s="1"/>
  <c r="AC108" i="3"/>
  <c r="AB158" i="3"/>
  <c r="Z56" i="16"/>
  <c r="Z54" i="16"/>
  <c r="Z57" i="16"/>
  <c r="Z55" i="16"/>
  <c r="Z53" i="16"/>
  <c r="AC7" i="9"/>
  <c r="X81" i="3"/>
  <c r="Y16" i="5" s="1"/>
  <c r="X88" i="3"/>
  <c r="Y23" i="5" s="1"/>
  <c r="X72" i="3"/>
  <c r="Y7" i="5" s="1"/>
  <c r="X85" i="3"/>
  <c r="Y20" i="5" s="1"/>
  <c r="Y21" i="6" s="1"/>
  <c r="X77" i="3"/>
  <c r="Y12" i="5" s="1"/>
  <c r="Y13" i="6" s="1"/>
  <c r="X82" i="3"/>
  <c r="Y17" i="5" s="1"/>
  <c r="X84" i="3"/>
  <c r="Y19" i="5" s="1"/>
  <c r="Y20" i="6" s="1"/>
  <c r="X73" i="3"/>
  <c r="Y8" i="5" s="1"/>
  <c r="X89" i="3"/>
  <c r="Y24" i="5" s="1"/>
  <c r="X71" i="3"/>
  <c r="Y6" i="5" s="1"/>
  <c r="X83" i="3"/>
  <c r="Y18" i="5" s="1"/>
  <c r="X74" i="3"/>
  <c r="Y9" i="5" s="1"/>
  <c r="X87" i="3"/>
  <c r="Y22" i="5" s="1"/>
  <c r="X86" i="3"/>
  <c r="Y21" i="5" s="1"/>
  <c r="X76" i="3"/>
  <c r="Y11" i="5" s="1"/>
  <c r="X79" i="3"/>
  <c r="Y14" i="5" s="1"/>
  <c r="Y15" i="6" s="1"/>
  <c r="X75" i="3"/>
  <c r="Y10" i="5" s="1"/>
  <c r="X90" i="3"/>
  <c r="Y25" i="5" s="1"/>
  <c r="X80" i="3"/>
  <c r="Y15" i="5" s="1"/>
  <c r="X78" i="3"/>
  <c r="Y13" i="5" s="1"/>
  <c r="Y14" i="6" s="1"/>
  <c r="X179" i="17"/>
  <c r="X230" i="17"/>
  <c r="X259" i="17"/>
  <c r="X204" i="17"/>
  <c r="V144" i="20"/>
  <c r="V140" i="20" s="1"/>
  <c r="V138" i="20"/>
  <c r="BW4" i="20"/>
  <c r="K393" i="20"/>
  <c r="BW384" i="20" s="1"/>
  <c r="K4" i="20"/>
  <c r="K384" i="20" s="1"/>
  <c r="K459" i="20" s="1"/>
  <c r="X18" i="6"/>
  <c r="X15" i="8"/>
  <c r="W218" i="20" s="1"/>
  <c r="X65" i="8"/>
  <c r="X90" i="8"/>
  <c r="X40" i="8"/>
  <c r="X41" i="5"/>
  <c r="X8" i="6"/>
  <c r="X5" i="8"/>
  <c r="W28" i="20" s="1"/>
  <c r="X80" i="8"/>
  <c r="X55" i="8"/>
  <c r="X31" i="5"/>
  <c r="X30" i="8"/>
  <c r="X238" i="17"/>
  <c r="X267" i="17"/>
  <c r="X212" i="17"/>
  <c r="X187" i="17"/>
  <c r="AA80" i="9"/>
  <c r="BE80" i="9" s="1"/>
  <c r="V296" i="20" s="1"/>
  <c r="V292" i="20" s="1"/>
  <c r="V290" i="20"/>
  <c r="X36" i="5"/>
  <c r="X10" i="8"/>
  <c r="W123" i="20" s="1"/>
  <c r="X60" i="8"/>
  <c r="X85" i="8"/>
  <c r="X35" i="8"/>
  <c r="BA42" i="20"/>
  <c r="X265" i="17"/>
  <c r="X236" i="17"/>
  <c r="X185" i="17"/>
  <c r="X210" i="17"/>
  <c r="V258" i="20"/>
  <c r="V254" i="20" s="1"/>
  <c r="V252" i="20"/>
  <c r="W38" i="6"/>
  <c r="V51" i="17"/>
  <c r="V56" i="17"/>
  <c r="X199" i="17"/>
  <c r="X254" i="17"/>
  <c r="X225" i="17"/>
  <c r="X174" i="17"/>
  <c r="AA71" i="9"/>
  <c r="BE71" i="9" s="1"/>
  <c r="V49" i="20" s="1"/>
  <c r="V45" i="20" s="1"/>
  <c r="V43" i="20"/>
  <c r="X19" i="6"/>
  <c r="X41" i="8"/>
  <c r="X16" i="8"/>
  <c r="W237" i="20" s="1"/>
  <c r="X91" i="8"/>
  <c r="X66" i="8"/>
  <c r="X42" i="5"/>
  <c r="X16" i="6"/>
  <c r="X38" i="8"/>
  <c r="X63" i="8"/>
  <c r="X39" i="5"/>
  <c r="X88" i="8"/>
  <c r="X13" i="8"/>
  <c r="W180" i="20" s="1"/>
  <c r="AE109" i="3"/>
  <c r="AD159" i="3"/>
  <c r="AD134" i="3"/>
  <c r="AD56" i="3" s="1"/>
  <c r="X266" i="17"/>
  <c r="X211" i="17"/>
  <c r="X237" i="17"/>
  <c r="X186" i="17"/>
  <c r="V277" i="20"/>
  <c r="V273" i="20" s="1"/>
  <c r="V271" i="20"/>
  <c r="T116" i="17"/>
  <c r="T113" i="17"/>
  <c r="T110" i="17"/>
  <c r="T107" i="17"/>
  <c r="T104" i="17"/>
  <c r="T101" i="17"/>
  <c r="T111" i="17"/>
  <c r="T112" i="17"/>
  <c r="T117" i="17"/>
  <c r="T108" i="17"/>
  <c r="T106" i="17"/>
  <c r="T105" i="17"/>
  <c r="T103" i="17"/>
  <c r="T102" i="17"/>
  <c r="T100" i="17"/>
  <c r="T99" i="17"/>
  <c r="T118" i="17"/>
  <c r="T109" i="17"/>
  <c r="T114" i="17"/>
  <c r="T115" i="17"/>
  <c r="T8" i="17"/>
  <c r="S12" i="21"/>
  <c r="S13" i="21" s="1"/>
  <c r="S14" i="21" s="1"/>
  <c r="T11" i="20"/>
  <c r="T391" i="20" s="1"/>
  <c r="BC150" i="9"/>
  <c r="AE11" i="18" s="1"/>
  <c r="AE44" i="18" s="1"/>
  <c r="X7" i="6"/>
  <c r="X29" i="8"/>
  <c r="X30" i="5"/>
  <c r="X79" i="8"/>
  <c r="X54" i="8"/>
  <c r="X4" i="8"/>
  <c r="X240" i="17"/>
  <c r="X269" i="17"/>
  <c r="X214" i="17"/>
  <c r="X189" i="17"/>
  <c r="AA82" i="9"/>
  <c r="BE82" i="9" s="1"/>
  <c r="V334" i="20" s="1"/>
  <c r="V330" i="20" s="1"/>
  <c r="V328" i="20"/>
  <c r="W40" i="6"/>
  <c r="P17" i="17"/>
  <c r="P19" i="17"/>
  <c r="AA151" i="3"/>
  <c r="AA126" i="3"/>
  <c r="AA48" i="3" s="1"/>
  <c r="AB101" i="3"/>
  <c r="AC111" i="3"/>
  <c r="AB161" i="3"/>
  <c r="AB136" i="3"/>
  <c r="AB58" i="3" s="1"/>
  <c r="V39" i="17"/>
  <c r="X262" i="17"/>
  <c r="X233" i="17"/>
  <c r="X207" i="17"/>
  <c r="X182" i="17"/>
  <c r="AA76" i="9"/>
  <c r="BE76" i="9" s="1"/>
  <c r="V201" i="20" s="1"/>
  <c r="V197" i="20" s="1"/>
  <c r="V195" i="20"/>
  <c r="T385" i="20"/>
  <c r="V24" i="8"/>
  <c r="U9" i="20"/>
  <c r="X37" i="5"/>
  <c r="X61" i="8"/>
  <c r="X11" i="8"/>
  <c r="W142" i="20" s="1"/>
  <c r="X36" i="8"/>
  <c r="X86" i="8"/>
  <c r="X24" i="6"/>
  <c r="X47" i="5"/>
  <c r="X96" i="8"/>
  <c r="X71" i="8"/>
  <c r="X21" i="8"/>
  <c r="W332" i="20" s="1"/>
  <c r="X46" i="8"/>
  <c r="W24" i="8"/>
  <c r="V9" i="20"/>
  <c r="X232" i="17"/>
  <c r="X261" i="17"/>
  <c r="X206" i="17"/>
  <c r="X181" i="17"/>
  <c r="V176" i="20"/>
  <c r="AA75" i="9"/>
  <c r="BE75" i="9" s="1"/>
  <c r="V182" i="20" s="1"/>
  <c r="V178" i="20" s="1"/>
  <c r="W36" i="6"/>
  <c r="X241" i="17"/>
  <c r="X270" i="17"/>
  <c r="X215" i="17"/>
  <c r="X190" i="17"/>
  <c r="AA83" i="9"/>
  <c r="BE83" i="9" s="1"/>
  <c r="AA79" i="9"/>
  <c r="BE79" i="9" s="1"/>
  <c r="V347" i="20"/>
  <c r="V366" i="20"/>
  <c r="X260" i="17"/>
  <c r="X231" i="17"/>
  <c r="X205" i="17"/>
  <c r="X180" i="17"/>
  <c r="V163" i="20"/>
  <c r="V159" i="20" s="1"/>
  <c r="V157" i="20"/>
  <c r="S407" i="20"/>
  <c r="S405" i="20" s="1"/>
  <c r="S404" i="20" s="1"/>
  <c r="S403" i="20" s="1"/>
  <c r="AY403" i="20" s="1"/>
  <c r="BB149" i="9"/>
  <c r="U280" i="17" s="1"/>
  <c r="U278" i="17" s="1"/>
  <c r="U285" i="17" s="1"/>
  <c r="U286" i="17" s="1"/>
  <c r="X94" i="17"/>
  <c r="AC13" i="18"/>
  <c r="AC46" i="18" s="1"/>
  <c r="X235" i="17"/>
  <c r="X209" i="17"/>
  <c r="X264" i="17"/>
  <c r="X184" i="17"/>
  <c r="AA78" i="9"/>
  <c r="BE78" i="9" s="1"/>
  <c r="V239" i="20" s="1"/>
  <c r="V235" i="20" s="1"/>
  <c r="V233" i="20"/>
  <c r="U3" i="21"/>
  <c r="U7" i="18"/>
  <c r="U34" i="18" s="1"/>
  <c r="U36" i="18" s="1"/>
  <c r="Y93" i="17"/>
  <c r="Y89" i="17"/>
  <c r="Y90" i="17"/>
  <c r="V48" i="16"/>
  <c r="V46" i="16"/>
  <c r="V44" i="16"/>
  <c r="Y92" i="17"/>
  <c r="Y91" i="17"/>
  <c r="Y88" i="17"/>
  <c r="V47" i="16"/>
  <c r="V5" i="16" a="1"/>
  <c r="V5" i="16" s="1"/>
  <c r="U9" i="21" s="1"/>
  <c r="V45" i="16"/>
  <c r="Y53" i="9"/>
  <c r="BC53" i="9" s="1"/>
  <c r="Y52" i="9"/>
  <c r="BC52" i="9" s="1"/>
  <c r="U29" i="6"/>
  <c r="V18" i="16"/>
  <c r="V40" i="16" s="1"/>
  <c r="W46" i="17"/>
  <c r="W47" i="17"/>
  <c r="W48" i="17"/>
  <c r="W44" i="17"/>
  <c r="W45" i="17"/>
  <c r="S7" i="20"/>
  <c r="X9" i="6"/>
  <c r="X81" i="8"/>
  <c r="X56" i="8"/>
  <c r="X31" i="8"/>
  <c r="X6" i="8"/>
  <c r="W47" i="20" s="1"/>
  <c r="X32" i="5"/>
  <c r="U65" i="17"/>
  <c r="U63" i="17"/>
  <c r="U64" i="17" s="1"/>
  <c r="W74" i="8"/>
  <c r="T389" i="20"/>
  <c r="U7" i="21" s="1"/>
  <c r="X12" i="6"/>
  <c r="X84" i="8"/>
  <c r="X34" i="8"/>
  <c r="X35" i="5"/>
  <c r="X9" i="8"/>
  <c r="W104" i="20" s="1"/>
  <c r="X59" i="8"/>
  <c r="Y187" i="3"/>
  <c r="Y175" i="3"/>
  <c r="Y192" i="3"/>
  <c r="Y176" i="3"/>
  <c r="Y184" i="3"/>
  <c r="Y70" i="3"/>
  <c r="Y189" i="3"/>
  <c r="Y181" i="3"/>
  <c r="Y178" i="3"/>
  <c r="Y194" i="3"/>
  <c r="Y186" i="3"/>
  <c r="Y191" i="3"/>
  <c r="Y183" i="3"/>
  <c r="Y188" i="3"/>
  <c r="Y180" i="3"/>
  <c r="Y185" i="3"/>
  <c r="Y193" i="3"/>
  <c r="Y179" i="3"/>
  <c r="Y177" i="3"/>
  <c r="Y190" i="3"/>
  <c r="Y182" i="3"/>
  <c r="V218" i="17"/>
  <c r="V219" i="17" s="1"/>
  <c r="V10" i="17" s="1"/>
  <c r="X226" i="17"/>
  <c r="X175" i="17"/>
  <c r="X255" i="17"/>
  <c r="X200" i="17"/>
  <c r="AA72" i="9"/>
  <c r="BE72" i="9" s="1"/>
  <c r="V68" i="20" s="1"/>
  <c r="V64" i="20" s="1"/>
  <c r="V62" i="20"/>
  <c r="X37" i="8"/>
  <c r="X38" i="5"/>
  <c r="X12" i="8"/>
  <c r="W161" i="20" s="1"/>
  <c r="X62" i="8"/>
  <c r="X87" i="8"/>
  <c r="X17" i="6"/>
  <c r="X40" i="5"/>
  <c r="X14" i="8"/>
  <c r="W199" i="20" s="1"/>
  <c r="X89" i="8"/>
  <c r="X64" i="8"/>
  <c r="X39" i="8"/>
  <c r="W49" i="8"/>
  <c r="W8" i="18" s="1"/>
  <c r="W41" i="18" s="1"/>
  <c r="AB153" i="3"/>
  <c r="AB128" i="3"/>
  <c r="AB50" i="3" s="1"/>
  <c r="AC103" i="3"/>
  <c r="W36" i="17"/>
  <c r="W33" i="17"/>
  <c r="W32" i="17"/>
  <c r="W34" i="17"/>
  <c r="W35" i="17"/>
  <c r="AB156" i="3"/>
  <c r="AB131" i="3"/>
  <c r="AB53" i="3" s="1"/>
  <c r="AC106" i="3"/>
  <c r="X257" i="17"/>
  <c r="X202" i="17"/>
  <c r="X228" i="17"/>
  <c r="X177" i="17"/>
  <c r="AA74" i="9"/>
  <c r="BE74" i="9" s="1"/>
  <c r="V106" i="20" s="1"/>
  <c r="V102" i="20" s="1"/>
  <c r="V100" i="20"/>
  <c r="BX4" i="20"/>
  <c r="L4" i="20"/>
  <c r="L393" i="20"/>
  <c r="BX384" i="20" s="1"/>
  <c r="AA173" i="3"/>
  <c r="Z174" i="3"/>
  <c r="T8" i="21"/>
  <c r="T10" i="21" s="1"/>
  <c r="U6" i="16"/>
  <c r="X239" i="17"/>
  <c r="X188" i="17"/>
  <c r="X268" i="17"/>
  <c r="X213" i="17"/>
  <c r="AA81" i="9"/>
  <c r="BE81" i="9" s="1"/>
  <c r="V315" i="20" s="1"/>
  <c r="V311" i="20" s="1"/>
  <c r="V309" i="20"/>
  <c r="W39" i="6"/>
  <c r="AA129" i="3"/>
  <c r="AA51" i="3" s="1"/>
  <c r="AA154" i="3"/>
  <c r="AB104" i="3"/>
  <c r="AA163" i="3"/>
  <c r="AA138" i="3"/>
  <c r="AA60" i="3" s="1"/>
  <c r="AB113" i="3"/>
  <c r="W223" i="17"/>
  <c r="W243" i="17" s="1"/>
  <c r="W252" i="17"/>
  <c r="W197" i="17"/>
  <c r="W217" i="17" s="1"/>
  <c r="W172" i="17"/>
  <c r="W192" i="17" s="1"/>
  <c r="V27" i="6"/>
  <c r="U5" i="20"/>
  <c r="Z69" i="9"/>
  <c r="BD69" i="9" s="1"/>
  <c r="V32" i="6"/>
  <c r="V443" i="20"/>
  <c r="V441" i="20" s="1"/>
  <c r="X11" i="6"/>
  <c r="X83" i="8"/>
  <c r="X58" i="8"/>
  <c r="X33" i="8"/>
  <c r="X34" i="5"/>
  <c r="X8" i="8"/>
  <c r="W85" i="20" s="1"/>
  <c r="X23" i="6"/>
  <c r="X46" i="5"/>
  <c r="X45" i="8"/>
  <c r="X20" i="8"/>
  <c r="W313" i="20" s="1"/>
  <c r="X70" i="8"/>
  <c r="X95" i="8"/>
  <c r="BF7" i="9"/>
  <c r="W99" i="8"/>
  <c r="W10" i="18" s="1"/>
  <c r="W43" i="18" s="1"/>
  <c r="S119" i="17"/>
  <c r="Z139" i="3"/>
  <c r="Z61" i="3" s="1"/>
  <c r="AA114" i="3"/>
  <c r="Z164" i="3"/>
  <c r="AB141" i="3"/>
  <c r="AB63" i="3" s="1"/>
  <c r="AC116" i="3"/>
  <c r="AB166" i="3"/>
  <c r="AB157" i="3"/>
  <c r="AC107" i="3"/>
  <c r="AB132" i="3"/>
  <c r="AB54" i="3" s="1"/>
  <c r="X22" i="6"/>
  <c r="X45" i="5"/>
  <c r="X94" i="8"/>
  <c r="X44" i="8"/>
  <c r="X19" i="8"/>
  <c r="W294" i="20" s="1"/>
  <c r="X69" i="8"/>
  <c r="X223" i="17"/>
  <c r="X252" i="17"/>
  <c r="X172" i="17"/>
  <c r="X197" i="17"/>
  <c r="W27" i="6"/>
  <c r="V5" i="20"/>
  <c r="AA69" i="9"/>
  <c r="W32" i="6"/>
  <c r="X17" i="8"/>
  <c r="W256" i="20" s="1"/>
  <c r="X92" i="8"/>
  <c r="X43" i="5"/>
  <c r="X42" i="8"/>
  <c r="X67" i="8"/>
  <c r="AA160" i="3"/>
  <c r="AB110" i="3"/>
  <c r="AA135" i="3"/>
  <c r="AA57" i="3" s="1"/>
  <c r="X256" i="17"/>
  <c r="X176" i="17"/>
  <c r="X227" i="17"/>
  <c r="X201" i="17"/>
  <c r="AA73" i="9"/>
  <c r="BE73" i="9" s="1"/>
  <c r="V87" i="20" s="1"/>
  <c r="V83" i="20" s="1"/>
  <c r="V81" i="20"/>
  <c r="W34" i="6"/>
  <c r="BA365" i="20"/>
  <c r="X271" i="17"/>
  <c r="X191" i="17"/>
  <c r="X216" i="17"/>
  <c r="X242" i="17"/>
  <c r="X26" i="6"/>
  <c r="X23" i="8"/>
  <c r="X48" i="8"/>
  <c r="X73" i="8"/>
  <c r="X98" i="8"/>
  <c r="AB152" i="3"/>
  <c r="AC102" i="3"/>
  <c r="AB127" i="3"/>
  <c r="AB49" i="3" s="1"/>
  <c r="X234" i="17"/>
  <c r="X208" i="17"/>
  <c r="X183" i="17"/>
  <c r="X263" i="17"/>
  <c r="AA77" i="9"/>
  <c r="BE77" i="9" s="1"/>
  <c r="V220" i="20" s="1"/>
  <c r="V216" i="20" s="1"/>
  <c r="V214" i="20"/>
  <c r="W37" i="6"/>
  <c r="BM5" i="9"/>
  <c r="AJ5" i="9"/>
  <c r="AC130" i="3" l="1"/>
  <c r="AC52" i="3" s="1"/>
  <c r="AC155" i="3"/>
  <c r="AD105" i="3"/>
  <c r="V44" i="6"/>
  <c r="W4" i="16"/>
  <c r="W43" i="6"/>
  <c r="X4" i="16"/>
  <c r="V277" i="17"/>
  <c r="S291" i="17"/>
  <c r="S292" i="17" s="1"/>
  <c r="AJ6" i="9"/>
  <c r="BN6" i="9" s="1"/>
  <c r="BM6" i="9"/>
  <c r="AB115" i="3"/>
  <c r="AA165" i="3"/>
  <c r="AA140" i="3"/>
  <c r="AA62" i="3" s="1"/>
  <c r="AC112" i="3"/>
  <c r="AB137" i="3"/>
  <c r="AB59" i="3" s="1"/>
  <c r="AB162" i="3"/>
  <c r="AC117" i="3"/>
  <c r="AB142" i="3"/>
  <c r="AB64" i="3" s="1"/>
  <c r="AB167" i="3"/>
  <c r="L384" i="20"/>
  <c r="L459" i="20" s="1"/>
  <c r="M310" i="20"/>
  <c r="M317" i="20" s="1"/>
  <c r="M196" i="20"/>
  <c r="M203" i="20" s="1"/>
  <c r="M6" i="20"/>
  <c r="M348" i="20"/>
  <c r="M355" i="20" s="1"/>
  <c r="BY346" i="20" s="1"/>
  <c r="M177" i="20"/>
  <c r="M184" i="20" s="1"/>
  <c r="O21" i="17"/>
  <c r="N14" i="18" s="1"/>
  <c r="N47" i="18" s="1"/>
  <c r="N48" i="18" s="1"/>
  <c r="N50" i="18" s="1"/>
  <c r="N52" i="18" s="1"/>
  <c r="N24" i="21" s="1"/>
  <c r="M272" i="20"/>
  <c r="M279" i="20" s="1"/>
  <c r="M82" i="20"/>
  <c r="M89" i="20" s="1"/>
  <c r="M253" i="20"/>
  <c r="M260" i="20" s="1"/>
  <c r="M25" i="20"/>
  <c r="M32" i="20" s="1"/>
  <c r="M234" i="20"/>
  <c r="M241" i="20" s="1"/>
  <c r="M101" i="20"/>
  <c r="M108" i="20" s="1"/>
  <c r="M367" i="20"/>
  <c r="M374" i="20" s="1"/>
  <c r="BY365" i="20" s="1"/>
  <c r="M215" i="20"/>
  <c r="M222" i="20" s="1"/>
  <c r="M120" i="20"/>
  <c r="M127" i="20" s="1"/>
  <c r="M329" i="20"/>
  <c r="M336" i="20" s="1"/>
  <c r="M139" i="20"/>
  <c r="M146" i="20" s="1"/>
  <c r="M44" i="20"/>
  <c r="M51" i="20" s="1"/>
  <c r="M291" i="20"/>
  <c r="M298" i="20" s="1"/>
  <c r="M158" i="20"/>
  <c r="M165" i="20" s="1"/>
  <c r="M63" i="20"/>
  <c r="M70" i="20" s="1"/>
  <c r="R13" i="17"/>
  <c r="R14" i="17" s="1"/>
  <c r="R18" i="17" s="1"/>
  <c r="W44" i="6"/>
  <c r="V43" i="6"/>
  <c r="Q15" i="17"/>
  <c r="Q19" i="17" s="1"/>
  <c r="O139" i="20" s="1"/>
  <c r="O146" i="20" s="1"/>
  <c r="W272" i="17"/>
  <c r="W277" i="17" s="1"/>
  <c r="W273" i="17"/>
  <c r="X273" i="17"/>
  <c r="V274" i="17"/>
  <c r="BB80" i="20"/>
  <c r="BB118" i="20"/>
  <c r="BB42" i="20"/>
  <c r="V11" i="17"/>
  <c r="BB308" i="20"/>
  <c r="AX459" i="20"/>
  <c r="BB327" i="20"/>
  <c r="W59" i="17"/>
  <c r="T7" i="20"/>
  <c r="AZ4" i="20" s="1"/>
  <c r="BB194" i="20"/>
  <c r="BB23" i="20"/>
  <c r="BB270" i="20"/>
  <c r="BB289" i="20"/>
  <c r="BB156" i="20"/>
  <c r="BB251" i="20"/>
  <c r="BB99" i="20"/>
  <c r="BB61" i="20"/>
  <c r="W57" i="17"/>
  <c r="BB232" i="20"/>
  <c r="Z58" i="16"/>
  <c r="BB175" i="20"/>
  <c r="U290" i="17"/>
  <c r="U288" i="17"/>
  <c r="U289" i="17"/>
  <c r="U11" i="20"/>
  <c r="U391" i="20" s="1"/>
  <c r="BD150" i="9"/>
  <c r="AF11" i="18" s="1"/>
  <c r="AF44" i="18" s="1"/>
  <c r="X74" i="8"/>
  <c r="Y270" i="17"/>
  <c r="Y241" i="17"/>
  <c r="Y215" i="17"/>
  <c r="Y190" i="17"/>
  <c r="AB79" i="9"/>
  <c r="BF79" i="9" s="1"/>
  <c r="AB83" i="9"/>
  <c r="BF83" i="9" s="1"/>
  <c r="W347" i="20"/>
  <c r="W366" i="20"/>
  <c r="V385" i="20"/>
  <c r="AC141" i="3"/>
  <c r="AC63" i="3" s="1"/>
  <c r="AD116" i="3"/>
  <c r="AC166" i="3"/>
  <c r="BB213" i="20"/>
  <c r="W218" i="17"/>
  <c r="W219" i="17" s="1"/>
  <c r="AA54" i="16"/>
  <c r="AA57" i="16"/>
  <c r="AA55" i="16"/>
  <c r="AA53" i="16"/>
  <c r="AA56" i="16"/>
  <c r="AD7" i="9"/>
  <c r="Y86" i="3"/>
  <c r="Z21" i="5" s="1"/>
  <c r="Y85" i="3"/>
  <c r="Z20" i="5" s="1"/>
  <c r="Z21" i="6" s="1"/>
  <c r="Y77" i="3"/>
  <c r="Z12" i="5" s="1"/>
  <c r="Z13" i="6" s="1"/>
  <c r="Y82" i="3"/>
  <c r="Z17" i="5" s="1"/>
  <c r="Y90" i="3"/>
  <c r="Z25" i="5" s="1"/>
  <c r="Y79" i="3"/>
  <c r="Z14" i="5" s="1"/>
  <c r="Z15" i="6" s="1"/>
  <c r="Y75" i="3"/>
  <c r="Z10" i="5" s="1"/>
  <c r="Y78" i="3"/>
  <c r="Z13" i="5" s="1"/>
  <c r="Z14" i="6" s="1"/>
  <c r="Y76" i="3"/>
  <c r="Z11" i="5" s="1"/>
  <c r="Y89" i="3"/>
  <c r="Z24" i="5" s="1"/>
  <c r="Y81" i="3"/>
  <c r="Z16" i="5" s="1"/>
  <c r="Y71" i="3"/>
  <c r="Z6" i="5" s="1"/>
  <c r="Y88" i="3"/>
  <c r="Z23" i="5" s="1"/>
  <c r="Y74" i="3"/>
  <c r="Z9" i="5" s="1"/>
  <c r="Y87" i="3"/>
  <c r="Z22" i="5" s="1"/>
  <c r="Y72" i="3"/>
  <c r="Z7" i="5" s="1"/>
  <c r="Y73" i="3"/>
  <c r="Z8" i="5" s="1"/>
  <c r="Y83" i="3"/>
  <c r="Z18" i="5" s="1"/>
  <c r="Y80" i="3"/>
  <c r="Z15" i="5" s="1"/>
  <c r="Y84" i="3"/>
  <c r="Z19" i="5" s="1"/>
  <c r="Z20" i="6" s="1"/>
  <c r="Y254" i="17"/>
  <c r="Y225" i="17"/>
  <c r="Y174" i="17"/>
  <c r="Y199" i="17"/>
  <c r="AB71" i="9"/>
  <c r="BF71" i="9" s="1"/>
  <c r="W49" i="20" s="1"/>
  <c r="W45" i="20" s="1"/>
  <c r="W43" i="20"/>
  <c r="W58" i="17"/>
  <c r="V49" i="16"/>
  <c r="BB346" i="20"/>
  <c r="X99" i="8"/>
  <c r="X10" i="18" s="1"/>
  <c r="X43" i="18" s="1"/>
  <c r="V63" i="17"/>
  <c r="V64" i="17" s="1"/>
  <c r="V65" i="17"/>
  <c r="Y23" i="6"/>
  <c r="Y45" i="8"/>
  <c r="Y20" i="8"/>
  <c r="X313" i="20" s="1"/>
  <c r="Y46" i="5"/>
  <c r="Y95" i="8"/>
  <c r="Y70" i="8"/>
  <c r="Y17" i="6"/>
  <c r="Y40" i="5"/>
  <c r="Y14" i="8"/>
  <c r="X199" i="20" s="1"/>
  <c r="Y64" i="8"/>
  <c r="Y39" i="8"/>
  <c r="Y89" i="8"/>
  <c r="BN5" i="9"/>
  <c r="AY4" i="20"/>
  <c r="S387" i="20"/>
  <c r="AY384" i="20" s="1"/>
  <c r="AC161" i="3"/>
  <c r="AC136" i="3"/>
  <c r="AC58" i="3" s="1"/>
  <c r="AD111" i="3"/>
  <c r="Y264" i="17"/>
  <c r="Y235" i="17"/>
  <c r="Y209" i="17"/>
  <c r="Y184" i="17"/>
  <c r="AB78" i="9"/>
  <c r="BF78" i="9" s="1"/>
  <c r="W239" i="20" s="1"/>
  <c r="W235" i="20" s="1"/>
  <c r="W233" i="20"/>
  <c r="Y10" i="6"/>
  <c r="Y32" i="8"/>
  <c r="Y33" i="5"/>
  <c r="Y82" i="8"/>
  <c r="Y57" i="8"/>
  <c r="Y7" i="8"/>
  <c r="X66" i="20" s="1"/>
  <c r="AB160" i="3"/>
  <c r="AB135" i="3"/>
  <c r="AB57" i="3" s="1"/>
  <c r="AC110" i="3"/>
  <c r="BE69" i="9"/>
  <c r="C11" i="18"/>
  <c r="C44" i="18" s="1"/>
  <c r="W3" i="21"/>
  <c r="W7" i="18"/>
  <c r="W34" i="18" s="1"/>
  <c r="W36" i="18" s="1"/>
  <c r="AA89" i="17"/>
  <c r="AA93" i="17"/>
  <c r="AA90" i="17"/>
  <c r="AA92" i="17"/>
  <c r="X46" i="16"/>
  <c r="X44" i="16"/>
  <c r="X5" i="16" a="1"/>
  <c r="X5" i="16" s="1"/>
  <c r="W9" i="21" s="1"/>
  <c r="AA91" i="17"/>
  <c r="AA88" i="17"/>
  <c r="X47" i="16"/>
  <c r="X45" i="16"/>
  <c r="X48" i="16"/>
  <c r="X18" i="16"/>
  <c r="X40" i="16" s="1"/>
  <c r="AA53" i="9"/>
  <c r="BE53" i="9" s="1"/>
  <c r="AA52" i="9"/>
  <c r="W29" i="6"/>
  <c r="AC104" i="3"/>
  <c r="AB154" i="3"/>
  <c r="AB129" i="3"/>
  <c r="AB51" i="3" s="1"/>
  <c r="Z192" i="3"/>
  <c r="Z180" i="3"/>
  <c r="Z184" i="3"/>
  <c r="Z70" i="3"/>
  <c r="Z189" i="3"/>
  <c r="Z181" i="3"/>
  <c r="Z178" i="3"/>
  <c r="Z194" i="3"/>
  <c r="Z186" i="3"/>
  <c r="Z191" i="3"/>
  <c r="Z183" i="3"/>
  <c r="Z175" i="3"/>
  <c r="Z188" i="3"/>
  <c r="Z193" i="3"/>
  <c r="Z185" i="3"/>
  <c r="Z177" i="3"/>
  <c r="Z179" i="3"/>
  <c r="Z187" i="3"/>
  <c r="Z176" i="3"/>
  <c r="Z182" i="3"/>
  <c r="Z190" i="3"/>
  <c r="AC128" i="3"/>
  <c r="AC50" i="3" s="1"/>
  <c r="AC153" i="3"/>
  <c r="AD103" i="3"/>
  <c r="AB173" i="3"/>
  <c r="AA174" i="3"/>
  <c r="V389" i="20"/>
  <c r="W7" i="21" s="1"/>
  <c r="X49" i="8"/>
  <c r="X8" i="18" s="1"/>
  <c r="X41" i="18" s="1"/>
  <c r="Y19" i="6"/>
  <c r="Y66" i="8"/>
  <c r="Y91" i="8"/>
  <c r="Y42" i="5"/>
  <c r="Y41" i="8"/>
  <c r="Y16" i="8"/>
  <c r="X237" i="20" s="1"/>
  <c r="Y255" i="17"/>
  <c r="Y226" i="17"/>
  <c r="Y200" i="17"/>
  <c r="Y175" i="17"/>
  <c r="W62" i="20"/>
  <c r="AB72" i="9"/>
  <c r="BF72" i="9" s="1"/>
  <c r="W68" i="20" s="1"/>
  <c r="W64" i="20" s="1"/>
  <c r="V3" i="21"/>
  <c r="V7" i="18"/>
  <c r="V34" i="18" s="1"/>
  <c r="V36" i="18" s="1"/>
  <c r="Z93" i="17"/>
  <c r="Z92" i="17"/>
  <c r="Z89" i="17"/>
  <c r="Z90" i="17"/>
  <c r="W48" i="16"/>
  <c r="W46" i="16"/>
  <c r="W44" i="16"/>
  <c r="Z91" i="17"/>
  <c r="W5" i="16" a="1"/>
  <c r="W5" i="16" s="1"/>
  <c r="V9" i="21" s="1"/>
  <c r="Z88" i="17"/>
  <c r="W47" i="16"/>
  <c r="W45" i="16"/>
  <c r="Z53" i="9"/>
  <c r="BD53" i="9" s="1"/>
  <c r="Z52" i="9"/>
  <c r="BD52" i="9" s="1"/>
  <c r="V29" i="6"/>
  <c r="W18" i="16"/>
  <c r="W40" i="16" s="1"/>
  <c r="X47" i="17"/>
  <c r="X48" i="17"/>
  <c r="X46" i="17"/>
  <c r="X44" i="17"/>
  <c r="X45" i="17"/>
  <c r="AB138" i="3"/>
  <c r="AB60" i="3" s="1"/>
  <c r="AC113" i="3"/>
  <c r="AB163" i="3"/>
  <c r="AD434" i="20"/>
  <c r="AD432" i="20" s="1"/>
  <c r="Y267" i="17"/>
  <c r="Y187" i="17"/>
  <c r="Y238" i="17"/>
  <c r="Y212" i="17"/>
  <c r="W290" i="20"/>
  <c r="AB80" i="9"/>
  <c r="BF80" i="9" s="1"/>
  <c r="W296" i="20" s="1"/>
  <c r="W292" i="20" s="1"/>
  <c r="W9" i="17"/>
  <c r="Y257" i="17"/>
  <c r="Y228" i="17"/>
  <c r="Y177" i="17"/>
  <c r="Y202" i="17"/>
  <c r="AB74" i="9"/>
  <c r="BF74" i="9" s="1"/>
  <c r="W106" i="20" s="1"/>
  <c r="W102" i="20" s="1"/>
  <c r="W100" i="20"/>
  <c r="Y224" i="17"/>
  <c r="Y253" i="17"/>
  <c r="Y198" i="17"/>
  <c r="Y173" i="17"/>
  <c r="AB70" i="9"/>
  <c r="BF70" i="9" s="1"/>
  <c r="W30" i="20" s="1"/>
  <c r="W26" i="20" s="1"/>
  <c r="W24" i="20"/>
  <c r="X33" i="6"/>
  <c r="Y22" i="6"/>
  <c r="Y45" i="5"/>
  <c r="Y69" i="8"/>
  <c r="Y44" i="8"/>
  <c r="Y19" i="8"/>
  <c r="X294" i="20" s="1"/>
  <c r="Y94" i="8"/>
  <c r="Y24" i="6"/>
  <c r="Y71" i="8"/>
  <c r="Y47" i="5"/>
  <c r="Y96" i="8"/>
  <c r="Y46" i="8"/>
  <c r="Y21" i="8"/>
  <c r="X332" i="20" s="1"/>
  <c r="Y271" i="17"/>
  <c r="Y216" i="17"/>
  <c r="Y242" i="17"/>
  <c r="Y191" i="17"/>
  <c r="AC131" i="3"/>
  <c r="AC53" i="3" s="1"/>
  <c r="AC156" i="3"/>
  <c r="AD106" i="3"/>
  <c r="T407" i="20"/>
  <c r="T405" i="20" s="1"/>
  <c r="T404" i="20" s="1"/>
  <c r="T403" i="20" s="1"/>
  <c r="AZ403" i="20" s="1"/>
  <c r="BC149" i="9"/>
  <c r="V280" i="17" s="1"/>
  <c r="Y230" i="17"/>
  <c r="Y259" i="17"/>
  <c r="Y204" i="17"/>
  <c r="Y179" i="17"/>
  <c r="W144" i="20"/>
  <c r="W140" i="20" s="1"/>
  <c r="W138" i="20"/>
  <c r="Y252" i="17"/>
  <c r="Y223" i="17"/>
  <c r="Y197" i="17"/>
  <c r="Y172" i="17"/>
  <c r="AB69" i="9"/>
  <c r="X27" i="6"/>
  <c r="W5" i="20"/>
  <c r="X32" i="6"/>
  <c r="Y7" i="6"/>
  <c r="Y79" i="8"/>
  <c r="Y54" i="8"/>
  <c r="Y30" i="5"/>
  <c r="Y29" i="8"/>
  <c r="Y4" i="8"/>
  <c r="BB365" i="20"/>
  <c r="X217" i="17"/>
  <c r="X192" i="17"/>
  <c r="X9" i="17" s="1"/>
  <c r="W443" i="20"/>
  <c r="W441" i="20" s="1"/>
  <c r="Y256" i="17"/>
  <c r="Y227" i="17"/>
  <c r="Y201" i="17"/>
  <c r="Y176" i="17"/>
  <c r="AB73" i="9"/>
  <c r="BF73" i="9" s="1"/>
  <c r="W87" i="20" s="1"/>
  <c r="W83" i="20" s="1"/>
  <c r="W81" i="20"/>
  <c r="X34" i="6"/>
  <c r="X272" i="17"/>
  <c r="AA139" i="3"/>
  <c r="AA61" i="3" s="1"/>
  <c r="AB114" i="3"/>
  <c r="AA164" i="3"/>
  <c r="Y260" i="17"/>
  <c r="Y231" i="17"/>
  <c r="Y180" i="17"/>
  <c r="Y205" i="17"/>
  <c r="W163" i="20"/>
  <c r="W159" i="20" s="1"/>
  <c r="W157" i="20"/>
  <c r="U389" i="20"/>
  <c r="V7" i="21" s="1"/>
  <c r="Y25" i="6"/>
  <c r="Y47" i="8"/>
  <c r="Y72" i="8"/>
  <c r="Y22" i="8"/>
  <c r="Y97" i="8"/>
  <c r="X243" i="17"/>
  <c r="BB137" i="20"/>
  <c r="X34" i="17"/>
  <c r="X36" i="17"/>
  <c r="X33" i="17"/>
  <c r="X35" i="17"/>
  <c r="X32" i="17"/>
  <c r="Y263" i="17"/>
  <c r="Y234" i="17"/>
  <c r="Y183" i="17"/>
  <c r="Y208" i="17"/>
  <c r="AB77" i="9"/>
  <c r="BF77" i="9" s="1"/>
  <c r="W220" i="20" s="1"/>
  <c r="W216" i="20" s="1"/>
  <c r="W214" i="20"/>
  <c r="X37" i="6"/>
  <c r="Y37" i="5"/>
  <c r="Y86" i="8"/>
  <c r="Y11" i="8"/>
  <c r="X142" i="20" s="1"/>
  <c r="Y36" i="8"/>
  <c r="Y61" i="8"/>
  <c r="Y9" i="6"/>
  <c r="Y31" i="8"/>
  <c r="Y81" i="8"/>
  <c r="Y56" i="8"/>
  <c r="Y6" i="8"/>
  <c r="X47" i="20" s="1"/>
  <c r="Y32" i="5"/>
  <c r="AC133" i="3"/>
  <c r="AC55" i="3" s="1"/>
  <c r="AC158" i="3"/>
  <c r="AD108" i="3"/>
  <c r="Y266" i="17"/>
  <c r="Y186" i="17"/>
  <c r="Y237" i="17"/>
  <c r="Y211" i="17"/>
  <c r="W277" i="20"/>
  <c r="W273" i="20" s="1"/>
  <c r="W271" i="20"/>
  <c r="V279" i="17"/>
  <c r="U8" i="21"/>
  <c r="U10" i="21" s="1"/>
  <c r="V6" i="16"/>
  <c r="Y16" i="6"/>
  <c r="Y39" i="5"/>
  <c r="Y88" i="8"/>
  <c r="Y38" i="8"/>
  <c r="Y63" i="8"/>
  <c r="Y13" i="8"/>
  <c r="X180" i="20" s="1"/>
  <c r="Y17" i="8"/>
  <c r="X256" i="20" s="1"/>
  <c r="Y92" i="8"/>
  <c r="Y67" i="8"/>
  <c r="Y43" i="5"/>
  <c r="Y42" i="8"/>
  <c r="Y265" i="17"/>
  <c r="Y236" i="17"/>
  <c r="Y210" i="17"/>
  <c r="Y185" i="17"/>
  <c r="W258" i="20"/>
  <c r="W254" i="20" s="1"/>
  <c r="W252" i="20"/>
  <c r="X38" i="6"/>
  <c r="V245" i="17"/>
  <c r="V246" i="17" s="1"/>
  <c r="U117" i="17"/>
  <c r="U114" i="17"/>
  <c r="U111" i="17"/>
  <c r="U108" i="17"/>
  <c r="U105" i="17"/>
  <c r="U102" i="17"/>
  <c r="U99" i="17"/>
  <c r="U116" i="17"/>
  <c r="U112" i="17"/>
  <c r="U106" i="17"/>
  <c r="U103" i="17"/>
  <c r="U100" i="17"/>
  <c r="U107" i="17"/>
  <c r="U104" i="17"/>
  <c r="U101" i="17"/>
  <c r="U118" i="17"/>
  <c r="U113" i="17"/>
  <c r="U109" i="17"/>
  <c r="U115" i="17"/>
  <c r="U8" i="17"/>
  <c r="U110" i="17"/>
  <c r="AB126" i="3"/>
  <c r="AB48" i="3" s="1"/>
  <c r="AB151" i="3"/>
  <c r="AC101" i="3"/>
  <c r="T119" i="17"/>
  <c r="Y261" i="17"/>
  <c r="Y232" i="17"/>
  <c r="Y181" i="17"/>
  <c r="Y206" i="17"/>
  <c r="W176" i="20"/>
  <c r="AB75" i="9"/>
  <c r="BF75" i="9" s="1"/>
  <c r="W182" i="20" s="1"/>
  <c r="W178" i="20" s="1"/>
  <c r="X36" i="6"/>
  <c r="Y26" i="6"/>
  <c r="Y23" i="8"/>
  <c r="Y98" i="8"/>
  <c r="Y73" i="8"/>
  <c r="Y48" i="8"/>
  <c r="Y18" i="6"/>
  <c r="Y15" i="8"/>
  <c r="X218" i="20" s="1"/>
  <c r="Y40" i="8"/>
  <c r="Y65" i="8"/>
  <c r="Y41" i="5"/>
  <c r="Y90" i="8"/>
  <c r="T291" i="17"/>
  <c r="AE159" i="3"/>
  <c r="AE134" i="3"/>
  <c r="AE56" i="3" s="1"/>
  <c r="Y229" i="17"/>
  <c r="Y258" i="17"/>
  <c r="Y203" i="17"/>
  <c r="Y178" i="17"/>
  <c r="W125" i="20"/>
  <c r="W121" i="20" s="1"/>
  <c r="W119" i="20"/>
  <c r="X35" i="6"/>
  <c r="Y11" i="6"/>
  <c r="Y58" i="8"/>
  <c r="Y83" i="8"/>
  <c r="Y34" i="5"/>
  <c r="Y33" i="8"/>
  <c r="Y8" i="8"/>
  <c r="X85" i="20" s="1"/>
  <c r="Y35" i="8"/>
  <c r="Y10" i="8"/>
  <c r="X123" i="20" s="1"/>
  <c r="Y60" i="8"/>
  <c r="Y85" i="8"/>
  <c r="Y36" i="5"/>
  <c r="AC127" i="3"/>
  <c r="AC49" i="3" s="1"/>
  <c r="AD102" i="3"/>
  <c r="AC152" i="3"/>
  <c r="AC157" i="3"/>
  <c r="AD107" i="3"/>
  <c r="AC132" i="3"/>
  <c r="AC54" i="3" s="1"/>
  <c r="Y239" i="17"/>
  <c r="Y268" i="17"/>
  <c r="Y213" i="17"/>
  <c r="Y188" i="17"/>
  <c r="AB81" i="9"/>
  <c r="BF81" i="9" s="1"/>
  <c r="W315" i="20" s="1"/>
  <c r="W311" i="20" s="1"/>
  <c r="W309" i="20"/>
  <c r="X39" i="6"/>
  <c r="U385" i="20"/>
  <c r="W39" i="17"/>
  <c r="W56" i="17"/>
  <c r="W51" i="17"/>
  <c r="Y94" i="17"/>
  <c r="AD13" i="18"/>
  <c r="AD46" i="18" s="1"/>
  <c r="Y269" i="17"/>
  <c r="Y240" i="17"/>
  <c r="Y189" i="17"/>
  <c r="Y214" i="17"/>
  <c r="AB82" i="9"/>
  <c r="BF82" i="9" s="1"/>
  <c r="W334" i="20" s="1"/>
  <c r="W330" i="20" s="1"/>
  <c r="W328" i="20"/>
  <c r="X40" i="6"/>
  <c r="Y38" i="5"/>
  <c r="Y37" i="8"/>
  <c r="Y12" i="8"/>
  <c r="X161" i="20" s="1"/>
  <c r="Y87" i="8"/>
  <c r="Y62" i="8"/>
  <c r="Y18" i="8"/>
  <c r="X275" i="20" s="1"/>
  <c r="Y93" i="8"/>
  <c r="Y68" i="8"/>
  <c r="Y43" i="8"/>
  <c r="Y44" i="5"/>
  <c r="Y262" i="17"/>
  <c r="Y233" i="17"/>
  <c r="Y182" i="17"/>
  <c r="Y207" i="17"/>
  <c r="AB76" i="9"/>
  <c r="BF76" i="9" s="1"/>
  <c r="W201" i="20" s="1"/>
  <c r="W197" i="20" s="1"/>
  <c r="W195" i="20"/>
  <c r="W60" i="17"/>
  <c r="T12" i="21"/>
  <c r="T13" i="21" s="1"/>
  <c r="T14" i="21" s="1"/>
  <c r="N367" i="20"/>
  <c r="N374" i="20" s="1"/>
  <c r="BZ365" i="20" s="1"/>
  <c r="N348" i="20"/>
  <c r="N355" i="20" s="1"/>
  <c r="BZ346" i="20" s="1"/>
  <c r="N310" i="20"/>
  <c r="N317" i="20" s="1"/>
  <c r="N329" i="20"/>
  <c r="N336" i="20" s="1"/>
  <c r="N291" i="20"/>
  <c r="N298" i="20" s="1"/>
  <c r="N253" i="20"/>
  <c r="N260" i="20" s="1"/>
  <c r="N196" i="20"/>
  <c r="N203" i="20" s="1"/>
  <c r="N272" i="20"/>
  <c r="N279" i="20" s="1"/>
  <c r="N234" i="20"/>
  <c r="N241" i="20" s="1"/>
  <c r="N215" i="20"/>
  <c r="N222" i="20" s="1"/>
  <c r="N158" i="20"/>
  <c r="N165" i="20" s="1"/>
  <c r="N82" i="20"/>
  <c r="N89" i="20" s="1"/>
  <c r="N177" i="20"/>
  <c r="N184" i="20" s="1"/>
  <c r="N120" i="20"/>
  <c r="N127" i="20" s="1"/>
  <c r="N25" i="20"/>
  <c r="N32" i="20" s="1"/>
  <c r="N101" i="20"/>
  <c r="N108" i="20" s="1"/>
  <c r="N44" i="20"/>
  <c r="N51" i="20" s="1"/>
  <c r="N139" i="20"/>
  <c r="N146" i="20" s="1"/>
  <c r="N63" i="20"/>
  <c r="N70" i="20" s="1"/>
  <c r="N6" i="20"/>
  <c r="P21" i="17"/>
  <c r="O14" i="18" s="1"/>
  <c r="O47" i="18" s="1"/>
  <c r="O48" i="18" s="1"/>
  <c r="O50" i="18" s="1"/>
  <c r="X24" i="8"/>
  <c r="W9" i="20"/>
  <c r="Y12" i="6"/>
  <c r="Y34" i="8"/>
  <c r="Y59" i="8"/>
  <c r="Y35" i="5"/>
  <c r="Y84" i="8"/>
  <c r="Y9" i="8"/>
  <c r="X104" i="20" s="1"/>
  <c r="Y8" i="6"/>
  <c r="Y5" i="8"/>
  <c r="X28" i="20" s="1"/>
  <c r="Y55" i="8"/>
  <c r="Y80" i="8"/>
  <c r="Y31" i="5"/>
  <c r="Y30" i="8"/>
  <c r="BG7" i="9"/>
  <c r="AD155" i="3" l="1"/>
  <c r="AE105" i="3"/>
  <c r="AD130" i="3"/>
  <c r="AD52" i="3" s="1"/>
  <c r="X44" i="6"/>
  <c r="Y4" i="16"/>
  <c r="S13" i="17"/>
  <c r="S14" i="17" s="1"/>
  <c r="S18" i="17" s="1"/>
  <c r="S16" i="17" s="1"/>
  <c r="S20" i="17" s="1"/>
  <c r="R21" i="21" s="1"/>
  <c r="AC167" i="3"/>
  <c r="AD117" i="3"/>
  <c r="AC142" i="3"/>
  <c r="AC64" i="3" s="1"/>
  <c r="AD112" i="3"/>
  <c r="AC162" i="3"/>
  <c r="AC137" i="3"/>
  <c r="AC59" i="3" s="1"/>
  <c r="AB165" i="3"/>
  <c r="AB140" i="3"/>
  <c r="AB62" i="3" s="1"/>
  <c r="AC115" i="3"/>
  <c r="O25" i="20"/>
  <c r="O32" i="20" s="1"/>
  <c r="O23" i="20" s="1"/>
  <c r="O215" i="20"/>
  <c r="O222" i="20" s="1"/>
  <c r="CA213" i="20" s="1"/>
  <c r="O234" i="20"/>
  <c r="O241" i="20" s="1"/>
  <c r="CA232" i="20" s="1"/>
  <c r="BY327" i="20"/>
  <c r="M327" i="20"/>
  <c r="M80" i="20"/>
  <c r="BY80" i="20"/>
  <c r="BY118" i="20"/>
  <c r="M118" i="20"/>
  <c r="BY270" i="20"/>
  <c r="M270" i="20"/>
  <c r="BY213" i="20"/>
  <c r="M213" i="20"/>
  <c r="BY61" i="20"/>
  <c r="M61" i="20"/>
  <c r="BY175" i="20"/>
  <c r="M175" i="20"/>
  <c r="O158" i="20"/>
  <c r="O165" i="20" s="1"/>
  <c r="CA156" i="20" s="1"/>
  <c r="M156" i="20"/>
  <c r="BY156" i="20"/>
  <c r="BY99" i="20"/>
  <c r="M99" i="20"/>
  <c r="M289" i="20"/>
  <c r="BY289" i="20"/>
  <c r="BY232" i="20"/>
  <c r="M232" i="20"/>
  <c r="M386" i="20"/>
  <c r="N4" i="21" s="1"/>
  <c r="N5" i="21" s="1"/>
  <c r="N15" i="21" s="1"/>
  <c r="N34" i="21" s="1"/>
  <c r="M13" i="20"/>
  <c r="BY42" i="20"/>
  <c r="M42" i="20"/>
  <c r="BY23" i="20"/>
  <c r="M23" i="20"/>
  <c r="BY194" i="20"/>
  <c r="M194" i="20"/>
  <c r="BY137" i="20"/>
  <c r="M137" i="20"/>
  <c r="M251" i="20"/>
  <c r="BY251" i="20"/>
  <c r="M308" i="20"/>
  <c r="BY308" i="20"/>
  <c r="O272" i="20"/>
  <c r="O279" i="20" s="1"/>
  <c r="O270" i="20" s="1"/>
  <c r="O291" i="20"/>
  <c r="O298" i="20" s="1"/>
  <c r="CA289" i="20" s="1"/>
  <c r="O348" i="20"/>
  <c r="O355" i="20" s="1"/>
  <c r="CA346" i="20" s="1"/>
  <c r="W12" i="17"/>
  <c r="R16" i="17"/>
  <c r="R20" i="17" s="1"/>
  <c r="Q21" i="21" s="1"/>
  <c r="R15" i="17"/>
  <c r="O329" i="20"/>
  <c r="O336" i="20" s="1"/>
  <c r="O327" i="20" s="1"/>
  <c r="Q21" i="17"/>
  <c r="P14" i="18" s="1"/>
  <c r="P47" i="18" s="1"/>
  <c r="P48" i="18" s="1"/>
  <c r="P50" i="18" s="1"/>
  <c r="P52" i="18" s="1"/>
  <c r="P24" i="21" s="1"/>
  <c r="X274" i="17"/>
  <c r="O6" i="20"/>
  <c r="O13" i="20" s="1"/>
  <c r="O310" i="20"/>
  <c r="O317" i="20" s="1"/>
  <c r="CA308" i="20" s="1"/>
  <c r="O63" i="20"/>
  <c r="O70" i="20" s="1"/>
  <c r="O61" i="20" s="1"/>
  <c r="BC175" i="20"/>
  <c r="O196" i="20"/>
  <c r="O203" i="20" s="1"/>
  <c r="O194" i="20" s="1"/>
  <c r="X43" i="6"/>
  <c r="O177" i="20"/>
  <c r="O184" i="20" s="1"/>
  <c r="O175" i="20" s="1"/>
  <c r="Q17" i="17"/>
  <c r="O253" i="20"/>
  <c r="O260" i="20" s="1"/>
  <c r="O251" i="20" s="1"/>
  <c r="Y273" i="17"/>
  <c r="O120" i="20"/>
  <c r="O127" i="20" s="1"/>
  <c r="O118" i="20" s="1"/>
  <c r="O44" i="20"/>
  <c r="O51" i="20" s="1"/>
  <c r="O42" i="20" s="1"/>
  <c r="O101" i="20"/>
  <c r="O108" i="20" s="1"/>
  <c r="CA99" i="20" s="1"/>
  <c r="O367" i="20"/>
  <c r="O374" i="20" s="1"/>
  <c r="CA365" i="20" s="1"/>
  <c r="O82" i="20"/>
  <c r="O89" i="20" s="1"/>
  <c r="O80" i="20" s="1"/>
  <c r="W274" i="17"/>
  <c r="BC289" i="20"/>
  <c r="T387" i="20"/>
  <c r="AZ384" i="20" s="1"/>
  <c r="V278" i="17"/>
  <c r="V285" i="17" s="1"/>
  <c r="V286" i="17" s="1"/>
  <c r="V289" i="17" s="1"/>
  <c r="BC99" i="20"/>
  <c r="BC23" i="20"/>
  <c r="X59" i="17"/>
  <c r="W279" i="17"/>
  <c r="BC308" i="20"/>
  <c r="BC42" i="20"/>
  <c r="BC251" i="20"/>
  <c r="BC270" i="20"/>
  <c r="BC194" i="20"/>
  <c r="BC327" i="20"/>
  <c r="BC80" i="20"/>
  <c r="BC137" i="20"/>
  <c r="BC156" i="20"/>
  <c r="BC232" i="20"/>
  <c r="Z94" i="17"/>
  <c r="W109" i="17" s="1"/>
  <c r="BC61" i="20"/>
  <c r="X49" i="16"/>
  <c r="U7" i="20"/>
  <c r="U387" i="20" s="1"/>
  <c r="BA384" i="20" s="1"/>
  <c r="BC118" i="20"/>
  <c r="AE13" i="18"/>
  <c r="AE46" i="18" s="1"/>
  <c r="W49" i="16"/>
  <c r="W10" i="17"/>
  <c r="W11" i="17" s="1"/>
  <c r="W245" i="17"/>
  <c r="W246" i="17" s="1"/>
  <c r="BZ251" i="20"/>
  <c r="N251" i="20"/>
  <c r="X56" i="17"/>
  <c r="X51" i="17"/>
  <c r="Y74" i="8"/>
  <c r="X58" i="17"/>
  <c r="BE52" i="9"/>
  <c r="C13" i="18"/>
  <c r="C46" i="18" s="1"/>
  <c r="C48" i="18" s="1"/>
  <c r="C50" i="18" s="1"/>
  <c r="AC135" i="3"/>
  <c r="AC57" i="3" s="1"/>
  <c r="AC160" i="3"/>
  <c r="AD110" i="3"/>
  <c r="CA137" i="20"/>
  <c r="O137" i="20"/>
  <c r="AE434" i="20"/>
  <c r="AE432" i="20" s="1"/>
  <c r="Z9" i="6"/>
  <c r="Z31" i="8"/>
  <c r="Z56" i="8"/>
  <c r="Z81" i="8"/>
  <c r="Z6" i="8"/>
  <c r="Y47" i="20" s="1"/>
  <c r="Z32" i="5"/>
  <c r="Z11" i="6"/>
  <c r="Z33" i="8"/>
  <c r="Z83" i="8"/>
  <c r="Z58" i="8"/>
  <c r="Z34" i="5"/>
  <c r="Z8" i="8"/>
  <c r="Y85" i="20" s="1"/>
  <c r="Z230" i="17"/>
  <c r="Z259" i="17"/>
  <c r="Z204" i="17"/>
  <c r="Z179" i="17"/>
  <c r="X138" i="20"/>
  <c r="X144" i="20"/>
  <c r="X140" i="20" s="1"/>
  <c r="X57" i="17"/>
  <c r="BZ99" i="20"/>
  <c r="N99" i="20"/>
  <c r="BC213" i="20"/>
  <c r="Y99" i="8"/>
  <c r="Y10" i="18" s="1"/>
  <c r="Y43" i="18" s="1"/>
  <c r="X60" i="17"/>
  <c r="Z239" i="17"/>
  <c r="Z268" i="17"/>
  <c r="Z213" i="17"/>
  <c r="Z188" i="17"/>
  <c r="AC81" i="9"/>
  <c r="BG81" i="9" s="1"/>
  <c r="X315" i="20" s="1"/>
  <c r="X311" i="20" s="1"/>
  <c r="X309" i="20"/>
  <c r="Y39" i="6"/>
  <c r="Z8" i="6"/>
  <c r="Z5" i="8"/>
  <c r="Y28" i="20" s="1"/>
  <c r="Z80" i="8"/>
  <c r="Z55" i="8"/>
  <c r="Z31" i="5"/>
  <c r="Z30" i="8"/>
  <c r="Z38" i="5"/>
  <c r="Z12" i="8"/>
  <c r="Y161" i="20" s="1"/>
  <c r="Z87" i="8"/>
  <c r="Z37" i="8"/>
  <c r="Z62" i="8"/>
  <c r="AD166" i="3"/>
  <c r="AE116" i="3"/>
  <c r="AD141" i="3"/>
  <c r="AD63" i="3" s="1"/>
  <c r="BZ118" i="20"/>
  <c r="N118" i="20"/>
  <c r="Z260" i="17"/>
  <c r="Z180" i="17"/>
  <c r="Z231" i="17"/>
  <c r="Z205" i="17"/>
  <c r="X163" i="20"/>
  <c r="X159" i="20" s="1"/>
  <c r="X157" i="20"/>
  <c r="V117" i="17"/>
  <c r="V114" i="17"/>
  <c r="V111" i="17"/>
  <c r="V116" i="17"/>
  <c r="V112" i="17"/>
  <c r="V106" i="17"/>
  <c r="V103" i="17"/>
  <c r="V100" i="17"/>
  <c r="V108" i="17"/>
  <c r="V107" i="17"/>
  <c r="V105" i="17"/>
  <c r="V104" i="17"/>
  <c r="V102" i="17"/>
  <c r="V101" i="17"/>
  <c r="V99" i="17"/>
  <c r="V118" i="17"/>
  <c r="V113" i="17"/>
  <c r="V109" i="17"/>
  <c r="V115" i="17"/>
  <c r="V110" i="17"/>
  <c r="V8" i="17"/>
  <c r="Z258" i="17"/>
  <c r="Z203" i="17"/>
  <c r="Z229" i="17"/>
  <c r="Z178" i="17"/>
  <c r="X125" i="20"/>
  <c r="X121" i="20" s="1"/>
  <c r="X119" i="20"/>
  <c r="Y35" i="6"/>
  <c r="Z252" i="17"/>
  <c r="Z197" i="17"/>
  <c r="Z172" i="17"/>
  <c r="Z223" i="17"/>
  <c r="AC69" i="9"/>
  <c r="Y27" i="6"/>
  <c r="X5" i="20"/>
  <c r="Y32" i="6"/>
  <c r="AA185" i="3"/>
  <c r="AA189" i="3"/>
  <c r="AA181" i="3"/>
  <c r="AA178" i="3"/>
  <c r="AA194" i="3"/>
  <c r="AA186" i="3"/>
  <c r="AA191" i="3"/>
  <c r="AA183" i="3"/>
  <c r="AA175" i="3"/>
  <c r="AA188" i="3"/>
  <c r="AA180" i="3"/>
  <c r="AA193" i="3"/>
  <c r="AA177" i="3"/>
  <c r="AA190" i="3"/>
  <c r="AA184" i="3"/>
  <c r="AA179" i="3"/>
  <c r="AA192" i="3"/>
  <c r="AA187" i="3"/>
  <c r="AA70" i="3"/>
  <c r="AA182" i="3"/>
  <c r="AA176" i="3"/>
  <c r="AB54" i="16"/>
  <c r="AB57" i="16"/>
  <c r="AB55" i="16"/>
  <c r="AB53" i="16"/>
  <c r="AB56" i="16"/>
  <c r="AE7" i="9"/>
  <c r="Z79" i="3"/>
  <c r="AA14" i="5" s="1"/>
  <c r="AA15" i="6" s="1"/>
  <c r="Z82" i="3"/>
  <c r="AA17" i="5" s="1"/>
  <c r="Z90" i="3"/>
  <c r="AA25" i="5" s="1"/>
  <c r="Z75" i="3"/>
  <c r="AA10" i="5" s="1"/>
  <c r="Z87" i="3"/>
  <c r="AA22" i="5" s="1"/>
  <c r="Z89" i="3"/>
  <c r="AA24" i="5" s="1"/>
  <c r="Z81" i="3"/>
  <c r="AA16" i="5" s="1"/>
  <c r="Z71" i="3"/>
  <c r="AA6" i="5" s="1"/>
  <c r="Z78" i="3"/>
  <c r="AA13" i="5" s="1"/>
  <c r="AA14" i="6" s="1"/>
  <c r="Z76" i="3"/>
  <c r="AA11" i="5" s="1"/>
  <c r="Z86" i="3"/>
  <c r="AA21" i="5" s="1"/>
  <c r="Z88" i="3"/>
  <c r="AA23" i="5" s="1"/>
  <c r="Z74" i="3"/>
  <c r="AA9" i="5" s="1"/>
  <c r="Z77" i="3"/>
  <c r="AA12" i="5" s="1"/>
  <c r="AA13" i="6" s="1"/>
  <c r="Z73" i="3"/>
  <c r="AA8" i="5" s="1"/>
  <c r="Z80" i="3"/>
  <c r="AA15" i="5" s="1"/>
  <c r="Z83" i="3"/>
  <c r="AA18" i="5" s="1"/>
  <c r="Z85" i="3"/>
  <c r="AA20" i="5" s="1"/>
  <c r="AA21" i="6" s="1"/>
  <c r="Z84" i="3"/>
  <c r="AA19" i="5" s="1"/>
  <c r="AA20" i="6" s="1"/>
  <c r="Z72" i="3"/>
  <c r="AA7" i="5" s="1"/>
  <c r="Z23" i="6"/>
  <c r="Z46" i="5"/>
  <c r="Z70" i="8"/>
  <c r="Z95" i="8"/>
  <c r="Z45" i="8"/>
  <c r="Z20" i="8"/>
  <c r="Y313" i="20" s="1"/>
  <c r="Z26" i="6"/>
  <c r="Z23" i="8"/>
  <c r="Z73" i="8"/>
  <c r="Z48" i="8"/>
  <c r="Z98" i="8"/>
  <c r="BH7" i="9"/>
  <c r="Y243" i="17"/>
  <c r="Z269" i="17"/>
  <c r="Z189" i="17"/>
  <c r="Z240" i="17"/>
  <c r="Z214" i="17"/>
  <c r="AC82" i="9"/>
  <c r="BG82" i="9" s="1"/>
  <c r="X334" i="20" s="1"/>
  <c r="X330" i="20" s="1"/>
  <c r="X328" i="20"/>
  <c r="Y40" i="6"/>
  <c r="Z257" i="17"/>
  <c r="Z202" i="17"/>
  <c r="Z228" i="17"/>
  <c r="Z177" i="17"/>
  <c r="AC74" i="9"/>
  <c r="BG74" i="9" s="1"/>
  <c r="X106" i="20" s="1"/>
  <c r="X102" i="20" s="1"/>
  <c r="X100" i="20"/>
  <c r="BZ175" i="20"/>
  <c r="N175" i="20"/>
  <c r="AC151" i="3"/>
  <c r="AD101" i="3"/>
  <c r="AC126" i="3"/>
  <c r="AC48" i="3" s="1"/>
  <c r="X277" i="17"/>
  <c r="X12" i="17"/>
  <c r="Z264" i="17"/>
  <c r="Z209" i="17"/>
  <c r="Z235" i="17"/>
  <c r="Z184" i="17"/>
  <c r="AC78" i="9"/>
  <c r="BG78" i="9" s="1"/>
  <c r="X239" i="20" s="1"/>
  <c r="X235" i="20" s="1"/>
  <c r="X233" i="20"/>
  <c r="AB174" i="3"/>
  <c r="AC173" i="3"/>
  <c r="Z10" i="6"/>
  <c r="Z82" i="8"/>
  <c r="Z33" i="5"/>
  <c r="Z57" i="8"/>
  <c r="Z32" i="8"/>
  <c r="Z7" i="8"/>
  <c r="Y66" i="20" s="1"/>
  <c r="Z16" i="6"/>
  <c r="Z63" i="8"/>
  <c r="Z88" i="8"/>
  <c r="Z38" i="8"/>
  <c r="Z39" i="5"/>
  <c r="Z13" i="8"/>
  <c r="Y180" i="20" s="1"/>
  <c r="Z12" i="6"/>
  <c r="Z84" i="8"/>
  <c r="Z9" i="8"/>
  <c r="Y104" i="20" s="1"/>
  <c r="Z34" i="8"/>
  <c r="Z35" i="5"/>
  <c r="Z59" i="8"/>
  <c r="BZ42" i="20"/>
  <c r="N42" i="20"/>
  <c r="BZ289" i="20"/>
  <c r="N289" i="20"/>
  <c r="Y272" i="17"/>
  <c r="AD131" i="3"/>
  <c r="AD53" i="3" s="1"/>
  <c r="AD156" i="3"/>
  <c r="AE106" i="3"/>
  <c r="Z261" i="17"/>
  <c r="Z206" i="17"/>
  <c r="Z232" i="17"/>
  <c r="Z181" i="17"/>
  <c r="X176" i="20"/>
  <c r="AC75" i="9"/>
  <c r="BG75" i="9" s="1"/>
  <c r="X182" i="20" s="1"/>
  <c r="X178" i="20" s="1"/>
  <c r="Y36" i="6"/>
  <c r="X218" i="17"/>
  <c r="X219" i="17" s="1"/>
  <c r="X10" i="17" s="1"/>
  <c r="X11" i="17" s="1"/>
  <c r="Z24" i="6"/>
  <c r="Z47" i="5"/>
  <c r="Z96" i="8"/>
  <c r="Z46" i="8"/>
  <c r="Z21" i="8"/>
  <c r="Y332" i="20" s="1"/>
  <c r="Z71" i="8"/>
  <c r="AA58" i="16"/>
  <c r="Y49" i="8"/>
  <c r="Y8" i="18" s="1"/>
  <c r="Y41" i="18" s="1"/>
  <c r="AB139" i="3"/>
  <c r="AB61" i="3" s="1"/>
  <c r="AB164" i="3"/>
  <c r="AC114" i="3"/>
  <c r="W65" i="17"/>
  <c r="W63" i="17"/>
  <c r="W64" i="17" s="1"/>
  <c r="AD132" i="3"/>
  <c r="AD54" i="3" s="1"/>
  <c r="AE107" i="3"/>
  <c r="AD157" i="3"/>
  <c r="W389" i="20"/>
  <c r="X7" i="21" s="1"/>
  <c r="BZ156" i="20"/>
  <c r="N156" i="20"/>
  <c r="Z216" i="17"/>
  <c r="Z242" i="17"/>
  <c r="Z271" i="17"/>
  <c r="Z191" i="17"/>
  <c r="Z225" i="17"/>
  <c r="Z254" i="17"/>
  <c r="Z174" i="17"/>
  <c r="Z199" i="17"/>
  <c r="AC71" i="9"/>
  <c r="BG71" i="9" s="1"/>
  <c r="X49" i="20" s="1"/>
  <c r="X45" i="20" s="1"/>
  <c r="X43" i="20"/>
  <c r="W385" i="20"/>
  <c r="Z267" i="17"/>
  <c r="Z212" i="17"/>
  <c r="Z238" i="17"/>
  <c r="Z187" i="17"/>
  <c r="X290" i="20"/>
  <c r="AC80" i="9"/>
  <c r="BG80" i="9" s="1"/>
  <c r="X296" i="20" s="1"/>
  <c r="X292" i="20" s="1"/>
  <c r="U407" i="20"/>
  <c r="U405" i="20" s="1"/>
  <c r="U404" i="20" s="1"/>
  <c r="U403" i="20" s="1"/>
  <c r="BA403" i="20" s="1"/>
  <c r="BD149" i="9"/>
  <c r="W280" i="17" s="1"/>
  <c r="Z18" i="6"/>
  <c r="Z40" i="8"/>
  <c r="Z65" i="8"/>
  <c r="Z90" i="8"/>
  <c r="Z41" i="5"/>
  <c r="Z15" i="8"/>
  <c r="Y218" i="20" s="1"/>
  <c r="BC365" i="20"/>
  <c r="BZ137" i="20"/>
  <c r="N137" i="20"/>
  <c r="Z19" i="6"/>
  <c r="Z41" i="8"/>
  <c r="Z42" i="5"/>
  <c r="Z91" i="8"/>
  <c r="Z16" i="8"/>
  <c r="Y237" i="20" s="1"/>
  <c r="Z66" i="8"/>
  <c r="Z270" i="17"/>
  <c r="Z215" i="17"/>
  <c r="Z241" i="17"/>
  <c r="Z190" i="17"/>
  <c r="AC83" i="9"/>
  <c r="BG83" i="9" s="1"/>
  <c r="AC79" i="9"/>
  <c r="BG79" i="9" s="1"/>
  <c r="X366" i="20"/>
  <c r="X347" i="20"/>
  <c r="X443" i="20"/>
  <c r="X441" i="20" s="1"/>
  <c r="BZ308" i="20"/>
  <c r="N308" i="20"/>
  <c r="BZ80" i="20"/>
  <c r="N80" i="20"/>
  <c r="BZ213" i="20"/>
  <c r="N213" i="20"/>
  <c r="T292" i="17"/>
  <c r="T13" i="17"/>
  <c r="T14" i="17" s="1"/>
  <c r="T18" i="17" s="1"/>
  <c r="X3" i="21"/>
  <c r="X7" i="18"/>
  <c r="X34" i="18" s="1"/>
  <c r="X36" i="18" s="1"/>
  <c r="AB93" i="17"/>
  <c r="AB90" i="17"/>
  <c r="AB92" i="17"/>
  <c r="AB91" i="17"/>
  <c r="Y46" i="16"/>
  <c r="Y44" i="16"/>
  <c r="Y5" i="16" a="1"/>
  <c r="Y5" i="16" s="1"/>
  <c r="X9" i="21" s="1"/>
  <c r="AB88" i="17"/>
  <c r="Y47" i="16"/>
  <c r="AB89" i="17"/>
  <c r="Y45" i="16"/>
  <c r="Y48" i="16"/>
  <c r="Y18" i="16"/>
  <c r="Y40" i="16" s="1"/>
  <c r="AB53" i="9"/>
  <c r="BF53" i="9" s="1"/>
  <c r="AB52" i="9"/>
  <c r="X29" i="6"/>
  <c r="AE103" i="3"/>
  <c r="AD128" i="3"/>
  <c r="AD50" i="3" s="1"/>
  <c r="AD153" i="3"/>
  <c r="W8" i="21"/>
  <c r="W10" i="21" s="1"/>
  <c r="X6" i="16"/>
  <c r="Z7" i="6"/>
  <c r="Z30" i="5"/>
  <c r="Z79" i="8"/>
  <c r="Z4" i="8"/>
  <c r="Z29" i="8"/>
  <c r="Z54" i="8"/>
  <c r="Z60" i="8"/>
  <c r="Z10" i="8"/>
  <c r="Y123" i="20" s="1"/>
  <c r="Z36" i="5"/>
  <c r="Z35" i="8"/>
  <c r="Z85" i="8"/>
  <c r="BC346" i="20"/>
  <c r="BZ23" i="20"/>
  <c r="N23" i="20"/>
  <c r="AY459" i="20"/>
  <c r="Z224" i="17"/>
  <c r="Z253" i="17"/>
  <c r="Z198" i="17"/>
  <c r="Z173" i="17"/>
  <c r="AC70" i="9"/>
  <c r="BG70" i="9" s="1"/>
  <c r="X30" i="20" s="1"/>
  <c r="X26" i="20" s="1"/>
  <c r="X24" i="20"/>
  <c r="Y33" i="6"/>
  <c r="O52" i="18"/>
  <c r="O24" i="21" s="1"/>
  <c r="BZ232" i="20"/>
  <c r="N232" i="20"/>
  <c r="Z266" i="17"/>
  <c r="Z211" i="17"/>
  <c r="Z186" i="17"/>
  <c r="Z237" i="17"/>
  <c r="X277" i="20"/>
  <c r="X273" i="20" s="1"/>
  <c r="X271" i="20"/>
  <c r="AD127" i="3"/>
  <c r="AD49" i="3" s="1"/>
  <c r="AD152" i="3"/>
  <c r="AE102" i="3"/>
  <c r="BF69" i="9"/>
  <c r="D11" i="18"/>
  <c r="D44" i="18" s="1"/>
  <c r="AE111" i="3"/>
  <c r="AD136" i="3"/>
  <c r="AD58" i="3" s="1"/>
  <c r="AD161" i="3"/>
  <c r="Z233" i="17"/>
  <c r="Z182" i="17"/>
  <c r="Z262" i="17"/>
  <c r="Z207" i="17"/>
  <c r="AC76" i="9"/>
  <c r="BG76" i="9" s="1"/>
  <c r="X201" i="20" s="1"/>
  <c r="X197" i="20" s="1"/>
  <c r="X195" i="20"/>
  <c r="Z17" i="6"/>
  <c r="Z14" i="8"/>
  <c r="Y199" i="20" s="1"/>
  <c r="Z40" i="5"/>
  <c r="Z64" i="8"/>
  <c r="Z89" i="8"/>
  <c r="Z39" i="8"/>
  <c r="Z68" i="8"/>
  <c r="Z18" i="8"/>
  <c r="Y275" i="20" s="1"/>
  <c r="Z43" i="8"/>
  <c r="Z93" i="8"/>
  <c r="Z44" i="5"/>
  <c r="Z265" i="17"/>
  <c r="Z236" i="17"/>
  <c r="Z210" i="17"/>
  <c r="Z185" i="17"/>
  <c r="X258" i="20"/>
  <c r="X254" i="20" s="1"/>
  <c r="X252" i="20"/>
  <c r="Y38" i="6"/>
  <c r="Z234" i="17"/>
  <c r="Z183" i="17"/>
  <c r="Z208" i="17"/>
  <c r="Z263" i="17"/>
  <c r="AC77" i="9"/>
  <c r="BG77" i="9" s="1"/>
  <c r="X220" i="20" s="1"/>
  <c r="X216" i="20" s="1"/>
  <c r="X214" i="20"/>
  <c r="Y37" i="6"/>
  <c r="Z256" i="17"/>
  <c r="Z227" i="17"/>
  <c r="Z201" i="17"/>
  <c r="Z176" i="17"/>
  <c r="AC73" i="9"/>
  <c r="BG73" i="9" s="1"/>
  <c r="X87" i="20" s="1"/>
  <c r="X83" i="20" s="1"/>
  <c r="X81" i="20"/>
  <c r="Y34" i="6"/>
  <c r="U119" i="17"/>
  <c r="X39" i="17"/>
  <c r="Y192" i="17"/>
  <c r="Y9" i="17" s="1"/>
  <c r="AC138" i="3"/>
  <c r="AC60" i="3" s="1"/>
  <c r="AD113" i="3"/>
  <c r="AC163" i="3"/>
  <c r="V8" i="21"/>
  <c r="V10" i="21" s="1"/>
  <c r="W6" i="16"/>
  <c r="AC154" i="3"/>
  <c r="AD104" i="3"/>
  <c r="AC129" i="3"/>
  <c r="AC51" i="3" s="1"/>
  <c r="AA94" i="17"/>
  <c r="Z25" i="6"/>
  <c r="Z97" i="8"/>
  <c r="Z72" i="8"/>
  <c r="Z22" i="8"/>
  <c r="Z47" i="8"/>
  <c r="U291" i="17"/>
  <c r="V11" i="20"/>
  <c r="BE150" i="9"/>
  <c r="X279" i="17" s="1"/>
  <c r="Z37" i="5"/>
  <c r="Z86" i="8"/>
  <c r="Z61" i="8"/>
  <c r="Z11" i="8"/>
  <c r="Y142" i="20" s="1"/>
  <c r="Z36" i="8"/>
  <c r="BZ327" i="20"/>
  <c r="N327" i="20"/>
  <c r="N386" i="20"/>
  <c r="O4" i="21" s="1"/>
  <c r="O5" i="21" s="1"/>
  <c r="O15" i="21" s="1"/>
  <c r="N13" i="20"/>
  <c r="BZ270" i="20"/>
  <c r="N270" i="20"/>
  <c r="BZ61" i="20"/>
  <c r="N61" i="20"/>
  <c r="BZ194" i="20"/>
  <c r="N194" i="20"/>
  <c r="AE108" i="3"/>
  <c r="AD158" i="3"/>
  <c r="AD133" i="3"/>
  <c r="AD55" i="3" s="1"/>
  <c r="Y24" i="8"/>
  <c r="X9" i="20"/>
  <c r="Y217" i="17"/>
  <c r="U12" i="21"/>
  <c r="U13" i="21" s="1"/>
  <c r="U14" i="21" s="1"/>
  <c r="Z255" i="17"/>
  <c r="Z226" i="17"/>
  <c r="Z200" i="17"/>
  <c r="Z175" i="17"/>
  <c r="AC72" i="9"/>
  <c r="BG72" i="9" s="1"/>
  <c r="X68" i="20" s="1"/>
  <c r="X64" i="20" s="1"/>
  <c r="X62" i="20"/>
  <c r="Z17" i="8"/>
  <c r="Y256" i="20" s="1"/>
  <c r="Z67" i="8"/>
  <c r="Z43" i="5"/>
  <c r="Z92" i="8"/>
  <c r="Z42" i="8"/>
  <c r="Z22" i="6"/>
  <c r="Z45" i="5"/>
  <c r="Z69" i="8"/>
  <c r="Z19" i="8"/>
  <c r="Y294" i="20" s="1"/>
  <c r="Z44" i="8"/>
  <c r="Z94" i="8"/>
  <c r="AE155" i="3" l="1"/>
  <c r="AE130" i="3"/>
  <c r="AE52" i="3" s="1"/>
  <c r="Y43" i="6"/>
  <c r="Z4" i="16"/>
  <c r="W115" i="17"/>
  <c r="CA327" i="20"/>
  <c r="S15" i="17"/>
  <c r="S19" i="17" s="1"/>
  <c r="Q348" i="20" s="1"/>
  <c r="Q355" i="20" s="1"/>
  <c r="CC346" i="20" s="1"/>
  <c r="AD115" i="3"/>
  <c r="AC165" i="3"/>
  <c r="AC140" i="3"/>
  <c r="AC62" i="3" s="1"/>
  <c r="AE112" i="3"/>
  <c r="AD162" i="3"/>
  <c r="AD137" i="3"/>
  <c r="AD59" i="3" s="1"/>
  <c r="AD142" i="3"/>
  <c r="AD64" i="3" s="1"/>
  <c r="AD167" i="3"/>
  <c r="AE117" i="3"/>
  <c r="O34" i="21"/>
  <c r="O232" i="20"/>
  <c r="CA23" i="20"/>
  <c r="O289" i="20"/>
  <c r="CA270" i="20"/>
  <c r="O213" i="20"/>
  <c r="CA61" i="20"/>
  <c r="O156" i="20"/>
  <c r="BY4" i="20"/>
  <c r="M4" i="20"/>
  <c r="M384" i="20" s="1"/>
  <c r="M459" i="20" s="1"/>
  <c r="M393" i="20"/>
  <c r="BY384" i="20" s="1"/>
  <c r="O308" i="20"/>
  <c r="R17" i="17"/>
  <c r="R19" i="17"/>
  <c r="CA194" i="20"/>
  <c r="CA175" i="20"/>
  <c r="CA251" i="20"/>
  <c r="W101" i="17"/>
  <c r="W102" i="17"/>
  <c r="W104" i="17"/>
  <c r="W118" i="17"/>
  <c r="Y274" i="17"/>
  <c r="W105" i="17"/>
  <c r="W107" i="17"/>
  <c r="W112" i="17"/>
  <c r="CA42" i="20"/>
  <c r="BD289" i="20"/>
  <c r="W108" i="17"/>
  <c r="O99" i="20"/>
  <c r="W111" i="17"/>
  <c r="W116" i="17"/>
  <c r="CA118" i="20"/>
  <c r="W110" i="17"/>
  <c r="W8" i="17"/>
  <c r="W117" i="17"/>
  <c r="W100" i="17"/>
  <c r="W113" i="17"/>
  <c r="W106" i="17"/>
  <c r="Y44" i="6"/>
  <c r="W114" i="17"/>
  <c r="W103" i="17"/>
  <c r="W99" i="17"/>
  <c r="O386" i="20"/>
  <c r="P4" i="21" s="1"/>
  <c r="P5" i="21" s="1"/>
  <c r="P15" i="21" s="1"/>
  <c r="P34" i="21" s="1"/>
  <c r="CA80" i="20"/>
  <c r="W278" i="17"/>
  <c r="W285" i="17" s="1"/>
  <c r="W286" i="17" s="1"/>
  <c r="W288" i="17" s="1"/>
  <c r="V288" i="17"/>
  <c r="V290" i="17"/>
  <c r="Z273" i="17"/>
  <c r="BD137" i="20"/>
  <c r="AZ459" i="20"/>
  <c r="BD99" i="20"/>
  <c r="BD118" i="20"/>
  <c r="BA4" i="20"/>
  <c r="BD175" i="20"/>
  <c r="BD232" i="20"/>
  <c r="BD270" i="20"/>
  <c r="BD80" i="20"/>
  <c r="BD156" i="20"/>
  <c r="BD194" i="20"/>
  <c r="BD327" i="20"/>
  <c r="BA459" i="20"/>
  <c r="V12" i="21"/>
  <c r="V13" i="21" s="1"/>
  <c r="V14" i="21" s="1"/>
  <c r="BD23" i="20"/>
  <c r="BD308" i="20"/>
  <c r="BD42" i="20"/>
  <c r="BD213" i="20"/>
  <c r="AF13" i="18"/>
  <c r="AF46" i="18" s="1"/>
  <c r="BD251" i="20"/>
  <c r="BD61" i="20"/>
  <c r="AA203" i="17"/>
  <c r="AA258" i="17"/>
  <c r="AA178" i="17"/>
  <c r="AA229" i="17"/>
  <c r="Y125" i="20"/>
  <c r="Y121" i="20" s="1"/>
  <c r="Y119" i="20"/>
  <c r="Z35" i="6"/>
  <c r="AA8" i="6"/>
  <c r="AA5" i="8"/>
  <c r="Z28" i="20" s="1"/>
  <c r="AA30" i="8"/>
  <c r="AA31" i="5"/>
  <c r="AA80" i="8"/>
  <c r="AA55" i="8"/>
  <c r="AA17" i="8"/>
  <c r="Z256" i="20" s="1"/>
  <c r="AA43" i="5"/>
  <c r="AA67" i="8"/>
  <c r="AA92" i="8"/>
  <c r="AA42" i="8"/>
  <c r="AA7" i="6"/>
  <c r="AA30" i="5"/>
  <c r="AA54" i="8"/>
  <c r="AA4" i="8"/>
  <c r="AA79" i="8"/>
  <c r="AA29" i="8"/>
  <c r="AC57" i="16"/>
  <c r="AC55" i="16"/>
  <c r="AC53" i="16"/>
  <c r="AC56" i="16"/>
  <c r="AC54" i="16"/>
  <c r="AF7" i="9"/>
  <c r="AA84" i="3"/>
  <c r="AB19" i="5" s="1"/>
  <c r="AB20" i="6" s="1"/>
  <c r="AA90" i="3"/>
  <c r="AB25" i="5" s="1"/>
  <c r="AA75" i="3"/>
  <c r="AB10" i="5" s="1"/>
  <c r="AA87" i="3"/>
  <c r="AB22" i="5" s="1"/>
  <c r="AA79" i="3"/>
  <c r="AB14" i="5" s="1"/>
  <c r="AB15" i="6" s="1"/>
  <c r="AA73" i="3"/>
  <c r="AB8" i="5" s="1"/>
  <c r="AA78" i="3"/>
  <c r="AB13" i="5" s="1"/>
  <c r="AB14" i="6" s="1"/>
  <c r="AA76" i="3"/>
  <c r="AB11" i="5" s="1"/>
  <c r="AA74" i="3"/>
  <c r="AB9" i="5" s="1"/>
  <c r="AA86" i="3"/>
  <c r="AB21" i="5" s="1"/>
  <c r="AA83" i="3"/>
  <c r="AB18" i="5" s="1"/>
  <c r="AA77" i="3"/>
  <c r="AB12" i="5" s="1"/>
  <c r="AB13" i="6" s="1"/>
  <c r="AA89" i="3"/>
  <c r="AB24" i="5" s="1"/>
  <c r="AA71" i="3"/>
  <c r="AB6" i="5" s="1"/>
  <c r="AA82" i="3"/>
  <c r="AB17" i="5" s="1"/>
  <c r="AA88" i="3"/>
  <c r="AB23" i="5" s="1"/>
  <c r="AA81" i="3"/>
  <c r="AB16" i="5" s="1"/>
  <c r="AA80" i="3"/>
  <c r="AB15" i="5" s="1"/>
  <c r="AA85" i="3"/>
  <c r="AB20" i="5" s="1"/>
  <c r="AB21" i="6" s="1"/>
  <c r="AA72" i="3"/>
  <c r="AB7" i="5" s="1"/>
  <c r="Z192" i="17"/>
  <c r="Z9" i="17" s="1"/>
  <c r="X117" i="17"/>
  <c r="X114" i="17"/>
  <c r="X111" i="17"/>
  <c r="X108" i="17"/>
  <c r="X105" i="17"/>
  <c r="X102" i="17"/>
  <c r="X99" i="17"/>
  <c r="X112" i="17"/>
  <c r="X107" i="17"/>
  <c r="X106" i="17"/>
  <c r="X104" i="17"/>
  <c r="X103" i="17"/>
  <c r="X101" i="17"/>
  <c r="X100" i="17"/>
  <c r="X113" i="17"/>
  <c r="X118" i="17"/>
  <c r="X109" i="17"/>
  <c r="X110" i="17"/>
  <c r="X115" i="17"/>
  <c r="X116" i="17"/>
  <c r="X8" i="17"/>
  <c r="Z49" i="8"/>
  <c r="Z8" i="18" s="1"/>
  <c r="Z41" i="18" s="1"/>
  <c r="Z24" i="8"/>
  <c r="Y9" i="20"/>
  <c r="X8" i="21"/>
  <c r="X10" i="21" s="1"/>
  <c r="Y6" i="16"/>
  <c r="X245" i="17"/>
  <c r="X246" i="17" s="1"/>
  <c r="Y277" i="17"/>
  <c r="Y12" i="17"/>
  <c r="AE101" i="3"/>
  <c r="AD151" i="3"/>
  <c r="AD126" i="3"/>
  <c r="AD48" i="3" s="1"/>
  <c r="AA18" i="8"/>
  <c r="Z275" i="20" s="1"/>
  <c r="AA93" i="8"/>
  <c r="AA68" i="8"/>
  <c r="AA43" i="8"/>
  <c r="AA44" i="5"/>
  <c r="AA17" i="6"/>
  <c r="AA14" i="8"/>
  <c r="Z199" i="20" s="1"/>
  <c r="AA40" i="5"/>
  <c r="AA89" i="8"/>
  <c r="AA64" i="8"/>
  <c r="AA39" i="8"/>
  <c r="Z217" i="17"/>
  <c r="AA260" i="17"/>
  <c r="AA205" i="17"/>
  <c r="AA231" i="17"/>
  <c r="AA180" i="17"/>
  <c r="Y163" i="20"/>
  <c r="Y159" i="20" s="1"/>
  <c r="Y157" i="20"/>
  <c r="Z99" i="8"/>
  <c r="Z10" i="18" s="1"/>
  <c r="Z43" i="18" s="1"/>
  <c r="AC139" i="3"/>
  <c r="AC61" i="3" s="1"/>
  <c r="AC164" i="3"/>
  <c r="AD114" i="3"/>
  <c r="AA228" i="17"/>
  <c r="AA257" i="17"/>
  <c r="AA177" i="17"/>
  <c r="AA202" i="17"/>
  <c r="AD74" i="9"/>
  <c r="BH74" i="9" s="1"/>
  <c r="Y106" i="20" s="1"/>
  <c r="Y102" i="20" s="1"/>
  <c r="Y100" i="20"/>
  <c r="AA242" i="17"/>
  <c r="AA271" i="17"/>
  <c r="AA216" i="17"/>
  <c r="AA191" i="17"/>
  <c r="AA19" i="6"/>
  <c r="AA42" i="5"/>
  <c r="AA66" i="8"/>
  <c r="AA41" i="8"/>
  <c r="AA91" i="8"/>
  <c r="AA16" i="8"/>
  <c r="Z237" i="20" s="1"/>
  <c r="AA25" i="6"/>
  <c r="AA47" i="8"/>
  <c r="AA97" i="8"/>
  <c r="AA22" i="8"/>
  <c r="AA72" i="8"/>
  <c r="Z272" i="17"/>
  <c r="X63" i="17"/>
  <c r="X64" i="17" s="1"/>
  <c r="X65" i="17"/>
  <c r="Z74" i="8"/>
  <c r="Y218" i="17"/>
  <c r="Y219" i="17" s="1"/>
  <c r="AE127" i="3"/>
  <c r="AE49" i="3" s="1"/>
  <c r="AE152" i="3"/>
  <c r="AA269" i="17"/>
  <c r="AA214" i="17"/>
  <c r="AA240" i="17"/>
  <c r="AA189" i="17"/>
  <c r="AD82" i="9"/>
  <c r="BH82" i="9" s="1"/>
  <c r="Y334" i="20" s="1"/>
  <c r="Y330" i="20" s="1"/>
  <c r="Y328" i="20"/>
  <c r="Z40" i="6"/>
  <c r="AA16" i="6"/>
  <c r="AA88" i="8"/>
  <c r="AA39" i="5"/>
  <c r="AA63" i="8"/>
  <c r="AA38" i="8"/>
  <c r="AA13" i="8"/>
  <c r="Z180" i="20" s="1"/>
  <c r="AA23" i="6"/>
  <c r="AA46" i="5"/>
  <c r="AA95" i="8"/>
  <c r="AA70" i="8"/>
  <c r="AA45" i="8"/>
  <c r="AA20" i="8"/>
  <c r="Z313" i="20" s="1"/>
  <c r="U292" i="17"/>
  <c r="U13" i="17"/>
  <c r="U14" i="17" s="1"/>
  <c r="U18" i="17" s="1"/>
  <c r="P394" i="20"/>
  <c r="Z243" i="17"/>
  <c r="AA254" i="17"/>
  <c r="AA225" i="17"/>
  <c r="AA174" i="17"/>
  <c r="AA199" i="17"/>
  <c r="AD71" i="9"/>
  <c r="BH71" i="9" s="1"/>
  <c r="Y49" i="20" s="1"/>
  <c r="Y45" i="20" s="1"/>
  <c r="Y43" i="20"/>
  <c r="AA265" i="17"/>
  <c r="AA236" i="17"/>
  <c r="AA210" i="17"/>
  <c r="AA185" i="17"/>
  <c r="Y258" i="20"/>
  <c r="Y254" i="20" s="1"/>
  <c r="Y252" i="20"/>
  <c r="Z38" i="6"/>
  <c r="X389" i="20"/>
  <c r="Y7" i="21" s="1"/>
  <c r="AA259" i="17"/>
  <c r="AA204" i="17"/>
  <c r="AA230" i="17"/>
  <c r="AA179" i="17"/>
  <c r="Y138" i="20"/>
  <c r="Y144" i="20"/>
  <c r="Y140" i="20" s="1"/>
  <c r="AA241" i="17"/>
  <c r="AA270" i="17"/>
  <c r="AA215" i="17"/>
  <c r="AA190" i="17"/>
  <c r="AD79" i="9"/>
  <c r="BH79" i="9" s="1"/>
  <c r="AD83" i="9"/>
  <c r="BH83" i="9" s="1"/>
  <c r="Y366" i="20"/>
  <c r="Y347" i="20"/>
  <c r="AA223" i="17"/>
  <c r="AA172" i="17"/>
  <c r="AA197" i="17"/>
  <c r="AA252" i="17"/>
  <c r="AD69" i="9"/>
  <c r="Z27" i="6"/>
  <c r="Y5" i="20"/>
  <c r="Z32" i="6"/>
  <c r="AE128" i="3"/>
  <c r="AE50" i="3" s="1"/>
  <c r="AE153" i="3"/>
  <c r="AB94" i="17"/>
  <c r="AA9" i="6"/>
  <c r="AA56" i="8"/>
  <c r="AA81" i="8"/>
  <c r="AA31" i="8"/>
  <c r="AA6" i="8"/>
  <c r="Z47" i="20" s="1"/>
  <c r="AA32" i="5"/>
  <c r="BI7" i="9"/>
  <c r="V119" i="17"/>
  <c r="AA255" i="17"/>
  <c r="AA226" i="17"/>
  <c r="AA175" i="17"/>
  <c r="AA200" i="17"/>
  <c r="AD72" i="9"/>
  <c r="BH72" i="9" s="1"/>
  <c r="Y68" i="20" s="1"/>
  <c r="Y64" i="20" s="1"/>
  <c r="Y62" i="20"/>
  <c r="AA36" i="5"/>
  <c r="AA85" i="8"/>
  <c r="AA35" i="8"/>
  <c r="AA60" i="8"/>
  <c r="AA10" i="8"/>
  <c r="Z123" i="20" s="1"/>
  <c r="AA256" i="17"/>
  <c r="AA227" i="17"/>
  <c r="AA201" i="17"/>
  <c r="AA176" i="17"/>
  <c r="AD73" i="9"/>
  <c r="BH73" i="9" s="1"/>
  <c r="Y87" i="20" s="1"/>
  <c r="Y83" i="20" s="1"/>
  <c r="Y81" i="20"/>
  <c r="Z34" i="6"/>
  <c r="AD135" i="3"/>
  <c r="AD57" i="3" s="1"/>
  <c r="AE110" i="3"/>
  <c r="AD160" i="3"/>
  <c r="AE156" i="3"/>
  <c r="AE131" i="3"/>
  <c r="AE53" i="3" s="1"/>
  <c r="AB190" i="3"/>
  <c r="AB178" i="3"/>
  <c r="AB194" i="3"/>
  <c r="AB186" i="3"/>
  <c r="AB191" i="3"/>
  <c r="AB183" i="3"/>
  <c r="AB175" i="3"/>
  <c r="AB188" i="3"/>
  <c r="AB180" i="3"/>
  <c r="AB193" i="3"/>
  <c r="AB177" i="3"/>
  <c r="AB185" i="3"/>
  <c r="AB182" i="3"/>
  <c r="AB179" i="3"/>
  <c r="AB192" i="3"/>
  <c r="AB70" i="3"/>
  <c r="AB187" i="3"/>
  <c r="AB184" i="3"/>
  <c r="AB181" i="3"/>
  <c r="AB176" i="3"/>
  <c r="AB189" i="3"/>
  <c r="AA12" i="6"/>
  <c r="AA9" i="8"/>
  <c r="Z104" i="20" s="1"/>
  <c r="AA84" i="8"/>
  <c r="AA34" i="8"/>
  <c r="AA35" i="5"/>
  <c r="AA59" i="8"/>
  <c r="AE113" i="3"/>
  <c r="AD138" i="3"/>
  <c r="AD60" i="3" s="1"/>
  <c r="AD163" i="3"/>
  <c r="N4" i="20"/>
  <c r="N384" i="20" s="1"/>
  <c r="N459" i="20" s="1"/>
  <c r="BZ4" i="20"/>
  <c r="N393" i="20"/>
  <c r="BZ384" i="20" s="1"/>
  <c r="V391" i="20"/>
  <c r="V7" i="20"/>
  <c r="Y49" i="16"/>
  <c r="T15" i="17"/>
  <c r="T16" i="17"/>
  <c r="T20" i="17" s="1"/>
  <c r="S21" i="21" s="1"/>
  <c r="BD346" i="20"/>
  <c r="CA4" i="20"/>
  <c r="O4" i="20"/>
  <c r="O393" i="20"/>
  <c r="CA384" i="20" s="1"/>
  <c r="AA10" i="6"/>
  <c r="AA32" i="8"/>
  <c r="AA82" i="8"/>
  <c r="AA33" i="5"/>
  <c r="AA7" i="8"/>
  <c r="Z66" i="20" s="1"/>
  <c r="AA57" i="8"/>
  <c r="AA11" i="6"/>
  <c r="AA34" i="5"/>
  <c r="AA33" i="8"/>
  <c r="AA58" i="8"/>
  <c r="AA83" i="8"/>
  <c r="AA8" i="8"/>
  <c r="Z85" i="20" s="1"/>
  <c r="AB58" i="16"/>
  <c r="AE141" i="3"/>
  <c r="AE63" i="3" s="1"/>
  <c r="AE166" i="3"/>
  <c r="E11" i="18"/>
  <c r="E44" i="18" s="1"/>
  <c r="BG69" i="9"/>
  <c r="AD154" i="3"/>
  <c r="AE104" i="3"/>
  <c r="AD129" i="3"/>
  <c r="AD51" i="3" s="1"/>
  <c r="BF52" i="9"/>
  <c r="D13" i="18"/>
  <c r="D46" i="18" s="1"/>
  <c r="D48" i="18" s="1"/>
  <c r="D50" i="18" s="1"/>
  <c r="BD365" i="20"/>
  <c r="AA209" i="17"/>
  <c r="AA264" i="17"/>
  <c r="AA235" i="17"/>
  <c r="AA184" i="17"/>
  <c r="AD78" i="9"/>
  <c r="BH78" i="9" s="1"/>
  <c r="Y239" i="20" s="1"/>
  <c r="Y235" i="20" s="1"/>
  <c r="Y233" i="20"/>
  <c r="AA24" i="6"/>
  <c r="AA46" i="8"/>
  <c r="AA21" i="8"/>
  <c r="Z332" i="20" s="1"/>
  <c r="AA71" i="8"/>
  <c r="AA96" i="8"/>
  <c r="AA47" i="5"/>
  <c r="AA26" i="6"/>
  <c r="AA23" i="8"/>
  <c r="AA48" i="8"/>
  <c r="AA98" i="8"/>
  <c r="AA73" i="8"/>
  <c r="AA224" i="17"/>
  <c r="AA253" i="17"/>
  <c r="AA198" i="17"/>
  <c r="AA173" i="17"/>
  <c r="AD70" i="9"/>
  <c r="BH70" i="9" s="1"/>
  <c r="Y30" i="20" s="1"/>
  <c r="Y26" i="20" s="1"/>
  <c r="Y24" i="20"/>
  <c r="Z33" i="6"/>
  <c r="AA37" i="5"/>
  <c r="AA86" i="8"/>
  <c r="AA36" i="8"/>
  <c r="AA11" i="8"/>
  <c r="Z142" i="20" s="1"/>
  <c r="AA61" i="8"/>
  <c r="AA237" i="17"/>
  <c r="AA266" i="17"/>
  <c r="AA211" i="17"/>
  <c r="AA186" i="17"/>
  <c r="Y277" i="20"/>
  <c r="Y273" i="20" s="1"/>
  <c r="Y271" i="20"/>
  <c r="AE133" i="3"/>
  <c r="AE55" i="3" s="1"/>
  <c r="AE158" i="3"/>
  <c r="AE136" i="3"/>
  <c r="AE58" i="3" s="1"/>
  <c r="AE161" i="3"/>
  <c r="AA234" i="17"/>
  <c r="AA208" i="17"/>
  <c r="AA263" i="17"/>
  <c r="AA183" i="17"/>
  <c r="AD77" i="9"/>
  <c r="BH77" i="9" s="1"/>
  <c r="Y220" i="20" s="1"/>
  <c r="Y216" i="20" s="1"/>
  <c r="Y214" i="20"/>
  <c r="Z37" i="6"/>
  <c r="AA261" i="17"/>
  <c r="AA206" i="17"/>
  <c r="AA181" i="17"/>
  <c r="AA232" i="17"/>
  <c r="Y176" i="20"/>
  <c r="AD75" i="9"/>
  <c r="BH75" i="9" s="1"/>
  <c r="Y182" i="20" s="1"/>
  <c r="Y178" i="20" s="1"/>
  <c r="Z36" i="6"/>
  <c r="AA239" i="17"/>
  <c r="AA268" i="17"/>
  <c r="AA213" i="17"/>
  <c r="AA188" i="17"/>
  <c r="AD81" i="9"/>
  <c r="BH81" i="9" s="1"/>
  <c r="Y315" i="20" s="1"/>
  <c r="Y311" i="20" s="1"/>
  <c r="Y309" i="20"/>
  <c r="Z39" i="6"/>
  <c r="AA22" i="6"/>
  <c r="AA45" i="5"/>
  <c r="AA19" i="8"/>
  <c r="Z294" i="20" s="1"/>
  <c r="AA69" i="8"/>
  <c r="AA94" i="8"/>
  <c r="AA44" i="8"/>
  <c r="AA18" i="6"/>
  <c r="AA90" i="8"/>
  <c r="AA41" i="5"/>
  <c r="AA15" i="8"/>
  <c r="Z218" i="20" s="1"/>
  <c r="AA40" i="8"/>
  <c r="AA65" i="8"/>
  <c r="X385" i="20"/>
  <c r="W11" i="20"/>
  <c r="BF150" i="9"/>
  <c r="Y279" i="17" s="1"/>
  <c r="AA233" i="17"/>
  <c r="AA182" i="17"/>
  <c r="AA262" i="17"/>
  <c r="AA207" i="17"/>
  <c r="AD76" i="9"/>
  <c r="BH76" i="9" s="1"/>
  <c r="Y201" i="20" s="1"/>
  <c r="Y197" i="20" s="1"/>
  <c r="Y195" i="20"/>
  <c r="AA238" i="17"/>
  <c r="AA212" i="17"/>
  <c r="AA267" i="17"/>
  <c r="AA187" i="17"/>
  <c r="AD80" i="9"/>
  <c r="BH80" i="9" s="1"/>
  <c r="Y296" i="20" s="1"/>
  <c r="Y292" i="20" s="1"/>
  <c r="Y290" i="20"/>
  <c r="AE132" i="3"/>
  <c r="AE54" i="3" s="1"/>
  <c r="AE157" i="3"/>
  <c r="C52" i="18"/>
  <c r="C24" i="21" s="1"/>
  <c r="C34" i="21" s="1"/>
  <c r="AC174" i="3"/>
  <c r="AD173" i="3"/>
  <c r="Y443" i="20"/>
  <c r="Y441" i="20" s="1"/>
  <c r="AA37" i="8"/>
  <c r="AA12" i="8"/>
  <c r="Z161" i="20" s="1"/>
  <c r="AA87" i="8"/>
  <c r="AA62" i="8"/>
  <c r="AA38" i="5"/>
  <c r="Y3" i="21"/>
  <c r="Y7" i="18"/>
  <c r="Y34" i="18" s="1"/>
  <c r="Y36" i="18" s="1"/>
  <c r="AC93" i="17"/>
  <c r="AC92" i="17"/>
  <c r="AC91" i="17"/>
  <c r="AC90" i="17"/>
  <c r="AC89" i="17"/>
  <c r="AC88" i="17"/>
  <c r="Z5" i="16" a="1"/>
  <c r="Z5" i="16" s="1"/>
  <c r="Y9" i="21" s="1"/>
  <c r="Z44" i="16"/>
  <c r="Z47" i="16"/>
  <c r="Z45" i="16"/>
  <c r="Z48" i="16"/>
  <c r="Z18" i="16"/>
  <c r="Z40" i="16" s="1"/>
  <c r="Z46" i="16"/>
  <c r="AC53" i="9"/>
  <c r="BG53" i="9" s="1"/>
  <c r="AC52" i="9"/>
  <c r="Y29" i="6"/>
  <c r="V407" i="20"/>
  <c r="V405" i="20" s="1"/>
  <c r="V404" i="20" s="1"/>
  <c r="BE149" i="9"/>
  <c r="X280" i="17" s="1"/>
  <c r="X278" i="17" s="1"/>
  <c r="X285" i="17" s="1"/>
  <c r="X286" i="17" s="1"/>
  <c r="Z43" i="6" l="1"/>
  <c r="AA4" i="16"/>
  <c r="Q272" i="20"/>
  <c r="Q279" i="20" s="1"/>
  <c r="CC270" i="20" s="1"/>
  <c r="Q291" i="20"/>
  <c r="Q298" i="20" s="1"/>
  <c r="Q289" i="20" s="1"/>
  <c r="S21" i="17"/>
  <c r="R14" i="18" s="1"/>
  <c r="R47" i="18" s="1"/>
  <c r="R48" i="18" s="1"/>
  <c r="R50" i="18" s="1"/>
  <c r="Q177" i="20"/>
  <c r="Q184" i="20" s="1"/>
  <c r="CC175" i="20" s="1"/>
  <c r="Q101" i="20"/>
  <c r="Q108" i="20" s="1"/>
  <c r="CC99" i="20" s="1"/>
  <c r="Q6" i="20"/>
  <c r="Q13" i="20" s="1"/>
  <c r="Q215" i="20"/>
  <c r="Q222" i="20" s="1"/>
  <c r="CC213" i="20" s="1"/>
  <c r="Q44" i="20"/>
  <c r="Q51" i="20" s="1"/>
  <c r="CC42" i="20" s="1"/>
  <c r="Q82" i="20"/>
  <c r="Q89" i="20" s="1"/>
  <c r="Q80" i="20" s="1"/>
  <c r="Q253" i="20"/>
  <c r="Q260" i="20" s="1"/>
  <c r="Q251" i="20" s="1"/>
  <c r="Q139" i="20"/>
  <c r="Q146" i="20" s="1"/>
  <c r="Q137" i="20" s="1"/>
  <c r="Q310" i="20"/>
  <c r="Q317" i="20" s="1"/>
  <c r="CC308" i="20" s="1"/>
  <c r="Q25" i="20"/>
  <c r="Q32" i="20" s="1"/>
  <c r="Q23" i="20" s="1"/>
  <c r="Q158" i="20"/>
  <c r="Q165" i="20" s="1"/>
  <c r="CC156" i="20" s="1"/>
  <c r="Q367" i="20"/>
  <c r="Q374" i="20" s="1"/>
  <c r="CC365" i="20" s="1"/>
  <c r="Q63" i="20"/>
  <c r="Q70" i="20" s="1"/>
  <c r="CC61" i="20" s="1"/>
  <c r="Q196" i="20"/>
  <c r="Q203" i="20" s="1"/>
  <c r="CC194" i="20" s="1"/>
  <c r="Q329" i="20"/>
  <c r="Q336" i="20" s="1"/>
  <c r="Q327" i="20" s="1"/>
  <c r="Q120" i="20"/>
  <c r="Q127" i="20" s="1"/>
  <c r="CC118" i="20" s="1"/>
  <c r="Q234" i="20"/>
  <c r="Q241" i="20" s="1"/>
  <c r="Q232" i="20" s="1"/>
  <c r="S17" i="17"/>
  <c r="AE137" i="3"/>
  <c r="AE59" i="3" s="1"/>
  <c r="AE162" i="3"/>
  <c r="AE167" i="3"/>
  <c r="AE142" i="3"/>
  <c r="AE64" i="3" s="1"/>
  <c r="AD165" i="3"/>
  <c r="AE115" i="3"/>
  <c r="AD140" i="3"/>
  <c r="AD62" i="3" s="1"/>
  <c r="O384" i="20"/>
  <c r="O459" i="20" s="1"/>
  <c r="P367" i="20"/>
  <c r="P374" i="20" s="1"/>
  <c r="CB365" i="20" s="1"/>
  <c r="P158" i="20"/>
  <c r="P165" i="20" s="1"/>
  <c r="P63" i="20"/>
  <c r="P70" i="20" s="1"/>
  <c r="P329" i="20"/>
  <c r="P336" i="20" s="1"/>
  <c r="P177" i="20"/>
  <c r="P184" i="20" s="1"/>
  <c r="P25" i="20"/>
  <c r="P32" i="20" s="1"/>
  <c r="P253" i="20"/>
  <c r="P260" i="20" s="1"/>
  <c r="P82" i="20"/>
  <c r="P89" i="20" s="1"/>
  <c r="P6" i="20"/>
  <c r="P272" i="20"/>
  <c r="P279" i="20" s="1"/>
  <c r="P196" i="20"/>
  <c r="P203" i="20" s="1"/>
  <c r="R21" i="17"/>
  <c r="Q14" i="18" s="1"/>
  <c r="Q47" i="18" s="1"/>
  <c r="Q48" i="18" s="1"/>
  <c r="Q50" i="18" s="1"/>
  <c r="P101" i="20"/>
  <c r="P108" i="20" s="1"/>
  <c r="P234" i="20"/>
  <c r="P241" i="20" s="1"/>
  <c r="P310" i="20"/>
  <c r="P317" i="20" s="1"/>
  <c r="P120" i="20"/>
  <c r="P127" i="20" s="1"/>
  <c r="P291" i="20"/>
  <c r="P298" i="20" s="1"/>
  <c r="P139" i="20"/>
  <c r="P146" i="20" s="1"/>
  <c r="P348" i="20"/>
  <c r="P355" i="20" s="1"/>
  <c r="CB346" i="20" s="1"/>
  <c r="P215" i="20"/>
  <c r="P222" i="20" s="1"/>
  <c r="P44" i="20"/>
  <c r="P51" i="20" s="1"/>
  <c r="W119" i="17"/>
  <c r="V291" i="17"/>
  <c r="V13" i="17" s="1"/>
  <c r="V14" i="17" s="1"/>
  <c r="V18" i="17" s="1"/>
  <c r="W290" i="17"/>
  <c r="Z44" i="6"/>
  <c r="Z274" i="17"/>
  <c r="W289" i="17"/>
  <c r="AA273" i="17"/>
  <c r="BE80" i="20"/>
  <c r="BE61" i="20"/>
  <c r="BE327" i="20"/>
  <c r="BE23" i="20"/>
  <c r="BE175" i="20"/>
  <c r="BE156" i="20"/>
  <c r="BE251" i="20"/>
  <c r="BE99" i="20"/>
  <c r="BE308" i="20"/>
  <c r="BE213" i="20"/>
  <c r="BE232" i="20"/>
  <c r="BE270" i="20"/>
  <c r="BE289" i="20"/>
  <c r="BE137" i="20"/>
  <c r="BE118" i="20"/>
  <c r="BE194" i="20"/>
  <c r="AC94" i="17"/>
  <c r="Z115" i="17" s="1"/>
  <c r="Y10" i="17"/>
  <c r="Y11" i="17" s="1"/>
  <c r="Y245" i="17"/>
  <c r="Y246" i="17" s="1"/>
  <c r="D52" i="18"/>
  <c r="D24" i="21" s="1"/>
  <c r="D34" i="21" s="1"/>
  <c r="X290" i="17"/>
  <c r="X288" i="17"/>
  <c r="X289" i="17"/>
  <c r="BE365" i="20"/>
  <c r="Z218" i="17"/>
  <c r="Z219" i="17" s="1"/>
  <c r="AB186" i="17"/>
  <c r="AB237" i="17"/>
  <c r="AB266" i="17"/>
  <c r="AB211" i="17"/>
  <c r="Z277" i="20"/>
  <c r="Z273" i="20" s="1"/>
  <c r="Z271" i="20"/>
  <c r="AB16" i="6"/>
  <c r="AB39" i="5"/>
  <c r="AB38" i="8"/>
  <c r="AB63" i="8"/>
  <c r="AB88" i="8"/>
  <c r="AB13" i="8"/>
  <c r="AA180" i="20" s="1"/>
  <c r="AB9" i="6"/>
  <c r="AB31" i="8"/>
  <c r="AB56" i="8"/>
  <c r="AB81" i="8"/>
  <c r="AB32" i="5"/>
  <c r="AB6" i="8"/>
  <c r="AA47" i="20" s="1"/>
  <c r="AA74" i="8"/>
  <c r="AB177" i="17"/>
  <c r="AB257" i="17"/>
  <c r="AB228" i="17"/>
  <c r="AB202" i="17"/>
  <c r="Z100" i="20"/>
  <c r="AE74" i="9"/>
  <c r="BI74" i="9" s="1"/>
  <c r="Z106" i="20" s="1"/>
  <c r="Z102" i="20" s="1"/>
  <c r="Y389" i="20"/>
  <c r="Z7" i="21" s="1"/>
  <c r="X119" i="17"/>
  <c r="AB17" i="6"/>
  <c r="AB40" i="5"/>
  <c r="AB14" i="8"/>
  <c r="AA199" i="20" s="1"/>
  <c r="AB39" i="8"/>
  <c r="AB89" i="8"/>
  <c r="AB64" i="8"/>
  <c r="AB12" i="8"/>
  <c r="AA161" i="20" s="1"/>
  <c r="AB37" i="8"/>
  <c r="AB62" i="8"/>
  <c r="AB38" i="5"/>
  <c r="AB87" i="8"/>
  <c r="BE42" i="20"/>
  <c r="AB270" i="17"/>
  <c r="AB215" i="17"/>
  <c r="AB241" i="17"/>
  <c r="AB190" i="17"/>
  <c r="AE79" i="9"/>
  <c r="BI79" i="9" s="1"/>
  <c r="AE83" i="9"/>
  <c r="BI83" i="9" s="1"/>
  <c r="Z347" i="20"/>
  <c r="Z366" i="20"/>
  <c r="AB24" i="6"/>
  <c r="AB21" i="8"/>
  <c r="AA332" i="20" s="1"/>
  <c r="AB71" i="8"/>
  <c r="AB46" i="8"/>
  <c r="AB96" i="8"/>
  <c r="AB47" i="5"/>
  <c r="AB23" i="6"/>
  <c r="AB95" i="8"/>
  <c r="AB20" i="8"/>
  <c r="AA313" i="20" s="1"/>
  <c r="AB46" i="5"/>
  <c r="AB45" i="8"/>
  <c r="AB70" i="8"/>
  <c r="AB197" i="17"/>
  <c r="AB223" i="17"/>
  <c r="AB172" i="17"/>
  <c r="AB252" i="17"/>
  <c r="AA27" i="6"/>
  <c r="AE69" i="9"/>
  <c r="Z5" i="20"/>
  <c r="AA32" i="6"/>
  <c r="AB224" i="17"/>
  <c r="AB253" i="17"/>
  <c r="AB173" i="17"/>
  <c r="AB198" i="17"/>
  <c r="AE70" i="9"/>
  <c r="BI70" i="9" s="1"/>
  <c r="Z30" i="20" s="1"/>
  <c r="Z26" i="20" s="1"/>
  <c r="Z24" i="20"/>
  <c r="AA33" i="6"/>
  <c r="BE346" i="20"/>
  <c r="AB260" i="17"/>
  <c r="AB180" i="17"/>
  <c r="AB205" i="17"/>
  <c r="AB231" i="17"/>
  <c r="Z163" i="20"/>
  <c r="Z159" i="20" s="1"/>
  <c r="Z157" i="20"/>
  <c r="W407" i="20"/>
  <c r="W405" i="20" s="1"/>
  <c r="W404" i="20" s="1"/>
  <c r="BF149" i="9"/>
  <c r="Y280" i="17" s="1"/>
  <c r="Y278" i="17" s="1"/>
  <c r="Y285" i="17" s="1"/>
  <c r="Y286" i="17" s="1"/>
  <c r="Q394" i="20"/>
  <c r="AB242" i="17"/>
  <c r="AB271" i="17"/>
  <c r="AB216" i="17"/>
  <c r="AB191" i="17"/>
  <c r="AB255" i="17"/>
  <c r="AB226" i="17"/>
  <c r="AB200" i="17"/>
  <c r="AB175" i="17"/>
  <c r="AE72" i="9"/>
  <c r="BI72" i="9" s="1"/>
  <c r="Z68" i="20" s="1"/>
  <c r="Z64" i="20" s="1"/>
  <c r="Z62" i="20"/>
  <c r="T17" i="17"/>
  <c r="T19" i="17"/>
  <c r="Y385" i="20"/>
  <c r="AB18" i="6"/>
  <c r="AB41" i="5"/>
  <c r="AB65" i="8"/>
  <c r="AB40" i="8"/>
  <c r="AB90" i="8"/>
  <c r="AB15" i="8"/>
  <c r="AA218" i="20" s="1"/>
  <c r="AB11" i="6"/>
  <c r="AB83" i="8"/>
  <c r="AB58" i="8"/>
  <c r="AB33" i="8"/>
  <c r="AB34" i="5"/>
  <c r="AB8" i="8"/>
  <c r="AA85" i="20" s="1"/>
  <c r="BJ7" i="9"/>
  <c r="BG52" i="9"/>
  <c r="E13" i="18"/>
  <c r="E46" i="18" s="1"/>
  <c r="E48" i="18" s="1"/>
  <c r="E50" i="18" s="1"/>
  <c r="AA24" i="8"/>
  <c r="Z9" i="20"/>
  <c r="AB238" i="17"/>
  <c r="AB267" i="17"/>
  <c r="AB212" i="17"/>
  <c r="AB187" i="17"/>
  <c r="Z290" i="20"/>
  <c r="AE80" i="9"/>
  <c r="BI80" i="9" s="1"/>
  <c r="Z296" i="20" s="1"/>
  <c r="Z292" i="20" s="1"/>
  <c r="AE135" i="3"/>
  <c r="AE57" i="3" s="1"/>
  <c r="AE160" i="3"/>
  <c r="AE154" i="3"/>
  <c r="AE129" i="3"/>
  <c r="AE51" i="3" s="1"/>
  <c r="AB229" i="17"/>
  <c r="AB258" i="17"/>
  <c r="AB203" i="17"/>
  <c r="AB178" i="17"/>
  <c r="Z119" i="20"/>
  <c r="Z125" i="20"/>
  <c r="Z121" i="20" s="1"/>
  <c r="AA35" i="6"/>
  <c r="AB254" i="17"/>
  <c r="AB174" i="17"/>
  <c r="AB225" i="17"/>
  <c r="AB199" i="17"/>
  <c r="Z43" i="20"/>
  <c r="AE71" i="9"/>
  <c r="BI71" i="9" s="1"/>
  <c r="Z49" i="20" s="1"/>
  <c r="Z45" i="20" s="1"/>
  <c r="Z3" i="21"/>
  <c r="Z7" i="18"/>
  <c r="Z34" i="18" s="1"/>
  <c r="Z36" i="18" s="1"/>
  <c r="AD90" i="17"/>
  <c r="AD92" i="17"/>
  <c r="AD91" i="17"/>
  <c r="AD88" i="17"/>
  <c r="AA44" i="16"/>
  <c r="AA47" i="16"/>
  <c r="AD89" i="17"/>
  <c r="AA45" i="16"/>
  <c r="AD93" i="17"/>
  <c r="AA48" i="16"/>
  <c r="AA46" i="16"/>
  <c r="AA5" i="16" a="1"/>
  <c r="AA5" i="16" s="1"/>
  <c r="Z9" i="21" s="1"/>
  <c r="AD52" i="9"/>
  <c r="Z29" i="6"/>
  <c r="AD53" i="9"/>
  <c r="BH53" i="9" s="1"/>
  <c r="AA18" i="16"/>
  <c r="AA40" i="16" s="1"/>
  <c r="AB239" i="17"/>
  <c r="AB268" i="17"/>
  <c r="AB188" i="17"/>
  <c r="AB213" i="17"/>
  <c r="Z309" i="20"/>
  <c r="AE81" i="9"/>
  <c r="BI81" i="9" s="1"/>
  <c r="Z315" i="20" s="1"/>
  <c r="Z311" i="20" s="1"/>
  <c r="AA39" i="6"/>
  <c r="AE151" i="3"/>
  <c r="AE126" i="3"/>
  <c r="AE48" i="3" s="1"/>
  <c r="AB7" i="6"/>
  <c r="AB4" i="8"/>
  <c r="AB30" i="5"/>
  <c r="AB29" i="8"/>
  <c r="AB54" i="8"/>
  <c r="AB79" i="8"/>
  <c r="AB26" i="6"/>
  <c r="AB23" i="8"/>
  <c r="AB48" i="8"/>
  <c r="AB98" i="8"/>
  <c r="AB73" i="8"/>
  <c r="Y118" i="17"/>
  <c r="Y115" i="17"/>
  <c r="Y112" i="17"/>
  <c r="Y109" i="17"/>
  <c r="Y106" i="17"/>
  <c r="Y103" i="17"/>
  <c r="Y100" i="17"/>
  <c r="Y107" i="17"/>
  <c r="Y104" i="17"/>
  <c r="Y101" i="17"/>
  <c r="Y117" i="17"/>
  <c r="Y113" i="17"/>
  <c r="Y108" i="17"/>
  <c r="Y105" i="17"/>
  <c r="Y102" i="17"/>
  <c r="Y99" i="17"/>
  <c r="Y114" i="17"/>
  <c r="Y110" i="17"/>
  <c r="Y116" i="17"/>
  <c r="Y8" i="17"/>
  <c r="Y111" i="17"/>
  <c r="AE163" i="3"/>
  <c r="AE138" i="3"/>
  <c r="AE60" i="3" s="1"/>
  <c r="BH69" i="9"/>
  <c r="F11" i="18"/>
  <c r="F44" i="18" s="1"/>
  <c r="AB25" i="6"/>
  <c r="AB97" i="8"/>
  <c r="AB72" i="8"/>
  <c r="AB47" i="8"/>
  <c r="AB22" i="8"/>
  <c r="AB17" i="8"/>
  <c r="AA256" i="20" s="1"/>
  <c r="AB67" i="8"/>
  <c r="AB42" i="8"/>
  <c r="AB43" i="5"/>
  <c r="AB92" i="8"/>
  <c r="AA272" i="17"/>
  <c r="AB233" i="17"/>
  <c r="AB207" i="17"/>
  <c r="AB182" i="17"/>
  <c r="AB262" i="17"/>
  <c r="AE76" i="9"/>
  <c r="BI76" i="9" s="1"/>
  <c r="Z201" i="20" s="1"/>
  <c r="Z197" i="20" s="1"/>
  <c r="Z195" i="20"/>
  <c r="AB36" i="5"/>
  <c r="AB60" i="8"/>
  <c r="AB35" i="8"/>
  <c r="AB85" i="8"/>
  <c r="AB10" i="8"/>
  <c r="AA123" i="20" s="1"/>
  <c r="AC58" i="16"/>
  <c r="AC183" i="3"/>
  <c r="AC194" i="3"/>
  <c r="AC186" i="3"/>
  <c r="AC178" i="3"/>
  <c r="AC191" i="3"/>
  <c r="AC175" i="3"/>
  <c r="AC188" i="3"/>
  <c r="AC180" i="3"/>
  <c r="AC193" i="3"/>
  <c r="AC177" i="3"/>
  <c r="AC185" i="3"/>
  <c r="AC190" i="3"/>
  <c r="AC182" i="3"/>
  <c r="AC187" i="3"/>
  <c r="AC179" i="3"/>
  <c r="AC192" i="3"/>
  <c r="AC70" i="3"/>
  <c r="AC184" i="3"/>
  <c r="AC181" i="3"/>
  <c r="AC176" i="3"/>
  <c r="AC189" i="3"/>
  <c r="X11" i="20"/>
  <c r="BG150" i="9"/>
  <c r="Z279" i="17" s="1"/>
  <c r="AD57" i="16"/>
  <c r="AD55" i="16"/>
  <c r="AD53" i="16"/>
  <c r="AD56" i="16"/>
  <c r="AD54" i="16"/>
  <c r="AG7" i="9"/>
  <c r="AB89" i="3"/>
  <c r="AC24" i="5" s="1"/>
  <c r="AB87" i="3"/>
  <c r="AC22" i="5" s="1"/>
  <c r="AB79" i="3"/>
  <c r="AC14" i="5" s="1"/>
  <c r="AC15" i="6" s="1"/>
  <c r="AB73" i="3"/>
  <c r="AC8" i="5" s="1"/>
  <c r="AB84" i="3"/>
  <c r="AC19" i="5" s="1"/>
  <c r="AC20" i="6" s="1"/>
  <c r="AB86" i="3"/>
  <c r="AC21" i="5" s="1"/>
  <c r="AB80" i="3"/>
  <c r="AC15" i="5" s="1"/>
  <c r="AB83" i="3"/>
  <c r="AC18" i="5" s="1"/>
  <c r="AB74" i="3"/>
  <c r="AC9" i="5" s="1"/>
  <c r="AB77" i="3"/>
  <c r="AC12" i="5" s="1"/>
  <c r="AC13" i="6" s="1"/>
  <c r="AB82" i="3"/>
  <c r="AC17" i="5" s="1"/>
  <c r="AB71" i="3"/>
  <c r="AC6" i="5" s="1"/>
  <c r="AB81" i="3"/>
  <c r="AC16" i="5" s="1"/>
  <c r="AB88" i="3"/>
  <c r="AC23" i="5" s="1"/>
  <c r="AB78" i="3"/>
  <c r="AC13" i="5" s="1"/>
  <c r="AC14" i="6" s="1"/>
  <c r="AB85" i="3"/>
  <c r="AC20" i="5" s="1"/>
  <c r="AC21" i="6" s="1"/>
  <c r="AB76" i="3"/>
  <c r="AC11" i="5" s="1"/>
  <c r="AB75" i="3"/>
  <c r="AC10" i="5" s="1"/>
  <c r="AB72" i="3"/>
  <c r="AC7" i="5" s="1"/>
  <c r="AB90" i="3"/>
  <c r="AC25" i="5" s="1"/>
  <c r="AA217" i="17"/>
  <c r="AD139" i="3"/>
  <c r="AD61" i="3" s="1"/>
  <c r="AD164" i="3"/>
  <c r="AE114" i="3"/>
  <c r="AB19" i="6"/>
  <c r="AB42" i="5"/>
  <c r="AB91" i="8"/>
  <c r="AB16" i="8"/>
  <c r="AA237" i="20" s="1"/>
  <c r="AB41" i="8"/>
  <c r="AB66" i="8"/>
  <c r="AB183" i="17"/>
  <c r="AB208" i="17"/>
  <c r="AB263" i="17"/>
  <c r="AB234" i="17"/>
  <c r="Z214" i="20"/>
  <c r="AE77" i="9"/>
  <c r="BI77" i="9" s="1"/>
  <c r="Z220" i="20" s="1"/>
  <c r="Z216" i="20" s="1"/>
  <c r="AA37" i="6"/>
  <c r="W12" i="21"/>
  <c r="W13" i="21" s="1"/>
  <c r="W14" i="21" s="1"/>
  <c r="Z49" i="16"/>
  <c r="BB4" i="20"/>
  <c r="V387" i="20"/>
  <c r="BB384" i="20" s="1"/>
  <c r="AA192" i="17"/>
  <c r="AA9" i="17" s="1"/>
  <c r="AB264" i="17"/>
  <c r="AB235" i="17"/>
  <c r="AB209" i="17"/>
  <c r="AB184" i="17"/>
  <c r="AE78" i="9"/>
  <c r="BI78" i="9" s="1"/>
  <c r="Z239" i="20" s="1"/>
  <c r="Z235" i="20" s="1"/>
  <c r="Z233" i="20"/>
  <c r="AB22" i="6"/>
  <c r="AB45" i="5"/>
  <c r="AB94" i="8"/>
  <c r="AB44" i="8"/>
  <c r="AB69" i="8"/>
  <c r="AB19" i="8"/>
  <c r="AA294" i="20" s="1"/>
  <c r="AB236" i="17"/>
  <c r="AB265" i="17"/>
  <c r="AB210" i="17"/>
  <c r="AB185" i="17"/>
  <c r="Z258" i="20"/>
  <c r="Z254" i="20" s="1"/>
  <c r="Z252" i="20"/>
  <c r="AA38" i="6"/>
  <c r="AB37" i="5"/>
  <c r="AB61" i="8"/>
  <c r="AB36" i="8"/>
  <c r="AB86" i="8"/>
  <c r="AB11" i="8"/>
  <c r="AA142" i="20" s="1"/>
  <c r="Y8" i="21"/>
  <c r="Y10" i="21" s="1"/>
  <c r="Z6" i="16"/>
  <c r="AD174" i="3"/>
  <c r="AE173" i="3"/>
  <c r="AE174" i="3" s="1"/>
  <c r="V403" i="20"/>
  <c r="BB403" i="20" s="1"/>
  <c r="AB269" i="17"/>
  <c r="AB189" i="17"/>
  <c r="AB214" i="17"/>
  <c r="AB240" i="17"/>
  <c r="AE82" i="9"/>
  <c r="BI82" i="9" s="1"/>
  <c r="Z334" i="20" s="1"/>
  <c r="Z330" i="20" s="1"/>
  <c r="Z328" i="20"/>
  <c r="AA40" i="6"/>
  <c r="AB227" i="17"/>
  <c r="AB256" i="17"/>
  <c r="AB201" i="17"/>
  <c r="AB176" i="17"/>
  <c r="AE73" i="9"/>
  <c r="BI73" i="9" s="1"/>
  <c r="Z87" i="20" s="1"/>
  <c r="Z83" i="20" s="1"/>
  <c r="Z81" i="20"/>
  <c r="AA34" i="6"/>
  <c r="AA243" i="17"/>
  <c r="U15" i="17"/>
  <c r="U16" i="17"/>
  <c r="U20" i="17" s="1"/>
  <c r="T21" i="21" s="1"/>
  <c r="Z277" i="17"/>
  <c r="Z12" i="17"/>
  <c r="AB10" i="6"/>
  <c r="AB32" i="8"/>
  <c r="AB82" i="8"/>
  <c r="AB33" i="5"/>
  <c r="AB7" i="8"/>
  <c r="AA66" i="20" s="1"/>
  <c r="AB57" i="8"/>
  <c r="AA49" i="8"/>
  <c r="AA8" i="18" s="1"/>
  <c r="AA41" i="18" s="1"/>
  <c r="AB68" i="8"/>
  <c r="AB43" i="8"/>
  <c r="AB18" i="8"/>
  <c r="AA275" i="20" s="1"/>
  <c r="AB93" i="8"/>
  <c r="AB44" i="5"/>
  <c r="W391" i="20"/>
  <c r="W7" i="20"/>
  <c r="AB230" i="17"/>
  <c r="AB259" i="17"/>
  <c r="AB179" i="17"/>
  <c r="AB204" i="17"/>
  <c r="Z138" i="20"/>
  <c r="Z144" i="20"/>
  <c r="Z140" i="20" s="1"/>
  <c r="Z443" i="20"/>
  <c r="Z441" i="20" s="1"/>
  <c r="AB261" i="17"/>
  <c r="AB206" i="17"/>
  <c r="AB181" i="17"/>
  <c r="AB232" i="17"/>
  <c r="Z176" i="20"/>
  <c r="AE75" i="9"/>
  <c r="BI75" i="9" s="1"/>
  <c r="Z182" i="20" s="1"/>
  <c r="Z178" i="20" s="1"/>
  <c r="AA36" i="6"/>
  <c r="AB8" i="6"/>
  <c r="AB5" i="8"/>
  <c r="AA28" i="20" s="1"/>
  <c r="AB80" i="8"/>
  <c r="AB55" i="8"/>
  <c r="AB31" i="5"/>
  <c r="AB30" i="8"/>
  <c r="AB12" i="6"/>
  <c r="AB84" i="8"/>
  <c r="AB34" i="8"/>
  <c r="AB59" i="8"/>
  <c r="AB35" i="5"/>
  <c r="AB9" i="8"/>
  <c r="AA104" i="20" s="1"/>
  <c r="AA99" i="8"/>
  <c r="AA10" i="18" s="1"/>
  <c r="AA43" i="18" s="1"/>
  <c r="AA43" i="6" l="1"/>
  <c r="AB4" i="16"/>
  <c r="CC289" i="20"/>
  <c r="Q270" i="20"/>
  <c r="CC80" i="20"/>
  <c r="Q175" i="20"/>
  <c r="Q99" i="20"/>
  <c r="R52" i="18"/>
  <c r="R24" i="21" s="1"/>
  <c r="Q213" i="20"/>
  <c r="Q118" i="20"/>
  <c r="Q42" i="20"/>
  <c r="CC232" i="20"/>
  <c r="Q308" i="20"/>
  <c r="Q194" i="20"/>
  <c r="CC23" i="20"/>
  <c r="CC137" i="20"/>
  <c r="CC327" i="20"/>
  <c r="CC251" i="20"/>
  <c r="Q61" i="20"/>
  <c r="Q156" i="20"/>
  <c r="Q386" i="20"/>
  <c r="R4" i="21" s="1"/>
  <c r="R5" i="21" s="1"/>
  <c r="R15" i="21" s="1"/>
  <c r="R18" i="21" s="1"/>
  <c r="R20" i="21" s="1"/>
  <c r="R22" i="21" s="1"/>
  <c r="AE140" i="3"/>
  <c r="AE62" i="3" s="1"/>
  <c r="AE192" i="3" s="1"/>
  <c r="AE165" i="3"/>
  <c r="AA274" i="17"/>
  <c r="Z118" i="17"/>
  <c r="V292" i="17"/>
  <c r="P118" i="20"/>
  <c r="CB118" i="20"/>
  <c r="CB80" i="20"/>
  <c r="P80" i="20"/>
  <c r="CB308" i="20"/>
  <c r="P308" i="20"/>
  <c r="CB251" i="20"/>
  <c r="P251" i="20"/>
  <c r="P232" i="20"/>
  <c r="CB232" i="20"/>
  <c r="P23" i="20"/>
  <c r="CB23" i="20"/>
  <c r="P42" i="20"/>
  <c r="CB42" i="20"/>
  <c r="CB99" i="20"/>
  <c r="P99" i="20"/>
  <c r="CB175" i="20"/>
  <c r="P175" i="20"/>
  <c r="CB213" i="20"/>
  <c r="P213" i="20"/>
  <c r="C8" i="19"/>
  <c r="C10" i="19" s="1"/>
  <c r="Q52" i="18"/>
  <c r="Q24" i="21" s="1"/>
  <c r="CB327" i="20"/>
  <c r="P327" i="20"/>
  <c r="W291" i="17"/>
  <c r="W292" i="17" s="1"/>
  <c r="CB194" i="20"/>
  <c r="P194" i="20"/>
  <c r="CB61" i="20"/>
  <c r="P61" i="20"/>
  <c r="CB137" i="20"/>
  <c r="P137" i="20"/>
  <c r="P270" i="20"/>
  <c r="CB270" i="20"/>
  <c r="P156" i="20"/>
  <c r="CB156" i="20"/>
  <c r="CB289" i="20"/>
  <c r="P289" i="20"/>
  <c r="P386" i="20"/>
  <c r="Q4" i="21" s="1"/>
  <c r="Q5" i="21" s="1"/>
  <c r="Q15" i="21" s="1"/>
  <c r="P13" i="20"/>
  <c r="BF137" i="20"/>
  <c r="Z103" i="17"/>
  <c r="AA44" i="6"/>
  <c r="AB273" i="17"/>
  <c r="BF213" i="20"/>
  <c r="BF80" i="20"/>
  <c r="BF270" i="20"/>
  <c r="BF156" i="20"/>
  <c r="BF194" i="20"/>
  <c r="BF99" i="20"/>
  <c r="Z108" i="17"/>
  <c r="Z8" i="17"/>
  <c r="Z113" i="17"/>
  <c r="BF42" i="20"/>
  <c r="Z111" i="17"/>
  <c r="Z117" i="17"/>
  <c r="Z106" i="17"/>
  <c r="Z116" i="17"/>
  <c r="Z101" i="17"/>
  <c r="Z110" i="17"/>
  <c r="Z104" i="17"/>
  <c r="Z114" i="17"/>
  <c r="Z107" i="17"/>
  <c r="Z105" i="17"/>
  <c r="Z99" i="17"/>
  <c r="Z109" i="17"/>
  <c r="Z100" i="17"/>
  <c r="Z112" i="17"/>
  <c r="BF175" i="20"/>
  <c r="Z102" i="17"/>
  <c r="BF118" i="20"/>
  <c r="X12" i="21"/>
  <c r="X13" i="21" s="1"/>
  <c r="X14" i="21" s="1"/>
  <c r="BF23" i="20"/>
  <c r="BF327" i="20"/>
  <c r="BF61" i="20"/>
  <c r="BF308" i="20"/>
  <c r="BF289" i="20"/>
  <c r="BF251" i="20"/>
  <c r="BF232" i="20"/>
  <c r="Z10" i="17"/>
  <c r="Z11" i="17" s="1"/>
  <c r="Z245" i="17"/>
  <c r="Z246" i="17" s="1"/>
  <c r="AC227" i="17"/>
  <c r="AC201" i="17"/>
  <c r="AC256" i="17"/>
  <c r="AC176" i="17"/>
  <c r="AF73" i="9"/>
  <c r="BJ73" i="9" s="1"/>
  <c r="AA87" i="20" s="1"/>
  <c r="AA83" i="20" s="1"/>
  <c r="AA81" i="20"/>
  <c r="AB34" i="6"/>
  <c r="Z385" i="20"/>
  <c r="AC224" i="17"/>
  <c r="AC253" i="17"/>
  <c r="AC198" i="17"/>
  <c r="AC173" i="17"/>
  <c r="AF70" i="9"/>
  <c r="BJ70" i="9" s="1"/>
  <c r="AA30" i="20" s="1"/>
  <c r="AA26" i="20" s="1"/>
  <c r="AA24" i="20"/>
  <c r="AB33" i="6"/>
  <c r="Q4" i="20"/>
  <c r="CC4" i="20"/>
  <c r="Q393" i="20"/>
  <c r="CC384" i="20" s="1"/>
  <c r="AC18" i="6"/>
  <c r="AC40" i="8"/>
  <c r="AC90" i="8"/>
  <c r="AC65" i="8"/>
  <c r="AC15" i="8"/>
  <c r="AB218" i="20" s="1"/>
  <c r="AC41" i="5"/>
  <c r="Y119" i="17"/>
  <c r="AB24" i="8"/>
  <c r="AA9" i="20"/>
  <c r="G11" i="18"/>
  <c r="G44" i="18" s="1"/>
  <c r="BI69" i="9"/>
  <c r="Y289" i="17"/>
  <c r="Y290" i="17"/>
  <c r="Y288" i="17"/>
  <c r="AA218" i="17"/>
  <c r="AA219" i="17" s="1"/>
  <c r="AC85" i="8"/>
  <c r="AC10" i="8"/>
  <c r="AB123" i="20" s="1"/>
  <c r="AC60" i="8"/>
  <c r="AC36" i="5"/>
  <c r="AC35" i="8"/>
  <c r="AC270" i="17"/>
  <c r="AC190" i="17"/>
  <c r="AC215" i="17"/>
  <c r="AC241" i="17"/>
  <c r="AF83" i="9"/>
  <c r="BJ83" i="9" s="1"/>
  <c r="AF79" i="9"/>
  <c r="BJ79" i="9" s="1"/>
  <c r="AA347" i="20"/>
  <c r="AA366" i="20"/>
  <c r="AC252" i="17"/>
  <c r="AC223" i="17"/>
  <c r="AC172" i="17"/>
  <c r="AC197" i="17"/>
  <c r="AB27" i="6"/>
  <c r="AF69" i="9"/>
  <c r="AA5" i="20"/>
  <c r="AB32" i="6"/>
  <c r="AA49" i="16"/>
  <c r="AA3" i="21"/>
  <c r="AA7" i="18"/>
  <c r="AA34" i="18" s="1"/>
  <c r="AA36" i="18" s="1"/>
  <c r="AE90" i="17"/>
  <c r="AE92" i="17"/>
  <c r="AB47" i="16"/>
  <c r="AE91" i="17"/>
  <c r="AE89" i="17"/>
  <c r="AE88" i="17"/>
  <c r="AB45" i="16"/>
  <c r="AE93" i="17"/>
  <c r="AB48" i="16"/>
  <c r="AB18" i="16"/>
  <c r="AB40" i="16" s="1"/>
  <c r="AB5" i="16" a="1"/>
  <c r="AB5" i="16" s="1"/>
  <c r="AA9" i="21" s="1"/>
  <c r="AB46" i="16"/>
  <c r="AB44" i="16"/>
  <c r="AE53" i="9"/>
  <c r="BI53" i="9" s="1"/>
  <c r="AA29" i="6"/>
  <c r="AE52" i="9"/>
  <c r="AC267" i="17"/>
  <c r="AC238" i="17"/>
  <c r="AC187" i="17"/>
  <c r="AC212" i="17"/>
  <c r="AA290" i="20"/>
  <c r="AF80" i="9"/>
  <c r="BJ80" i="9" s="1"/>
  <c r="AA296" i="20" s="1"/>
  <c r="AA292" i="20" s="1"/>
  <c r="AC26" i="6"/>
  <c r="AC23" i="8"/>
  <c r="AC48" i="8"/>
  <c r="AC73" i="8"/>
  <c r="AC98" i="8"/>
  <c r="AC10" i="6"/>
  <c r="AC82" i="8"/>
  <c r="AC7" i="8"/>
  <c r="AB66" i="20" s="1"/>
  <c r="AC57" i="8"/>
  <c r="AC32" i="8"/>
  <c r="AC33" i="5"/>
  <c r="X391" i="20"/>
  <c r="X7" i="20"/>
  <c r="AD94" i="17"/>
  <c r="AB272" i="17"/>
  <c r="AC261" i="17"/>
  <c r="AC181" i="17"/>
  <c r="AC232" i="17"/>
  <c r="AC206" i="17"/>
  <c r="AF75" i="9"/>
  <c r="BJ75" i="9" s="1"/>
  <c r="AA182" i="20" s="1"/>
  <c r="AA178" i="20" s="1"/>
  <c r="AA176" i="20"/>
  <c r="AB36" i="6"/>
  <c r="AC258" i="17"/>
  <c r="AC229" i="17"/>
  <c r="AC178" i="17"/>
  <c r="AC203" i="17"/>
  <c r="AA119" i="20"/>
  <c r="AA125" i="20"/>
  <c r="AA121" i="20" s="1"/>
  <c r="AB35" i="6"/>
  <c r="Z8" i="21"/>
  <c r="Z10" i="21" s="1"/>
  <c r="AA6" i="16"/>
  <c r="AC268" i="17"/>
  <c r="AC213" i="17"/>
  <c r="AC239" i="17"/>
  <c r="AC188" i="17"/>
  <c r="AF81" i="9"/>
  <c r="BJ81" i="9" s="1"/>
  <c r="AA315" i="20" s="1"/>
  <c r="AA311" i="20" s="1"/>
  <c r="AA309" i="20"/>
  <c r="AB39" i="6"/>
  <c r="AC255" i="17"/>
  <c r="AC175" i="17"/>
  <c r="AC200" i="17"/>
  <c r="AC226" i="17"/>
  <c r="AA62" i="20"/>
  <c r="AF72" i="9"/>
  <c r="BJ72" i="9" s="1"/>
  <c r="AA68" i="20" s="1"/>
  <c r="AA64" i="20" s="1"/>
  <c r="AC8" i="6"/>
  <c r="AC5" i="8"/>
  <c r="AB28" i="20" s="1"/>
  <c r="AC30" i="8"/>
  <c r="AC31" i="5"/>
  <c r="AC80" i="8"/>
  <c r="AC55" i="8"/>
  <c r="AC19" i="6"/>
  <c r="AC16" i="8"/>
  <c r="AB237" i="20" s="1"/>
  <c r="AC42" i="5"/>
  <c r="AC91" i="8"/>
  <c r="AC41" i="8"/>
  <c r="AC66" i="8"/>
  <c r="BK7" i="9"/>
  <c r="BH52" i="9"/>
  <c r="F13" i="18"/>
  <c r="F46" i="18" s="1"/>
  <c r="F48" i="18" s="1"/>
  <c r="F50" i="18" s="1"/>
  <c r="F52" i="18" s="1"/>
  <c r="F24" i="21" s="1"/>
  <c r="F34" i="21" s="1"/>
  <c r="X407" i="20"/>
  <c r="X405" i="20" s="1"/>
  <c r="X404" i="20" s="1"/>
  <c r="BG149" i="9"/>
  <c r="Z280" i="17" s="1"/>
  <c r="Z278" i="17" s="1"/>
  <c r="Z285" i="17" s="1"/>
  <c r="Z286" i="17" s="1"/>
  <c r="AB192" i="17"/>
  <c r="AB9" i="17" s="1"/>
  <c r="AC16" i="6"/>
  <c r="AC88" i="8"/>
  <c r="AC38" i="8"/>
  <c r="AC39" i="5"/>
  <c r="AC63" i="8"/>
  <c r="AC13" i="8"/>
  <c r="AB180" i="20" s="1"/>
  <c r="AB243" i="17"/>
  <c r="AC260" i="17"/>
  <c r="AC231" i="17"/>
  <c r="AC180" i="17"/>
  <c r="AC205" i="17"/>
  <c r="AA163" i="20"/>
  <c r="AA159" i="20" s="1"/>
  <c r="AA157" i="20"/>
  <c r="AC7" i="6"/>
  <c r="AC4" i="8"/>
  <c r="AC30" i="5"/>
  <c r="AC29" i="8"/>
  <c r="AC79" i="8"/>
  <c r="AC54" i="8"/>
  <c r="AC11" i="6"/>
  <c r="AC58" i="8"/>
  <c r="AC33" i="8"/>
  <c r="AC34" i="5"/>
  <c r="AC83" i="8"/>
  <c r="AC8" i="8"/>
  <c r="AB85" i="20" s="1"/>
  <c r="AC22" i="6"/>
  <c r="AC45" i="5"/>
  <c r="AC44" i="8"/>
  <c r="AC69" i="8"/>
  <c r="AC94" i="8"/>
  <c r="AC19" i="8"/>
  <c r="AB294" i="20" s="1"/>
  <c r="AA443" i="20"/>
  <c r="AA441" i="20" s="1"/>
  <c r="AC263" i="17"/>
  <c r="AC208" i="17"/>
  <c r="AC183" i="17"/>
  <c r="AC234" i="17"/>
  <c r="AF77" i="9"/>
  <c r="BJ77" i="9" s="1"/>
  <c r="AA220" i="20" s="1"/>
  <c r="AA216" i="20" s="1"/>
  <c r="AA214" i="20"/>
  <c r="AB37" i="6"/>
  <c r="W403" i="20"/>
  <c r="BC403" i="20" s="1"/>
  <c r="AB217" i="17"/>
  <c r="AC269" i="17"/>
  <c r="AC214" i="17"/>
  <c r="AC240" i="17"/>
  <c r="AC189" i="17"/>
  <c r="AF82" i="9"/>
  <c r="BJ82" i="9" s="1"/>
  <c r="AA334" i="20" s="1"/>
  <c r="AA330" i="20" s="1"/>
  <c r="AA328" i="20"/>
  <c r="AB40" i="6"/>
  <c r="X291" i="17"/>
  <c r="AC12" i="6"/>
  <c r="AC84" i="8"/>
  <c r="AC35" i="5"/>
  <c r="AC59" i="8"/>
  <c r="AC34" i="8"/>
  <c r="AC9" i="8"/>
  <c r="AB104" i="20" s="1"/>
  <c r="AC18" i="8"/>
  <c r="AB275" i="20" s="1"/>
  <c r="AC68" i="8"/>
  <c r="AC43" i="8"/>
  <c r="AC93" i="8"/>
  <c r="AC44" i="5"/>
  <c r="AC17" i="8"/>
  <c r="AB256" i="20" s="1"/>
  <c r="AC43" i="5"/>
  <c r="AC67" i="8"/>
  <c r="AC92" i="8"/>
  <c r="AC42" i="8"/>
  <c r="AA277" i="17"/>
  <c r="AA12" i="17"/>
  <c r="AC242" i="17"/>
  <c r="AC191" i="17"/>
  <c r="AC271" i="17"/>
  <c r="AC216" i="17"/>
  <c r="BF365" i="20"/>
  <c r="AC25" i="6"/>
  <c r="AC22" i="8"/>
  <c r="AC97" i="8"/>
  <c r="AC72" i="8"/>
  <c r="AC47" i="8"/>
  <c r="AH26" i="21" a="1"/>
  <c r="AH26" i="21" s="1"/>
  <c r="AH23" i="21" a="1"/>
  <c r="AH23" i="21" s="1"/>
  <c r="AH11" i="21" a="1"/>
  <c r="AH11" i="21" s="1"/>
  <c r="AH16" i="21" a="1"/>
  <c r="AH16" i="21" s="1"/>
  <c r="C51" i="21"/>
  <c r="AH25" i="21" a="1"/>
  <c r="AH25" i="21" s="1"/>
  <c r="AH6" i="21" a="1"/>
  <c r="AH6" i="21" s="1"/>
  <c r="B22" i="2" a="1"/>
  <c r="B22" i="2" s="1"/>
  <c r="BC4" i="20"/>
  <c r="W387" i="20"/>
  <c r="BC384" i="20" s="1"/>
  <c r="AC237" i="17"/>
  <c r="AC266" i="17"/>
  <c r="AC211" i="17"/>
  <c r="AC186" i="17"/>
  <c r="AA277" i="20"/>
  <c r="AA273" i="20" s="1"/>
  <c r="AA271" i="20"/>
  <c r="U17" i="17"/>
  <c r="U19" i="17"/>
  <c r="AC264" i="17"/>
  <c r="AC235" i="17"/>
  <c r="AC209" i="17"/>
  <c r="AC184" i="17"/>
  <c r="AF78" i="9"/>
  <c r="BJ78" i="9" s="1"/>
  <c r="AA239" i="20" s="1"/>
  <c r="AA235" i="20" s="1"/>
  <c r="AA233" i="20"/>
  <c r="AC37" i="5"/>
  <c r="AC36" i="8"/>
  <c r="AC61" i="8"/>
  <c r="AC11" i="8"/>
  <c r="AB142" i="20" s="1"/>
  <c r="AC86" i="8"/>
  <c r="AC9" i="6"/>
  <c r="AC31" i="8"/>
  <c r="AC81" i="8"/>
  <c r="AC56" i="8"/>
  <c r="AC32" i="5"/>
  <c r="AC6" i="8"/>
  <c r="AB47" i="20" s="1"/>
  <c r="AC265" i="17"/>
  <c r="AC185" i="17"/>
  <c r="AC236" i="17"/>
  <c r="AC210" i="17"/>
  <c r="AA258" i="20"/>
  <c r="AA254" i="20" s="1"/>
  <c r="AA252" i="20"/>
  <c r="AB38" i="6"/>
  <c r="AB99" i="8"/>
  <c r="AB10" i="18" s="1"/>
  <c r="AB43" i="18" s="1"/>
  <c r="BF346" i="20"/>
  <c r="AC254" i="17"/>
  <c r="AC225" i="17"/>
  <c r="AC199" i="17"/>
  <c r="AC174" i="17"/>
  <c r="AF71" i="9"/>
  <c r="BJ71" i="9" s="1"/>
  <c r="AA49" i="20" s="1"/>
  <c r="AA45" i="20" s="1"/>
  <c r="AA43" i="20"/>
  <c r="E52" i="18"/>
  <c r="E24" i="21" s="1"/>
  <c r="E34" i="21" s="1"/>
  <c r="BB459" i="20"/>
  <c r="AE193" i="3"/>
  <c r="AE181" i="3"/>
  <c r="AE183" i="3"/>
  <c r="AE188" i="3"/>
  <c r="AE180" i="3"/>
  <c r="AE177" i="3"/>
  <c r="AE185" i="3"/>
  <c r="AE190" i="3"/>
  <c r="AE182" i="3"/>
  <c r="AE187" i="3"/>
  <c r="AE179" i="3"/>
  <c r="AE184" i="3"/>
  <c r="AE176" i="3"/>
  <c r="AE70" i="3"/>
  <c r="AE178" i="3"/>
  <c r="AE186" i="3"/>
  <c r="AE194" i="3"/>
  <c r="AE189" i="3"/>
  <c r="AE175" i="3"/>
  <c r="AC24" i="6"/>
  <c r="AC21" i="8"/>
  <c r="AB332" i="20" s="1"/>
  <c r="AC96" i="8"/>
  <c r="AC46" i="8"/>
  <c r="AC47" i="5"/>
  <c r="AC71" i="8"/>
  <c r="AC87" i="8"/>
  <c r="AC62" i="8"/>
  <c r="AC38" i="5"/>
  <c r="AC37" i="8"/>
  <c r="AC12" i="8"/>
  <c r="AB161" i="20" s="1"/>
  <c r="Y11" i="20"/>
  <c r="BH150" i="9"/>
  <c r="AA279" i="17" s="1"/>
  <c r="AB74" i="8"/>
  <c r="R348" i="20"/>
  <c r="R355" i="20" s="1"/>
  <c r="CD346" i="20" s="1"/>
  <c r="R329" i="20"/>
  <c r="R336" i="20" s="1"/>
  <c r="R367" i="20"/>
  <c r="R374" i="20" s="1"/>
  <c r="CD365" i="20" s="1"/>
  <c r="R310" i="20"/>
  <c r="R317" i="20" s="1"/>
  <c r="R253" i="20"/>
  <c r="R260" i="20" s="1"/>
  <c r="R291" i="20"/>
  <c r="R298" i="20" s="1"/>
  <c r="R215" i="20"/>
  <c r="R222" i="20" s="1"/>
  <c r="R234" i="20"/>
  <c r="R241" i="20" s="1"/>
  <c r="R272" i="20"/>
  <c r="R279" i="20" s="1"/>
  <c r="R120" i="20"/>
  <c r="R127" i="20" s="1"/>
  <c r="R139" i="20"/>
  <c r="R146" i="20" s="1"/>
  <c r="R177" i="20"/>
  <c r="R184" i="20" s="1"/>
  <c r="R196" i="20"/>
  <c r="R203" i="20" s="1"/>
  <c r="R158" i="20"/>
  <c r="R165" i="20" s="1"/>
  <c r="R101" i="20"/>
  <c r="R108" i="20" s="1"/>
  <c r="R63" i="20"/>
  <c r="R70" i="20" s="1"/>
  <c r="R6" i="20"/>
  <c r="R25" i="20"/>
  <c r="R32" i="20" s="1"/>
  <c r="R44" i="20"/>
  <c r="R51" i="20" s="1"/>
  <c r="R82" i="20"/>
  <c r="R89" i="20" s="1"/>
  <c r="T21" i="17"/>
  <c r="S14" i="18" s="1"/>
  <c r="S47" i="18" s="1"/>
  <c r="S48" i="18" s="1"/>
  <c r="S50" i="18" s="1"/>
  <c r="AC257" i="17"/>
  <c r="AC228" i="17"/>
  <c r="AC177" i="17"/>
  <c r="AC202" i="17"/>
  <c r="AF74" i="9"/>
  <c r="BJ74" i="9" s="1"/>
  <c r="AA106" i="20" s="1"/>
  <c r="AA102" i="20" s="1"/>
  <c r="AA100" i="20"/>
  <c r="AD188" i="3"/>
  <c r="AD176" i="3"/>
  <c r="AD191" i="3"/>
  <c r="AD175" i="3"/>
  <c r="AD183" i="3"/>
  <c r="AD180" i="3"/>
  <c r="AD193" i="3"/>
  <c r="AD177" i="3"/>
  <c r="AD185" i="3"/>
  <c r="AD190" i="3"/>
  <c r="AD182" i="3"/>
  <c r="AD187" i="3"/>
  <c r="AD179" i="3"/>
  <c r="AD70" i="3"/>
  <c r="AD186" i="3"/>
  <c r="AD181" i="3"/>
  <c r="AD178" i="3"/>
  <c r="AD194" i="3"/>
  <c r="AD184" i="3"/>
  <c r="AD189" i="3"/>
  <c r="AD192" i="3"/>
  <c r="AC259" i="17"/>
  <c r="AC204" i="17"/>
  <c r="AC179" i="17"/>
  <c r="AC230" i="17"/>
  <c r="AA144" i="20"/>
  <c r="AA140" i="20" s="1"/>
  <c r="AA138" i="20"/>
  <c r="AE164" i="3"/>
  <c r="AE139" i="3"/>
  <c r="AE61" i="3" s="1"/>
  <c r="AE191" i="3" s="1"/>
  <c r="AC17" i="6"/>
  <c r="AC14" i="8"/>
  <c r="AB199" i="20" s="1"/>
  <c r="AC40" i="5"/>
  <c r="AC89" i="8"/>
  <c r="AC64" i="8"/>
  <c r="AC39" i="8"/>
  <c r="AC23" i="6"/>
  <c r="AC95" i="8"/>
  <c r="AC46" i="5"/>
  <c r="AC70" i="8"/>
  <c r="AC20" i="8"/>
  <c r="AB313" i="20" s="1"/>
  <c r="AC45" i="8"/>
  <c r="AD58" i="16"/>
  <c r="AE57" i="16"/>
  <c r="AE55" i="16"/>
  <c r="AE53" i="16"/>
  <c r="AE56" i="16"/>
  <c r="AE54" i="16"/>
  <c r="AH7" i="9"/>
  <c r="AC82" i="3"/>
  <c r="AD17" i="5" s="1"/>
  <c r="AC73" i="3"/>
  <c r="AD8" i="5" s="1"/>
  <c r="AC84" i="3"/>
  <c r="AD19" i="5" s="1"/>
  <c r="AD20" i="6" s="1"/>
  <c r="AC81" i="3"/>
  <c r="AD16" i="5" s="1"/>
  <c r="AC71" i="3"/>
  <c r="AD6" i="5" s="1"/>
  <c r="AC83" i="3"/>
  <c r="AD18" i="5" s="1"/>
  <c r="AC74" i="3"/>
  <c r="AD9" i="5" s="1"/>
  <c r="AC88" i="3"/>
  <c r="AD23" i="5" s="1"/>
  <c r="AC72" i="3"/>
  <c r="AD7" i="5" s="1"/>
  <c r="AC80" i="3"/>
  <c r="AD15" i="5" s="1"/>
  <c r="AC87" i="3"/>
  <c r="AD22" i="5" s="1"/>
  <c r="AC86" i="3"/>
  <c r="AD21" i="5" s="1"/>
  <c r="AC78" i="3"/>
  <c r="AD13" i="5" s="1"/>
  <c r="AD14" i="6" s="1"/>
  <c r="AC85" i="3"/>
  <c r="AD20" i="5" s="1"/>
  <c r="AD21" i="6" s="1"/>
  <c r="AC76" i="3"/>
  <c r="AD11" i="5" s="1"/>
  <c r="AC90" i="3"/>
  <c r="AD25" i="5" s="1"/>
  <c r="AC77" i="3"/>
  <c r="AD12" i="5" s="1"/>
  <c r="AD13" i="6" s="1"/>
  <c r="AC89" i="3"/>
  <c r="AD24" i="5" s="1"/>
  <c r="AC79" i="3"/>
  <c r="AD14" i="5" s="1"/>
  <c r="AD15" i="6" s="1"/>
  <c r="AC75" i="3"/>
  <c r="AD10" i="5" s="1"/>
  <c r="V15" i="17"/>
  <c r="V16" i="17"/>
  <c r="V20" i="17" s="1"/>
  <c r="U21" i="21" s="1"/>
  <c r="AB49" i="8"/>
  <c r="AB8" i="18" s="1"/>
  <c r="AB41" i="18" s="1"/>
  <c r="Z389" i="20"/>
  <c r="AA7" i="21" s="1"/>
  <c r="AC207" i="17"/>
  <c r="AC262" i="17"/>
  <c r="AC233" i="17"/>
  <c r="AC182" i="17"/>
  <c r="AF76" i="9"/>
  <c r="BJ76" i="9" s="1"/>
  <c r="AA201" i="20" s="1"/>
  <c r="AA197" i="20" s="1"/>
  <c r="AA195" i="20"/>
  <c r="AB44" i="6" l="1"/>
  <c r="AC4" i="16"/>
  <c r="R27" i="21"/>
  <c r="R30" i="21" s="1"/>
  <c r="Q34" i="21"/>
  <c r="Q384" i="20"/>
  <c r="Q459" i="20" s="1"/>
  <c r="R34" i="21"/>
  <c r="R38" i="21" s="1"/>
  <c r="W13" i="17"/>
  <c r="W14" i="17" s="1"/>
  <c r="W18" i="17" s="1"/>
  <c r="P393" i="20"/>
  <c r="CB384" i="20" s="1"/>
  <c r="P4" i="20"/>
  <c r="P384" i="20" s="1"/>
  <c r="P459" i="20" s="1"/>
  <c r="CB4" i="20"/>
  <c r="C13" i="19"/>
  <c r="C14" i="19" s="1"/>
  <c r="C9" i="19"/>
  <c r="AB43" i="6"/>
  <c r="AB274" i="17"/>
  <c r="AC273" i="17"/>
  <c r="BG80" i="20"/>
  <c r="BG99" i="20"/>
  <c r="BG61" i="20"/>
  <c r="BG175" i="20"/>
  <c r="BG213" i="20"/>
  <c r="BG23" i="20"/>
  <c r="Z119" i="17"/>
  <c r="BG308" i="20"/>
  <c r="BG270" i="20"/>
  <c r="BG118" i="20"/>
  <c r="BG327" i="20"/>
  <c r="BG42" i="20"/>
  <c r="BG289" i="20"/>
  <c r="BG251" i="20"/>
  <c r="BG194" i="20"/>
  <c r="BG137" i="20"/>
  <c r="BG232" i="20"/>
  <c r="AA10" i="17"/>
  <c r="AA11" i="17" s="1"/>
  <c r="AA245" i="17"/>
  <c r="AA246" i="17" s="1"/>
  <c r="Z289" i="17"/>
  <c r="Z290" i="17"/>
  <c r="Z288" i="17"/>
  <c r="AD16" i="6"/>
  <c r="AD63" i="8"/>
  <c r="AD39" i="5"/>
  <c r="AD38" i="8"/>
  <c r="AD88" i="8"/>
  <c r="AD13" i="8"/>
  <c r="AC180" i="20" s="1"/>
  <c r="BG346" i="20"/>
  <c r="AC24" i="8"/>
  <c r="AB9" i="20"/>
  <c r="AD255" i="17"/>
  <c r="AD175" i="17"/>
  <c r="AD200" i="17"/>
  <c r="AD226" i="17"/>
  <c r="AB62" i="20"/>
  <c r="AG72" i="9"/>
  <c r="BK72" i="9" s="1"/>
  <c r="AB68" i="20" s="1"/>
  <c r="AB64" i="20" s="1"/>
  <c r="AD258" i="17"/>
  <c r="AD178" i="17"/>
  <c r="AD203" i="17"/>
  <c r="AD229" i="17"/>
  <c r="AB125" i="20"/>
  <c r="AB121" i="20" s="1"/>
  <c r="AB119" i="20"/>
  <c r="AC35" i="6"/>
  <c r="AA389" i="20"/>
  <c r="AB7" i="21" s="1"/>
  <c r="CD23" i="20"/>
  <c r="R23" i="20"/>
  <c r="R289" i="20"/>
  <c r="CD289" i="20"/>
  <c r="AD223" i="17"/>
  <c r="AD172" i="17"/>
  <c r="AD252" i="17"/>
  <c r="AD197" i="17"/>
  <c r="AC27" i="6"/>
  <c r="AG69" i="9"/>
  <c r="AB5" i="20"/>
  <c r="AC32" i="6"/>
  <c r="Y407" i="20"/>
  <c r="Y405" i="20" s="1"/>
  <c r="Y404" i="20" s="1"/>
  <c r="BH149" i="9"/>
  <c r="AA280" i="17" s="1"/>
  <c r="AA278" i="17" s="1"/>
  <c r="AA285" i="17" s="1"/>
  <c r="AA286" i="17" s="1"/>
  <c r="AB277" i="17"/>
  <c r="AB12" i="17"/>
  <c r="AE94" i="17"/>
  <c r="X403" i="20"/>
  <c r="CD213" i="20"/>
  <c r="R213" i="20"/>
  <c r="AA116" i="17"/>
  <c r="AA113" i="17"/>
  <c r="AA110" i="17"/>
  <c r="AA107" i="17"/>
  <c r="AA104" i="17"/>
  <c r="AA101" i="17"/>
  <c r="AA117" i="17"/>
  <c r="AA108" i="17"/>
  <c r="AA106" i="17"/>
  <c r="AA105" i="17"/>
  <c r="AA103" i="17"/>
  <c r="AA102" i="17"/>
  <c r="AA100" i="17"/>
  <c r="AA99" i="17"/>
  <c r="AA118" i="17"/>
  <c r="AA109" i="17"/>
  <c r="AA114" i="17"/>
  <c r="AA115" i="17"/>
  <c r="AA111" i="17"/>
  <c r="AA112" i="17"/>
  <c r="AA8" i="17"/>
  <c r="BI52" i="9"/>
  <c r="G13" i="18"/>
  <c r="G46" i="18" s="1"/>
  <c r="G48" i="18" s="1"/>
  <c r="G50" i="18" s="1"/>
  <c r="G52" i="18" s="1"/>
  <c r="G24" i="21" s="1"/>
  <c r="G34" i="21" s="1"/>
  <c r="AD262" i="17"/>
  <c r="AD207" i="17"/>
  <c r="AD182" i="17"/>
  <c r="AD233" i="17"/>
  <c r="AG76" i="9"/>
  <c r="BK76" i="9" s="1"/>
  <c r="AB201" i="20" s="1"/>
  <c r="AB197" i="20" s="1"/>
  <c r="AB195" i="20"/>
  <c r="R61" i="20"/>
  <c r="CD61" i="20"/>
  <c r="CD308" i="20"/>
  <c r="R308" i="20"/>
  <c r="AB218" i="17"/>
  <c r="AB219" i="17" s="1"/>
  <c r="AB443" i="20"/>
  <c r="AB441" i="20" s="1"/>
  <c r="AD253" i="17"/>
  <c r="AD198" i="17"/>
  <c r="AD173" i="17"/>
  <c r="AD224" i="17"/>
  <c r="AG70" i="9"/>
  <c r="BK70" i="9" s="1"/>
  <c r="AB30" i="20" s="1"/>
  <c r="AB26" i="20" s="1"/>
  <c r="AB24" i="20"/>
  <c r="AC33" i="6"/>
  <c r="AA385" i="20"/>
  <c r="CD42" i="20"/>
  <c r="R42" i="20"/>
  <c r="AF55" i="16"/>
  <c r="AF53" i="16"/>
  <c r="AF56" i="16"/>
  <c r="AF54" i="16"/>
  <c r="AF57" i="16"/>
  <c r="AI7" i="9"/>
  <c r="AD87" i="3"/>
  <c r="AE22" i="5" s="1"/>
  <c r="AD84" i="3"/>
  <c r="AE19" i="5" s="1"/>
  <c r="AE20" i="6" s="1"/>
  <c r="AD81" i="3"/>
  <c r="AE16" i="5" s="1"/>
  <c r="AD71" i="3"/>
  <c r="AE6" i="5" s="1"/>
  <c r="AD89" i="3"/>
  <c r="AE24" i="5" s="1"/>
  <c r="AD78" i="3"/>
  <c r="AE13" i="5" s="1"/>
  <c r="AE14" i="6" s="1"/>
  <c r="AD76" i="3"/>
  <c r="AE11" i="5" s="1"/>
  <c r="AD80" i="3"/>
  <c r="AE15" i="5" s="1"/>
  <c r="AD77" i="3"/>
  <c r="AE12" i="5" s="1"/>
  <c r="AE13" i="6" s="1"/>
  <c r="AD88" i="3"/>
  <c r="AE23" i="5" s="1"/>
  <c r="AD72" i="3"/>
  <c r="AE7" i="5" s="1"/>
  <c r="AD85" i="3"/>
  <c r="AE20" i="5" s="1"/>
  <c r="AE21" i="6" s="1"/>
  <c r="AD82" i="3"/>
  <c r="AE17" i="5" s="1"/>
  <c r="AD74" i="3"/>
  <c r="AE9" i="5" s="1"/>
  <c r="AD73" i="3"/>
  <c r="AE8" i="5" s="1"/>
  <c r="AD86" i="3"/>
  <c r="AE21" i="5" s="1"/>
  <c r="AD90" i="3"/>
  <c r="AE25" i="5" s="1"/>
  <c r="AD75" i="3"/>
  <c r="AE10" i="5" s="1"/>
  <c r="AD83" i="3"/>
  <c r="AE18" i="5" s="1"/>
  <c r="AD79" i="3"/>
  <c r="AE14" i="5" s="1"/>
  <c r="AE15" i="6" s="1"/>
  <c r="CD99" i="20"/>
  <c r="R99" i="20"/>
  <c r="AD260" i="17"/>
  <c r="AD231" i="17"/>
  <c r="AD205" i="17"/>
  <c r="AD180" i="17"/>
  <c r="AB163" i="20"/>
  <c r="AB159" i="20" s="1"/>
  <c r="AB157" i="20"/>
  <c r="BC459" i="20"/>
  <c r="AD181" i="17"/>
  <c r="AD232" i="17"/>
  <c r="AD261" i="17"/>
  <c r="AD206" i="17"/>
  <c r="AG75" i="9"/>
  <c r="BK75" i="9" s="1"/>
  <c r="AB182" i="20" s="1"/>
  <c r="AB178" i="20" s="1"/>
  <c r="AB176" i="20"/>
  <c r="AC36" i="6"/>
  <c r="AA8" i="21"/>
  <c r="AA10" i="21" s="1"/>
  <c r="AB6" i="16"/>
  <c r="BJ69" i="9"/>
  <c r="H11" i="18"/>
  <c r="H44" i="18" s="1"/>
  <c r="Y291" i="17"/>
  <c r="CD232" i="20"/>
  <c r="R232" i="20"/>
  <c r="AD265" i="17"/>
  <c r="AD210" i="17"/>
  <c r="AD185" i="17"/>
  <c r="AD236" i="17"/>
  <c r="AB258" i="20"/>
  <c r="AB254" i="20" s="1"/>
  <c r="AB252" i="20"/>
  <c r="AC38" i="6"/>
  <c r="AD24" i="6"/>
  <c r="AD46" i="8"/>
  <c r="AD96" i="8"/>
  <c r="AD47" i="5"/>
  <c r="AD71" i="8"/>
  <c r="AD21" i="8"/>
  <c r="AC332" i="20" s="1"/>
  <c r="R386" i="20"/>
  <c r="S4" i="21" s="1"/>
  <c r="R13" i="20"/>
  <c r="BL7" i="9"/>
  <c r="AD268" i="17"/>
  <c r="AD213" i="17"/>
  <c r="AD239" i="17"/>
  <c r="AD188" i="17"/>
  <c r="AB309" i="20"/>
  <c r="AG81" i="9"/>
  <c r="BK81" i="9" s="1"/>
  <c r="AB315" i="20" s="1"/>
  <c r="AB311" i="20" s="1"/>
  <c r="AC39" i="6"/>
  <c r="CD156" i="20"/>
  <c r="R156" i="20"/>
  <c r="CD327" i="20"/>
  <c r="R327" i="20"/>
  <c r="AD254" i="17"/>
  <c r="AD199" i="17"/>
  <c r="AD225" i="17"/>
  <c r="AD174" i="17"/>
  <c r="AG71" i="9"/>
  <c r="BK71" i="9" s="1"/>
  <c r="AB49" i="20" s="1"/>
  <c r="AB45" i="20" s="1"/>
  <c r="AB43" i="20"/>
  <c r="AD257" i="17"/>
  <c r="AD202" i="17"/>
  <c r="AD228" i="17"/>
  <c r="AD177" i="17"/>
  <c r="AG74" i="9"/>
  <c r="BK74" i="9" s="1"/>
  <c r="AB106" i="20" s="1"/>
  <c r="AB102" i="20" s="1"/>
  <c r="AB100" i="20"/>
  <c r="AD256" i="17"/>
  <c r="AD201" i="17"/>
  <c r="AD176" i="17"/>
  <c r="AD227" i="17"/>
  <c r="AB81" i="20"/>
  <c r="AG73" i="9"/>
  <c r="BK73" i="9" s="1"/>
  <c r="AB87" i="20" s="1"/>
  <c r="AB83" i="20" s="1"/>
  <c r="AC34" i="6"/>
  <c r="BD4" i="20"/>
  <c r="X387" i="20"/>
  <c r="BD384" i="20" s="1"/>
  <c r="AD271" i="17"/>
  <c r="AD242" i="17"/>
  <c r="AD191" i="17"/>
  <c r="AD216" i="17"/>
  <c r="AB49" i="16"/>
  <c r="AB3" i="21"/>
  <c r="AB7" i="18"/>
  <c r="AB34" i="18" s="1"/>
  <c r="AB36" i="18" s="1"/>
  <c r="AF92" i="17"/>
  <c r="AF91" i="17"/>
  <c r="AF88" i="17"/>
  <c r="AF89" i="17"/>
  <c r="AC47" i="16"/>
  <c r="AC45" i="16"/>
  <c r="AF90" i="17"/>
  <c r="AF93" i="17"/>
  <c r="AC48" i="16"/>
  <c r="AC5" i="16" a="1"/>
  <c r="AC5" i="16" s="1"/>
  <c r="AB9" i="21" s="1"/>
  <c r="AC46" i="16"/>
  <c r="AC44" i="16"/>
  <c r="AF53" i="9"/>
  <c r="BJ53" i="9" s="1"/>
  <c r="AF52" i="9"/>
  <c r="AB29" i="6"/>
  <c r="AC18" i="16"/>
  <c r="AC40" i="16" s="1"/>
  <c r="AD19" i="6"/>
  <c r="AD41" i="8"/>
  <c r="AD42" i="5"/>
  <c r="AD66" i="8"/>
  <c r="AD91" i="8"/>
  <c r="AD16" i="8"/>
  <c r="AC237" i="20" s="1"/>
  <c r="AD26" i="6"/>
  <c r="AD23" i="8"/>
  <c r="AD48" i="8"/>
  <c r="AD98" i="8"/>
  <c r="AD73" i="8"/>
  <c r="AD12" i="6"/>
  <c r="AD84" i="8"/>
  <c r="AD59" i="8"/>
  <c r="AD34" i="8"/>
  <c r="AD35" i="5"/>
  <c r="AD9" i="8"/>
  <c r="AC104" i="20" s="1"/>
  <c r="AD7" i="6"/>
  <c r="AD4" i="8"/>
  <c r="AD79" i="8"/>
  <c r="AD54" i="8"/>
  <c r="AD29" i="8"/>
  <c r="AD30" i="5"/>
  <c r="CD194" i="20"/>
  <c r="R194" i="20"/>
  <c r="S348" i="20"/>
  <c r="S355" i="20" s="1"/>
  <c r="CE346" i="20" s="1"/>
  <c r="S367" i="20"/>
  <c r="S374" i="20" s="1"/>
  <c r="CE365" i="20" s="1"/>
  <c r="S272" i="20"/>
  <c r="S279" i="20" s="1"/>
  <c r="S329" i="20"/>
  <c r="S336" i="20" s="1"/>
  <c r="S310" i="20"/>
  <c r="S317" i="20" s="1"/>
  <c r="S253" i="20"/>
  <c r="S260" i="20" s="1"/>
  <c r="S215" i="20"/>
  <c r="S222" i="20" s="1"/>
  <c r="S234" i="20"/>
  <c r="S241" i="20" s="1"/>
  <c r="S291" i="20"/>
  <c r="S298" i="20" s="1"/>
  <c r="S139" i="20"/>
  <c r="S146" i="20" s="1"/>
  <c r="S177" i="20"/>
  <c r="S184" i="20" s="1"/>
  <c r="S196" i="20"/>
  <c r="S203" i="20" s="1"/>
  <c r="S101" i="20"/>
  <c r="S108" i="20" s="1"/>
  <c r="S158" i="20"/>
  <c r="S165" i="20" s="1"/>
  <c r="S120" i="20"/>
  <c r="S127" i="20" s="1"/>
  <c r="S63" i="20"/>
  <c r="S70" i="20" s="1"/>
  <c r="S44" i="20"/>
  <c r="S51" i="20" s="1"/>
  <c r="S25" i="20"/>
  <c r="S32" i="20" s="1"/>
  <c r="S82" i="20"/>
  <c r="S89" i="20" s="1"/>
  <c r="S6" i="20"/>
  <c r="U21" i="17"/>
  <c r="T14" i="18" s="1"/>
  <c r="T47" i="18" s="1"/>
  <c r="T48" i="18" s="1"/>
  <c r="T50" i="18" s="1"/>
  <c r="T52" i="18" s="1"/>
  <c r="T24" i="21" s="1"/>
  <c r="AD190" i="17"/>
  <c r="AD215" i="17"/>
  <c r="AD241" i="17"/>
  <c r="AD270" i="17"/>
  <c r="AB366" i="20"/>
  <c r="AG79" i="9"/>
  <c r="BK79" i="9" s="1"/>
  <c r="AG83" i="9"/>
  <c r="BK83" i="9" s="1"/>
  <c r="AB347" i="20"/>
  <c r="AD237" i="17"/>
  <c r="AD266" i="17"/>
  <c r="AD211" i="17"/>
  <c r="AD186" i="17"/>
  <c r="AB277" i="20"/>
  <c r="AB273" i="20" s="1"/>
  <c r="AB271" i="20"/>
  <c r="AC217" i="17"/>
  <c r="AD11" i="6"/>
  <c r="AD33" i="8"/>
  <c r="AD83" i="8"/>
  <c r="AD58" i="8"/>
  <c r="AD34" i="5"/>
  <c r="AD8" i="8"/>
  <c r="AC85" i="20" s="1"/>
  <c r="AD68" i="8"/>
  <c r="AD43" i="8"/>
  <c r="AD93" i="8"/>
  <c r="AD18" i="8"/>
  <c r="AC275" i="20" s="1"/>
  <c r="AD44" i="5"/>
  <c r="AD17" i="6"/>
  <c r="AD40" i="5"/>
  <c r="AD14" i="8"/>
  <c r="AC199" i="20" s="1"/>
  <c r="AD89" i="8"/>
  <c r="AD39" i="8"/>
  <c r="AD64" i="8"/>
  <c r="CD175" i="20"/>
  <c r="R175" i="20"/>
  <c r="AG55" i="16"/>
  <c r="AG53" i="16"/>
  <c r="AG56" i="16"/>
  <c r="AG54" i="16"/>
  <c r="AG57" i="16"/>
  <c r="AJ7" i="9"/>
  <c r="AE80" i="3"/>
  <c r="AF15" i="5" s="1"/>
  <c r="AE81" i="3"/>
  <c r="AF16" i="5" s="1"/>
  <c r="AE71" i="3"/>
  <c r="AF6" i="5" s="1"/>
  <c r="AE89" i="3"/>
  <c r="AF24" i="5" s="1"/>
  <c r="AE78" i="3"/>
  <c r="AF13" i="5" s="1"/>
  <c r="AF14" i="6" s="1"/>
  <c r="AE76" i="3"/>
  <c r="AF11" i="5" s="1"/>
  <c r="AE86" i="3"/>
  <c r="AF21" i="5" s="1"/>
  <c r="AE88" i="3"/>
  <c r="AF23" i="5" s="1"/>
  <c r="AE72" i="3"/>
  <c r="AF7" i="5" s="1"/>
  <c r="AE85" i="3"/>
  <c r="AF20" i="5" s="1"/>
  <c r="AF21" i="6" s="1"/>
  <c r="AE77" i="3"/>
  <c r="AF12" i="5" s="1"/>
  <c r="AF13" i="6" s="1"/>
  <c r="AE87" i="3"/>
  <c r="AF22" i="5" s="1"/>
  <c r="AE82" i="3"/>
  <c r="AF17" i="5" s="1"/>
  <c r="AE73" i="3"/>
  <c r="AF8" i="5" s="1"/>
  <c r="AE74" i="3"/>
  <c r="AF9" i="5" s="1"/>
  <c r="AE90" i="3"/>
  <c r="AF25" i="5" s="1"/>
  <c r="AE79" i="3"/>
  <c r="AF14" i="5" s="1"/>
  <c r="AF15" i="6" s="1"/>
  <c r="AE75" i="3"/>
  <c r="AF10" i="5" s="1"/>
  <c r="AE84" i="3"/>
  <c r="AF19" i="5" s="1"/>
  <c r="AF20" i="6" s="1"/>
  <c r="AE83" i="3"/>
  <c r="AF18" i="5" s="1"/>
  <c r="X292" i="17"/>
  <c r="X13" i="17"/>
  <c r="X14" i="17" s="1"/>
  <c r="X18" i="17" s="1"/>
  <c r="BG156" i="20"/>
  <c r="AC192" i="17"/>
  <c r="AC9" i="17" s="1"/>
  <c r="AD18" i="6"/>
  <c r="AD65" i="8"/>
  <c r="AD40" i="8"/>
  <c r="AD90" i="8"/>
  <c r="AD15" i="8"/>
  <c r="AC218" i="20" s="1"/>
  <c r="AD41" i="5"/>
  <c r="CD80" i="20"/>
  <c r="R80" i="20"/>
  <c r="AD259" i="17"/>
  <c r="AD204" i="17"/>
  <c r="AD179" i="17"/>
  <c r="AD230" i="17"/>
  <c r="AB144" i="20"/>
  <c r="AB140" i="20" s="1"/>
  <c r="AB138" i="20"/>
  <c r="AD238" i="17"/>
  <c r="AD267" i="17"/>
  <c r="AD187" i="17"/>
  <c r="AD212" i="17"/>
  <c r="AG80" i="9"/>
  <c r="BK80" i="9" s="1"/>
  <c r="AB296" i="20" s="1"/>
  <c r="AB292" i="20" s="1"/>
  <c r="AB290" i="20"/>
  <c r="AD8" i="6"/>
  <c r="AD5" i="8"/>
  <c r="AC28" i="20" s="1"/>
  <c r="AD80" i="8"/>
  <c r="AD55" i="8"/>
  <c r="AD31" i="5"/>
  <c r="AD30" i="8"/>
  <c r="AD25" i="6"/>
  <c r="AD72" i="8"/>
  <c r="AD97" i="8"/>
  <c r="AD22" i="8"/>
  <c r="AD47" i="8"/>
  <c r="CD251" i="20"/>
  <c r="R251" i="20"/>
  <c r="AD60" i="8"/>
  <c r="AD35" i="8"/>
  <c r="AD10" i="8"/>
  <c r="AC123" i="20" s="1"/>
  <c r="AD36" i="5"/>
  <c r="AD85" i="8"/>
  <c r="AD37" i="5"/>
  <c r="AD11" i="8"/>
  <c r="AC142" i="20" s="1"/>
  <c r="AD86" i="8"/>
  <c r="AD36" i="8"/>
  <c r="AD61" i="8"/>
  <c r="AD17" i="8"/>
  <c r="AC256" i="20" s="1"/>
  <c r="AD43" i="5"/>
  <c r="AD42" i="8"/>
  <c r="AD67" i="8"/>
  <c r="AD92" i="8"/>
  <c r="AE58" i="16"/>
  <c r="CD137" i="20"/>
  <c r="R137" i="20"/>
  <c r="AC74" i="8"/>
  <c r="AC243" i="17"/>
  <c r="Z11" i="20"/>
  <c r="BI150" i="9"/>
  <c r="AB279" i="17" s="1"/>
  <c r="V17" i="17"/>
  <c r="V19" i="17"/>
  <c r="AD62" i="8"/>
  <c r="AD37" i="8"/>
  <c r="AD38" i="5"/>
  <c r="AD12" i="8"/>
  <c r="AC161" i="20" s="1"/>
  <c r="AD87" i="8"/>
  <c r="CD118" i="20"/>
  <c r="R118" i="20"/>
  <c r="AC99" i="8"/>
  <c r="AC10" i="18" s="1"/>
  <c r="AC43" i="18" s="1"/>
  <c r="AD264" i="17"/>
  <c r="AD235" i="17"/>
  <c r="AD209" i="17"/>
  <c r="AD184" i="17"/>
  <c r="AB233" i="20"/>
  <c r="AG78" i="9"/>
  <c r="BK78" i="9" s="1"/>
  <c r="AB239" i="20" s="1"/>
  <c r="AB235" i="20" s="1"/>
  <c r="AC272" i="17"/>
  <c r="AD263" i="17"/>
  <c r="AD183" i="17"/>
  <c r="AD234" i="17"/>
  <c r="AD208" i="17"/>
  <c r="AB214" i="20"/>
  <c r="AG77" i="9"/>
  <c r="BK77" i="9" s="1"/>
  <c r="AB220" i="20" s="1"/>
  <c r="AB216" i="20" s="1"/>
  <c r="AC37" i="6"/>
  <c r="AD10" i="6"/>
  <c r="AD32" i="8"/>
  <c r="AD7" i="8"/>
  <c r="AC66" i="20" s="1"/>
  <c r="AD57" i="8"/>
  <c r="AD33" i="5"/>
  <c r="AD82" i="8"/>
  <c r="AD22" i="6"/>
  <c r="AD45" i="5"/>
  <c r="AD44" i="8"/>
  <c r="AD69" i="8"/>
  <c r="AD19" i="8"/>
  <c r="AC294" i="20" s="1"/>
  <c r="AD94" i="8"/>
  <c r="AD9" i="6"/>
  <c r="AD56" i="8"/>
  <c r="AD31" i="8"/>
  <c r="AD81" i="8"/>
  <c r="AD6" i="8"/>
  <c r="AC47" i="20" s="1"/>
  <c r="AD32" i="5"/>
  <c r="AD23" i="6"/>
  <c r="AD70" i="8"/>
  <c r="AD45" i="8"/>
  <c r="AD95" i="8"/>
  <c r="AD20" i="8"/>
  <c r="AC313" i="20" s="1"/>
  <c r="AD46" i="5"/>
  <c r="S52" i="18"/>
  <c r="S24" i="21" s="1"/>
  <c r="CD270" i="20"/>
  <c r="R270" i="20"/>
  <c r="Y391" i="20"/>
  <c r="Y7" i="20"/>
  <c r="AD269" i="17"/>
  <c r="AD214" i="17"/>
  <c r="AD240" i="17"/>
  <c r="AD189" i="17"/>
  <c r="AG82" i="9"/>
  <c r="BK82" i="9" s="1"/>
  <c r="AB334" i="20" s="1"/>
  <c r="AB330" i="20" s="1"/>
  <c r="AB328" i="20"/>
  <c r="AC40" i="6"/>
  <c r="AC49" i="8"/>
  <c r="AC8" i="18" s="1"/>
  <c r="AC41" i="18" s="1"/>
  <c r="Y12" i="21"/>
  <c r="BG365" i="20"/>
  <c r="AC43" i="6" l="1"/>
  <c r="AD4" i="16"/>
  <c r="W15" i="17"/>
  <c r="W16" i="17"/>
  <c r="W20" i="17" s="1"/>
  <c r="V21" i="21" s="1"/>
  <c r="AC274" i="17"/>
  <c r="F41" i="19"/>
  <c r="G41" i="19"/>
  <c r="D28" i="19"/>
  <c r="D32" i="19" s="1"/>
  <c r="H28" i="19"/>
  <c r="H32" i="19" s="1"/>
  <c r="L41" i="19"/>
  <c r="I41" i="19"/>
  <c r="Q28" i="19"/>
  <c r="Q32" i="19" s="1"/>
  <c r="F28" i="19"/>
  <c r="F32" i="19" s="1"/>
  <c r="C45" i="19"/>
  <c r="P28" i="19"/>
  <c r="P32" i="19" s="1"/>
  <c r="E41" i="19"/>
  <c r="P41" i="19"/>
  <c r="D41" i="19"/>
  <c r="O28" i="19"/>
  <c r="O32" i="19" s="1"/>
  <c r="L28" i="19"/>
  <c r="L32" i="19" s="1"/>
  <c r="O41" i="19"/>
  <c r="J41" i="19"/>
  <c r="K28" i="19"/>
  <c r="K32" i="19" s="1"/>
  <c r="R28" i="19"/>
  <c r="R32" i="19" s="1"/>
  <c r="N41" i="19"/>
  <c r="R41" i="19"/>
  <c r="J28" i="19"/>
  <c r="J32" i="19" s="1"/>
  <c r="E28" i="19"/>
  <c r="E32" i="19" s="1"/>
  <c r="I28" i="19"/>
  <c r="I32" i="19" s="1"/>
  <c r="M41" i="19"/>
  <c r="Q41" i="19"/>
  <c r="M28" i="19"/>
  <c r="M32" i="19" s="1"/>
  <c r="N28" i="19"/>
  <c r="N32" i="19" s="1"/>
  <c r="H41" i="19"/>
  <c r="K41" i="19"/>
  <c r="C30" i="19"/>
  <c r="G28" i="19"/>
  <c r="G32" i="19" s="1"/>
  <c r="AC44" i="6"/>
  <c r="AD273" i="17"/>
  <c r="BH232" i="20"/>
  <c r="BH61" i="20"/>
  <c r="BH175" i="20"/>
  <c r="BH80" i="20"/>
  <c r="BH194" i="20"/>
  <c r="BH308" i="20"/>
  <c r="BH23" i="20"/>
  <c r="BH251" i="20"/>
  <c r="BH270" i="20"/>
  <c r="BH327" i="20"/>
  <c r="BH118" i="20"/>
  <c r="BH156" i="20"/>
  <c r="BH213" i="20"/>
  <c r="BH99" i="20"/>
  <c r="BH137" i="20"/>
  <c r="Z291" i="17"/>
  <c r="Z292" i="17" s="1"/>
  <c r="BH289" i="20"/>
  <c r="AB10" i="17"/>
  <c r="AB11" i="17" s="1"/>
  <c r="AB245" i="17"/>
  <c r="AB246" i="17" s="1"/>
  <c r="BH42" i="20"/>
  <c r="Z12" i="21"/>
  <c r="Z13" i="21" s="1"/>
  <c r="Z14" i="21" s="1"/>
  <c r="S5" i="21"/>
  <c r="AE16" i="6"/>
  <c r="AE63" i="8"/>
  <c r="AE38" i="8"/>
  <c r="AE88" i="8"/>
  <c r="AE39" i="5"/>
  <c r="AE13" i="8"/>
  <c r="AD180" i="20" s="1"/>
  <c r="AE232" i="17"/>
  <c r="AE261" i="17"/>
  <c r="AE206" i="17"/>
  <c r="AE181" i="17"/>
  <c r="AH75" i="9"/>
  <c r="BL75" i="9" s="1"/>
  <c r="AC182" i="20" s="1"/>
  <c r="AC178" i="20" s="1"/>
  <c r="AC176" i="20"/>
  <c r="AD36" i="6"/>
  <c r="S386" i="20"/>
  <c r="T4" i="21" s="1"/>
  <c r="T5" i="21" s="1"/>
  <c r="T15" i="21" s="1"/>
  <c r="S13" i="20"/>
  <c r="CE232" i="20"/>
  <c r="S232" i="20"/>
  <c r="BJ52" i="9"/>
  <c r="H13" i="18"/>
  <c r="H46" i="18" s="1"/>
  <c r="H48" i="18" s="1"/>
  <c r="H50" i="18" s="1"/>
  <c r="AE26" i="6"/>
  <c r="AE23" i="8"/>
  <c r="AE48" i="8"/>
  <c r="AE73" i="8"/>
  <c r="AE98" i="8"/>
  <c r="AE25" i="6"/>
  <c r="AE22" i="8"/>
  <c r="AE97" i="8"/>
  <c r="AE72" i="8"/>
  <c r="AE47" i="8"/>
  <c r="Y403" i="20"/>
  <c r="BE403" i="20" s="1"/>
  <c r="AF26" i="6"/>
  <c r="AF23" i="8"/>
  <c r="AF48" i="8"/>
  <c r="AF98" i="8"/>
  <c r="AF73" i="8"/>
  <c r="AF37" i="5"/>
  <c r="AF11" i="8"/>
  <c r="AE142" i="20" s="1"/>
  <c r="AF86" i="8"/>
  <c r="AF36" i="8"/>
  <c r="AF61" i="8"/>
  <c r="CE137" i="20"/>
  <c r="S137" i="20"/>
  <c r="X16" i="17"/>
  <c r="X20" i="17" s="1"/>
  <c r="W21" i="21" s="1"/>
  <c r="X15" i="17"/>
  <c r="AF17" i="6"/>
  <c r="AF40" i="5"/>
  <c r="AF14" i="8"/>
  <c r="AE199" i="20" s="1"/>
  <c r="AF89" i="8"/>
  <c r="AF64" i="8"/>
  <c r="AF39" i="8"/>
  <c r="AG58" i="16"/>
  <c r="CE80" i="20"/>
  <c r="S80" i="20"/>
  <c r="CE213" i="20"/>
  <c r="S213" i="20"/>
  <c r="AF94" i="17"/>
  <c r="AE22" i="6"/>
  <c r="AE45" i="5"/>
  <c r="AE19" i="8"/>
  <c r="AD294" i="20" s="1"/>
  <c r="AE94" i="8"/>
  <c r="AE44" i="8"/>
  <c r="AE69" i="8"/>
  <c r="AE7" i="6"/>
  <c r="AE29" i="8"/>
  <c r="AE54" i="8"/>
  <c r="AE30" i="5"/>
  <c r="AE4" i="8"/>
  <c r="AE79" i="8"/>
  <c r="AE254" i="17"/>
  <c r="AE199" i="17"/>
  <c r="AE225" i="17"/>
  <c r="AE174" i="17"/>
  <c r="AC43" i="20"/>
  <c r="AH71" i="9"/>
  <c r="BL71" i="9" s="1"/>
  <c r="AC49" i="20" s="1"/>
  <c r="AC45" i="20" s="1"/>
  <c r="AE252" i="17"/>
  <c r="AE197" i="17"/>
  <c r="AE223" i="17"/>
  <c r="AE172" i="17"/>
  <c r="AD27" i="6"/>
  <c r="AH69" i="9"/>
  <c r="AC5" i="20"/>
  <c r="AD32" i="6"/>
  <c r="AF23" i="6"/>
  <c r="AF95" i="8"/>
  <c r="AF70" i="8"/>
  <c r="AF45" i="8"/>
  <c r="AF20" i="8"/>
  <c r="AE313" i="20" s="1"/>
  <c r="AF46" i="5"/>
  <c r="AF7" i="6"/>
  <c r="AF30" i="5"/>
  <c r="AF54" i="8"/>
  <c r="AF29" i="8"/>
  <c r="AF4" i="8"/>
  <c r="AF79" i="8"/>
  <c r="AE204" i="17"/>
  <c r="AE259" i="17"/>
  <c r="AE179" i="17"/>
  <c r="AE230" i="17"/>
  <c r="AC138" i="20"/>
  <c r="AC144" i="20"/>
  <c r="AC140" i="20" s="1"/>
  <c r="AF85" i="8"/>
  <c r="AF60" i="8"/>
  <c r="AF35" i="8"/>
  <c r="AF36" i="5"/>
  <c r="AF10" i="8"/>
  <c r="AE123" i="20" s="1"/>
  <c r="CE23" i="20"/>
  <c r="S23" i="20"/>
  <c r="CE251" i="20"/>
  <c r="S251" i="20"/>
  <c r="AC49" i="16"/>
  <c r="AE9" i="6"/>
  <c r="AE31" i="8"/>
  <c r="AE81" i="8"/>
  <c r="AE56" i="8"/>
  <c r="AE6" i="8"/>
  <c r="AD47" i="20" s="1"/>
  <c r="AE32" i="5"/>
  <c r="AE17" i="6"/>
  <c r="AE14" i="8"/>
  <c r="AD199" i="20" s="1"/>
  <c r="AE40" i="5"/>
  <c r="AE64" i="8"/>
  <c r="AE89" i="8"/>
  <c r="AE39" i="8"/>
  <c r="BM7" i="9"/>
  <c r="BD459" i="20"/>
  <c r="AB385" i="20"/>
  <c r="AA289" i="17"/>
  <c r="AA290" i="17"/>
  <c r="AA288" i="17"/>
  <c r="AD24" i="8"/>
  <c r="AC9" i="20"/>
  <c r="AA11" i="20"/>
  <c r="BJ150" i="9"/>
  <c r="AC279" i="17" s="1"/>
  <c r="AD243" i="17"/>
  <c r="Y13" i="21"/>
  <c r="AF10" i="6"/>
  <c r="AF57" i="8"/>
  <c r="AF82" i="8"/>
  <c r="AF32" i="8"/>
  <c r="AF7" i="8"/>
  <c r="AE66" i="20" s="1"/>
  <c r="AF33" i="5"/>
  <c r="BN7" i="9"/>
  <c r="S175" i="20"/>
  <c r="CE175" i="20"/>
  <c r="AE87" i="8"/>
  <c r="AE62" i="8"/>
  <c r="AE37" i="8"/>
  <c r="AE38" i="5"/>
  <c r="AE12" i="8"/>
  <c r="AD161" i="20" s="1"/>
  <c r="AF18" i="6"/>
  <c r="AF15" i="8"/>
  <c r="AE218" i="20" s="1"/>
  <c r="AF40" i="8"/>
  <c r="AF90" i="8"/>
  <c r="AF41" i="5"/>
  <c r="AF65" i="8"/>
  <c r="CE289" i="20"/>
  <c r="S289" i="20"/>
  <c r="AE11" i="6"/>
  <c r="AE34" i="5"/>
  <c r="AE58" i="8"/>
  <c r="AE83" i="8"/>
  <c r="AE33" i="8"/>
  <c r="AE8" i="8"/>
  <c r="AD85" i="20" s="1"/>
  <c r="AE238" i="17"/>
  <c r="AE267" i="17"/>
  <c r="AE212" i="17"/>
  <c r="AE187" i="17"/>
  <c r="AH80" i="9"/>
  <c r="BL80" i="9" s="1"/>
  <c r="AC296" i="20" s="1"/>
  <c r="AC292" i="20" s="1"/>
  <c r="AC290" i="20"/>
  <c r="AF43" i="8"/>
  <c r="AF18" i="8"/>
  <c r="AE275" i="20" s="1"/>
  <c r="AF68" i="8"/>
  <c r="AF93" i="8"/>
  <c r="AF44" i="5"/>
  <c r="AE207" i="17"/>
  <c r="AE233" i="17"/>
  <c r="AE182" i="17"/>
  <c r="AE262" i="17"/>
  <c r="AH76" i="9"/>
  <c r="BL76" i="9" s="1"/>
  <c r="AC201" i="20" s="1"/>
  <c r="AC197" i="20" s="1"/>
  <c r="AC195" i="20"/>
  <c r="BH346" i="20"/>
  <c r="CE42" i="20"/>
  <c r="S42" i="20"/>
  <c r="CE308" i="20"/>
  <c r="S308" i="20"/>
  <c r="AE257" i="17"/>
  <c r="AE202" i="17"/>
  <c r="AE228" i="17"/>
  <c r="AE177" i="17"/>
  <c r="AC100" i="20"/>
  <c r="AH74" i="9"/>
  <c r="BL74" i="9" s="1"/>
  <c r="AC106" i="20" s="1"/>
  <c r="AC102" i="20" s="1"/>
  <c r="AE10" i="6"/>
  <c r="AE33" i="5"/>
  <c r="AE57" i="8"/>
  <c r="AE82" i="8"/>
  <c r="AE32" i="8"/>
  <c r="AE7" i="8"/>
  <c r="AD66" i="20" s="1"/>
  <c r="AE17" i="8"/>
  <c r="AD256" i="20" s="1"/>
  <c r="AE92" i="8"/>
  <c r="AE67" i="8"/>
  <c r="AE43" i="5"/>
  <c r="AE42" i="8"/>
  <c r="BD403" i="20"/>
  <c r="I11" i="18"/>
  <c r="I44" i="18" s="1"/>
  <c r="BK69" i="9"/>
  <c r="AE255" i="17"/>
  <c r="AE175" i="17"/>
  <c r="AE200" i="17"/>
  <c r="AE226" i="17"/>
  <c r="AH72" i="9"/>
  <c r="BL72" i="9" s="1"/>
  <c r="AC68" i="20" s="1"/>
  <c r="AC64" i="20" s="1"/>
  <c r="AC62" i="20"/>
  <c r="AC277" i="17"/>
  <c r="AC12" i="17"/>
  <c r="T367" i="20"/>
  <c r="T374" i="20" s="1"/>
  <c r="CF365" i="20" s="1"/>
  <c r="T329" i="20"/>
  <c r="T336" i="20" s="1"/>
  <c r="T272" i="20"/>
  <c r="T279" i="20" s="1"/>
  <c r="T348" i="20"/>
  <c r="T355" i="20" s="1"/>
  <c r="CF346" i="20" s="1"/>
  <c r="T310" i="20"/>
  <c r="T317" i="20" s="1"/>
  <c r="T291" i="20"/>
  <c r="T298" i="20" s="1"/>
  <c r="T234" i="20"/>
  <c r="T241" i="20" s="1"/>
  <c r="T215" i="20"/>
  <c r="T222" i="20" s="1"/>
  <c r="T196" i="20"/>
  <c r="T203" i="20" s="1"/>
  <c r="T253" i="20"/>
  <c r="T260" i="20" s="1"/>
  <c r="T177" i="20"/>
  <c r="T184" i="20" s="1"/>
  <c r="T120" i="20"/>
  <c r="T127" i="20" s="1"/>
  <c r="T139" i="20"/>
  <c r="T146" i="20" s="1"/>
  <c r="T158" i="20"/>
  <c r="T165" i="20" s="1"/>
  <c r="T63" i="20"/>
  <c r="T70" i="20" s="1"/>
  <c r="T25" i="20"/>
  <c r="T32" i="20" s="1"/>
  <c r="T101" i="20"/>
  <c r="T108" i="20" s="1"/>
  <c r="T82" i="20"/>
  <c r="T89" i="20" s="1"/>
  <c r="T44" i="20"/>
  <c r="T51" i="20" s="1"/>
  <c r="T6" i="20"/>
  <c r="V21" i="17"/>
  <c r="U14" i="18" s="1"/>
  <c r="U47" i="18" s="1"/>
  <c r="U48" i="18" s="1"/>
  <c r="U50" i="18" s="1"/>
  <c r="U52" i="18" s="1"/>
  <c r="U24" i="21" s="1"/>
  <c r="Z391" i="20"/>
  <c r="Z7" i="20"/>
  <c r="AF25" i="6"/>
  <c r="AF47" i="8"/>
  <c r="AF72" i="8"/>
  <c r="AF97" i="8"/>
  <c r="AF22" i="8"/>
  <c r="AE37" i="5"/>
  <c r="AE11" i="8"/>
  <c r="AD142" i="20" s="1"/>
  <c r="AE61" i="8"/>
  <c r="AE86" i="8"/>
  <c r="AE36" i="8"/>
  <c r="AE241" i="17"/>
  <c r="AE270" i="17"/>
  <c r="AE190" i="17"/>
  <c r="AE215" i="17"/>
  <c r="AC366" i="20"/>
  <c r="AH83" i="9"/>
  <c r="BL83" i="9" s="1"/>
  <c r="AH79" i="9"/>
  <c r="BL79" i="9" s="1"/>
  <c r="AC347" i="20"/>
  <c r="AF19" i="6"/>
  <c r="AF16" i="8"/>
  <c r="AE237" i="20" s="1"/>
  <c r="AF66" i="8"/>
  <c r="AF41" i="8"/>
  <c r="AF91" i="8"/>
  <c r="AF42" i="5"/>
  <c r="AF16" i="6"/>
  <c r="AF38" i="8"/>
  <c r="AF88" i="8"/>
  <c r="AF63" i="8"/>
  <c r="AF39" i="5"/>
  <c r="AF13" i="8"/>
  <c r="AE180" i="20" s="1"/>
  <c r="S61" i="20"/>
  <c r="CE61" i="20"/>
  <c r="CE327" i="20"/>
  <c r="S327" i="20"/>
  <c r="AE264" i="17"/>
  <c r="AE235" i="17"/>
  <c r="AE184" i="17"/>
  <c r="AE209" i="17"/>
  <c r="AH78" i="9"/>
  <c r="BL78" i="9" s="1"/>
  <c r="AC239" i="20" s="1"/>
  <c r="AC235" i="20" s="1"/>
  <c r="AC233" i="20"/>
  <c r="AE18" i="6"/>
  <c r="AE41" i="5"/>
  <c r="AE40" i="8"/>
  <c r="AE15" i="8"/>
  <c r="AD218" i="20" s="1"/>
  <c r="AE65" i="8"/>
  <c r="AE90" i="8"/>
  <c r="AE23" i="6"/>
  <c r="AE95" i="8"/>
  <c r="AE20" i="8"/>
  <c r="AD313" i="20" s="1"/>
  <c r="AE45" i="8"/>
  <c r="AE70" i="8"/>
  <c r="AE46" i="5"/>
  <c r="AC3" i="21"/>
  <c r="AG92" i="17"/>
  <c r="AC7" i="18"/>
  <c r="AC34" i="18" s="1"/>
  <c r="AC36" i="18" s="1"/>
  <c r="AG91" i="17"/>
  <c r="AG88" i="17"/>
  <c r="AG89" i="17"/>
  <c r="AG93" i="17"/>
  <c r="AD47" i="16"/>
  <c r="AD45" i="16"/>
  <c r="AG90" i="17"/>
  <c r="AD5" i="16" a="1"/>
  <c r="AD5" i="16" s="1"/>
  <c r="AC9" i="21" s="1"/>
  <c r="AD48" i="16"/>
  <c r="AD46" i="16"/>
  <c r="AD44" i="16"/>
  <c r="AG53" i="9"/>
  <c r="BK53" i="9" s="1"/>
  <c r="AG52" i="9"/>
  <c r="AC29" i="6"/>
  <c r="AD18" i="16"/>
  <c r="AD40" i="16" s="1"/>
  <c r="AE210" i="17"/>
  <c r="AE265" i="17"/>
  <c r="AE185" i="17"/>
  <c r="AE236" i="17"/>
  <c r="AC258" i="20"/>
  <c r="AC254" i="20" s="1"/>
  <c r="AC252" i="20"/>
  <c r="AD38" i="6"/>
  <c r="CE194" i="20"/>
  <c r="S194" i="20"/>
  <c r="AE258" i="17"/>
  <c r="AE203" i="17"/>
  <c r="AE229" i="17"/>
  <c r="AE178" i="17"/>
  <c r="AC125" i="20"/>
  <c r="AC121" i="20" s="1"/>
  <c r="AC119" i="20"/>
  <c r="AD35" i="6"/>
  <c r="AF12" i="6"/>
  <c r="AF35" i="5"/>
  <c r="AF34" i="8"/>
  <c r="AF59" i="8"/>
  <c r="AF9" i="8"/>
  <c r="AE104" i="20" s="1"/>
  <c r="AF84" i="8"/>
  <c r="AE19" i="6"/>
  <c r="AE42" i="5"/>
  <c r="AE16" i="8"/>
  <c r="AD237" i="20" s="1"/>
  <c r="AE66" i="8"/>
  <c r="AE91" i="8"/>
  <c r="AE41" i="8"/>
  <c r="AE256" i="17"/>
  <c r="AE176" i="17"/>
  <c r="AE201" i="17"/>
  <c r="AE227" i="17"/>
  <c r="AH73" i="9"/>
  <c r="BL73" i="9" s="1"/>
  <c r="AC87" i="20" s="1"/>
  <c r="AC83" i="20" s="1"/>
  <c r="AC81" i="20"/>
  <c r="AD34" i="6"/>
  <c r="CE118" i="20"/>
  <c r="S118" i="20"/>
  <c r="CE270" i="20"/>
  <c r="S270" i="20"/>
  <c r="AD49" i="8"/>
  <c r="AD8" i="18" s="1"/>
  <c r="AD41" i="18" s="1"/>
  <c r="AC443" i="20"/>
  <c r="AC441" i="20" s="1"/>
  <c r="AE18" i="8"/>
  <c r="AD275" i="20" s="1"/>
  <c r="AE68" i="8"/>
  <c r="AE43" i="8"/>
  <c r="AE93" i="8"/>
  <c r="AE44" i="5"/>
  <c r="AD217" i="17"/>
  <c r="AE242" i="17"/>
  <c r="AE191" i="17"/>
  <c r="AE271" i="17"/>
  <c r="AE216" i="17"/>
  <c r="R4" i="20"/>
  <c r="R384" i="20" s="1"/>
  <c r="R459" i="20" s="1"/>
  <c r="CD4" i="20"/>
  <c r="R393" i="20"/>
  <c r="CD384" i="20" s="1"/>
  <c r="AE10" i="8"/>
  <c r="AD123" i="20" s="1"/>
  <c r="AE36" i="5"/>
  <c r="AE85" i="8"/>
  <c r="AE60" i="8"/>
  <c r="AE35" i="8"/>
  <c r="AB389" i="20"/>
  <c r="AC7" i="21" s="1"/>
  <c r="AE224" i="17"/>
  <c r="AE253" i="17"/>
  <c r="AE173" i="17"/>
  <c r="AE198" i="17"/>
  <c r="AH70" i="9"/>
  <c r="BL70" i="9" s="1"/>
  <c r="AC30" i="20" s="1"/>
  <c r="AC26" i="20" s="1"/>
  <c r="AC24" i="20"/>
  <c r="AD33" i="6"/>
  <c r="AF9" i="6"/>
  <c r="AF81" i="8"/>
  <c r="AF56" i="8"/>
  <c r="AF31" i="8"/>
  <c r="AF32" i="5"/>
  <c r="AF6" i="8"/>
  <c r="AE47" i="20" s="1"/>
  <c r="AB8" i="21"/>
  <c r="AB10" i="21" s="1"/>
  <c r="AC6" i="16"/>
  <c r="AE12" i="6"/>
  <c r="AE59" i="8"/>
  <c r="AE9" i="8"/>
  <c r="AD104" i="20" s="1"/>
  <c r="AE35" i="5"/>
  <c r="AE84" i="8"/>
  <c r="AE34" i="8"/>
  <c r="Z407" i="20"/>
  <c r="Z405" i="20" s="1"/>
  <c r="Z404" i="20" s="1"/>
  <c r="BI149" i="9"/>
  <c r="AB280" i="17" s="1"/>
  <c r="AB278" i="17" s="1"/>
  <c r="AB285" i="17" s="1"/>
  <c r="AB286" i="17" s="1"/>
  <c r="AE239" i="17"/>
  <c r="AE213" i="17"/>
  <c r="AE268" i="17"/>
  <c r="AE188" i="17"/>
  <c r="AC309" i="20"/>
  <c r="AH81" i="9"/>
  <c r="BL81" i="9" s="1"/>
  <c r="AC315" i="20" s="1"/>
  <c r="AC311" i="20" s="1"/>
  <c r="AD39" i="6"/>
  <c r="AF17" i="8"/>
  <c r="AE256" i="20" s="1"/>
  <c r="AF67" i="8"/>
  <c r="AF42" i="8"/>
  <c r="AF92" i="8"/>
  <c r="AF43" i="5"/>
  <c r="AF8" i="6"/>
  <c r="AF5" i="8"/>
  <c r="AE28" i="20" s="1"/>
  <c r="AF31" i="5"/>
  <c r="AF30" i="8"/>
  <c r="AF55" i="8"/>
  <c r="AF80" i="8"/>
  <c r="BE4" i="20"/>
  <c r="Y387" i="20"/>
  <c r="BE384" i="20" s="1"/>
  <c r="AE260" i="17"/>
  <c r="AE231" i="17"/>
  <c r="AE180" i="17"/>
  <c r="AE205" i="17"/>
  <c r="AC163" i="20"/>
  <c r="AC159" i="20" s="1"/>
  <c r="AC157" i="20"/>
  <c r="AE263" i="17"/>
  <c r="AE208" i="17"/>
  <c r="AE234" i="17"/>
  <c r="AE183" i="17"/>
  <c r="AC214" i="20"/>
  <c r="AH77" i="9"/>
  <c r="BL77" i="9" s="1"/>
  <c r="AC220" i="20" s="1"/>
  <c r="AC216" i="20" s="1"/>
  <c r="AD37" i="6"/>
  <c r="AF11" i="6"/>
  <c r="AF34" i="5"/>
  <c r="AF83" i="8"/>
  <c r="AF33" i="8"/>
  <c r="AF58" i="8"/>
  <c r="AF8" i="8"/>
  <c r="AE85" i="20" s="1"/>
  <c r="AF24" i="6"/>
  <c r="AF96" i="8"/>
  <c r="AF47" i="5"/>
  <c r="AF21" i="8"/>
  <c r="AE332" i="20" s="1"/>
  <c r="AF71" i="8"/>
  <c r="AF46" i="8"/>
  <c r="AE237" i="17"/>
  <c r="AE266" i="17"/>
  <c r="AE211" i="17"/>
  <c r="AE186" i="17"/>
  <c r="AC277" i="20"/>
  <c r="AC273" i="20" s="1"/>
  <c r="AC271" i="20"/>
  <c r="BH365" i="20"/>
  <c r="CE156" i="20"/>
  <c r="S156" i="20"/>
  <c r="AD74" i="8"/>
  <c r="AE269" i="17"/>
  <c r="AE240" i="17"/>
  <c r="AE214" i="17"/>
  <c r="AE189" i="17"/>
  <c r="AH82" i="9"/>
  <c r="BL82" i="9" s="1"/>
  <c r="AC334" i="20" s="1"/>
  <c r="AC330" i="20" s="1"/>
  <c r="AC328" i="20"/>
  <c r="AD40" i="6"/>
  <c r="Y292" i="17"/>
  <c r="Y13" i="17"/>
  <c r="Y14" i="17" s="1"/>
  <c r="Y18" i="17" s="1"/>
  <c r="AE5" i="8"/>
  <c r="AD28" i="20" s="1"/>
  <c r="AE8" i="6"/>
  <c r="AE31" i="5"/>
  <c r="AE80" i="8"/>
  <c r="AE30" i="8"/>
  <c r="AE55" i="8"/>
  <c r="AF58" i="16"/>
  <c r="AA119" i="17"/>
  <c r="AB118" i="17"/>
  <c r="AB115" i="17"/>
  <c r="AB112" i="17"/>
  <c r="AB109" i="17"/>
  <c r="AB106" i="17"/>
  <c r="AB103" i="17"/>
  <c r="AB100" i="17"/>
  <c r="AB113" i="17"/>
  <c r="AB114" i="17"/>
  <c r="AB110" i="17"/>
  <c r="AB111" i="17"/>
  <c r="AB116" i="17"/>
  <c r="AB117" i="17"/>
  <c r="AB8" i="17"/>
  <c r="AB108" i="17"/>
  <c r="AB105" i="17"/>
  <c r="AB102" i="17"/>
  <c r="AB99" i="17"/>
  <c r="AB107" i="17"/>
  <c r="AB104" i="17"/>
  <c r="AB101" i="17"/>
  <c r="AD272" i="17"/>
  <c r="AF37" i="8"/>
  <c r="AF38" i="5"/>
  <c r="AF87" i="8"/>
  <c r="AF12" i="8"/>
  <c r="AE161" i="20" s="1"/>
  <c r="AF62" i="8"/>
  <c r="AF22" i="6"/>
  <c r="AF45" i="5"/>
  <c r="AF69" i="8"/>
  <c r="AF94" i="8"/>
  <c r="AF19" i="8"/>
  <c r="AE294" i="20" s="1"/>
  <c r="AF44" i="8"/>
  <c r="AC218" i="17"/>
  <c r="AC219" i="17" s="1"/>
  <c r="AC10" i="17" s="1"/>
  <c r="AC11" i="17" s="1"/>
  <c r="CE99" i="20"/>
  <c r="S99" i="20"/>
  <c r="AD99" i="8"/>
  <c r="AD10" i="18" s="1"/>
  <c r="AD43" i="18" s="1"/>
  <c r="AE24" i="6"/>
  <c r="AE21" i="8"/>
  <c r="AD332" i="20" s="1"/>
  <c r="AE46" i="8"/>
  <c r="AE71" i="8"/>
  <c r="AE47" i="5"/>
  <c r="AE96" i="8"/>
  <c r="AD192" i="17"/>
  <c r="AD9" i="17" s="1"/>
  <c r="AD43" i="6" l="1"/>
  <c r="AE4" i="16"/>
  <c r="AD274" i="17"/>
  <c r="T18" i="21"/>
  <c r="T20" i="21" s="1"/>
  <c r="T22" i="21" s="1"/>
  <c r="T27" i="21" s="1"/>
  <c r="T30" i="21" s="1"/>
  <c r="T34" i="21"/>
  <c r="T38" i="21" s="1"/>
  <c r="W17" i="17"/>
  <c r="W19" i="17"/>
  <c r="C34" i="19"/>
  <c r="D27" i="19" s="1"/>
  <c r="D62" i="19" s="1"/>
  <c r="C19" i="21" s="1"/>
  <c r="C61" i="19"/>
  <c r="B17" i="21" s="1"/>
  <c r="B27" i="21" s="1"/>
  <c r="B30" i="21" s="1"/>
  <c r="C31" i="19"/>
  <c r="C32" i="19" s="1"/>
  <c r="C49" i="19"/>
  <c r="C46" i="19"/>
  <c r="C47" i="19" s="1"/>
  <c r="BI308" i="20"/>
  <c r="AD44" i="6"/>
  <c r="AE273" i="17"/>
  <c r="BI175" i="20"/>
  <c r="BI61" i="20"/>
  <c r="BI42" i="20"/>
  <c r="Z13" i="17"/>
  <c r="Z14" i="17" s="1"/>
  <c r="Z18" i="17" s="1"/>
  <c r="Z16" i="17" s="1"/>
  <c r="Z20" i="17" s="1"/>
  <c r="Y21" i="21" s="1"/>
  <c r="BI232" i="20"/>
  <c r="BI118" i="20"/>
  <c r="BI327" i="20"/>
  <c r="BI156" i="20"/>
  <c r="BI270" i="20"/>
  <c r="BI23" i="20"/>
  <c r="BI137" i="20"/>
  <c r="AD49" i="16"/>
  <c r="BI99" i="20"/>
  <c r="BI251" i="20"/>
  <c r="BI80" i="20"/>
  <c r="BI213" i="20"/>
  <c r="BI194" i="20"/>
  <c r="BI289" i="20"/>
  <c r="AB289" i="17"/>
  <c r="AB290" i="17"/>
  <c r="AB288" i="17"/>
  <c r="AF258" i="17"/>
  <c r="AF178" i="17"/>
  <c r="AF229" i="17"/>
  <c r="AF203" i="17"/>
  <c r="AD125" i="20"/>
  <c r="AD121" i="20" s="1"/>
  <c r="AD119" i="20"/>
  <c r="AE35" i="6"/>
  <c r="AF268" i="17"/>
  <c r="AF213" i="17"/>
  <c r="AF239" i="17"/>
  <c r="AF188" i="17"/>
  <c r="AI81" i="9"/>
  <c r="BM81" i="9" s="1"/>
  <c r="AD315" i="20" s="1"/>
  <c r="AD311" i="20" s="1"/>
  <c r="AD309" i="20"/>
  <c r="AE39" i="6"/>
  <c r="T61" i="20"/>
  <c r="CF61" i="20"/>
  <c r="CF270" i="20"/>
  <c r="T270" i="20"/>
  <c r="AB11" i="20"/>
  <c r="BK150" i="9"/>
  <c r="AD279" i="17" s="1"/>
  <c r="AE443" i="20"/>
  <c r="AE441" i="20" s="1"/>
  <c r="AA391" i="20"/>
  <c r="AA7" i="20"/>
  <c r="AF49" i="8"/>
  <c r="AF8" i="18" s="1"/>
  <c r="AF41" i="18" s="1"/>
  <c r="AG271" i="17"/>
  <c r="AG216" i="17"/>
  <c r="AG242" i="17"/>
  <c r="AG191" i="17"/>
  <c r="AF242" i="17"/>
  <c r="AF216" i="17"/>
  <c r="AF271" i="17"/>
  <c r="AF191" i="17"/>
  <c r="AD277" i="17"/>
  <c r="AD12" i="17"/>
  <c r="AG232" i="17"/>
  <c r="AG206" i="17"/>
  <c r="AG261" i="17"/>
  <c r="AG181" i="17"/>
  <c r="AJ75" i="9"/>
  <c r="BN75" i="9" s="1"/>
  <c r="AE182" i="20" s="1"/>
  <c r="AE178" i="20" s="1"/>
  <c r="AE176" i="20"/>
  <c r="AF36" i="6"/>
  <c r="AG241" i="17"/>
  <c r="AG215" i="17"/>
  <c r="AG270" i="17"/>
  <c r="AG190" i="17"/>
  <c r="AJ83" i="9"/>
  <c r="BN83" i="9" s="1"/>
  <c r="AJ79" i="9"/>
  <c r="BN79" i="9" s="1"/>
  <c r="AE347" i="20"/>
  <c r="AE366" i="20"/>
  <c r="CF156" i="20"/>
  <c r="T156" i="20"/>
  <c r="CF327" i="20"/>
  <c r="T327" i="20"/>
  <c r="AG263" i="17"/>
  <c r="AG234" i="17"/>
  <c r="AG183" i="17"/>
  <c r="AG208" i="17"/>
  <c r="AJ77" i="9"/>
  <c r="BN77" i="9" s="1"/>
  <c r="AE220" i="20" s="1"/>
  <c r="AE216" i="20" s="1"/>
  <c r="AE214" i="20"/>
  <c r="AF37" i="6"/>
  <c r="AC389" i="20"/>
  <c r="AD7" i="21" s="1"/>
  <c r="AF74" i="8"/>
  <c r="BE459" i="20"/>
  <c r="BI365" i="20"/>
  <c r="AF225" i="17"/>
  <c r="AF254" i="17"/>
  <c r="AF199" i="17"/>
  <c r="AF174" i="17"/>
  <c r="AI71" i="9"/>
  <c r="BM71" i="9" s="1"/>
  <c r="AD49" i="20" s="1"/>
  <c r="AD45" i="20" s="1"/>
  <c r="AD43" i="20"/>
  <c r="AG253" i="17"/>
  <c r="AG173" i="17"/>
  <c r="AG198" i="17"/>
  <c r="AG224" i="17"/>
  <c r="AJ70" i="9"/>
  <c r="BN70" i="9" s="1"/>
  <c r="AE30" i="20" s="1"/>
  <c r="AE26" i="20" s="1"/>
  <c r="AE24" i="20"/>
  <c r="AF33" i="6"/>
  <c r="AG257" i="17"/>
  <c r="AG202" i="17"/>
  <c r="AG228" i="17"/>
  <c r="AG177" i="17"/>
  <c r="AJ74" i="9"/>
  <c r="BN74" i="9" s="1"/>
  <c r="AE106" i="20" s="1"/>
  <c r="AE102" i="20" s="1"/>
  <c r="AE100" i="20"/>
  <c r="BF4" i="20"/>
  <c r="Z387" i="20"/>
  <c r="BF384" i="20" s="1"/>
  <c r="CF137" i="20"/>
  <c r="T137" i="20"/>
  <c r="AC385" i="20"/>
  <c r="AA407" i="20"/>
  <c r="AA405" i="20" s="1"/>
  <c r="AA404" i="20" s="1"/>
  <c r="BJ149" i="9"/>
  <c r="AC280" i="17" s="1"/>
  <c r="AC278" i="17" s="1"/>
  <c r="AC285" i="17" s="1"/>
  <c r="AC286" i="17" s="1"/>
  <c r="AF181" i="17"/>
  <c r="AF232" i="17"/>
  <c r="AF206" i="17"/>
  <c r="AF261" i="17"/>
  <c r="AI75" i="9"/>
  <c r="BM75" i="9" s="1"/>
  <c r="AD182" i="20" s="1"/>
  <c r="AD178" i="20" s="1"/>
  <c r="AD176" i="20"/>
  <c r="AE36" i="6"/>
  <c r="AF240" i="17"/>
  <c r="AF214" i="17"/>
  <c r="AF269" i="17"/>
  <c r="AF189" i="17"/>
  <c r="AI82" i="9"/>
  <c r="BM82" i="9" s="1"/>
  <c r="AD334" i="20" s="1"/>
  <c r="AD330" i="20" s="1"/>
  <c r="AD328" i="20"/>
  <c r="AE40" i="6"/>
  <c r="CF118" i="20"/>
  <c r="T118" i="20"/>
  <c r="AA291" i="17"/>
  <c r="AG252" i="17"/>
  <c r="AG197" i="17"/>
  <c r="AG223" i="17"/>
  <c r="AG172" i="17"/>
  <c r="AF27" i="6"/>
  <c r="AJ69" i="9"/>
  <c r="AE5" i="20"/>
  <c r="AF32" i="6"/>
  <c r="BL69" i="9"/>
  <c r="J11" i="18"/>
  <c r="J44" i="18" s="1"/>
  <c r="AF267" i="17"/>
  <c r="AF187" i="17"/>
  <c r="AF238" i="17"/>
  <c r="AF212" i="17"/>
  <c r="AD290" i="20"/>
  <c r="AI80" i="9"/>
  <c r="BM80" i="9" s="1"/>
  <c r="AD296" i="20" s="1"/>
  <c r="AD292" i="20" s="1"/>
  <c r="AG256" i="17"/>
  <c r="AG176" i="17"/>
  <c r="AG227" i="17"/>
  <c r="AG201" i="17"/>
  <c r="AJ73" i="9"/>
  <c r="BN73" i="9" s="1"/>
  <c r="AE87" i="20" s="1"/>
  <c r="AE83" i="20" s="1"/>
  <c r="AE81" i="20"/>
  <c r="AF34" i="6"/>
  <c r="AF237" i="17"/>
  <c r="AF266" i="17"/>
  <c r="AF211" i="17"/>
  <c r="AF186" i="17"/>
  <c r="AD277" i="20"/>
  <c r="AD273" i="20" s="1"/>
  <c r="AD271" i="20"/>
  <c r="AG267" i="17"/>
  <c r="AG212" i="17"/>
  <c r="AG238" i="17"/>
  <c r="AG187" i="17"/>
  <c r="AJ80" i="9"/>
  <c r="BN80" i="9" s="1"/>
  <c r="AE296" i="20" s="1"/>
  <c r="AE292" i="20" s="1"/>
  <c r="AE290" i="20"/>
  <c r="AA12" i="21"/>
  <c r="CF175" i="20"/>
  <c r="T175" i="20"/>
  <c r="AF226" i="17"/>
  <c r="AF175" i="17"/>
  <c r="AF200" i="17"/>
  <c r="AF255" i="17"/>
  <c r="AD62" i="20"/>
  <c r="AI72" i="9"/>
  <c r="BM72" i="9" s="1"/>
  <c r="AD68" i="20" s="1"/>
  <c r="AD64" i="20" s="1"/>
  <c r="AG237" i="17"/>
  <c r="AG266" i="17"/>
  <c r="AG211" i="17"/>
  <c r="AG186" i="17"/>
  <c r="AE277" i="20"/>
  <c r="AE273" i="20" s="1"/>
  <c r="AE271" i="20"/>
  <c r="AD3" i="21"/>
  <c r="AD7" i="18"/>
  <c r="AD34" i="18" s="1"/>
  <c r="AD36" i="18" s="1"/>
  <c r="AH91" i="17"/>
  <c r="AH88" i="17"/>
  <c r="AH93" i="17"/>
  <c r="AE45" i="16"/>
  <c r="AH90" i="17"/>
  <c r="AE5" i="16" a="1"/>
  <c r="AE5" i="16" s="1"/>
  <c r="AD9" i="21" s="1"/>
  <c r="AH89" i="17"/>
  <c r="AE48" i="16"/>
  <c r="AH92" i="17"/>
  <c r="AE46" i="16"/>
  <c r="AE44" i="16"/>
  <c r="AE47" i="16"/>
  <c r="AH53" i="9"/>
  <c r="BL53" i="9" s="1"/>
  <c r="AH52" i="9"/>
  <c r="AD29" i="6"/>
  <c r="AE18" i="16"/>
  <c r="AE40" i="16" s="1"/>
  <c r="AE99" i="8"/>
  <c r="AE10" i="18" s="1"/>
  <c r="AE43" i="18" s="1"/>
  <c r="AG259" i="17"/>
  <c r="AG179" i="17"/>
  <c r="AG230" i="17"/>
  <c r="AG204" i="17"/>
  <c r="AE138" i="20"/>
  <c r="AE144" i="20"/>
  <c r="AE140" i="20" s="1"/>
  <c r="CF23" i="20"/>
  <c r="T23" i="20"/>
  <c r="AF228" i="17"/>
  <c r="AF257" i="17"/>
  <c r="AF202" i="17"/>
  <c r="AF177" i="17"/>
  <c r="AI74" i="9"/>
  <c r="BM74" i="9" s="1"/>
  <c r="AD106" i="20" s="1"/>
  <c r="AD102" i="20" s="1"/>
  <c r="AD100" i="20"/>
  <c r="AB119" i="17"/>
  <c r="AF224" i="17"/>
  <c r="AF253" i="17"/>
  <c r="AF198" i="17"/>
  <c r="AF173" i="17"/>
  <c r="AI70" i="9"/>
  <c r="BM70" i="9" s="1"/>
  <c r="AD30" i="20" s="1"/>
  <c r="AD26" i="20" s="1"/>
  <c r="AD24" i="20"/>
  <c r="AE33" i="6"/>
  <c r="AF264" i="17"/>
  <c r="AF235" i="17"/>
  <c r="AF209" i="17"/>
  <c r="AF184" i="17"/>
  <c r="AD233" i="20"/>
  <c r="AI78" i="9"/>
  <c r="BM78" i="9" s="1"/>
  <c r="AD239" i="20" s="1"/>
  <c r="AD235" i="20" s="1"/>
  <c r="CF251" i="20"/>
  <c r="T251" i="20"/>
  <c r="AF201" i="17"/>
  <c r="AF256" i="17"/>
  <c r="AF176" i="17"/>
  <c r="AF227" i="17"/>
  <c r="AI73" i="9"/>
  <c r="BM73" i="9" s="1"/>
  <c r="AD87" i="20" s="1"/>
  <c r="AD83" i="20" s="1"/>
  <c r="AD81" i="20"/>
  <c r="AE34" i="6"/>
  <c r="AF233" i="17"/>
  <c r="AF262" i="17"/>
  <c r="AF207" i="17"/>
  <c r="AF182" i="17"/>
  <c r="AI76" i="9"/>
  <c r="BM76" i="9" s="1"/>
  <c r="AD201" i="20" s="1"/>
  <c r="AD197" i="20" s="1"/>
  <c r="AD195" i="20"/>
  <c r="AE192" i="17"/>
  <c r="AE9" i="17" s="1"/>
  <c r="AE24" i="8"/>
  <c r="AD9" i="20"/>
  <c r="AC116" i="17"/>
  <c r="AC113" i="17"/>
  <c r="AC110" i="17"/>
  <c r="AC107" i="17"/>
  <c r="AC104" i="17"/>
  <c r="AC101" i="17"/>
  <c r="AC118" i="17"/>
  <c r="AC114" i="17"/>
  <c r="AC109" i="17"/>
  <c r="AC115" i="17"/>
  <c r="AC111" i="17"/>
  <c r="AC106" i="17"/>
  <c r="AC103" i="17"/>
  <c r="AC100" i="17"/>
  <c r="AC8" i="17"/>
  <c r="AC112" i="17"/>
  <c r="AC108" i="17"/>
  <c r="AC105" i="17"/>
  <c r="AC102" i="17"/>
  <c r="AC99" i="17"/>
  <c r="AC117" i="17"/>
  <c r="AG262" i="17"/>
  <c r="AG182" i="17"/>
  <c r="AG207" i="17"/>
  <c r="AG233" i="17"/>
  <c r="AJ76" i="9"/>
  <c r="BN76" i="9" s="1"/>
  <c r="AE201" i="20" s="1"/>
  <c r="AE197" i="20" s="1"/>
  <c r="AE195" i="20"/>
  <c r="S4" i="20"/>
  <c r="S384" i="20" s="1"/>
  <c r="S459" i="20" s="1"/>
  <c r="CE4" i="20"/>
  <c r="S393" i="20"/>
  <c r="CE384" i="20" s="1"/>
  <c r="S15" i="21"/>
  <c r="S34" i="21" s="1"/>
  <c r="Z403" i="20"/>
  <c r="AC8" i="21"/>
  <c r="AC10" i="21" s="1"/>
  <c r="AD6" i="16"/>
  <c r="AF234" i="17"/>
  <c r="AF263" i="17"/>
  <c r="AF208" i="17"/>
  <c r="AF183" i="17"/>
  <c r="AD214" i="20"/>
  <c r="AI77" i="9"/>
  <c r="BM77" i="9" s="1"/>
  <c r="AD220" i="20" s="1"/>
  <c r="AD216" i="20" s="1"/>
  <c r="AE37" i="6"/>
  <c r="CF194" i="20"/>
  <c r="T194" i="20"/>
  <c r="AG226" i="17"/>
  <c r="AG200" i="17"/>
  <c r="AG255" i="17"/>
  <c r="AG175" i="17"/>
  <c r="AE62" i="20"/>
  <c r="AJ72" i="9"/>
  <c r="BN72" i="9" s="1"/>
  <c r="AE68" i="20" s="1"/>
  <c r="AE64" i="20" s="1"/>
  <c r="H52" i="18"/>
  <c r="H24" i="21" s="1"/>
  <c r="H34" i="21" s="1"/>
  <c r="AE243" i="17"/>
  <c r="X17" i="17"/>
  <c r="X19" i="17"/>
  <c r="AD443" i="20"/>
  <c r="AD441" i="20" s="1"/>
  <c r="AG258" i="17"/>
  <c r="AG203" i="17"/>
  <c r="AG229" i="17"/>
  <c r="AG178" i="17"/>
  <c r="AE125" i="20"/>
  <c r="AE121" i="20" s="1"/>
  <c r="AE119" i="20"/>
  <c r="AF35" i="6"/>
  <c r="AG235" i="17"/>
  <c r="AG264" i="17"/>
  <c r="AG184" i="17"/>
  <c r="AG209" i="17"/>
  <c r="AE233" i="20"/>
  <c r="AJ78" i="9"/>
  <c r="BN78" i="9" s="1"/>
  <c r="AE239" i="20" s="1"/>
  <c r="AE235" i="20" s="1"/>
  <c r="T386" i="20"/>
  <c r="U4" i="21" s="1"/>
  <c r="U5" i="21" s="1"/>
  <c r="U15" i="21" s="1"/>
  <c r="T13" i="20"/>
  <c r="CF213" i="20"/>
  <c r="T213" i="20"/>
  <c r="AE217" i="17"/>
  <c r="AE74" i="8"/>
  <c r="AF241" i="17"/>
  <c r="AF190" i="17"/>
  <c r="AF215" i="17"/>
  <c r="AF270" i="17"/>
  <c r="AD366" i="20"/>
  <c r="AI79" i="9"/>
  <c r="BM79" i="9" s="1"/>
  <c r="AI83" i="9"/>
  <c r="BM83" i="9" s="1"/>
  <c r="AD347" i="20"/>
  <c r="Y16" i="17"/>
  <c r="Y20" i="17" s="1"/>
  <c r="X21" i="21" s="1"/>
  <c r="Y15" i="17"/>
  <c r="BI346" i="20"/>
  <c r="T42" i="20"/>
  <c r="CF42" i="20"/>
  <c r="CF232" i="20"/>
  <c r="T232" i="20"/>
  <c r="AF231" i="17"/>
  <c r="AF260" i="17"/>
  <c r="AF180" i="17"/>
  <c r="AF205" i="17"/>
  <c r="AD163" i="20"/>
  <c r="AD159" i="20" s="1"/>
  <c r="AD157" i="20"/>
  <c r="AE272" i="17"/>
  <c r="AE49" i="8"/>
  <c r="AE8" i="18" s="1"/>
  <c r="AE41" i="18" s="1"/>
  <c r="AC245" i="17"/>
  <c r="AC246" i="17" s="1"/>
  <c r="AF24" i="8"/>
  <c r="AE9" i="20"/>
  <c r="AG265" i="17"/>
  <c r="AG185" i="17"/>
  <c r="AG236" i="17"/>
  <c r="AG210" i="17"/>
  <c r="AE258" i="20"/>
  <c r="AE254" i="20" s="1"/>
  <c r="AE252" i="20"/>
  <c r="AF38" i="6"/>
  <c r="AG189" i="17"/>
  <c r="AG240" i="17"/>
  <c r="AG214" i="17"/>
  <c r="AG269" i="17"/>
  <c r="AJ82" i="9"/>
  <c r="BN82" i="9" s="1"/>
  <c r="AE334" i="20" s="1"/>
  <c r="AE330" i="20" s="1"/>
  <c r="AE328" i="20"/>
  <c r="AF40" i="6"/>
  <c r="AG254" i="17"/>
  <c r="AG199" i="17"/>
  <c r="AG225" i="17"/>
  <c r="AG174" i="17"/>
  <c r="AJ71" i="9"/>
  <c r="BN71" i="9" s="1"/>
  <c r="AE49" i="20" s="1"/>
  <c r="AE45" i="20" s="1"/>
  <c r="AE43" i="20"/>
  <c r="AD218" i="17"/>
  <c r="AD219" i="17" s="1"/>
  <c r="CF80" i="20"/>
  <c r="T80" i="20"/>
  <c r="CF289" i="20"/>
  <c r="T289" i="20"/>
  <c r="Y14" i="21"/>
  <c r="AG268" i="17"/>
  <c r="AG213" i="17"/>
  <c r="AG188" i="17"/>
  <c r="AG239" i="17"/>
  <c r="AE309" i="20"/>
  <c r="AJ81" i="9"/>
  <c r="BN81" i="9" s="1"/>
  <c r="AE315" i="20" s="1"/>
  <c r="AE311" i="20" s="1"/>
  <c r="AF39" i="6"/>
  <c r="AF172" i="17"/>
  <c r="AF252" i="17"/>
  <c r="AF197" i="17"/>
  <c r="AF223" i="17"/>
  <c r="AE27" i="6"/>
  <c r="AI69" i="9"/>
  <c r="AD5" i="20"/>
  <c r="AE32" i="6"/>
  <c r="AG231" i="17"/>
  <c r="AG260" i="17"/>
  <c r="AG180" i="17"/>
  <c r="AG205" i="17"/>
  <c r="AE163" i="20"/>
  <c r="AE159" i="20" s="1"/>
  <c r="AE157" i="20"/>
  <c r="BK52" i="9"/>
  <c r="I13" i="18"/>
  <c r="I46" i="18" s="1"/>
  <c r="I48" i="18" s="1"/>
  <c r="I50" i="18" s="1"/>
  <c r="AG94" i="17"/>
  <c r="AF259" i="17"/>
  <c r="AF204" i="17"/>
  <c r="AF230" i="17"/>
  <c r="AF179" i="17"/>
  <c r="AD144" i="20"/>
  <c r="AD140" i="20" s="1"/>
  <c r="AD138" i="20"/>
  <c r="CF99" i="20"/>
  <c r="T99" i="20"/>
  <c r="CF308" i="20"/>
  <c r="T308" i="20"/>
  <c r="AF265" i="17"/>
  <c r="AF236" i="17"/>
  <c r="AF185" i="17"/>
  <c r="AF210" i="17"/>
  <c r="AD258" i="20"/>
  <c r="AD254" i="20" s="1"/>
  <c r="AD252" i="20"/>
  <c r="AE38" i="6"/>
  <c r="AF99" i="8"/>
  <c r="AF10" i="18" s="1"/>
  <c r="AF43" i="18" s="1"/>
  <c r="AG13" i="6" l="1"/>
  <c r="AG15" i="6"/>
  <c r="AG14" i="6"/>
  <c r="AG20" i="6"/>
  <c r="AG21" i="6"/>
  <c r="AF43" i="6"/>
  <c r="AG4" i="16"/>
  <c r="AE43" i="6"/>
  <c r="AF4" i="16"/>
  <c r="U18" i="21"/>
  <c r="U20" i="21" s="1"/>
  <c r="U22" i="21" s="1"/>
  <c r="U27" i="21" s="1"/>
  <c r="U30" i="21" s="1"/>
  <c r="U34" i="21"/>
  <c r="U38" i="21" s="1"/>
  <c r="D26" i="19"/>
  <c r="D34" i="19" s="1"/>
  <c r="BK289" i="20"/>
  <c r="U329" i="20"/>
  <c r="U336" i="20" s="1"/>
  <c r="U253" i="20"/>
  <c r="U260" i="20" s="1"/>
  <c r="U44" i="20"/>
  <c r="U51" i="20" s="1"/>
  <c r="U367" i="20"/>
  <c r="U374" i="20" s="1"/>
  <c r="CG365" i="20" s="1"/>
  <c r="U234" i="20"/>
  <c r="U241" i="20" s="1"/>
  <c r="U101" i="20"/>
  <c r="U108" i="20" s="1"/>
  <c r="U348" i="20"/>
  <c r="U355" i="20" s="1"/>
  <c r="CG346" i="20" s="1"/>
  <c r="U215" i="20"/>
  <c r="U222" i="20" s="1"/>
  <c r="U82" i="20"/>
  <c r="U89" i="20" s="1"/>
  <c r="U139" i="20"/>
  <c r="U146" i="20" s="1"/>
  <c r="U6" i="20"/>
  <c r="U310" i="20"/>
  <c r="U317" i="20" s="1"/>
  <c r="U158" i="20"/>
  <c r="U165" i="20" s="1"/>
  <c r="U25" i="20"/>
  <c r="U32" i="20" s="1"/>
  <c r="U196" i="20"/>
  <c r="U203" i="20" s="1"/>
  <c r="U63" i="20"/>
  <c r="U70" i="20" s="1"/>
  <c r="U291" i="20"/>
  <c r="U298" i="20" s="1"/>
  <c r="U120" i="20"/>
  <c r="U127" i="20" s="1"/>
  <c r="W21" i="17"/>
  <c r="V14" i="18" s="1"/>
  <c r="V47" i="18" s="1"/>
  <c r="V48" i="18" s="1"/>
  <c r="V50" i="18" s="1"/>
  <c r="V52" i="18" s="1"/>
  <c r="V24" i="21" s="1"/>
  <c r="U272" i="20"/>
  <c r="U279" i="20" s="1"/>
  <c r="U177" i="20"/>
  <c r="U184" i="20" s="1"/>
  <c r="AE274" i="17"/>
  <c r="D49" i="19"/>
  <c r="D42" i="19"/>
  <c r="D43" i="19" s="1"/>
  <c r="D47" i="19" s="1"/>
  <c r="BK137" i="20"/>
  <c r="BJ80" i="20"/>
  <c r="BK232" i="20"/>
  <c r="BK99" i="20"/>
  <c r="AE44" i="6"/>
  <c r="AF44" i="6"/>
  <c r="Z15" i="17"/>
  <c r="Z17" i="17" s="1"/>
  <c r="AG273" i="17"/>
  <c r="AF273" i="17"/>
  <c r="BK194" i="20"/>
  <c r="AG25" i="6"/>
  <c r="BJ42" i="20"/>
  <c r="BJ308" i="20"/>
  <c r="BJ175" i="20"/>
  <c r="BJ213" i="20"/>
  <c r="BK80" i="20"/>
  <c r="BF459" i="20"/>
  <c r="BJ61" i="20"/>
  <c r="BK118" i="20"/>
  <c r="BK42" i="20"/>
  <c r="BK23" i="20"/>
  <c r="BK327" i="20"/>
  <c r="BJ289" i="20"/>
  <c r="BK156" i="20"/>
  <c r="BJ156" i="20"/>
  <c r="AB12" i="21"/>
  <c r="AB13" i="21" s="1"/>
  <c r="AB14" i="21" s="1"/>
  <c r="BK251" i="20"/>
  <c r="AG23" i="6"/>
  <c r="BJ23" i="20"/>
  <c r="BK213" i="20"/>
  <c r="BJ327" i="20"/>
  <c r="BK61" i="20"/>
  <c r="BJ194" i="20"/>
  <c r="BJ232" i="20"/>
  <c r="BK270" i="20"/>
  <c r="AF192" i="17"/>
  <c r="AF9" i="17" s="1"/>
  <c r="BJ251" i="20"/>
  <c r="BJ137" i="20"/>
  <c r="BJ99" i="20"/>
  <c r="BK308" i="20"/>
  <c r="AD10" i="17"/>
  <c r="AD11" i="17" s="1"/>
  <c r="AD245" i="17"/>
  <c r="AD246" i="17" s="1"/>
  <c r="I52" i="18"/>
  <c r="I24" i="21" s="1"/>
  <c r="I34" i="21" s="1"/>
  <c r="BJ270" i="20"/>
  <c r="AC11" i="20"/>
  <c r="BL150" i="9"/>
  <c r="AE279" i="17" s="1"/>
  <c r="AB407" i="20"/>
  <c r="AB405" i="20" s="1"/>
  <c r="AB404" i="20" s="1"/>
  <c r="BK149" i="9"/>
  <c r="AD280" i="17" s="1"/>
  <c r="AD278" i="17" s="1"/>
  <c r="AD285" i="17" s="1"/>
  <c r="AD286" i="17" s="1"/>
  <c r="Y17" i="17"/>
  <c r="Y19" i="17"/>
  <c r="AG19" i="6"/>
  <c r="AG17" i="6"/>
  <c r="BJ118" i="20"/>
  <c r="AG12" i="6"/>
  <c r="AE218" i="17"/>
  <c r="AE219" i="17" s="1"/>
  <c r="AE277" i="17"/>
  <c r="AE12" i="17"/>
  <c r="AA13" i="21"/>
  <c r="AG7" i="6"/>
  <c r="BJ346" i="20"/>
  <c r="AG10" i="6"/>
  <c r="AG22" i="6"/>
  <c r="AE385" i="20"/>
  <c r="AA403" i="20"/>
  <c r="BG403" i="20" s="1"/>
  <c r="AG26" i="6"/>
  <c r="AD385" i="20"/>
  <c r="AG24" i="6"/>
  <c r="L11" i="18"/>
  <c r="L44" i="18" s="1"/>
  <c r="BN69" i="9"/>
  <c r="BL52" i="9"/>
  <c r="J13" i="18"/>
  <c r="J46" i="18" s="1"/>
  <c r="J48" i="18" s="1"/>
  <c r="J50" i="18" s="1"/>
  <c r="AD8" i="21"/>
  <c r="AD10" i="21" s="1"/>
  <c r="AE6" i="16"/>
  <c r="AF3" i="21"/>
  <c r="AF7" i="18"/>
  <c r="AF34" i="18" s="1"/>
  <c r="AF36" i="18" s="1"/>
  <c r="AJ93" i="17"/>
  <c r="AJ92" i="17"/>
  <c r="AJ91" i="17"/>
  <c r="AJ90" i="17"/>
  <c r="AJ88" i="17"/>
  <c r="AJ89" i="17"/>
  <c r="AG48" i="16"/>
  <c r="AG46" i="16"/>
  <c r="AG44" i="16"/>
  <c r="AG47" i="16"/>
  <c r="AG5" i="16" a="1"/>
  <c r="AG5" i="16" s="1"/>
  <c r="AG45" i="16"/>
  <c r="AJ53" i="9"/>
  <c r="BN53" i="9" s="1"/>
  <c r="AJ52" i="9"/>
  <c r="AF29" i="6"/>
  <c r="AG18" i="16"/>
  <c r="AG40" i="16" s="1"/>
  <c r="AB391" i="20"/>
  <c r="AB7" i="20"/>
  <c r="V367" i="20"/>
  <c r="V374" i="20" s="1"/>
  <c r="V348" i="20"/>
  <c r="V355" i="20" s="1"/>
  <c r="CH346" i="20" s="1"/>
  <c r="V329" i="20"/>
  <c r="V336" i="20" s="1"/>
  <c r="V310" i="20"/>
  <c r="V317" i="20" s="1"/>
  <c r="V291" i="20"/>
  <c r="V298" i="20" s="1"/>
  <c r="V272" i="20"/>
  <c r="V279" i="20" s="1"/>
  <c r="V196" i="20"/>
  <c r="V203" i="20" s="1"/>
  <c r="V253" i="20"/>
  <c r="V260" i="20" s="1"/>
  <c r="V234" i="20"/>
  <c r="V241" i="20" s="1"/>
  <c r="V139" i="20"/>
  <c r="V146" i="20" s="1"/>
  <c r="V215" i="20"/>
  <c r="V222" i="20" s="1"/>
  <c r="V177" i="20"/>
  <c r="V184" i="20" s="1"/>
  <c r="V120" i="20"/>
  <c r="V127" i="20" s="1"/>
  <c r="V158" i="20"/>
  <c r="V165" i="20" s="1"/>
  <c r="V6" i="20"/>
  <c r="V25" i="20"/>
  <c r="V32" i="20" s="1"/>
  <c r="V82" i="20"/>
  <c r="V89" i="20" s="1"/>
  <c r="V63" i="20"/>
  <c r="V70" i="20" s="1"/>
  <c r="V101" i="20"/>
  <c r="V108" i="20" s="1"/>
  <c r="V44" i="20"/>
  <c r="V51" i="20" s="1"/>
  <c r="X21" i="17"/>
  <c r="W14" i="18" s="1"/>
  <c r="W47" i="18" s="1"/>
  <c r="W48" i="18" s="1"/>
  <c r="W50" i="18" s="1"/>
  <c r="AC288" i="17"/>
  <c r="AC290" i="17"/>
  <c r="AC289" i="17"/>
  <c r="BJ365" i="20"/>
  <c r="CF4" i="20"/>
  <c r="T4" i="20"/>
  <c r="T384" i="20" s="1"/>
  <c r="T459" i="20" s="1"/>
  <c r="T393" i="20"/>
  <c r="CF384" i="20" s="1"/>
  <c r="AG11" i="6"/>
  <c r="AG192" i="17"/>
  <c r="AG9" i="17" s="1"/>
  <c r="AB291" i="17"/>
  <c r="AH94" i="17"/>
  <c r="AG243" i="17"/>
  <c r="AD116" i="17"/>
  <c r="AD113" i="17"/>
  <c r="AD110" i="17"/>
  <c r="AD118" i="17"/>
  <c r="AD114" i="17"/>
  <c r="AD109" i="17"/>
  <c r="AD115" i="17"/>
  <c r="AD111" i="17"/>
  <c r="AD117" i="17"/>
  <c r="AD112" i="17"/>
  <c r="AD108" i="17"/>
  <c r="AD105" i="17"/>
  <c r="AD102" i="17"/>
  <c r="AD99" i="17"/>
  <c r="AD107" i="17"/>
  <c r="AD104" i="17"/>
  <c r="AD101" i="17"/>
  <c r="AD106" i="17"/>
  <c r="AD103" i="17"/>
  <c r="AD100" i="17"/>
  <c r="AD8" i="17"/>
  <c r="AF217" i="17"/>
  <c r="BK175" i="20"/>
  <c r="AG217" i="17"/>
  <c r="AG18" i="6"/>
  <c r="BM69" i="9"/>
  <c r="K11" i="18"/>
  <c r="K44" i="18" s="1"/>
  <c r="BF403" i="20"/>
  <c r="AD389" i="20"/>
  <c r="AE7" i="21" s="1"/>
  <c r="AE3" i="21"/>
  <c r="AE7" i="18"/>
  <c r="AE34" i="18" s="1"/>
  <c r="AE36" i="18" s="1"/>
  <c r="AI91" i="17"/>
  <c r="AI88" i="17"/>
  <c r="AI89" i="17"/>
  <c r="AI90" i="17"/>
  <c r="AF45" i="16"/>
  <c r="AF5" i="16" a="1"/>
  <c r="AF5" i="16" s="1"/>
  <c r="AE9" i="21" s="1"/>
  <c r="AF48" i="16"/>
  <c r="AI92" i="17"/>
  <c r="AI93" i="17"/>
  <c r="AF46" i="16"/>
  <c r="AF44" i="16"/>
  <c r="AF47" i="16"/>
  <c r="AI53" i="9"/>
  <c r="BM53" i="9" s="1"/>
  <c r="AI52" i="9"/>
  <c r="AE29" i="6"/>
  <c r="AF18" i="16"/>
  <c r="AF40" i="16" s="1"/>
  <c r="AF243" i="17"/>
  <c r="AG9" i="6"/>
  <c r="AE49" i="16"/>
  <c r="AF272" i="17"/>
  <c r="AE389" i="20"/>
  <c r="AF7" i="21" s="1"/>
  <c r="S18" i="21"/>
  <c r="AC119" i="17"/>
  <c r="AG272" i="17"/>
  <c r="BK365" i="20"/>
  <c r="BG4" i="20"/>
  <c r="AA387" i="20"/>
  <c r="BG384" i="20" s="1"/>
  <c r="AA292" i="17"/>
  <c r="AA13" i="17"/>
  <c r="AA14" i="17" s="1"/>
  <c r="AA18" i="17" s="1"/>
  <c r="AG8" i="6"/>
  <c r="BK346" i="20"/>
  <c r="AG16" i="6"/>
  <c r="D61" i="19" l="1"/>
  <c r="C17" i="21" s="1"/>
  <c r="C18" i="21" s="1"/>
  <c r="C38" i="21" s="1"/>
  <c r="B19" i="2"/>
  <c r="U61" i="20"/>
  <c r="CG61" i="20"/>
  <c r="CG213" i="20"/>
  <c r="U213" i="20"/>
  <c r="CG194" i="20"/>
  <c r="U194" i="20"/>
  <c r="U23" i="20"/>
  <c r="CG23" i="20"/>
  <c r="CG99" i="20"/>
  <c r="U99" i="20"/>
  <c r="U175" i="20"/>
  <c r="CG175" i="20"/>
  <c r="CG156" i="20"/>
  <c r="U156" i="20"/>
  <c r="CG232" i="20"/>
  <c r="U232" i="20"/>
  <c r="CG270" i="20"/>
  <c r="U270" i="20"/>
  <c r="U308" i="20"/>
  <c r="CG308" i="20"/>
  <c r="U386" i="20"/>
  <c r="V4" i="21" s="1"/>
  <c r="V5" i="21" s="1"/>
  <c r="V15" i="21" s="1"/>
  <c r="U13" i="20"/>
  <c r="CG42" i="20"/>
  <c r="U42" i="20"/>
  <c r="U118" i="20"/>
  <c r="CG118" i="20"/>
  <c r="CG137" i="20"/>
  <c r="U137" i="20"/>
  <c r="U251" i="20"/>
  <c r="CG251" i="20"/>
  <c r="CG289" i="20"/>
  <c r="U289" i="20"/>
  <c r="CG80" i="20"/>
  <c r="U80" i="20"/>
  <c r="CG327" i="20"/>
  <c r="U327" i="20"/>
  <c r="E49" i="19"/>
  <c r="E42" i="19"/>
  <c r="E43" i="19" s="1"/>
  <c r="E47" i="19" s="1"/>
  <c r="AF274" i="17"/>
  <c r="AG274" i="17"/>
  <c r="Z19" i="17"/>
  <c r="X329" i="20" s="1"/>
  <c r="X336" i="20" s="1"/>
  <c r="AI94" i="17"/>
  <c r="AF110" i="17" s="1"/>
  <c r="S20" i="21"/>
  <c r="S22" i="21" s="1"/>
  <c r="S27" i="21" s="1"/>
  <c r="S30" i="21" s="1"/>
  <c r="S38" i="21"/>
  <c r="AE10" i="17"/>
  <c r="AE11" i="17" s="1"/>
  <c r="AE245" i="17"/>
  <c r="AE246" i="17" s="1"/>
  <c r="AD290" i="17"/>
  <c r="AD288" i="17"/>
  <c r="AD289" i="17"/>
  <c r="AD11" i="20"/>
  <c r="BM150" i="9"/>
  <c r="AF279" i="17" s="1"/>
  <c r="AF8" i="21"/>
  <c r="AG6" i="16"/>
  <c r="AB403" i="20"/>
  <c r="CH365" i="20"/>
  <c r="V398" i="20"/>
  <c r="V394" i="20"/>
  <c r="AF9" i="21"/>
  <c r="B18" i="2" s="1"/>
  <c r="C18" i="2" s="1"/>
  <c r="AE11" i="20"/>
  <c r="BN150" i="9"/>
  <c r="AG279" i="17" s="1"/>
  <c r="CH327" i="20"/>
  <c r="V327" i="20"/>
  <c r="AC391" i="20"/>
  <c r="AC7" i="20"/>
  <c r="AF49" i="16"/>
  <c r="CH175" i="20"/>
  <c r="V175" i="20"/>
  <c r="AD119" i="17"/>
  <c r="CH213" i="20"/>
  <c r="V213" i="20"/>
  <c r="BH4" i="20"/>
  <c r="AB387" i="20"/>
  <c r="BH384" i="20" s="1"/>
  <c r="AG49" i="16"/>
  <c r="BG459" i="20"/>
  <c r="CH118" i="20"/>
  <c r="V118" i="20"/>
  <c r="AC291" i="17"/>
  <c r="CH137" i="20"/>
  <c r="V137" i="20"/>
  <c r="V386" i="20"/>
  <c r="W4" i="21" s="1"/>
  <c r="V13" i="20"/>
  <c r="AB292" i="17"/>
  <c r="AB13" i="17"/>
  <c r="AB14" i="17" s="1"/>
  <c r="AB18" i="17" s="1"/>
  <c r="CH232" i="20"/>
  <c r="V232" i="20"/>
  <c r="AH7" i="21" a="1"/>
  <c r="AH7" i="21" s="1"/>
  <c r="CH42" i="20"/>
  <c r="V42" i="20"/>
  <c r="CH251" i="20"/>
  <c r="V251" i="20"/>
  <c r="W367" i="20"/>
  <c r="W374" i="20" s="1"/>
  <c r="CI365" i="20" s="1"/>
  <c r="W348" i="20"/>
  <c r="W355" i="20" s="1"/>
  <c r="CI346" i="20" s="1"/>
  <c r="W310" i="20"/>
  <c r="W317" i="20" s="1"/>
  <c r="W291" i="20"/>
  <c r="W298" i="20" s="1"/>
  <c r="W329" i="20"/>
  <c r="W336" i="20" s="1"/>
  <c r="W272" i="20"/>
  <c r="W279" i="20" s="1"/>
  <c r="W215" i="20"/>
  <c r="W222" i="20" s="1"/>
  <c r="W253" i="20"/>
  <c r="W260" i="20" s="1"/>
  <c r="W196" i="20"/>
  <c r="W203" i="20" s="1"/>
  <c r="W177" i="20"/>
  <c r="W184" i="20" s="1"/>
  <c r="W234" i="20"/>
  <c r="W241" i="20" s="1"/>
  <c r="W120" i="20"/>
  <c r="W127" i="20" s="1"/>
  <c r="W158" i="20"/>
  <c r="W165" i="20" s="1"/>
  <c r="W63" i="20"/>
  <c r="W70" i="20" s="1"/>
  <c r="W101" i="20"/>
  <c r="W108" i="20" s="1"/>
  <c r="W6" i="20"/>
  <c r="W139" i="20"/>
  <c r="W146" i="20" s="1"/>
  <c r="W82" i="20"/>
  <c r="W89" i="20" s="1"/>
  <c r="W25" i="20"/>
  <c r="W32" i="20" s="1"/>
  <c r="W44" i="20"/>
  <c r="W51" i="20" s="1"/>
  <c r="Y21" i="17"/>
  <c r="X14" i="18" s="1"/>
  <c r="X47" i="18" s="1"/>
  <c r="X48" i="18" s="1"/>
  <c r="X50" i="18" s="1"/>
  <c r="AG218" i="17"/>
  <c r="AG219" i="17" s="1"/>
  <c r="AG10" i="17" s="1"/>
  <c r="AG11" i="17" s="1"/>
  <c r="AF218" i="17"/>
  <c r="AF219" i="17" s="1"/>
  <c r="AF10" i="17" s="1"/>
  <c r="AF11" i="17" s="1"/>
  <c r="CH99" i="20"/>
  <c r="V99" i="20"/>
  <c r="CH194" i="20"/>
  <c r="V194" i="20"/>
  <c r="J52" i="18"/>
  <c r="J24" i="21" s="1"/>
  <c r="J34" i="21" s="1"/>
  <c r="E27" i="19"/>
  <c r="CH270" i="20"/>
  <c r="V270" i="20"/>
  <c r="AJ94" i="17"/>
  <c r="AA14" i="21"/>
  <c r="CH156" i="20"/>
  <c r="V156" i="20"/>
  <c r="AG277" i="17"/>
  <c r="AG12" i="17"/>
  <c r="W52" i="18"/>
  <c r="W24" i="21" s="1"/>
  <c r="V61" i="20"/>
  <c r="CH61" i="20"/>
  <c r="BM52" i="9"/>
  <c r="K13" i="18"/>
  <c r="K46" i="18" s="1"/>
  <c r="K48" i="18" s="1"/>
  <c r="K50" i="18" s="1"/>
  <c r="AE117" i="17"/>
  <c r="AE114" i="17"/>
  <c r="AE111" i="17"/>
  <c r="AE108" i="17"/>
  <c r="AE105" i="17"/>
  <c r="AE102" i="17"/>
  <c r="AE99" i="17"/>
  <c r="AE118" i="17"/>
  <c r="AE109" i="17"/>
  <c r="AE110" i="17"/>
  <c r="AE115" i="17"/>
  <c r="AE116" i="17"/>
  <c r="AE112" i="17"/>
  <c r="AE107" i="17"/>
  <c r="AE106" i="17"/>
  <c r="AE104" i="17"/>
  <c r="AE103" i="17"/>
  <c r="AE101" i="17"/>
  <c r="AE100" i="17"/>
  <c r="AE113" i="17"/>
  <c r="AE8" i="17"/>
  <c r="CH80" i="20"/>
  <c r="V80" i="20"/>
  <c r="V289" i="20"/>
  <c r="CH289" i="20"/>
  <c r="BN52" i="9"/>
  <c r="L13" i="18"/>
  <c r="L46" i="18" s="1"/>
  <c r="L48" i="18" s="1"/>
  <c r="L50" i="18" s="1"/>
  <c r="M52" i="18" s="1"/>
  <c r="M24" i="21" s="1"/>
  <c r="M34" i="21" s="1"/>
  <c r="AC407" i="20"/>
  <c r="AC405" i="20" s="1"/>
  <c r="AC404" i="20" s="1"/>
  <c r="BL149" i="9"/>
  <c r="AE280" i="17" s="1"/>
  <c r="AE278" i="17" s="1"/>
  <c r="AE285" i="17" s="1"/>
  <c r="AE286" i="17" s="1"/>
  <c r="AE8" i="21"/>
  <c r="AF6" i="16"/>
  <c r="AA16" i="17"/>
  <c r="AA20" i="17" s="1"/>
  <c r="Z21" i="21" s="1"/>
  <c r="AA15" i="17"/>
  <c r="AF277" i="17"/>
  <c r="AF12" i="17"/>
  <c r="CH23" i="20"/>
  <c r="V23" i="20"/>
  <c r="V308" i="20"/>
  <c r="CH308" i="20"/>
  <c r="AH3" i="21" a="1"/>
  <c r="AH3" i="21" s="1"/>
  <c r="AC12" i="21"/>
  <c r="AF116" i="17" l="1"/>
  <c r="V18" i="21"/>
  <c r="V20" i="21" s="1"/>
  <c r="V22" i="21" s="1"/>
  <c r="V27" i="21" s="1"/>
  <c r="V30" i="21" s="1"/>
  <c r="V34" i="21"/>
  <c r="V38" i="21" s="1"/>
  <c r="B20" i="2"/>
  <c r="AF108" i="17"/>
  <c r="U393" i="20"/>
  <c r="CG384" i="20" s="1"/>
  <c r="U4" i="20"/>
  <c r="U384" i="20" s="1"/>
  <c r="U459" i="20" s="1"/>
  <c r="CG4" i="20"/>
  <c r="AF114" i="17"/>
  <c r="AF8" i="17"/>
  <c r="AF109" i="17"/>
  <c r="AF106" i="17"/>
  <c r="F42" i="19"/>
  <c r="F43" i="19" s="1"/>
  <c r="F47" i="19" s="1"/>
  <c r="F49" i="19"/>
  <c r="X44" i="20"/>
  <c r="X51" i="20" s="1"/>
  <c r="CJ42" i="20" s="1"/>
  <c r="X177" i="20"/>
  <c r="X184" i="20" s="1"/>
  <c r="X175" i="20" s="1"/>
  <c r="X82" i="20"/>
  <c r="X89" i="20" s="1"/>
  <c r="CJ80" i="20" s="1"/>
  <c r="X101" i="20"/>
  <c r="X108" i="20" s="1"/>
  <c r="CJ99" i="20" s="1"/>
  <c r="X253" i="20"/>
  <c r="X260" i="20" s="1"/>
  <c r="CJ251" i="20" s="1"/>
  <c r="AF117" i="17"/>
  <c r="X234" i="20"/>
  <c r="X241" i="20" s="1"/>
  <c r="X232" i="20" s="1"/>
  <c r="AF112" i="17"/>
  <c r="X215" i="20"/>
  <c r="X222" i="20" s="1"/>
  <c r="CJ213" i="20" s="1"/>
  <c r="X120" i="20"/>
  <c r="X127" i="20" s="1"/>
  <c r="CJ118" i="20" s="1"/>
  <c r="X158" i="20"/>
  <c r="X165" i="20" s="1"/>
  <c r="X156" i="20" s="1"/>
  <c r="AF102" i="17"/>
  <c r="Z21" i="17"/>
  <c r="Y14" i="18" s="1"/>
  <c r="Y47" i="18" s="1"/>
  <c r="Y48" i="18" s="1"/>
  <c r="Y50" i="18" s="1"/>
  <c r="Y52" i="18" s="1"/>
  <c r="Y24" i="21" s="1"/>
  <c r="X291" i="20"/>
  <c r="X298" i="20" s="1"/>
  <c r="X289" i="20" s="1"/>
  <c r="X63" i="20"/>
  <c r="X70" i="20" s="1"/>
  <c r="X61" i="20" s="1"/>
  <c r="X272" i="20"/>
  <c r="X279" i="20" s="1"/>
  <c r="X270" i="20" s="1"/>
  <c r="AF105" i="17"/>
  <c r="X6" i="20"/>
  <c r="X13" i="20" s="1"/>
  <c r="X310" i="20"/>
  <c r="X317" i="20" s="1"/>
  <c r="X308" i="20" s="1"/>
  <c r="AF111" i="17"/>
  <c r="X25" i="20"/>
  <c r="X32" i="20" s="1"/>
  <c r="CJ23" i="20" s="1"/>
  <c r="X367" i="20"/>
  <c r="X374" i="20" s="1"/>
  <c r="CJ365" i="20" s="1"/>
  <c r="AF115" i="17"/>
  <c r="X139" i="20"/>
  <c r="X146" i="20" s="1"/>
  <c r="X137" i="20" s="1"/>
  <c r="X348" i="20"/>
  <c r="X355" i="20" s="1"/>
  <c r="CJ346" i="20" s="1"/>
  <c r="AF101" i="17"/>
  <c r="X196" i="20"/>
  <c r="X203" i="20" s="1"/>
  <c r="CJ194" i="20" s="1"/>
  <c r="AF118" i="17"/>
  <c r="AF104" i="17"/>
  <c r="AF99" i="17"/>
  <c r="AF113" i="17"/>
  <c r="AF10" i="21"/>
  <c r="AF100" i="17"/>
  <c r="AF107" i="17"/>
  <c r="AF103" i="17"/>
  <c r="AD12" i="21"/>
  <c r="AD13" i="21" s="1"/>
  <c r="AD14" i="21" s="1"/>
  <c r="X52" i="18"/>
  <c r="X24" i="21" s="1"/>
  <c r="AH8" i="21" a="1"/>
  <c r="AH8" i="21" s="1"/>
  <c r="AI8" i="21" s="1"/>
  <c r="L52" i="18"/>
  <c r="L24" i="21" s="1"/>
  <c r="L34" i="21" s="1"/>
  <c r="K52" i="18"/>
  <c r="K24" i="21" s="1"/>
  <c r="K34" i="21" s="1"/>
  <c r="AE290" i="17"/>
  <c r="AE288" i="17"/>
  <c r="AE289" i="17"/>
  <c r="CJ327" i="20"/>
  <c r="X327" i="20"/>
  <c r="AC403" i="20"/>
  <c r="BI403" i="20" s="1"/>
  <c r="CI175" i="20"/>
  <c r="W175" i="20"/>
  <c r="CI194" i="20"/>
  <c r="W194" i="20"/>
  <c r="B48" i="21" a="1"/>
  <c r="B48" i="21" s="1"/>
  <c r="AE119" i="17"/>
  <c r="AE407" i="20"/>
  <c r="AE405" i="20" s="1"/>
  <c r="AE404" i="20" s="1"/>
  <c r="BN149" i="9"/>
  <c r="AG280" i="17" s="1"/>
  <c r="AG278" i="17" s="1"/>
  <c r="AG285" i="17" s="1"/>
  <c r="AG286" i="17" s="1"/>
  <c r="AI7" i="21"/>
  <c r="AE391" i="20"/>
  <c r="AE7" i="20"/>
  <c r="CH4" i="20"/>
  <c r="V4" i="20"/>
  <c r="V384" i="20" s="1"/>
  <c r="V459" i="20" s="1"/>
  <c r="V393" i="20"/>
  <c r="CH384" i="20" s="1"/>
  <c r="AD391" i="20"/>
  <c r="AD7" i="20"/>
  <c r="AC13" i="21"/>
  <c r="CI118" i="20"/>
  <c r="W118" i="20"/>
  <c r="AI23" i="21"/>
  <c r="AI16" i="21"/>
  <c r="AI11" i="21"/>
  <c r="AI26" i="21"/>
  <c r="AI6" i="21"/>
  <c r="AI25" i="21"/>
  <c r="E62" i="19"/>
  <c r="D19" i="21" s="1"/>
  <c r="E26" i="19"/>
  <c r="CI42" i="20"/>
  <c r="W42" i="20"/>
  <c r="CI23" i="20"/>
  <c r="W23" i="20"/>
  <c r="CI80" i="20"/>
  <c r="W80" i="20"/>
  <c r="CI270" i="20"/>
  <c r="W270" i="20"/>
  <c r="B49" i="21" a="1"/>
  <c r="B49" i="21" s="1"/>
  <c r="AH9" i="21" a="1"/>
  <c r="AH9" i="21" s="1"/>
  <c r="AI9" i="21" s="1"/>
  <c r="CI251" i="20"/>
  <c r="W251" i="20"/>
  <c r="AC292" i="17"/>
  <c r="AC13" i="17"/>
  <c r="AC14" i="17" s="1"/>
  <c r="AC18" i="17" s="1"/>
  <c r="CI137" i="20"/>
  <c r="W137" i="20"/>
  <c r="AD291" i="17"/>
  <c r="W5" i="21"/>
  <c r="CI213" i="20"/>
  <c r="W213" i="20"/>
  <c r="AD407" i="20"/>
  <c r="AD405" i="20" s="1"/>
  <c r="AD404" i="20" s="1"/>
  <c r="BM149" i="9"/>
  <c r="AF280" i="17" s="1"/>
  <c r="AF278" i="17" s="1"/>
  <c r="AF285" i="17" s="1"/>
  <c r="AF286" i="17" s="1"/>
  <c r="CI156" i="20"/>
  <c r="W156" i="20"/>
  <c r="BI4" i="20"/>
  <c r="AC387" i="20"/>
  <c r="BI384" i="20" s="1"/>
  <c r="BH403" i="20"/>
  <c r="AE10" i="21"/>
  <c r="CI289" i="20"/>
  <c r="W289" i="20"/>
  <c r="C20" i="21"/>
  <c r="CI99" i="20"/>
  <c r="W99" i="20"/>
  <c r="W308" i="20"/>
  <c r="CI308" i="20"/>
  <c r="W232" i="20"/>
  <c r="CI232" i="20"/>
  <c r="AF245" i="17"/>
  <c r="AF246" i="17" s="1"/>
  <c r="CI327" i="20"/>
  <c r="W327" i="20"/>
  <c r="AA17" i="17"/>
  <c r="AA19" i="17"/>
  <c r="AG117" i="17"/>
  <c r="AG114" i="17"/>
  <c r="AG111" i="17"/>
  <c r="AG108" i="17"/>
  <c r="AG105" i="17"/>
  <c r="AG102" i="17"/>
  <c r="AG99" i="17"/>
  <c r="AG115" i="17"/>
  <c r="AG110" i="17"/>
  <c r="AG116" i="17"/>
  <c r="AG112" i="17"/>
  <c r="AG106" i="17"/>
  <c r="AG103" i="17"/>
  <c r="AG100" i="17"/>
  <c r="AG107" i="17"/>
  <c r="AG104" i="17"/>
  <c r="AG101" i="17"/>
  <c r="AG118" i="17"/>
  <c r="AG8" i="17"/>
  <c r="AG113" i="17"/>
  <c r="AG109" i="17"/>
  <c r="W386" i="20"/>
  <c r="X4" i="21" s="1"/>
  <c r="X5" i="21" s="1"/>
  <c r="X15" i="21" s="1"/>
  <c r="W13" i="20"/>
  <c r="AG245" i="17"/>
  <c r="AG246" i="17" s="1"/>
  <c r="CI61" i="20"/>
  <c r="W61" i="20"/>
  <c r="AB16" i="17"/>
  <c r="AB20" i="17" s="1"/>
  <c r="AA21" i="21" s="1"/>
  <c r="AB15" i="17"/>
  <c r="BH459" i="20"/>
  <c r="X18" i="21" l="1"/>
  <c r="X20" i="21" s="1"/>
  <c r="X22" i="21" s="1"/>
  <c r="X27" i="21" s="1"/>
  <c r="X30" i="21" s="1"/>
  <c r="X34" i="21"/>
  <c r="X38" i="21" s="1"/>
  <c r="X42" i="20"/>
  <c r="X80" i="20"/>
  <c r="G49" i="19"/>
  <c r="G42" i="19"/>
  <c r="G43" i="19" s="1"/>
  <c r="G47" i="19" s="1"/>
  <c r="X251" i="20"/>
  <c r="X99" i="20"/>
  <c r="X118" i="20"/>
  <c r="CJ175" i="20"/>
  <c r="CJ156" i="20"/>
  <c r="X213" i="20"/>
  <c r="CJ137" i="20"/>
  <c r="CJ289" i="20"/>
  <c r="CJ232" i="20"/>
  <c r="CJ61" i="20"/>
  <c r="X386" i="20"/>
  <c r="Y4" i="21" s="1"/>
  <c r="Y5" i="21" s="1"/>
  <c r="Y15" i="21" s="1"/>
  <c r="CJ270" i="20"/>
  <c r="CJ308" i="20"/>
  <c r="X23" i="20"/>
  <c r="AF119" i="17"/>
  <c r="X194" i="20"/>
  <c r="AE291" i="17"/>
  <c r="AE292" i="17" s="1"/>
  <c r="AF290" i="17"/>
  <c r="AF288" i="17"/>
  <c r="AF289" i="17"/>
  <c r="AG290" i="17"/>
  <c r="AG288" i="17"/>
  <c r="AG289" i="17"/>
  <c r="BK4" i="20"/>
  <c r="AE387" i="20"/>
  <c r="BK384" i="20" s="1"/>
  <c r="AC14" i="21"/>
  <c r="CJ4" i="20"/>
  <c r="X4" i="20"/>
  <c r="X393" i="20"/>
  <c r="CJ384" i="20" s="1"/>
  <c r="E61" i="19"/>
  <c r="D17" i="21" s="1"/>
  <c r="E34" i="19"/>
  <c r="BJ4" i="20"/>
  <c r="AD387" i="20"/>
  <c r="BJ384" i="20" s="1"/>
  <c r="AF12" i="21"/>
  <c r="AF13" i="21" s="1"/>
  <c r="AF14" i="21" s="1"/>
  <c r="BI459" i="20"/>
  <c r="C22" i="21"/>
  <c r="C27" i="21" s="1"/>
  <c r="W15" i="21"/>
  <c r="W34" i="21" s="1"/>
  <c r="Y367" i="20"/>
  <c r="Y374" i="20" s="1"/>
  <c r="Y348" i="20"/>
  <c r="Y355" i="20" s="1"/>
  <c r="CK346" i="20" s="1"/>
  <c r="Y291" i="20"/>
  <c r="Y298" i="20" s="1"/>
  <c r="Y329" i="20"/>
  <c r="Y336" i="20" s="1"/>
  <c r="Y310" i="20"/>
  <c r="Y317" i="20" s="1"/>
  <c r="Y272" i="20"/>
  <c r="Y279" i="20" s="1"/>
  <c r="Y253" i="20"/>
  <c r="Y260" i="20" s="1"/>
  <c r="Y234" i="20"/>
  <c r="Y241" i="20" s="1"/>
  <c r="Y215" i="20"/>
  <c r="Y222" i="20" s="1"/>
  <c r="Y177" i="20"/>
  <c r="Y184" i="20" s="1"/>
  <c r="Y196" i="20"/>
  <c r="Y203" i="20" s="1"/>
  <c r="Y158" i="20"/>
  <c r="Y165" i="20" s="1"/>
  <c r="Y120" i="20"/>
  <c r="Y127" i="20" s="1"/>
  <c r="Y25" i="20"/>
  <c r="Y32" i="20" s="1"/>
  <c r="Y139" i="20"/>
  <c r="Y146" i="20" s="1"/>
  <c r="Y82" i="20"/>
  <c r="Y89" i="20" s="1"/>
  <c r="Y44" i="20"/>
  <c r="Y51" i="20" s="1"/>
  <c r="Y6" i="20"/>
  <c r="Y101" i="20"/>
  <c r="Y108" i="20" s="1"/>
  <c r="Y63" i="20"/>
  <c r="Y70" i="20" s="1"/>
  <c r="AA21" i="17"/>
  <c r="Z14" i="18" s="1"/>
  <c r="Z47" i="18" s="1"/>
  <c r="Z48" i="18" s="1"/>
  <c r="Z50" i="18" s="1"/>
  <c r="AE403" i="20"/>
  <c r="AD292" i="17"/>
  <c r="AD13" i="17"/>
  <c r="AD14" i="17" s="1"/>
  <c r="AD18" i="17" s="1"/>
  <c r="CI4" i="20"/>
  <c r="W393" i="20"/>
  <c r="CI384" i="20" s="1"/>
  <c r="W4" i="20"/>
  <c r="W384" i="20" s="1"/>
  <c r="W459" i="20" s="1"/>
  <c r="AE12" i="21"/>
  <c r="AC16" i="17"/>
  <c r="AC20" i="17" s="1"/>
  <c r="AB21" i="21" s="1"/>
  <c r="AC15" i="17"/>
  <c r="AD403" i="20"/>
  <c r="AG119" i="17"/>
  <c r="AH10" i="21" a="1"/>
  <c r="AH10" i="21" s="1"/>
  <c r="AI10" i="21" s="1"/>
  <c r="AB17" i="17"/>
  <c r="AB19" i="17"/>
  <c r="Y18" i="21" l="1"/>
  <c r="Y20" i="21" s="1"/>
  <c r="Y22" i="21" s="1"/>
  <c r="Y27" i="21" s="1"/>
  <c r="Y30" i="21" s="1"/>
  <c r="Y34" i="21"/>
  <c r="Y38" i="21" s="1"/>
  <c r="BK403" i="20"/>
  <c r="H49" i="19"/>
  <c r="H42" i="19"/>
  <c r="H43" i="19" s="1"/>
  <c r="H47" i="19" s="1"/>
  <c r="X384" i="20"/>
  <c r="X459" i="20" s="1"/>
  <c r="AE13" i="17"/>
  <c r="AE14" i="17" s="1"/>
  <c r="AE18" i="17" s="1"/>
  <c r="AE16" i="17" s="1"/>
  <c r="AE20" i="17" s="1"/>
  <c r="AD21" i="21" s="1"/>
  <c r="BJ459" i="20"/>
  <c r="AG291" i="17"/>
  <c r="AG292" i="17" s="1"/>
  <c r="BJ403" i="20"/>
  <c r="BK459" i="20"/>
  <c r="CK194" i="20"/>
  <c r="Y194" i="20"/>
  <c r="W18" i="21"/>
  <c r="AC17" i="17"/>
  <c r="AC19" i="17"/>
  <c r="CK175" i="20"/>
  <c r="Y175" i="20"/>
  <c r="Y213" i="20"/>
  <c r="CK213" i="20"/>
  <c r="CK61" i="20"/>
  <c r="Y61" i="20"/>
  <c r="CK232" i="20"/>
  <c r="Y232" i="20"/>
  <c r="CK251" i="20"/>
  <c r="Y251" i="20"/>
  <c r="Y386" i="20"/>
  <c r="Z4" i="21" s="1"/>
  <c r="Z5" i="21" s="1"/>
  <c r="Y13" i="20"/>
  <c r="Z367" i="20"/>
  <c r="Z374" i="20" s="1"/>
  <c r="CL365" i="20" s="1"/>
  <c r="Z310" i="20"/>
  <c r="Z317" i="20" s="1"/>
  <c r="Z329" i="20"/>
  <c r="Z336" i="20" s="1"/>
  <c r="Z348" i="20"/>
  <c r="Z355" i="20" s="1"/>
  <c r="CL346" i="20" s="1"/>
  <c r="Z291" i="20"/>
  <c r="Z298" i="20" s="1"/>
  <c r="Z272" i="20"/>
  <c r="Z279" i="20" s="1"/>
  <c r="Z253" i="20"/>
  <c r="Z260" i="20" s="1"/>
  <c r="Z196" i="20"/>
  <c r="Z203" i="20" s="1"/>
  <c r="Z234" i="20"/>
  <c r="Z241" i="20" s="1"/>
  <c r="Z158" i="20"/>
  <c r="Z165" i="20" s="1"/>
  <c r="Z139" i="20"/>
  <c r="Z146" i="20" s="1"/>
  <c r="Z215" i="20"/>
  <c r="Z222" i="20" s="1"/>
  <c r="Z177" i="20"/>
  <c r="Z184" i="20" s="1"/>
  <c r="Z82" i="20"/>
  <c r="Z89" i="20" s="1"/>
  <c r="Z120" i="20"/>
  <c r="Z127" i="20" s="1"/>
  <c r="Z25" i="20"/>
  <c r="Z32" i="20" s="1"/>
  <c r="Z44" i="20"/>
  <c r="Z51" i="20" s="1"/>
  <c r="Z101" i="20"/>
  <c r="Z108" i="20" s="1"/>
  <c r="Z6" i="20"/>
  <c r="Z63" i="20"/>
  <c r="Z70" i="20" s="1"/>
  <c r="AB21" i="17"/>
  <c r="AA14" i="18" s="1"/>
  <c r="AA47" i="18" s="1"/>
  <c r="AA48" i="18" s="1"/>
  <c r="AA50" i="18" s="1"/>
  <c r="AA52" i="18" s="1"/>
  <c r="AA24" i="21" s="1"/>
  <c r="CK42" i="20"/>
  <c r="Y42" i="20"/>
  <c r="CK308" i="20"/>
  <c r="Y308" i="20"/>
  <c r="CK156" i="20"/>
  <c r="Y156" i="20"/>
  <c r="CK99" i="20"/>
  <c r="Y99" i="20"/>
  <c r="CK270" i="20"/>
  <c r="Y270" i="20"/>
  <c r="CK80" i="20"/>
  <c r="Y80" i="20"/>
  <c r="CK327" i="20"/>
  <c r="Y327" i="20"/>
  <c r="F27" i="19"/>
  <c r="AE13" i="21"/>
  <c r="AH12" i="21" a="1"/>
  <c r="AH12" i="21" s="1"/>
  <c r="AI12" i="21" s="1"/>
  <c r="AD16" i="17"/>
  <c r="AD20" i="17" s="1"/>
  <c r="AC21" i="21" s="1"/>
  <c r="AD15" i="17"/>
  <c r="Y137" i="20"/>
  <c r="CK137" i="20"/>
  <c r="CK289" i="20"/>
  <c r="Y289" i="20"/>
  <c r="D18" i="21"/>
  <c r="D38" i="21" s="1"/>
  <c r="Z52" i="18"/>
  <c r="Z24" i="21" s="1"/>
  <c r="AF291" i="17"/>
  <c r="CK23" i="20"/>
  <c r="Y23" i="20"/>
  <c r="CK118" i="20"/>
  <c r="Y118" i="20"/>
  <c r="CK365" i="20"/>
  <c r="Y397" i="20"/>
  <c r="AE15" i="17" l="1"/>
  <c r="AE17" i="17" s="1"/>
  <c r="I42" i="19"/>
  <c r="I43" i="19" s="1"/>
  <c r="I47" i="19" s="1"/>
  <c r="I49" i="19"/>
  <c r="AG13" i="17"/>
  <c r="AG14" i="17" s="1"/>
  <c r="AG18" i="17" s="1"/>
  <c r="AG15" i="17" s="1"/>
  <c r="W20" i="21"/>
  <c r="W22" i="21" s="1"/>
  <c r="W27" i="21" s="1"/>
  <c r="W30" i="21" s="1"/>
  <c r="W38" i="21"/>
  <c r="CL156" i="20"/>
  <c r="Z156" i="20"/>
  <c r="AA367" i="20"/>
  <c r="AA374" i="20" s="1"/>
  <c r="CM365" i="20" s="1"/>
  <c r="AA310" i="20"/>
  <c r="AA317" i="20" s="1"/>
  <c r="AA348" i="20"/>
  <c r="AA355" i="20" s="1"/>
  <c r="CM346" i="20" s="1"/>
  <c r="AA329" i="20"/>
  <c r="AA336" i="20" s="1"/>
  <c r="AA234" i="20"/>
  <c r="AA241" i="20" s="1"/>
  <c r="AA291" i="20"/>
  <c r="AA298" i="20" s="1"/>
  <c r="AA272" i="20"/>
  <c r="AA279" i="20" s="1"/>
  <c r="AA253" i="20"/>
  <c r="AA260" i="20" s="1"/>
  <c r="AA177" i="20"/>
  <c r="AA184" i="20" s="1"/>
  <c r="AA196" i="20"/>
  <c r="AA203" i="20" s="1"/>
  <c r="AA215" i="20"/>
  <c r="AA222" i="20" s="1"/>
  <c r="AA82" i="20"/>
  <c r="AA89" i="20" s="1"/>
  <c r="AA158" i="20"/>
  <c r="AA165" i="20" s="1"/>
  <c r="AA139" i="20"/>
  <c r="AA146" i="20" s="1"/>
  <c r="AA44" i="20"/>
  <c r="AA51" i="20" s="1"/>
  <c r="AA63" i="20"/>
  <c r="AA70" i="20" s="1"/>
  <c r="AA120" i="20"/>
  <c r="AA127" i="20" s="1"/>
  <c r="AA6" i="20"/>
  <c r="AA101" i="20"/>
  <c r="AA108" i="20" s="1"/>
  <c r="AA25" i="20"/>
  <c r="AA32" i="20" s="1"/>
  <c r="AC21" i="17"/>
  <c r="AB14" i="18" s="1"/>
  <c r="AB47" i="18" s="1"/>
  <c r="AB48" i="18" s="1"/>
  <c r="AB50" i="18" s="1"/>
  <c r="AB52" i="18" s="1"/>
  <c r="AB24" i="21" s="1"/>
  <c r="CL175" i="20"/>
  <c r="Z175" i="20"/>
  <c r="CL137" i="20"/>
  <c r="Z137" i="20"/>
  <c r="AD17" i="17"/>
  <c r="AD19" i="17"/>
  <c r="CL232" i="20"/>
  <c r="Z232" i="20"/>
  <c r="CK4" i="20"/>
  <c r="Y4" i="20"/>
  <c r="Y384" i="20" s="1"/>
  <c r="Y459" i="20" s="1"/>
  <c r="Y393" i="20"/>
  <c r="CK384" i="20" s="1"/>
  <c r="AF292" i="17"/>
  <c r="AF13" i="17"/>
  <c r="AF14" i="17" s="1"/>
  <c r="AF18" i="17" s="1"/>
  <c r="CL194" i="20"/>
  <c r="Z194" i="20"/>
  <c r="CL251" i="20"/>
  <c r="Z251" i="20"/>
  <c r="Z61" i="20"/>
  <c r="CL61" i="20"/>
  <c r="Z386" i="20"/>
  <c r="AA4" i="21" s="1"/>
  <c r="AA5" i="21" s="1"/>
  <c r="AA15" i="21" s="1"/>
  <c r="Z13" i="20"/>
  <c r="C30" i="21"/>
  <c r="C28" i="21"/>
  <c r="AE14" i="21"/>
  <c r="B25" i="2" s="1"/>
  <c r="AH13" i="21" a="1"/>
  <c r="AH13" i="21" s="1"/>
  <c r="AI13" i="21" s="1"/>
  <c r="CL99" i="20"/>
  <c r="Z99" i="20"/>
  <c r="CL270" i="20"/>
  <c r="Z270" i="20"/>
  <c r="CL289" i="20"/>
  <c r="Z289" i="20"/>
  <c r="Z15" i="21"/>
  <c r="Z34" i="21" s="1"/>
  <c r="CL42" i="20"/>
  <c r="Z42" i="20"/>
  <c r="F62" i="19"/>
  <c r="E19" i="21" s="1"/>
  <c r="F26" i="19"/>
  <c r="CL23" i="20"/>
  <c r="Z23" i="20"/>
  <c r="Z213" i="20"/>
  <c r="CL213" i="20"/>
  <c r="CL327" i="20"/>
  <c r="Z327" i="20"/>
  <c r="CL118" i="20"/>
  <c r="Z118" i="20"/>
  <c r="D20" i="21"/>
  <c r="CL80" i="20"/>
  <c r="Z80" i="20"/>
  <c r="CL308" i="20"/>
  <c r="Z308" i="20"/>
  <c r="AA18" i="21" l="1"/>
  <c r="AA20" i="21" s="1"/>
  <c r="AA22" i="21" s="1"/>
  <c r="AA27" i="21" s="1"/>
  <c r="AA30" i="21" s="1"/>
  <c r="AA34" i="21"/>
  <c r="AA38" i="21" s="1"/>
  <c r="AE19" i="17"/>
  <c r="AC272" i="20" s="1"/>
  <c r="AC279" i="20" s="1"/>
  <c r="AG16" i="17"/>
  <c r="AG20" i="17" s="1"/>
  <c r="AF21" i="21" s="1"/>
  <c r="J49" i="19"/>
  <c r="J42" i="19"/>
  <c r="J43" i="19" s="1"/>
  <c r="J47" i="19" s="1"/>
  <c r="CM194" i="20"/>
  <c r="AA194" i="20"/>
  <c r="CM99" i="20"/>
  <c r="AA99" i="20"/>
  <c r="CM270" i="20"/>
  <c r="AA270" i="20"/>
  <c r="CM251" i="20"/>
  <c r="AA251" i="20"/>
  <c r="Z18" i="21"/>
  <c r="AG19" i="17"/>
  <c r="AA386" i="20"/>
  <c r="AB4" i="21" s="1"/>
  <c r="AB5" i="21" s="1"/>
  <c r="AB15" i="21" s="1"/>
  <c r="AA13" i="20"/>
  <c r="CM289" i="20"/>
  <c r="AA289" i="20"/>
  <c r="CM232" i="20"/>
  <c r="AA232" i="20"/>
  <c r="CM23" i="20"/>
  <c r="AA23" i="20"/>
  <c r="CM61" i="20"/>
  <c r="AA61" i="20"/>
  <c r="CM327" i="20"/>
  <c r="AA327" i="20"/>
  <c r="CM118" i="20"/>
  <c r="AA118" i="20"/>
  <c r="AB367" i="20"/>
  <c r="AB374" i="20" s="1"/>
  <c r="CN365" i="20" s="1"/>
  <c r="AB348" i="20"/>
  <c r="AB355" i="20" s="1"/>
  <c r="CN346" i="20" s="1"/>
  <c r="AB329" i="20"/>
  <c r="AB336" i="20" s="1"/>
  <c r="AB253" i="20"/>
  <c r="AB260" i="20" s="1"/>
  <c r="AB310" i="20"/>
  <c r="AB317" i="20" s="1"/>
  <c r="AB272" i="20"/>
  <c r="AB279" i="20" s="1"/>
  <c r="AB234" i="20"/>
  <c r="AB241" i="20" s="1"/>
  <c r="AB291" i="20"/>
  <c r="AB298" i="20" s="1"/>
  <c r="AB158" i="20"/>
  <c r="AB165" i="20" s="1"/>
  <c r="AB196" i="20"/>
  <c r="AB203" i="20" s="1"/>
  <c r="AB215" i="20"/>
  <c r="AB222" i="20" s="1"/>
  <c r="AB82" i="20"/>
  <c r="AB89" i="20" s="1"/>
  <c r="AB177" i="20"/>
  <c r="AB184" i="20" s="1"/>
  <c r="AB139" i="20"/>
  <c r="AB146" i="20" s="1"/>
  <c r="AB44" i="20"/>
  <c r="AB51" i="20" s="1"/>
  <c r="AB101" i="20"/>
  <c r="AB108" i="20" s="1"/>
  <c r="AB120" i="20"/>
  <c r="AB127" i="20" s="1"/>
  <c r="AB6" i="20"/>
  <c r="AB63" i="20"/>
  <c r="AB70" i="20" s="1"/>
  <c r="AB25" i="20"/>
  <c r="AB32" i="20" s="1"/>
  <c r="AD21" i="17"/>
  <c r="AC14" i="18" s="1"/>
  <c r="AC47" i="18" s="1"/>
  <c r="AC48" i="18" s="1"/>
  <c r="AC50" i="18" s="1"/>
  <c r="CM42" i="20"/>
  <c r="AA42" i="20"/>
  <c r="CM175" i="20"/>
  <c r="AA175" i="20"/>
  <c r="CM137" i="20"/>
  <c r="AA137" i="20"/>
  <c r="CM308" i="20"/>
  <c r="AA308" i="20"/>
  <c r="CM156" i="20"/>
  <c r="AA156" i="20"/>
  <c r="D22" i="21"/>
  <c r="F61" i="19"/>
  <c r="E17" i="21" s="1"/>
  <c r="F34" i="19"/>
  <c r="C31" i="21"/>
  <c r="CM80" i="20"/>
  <c r="AA80" i="20"/>
  <c r="AH14" i="21" a="1"/>
  <c r="AH14" i="21" s="1"/>
  <c r="AI14" i="21" s="1"/>
  <c r="CL4" i="20"/>
  <c r="Z4" i="20"/>
  <c r="Z384" i="20" s="1"/>
  <c r="Z459" i="20" s="1"/>
  <c r="Z393" i="20"/>
  <c r="CL384" i="20" s="1"/>
  <c r="AF15" i="17"/>
  <c r="AF16" i="17"/>
  <c r="AF20" i="17" s="1"/>
  <c r="AE21" i="21" s="1"/>
  <c r="AA213" i="20"/>
  <c r="CM213" i="20"/>
  <c r="AB18" i="21" l="1"/>
  <c r="AB20" i="21" s="1"/>
  <c r="AB22" i="21" s="1"/>
  <c r="AB27" i="21" s="1"/>
  <c r="AB30" i="21" s="1"/>
  <c r="AB34" i="21"/>
  <c r="AB38" i="21" s="1"/>
  <c r="AC367" i="20"/>
  <c r="AC374" i="20" s="1"/>
  <c r="CO365" i="20" s="1"/>
  <c r="AC177" i="20"/>
  <c r="AC184" i="20" s="1"/>
  <c r="AC175" i="20" s="1"/>
  <c r="AC139" i="20"/>
  <c r="AC146" i="20" s="1"/>
  <c r="CO137" i="20" s="1"/>
  <c r="AC82" i="20"/>
  <c r="AC89" i="20" s="1"/>
  <c r="CO80" i="20" s="1"/>
  <c r="AC291" i="20"/>
  <c r="AC298" i="20" s="1"/>
  <c r="CO289" i="20" s="1"/>
  <c r="AC348" i="20"/>
  <c r="AC355" i="20" s="1"/>
  <c r="CO346" i="20" s="1"/>
  <c r="AE21" i="17"/>
  <c r="AD14" i="18" s="1"/>
  <c r="AD47" i="18" s="1"/>
  <c r="AD48" i="18" s="1"/>
  <c r="AD50" i="18" s="1"/>
  <c r="AD52" i="18" s="1"/>
  <c r="AD24" i="21" s="1"/>
  <c r="AC196" i="20"/>
  <c r="AC203" i="20" s="1"/>
  <c r="AC194" i="20" s="1"/>
  <c r="AC158" i="20"/>
  <c r="AC165" i="20" s="1"/>
  <c r="CO156" i="20" s="1"/>
  <c r="AC6" i="20"/>
  <c r="AC13" i="20" s="1"/>
  <c r="AC234" i="20"/>
  <c r="AC241" i="20" s="1"/>
  <c r="AC232" i="20" s="1"/>
  <c r="AC25" i="20"/>
  <c r="AC32" i="20" s="1"/>
  <c r="CO23" i="20" s="1"/>
  <c r="AC329" i="20"/>
  <c r="AC336" i="20" s="1"/>
  <c r="CO327" i="20" s="1"/>
  <c r="AC63" i="20"/>
  <c r="AC70" i="20" s="1"/>
  <c r="AC61" i="20" s="1"/>
  <c r="AC310" i="20"/>
  <c r="AC317" i="20" s="1"/>
  <c r="CO308" i="20" s="1"/>
  <c r="AC215" i="20"/>
  <c r="AC222" i="20" s="1"/>
  <c r="CO213" i="20" s="1"/>
  <c r="AC120" i="20"/>
  <c r="AC127" i="20" s="1"/>
  <c r="CO118" i="20" s="1"/>
  <c r="AC253" i="20"/>
  <c r="AC260" i="20" s="1"/>
  <c r="CO251" i="20" s="1"/>
  <c r="AC44" i="20"/>
  <c r="AC51" i="20" s="1"/>
  <c r="CO42" i="20" s="1"/>
  <c r="AC101" i="20"/>
  <c r="AC108" i="20" s="1"/>
  <c r="CO99" i="20" s="1"/>
  <c r="AH21" i="21" a="1"/>
  <c r="AH21" i="21" s="1"/>
  <c r="AI21" i="21" s="1"/>
  <c r="AG17" i="17"/>
  <c r="K42" i="19"/>
  <c r="K43" i="19" s="1"/>
  <c r="K47" i="19" s="1"/>
  <c r="K49" i="19"/>
  <c r="AC52" i="18"/>
  <c r="AC24" i="21" s="1"/>
  <c r="Z20" i="21"/>
  <c r="Z22" i="21" s="1"/>
  <c r="Z27" i="21" s="1"/>
  <c r="Z30" i="21" s="1"/>
  <c r="Z38" i="21"/>
  <c r="AB213" i="20"/>
  <c r="CN213" i="20"/>
  <c r="CN194" i="20"/>
  <c r="AB194" i="20"/>
  <c r="AC398" i="20"/>
  <c r="CN137" i="20"/>
  <c r="AB137" i="20"/>
  <c r="D27" i="21"/>
  <c r="CN156" i="20"/>
  <c r="AB156" i="20"/>
  <c r="E18" i="21"/>
  <c r="E38" i="21" s="1"/>
  <c r="CN23" i="20"/>
  <c r="AB23" i="20"/>
  <c r="CN289" i="20"/>
  <c r="AB289" i="20"/>
  <c r="CN270" i="20"/>
  <c r="AB270" i="20"/>
  <c r="CN61" i="20"/>
  <c r="AB61" i="20"/>
  <c r="AB386" i="20"/>
  <c r="AC4" i="21" s="1"/>
  <c r="AC5" i="21" s="1"/>
  <c r="AC15" i="21" s="1"/>
  <c r="AB13" i="20"/>
  <c r="CN118" i="20"/>
  <c r="AB118" i="20"/>
  <c r="CN308" i="20"/>
  <c r="AB308" i="20"/>
  <c r="CN232" i="20"/>
  <c r="AB232" i="20"/>
  <c r="AF17" i="17"/>
  <c r="AF19" i="17"/>
  <c r="CN99" i="20"/>
  <c r="AB99" i="20"/>
  <c r="CN251" i="20"/>
  <c r="AB251" i="20"/>
  <c r="CN42" i="20"/>
  <c r="AB42" i="20"/>
  <c r="CN327" i="20"/>
  <c r="AB327" i="20"/>
  <c r="CO270" i="20"/>
  <c r="AC270" i="20"/>
  <c r="CM4" i="20"/>
  <c r="AA4" i="20"/>
  <c r="AA384" i="20" s="1"/>
  <c r="AA459" i="20" s="1"/>
  <c r="AA393" i="20"/>
  <c r="CM384" i="20" s="1"/>
  <c r="CN175" i="20"/>
  <c r="AB175" i="20"/>
  <c r="AE348" i="20"/>
  <c r="AE355" i="20" s="1"/>
  <c r="CQ346" i="20" s="1"/>
  <c r="AE310" i="20"/>
  <c r="AE317" i="20" s="1"/>
  <c r="AE272" i="20"/>
  <c r="AE279" i="20" s="1"/>
  <c r="AE367" i="20"/>
  <c r="AE374" i="20" s="1"/>
  <c r="AE291" i="20"/>
  <c r="AE298" i="20" s="1"/>
  <c r="AE329" i="20"/>
  <c r="AE336" i="20" s="1"/>
  <c r="AE253" i="20"/>
  <c r="AE260" i="20" s="1"/>
  <c r="AE215" i="20"/>
  <c r="AE222" i="20" s="1"/>
  <c r="AE234" i="20"/>
  <c r="AE241" i="20" s="1"/>
  <c r="AE196" i="20"/>
  <c r="AE203" i="20" s="1"/>
  <c r="AE158" i="20"/>
  <c r="AE165" i="20" s="1"/>
  <c r="AE139" i="20"/>
  <c r="AE146" i="20" s="1"/>
  <c r="AE101" i="20"/>
  <c r="AE108" i="20" s="1"/>
  <c r="AE177" i="20"/>
  <c r="AE184" i="20" s="1"/>
  <c r="AE82" i="20"/>
  <c r="AE89" i="20" s="1"/>
  <c r="AE63" i="20"/>
  <c r="AE70" i="20" s="1"/>
  <c r="AE120" i="20"/>
  <c r="AE127" i="20" s="1"/>
  <c r="AE6" i="20"/>
  <c r="AE25" i="20"/>
  <c r="AE32" i="20" s="1"/>
  <c r="AE44" i="20"/>
  <c r="AE51" i="20" s="1"/>
  <c r="AG21" i="17"/>
  <c r="AF14" i="18" s="1"/>
  <c r="AF47" i="18" s="1"/>
  <c r="AF48" i="18" s="1"/>
  <c r="AF50" i="18" s="1"/>
  <c r="G27" i="19"/>
  <c r="CN80" i="20"/>
  <c r="AB80" i="20"/>
  <c r="AC18" i="21" l="1"/>
  <c r="AC20" i="21" s="1"/>
  <c r="AC22" i="21" s="1"/>
  <c r="AC27" i="21" s="1"/>
  <c r="AC30" i="21" s="1"/>
  <c r="AC34" i="21"/>
  <c r="AC38" i="21" s="1"/>
  <c r="CO194" i="20"/>
  <c r="AC118" i="20"/>
  <c r="AC137" i="20"/>
  <c r="AC156" i="20"/>
  <c r="CO175" i="20"/>
  <c r="AC80" i="20"/>
  <c r="AC213" i="20"/>
  <c r="AC289" i="20"/>
  <c r="AC42" i="20"/>
  <c r="CO232" i="20"/>
  <c r="AC327" i="20"/>
  <c r="AC386" i="20"/>
  <c r="AD4" i="21" s="1"/>
  <c r="AD5" i="21" s="1"/>
  <c r="AD15" i="21" s="1"/>
  <c r="CO61" i="20"/>
  <c r="AC308" i="20"/>
  <c r="AC23" i="20"/>
  <c r="AC99" i="20"/>
  <c r="AC251" i="20"/>
  <c r="L42" i="19"/>
  <c r="L43" i="19" s="1"/>
  <c r="L47" i="19" s="1"/>
  <c r="L49" i="19"/>
  <c r="CQ118" i="20"/>
  <c r="AE118" i="20"/>
  <c r="CQ270" i="20"/>
  <c r="AE270" i="20"/>
  <c r="AC4" i="20"/>
  <c r="CO4" i="20"/>
  <c r="AC393" i="20"/>
  <c r="CO384" i="20" s="1"/>
  <c r="E20" i="21"/>
  <c r="CQ308" i="20"/>
  <c r="AE308" i="20"/>
  <c r="CQ99" i="20"/>
  <c r="AE99" i="20"/>
  <c r="CQ175" i="20"/>
  <c r="AE175" i="20"/>
  <c r="G62" i="19"/>
  <c r="F19" i="21" s="1"/>
  <c r="G26" i="19"/>
  <c r="CQ137" i="20"/>
  <c r="AE137" i="20"/>
  <c r="CQ365" i="20"/>
  <c r="AE394" i="20"/>
  <c r="CQ194" i="20"/>
  <c r="AE194" i="20"/>
  <c r="CQ80" i="20"/>
  <c r="AE80" i="20"/>
  <c r="CQ232" i="20"/>
  <c r="AE232" i="20"/>
  <c r="AD367" i="20"/>
  <c r="AD374" i="20" s="1"/>
  <c r="AD348" i="20"/>
  <c r="AD355" i="20" s="1"/>
  <c r="CP346" i="20" s="1"/>
  <c r="AD329" i="20"/>
  <c r="AD336" i="20" s="1"/>
  <c r="AD310" i="20"/>
  <c r="AD317" i="20" s="1"/>
  <c r="AD291" i="20"/>
  <c r="AD298" i="20" s="1"/>
  <c r="AD272" i="20"/>
  <c r="AD279" i="20" s="1"/>
  <c r="AD253" i="20"/>
  <c r="AD260" i="20" s="1"/>
  <c r="AD215" i="20"/>
  <c r="AD222" i="20" s="1"/>
  <c r="AD234" i="20"/>
  <c r="AD241" i="20" s="1"/>
  <c r="AD120" i="20"/>
  <c r="AD127" i="20" s="1"/>
  <c r="AD196" i="20"/>
  <c r="AD203" i="20" s="1"/>
  <c r="AD158" i="20"/>
  <c r="AD165" i="20" s="1"/>
  <c r="AD177" i="20"/>
  <c r="AD184" i="20" s="1"/>
  <c r="AD139" i="20"/>
  <c r="AD146" i="20" s="1"/>
  <c r="AD101" i="20"/>
  <c r="AD108" i="20" s="1"/>
  <c r="AD82" i="20"/>
  <c r="AD89" i="20" s="1"/>
  <c r="AD63" i="20"/>
  <c r="AD70" i="20" s="1"/>
  <c r="AD6" i="20"/>
  <c r="AD25" i="20"/>
  <c r="AD32" i="20" s="1"/>
  <c r="AD44" i="20"/>
  <c r="AD51" i="20" s="1"/>
  <c r="AF21" i="17"/>
  <c r="AE14" i="18" s="1"/>
  <c r="AE47" i="18" s="1"/>
  <c r="AE48" i="18" s="1"/>
  <c r="AE50" i="18" s="1"/>
  <c r="CN4" i="20"/>
  <c r="AB4" i="20"/>
  <c r="AB384" i="20" s="1"/>
  <c r="AB459" i="20" s="1"/>
  <c r="AB393" i="20"/>
  <c r="CN384" i="20" s="1"/>
  <c r="D30" i="21"/>
  <c r="D28" i="21"/>
  <c r="D29" i="21" s="1"/>
  <c r="AE61" i="20"/>
  <c r="CQ61" i="20"/>
  <c r="CQ156" i="20"/>
  <c r="AE156" i="20"/>
  <c r="CQ42" i="20"/>
  <c r="AE42" i="20"/>
  <c r="CQ23" i="20"/>
  <c r="AE23" i="20"/>
  <c r="CQ251" i="20"/>
  <c r="AE251" i="20"/>
  <c r="CQ289" i="20"/>
  <c r="AE289" i="20"/>
  <c r="CQ213" i="20"/>
  <c r="AE213" i="20"/>
  <c r="AE386" i="20"/>
  <c r="AF4" i="21" s="1"/>
  <c r="AE13" i="20"/>
  <c r="CQ327" i="20"/>
  <c r="AE327" i="20"/>
  <c r="AD18" i="21" l="1"/>
  <c r="AD20" i="21" s="1"/>
  <c r="AD22" i="21" s="1"/>
  <c r="AD27" i="21" s="1"/>
  <c r="AD30" i="21" s="1"/>
  <c r="AD34" i="21"/>
  <c r="AC384" i="20"/>
  <c r="AC459" i="20" s="1"/>
  <c r="M42" i="19"/>
  <c r="M43" i="19" s="1"/>
  <c r="M47" i="19" s="1"/>
  <c r="M49" i="19"/>
  <c r="AF52" i="18"/>
  <c r="AE52" i="18"/>
  <c r="AE24" i="21" s="1"/>
  <c r="AF24" i="21" s="1"/>
  <c r="AH24" i="21" s="1" a="1"/>
  <c r="AH24" i="21" s="1"/>
  <c r="AI24" i="21" s="1"/>
  <c r="CP232" i="20"/>
  <c r="AD232" i="20"/>
  <c r="CP42" i="20"/>
  <c r="AD42" i="20"/>
  <c r="CP213" i="20"/>
  <c r="AD213" i="20"/>
  <c r="CP23" i="20"/>
  <c r="AD23" i="20"/>
  <c r="CP251" i="20"/>
  <c r="AD251" i="20"/>
  <c r="CP270" i="20"/>
  <c r="AD270" i="20"/>
  <c r="AD61" i="20"/>
  <c r="CP61" i="20"/>
  <c r="AD289" i="20"/>
  <c r="CP289" i="20"/>
  <c r="E22" i="21"/>
  <c r="AF5" i="21"/>
  <c r="CP99" i="20"/>
  <c r="AD99" i="20"/>
  <c r="CP327" i="20"/>
  <c r="AD327" i="20"/>
  <c r="G61" i="19"/>
  <c r="F17" i="21" s="1"/>
  <c r="G34" i="19"/>
  <c r="AD386" i="20"/>
  <c r="AE4" i="21" s="1"/>
  <c r="AE5" i="21" s="1"/>
  <c r="AE15" i="21" s="1"/>
  <c r="AD13" i="20"/>
  <c r="CQ4" i="20"/>
  <c r="AE4" i="20"/>
  <c r="AE384" i="20" s="1"/>
  <c r="AE459" i="20" s="1"/>
  <c r="AE393" i="20"/>
  <c r="CQ384" i="20" s="1"/>
  <c r="CP137" i="20"/>
  <c r="AD137" i="20"/>
  <c r="D31" i="21"/>
  <c r="D32" i="21" s="1"/>
  <c r="AD175" i="20"/>
  <c r="CP175" i="20"/>
  <c r="CP365" i="20"/>
  <c r="AD398" i="20"/>
  <c r="CP156" i="20"/>
  <c r="AD156" i="20"/>
  <c r="AD308" i="20"/>
  <c r="CP308" i="20"/>
  <c r="CP194" i="20"/>
  <c r="AD194" i="20"/>
  <c r="CP80" i="20"/>
  <c r="AD80" i="20"/>
  <c r="CP118" i="20"/>
  <c r="AD118" i="20"/>
  <c r="AE18" i="21" l="1"/>
  <c r="AE20" i="21" s="1"/>
  <c r="AE22" i="21" s="1"/>
  <c r="AE27" i="21" s="1"/>
  <c r="AE30" i="21" s="1"/>
  <c r="AE34" i="21"/>
  <c r="AE38" i="21" s="1"/>
  <c r="AD38" i="21"/>
  <c r="N42" i="19"/>
  <c r="N43" i="19" s="1"/>
  <c r="N47" i="19" s="1"/>
  <c r="N49" i="19"/>
  <c r="E27" i="21"/>
  <c r="H27" i="19"/>
  <c r="CP4" i="20"/>
  <c r="AD4" i="20"/>
  <c r="AD384" i="20" s="1"/>
  <c r="AD459" i="20" s="1"/>
  <c r="AD393" i="20"/>
  <c r="CP384" i="20" s="1"/>
  <c r="F18" i="21"/>
  <c r="F38" i="21" s="1"/>
  <c r="B50" i="21" a="1"/>
  <c r="B50" i="21" s="1"/>
  <c r="AH4" i="21" a="1"/>
  <c r="AH4" i="21" s="1"/>
  <c r="AI4" i="21" s="1"/>
  <c r="AF15" i="21"/>
  <c r="AF34" i="21" s="1"/>
  <c r="AH5" i="21" a="1"/>
  <c r="AH5" i="21" s="1"/>
  <c r="AI5" i="21" s="1"/>
  <c r="O42" i="19" l="1"/>
  <c r="O43" i="19" s="1"/>
  <c r="O47" i="19" s="1"/>
  <c r="O49" i="19"/>
  <c r="F20" i="21"/>
  <c r="AF18" i="21"/>
  <c r="AH15" i="21" a="1"/>
  <c r="AH15" i="21" s="1"/>
  <c r="AI15" i="21" s="1"/>
  <c r="H62" i="19"/>
  <c r="G19" i="21" s="1"/>
  <c r="H26" i="19"/>
  <c r="E30" i="21"/>
  <c r="E28" i="21"/>
  <c r="E29" i="21" s="1"/>
  <c r="P49" i="19" l="1"/>
  <c r="P42" i="19"/>
  <c r="P43" i="19" s="1"/>
  <c r="P47" i="19" s="1"/>
  <c r="AF20" i="21"/>
  <c r="AF22" i="21" s="1"/>
  <c r="AF27" i="21" s="1"/>
  <c r="AF30" i="21" s="1"/>
  <c r="AF38" i="21"/>
  <c r="E31" i="21"/>
  <c r="E32" i="21" s="1"/>
  <c r="H61" i="19"/>
  <c r="G17" i="21" s="1"/>
  <c r="G18" i="21" s="1"/>
  <c r="H34" i="19"/>
  <c r="F22" i="21"/>
  <c r="Q49" i="19" l="1"/>
  <c r="Q42" i="19"/>
  <c r="Q43" i="19" s="1"/>
  <c r="Q47" i="19" s="1"/>
  <c r="G20" i="21"/>
  <c r="G22" i="21" s="1"/>
  <c r="G27" i="21" s="1"/>
  <c r="G30" i="21" s="1"/>
  <c r="G38" i="21"/>
  <c r="I27" i="19"/>
  <c r="F27" i="21"/>
  <c r="R42" i="19" l="1"/>
  <c r="R43" i="19" s="1"/>
  <c r="R47" i="19" s="1"/>
  <c r="R49" i="19"/>
  <c r="F30" i="21"/>
  <c r="G28" i="21"/>
  <c r="F28" i="21"/>
  <c r="F29" i="21" s="1"/>
  <c r="I62" i="19"/>
  <c r="H19" i="21" s="1"/>
  <c r="I26" i="19"/>
  <c r="G29" i="21" l="1"/>
  <c r="I61" i="19"/>
  <c r="H17" i="21" s="1"/>
  <c r="H18" i="21" s="1"/>
  <c r="I34" i="19"/>
  <c r="F31" i="21"/>
  <c r="F32" i="21" s="1"/>
  <c r="G31" i="21"/>
  <c r="H20" i="21" l="1"/>
  <c r="H22" i="21" s="1"/>
  <c r="H27" i="21" s="1"/>
  <c r="H30" i="21" s="1"/>
  <c r="H31" i="21" s="1"/>
  <c r="H38" i="21"/>
  <c r="J27" i="19"/>
  <c r="G32" i="21"/>
  <c r="H28" i="21" l="1"/>
  <c r="H29" i="21" s="1"/>
  <c r="H32" i="21"/>
  <c r="J62" i="19"/>
  <c r="I19" i="21" s="1"/>
  <c r="J26" i="19"/>
  <c r="J61" i="19" l="1"/>
  <c r="I17" i="21" s="1"/>
  <c r="I18" i="21" s="1"/>
  <c r="J34" i="19"/>
  <c r="I20" i="21" l="1"/>
  <c r="I22" i="21" s="1"/>
  <c r="I27" i="21" s="1"/>
  <c r="I30" i="21" s="1"/>
  <c r="I31" i="21" s="1"/>
  <c r="I32" i="21" s="1"/>
  <c r="I38" i="21"/>
  <c r="K27" i="19"/>
  <c r="I28" i="21" l="1"/>
  <c r="I29" i="21" s="1"/>
  <c r="K62" i="19"/>
  <c r="J19" i="21" s="1"/>
  <c r="K26" i="19"/>
  <c r="K61" i="19" l="1"/>
  <c r="J17" i="21" s="1"/>
  <c r="J18" i="21" s="1"/>
  <c r="K34" i="19"/>
  <c r="J20" i="21" l="1"/>
  <c r="J22" i="21" s="1"/>
  <c r="J27" i="21" s="1"/>
  <c r="J30" i="21" s="1"/>
  <c r="J31" i="21" s="1"/>
  <c r="J32" i="21" s="1"/>
  <c r="J38" i="21"/>
  <c r="L27" i="19"/>
  <c r="J28" i="21" l="1"/>
  <c r="J29" i="21" s="1"/>
  <c r="L62" i="19"/>
  <c r="K19" i="21" s="1"/>
  <c r="L26" i="19"/>
  <c r="L61" i="19" l="1"/>
  <c r="K17" i="21" s="1"/>
  <c r="K18" i="21" s="1"/>
  <c r="L34" i="19"/>
  <c r="K20" i="21" l="1"/>
  <c r="K22" i="21" s="1"/>
  <c r="K27" i="21" s="1"/>
  <c r="K28" i="21" s="1"/>
  <c r="K29" i="21" s="1"/>
  <c r="K38" i="21"/>
  <c r="M27" i="19"/>
  <c r="K30" i="21" l="1"/>
  <c r="K31" i="21" s="1"/>
  <c r="K32" i="21" s="1"/>
  <c r="M62" i="19"/>
  <c r="L19" i="21" s="1"/>
  <c r="M26" i="19"/>
  <c r="M61" i="19" l="1"/>
  <c r="L17" i="21" s="1"/>
  <c r="L18" i="21" s="1"/>
  <c r="M34" i="19"/>
  <c r="L20" i="21" l="1"/>
  <c r="L22" i="21" s="1"/>
  <c r="L27" i="21" s="1"/>
  <c r="L30" i="21" s="1"/>
  <c r="L31" i="21" s="1"/>
  <c r="L32" i="21" s="1"/>
  <c r="L38" i="21"/>
  <c r="N27" i="19"/>
  <c r="L28" i="21" l="1"/>
  <c r="L29" i="21" s="1"/>
  <c r="N62" i="19"/>
  <c r="M19" i="21" s="1"/>
  <c r="N26" i="19"/>
  <c r="N61" i="19" l="1"/>
  <c r="M17" i="21" s="1"/>
  <c r="M18" i="21" s="1"/>
  <c r="N34" i="19"/>
  <c r="M20" i="21" l="1"/>
  <c r="M22" i="21" s="1"/>
  <c r="M27" i="21" s="1"/>
  <c r="M30" i="21" s="1"/>
  <c r="M31" i="21" s="1"/>
  <c r="M32" i="21" s="1"/>
  <c r="M38" i="21"/>
  <c r="O27" i="19"/>
  <c r="M28" i="21" l="1"/>
  <c r="M29" i="21" s="1"/>
  <c r="O62" i="19"/>
  <c r="N19" i="21" s="1"/>
  <c r="O26" i="19"/>
  <c r="O61" i="19" l="1"/>
  <c r="N17" i="21" s="1"/>
  <c r="N18" i="21" s="1"/>
  <c r="O34" i="19"/>
  <c r="N20" i="21" l="1"/>
  <c r="N22" i="21" s="1"/>
  <c r="N27" i="21" s="1"/>
  <c r="N30" i="21" s="1"/>
  <c r="N31" i="21" s="1"/>
  <c r="N32" i="21" s="1"/>
  <c r="N38" i="21"/>
  <c r="P27" i="19"/>
  <c r="N28" i="21" l="1"/>
  <c r="N29" i="21" s="1"/>
  <c r="P62" i="19"/>
  <c r="O19" i="21" s="1"/>
  <c r="P26" i="19"/>
  <c r="P61" i="19" l="1"/>
  <c r="O17" i="21" s="1"/>
  <c r="O18" i="21" s="1"/>
  <c r="P34" i="19"/>
  <c r="O20" i="21" l="1"/>
  <c r="O22" i="21" s="1"/>
  <c r="O27" i="21" s="1"/>
  <c r="O30" i="21" s="1"/>
  <c r="O31" i="21" s="1"/>
  <c r="O32" i="21" s="1"/>
  <c r="O38" i="21"/>
  <c r="Q27" i="19"/>
  <c r="O28" i="21" l="1"/>
  <c r="O29" i="21" s="1"/>
  <c r="Q62" i="19"/>
  <c r="P19" i="21" s="1"/>
  <c r="Q26" i="19"/>
  <c r="Q61" i="19" l="1"/>
  <c r="P17" i="21" s="1"/>
  <c r="P18" i="21" s="1"/>
  <c r="Q34" i="19"/>
  <c r="P20" i="21" l="1"/>
  <c r="P22" i="21" s="1"/>
  <c r="P27" i="21" s="1"/>
  <c r="P30" i="21" s="1"/>
  <c r="P31" i="21" s="1"/>
  <c r="P32" i="21" s="1"/>
  <c r="P38" i="21"/>
  <c r="R27" i="19"/>
  <c r="P28" i="21" l="1"/>
  <c r="P29" i="21" s="1"/>
  <c r="R62" i="19"/>
  <c r="Q19" i="21" s="1"/>
  <c r="AH19" i="21" s="1" a="1"/>
  <c r="AH19" i="21" s="1"/>
  <c r="AI19" i="21" s="1"/>
  <c r="R26" i="19"/>
  <c r="R61" i="19" l="1"/>
  <c r="Q17" i="21" s="1"/>
  <c r="R34" i="19"/>
  <c r="Q18" i="21" l="1"/>
  <c r="Q38" i="21" s="1"/>
  <c r="B14" i="2" s="1"/>
  <c r="AH17" i="21" a="1"/>
  <c r="AH17" i="21" s="1"/>
  <c r="AI17" i="21" s="1"/>
  <c r="Q20" i="21" l="1"/>
  <c r="AH18" i="21" a="1"/>
  <c r="AH18" i="21" s="1"/>
  <c r="AI18" i="21" s="1"/>
  <c r="Q22" i="21" l="1"/>
  <c r="AH20" i="21" a="1"/>
  <c r="AH20" i="21" s="1"/>
  <c r="AI20" i="21" s="1"/>
  <c r="Q27" i="21" l="1"/>
  <c r="AH22" i="21" a="1"/>
  <c r="AH22" i="21" s="1"/>
  <c r="AI22" i="21" s="1"/>
  <c r="Q30" i="21" l="1"/>
  <c r="B52" i="21"/>
  <c r="AD28" i="21"/>
  <c r="AB28" i="21"/>
  <c r="Y28" i="21"/>
  <c r="AH27" i="21" a="1"/>
  <c r="AH27" i="21" s="1"/>
  <c r="AI27" i="21" s="1"/>
  <c r="R28" i="21"/>
  <c r="T28" i="21"/>
  <c r="AF28" i="21"/>
  <c r="V28" i="21"/>
  <c r="AC28" i="21"/>
  <c r="X28" i="21"/>
  <c r="U28" i="21"/>
  <c r="Q28" i="21"/>
  <c r="Q29" i="21" s="1"/>
  <c r="AA28" i="21"/>
  <c r="W28" i="21"/>
  <c r="B47" i="21" a="1"/>
  <c r="B47" i="21" s="1"/>
  <c r="Z28" i="21"/>
  <c r="S28" i="21"/>
  <c r="AE28" i="21"/>
  <c r="B51" i="21"/>
  <c r="B55" i="21" a="1"/>
  <c r="B55" i="21" s="1"/>
  <c r="B17" i="2" s="1"/>
  <c r="B46" i="21" l="1"/>
  <c r="R29" i="21"/>
  <c r="S29" i="21" s="1"/>
  <c r="T29" i="21" s="1"/>
  <c r="U29" i="21" s="1"/>
  <c r="V29" i="21" s="1"/>
  <c r="W29" i="21" s="1"/>
  <c r="X29" i="21" s="1"/>
  <c r="Y29" i="21" s="1"/>
  <c r="Z29" i="21" s="1"/>
  <c r="AA29" i="21" s="1"/>
  <c r="AB29" i="21" s="1"/>
  <c r="AC29" i="21" s="1"/>
  <c r="AD29" i="21" s="1"/>
  <c r="AE29" i="21" s="1"/>
  <c r="AF29" i="21" s="1"/>
  <c r="B53" i="21" s="1"/>
  <c r="B15" i="2" s="1"/>
  <c r="V31" i="21"/>
  <c r="U31" i="21"/>
  <c r="AC31" i="21"/>
  <c r="R31" i="21"/>
  <c r="Q31" i="21"/>
  <c r="Q32" i="21" s="1"/>
  <c r="W31" i="21"/>
  <c r="T31" i="21"/>
  <c r="S31" i="21"/>
  <c r="Z31" i="21"/>
  <c r="AE31" i="21"/>
  <c r="AF31" i="21"/>
  <c r="X31" i="21"/>
  <c r="Y31" i="21"/>
  <c r="AD31" i="21"/>
  <c r="AB31" i="21"/>
  <c r="AA31" i="21"/>
  <c r="R32" i="21" l="1"/>
  <c r="S32" i="21" s="1"/>
  <c r="T32" i="21" s="1"/>
  <c r="U32" i="21" s="1"/>
  <c r="V32" i="21" s="1"/>
  <c r="W32" i="21" s="1"/>
  <c r="X32" i="21" s="1"/>
  <c r="Y32" i="21" s="1"/>
  <c r="Z32" i="21" s="1"/>
  <c r="AA32" i="21" s="1"/>
  <c r="AB32" i="21" s="1"/>
  <c r="AC32" i="21" s="1"/>
  <c r="AD32" i="21" s="1"/>
  <c r="AE32" i="21" s="1"/>
  <c r="AF32" i="21" s="1"/>
  <c r="B54" i="21" s="1"/>
  <c r="B16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15" authorId="0" shapeId="0" xr:uid="{00000000-0006-0000-0900-000001000000}">
      <text>
        <r>
          <rPr>
            <sz val="12"/>
            <color theme="1"/>
            <rFont val="Arial"/>
            <family val="2"/>
          </rPr>
          <t>======
ID#AAAASRmKKDE
 Leonardo C. Fleck    (2021-11-29 17:36:09)
Somente para organizações sem fins lucrativos, que não arcam com PIS sobre o faturamento.</t>
        </r>
      </text>
    </comment>
    <comment ref="B117" authorId="0" shapeId="0" xr:uid="{00000000-0006-0000-0900-000002000000}">
      <text>
        <r>
          <rPr>
            <sz val="12"/>
            <color theme="1"/>
            <rFont val="Arial"/>
            <family val="2"/>
          </rPr>
          <t>======
ID#AAAASRmKKCg
 Leonardo C. Fleck    (2021-11-29 17:36:09)
Seguro de Acidente de Trabalho, de 1% para empresas de risco leve, de 2% para risco médio e de 3% de risco grave.
Se for Super Simples, não paga nada.</t>
        </r>
      </text>
    </comment>
    <comment ref="B120" authorId="0" shapeId="0" xr:uid="{00000000-0006-0000-0900-000003000000}">
      <text>
        <r>
          <rPr>
            <sz val="12"/>
            <color theme="1"/>
            <rFont val="Arial"/>
            <family val="2"/>
          </rPr>
          <t>======
ID#AAAASRmKKCk
 Leonardo C. Fleck    (2021-11-29 17:36:09)
Incide FGTS e INSS.</t>
        </r>
      </text>
    </comment>
    <comment ref="B123" authorId="0" shapeId="0" xr:uid="{00000000-0006-0000-0900-000004000000}">
      <text>
        <r>
          <rPr>
            <sz val="12"/>
            <color theme="1"/>
            <rFont val="Arial"/>
            <family val="2"/>
          </rPr>
          <t>======
ID#AAAASRmKKCw
 Leonardo C. Fleck    (2021-11-29 17:36:09)
Incide FGTS e INSS.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0TQAguoW/QuxZGyRrco3KzEf7NA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30" authorId="0" shapeId="0" xr:uid="{00000000-0006-0000-1000-000001000000}">
      <text>
        <r>
          <rPr>
            <sz val="12"/>
            <color theme="1"/>
            <rFont val="Arial"/>
            <family val="2"/>
          </rPr>
          <t>======
ID#AAAASRmKKC0
Flávio Dias Rocha    (2021-11-29 17:36:09)
Valores pagos embutidos nas compras feitas pela empresa, e que serão compensados nas vendas.</t>
        </r>
      </text>
    </comment>
    <comment ref="B42" authorId="0" shapeId="0" xr:uid="{00000000-0006-0000-1000-000002000000}">
      <text>
        <r>
          <rPr>
            <sz val="12"/>
            <color theme="1"/>
            <rFont val="Arial"/>
            <family val="2"/>
          </rPr>
          <t>======
ID#AAAASRmKKCs
Flávio Dias Rocha    (2021-11-29 17:36:09)
Valores calculados sobre as vendas da empresa. Serão deduzidos deles os valores pagos na entrada.</t>
        </r>
      </text>
    </comment>
    <comment ref="B54" authorId="0" shapeId="0" xr:uid="{00000000-0006-0000-1000-000003000000}">
      <text>
        <r>
          <rPr>
            <sz val="12"/>
            <color theme="1"/>
            <rFont val="Arial"/>
            <family val="2"/>
          </rPr>
          <t>======
ID#AAAASRmKKCc
Flávio Dias Rocha    (2021-11-29 17:36:09)
Valores calculados sobre as vendas da empresa. Serão deduzidos deles os valores pagos na entrada.</t>
        </r>
      </text>
    </comment>
    <comment ref="C55" authorId="0" shapeId="0" xr:uid="{00000000-0006-0000-1000-000004000000}">
      <text>
        <r>
          <rPr>
            <sz val="12"/>
            <color theme="1"/>
            <rFont val="Arial"/>
            <family val="2"/>
          </rPr>
          <t>======
ID#AAAASRmKKC4
Flávio Dias Rocha    (2021-11-29 17:36:09)
Tempo médio (em dias) que se leva para pagar esta conta.</t>
        </r>
      </text>
    </comment>
    <comment ref="B68" authorId="0" shapeId="0" xr:uid="{00000000-0006-0000-1000-000005000000}">
      <text>
        <r>
          <rPr>
            <sz val="12"/>
            <color theme="1"/>
            <rFont val="Arial"/>
            <family val="2"/>
          </rPr>
          <t>======
ID#AAAASRmKKC8
Flávio Dias Rocha    (2021-11-29 17:36:09)
Valores calculados sobre as vendas da empresa. Serão deduzidos deles os valores pagos na entrada.</t>
        </r>
      </text>
    </comment>
    <comment ref="C69" authorId="0" shapeId="0" xr:uid="{00000000-0006-0000-1000-000006000000}">
      <text>
        <r>
          <rPr>
            <sz val="12"/>
            <color theme="1"/>
            <rFont val="Arial"/>
            <family val="2"/>
          </rPr>
          <t>======
ID#AAAASRmKKCo
Flávio Dias Rocha    (2021-11-29 17:36:09)
Tempo médio (em dias) que se leva para pagar esta conta.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aQrnDcF7bZp01YcHHv+jTYUKQaA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tc={0762B22D-57AF-BD48-9DAC-057E17AE459C}</author>
  </authors>
  <commentList>
    <comment ref="A25" authorId="0" shapeId="0" xr:uid="{00000000-0006-0000-1400-000001000000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Incluir remuneração do BNDES + B3
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2" authorId="0" shapeId="0" xr:uid="{00000000-0006-0000-1700-000001000000}">
      <text>
        <r>
          <rPr>
            <sz val="12"/>
            <color rgb="FF000000"/>
            <rFont val="Arial"/>
            <family val="2"/>
          </rPr>
          <t xml:space="preserve">======
</t>
        </r>
        <r>
          <rPr>
            <sz val="12"/>
            <color rgb="FF000000"/>
            <rFont val="Arial"/>
            <family val="2"/>
          </rPr>
          <t xml:space="preserve">ID#AAAASRmKKDA
</t>
        </r>
        <r>
          <rPr>
            <sz val="12"/>
            <color rgb="FF000000"/>
            <rFont val="Arial"/>
            <family val="2"/>
          </rPr>
          <t xml:space="preserve">tc={E43246F6-7C72-1040-AC2B-5DBC55F62EF1}    (2021-11-29 17:36:09)
</t>
        </r>
        <r>
          <rPr>
            <sz val="12"/>
            <color rgb="FF000000"/>
            <rFont val="Arial"/>
            <family val="2"/>
          </rPr>
          <t xml:space="preserve">[Comentário encadeado]
</t>
        </r>
        <r>
          <rPr>
            <sz val="12"/>
            <color rgb="FF000000"/>
            <rFont val="Arial"/>
            <family val="2"/>
          </rPr>
          <t xml:space="preserve">
</t>
        </r>
        <r>
          <rPr>
            <sz val="12"/>
            <color rgb="FF000000"/>
            <rFont val="Arial"/>
            <family val="2"/>
          </rPr>
          <t xml:space="preserve">Sua versão do Excel permite que você leia este comentário encadeado, no entanto, as edições serão removidas se o arquivo for aberto em uma versão mais recente do Excel. Saiba mais: https://go.microsoft.com/fwlink/?linkid=870924
</t>
        </r>
        <r>
          <rPr>
            <sz val="12"/>
            <color rgb="FF000000"/>
            <rFont val="Arial"/>
            <family val="2"/>
          </rPr>
          <t xml:space="preserve">
</t>
        </r>
        <r>
          <rPr>
            <sz val="12"/>
            <color rgb="FF000000"/>
            <rFont val="Arial"/>
            <family val="2"/>
          </rPr>
          <t xml:space="preserve">Comentário:
</t>
        </r>
        <r>
          <rPr>
            <sz val="12"/>
            <color rgb="FF000000"/>
            <rFont val="Arial"/>
            <family val="2"/>
          </rPr>
          <t xml:space="preserve">    β_e/((1+</t>
        </r>
        <r>
          <rPr>
            <sz val="12"/>
            <color rgb="FF000000"/>
            <rFont val="Arial"/>
            <family val="2"/>
          </rPr>
          <t>〖</t>
        </r>
        <r>
          <rPr>
            <sz val="12"/>
            <color rgb="FF000000"/>
            <rFont val="Arial"/>
            <family val="2"/>
          </rPr>
          <t>D/E</t>
        </r>
        <r>
          <rPr>
            <sz val="12"/>
            <color rgb="FF000000"/>
            <rFont val="Arial"/>
            <family val="2"/>
          </rPr>
          <t>〗</t>
        </r>
        <r>
          <rPr>
            <sz val="12"/>
            <color rgb="FF000000"/>
            <rFont val="Arial"/>
            <family val="2"/>
          </rPr>
          <t>_e (1-t_e )) )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LTisNfKyN02mplaJdTFUMG0SgjQ=="/>
    </ext>
  </extLst>
</comments>
</file>

<file path=xl/sharedStrings.xml><?xml version="1.0" encoding="utf-8"?>
<sst xmlns="http://schemas.openxmlformats.org/spreadsheetml/2006/main" count="3890" uniqueCount="1130">
  <si>
    <t>Bloco</t>
  </si>
  <si>
    <t>Freqüência</t>
  </si>
  <si>
    <t>% freq</t>
  </si>
  <si>
    <t>% freq acum</t>
  </si>
  <si>
    <t>Mais</t>
  </si>
  <si>
    <t>Premissas do projeto</t>
  </si>
  <si>
    <t>Premissa</t>
  </si>
  <si>
    <t>Valor</t>
  </si>
  <si>
    <t>Unidade</t>
  </si>
  <si>
    <t>Valor da outorga :</t>
  </si>
  <si>
    <t>% sobre faturamento bruto</t>
  </si>
  <si>
    <t>Valor dos macrotemas :</t>
  </si>
  <si>
    <t>Modalidade de tributação :</t>
  </si>
  <si>
    <t>Lucro Real</t>
  </si>
  <si>
    <t>% de alavancagem do Capex inicial :</t>
  </si>
  <si>
    <t>% sobre CAPEX ano 1</t>
  </si>
  <si>
    <t>WACC :</t>
  </si>
  <si>
    <t>% ao ano</t>
  </si>
  <si>
    <t>Cenário de demanda :</t>
  </si>
  <si>
    <t>PESSIMISTA</t>
  </si>
  <si>
    <t>Preço do ingresso inteira :</t>
  </si>
  <si>
    <t>R$</t>
  </si>
  <si>
    <t xml:space="preserve">Resultados          </t>
  </si>
  <si>
    <t>30 anos</t>
  </si>
  <si>
    <t>VPL do Projeto (R$ 1000)</t>
  </si>
  <si>
    <t>Payback simples (anos)</t>
  </si>
  <si>
    <t>Payback descontado (anos)</t>
  </si>
  <si>
    <t>B/C</t>
  </si>
  <si>
    <r>
      <rPr>
        <b/>
        <sz val="11"/>
        <color theme="1"/>
        <rFont val="Bahnschrift"/>
        <family val="2"/>
      </rPr>
      <t xml:space="preserve">Σ </t>
    </r>
    <r>
      <rPr>
        <b/>
        <sz val="11"/>
        <color theme="1"/>
        <rFont val="Avenir"/>
        <family val="2"/>
      </rPr>
      <t>Valores Reais Macrotemas (R$ 1000)</t>
    </r>
  </si>
  <si>
    <t>Valor médio anual</t>
  </si>
  <si>
    <t>Σ Valores Reais Tributos Municipais (R$ 1000)</t>
  </si>
  <si>
    <t>Σ Valores Reais Tributos Estaduais (R$ 1000)</t>
  </si>
  <si>
    <t>VP CAPEX (R$ 1000):</t>
  </si>
  <si>
    <t>CAPEX não descontado - 5 anos iniciais (R$ 1000):</t>
  </si>
  <si>
    <t>CAPEX não descontado :</t>
  </si>
  <si>
    <t>OPEX não descontado - 30 anos (R$ 1000):</t>
  </si>
  <si>
    <t>Parâmetros adicionais</t>
  </si>
  <si>
    <t>Demanda Base</t>
  </si>
  <si>
    <t xml:space="preserve">Ajuste Demanda </t>
  </si>
  <si>
    <t>Capex Overun</t>
  </si>
  <si>
    <t>Demanda</t>
  </si>
  <si>
    <t>Demanda base
(ano 0)</t>
  </si>
  <si>
    <t>Demanda de visitação</t>
  </si>
  <si>
    <t>Cenário</t>
  </si>
  <si>
    <t>Cenários de evolução da visitação regional</t>
  </si>
  <si>
    <t>Cenários de demanda</t>
  </si>
  <si>
    <t>Variação anual (%)</t>
  </si>
  <si>
    <t>MODERADA</t>
  </si>
  <si>
    <t>OTIMISTA</t>
  </si>
  <si>
    <t>Sazonalidade %</t>
  </si>
  <si>
    <t>Unidades Geradoras de Caixa (UGC)</t>
  </si>
  <si>
    <t>Mês (%)</t>
  </si>
  <si>
    <t>TOTAL</t>
  </si>
  <si>
    <t>Semana (%)</t>
  </si>
  <si>
    <t>Capacidade diária</t>
  </si>
  <si>
    <t>Categoria de receita</t>
  </si>
  <si>
    <t>Tipo de UGC</t>
  </si>
  <si>
    <t>Ramp up
(%)</t>
  </si>
  <si>
    <t>Inclui UGC?
(S/N)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</si>
  <si>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</si>
  <si>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</si>
  <si>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</si>
  <si>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</si>
  <si>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</si>
  <si>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</si>
  <si>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</si>
  <si>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</si>
  <si>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</si>
  <si>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</si>
  <si>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</si>
  <si>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</si>
  <si>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Seg</t>
  </si>
  <si>
    <t>Ter</t>
  </si>
  <si>
    <t>Qua</t>
  </si>
  <si>
    <t>Qui</t>
  </si>
  <si>
    <t>Sex</t>
  </si>
  <si>
    <t>Sáb</t>
  </si>
  <si>
    <t>Dom</t>
  </si>
  <si>
    <t>Demanda de visitação REGIONAL/TOTAL</t>
  </si>
  <si>
    <t>Ingresso</t>
  </si>
  <si>
    <t>Serviços</t>
  </si>
  <si>
    <t>Hospitalidade</t>
  </si>
  <si>
    <t>Sim</t>
  </si>
  <si>
    <t>Preá - Alimentação</t>
  </si>
  <si>
    <t>Alimentação</t>
  </si>
  <si>
    <t>Preá - Comércio</t>
  </si>
  <si>
    <t>Comércio</t>
  </si>
  <si>
    <t>Preá - Estacionamento</t>
  </si>
  <si>
    <t>Árvore da Preguiça - Alimentação</t>
  </si>
  <si>
    <t>Árvore da Preguiça - Comércio</t>
  </si>
  <si>
    <t>Silveira - Alimentação</t>
  </si>
  <si>
    <t>Silveira - Comércio + Locação + Atividades</t>
  </si>
  <si>
    <t>Silveira - Hospedagem</t>
  </si>
  <si>
    <t>Pedra Furada - Alimentação</t>
  </si>
  <si>
    <t>Pedra Furada - Comércio</t>
  </si>
  <si>
    <t>Serrote - Alimentação</t>
  </si>
  <si>
    <t>Serrote - Comércio</t>
  </si>
  <si>
    <t>Paraíso - Alimentação</t>
  </si>
  <si>
    <t>Paraíso - Comércio + Locação + Atividades</t>
  </si>
  <si>
    <t xml:space="preserve"> Comércio </t>
  </si>
  <si>
    <t>Geral - Unidade móvel - Alimentação</t>
  </si>
  <si>
    <t>Mangue Seco - Estacionamento</t>
  </si>
  <si>
    <t>Lagoa Grande - Estacionamento</t>
  </si>
  <si>
    <t>SELECIONADO</t>
  </si>
  <si>
    <t>Ano (%)</t>
  </si>
  <si>
    <t>Demanda de visitação TOTAL</t>
  </si>
  <si>
    <t>Demandas anuais projetadas (#)</t>
  </si>
  <si>
    <t>Ano (#)</t>
  </si>
  <si>
    <t>Cenários de projeção de conversão da visitação</t>
  </si>
  <si>
    <t>Fontes</t>
  </si>
  <si>
    <t>Taxas de captação obtidas em consultas com concessionários - parquetur e soul parques</t>
  </si>
  <si>
    <t>70% das entradas x 10% com carro próprio / 3 pax por carro</t>
  </si>
  <si>
    <t>15% das entradas x 10% com carro próprio / 3 pax por carro</t>
  </si>
  <si>
    <t>Demanda anual POTENCIAL</t>
  </si>
  <si>
    <t>Demanda anual não atendida</t>
  </si>
  <si>
    <t>Capacidade de atendimento diário (%)</t>
  </si>
  <si>
    <t>Fontes de receitas</t>
  </si>
  <si>
    <t>MAPA DE DEMANDAS MENSAIS</t>
  </si>
  <si>
    <t>Fontes de receita</t>
  </si>
  <si>
    <t>SEG</t>
  </si>
  <si>
    <t>TER</t>
  </si>
  <si>
    <t>QUA</t>
  </si>
  <si>
    <t>QUI</t>
  </si>
  <si>
    <t>SEX</t>
  </si>
  <si>
    <t>SÁB</t>
  </si>
  <si>
    <t>DOM</t>
  </si>
  <si>
    <t>Critérios de formação de preços</t>
  </si>
  <si>
    <t>Itens</t>
  </si>
  <si>
    <t>Preço médio de 
Venda (R$)</t>
  </si>
  <si>
    <t>Categorias de receitas</t>
  </si>
  <si>
    <t>Preços</t>
  </si>
  <si>
    <t>Proporções de captação</t>
  </si>
  <si>
    <t>Variação anual do preço</t>
  </si>
  <si>
    <t>Preços anuais</t>
  </si>
  <si>
    <t>Inteira</t>
  </si>
  <si>
    <t>Meia</t>
  </si>
  <si>
    <t>Isento</t>
  </si>
  <si>
    <t>Proposto pela equipe</t>
  </si>
  <si>
    <t>Valores de ticket médio obtidos em consultas com concessionários - parquetur e soul parques</t>
  </si>
  <si>
    <t>2,7 dias</t>
  </si>
  <si>
    <t>Locação</t>
  </si>
  <si>
    <t>Atividades</t>
  </si>
  <si>
    <t>Pousada</t>
  </si>
  <si>
    <t>Glamping</t>
  </si>
  <si>
    <t>Demanda Anual e Diária Agregada</t>
  </si>
  <si>
    <t>Demanda anual</t>
  </si>
  <si>
    <t>UGC</t>
  </si>
  <si>
    <t>Ano</t>
  </si>
  <si>
    <t xml:space="preserve">Demanda Média Diária Anual </t>
  </si>
  <si>
    <t>Previsão de Receita Bruta - Concessionário e Gestor</t>
  </si>
  <si>
    <t>Arrecadação Anual</t>
  </si>
  <si>
    <t>(R$)</t>
  </si>
  <si>
    <t>Receita Bruta Total</t>
  </si>
  <si>
    <t>Gasto Médio por visitante :</t>
  </si>
  <si>
    <t>Geral</t>
  </si>
  <si>
    <t>Preá</t>
  </si>
  <si>
    <t>Árvore da Preguiça</t>
  </si>
  <si>
    <t>Silveira</t>
  </si>
  <si>
    <t>Pedra Furada</t>
  </si>
  <si>
    <t>Serrote</t>
  </si>
  <si>
    <t>Paraíso</t>
  </si>
  <si>
    <t>Mangue Seco</t>
  </si>
  <si>
    <t>Lagoa Grande</t>
  </si>
  <si>
    <t>Componentes de custos diretos</t>
  </si>
  <si>
    <t>Item</t>
  </si>
  <si>
    <t>Tipo</t>
  </si>
  <si>
    <t>Custo Unitário - CIF 
(R$/Un)</t>
  </si>
  <si>
    <t>Qtde do Item por Unidade</t>
  </si>
  <si>
    <t>Custo Total
(R$)</t>
  </si>
  <si>
    <t>Fonte</t>
  </si>
  <si>
    <t>Seguro de acidentes pessoais</t>
  </si>
  <si>
    <t>Outros</t>
  </si>
  <si>
    <t>Visitante</t>
  </si>
  <si>
    <t xml:space="preserve"> Recomendação de empresas concessionárias </t>
  </si>
  <si>
    <t>Materiais</t>
  </si>
  <si>
    <t>Materiais por visitante - referência PARNA Iguaçu - maio/2017 atualizado pelo IGP-M</t>
  </si>
  <si>
    <t>Custo de produtos de comércio</t>
  </si>
  <si>
    <t>Cliente</t>
  </si>
  <si>
    <t>35% do preço de comércio - referência PARNA Iguaçu - maio/2017 atualizado pelo IGP-M</t>
  </si>
  <si>
    <t>Custo de produtos de alimentação</t>
  </si>
  <si>
    <t>27% do preço alimentos - referência PARNA Iguaçu - maio/2017 atualizado pelo IGP-M</t>
  </si>
  <si>
    <t>Custos diretos TOTAIS</t>
  </si>
  <si>
    <t>Custos diretos de Materiais</t>
  </si>
  <si>
    <t>Custos diretos de Mão-de-obra</t>
  </si>
  <si>
    <t>Outros custos diretos</t>
  </si>
  <si>
    <t>Custos e Despesas Operacionais - Físico e Financeiro</t>
  </si>
  <si>
    <t>Alocação</t>
  </si>
  <si>
    <t>Vínculo</t>
  </si>
  <si>
    <t>Valor unitário 
(R$)</t>
  </si>
  <si>
    <t>Energia elétrica</t>
  </si>
  <si>
    <t>Despesas</t>
  </si>
  <si>
    <t>Encargo</t>
  </si>
  <si>
    <t>Energia</t>
  </si>
  <si>
    <t>R$/m2/ano</t>
  </si>
  <si>
    <t xml:space="preserve">Custo por m2 do PARNA Iguaçu - atualizado pelo IGP-M </t>
  </si>
  <si>
    <t>Comunicação</t>
  </si>
  <si>
    <t>Administrativo</t>
  </si>
  <si>
    <t>R$/usuário</t>
  </si>
  <si>
    <t xml:space="preserve">Custo anual do PARNA Iguaçu - atualizado pelo IGP-M </t>
  </si>
  <si>
    <t>Água e esgoto</t>
  </si>
  <si>
    <t>Água e Esgoto</t>
  </si>
  <si>
    <t>R$/visitante</t>
  </si>
  <si>
    <t xml:space="preserve">Custo por visitante do PARNA Iguaçu - atualizado pelo IGP-M </t>
  </si>
  <si>
    <t>Quilometragem veículo utilitário</t>
  </si>
  <si>
    <t>km</t>
  </si>
  <si>
    <t>Planilha de custo de veículo 4x4</t>
  </si>
  <si>
    <t>Resíduos sólidos</t>
  </si>
  <si>
    <t>Limpeza</t>
  </si>
  <si>
    <t>Custos</t>
  </si>
  <si>
    <t>Operacional</t>
  </si>
  <si>
    <t>Quilometragem furgão 4x4</t>
  </si>
  <si>
    <t>Planilha de custo de furgão 4x4</t>
  </si>
  <si>
    <t>Manual de operação de quadriciclo</t>
  </si>
  <si>
    <t>Viagens</t>
  </si>
  <si>
    <t>Alocação de verba</t>
  </si>
  <si>
    <t>Software (sistemas gerenciais)</t>
  </si>
  <si>
    <t>R$/ano</t>
  </si>
  <si>
    <t>Auditoria</t>
  </si>
  <si>
    <t>% faturamento</t>
  </si>
  <si>
    <t>Marketing e vendas</t>
  </si>
  <si>
    <t>Praticado por Ecoparques</t>
  </si>
  <si>
    <t>Contabilidade</t>
  </si>
  <si>
    <t>mês</t>
  </si>
  <si>
    <t>Despesas bancárias</t>
  </si>
  <si>
    <t>Pacote básico Banco do Brasil</t>
  </si>
  <si>
    <t>Website + mídias sociais</t>
  </si>
  <si>
    <t>Referência Parquetur - Chapada dos Veadeiros</t>
  </si>
  <si>
    <t>Material de escritório e papelaria</t>
  </si>
  <si>
    <t>Material de limpeza</t>
  </si>
  <si>
    <t>Recomendação concessionário</t>
  </si>
  <si>
    <t>Monitoramento da visitação</t>
  </si>
  <si>
    <t>Monitoramento de uso Público</t>
  </si>
  <si>
    <t>Provisionamento de verba anual</t>
  </si>
  <si>
    <t>Combustível para bobcat - 4h/dia x 4,5litros/hora</t>
  </si>
  <si>
    <t>Construções e reformas</t>
  </si>
  <si>
    <t>litro</t>
  </si>
  <si>
    <t>Manual de operação do modelo proposto</t>
  </si>
  <si>
    <t>Combustível para quadriciclo - 40km/dia x 20km/litro</t>
  </si>
  <si>
    <t>Seguro patrimonial</t>
  </si>
  <si>
    <t>Seguros</t>
  </si>
  <si>
    <t>% do vlr ativos</t>
  </si>
  <si>
    <t>1% sobre valor corrente dos ativos</t>
  </si>
  <si>
    <t>Seguro de Responsabilidade civil anual</t>
  </si>
  <si>
    <t>Custo com meios de pagamento (cartões de crédito e débito) - 80% dos gastos</t>
  </si>
  <si>
    <t>Consulta empresas usuárias de cartão de crédito</t>
  </si>
  <si>
    <t>Verificador de conformidade</t>
  </si>
  <si>
    <t>Manutenção escritório ICMBio</t>
  </si>
  <si>
    <t>Manutenção</t>
  </si>
  <si>
    <t>m2</t>
  </si>
  <si>
    <t>Seguro estacionamento</t>
  </si>
  <si>
    <t>Remuneração + Ressarcimento BNDES</t>
  </si>
  <si>
    <t>Remuneração B3</t>
  </si>
  <si>
    <t>Estrutura de Cargos e Salários Administrativos e Comerciais</t>
  </si>
  <si>
    <t>Nesta planilha não entram cargos diretos de prestação de serviços, pois estes são incluídos no cálculo de MOD e CIF, no caso de funções de supervisão de operações.</t>
  </si>
  <si>
    <t>Também não devem ser incluídos nesta planilha funções terceirizadas e cargos exercidos por sócios, pois estes recebem pró-labore.</t>
  </si>
  <si>
    <t>O Custo da Mão de Obra Direta pode ser opcionalmente adicionado nesta planilha.</t>
  </si>
  <si>
    <t>Cargos, Salários, Encargos e Benefícios Sociais</t>
  </si>
  <si>
    <t>Cargo</t>
  </si>
  <si>
    <t>Categoria da função</t>
  </si>
  <si>
    <t>Número Inicial de Funcionários
(Ano 1)</t>
  </si>
  <si>
    <t>Salário Bruto Mensal Unitário                     (R$/mês)</t>
  </si>
  <si>
    <t>Encargos
(%)</t>
  </si>
  <si>
    <t>Encargos
(R$/mês)</t>
  </si>
  <si>
    <t>Benefícios
(R$/mês)</t>
  </si>
  <si>
    <t>Custo Total  Unitário
(R$/mês)</t>
  </si>
  <si>
    <t>Custo Total 
Anual Unitário 
(R$/ano)</t>
  </si>
  <si>
    <t>Custo Total Anual  
(R$)</t>
  </si>
  <si>
    <t>Observações</t>
  </si>
  <si>
    <t>Cozinheiro</t>
  </si>
  <si>
    <t>salario.com.br - cozinheiro de restaurante - CE</t>
  </si>
  <si>
    <t>Auxiliar de cozinha</t>
  </si>
  <si>
    <t>salario.com.br - auxiliar de cozinha - CE</t>
  </si>
  <si>
    <t>Caixa</t>
  </si>
  <si>
    <t>salario.com.br - Caixa no Serviço de Alimentação - CE</t>
  </si>
  <si>
    <t>Atendente</t>
  </si>
  <si>
    <t>salario.com.br - atendente balconista - CE</t>
  </si>
  <si>
    <t>Motorista</t>
  </si>
  <si>
    <t>Recepcionista bilíngue</t>
  </si>
  <si>
    <t>salario.com.br - recepcionista bilíngue - CE</t>
  </si>
  <si>
    <t>Bilheteiro</t>
  </si>
  <si>
    <t>Faxineiro</t>
  </si>
  <si>
    <t>Monitor de visitação</t>
  </si>
  <si>
    <t>salario.com.br - Condutor de turismo de aventura - BRASIL</t>
  </si>
  <si>
    <t>salario.com.br - garçon - CE</t>
  </si>
  <si>
    <t>Assistente administrativo</t>
  </si>
  <si>
    <t>salario.com.br - Assistente Administrativo - CE</t>
  </si>
  <si>
    <t>Gerente de Recursos Humanos</t>
  </si>
  <si>
    <t>salario.com.br - Gerente de Recursos HuCEnos - CE</t>
  </si>
  <si>
    <t>Gerente geral</t>
  </si>
  <si>
    <t>salario.com.br - Diretor Administrativo e Financeiro - CE - 3o quartil</t>
  </si>
  <si>
    <t>salario.com.br - motorista de automóveis - MS</t>
  </si>
  <si>
    <t>Supervisor de operação</t>
  </si>
  <si>
    <t>salario.com.br - Supervisor de operações turísticas - CE - Teto da categoria</t>
  </si>
  <si>
    <t>Comprador</t>
  </si>
  <si>
    <t>salario.com.br - Comprador - CE</t>
  </si>
  <si>
    <t>Agente ambiental</t>
  </si>
  <si>
    <t>Salário mínimo</t>
  </si>
  <si>
    <t>Assistente de manutenção de vias</t>
  </si>
  <si>
    <t>salario.com.br - Conservador de Estradas de Rodagem - CE</t>
  </si>
  <si>
    <t>Operador de bobcat</t>
  </si>
  <si>
    <t>salario.com.br - Operador de Pá Carregadeira e Tratores - CE</t>
  </si>
  <si>
    <t>Vigilante - posto fixo</t>
  </si>
  <si>
    <t>Segurança</t>
  </si>
  <si>
    <t>salario.com.br - vigia - CE</t>
  </si>
  <si>
    <t>Encargos sobre o Salário Bruto</t>
  </si>
  <si>
    <t>Apoio para cálculos - Encargos e benefícios sociais*</t>
  </si>
  <si>
    <t xml:space="preserve"> % sobre o 
salário bruto</t>
  </si>
  <si>
    <t>Custo (R$) de 1 ocorrência</t>
  </si>
  <si>
    <t>Salário Bruto</t>
  </si>
  <si>
    <t>INSS Patronal</t>
  </si>
  <si>
    <t>Fundo de Garantia (FGTS)</t>
  </si>
  <si>
    <t>PIS sobre folha de pagamento</t>
  </si>
  <si>
    <t>INCRA/SENAI/SESI/SEBRAE</t>
  </si>
  <si>
    <t>SAT</t>
  </si>
  <si>
    <t>FAP</t>
  </si>
  <si>
    <t>Sal.Educação</t>
  </si>
  <si>
    <t>13º Salário</t>
  </si>
  <si>
    <t>Indenização de aviso prévio</t>
  </si>
  <si>
    <t>Férias remuneradas</t>
  </si>
  <si>
    <t>Adicional de férias de 1/3 do salário</t>
  </si>
  <si>
    <t>Incidências cumulativas</t>
  </si>
  <si>
    <t>Contribuição sindical</t>
  </si>
  <si>
    <t>Provisão FGTS/Recisão</t>
  </si>
  <si>
    <t>Convênio saúde</t>
  </si>
  <si>
    <t>Uniforme/EPI</t>
  </si>
  <si>
    <t>Exame médico</t>
  </si>
  <si>
    <t>Participação nos Lucros e Resultados (PLR)</t>
  </si>
  <si>
    <t>Treinamento</t>
  </si>
  <si>
    <t>Vale Refeição</t>
  </si>
  <si>
    <t>Vale Alimentação</t>
  </si>
  <si>
    <t>Vale Transporte</t>
  </si>
  <si>
    <t>* Neste caso, entra-se com % sobre o salário bruto OU com o custo absoluto (R$).</t>
  </si>
  <si>
    <t>Projeção de Número de Funcionários</t>
  </si>
  <si>
    <t>Alterações no número de funcionários</t>
  </si>
  <si>
    <t>(funcionários)</t>
  </si>
  <si>
    <t>Quadro anual de funcionários</t>
  </si>
  <si>
    <t>Despesas Totais com Pessoal</t>
  </si>
  <si>
    <t>Gastos Totais com Pessoal</t>
  </si>
  <si>
    <t>Categoria</t>
  </si>
  <si>
    <t>Custo Total Anual Unitário                   (R$/ano)</t>
  </si>
  <si>
    <t>Ramp up Ano 1
(% ano)</t>
  </si>
  <si>
    <t>Gasto total</t>
  </si>
  <si>
    <t>Média Diária de Gastos com Folha de Pagamento (Ano de 365 dias)</t>
  </si>
  <si>
    <t>Média de Gastos com Folha por Funcionário-ano</t>
  </si>
  <si>
    <t>Relação de investimentos</t>
  </si>
  <si>
    <t>Preços (R$)</t>
  </si>
  <si>
    <t>Vida útil
(Anos)</t>
  </si>
  <si>
    <t>Valor residual
(%)</t>
  </si>
  <si>
    <t>Manutenção
(% v.a./ano)</t>
  </si>
  <si>
    <t>Inclui
reinvestimento?
(S/N)</t>
  </si>
  <si>
    <t>Inclui valor 
residual?
(S/N)</t>
  </si>
  <si>
    <t>Observação</t>
  </si>
  <si>
    <t>Construção em madeira com fechamento de madeira</t>
  </si>
  <si>
    <t>m²</t>
  </si>
  <si>
    <t>Edificações</t>
  </si>
  <si>
    <t>Não</t>
  </si>
  <si>
    <t>CUB CSL-8 CE set/2021 (1.540,64) + 40% BDI (R$616,26) = R$2.156,90</t>
  </si>
  <si>
    <t>Sinalização vertical</t>
  </si>
  <si>
    <t>unid</t>
  </si>
  <si>
    <t>Infraestrutura</t>
  </si>
  <si>
    <t>Computador</t>
  </si>
  <si>
    <t>TI</t>
  </si>
  <si>
    <t>Pavimentação com piso intertravado</t>
  </si>
  <si>
    <t>Lixeira coleta seletiva</t>
  </si>
  <si>
    <t>Bancos de madeira</t>
  </si>
  <si>
    <t>Ar condicionado 12000 btu</t>
  </si>
  <si>
    <t>Equipamentos e instalações</t>
  </si>
  <si>
    <t>Piso intertravado permeável</t>
  </si>
  <si>
    <t>Postes de iluminação</t>
  </si>
  <si>
    <t>Estação de trabalho - cadeira + mesa</t>
  </si>
  <si>
    <t>conjunto</t>
  </si>
  <si>
    <t>Móveis e Utensílios</t>
  </si>
  <si>
    <t>Armário com chave 6 portas</t>
  </si>
  <si>
    <t>Lixeira escritório</t>
  </si>
  <si>
    <t>Projetor multimídia</t>
  </si>
  <si>
    <t>Mesa de piquenique com 2 bancos</t>
  </si>
  <si>
    <t>kit</t>
  </si>
  <si>
    <t>Quadriciclo</t>
  </si>
  <si>
    <t>Veículos e embarcações</t>
  </si>
  <si>
    <t>Decks e escadarias de madeira</t>
  </si>
  <si>
    <t>Kit equipamentos para locação</t>
  </si>
  <si>
    <t>Camionete 4x4 cabine dupla</t>
  </si>
  <si>
    <t>Toyota Hilux CD 4x4 Mecânica - FIPE</t>
  </si>
  <si>
    <t>Montagem loja</t>
  </si>
  <si>
    <t>Valor ecoparques - referência Paineiras PNT - maio/2017 corrigido pelo IGP-M</t>
  </si>
  <si>
    <t>Montagem restaurante/lanchonete</t>
  </si>
  <si>
    <t>Caiaque Duck</t>
  </si>
  <si>
    <t>Cotação com empresa Zefir - zefir.com.br</t>
  </si>
  <si>
    <t>Capacetes para canoagem</t>
  </si>
  <si>
    <t>Cotação com empresa Canoe Brasil - canoe-brasil.lojaintegrada.com.br</t>
  </si>
  <si>
    <t>Tenda Glamping de Grande Capacidade (19,65 m²)</t>
  </si>
  <si>
    <t>Cotação Life Changing Products - lcshop.net + impostos de importação (cálculo lojasdoexterior.com.br)</t>
  </si>
  <si>
    <t>Móveis glamping</t>
  </si>
  <si>
    <t>50% do valor da tenda</t>
  </si>
  <si>
    <t>Food truck sobre veículo 4x4</t>
  </si>
  <si>
    <t>Camar Furgões</t>
  </si>
  <si>
    <t>Camionete 4x4 cabine simples</t>
  </si>
  <si>
    <t>Toyota Hilux CS 4x4 Mecânica - FIPE</t>
  </si>
  <si>
    <t>Bobcat minitrator</t>
  </si>
  <si>
    <t>Caterpilar 226/B3</t>
  </si>
  <si>
    <t>Furgão 4x4</t>
  </si>
  <si>
    <t>Marcopolo Volare Furgão V8L 4x4 - FIPE</t>
  </si>
  <si>
    <t>Fatbike</t>
  </si>
  <si>
    <t>BICICLETA GTS FAT BIKE TSI 9 ARO 26 COM FREIO A DISCO HIDRÁULICO CAMBIO GTSM1 TSI 9 MARCHAS E QUADRO DE ALUMÍNIO | GTS M1 I-VTEC FAT</t>
  </si>
  <si>
    <t>Implantação museológica</t>
  </si>
  <si>
    <t>Projeto expositivo Grão de Areia - PNLM</t>
  </si>
  <si>
    <t>Mobiliário administrativo</t>
  </si>
  <si>
    <t>Valor ecoparques - referência Paineiras PNT</t>
  </si>
  <si>
    <t>Bandeiras de sinalização</t>
  </si>
  <si>
    <t>Reforma de ponte</t>
  </si>
  <si>
    <t>Construção de ponte</t>
  </si>
  <si>
    <t>Mobiliário de hospedagem</t>
  </si>
  <si>
    <t>Passarela ou piso de madeira</t>
  </si>
  <si>
    <t>Paisagismo</t>
  </si>
  <si>
    <t>Construção em steel frame com fechamento de madeira</t>
  </si>
  <si>
    <t>CUB CSL-8 MA set/2021 (1.576,35) + 40% BDI (R$630,54) = R$2.206,89</t>
  </si>
  <si>
    <t>Biodigestor 1300</t>
  </si>
  <si>
    <t>Un</t>
  </si>
  <si>
    <t>Biodigestor tecnipar - Leroy Merlin - https://www.leroymerlin.com.br/biodigestor-tecnipar-1300-litros-dia_1567143285?region=outros&amp;gclid=Cj0KCQjwtrSLBhCLARIsACh6RmgUQK3Gy6QMBF6S-01vdCWkTlrU_dqQ3KJkBazWHXshhgRsh3d8D88aAnSDEALw_wcB</t>
  </si>
  <si>
    <t>Biodigestor 3000</t>
  </si>
  <si>
    <t>Unid</t>
  </si>
  <si>
    <t>Biodigestor acqualimp - ABC da Construção - https://www.abcdaconstrucao.com.br/produto/biodigestor-ecolimp-3000l-18-pessoas-acqualimp-87084?gclid=Cj0KCQjwtrSLBhCLARIsACh6RmgHKJXZy65X3Ld6NCVGKcsqKF2HH6amAXOJ3X5LlVPGyf3SIe1_EEAaAvGXEALw_wcB</t>
  </si>
  <si>
    <t>Extensão de rede elétrica</t>
  </si>
  <si>
    <t>Valor cotado por Sandro (gestor do PARNA Serra da Bodoquena)</t>
  </si>
  <si>
    <t>Cerca belgo</t>
  </si>
  <si>
    <t>Piso pista de corrida</t>
  </si>
  <si>
    <t>Piso de madeira</t>
  </si>
  <si>
    <t>Implantação de software gerencial</t>
  </si>
  <si>
    <t>licença</t>
  </si>
  <si>
    <t>Recomendação Soul Parques</t>
  </si>
  <si>
    <t>Pavimentação com pedra tosca</t>
  </si>
  <si>
    <t>Construção de ponte de concreto</t>
  </si>
  <si>
    <t>Fundação de concreto - escadaria Pedra Furada</t>
  </si>
  <si>
    <t>projeto</t>
  </si>
  <si>
    <t>Estudos de implantação de estrada</t>
  </si>
  <si>
    <t>Reforma de edificações</t>
  </si>
  <si>
    <t>Poço artesiano</t>
  </si>
  <si>
    <t>Cerca de arame farpado</t>
  </si>
  <si>
    <t>m</t>
  </si>
  <si>
    <t>Investimentos por tipo de aplicação</t>
  </si>
  <si>
    <t>Investimento inicial (#)</t>
  </si>
  <si>
    <t>Investimento + Reinvestimento (#)</t>
  </si>
  <si>
    <t>Investimento + Reinvestimento ($)</t>
  </si>
  <si>
    <t>Desmobilização de ativos ($)</t>
  </si>
  <si>
    <t>Desmobilização de ativos (#)</t>
  </si>
  <si>
    <t>Ativos totais (#)</t>
  </si>
  <si>
    <t>Manutenção de ativos ($)</t>
  </si>
  <si>
    <t>Depreciação ($)</t>
  </si>
  <si>
    <t>Valor de liquidação ($)</t>
  </si>
  <si>
    <t>Preço unitário regional
(R$)</t>
  </si>
  <si>
    <t>Total</t>
  </si>
  <si>
    <t>Total Acumulado</t>
  </si>
  <si>
    <t>Pagamento anual de obrigações sobre faturamento bruto</t>
  </si>
  <si>
    <t>on/off</t>
  </si>
  <si>
    <t>OUTORGA</t>
  </si>
  <si>
    <t>MACROTEMAS</t>
  </si>
  <si>
    <t>Outorga fixa</t>
  </si>
  <si>
    <t>Outorga</t>
  </si>
  <si>
    <t>Anual fixa</t>
  </si>
  <si>
    <t>Anual variável</t>
  </si>
  <si>
    <t>Inicial</t>
  </si>
  <si>
    <t>Regime da outorga 
sobre receita :</t>
  </si>
  <si>
    <t>Única</t>
  </si>
  <si>
    <t>Outorga sobre receita bruta</t>
  </si>
  <si>
    <t>Valor outorga</t>
  </si>
  <si>
    <t>TOTAL outorga sobre receita</t>
  </si>
  <si>
    <t>Categorias de gatilho sobre faturamento</t>
  </si>
  <si>
    <t>Valor mínimo</t>
  </si>
  <si>
    <t>Valor máximo</t>
  </si>
  <si>
    <t>TOTAL outorga com gatilho sobre receita</t>
  </si>
  <si>
    <t>Categorias de gatilho sobre número de visitantes</t>
  </si>
  <si>
    <t>TOTAL outorga com gatilho sobre número de visitantes</t>
  </si>
  <si>
    <t>Gastos com Tributos sobre o Faturamento e o Lucro</t>
  </si>
  <si>
    <t>Alíquotas sobre receita bruta</t>
  </si>
  <si>
    <t>Modalidade</t>
  </si>
  <si>
    <t>Simples Nacional</t>
  </si>
  <si>
    <t>Lucro Presumido</t>
  </si>
  <si>
    <t>Faturamento</t>
  </si>
  <si>
    <t>Lucro</t>
  </si>
  <si>
    <t>Dinâmica</t>
  </si>
  <si>
    <t>Seleção</t>
  </si>
  <si>
    <t>Alíquotas de tributos sobre lucro</t>
  </si>
  <si>
    <t>Categorias de empresas do Simples Nacional</t>
  </si>
  <si>
    <t>IRPJ LR</t>
  </si>
  <si>
    <t>Anexo I</t>
  </si>
  <si>
    <t>empresas de comércio (lojas em geral)</t>
  </si>
  <si>
    <t>IRPJ</t>
  </si>
  <si>
    <t>Anexo II</t>
  </si>
  <si>
    <t>fábricas/indústrias e empresas industriais</t>
  </si>
  <si>
    <t>AIRPJ</t>
  </si>
  <si>
    <t>Anexo III</t>
  </si>
  <si>
    <t>empresas que oferecem serviços de instalação, de reparos e de manutenção. Consideram-se neste anexo ainda agências de viagens, escritórios de contabilidade, academias, laboratórios, empresas de medicina e odontologia</t>
  </si>
  <si>
    <t>CSLL</t>
  </si>
  <si>
    <t>Anexo IV</t>
  </si>
  <si>
    <t>empresas que fornecem serviço de limpeza, vigilância, obras, construção de imóveis, serviços advocatícios</t>
  </si>
  <si>
    <t>Anexo V</t>
  </si>
  <si>
    <t>empresas que fornecem serviço de auditoria, jornalismo, tecnologia, publicidade, engenharia, entre outros</t>
  </si>
  <si>
    <t>Impostos Não-Cumulativos (Entradas) *</t>
  </si>
  <si>
    <t>Alíquota %</t>
  </si>
  <si>
    <t>Impostos sobre Produtos Industrializados (IPI)</t>
  </si>
  <si>
    <t>Imposto sobre Circulação de Mercadorias e Serviços (ICMS)</t>
  </si>
  <si>
    <t>Imposto sobre Serviços (ISS)</t>
  </si>
  <si>
    <t>PIS sobre Faturamento (Não-Cumulativo)</t>
  </si>
  <si>
    <t>COFINS sobre Faturamento (Não-Cumulativo)</t>
  </si>
  <si>
    <t>Subtotal dos Impostos Não-Cumulativos (Entradas)</t>
  </si>
  <si>
    <t>* Pode incluir COFINS, PIS, ICMS, ISS E IPI; a adoção do Super Simples também permite a substituição tributária.</t>
  </si>
  <si>
    <t>Impostos Não-Cumulativos (Saídas)</t>
  </si>
  <si>
    <t>Subtotal dos Impostos Não-Cumulativos (Saídas)</t>
  </si>
  <si>
    <t>Despesas com Impostos Não-Cumulativos (Saldo)</t>
  </si>
  <si>
    <t>Prazo Médio de Pagamento</t>
  </si>
  <si>
    <t>Subtotal das Despesas com Impostos Não-Cumulativos</t>
  </si>
  <si>
    <t>Média Diária das Despesas com Impostos Não-Cumulativos (Ano de 365 dias)</t>
  </si>
  <si>
    <t>Prazo Médio de Pagamento de Impostos Não-Cumulativos</t>
  </si>
  <si>
    <t>Despesas com Impostos Cumulativos sobre Faturamento</t>
  </si>
  <si>
    <t>Subtotal das Despesas com Impostos Cumulativos sobre Faturamento</t>
  </si>
  <si>
    <t>Média Diária das Despesas com Impostos Cumulativos (Ano de 365 dias)</t>
  </si>
  <si>
    <t>Prazo Médio de Pagamento de Impostos Cumulativos sobre Faturamento</t>
  </si>
  <si>
    <t>Alíquotas do Simples Nacional</t>
  </si>
  <si>
    <t>Tipo da empresa :</t>
  </si>
  <si>
    <t>Faixa de Faturamento</t>
  </si>
  <si>
    <t>Alíquota</t>
  </si>
  <si>
    <t>Desconto</t>
  </si>
  <si>
    <r>
      <rPr>
        <b/>
        <sz val="9"/>
        <color theme="0"/>
        <rFont val="Arial"/>
        <family val="2"/>
      </rPr>
      <t xml:space="preserve">Alíquota efetiva:   </t>
    </r>
    <r>
      <rPr>
        <sz val="9"/>
        <color theme="0"/>
        <rFont val="Arial"/>
        <family val="2"/>
      </rPr>
      <t>(Faturamento x Alíquota - Desconto)/Faturamento</t>
    </r>
  </si>
  <si>
    <t>Mínimo</t>
  </si>
  <si>
    <t>Máximo</t>
  </si>
  <si>
    <t>SIMPLES NACIONAL - Impostos sobre faturamento por fonte de receita</t>
  </si>
  <si>
    <t>Fonte de receita</t>
  </si>
  <si>
    <t>TOTAL de impostos sobre faturamento</t>
  </si>
  <si>
    <t>Alíquotas do ICMS por UF</t>
  </si>
  <si>
    <t>UF</t>
  </si>
  <si>
    <t>Produto</t>
  </si>
  <si>
    <t>AC</t>
  </si>
  <si>
    <t>AL</t>
  </si>
  <si>
    <t>AM</t>
  </si>
  <si>
    <t>AP</t>
  </si>
  <si>
    <t>BA</t>
  </si>
  <si>
    <t>CE</t>
  </si>
  <si>
    <t>DF</t>
  </si>
  <si>
    <t>ES</t>
  </si>
  <si>
    <t>GO</t>
  </si>
  <si>
    <t>MA</t>
  </si>
  <si>
    <t>MT</t>
  </si>
  <si>
    <t>MS</t>
  </si>
  <si>
    <t>MG</t>
  </si>
  <si>
    <t>PA</t>
  </si>
  <si>
    <t>PB</t>
  </si>
  <si>
    <t>PR</t>
  </si>
  <si>
    <t>PE</t>
  </si>
  <si>
    <t>PI</t>
  </si>
  <si>
    <t>RN</t>
  </si>
  <si>
    <t>RS</t>
  </si>
  <si>
    <t>RJ</t>
  </si>
  <si>
    <t>RO</t>
  </si>
  <si>
    <t>RR</t>
  </si>
  <si>
    <t>SC</t>
  </si>
  <si>
    <t>SP</t>
  </si>
  <si>
    <t>SE</t>
  </si>
  <si>
    <t>TO</t>
  </si>
  <si>
    <t>Estado da operação :</t>
  </si>
  <si>
    <t>Alíquotas de impostos sobre faturamento e lucro por tipo de receita</t>
  </si>
  <si>
    <t>Tipo de receita / Imposto</t>
  </si>
  <si>
    <t>Alíquota
sobre
faturamento</t>
  </si>
  <si>
    <t>Alíquota
sobre renda</t>
  </si>
  <si>
    <t>PIS</t>
  </si>
  <si>
    <t>COFINS</t>
  </si>
  <si>
    <t>Base IRPJ</t>
  </si>
  <si>
    <t>Base CSSL</t>
  </si>
  <si>
    <t>Alíquota IRPJ corrigida</t>
  </si>
  <si>
    <t>Alíquota CSLL corrigida</t>
  </si>
  <si>
    <t>Alíquota sobre faturamento</t>
  </si>
  <si>
    <t>Alíquota sobre renda</t>
  </si>
  <si>
    <t>ISS</t>
  </si>
  <si>
    <t>ICMS</t>
  </si>
  <si>
    <t>Transporte</t>
  </si>
  <si>
    <t>Locações</t>
  </si>
  <si>
    <t>Patrocínios</t>
  </si>
  <si>
    <t>LUCRO PRESUMIDO - Impostos sobre faturamento por fonte de receita</t>
  </si>
  <si>
    <t>LUCRO PRESUMIDO - IRPJ</t>
  </si>
  <si>
    <t>Adicional IRPJ</t>
  </si>
  <si>
    <t>TOTAL IRPJ - Lucro Presumido</t>
  </si>
  <si>
    <t>LUCRO PRESUMIDO - CSLL</t>
  </si>
  <si>
    <t>TOTAL CSSL - Lucro Presumido</t>
  </si>
  <si>
    <t>Impostos totais - Lucro Presumido</t>
  </si>
  <si>
    <t>Alíquota total - Lucro Presumido</t>
  </si>
  <si>
    <t>LUCRO REAL - Impostos sobre faturamento por fonte de receita</t>
  </si>
  <si>
    <t>SERVIÇOS</t>
  </si>
  <si>
    <t>OUTROS</t>
  </si>
  <si>
    <t>LUCRO REAL - Custos para cálculo do IRPJ</t>
  </si>
  <si>
    <t>Componente</t>
  </si>
  <si>
    <t>Tributos sobre receita bruta</t>
  </si>
  <si>
    <t>OPEX</t>
  </si>
  <si>
    <t>UGCs</t>
  </si>
  <si>
    <t>Encargos</t>
  </si>
  <si>
    <t>Depreciação</t>
  </si>
  <si>
    <t>Amortização de financiamentos</t>
  </si>
  <si>
    <t>TOTAL de custos para desconto</t>
  </si>
  <si>
    <t xml:space="preserve">Receita bruta - Custos  </t>
  </si>
  <si>
    <t>CSSL</t>
  </si>
  <si>
    <t>TOTAL de tributos sobre lucro</t>
  </si>
  <si>
    <t>Alíquota total - Lucro Real</t>
  </si>
  <si>
    <t>Cálculo da Variação da Necessidade de Fluxo de Caixa (NCG)</t>
  </si>
  <si>
    <t>Médias Diárias</t>
  </si>
  <si>
    <r>
      <rPr>
        <sz val="9"/>
        <color theme="1"/>
        <rFont val="Arial"/>
        <family val="2"/>
      </rPr>
      <t xml:space="preserve">Receitas (cálculo de </t>
    </r>
    <r>
      <rPr>
        <i/>
        <sz val="9"/>
        <color theme="1"/>
        <rFont val="Arial"/>
        <family val="2"/>
      </rPr>
      <t>Contas a Receber</t>
    </r>
    <r>
      <rPr>
        <sz val="9"/>
        <color theme="1"/>
        <rFont val="Arial"/>
        <family val="2"/>
      </rPr>
      <t>)</t>
    </r>
  </si>
  <si>
    <t>Gastos com Materiais Diretos</t>
  </si>
  <si>
    <t>Gastos com Mão-de-Obra Direta (MOD)</t>
  </si>
  <si>
    <t>Gastos com Outros Custos Diretos</t>
  </si>
  <si>
    <t>Gastos com Custos Indiretos</t>
  </si>
  <si>
    <t>Gastos com Salários (Administrativos e Comerciais)</t>
  </si>
  <si>
    <t>Gastos com Despesas</t>
  </si>
  <si>
    <t>Gastos com Tributos</t>
  </si>
  <si>
    <t>Prazos Médios (para Estoques, Recbtos e Pgtos)</t>
  </si>
  <si>
    <t>Prazo Médio de Recebimento (de Vendas)</t>
  </si>
  <si>
    <t>Prazo Médio de Pagamento de Compras de Materiais Diretos</t>
  </si>
  <si>
    <t>Prazo Médio de Pagamento de Mão-de-Obra Direta (MOD)</t>
  </si>
  <si>
    <t>Prazo Médio de Pagamento de Outros Custos Diretos</t>
  </si>
  <si>
    <t>Prazo Médio de Pagamento de Custos Indiretos de Fabricação (CIF)</t>
  </si>
  <si>
    <t>Prazo Médio de Pagamento de Salários (Administrativos e Comerciais)</t>
  </si>
  <si>
    <t>Prazo Médio de Pagamento de Despesas de Operação</t>
  </si>
  <si>
    <t>Prazo Médio de Pagamento de Despesas Administrativas</t>
  </si>
  <si>
    <t>Prazo Médio de Pagamento de Despesas Comerciais</t>
  </si>
  <si>
    <t>Prazo Médio de Pagamento de Despesas de Operações Financeiras</t>
  </si>
  <si>
    <t>Prazo Médio de Pagamento de Tributos</t>
  </si>
  <si>
    <t>Investimentos em Capital de Giro (Valores Médios)</t>
  </si>
  <si>
    <t>Contas a Receber</t>
  </si>
  <si>
    <t>Caixa Mínimo (para Emergências e Oportunidades)</t>
  </si>
  <si>
    <t>Total dos Investimentos em Capital de Giro</t>
  </si>
  <si>
    <t>Fontes de Financiamento de Capital de Giro (Valores Médios)</t>
  </si>
  <si>
    <t>Fornecedores - Materiais Diretos</t>
  </si>
  <si>
    <t>Mão-de-Obra Direta a Pagar</t>
  </si>
  <si>
    <t>Outros Custos Diretos a Pagar</t>
  </si>
  <si>
    <t>Custos Indiretos de Fabricação a Pagar</t>
  </si>
  <si>
    <t>Salários a Pagar</t>
  </si>
  <si>
    <t>Despesas de Operação a Pagar</t>
  </si>
  <si>
    <t>Impostos Não-Cumulativos a Pagar</t>
  </si>
  <si>
    <t>Total das Fontes de Financiamento do Capital de Giro</t>
  </si>
  <si>
    <t>Necessidade de Capital de Giro (NCG)</t>
  </si>
  <si>
    <t>Variação da Necessidade de Capital de Giro (Var. NCG)</t>
  </si>
  <si>
    <t>Fluxo de Caixa de Financiamento</t>
  </si>
  <si>
    <t>Premissas</t>
  </si>
  <si>
    <t>Parâmetros do financiamento</t>
  </si>
  <si>
    <t>Duração do projeto</t>
  </si>
  <si>
    <t>Proporção financiada do CAPEX inicial :</t>
  </si>
  <si>
    <t>Variáveis de entrada</t>
  </si>
  <si>
    <t>Proporção financiada do Capital de Giro inicial :</t>
  </si>
  <si>
    <t>Capex inicial</t>
  </si>
  <si>
    <t>Capital de giro inicial</t>
  </si>
  <si>
    <t>Total a financiar</t>
  </si>
  <si>
    <t>Principal</t>
  </si>
  <si>
    <t>Duração do empréstimo (anos)</t>
  </si>
  <si>
    <t>Alíquota do IOF</t>
  </si>
  <si>
    <t>IOF devido</t>
  </si>
  <si>
    <t>Valor financiado (VP)</t>
  </si>
  <si>
    <t>Taxa de juros efetiva anual</t>
  </si>
  <si>
    <t>Taxa de juros nominal anual</t>
  </si>
  <si>
    <t>Periodicidade dos pagamentos</t>
  </si>
  <si>
    <t>Mensal</t>
  </si>
  <si>
    <t>Número de pagamentos por ano</t>
  </si>
  <si>
    <t>Método de financiamento</t>
  </si>
  <si>
    <t>PRICE</t>
  </si>
  <si>
    <t>Fluxo de caixa de financiamento (FCF) - projeto de 30 anos - PRICE</t>
  </si>
  <si>
    <t>Saídas</t>
  </si>
  <si>
    <t>Amortização</t>
  </si>
  <si>
    <t>Juros</t>
  </si>
  <si>
    <t>Total de Saídas</t>
  </si>
  <si>
    <t>Entradas</t>
  </si>
  <si>
    <t>Financiamento de capital</t>
  </si>
  <si>
    <t>Total de Entradas</t>
  </si>
  <si>
    <t>FLUXO DE CAIXA DE FINANCIAMENTO</t>
  </si>
  <si>
    <t>Saldo devedor</t>
  </si>
  <si>
    <t>Fluxo de caixa de financiamento (FCF) - projeto de 30 anos - SAC</t>
  </si>
  <si>
    <t>Número de pagamentos</t>
  </si>
  <si>
    <t>Trimestral</t>
  </si>
  <si>
    <t>Semestral</t>
  </si>
  <si>
    <t>Anual</t>
  </si>
  <si>
    <t>Resultados financiamento para DRE</t>
  </si>
  <si>
    <t>(+) Entradas e (-) Amortizações de Financiamentos</t>
  </si>
  <si>
    <t>(-) Despesas Financeiras Líquidas (Juros)</t>
  </si>
  <si>
    <t>Fluxo de Caixa Livre</t>
  </si>
  <si>
    <t>Relação OPEX / Renda bruta</t>
  </si>
  <si>
    <t>Relação EBITDA/Receita Bruta</t>
  </si>
  <si>
    <t>Receita bruta</t>
  </si>
  <si>
    <t>Deduções da receita</t>
  </si>
  <si>
    <t>Mão de obra direta</t>
  </si>
  <si>
    <t>Custos diretos</t>
  </si>
  <si>
    <t>Custos indiretos</t>
  </si>
  <si>
    <t>Despesas operacionais</t>
  </si>
  <si>
    <t>Manutenção de ativos</t>
  </si>
  <si>
    <t>EBTIDA</t>
  </si>
  <si>
    <t>CAPEX</t>
  </si>
  <si>
    <t>Imóveis</t>
  </si>
  <si>
    <t>CAIXA UGCs</t>
  </si>
  <si>
    <t>ENCARGO</t>
  </si>
  <si>
    <t>Mão de obra</t>
  </si>
  <si>
    <t>Monitoria</t>
  </si>
  <si>
    <t>Pesquisa</t>
  </si>
  <si>
    <t>Atendimento médico</t>
  </si>
  <si>
    <t>Jardinagem</t>
  </si>
  <si>
    <t>Trilhas</t>
  </si>
  <si>
    <t>Fluxo de caixa - 30 anos</t>
  </si>
  <si>
    <t>RECEITA OPERACIONAL BRUTA</t>
  </si>
  <si>
    <t>(-) Impostos sobre o faturamento</t>
  </si>
  <si>
    <t>(=) RECEITA OPERACIONAL LÍQUIDA</t>
  </si>
  <si>
    <t>(-) Custo com Pessoal Operacional</t>
  </si>
  <si>
    <t>(-) Custo Operacional Direto e Indireto</t>
  </si>
  <si>
    <t>(-) Custo com Pagamento de outorga</t>
  </si>
  <si>
    <t>(-) Custo com Pagamento dos macrotemas</t>
  </si>
  <si>
    <t>(-) Custos Operacionais Diretos e Indiretos</t>
  </si>
  <si>
    <t>(-) Despesas com Pessoal Administrativo</t>
  </si>
  <si>
    <t>(-) Despesas Administrativas</t>
  </si>
  <si>
    <t>(-) Despesas Administrativas Totais</t>
  </si>
  <si>
    <t>(-) CUSTOS OPERACIONAIS TOTAIS</t>
  </si>
  <si>
    <t>(=) EBITDA</t>
  </si>
  <si>
    <t>(-) Depreciação</t>
  </si>
  <si>
    <t>(=) EBIT</t>
  </si>
  <si>
    <t>(=) LUCRO ANTES DOS IMPOSTOS</t>
  </si>
  <si>
    <t>(-) Impostos e Contribuições sobre a Renda</t>
  </si>
  <si>
    <t>(=) Lucro Líquido</t>
  </si>
  <si>
    <t>(+) Depreciação</t>
  </si>
  <si>
    <t>(±) Variação do Capital de Giro</t>
  </si>
  <si>
    <t>(-) Investimentos e reenvestimentos</t>
  </si>
  <si>
    <t>(+) Vendas de ativos e valor de liquidação</t>
  </si>
  <si>
    <t>(=) Fluxo de Caixa do Acionista (FCA)</t>
  </si>
  <si>
    <t>Fluxo para payback simples</t>
  </si>
  <si>
    <t>Ano do payback simples</t>
  </si>
  <si>
    <t>Fluxo de caixa descontado</t>
  </si>
  <si>
    <t>Fluxo para payback descontado</t>
  </si>
  <si>
    <t>Ano do payback descontado</t>
  </si>
  <si>
    <t>(=)Fluxo de Caixa Operacional</t>
  </si>
  <si>
    <t>(=) Fluxo de Caixa de Investimentos</t>
  </si>
  <si>
    <t>(=) Fluxo de Caixa do Projeto (FCP)</t>
  </si>
  <si>
    <t>VPL Projeto :</t>
  </si>
  <si>
    <t>VPL Concessionário :</t>
  </si>
  <si>
    <t>VP outorga :</t>
  </si>
  <si>
    <t>VP macrotemas :</t>
  </si>
  <si>
    <t>VP tibutos :</t>
  </si>
  <si>
    <t>TIR :</t>
  </si>
  <si>
    <t>TIR modificada :</t>
  </si>
  <si>
    <t>Payback simples (anos) :</t>
  </si>
  <si>
    <t>Payback descontado (anos) :</t>
  </si>
  <si>
    <t>B/C :</t>
  </si>
  <si>
    <t>Tipo OPEX</t>
  </si>
  <si>
    <t>Custo com Pessoal Operacional</t>
  </si>
  <si>
    <t>Custo Operacional Direto e Indireto</t>
  </si>
  <si>
    <t>Custo com Pagamento de outorga</t>
  </si>
  <si>
    <t xml:space="preserve">                    -  </t>
  </si>
  <si>
    <t xml:space="preserve">                   -  </t>
  </si>
  <si>
    <t>Custo com Pagamento dos macrotemas</t>
  </si>
  <si>
    <t>Despesas com Pessoal Administrativo</t>
  </si>
  <si>
    <t>Despesas Administrativas</t>
  </si>
  <si>
    <t>TOTAL OPEX</t>
  </si>
  <si>
    <t>Gastos Operacionais com Veículos</t>
  </si>
  <si>
    <t>Variáveis / Modelos de Veículos</t>
  </si>
  <si>
    <t>Mitsubishi L200 GL 
4x4 - AR/DH</t>
  </si>
  <si>
    <t>Saveiro</t>
  </si>
  <si>
    <t>Motocicleta
Honda CRF 150F</t>
  </si>
  <si>
    <t>Furgão 4x4 Volare</t>
  </si>
  <si>
    <t>Gastos Variáveis</t>
  </si>
  <si>
    <t>Gastos com Combustíveis</t>
  </si>
  <si>
    <t>Tipo de combustível</t>
  </si>
  <si>
    <t>Diesel</t>
  </si>
  <si>
    <t>Gasolina</t>
  </si>
  <si>
    <t>Preço combustível (R$/l)</t>
  </si>
  <si>
    <t>Consumo I (km/l) *</t>
  </si>
  <si>
    <t>Consumo II (l/km) *</t>
  </si>
  <si>
    <t>Gasto (R$/km)</t>
  </si>
  <si>
    <t>Gastos com Lubrificantes</t>
  </si>
  <si>
    <t>Preço óleo lubrificante (R$/l)</t>
  </si>
  <si>
    <t>Volume de óleo no carter (l)</t>
  </si>
  <si>
    <t>Quilometragem de troca</t>
  </si>
  <si>
    <t>Consumo óleo lubrificante (l/km)</t>
  </si>
  <si>
    <t>Gasto óleo (R$/km)</t>
  </si>
  <si>
    <t>Gastos com Filtros</t>
  </si>
  <si>
    <t>Preço filtro de óleo e ar (R$)</t>
  </si>
  <si>
    <t>Gastos com filtros por km (R$/km)</t>
  </si>
  <si>
    <t>Gastos com Pneus</t>
  </si>
  <si>
    <t>Número de Pneus</t>
  </si>
  <si>
    <t>Preço do Pneu (R$)</t>
  </si>
  <si>
    <t>Consumo por km (pneu/km)</t>
  </si>
  <si>
    <t>Custo por km (R$/km)</t>
  </si>
  <si>
    <t>Gastos com manutenção geral (peças e serviços de terceiros)</t>
  </si>
  <si>
    <t>Gasto médio por 10.000 km (R$)</t>
  </si>
  <si>
    <t>Gasto médio por km (R$)</t>
  </si>
  <si>
    <t>Gastos variáveis médios por km</t>
  </si>
  <si>
    <t>Quilômetros Rodados em Média por Ano</t>
  </si>
  <si>
    <t>Gastos Fixos</t>
  </si>
  <si>
    <t>Preço de aquisição (R$)</t>
  </si>
  <si>
    <t>Seguro veicular - dano e terceiros (R$ ano)</t>
  </si>
  <si>
    <t>-</t>
  </si>
  <si>
    <t>IPVA e Seguro Obrigatório (R$)</t>
  </si>
  <si>
    <t>Licenciamento</t>
  </si>
  <si>
    <t>* média de consumo na cidade.</t>
  </si>
  <si>
    <t>Tabela de Apoio à Análise de Sensibilidade - Variação de +1%</t>
  </si>
  <si>
    <t>Dif. %</t>
  </si>
  <si>
    <t xml:space="preserve">Sigla </t>
  </si>
  <si>
    <t>Parâmetro</t>
  </si>
  <si>
    <t>Bd</t>
  </si>
  <si>
    <t>Beta Desalavancado Internacional</t>
  </si>
  <si>
    <t>*Recreation</t>
  </si>
  <si>
    <t>Br</t>
  </si>
  <si>
    <t>Beta Realavancado Estrutura de Capital</t>
  </si>
  <si>
    <t>Rf</t>
  </si>
  <si>
    <t>Média 10 anos (Treasury Bonds 10)</t>
  </si>
  <si>
    <t>Média de juros internacionais</t>
  </si>
  <si>
    <t>Rp</t>
  </si>
  <si>
    <t>Média 10 anos Embi+</t>
  </si>
  <si>
    <t>Juros BR</t>
  </si>
  <si>
    <t>Cpi</t>
  </si>
  <si>
    <t>Média 10 anos Inflação EUA</t>
  </si>
  <si>
    <t>Rm</t>
  </si>
  <si>
    <t>S&amp;P500</t>
  </si>
  <si>
    <t>Rm-Rf</t>
  </si>
  <si>
    <t>Prêmio de Risco (RM-RF)</t>
  </si>
  <si>
    <t>Prêmio de risco</t>
  </si>
  <si>
    <t>T</t>
  </si>
  <si>
    <t>IR + CSLL</t>
  </si>
  <si>
    <t>IRPJ + AIRPJ</t>
  </si>
  <si>
    <t>D</t>
  </si>
  <si>
    <t>IDA_IPCA_INFRA (Anbima)</t>
  </si>
  <si>
    <t>IPCA</t>
  </si>
  <si>
    <t>D Liq IR</t>
  </si>
  <si>
    <t>D (Real)</t>
  </si>
  <si>
    <t>Custo da dívida (real)</t>
  </si>
  <si>
    <t>E (E+D)</t>
  </si>
  <si>
    <t>Proporção Capital Prórprio</t>
  </si>
  <si>
    <t>D (E+D)</t>
  </si>
  <si>
    <t>Proporção Dívida</t>
  </si>
  <si>
    <t>Re (nominal)</t>
  </si>
  <si>
    <t>Retorno capital prório (nominal)</t>
  </si>
  <si>
    <t>Re (real)</t>
  </si>
  <si>
    <t>Retorno capital prório (real)</t>
  </si>
  <si>
    <t>Rd</t>
  </si>
  <si>
    <t>Wacc Real</t>
  </si>
  <si>
    <t>Wacc Nominal</t>
  </si>
  <si>
    <t>LstModoTrib</t>
  </si>
  <si>
    <t>TipoTrib</t>
  </si>
  <si>
    <t>SiglaMod</t>
  </si>
  <si>
    <t>CatReceita</t>
  </si>
  <si>
    <t>LstCstDireto</t>
  </si>
  <si>
    <t>TipoUGC</t>
  </si>
  <si>
    <t>CatInvest</t>
  </si>
  <si>
    <t>RegOutRecBruta</t>
  </si>
  <si>
    <t>LstPeriod</t>
  </si>
  <si>
    <t>Nome da lista</t>
  </si>
  <si>
    <t>Referência</t>
  </si>
  <si>
    <t>SN</t>
  </si>
  <si>
    <t>Nenhuma</t>
  </si>
  <si>
    <t>ListaUGC</t>
  </si>
  <si>
    <t>LP</t>
  </si>
  <si>
    <t>Mão-de-obra</t>
  </si>
  <si>
    <t>ListaCapex</t>
  </si>
  <si>
    <t>LR</t>
  </si>
  <si>
    <t>Ecoturismo</t>
  </si>
  <si>
    <t>Por UGC</t>
  </si>
  <si>
    <t>Aventura</t>
  </si>
  <si>
    <t>Gatilho faturamento</t>
  </si>
  <si>
    <t>Gatilho visitantes</t>
  </si>
  <si>
    <t>Patrocínio</t>
  </si>
  <si>
    <t>LstCatSN</t>
  </si>
  <si>
    <t>SNAnexoI</t>
  </si>
  <si>
    <t>SNAnexoII</t>
  </si>
  <si>
    <t>SNAnexoIII</t>
  </si>
  <si>
    <t>SNAnexoIV</t>
  </si>
  <si>
    <t>SNAnexoV</t>
  </si>
  <si>
    <t>Divisor DRE</t>
  </si>
  <si>
    <t>Limite LP</t>
  </si>
  <si>
    <t>Função</t>
  </si>
  <si>
    <t>Guriú (móvel)</t>
  </si>
  <si>
    <t>Recepcionista</t>
  </si>
  <si>
    <t>Monitor</t>
  </si>
  <si>
    <t>Supervisor</t>
  </si>
  <si>
    <t>Estacionamento</t>
  </si>
  <si>
    <t>Hospedagem</t>
  </si>
  <si>
    <t>Opex Total</t>
  </si>
  <si>
    <t>Rótulos de Linha</t>
  </si>
  <si>
    <t>Soma de Total</t>
  </si>
  <si>
    <t>Pavimentação com asfalto</t>
  </si>
  <si>
    <t>Total Geral</t>
  </si>
  <si>
    <t>quantidade</t>
  </si>
  <si>
    <t>PREÇO</t>
  </si>
  <si>
    <t>TIPO</t>
  </si>
  <si>
    <t>PREÁ - PORTAL DE ENTRADA</t>
  </si>
  <si>
    <t>Piso intertravado para pedestres</t>
  </si>
  <si>
    <t>PIC NOVO PREA</t>
  </si>
  <si>
    <t>PREÁ - COMÉRCIO</t>
  </si>
  <si>
    <t>1,0</t>
  </si>
  <si>
    <t>PREÁ-CV</t>
  </si>
  <si>
    <t>2,0</t>
  </si>
  <si>
    <t>6,0</t>
  </si>
  <si>
    <t>7,0</t>
  </si>
  <si>
    <t>Piso intertravado para veiculos</t>
  </si>
  <si>
    <t>Mesa com 6 cadeiras</t>
  </si>
  <si>
    <t>PREÁ-ALIMENTAÇÃO</t>
  </si>
  <si>
    <t>REFORMA DO PIC DO PREA</t>
  </si>
  <si>
    <t>PIC-PREÁ</t>
  </si>
  <si>
    <t>M2</t>
  </si>
  <si>
    <t>ÁRVORE DA PREGUIÇA - ALIMENTAÇÃO</t>
  </si>
  <si>
    <t>Deck de madeira</t>
  </si>
  <si>
    <t>ÁRVORE DA PREGUIÇA - DECK DE MADEIRA</t>
  </si>
  <si>
    <t>ÁRVORE DA PREGUIÇA - BANHEIROS</t>
  </si>
  <si>
    <t>Piso intertravado para veículos</t>
  </si>
  <si>
    <t xml:space="preserve">ÁRVORE DA PREGUIÇA </t>
  </si>
  <si>
    <t>Piso intertravado para pedestress</t>
  </si>
  <si>
    <t>SÍTIO DO SILVEIRA -CV</t>
  </si>
  <si>
    <t>SÍTIO DO SILVEIRA -HOSPEDAGEM-VESTIARIO</t>
  </si>
  <si>
    <t>SÍTIO DO SILVEIRA -COMÉRCIO</t>
  </si>
  <si>
    <t>Escaninho</t>
  </si>
  <si>
    <t>Mesas com 6 lugares</t>
  </si>
  <si>
    <t>SÍTIO DO SILVEIRA -GLAMPING</t>
  </si>
  <si>
    <t>BARRACAS</t>
  </si>
  <si>
    <t>SÍTIO DO SILVEIRA -REDÁRIO</t>
  </si>
  <si>
    <t>SÍTIO DO SILVEIRA -CHALÉS</t>
  </si>
  <si>
    <t>Postes de iluminação externo</t>
  </si>
  <si>
    <t>Piso de madeira para receber as barracas</t>
  </si>
  <si>
    <t>SÍTIO DO SILVEIRA</t>
  </si>
  <si>
    <t>LAGOA DO PARAISO - ALIMENTAÇÃO</t>
  </si>
  <si>
    <t>LAGOA DO PARAISO - COMÉRCIO</t>
  </si>
  <si>
    <t>LAGOA DO PARAISO - CV</t>
  </si>
  <si>
    <t>PRAIA DA MALHADA -APOIO</t>
  </si>
  <si>
    <t>SERROTE -CV- ALIMENTAÇÃO</t>
  </si>
  <si>
    <t>SERROTE -CV- COMÉRCIO</t>
  </si>
  <si>
    <t>SERROTE - CV</t>
  </si>
  <si>
    <t>Mesa com 6 lugares</t>
  </si>
  <si>
    <t>PEDRA FURADA - ESTACIONAMENTO</t>
  </si>
  <si>
    <t>PEDRA FURADA - ESTACIONAMENTO - ALIMENTAÇÃO</t>
  </si>
  <si>
    <t>MANGUE SECO - ESTACIONAMENTO-APOIO</t>
  </si>
  <si>
    <t>NOVO POSTO DE INFORMACAO E CONTROLE DO MANGUE SECO</t>
  </si>
  <si>
    <t>REFORMA DO PIC DE MANGUE SECO</t>
  </si>
  <si>
    <t xml:space="preserve">PIC MANGUE SECO  </t>
  </si>
  <si>
    <t xml:space="preserve">LAGOA GRANDE - ESTACIONAMENTO </t>
  </si>
  <si>
    <t>NOVO POSTO DE INFORMACAO E CONTROLE LAGOA GRANDE</t>
  </si>
  <si>
    <t>PIC LAGOA GRANDE</t>
  </si>
  <si>
    <t>QUANTIDADE</t>
  </si>
  <si>
    <t>UNID</t>
  </si>
  <si>
    <t>CUSTO UNIT</t>
  </si>
  <si>
    <t>REFORMA DE PONTES</t>
  </si>
  <si>
    <t>CONSTRUÇÃO DE PONTES</t>
  </si>
  <si>
    <t>REFORMA DA GUARITA DOS BOMBEIROS</t>
  </si>
  <si>
    <t>CERCA DE ARAME FARPADO</t>
  </si>
  <si>
    <t>METROS</t>
  </si>
  <si>
    <t>METRO</t>
  </si>
  <si>
    <t>PISTA DE CAMINHADA</t>
  </si>
  <si>
    <t>ESTRADA DE ASFALTO</t>
  </si>
  <si>
    <t>KM</t>
  </si>
  <si>
    <t>BIODIGESTORES</t>
  </si>
  <si>
    <t>EXTENSÃO DE REDE ELÉTRICA</t>
  </si>
  <si>
    <t>MIRANTES PEDRA FURADA EM MADEIRA</t>
  </si>
  <si>
    <t>ESCADARIA PEDRA FURADA EM MADEIRA</t>
  </si>
  <si>
    <t>POÇO ARTESIANO</t>
  </si>
  <si>
    <t>UNIDADES COM 30M DE PROFUNDIDADE CADA</t>
  </si>
  <si>
    <t>POR POÇO</t>
  </si>
  <si>
    <t>REFORMA DA SEDE DO ICMBIO</t>
  </si>
  <si>
    <t>cub+BDI</t>
  </si>
  <si>
    <t>AMPLIAÇÃO DA SEDE DO ICMBIO</t>
  </si>
  <si>
    <t>PONTO</t>
  </si>
  <si>
    <t>STATUS</t>
  </si>
  <si>
    <t>CATEGORIA</t>
  </si>
  <si>
    <t>LEGENDA</t>
  </si>
  <si>
    <t>DESCRICAO</t>
  </si>
  <si>
    <t>LONG_X</t>
  </si>
  <si>
    <t>LAT_Y</t>
  </si>
  <si>
    <t>JR_211</t>
  </si>
  <si>
    <t>EXISTENTE</t>
  </si>
  <si>
    <t>ESTRUTURA</t>
  </si>
  <si>
    <t>ESTACIONAMENTO</t>
  </si>
  <si>
    <t>ESTACIONAMENTO GUARITA DE VISITANTES JERICOACOARA</t>
  </si>
  <si>
    <t>JR_212</t>
  </si>
  <si>
    <t>SÍTIOS</t>
  </si>
  <si>
    <t>SÍTIO DO PAPAI NOEL - ÁREA A SER DESAPROPRIADA</t>
  </si>
  <si>
    <t>JR_213</t>
  </si>
  <si>
    <t>A CONSTRUIR</t>
  </si>
  <si>
    <t>PONTE</t>
  </si>
  <si>
    <t>INÍCIO DE PONTE A CONSTRUIR</t>
  </si>
  <si>
    <t>JR_214</t>
  </si>
  <si>
    <t>FIM DE PONTE A CONSTRUIR (PEGAR DIMENSÃO ENTRE PONTOS 213 E 214</t>
  </si>
  <si>
    <t>JR_215</t>
  </si>
  <si>
    <t>JR_216</t>
  </si>
  <si>
    <t>FIM DE PONTE A CONSTRUIR (PEGAR DIMENSÃO ENTRE PONTOS 215 E 216</t>
  </si>
  <si>
    <t>JR_217</t>
  </si>
  <si>
    <t>ATRATIVO / ATIVIDADE</t>
  </si>
  <si>
    <t>DUNAS</t>
  </si>
  <si>
    <t>PRIMEIRA DUNA APOS SÍTIO DO PAPAI NOEL (ESTUDAR TRAÇADOS)</t>
  </si>
  <si>
    <t>JR_218</t>
  </si>
  <si>
    <t>CAVALO MARINHO</t>
  </si>
  <si>
    <t>PASSEIO DO CAVALO MARINHO I (ESTRUTURA DE USO PUBLICO)</t>
  </si>
  <si>
    <t>JR_220</t>
  </si>
  <si>
    <t>PASSEIO DO CAVALO MARINHO II (ESTRUTURA DE USO PUBLICO)</t>
  </si>
  <si>
    <t>JR_221</t>
  </si>
  <si>
    <t>APOIO AO KITE</t>
  </si>
  <si>
    <t>POTENCIAL APOIO DE PRAIA (KITE, ESPORTES NÁUTICOS)</t>
  </si>
  <si>
    <t>JR_222</t>
  </si>
  <si>
    <t>BALSA</t>
  </si>
  <si>
    <t>PONTO DE TRAVESSIA DE CARROS NA BALSA PARA IR PARA GURIÚ E TATAJURA</t>
  </si>
  <si>
    <t>JR_222_2</t>
  </si>
  <si>
    <t>PORTAL DE ENTRADA</t>
  </si>
  <si>
    <t>PORTAL DE ENTRADA (ESTRUTURA MÓVEL)</t>
  </si>
  <si>
    <t>JR_223</t>
  </si>
  <si>
    <t>APOIO MÓVEL</t>
  </si>
  <si>
    <t>PONTO PARA ESTRUTURA MÓVEL - PROPOR PONTO DE INÍCIO DO USO DA PRAIA POR BANHISTAS</t>
  </si>
  <si>
    <t>JR_231</t>
  </si>
  <si>
    <t>A REFORMAR</t>
  </si>
  <si>
    <t>PONTE A REFORMAR (INICIO DA PONTE)</t>
  </si>
  <si>
    <t>JR_232</t>
  </si>
  <si>
    <t>FIM DA PONTE A REFORMAR (PEGAR DIMENSÃO ENTRE PONTOS 231 E 232)</t>
  </si>
  <si>
    <t>JR_233</t>
  </si>
  <si>
    <t>PONTE A REFORMAR  5,10M</t>
  </si>
  <si>
    <t>JR_234</t>
  </si>
  <si>
    <t>PONTE A REFORMAR 5,50M</t>
  </si>
  <si>
    <t>JR_235</t>
  </si>
  <si>
    <t>PONTE A REFORMAR 6,0M</t>
  </si>
  <si>
    <t>JR_236</t>
  </si>
  <si>
    <t>PIC</t>
  </si>
  <si>
    <t>GUARITA MANGUE SECO  4,20X4,20</t>
  </si>
  <si>
    <t>JR_238</t>
  </si>
  <si>
    <t>APOIO AO TURISTA</t>
  </si>
  <si>
    <t>PONTO DE APOIO - INICIO DA TRILHA ATÉ PEDRA FURADA</t>
  </si>
  <si>
    <t>JR_240</t>
  </si>
  <si>
    <t>PONTO DE APOIO AO KITE</t>
  </si>
  <si>
    <t>JR_243</t>
  </si>
  <si>
    <t>PONTE A CONSTRUIR SOBRE RIACHO VERDE</t>
  </si>
  <si>
    <t>JR_244</t>
  </si>
  <si>
    <t>ÁRVORE DA PREGUIÇA</t>
  </si>
  <si>
    <t>ARVORE DA PREGUIÇA (CONSTRUIR ESTRUTURA PARA LIMITAR VISITAÇÃO)</t>
  </si>
  <si>
    <t>JR_245</t>
  </si>
  <si>
    <t>PONTE DO RIACHO DOCE (MANUTENÇÃO)</t>
  </si>
  <si>
    <t>JR_246</t>
  </si>
  <si>
    <t>CENTRO DE VISITANTES</t>
  </si>
  <si>
    <t>CENTRO DE VISITANTES DO PREÁ</t>
  </si>
  <si>
    <t>JR_248</t>
  </si>
  <si>
    <t>ESTACIONAMENTO DO PREÁ</t>
  </si>
  <si>
    <t>JR_253</t>
  </si>
  <si>
    <t>POTENCIAL ESTACIONAMENTO NA LAGOA DO PARAÍSO</t>
  </si>
  <si>
    <t>JR_254</t>
  </si>
  <si>
    <t>HOSPEDAGEM</t>
  </si>
  <si>
    <t>HOSPEDAGEM NO SÍTIO DO SILVEIRAS</t>
  </si>
  <si>
    <t>JR_254_2</t>
  </si>
  <si>
    <t>SÍTIO  DO SILVEIRA - POTENCIAL HOSPEDAGEM A SER CONSTRUIDA</t>
  </si>
  <si>
    <t>JR_256</t>
  </si>
  <si>
    <t>PONTE DO SILVEIRA FIM (PEGAR DIMENSÃO ENTRE PONTOS 255 E 256)</t>
  </si>
  <si>
    <t>JR_257</t>
  </si>
  <si>
    <t>FAROL</t>
  </si>
  <si>
    <t>JR_259</t>
  </si>
  <si>
    <t>LOCAL PARA CENTRO DE VISITANTES</t>
  </si>
  <si>
    <t>JR_261</t>
  </si>
  <si>
    <t>DESOVA DE TARTARUGA</t>
  </si>
  <si>
    <t>ÁREA DE DESOVA DE TARTARUGA</t>
  </si>
  <si>
    <t>JR_264</t>
  </si>
  <si>
    <t>PONTE DO TRAÇADO INTERNO DO SÍTIO DO PAPAI NOEL - =- 25 A 30M</t>
  </si>
  <si>
    <t>JR_265</t>
  </si>
  <si>
    <t>PONTE DO TRAÇADO INTERNO DO SÍTIO DO PAPAI NOEL - =- 15 A 20M</t>
  </si>
  <si>
    <t>JR_270</t>
  </si>
  <si>
    <t>ESTACIONAMENTO DA TRILHA DA PEDRA FURADA (50 A 100 CARROS DIARIOS NA ALTA)</t>
  </si>
  <si>
    <t>JR_271</t>
  </si>
  <si>
    <t>FORMAÇÃO ROCHOSA</t>
  </si>
  <si>
    <t>PEDRA DO FRADE</t>
  </si>
  <si>
    <t>JR_272</t>
  </si>
  <si>
    <t>NATURAL</t>
  </si>
  <si>
    <t>INÍCIO DO TRECHO MAIS DIFICIL DA TRILHA (PEDRAS)</t>
  </si>
  <si>
    <t>JR_273</t>
  </si>
  <si>
    <t>FIM DO TRECHO MAIS DIFICIL DA TRILHA (PEDRAS)</t>
  </si>
  <si>
    <t>JR_274</t>
  </si>
  <si>
    <t>ESCADA</t>
  </si>
  <si>
    <t>INICIO DA ESCADA PARA SUBIDA DO SERROTE</t>
  </si>
  <si>
    <t>JR_275</t>
  </si>
  <si>
    <t>PATAMAR 01 DO PRIMEIRO LANCE DE ESCADA (PARTE MAIS INGRIME)</t>
  </si>
  <si>
    <t>JR_276</t>
  </si>
  <si>
    <t>PATAMAR 02</t>
  </si>
  <si>
    <t>JR_277</t>
  </si>
  <si>
    <t>PATAMAR 03</t>
  </si>
  <si>
    <t>JR_278</t>
  </si>
  <si>
    <t>PATAMAR 04</t>
  </si>
  <si>
    <t>JR_279</t>
  </si>
  <si>
    <t>ÁREAS PARA PLATÔS DIVERSOS EM VARIOS NIVEIS (EX. GLACIER POINT) PONTO MAIS PROXIMO DO PENHASCO</t>
  </si>
  <si>
    <t>JR_280</t>
  </si>
  <si>
    <t>PONTO MAIS PERTO DO BARRANCO (DISTÂNCIA DE 24M EM RELACAO AO PONTO 279)</t>
  </si>
  <si>
    <t>JR_281</t>
  </si>
  <si>
    <t>PONTO MAIS A ESQUERDA</t>
  </si>
  <si>
    <t>JR_282</t>
  </si>
  <si>
    <t>PONTO MAIS A DIREITA PROXIMO A ESCADA (DISTANCIA DE 24M EM RELACAO AO PONTO 281)</t>
  </si>
  <si>
    <t>JR_283</t>
  </si>
  <si>
    <t>PONTO MAIS ALTO DA PRACA CENTRAL DO DECK</t>
  </si>
  <si>
    <t>JR_284</t>
  </si>
  <si>
    <t>PONTO PLATO MIRANTE</t>
  </si>
  <si>
    <t>JR_285</t>
  </si>
  <si>
    <t>PONTO FINAL DA ESCADA</t>
  </si>
  <si>
    <t>JR_288</t>
  </si>
  <si>
    <t>LAGOA</t>
  </si>
  <si>
    <t>LAGOA DO PARAISO</t>
  </si>
  <si>
    <t>JR_290</t>
  </si>
  <si>
    <t>PONTO DE APOIO DA LAGOA DO PARAISO (PARTE ALTA JÁ DESMATADA)</t>
  </si>
  <si>
    <t>JR_291</t>
  </si>
  <si>
    <t>GUARITA DA LAGOA GRANDE</t>
  </si>
  <si>
    <t>JR_292</t>
  </si>
  <si>
    <t>LAGOA DO AMANCIO</t>
  </si>
  <si>
    <t>JR_293</t>
  </si>
  <si>
    <t>PONTO ALTERNATIVO DE ESTRUTURA MOVEL DE VISITACAO</t>
  </si>
  <si>
    <t>JR_300</t>
  </si>
  <si>
    <t>PEDRA FURADA</t>
  </si>
  <si>
    <t>JR_301</t>
  </si>
  <si>
    <t>PRAIA DA MALHADA</t>
  </si>
  <si>
    <t>JR_302</t>
  </si>
  <si>
    <t>BANHEIRO DE APOIO</t>
  </si>
  <si>
    <t>BANHEIRO DE APOIO PARA BANHISTAS NA PRAIA DA MALHADA</t>
  </si>
  <si>
    <t>JR_303</t>
  </si>
  <si>
    <t>DUNA DO POR DO SOL</t>
  </si>
  <si>
    <t>JR_304</t>
  </si>
  <si>
    <t>LAGOA DOS HOMENS</t>
  </si>
  <si>
    <t>JR_305</t>
  </si>
  <si>
    <t>DUNA DO LIXÃO</t>
  </si>
  <si>
    <t>JR_306</t>
  </si>
  <si>
    <t>PONTE DO LINHÃO_01</t>
  </si>
  <si>
    <t>JR_307</t>
  </si>
  <si>
    <t>PONTE DO LINHÃO_02</t>
  </si>
  <si>
    <t>JR_308</t>
  </si>
  <si>
    <t>PONTE DO LINHÃO_03</t>
  </si>
  <si>
    <t>JR_309</t>
  </si>
  <si>
    <t>ESTACIONAMENTO_MANGUE_SECO</t>
  </si>
  <si>
    <t>JR_310</t>
  </si>
  <si>
    <t>ESTACIONAMENTO_LAGOA_GRANDE</t>
  </si>
  <si>
    <t>JR_311</t>
  </si>
  <si>
    <t>ESTACIONAMENTO_ARVORE_PREGUICA</t>
  </si>
  <si>
    <t>JR_312</t>
  </si>
  <si>
    <t>ESTACIONAMENTO_SILVEIRAS</t>
  </si>
  <si>
    <t>JR_313</t>
  </si>
  <si>
    <t>PIC PREA</t>
  </si>
  <si>
    <t>JR_314</t>
  </si>
  <si>
    <t>ESTACIONAMENTO_SERROTE</t>
  </si>
  <si>
    <t>Origem</t>
  </si>
  <si>
    <t>Conversão</t>
  </si>
  <si>
    <t>largura (2 vias de 4 m largura)</t>
  </si>
  <si>
    <t>Conservadrismo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</si>
</sst>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8" formatCode="&quot;R$&quot;\ #,##0.00;[Red]\-&quot;R$&quot;\ #,##0.00"/>
    <numFmt numFmtId="44" formatCode="_-&quot;R$&quot;\ * #,##0.00_-;\-&quot;R$&quot;\ * #,##0.00_-;_-&quot;R$&quot;\ * &quot;-&quot;??_-;_-@_-"/>
    <numFmt numFmtId="164" formatCode="_(* #,##0_);_(* \(#,##0\);_(* &quot;-&quot;_);_(@_)"/>
    <numFmt numFmtId="165" formatCode="_(* #,##0.00_);_(* \(#,##0.00\);_(* &quot;-&quot;??_);_(@_)"/>
    <numFmt numFmtId="166" formatCode="[$$-2C0A]\ #,##0.00000;[$$-2C0A]\ \-#,##0.00000"/>
    <numFmt numFmtId="167" formatCode="0.0%"/>
    <numFmt numFmtId="168" formatCode="_(* #,##0.0_);[Red]_(* \(#,##0.0\);_(* &quot;-&quot;??_);_(@_)"/>
    <numFmt numFmtId="169" formatCode="_(* #,##0.0_);_(* \(#,##0.0\);_(* &quot;-&quot;??_);_(@_)"/>
    <numFmt numFmtId="170" formatCode="_(* #,##0_);_(* \(#,##0\);_(* &quot;-&quot;??_);_(@_)"/>
    <numFmt numFmtId="171" formatCode="_(* #,##0.00000000_);_(* \(#,##0.00000000\);_(* &quot;-&quot;??_);_(@_)"/>
    <numFmt numFmtId="172" formatCode="_(* #,##0.000000_);_(* \(#,##0.000000\);_(* &quot;-&quot;??_);_(@_)"/>
    <numFmt numFmtId="173" formatCode="_(* #,##0.00000_);_(* \(#,##0.00000\);_(* &quot;-&quot;??_);_(@_)"/>
    <numFmt numFmtId="174" formatCode="_(* #,##0.0000000_);_(* \(#,##0.0000000\);_(* &quot;-&quot;??_);_(@_)"/>
    <numFmt numFmtId="175" formatCode="0.000%"/>
    <numFmt numFmtId="176" formatCode="_(* #,##0.000_);_(* \(#,##0.000\);_(* &quot;-&quot;??_);_(@_)"/>
    <numFmt numFmtId="177" formatCode="_(\ #,##0.00_);_(\ \(#,##0.00\);_(\ &quot;-&quot;??_);_(@_)"/>
    <numFmt numFmtId="178" formatCode="0.00%;;_(&quot;-&quot;??_);_(@_)"/>
    <numFmt numFmtId="179" formatCode="_(&quot;R$ &quot;* #,##0_);_(&quot;R$ &quot;* \(#,##0\);_(&quot;R$ &quot;* &quot;-&quot;??_);_(@_)"/>
    <numFmt numFmtId="180" formatCode="&quot;R$ &quot;#,##0.00_);[Red]\(&quot;R$ &quot;#,##0.00\)"/>
    <numFmt numFmtId="181" formatCode="_(* #,##0_);[Red]_(* \(#,##0\);_(* &quot;-&quot;??_);_(@_)"/>
    <numFmt numFmtId="182" formatCode="_(* #,##0.0_);_(* \(#,##0.0\);_(* &quot;-&quot;?_);_(@_)"/>
    <numFmt numFmtId="183" formatCode="_-&quot;R$&quot;\ * #,##0_-;\-&quot;R$&quot;\ * #,##0_-;_-&quot;R$&quot;\ * &quot;-&quot;??_-;_-@_-"/>
    <numFmt numFmtId="184" formatCode="_-* #,##0_-;\-* #,##0_-;_-* &quot;-&quot;?_-;_-@_-"/>
    <numFmt numFmtId="185" formatCode="[$$-2C0A]\ #,##0.00;[$$-2C0A]\ \-#,##0.00"/>
  </numFmts>
  <fonts count="110">
    <font>
      <sz val="12"/>
      <color theme="1"/>
      <name val="Arial"/>
    </font>
    <font>
      <sz val="12"/>
      <color theme="1"/>
      <name val="Calibri"/>
      <family val="2"/>
    </font>
    <font>
      <b/>
      <sz val="12"/>
      <color theme="1"/>
      <name val="Avenir"/>
      <family val="2"/>
    </font>
    <font>
      <sz val="11"/>
      <color theme="1"/>
      <name val="Avenir"/>
      <family val="2"/>
    </font>
    <font>
      <sz val="11"/>
      <color theme="1"/>
      <name val="Calibri"/>
      <family val="2"/>
    </font>
    <font>
      <b/>
      <sz val="11"/>
      <color theme="0"/>
      <name val="Avenir"/>
      <family val="2"/>
    </font>
    <font>
      <sz val="12"/>
      <name val="Arial"/>
      <family val="2"/>
    </font>
    <font>
      <sz val="12"/>
      <color theme="1"/>
      <name val="Avenir"/>
      <family val="2"/>
    </font>
    <font>
      <sz val="10"/>
      <color theme="1"/>
      <name val="Avenir"/>
      <family val="2"/>
    </font>
    <font>
      <b/>
      <sz val="11"/>
      <color theme="1"/>
      <name val="Avenir"/>
      <family val="2"/>
    </font>
    <font>
      <b/>
      <sz val="10"/>
      <color theme="4"/>
      <name val="Avenir"/>
      <family val="2"/>
    </font>
    <font>
      <b/>
      <sz val="10"/>
      <color theme="1"/>
      <name val="Avenir"/>
      <family val="2"/>
    </font>
    <font>
      <b/>
      <sz val="12"/>
      <color theme="4"/>
      <name val="Avenir"/>
      <family val="2"/>
    </font>
    <font>
      <b/>
      <sz val="11"/>
      <color rgb="FF548135"/>
      <name val="Avenir"/>
      <family val="2"/>
    </font>
    <font>
      <b/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4"/>
      <color theme="0"/>
      <name val="Calibri"/>
      <family val="2"/>
    </font>
    <font>
      <b/>
      <sz val="12"/>
      <color theme="0"/>
      <name val="Calibri"/>
      <family val="2"/>
    </font>
    <font>
      <b/>
      <sz val="14"/>
      <color theme="1"/>
      <name val="Calibri"/>
      <family val="2"/>
    </font>
    <font>
      <b/>
      <i/>
      <sz val="11"/>
      <color theme="0"/>
      <name val="Calibri"/>
      <family val="2"/>
    </font>
    <font>
      <b/>
      <sz val="11"/>
      <color rgb="FF0000FF"/>
      <name val="Calibri"/>
      <family val="2"/>
    </font>
    <font>
      <b/>
      <sz val="11"/>
      <color rgb="FFFF0000"/>
      <name val="Calibri"/>
      <family val="2"/>
    </font>
    <font>
      <b/>
      <sz val="11"/>
      <color rgb="FF008000"/>
      <name val="Calibri"/>
      <family val="2"/>
    </font>
    <font>
      <sz val="12"/>
      <color rgb="FFD8D8D8"/>
      <name val="Calibri"/>
      <family val="2"/>
    </font>
    <font>
      <sz val="12"/>
      <color rgb="FF9C6500"/>
      <name val="Calibri"/>
      <family val="2"/>
    </font>
    <font>
      <b/>
      <sz val="12"/>
      <color rgb="FF800000"/>
      <name val="Calibri"/>
      <family val="2"/>
    </font>
    <font>
      <sz val="11"/>
      <color theme="0"/>
      <name val="Calibri"/>
      <family val="2"/>
    </font>
    <font>
      <b/>
      <sz val="10"/>
      <color theme="0"/>
      <name val="Calibri"/>
      <family val="2"/>
    </font>
    <font>
      <sz val="9"/>
      <color rgb="FF000080"/>
      <name val="Arial"/>
      <family val="2"/>
    </font>
    <font>
      <sz val="12"/>
      <color rgb="FF000000"/>
      <name val="Calibri"/>
      <family val="2"/>
    </font>
    <font>
      <u/>
      <sz val="10"/>
      <color theme="10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2F5496"/>
      <name val="Arial"/>
      <family val="2"/>
    </font>
    <font>
      <i/>
      <sz val="9"/>
      <color theme="1"/>
      <name val="Arial"/>
      <family val="2"/>
    </font>
    <font>
      <sz val="11"/>
      <color theme="1"/>
      <name val="Arial"/>
      <family val="2"/>
    </font>
    <font>
      <u/>
      <sz val="10"/>
      <color theme="10"/>
      <name val="Noto Sans Symbols"/>
    </font>
    <font>
      <b/>
      <sz val="14"/>
      <color rgb="FFFFFFFF"/>
      <name val="Arial"/>
      <family val="2"/>
    </font>
    <font>
      <b/>
      <i/>
      <sz val="10"/>
      <color theme="1"/>
      <name val="Arial"/>
      <family val="2"/>
    </font>
    <font>
      <sz val="9"/>
      <color rgb="FF1F3864"/>
      <name val="Arial"/>
      <family val="2"/>
    </font>
    <font>
      <b/>
      <i/>
      <sz val="9"/>
      <color theme="0"/>
      <name val="Arial"/>
      <family val="2"/>
    </font>
    <font>
      <b/>
      <sz val="9"/>
      <color theme="0"/>
      <name val="Arial"/>
      <family val="2"/>
    </font>
    <font>
      <sz val="12"/>
      <color theme="0"/>
      <name val="Calibri"/>
      <family val="2"/>
    </font>
    <font>
      <sz val="12"/>
      <color rgb="FF1F3864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i/>
      <sz val="10"/>
      <color theme="1"/>
      <name val="Calibri"/>
      <family val="2"/>
    </font>
    <font>
      <b/>
      <sz val="10"/>
      <color rgb="FFFFFFFF"/>
      <name val="Arial"/>
      <family val="2"/>
    </font>
    <font>
      <b/>
      <sz val="8"/>
      <color rgb="FFFFFFFF"/>
      <name val="Arial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10"/>
      <color rgb="FF0000FF"/>
      <name val="Arial"/>
      <family val="2"/>
    </font>
    <font>
      <sz val="10"/>
      <color theme="0"/>
      <name val="Calibri"/>
      <family val="2"/>
    </font>
    <font>
      <sz val="10"/>
      <color rgb="FF1F3864"/>
      <name val="Calibri"/>
      <family val="2"/>
    </font>
    <font>
      <sz val="8"/>
      <color theme="0"/>
      <name val="Calibri"/>
      <family val="2"/>
    </font>
    <font>
      <sz val="10"/>
      <color theme="1"/>
      <name val="Calibri"/>
      <family val="2"/>
    </font>
    <font>
      <i/>
      <sz val="10"/>
      <color theme="1"/>
      <name val="Arial"/>
      <family val="2"/>
    </font>
    <font>
      <b/>
      <sz val="9"/>
      <color rgb="FF002060"/>
      <name val="Arial"/>
      <family val="2"/>
    </font>
    <font>
      <sz val="9"/>
      <color rgb="FF0000FF"/>
      <name val="Arial"/>
      <family val="2"/>
    </font>
    <font>
      <b/>
      <i/>
      <sz val="9"/>
      <color theme="1"/>
      <name val="Arial"/>
      <family val="2"/>
    </font>
    <font>
      <sz val="9"/>
      <color theme="0"/>
      <name val="Arial"/>
      <family val="2"/>
    </font>
    <font>
      <sz val="9"/>
      <color rgb="FF000000"/>
      <name val="Arial"/>
      <family val="2"/>
    </font>
    <font>
      <b/>
      <sz val="11"/>
      <color theme="0"/>
      <name val="Calibri"/>
      <family val="2"/>
    </font>
    <font>
      <sz val="14"/>
      <color theme="0"/>
      <name val="Calibri"/>
      <family val="2"/>
    </font>
    <font>
      <b/>
      <sz val="14"/>
      <color theme="4"/>
      <name val="Calibri"/>
      <family val="2"/>
    </font>
    <font>
      <b/>
      <sz val="12"/>
      <color theme="4"/>
      <name val="Calibri"/>
      <family val="2"/>
    </font>
    <font>
      <b/>
      <sz val="12"/>
      <color rgb="FFFFFFFF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Arial"/>
      <family val="2"/>
    </font>
    <font>
      <b/>
      <sz val="9"/>
      <color rgb="FF0000FF"/>
      <name val="Arial"/>
      <family val="2"/>
    </font>
    <font>
      <b/>
      <i/>
      <sz val="12"/>
      <color theme="1"/>
      <name val="Calibri"/>
      <family val="2"/>
    </font>
    <font>
      <b/>
      <i/>
      <sz val="11"/>
      <color theme="1"/>
      <name val="Arial"/>
      <family val="2"/>
    </font>
    <font>
      <sz val="11"/>
      <color rgb="FFFF0000"/>
      <name val="Calibri"/>
      <family val="2"/>
    </font>
    <font>
      <b/>
      <sz val="10"/>
      <color theme="1"/>
      <name val="Calibri"/>
      <family val="2"/>
    </font>
    <font>
      <b/>
      <sz val="12"/>
      <color theme="0"/>
      <name val="Arial"/>
      <family val="2"/>
    </font>
    <font>
      <b/>
      <sz val="9"/>
      <color rgb="FF003366"/>
      <name val="Arial"/>
      <family val="2"/>
    </font>
    <font>
      <b/>
      <i/>
      <sz val="9"/>
      <color rgb="FF003366"/>
      <name val="Arial"/>
      <family val="2"/>
    </font>
    <font>
      <sz val="9"/>
      <color rgb="FF003366"/>
      <name val="Arial"/>
      <family val="2"/>
    </font>
    <font>
      <b/>
      <sz val="9"/>
      <color rgb="FFC0C0C0"/>
      <name val="Arial"/>
      <family val="2"/>
    </font>
    <font>
      <sz val="9"/>
      <color rgb="FFC0C0C0"/>
      <name val="Arial"/>
      <family val="2"/>
    </font>
    <font>
      <b/>
      <i/>
      <sz val="14"/>
      <color theme="1"/>
      <name val="Calibri"/>
      <family val="2"/>
    </font>
    <font>
      <b/>
      <i/>
      <sz val="16"/>
      <color theme="1"/>
      <name val="Calibri"/>
      <family val="2"/>
    </font>
    <font>
      <sz val="14"/>
      <color theme="1"/>
      <name val="Calibri"/>
      <family val="2"/>
    </font>
    <font>
      <sz val="12"/>
      <color rgb="FF222222"/>
      <name val="Calibri"/>
      <family val="2"/>
    </font>
    <font>
      <sz val="12"/>
      <color theme="4"/>
      <name val="Calibri"/>
      <family val="2"/>
    </font>
    <font>
      <b/>
      <sz val="12"/>
      <color rgb="FF222222"/>
      <name val="Calibri"/>
      <family val="2"/>
    </font>
    <font>
      <sz val="12"/>
      <color rgb="FFC5E0B3"/>
      <name val="Calibri"/>
      <family val="2"/>
    </font>
    <font>
      <b/>
      <i/>
      <sz val="9"/>
      <color rgb="FF0000FF"/>
      <name val="Arial"/>
      <family val="2"/>
    </font>
    <font>
      <sz val="12"/>
      <color rgb="FF333333"/>
      <name val="Calibri"/>
      <family val="2"/>
    </font>
    <font>
      <sz val="12"/>
      <color theme="1"/>
      <name val="Arial"/>
      <family val="2"/>
    </font>
    <font>
      <sz val="12"/>
      <color rgb="FFFF0000"/>
      <name val="Calibri"/>
      <family val="2"/>
    </font>
    <font>
      <b/>
      <sz val="11"/>
      <color theme="1"/>
      <name val="Bahnschrift"/>
      <family val="2"/>
    </font>
    <font>
      <u val="singleAccounting"/>
      <sz val="12"/>
      <color theme="1"/>
      <name val="Calibri"/>
      <family val="2"/>
    </font>
    <font>
      <u/>
      <sz val="11"/>
      <color theme="1"/>
      <name val="Calibri"/>
      <family val="2"/>
    </font>
    <font>
      <sz val="11"/>
      <name val="Avenir"/>
      <family val="2"/>
    </font>
    <font>
      <b/>
      <sz val="12"/>
      <color rgb="FFFFFFFF"/>
      <name val="Calibri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1"/>
      <name val="Avenir"/>
      <family val="2"/>
    </font>
    <font>
      <i/>
      <sz val="12"/>
      <color theme="1"/>
      <name val="Arial"/>
      <family val="2"/>
    </font>
    <font>
      <sz val="12"/>
      <color theme="1"/>
      <name val="Helvetica"/>
      <family val="2"/>
    </font>
    <font>
      <sz val="11"/>
      <color theme="1"/>
      <name val="Helvetica"/>
      <family val="2"/>
    </font>
    <font>
      <sz val="12"/>
      <color rgb="FF44546A"/>
      <name val="Helvetica"/>
      <family val="2"/>
    </font>
    <font>
      <sz val="12"/>
      <color rgb="FFC00000"/>
      <name val="Helvetica"/>
      <family val="2"/>
    </font>
    <font>
      <b/>
      <sz val="12"/>
      <color theme="1"/>
      <name val="Helvetica"/>
      <family val="2"/>
    </font>
    <font>
      <b/>
      <sz val="12"/>
      <color rgb="FFC00000"/>
      <name val="Helvetica"/>
      <family val="2"/>
    </font>
    <font>
      <b/>
      <sz val="12"/>
      <color theme="0"/>
      <name val="Helvetica"/>
      <family val="2"/>
    </font>
  </fonts>
  <fills count="5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2F5496"/>
        <bgColor rgb="FF2F5496"/>
      </patternFill>
    </fill>
    <fill>
      <patternFill patternType="solid">
        <fgColor rgb="FFD9E2F3"/>
        <bgColor rgb="FFD9E2F3"/>
      </patternFill>
    </fill>
    <fill>
      <patternFill patternType="solid">
        <fgColor rgb="FFB4C6E7"/>
        <bgColor rgb="FFB4C6E7"/>
      </patternFill>
    </fill>
    <fill>
      <patternFill patternType="solid">
        <fgColor rgb="FFF2F2F2"/>
        <bgColor rgb="FFF2F2F2"/>
      </patternFill>
    </fill>
    <fill>
      <patternFill patternType="solid">
        <fgColor rgb="FFE2EFD9"/>
        <bgColor rgb="FFE2EFD9"/>
      </patternFill>
    </fill>
    <fill>
      <patternFill patternType="solid">
        <fgColor rgb="FF44546A"/>
        <bgColor rgb="FF44546A"/>
      </patternFill>
    </fill>
    <fill>
      <patternFill patternType="solid">
        <fgColor rgb="FFD6DCE4"/>
        <bgColor rgb="FFD6DCE4"/>
      </patternFill>
    </fill>
    <fill>
      <patternFill patternType="solid">
        <fgColor rgb="FF3366FF"/>
        <bgColor rgb="FF3366FF"/>
      </patternFill>
    </fill>
    <fill>
      <patternFill patternType="solid">
        <fgColor rgb="FFD8D8D8"/>
        <bgColor rgb="FFD8D8D8"/>
      </patternFill>
    </fill>
    <fill>
      <patternFill patternType="solid">
        <fgColor rgb="FFFFEB9C"/>
        <bgColor rgb="FFFFEB9C"/>
      </patternFill>
    </fill>
    <fill>
      <patternFill patternType="solid">
        <fgColor rgb="FFDCE6F1"/>
        <bgColor rgb="FFDCE6F1"/>
      </patternFill>
    </fill>
    <fill>
      <patternFill patternType="solid">
        <fgColor rgb="FFFFFFFF"/>
        <bgColor rgb="FFFFFFFF"/>
      </patternFill>
    </fill>
    <fill>
      <patternFill patternType="solid">
        <fgColor rgb="FF002060"/>
        <bgColor rgb="FF002060"/>
      </patternFill>
    </fill>
    <fill>
      <patternFill patternType="solid">
        <fgColor rgb="FFC8C8C8"/>
        <bgColor rgb="FFC8C8C8"/>
      </patternFill>
    </fill>
    <fill>
      <patternFill patternType="solid">
        <fgColor rgb="FF99CCFF"/>
        <bgColor rgb="FF99CCFF"/>
      </patternFill>
    </fill>
    <fill>
      <patternFill patternType="solid">
        <fgColor rgb="FF1F3864"/>
        <bgColor rgb="FF1F3864"/>
      </patternFill>
    </fill>
    <fill>
      <patternFill patternType="solid">
        <fgColor rgb="FFFFCC99"/>
        <bgColor rgb="FFFFCC99"/>
      </patternFill>
    </fill>
    <fill>
      <patternFill patternType="solid">
        <fgColor rgb="FFFFFF99"/>
        <bgColor rgb="FFFFFF99"/>
      </patternFill>
    </fill>
    <fill>
      <patternFill patternType="solid">
        <fgColor rgb="FF7F7F7F"/>
        <bgColor rgb="FF7F7F7F"/>
      </patternFill>
    </fill>
    <fill>
      <patternFill patternType="solid">
        <fgColor rgb="FF525252"/>
        <bgColor rgb="FF525252"/>
      </patternFill>
    </fill>
    <fill>
      <patternFill patternType="solid">
        <fgColor rgb="FF7B7B7B"/>
        <bgColor rgb="FF7B7B7B"/>
      </patternFill>
    </fill>
    <fill>
      <patternFill patternType="solid">
        <fgColor rgb="FFECECEC"/>
        <bgColor rgb="FFECECEC"/>
      </patternFill>
    </fill>
    <fill>
      <patternFill patternType="solid">
        <fgColor rgb="FFDADADA"/>
        <bgColor rgb="FFDADADA"/>
      </patternFill>
    </fill>
    <fill>
      <patternFill patternType="solid">
        <fgColor rgb="FF339966"/>
        <bgColor rgb="FF339966"/>
      </patternFill>
    </fill>
    <fill>
      <patternFill patternType="solid">
        <fgColor rgb="FFC0C0C0"/>
        <bgColor rgb="FFC0C0C0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FFFFCC"/>
        <bgColor rgb="FFFFFFCC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C5E0B3"/>
        <bgColor rgb="FFC5E0B3"/>
      </patternFill>
    </fill>
    <fill>
      <patternFill patternType="solid">
        <fgColor rgb="FF0000FF"/>
        <bgColor rgb="FF0000FF"/>
      </patternFill>
    </fill>
    <fill>
      <patternFill patternType="solid">
        <fgColor rgb="FFA8D08D"/>
        <bgColor rgb="FFA8D08D"/>
      </patternFill>
    </fill>
    <fill>
      <patternFill patternType="solid">
        <fgColor rgb="FFBFBFBF"/>
        <bgColor rgb="FFBFBFBF"/>
      </patternFill>
    </fill>
    <fill>
      <patternFill patternType="solid">
        <fgColor theme="4"/>
        <bgColor theme="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</patternFill>
    </fill>
    <fill>
      <patternFill patternType="solid">
        <fgColor theme="0"/>
        <bgColor rgb="FFF2F2F2"/>
      </patternFill>
    </fill>
    <fill>
      <patternFill patternType="solid">
        <fgColor theme="0"/>
        <bgColor rgb="FFE2EFD9"/>
      </patternFill>
    </fill>
    <fill>
      <patternFill patternType="solid">
        <fgColor theme="0"/>
        <bgColor rgb="FFDEEAF6"/>
      </patternFill>
    </fill>
    <fill>
      <patternFill patternType="solid">
        <fgColor theme="0"/>
        <bgColor rgb="FFE7E6E6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6DCE4"/>
      </patternFill>
    </fill>
  </fills>
  <borders count="5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BFBFBF"/>
      </left>
      <right style="hair">
        <color rgb="FFBFBFBF"/>
      </right>
      <top style="hair">
        <color rgb="FFBFBFBF"/>
      </top>
      <bottom style="hair">
        <color rgb="FFBFBFBF"/>
      </bottom>
      <diagonal/>
    </border>
    <border>
      <left style="hair">
        <color rgb="FFBFBFBF"/>
      </left>
      <right style="hair">
        <color rgb="FFBFBFBF"/>
      </right>
      <top style="hair">
        <color rgb="FFBFBFBF"/>
      </top>
      <bottom/>
      <diagonal/>
    </border>
    <border>
      <left style="hair">
        <color rgb="FFBFBFBF"/>
      </left>
      <right style="hair">
        <color rgb="FF000000"/>
      </right>
      <top style="hair">
        <color rgb="FFBFBFBF"/>
      </top>
      <bottom style="hair">
        <color rgb="FFBFBFBF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BFBFBF"/>
      </bottom>
      <diagonal/>
    </border>
    <border>
      <left/>
      <right style="hair">
        <color rgb="FF000000"/>
      </right>
      <top style="hair">
        <color rgb="FF000000"/>
      </top>
      <bottom style="hair">
        <color rgb="FFBFBFBF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BFBFBF"/>
      </left>
      <right style="hair">
        <color rgb="FFBFBFBF"/>
      </right>
      <top/>
      <bottom/>
      <diagonal/>
    </border>
    <border>
      <left style="hair">
        <color rgb="FFBFBFBF"/>
      </left>
      <right style="hair">
        <color rgb="FFBFBFBF"/>
      </right>
      <top/>
      <bottom style="hair">
        <color rgb="FFBFBFBF"/>
      </bottom>
      <diagonal/>
    </border>
    <border>
      <left style="hair">
        <color rgb="FFBFBFBF"/>
      </left>
      <right/>
      <top style="hair">
        <color rgb="FFBFBFBF"/>
      </top>
      <bottom style="hair">
        <color rgb="FFBFBFBF"/>
      </bottom>
      <diagonal/>
    </border>
    <border>
      <left/>
      <right/>
      <top style="hair">
        <color rgb="FFBFBFBF"/>
      </top>
      <bottom style="hair">
        <color rgb="FFBFBFBF"/>
      </bottom>
      <diagonal/>
    </border>
    <border>
      <left/>
      <right style="hair">
        <color rgb="FFBFBFBF"/>
      </right>
      <top style="hair">
        <color rgb="FFBFBFBF"/>
      </top>
      <bottom style="hair">
        <color rgb="FFBFBFBF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</cellStyleXfs>
  <cellXfs count="828">
    <xf numFmtId="0" fontId="0" fillId="0" borderId="0" xfId="0"/>
    <xf numFmtId="10" fontId="7" fillId="0" borderId="1" xfId="0" applyNumberFormat="1" applyFont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167" fontId="7" fillId="0" borderId="1" xfId="0" applyNumberFormat="1" applyFont="1" applyBorder="1" applyAlignment="1">
      <alignment horizontal="center" vertical="center"/>
    </xf>
    <xf numFmtId="170" fontId="1" fillId="0" borderId="1" xfId="0" applyNumberFormat="1" applyFont="1" applyBorder="1" applyAlignment="1">
      <alignment vertical="center"/>
    </xf>
    <xf numFmtId="170" fontId="1" fillId="9" borderId="1" xfId="0" applyNumberFormat="1" applyFont="1" applyFill="1" applyBorder="1" applyAlignment="1">
      <alignment horizontal="right" vertical="center"/>
    </xf>
    <xf numFmtId="170" fontId="1" fillId="9" borderId="1" xfId="0" applyNumberFormat="1" applyFont="1" applyFill="1" applyBorder="1" applyAlignment="1">
      <alignment vertical="center"/>
    </xf>
    <xf numFmtId="170" fontId="1" fillId="9" borderId="1" xfId="0" applyNumberFormat="1" applyFont="1" applyFill="1" applyBorder="1" applyAlignment="1">
      <alignment horizontal="center" vertical="center"/>
    </xf>
    <xf numFmtId="165" fontId="20" fillId="9" borderId="1" xfId="0" applyNumberFormat="1" applyFont="1" applyFill="1" applyBorder="1" applyAlignment="1">
      <alignment vertical="center"/>
    </xf>
    <xf numFmtId="167" fontId="1" fillId="0" borderId="1" xfId="0" applyNumberFormat="1" applyFont="1" applyBorder="1" applyAlignment="1">
      <alignment vertical="center"/>
    </xf>
    <xf numFmtId="165" fontId="21" fillId="9" borderId="1" xfId="0" applyNumberFormat="1" applyFont="1" applyFill="1" applyBorder="1" applyAlignment="1">
      <alignment vertical="center"/>
    </xf>
    <xf numFmtId="165" fontId="22" fillId="9" borderId="1" xfId="0" applyNumberFormat="1" applyFont="1" applyFill="1" applyBorder="1" applyAlignment="1">
      <alignment vertical="center"/>
    </xf>
    <xf numFmtId="165" fontId="1" fillId="9" borderId="1" xfId="0" applyNumberFormat="1" applyFont="1" applyFill="1" applyBorder="1" applyAlignment="1">
      <alignment vertical="center"/>
    </xf>
    <xf numFmtId="170" fontId="1" fillId="11" borderId="1" xfId="0" applyNumberFormat="1" applyFont="1" applyFill="1" applyBorder="1" applyAlignment="1">
      <alignment vertical="center"/>
    </xf>
    <xf numFmtId="165" fontId="1" fillId="0" borderId="1" xfId="0" applyNumberFormat="1" applyFont="1" applyBorder="1" applyAlignment="1">
      <alignment vertical="center"/>
    </xf>
    <xf numFmtId="9" fontId="1" fillId="0" borderId="1" xfId="0" applyNumberFormat="1" applyFont="1" applyBorder="1" applyAlignment="1">
      <alignment vertical="center"/>
    </xf>
    <xf numFmtId="9" fontId="1" fillId="0" borderId="1" xfId="0" applyNumberFormat="1" applyFont="1" applyBorder="1" applyAlignment="1">
      <alignment horizontal="center" vertical="center"/>
    </xf>
    <xf numFmtId="9" fontId="24" fillId="12" borderId="1" xfId="0" applyNumberFormat="1" applyFont="1" applyFill="1" applyBorder="1" applyAlignment="1">
      <alignment vertical="center"/>
    </xf>
    <xf numFmtId="9" fontId="24" fillId="12" borderId="1" xfId="0" applyNumberFormat="1" applyFont="1" applyFill="1" applyBorder="1" applyAlignment="1">
      <alignment horizontal="center" vertical="center"/>
    </xf>
    <xf numFmtId="170" fontId="24" fillId="12" borderId="1" xfId="0" applyNumberFormat="1" applyFont="1" applyFill="1" applyBorder="1" applyAlignment="1">
      <alignment vertical="center"/>
    </xf>
    <xf numFmtId="167" fontId="1" fillId="4" borderId="1" xfId="0" applyNumberFormat="1" applyFont="1" applyFill="1" applyBorder="1" applyAlignment="1">
      <alignment vertical="center"/>
    </xf>
    <xf numFmtId="165" fontId="1" fillId="5" borderId="1" xfId="0" applyNumberFormat="1" applyFont="1" applyFill="1" applyBorder="1" applyAlignment="1">
      <alignment vertical="center"/>
    </xf>
    <xf numFmtId="170" fontId="1" fillId="5" borderId="1" xfId="0" applyNumberFormat="1" applyFont="1" applyFill="1" applyBorder="1" applyAlignment="1">
      <alignment vertical="center"/>
    </xf>
    <xf numFmtId="165" fontId="1" fillId="4" borderId="1" xfId="0" applyNumberFormat="1" applyFont="1" applyFill="1" applyBorder="1" applyAlignment="1">
      <alignment vertical="center"/>
    </xf>
    <xf numFmtId="170" fontId="1" fillId="4" borderId="1" xfId="0" applyNumberFormat="1" applyFont="1" applyFill="1" applyBorder="1" applyAlignment="1">
      <alignment vertical="center"/>
    </xf>
    <xf numFmtId="165" fontId="28" fillId="0" borderId="1" xfId="0" applyNumberFormat="1" applyFont="1" applyBorder="1" applyAlignment="1">
      <alignment vertical="center"/>
    </xf>
    <xf numFmtId="165" fontId="1" fillId="7" borderId="1" xfId="0" applyNumberFormat="1" applyFont="1" applyFill="1" applyBorder="1" applyAlignment="1">
      <alignment vertical="center"/>
    </xf>
    <xf numFmtId="170" fontId="1" fillId="7" borderId="1" xfId="0" applyNumberFormat="1" applyFont="1" applyFill="1" applyBorder="1" applyAlignment="1">
      <alignment vertical="center"/>
    </xf>
    <xf numFmtId="10" fontId="1" fillId="4" borderId="1" xfId="0" applyNumberFormat="1" applyFont="1" applyFill="1" applyBorder="1" applyAlignment="1">
      <alignment vertical="center"/>
    </xf>
    <xf numFmtId="10" fontId="1" fillId="9" borderId="1" xfId="0" applyNumberFormat="1" applyFont="1" applyFill="1" applyBorder="1" applyAlignment="1">
      <alignment vertical="center"/>
    </xf>
    <xf numFmtId="165" fontId="1" fillId="7" borderId="1" xfId="0" applyNumberFormat="1" applyFont="1" applyFill="1" applyBorder="1" applyAlignment="1">
      <alignment horizontal="right" vertical="center"/>
    </xf>
    <xf numFmtId="10" fontId="1" fillId="7" borderId="1" xfId="0" applyNumberFormat="1" applyFont="1" applyFill="1" applyBorder="1" applyAlignment="1">
      <alignment vertical="center"/>
    </xf>
    <xf numFmtId="165" fontId="29" fillId="13" borderId="1" xfId="0" applyNumberFormat="1" applyFont="1" applyFill="1" applyBorder="1" applyAlignment="1">
      <alignment vertical="center"/>
    </xf>
    <xf numFmtId="10" fontId="29" fillId="13" borderId="2" xfId="0" applyNumberFormat="1" applyFont="1" applyFill="1" applyBorder="1" applyAlignment="1">
      <alignment vertical="center"/>
    </xf>
    <xf numFmtId="0" fontId="27" fillId="8" borderId="1" xfId="0" applyFont="1" applyFill="1" applyBorder="1" applyAlignment="1">
      <alignment horizontal="center" vertical="center" wrapText="1"/>
    </xf>
    <xf numFmtId="165" fontId="32" fillId="9" borderId="1" xfId="0" applyNumberFormat="1" applyFont="1" applyFill="1" applyBorder="1" applyAlignment="1">
      <alignment vertical="center"/>
    </xf>
    <xf numFmtId="165" fontId="33" fillId="9" borderId="1" xfId="0" applyNumberFormat="1" applyFont="1" applyFill="1" applyBorder="1" applyAlignment="1">
      <alignment horizontal="center" vertical="center"/>
    </xf>
    <xf numFmtId="39" fontId="34" fillId="0" borderId="0" xfId="0" applyNumberFormat="1" applyFont="1" applyAlignment="1">
      <alignment horizontal="center" vertical="center"/>
    </xf>
    <xf numFmtId="167" fontId="34" fillId="0" borderId="0" xfId="0" applyNumberFormat="1" applyFont="1" applyAlignment="1">
      <alignment horizontal="center" vertical="center"/>
    </xf>
    <xf numFmtId="10" fontId="28" fillId="0" borderId="5" xfId="0" applyNumberFormat="1" applyFont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/>
    </xf>
    <xf numFmtId="10" fontId="28" fillId="0" borderId="7" xfId="0" applyNumberFormat="1" applyFont="1" applyBorder="1" applyAlignment="1">
      <alignment horizontal="center" vertical="center"/>
    </xf>
    <xf numFmtId="165" fontId="28" fillId="4" borderId="2" xfId="0" applyNumberFormat="1" applyFont="1" applyFill="1" applyBorder="1" applyAlignment="1">
      <alignment horizontal="center" vertical="center"/>
    </xf>
    <xf numFmtId="165" fontId="28" fillId="4" borderId="1" xfId="0" applyNumberFormat="1" applyFont="1" applyFill="1" applyBorder="1" applyAlignment="1">
      <alignment horizontal="center" vertical="center"/>
    </xf>
    <xf numFmtId="10" fontId="28" fillId="0" borderId="0" xfId="0" applyNumberFormat="1" applyFont="1" applyAlignment="1">
      <alignment horizontal="center" vertical="center"/>
    </xf>
    <xf numFmtId="165" fontId="28" fillId="0" borderId="1" xfId="0" applyNumberFormat="1" applyFont="1" applyBorder="1" applyAlignment="1">
      <alignment horizontal="left" vertical="center"/>
    </xf>
    <xf numFmtId="166" fontId="32" fillId="16" borderId="1" xfId="0" applyNumberFormat="1" applyFont="1" applyFill="1" applyBorder="1"/>
    <xf numFmtId="170" fontId="40" fillId="4" borderId="1" xfId="0" applyNumberFormat="1" applyFont="1" applyFill="1" applyBorder="1" applyAlignment="1">
      <alignment horizontal="center"/>
    </xf>
    <xf numFmtId="166" fontId="33" fillId="17" borderId="1" xfId="0" applyNumberFormat="1" applyFont="1" applyFill="1" applyBorder="1" applyAlignment="1">
      <alignment horizontal="center" vertical="center"/>
    </xf>
    <xf numFmtId="166" fontId="32" fillId="16" borderId="1" xfId="0" applyNumberFormat="1" applyFont="1" applyFill="1" applyBorder="1" applyAlignment="1">
      <alignment vertical="center"/>
    </xf>
    <xf numFmtId="170" fontId="40" fillId="4" borderId="1" xfId="0" applyNumberFormat="1" applyFont="1" applyFill="1" applyBorder="1" applyAlignment="1">
      <alignment horizontal="center" vertical="center"/>
    </xf>
    <xf numFmtId="165" fontId="32" fillId="16" borderId="1" xfId="0" applyNumberFormat="1" applyFont="1" applyFill="1" applyBorder="1"/>
    <xf numFmtId="170" fontId="32" fillId="4" borderId="1" xfId="0" applyNumberFormat="1" applyFont="1" applyFill="1" applyBorder="1" applyAlignment="1">
      <alignment horizontal="center"/>
    </xf>
    <xf numFmtId="166" fontId="41" fillId="8" borderId="9" xfId="0" applyNumberFormat="1" applyFont="1" applyFill="1" applyBorder="1" applyAlignment="1">
      <alignment horizontal="center" vertical="center"/>
    </xf>
    <xf numFmtId="170" fontId="42" fillId="8" borderId="1" xfId="0" applyNumberFormat="1" applyFont="1" applyFill="1" applyBorder="1" applyAlignment="1">
      <alignment vertical="center"/>
    </xf>
    <xf numFmtId="165" fontId="42" fillId="8" borderId="1" xfId="0" applyNumberFormat="1" applyFont="1" applyFill="1" applyBorder="1" applyAlignment="1">
      <alignment vertical="center"/>
    </xf>
    <xf numFmtId="165" fontId="32" fillId="4" borderId="1" xfId="0" applyNumberFormat="1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165" fontId="1" fillId="0" borderId="0" xfId="0" applyNumberFormat="1" applyFont="1"/>
    <xf numFmtId="166" fontId="0" fillId="16" borderId="1" xfId="0" applyNumberFormat="1" applyFill="1" applyBorder="1"/>
    <xf numFmtId="170" fontId="44" fillId="4" borderId="1" xfId="0" applyNumberFormat="1" applyFont="1" applyFill="1" applyBorder="1" applyAlignment="1">
      <alignment horizontal="center"/>
    </xf>
    <xf numFmtId="1" fontId="50" fillId="18" borderId="1" xfId="0" applyNumberFormat="1" applyFont="1" applyFill="1" applyBorder="1" applyAlignment="1">
      <alignment horizontal="center" vertical="center" wrapText="1"/>
    </xf>
    <xf numFmtId="165" fontId="45" fillId="0" borderId="1" xfId="0" applyNumberFormat="1" applyFont="1" applyBorder="1"/>
    <xf numFmtId="166" fontId="45" fillId="0" borderId="1" xfId="0" applyNumberFormat="1" applyFont="1" applyBorder="1" applyAlignment="1">
      <alignment horizontal="center"/>
    </xf>
    <xf numFmtId="170" fontId="45" fillId="4" borderId="1" xfId="0" applyNumberFormat="1" applyFont="1" applyFill="1" applyBorder="1"/>
    <xf numFmtId="166" fontId="4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10" fontId="45" fillId="0" borderId="1" xfId="0" applyNumberFormat="1" applyFont="1" applyBorder="1" applyAlignment="1">
      <alignment horizontal="center"/>
    </xf>
    <xf numFmtId="176" fontId="45" fillId="0" borderId="1" xfId="0" applyNumberFormat="1" applyFont="1" applyBorder="1"/>
    <xf numFmtId="164" fontId="45" fillId="0" borderId="1" xfId="0" applyNumberFormat="1" applyFont="1" applyBorder="1"/>
    <xf numFmtId="10" fontId="46" fillId="0" borderId="1" xfId="0" applyNumberFormat="1" applyFont="1" applyBorder="1" applyAlignment="1">
      <alignment horizontal="left" vertical="center"/>
    </xf>
    <xf numFmtId="10" fontId="45" fillId="0" borderId="1" xfId="0" applyNumberFormat="1" applyFont="1" applyBorder="1" applyAlignment="1">
      <alignment horizontal="center" vertical="center"/>
    </xf>
    <xf numFmtId="170" fontId="45" fillId="0" borderId="1" xfId="0" applyNumberFormat="1" applyFont="1" applyBorder="1"/>
    <xf numFmtId="165" fontId="45" fillId="0" borderId="1" xfId="0" applyNumberFormat="1" applyFont="1" applyBorder="1" applyAlignment="1">
      <alignment horizontal="center" vertical="center"/>
    </xf>
    <xf numFmtId="167" fontId="45" fillId="0" borderId="1" xfId="0" applyNumberFormat="1" applyFont="1" applyBorder="1"/>
    <xf numFmtId="165" fontId="42" fillId="18" borderId="9" xfId="0" applyNumberFormat="1" applyFont="1" applyFill="1" applyBorder="1" applyAlignment="1">
      <alignment horizontal="center" vertical="center" wrapText="1"/>
    </xf>
    <xf numFmtId="165" fontId="42" fillId="18" borderId="11" xfId="0" applyNumberFormat="1" applyFont="1" applyFill="1" applyBorder="1" applyAlignment="1">
      <alignment horizontal="center" vertical="center" wrapText="1"/>
    </xf>
    <xf numFmtId="165" fontId="42" fillId="18" borderId="1" xfId="0" applyNumberFormat="1" applyFont="1" applyFill="1" applyBorder="1" applyAlignment="1">
      <alignment horizontal="center" vertical="center" wrapText="1"/>
    </xf>
    <xf numFmtId="165" fontId="59" fillId="0" borderId="1" xfId="0" applyNumberFormat="1" applyFont="1" applyBorder="1"/>
    <xf numFmtId="165" fontId="32" fillId="0" borderId="1" xfId="0" applyNumberFormat="1" applyFont="1" applyBorder="1"/>
    <xf numFmtId="1" fontId="32" fillId="0" borderId="1" xfId="0" applyNumberFormat="1" applyFont="1" applyBorder="1" applyAlignment="1">
      <alignment horizontal="center"/>
    </xf>
    <xf numFmtId="167" fontId="32" fillId="4" borderId="1" xfId="0" applyNumberFormat="1" applyFont="1" applyFill="1" applyBorder="1"/>
    <xf numFmtId="165" fontId="32" fillId="4" borderId="1" xfId="0" applyNumberFormat="1" applyFont="1" applyFill="1" applyBorder="1"/>
    <xf numFmtId="165" fontId="32" fillId="14" borderId="1" xfId="0" applyNumberFormat="1" applyFont="1" applyFill="1" applyBorder="1"/>
    <xf numFmtId="166" fontId="32" fillId="14" borderId="1" xfId="0" applyNumberFormat="1" applyFont="1" applyFill="1" applyBorder="1"/>
    <xf numFmtId="166" fontId="32" fillId="14" borderId="11" xfId="0" applyNumberFormat="1" applyFont="1" applyFill="1" applyBorder="1" applyAlignment="1">
      <alignment horizontal="left"/>
    </xf>
    <xf numFmtId="166" fontId="32" fillId="14" borderId="11" xfId="0" applyNumberFormat="1" applyFont="1" applyFill="1" applyBorder="1"/>
    <xf numFmtId="166" fontId="60" fillId="19" borderId="9" xfId="0" applyNumberFormat="1" applyFont="1" applyFill="1" applyBorder="1"/>
    <xf numFmtId="1" fontId="60" fillId="19" borderId="9" xfId="0" applyNumberFormat="1" applyFont="1" applyFill="1" applyBorder="1" applyAlignment="1">
      <alignment horizontal="center" vertical="center"/>
    </xf>
    <xf numFmtId="166" fontId="60" fillId="19" borderId="2" xfId="0" applyNumberFormat="1" applyFont="1" applyFill="1" applyBorder="1"/>
    <xf numFmtId="166" fontId="58" fillId="16" borderId="1" xfId="0" applyNumberFormat="1" applyFont="1" applyFill="1" applyBorder="1" applyAlignment="1">
      <alignment vertical="center" wrapText="1"/>
    </xf>
    <xf numFmtId="167" fontId="58" fillId="20" borderId="1" xfId="0" applyNumberFormat="1" applyFont="1" applyFill="1" applyBorder="1" applyAlignment="1">
      <alignment horizontal="center" vertical="center"/>
    </xf>
    <xf numFmtId="166" fontId="33" fillId="16" borderId="1" xfId="0" applyNumberFormat="1" applyFont="1" applyFill="1" applyBorder="1"/>
    <xf numFmtId="10" fontId="32" fillId="21" borderId="1" xfId="0" applyNumberFormat="1" applyFont="1" applyFill="1" applyBorder="1" applyAlignment="1">
      <alignment horizontal="center"/>
    </xf>
    <xf numFmtId="165" fontId="32" fillId="21" borderId="1" xfId="0" applyNumberFormat="1" applyFont="1" applyFill="1" applyBorder="1"/>
    <xf numFmtId="166" fontId="32" fillId="16" borderId="1" xfId="0" applyNumberFormat="1" applyFont="1" applyFill="1" applyBorder="1" applyAlignment="1">
      <alignment horizontal="left"/>
    </xf>
    <xf numFmtId="10" fontId="59" fillId="0" borderId="1" xfId="0" applyNumberFormat="1" applyFont="1" applyBorder="1" applyAlignment="1">
      <alignment horizontal="center"/>
    </xf>
    <xf numFmtId="165" fontId="59" fillId="21" borderId="1" xfId="0" applyNumberFormat="1" applyFont="1" applyFill="1" applyBorder="1"/>
    <xf numFmtId="166" fontId="61" fillId="22" borderId="1" xfId="0" applyNumberFormat="1" applyFont="1" applyFill="1" applyBorder="1" applyAlignment="1">
      <alignment horizontal="left"/>
    </xf>
    <xf numFmtId="10" fontId="61" fillId="22" borderId="1" xfId="0" applyNumberFormat="1" applyFont="1" applyFill="1" applyBorder="1" applyAlignment="1">
      <alignment horizontal="center"/>
    </xf>
    <xf numFmtId="166" fontId="32" fillId="2" borderId="1" xfId="0" applyNumberFormat="1" applyFont="1" applyFill="1" applyBorder="1" applyAlignment="1">
      <alignment horizontal="left"/>
    </xf>
    <xf numFmtId="10" fontId="59" fillId="21" borderId="1" xfId="0" applyNumberFormat="1" applyFont="1" applyFill="1" applyBorder="1" applyAlignment="1">
      <alignment horizontal="center"/>
    </xf>
    <xf numFmtId="165" fontId="59" fillId="14" borderId="1" xfId="0" applyNumberFormat="1" applyFont="1" applyFill="1" applyBorder="1"/>
    <xf numFmtId="166" fontId="42" fillId="18" borderId="9" xfId="0" applyNumberFormat="1" applyFont="1" applyFill="1" applyBorder="1" applyAlignment="1">
      <alignment vertical="center"/>
    </xf>
    <xf numFmtId="166" fontId="42" fillId="18" borderId="2" xfId="0" applyNumberFormat="1" applyFont="1" applyFill="1" applyBorder="1" applyAlignment="1">
      <alignment vertical="center"/>
    </xf>
    <xf numFmtId="166" fontId="42" fillId="18" borderId="12" xfId="0" applyNumberFormat="1" applyFont="1" applyFill="1" applyBorder="1" applyAlignment="1">
      <alignment horizontal="center" vertical="center"/>
    </xf>
    <xf numFmtId="165" fontId="42" fillId="18" borderId="13" xfId="0" applyNumberFormat="1" applyFont="1" applyFill="1" applyBorder="1" applyAlignment="1">
      <alignment horizontal="center" vertical="center" wrapText="1"/>
    </xf>
    <xf numFmtId="1" fontId="42" fillId="18" borderId="1" xfId="0" applyNumberFormat="1" applyFont="1" applyFill="1" applyBorder="1" applyAlignment="1">
      <alignment horizontal="center" vertical="center" wrapText="1"/>
    </xf>
    <xf numFmtId="1" fontId="42" fillId="18" borderId="1" xfId="0" applyNumberFormat="1" applyFont="1" applyFill="1" applyBorder="1" applyAlignment="1">
      <alignment horizontal="center" vertical="center"/>
    </xf>
    <xf numFmtId="165" fontId="59" fillId="16" borderId="9" xfId="0" applyNumberFormat="1" applyFont="1" applyFill="1" applyBorder="1"/>
    <xf numFmtId="1" fontId="59" fillId="4" borderId="1" xfId="0" applyNumberFormat="1" applyFont="1" applyFill="1" applyBorder="1" applyAlignment="1">
      <alignment horizontal="center"/>
    </xf>
    <xf numFmtId="1" fontId="59" fillId="0" borderId="1" xfId="0" applyNumberFormat="1" applyFont="1" applyBorder="1" applyAlignment="1">
      <alignment horizontal="center"/>
    </xf>
    <xf numFmtId="166" fontId="41" fillId="18" borderId="1" xfId="0" applyNumberFormat="1" applyFont="1" applyFill="1" applyBorder="1" applyAlignment="1">
      <alignment horizontal="right"/>
    </xf>
    <xf numFmtId="1" fontId="42" fillId="18" borderId="1" xfId="0" applyNumberFormat="1" applyFont="1" applyFill="1" applyBorder="1" applyAlignment="1">
      <alignment horizontal="center"/>
    </xf>
    <xf numFmtId="166" fontId="42" fillId="18" borderId="11" xfId="0" applyNumberFormat="1" applyFont="1" applyFill="1" applyBorder="1" applyAlignment="1">
      <alignment horizontal="center" vertical="center"/>
    </xf>
    <xf numFmtId="166" fontId="42" fillId="18" borderId="13" xfId="0" applyNumberFormat="1" applyFont="1" applyFill="1" applyBorder="1" applyAlignment="1">
      <alignment horizontal="center" vertical="center"/>
    </xf>
    <xf numFmtId="165" fontId="62" fillId="4" borderId="1" xfId="0" applyNumberFormat="1" applyFont="1" applyFill="1" applyBorder="1"/>
    <xf numFmtId="9" fontId="62" fillId="4" borderId="1" xfId="0" applyNumberFormat="1" applyFont="1" applyFill="1" applyBorder="1"/>
    <xf numFmtId="170" fontId="62" fillId="4" borderId="1" xfId="0" applyNumberFormat="1" applyFont="1" applyFill="1" applyBorder="1"/>
    <xf numFmtId="166" fontId="41" fillId="18" borderId="9" xfId="0" applyNumberFormat="1" applyFont="1" applyFill="1" applyBorder="1"/>
    <xf numFmtId="166" fontId="41" fillId="18" borderId="2" xfId="0" applyNumberFormat="1" applyFont="1" applyFill="1" applyBorder="1"/>
    <xf numFmtId="170" fontId="61" fillId="18" borderId="1" xfId="0" applyNumberFormat="1" applyFont="1" applyFill="1" applyBorder="1"/>
    <xf numFmtId="170" fontId="62" fillId="5" borderId="1" xfId="0" applyNumberFormat="1" applyFont="1" applyFill="1" applyBorder="1"/>
    <xf numFmtId="39" fontId="42" fillId="18" borderId="1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7" fillId="22" borderId="1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165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165" fontId="29" fillId="0" borderId="0" xfId="0" applyNumberFormat="1" applyFont="1" applyAlignment="1">
      <alignment horizontal="center" vertical="center"/>
    </xf>
    <xf numFmtId="10" fontId="29" fillId="0" borderId="0" xfId="0" applyNumberFormat="1" applyFont="1" applyAlignment="1">
      <alignment horizontal="center" vertical="center"/>
    </xf>
    <xf numFmtId="0" fontId="29" fillId="0" borderId="0" xfId="0" applyFont="1" applyAlignment="1">
      <alignment vertical="center"/>
    </xf>
    <xf numFmtId="39" fontId="1" fillId="0" borderId="0" xfId="0" applyNumberFormat="1" applyFont="1" applyAlignment="1">
      <alignment vertical="center"/>
    </xf>
    <xf numFmtId="0" fontId="1" fillId="0" borderId="15" xfId="0" applyFont="1" applyBorder="1" applyAlignment="1">
      <alignment horizontal="left" vertical="center"/>
    </xf>
    <xf numFmtId="169" fontId="1" fillId="0" borderId="0" xfId="0" applyNumberFormat="1" applyFont="1" applyAlignment="1">
      <alignment horizontal="center" vertical="center"/>
    </xf>
    <xf numFmtId="165" fontId="1" fillId="24" borderId="15" xfId="0" applyNumberFormat="1" applyFont="1" applyFill="1" applyBorder="1" applyAlignment="1">
      <alignment vertical="center"/>
    </xf>
    <xf numFmtId="170" fontId="1" fillId="25" borderId="15" xfId="0" applyNumberFormat="1" applyFont="1" applyFill="1" applyBorder="1" applyAlignment="1">
      <alignment vertical="center"/>
    </xf>
    <xf numFmtId="170" fontId="1" fillId="24" borderId="15" xfId="0" applyNumberFormat="1" applyFont="1" applyFill="1" applyBorder="1" applyAlignment="1">
      <alignment vertical="center"/>
    </xf>
    <xf numFmtId="165" fontId="1" fillId="25" borderId="15" xfId="0" applyNumberFormat="1" applyFont="1" applyFill="1" applyBorder="1" applyAlignment="1">
      <alignment vertical="center"/>
    </xf>
    <xf numFmtId="170" fontId="1" fillId="0" borderId="0" xfId="0" applyNumberFormat="1" applyFont="1" applyAlignment="1">
      <alignment horizontal="center" vertical="center"/>
    </xf>
    <xf numFmtId="1" fontId="42" fillId="18" borderId="16" xfId="0" applyNumberFormat="1" applyFont="1" applyFill="1" applyBorder="1" applyAlignment="1">
      <alignment horizontal="center" vertical="center" wrapText="1"/>
    </xf>
    <xf numFmtId="170" fontId="1" fillId="4" borderId="15" xfId="0" applyNumberFormat="1" applyFont="1" applyFill="1" applyBorder="1" applyAlignment="1">
      <alignment vertical="center"/>
    </xf>
    <xf numFmtId="1" fontId="17" fillId="18" borderId="16" xfId="0" applyNumberFormat="1" applyFont="1" applyFill="1" applyBorder="1" applyAlignment="1">
      <alignment horizontal="center" vertical="center" wrapText="1"/>
    </xf>
    <xf numFmtId="3" fontId="1" fillId="0" borderId="17" xfId="0" applyNumberFormat="1" applyFont="1" applyBorder="1" applyAlignment="1">
      <alignment horizontal="center" vertical="center"/>
    </xf>
    <xf numFmtId="3" fontId="1" fillId="0" borderId="18" xfId="0" applyNumberFormat="1" applyFont="1" applyBorder="1" applyAlignment="1">
      <alignment horizontal="center" vertical="center"/>
    </xf>
    <xf numFmtId="0" fontId="43" fillId="18" borderId="16" xfId="0" applyFont="1" applyFill="1" applyBorder="1" applyAlignment="1">
      <alignment horizontal="center" vertical="center"/>
    </xf>
    <xf numFmtId="0" fontId="43" fillId="18" borderId="16" xfId="0" applyFont="1" applyFill="1" applyBorder="1" applyAlignment="1">
      <alignment horizontal="center" vertical="center" wrapText="1"/>
    </xf>
    <xf numFmtId="167" fontId="66" fillId="0" borderId="15" xfId="0" applyNumberFormat="1" applyFont="1" applyBorder="1" applyAlignment="1">
      <alignment horizontal="center" vertical="center"/>
    </xf>
    <xf numFmtId="0" fontId="65" fillId="2" borderId="20" xfId="0" applyFont="1" applyFill="1" applyBorder="1" applyAlignment="1">
      <alignment vertical="center"/>
    </xf>
    <xf numFmtId="167" fontId="66" fillId="2" borderId="20" xfId="0" applyNumberFormat="1" applyFont="1" applyFill="1" applyBorder="1" applyAlignment="1">
      <alignment horizontal="center" vertical="center"/>
    </xf>
    <xf numFmtId="170" fontId="1" fillId="2" borderId="20" xfId="0" applyNumberFormat="1" applyFont="1" applyFill="1" applyBorder="1" applyAlignment="1">
      <alignment vertical="center"/>
    </xf>
    <xf numFmtId="170" fontId="1" fillId="2" borderId="21" xfId="0" applyNumberFormat="1" applyFont="1" applyFill="1" applyBorder="1" applyAlignment="1">
      <alignment vertical="center"/>
    </xf>
    <xf numFmtId="167" fontId="1" fillId="0" borderId="15" xfId="0" applyNumberFormat="1" applyFont="1" applyBorder="1" applyAlignment="1">
      <alignment horizontal="center" vertical="center"/>
    </xf>
    <xf numFmtId="167" fontId="1" fillId="0" borderId="24" xfId="0" applyNumberFormat="1" applyFont="1" applyBorder="1" applyAlignment="1">
      <alignment horizontal="center" vertical="center"/>
    </xf>
    <xf numFmtId="0" fontId="43" fillId="18" borderId="16" xfId="0" applyFont="1" applyFill="1" applyBorder="1" applyAlignment="1">
      <alignment vertical="center"/>
    </xf>
    <xf numFmtId="170" fontId="17" fillId="18" borderId="16" xfId="0" applyNumberFormat="1" applyFont="1" applyFill="1" applyBorder="1" applyAlignment="1">
      <alignment horizontal="center" vertical="center" wrapText="1"/>
    </xf>
    <xf numFmtId="167" fontId="1" fillId="0" borderId="17" xfId="0" applyNumberFormat="1" applyFont="1" applyBorder="1" applyAlignment="1">
      <alignment horizontal="center" vertical="center"/>
    </xf>
    <xf numFmtId="37" fontId="1" fillId="4" borderId="15" xfId="0" applyNumberFormat="1" applyFont="1" applyFill="1" applyBorder="1" applyAlignment="1">
      <alignment horizontal="center" vertical="center"/>
    </xf>
    <xf numFmtId="3" fontId="1" fillId="0" borderId="25" xfId="0" applyNumberFormat="1" applyFont="1" applyBorder="1" applyAlignment="1">
      <alignment horizontal="center" vertical="center"/>
    </xf>
    <xf numFmtId="167" fontId="1" fillId="0" borderId="25" xfId="0" applyNumberFormat="1" applyFont="1" applyBorder="1" applyAlignment="1">
      <alignment horizontal="center" vertical="center"/>
    </xf>
    <xf numFmtId="3" fontId="1" fillId="0" borderId="26" xfId="0" applyNumberFormat="1" applyFont="1" applyBorder="1" applyAlignment="1">
      <alignment horizontal="center" vertical="center"/>
    </xf>
    <xf numFmtId="167" fontId="1" fillId="0" borderId="26" xfId="0" applyNumberFormat="1" applyFont="1" applyBorder="1" applyAlignment="1">
      <alignment horizontal="center" vertical="center"/>
    </xf>
    <xf numFmtId="166" fontId="67" fillId="18" borderId="1" xfId="0" applyNumberFormat="1" applyFont="1" applyFill="1" applyBorder="1" applyAlignment="1">
      <alignment horizontal="right"/>
    </xf>
    <xf numFmtId="1" fontId="59" fillId="16" borderId="1" xfId="0" applyNumberFormat="1" applyFont="1" applyFill="1" applyBorder="1" applyAlignment="1">
      <alignment horizontal="center"/>
    </xf>
    <xf numFmtId="166" fontId="68" fillId="4" borderId="20" xfId="0" applyNumberFormat="1" applyFont="1" applyFill="1" applyBorder="1" applyAlignment="1">
      <alignment horizontal="left" vertical="center"/>
    </xf>
    <xf numFmtId="10" fontId="68" fillId="4" borderId="20" xfId="0" applyNumberFormat="1" applyFont="1" applyFill="1" applyBorder="1" applyAlignment="1">
      <alignment vertical="center"/>
    </xf>
    <xf numFmtId="166" fontId="68" fillId="2" borderId="20" xfId="0" applyNumberFormat="1" applyFont="1" applyFill="1" applyBorder="1" applyAlignment="1">
      <alignment horizontal="left" vertical="center"/>
    </xf>
    <xf numFmtId="10" fontId="68" fillId="2" borderId="20" xfId="0" applyNumberFormat="1" applyFont="1" applyFill="1" applyBorder="1" applyAlignment="1">
      <alignment vertical="center"/>
    </xf>
    <xf numFmtId="166" fontId="31" fillId="4" borderId="20" xfId="0" applyNumberFormat="1" applyFont="1" applyFill="1" applyBorder="1" applyAlignment="1">
      <alignment horizontal="left" vertical="center"/>
    </xf>
    <xf numFmtId="10" fontId="31" fillId="4" borderId="20" xfId="0" applyNumberFormat="1" applyFont="1" applyFill="1" applyBorder="1" applyAlignment="1">
      <alignment vertical="center"/>
    </xf>
    <xf numFmtId="166" fontId="42" fillId="18" borderId="1" xfId="0" applyNumberFormat="1" applyFont="1" applyFill="1" applyBorder="1" applyAlignment="1">
      <alignment horizontal="center" vertical="center"/>
    </xf>
    <xf numFmtId="10" fontId="33" fillId="14" borderId="1" xfId="0" applyNumberFormat="1" applyFont="1" applyFill="1" applyBorder="1" applyAlignment="1">
      <alignment vertical="center"/>
    </xf>
    <xf numFmtId="165" fontId="33" fillId="17" borderId="11" xfId="0" applyNumberFormat="1" applyFont="1" applyFill="1" applyBorder="1" applyAlignment="1">
      <alignment horizontal="center" vertical="center" wrapText="1"/>
    </xf>
    <xf numFmtId="166" fontId="33" fillId="17" borderId="1" xfId="0" applyNumberFormat="1" applyFont="1" applyFill="1" applyBorder="1" applyAlignment="1">
      <alignment horizontal="center" vertical="center" wrapText="1"/>
    </xf>
    <xf numFmtId="1" fontId="33" fillId="17" borderId="1" xfId="0" applyNumberFormat="1" applyFont="1" applyFill="1" applyBorder="1" applyAlignment="1">
      <alignment horizontal="center" vertical="center" wrapText="1"/>
    </xf>
    <xf numFmtId="166" fontId="32" fillId="20" borderId="1" xfId="0" applyNumberFormat="1" applyFont="1" applyFill="1" applyBorder="1"/>
    <xf numFmtId="10" fontId="59" fillId="14" borderId="1" xfId="0" applyNumberFormat="1" applyFont="1" applyFill="1" applyBorder="1" applyAlignment="1">
      <alignment horizontal="center"/>
    </xf>
    <xf numFmtId="165" fontId="32" fillId="20" borderId="1" xfId="0" applyNumberFormat="1" applyFont="1" applyFill="1" applyBorder="1"/>
    <xf numFmtId="10" fontId="59" fillId="2" borderId="1" xfId="0" applyNumberFormat="1" applyFont="1" applyFill="1" applyBorder="1" applyAlignment="1">
      <alignment horizontal="center"/>
    </xf>
    <xf numFmtId="166" fontId="32" fillId="2" borderId="1" xfId="0" applyNumberFormat="1" applyFont="1" applyFill="1" applyBorder="1"/>
    <xf numFmtId="166" fontId="60" fillId="19" borderId="1" xfId="0" applyNumberFormat="1" applyFont="1" applyFill="1" applyBorder="1" applyAlignment="1">
      <alignment horizontal="right"/>
    </xf>
    <xf numFmtId="165" fontId="70" fillId="27" borderId="1" xfId="0" applyNumberFormat="1" applyFont="1" applyFill="1" applyBorder="1" applyAlignment="1">
      <alignment horizontal="center"/>
    </xf>
    <xf numFmtId="165" fontId="70" fillId="19" borderId="1" xfId="0" applyNumberFormat="1" applyFont="1" applyFill="1" applyBorder="1"/>
    <xf numFmtId="1" fontId="59" fillId="14" borderId="1" xfId="0" applyNumberFormat="1" applyFont="1" applyFill="1" applyBorder="1" applyAlignment="1">
      <alignment horizontal="center"/>
    </xf>
    <xf numFmtId="37" fontId="70" fillId="20" borderId="1" xfId="0" applyNumberFormat="1" applyFont="1" applyFill="1" applyBorder="1" applyAlignment="1">
      <alignment horizontal="center"/>
    </xf>
    <xf numFmtId="10" fontId="59" fillId="2" borderId="1" xfId="0" applyNumberFormat="1" applyFont="1" applyFill="1" applyBorder="1" applyAlignment="1">
      <alignment horizontal="center" vertical="center"/>
    </xf>
    <xf numFmtId="165" fontId="32" fillId="28" borderId="1" xfId="0" applyNumberFormat="1" applyFont="1" applyFill="1" applyBorder="1"/>
    <xf numFmtId="1" fontId="59" fillId="2" borderId="1" xfId="0" applyNumberFormat="1" applyFont="1" applyFill="1" applyBorder="1" applyAlignment="1">
      <alignment horizontal="center"/>
    </xf>
    <xf numFmtId="167" fontId="59" fillId="20" borderId="1" xfId="0" applyNumberFormat="1" applyFont="1" applyFill="1" applyBorder="1" applyAlignment="1">
      <alignment horizontal="center" vertical="center"/>
    </xf>
    <xf numFmtId="10" fontId="59" fillId="20" borderId="1" xfId="0" applyNumberFormat="1" applyFont="1" applyFill="1" applyBorder="1" applyAlignment="1">
      <alignment horizontal="center" vertical="center"/>
    </xf>
    <xf numFmtId="10" fontId="59" fillId="29" borderId="1" xfId="0" applyNumberFormat="1" applyFont="1" applyFill="1" applyBorder="1" applyAlignment="1">
      <alignment horizontal="center" vertical="center"/>
    </xf>
    <xf numFmtId="9" fontId="59" fillId="2" borderId="1" xfId="0" applyNumberFormat="1" applyFont="1" applyFill="1" applyBorder="1" applyAlignment="1">
      <alignment horizontal="center" vertical="center"/>
    </xf>
    <xf numFmtId="165" fontId="32" fillId="5" borderId="1" xfId="0" applyNumberFormat="1" applyFont="1" applyFill="1" applyBorder="1" applyAlignment="1">
      <alignment vertical="center"/>
    </xf>
    <xf numFmtId="10" fontId="32" fillId="5" borderId="1" xfId="0" applyNumberFormat="1" applyFont="1" applyFill="1" applyBorder="1" applyAlignment="1">
      <alignment horizontal="center" vertical="center"/>
    </xf>
    <xf numFmtId="170" fontId="32" fillId="5" borderId="1" xfId="0" applyNumberFormat="1" applyFont="1" applyFill="1" applyBorder="1" applyAlignment="1">
      <alignment vertical="center"/>
    </xf>
    <xf numFmtId="10" fontId="33" fillId="4" borderId="1" xfId="0" applyNumberFormat="1" applyFont="1" applyFill="1" applyBorder="1" applyAlignment="1">
      <alignment horizontal="center" vertical="center"/>
    </xf>
    <xf numFmtId="166" fontId="41" fillId="18" borderId="1" xfId="0" applyNumberFormat="1" applyFont="1" applyFill="1" applyBorder="1" applyAlignment="1">
      <alignment horizontal="right" vertical="center"/>
    </xf>
    <xf numFmtId="10" fontId="42" fillId="18" borderId="1" xfId="0" applyNumberFormat="1" applyFont="1" applyFill="1" applyBorder="1" applyAlignment="1">
      <alignment horizontal="right" vertical="center"/>
    </xf>
    <xf numFmtId="166" fontId="17" fillId="3" borderId="1" xfId="0" applyNumberFormat="1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165" fontId="56" fillId="4" borderId="1" xfId="0" applyNumberFormat="1" applyFont="1" applyFill="1" applyBorder="1" applyAlignment="1">
      <alignment horizontal="right"/>
    </xf>
    <xf numFmtId="165" fontId="56" fillId="4" borderId="1" xfId="0" applyNumberFormat="1" applyFont="1" applyFill="1" applyBorder="1" applyAlignment="1">
      <alignment horizontal="center"/>
    </xf>
    <xf numFmtId="170" fontId="56" fillId="4" borderId="1" xfId="0" applyNumberFormat="1" applyFont="1" applyFill="1" applyBorder="1"/>
    <xf numFmtId="170" fontId="17" fillId="3" borderId="1" xfId="0" applyNumberFormat="1" applyFont="1" applyFill="1" applyBorder="1" applyAlignment="1">
      <alignment horizontal="center"/>
    </xf>
    <xf numFmtId="166" fontId="63" fillId="3" borderId="1" xfId="0" applyNumberFormat="1" applyFont="1" applyFill="1" applyBorder="1" applyAlignment="1">
      <alignment horizontal="center"/>
    </xf>
    <xf numFmtId="166" fontId="4" fillId="4" borderId="1" xfId="0" applyNumberFormat="1" applyFont="1" applyFill="1" applyBorder="1" applyAlignment="1">
      <alignment horizontal="center"/>
    </xf>
    <xf numFmtId="167" fontId="1" fillId="2" borderId="1" xfId="0" applyNumberFormat="1" applyFont="1" applyFill="1" applyBorder="1" applyAlignment="1">
      <alignment horizontal="center"/>
    </xf>
    <xf numFmtId="166" fontId="14" fillId="0" borderId="0" xfId="0" applyNumberFormat="1" applyFont="1" applyAlignment="1">
      <alignment horizontal="center"/>
    </xf>
    <xf numFmtId="166" fontId="26" fillId="3" borderId="11" xfId="0" applyNumberFormat="1" applyFont="1" applyFill="1" applyBorder="1" applyAlignment="1">
      <alignment horizontal="center" vertical="center" wrapText="1"/>
    </xf>
    <xf numFmtId="166" fontId="26" fillId="3" borderId="1" xfId="0" applyNumberFormat="1" applyFont="1" applyFill="1" applyBorder="1" applyAlignment="1">
      <alignment horizontal="center" vertical="center"/>
    </xf>
    <xf numFmtId="166" fontId="26" fillId="3" borderId="1" xfId="0" applyNumberFormat="1" applyFont="1" applyFill="1" applyBorder="1" applyAlignment="1">
      <alignment horizontal="center" vertical="center" wrapText="1"/>
    </xf>
    <xf numFmtId="166" fontId="4" fillId="4" borderId="1" xfId="0" applyNumberFormat="1" applyFont="1" applyFill="1" applyBorder="1" applyAlignment="1">
      <alignment horizontal="right"/>
    </xf>
    <xf numFmtId="10" fontId="1" fillId="4" borderId="1" xfId="0" applyNumberFormat="1" applyFont="1" applyFill="1" applyBorder="1"/>
    <xf numFmtId="10" fontId="1" fillId="2" borderId="1" xfId="0" applyNumberFormat="1" applyFont="1" applyFill="1" applyBorder="1" applyAlignment="1">
      <alignment horizontal="center"/>
    </xf>
    <xf numFmtId="10" fontId="1" fillId="4" borderId="1" xfId="0" applyNumberFormat="1" applyFont="1" applyFill="1" applyBorder="1" applyAlignment="1">
      <alignment horizontal="center"/>
    </xf>
    <xf numFmtId="10" fontId="1" fillId="2" borderId="1" xfId="0" applyNumberFormat="1" applyFont="1" applyFill="1" applyBorder="1"/>
    <xf numFmtId="10" fontId="56" fillId="2" borderId="1" xfId="0" applyNumberFormat="1" applyFont="1" applyFill="1" applyBorder="1" applyAlignment="1">
      <alignment horizontal="center"/>
    </xf>
    <xf numFmtId="166" fontId="27" fillId="3" borderId="1" xfId="0" applyNumberFormat="1" applyFont="1" applyFill="1" applyBorder="1" applyAlignment="1">
      <alignment horizontal="center"/>
    </xf>
    <xf numFmtId="0" fontId="27" fillId="3" borderId="1" xfId="0" applyFont="1" applyFill="1" applyBorder="1" applyAlignment="1">
      <alignment horizontal="center"/>
    </xf>
    <xf numFmtId="170" fontId="27" fillId="3" borderId="1" xfId="0" applyNumberFormat="1" applyFont="1" applyFill="1" applyBorder="1" applyAlignment="1">
      <alignment horizontal="center"/>
    </xf>
    <xf numFmtId="170" fontId="27" fillId="3" borderId="1" xfId="0" applyNumberFormat="1" applyFont="1" applyFill="1" applyBorder="1" applyAlignment="1">
      <alignment horizontal="center" vertical="center"/>
    </xf>
    <xf numFmtId="170" fontId="4" fillId="5" borderId="34" xfId="0" applyNumberFormat="1" applyFont="1" applyFill="1" applyBorder="1" applyAlignment="1">
      <alignment vertical="center"/>
    </xf>
    <xf numFmtId="10" fontId="43" fillId="18" borderId="37" xfId="0" applyNumberFormat="1" applyFont="1" applyFill="1" applyBorder="1" applyAlignment="1">
      <alignment vertical="center"/>
    </xf>
    <xf numFmtId="165" fontId="74" fillId="4" borderId="1" xfId="0" applyNumberFormat="1" applyFont="1" applyFill="1" applyBorder="1" applyAlignment="1">
      <alignment horizontal="center"/>
    </xf>
    <xf numFmtId="170" fontId="74" fillId="4" borderId="1" xfId="0" applyNumberFormat="1" applyFont="1" applyFill="1" applyBorder="1"/>
    <xf numFmtId="165" fontId="63" fillId="18" borderId="1" xfId="0" applyNumberFormat="1" applyFont="1" applyFill="1" applyBorder="1" applyAlignment="1">
      <alignment horizontal="right" vertical="center"/>
    </xf>
    <xf numFmtId="165" fontId="63" fillId="18" borderId="1" xfId="0" applyNumberFormat="1" applyFont="1" applyFill="1" applyBorder="1" applyAlignment="1">
      <alignment horizontal="center" vertical="center"/>
    </xf>
    <xf numFmtId="170" fontId="63" fillId="18" borderId="1" xfId="0" applyNumberFormat="1" applyFont="1" applyFill="1" applyBorder="1" applyAlignment="1">
      <alignment vertical="center"/>
    </xf>
    <xf numFmtId="0" fontId="75" fillId="3" borderId="1" xfId="0" applyFont="1" applyFill="1" applyBorder="1" applyAlignment="1">
      <alignment horizontal="center" vertical="center"/>
    </xf>
    <xf numFmtId="165" fontId="42" fillId="3" borderId="11" xfId="0" applyNumberFormat="1" applyFont="1" applyFill="1" applyBorder="1" applyAlignment="1">
      <alignment horizontal="center" vertical="center" wrapText="1"/>
    </xf>
    <xf numFmtId="1" fontId="42" fillId="3" borderId="1" xfId="0" applyNumberFormat="1" applyFont="1" applyFill="1" applyBorder="1" applyAlignment="1">
      <alignment horizontal="center" vertical="center" wrapText="1"/>
    </xf>
    <xf numFmtId="0" fontId="32" fillId="5" borderId="1" xfId="0" applyFont="1" applyFill="1" applyBorder="1" applyAlignment="1">
      <alignment vertical="center"/>
    </xf>
    <xf numFmtId="170" fontId="32" fillId="4" borderId="1" xfId="0" applyNumberFormat="1" applyFont="1" applyFill="1" applyBorder="1" applyAlignment="1">
      <alignment vertical="center"/>
    </xf>
    <xf numFmtId="170" fontId="42" fillId="3" borderId="1" xfId="0" applyNumberFormat="1" applyFont="1" applyFill="1" applyBorder="1" applyAlignment="1">
      <alignment horizontal="center" vertical="center" wrapText="1"/>
    </xf>
    <xf numFmtId="170" fontId="32" fillId="14" borderId="1" xfId="0" applyNumberFormat="1" applyFont="1" applyFill="1" applyBorder="1" applyAlignment="1">
      <alignment horizontal="center" vertical="center"/>
    </xf>
    <xf numFmtId="170" fontId="32" fillId="30" borderId="1" xfId="0" applyNumberFormat="1" applyFont="1" applyFill="1" applyBorder="1" applyAlignment="1">
      <alignment horizontal="center" vertical="center"/>
    </xf>
    <xf numFmtId="170" fontId="32" fillId="20" borderId="1" xfId="0" applyNumberFormat="1" applyFont="1" applyFill="1" applyBorder="1" applyAlignment="1">
      <alignment vertical="center"/>
    </xf>
    <xf numFmtId="170" fontId="32" fillId="30" borderId="1" xfId="0" applyNumberFormat="1" applyFont="1" applyFill="1" applyBorder="1" applyAlignment="1">
      <alignment vertical="center"/>
    </xf>
    <xf numFmtId="0" fontId="41" fillId="18" borderId="1" xfId="0" applyFont="1" applyFill="1" applyBorder="1" applyAlignment="1">
      <alignment horizontal="right" vertical="center"/>
    </xf>
    <xf numFmtId="170" fontId="42" fillId="18" borderId="1" xfId="0" applyNumberFormat="1" applyFont="1" applyFill="1" applyBorder="1" applyAlignment="1">
      <alignment vertical="center"/>
    </xf>
    <xf numFmtId="166" fontId="42" fillId="3" borderId="1" xfId="0" applyNumberFormat="1" applyFont="1" applyFill="1" applyBorder="1" applyAlignment="1">
      <alignment horizontal="center" vertical="center" wrapText="1"/>
    </xf>
    <xf numFmtId="166" fontId="42" fillId="3" borderId="1" xfId="0" applyNumberFormat="1" applyFont="1" applyFill="1" applyBorder="1" applyAlignment="1">
      <alignment horizontal="center" vertical="center"/>
    </xf>
    <xf numFmtId="166" fontId="32" fillId="5" borderId="1" xfId="0" applyNumberFormat="1" applyFont="1" applyFill="1" applyBorder="1" applyAlignment="1">
      <alignment horizontal="left" vertical="center"/>
    </xf>
    <xf numFmtId="167" fontId="32" fillId="4" borderId="1" xfId="0" applyNumberFormat="1" applyFont="1" applyFill="1" applyBorder="1" applyAlignment="1">
      <alignment vertical="center"/>
    </xf>
    <xf numFmtId="170" fontId="32" fillId="2" borderId="1" xfId="0" applyNumberFormat="1" applyFont="1" applyFill="1" applyBorder="1" applyAlignment="1">
      <alignment vertical="center"/>
    </xf>
    <xf numFmtId="166" fontId="32" fillId="5" borderId="9" xfId="0" applyNumberFormat="1" applyFont="1" applyFill="1" applyBorder="1" applyAlignment="1">
      <alignment horizontal="left" vertical="center"/>
    </xf>
    <xf numFmtId="10" fontId="32" fillId="4" borderId="1" xfId="0" applyNumberFormat="1" applyFont="1" applyFill="1" applyBorder="1" applyAlignment="1">
      <alignment vertical="center"/>
    </xf>
    <xf numFmtId="165" fontId="32" fillId="4" borderId="1" xfId="0" applyNumberFormat="1" applyFont="1" applyFill="1" applyBorder="1" applyAlignment="1">
      <alignment vertical="center"/>
    </xf>
    <xf numFmtId="179" fontId="32" fillId="4" borderId="1" xfId="0" applyNumberFormat="1" applyFont="1" applyFill="1" applyBorder="1" applyAlignment="1">
      <alignment vertical="center"/>
    </xf>
    <xf numFmtId="10" fontId="32" fillId="2" borderId="1" xfId="0" applyNumberFormat="1" applyFont="1" applyFill="1" applyBorder="1" applyAlignment="1">
      <alignment vertical="center"/>
    </xf>
    <xf numFmtId="9" fontId="32" fillId="2" borderId="1" xfId="0" applyNumberFormat="1" applyFont="1" applyFill="1" applyBorder="1" applyAlignment="1">
      <alignment horizontal="center" vertical="center"/>
    </xf>
    <xf numFmtId="166" fontId="78" fillId="5" borderId="1" xfId="0" applyNumberFormat="1" applyFont="1" applyFill="1" applyBorder="1" applyAlignment="1">
      <alignment horizontal="left" vertical="center"/>
    </xf>
    <xf numFmtId="170" fontId="78" fillId="4" borderId="1" xfId="0" applyNumberFormat="1" applyFont="1" applyFill="1" applyBorder="1" applyAlignment="1">
      <alignment vertical="center"/>
    </xf>
    <xf numFmtId="166" fontId="32" fillId="4" borderId="1" xfId="0" applyNumberFormat="1" applyFont="1" applyFill="1" applyBorder="1" applyAlignment="1">
      <alignment vertical="center"/>
    </xf>
    <xf numFmtId="165" fontId="42" fillId="31" borderId="1" xfId="0" applyNumberFormat="1" applyFont="1" applyFill="1" applyBorder="1" applyAlignment="1">
      <alignment horizontal="left" vertical="center"/>
    </xf>
    <xf numFmtId="170" fontId="61" fillId="31" borderId="1" xfId="0" applyNumberFormat="1" applyFont="1" applyFill="1" applyBorder="1" applyAlignment="1">
      <alignment vertical="center"/>
    </xf>
    <xf numFmtId="0" fontId="42" fillId="31" borderId="1" xfId="0" applyFont="1" applyFill="1" applyBorder="1" applyAlignment="1">
      <alignment horizontal="left" vertical="center"/>
    </xf>
    <xf numFmtId="170" fontId="42" fillId="31" borderId="1" xfId="0" applyNumberFormat="1" applyFont="1" applyFill="1" applyBorder="1" applyAlignment="1">
      <alignment horizontal="right" vertical="center"/>
    </xf>
    <xf numFmtId="0" fontId="42" fillId="3" borderId="1" xfId="0" applyFont="1" applyFill="1" applyBorder="1" applyAlignment="1">
      <alignment horizontal="left" vertical="center"/>
    </xf>
    <xf numFmtId="4" fontId="42" fillId="3" borderId="1" xfId="0" applyNumberFormat="1" applyFont="1" applyFill="1" applyBorder="1" applyAlignment="1">
      <alignment horizontal="right" vertical="center"/>
    </xf>
    <xf numFmtId="170" fontId="1" fillId="0" borderId="0" xfId="0" applyNumberFormat="1" applyFont="1" applyAlignment="1">
      <alignment vertical="center"/>
    </xf>
    <xf numFmtId="167" fontId="1" fillId="0" borderId="0" xfId="0" applyNumberFormat="1" applyFont="1" applyAlignment="1">
      <alignment vertical="center"/>
    </xf>
    <xf numFmtId="166" fontId="42" fillId="15" borderId="1" xfId="0" applyNumberFormat="1" applyFont="1" applyFill="1" applyBorder="1" applyAlignment="1">
      <alignment horizontal="center" vertical="center" wrapText="1"/>
    </xf>
    <xf numFmtId="166" fontId="32" fillId="16" borderId="1" xfId="0" applyNumberFormat="1" applyFont="1" applyFill="1" applyBorder="1" applyAlignment="1">
      <alignment horizontal="left" vertical="center" wrapText="1"/>
    </xf>
    <xf numFmtId="165" fontId="62" fillId="2" borderId="1" xfId="0" applyNumberFormat="1" applyFont="1" applyFill="1" applyBorder="1" applyAlignment="1">
      <alignment horizontal="center" vertical="center"/>
    </xf>
    <xf numFmtId="165" fontId="62" fillId="2" borderId="1" xfId="0" applyNumberFormat="1" applyFont="1" applyFill="1" applyBorder="1" applyAlignment="1">
      <alignment vertical="center"/>
    </xf>
    <xf numFmtId="165" fontId="62" fillId="20" borderId="1" xfId="0" applyNumberFormat="1" applyFont="1" applyFill="1" applyBorder="1" applyAlignment="1">
      <alignment vertical="center"/>
    </xf>
    <xf numFmtId="173" fontId="62" fillId="20" borderId="1" xfId="0" applyNumberFormat="1" applyFont="1" applyFill="1" applyBorder="1" applyAlignment="1">
      <alignment vertical="center"/>
    </xf>
    <xf numFmtId="170" fontId="62" fillId="2" borderId="1" xfId="0" applyNumberFormat="1" applyFont="1" applyFill="1" applyBorder="1" applyAlignment="1">
      <alignment vertical="center"/>
    </xf>
    <xf numFmtId="2" fontId="32" fillId="2" borderId="1" xfId="0" applyNumberFormat="1" applyFont="1" applyFill="1" applyBorder="1" applyAlignment="1">
      <alignment horizontal="right" vertical="center" wrapText="1"/>
    </xf>
    <xf numFmtId="170" fontId="32" fillId="2" borderId="1" xfId="0" applyNumberFormat="1" applyFont="1" applyFill="1" applyBorder="1" applyAlignment="1">
      <alignment horizontal="center" vertical="center" wrapText="1"/>
    </xf>
    <xf numFmtId="173" fontId="32" fillId="20" borderId="1" xfId="0" applyNumberFormat="1" applyFont="1" applyFill="1" applyBorder="1" applyAlignment="1">
      <alignment horizontal="center" vertical="center" wrapText="1"/>
    </xf>
    <xf numFmtId="176" fontId="32" fillId="20" borderId="1" xfId="0" applyNumberFormat="1" applyFont="1" applyFill="1" applyBorder="1" applyAlignment="1">
      <alignment horizontal="center" vertical="center" wrapText="1"/>
    </xf>
    <xf numFmtId="165" fontId="32" fillId="2" borderId="1" xfId="0" applyNumberFormat="1" applyFont="1" applyFill="1" applyBorder="1" applyAlignment="1">
      <alignment vertical="center"/>
    </xf>
    <xf numFmtId="165" fontId="32" fillId="20" borderId="1" xfId="0" applyNumberFormat="1" applyFont="1" applyFill="1" applyBorder="1" applyAlignment="1">
      <alignment vertical="center"/>
    </xf>
    <xf numFmtId="166" fontId="88" fillId="35" borderId="1" xfId="0" applyNumberFormat="1" applyFont="1" applyFill="1" applyBorder="1" applyAlignment="1">
      <alignment horizontal="right" vertical="center" wrapText="1"/>
    </xf>
    <xf numFmtId="165" fontId="88" fillId="35" borderId="1" xfId="0" applyNumberFormat="1" applyFont="1" applyFill="1" applyBorder="1" applyAlignment="1">
      <alignment horizontal="right" vertical="center" wrapText="1"/>
    </xf>
    <xf numFmtId="166" fontId="42" fillId="34" borderId="1" xfId="0" applyNumberFormat="1" applyFont="1" applyFill="1" applyBorder="1" applyAlignment="1">
      <alignment horizontal="center" vertical="center" wrapText="1"/>
    </xf>
    <xf numFmtId="165" fontId="32" fillId="2" borderId="1" xfId="0" applyNumberFormat="1" applyFont="1" applyFill="1" applyBorder="1" applyAlignment="1">
      <alignment horizontal="right" vertical="center"/>
    </xf>
    <xf numFmtId="165" fontId="32" fillId="29" borderId="1" xfId="0" applyNumberFormat="1" applyFont="1" applyFill="1" applyBorder="1" applyAlignment="1">
      <alignment vertical="center"/>
    </xf>
    <xf numFmtId="2" fontId="32" fillId="2" borderId="1" xfId="0" applyNumberFormat="1" applyFont="1" applyFill="1" applyBorder="1" applyAlignment="1">
      <alignment horizontal="right" vertical="center"/>
    </xf>
    <xf numFmtId="40" fontId="32" fillId="36" borderId="1" xfId="0" applyNumberFormat="1" applyFont="1" applyFill="1" applyBorder="1" applyAlignment="1">
      <alignment vertical="center"/>
    </xf>
    <xf numFmtId="176" fontId="32" fillId="16" borderId="1" xfId="0" applyNumberFormat="1" applyFont="1" applyFill="1" applyBorder="1" applyAlignment="1">
      <alignment vertical="center"/>
    </xf>
    <xf numFmtId="10" fontId="33" fillId="20" borderId="1" xfId="0" applyNumberFormat="1" applyFont="1" applyFill="1" applyBorder="1" applyAlignment="1">
      <alignment vertical="center"/>
    </xf>
    <xf numFmtId="0" fontId="15" fillId="0" borderId="0" xfId="0" applyFont="1"/>
    <xf numFmtId="167" fontId="89" fillId="0" borderId="1" xfId="0" applyNumberFormat="1" applyFont="1" applyBorder="1" applyAlignment="1">
      <alignment horizontal="center" vertical="center"/>
    </xf>
    <xf numFmtId="170" fontId="89" fillId="0" borderId="1" xfId="0" applyNumberFormat="1" applyFont="1" applyBorder="1" applyAlignment="1">
      <alignment vertical="center"/>
    </xf>
    <xf numFmtId="0" fontId="1" fillId="2" borderId="3" xfId="0" applyFont="1" applyFill="1" applyBorder="1"/>
    <xf numFmtId="8" fontId="1" fillId="2" borderId="3" xfId="0" applyNumberFormat="1" applyFont="1" applyFill="1" applyBorder="1"/>
    <xf numFmtId="10" fontId="1" fillId="2" borderId="3" xfId="0" applyNumberFormat="1" applyFont="1" applyFill="1" applyBorder="1"/>
    <xf numFmtId="1" fontId="59" fillId="0" borderId="1" xfId="0" applyNumberFormat="1" applyFont="1" applyBorder="1" applyAlignment="1">
      <alignment horizontal="left"/>
    </xf>
    <xf numFmtId="0" fontId="91" fillId="0" borderId="0" xfId="0" applyFont="1" applyAlignment="1">
      <alignment horizontal="left" vertical="center"/>
    </xf>
    <xf numFmtId="166" fontId="9" fillId="4" borderId="3" xfId="0" applyNumberFormat="1" applyFont="1" applyFill="1" applyBorder="1" applyAlignment="1">
      <alignment horizontal="right" vertical="center"/>
    </xf>
    <xf numFmtId="166" fontId="4" fillId="2" borderId="3" xfId="0" applyNumberFormat="1" applyFont="1" applyFill="1" applyBorder="1" applyAlignment="1">
      <alignment vertical="center"/>
    </xf>
    <xf numFmtId="181" fontId="10" fillId="4" borderId="3" xfId="0" applyNumberFormat="1" applyFont="1" applyFill="1" applyBorder="1" applyAlignment="1">
      <alignment horizontal="left" vertical="center"/>
    </xf>
    <xf numFmtId="181" fontId="10" fillId="4" borderId="3" xfId="0" applyNumberFormat="1" applyFont="1" applyFill="1" applyBorder="1" applyAlignment="1">
      <alignment horizontal="center" vertical="center"/>
    </xf>
    <xf numFmtId="169" fontId="91" fillId="0" borderId="0" xfId="0" applyNumberFormat="1" applyFont="1" applyAlignment="1">
      <alignment horizontal="center" vertical="center"/>
    </xf>
    <xf numFmtId="169" fontId="93" fillId="0" borderId="0" xfId="0" applyNumberFormat="1" applyFont="1" applyAlignment="1">
      <alignment horizontal="center" vertical="center"/>
    </xf>
    <xf numFmtId="0" fontId="91" fillId="0" borderId="15" xfId="0" applyFont="1" applyBorder="1" applyAlignment="1">
      <alignment horizontal="left" vertical="center"/>
    </xf>
    <xf numFmtId="165" fontId="91" fillId="24" borderId="15" xfId="0" applyNumberFormat="1" applyFont="1" applyFill="1" applyBorder="1" applyAlignment="1">
      <alignment vertical="center"/>
    </xf>
    <xf numFmtId="170" fontId="91" fillId="25" borderId="15" xfId="0" applyNumberFormat="1" applyFont="1" applyFill="1" applyBorder="1" applyAlignment="1">
      <alignment vertical="center"/>
    </xf>
    <xf numFmtId="170" fontId="91" fillId="24" borderId="15" xfId="0" applyNumberFormat="1" applyFont="1" applyFill="1" applyBorder="1" applyAlignment="1">
      <alignment vertical="center"/>
    </xf>
    <xf numFmtId="165" fontId="91" fillId="25" borderId="15" xfId="0" applyNumberFormat="1" applyFont="1" applyFill="1" applyBorder="1" applyAlignment="1">
      <alignment vertical="center"/>
    </xf>
    <xf numFmtId="170" fontId="13" fillId="4" borderId="3" xfId="0" applyNumberFormat="1" applyFont="1" applyFill="1" applyBorder="1" applyAlignment="1">
      <alignment vertical="center"/>
    </xf>
    <xf numFmtId="10" fontId="95" fillId="5" borderId="1" xfId="0" applyNumberFormat="1" applyFont="1" applyFill="1" applyBorder="1" applyAlignment="1">
      <alignment horizontal="center" vertical="center"/>
    </xf>
    <xf numFmtId="10" fontId="95" fillId="0" borderId="1" xfId="0" applyNumberFormat="1" applyFont="1" applyBorder="1" applyAlignment="1">
      <alignment horizontal="center" vertical="center"/>
    </xf>
    <xf numFmtId="0" fontId="96" fillId="22" borderId="0" xfId="0" applyFont="1" applyFill="1" applyAlignment="1">
      <alignment horizontal="center"/>
    </xf>
    <xf numFmtId="2" fontId="96" fillId="22" borderId="0" xfId="0" applyNumberFormat="1" applyFont="1" applyFill="1" applyAlignment="1">
      <alignment horizontal="center" vertical="center"/>
    </xf>
    <xf numFmtId="44" fontId="96" fillId="22" borderId="0" xfId="1" applyFont="1" applyFill="1" applyAlignment="1">
      <alignment horizontal="center"/>
    </xf>
    <xf numFmtId="0" fontId="29" fillId="38" borderId="0" xfId="0" applyFont="1" applyFill="1" applyAlignment="1">
      <alignment horizontal="left"/>
    </xf>
    <xf numFmtId="2" fontId="29" fillId="39" borderId="0" xfId="0" applyNumberFormat="1" applyFont="1" applyFill="1" applyAlignment="1">
      <alignment horizontal="center" vertical="center"/>
    </xf>
    <xf numFmtId="44" fontId="0" fillId="38" borderId="0" xfId="1" applyFont="1" applyFill="1" applyAlignment="1"/>
    <xf numFmtId="0" fontId="0" fillId="38" borderId="0" xfId="0" applyFill="1"/>
    <xf numFmtId="2" fontId="29" fillId="38" borderId="0" xfId="0" applyNumberFormat="1" applyFont="1" applyFill="1" applyAlignment="1">
      <alignment horizontal="center" vertical="center"/>
    </xf>
    <xf numFmtId="0" fontId="29" fillId="39" borderId="0" xfId="0" applyFont="1" applyFill="1" applyAlignment="1">
      <alignment horizontal="left"/>
    </xf>
    <xf numFmtId="44" fontId="0" fillId="39" borderId="0" xfId="1" applyFont="1" applyFill="1" applyAlignment="1"/>
    <xf numFmtId="0" fontId="0" fillId="39" borderId="0" xfId="0" applyFill="1"/>
    <xf numFmtId="44" fontId="29" fillId="38" borderId="0" xfId="1" applyFont="1" applyFill="1" applyAlignment="1">
      <alignment horizontal="center"/>
    </xf>
    <xf numFmtId="0" fontId="29" fillId="38" borderId="0" xfId="0" applyFont="1" applyFill="1" applyAlignment="1">
      <alignment horizontal="center"/>
    </xf>
    <xf numFmtId="0" fontId="29" fillId="40" borderId="0" xfId="0" applyFont="1" applyFill="1" applyAlignment="1">
      <alignment horizontal="left"/>
    </xf>
    <xf numFmtId="2" fontId="29" fillId="40" borderId="0" xfId="0" applyNumberFormat="1" applyFont="1" applyFill="1" applyAlignment="1">
      <alignment horizontal="center" vertical="center"/>
    </xf>
    <xf numFmtId="44" fontId="29" fillId="40" borderId="0" xfId="1" applyFont="1" applyFill="1" applyAlignment="1">
      <alignment horizontal="center"/>
    </xf>
    <xf numFmtId="0" fontId="29" fillId="40" borderId="0" xfId="0" applyFont="1" applyFill="1" applyAlignment="1">
      <alignment horizontal="center"/>
    </xf>
    <xf numFmtId="0" fontId="29" fillId="0" borderId="0" xfId="0" applyFont="1" applyAlignment="1">
      <alignment horizontal="left"/>
    </xf>
    <xf numFmtId="2" fontId="29" fillId="0" borderId="0" xfId="0" applyNumberFormat="1" applyFont="1" applyAlignment="1">
      <alignment horizontal="center" vertical="center"/>
    </xf>
    <xf numFmtId="44" fontId="0" fillId="0" borderId="0" xfId="1" applyFont="1" applyAlignment="1"/>
    <xf numFmtId="0" fontId="29" fillId="41" borderId="0" xfId="0" applyFont="1" applyFill="1" applyAlignment="1">
      <alignment horizontal="left"/>
    </xf>
    <xf numFmtId="2" fontId="29" fillId="41" borderId="0" xfId="0" applyNumberFormat="1" applyFont="1" applyFill="1" applyAlignment="1">
      <alignment horizontal="center" vertical="center"/>
    </xf>
    <xf numFmtId="44" fontId="0" fillId="41" borderId="0" xfId="1" applyFont="1" applyFill="1" applyAlignment="1"/>
    <xf numFmtId="0" fontId="0" fillId="41" borderId="0" xfId="0" applyFill="1"/>
    <xf numFmtId="44" fontId="29" fillId="41" borderId="0" xfId="1" applyFont="1" applyFill="1" applyAlignment="1">
      <alignment horizontal="center"/>
    </xf>
    <xf numFmtId="0" fontId="29" fillId="42" borderId="0" xfId="0" applyFont="1" applyFill="1" applyAlignment="1">
      <alignment horizontal="left"/>
    </xf>
    <xf numFmtId="2" fontId="29" fillId="42" borderId="0" xfId="0" applyNumberFormat="1" applyFont="1" applyFill="1" applyAlignment="1">
      <alignment horizontal="center" vertical="center"/>
    </xf>
    <xf numFmtId="44" fontId="0" fillId="42" borderId="0" xfId="1" applyFont="1" applyFill="1" applyAlignment="1"/>
    <xf numFmtId="0" fontId="0" fillId="42" borderId="0" xfId="0" applyFill="1"/>
    <xf numFmtId="44" fontId="29" fillId="42" borderId="0" xfId="1" applyFont="1" applyFill="1" applyAlignment="1">
      <alignment horizontal="center"/>
    </xf>
    <xf numFmtId="44" fontId="29" fillId="0" borderId="0" xfId="1" applyFont="1" applyFill="1" applyAlignment="1">
      <alignment horizontal="center"/>
    </xf>
    <xf numFmtId="44" fontId="29" fillId="0" borderId="0" xfId="1" applyFont="1" applyAlignment="1">
      <alignment horizontal="center"/>
    </xf>
    <xf numFmtId="0" fontId="29" fillId="43" borderId="0" xfId="0" applyFont="1" applyFill="1" applyAlignment="1">
      <alignment horizontal="left"/>
    </xf>
    <xf numFmtId="2" fontId="29" fillId="43" borderId="0" xfId="0" applyNumberFormat="1" applyFont="1" applyFill="1" applyAlignment="1">
      <alignment horizontal="center" vertical="center"/>
    </xf>
    <xf numFmtId="44" fontId="0" fillId="43" borderId="0" xfId="1" applyFont="1" applyFill="1" applyAlignment="1"/>
    <xf numFmtId="0" fontId="0" fillId="43" borderId="0" xfId="0" applyFill="1"/>
    <xf numFmtId="44" fontId="29" fillId="43" borderId="0" xfId="1" applyFont="1" applyFill="1" applyAlignment="1">
      <alignment horizontal="center"/>
    </xf>
    <xf numFmtId="44" fontId="0" fillId="0" borderId="0" xfId="1" applyFont="1" applyFill="1" applyAlignment="1"/>
    <xf numFmtId="0" fontId="29" fillId="44" borderId="0" xfId="0" applyFont="1" applyFill="1" applyAlignment="1">
      <alignment horizontal="left"/>
    </xf>
    <xf numFmtId="2" fontId="29" fillId="44" borderId="0" xfId="0" applyNumberFormat="1" applyFont="1" applyFill="1" applyAlignment="1">
      <alignment horizontal="center" vertical="center"/>
    </xf>
    <xf numFmtId="44" fontId="0" fillId="44" borderId="0" xfId="1" applyFont="1" applyFill="1" applyAlignment="1"/>
    <xf numFmtId="0" fontId="0" fillId="44" borderId="0" xfId="0" applyFill="1"/>
    <xf numFmtId="44" fontId="29" fillId="44" borderId="0" xfId="1" applyFont="1" applyFill="1" applyAlignment="1">
      <alignment horizontal="center"/>
    </xf>
    <xf numFmtId="0" fontId="29" fillId="44" borderId="0" xfId="0" applyFont="1" applyFill="1" applyAlignment="1">
      <alignment horizontal="center"/>
    </xf>
    <xf numFmtId="0" fontId="29" fillId="45" borderId="0" xfId="0" applyFont="1" applyFill="1" applyAlignment="1">
      <alignment horizontal="left"/>
    </xf>
    <xf numFmtId="0" fontId="0" fillId="45" borderId="0" xfId="0" applyFill="1"/>
    <xf numFmtId="2" fontId="29" fillId="45" borderId="0" xfId="0" applyNumberFormat="1" applyFont="1" applyFill="1" applyAlignment="1">
      <alignment horizontal="center" vertical="center"/>
    </xf>
    <xf numFmtId="44" fontId="29" fillId="45" borderId="0" xfId="1" applyFont="1" applyFill="1" applyAlignment="1">
      <alignment horizontal="center"/>
    </xf>
    <xf numFmtId="0" fontId="29" fillId="46" borderId="0" xfId="0" applyFont="1" applyFill="1" applyAlignment="1">
      <alignment horizontal="left"/>
    </xf>
    <xf numFmtId="0" fontId="0" fillId="46" borderId="0" xfId="0" applyFill="1"/>
    <xf numFmtId="2" fontId="29" fillId="46" borderId="0" xfId="0" applyNumberFormat="1" applyFont="1" applyFill="1" applyAlignment="1">
      <alignment horizontal="center" vertical="center"/>
    </xf>
    <xf numFmtId="44" fontId="29" fillId="46" borderId="0" xfId="1" applyFont="1" applyFill="1" applyAlignment="1">
      <alignment horizontal="center"/>
    </xf>
    <xf numFmtId="0" fontId="0" fillId="40" borderId="0" xfId="0" applyFill="1"/>
    <xf numFmtId="0" fontId="29" fillId="47" borderId="0" xfId="0" applyFont="1" applyFill="1" applyAlignment="1">
      <alignment horizontal="left"/>
    </xf>
    <xf numFmtId="0" fontId="0" fillId="47" borderId="0" xfId="0" applyFill="1"/>
    <xf numFmtId="2" fontId="29" fillId="47" borderId="0" xfId="0" applyNumberFormat="1" applyFont="1" applyFill="1" applyAlignment="1">
      <alignment horizontal="center" vertical="center"/>
    </xf>
    <xf numFmtId="44" fontId="29" fillId="47" borderId="0" xfId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69" fillId="0" borderId="38" xfId="0" applyFont="1" applyBorder="1" applyAlignment="1">
      <alignment horizontal="center"/>
    </xf>
    <xf numFmtId="0" fontId="69" fillId="0" borderId="38" xfId="0" applyFont="1" applyBorder="1" applyAlignment="1">
      <alignment horizontal="center" vertical="center"/>
    </xf>
    <xf numFmtId="44" fontId="97" fillId="0" borderId="38" xfId="1" applyFont="1" applyBorder="1" applyAlignment="1">
      <alignment horizontal="center" vertical="center"/>
    </xf>
    <xf numFmtId="44" fontId="69" fillId="0" borderId="38" xfId="1" applyFont="1" applyBorder="1" applyAlignment="1">
      <alignment horizontal="center" vertical="center"/>
    </xf>
    <xf numFmtId="0" fontId="36" fillId="0" borderId="0" xfId="0" applyFont="1"/>
    <xf numFmtId="0" fontId="36" fillId="38" borderId="38" xfId="0" applyFont="1" applyFill="1" applyBorder="1"/>
    <xf numFmtId="2" fontId="36" fillId="38" borderId="38" xfId="0" applyNumberFormat="1" applyFont="1" applyFill="1" applyBorder="1" applyAlignment="1">
      <alignment vertical="center"/>
    </xf>
    <xf numFmtId="44" fontId="36" fillId="38" borderId="38" xfId="1" applyFont="1" applyFill="1" applyBorder="1" applyAlignment="1"/>
    <xf numFmtId="44" fontId="98" fillId="38" borderId="38" xfId="1" applyFont="1" applyFill="1" applyBorder="1" applyAlignment="1">
      <alignment horizontal="center" vertical="center"/>
    </xf>
    <xf numFmtId="44" fontId="36" fillId="38" borderId="38" xfId="0" applyNumberFormat="1" applyFont="1" applyFill="1" applyBorder="1" applyAlignment="1">
      <alignment vertical="center"/>
    </xf>
    <xf numFmtId="0" fontId="36" fillId="38" borderId="38" xfId="0" applyFont="1" applyFill="1" applyBorder="1" applyAlignment="1">
      <alignment vertical="center"/>
    </xf>
    <xf numFmtId="44" fontId="36" fillId="38" borderId="38" xfId="1" applyFont="1" applyFill="1" applyBorder="1" applyAlignment="1">
      <alignment vertical="center"/>
    </xf>
    <xf numFmtId="0" fontId="36" fillId="0" borderId="38" xfId="0" applyFont="1" applyBorder="1"/>
    <xf numFmtId="0" fontId="36" fillId="0" borderId="38" xfId="0" applyFont="1" applyBorder="1" applyAlignment="1">
      <alignment vertical="center"/>
    </xf>
    <xf numFmtId="2" fontId="36" fillId="0" borderId="38" xfId="0" applyNumberFormat="1" applyFont="1" applyBorder="1" applyAlignment="1">
      <alignment horizontal="center" vertical="center"/>
    </xf>
    <xf numFmtId="44" fontId="36" fillId="0" borderId="38" xfId="1" applyFont="1" applyBorder="1" applyAlignment="1">
      <alignment vertical="center"/>
    </xf>
    <xf numFmtId="44" fontId="36" fillId="0" borderId="38" xfId="0" applyNumberFormat="1" applyFont="1" applyBorder="1" applyAlignment="1">
      <alignment vertical="center"/>
    </xf>
    <xf numFmtId="2" fontId="36" fillId="38" borderId="38" xfId="0" applyNumberFormat="1" applyFont="1" applyFill="1" applyBorder="1" applyAlignment="1">
      <alignment horizontal="center" vertical="center"/>
    </xf>
    <xf numFmtId="44" fontId="36" fillId="38" borderId="38" xfId="0" applyNumberFormat="1" applyFont="1" applyFill="1" applyBorder="1"/>
    <xf numFmtId="2" fontId="0" fillId="0" borderId="0" xfId="0" applyNumberFormat="1" applyAlignment="1">
      <alignment horizontal="center" vertical="center"/>
    </xf>
    <xf numFmtId="0" fontId="99" fillId="48" borderId="39" xfId="0" applyFont="1" applyFill="1" applyBorder="1" applyAlignment="1">
      <alignment horizontal="center"/>
    </xf>
    <xf numFmtId="0" fontId="100" fillId="0" borderId="40" xfId="0" applyFont="1" applyBorder="1" applyAlignment="1">
      <alignment horizontal="center"/>
    </xf>
    <xf numFmtId="0" fontId="100" fillId="0" borderId="40" xfId="0" applyFont="1" applyBorder="1"/>
    <xf numFmtId="2" fontId="100" fillId="0" borderId="40" xfId="0" applyNumberFormat="1" applyFont="1" applyBorder="1" applyAlignment="1">
      <alignment horizontal="center"/>
    </xf>
    <xf numFmtId="0" fontId="100" fillId="0" borderId="41" xfId="0" applyFont="1" applyBorder="1" applyAlignment="1">
      <alignment horizontal="center"/>
    </xf>
    <xf numFmtId="0" fontId="100" fillId="0" borderId="41" xfId="0" applyFont="1" applyBorder="1"/>
    <xf numFmtId="2" fontId="100" fillId="0" borderId="41" xfId="0" applyNumberFormat="1" applyFont="1" applyBorder="1" applyAlignment="1">
      <alignment horizontal="center"/>
    </xf>
    <xf numFmtId="0" fontId="100" fillId="0" borderId="42" xfId="0" applyFont="1" applyBorder="1" applyAlignment="1">
      <alignment horizontal="center"/>
    </xf>
    <xf numFmtId="0" fontId="100" fillId="0" borderId="42" xfId="0" applyFont="1" applyBorder="1"/>
    <xf numFmtId="2" fontId="100" fillId="0" borderId="42" xfId="0" applyNumberFormat="1" applyFont="1" applyBorder="1" applyAlignment="1">
      <alignment horizontal="center"/>
    </xf>
    <xf numFmtId="0" fontId="90" fillId="0" borderId="0" xfId="0" applyFont="1"/>
    <xf numFmtId="0" fontId="0" fillId="0" borderId="3" xfId="0" applyBorder="1"/>
    <xf numFmtId="0" fontId="0" fillId="0" borderId="43" xfId="0" applyBorder="1"/>
    <xf numFmtId="0" fontId="102" fillId="0" borderId="44" xfId="0" applyFont="1" applyBorder="1" applyAlignment="1">
      <alignment horizontal="center"/>
    </xf>
    <xf numFmtId="4" fontId="101" fillId="0" borderId="1" xfId="0" applyNumberFormat="1" applyFont="1" applyBorder="1" applyAlignment="1">
      <alignment horizontal="center" vertical="center"/>
    </xf>
    <xf numFmtId="183" fontId="0" fillId="0" borderId="0" xfId="1" applyNumberFormat="1" applyFont="1" applyAlignment="1"/>
    <xf numFmtId="166" fontId="2" fillId="2" borderId="3" xfId="0" applyNumberFormat="1" applyFont="1" applyFill="1" applyBorder="1" applyAlignment="1">
      <alignment vertical="center"/>
    </xf>
    <xf numFmtId="166" fontId="7" fillId="2" borderId="3" xfId="0" applyNumberFormat="1" applyFont="1" applyFill="1" applyBorder="1" applyAlignment="1">
      <alignment vertical="center"/>
    </xf>
    <xf numFmtId="166" fontId="8" fillId="2" borderId="3" xfId="0" applyNumberFormat="1" applyFont="1" applyFill="1" applyBorder="1" applyAlignment="1">
      <alignment vertical="center"/>
    </xf>
    <xf numFmtId="169" fontId="8" fillId="2" borderId="3" xfId="0" applyNumberFormat="1" applyFont="1" applyFill="1" applyBorder="1" applyAlignment="1">
      <alignment vertical="center"/>
    </xf>
    <xf numFmtId="170" fontId="7" fillId="2" borderId="3" xfId="0" applyNumberFormat="1" applyFont="1" applyFill="1" applyBorder="1" applyAlignment="1">
      <alignment vertical="center"/>
    </xf>
    <xf numFmtId="9" fontId="8" fillId="2" borderId="3" xfId="0" applyNumberFormat="1" applyFont="1" applyFill="1" applyBorder="1" applyAlignment="1">
      <alignment vertical="center"/>
    </xf>
    <xf numFmtId="166" fontId="11" fillId="49" borderId="3" xfId="0" applyNumberFormat="1" applyFont="1" applyFill="1" applyBorder="1" applyAlignment="1">
      <alignment horizontal="center" vertical="center"/>
    </xf>
    <xf numFmtId="9" fontId="8" fillId="52" borderId="3" xfId="0" applyNumberFormat="1" applyFont="1" applyFill="1" applyBorder="1" applyAlignment="1">
      <alignment vertical="center"/>
    </xf>
    <xf numFmtId="0" fontId="0" fillId="0" borderId="45" xfId="0" pivotButton="1" applyBorder="1"/>
    <xf numFmtId="0" fontId="0" fillId="0" borderId="46" xfId="0" applyBorder="1"/>
    <xf numFmtId="0" fontId="0" fillId="0" borderId="45" xfId="0" applyBorder="1" applyAlignment="1">
      <alignment horizontal="left"/>
    </xf>
    <xf numFmtId="0" fontId="0" fillId="0" borderId="47" xfId="0" applyBorder="1" applyAlignment="1">
      <alignment horizontal="left"/>
    </xf>
    <xf numFmtId="0" fontId="0" fillId="0" borderId="48" xfId="0" applyBorder="1" applyAlignment="1">
      <alignment horizontal="left"/>
    </xf>
    <xf numFmtId="183" fontId="0" fillId="0" borderId="46" xfId="1" applyNumberFormat="1" applyFont="1" applyBorder="1" applyAlignment="1"/>
    <xf numFmtId="183" fontId="0" fillId="0" borderId="50" xfId="1" applyNumberFormat="1" applyFont="1" applyBorder="1" applyAlignment="1"/>
    <xf numFmtId="183" fontId="0" fillId="0" borderId="49" xfId="1" applyNumberFormat="1" applyFont="1" applyBorder="1" applyAlignment="1"/>
    <xf numFmtId="183" fontId="0" fillId="0" borderId="46" xfId="0" applyNumberFormat="1" applyBorder="1"/>
    <xf numFmtId="183" fontId="0" fillId="0" borderId="50" xfId="0" applyNumberFormat="1" applyBorder="1"/>
    <xf numFmtId="183" fontId="0" fillId="0" borderId="49" xfId="0" applyNumberFormat="1" applyBorder="1"/>
    <xf numFmtId="0" fontId="0" fillId="39" borderId="47" xfId="0" applyFill="1" applyBorder="1" applyAlignment="1">
      <alignment horizontal="left"/>
    </xf>
    <xf numFmtId="166" fontId="1" fillId="2" borderId="3" xfId="0" applyNumberFormat="1" applyFont="1" applyFill="1" applyBorder="1" applyAlignment="1">
      <alignment vertical="center"/>
    </xf>
    <xf numFmtId="0" fontId="103" fillId="0" borderId="0" xfId="0" applyFont="1"/>
    <xf numFmtId="0" fontId="104" fillId="0" borderId="0" xfId="0" applyFont="1"/>
    <xf numFmtId="0" fontId="104" fillId="0" borderId="0" xfId="0" applyFont="1" applyAlignment="1">
      <alignment horizontal="center" vertical="center"/>
    </xf>
    <xf numFmtId="0" fontId="109" fillId="53" borderId="0" xfId="0" applyFont="1" applyFill="1" applyAlignment="1">
      <alignment horizontal="center" vertical="center"/>
    </xf>
    <xf numFmtId="0" fontId="103" fillId="0" borderId="51" xfId="0" applyFont="1" applyBorder="1"/>
    <xf numFmtId="0" fontId="103" fillId="0" borderId="3" xfId="0" applyFont="1" applyBorder="1"/>
    <xf numFmtId="0" fontId="103" fillId="0" borderId="43" xfId="0" applyFont="1" applyBorder="1"/>
    <xf numFmtId="2" fontId="109" fillId="53" borderId="0" xfId="0" applyNumberFormat="1" applyFont="1" applyFill="1" applyAlignment="1">
      <alignment horizontal="center" vertical="center"/>
    </xf>
    <xf numFmtId="2" fontId="105" fillId="9" borderId="3" xfId="0" applyNumberFormat="1" applyFont="1" applyFill="1" applyBorder="1"/>
    <xf numFmtId="2" fontId="103" fillId="0" borderId="3" xfId="0" applyNumberFormat="1" applyFont="1" applyBorder="1"/>
    <xf numFmtId="2" fontId="103" fillId="0" borderId="0" xfId="0" applyNumberFormat="1" applyFont="1"/>
    <xf numFmtId="0" fontId="107" fillId="0" borderId="3" xfId="0" applyFont="1" applyBorder="1"/>
    <xf numFmtId="0" fontId="107" fillId="0" borderId="43" xfId="0" applyFont="1" applyBorder="1"/>
    <xf numFmtId="0" fontId="103" fillId="0" borderId="52" xfId="0" applyFont="1" applyBorder="1"/>
    <xf numFmtId="0" fontId="103" fillId="0" borderId="53" xfId="0" applyFont="1" applyBorder="1"/>
    <xf numFmtId="0" fontId="103" fillId="0" borderId="54" xfId="0" applyFont="1" applyBorder="1"/>
    <xf numFmtId="2" fontId="105" fillId="0" borderId="3" xfId="0" applyNumberFormat="1" applyFont="1" applyBorder="1"/>
    <xf numFmtId="0" fontId="107" fillId="0" borderId="53" xfId="0" applyFont="1" applyBorder="1"/>
    <xf numFmtId="0" fontId="107" fillId="0" borderId="54" xfId="0" applyFont="1" applyBorder="1"/>
    <xf numFmtId="167" fontId="106" fillId="54" borderId="52" xfId="2" applyNumberFormat="1" applyFont="1" applyFill="1" applyBorder="1"/>
    <xf numFmtId="167" fontId="106" fillId="54" borderId="53" xfId="2" applyNumberFormat="1" applyFont="1" applyFill="1" applyBorder="1"/>
    <xf numFmtId="167" fontId="103" fillId="54" borderId="53" xfId="2" applyNumberFormat="1" applyFont="1" applyFill="1" applyBorder="1" applyAlignment="1"/>
    <xf numFmtId="167" fontId="103" fillId="54" borderId="53" xfId="2" applyNumberFormat="1" applyFont="1" applyFill="1" applyBorder="1"/>
    <xf numFmtId="167" fontId="108" fillId="54" borderId="53" xfId="2" applyNumberFormat="1" applyFont="1" applyFill="1" applyBorder="1"/>
    <xf numFmtId="167" fontId="108" fillId="54" borderId="54" xfId="2" applyNumberFormat="1" applyFont="1" applyFill="1" applyBorder="1"/>
    <xf numFmtId="9" fontId="105" fillId="55" borderId="52" xfId="2" applyFont="1" applyFill="1" applyBorder="1"/>
    <xf numFmtId="9" fontId="105" fillId="55" borderId="54" xfId="2" applyFont="1" applyFill="1" applyBorder="1"/>
    <xf numFmtId="167" fontId="105" fillId="55" borderId="52" xfId="2" applyNumberFormat="1" applyFont="1" applyFill="1" applyBorder="1"/>
    <xf numFmtId="167" fontId="105" fillId="55" borderId="54" xfId="2" applyNumberFormat="1" applyFont="1" applyFill="1" applyBorder="1"/>
    <xf numFmtId="2" fontId="105" fillId="55" borderId="52" xfId="0" applyNumberFormat="1" applyFont="1" applyFill="1" applyBorder="1"/>
    <xf numFmtId="2" fontId="106" fillId="54" borderId="53" xfId="0" applyNumberFormat="1" applyFont="1" applyFill="1" applyBorder="1"/>
    <xf numFmtId="10" fontId="105" fillId="55" borderId="53" xfId="2" applyNumberFormat="1" applyFont="1" applyFill="1" applyBorder="1"/>
    <xf numFmtId="2" fontId="105" fillId="55" borderId="53" xfId="0" applyNumberFormat="1" applyFont="1" applyFill="1" applyBorder="1"/>
    <xf numFmtId="167" fontId="105" fillId="55" borderId="53" xfId="2" applyNumberFormat="1" applyFont="1" applyFill="1" applyBorder="1"/>
    <xf numFmtId="0" fontId="84" fillId="14" borderId="3" xfId="0" applyFont="1" applyFill="1" applyBorder="1" applyAlignment="1">
      <alignment horizontal="left" vertical="center"/>
    </xf>
    <xf numFmtId="0" fontId="86" fillId="6" borderId="3" xfId="0" applyFont="1" applyFill="1" applyBorder="1" applyAlignment="1">
      <alignment horizontal="left" vertical="center"/>
    </xf>
    <xf numFmtId="168" fontId="0" fillId="0" borderId="0" xfId="0" applyNumberFormat="1"/>
    <xf numFmtId="184" fontId="0" fillId="0" borderId="0" xfId="0" applyNumberFormat="1"/>
    <xf numFmtId="0" fontId="17" fillId="8" borderId="8" xfId="0" quotePrefix="1" applyFont="1" applyFill="1" applyBorder="1" applyAlignment="1">
      <alignment horizontal="center" vertical="center" wrapText="1"/>
    </xf>
    <xf numFmtId="166" fontId="3" fillId="2" borderId="3" xfId="0" applyNumberFormat="1" applyFont="1" applyFill="1" applyBorder="1" applyAlignment="1">
      <alignment horizontal="center" vertical="center"/>
    </xf>
    <xf numFmtId="166" fontId="3" fillId="2" borderId="3" xfId="0" applyNumberFormat="1" applyFont="1" applyFill="1" applyBorder="1" applyAlignment="1">
      <alignment vertical="center"/>
    </xf>
    <xf numFmtId="166" fontId="5" fillId="3" borderId="3" xfId="0" applyNumberFormat="1" applyFont="1" applyFill="1" applyBorder="1" applyAlignment="1">
      <alignment horizontal="center" vertical="center"/>
    </xf>
    <xf numFmtId="166" fontId="3" fillId="4" borderId="3" xfId="0" applyNumberFormat="1" applyFont="1" applyFill="1" applyBorder="1" applyAlignment="1">
      <alignment horizontal="right" vertical="center"/>
    </xf>
    <xf numFmtId="9" fontId="3" fillId="2" borderId="3" xfId="2" applyFont="1" applyFill="1" applyBorder="1" applyAlignment="1">
      <alignment vertical="center"/>
    </xf>
    <xf numFmtId="185" fontId="4" fillId="2" borderId="3" xfId="0" applyNumberFormat="1" applyFont="1" applyFill="1" applyBorder="1" applyAlignment="1">
      <alignment vertical="center"/>
    </xf>
    <xf numFmtId="166" fontId="3" fillId="2" borderId="3" xfId="0" applyNumberFormat="1" applyFont="1" applyFill="1" applyBorder="1" applyAlignment="1">
      <alignment horizontal="right" vertical="center"/>
    </xf>
    <xf numFmtId="166" fontId="94" fillId="2" borderId="3" xfId="0" applyNumberFormat="1" applyFont="1" applyFill="1" applyBorder="1" applyAlignment="1">
      <alignment vertical="center"/>
    </xf>
    <xf numFmtId="181" fontId="11" fillId="4" borderId="3" xfId="0" applyNumberFormat="1" applyFont="1" applyFill="1" applyBorder="1" applyAlignment="1">
      <alignment horizontal="center"/>
    </xf>
    <xf numFmtId="170" fontId="12" fillId="4" borderId="3" xfId="0" applyNumberFormat="1" applyFont="1" applyFill="1" applyBorder="1" applyAlignment="1">
      <alignment vertical="center"/>
    </xf>
    <xf numFmtId="166" fontId="13" fillId="4" borderId="3" xfId="0" applyNumberFormat="1" applyFont="1" applyFill="1" applyBorder="1" applyAlignment="1">
      <alignment horizontal="right" vertical="center"/>
    </xf>
    <xf numFmtId="166" fontId="14" fillId="2" borderId="3" xfId="0" applyNumberFormat="1" applyFont="1" applyFill="1" applyBorder="1" applyAlignment="1">
      <alignment vertical="center"/>
    </xf>
    <xf numFmtId="166" fontId="4" fillId="2" borderId="3" xfId="0" applyNumberFormat="1" applyFont="1" applyFill="1" applyBorder="1" applyAlignment="1">
      <alignment horizontal="center" vertical="center"/>
    </xf>
    <xf numFmtId="166" fontId="4" fillId="6" borderId="3" xfId="0" applyNumberFormat="1" applyFont="1" applyFill="1" applyBorder="1" applyAlignment="1">
      <alignment horizontal="right" vertical="center"/>
    </xf>
    <xf numFmtId="3" fontId="4" fillId="6" borderId="3" xfId="0" applyNumberFormat="1" applyFont="1" applyFill="1" applyBorder="1" applyAlignment="1">
      <alignment vertical="center"/>
    </xf>
    <xf numFmtId="166" fontId="4" fillId="6" borderId="3" xfId="0" applyNumberFormat="1" applyFont="1" applyFill="1" applyBorder="1" applyAlignment="1">
      <alignment vertical="center"/>
    </xf>
    <xf numFmtId="9" fontId="4" fillId="6" borderId="3" xfId="0" applyNumberFormat="1" applyFont="1" applyFill="1" applyBorder="1" applyAlignment="1">
      <alignment vertical="center"/>
    </xf>
    <xf numFmtId="170" fontId="1" fillId="2" borderId="3" xfId="0" applyNumberFormat="1" applyFont="1" applyFill="1" applyBorder="1" applyAlignment="1">
      <alignment vertical="center"/>
    </xf>
    <xf numFmtId="166" fontId="4" fillId="6" borderId="3" xfId="0" applyNumberFormat="1" applyFont="1" applyFill="1" applyBorder="1" applyAlignment="1">
      <alignment horizontal="center" vertical="center"/>
    </xf>
    <xf numFmtId="166" fontId="15" fillId="2" borderId="3" xfId="0" applyNumberFormat="1" applyFont="1" applyFill="1" applyBorder="1" applyAlignment="1">
      <alignment vertical="center"/>
    </xf>
    <xf numFmtId="10" fontId="1" fillId="2" borderId="3" xfId="0" applyNumberFormat="1" applyFont="1" applyFill="1" applyBorder="1" applyAlignment="1">
      <alignment vertical="center"/>
    </xf>
    <xf numFmtId="165" fontId="1" fillId="2" borderId="3" xfId="0" applyNumberFormat="1" applyFont="1" applyFill="1" applyBorder="1" applyAlignment="1">
      <alignment vertical="center"/>
    </xf>
    <xf numFmtId="166" fontId="18" fillId="2" borderId="3" xfId="0" applyNumberFormat="1" applyFont="1" applyFill="1" applyBorder="1" applyAlignment="1">
      <alignment vertical="center"/>
    </xf>
    <xf numFmtId="0" fontId="19" fillId="8" borderId="3" xfId="0" applyFont="1" applyFill="1" applyBorder="1" applyAlignment="1">
      <alignment horizontal="center" vertical="center"/>
    </xf>
    <xf numFmtId="166" fontId="19" fillId="8" borderId="3" xfId="0" applyNumberFormat="1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left" vertical="center"/>
    </xf>
    <xf numFmtId="166" fontId="25" fillId="2" borderId="3" xfId="0" applyNumberFormat="1" applyFont="1" applyFill="1" applyBorder="1" applyAlignment="1">
      <alignment vertical="center"/>
    </xf>
    <xf numFmtId="37" fontId="4" fillId="2" borderId="3" xfId="0" applyNumberFormat="1" applyFont="1" applyFill="1" applyBorder="1" applyAlignment="1">
      <alignment vertical="center"/>
    </xf>
    <xf numFmtId="37" fontId="26" fillId="2" borderId="3" xfId="0" applyNumberFormat="1" applyFont="1" applyFill="1" applyBorder="1" applyAlignment="1">
      <alignment vertical="center"/>
    </xf>
    <xf numFmtId="166" fontId="16" fillId="8" borderId="3" xfId="0" applyNumberFormat="1" applyFont="1" applyFill="1" applyBorder="1" applyAlignment="1">
      <alignment vertical="center"/>
    </xf>
    <xf numFmtId="166" fontId="20" fillId="2" borderId="3" xfId="0" applyNumberFormat="1" applyFont="1" applyFill="1" applyBorder="1" applyAlignment="1">
      <alignment vertical="center"/>
    </xf>
    <xf numFmtId="166" fontId="21" fillId="2" borderId="3" xfId="0" applyNumberFormat="1" applyFont="1" applyFill="1" applyBorder="1" applyAlignment="1">
      <alignment vertical="center"/>
    </xf>
    <xf numFmtId="166" fontId="22" fillId="2" borderId="3" xfId="0" applyNumberFormat="1" applyFont="1" applyFill="1" applyBorder="1" applyAlignment="1">
      <alignment vertical="center"/>
    </xf>
    <xf numFmtId="171" fontId="1" fillId="2" borderId="3" xfId="0" applyNumberFormat="1" applyFont="1" applyFill="1" applyBorder="1" applyAlignment="1">
      <alignment vertical="center"/>
    </xf>
    <xf numFmtId="172" fontId="1" fillId="2" borderId="3" xfId="0" applyNumberFormat="1" applyFont="1" applyFill="1" applyBorder="1" applyAlignment="1">
      <alignment vertical="center"/>
    </xf>
    <xf numFmtId="173" fontId="1" fillId="2" borderId="3" xfId="0" applyNumberFormat="1" applyFont="1" applyFill="1" applyBorder="1" applyAlignment="1">
      <alignment vertical="center"/>
    </xf>
    <xf numFmtId="174" fontId="1" fillId="2" borderId="3" xfId="0" applyNumberFormat="1" applyFont="1" applyFill="1" applyBorder="1" applyAlignment="1">
      <alignment vertical="center"/>
    </xf>
    <xf numFmtId="175" fontId="1" fillId="2" borderId="3" xfId="0" applyNumberFormat="1" applyFont="1" applyFill="1" applyBorder="1" applyAlignment="1">
      <alignment vertical="center"/>
    </xf>
    <xf numFmtId="166" fontId="30" fillId="14" borderId="3" xfId="0" applyNumberFormat="1" applyFont="1" applyFill="1" applyBorder="1" applyAlignment="1">
      <alignment horizontal="left" vertical="center"/>
    </xf>
    <xf numFmtId="166" fontId="31" fillId="2" borderId="3" xfId="0" applyNumberFormat="1" applyFont="1" applyFill="1" applyBorder="1" applyAlignment="1">
      <alignment vertical="center"/>
    </xf>
    <xf numFmtId="166" fontId="32" fillId="2" borderId="3" xfId="0" applyNumberFormat="1" applyFont="1" applyFill="1" applyBorder="1" applyAlignment="1">
      <alignment vertical="center"/>
    </xf>
    <xf numFmtId="167" fontId="32" fillId="2" borderId="3" xfId="0" applyNumberFormat="1" applyFont="1" applyFill="1" applyBorder="1" applyAlignment="1">
      <alignment vertical="center"/>
    </xf>
    <xf numFmtId="166" fontId="32" fillId="14" borderId="3" xfId="0" applyNumberFormat="1" applyFont="1" applyFill="1" applyBorder="1" applyAlignment="1">
      <alignment vertical="center"/>
    </xf>
    <xf numFmtId="167" fontId="32" fillId="14" borderId="3" xfId="0" applyNumberFormat="1" applyFont="1" applyFill="1" applyBorder="1" applyAlignment="1">
      <alignment vertical="center"/>
    </xf>
    <xf numFmtId="0" fontId="27" fillId="8" borderId="8" xfId="0" applyFont="1" applyFill="1" applyBorder="1" applyAlignment="1">
      <alignment horizontal="center" vertical="center" wrapText="1"/>
    </xf>
    <xf numFmtId="39" fontId="34" fillId="0" borderId="8" xfId="0" applyNumberFormat="1" applyFont="1" applyBorder="1" applyAlignment="1">
      <alignment horizontal="center" vertical="center"/>
    </xf>
    <xf numFmtId="39" fontId="34" fillId="9" borderId="3" xfId="0" applyNumberFormat="1" applyFont="1" applyFill="1" applyBorder="1" applyAlignment="1">
      <alignment horizontal="center" vertical="center"/>
    </xf>
    <xf numFmtId="10" fontId="28" fillId="0" borderId="14" xfId="0" applyNumberFormat="1" applyFont="1" applyBorder="1" applyAlignment="1">
      <alignment horizontal="center" vertical="center"/>
    </xf>
    <xf numFmtId="10" fontId="28" fillId="0" borderId="8" xfId="0" applyNumberFormat="1" applyFont="1" applyBorder="1" applyAlignment="1">
      <alignment horizontal="center" vertical="center"/>
    </xf>
    <xf numFmtId="39" fontId="34" fillId="0" borderId="30" xfId="0" applyNumberFormat="1" applyFont="1" applyBorder="1" applyAlignment="1">
      <alignment horizontal="center" vertical="center"/>
    </xf>
    <xf numFmtId="39" fontId="34" fillId="0" borderId="10" xfId="0" applyNumberFormat="1" applyFont="1" applyBorder="1" applyAlignment="1">
      <alignment horizontal="center" vertical="center"/>
    </xf>
    <xf numFmtId="167" fontId="34" fillId="0" borderId="30" xfId="0" applyNumberFormat="1" applyFont="1" applyBorder="1" applyAlignment="1">
      <alignment horizontal="center" vertical="center"/>
    </xf>
    <xf numFmtId="10" fontId="28" fillId="0" borderId="12" xfId="0" applyNumberFormat="1" applyFont="1" applyBorder="1" applyAlignment="1">
      <alignment horizontal="center" vertical="center"/>
    </xf>
    <xf numFmtId="10" fontId="28" fillId="0" borderId="30" xfId="0" applyNumberFormat="1" applyFont="1" applyBorder="1" applyAlignment="1">
      <alignment horizontal="center" vertical="center"/>
    </xf>
    <xf numFmtId="10" fontId="28" fillId="0" borderId="10" xfId="0" applyNumberFormat="1" applyFont="1" applyBorder="1" applyAlignment="1">
      <alignment horizontal="center" vertical="center"/>
    </xf>
    <xf numFmtId="166" fontId="37" fillId="14" borderId="3" xfId="0" applyNumberFormat="1" applyFont="1" applyFill="1" applyBorder="1" applyAlignment="1">
      <alignment horizontal="left" vertical="center"/>
    </xf>
    <xf numFmtId="166" fontId="32" fillId="2" borderId="3" xfId="0" applyNumberFormat="1" applyFont="1" applyFill="1" applyBorder="1"/>
    <xf numFmtId="166" fontId="32" fillId="14" borderId="3" xfId="0" applyNumberFormat="1" applyFont="1" applyFill="1" applyBorder="1"/>
    <xf numFmtId="166" fontId="38" fillId="15" borderId="3" xfId="0" applyNumberFormat="1" applyFont="1" applyFill="1" applyBorder="1" applyAlignment="1">
      <alignment horizontal="left" vertical="center"/>
    </xf>
    <xf numFmtId="166" fontId="39" fillId="14" borderId="3" xfId="0" applyNumberFormat="1" applyFont="1" applyFill="1" applyBorder="1"/>
    <xf numFmtId="166" fontId="4" fillId="2" borderId="3" xfId="0" applyNumberFormat="1" applyFont="1" applyFill="1" applyBorder="1"/>
    <xf numFmtId="37" fontId="32" fillId="14" borderId="3" xfId="0" applyNumberFormat="1" applyFont="1" applyFill="1" applyBorder="1"/>
    <xf numFmtId="166" fontId="38" fillId="15" borderId="3" xfId="0" applyNumberFormat="1" applyFont="1" applyFill="1" applyBorder="1" applyAlignment="1">
      <alignment vertical="center"/>
    </xf>
    <xf numFmtId="166" fontId="35" fillId="14" borderId="3" xfId="0" applyNumberFormat="1" applyFont="1" applyFill="1" applyBorder="1" applyAlignment="1">
      <alignment horizontal="right"/>
    </xf>
    <xf numFmtId="0" fontId="27" fillId="8" borderId="8" xfId="0" quotePrefix="1" applyFont="1" applyFill="1" applyBorder="1" applyAlignment="1">
      <alignment vertical="center" wrapText="1"/>
    </xf>
    <xf numFmtId="0" fontId="27" fillId="8" borderId="10" xfId="0" applyFont="1" applyFill="1" applyBorder="1" applyAlignment="1">
      <alignment vertical="center" wrapText="1"/>
    </xf>
    <xf numFmtId="166" fontId="33" fillId="14" borderId="3" xfId="0" applyNumberFormat="1" applyFont="1" applyFill="1" applyBorder="1"/>
    <xf numFmtId="167" fontId="32" fillId="14" borderId="3" xfId="0" applyNumberFormat="1" applyFont="1" applyFill="1" applyBorder="1"/>
    <xf numFmtId="166" fontId="33" fillId="14" borderId="3" xfId="0" applyNumberFormat="1" applyFont="1" applyFill="1" applyBorder="1" applyAlignment="1">
      <alignment vertical="center"/>
    </xf>
    <xf numFmtId="170" fontId="32" fillId="14" borderId="3" xfId="0" applyNumberFormat="1" applyFont="1" applyFill="1" applyBorder="1"/>
    <xf numFmtId="167" fontId="32" fillId="14" borderId="3" xfId="2" applyNumberFormat="1" applyFont="1" applyFill="1" applyBorder="1" applyAlignment="1">
      <alignment vertical="center"/>
    </xf>
    <xf numFmtId="44" fontId="32" fillId="14" borderId="3" xfId="1" applyFont="1" applyFill="1" applyBorder="1"/>
    <xf numFmtId="44" fontId="32" fillId="14" borderId="3" xfId="0" applyNumberFormat="1" applyFont="1" applyFill="1" applyBorder="1"/>
    <xf numFmtId="0" fontId="18" fillId="2" borderId="3" xfId="0" applyFont="1" applyFill="1" applyBorder="1"/>
    <xf numFmtId="0" fontId="1" fillId="2" borderId="3" xfId="0" applyFont="1" applyFill="1" applyBorder="1" applyAlignment="1">
      <alignment horizontal="center"/>
    </xf>
    <xf numFmtId="0" fontId="43" fillId="18" borderId="3" xfId="0" applyFont="1" applyFill="1" applyBorder="1" applyAlignment="1">
      <alignment horizontal="center" vertical="center" wrapText="1"/>
    </xf>
    <xf numFmtId="165" fontId="1" fillId="4" borderId="3" xfId="0" applyNumberFormat="1" applyFont="1" applyFill="1" applyBorder="1"/>
    <xf numFmtId="0" fontId="1" fillId="0" borderId="30" xfId="0" applyFont="1" applyBorder="1"/>
    <xf numFmtId="0" fontId="1" fillId="0" borderId="30" xfId="0" applyFont="1" applyBorder="1" applyAlignment="1">
      <alignment horizontal="center"/>
    </xf>
    <xf numFmtId="165" fontId="1" fillId="0" borderId="30" xfId="0" applyNumberFormat="1" applyFont="1" applyBorder="1"/>
    <xf numFmtId="165" fontId="1" fillId="4" borderId="30" xfId="0" applyNumberFormat="1" applyFont="1" applyFill="1" applyBorder="1"/>
    <xf numFmtId="0" fontId="17" fillId="8" borderId="8" xfId="0" applyFont="1" applyFill="1" applyBorder="1" applyAlignment="1">
      <alignment horizontal="center" vertical="center" wrapText="1"/>
    </xf>
    <xf numFmtId="170" fontId="17" fillId="8" borderId="8" xfId="0" applyNumberFormat="1" applyFont="1" applyFill="1" applyBorder="1" applyAlignment="1">
      <alignment horizontal="center" vertical="center" wrapText="1"/>
    </xf>
    <xf numFmtId="0" fontId="45" fillId="14" borderId="3" xfId="0" applyFont="1" applyFill="1" applyBorder="1"/>
    <xf numFmtId="0" fontId="46" fillId="14" borderId="3" xfId="0" applyFont="1" applyFill="1" applyBorder="1" applyAlignment="1">
      <alignment horizontal="left" vertical="center"/>
    </xf>
    <xf numFmtId="166" fontId="47" fillId="2" borderId="3" xfId="0" applyNumberFormat="1" applyFont="1" applyFill="1" applyBorder="1" applyAlignment="1">
      <alignment horizontal="left" vertical="center"/>
    </xf>
    <xf numFmtId="165" fontId="47" fillId="2" borderId="3" xfId="0" applyNumberFormat="1" applyFont="1" applyFill="1" applyBorder="1" applyAlignment="1">
      <alignment horizontal="left" vertical="center"/>
    </xf>
    <xf numFmtId="0" fontId="48" fillId="2" borderId="3" xfId="0" applyFont="1" applyFill="1" applyBorder="1" applyAlignment="1">
      <alignment horizontal="left" vertical="center"/>
    </xf>
    <xf numFmtId="0" fontId="45" fillId="2" borderId="3" xfId="0" applyFont="1" applyFill="1" applyBorder="1"/>
    <xf numFmtId="0" fontId="49" fillId="2" borderId="3" xfId="0" applyFont="1" applyFill="1" applyBorder="1" applyAlignment="1">
      <alignment horizontal="left" vertical="center"/>
    </xf>
    <xf numFmtId="165" fontId="50" fillId="18" borderId="3" xfId="0" applyNumberFormat="1" applyFont="1" applyFill="1" applyBorder="1" applyAlignment="1">
      <alignment vertical="center" wrapText="1"/>
    </xf>
    <xf numFmtId="165" fontId="50" fillId="18" borderId="8" xfId="0" applyNumberFormat="1" applyFont="1" applyFill="1" applyBorder="1" applyAlignment="1">
      <alignment horizontal="center" vertical="center" wrapText="1"/>
    </xf>
    <xf numFmtId="165" fontId="51" fillId="18" borderId="3" xfId="0" applyNumberFormat="1" applyFont="1" applyFill="1" applyBorder="1" applyAlignment="1">
      <alignment vertical="center" wrapText="1"/>
    </xf>
    <xf numFmtId="165" fontId="50" fillId="18" borderId="30" xfId="0" applyNumberFormat="1" applyFont="1" applyFill="1" applyBorder="1" applyAlignment="1">
      <alignment horizontal="center" vertical="center" wrapText="1"/>
    </xf>
    <xf numFmtId="165" fontId="51" fillId="18" borderId="3" xfId="0" applyNumberFormat="1" applyFont="1" applyFill="1" applyBorder="1" applyAlignment="1">
      <alignment horizontal="center" vertical="center" wrapText="1"/>
    </xf>
    <xf numFmtId="165" fontId="52" fillId="0" borderId="9" xfId="0" applyNumberFormat="1" applyFont="1" applyBorder="1"/>
    <xf numFmtId="165" fontId="52" fillId="0" borderId="10" xfId="0" applyNumberFormat="1" applyFont="1" applyBorder="1"/>
    <xf numFmtId="170" fontId="53" fillId="18" borderId="3" xfId="0" applyNumberFormat="1" applyFont="1" applyFill="1" applyBorder="1"/>
    <xf numFmtId="170" fontId="54" fillId="18" borderId="3" xfId="0" applyNumberFormat="1" applyFont="1" applyFill="1" applyBorder="1"/>
    <xf numFmtId="170" fontId="55" fillId="18" borderId="3" xfId="0" applyNumberFormat="1" applyFont="1" applyFill="1" applyBorder="1" applyAlignment="1">
      <alignment horizontal="left" vertical="center"/>
    </xf>
    <xf numFmtId="166" fontId="57" fillId="2" borderId="3" xfId="0" applyNumberFormat="1" applyFont="1" applyFill="1" applyBorder="1" applyAlignment="1">
      <alignment horizontal="left" vertical="center"/>
    </xf>
    <xf numFmtId="166" fontId="58" fillId="2" borderId="3" xfId="0" applyNumberFormat="1" applyFont="1" applyFill="1" applyBorder="1" applyAlignment="1">
      <alignment horizontal="left" vertical="center"/>
    </xf>
    <xf numFmtId="166" fontId="58" fillId="2" borderId="3" xfId="0" applyNumberFormat="1" applyFont="1" applyFill="1" applyBorder="1" applyAlignment="1">
      <alignment vertical="center"/>
    </xf>
    <xf numFmtId="165" fontId="59" fillId="0" borderId="10" xfId="0" applyNumberFormat="1" applyFont="1" applyBorder="1"/>
    <xf numFmtId="165" fontId="32" fillId="0" borderId="11" xfId="0" applyNumberFormat="1" applyFont="1" applyBorder="1"/>
    <xf numFmtId="166" fontId="60" fillId="19" borderId="31" xfId="0" applyNumberFormat="1" applyFont="1" applyFill="1" applyBorder="1"/>
    <xf numFmtId="166" fontId="60" fillId="19" borderId="31" xfId="0" applyNumberFormat="1" applyFont="1" applyFill="1" applyBorder="1" applyAlignment="1">
      <alignment horizontal="right"/>
    </xf>
    <xf numFmtId="37" fontId="61" fillId="2" borderId="3" xfId="0" applyNumberFormat="1" applyFont="1" applyFill="1" applyBorder="1" applyAlignment="1">
      <alignment horizontal="center"/>
    </xf>
    <xf numFmtId="166" fontId="61" fillId="2" borderId="3" xfId="0" applyNumberFormat="1" applyFont="1" applyFill="1" applyBorder="1"/>
    <xf numFmtId="166" fontId="60" fillId="14" borderId="3" xfId="0" applyNumberFormat="1" applyFont="1" applyFill="1" applyBorder="1"/>
    <xf numFmtId="165" fontId="33" fillId="2" borderId="3" xfId="0" applyNumberFormat="1" applyFont="1" applyFill="1" applyBorder="1" applyAlignment="1">
      <alignment horizontal="center" vertical="center" wrapText="1"/>
    </xf>
    <xf numFmtId="2" fontId="32" fillId="2" borderId="3" xfId="0" applyNumberFormat="1" applyFont="1" applyFill="1" applyBorder="1"/>
    <xf numFmtId="37" fontId="32" fillId="2" borderId="3" xfId="0" applyNumberFormat="1" applyFont="1" applyFill="1" applyBorder="1" applyAlignment="1">
      <alignment horizontal="center"/>
    </xf>
    <xf numFmtId="9" fontId="32" fillId="2" borderId="3" xfId="0" applyNumberFormat="1" applyFont="1" applyFill="1" applyBorder="1"/>
    <xf numFmtId="167" fontId="32" fillId="2" borderId="3" xfId="0" applyNumberFormat="1" applyFont="1" applyFill="1" applyBorder="1"/>
    <xf numFmtId="166" fontId="35" fillId="2" borderId="3" xfId="0" applyNumberFormat="1" applyFont="1" applyFill="1" applyBorder="1" applyAlignment="1">
      <alignment horizontal="left"/>
    </xf>
    <xf numFmtId="10" fontId="32" fillId="2" borderId="3" xfId="0" applyNumberFormat="1" applyFont="1" applyFill="1" applyBorder="1" applyAlignment="1">
      <alignment horizontal="center"/>
    </xf>
    <xf numFmtId="166" fontId="39" fillId="2" borderId="3" xfId="0" applyNumberFormat="1" applyFont="1" applyFill="1" applyBorder="1"/>
    <xf numFmtId="166" fontId="35" fillId="2" borderId="3" xfId="0" applyNumberFormat="1" applyFont="1" applyFill="1" applyBorder="1" applyAlignment="1">
      <alignment horizontal="right"/>
    </xf>
    <xf numFmtId="166" fontId="42" fillId="18" borderId="31" xfId="0" applyNumberFormat="1" applyFont="1" applyFill="1" applyBorder="1" applyAlignment="1">
      <alignment vertical="center"/>
    </xf>
    <xf numFmtId="166" fontId="42" fillId="18" borderId="30" xfId="0" applyNumberFormat="1" applyFont="1" applyFill="1" applyBorder="1" applyAlignment="1">
      <alignment horizontal="center" vertical="center"/>
    </xf>
    <xf numFmtId="170" fontId="58" fillId="2" borderId="3" xfId="0" applyNumberFormat="1" applyFont="1" applyFill="1" applyBorder="1" applyAlignment="1">
      <alignment horizontal="left" vertical="center"/>
    </xf>
    <xf numFmtId="166" fontId="41" fillId="18" borderId="31" xfId="0" applyNumberFormat="1" applyFont="1" applyFill="1" applyBorder="1"/>
    <xf numFmtId="170" fontId="32" fillId="2" borderId="3" xfId="0" applyNumberFormat="1" applyFont="1" applyFill="1" applyBorder="1" applyAlignment="1">
      <alignment horizontal="center"/>
    </xf>
    <xf numFmtId="165" fontId="62" fillId="2" borderId="3" xfId="0" applyNumberFormat="1" applyFont="1" applyFill="1" applyBorder="1"/>
    <xf numFmtId="166" fontId="32" fillId="2" borderId="3" xfId="0" applyNumberFormat="1" applyFont="1" applyFill="1" applyBorder="1" applyAlignment="1">
      <alignment horizontal="right"/>
    </xf>
    <xf numFmtId="166" fontId="32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vertical="center"/>
    </xf>
    <xf numFmtId="0" fontId="17" fillId="22" borderId="3" xfId="0" applyFont="1" applyFill="1" applyBorder="1" applyAlignment="1">
      <alignment horizontal="center" vertical="center"/>
    </xf>
    <xf numFmtId="0" fontId="17" fillId="22" borderId="3" xfId="0" applyFont="1" applyFill="1" applyBorder="1" applyAlignment="1">
      <alignment horizontal="center" vertical="center" wrapText="1"/>
    </xf>
    <xf numFmtId="165" fontId="1" fillId="0" borderId="14" xfId="0" applyNumberFormat="1" applyFont="1" applyBorder="1" applyAlignment="1">
      <alignment horizontal="center" vertical="center"/>
    </xf>
    <xf numFmtId="165" fontId="29" fillId="0" borderId="14" xfId="0" applyNumberFormat="1" applyFont="1" applyBorder="1" applyAlignment="1">
      <alignment horizontal="center" vertical="center"/>
    </xf>
    <xf numFmtId="0" fontId="1" fillId="0" borderId="30" xfId="0" applyFont="1" applyBorder="1" applyAlignment="1">
      <alignment horizontal="left" vertical="center"/>
    </xf>
    <xf numFmtId="0" fontId="1" fillId="0" borderId="30" xfId="0" applyFont="1" applyBorder="1" applyAlignment="1">
      <alignment horizontal="center" vertical="center"/>
    </xf>
    <xf numFmtId="165" fontId="1" fillId="0" borderId="12" xfId="0" applyNumberFormat="1" applyFont="1" applyBorder="1" applyAlignment="1">
      <alignment horizontal="center" vertical="center"/>
    </xf>
    <xf numFmtId="165" fontId="1" fillId="0" borderId="30" xfId="0" applyNumberFormat="1" applyFont="1" applyBorder="1" applyAlignment="1">
      <alignment horizontal="center" vertical="center"/>
    </xf>
    <xf numFmtId="10" fontId="1" fillId="0" borderId="30" xfId="0" applyNumberFormat="1" applyFont="1" applyBorder="1" applyAlignment="1">
      <alignment horizontal="center" vertical="center"/>
    </xf>
    <xf numFmtId="0" fontId="1" fillId="0" borderId="30" xfId="0" applyFont="1" applyBorder="1" applyAlignment="1">
      <alignment vertical="center"/>
    </xf>
    <xf numFmtId="0" fontId="17" fillId="23" borderId="3" xfId="0" applyFont="1" applyFill="1" applyBorder="1" applyAlignment="1">
      <alignment horizontal="center" vertical="center"/>
    </xf>
    <xf numFmtId="0" fontId="17" fillId="22" borderId="3" xfId="0" applyFont="1" applyFill="1" applyBorder="1" applyAlignment="1">
      <alignment horizontal="left" vertical="center"/>
    </xf>
    <xf numFmtId="165" fontId="1" fillId="24" borderId="3" xfId="0" applyNumberFormat="1" applyFont="1" applyFill="1" applyBorder="1" applyAlignment="1">
      <alignment horizontal="center" vertical="center"/>
    </xf>
    <xf numFmtId="177" fontId="1" fillId="24" borderId="3" xfId="0" applyNumberFormat="1" applyFont="1" applyFill="1" applyBorder="1" applyAlignment="1">
      <alignment horizontal="center" vertical="center"/>
    </xf>
    <xf numFmtId="178" fontId="1" fillId="24" borderId="3" xfId="0" applyNumberFormat="1" applyFont="1" applyFill="1" applyBorder="1" applyAlignment="1">
      <alignment horizontal="center" vertical="center"/>
    </xf>
    <xf numFmtId="0" fontId="1" fillId="24" borderId="3" xfId="0" applyFont="1" applyFill="1" applyBorder="1" applyAlignment="1">
      <alignment horizontal="left" vertical="center"/>
    </xf>
    <xf numFmtId="0" fontId="1" fillId="24" borderId="3" xfId="0" applyFont="1" applyFill="1" applyBorder="1" applyAlignment="1">
      <alignment horizontal="center" vertical="center"/>
    </xf>
    <xf numFmtId="165" fontId="91" fillId="24" borderId="3" xfId="0" applyNumberFormat="1" applyFont="1" applyFill="1" applyBorder="1" applyAlignment="1">
      <alignment horizontal="center" vertical="center"/>
    </xf>
    <xf numFmtId="177" fontId="91" fillId="24" borderId="3" xfId="0" applyNumberFormat="1" applyFont="1" applyFill="1" applyBorder="1" applyAlignment="1">
      <alignment horizontal="center" vertical="center"/>
    </xf>
    <xf numFmtId="178" fontId="91" fillId="24" borderId="3" xfId="0" applyNumberFormat="1" applyFont="1" applyFill="1" applyBorder="1" applyAlignment="1">
      <alignment horizontal="center" vertical="center"/>
    </xf>
    <xf numFmtId="0" fontId="91" fillId="24" borderId="3" xfId="0" applyFont="1" applyFill="1" applyBorder="1" applyAlignment="1">
      <alignment horizontal="left" vertical="center"/>
    </xf>
    <xf numFmtId="0" fontId="91" fillId="24" borderId="3" xfId="0" applyFont="1" applyFill="1" applyBorder="1" applyAlignment="1">
      <alignment horizontal="center" vertical="center"/>
    </xf>
    <xf numFmtId="169" fontId="1" fillId="0" borderId="30" xfId="0" applyNumberFormat="1" applyFont="1" applyBorder="1" applyAlignment="1">
      <alignment horizontal="center" vertical="center"/>
    </xf>
    <xf numFmtId="169" fontId="1" fillId="2" borderId="3" xfId="0" applyNumberFormat="1" applyFont="1" applyFill="1" applyBorder="1" applyAlignment="1">
      <alignment vertical="center"/>
    </xf>
    <xf numFmtId="170" fontId="63" fillId="22" borderId="3" xfId="0" applyNumberFormat="1" applyFont="1" applyFill="1" applyBorder="1" applyAlignment="1">
      <alignment horizontal="center" vertical="center"/>
    </xf>
    <xf numFmtId="170" fontId="17" fillId="22" borderId="3" xfId="0" applyNumberFormat="1" applyFont="1" applyFill="1" applyBorder="1" applyAlignment="1">
      <alignment horizontal="center" vertical="center"/>
    </xf>
    <xf numFmtId="170" fontId="4" fillId="2" borderId="3" xfId="0" applyNumberFormat="1" applyFont="1" applyFill="1" applyBorder="1" applyAlignment="1">
      <alignment vertical="center"/>
    </xf>
    <xf numFmtId="0" fontId="4" fillId="2" borderId="3" xfId="0" applyFont="1" applyFill="1" applyBorder="1" applyAlignment="1">
      <alignment vertical="center"/>
    </xf>
    <xf numFmtId="0" fontId="65" fillId="4" borderId="19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right" vertical="center" wrapText="1"/>
    </xf>
    <xf numFmtId="0" fontId="65" fillId="4" borderId="3" xfId="0" applyFont="1" applyFill="1" applyBorder="1" applyAlignment="1">
      <alignment horizontal="center" vertical="center"/>
    </xf>
    <xf numFmtId="0" fontId="65" fillId="2" borderId="19" xfId="0" applyFont="1" applyFill="1" applyBorder="1" applyAlignment="1">
      <alignment vertical="center"/>
    </xf>
    <xf numFmtId="166" fontId="38" fillId="2" borderId="3" xfId="0" applyNumberFormat="1" applyFont="1" applyFill="1" applyBorder="1" applyAlignment="1">
      <alignment horizontal="left" vertical="center"/>
    </xf>
    <xf numFmtId="166" fontId="45" fillId="2" borderId="3" xfId="0" applyNumberFormat="1" applyFont="1" applyFill="1" applyBorder="1" applyAlignment="1">
      <alignment vertical="center"/>
    </xf>
    <xf numFmtId="166" fontId="57" fillId="2" borderId="3" xfId="0" applyNumberFormat="1" applyFont="1" applyFill="1" applyBorder="1" applyAlignment="1">
      <alignment vertical="center"/>
    </xf>
    <xf numFmtId="166" fontId="48" fillId="2" borderId="3" xfId="0" applyNumberFormat="1" applyFont="1" applyFill="1" applyBorder="1" applyAlignment="1">
      <alignment horizontal="left" vertical="center"/>
    </xf>
    <xf numFmtId="166" fontId="31" fillId="2" borderId="3" xfId="0" applyNumberFormat="1" applyFont="1" applyFill="1" applyBorder="1" applyAlignment="1">
      <alignment horizontal="left" vertical="center" wrapText="1"/>
    </xf>
    <xf numFmtId="166" fontId="68" fillId="2" borderId="3" xfId="0" applyNumberFormat="1" applyFont="1" applyFill="1" applyBorder="1" applyAlignment="1">
      <alignment horizontal="left" vertical="center"/>
    </xf>
    <xf numFmtId="10" fontId="68" fillId="2" borderId="3" xfId="0" applyNumberFormat="1" applyFont="1" applyFill="1" applyBorder="1" applyAlignment="1">
      <alignment vertical="center"/>
    </xf>
    <xf numFmtId="166" fontId="31" fillId="4" borderId="3" xfId="0" applyNumberFormat="1" applyFont="1" applyFill="1" applyBorder="1" applyAlignment="1">
      <alignment horizontal="left" vertical="center" wrapText="1"/>
    </xf>
    <xf numFmtId="166" fontId="31" fillId="4" borderId="3" xfId="0" applyNumberFormat="1" applyFont="1" applyFill="1" applyBorder="1" applyAlignment="1">
      <alignment horizontal="left" vertical="center"/>
    </xf>
    <xf numFmtId="10" fontId="45" fillId="4" borderId="3" xfId="0" applyNumberFormat="1" applyFont="1" applyFill="1" applyBorder="1" applyAlignment="1">
      <alignment vertical="center"/>
    </xf>
    <xf numFmtId="166" fontId="45" fillId="4" borderId="3" xfId="0" applyNumberFormat="1" applyFont="1" applyFill="1" applyBorder="1" applyAlignment="1">
      <alignment vertical="center"/>
    </xf>
    <xf numFmtId="166" fontId="31" fillId="2" borderId="3" xfId="0" applyNumberFormat="1" applyFont="1" applyFill="1" applyBorder="1" applyAlignment="1">
      <alignment horizontal="left" vertical="center"/>
    </xf>
    <xf numFmtId="10" fontId="45" fillId="2" borderId="3" xfId="0" applyNumberFormat="1" applyFont="1" applyFill="1" applyBorder="1" applyAlignment="1">
      <alignment vertical="center"/>
    </xf>
    <xf numFmtId="10" fontId="45" fillId="4" borderId="3" xfId="0" applyNumberFormat="1" applyFont="1" applyFill="1" applyBorder="1" applyAlignment="1">
      <alignment horizontal="center" vertical="center"/>
    </xf>
    <xf numFmtId="166" fontId="69" fillId="14" borderId="3" xfId="0" applyNumberFormat="1" applyFont="1" applyFill="1" applyBorder="1"/>
    <xf numFmtId="166" fontId="35" fillId="2" borderId="3" xfId="0" applyNumberFormat="1" applyFont="1" applyFill="1" applyBorder="1"/>
    <xf numFmtId="166" fontId="31" fillId="2" borderId="3" xfId="0" applyNumberFormat="1" applyFont="1" applyFill="1" applyBorder="1" applyAlignment="1">
      <alignment horizontal="right" vertical="center"/>
    </xf>
    <xf numFmtId="166" fontId="56" fillId="14" borderId="3" xfId="0" applyNumberFormat="1" applyFont="1" applyFill="1" applyBorder="1" applyAlignment="1">
      <alignment horizontal="left"/>
    </xf>
    <xf numFmtId="166" fontId="33" fillId="2" borderId="3" xfId="0" applyNumberFormat="1" applyFont="1" applyFill="1" applyBorder="1"/>
    <xf numFmtId="166" fontId="60" fillId="2" borderId="3" xfId="0" applyNumberFormat="1" applyFont="1" applyFill="1" applyBorder="1"/>
    <xf numFmtId="166" fontId="33" fillId="2" borderId="3" xfId="0" applyNumberFormat="1" applyFont="1" applyFill="1" applyBorder="1" applyAlignment="1">
      <alignment horizontal="center" vertical="center" wrapText="1"/>
    </xf>
    <xf numFmtId="1" fontId="33" fillId="2" borderId="3" xfId="0" applyNumberFormat="1" applyFont="1" applyFill="1" applyBorder="1" applyAlignment="1">
      <alignment horizontal="center" vertical="center" wrapText="1"/>
    </xf>
    <xf numFmtId="165" fontId="32" fillId="2" borderId="3" xfId="0" applyNumberFormat="1" applyFont="1" applyFill="1" applyBorder="1"/>
    <xf numFmtId="165" fontId="70" fillId="2" borderId="3" xfId="0" applyNumberFormat="1" applyFont="1" applyFill="1" applyBorder="1"/>
    <xf numFmtId="166" fontId="35" fillId="14" borderId="3" xfId="0" applyNumberFormat="1" applyFont="1" applyFill="1" applyBorder="1"/>
    <xf numFmtId="37" fontId="70" fillId="2" borderId="3" xfId="0" applyNumberFormat="1" applyFont="1" applyFill="1" applyBorder="1" applyAlignment="1">
      <alignment horizontal="center"/>
    </xf>
    <xf numFmtId="166" fontId="4" fillId="7" borderId="3" xfId="0" applyNumberFormat="1" applyFont="1" applyFill="1" applyBorder="1"/>
    <xf numFmtId="166" fontId="14" fillId="2" borderId="3" xfId="0" applyNumberFormat="1" applyFont="1" applyFill="1" applyBorder="1"/>
    <xf numFmtId="166" fontId="14" fillId="2" borderId="3" xfId="0" applyNumberFormat="1" applyFont="1" applyFill="1" applyBorder="1" applyAlignment="1">
      <alignment horizontal="right"/>
    </xf>
    <xf numFmtId="166" fontId="4" fillId="4" borderId="3" xfId="0" applyNumberFormat="1" applyFont="1" applyFill="1" applyBorder="1" applyAlignment="1">
      <alignment horizontal="center"/>
    </xf>
    <xf numFmtId="170" fontId="4" fillId="2" borderId="3" xfId="0" applyNumberFormat="1" applyFont="1" applyFill="1" applyBorder="1"/>
    <xf numFmtId="166" fontId="4" fillId="2" borderId="3" xfId="0" applyNumberFormat="1" applyFont="1" applyFill="1" applyBorder="1" applyAlignment="1">
      <alignment horizontal="right"/>
    </xf>
    <xf numFmtId="166" fontId="71" fillId="2" borderId="3" xfId="0" applyNumberFormat="1" applyFont="1" applyFill="1" applyBorder="1" applyAlignment="1">
      <alignment horizontal="left"/>
    </xf>
    <xf numFmtId="166" fontId="1" fillId="2" borderId="3" xfId="0" applyNumberFormat="1" applyFont="1" applyFill="1" applyBorder="1"/>
    <xf numFmtId="166" fontId="0" fillId="2" borderId="3" xfId="0" applyNumberFormat="1" applyFill="1" applyBorder="1"/>
    <xf numFmtId="165" fontId="32" fillId="14" borderId="3" xfId="0" applyNumberFormat="1" applyFont="1" applyFill="1" applyBorder="1"/>
    <xf numFmtId="166" fontId="72" fillId="2" borderId="3" xfId="0" applyNumberFormat="1" applyFont="1" applyFill="1" applyBorder="1" applyAlignment="1">
      <alignment horizontal="left"/>
    </xf>
    <xf numFmtId="166" fontId="4" fillId="4" borderId="3" xfId="0" applyNumberFormat="1" applyFont="1" applyFill="1" applyBorder="1"/>
    <xf numFmtId="166" fontId="4" fillId="4" borderId="3" xfId="0" applyNumberFormat="1" applyFont="1" applyFill="1" applyBorder="1" applyAlignment="1">
      <alignment horizontal="right"/>
    </xf>
    <xf numFmtId="166" fontId="72" fillId="2" borderId="3" xfId="0" applyNumberFormat="1" applyFont="1" applyFill="1" applyBorder="1"/>
    <xf numFmtId="166" fontId="73" fillId="2" borderId="3" xfId="0" applyNumberFormat="1" applyFont="1" applyFill="1" applyBorder="1"/>
    <xf numFmtId="166" fontId="45" fillId="4" borderId="3" xfId="0" applyNumberFormat="1" applyFont="1" applyFill="1" applyBorder="1" applyAlignment="1">
      <alignment horizontal="right" vertical="center"/>
    </xf>
    <xf numFmtId="170" fontId="45" fillId="4" borderId="3" xfId="0" applyNumberFormat="1" applyFont="1" applyFill="1" applyBorder="1" applyAlignment="1">
      <alignment vertical="center"/>
    </xf>
    <xf numFmtId="170" fontId="61" fillId="3" borderId="31" xfId="0" applyNumberFormat="1" applyFont="1" applyFill="1" applyBorder="1" applyAlignment="1">
      <alignment vertical="center"/>
    </xf>
    <xf numFmtId="10" fontId="32" fillId="2" borderId="3" xfId="0" applyNumberFormat="1" applyFont="1" applyFill="1" applyBorder="1"/>
    <xf numFmtId="166" fontId="4" fillId="7" borderId="3" xfId="0" applyNumberFormat="1" applyFont="1" applyFill="1" applyBorder="1" applyAlignment="1">
      <alignment horizontal="right"/>
    </xf>
    <xf numFmtId="3" fontId="32" fillId="14" borderId="3" xfId="0" applyNumberFormat="1" applyFont="1" applyFill="1" applyBorder="1"/>
    <xf numFmtId="0" fontId="32" fillId="14" borderId="3" xfId="0" applyFont="1" applyFill="1" applyBorder="1" applyAlignment="1">
      <alignment vertical="center"/>
    </xf>
    <xf numFmtId="0" fontId="38" fillId="15" borderId="3" xfId="0" applyFont="1" applyFill="1" applyBorder="1" applyAlignment="1">
      <alignment vertical="center"/>
    </xf>
    <xf numFmtId="0" fontId="32" fillId="2" borderId="3" xfId="0" applyFont="1" applyFill="1" applyBorder="1" applyAlignment="1">
      <alignment vertical="center"/>
    </xf>
    <xf numFmtId="0" fontId="57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horizontal="left" vertical="center"/>
    </xf>
    <xf numFmtId="0" fontId="35" fillId="14" borderId="3" xfId="0" applyFont="1" applyFill="1" applyBorder="1" applyAlignment="1">
      <alignment horizontal="right" vertical="center"/>
    </xf>
    <xf numFmtId="170" fontId="32" fillId="14" borderId="3" xfId="0" applyNumberFormat="1" applyFont="1" applyFill="1" applyBorder="1" applyAlignment="1">
      <alignment vertical="center"/>
    </xf>
    <xf numFmtId="0" fontId="32" fillId="14" borderId="3" xfId="0" applyFont="1" applyFill="1" applyBorder="1"/>
    <xf numFmtId="166" fontId="32" fillId="4" borderId="3" xfId="0" applyNumberFormat="1" applyFont="1" applyFill="1" applyBorder="1" applyAlignment="1">
      <alignment vertical="center"/>
    </xf>
    <xf numFmtId="166" fontId="60" fillId="4" borderId="3" xfId="0" applyNumberFormat="1" applyFont="1" applyFill="1" applyBorder="1" applyAlignment="1">
      <alignment horizontal="right" vertical="center"/>
    </xf>
    <xf numFmtId="167" fontId="32" fillId="4" borderId="3" xfId="0" applyNumberFormat="1" applyFont="1" applyFill="1" applyBorder="1" applyAlignment="1">
      <alignment vertical="center"/>
    </xf>
    <xf numFmtId="9" fontId="32" fillId="2" borderId="3" xfId="0" applyNumberFormat="1" applyFont="1" applyFill="1" applyBorder="1" applyAlignment="1">
      <alignment vertical="center"/>
    </xf>
    <xf numFmtId="10" fontId="32" fillId="2" borderId="3" xfId="0" applyNumberFormat="1" applyFont="1" applyFill="1" applyBorder="1" applyAlignment="1">
      <alignment vertical="center"/>
    </xf>
    <xf numFmtId="0" fontId="32" fillId="2" borderId="3" xfId="0" applyFont="1" applyFill="1" applyBorder="1"/>
    <xf numFmtId="166" fontId="32" fillId="2" borderId="3" xfId="0" applyNumberFormat="1" applyFont="1" applyFill="1" applyBorder="1" applyAlignment="1">
      <alignment horizontal="right" vertical="center"/>
    </xf>
    <xf numFmtId="170" fontId="32" fillId="2" borderId="3" xfId="0" applyNumberFormat="1" applyFont="1" applyFill="1" applyBorder="1" applyAlignment="1">
      <alignment vertical="center"/>
    </xf>
    <xf numFmtId="166" fontId="76" fillId="2" borderId="3" xfId="0" applyNumberFormat="1" applyFont="1" applyFill="1" applyBorder="1" applyAlignment="1">
      <alignment vertical="center"/>
    </xf>
    <xf numFmtId="170" fontId="77" fillId="2" borderId="3" xfId="0" applyNumberFormat="1" applyFont="1" applyFill="1" applyBorder="1" applyAlignment="1">
      <alignment horizontal="center" vertical="center" wrapText="1"/>
    </xf>
    <xf numFmtId="166" fontId="32" fillId="2" borderId="30" xfId="0" applyNumberFormat="1" applyFont="1" applyFill="1" applyBorder="1" applyAlignment="1">
      <alignment horizontal="right"/>
    </xf>
    <xf numFmtId="165" fontId="76" fillId="2" borderId="3" xfId="0" applyNumberFormat="1" applyFont="1" applyFill="1" applyBorder="1" applyAlignment="1">
      <alignment horizontal="left" vertical="center"/>
    </xf>
    <xf numFmtId="165" fontId="79" fillId="2" borderId="3" xfId="0" applyNumberFormat="1" applyFont="1" applyFill="1" applyBorder="1" applyAlignment="1">
      <alignment horizontal="left" vertical="center"/>
    </xf>
    <xf numFmtId="170" fontId="80" fillId="2" borderId="3" xfId="0" applyNumberFormat="1" applyFont="1" applyFill="1" applyBorder="1" applyAlignment="1">
      <alignment vertical="center"/>
    </xf>
    <xf numFmtId="166" fontId="76" fillId="2" borderId="3" xfId="0" applyNumberFormat="1" applyFont="1" applyFill="1" applyBorder="1"/>
    <xf numFmtId="0" fontId="43" fillId="18" borderId="3" xfId="0" applyFont="1" applyFill="1" applyBorder="1"/>
    <xf numFmtId="0" fontId="1" fillId="4" borderId="3" xfId="0" applyFont="1" applyFill="1" applyBorder="1"/>
    <xf numFmtId="0" fontId="71" fillId="2" borderId="3" xfId="0" applyFont="1" applyFill="1" applyBorder="1"/>
    <xf numFmtId="0" fontId="17" fillId="32" borderId="3" xfId="0" applyFont="1" applyFill="1" applyBorder="1" applyAlignment="1">
      <alignment horizontal="center" vertical="center"/>
    </xf>
    <xf numFmtId="0" fontId="63" fillId="32" borderId="3" xfId="0" applyFont="1" applyFill="1" applyBorder="1" applyAlignment="1">
      <alignment horizontal="center" vertical="center"/>
    </xf>
    <xf numFmtId="0" fontId="15" fillId="25" borderId="3" xfId="0" applyFont="1" applyFill="1" applyBorder="1" applyAlignment="1">
      <alignment horizontal="center" vertical="center"/>
    </xf>
    <xf numFmtId="165" fontId="18" fillId="7" borderId="3" xfId="0" applyNumberFormat="1" applyFont="1" applyFill="1" applyBorder="1" applyAlignment="1">
      <alignment vertical="center"/>
    </xf>
    <xf numFmtId="181" fontId="14" fillId="7" borderId="3" xfId="0" applyNumberFormat="1" applyFont="1" applyFill="1" applyBorder="1" applyAlignment="1">
      <alignment vertical="center"/>
    </xf>
    <xf numFmtId="9" fontId="1" fillId="2" borderId="3" xfId="0" applyNumberFormat="1" applyFont="1" applyFill="1" applyBorder="1" applyAlignment="1">
      <alignment vertical="center"/>
    </xf>
    <xf numFmtId="0" fontId="81" fillId="2" borderId="3" xfId="0" applyFont="1" applyFill="1" applyBorder="1" applyAlignment="1">
      <alignment vertical="center"/>
    </xf>
    <xf numFmtId="181" fontId="14" fillId="2" borderId="3" xfId="0" applyNumberFormat="1" applyFont="1" applyFill="1" applyBorder="1" applyAlignment="1">
      <alignment vertical="center"/>
    </xf>
    <xf numFmtId="0" fontId="71" fillId="2" borderId="3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left" vertical="center"/>
    </xf>
    <xf numFmtId="181" fontId="4" fillId="2" borderId="3" xfId="0" applyNumberFormat="1" applyFont="1" applyFill="1" applyBorder="1" applyAlignment="1">
      <alignment vertical="center"/>
    </xf>
    <xf numFmtId="181" fontId="63" fillId="32" borderId="3" xfId="0" applyNumberFormat="1" applyFont="1" applyFill="1" applyBorder="1" applyAlignment="1">
      <alignment horizontal="center" vertical="center"/>
    </xf>
    <xf numFmtId="9" fontId="18" fillId="25" borderId="3" xfId="0" applyNumberFormat="1" applyFont="1" applyFill="1" applyBorder="1" applyAlignment="1">
      <alignment horizontal="center" vertical="center"/>
    </xf>
    <xf numFmtId="0" fontId="18" fillId="24" borderId="3" xfId="0" applyFont="1" applyFill="1" applyBorder="1" applyAlignment="1">
      <alignment horizontal="center" vertical="center"/>
    </xf>
    <xf numFmtId="181" fontId="4" fillId="24" borderId="3" xfId="0" applyNumberFormat="1" applyFont="1" applyFill="1" applyBorder="1" applyAlignment="1">
      <alignment vertical="center"/>
    </xf>
    <xf numFmtId="0" fontId="1" fillId="6" borderId="3" xfId="0" applyFont="1" applyFill="1" applyBorder="1" applyAlignment="1">
      <alignment horizontal="center" vertical="center"/>
    </xf>
    <xf numFmtId="9" fontId="1" fillId="6" borderId="3" xfId="0" applyNumberFormat="1" applyFont="1" applyFill="1" applyBorder="1" applyAlignment="1">
      <alignment vertical="center"/>
    </xf>
    <xf numFmtId="181" fontId="14" fillId="2" borderId="3" xfId="0" applyNumberFormat="1" applyFont="1" applyFill="1" applyBorder="1" applyAlignment="1">
      <alignment horizontal="center" vertical="center"/>
    </xf>
    <xf numFmtId="181" fontId="4" fillId="2" borderId="3" xfId="0" applyNumberFormat="1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vertical="center"/>
    </xf>
    <xf numFmtId="181" fontId="15" fillId="2" borderId="3" xfId="0" applyNumberFormat="1" applyFont="1" applyFill="1" applyBorder="1" applyAlignment="1">
      <alignment horizontal="center" vertical="center"/>
    </xf>
    <xf numFmtId="0" fontId="82" fillId="2" borderId="3" xfId="0" applyFont="1" applyFill="1" applyBorder="1"/>
    <xf numFmtId="0" fontId="83" fillId="2" borderId="3" xfId="0" applyFont="1" applyFill="1" applyBorder="1" applyAlignment="1">
      <alignment horizontal="right"/>
    </xf>
    <xf numFmtId="0" fontId="43" fillId="32" borderId="3" xfId="0" applyFont="1" applyFill="1" applyBorder="1" applyAlignment="1">
      <alignment horizontal="center" vertical="center"/>
    </xf>
    <xf numFmtId="0" fontId="65" fillId="7" borderId="3" xfId="0" applyFont="1" applyFill="1" applyBorder="1" applyAlignment="1">
      <alignment vertical="center"/>
    </xf>
    <xf numFmtId="168" fontId="66" fillId="7" borderId="3" xfId="0" applyNumberFormat="1" applyFont="1" applyFill="1" applyBorder="1" applyAlignment="1">
      <alignment vertical="center"/>
    </xf>
    <xf numFmtId="0" fontId="84" fillId="2" borderId="3" xfId="0" applyFont="1" applyFill="1" applyBorder="1" applyAlignment="1">
      <alignment horizontal="left" vertical="center"/>
    </xf>
    <xf numFmtId="168" fontId="85" fillId="2" borderId="3" xfId="0" applyNumberFormat="1" applyFont="1" applyFill="1" applyBorder="1" applyAlignment="1">
      <alignment vertical="center"/>
    </xf>
    <xf numFmtId="182" fontId="1" fillId="2" borderId="3" xfId="0" applyNumberFormat="1" applyFont="1" applyFill="1" applyBorder="1" applyAlignment="1">
      <alignment vertical="center"/>
    </xf>
    <xf numFmtId="168" fontId="85" fillId="2" borderId="3" xfId="0" applyNumberFormat="1" applyFont="1" applyFill="1" applyBorder="1" applyAlignment="1">
      <alignment horizontal="left" vertical="center"/>
    </xf>
    <xf numFmtId="168" fontId="66" fillId="6" borderId="3" xfId="0" applyNumberFormat="1" applyFont="1" applyFill="1" applyBorder="1" applyAlignment="1">
      <alignment vertical="center"/>
    </xf>
    <xf numFmtId="168" fontId="84" fillId="2" borderId="3" xfId="0" applyNumberFormat="1" applyFont="1" applyFill="1" applyBorder="1" applyAlignment="1">
      <alignment horizontal="left" vertical="center"/>
    </xf>
    <xf numFmtId="168" fontId="65" fillId="7" borderId="3" xfId="0" applyNumberFormat="1" applyFont="1" applyFill="1" applyBorder="1" applyAlignment="1">
      <alignment vertical="center"/>
    </xf>
    <xf numFmtId="0" fontId="1" fillId="33" borderId="3" xfId="0" applyFont="1" applyFill="1" applyBorder="1"/>
    <xf numFmtId="0" fontId="18" fillId="33" borderId="3" xfId="0" applyFont="1" applyFill="1" applyBorder="1" applyAlignment="1">
      <alignment horizontal="right"/>
    </xf>
    <xf numFmtId="167" fontId="18" fillId="7" borderId="3" xfId="0" applyNumberFormat="1" applyFont="1" applyFill="1" applyBorder="1" applyAlignment="1">
      <alignment horizontal="center"/>
    </xf>
    <xf numFmtId="10" fontId="87" fillId="33" borderId="3" xfId="0" applyNumberFormat="1" applyFont="1" applyFill="1" applyBorder="1"/>
    <xf numFmtId="0" fontId="87" fillId="33" borderId="3" xfId="0" applyFont="1" applyFill="1" applyBorder="1"/>
    <xf numFmtId="2" fontId="18" fillId="7" borderId="3" xfId="0" applyNumberFormat="1" applyFont="1" applyFill="1" applyBorder="1" applyAlignment="1">
      <alignment horizontal="center"/>
    </xf>
    <xf numFmtId="2" fontId="65" fillId="7" borderId="3" xfId="0" applyNumberFormat="1" applyFont="1" applyFill="1" applyBorder="1" applyAlignment="1">
      <alignment horizontal="center" vertical="center"/>
    </xf>
    <xf numFmtId="166" fontId="39" fillId="2" borderId="3" xfId="0" applyNumberFormat="1" applyFont="1" applyFill="1" applyBorder="1" applyAlignment="1">
      <alignment vertical="center"/>
    </xf>
    <xf numFmtId="166" fontId="42" fillId="15" borderId="3" xfId="0" applyNumberFormat="1" applyFont="1" applyFill="1" applyBorder="1" applyAlignment="1">
      <alignment horizontal="center" vertical="center" wrapText="1"/>
    </xf>
    <xf numFmtId="166" fontId="42" fillId="34" borderId="3" xfId="0" applyNumberFormat="1" applyFont="1" applyFill="1" applyBorder="1" applyAlignment="1">
      <alignment horizontal="center" vertical="center" wrapText="1"/>
    </xf>
    <xf numFmtId="166" fontId="33" fillId="17" borderId="3" xfId="0" applyNumberFormat="1" applyFont="1" applyFill="1" applyBorder="1" applyAlignment="1">
      <alignment horizontal="center" vertical="center" wrapText="1"/>
    </xf>
    <xf numFmtId="166" fontId="35" fillId="2" borderId="3" xfId="0" applyNumberFormat="1" applyFont="1" applyFill="1" applyBorder="1" applyAlignment="1">
      <alignment vertical="center"/>
    </xf>
    <xf numFmtId="166" fontId="39" fillId="14" borderId="3" xfId="0" applyNumberFormat="1" applyFont="1" applyFill="1" applyBorder="1" applyAlignment="1">
      <alignment vertical="center"/>
    </xf>
    <xf numFmtId="166" fontId="33" fillId="17" borderId="3" xfId="0" applyNumberFormat="1" applyFont="1" applyFill="1" applyBorder="1" applyAlignment="1">
      <alignment horizontal="center" vertical="center"/>
    </xf>
    <xf numFmtId="40" fontId="32" fillId="36" borderId="3" xfId="0" applyNumberFormat="1" applyFont="1" applyFill="1" applyBorder="1" applyAlignment="1">
      <alignment vertical="center"/>
    </xf>
    <xf numFmtId="10" fontId="33" fillId="20" borderId="3" xfId="0" applyNumberFormat="1" applyFont="1" applyFill="1" applyBorder="1" applyAlignment="1">
      <alignment vertical="center"/>
    </xf>
    <xf numFmtId="0" fontId="43" fillId="37" borderId="3" xfId="0" applyFont="1" applyFill="1" applyBorder="1" applyAlignment="1">
      <alignment horizontal="center"/>
    </xf>
    <xf numFmtId="0" fontId="43" fillId="37" borderId="3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vertical="center"/>
    </xf>
    <xf numFmtId="0" fontId="1" fillId="4" borderId="3" xfId="0" applyFont="1" applyFill="1" applyBorder="1" applyAlignment="1">
      <alignment horizontal="center" vertical="center"/>
    </xf>
    <xf numFmtId="170" fontId="1" fillId="4" borderId="3" xfId="0" applyNumberFormat="1" applyFont="1" applyFill="1" applyBorder="1"/>
    <xf numFmtId="166" fontId="5" fillId="3" borderId="3" xfId="0" applyNumberFormat="1" applyFont="1" applyFill="1" applyBorder="1" applyAlignment="1">
      <alignment horizontal="center" vertical="center"/>
    </xf>
    <xf numFmtId="166" fontId="8" fillId="4" borderId="14" xfId="0" applyNumberFormat="1" applyFont="1" applyFill="1" applyBorder="1" applyAlignment="1">
      <alignment horizontal="center" vertical="center"/>
    </xf>
    <xf numFmtId="166" fontId="11" fillId="50" borderId="3" xfId="0" applyNumberFormat="1" applyFont="1" applyFill="1" applyBorder="1" applyAlignment="1">
      <alignment horizontal="center" vertical="center"/>
    </xf>
    <xf numFmtId="170" fontId="11" fillId="51" borderId="3" xfId="0" applyNumberFormat="1" applyFont="1" applyFill="1" applyBorder="1" applyAlignment="1">
      <alignment horizontal="center" vertical="center" textRotation="90"/>
    </xf>
    <xf numFmtId="166" fontId="16" fillId="8" borderId="3" xfId="0" applyNumberFormat="1" applyFont="1" applyFill="1" applyBorder="1" applyAlignment="1">
      <alignment horizontal="center" vertical="center"/>
    </xf>
    <xf numFmtId="166" fontId="17" fillId="8" borderId="3" xfId="0" applyNumberFormat="1" applyFont="1" applyFill="1" applyBorder="1" applyAlignment="1">
      <alignment horizontal="center" vertical="center"/>
    </xf>
    <xf numFmtId="0" fontId="27" fillId="8" borderId="4" xfId="0" quotePrefix="1" applyFont="1" applyFill="1" applyBorder="1" applyAlignment="1">
      <alignment horizontal="center" vertical="center" wrapText="1"/>
    </xf>
    <xf numFmtId="166" fontId="17" fillId="8" borderId="3" xfId="0" applyNumberFormat="1" applyFont="1" applyFill="1" applyBorder="1" applyAlignment="1">
      <alignment horizontal="center" vertical="center" wrapText="1"/>
    </xf>
    <xf numFmtId="166" fontId="17" fillId="10" borderId="3" xfId="0" applyNumberFormat="1" applyFont="1" applyFill="1" applyBorder="1" applyAlignment="1">
      <alignment horizontal="center" vertical="center"/>
    </xf>
    <xf numFmtId="167" fontId="27" fillId="8" borderId="14" xfId="0" quotePrefix="1" applyNumberFormat="1" applyFont="1" applyFill="1" applyBorder="1" applyAlignment="1">
      <alignment horizontal="center" vertical="center" wrapText="1"/>
    </xf>
    <xf numFmtId="0" fontId="27" fillId="8" borderId="14" xfId="0" quotePrefix="1" applyFont="1" applyFill="1" applyBorder="1" applyAlignment="1">
      <alignment horizontal="center" vertical="center" wrapText="1"/>
    </xf>
    <xf numFmtId="166" fontId="27" fillId="8" borderId="3" xfId="0" applyNumberFormat="1" applyFont="1" applyFill="1" applyBorder="1" applyAlignment="1">
      <alignment horizontal="center" vertical="center" wrapText="1"/>
    </xf>
    <xf numFmtId="166" fontId="27" fillId="8" borderId="9" xfId="0" applyNumberFormat="1" applyFont="1" applyFill="1" applyBorder="1" applyAlignment="1">
      <alignment horizontal="center" vertical="center" wrapText="1"/>
    </xf>
    <xf numFmtId="166" fontId="38" fillId="15" borderId="3" xfId="0" applyNumberFormat="1" applyFont="1" applyFill="1" applyBorder="1" applyAlignment="1">
      <alignment horizontal="left" vertical="center"/>
    </xf>
    <xf numFmtId="0" fontId="27" fillId="8" borderId="8" xfId="0" quotePrefix="1" applyFont="1" applyFill="1" applyBorder="1" applyAlignment="1">
      <alignment horizontal="center" vertical="center" wrapText="1"/>
    </xf>
    <xf numFmtId="0" fontId="17" fillId="8" borderId="8" xfId="0" quotePrefix="1" applyFont="1" applyFill="1" applyBorder="1" applyAlignment="1">
      <alignment horizontal="center" vertical="center" wrapText="1"/>
    </xf>
    <xf numFmtId="167" fontId="17" fillId="8" borderId="9" xfId="0" quotePrefix="1" applyNumberFormat="1" applyFont="1" applyFill="1" applyBorder="1" applyAlignment="1">
      <alignment horizontal="center" vertical="center" wrapText="1"/>
    </xf>
    <xf numFmtId="167" fontId="17" fillId="8" borderId="14" xfId="0" quotePrefix="1" applyNumberFormat="1" applyFont="1" applyFill="1" applyBorder="1" applyAlignment="1">
      <alignment horizontal="center" vertical="center" wrapText="1"/>
    </xf>
    <xf numFmtId="0" fontId="38" fillId="15" borderId="3" xfId="0" applyFont="1" applyFill="1" applyBorder="1" applyAlignment="1">
      <alignment horizontal="left" vertical="center"/>
    </xf>
    <xf numFmtId="0" fontId="50" fillId="18" borderId="12" xfId="0" applyFont="1" applyFill="1" applyBorder="1" applyAlignment="1">
      <alignment horizontal="center"/>
    </xf>
    <xf numFmtId="166" fontId="41" fillId="18" borderId="9" xfId="0" applyNumberFormat="1" applyFont="1" applyFill="1" applyBorder="1" applyAlignment="1">
      <alignment horizontal="right" vertical="center"/>
    </xf>
    <xf numFmtId="166" fontId="38" fillId="15" borderId="3" xfId="0" applyNumberFormat="1" applyFont="1" applyFill="1" applyBorder="1" applyAlignment="1">
      <alignment horizontal="center" vertical="center"/>
    </xf>
    <xf numFmtId="166" fontId="60" fillId="5" borderId="9" xfId="0" applyNumberFormat="1" applyFont="1" applyFill="1" applyBorder="1" applyAlignment="1">
      <alignment horizontal="center"/>
    </xf>
    <xf numFmtId="0" fontId="17" fillId="23" borderId="3" xfId="0" applyFont="1" applyFill="1" applyBorder="1" applyAlignment="1">
      <alignment horizontal="center" vertical="center"/>
    </xf>
    <xf numFmtId="165" fontId="1" fillId="4" borderId="19" xfId="0" applyNumberFormat="1" applyFont="1" applyFill="1" applyBorder="1" applyAlignment="1">
      <alignment vertical="center"/>
    </xf>
    <xf numFmtId="165" fontId="1" fillId="4" borderId="22" xfId="0" applyNumberFormat="1" applyFont="1" applyFill="1" applyBorder="1" applyAlignment="1">
      <alignment vertical="center"/>
    </xf>
    <xf numFmtId="0" fontId="43" fillId="18" borderId="27" xfId="0" applyFont="1" applyFill="1" applyBorder="1" applyAlignment="1">
      <alignment horizontal="center" vertical="center"/>
    </xf>
    <xf numFmtId="0" fontId="64" fillId="18" borderId="3" xfId="0" applyFont="1" applyFill="1" applyBorder="1" applyAlignment="1">
      <alignment horizontal="center" vertical="center"/>
    </xf>
    <xf numFmtId="0" fontId="65" fillId="4" borderId="19" xfId="0" applyFont="1" applyFill="1" applyBorder="1" applyAlignment="1">
      <alignment horizontal="left" vertical="center"/>
    </xf>
    <xf numFmtId="166" fontId="42" fillId="3" borderId="9" xfId="0" applyNumberFormat="1" applyFont="1" applyFill="1" applyBorder="1" applyAlignment="1">
      <alignment horizontal="center" vertical="center"/>
    </xf>
    <xf numFmtId="166" fontId="43" fillId="18" borderId="35" xfId="0" applyNumberFormat="1" applyFont="1" applyFill="1" applyBorder="1" applyAlignment="1">
      <alignment horizontal="center" vertical="center"/>
    </xf>
    <xf numFmtId="166" fontId="33" fillId="27" borderId="11" xfId="0" applyNumberFormat="1" applyFont="1" applyFill="1" applyBorder="1" applyAlignment="1">
      <alignment horizontal="center" vertical="center" wrapText="1"/>
    </xf>
    <xf numFmtId="166" fontId="67" fillId="26" borderId="12" xfId="0" applyNumberFormat="1" applyFont="1" applyFill="1" applyBorder="1" applyAlignment="1">
      <alignment horizontal="center"/>
    </xf>
    <xf numFmtId="10" fontId="59" fillId="27" borderId="11" xfId="0" applyNumberFormat="1" applyFont="1" applyFill="1" applyBorder="1" applyAlignment="1">
      <alignment horizontal="center"/>
    </xf>
    <xf numFmtId="165" fontId="70" fillId="27" borderId="11" xfId="0" applyNumberFormat="1" applyFont="1" applyFill="1" applyBorder="1" applyAlignment="1">
      <alignment horizontal="center"/>
    </xf>
    <xf numFmtId="166" fontId="67" fillId="26" borderId="9" xfId="0" applyNumberFormat="1" applyFont="1" applyFill="1" applyBorder="1" applyAlignment="1">
      <alignment horizontal="center"/>
    </xf>
    <xf numFmtId="166" fontId="17" fillId="3" borderId="9" xfId="0" applyNumberFormat="1" applyFont="1" applyFill="1" applyBorder="1" applyAlignment="1">
      <alignment horizontal="center"/>
    </xf>
    <xf numFmtId="166" fontId="27" fillId="3" borderId="9" xfId="0" applyNumberFormat="1" applyFont="1" applyFill="1" applyBorder="1" applyAlignment="1">
      <alignment horizontal="center" vertical="center"/>
    </xf>
    <xf numFmtId="166" fontId="1" fillId="5" borderId="32" xfId="0" applyNumberFormat="1" applyFont="1" applyFill="1" applyBorder="1" applyAlignment="1">
      <alignment horizontal="center" vertical="center"/>
    </xf>
    <xf numFmtId="166" fontId="26" fillId="3" borderId="11" xfId="0" applyNumberFormat="1" applyFont="1" applyFill="1" applyBorder="1" applyAlignment="1">
      <alignment horizontal="right" vertical="center"/>
    </xf>
    <xf numFmtId="166" fontId="26" fillId="3" borderId="12" xfId="0" applyNumberFormat="1" applyFont="1" applyFill="1" applyBorder="1" applyAlignment="1">
      <alignment horizontal="center"/>
    </xf>
    <xf numFmtId="166" fontId="26" fillId="3" borderId="9" xfId="0" applyNumberFormat="1" applyFont="1" applyFill="1" applyBorder="1" applyAlignment="1">
      <alignment horizontal="center" vertical="center"/>
    </xf>
    <xf numFmtId="166" fontId="42" fillId="18" borderId="9" xfId="0" applyNumberFormat="1" applyFont="1" applyFill="1" applyBorder="1" applyAlignment="1">
      <alignment horizontal="center" vertical="center"/>
    </xf>
    <xf numFmtId="166" fontId="42" fillId="18" borderId="11" xfId="0" applyNumberFormat="1" applyFont="1" applyFill="1" applyBorder="1" applyAlignment="1">
      <alignment horizontal="center" vertical="center"/>
    </xf>
    <xf numFmtId="166" fontId="42" fillId="18" borderId="12" xfId="0" applyNumberFormat="1" applyFont="1" applyFill="1" applyBorder="1" applyAlignment="1">
      <alignment horizontal="center" vertical="center" wrapText="1"/>
    </xf>
    <xf numFmtId="166" fontId="33" fillId="17" borderId="9" xfId="0" applyNumberFormat="1" applyFont="1" applyFill="1" applyBorder="1" applyAlignment="1">
      <alignment horizontal="center" vertical="center" wrapText="1"/>
    </xf>
    <xf numFmtId="166" fontId="33" fillId="4" borderId="9" xfId="0" applyNumberFormat="1" applyFont="1" applyFill="1" applyBorder="1" applyAlignment="1">
      <alignment horizontal="center" vertical="center"/>
    </xf>
    <xf numFmtId="166" fontId="48" fillId="3" borderId="30" xfId="0" applyNumberFormat="1" applyFont="1" applyFill="1" applyBorder="1" applyAlignment="1">
      <alignment horizontal="center" vertical="center"/>
    </xf>
    <xf numFmtId="166" fontId="42" fillId="3" borderId="12" xfId="0" applyNumberFormat="1" applyFont="1" applyFill="1" applyBorder="1" applyAlignment="1">
      <alignment horizontal="center" vertical="center" wrapText="1"/>
    </xf>
    <xf numFmtId="170" fontId="42" fillId="3" borderId="12" xfId="0" applyNumberFormat="1" applyFont="1" applyFill="1" applyBorder="1" applyAlignment="1">
      <alignment horizontal="center" vertical="center" wrapText="1"/>
    </xf>
    <xf numFmtId="166" fontId="42" fillId="3" borderId="11" xfId="0" applyNumberFormat="1" applyFont="1" applyFill="1" applyBorder="1" applyAlignment="1">
      <alignment horizontal="center" vertical="center"/>
    </xf>
    <xf numFmtId="166" fontId="42" fillId="3" borderId="12" xfId="0" applyNumberFormat="1" applyFont="1" applyFill="1" applyBorder="1" applyAlignment="1">
      <alignment horizontal="center" vertical="center"/>
    </xf>
    <xf numFmtId="166" fontId="33" fillId="4" borderId="3" xfId="0" applyNumberFormat="1" applyFont="1" applyFill="1" applyBorder="1" applyAlignment="1">
      <alignment horizontal="left" vertical="center"/>
    </xf>
    <xf numFmtId="166" fontId="41" fillId="31" borderId="9" xfId="0" applyNumberFormat="1" applyFont="1" applyFill="1" applyBorder="1" applyAlignment="1">
      <alignment horizontal="center" vertical="center"/>
    </xf>
    <xf numFmtId="180" fontId="76" fillId="2" borderId="3" xfId="0" applyNumberFormat="1" applyFont="1" applyFill="1" applyBorder="1" applyAlignment="1">
      <alignment horizontal="center"/>
    </xf>
    <xf numFmtId="166" fontId="42" fillId="34" borderId="9" xfId="0" applyNumberFormat="1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/>
    </xf>
    <xf numFmtId="0" fontId="43" fillId="37" borderId="3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/>
    </xf>
    <xf numFmtId="0" fontId="6" fillId="0" borderId="3" xfId="0" applyFont="1" applyBorder="1" applyAlignment="1"/>
    <xf numFmtId="0" fontId="6" fillId="45" borderId="3" xfId="0" applyFont="1" applyFill="1" applyBorder="1" applyAlignment="1"/>
    <xf numFmtId="0" fontId="6" fillId="0" borderId="30" xfId="0" applyFont="1" applyBorder="1" applyAlignment="1"/>
    <xf numFmtId="0" fontId="6" fillId="0" borderId="13" xfId="0" applyFont="1" applyBorder="1" applyAlignment="1"/>
    <xf numFmtId="0" fontId="6" fillId="0" borderId="31" xfId="0" applyFont="1" applyBorder="1" applyAlignment="1"/>
    <xf numFmtId="0" fontId="6" fillId="0" borderId="2" xfId="0" applyFont="1" applyBorder="1" applyAlignment="1"/>
    <xf numFmtId="0" fontId="6" fillId="0" borderId="8" xfId="0" applyFont="1" applyBorder="1" applyAlignment="1"/>
    <xf numFmtId="0" fontId="6" fillId="0" borderId="10" xfId="0" applyFont="1" applyBorder="1" applyAlignment="1"/>
    <xf numFmtId="0" fontId="6" fillId="0" borderId="21" xfId="0" applyFont="1" applyBorder="1" applyAlignment="1"/>
    <xf numFmtId="0" fontId="6" fillId="0" borderId="23" xfId="0" applyFont="1" applyBorder="1" applyAlignment="1"/>
    <xf numFmtId="0" fontId="6" fillId="0" borderId="28" xfId="0" applyFont="1" applyBorder="1" applyAlignment="1"/>
    <xf numFmtId="0" fontId="6" fillId="0" borderId="29" xfId="0" applyFont="1" applyBorder="1" applyAlignment="1"/>
    <xf numFmtId="0" fontId="6" fillId="0" borderId="4" xfId="0" applyFont="1" applyBorder="1" applyAlignment="1"/>
    <xf numFmtId="0" fontId="6" fillId="0" borderId="33" xfId="0" applyFont="1" applyBorder="1" applyAlignment="1"/>
    <xf numFmtId="0" fontId="6" fillId="0" borderId="36" xfId="0" applyFont="1" applyBorder="1" applyAlignment="1"/>
  </cellXfs>
  <cellStyles count="3">
    <cellStyle name="Moeda" xfId="1" builtinId="4"/>
    <cellStyle name="Normal" xfId="0" builtinId="0"/>
    <cellStyle name="Porcentagem" xfId="2" builtinId="5"/>
  </cellStyles>
  <dxfs count="49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E7E6E6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ont>
        <color theme="0"/>
      </font>
      <fill>
        <patternFill patternType="solid">
          <fgColor theme="0"/>
          <bgColor theme="0"/>
        </patternFill>
      </fill>
    </dxf>
    <dxf>
      <fill>
        <patternFill patternType="solid">
          <fgColor rgb="FFDEEAF6"/>
          <bgColor rgb="FFDEEAF6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numFmt numFmtId="183" formatCode="_-&quot;R$&quot;\ * #,##0_-;\-&quot;R$&quot;\ * #,##0_-;_-&quot;R$&quot;\ * &quot;-&quot;??_-;_-@_-"/>
    </dxf>
    <dxf>
      <numFmt numFmtId="183" formatCode="_-&quot;R$&quot;\ * #,##0_-;\-&quot;R$&quot;\ * #,##0_-;_-&quot;R$&quot;\ * &quot;-&quot;??_-;_-@_-"/>
    </dxf>
    <dxf>
      <fill>
        <patternFill patternType="solid">
          <bgColor rgb="FFFFFF00"/>
        </patternFill>
      </fill>
    </dxf>
    <dxf>
      <numFmt numFmtId="183" formatCode="_-&quot;R$&quot;\ * #,##0_-;\-&quot;R$&quot;\ * #,##0_-;_-&quot;R$&quot;\ * &quot;-&quot;??_-;_-@_-"/>
    </dxf>
    <dxf>
      <numFmt numFmtId="183" formatCode="_-&quot;R$&quot;\ * #,##0_-;\-&quot;R$&quot;\ * #,##0_-;_-&quot;R$&quot;\ * &quot;-&quot;??_-;_-@_-"/>
    </dxf>
    <dxf>
      <numFmt numFmtId="183" formatCode="_-&quot;R$&quot;\ * #,##0_-;\-&quot;R$&quot;\ * #,##0_-;_-&quot;R$&quot;\ * &quot;-&quot;??_-;_-@_-"/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ECECEC"/>
          <bgColor rgb="FFECECEC"/>
        </patternFill>
      </fill>
    </dxf>
    <dxf>
      <fill>
        <patternFill patternType="solid">
          <fgColor theme="6"/>
          <bgColor theme="6"/>
        </patternFill>
      </fill>
    </dxf>
  </dxfs>
  <tableStyles count="1">
    <tableStyle name="Memória Pessoal-style" pivot="0" count="3" xr9:uid="{00000000-0011-0000-FFFF-FFFF00000000}">
      <tableStyleElement type="headerRow" dxfId="48"/>
      <tableStyleElement type="firstRowStripe" dxfId="47"/>
      <tableStyleElement type="secondRowStripe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customschemas.google.com/relationships/workbookmetadata" Target="metadata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pivotCacheDefinition" Target="pivotCache/pivotCacheDefinition1.xml"/><Relationship Id="rId43" Type="http://schemas.microsoft.com/office/2017/10/relationships/person" Target="persons/perso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46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hist1!$B$1</c:f>
              <c:strCache>
                <c:ptCount val="1"/>
                <c:pt idx="0">
                  <c:v>Freqüência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hist1!$A$2:$A$43</c:f>
              <c:strCache>
                <c:ptCount val="42"/>
                <c:pt idx="0">
                  <c:v>-100000</c:v>
                </c:pt>
                <c:pt idx="1">
                  <c:v>-95000</c:v>
                </c:pt>
                <c:pt idx="2">
                  <c:v>-90000</c:v>
                </c:pt>
                <c:pt idx="3">
                  <c:v>-85000</c:v>
                </c:pt>
                <c:pt idx="4">
                  <c:v>-80000</c:v>
                </c:pt>
                <c:pt idx="5">
                  <c:v>-75000</c:v>
                </c:pt>
                <c:pt idx="6">
                  <c:v>-70000</c:v>
                </c:pt>
                <c:pt idx="7">
                  <c:v>-65000</c:v>
                </c:pt>
                <c:pt idx="8">
                  <c:v>-60000</c:v>
                </c:pt>
                <c:pt idx="9">
                  <c:v>-55000</c:v>
                </c:pt>
                <c:pt idx="10">
                  <c:v>-50000</c:v>
                </c:pt>
                <c:pt idx="11">
                  <c:v>-45000</c:v>
                </c:pt>
                <c:pt idx="12">
                  <c:v>-40000</c:v>
                </c:pt>
                <c:pt idx="13">
                  <c:v>-35000</c:v>
                </c:pt>
                <c:pt idx="14">
                  <c:v>-30000</c:v>
                </c:pt>
                <c:pt idx="15">
                  <c:v>-25000</c:v>
                </c:pt>
                <c:pt idx="16">
                  <c:v>-20000</c:v>
                </c:pt>
                <c:pt idx="17">
                  <c:v>-15000</c:v>
                </c:pt>
                <c:pt idx="18">
                  <c:v>-10000</c:v>
                </c:pt>
                <c:pt idx="19">
                  <c:v>-5000</c:v>
                </c:pt>
                <c:pt idx="20">
                  <c:v>0</c:v>
                </c:pt>
                <c:pt idx="21">
                  <c:v>5000</c:v>
                </c:pt>
                <c:pt idx="22">
                  <c:v>10000</c:v>
                </c:pt>
                <c:pt idx="23">
                  <c:v>15000</c:v>
                </c:pt>
                <c:pt idx="24">
                  <c:v>20000</c:v>
                </c:pt>
                <c:pt idx="25">
                  <c:v>25000</c:v>
                </c:pt>
                <c:pt idx="26">
                  <c:v>30000</c:v>
                </c:pt>
                <c:pt idx="27">
                  <c:v>35000</c:v>
                </c:pt>
                <c:pt idx="28">
                  <c:v>40000</c:v>
                </c:pt>
                <c:pt idx="29">
                  <c:v>45000</c:v>
                </c:pt>
                <c:pt idx="30">
                  <c:v>50000</c:v>
                </c:pt>
                <c:pt idx="31">
                  <c:v>55000</c:v>
                </c:pt>
                <c:pt idx="32">
                  <c:v>60000</c:v>
                </c:pt>
                <c:pt idx="33">
                  <c:v>65000</c:v>
                </c:pt>
                <c:pt idx="34">
                  <c:v>70000</c:v>
                </c:pt>
                <c:pt idx="35">
                  <c:v>75000</c:v>
                </c:pt>
                <c:pt idx="36">
                  <c:v>80000</c:v>
                </c:pt>
                <c:pt idx="37">
                  <c:v>85000</c:v>
                </c:pt>
                <c:pt idx="38">
                  <c:v>90000</c:v>
                </c:pt>
                <c:pt idx="39">
                  <c:v>95000</c:v>
                </c:pt>
                <c:pt idx="40">
                  <c:v>100000</c:v>
                </c:pt>
                <c:pt idx="41">
                  <c:v>Mais</c:v>
                </c:pt>
              </c:strCache>
            </c:strRef>
          </c:cat>
          <c:val>
            <c:numRef>
              <c:f>hist1!$B$2:$B$43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</c:v>
                </c:pt>
                <c:pt idx="13">
                  <c:v>68</c:v>
                </c:pt>
                <c:pt idx="14">
                  <c:v>155</c:v>
                </c:pt>
                <c:pt idx="15">
                  <c:v>221</c:v>
                </c:pt>
                <c:pt idx="16">
                  <c:v>350</c:v>
                </c:pt>
                <c:pt idx="17">
                  <c:v>457</c:v>
                </c:pt>
                <c:pt idx="18">
                  <c:v>557</c:v>
                </c:pt>
                <c:pt idx="19">
                  <c:v>647</c:v>
                </c:pt>
                <c:pt idx="20">
                  <c:v>679</c:v>
                </c:pt>
                <c:pt idx="21">
                  <c:v>679</c:v>
                </c:pt>
                <c:pt idx="22">
                  <c:v>716</c:v>
                </c:pt>
                <c:pt idx="23">
                  <c:v>680</c:v>
                </c:pt>
                <c:pt idx="24">
                  <c:v>686</c:v>
                </c:pt>
                <c:pt idx="25">
                  <c:v>668</c:v>
                </c:pt>
                <c:pt idx="26">
                  <c:v>617</c:v>
                </c:pt>
                <c:pt idx="27">
                  <c:v>616</c:v>
                </c:pt>
                <c:pt idx="28">
                  <c:v>534</c:v>
                </c:pt>
                <c:pt idx="29">
                  <c:v>456</c:v>
                </c:pt>
                <c:pt idx="30">
                  <c:v>357</c:v>
                </c:pt>
                <c:pt idx="31">
                  <c:v>268</c:v>
                </c:pt>
                <c:pt idx="32">
                  <c:v>203</c:v>
                </c:pt>
                <c:pt idx="33">
                  <c:v>166</c:v>
                </c:pt>
                <c:pt idx="34">
                  <c:v>103</c:v>
                </c:pt>
                <c:pt idx="35">
                  <c:v>67</c:v>
                </c:pt>
                <c:pt idx="36">
                  <c:v>31</c:v>
                </c:pt>
                <c:pt idx="37">
                  <c:v>9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26-CD40-A2C3-519D10919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3641928"/>
        <c:axId val="853648200"/>
      </c:barChart>
      <c:catAx>
        <c:axId val="8536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48200"/>
        <c:crosses val="autoZero"/>
        <c:auto val="1"/>
        <c:lblAlgn val="ctr"/>
        <c:lblOffset val="100"/>
        <c:noMultiLvlLbl val="0"/>
      </c:catAx>
      <c:valAx>
        <c:axId val="853648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charts!$A$44</c:f>
              <c:strCache>
                <c:ptCount val="1"/>
                <c:pt idx="0">
                  <c:v>Opex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charts!$B$44:$AE$44</c:f>
              <c:numCache>
                <c:formatCode>General</c:formatCode>
                <c:ptCount val="30"/>
                <c:pt idx="0">
                  <c:v>14134414.460046701</c:v>
                </c:pt>
                <c:pt idx="1">
                  <c:v>32918691.465159398</c:v>
                </c:pt>
                <c:pt idx="2">
                  <c:v>33447769.556300599</c:v>
                </c:pt>
                <c:pt idx="3">
                  <c:v>33960929.929941796</c:v>
                </c:pt>
                <c:pt idx="4">
                  <c:v>34481211.901082993</c:v>
                </c:pt>
                <c:pt idx="5">
                  <c:v>35068734.294424206</c:v>
                </c:pt>
                <c:pt idx="6">
                  <c:v>35615160.598065399</c:v>
                </c:pt>
                <c:pt idx="7">
                  <c:v>36176476.209206603</c:v>
                </c:pt>
                <c:pt idx="8">
                  <c:v>36748452.810347803</c:v>
                </c:pt>
                <c:pt idx="9">
                  <c:v>37332649.463988997</c:v>
                </c:pt>
                <c:pt idx="10">
                  <c:v>38029327.796518192</c:v>
                </c:pt>
                <c:pt idx="11">
                  <c:v>38649354.077659398</c:v>
                </c:pt>
                <c:pt idx="12">
                  <c:v>39291157.9113006</c:v>
                </c:pt>
                <c:pt idx="13">
                  <c:v>39951427.34244179</c:v>
                </c:pt>
                <c:pt idx="14">
                  <c:v>40631877.623583004</c:v>
                </c:pt>
                <c:pt idx="15">
                  <c:v>41390723.649424203</c:v>
                </c:pt>
                <c:pt idx="16">
                  <c:v>42108504.360565394</c:v>
                </c:pt>
                <c:pt idx="17">
                  <c:v>42842021.641706601</c:v>
                </c:pt>
                <c:pt idx="18">
                  <c:v>43590469.565347798</c:v>
                </c:pt>
                <c:pt idx="19">
                  <c:v>44347697.926489003</c:v>
                </c:pt>
                <c:pt idx="20">
                  <c:v>44427101.489018202</c:v>
                </c:pt>
                <c:pt idx="21">
                  <c:v>44412708.712659404</c:v>
                </c:pt>
                <c:pt idx="22">
                  <c:v>44396948.993800603</c:v>
                </c:pt>
                <c:pt idx="23">
                  <c:v>44381189.274941802</c:v>
                </c:pt>
                <c:pt idx="24">
                  <c:v>44366796.498583004</c:v>
                </c:pt>
                <c:pt idx="25">
                  <c:v>44408914.211924203</c:v>
                </c:pt>
                <c:pt idx="26">
                  <c:v>44393154.493065402</c:v>
                </c:pt>
                <c:pt idx="27">
                  <c:v>44378761.716706604</c:v>
                </c:pt>
                <c:pt idx="28">
                  <c:v>44363001.99784781</c:v>
                </c:pt>
                <c:pt idx="29">
                  <c:v>44347242.278989002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C8-4F48-9A44-C3DC1B250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3651728"/>
        <c:axId val="853649768"/>
      </c:barChart>
      <c:catAx>
        <c:axId val="853651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49768"/>
        <c:crosses val="autoZero"/>
        <c:auto val="1"/>
        <c:lblAlgn val="ctr"/>
        <c:lblOffset val="100"/>
        <c:noMultiLvlLbl val="0"/>
      </c:catAx>
      <c:valAx>
        <c:axId val="853649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5172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[EVFPARNAJericoacoara_Republicação.xlsx]consol_capex2!Tabela dinâmica2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consol_capex2!$B$3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A0A-4DEE-82E6-E6A078F6C75C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0A-4DEE-82E6-E6A078F6C7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consol_capex2!$A$4:$A$11</c:f>
              <c:strCache>
                <c:ptCount val="7"/>
                <c:pt idx="0">
                  <c:v>Infraestrutura</c:v>
                </c:pt>
                <c:pt idx="1">
                  <c:v>Veículos e embarcações</c:v>
                </c:pt>
                <c:pt idx="2">
                  <c:v>Edificações</c:v>
                </c:pt>
                <c:pt idx="3">
                  <c:v>Equipamentos e instalações</c:v>
                </c:pt>
                <c:pt idx="4">
                  <c:v>Móveis e Utensílios</c:v>
                </c:pt>
                <c:pt idx="5">
                  <c:v>Outros</c:v>
                </c:pt>
                <c:pt idx="6">
                  <c:v>TI</c:v>
                </c:pt>
              </c:strCache>
            </c:strRef>
          </c:cat>
          <c:val>
            <c:numRef>
              <c:f>consol_capex2!$B$4:$B$11</c:f>
              <c:numCache>
                <c:formatCode>_-"R$"\ * #,##0_-;\-"R$"\ * #,##0_-;_-"R$"\ * "-"??_-;_-@_-</c:formatCode>
                <c:ptCount val="7"/>
                <c:pt idx="0">
                  <c:v>70852181.202000007</c:v>
                </c:pt>
                <c:pt idx="1">
                  <c:v>24238156.800000001</c:v>
                </c:pt>
                <c:pt idx="2">
                  <c:v>12883927.713800002</c:v>
                </c:pt>
                <c:pt idx="3">
                  <c:v>9153835.9440000001</c:v>
                </c:pt>
                <c:pt idx="4">
                  <c:v>2347494.6000000006</c:v>
                </c:pt>
                <c:pt idx="5">
                  <c:v>1181386.9980000001</c:v>
                </c:pt>
                <c:pt idx="6">
                  <c:v>495000.00000000006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7F-CB4B-B06A-AC2716623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3659568"/>
        <c:axId val="853650160"/>
      </c:barChart>
      <c:catAx>
        <c:axId val="85365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50160"/>
        <c:crosses val="autoZero"/>
        <c:auto val="1"/>
        <c:lblAlgn val="ctr"/>
        <c:lblOffset val="100"/>
        <c:noMultiLvlLbl val="0"/>
      </c:catAx>
      <c:valAx>
        <c:axId val="853650160"/>
        <c:scaling>
          <c:orientation val="minMax"/>
        </c:scaling>
        <c:delete val="0"/>
        <c:axPos val="l"/>
        <c:numFmt formatCode="_-&quot;R$&quot;\ * #,##0_-;\-&quot;R$&quot;\ * #,##0_-;_-&quot;R$&quot;\ 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5956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'D2 - Capex uso'!$BS$177:$CV$177</c:f>
              <c:numCache>
                <c:formatCode>_(* #,##0_);_(* \(#,##0\);_(* "-"??_);_(@_)</c:formatCode>
                <c:ptCount val="30"/>
                <c:pt idx="0">
                  <c:v>41400633.088466667</c:v>
                </c:pt>
                <c:pt idx="1">
                  <c:v>16959622.166666668</c:v>
                </c:pt>
                <c:pt idx="2">
                  <c:v>10024215.666666668</c:v>
                </c:pt>
                <c:pt idx="3">
                  <c:v>1693560</c:v>
                </c:pt>
                <c:pt idx="4">
                  <c:v>0</c:v>
                </c:pt>
                <c:pt idx="5">
                  <c:v>4805744.108</c:v>
                </c:pt>
                <c:pt idx="6">
                  <c:v>43560.000000000007</c:v>
                </c:pt>
                <c:pt idx="7">
                  <c:v>0</c:v>
                </c:pt>
                <c:pt idx="8">
                  <c:v>0</c:v>
                </c:pt>
                <c:pt idx="9">
                  <c:v>43560.000000000007</c:v>
                </c:pt>
                <c:pt idx="10">
                  <c:v>10681096.206</c:v>
                </c:pt>
                <c:pt idx="11">
                  <c:v>0</c:v>
                </c:pt>
                <c:pt idx="12">
                  <c:v>43560.000000000007</c:v>
                </c:pt>
                <c:pt idx="13">
                  <c:v>0</c:v>
                </c:pt>
                <c:pt idx="14">
                  <c:v>0</c:v>
                </c:pt>
                <c:pt idx="15">
                  <c:v>4849304.108</c:v>
                </c:pt>
                <c:pt idx="16">
                  <c:v>0</c:v>
                </c:pt>
                <c:pt idx="17">
                  <c:v>0</c:v>
                </c:pt>
                <c:pt idx="18">
                  <c:v>43560.000000000007</c:v>
                </c:pt>
                <c:pt idx="19">
                  <c:v>0</c:v>
                </c:pt>
                <c:pt idx="20">
                  <c:v>20427096.206</c:v>
                </c:pt>
                <c:pt idx="21">
                  <c:v>43560.000000000007</c:v>
                </c:pt>
                <c:pt idx="22">
                  <c:v>0</c:v>
                </c:pt>
                <c:pt idx="23">
                  <c:v>0</c:v>
                </c:pt>
                <c:pt idx="24">
                  <c:v>43560.000000000007</c:v>
                </c:pt>
                <c:pt idx="25">
                  <c:v>4805744.108</c:v>
                </c:pt>
                <c:pt idx="26">
                  <c:v>0</c:v>
                </c:pt>
                <c:pt idx="27">
                  <c:v>43560.000000000007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B-FC45-BDF9-EBE5D1D4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3650552"/>
        <c:axId val="853650944"/>
      </c:lineChart>
      <c:catAx>
        <c:axId val="853650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50944"/>
        <c:crosses val="autoZero"/>
        <c:auto val="1"/>
        <c:lblAlgn val="ctr"/>
        <c:lblOffset val="100"/>
        <c:noMultiLvlLbl val="0"/>
      </c:catAx>
      <c:valAx>
        <c:axId val="85365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50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'A1 - Serviços e demanda'!$A$70</c:f>
              <c:strCache>
                <c:ptCount val="1"/>
                <c:pt idx="0">
                  <c:v> Demanda de visitação TOTAL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'A1 - Serviços e demanda'!$B$69:$AE$69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'A1 - Serviços e demanda'!$B$70:$AE$70</c:f>
              <c:numCache>
                <c:formatCode>_(* #,##0_);_(* \(#,##0\);_(* "-"??_);_(@_)</c:formatCode>
                <c:ptCount val="30"/>
                <c:pt idx="0">
                  <c:v>1045870</c:v>
                </c:pt>
                <c:pt idx="1">
                  <c:v>1081951</c:v>
                </c:pt>
                <c:pt idx="2">
                  <c:v>1119271</c:v>
                </c:pt>
                <c:pt idx="3">
                  <c:v>1155418</c:v>
                </c:pt>
                <c:pt idx="4">
                  <c:v>1192139</c:v>
                </c:pt>
                <c:pt idx="5">
                  <c:v>1229504</c:v>
                </c:pt>
                <c:pt idx="6">
                  <c:v>1267922</c:v>
                </c:pt>
                <c:pt idx="7">
                  <c:v>1307461</c:v>
                </c:pt>
                <c:pt idx="8">
                  <c:v>1347720</c:v>
                </c:pt>
                <c:pt idx="9">
                  <c:v>1388731</c:v>
                </c:pt>
                <c:pt idx="10">
                  <c:v>1431024</c:v>
                </c:pt>
                <c:pt idx="11">
                  <c:v>1474583</c:v>
                </c:pt>
                <c:pt idx="12">
                  <c:v>1519533</c:v>
                </c:pt>
                <c:pt idx="13">
                  <c:v>1565841</c:v>
                </c:pt>
                <c:pt idx="14">
                  <c:v>1613541</c:v>
                </c:pt>
                <c:pt idx="15">
                  <c:v>1662549</c:v>
                </c:pt>
                <c:pt idx="16">
                  <c:v>1712805</c:v>
                </c:pt>
                <c:pt idx="17">
                  <c:v>1764131</c:v>
                </c:pt>
                <c:pt idx="18">
                  <c:v>1816396</c:v>
                </c:pt>
                <c:pt idx="19">
                  <c:v>1869357</c:v>
                </c:pt>
                <c:pt idx="20">
                  <c:v>1869357</c:v>
                </c:pt>
                <c:pt idx="21">
                  <c:v>1869357</c:v>
                </c:pt>
                <c:pt idx="22">
                  <c:v>1869357</c:v>
                </c:pt>
                <c:pt idx="23">
                  <c:v>1869357</c:v>
                </c:pt>
                <c:pt idx="24">
                  <c:v>1869357</c:v>
                </c:pt>
                <c:pt idx="25">
                  <c:v>1869357</c:v>
                </c:pt>
                <c:pt idx="26">
                  <c:v>1869357</c:v>
                </c:pt>
                <c:pt idx="27">
                  <c:v>1869357</c:v>
                </c:pt>
                <c:pt idx="28">
                  <c:v>1869357</c:v>
                </c:pt>
                <c:pt idx="29">
                  <c:v>1869357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B6-634D-98F4-6EF9EA2B4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3643888"/>
        <c:axId val="853636440"/>
      </c:lineChart>
      <c:catAx>
        <c:axId val="85364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36440"/>
        <c:crosses val="autoZero"/>
        <c:auto val="1"/>
        <c:lblAlgn val="ctr"/>
        <c:lblOffset val="100"/>
        <c:noMultiLvlLbl val="0"/>
      </c:catAx>
      <c:valAx>
        <c:axId val="853636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43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'D2 - Capex uso'!$BS$177:$DZ$177</c:f>
              <c:numCache>
                <c:formatCode>_(* #,##0_);_(* \(#,##0\);_(* "-"??_);_(@_)</c:formatCode>
                <c:ptCount val="60"/>
                <c:pt idx="0">
                  <c:v>41400633.088466667</c:v>
                </c:pt>
                <c:pt idx="1">
                  <c:v>16959622.166666668</c:v>
                </c:pt>
                <c:pt idx="2">
                  <c:v>10024215.666666668</c:v>
                </c:pt>
                <c:pt idx="3">
                  <c:v>1693560</c:v>
                </c:pt>
                <c:pt idx="4">
                  <c:v>0</c:v>
                </c:pt>
                <c:pt idx="5">
                  <c:v>4805744.108</c:v>
                </c:pt>
                <c:pt idx="6">
                  <c:v>43560.000000000007</c:v>
                </c:pt>
                <c:pt idx="7">
                  <c:v>0</c:v>
                </c:pt>
                <c:pt idx="8">
                  <c:v>0</c:v>
                </c:pt>
                <c:pt idx="9">
                  <c:v>43560.000000000007</c:v>
                </c:pt>
                <c:pt idx="10">
                  <c:v>10681096.206</c:v>
                </c:pt>
                <c:pt idx="11">
                  <c:v>0</c:v>
                </c:pt>
                <c:pt idx="12">
                  <c:v>43560.000000000007</c:v>
                </c:pt>
                <c:pt idx="13">
                  <c:v>0</c:v>
                </c:pt>
                <c:pt idx="14">
                  <c:v>0</c:v>
                </c:pt>
                <c:pt idx="15">
                  <c:v>4849304.108</c:v>
                </c:pt>
                <c:pt idx="16">
                  <c:v>0</c:v>
                </c:pt>
                <c:pt idx="17">
                  <c:v>0</c:v>
                </c:pt>
                <c:pt idx="18">
                  <c:v>43560.000000000007</c:v>
                </c:pt>
                <c:pt idx="19">
                  <c:v>0</c:v>
                </c:pt>
                <c:pt idx="20">
                  <c:v>20427096.206</c:v>
                </c:pt>
                <c:pt idx="21">
                  <c:v>43560.000000000007</c:v>
                </c:pt>
                <c:pt idx="22">
                  <c:v>0</c:v>
                </c:pt>
                <c:pt idx="23">
                  <c:v>0</c:v>
                </c:pt>
                <c:pt idx="24">
                  <c:v>43560.000000000007</c:v>
                </c:pt>
                <c:pt idx="25">
                  <c:v>4805744.108</c:v>
                </c:pt>
                <c:pt idx="26">
                  <c:v>0</c:v>
                </c:pt>
                <c:pt idx="27">
                  <c:v>43560.000000000007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1923851.82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3106790.9972000001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1923851.82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7979790.9972000001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1923851.82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1-B744-8882-EF4629626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3636832"/>
        <c:axId val="853640752"/>
      </c:barChart>
      <c:catAx>
        <c:axId val="853636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40752"/>
        <c:crosses val="autoZero"/>
        <c:auto val="1"/>
        <c:lblAlgn val="ctr"/>
        <c:lblOffset val="100"/>
        <c:noMultiLvlLbl val="0"/>
      </c:catAx>
      <c:valAx>
        <c:axId val="85364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36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'D2 - Capex uso'!$BS$177:$CV$177</c:f>
              <c:numCache>
                <c:formatCode>_(* #,##0_);_(* \(#,##0\);_(* "-"??_);_(@_)</c:formatCode>
                <c:ptCount val="30"/>
                <c:pt idx="0">
                  <c:v>41400633.088466667</c:v>
                </c:pt>
                <c:pt idx="1">
                  <c:v>16959622.166666668</c:v>
                </c:pt>
                <c:pt idx="2">
                  <c:v>10024215.666666668</c:v>
                </c:pt>
                <c:pt idx="3">
                  <c:v>1693560</c:v>
                </c:pt>
                <c:pt idx="4">
                  <c:v>0</c:v>
                </c:pt>
                <c:pt idx="5">
                  <c:v>4805744.108</c:v>
                </c:pt>
                <c:pt idx="6">
                  <c:v>43560.000000000007</c:v>
                </c:pt>
                <c:pt idx="7">
                  <c:v>0</c:v>
                </c:pt>
                <c:pt idx="8">
                  <c:v>0</c:v>
                </c:pt>
                <c:pt idx="9">
                  <c:v>43560.000000000007</c:v>
                </c:pt>
                <c:pt idx="10">
                  <c:v>10681096.206</c:v>
                </c:pt>
                <c:pt idx="11">
                  <c:v>0</c:v>
                </c:pt>
                <c:pt idx="12">
                  <c:v>43560.000000000007</c:v>
                </c:pt>
                <c:pt idx="13">
                  <c:v>0</c:v>
                </c:pt>
                <c:pt idx="14">
                  <c:v>0</c:v>
                </c:pt>
                <c:pt idx="15">
                  <c:v>4849304.108</c:v>
                </c:pt>
                <c:pt idx="16">
                  <c:v>0</c:v>
                </c:pt>
                <c:pt idx="17">
                  <c:v>0</c:v>
                </c:pt>
                <c:pt idx="18">
                  <c:v>43560.000000000007</c:v>
                </c:pt>
                <c:pt idx="19">
                  <c:v>0</c:v>
                </c:pt>
                <c:pt idx="20">
                  <c:v>20427096.206</c:v>
                </c:pt>
                <c:pt idx="21">
                  <c:v>43560.000000000007</c:v>
                </c:pt>
                <c:pt idx="22">
                  <c:v>0</c:v>
                </c:pt>
                <c:pt idx="23">
                  <c:v>0</c:v>
                </c:pt>
                <c:pt idx="24">
                  <c:v>43560.000000000007</c:v>
                </c:pt>
                <c:pt idx="25">
                  <c:v>4805744.108</c:v>
                </c:pt>
                <c:pt idx="26">
                  <c:v>0</c:v>
                </c:pt>
                <c:pt idx="27">
                  <c:v>43560.000000000007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85-F64C-9855-E904F6D8E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3638792"/>
        <c:axId val="853638008"/>
      </c:barChart>
      <c:catAx>
        <c:axId val="853638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38008"/>
        <c:crosses val="autoZero"/>
        <c:auto val="1"/>
        <c:lblAlgn val="ctr"/>
        <c:lblOffset val="100"/>
        <c:noMultiLvlLbl val="0"/>
      </c:catAx>
      <c:valAx>
        <c:axId val="853638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38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'D2 - Capex Resumo'!$A$108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'D2 - Capex Resumo'!$E$108:$AH$108</c:f>
              <c:numCache>
                <c:formatCode>General</c:formatCode>
                <c:ptCount val="30"/>
                <c:pt idx="0">
                  <c:v>41400633.088466667</c:v>
                </c:pt>
                <c:pt idx="1">
                  <c:v>16959622.166666668</c:v>
                </c:pt>
                <c:pt idx="2">
                  <c:v>10024215.666666668</c:v>
                </c:pt>
                <c:pt idx="3">
                  <c:v>1693560</c:v>
                </c:pt>
                <c:pt idx="4">
                  <c:v>0</c:v>
                </c:pt>
                <c:pt idx="5">
                  <c:v>4805744.108</c:v>
                </c:pt>
                <c:pt idx="6">
                  <c:v>43560.000000000007</c:v>
                </c:pt>
                <c:pt idx="7">
                  <c:v>0</c:v>
                </c:pt>
                <c:pt idx="8">
                  <c:v>0</c:v>
                </c:pt>
                <c:pt idx="9">
                  <c:v>43560.000000000007</c:v>
                </c:pt>
                <c:pt idx="10">
                  <c:v>10681096.206</c:v>
                </c:pt>
                <c:pt idx="11">
                  <c:v>0</c:v>
                </c:pt>
                <c:pt idx="12">
                  <c:v>43560.000000000007</c:v>
                </c:pt>
                <c:pt idx="13">
                  <c:v>0</c:v>
                </c:pt>
                <c:pt idx="14">
                  <c:v>0</c:v>
                </c:pt>
                <c:pt idx="15">
                  <c:v>4849304.108</c:v>
                </c:pt>
                <c:pt idx="16">
                  <c:v>0</c:v>
                </c:pt>
                <c:pt idx="17">
                  <c:v>0</c:v>
                </c:pt>
                <c:pt idx="18">
                  <c:v>43560.000000000007</c:v>
                </c:pt>
                <c:pt idx="19">
                  <c:v>0</c:v>
                </c:pt>
                <c:pt idx="20">
                  <c:v>20427096.206</c:v>
                </c:pt>
                <c:pt idx="21">
                  <c:v>43560.000000000007</c:v>
                </c:pt>
                <c:pt idx="22">
                  <c:v>0</c:v>
                </c:pt>
                <c:pt idx="23">
                  <c:v>0</c:v>
                </c:pt>
                <c:pt idx="24">
                  <c:v>43560.000000000007</c:v>
                </c:pt>
                <c:pt idx="25">
                  <c:v>4805744.108</c:v>
                </c:pt>
                <c:pt idx="26">
                  <c:v>0</c:v>
                </c:pt>
                <c:pt idx="27">
                  <c:v>43560.000000000007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0-6F45-9936-925659083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3637224"/>
        <c:axId val="853641144"/>
      </c:barChart>
      <c:catAx>
        <c:axId val="853637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41144"/>
        <c:crosses val="autoZero"/>
        <c:auto val="1"/>
        <c:lblAlgn val="ctr"/>
        <c:lblOffset val="100"/>
        <c:noMultiLvlLbl val="0"/>
      </c:catAx>
      <c:valAx>
        <c:axId val="85364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37224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'D2 - Capex Resumo'!$A$110</c:f>
              <c:strCache>
                <c:ptCount val="1"/>
                <c:pt idx="0">
                  <c:v>Total Acumulado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val>
            <c:numRef>
              <c:f>'D2 - Capex Resumo'!$E$110:$AH$110</c:f>
              <c:numCache>
                <c:formatCode>General</c:formatCode>
                <c:ptCount val="30"/>
                <c:pt idx="0">
                  <c:v>41400633.088466667</c:v>
                </c:pt>
                <c:pt idx="1">
                  <c:v>58360255.255133331</c:v>
                </c:pt>
                <c:pt idx="2">
                  <c:v>68384470.921800002</c:v>
                </c:pt>
                <c:pt idx="3">
                  <c:v>70078030.921800002</c:v>
                </c:pt>
                <c:pt idx="4">
                  <c:v>70078030.921800002</c:v>
                </c:pt>
                <c:pt idx="5">
                  <c:v>74883775.029799998</c:v>
                </c:pt>
                <c:pt idx="6">
                  <c:v>74927335.029799998</c:v>
                </c:pt>
                <c:pt idx="7">
                  <c:v>74927335.029799998</c:v>
                </c:pt>
                <c:pt idx="8">
                  <c:v>74927335.029799998</c:v>
                </c:pt>
                <c:pt idx="9">
                  <c:v>74970895.029799998</c:v>
                </c:pt>
                <c:pt idx="10">
                  <c:v>85651991.235799998</c:v>
                </c:pt>
                <c:pt idx="11">
                  <c:v>85651991.235799998</c:v>
                </c:pt>
                <c:pt idx="12">
                  <c:v>85695551.235799998</c:v>
                </c:pt>
                <c:pt idx="13">
                  <c:v>85695551.235799998</c:v>
                </c:pt>
                <c:pt idx="14">
                  <c:v>85695551.235799998</c:v>
                </c:pt>
                <c:pt idx="15">
                  <c:v>90544855.343799993</c:v>
                </c:pt>
                <c:pt idx="16">
                  <c:v>90544855.343799993</c:v>
                </c:pt>
                <c:pt idx="17">
                  <c:v>90544855.343799993</c:v>
                </c:pt>
                <c:pt idx="18">
                  <c:v>90588415.343799993</c:v>
                </c:pt>
                <c:pt idx="19">
                  <c:v>90588415.343799993</c:v>
                </c:pt>
                <c:pt idx="20">
                  <c:v>111015511.54979999</c:v>
                </c:pt>
                <c:pt idx="21">
                  <c:v>111059071.54979999</c:v>
                </c:pt>
                <c:pt idx="22">
                  <c:v>111059071.54979999</c:v>
                </c:pt>
                <c:pt idx="23">
                  <c:v>111059071.54979999</c:v>
                </c:pt>
                <c:pt idx="24">
                  <c:v>111102631.54979999</c:v>
                </c:pt>
                <c:pt idx="25">
                  <c:v>115908375.65779999</c:v>
                </c:pt>
                <c:pt idx="26">
                  <c:v>115908375.65779999</c:v>
                </c:pt>
                <c:pt idx="27">
                  <c:v>115951935.65779999</c:v>
                </c:pt>
                <c:pt idx="28">
                  <c:v>115951935.65779999</c:v>
                </c:pt>
                <c:pt idx="29">
                  <c:v>115951935.65779999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9-414C-8FB6-4662F3882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3659960"/>
        <c:axId val="853660352"/>
      </c:areaChart>
      <c:catAx>
        <c:axId val="853659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60352"/>
        <c:crosses val="autoZero"/>
        <c:auto val="1"/>
        <c:lblAlgn val="ctr"/>
        <c:lblOffset val="100"/>
        <c:noMultiLvlLbl val="0"/>
      </c:catAx>
      <c:valAx>
        <c:axId val="85366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59960"/>
        <c:crosses val="autoZero"/>
        <c:crossBetween val="midCat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opex_resumo!$A$15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7-C942-9E6D-65DBF6F6F5C6}"/>
                </c:ext>
              </c:extLst>
            </c:dLbl>
            <c:dLbl>
              <c:idx val="2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7-C942-9E6D-65DBF6F6F5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opex_resumo!$B$15:$AE$15</c:f>
              <c:numCache>
                <c:formatCode>General</c:formatCode>
                <c:ptCount val="30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7-C942-9E6D-65DBF6F6F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3658784"/>
        <c:axId val="853654864"/>
      </c:lineChart>
      <c:catAx>
        <c:axId val="8536587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54864"/>
        <c:crosses val="autoZero"/>
        <c:auto val="1"/>
        <c:lblAlgn val="ctr"/>
        <c:lblOffset val="100"/>
        <c:noMultiLvlLbl val="0"/>
      </c:catAx>
      <c:valAx>
        <c:axId val="85365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58784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opex_resumo!$A$2</c:f>
              <c:strCache>
                <c:ptCount val="1"/>
                <c:pt idx="0">
                  <c:v>Custo com Pessoal Operacional</c:v>
                </c:pt>
              </c:strCache>
            </c:strRef>
          </c:tx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val>
            <c:numRef>
              <c:f>opex_resumo!$B$2:$AE$2</c:f>
              <c:numCache>
                <c:formatCode>General</c:formatCode>
                <c:ptCount val="30"/>
                <c:pt idx="0">
                  <c:v>1478000</c:v>
                </c:pt>
                <c:pt idx="1">
                  <c:v>5707900</c:v>
                </c:pt>
                <c:pt idx="2">
                  <c:v>5707900</c:v>
                </c:pt>
                <c:pt idx="3">
                  <c:v>5707900</c:v>
                </c:pt>
                <c:pt idx="4">
                  <c:v>5707900</c:v>
                </c:pt>
                <c:pt idx="5">
                  <c:v>5707900</c:v>
                </c:pt>
                <c:pt idx="6">
                  <c:v>5707900</c:v>
                </c:pt>
                <c:pt idx="7">
                  <c:v>5707900</c:v>
                </c:pt>
                <c:pt idx="8">
                  <c:v>5707900</c:v>
                </c:pt>
                <c:pt idx="9">
                  <c:v>5707900</c:v>
                </c:pt>
                <c:pt idx="10">
                  <c:v>5707900</c:v>
                </c:pt>
                <c:pt idx="11">
                  <c:v>5707900</c:v>
                </c:pt>
                <c:pt idx="12">
                  <c:v>5707900</c:v>
                </c:pt>
                <c:pt idx="13">
                  <c:v>5707900</c:v>
                </c:pt>
                <c:pt idx="14">
                  <c:v>5707900</c:v>
                </c:pt>
                <c:pt idx="15">
                  <c:v>5707900</c:v>
                </c:pt>
                <c:pt idx="16">
                  <c:v>5707900</c:v>
                </c:pt>
                <c:pt idx="17">
                  <c:v>5707900</c:v>
                </c:pt>
                <c:pt idx="18">
                  <c:v>5707900</c:v>
                </c:pt>
                <c:pt idx="19">
                  <c:v>5707900</c:v>
                </c:pt>
                <c:pt idx="20">
                  <c:v>5707900</c:v>
                </c:pt>
                <c:pt idx="21">
                  <c:v>5707900</c:v>
                </c:pt>
                <c:pt idx="22">
                  <c:v>5707900</c:v>
                </c:pt>
                <c:pt idx="23">
                  <c:v>5707900</c:v>
                </c:pt>
                <c:pt idx="24">
                  <c:v>5707900</c:v>
                </c:pt>
                <c:pt idx="25">
                  <c:v>5707900</c:v>
                </c:pt>
                <c:pt idx="26">
                  <c:v>5707900</c:v>
                </c:pt>
                <c:pt idx="27">
                  <c:v>5707900</c:v>
                </c:pt>
                <c:pt idx="28">
                  <c:v>5707900</c:v>
                </c:pt>
                <c:pt idx="29">
                  <c:v>5707900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2-F84D-96FF-803186E1C3BD}"/>
            </c:ext>
          </c:extLst>
        </c:ser>
        <c:ser>
          <c:idx val="1"/>
          <c:order val="1"/>
          <c:tx>
            <c:strRef>
              <c:f>opex_resumo!$A$3</c:f>
              <c:strCache>
                <c:ptCount val="1"/>
                <c:pt idx="0">
                  <c:v>Custo Operacional Direto e Indireto</c:v>
                </c:pt>
              </c:strCache>
            </c:strRef>
          </c:tx>
          <c:spPr>
            <a:solidFill>
              <a:schemeClr val="dk1">
                <a:tint val="55000"/>
              </a:schemeClr>
            </a:solidFill>
            <a:ln>
              <a:noFill/>
            </a:ln>
            <a:effectLst/>
          </c:spPr>
          <c:invertIfNegative val="0"/>
          <c:val>
            <c:numRef>
              <c:f>opex_resumo!$B$3:$AE$3</c:f>
              <c:numCache>
                <c:formatCode>General</c:formatCode>
                <c:ptCount val="30"/>
                <c:pt idx="0">
                  <c:v>1108700</c:v>
                </c:pt>
                <c:pt idx="1">
                  <c:v>5478600</c:v>
                </c:pt>
                <c:pt idx="2">
                  <c:v>5662300</c:v>
                </c:pt>
                <c:pt idx="3">
                  <c:v>5840300</c:v>
                </c:pt>
                <c:pt idx="4">
                  <c:v>6021000</c:v>
                </c:pt>
                <c:pt idx="5">
                  <c:v>6205000</c:v>
                </c:pt>
                <c:pt idx="6">
                  <c:v>6394200</c:v>
                </c:pt>
                <c:pt idx="7">
                  <c:v>6588800</c:v>
                </c:pt>
                <c:pt idx="8">
                  <c:v>6787100</c:v>
                </c:pt>
                <c:pt idx="9">
                  <c:v>6988900</c:v>
                </c:pt>
                <c:pt idx="10">
                  <c:v>7197200</c:v>
                </c:pt>
                <c:pt idx="11">
                  <c:v>7411600</c:v>
                </c:pt>
                <c:pt idx="12">
                  <c:v>7632900</c:v>
                </c:pt>
                <c:pt idx="13">
                  <c:v>7860900</c:v>
                </c:pt>
                <c:pt idx="14">
                  <c:v>8095800</c:v>
                </c:pt>
                <c:pt idx="15">
                  <c:v>8337000</c:v>
                </c:pt>
                <c:pt idx="16">
                  <c:v>8584400</c:v>
                </c:pt>
                <c:pt idx="17">
                  <c:v>8837200</c:v>
                </c:pt>
                <c:pt idx="18">
                  <c:v>9094500</c:v>
                </c:pt>
                <c:pt idx="19">
                  <c:v>9355300</c:v>
                </c:pt>
                <c:pt idx="20">
                  <c:v>9355300</c:v>
                </c:pt>
                <c:pt idx="21">
                  <c:v>9355300</c:v>
                </c:pt>
                <c:pt idx="22">
                  <c:v>9355300</c:v>
                </c:pt>
                <c:pt idx="23">
                  <c:v>9355300</c:v>
                </c:pt>
                <c:pt idx="24">
                  <c:v>9355300</c:v>
                </c:pt>
                <c:pt idx="25">
                  <c:v>9355300</c:v>
                </c:pt>
                <c:pt idx="26">
                  <c:v>9355300</c:v>
                </c:pt>
                <c:pt idx="27">
                  <c:v>9355300</c:v>
                </c:pt>
                <c:pt idx="28">
                  <c:v>9355300</c:v>
                </c:pt>
                <c:pt idx="29">
                  <c:v>9355300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2-F84D-96FF-803186E1C3BD}"/>
            </c:ext>
          </c:extLst>
        </c:ser>
        <c:ser>
          <c:idx val="2"/>
          <c:order val="2"/>
          <c:tx>
            <c:strRef>
              <c:f>opex_resumo!$A$4</c:f>
              <c:strCache>
                <c:ptCount val="1"/>
                <c:pt idx="0">
                  <c:v>Custo com Pagamento de outorga</c:v>
                </c:pt>
              </c:strCache>
            </c:strRef>
          </c:tx>
          <c:spPr>
            <a:solidFill>
              <a:schemeClr val="dk1">
                <a:tint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opex_resumo!$B$4:$AE$4</c:f>
              <c:numCache>
                <c:formatCode>General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2339400</c:v>
                </c:pt>
                <c:pt idx="5">
                  <c:v>2412700</c:v>
                </c:pt>
                <c:pt idx="6">
                  <c:v>2488100</c:v>
                </c:pt>
                <c:pt idx="7">
                  <c:v>2565700</c:v>
                </c:pt>
                <c:pt idx="8">
                  <c:v>2644700</c:v>
                </c:pt>
                <c:pt idx="9">
                  <c:v>2725100</c:v>
                </c:pt>
                <c:pt idx="10">
                  <c:v>2808100</c:v>
                </c:pt>
                <c:pt idx="11">
                  <c:v>2893600</c:v>
                </c:pt>
                <c:pt idx="12">
                  <c:v>2981800</c:v>
                </c:pt>
                <c:pt idx="13">
                  <c:v>3072700</c:v>
                </c:pt>
                <c:pt idx="14">
                  <c:v>3166300</c:v>
                </c:pt>
                <c:pt idx="15">
                  <c:v>3262500</c:v>
                </c:pt>
                <c:pt idx="16">
                  <c:v>3361100</c:v>
                </c:pt>
                <c:pt idx="17">
                  <c:v>3461800</c:v>
                </c:pt>
                <c:pt idx="18">
                  <c:v>3564400</c:v>
                </c:pt>
                <c:pt idx="19">
                  <c:v>3668300</c:v>
                </c:pt>
                <c:pt idx="20">
                  <c:v>3668300</c:v>
                </c:pt>
                <c:pt idx="21">
                  <c:v>3668300</c:v>
                </c:pt>
                <c:pt idx="22">
                  <c:v>3668300</c:v>
                </c:pt>
                <c:pt idx="23">
                  <c:v>3668300</c:v>
                </c:pt>
                <c:pt idx="24">
                  <c:v>3668300</c:v>
                </c:pt>
                <c:pt idx="25">
                  <c:v>3668300</c:v>
                </c:pt>
                <c:pt idx="26">
                  <c:v>3668300</c:v>
                </c:pt>
                <c:pt idx="27">
                  <c:v>3668300</c:v>
                </c:pt>
                <c:pt idx="28">
                  <c:v>3668300</c:v>
                </c:pt>
                <c:pt idx="29">
                  <c:v>3668300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52-F84D-96FF-803186E1C3BD}"/>
            </c:ext>
          </c:extLst>
        </c:ser>
        <c:ser>
          <c:idx val="3"/>
          <c:order val="3"/>
          <c:tx>
            <c:strRef>
              <c:f>opex_resumo!$A$5</c:f>
              <c:strCache>
                <c:ptCount val="1"/>
                <c:pt idx="0">
                  <c:v>Custo com Pagamento dos macrotemas</c:v>
                </c:pt>
              </c:strCache>
            </c:strRef>
          </c:tx>
          <c:spPr>
            <a:solidFill>
              <a:schemeClr val="dk1">
                <a:tint val="98500"/>
              </a:schemeClr>
            </a:solidFill>
            <a:ln>
              <a:noFill/>
            </a:ln>
            <a:effectLst/>
          </c:spPr>
          <c:invertIfNegative val="0"/>
          <c:val>
            <c:numRef>
              <c:f>opex_resumo!$B$5:$AE$5</c:f>
              <c:numCache>
                <c:formatCode>General</c:formatCode>
                <c:ptCount val="30"/>
                <c:pt idx="0">
                  <c:v>706000</c:v>
                </c:pt>
                <c:pt idx="1">
                  <c:v>2123100</c:v>
                </c:pt>
                <c:pt idx="2">
                  <c:v>2196400</c:v>
                </c:pt>
                <c:pt idx="3">
                  <c:v>2267300</c:v>
                </c:pt>
                <c:pt idx="4">
                  <c:v>2339400</c:v>
                </c:pt>
                <c:pt idx="5">
                  <c:v>2412700</c:v>
                </c:pt>
                <c:pt idx="6">
                  <c:v>2488100</c:v>
                </c:pt>
                <c:pt idx="7">
                  <c:v>2565700</c:v>
                </c:pt>
                <c:pt idx="8">
                  <c:v>2644700</c:v>
                </c:pt>
                <c:pt idx="9">
                  <c:v>2725100</c:v>
                </c:pt>
                <c:pt idx="10">
                  <c:v>2808100</c:v>
                </c:pt>
                <c:pt idx="11">
                  <c:v>2893600</c:v>
                </c:pt>
                <c:pt idx="12">
                  <c:v>2981800</c:v>
                </c:pt>
                <c:pt idx="13">
                  <c:v>3072700</c:v>
                </c:pt>
                <c:pt idx="14">
                  <c:v>3166300</c:v>
                </c:pt>
                <c:pt idx="15">
                  <c:v>3262500</c:v>
                </c:pt>
                <c:pt idx="16">
                  <c:v>3361100</c:v>
                </c:pt>
                <c:pt idx="17">
                  <c:v>3461800</c:v>
                </c:pt>
                <c:pt idx="18">
                  <c:v>3564400</c:v>
                </c:pt>
                <c:pt idx="19">
                  <c:v>3668300</c:v>
                </c:pt>
                <c:pt idx="20">
                  <c:v>3668300</c:v>
                </c:pt>
                <c:pt idx="21">
                  <c:v>3668300</c:v>
                </c:pt>
                <c:pt idx="22">
                  <c:v>3668300</c:v>
                </c:pt>
                <c:pt idx="23">
                  <c:v>3668300</c:v>
                </c:pt>
                <c:pt idx="24">
                  <c:v>3668300</c:v>
                </c:pt>
                <c:pt idx="25">
                  <c:v>3668300</c:v>
                </c:pt>
                <c:pt idx="26">
                  <c:v>3668300</c:v>
                </c:pt>
                <c:pt idx="27">
                  <c:v>3668300</c:v>
                </c:pt>
                <c:pt idx="28">
                  <c:v>3668300</c:v>
                </c:pt>
                <c:pt idx="29">
                  <c:v>3668300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52-F84D-96FF-803186E1C3BD}"/>
            </c:ext>
          </c:extLst>
        </c:ser>
        <c:ser>
          <c:idx val="4"/>
          <c:order val="4"/>
          <c:tx>
            <c:strRef>
              <c:f>opex_resumo!$A$6</c:f>
              <c:strCache>
                <c:ptCount val="1"/>
                <c:pt idx="0">
                  <c:v>Despesas com Pessoal Administrativo</c:v>
                </c:pt>
              </c:strCache>
            </c:strRef>
          </c:tx>
          <c:spPr>
            <a:solidFill>
              <a:schemeClr val="dk1">
                <a:tint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opex_resumo!$B$6:$AE$6</c:f>
              <c:numCache>
                <c:formatCode>General</c:formatCode>
                <c:ptCount val="30"/>
                <c:pt idx="0">
                  <c:v>4549100</c:v>
                </c:pt>
                <c:pt idx="1">
                  <c:v>4549100</c:v>
                </c:pt>
                <c:pt idx="2">
                  <c:v>4549100</c:v>
                </c:pt>
                <c:pt idx="3">
                  <c:v>4549100</c:v>
                </c:pt>
                <c:pt idx="4">
                  <c:v>4549100</c:v>
                </c:pt>
                <c:pt idx="5">
                  <c:v>4549100</c:v>
                </c:pt>
                <c:pt idx="6">
                  <c:v>4549100</c:v>
                </c:pt>
                <c:pt idx="7">
                  <c:v>4549100</c:v>
                </c:pt>
                <c:pt idx="8">
                  <c:v>4549100</c:v>
                </c:pt>
                <c:pt idx="9">
                  <c:v>4549100</c:v>
                </c:pt>
                <c:pt idx="10">
                  <c:v>4549100</c:v>
                </c:pt>
                <c:pt idx="11">
                  <c:v>4549100</c:v>
                </c:pt>
                <c:pt idx="12">
                  <c:v>4549100</c:v>
                </c:pt>
                <c:pt idx="13">
                  <c:v>4549100</c:v>
                </c:pt>
                <c:pt idx="14">
                  <c:v>4549100</c:v>
                </c:pt>
                <c:pt idx="15">
                  <c:v>4549100</c:v>
                </c:pt>
                <c:pt idx="16">
                  <c:v>4549100</c:v>
                </c:pt>
                <c:pt idx="17">
                  <c:v>4549100</c:v>
                </c:pt>
                <c:pt idx="18">
                  <c:v>4549100</c:v>
                </c:pt>
                <c:pt idx="19">
                  <c:v>4549100</c:v>
                </c:pt>
                <c:pt idx="20">
                  <c:v>4549100</c:v>
                </c:pt>
                <c:pt idx="21">
                  <c:v>4549100</c:v>
                </c:pt>
                <c:pt idx="22">
                  <c:v>4549100</c:v>
                </c:pt>
                <c:pt idx="23">
                  <c:v>4549100</c:v>
                </c:pt>
                <c:pt idx="24">
                  <c:v>4549100</c:v>
                </c:pt>
                <c:pt idx="25">
                  <c:v>4549100</c:v>
                </c:pt>
                <c:pt idx="26">
                  <c:v>4549100</c:v>
                </c:pt>
                <c:pt idx="27">
                  <c:v>4549100</c:v>
                </c:pt>
                <c:pt idx="28">
                  <c:v>4549100</c:v>
                </c:pt>
                <c:pt idx="29">
                  <c:v>4549100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52-F84D-96FF-803186E1C3BD}"/>
            </c:ext>
          </c:extLst>
        </c:ser>
        <c:ser>
          <c:idx val="5"/>
          <c:order val="5"/>
          <c:tx>
            <c:strRef>
              <c:f>opex_resumo!$A$7</c:f>
              <c:strCache>
                <c:ptCount val="1"/>
                <c:pt idx="0">
                  <c:v>Despesas Administrativas</c:v>
                </c:pt>
              </c:strCache>
            </c:strRef>
          </c:tx>
          <c:spPr>
            <a:solidFill>
              <a:schemeClr val="dk1">
                <a:tint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opex_resumo!$B$7:$AE$7</c:f>
              <c:numCache>
                <c:formatCode>General</c:formatCode>
                <c:ptCount val="30"/>
                <c:pt idx="0">
                  <c:v>7486800</c:v>
                </c:pt>
                <c:pt idx="1">
                  <c:v>7670300</c:v>
                </c:pt>
                <c:pt idx="2">
                  <c:v>7776300</c:v>
                </c:pt>
                <c:pt idx="3">
                  <c:v>7879400</c:v>
                </c:pt>
                <c:pt idx="4">
                  <c:v>7983400</c:v>
                </c:pt>
                <c:pt idx="5">
                  <c:v>8147000</c:v>
                </c:pt>
                <c:pt idx="6">
                  <c:v>8257400</c:v>
                </c:pt>
                <c:pt idx="7">
                  <c:v>8370600</c:v>
                </c:pt>
                <c:pt idx="8">
                  <c:v>8486200</c:v>
                </c:pt>
                <c:pt idx="9">
                  <c:v>8605000</c:v>
                </c:pt>
                <c:pt idx="10">
                  <c:v>8815800</c:v>
                </c:pt>
                <c:pt idx="11">
                  <c:v>8942000</c:v>
                </c:pt>
                <c:pt idx="12">
                  <c:v>9073600</c:v>
                </c:pt>
                <c:pt idx="13">
                  <c:v>9208700</c:v>
                </c:pt>
                <c:pt idx="14">
                  <c:v>9348400</c:v>
                </c:pt>
                <c:pt idx="15">
                  <c:v>9550500</c:v>
                </c:pt>
                <c:pt idx="16">
                  <c:v>9698400</c:v>
                </c:pt>
                <c:pt idx="17">
                  <c:v>9849800</c:v>
                </c:pt>
                <c:pt idx="18">
                  <c:v>10005200</c:v>
                </c:pt>
                <c:pt idx="19">
                  <c:v>10161800</c:v>
                </c:pt>
                <c:pt idx="20">
                  <c:v>10235600</c:v>
                </c:pt>
                <c:pt idx="21">
                  <c:v>10221600</c:v>
                </c:pt>
                <c:pt idx="22">
                  <c:v>10206700</c:v>
                </c:pt>
                <c:pt idx="23">
                  <c:v>10191800</c:v>
                </c:pt>
                <c:pt idx="24">
                  <c:v>10177700</c:v>
                </c:pt>
                <c:pt idx="25">
                  <c:v>10220300</c:v>
                </c:pt>
                <c:pt idx="26">
                  <c:v>10205400</c:v>
                </c:pt>
                <c:pt idx="27">
                  <c:v>10191300</c:v>
                </c:pt>
                <c:pt idx="28">
                  <c:v>10176400</c:v>
                </c:pt>
                <c:pt idx="29">
                  <c:v>10161500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52-F84D-96FF-803186E1C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3657608"/>
        <c:axId val="853658392"/>
      </c:barChart>
      <c:catAx>
        <c:axId val="853657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58392"/>
        <c:crosses val="autoZero"/>
        <c:auto val="1"/>
        <c:lblAlgn val="ctr"/>
        <c:lblOffset val="100"/>
        <c:noMultiLvlLbl val="0"/>
      </c:catAx>
      <c:valAx>
        <c:axId val="85365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5760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charts!$B$21</c:f>
              <c:strCache>
                <c:ptCount val="1"/>
                <c:pt idx="0">
                  <c:v>Tipo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charts!$C$21:$AF$21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D-3147-BCD1-BA7E88CA3985}"/>
            </c:ext>
          </c:extLst>
        </c:ser>
        <c:ser>
          <c:idx val="1"/>
          <c:order val="1"/>
          <c:tx>
            <c:strRef>
              <c:f>charts!$B$22</c:f>
              <c:strCache>
                <c:ptCount val="1"/>
                <c:pt idx="0">
                  <c:v>Ingresso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charts!$C$22:$AF$22</c:f>
              <c:numCache>
                <c:formatCode>General</c:formatCode>
                <c:ptCount val="30"/>
                <c:pt idx="0">
                  <c:v>14903649</c:v>
                </c:pt>
                <c:pt idx="1">
                  <c:v>30835620</c:v>
                </c:pt>
                <c:pt idx="2">
                  <c:v>31899231</c:v>
                </c:pt>
                <c:pt idx="3">
                  <c:v>32929443</c:v>
                </c:pt>
                <c:pt idx="4">
                  <c:v>33975990</c:v>
                </c:pt>
                <c:pt idx="5">
                  <c:v>35040870</c:v>
                </c:pt>
                <c:pt idx="6">
                  <c:v>36135801</c:v>
                </c:pt>
                <c:pt idx="7">
                  <c:v>37262646</c:v>
                </c:pt>
                <c:pt idx="8">
                  <c:v>38410038</c:v>
                </c:pt>
                <c:pt idx="9">
                  <c:v>39578841</c:v>
                </c:pt>
                <c:pt idx="10">
                  <c:v>40784175</c:v>
                </c:pt>
                <c:pt idx="11">
                  <c:v>42025608</c:v>
                </c:pt>
                <c:pt idx="12">
                  <c:v>43306677</c:v>
                </c:pt>
                <c:pt idx="13">
                  <c:v>44626491</c:v>
                </c:pt>
                <c:pt idx="14">
                  <c:v>45985914</c:v>
                </c:pt>
                <c:pt idx="15">
                  <c:v>47382651</c:v>
                </c:pt>
                <c:pt idx="16">
                  <c:v>48814947</c:v>
                </c:pt>
                <c:pt idx="17">
                  <c:v>50277726</c:v>
                </c:pt>
                <c:pt idx="18">
                  <c:v>51767289</c:v>
                </c:pt>
                <c:pt idx="19">
                  <c:v>53276697</c:v>
                </c:pt>
                <c:pt idx="20">
                  <c:v>53276697</c:v>
                </c:pt>
                <c:pt idx="21">
                  <c:v>53276697</c:v>
                </c:pt>
                <c:pt idx="22">
                  <c:v>53276697</c:v>
                </c:pt>
                <c:pt idx="23">
                  <c:v>53276697</c:v>
                </c:pt>
                <c:pt idx="24">
                  <c:v>53276697</c:v>
                </c:pt>
                <c:pt idx="25">
                  <c:v>53276697</c:v>
                </c:pt>
                <c:pt idx="26">
                  <c:v>53276697</c:v>
                </c:pt>
                <c:pt idx="27">
                  <c:v>53276697</c:v>
                </c:pt>
                <c:pt idx="28">
                  <c:v>53276697</c:v>
                </c:pt>
                <c:pt idx="29">
                  <c:v>53276697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9D-3147-BCD1-BA7E88CA3985}"/>
            </c:ext>
          </c:extLst>
        </c:ser>
        <c:ser>
          <c:idx val="2"/>
          <c:order val="2"/>
          <c:tx>
            <c:strRef>
              <c:f>charts!$B$23</c:f>
              <c:strCache>
                <c:ptCount val="1"/>
                <c:pt idx="0">
                  <c:v>Alimentação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charts!$C$23:$AF$23</c:f>
              <c:numCache>
                <c:formatCode>General</c:formatCode>
                <c:ptCount val="30"/>
                <c:pt idx="0">
                  <c:v>0</c:v>
                </c:pt>
                <c:pt idx="1">
                  <c:v>11991650</c:v>
                </c:pt>
                <c:pt idx="2">
                  <c:v>12405225</c:v>
                </c:pt>
                <c:pt idx="3">
                  <c:v>12805925</c:v>
                </c:pt>
                <c:pt idx="4">
                  <c:v>13212925</c:v>
                </c:pt>
                <c:pt idx="5">
                  <c:v>13627025</c:v>
                </c:pt>
                <c:pt idx="6">
                  <c:v>14052800</c:v>
                </c:pt>
                <c:pt idx="7">
                  <c:v>14491050</c:v>
                </c:pt>
                <c:pt idx="8">
                  <c:v>14937300</c:v>
                </c:pt>
                <c:pt idx="9">
                  <c:v>15391825</c:v>
                </c:pt>
                <c:pt idx="10">
                  <c:v>15860525</c:v>
                </c:pt>
                <c:pt idx="11">
                  <c:v>16343250</c:v>
                </c:pt>
                <c:pt idx="12">
                  <c:v>16841475</c:v>
                </c:pt>
                <c:pt idx="13">
                  <c:v>17354800</c:v>
                </c:pt>
                <c:pt idx="14">
                  <c:v>17883475</c:v>
                </c:pt>
                <c:pt idx="15">
                  <c:v>18426575</c:v>
                </c:pt>
                <c:pt idx="16">
                  <c:v>18983600</c:v>
                </c:pt>
                <c:pt idx="17">
                  <c:v>19552450</c:v>
                </c:pt>
                <c:pt idx="18">
                  <c:v>20131775</c:v>
                </c:pt>
                <c:pt idx="19">
                  <c:v>20718725</c:v>
                </c:pt>
                <c:pt idx="20">
                  <c:v>20718725</c:v>
                </c:pt>
                <c:pt idx="21">
                  <c:v>20718725</c:v>
                </c:pt>
                <c:pt idx="22">
                  <c:v>20718725</c:v>
                </c:pt>
                <c:pt idx="23">
                  <c:v>20718725</c:v>
                </c:pt>
                <c:pt idx="24">
                  <c:v>20718725</c:v>
                </c:pt>
                <c:pt idx="25">
                  <c:v>20718725</c:v>
                </c:pt>
                <c:pt idx="26">
                  <c:v>20718725</c:v>
                </c:pt>
                <c:pt idx="27">
                  <c:v>20718725</c:v>
                </c:pt>
                <c:pt idx="28">
                  <c:v>20718725</c:v>
                </c:pt>
                <c:pt idx="29">
                  <c:v>20718725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9D-3147-BCD1-BA7E88CA3985}"/>
            </c:ext>
          </c:extLst>
        </c:ser>
        <c:ser>
          <c:idx val="3"/>
          <c:order val="3"/>
          <c:tx>
            <c:strRef>
              <c:f>charts!$B$24</c:f>
              <c:strCache>
                <c:ptCount val="1"/>
                <c:pt idx="0">
                  <c:v>Comércio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charts!$C$24:$AF$24</c:f>
              <c:numCache>
                <c:formatCode>General</c:formatCode>
                <c:ptCount val="30"/>
                <c:pt idx="0">
                  <c:v>0</c:v>
                </c:pt>
                <c:pt idx="1">
                  <c:v>4339695</c:v>
                </c:pt>
                <c:pt idx="2">
                  <c:v>4489605</c:v>
                </c:pt>
                <c:pt idx="3">
                  <c:v>4634385</c:v>
                </c:pt>
                <c:pt idx="4">
                  <c:v>4781730</c:v>
                </c:pt>
                <c:pt idx="5">
                  <c:v>4931640</c:v>
                </c:pt>
                <c:pt idx="6">
                  <c:v>5085825</c:v>
                </c:pt>
                <c:pt idx="7">
                  <c:v>5244285</c:v>
                </c:pt>
                <c:pt idx="8">
                  <c:v>5405880</c:v>
                </c:pt>
                <c:pt idx="9">
                  <c:v>5570325</c:v>
                </c:pt>
                <c:pt idx="10">
                  <c:v>5739900</c:v>
                </c:pt>
                <c:pt idx="11">
                  <c:v>5914605</c:v>
                </c:pt>
                <c:pt idx="12">
                  <c:v>6095010</c:v>
                </c:pt>
                <c:pt idx="13">
                  <c:v>6280830</c:v>
                </c:pt>
                <c:pt idx="14">
                  <c:v>6472065</c:v>
                </c:pt>
                <c:pt idx="15">
                  <c:v>6668715</c:v>
                </c:pt>
                <c:pt idx="16">
                  <c:v>6870210</c:v>
                </c:pt>
                <c:pt idx="17">
                  <c:v>7076265</c:v>
                </c:pt>
                <c:pt idx="18">
                  <c:v>7285740</c:v>
                </c:pt>
                <c:pt idx="19">
                  <c:v>7498065</c:v>
                </c:pt>
                <c:pt idx="20">
                  <c:v>7498065</c:v>
                </c:pt>
                <c:pt idx="21">
                  <c:v>7498065</c:v>
                </c:pt>
                <c:pt idx="22">
                  <c:v>7498065</c:v>
                </c:pt>
                <c:pt idx="23">
                  <c:v>7498065</c:v>
                </c:pt>
                <c:pt idx="24">
                  <c:v>7498065</c:v>
                </c:pt>
                <c:pt idx="25">
                  <c:v>7498065</c:v>
                </c:pt>
                <c:pt idx="26">
                  <c:v>7498065</c:v>
                </c:pt>
                <c:pt idx="27">
                  <c:v>7498065</c:v>
                </c:pt>
                <c:pt idx="28">
                  <c:v>7498065</c:v>
                </c:pt>
                <c:pt idx="29">
                  <c:v>7498065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9D-3147-BCD1-BA7E88CA3985}"/>
            </c:ext>
          </c:extLst>
        </c:ser>
        <c:ser>
          <c:idx val="4"/>
          <c:order val="4"/>
          <c:tx>
            <c:strRef>
              <c:f>charts!$B$25</c:f>
              <c:strCache>
                <c:ptCount val="1"/>
                <c:pt idx="0">
                  <c:v>Estacionamento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charts!$C$25:$AF$25</c:f>
              <c:numCache>
                <c:formatCode>General</c:formatCode>
                <c:ptCount val="30"/>
                <c:pt idx="0">
                  <c:v>0</c:v>
                </c:pt>
                <c:pt idx="1">
                  <c:v>1233414</c:v>
                </c:pt>
                <c:pt idx="2">
                  <c:v>1275966</c:v>
                </c:pt>
                <c:pt idx="3">
                  <c:v>1317168</c:v>
                </c:pt>
                <c:pt idx="4">
                  <c:v>1359018</c:v>
                </c:pt>
                <c:pt idx="5">
                  <c:v>1401624</c:v>
                </c:pt>
                <c:pt idx="6">
                  <c:v>1445418</c:v>
                </c:pt>
                <c:pt idx="7">
                  <c:v>1490508</c:v>
                </c:pt>
                <c:pt idx="8">
                  <c:v>1536408</c:v>
                </c:pt>
                <c:pt idx="9">
                  <c:v>1583172</c:v>
                </c:pt>
                <c:pt idx="10">
                  <c:v>1631394</c:v>
                </c:pt>
                <c:pt idx="11">
                  <c:v>1681020</c:v>
                </c:pt>
                <c:pt idx="12">
                  <c:v>1732266</c:v>
                </c:pt>
                <c:pt idx="13">
                  <c:v>1785078</c:v>
                </c:pt>
                <c:pt idx="14">
                  <c:v>1839456</c:v>
                </c:pt>
                <c:pt idx="15">
                  <c:v>1895292</c:v>
                </c:pt>
                <c:pt idx="16">
                  <c:v>1952586</c:v>
                </c:pt>
                <c:pt idx="17">
                  <c:v>2011122</c:v>
                </c:pt>
                <c:pt idx="18">
                  <c:v>2070684</c:v>
                </c:pt>
                <c:pt idx="19">
                  <c:v>2131056</c:v>
                </c:pt>
                <c:pt idx="20">
                  <c:v>2131056</c:v>
                </c:pt>
                <c:pt idx="21">
                  <c:v>2131056</c:v>
                </c:pt>
                <c:pt idx="22">
                  <c:v>2131056</c:v>
                </c:pt>
                <c:pt idx="23">
                  <c:v>2131056</c:v>
                </c:pt>
                <c:pt idx="24">
                  <c:v>2131056</c:v>
                </c:pt>
                <c:pt idx="25">
                  <c:v>2131056</c:v>
                </c:pt>
                <c:pt idx="26">
                  <c:v>2131056</c:v>
                </c:pt>
                <c:pt idx="27">
                  <c:v>2131056</c:v>
                </c:pt>
                <c:pt idx="28">
                  <c:v>2131056</c:v>
                </c:pt>
                <c:pt idx="29">
                  <c:v>2131056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9D-3147-BCD1-BA7E88CA3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53640360"/>
        <c:axId val="853649376"/>
      </c:barChart>
      <c:catAx>
        <c:axId val="853640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49376"/>
        <c:crosses val="autoZero"/>
        <c:auto val="1"/>
        <c:lblAlgn val="ctr"/>
        <c:lblOffset val="100"/>
        <c:noMultiLvlLbl val="0"/>
      </c:catAx>
      <c:valAx>
        <c:axId val="85364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364036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347661</xdr:colOff>
      <xdr:row>1</xdr:row>
      <xdr:rowOff>104774</xdr:rowOff>
    </xdr:from>
    <xdr:to>
      <xdr:col>14</xdr:col>
      <xdr:colOff>590550</xdr:colOff>
      <xdr:row>22</xdr:row>
      <xdr:rowOff>171449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657225</xdr:colOff>
      <xdr:row>17</xdr:row>
      <xdr:rowOff>137640</xdr:rowOff>
    </xdr:from>
    <xdr:to>
      <xdr:col>8</xdr:col>
      <xdr:colOff>68332</xdr:colOff>
      <xdr:row>38</xdr:row>
      <xdr:rowOff>115191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3B116E5-3105-AAF4-6332-B89C34EAE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7225" y="3499965"/>
          <a:ext cx="8086725" cy="39780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336550</xdr:colOff>
      <xdr:row>53</xdr:row>
      <xdr:rowOff>158750</xdr:rowOff>
    </xdr:from>
    <xdr:to>
      <xdr:col>31</xdr:col>
      <xdr:colOff>4908550</xdr:colOff>
      <xdr:row>68</xdr:row>
      <xdr:rowOff>44450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E73BA2-CC61-0044-A23C-9F355E9F91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121</xdr:col>
      <xdr:colOff>347661</xdr:colOff>
      <xdr:row>13</xdr:row>
      <xdr:rowOff>95249</xdr:rowOff>
    </xdr:from>
    <xdr:to>
      <xdr:col>129</xdr:col>
      <xdr:colOff>352424</xdr:colOff>
      <xdr:row>27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101</xdr:col>
      <xdr:colOff>341311</xdr:colOff>
      <xdr:row>21</xdr:row>
      <xdr:rowOff>152400</xdr:rowOff>
    </xdr:from>
    <xdr:to>
      <xdr:col>109</xdr:col>
      <xdr:colOff>650874</xdr:colOff>
      <xdr:row>40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400050</xdr:colOff>
      <xdr:row>82</xdr:row>
      <xdr:rowOff>139700</xdr:rowOff>
    </xdr:from>
    <xdr:to>
      <xdr:col>28</xdr:col>
      <xdr:colOff>647700</xdr:colOff>
      <xdr:row>102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25298E-69F7-5C82-DCB2-C98FC1BE5C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1231900</xdr:colOff>
      <xdr:row>103</xdr:row>
      <xdr:rowOff>139700</xdr:rowOff>
    </xdr:from>
    <xdr:to>
      <xdr:col>6</xdr:col>
      <xdr:colOff>584200</xdr:colOff>
      <xdr:row>122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EBADDC8-BF57-BF48-06F9-F8DA0B7597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24</xdr:row>
      <xdr:rowOff>0</xdr:rowOff>
    </xdr:from>
    <xdr:ext cx="304800" cy="352425"/>
    <xdr:sp macro="" textlink="">
      <xdr:nvSpPr>
        <xdr:cNvPr id="4" name="Shape 4" descr="pm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5193600" y="3608550"/>
          <a:ext cx="30480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26</xdr:row>
      <xdr:rowOff>0</xdr:rowOff>
    </xdr:from>
    <xdr:ext cx="304800" cy="352425"/>
    <xdr:sp macro="" textlink="">
      <xdr:nvSpPr>
        <xdr:cNvPr id="2" name="Shape 4" descr="pm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5193600" y="3608550"/>
          <a:ext cx="30480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24</xdr:row>
      <xdr:rowOff>0</xdr:rowOff>
    </xdr:from>
    <xdr:ext cx="314325" cy="323850"/>
    <xdr:sp macro="" textlink="">
      <xdr:nvSpPr>
        <xdr:cNvPr id="5" name="Shape 5" descr="pm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5193600" y="3619980"/>
          <a:ext cx="304800" cy="32004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</xdr:col>
      <xdr:colOff>0</xdr:colOff>
      <xdr:row>26</xdr:row>
      <xdr:rowOff>0</xdr:rowOff>
    </xdr:from>
    <xdr:ext cx="314325" cy="352425"/>
    <xdr:sp macro="" textlink="">
      <xdr:nvSpPr>
        <xdr:cNvPr id="6" name="Shape 6" descr="pm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0</xdr:colOff>
      <xdr:row>26</xdr:row>
      <xdr:rowOff>0</xdr:rowOff>
    </xdr:from>
    <xdr:ext cx="314325" cy="352425"/>
    <xdr:sp macro="" textlink="">
      <xdr:nvSpPr>
        <xdr:cNvPr id="3" name="Shape 6" descr="pm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26</xdr:row>
      <xdr:rowOff>0</xdr:rowOff>
    </xdr:from>
    <xdr:ext cx="314325" cy="352425"/>
    <xdr:sp macro="" textlink="">
      <xdr:nvSpPr>
        <xdr:cNvPr id="7" name="Shape 6" descr="pm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0</xdr:colOff>
      <xdr:row>26</xdr:row>
      <xdr:rowOff>0</xdr:rowOff>
    </xdr:from>
    <xdr:ext cx="314325" cy="352425"/>
    <xdr:sp macro="" textlink="">
      <xdr:nvSpPr>
        <xdr:cNvPr id="8" name="Shape 6" descr="pm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0</xdr:colOff>
      <xdr:row>26</xdr:row>
      <xdr:rowOff>0</xdr:rowOff>
    </xdr:from>
    <xdr:ext cx="314325" cy="352425"/>
    <xdr:sp macro="" textlink="">
      <xdr:nvSpPr>
        <xdr:cNvPr id="9" name="Shape 6" descr="pm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26</xdr:row>
      <xdr:rowOff>0</xdr:rowOff>
    </xdr:from>
    <xdr:ext cx="314325" cy="352425"/>
    <xdr:sp macro="" textlink="">
      <xdr:nvSpPr>
        <xdr:cNvPr id="10" name="Shape 6" descr="pm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0</xdr:colOff>
      <xdr:row>26</xdr:row>
      <xdr:rowOff>0</xdr:rowOff>
    </xdr:from>
    <xdr:ext cx="314325" cy="352425"/>
    <xdr:sp macro="" textlink="">
      <xdr:nvSpPr>
        <xdr:cNvPr id="11" name="Shape 6" descr="pm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0</xdr:colOff>
      <xdr:row>26</xdr:row>
      <xdr:rowOff>0</xdr:rowOff>
    </xdr:from>
    <xdr:ext cx="314325" cy="352425"/>
    <xdr:sp macro="" textlink="">
      <xdr:nvSpPr>
        <xdr:cNvPr id="12" name="Shape 6" descr="pm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11</xdr:col>
      <xdr:colOff>0</xdr:colOff>
      <xdr:row>26</xdr:row>
      <xdr:rowOff>0</xdr:rowOff>
    </xdr:from>
    <xdr:ext cx="314325" cy="352425"/>
    <xdr:sp macro="" textlink="">
      <xdr:nvSpPr>
        <xdr:cNvPr id="13" name="Shape 6" descr="pm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26</xdr:row>
      <xdr:rowOff>0</xdr:rowOff>
    </xdr:from>
    <xdr:ext cx="314325" cy="352425"/>
    <xdr:sp macro="" textlink="">
      <xdr:nvSpPr>
        <xdr:cNvPr id="14" name="Shape 6" descr="pm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13</xdr:col>
      <xdr:colOff>0</xdr:colOff>
      <xdr:row>26</xdr:row>
      <xdr:rowOff>0</xdr:rowOff>
    </xdr:from>
    <xdr:ext cx="314325" cy="352425"/>
    <xdr:sp macro="" textlink="">
      <xdr:nvSpPr>
        <xdr:cNvPr id="15" name="Shape 6" descr="pm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26</xdr:row>
      <xdr:rowOff>0</xdr:rowOff>
    </xdr:from>
    <xdr:ext cx="314325" cy="352425"/>
    <xdr:sp macro="" textlink="">
      <xdr:nvSpPr>
        <xdr:cNvPr id="16" name="Shape 6" descr="pm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15</xdr:col>
      <xdr:colOff>0</xdr:colOff>
      <xdr:row>26</xdr:row>
      <xdr:rowOff>0</xdr:rowOff>
    </xdr:from>
    <xdr:ext cx="314325" cy="352425"/>
    <xdr:sp macro="" textlink="">
      <xdr:nvSpPr>
        <xdr:cNvPr id="17" name="Shape 6" descr="pm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16</xdr:col>
      <xdr:colOff>0</xdr:colOff>
      <xdr:row>26</xdr:row>
      <xdr:rowOff>0</xdr:rowOff>
    </xdr:from>
    <xdr:ext cx="314325" cy="352425"/>
    <xdr:sp macro="" textlink="">
      <xdr:nvSpPr>
        <xdr:cNvPr id="18" name="Shape 6" descr="pm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17</xdr:col>
      <xdr:colOff>0</xdr:colOff>
      <xdr:row>26</xdr:row>
      <xdr:rowOff>0</xdr:rowOff>
    </xdr:from>
    <xdr:ext cx="314325" cy="352425"/>
    <xdr:sp macro="" textlink="">
      <xdr:nvSpPr>
        <xdr:cNvPr id="19" name="Shape 6" descr="pm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18</xdr:col>
      <xdr:colOff>0</xdr:colOff>
      <xdr:row>26</xdr:row>
      <xdr:rowOff>0</xdr:rowOff>
    </xdr:from>
    <xdr:ext cx="314325" cy="352425"/>
    <xdr:sp macro="" textlink="">
      <xdr:nvSpPr>
        <xdr:cNvPr id="20" name="Shape 6" descr="pm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19</xdr:col>
      <xdr:colOff>0</xdr:colOff>
      <xdr:row>26</xdr:row>
      <xdr:rowOff>0</xdr:rowOff>
    </xdr:from>
    <xdr:ext cx="314325" cy="352425"/>
    <xdr:sp macro="" textlink="">
      <xdr:nvSpPr>
        <xdr:cNvPr id="21" name="Shape 6" descr="pm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20</xdr:col>
      <xdr:colOff>0</xdr:colOff>
      <xdr:row>26</xdr:row>
      <xdr:rowOff>0</xdr:rowOff>
    </xdr:from>
    <xdr:ext cx="314325" cy="352425"/>
    <xdr:sp macro="" textlink="">
      <xdr:nvSpPr>
        <xdr:cNvPr id="22" name="Shape 6" descr="pm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21</xdr:col>
      <xdr:colOff>0</xdr:colOff>
      <xdr:row>26</xdr:row>
      <xdr:rowOff>0</xdr:rowOff>
    </xdr:from>
    <xdr:ext cx="314325" cy="352425"/>
    <xdr:sp macro="" textlink="">
      <xdr:nvSpPr>
        <xdr:cNvPr id="23" name="Shape 6" descr="pm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0</xdr:colOff>
      <xdr:row>26</xdr:row>
      <xdr:rowOff>0</xdr:rowOff>
    </xdr:from>
    <xdr:ext cx="314325" cy="352425"/>
    <xdr:sp macro="" textlink="">
      <xdr:nvSpPr>
        <xdr:cNvPr id="24" name="Shape 6" descr="pm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0</xdr:colOff>
      <xdr:row>26</xdr:row>
      <xdr:rowOff>0</xdr:rowOff>
    </xdr:from>
    <xdr:ext cx="314325" cy="352425"/>
    <xdr:sp macro="" textlink="">
      <xdr:nvSpPr>
        <xdr:cNvPr id="25" name="Shape 6" descr="pm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26</xdr:row>
      <xdr:rowOff>0</xdr:rowOff>
    </xdr:from>
    <xdr:ext cx="314325" cy="352425"/>
    <xdr:sp macro="" textlink="">
      <xdr:nvSpPr>
        <xdr:cNvPr id="26" name="Shape 6" descr="pm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0</xdr:colOff>
      <xdr:row>26</xdr:row>
      <xdr:rowOff>0</xdr:rowOff>
    </xdr:from>
    <xdr:ext cx="314325" cy="352425"/>
    <xdr:sp macro="" textlink="">
      <xdr:nvSpPr>
        <xdr:cNvPr id="27" name="Shape 6" descr="pm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0</xdr:colOff>
      <xdr:row>26</xdr:row>
      <xdr:rowOff>0</xdr:rowOff>
    </xdr:from>
    <xdr:ext cx="314325" cy="352425"/>
    <xdr:sp macro="" textlink="">
      <xdr:nvSpPr>
        <xdr:cNvPr id="28" name="Shape 6" descr="pm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26</xdr:row>
      <xdr:rowOff>0</xdr:rowOff>
    </xdr:from>
    <xdr:ext cx="314325" cy="352425"/>
    <xdr:sp macro="" textlink="">
      <xdr:nvSpPr>
        <xdr:cNvPr id="29" name="Shape 6" descr="pm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0</xdr:colOff>
      <xdr:row>26</xdr:row>
      <xdr:rowOff>0</xdr:rowOff>
    </xdr:from>
    <xdr:ext cx="314325" cy="352425"/>
    <xdr:sp macro="" textlink="">
      <xdr:nvSpPr>
        <xdr:cNvPr id="30" name="Shape 6" descr="pm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0</xdr:colOff>
      <xdr:row>26</xdr:row>
      <xdr:rowOff>0</xdr:rowOff>
    </xdr:from>
    <xdr:ext cx="314325" cy="352425"/>
    <xdr:sp macro="" textlink="">
      <xdr:nvSpPr>
        <xdr:cNvPr id="31" name="Shape 6" descr="pm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11</xdr:col>
      <xdr:colOff>0</xdr:colOff>
      <xdr:row>26</xdr:row>
      <xdr:rowOff>0</xdr:rowOff>
    </xdr:from>
    <xdr:ext cx="314325" cy="352425"/>
    <xdr:sp macro="" textlink="">
      <xdr:nvSpPr>
        <xdr:cNvPr id="32" name="Shape 6" descr="pm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26</xdr:row>
      <xdr:rowOff>0</xdr:rowOff>
    </xdr:from>
    <xdr:ext cx="314325" cy="352425"/>
    <xdr:sp macro="" textlink="">
      <xdr:nvSpPr>
        <xdr:cNvPr id="33" name="Shape 6" descr="pm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13</xdr:col>
      <xdr:colOff>0</xdr:colOff>
      <xdr:row>26</xdr:row>
      <xdr:rowOff>0</xdr:rowOff>
    </xdr:from>
    <xdr:ext cx="314325" cy="352425"/>
    <xdr:sp macro="" textlink="">
      <xdr:nvSpPr>
        <xdr:cNvPr id="34" name="Shape 6" descr="pm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26</xdr:row>
      <xdr:rowOff>0</xdr:rowOff>
    </xdr:from>
    <xdr:ext cx="314325" cy="352425"/>
    <xdr:sp macro="" textlink="">
      <xdr:nvSpPr>
        <xdr:cNvPr id="35" name="Shape 6" descr="pm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15</xdr:col>
      <xdr:colOff>0</xdr:colOff>
      <xdr:row>26</xdr:row>
      <xdr:rowOff>0</xdr:rowOff>
    </xdr:from>
    <xdr:ext cx="314325" cy="352425"/>
    <xdr:sp macro="" textlink="">
      <xdr:nvSpPr>
        <xdr:cNvPr id="36" name="Shape 6" descr="pm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16</xdr:col>
      <xdr:colOff>0</xdr:colOff>
      <xdr:row>26</xdr:row>
      <xdr:rowOff>0</xdr:rowOff>
    </xdr:from>
    <xdr:ext cx="314325" cy="352425"/>
    <xdr:sp macro="" textlink="">
      <xdr:nvSpPr>
        <xdr:cNvPr id="37" name="Shape 6" descr="pm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17</xdr:col>
      <xdr:colOff>0</xdr:colOff>
      <xdr:row>26</xdr:row>
      <xdr:rowOff>0</xdr:rowOff>
    </xdr:from>
    <xdr:ext cx="314325" cy="352425"/>
    <xdr:sp macro="" textlink="">
      <xdr:nvSpPr>
        <xdr:cNvPr id="38" name="Shape 6" descr="pm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18</xdr:col>
      <xdr:colOff>0</xdr:colOff>
      <xdr:row>26</xdr:row>
      <xdr:rowOff>0</xdr:rowOff>
    </xdr:from>
    <xdr:ext cx="314325" cy="352425"/>
    <xdr:sp macro="" textlink="">
      <xdr:nvSpPr>
        <xdr:cNvPr id="39" name="Shape 6" descr="pm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19</xdr:col>
      <xdr:colOff>0</xdr:colOff>
      <xdr:row>26</xdr:row>
      <xdr:rowOff>0</xdr:rowOff>
    </xdr:from>
    <xdr:ext cx="314325" cy="352425"/>
    <xdr:sp macro="" textlink="">
      <xdr:nvSpPr>
        <xdr:cNvPr id="40" name="Shape 6" descr="pm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20</xdr:col>
      <xdr:colOff>0</xdr:colOff>
      <xdr:row>26</xdr:row>
      <xdr:rowOff>0</xdr:rowOff>
    </xdr:from>
    <xdr:ext cx="314325" cy="352425"/>
    <xdr:sp macro="" textlink="">
      <xdr:nvSpPr>
        <xdr:cNvPr id="41" name="Shape 6" descr="pm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21</xdr:col>
      <xdr:colOff>0</xdr:colOff>
      <xdr:row>26</xdr:row>
      <xdr:rowOff>0</xdr:rowOff>
    </xdr:from>
    <xdr:ext cx="314325" cy="352425"/>
    <xdr:sp macro="" textlink="">
      <xdr:nvSpPr>
        <xdr:cNvPr id="42" name="Shape 6" descr="pm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22</xdr:col>
      <xdr:colOff>0</xdr:colOff>
      <xdr:row>26</xdr:row>
      <xdr:rowOff>0</xdr:rowOff>
    </xdr:from>
    <xdr:ext cx="314325" cy="352425"/>
    <xdr:sp macro="" textlink="">
      <xdr:nvSpPr>
        <xdr:cNvPr id="43" name="Shape 6" descr="pm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22</xdr:col>
      <xdr:colOff>0</xdr:colOff>
      <xdr:row>26</xdr:row>
      <xdr:rowOff>0</xdr:rowOff>
    </xdr:from>
    <xdr:ext cx="314325" cy="352425"/>
    <xdr:sp macro="" textlink="">
      <xdr:nvSpPr>
        <xdr:cNvPr id="44" name="Shape 6" descr="pm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23</xdr:col>
      <xdr:colOff>0</xdr:colOff>
      <xdr:row>26</xdr:row>
      <xdr:rowOff>0</xdr:rowOff>
    </xdr:from>
    <xdr:ext cx="314325" cy="352425"/>
    <xdr:sp macro="" textlink="">
      <xdr:nvSpPr>
        <xdr:cNvPr id="45" name="Shape 6" descr="pm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23</xdr:col>
      <xdr:colOff>0</xdr:colOff>
      <xdr:row>26</xdr:row>
      <xdr:rowOff>0</xdr:rowOff>
    </xdr:from>
    <xdr:ext cx="314325" cy="352425"/>
    <xdr:sp macro="" textlink="">
      <xdr:nvSpPr>
        <xdr:cNvPr id="46" name="Shape 6" descr="pm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24</xdr:col>
      <xdr:colOff>0</xdr:colOff>
      <xdr:row>26</xdr:row>
      <xdr:rowOff>0</xdr:rowOff>
    </xdr:from>
    <xdr:ext cx="314325" cy="352425"/>
    <xdr:sp macro="" textlink="">
      <xdr:nvSpPr>
        <xdr:cNvPr id="47" name="Shape 6" descr="pm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24</xdr:col>
      <xdr:colOff>0</xdr:colOff>
      <xdr:row>26</xdr:row>
      <xdr:rowOff>0</xdr:rowOff>
    </xdr:from>
    <xdr:ext cx="314325" cy="352425"/>
    <xdr:sp macro="" textlink="">
      <xdr:nvSpPr>
        <xdr:cNvPr id="48" name="Shape 6" descr="pm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25</xdr:col>
      <xdr:colOff>0</xdr:colOff>
      <xdr:row>26</xdr:row>
      <xdr:rowOff>0</xdr:rowOff>
    </xdr:from>
    <xdr:ext cx="314325" cy="352425"/>
    <xdr:sp macro="" textlink="">
      <xdr:nvSpPr>
        <xdr:cNvPr id="49" name="Shape 6" descr="pm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25</xdr:col>
      <xdr:colOff>0</xdr:colOff>
      <xdr:row>26</xdr:row>
      <xdr:rowOff>0</xdr:rowOff>
    </xdr:from>
    <xdr:ext cx="314325" cy="352425"/>
    <xdr:sp macro="" textlink="">
      <xdr:nvSpPr>
        <xdr:cNvPr id="50" name="Shape 6" descr="pm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26</xdr:col>
      <xdr:colOff>0</xdr:colOff>
      <xdr:row>26</xdr:row>
      <xdr:rowOff>0</xdr:rowOff>
    </xdr:from>
    <xdr:ext cx="314325" cy="352425"/>
    <xdr:sp macro="" textlink="">
      <xdr:nvSpPr>
        <xdr:cNvPr id="51" name="Shape 6" descr="pm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26</xdr:col>
      <xdr:colOff>0</xdr:colOff>
      <xdr:row>26</xdr:row>
      <xdr:rowOff>0</xdr:rowOff>
    </xdr:from>
    <xdr:ext cx="314325" cy="352425"/>
    <xdr:sp macro="" textlink="">
      <xdr:nvSpPr>
        <xdr:cNvPr id="52" name="Shape 6" descr="pm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27</xdr:col>
      <xdr:colOff>0</xdr:colOff>
      <xdr:row>26</xdr:row>
      <xdr:rowOff>0</xdr:rowOff>
    </xdr:from>
    <xdr:ext cx="314325" cy="352425"/>
    <xdr:sp macro="" textlink="">
      <xdr:nvSpPr>
        <xdr:cNvPr id="53" name="Shape 6" descr="pm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27</xdr:col>
      <xdr:colOff>0</xdr:colOff>
      <xdr:row>26</xdr:row>
      <xdr:rowOff>0</xdr:rowOff>
    </xdr:from>
    <xdr:ext cx="314325" cy="352425"/>
    <xdr:sp macro="" textlink="">
      <xdr:nvSpPr>
        <xdr:cNvPr id="54" name="Shape 6" descr="pm">
          <a:extLst>
            <a:ext uri="{FF2B5EF4-FFF2-40B4-BE49-F238E27FC236}">
              <a16:creationId xmlns:a16="http://schemas.microsoft.com/office/drawing/2014/main" id="{00000000-0008-0000-1400-000036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28</xdr:col>
      <xdr:colOff>0</xdr:colOff>
      <xdr:row>26</xdr:row>
      <xdr:rowOff>0</xdr:rowOff>
    </xdr:from>
    <xdr:ext cx="314325" cy="352425"/>
    <xdr:sp macro="" textlink="">
      <xdr:nvSpPr>
        <xdr:cNvPr id="55" name="Shape 6" descr="pm">
          <a:extLst>
            <a:ext uri="{FF2B5EF4-FFF2-40B4-BE49-F238E27FC236}">
              <a16:creationId xmlns:a16="http://schemas.microsoft.com/office/drawing/2014/main" id="{00000000-0008-0000-1400-000037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28</xdr:col>
      <xdr:colOff>0</xdr:colOff>
      <xdr:row>26</xdr:row>
      <xdr:rowOff>0</xdr:rowOff>
    </xdr:from>
    <xdr:ext cx="314325" cy="352425"/>
    <xdr:sp macro="" textlink="">
      <xdr:nvSpPr>
        <xdr:cNvPr id="56" name="Shape 6" descr="pm">
          <a:extLst>
            <a:ext uri="{FF2B5EF4-FFF2-40B4-BE49-F238E27FC236}">
              <a16:creationId xmlns:a16="http://schemas.microsoft.com/office/drawing/2014/main" id="{00000000-0008-0000-1400-000038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29</xdr:col>
      <xdr:colOff>0</xdr:colOff>
      <xdr:row>26</xdr:row>
      <xdr:rowOff>0</xdr:rowOff>
    </xdr:from>
    <xdr:ext cx="314325" cy="352425"/>
    <xdr:sp macro="" textlink="">
      <xdr:nvSpPr>
        <xdr:cNvPr id="57" name="Shape 6" descr="pm">
          <a:extLst>
            <a:ext uri="{FF2B5EF4-FFF2-40B4-BE49-F238E27FC236}">
              <a16:creationId xmlns:a16="http://schemas.microsoft.com/office/drawing/2014/main" id="{00000000-0008-0000-1400-000039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29</xdr:col>
      <xdr:colOff>0</xdr:colOff>
      <xdr:row>26</xdr:row>
      <xdr:rowOff>0</xdr:rowOff>
    </xdr:from>
    <xdr:ext cx="314325" cy="352425"/>
    <xdr:sp macro="" textlink="">
      <xdr:nvSpPr>
        <xdr:cNvPr id="58" name="Shape 6" descr="pm">
          <a:extLst>
            <a:ext uri="{FF2B5EF4-FFF2-40B4-BE49-F238E27FC236}">
              <a16:creationId xmlns:a16="http://schemas.microsoft.com/office/drawing/2014/main" id="{00000000-0008-0000-1400-00003A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30</xdr:col>
      <xdr:colOff>0</xdr:colOff>
      <xdr:row>26</xdr:row>
      <xdr:rowOff>0</xdr:rowOff>
    </xdr:from>
    <xdr:ext cx="314325" cy="352425"/>
    <xdr:sp macro="" textlink="">
      <xdr:nvSpPr>
        <xdr:cNvPr id="59" name="Shape 6" descr="pm">
          <a:extLst>
            <a:ext uri="{FF2B5EF4-FFF2-40B4-BE49-F238E27FC236}">
              <a16:creationId xmlns:a16="http://schemas.microsoft.com/office/drawing/2014/main" id="{00000000-0008-0000-1400-00003B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30</xdr:col>
      <xdr:colOff>0</xdr:colOff>
      <xdr:row>26</xdr:row>
      <xdr:rowOff>0</xdr:rowOff>
    </xdr:from>
    <xdr:ext cx="314325" cy="352425"/>
    <xdr:sp macro="" textlink="">
      <xdr:nvSpPr>
        <xdr:cNvPr id="60" name="Shape 6" descr="pm">
          <a:extLst>
            <a:ext uri="{FF2B5EF4-FFF2-40B4-BE49-F238E27FC236}">
              <a16:creationId xmlns:a16="http://schemas.microsoft.com/office/drawing/2014/main" id="{00000000-0008-0000-1400-00003C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31</xdr:col>
      <xdr:colOff>0</xdr:colOff>
      <xdr:row>26</xdr:row>
      <xdr:rowOff>0</xdr:rowOff>
    </xdr:from>
    <xdr:ext cx="314325" cy="352425"/>
    <xdr:sp macro="" textlink="">
      <xdr:nvSpPr>
        <xdr:cNvPr id="61" name="Shape 6" descr="pm">
          <a:extLst>
            <a:ext uri="{FF2B5EF4-FFF2-40B4-BE49-F238E27FC236}">
              <a16:creationId xmlns:a16="http://schemas.microsoft.com/office/drawing/2014/main" id="{00000000-0008-0000-1400-00003D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31</xdr:col>
      <xdr:colOff>0</xdr:colOff>
      <xdr:row>26</xdr:row>
      <xdr:rowOff>0</xdr:rowOff>
    </xdr:from>
    <xdr:ext cx="314325" cy="352425"/>
    <xdr:sp macro="" textlink="">
      <xdr:nvSpPr>
        <xdr:cNvPr id="62" name="Shape 6" descr="pm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21</xdr:col>
      <xdr:colOff>0</xdr:colOff>
      <xdr:row>26</xdr:row>
      <xdr:rowOff>0</xdr:rowOff>
    </xdr:from>
    <xdr:ext cx="314325" cy="352425"/>
    <xdr:sp macro="" textlink="">
      <xdr:nvSpPr>
        <xdr:cNvPr id="63" name="Shape 6" descr="pm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21</xdr:col>
      <xdr:colOff>0</xdr:colOff>
      <xdr:row>26</xdr:row>
      <xdr:rowOff>0</xdr:rowOff>
    </xdr:from>
    <xdr:ext cx="314325" cy="352425"/>
    <xdr:sp macro="" textlink="">
      <xdr:nvSpPr>
        <xdr:cNvPr id="64" name="Shape 6" descr="pm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22</xdr:col>
      <xdr:colOff>0</xdr:colOff>
      <xdr:row>26</xdr:row>
      <xdr:rowOff>0</xdr:rowOff>
    </xdr:from>
    <xdr:ext cx="314325" cy="352425"/>
    <xdr:sp macro="" textlink="">
      <xdr:nvSpPr>
        <xdr:cNvPr id="65" name="Shape 6" descr="pm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22</xdr:col>
      <xdr:colOff>0</xdr:colOff>
      <xdr:row>26</xdr:row>
      <xdr:rowOff>0</xdr:rowOff>
    </xdr:from>
    <xdr:ext cx="314325" cy="352425"/>
    <xdr:sp macro="" textlink="">
      <xdr:nvSpPr>
        <xdr:cNvPr id="66" name="Shape 6" descr="pm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23</xdr:col>
      <xdr:colOff>0</xdr:colOff>
      <xdr:row>26</xdr:row>
      <xdr:rowOff>0</xdr:rowOff>
    </xdr:from>
    <xdr:ext cx="314325" cy="352425"/>
    <xdr:sp macro="" textlink="">
      <xdr:nvSpPr>
        <xdr:cNvPr id="67" name="Shape 6" descr="pm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23</xdr:col>
      <xdr:colOff>0</xdr:colOff>
      <xdr:row>26</xdr:row>
      <xdr:rowOff>0</xdr:rowOff>
    </xdr:from>
    <xdr:ext cx="314325" cy="352425"/>
    <xdr:sp macro="" textlink="">
      <xdr:nvSpPr>
        <xdr:cNvPr id="68" name="Shape 6" descr="pm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24</xdr:col>
      <xdr:colOff>0</xdr:colOff>
      <xdr:row>26</xdr:row>
      <xdr:rowOff>0</xdr:rowOff>
    </xdr:from>
    <xdr:ext cx="314325" cy="352425"/>
    <xdr:sp macro="" textlink="">
      <xdr:nvSpPr>
        <xdr:cNvPr id="69" name="Shape 6" descr="pm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24</xdr:col>
      <xdr:colOff>0</xdr:colOff>
      <xdr:row>26</xdr:row>
      <xdr:rowOff>0</xdr:rowOff>
    </xdr:from>
    <xdr:ext cx="314325" cy="352425"/>
    <xdr:sp macro="" textlink="">
      <xdr:nvSpPr>
        <xdr:cNvPr id="70" name="Shape 6" descr="pm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25</xdr:col>
      <xdr:colOff>0</xdr:colOff>
      <xdr:row>26</xdr:row>
      <xdr:rowOff>0</xdr:rowOff>
    </xdr:from>
    <xdr:ext cx="314325" cy="352425"/>
    <xdr:sp macro="" textlink="">
      <xdr:nvSpPr>
        <xdr:cNvPr id="71" name="Shape 6" descr="pm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25</xdr:col>
      <xdr:colOff>0</xdr:colOff>
      <xdr:row>26</xdr:row>
      <xdr:rowOff>0</xdr:rowOff>
    </xdr:from>
    <xdr:ext cx="314325" cy="352425"/>
    <xdr:sp macro="" textlink="">
      <xdr:nvSpPr>
        <xdr:cNvPr id="72" name="Shape 6" descr="pm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26</xdr:col>
      <xdr:colOff>0</xdr:colOff>
      <xdr:row>26</xdr:row>
      <xdr:rowOff>0</xdr:rowOff>
    </xdr:from>
    <xdr:ext cx="314325" cy="352425"/>
    <xdr:sp macro="" textlink="">
      <xdr:nvSpPr>
        <xdr:cNvPr id="73" name="Shape 6" descr="pm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26</xdr:col>
      <xdr:colOff>0</xdr:colOff>
      <xdr:row>26</xdr:row>
      <xdr:rowOff>0</xdr:rowOff>
    </xdr:from>
    <xdr:ext cx="314325" cy="352425"/>
    <xdr:sp macro="" textlink="">
      <xdr:nvSpPr>
        <xdr:cNvPr id="74" name="Shape 6" descr="pm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27</xdr:col>
      <xdr:colOff>0</xdr:colOff>
      <xdr:row>26</xdr:row>
      <xdr:rowOff>0</xdr:rowOff>
    </xdr:from>
    <xdr:ext cx="314325" cy="352425"/>
    <xdr:sp macro="" textlink="">
      <xdr:nvSpPr>
        <xdr:cNvPr id="75" name="Shape 6" descr="pm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27</xdr:col>
      <xdr:colOff>0</xdr:colOff>
      <xdr:row>26</xdr:row>
      <xdr:rowOff>0</xdr:rowOff>
    </xdr:from>
    <xdr:ext cx="314325" cy="352425"/>
    <xdr:sp macro="" textlink="">
      <xdr:nvSpPr>
        <xdr:cNvPr id="76" name="Shape 6" descr="pm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28</xdr:col>
      <xdr:colOff>0</xdr:colOff>
      <xdr:row>26</xdr:row>
      <xdr:rowOff>0</xdr:rowOff>
    </xdr:from>
    <xdr:ext cx="314325" cy="352425"/>
    <xdr:sp macro="" textlink="">
      <xdr:nvSpPr>
        <xdr:cNvPr id="77" name="Shape 6" descr="pm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28</xdr:col>
      <xdr:colOff>0</xdr:colOff>
      <xdr:row>26</xdr:row>
      <xdr:rowOff>0</xdr:rowOff>
    </xdr:from>
    <xdr:ext cx="314325" cy="352425"/>
    <xdr:sp macro="" textlink="">
      <xdr:nvSpPr>
        <xdr:cNvPr id="78" name="Shape 6" descr="pm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29</xdr:col>
      <xdr:colOff>0</xdr:colOff>
      <xdr:row>26</xdr:row>
      <xdr:rowOff>0</xdr:rowOff>
    </xdr:from>
    <xdr:ext cx="314325" cy="352425"/>
    <xdr:sp macro="" textlink="">
      <xdr:nvSpPr>
        <xdr:cNvPr id="79" name="Shape 6" descr="pm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29</xdr:col>
      <xdr:colOff>0</xdr:colOff>
      <xdr:row>26</xdr:row>
      <xdr:rowOff>0</xdr:rowOff>
    </xdr:from>
    <xdr:ext cx="314325" cy="352425"/>
    <xdr:sp macro="" textlink="">
      <xdr:nvSpPr>
        <xdr:cNvPr id="80" name="Shape 6" descr="pm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30</xdr:col>
      <xdr:colOff>0</xdr:colOff>
      <xdr:row>26</xdr:row>
      <xdr:rowOff>0</xdr:rowOff>
    </xdr:from>
    <xdr:ext cx="314325" cy="352425"/>
    <xdr:sp macro="" textlink="">
      <xdr:nvSpPr>
        <xdr:cNvPr id="81" name="Shape 6" descr="pm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30</xdr:col>
      <xdr:colOff>0</xdr:colOff>
      <xdr:row>26</xdr:row>
      <xdr:rowOff>0</xdr:rowOff>
    </xdr:from>
    <xdr:ext cx="314325" cy="352425"/>
    <xdr:sp macro="" textlink="">
      <xdr:nvSpPr>
        <xdr:cNvPr id="82" name="Shape 6" descr="pm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24</xdr:row>
      <xdr:rowOff>0</xdr:rowOff>
    </xdr:from>
    <xdr:ext cx="304800" cy="352425"/>
    <xdr:sp macro="" textlink="">
      <xdr:nvSpPr>
        <xdr:cNvPr id="83" name="Shape 4" descr="pm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SpPr/>
      </xdr:nvSpPr>
      <xdr:spPr>
        <a:xfrm>
          <a:off x="5193600" y="3608550"/>
          <a:ext cx="30480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26</xdr:row>
      <xdr:rowOff>0</xdr:rowOff>
    </xdr:from>
    <xdr:ext cx="304800" cy="352425"/>
    <xdr:sp macro="" textlink="">
      <xdr:nvSpPr>
        <xdr:cNvPr id="84" name="Shape 4" descr="pm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SpPr/>
      </xdr:nvSpPr>
      <xdr:spPr>
        <a:xfrm>
          <a:off x="5193600" y="3608550"/>
          <a:ext cx="304800" cy="3429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0</xdr:colOff>
      <xdr:row>24</xdr:row>
      <xdr:rowOff>0</xdr:rowOff>
    </xdr:from>
    <xdr:ext cx="314325" cy="323850"/>
    <xdr:sp macro="" textlink="">
      <xdr:nvSpPr>
        <xdr:cNvPr id="85" name="Shape 5" descr="pm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SpPr/>
      </xdr:nvSpPr>
      <xdr:spPr>
        <a:xfrm>
          <a:off x="5193600" y="3619980"/>
          <a:ext cx="304800" cy="32004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0</xdr:colOff>
      <xdr:row>26</xdr:row>
      <xdr:rowOff>0</xdr:rowOff>
    </xdr:from>
    <xdr:ext cx="314325" cy="352425"/>
    <xdr:sp macro="" textlink="">
      <xdr:nvSpPr>
        <xdr:cNvPr id="86" name="Shape 6" descr="pm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26</xdr:row>
      <xdr:rowOff>0</xdr:rowOff>
    </xdr:from>
    <xdr:ext cx="314325" cy="352425"/>
    <xdr:sp macro="" textlink="">
      <xdr:nvSpPr>
        <xdr:cNvPr id="87" name="Shape 6" descr="pm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0</xdr:colOff>
      <xdr:row>26</xdr:row>
      <xdr:rowOff>0</xdr:rowOff>
    </xdr:from>
    <xdr:ext cx="314325" cy="352425"/>
    <xdr:sp macro="" textlink="">
      <xdr:nvSpPr>
        <xdr:cNvPr id="88" name="Shape 6" descr="pm">
          <a:extLst>
            <a:ext uri="{FF2B5EF4-FFF2-40B4-BE49-F238E27FC236}">
              <a16:creationId xmlns:a16="http://schemas.microsoft.com/office/drawing/2014/main" id="{00000000-0008-0000-1400-000058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0</xdr:colOff>
      <xdr:row>26</xdr:row>
      <xdr:rowOff>0</xdr:rowOff>
    </xdr:from>
    <xdr:ext cx="314325" cy="352425"/>
    <xdr:sp macro="" textlink="">
      <xdr:nvSpPr>
        <xdr:cNvPr id="89" name="Shape 6" descr="pm">
          <a:extLst>
            <a:ext uri="{FF2B5EF4-FFF2-40B4-BE49-F238E27FC236}">
              <a16:creationId xmlns:a16="http://schemas.microsoft.com/office/drawing/2014/main" id="{00000000-0008-0000-1400-000059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26</xdr:row>
      <xdr:rowOff>0</xdr:rowOff>
    </xdr:from>
    <xdr:ext cx="314325" cy="352425"/>
    <xdr:sp macro="" textlink="">
      <xdr:nvSpPr>
        <xdr:cNvPr id="90" name="Shape 6" descr="pm">
          <a:extLst>
            <a:ext uri="{FF2B5EF4-FFF2-40B4-BE49-F238E27FC236}">
              <a16:creationId xmlns:a16="http://schemas.microsoft.com/office/drawing/2014/main" id="{00000000-0008-0000-1400-00005A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0</xdr:colOff>
      <xdr:row>26</xdr:row>
      <xdr:rowOff>0</xdr:rowOff>
    </xdr:from>
    <xdr:ext cx="314325" cy="352425"/>
    <xdr:sp macro="" textlink="">
      <xdr:nvSpPr>
        <xdr:cNvPr id="91" name="Shape 6" descr="pm">
          <a:extLst>
            <a:ext uri="{FF2B5EF4-FFF2-40B4-BE49-F238E27FC236}">
              <a16:creationId xmlns:a16="http://schemas.microsoft.com/office/drawing/2014/main" id="{00000000-0008-0000-1400-00005B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0</xdr:colOff>
      <xdr:row>26</xdr:row>
      <xdr:rowOff>0</xdr:rowOff>
    </xdr:from>
    <xdr:ext cx="314325" cy="352425"/>
    <xdr:sp macro="" textlink="">
      <xdr:nvSpPr>
        <xdr:cNvPr id="92" name="Shape 6" descr="pm">
          <a:extLst>
            <a:ext uri="{FF2B5EF4-FFF2-40B4-BE49-F238E27FC236}">
              <a16:creationId xmlns:a16="http://schemas.microsoft.com/office/drawing/2014/main" id="{00000000-0008-0000-1400-00005C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11</xdr:col>
      <xdr:colOff>0</xdr:colOff>
      <xdr:row>26</xdr:row>
      <xdr:rowOff>0</xdr:rowOff>
    </xdr:from>
    <xdr:ext cx="314325" cy="352425"/>
    <xdr:sp macro="" textlink="">
      <xdr:nvSpPr>
        <xdr:cNvPr id="93" name="Shape 6" descr="pm">
          <a:extLst>
            <a:ext uri="{FF2B5EF4-FFF2-40B4-BE49-F238E27FC236}">
              <a16:creationId xmlns:a16="http://schemas.microsoft.com/office/drawing/2014/main" id="{00000000-0008-0000-1400-00005D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26</xdr:row>
      <xdr:rowOff>0</xdr:rowOff>
    </xdr:from>
    <xdr:ext cx="314325" cy="352425"/>
    <xdr:sp macro="" textlink="">
      <xdr:nvSpPr>
        <xdr:cNvPr id="94" name="Shape 6" descr="pm">
          <a:extLst>
            <a:ext uri="{FF2B5EF4-FFF2-40B4-BE49-F238E27FC236}">
              <a16:creationId xmlns:a16="http://schemas.microsoft.com/office/drawing/2014/main" id="{00000000-0008-0000-1400-00005E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13</xdr:col>
      <xdr:colOff>0</xdr:colOff>
      <xdr:row>26</xdr:row>
      <xdr:rowOff>0</xdr:rowOff>
    </xdr:from>
    <xdr:ext cx="314325" cy="352425"/>
    <xdr:sp macro="" textlink="">
      <xdr:nvSpPr>
        <xdr:cNvPr id="95" name="Shape 6" descr="pm">
          <a:extLst>
            <a:ext uri="{FF2B5EF4-FFF2-40B4-BE49-F238E27FC236}">
              <a16:creationId xmlns:a16="http://schemas.microsoft.com/office/drawing/2014/main" id="{00000000-0008-0000-1400-00005F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26</xdr:row>
      <xdr:rowOff>0</xdr:rowOff>
    </xdr:from>
    <xdr:ext cx="314325" cy="352425"/>
    <xdr:sp macro="" textlink="">
      <xdr:nvSpPr>
        <xdr:cNvPr id="96" name="Shape 6" descr="pm">
          <a:extLst>
            <a:ext uri="{FF2B5EF4-FFF2-40B4-BE49-F238E27FC236}">
              <a16:creationId xmlns:a16="http://schemas.microsoft.com/office/drawing/2014/main" id="{00000000-0008-0000-1400-000060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15</xdr:col>
      <xdr:colOff>0</xdr:colOff>
      <xdr:row>26</xdr:row>
      <xdr:rowOff>0</xdr:rowOff>
    </xdr:from>
    <xdr:ext cx="314325" cy="352425"/>
    <xdr:sp macro="" textlink="">
      <xdr:nvSpPr>
        <xdr:cNvPr id="97" name="Shape 6" descr="pm">
          <a:extLst>
            <a:ext uri="{FF2B5EF4-FFF2-40B4-BE49-F238E27FC236}">
              <a16:creationId xmlns:a16="http://schemas.microsoft.com/office/drawing/2014/main" id="{00000000-0008-0000-1400-000061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16</xdr:col>
      <xdr:colOff>0</xdr:colOff>
      <xdr:row>26</xdr:row>
      <xdr:rowOff>0</xdr:rowOff>
    </xdr:from>
    <xdr:ext cx="314325" cy="352425"/>
    <xdr:sp macro="" textlink="">
      <xdr:nvSpPr>
        <xdr:cNvPr id="98" name="Shape 6" descr="pm">
          <a:extLst>
            <a:ext uri="{FF2B5EF4-FFF2-40B4-BE49-F238E27FC236}">
              <a16:creationId xmlns:a16="http://schemas.microsoft.com/office/drawing/2014/main" id="{00000000-0008-0000-1400-000062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17</xdr:col>
      <xdr:colOff>0</xdr:colOff>
      <xdr:row>26</xdr:row>
      <xdr:rowOff>0</xdr:rowOff>
    </xdr:from>
    <xdr:ext cx="314325" cy="352425"/>
    <xdr:sp macro="" textlink="">
      <xdr:nvSpPr>
        <xdr:cNvPr id="99" name="Shape 6" descr="pm">
          <a:extLst>
            <a:ext uri="{FF2B5EF4-FFF2-40B4-BE49-F238E27FC236}">
              <a16:creationId xmlns:a16="http://schemas.microsoft.com/office/drawing/2014/main" id="{00000000-0008-0000-1400-000063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18</xdr:col>
      <xdr:colOff>0</xdr:colOff>
      <xdr:row>26</xdr:row>
      <xdr:rowOff>0</xdr:rowOff>
    </xdr:from>
    <xdr:ext cx="314325" cy="352425"/>
    <xdr:sp macro="" textlink="">
      <xdr:nvSpPr>
        <xdr:cNvPr id="100" name="Shape 6" descr="pm">
          <a:extLst>
            <a:ext uri="{FF2B5EF4-FFF2-40B4-BE49-F238E27FC236}">
              <a16:creationId xmlns:a16="http://schemas.microsoft.com/office/drawing/2014/main" id="{00000000-0008-0000-1400-000064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19</xdr:col>
      <xdr:colOff>0</xdr:colOff>
      <xdr:row>26</xdr:row>
      <xdr:rowOff>0</xdr:rowOff>
    </xdr:from>
    <xdr:ext cx="314325" cy="352425"/>
    <xdr:sp macro="" textlink="">
      <xdr:nvSpPr>
        <xdr:cNvPr id="101" name="Shape 6" descr="pm">
          <a:extLst>
            <a:ext uri="{FF2B5EF4-FFF2-40B4-BE49-F238E27FC236}">
              <a16:creationId xmlns:a16="http://schemas.microsoft.com/office/drawing/2014/main" id="{00000000-0008-0000-1400-000065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20</xdr:col>
      <xdr:colOff>0</xdr:colOff>
      <xdr:row>26</xdr:row>
      <xdr:rowOff>0</xdr:rowOff>
    </xdr:from>
    <xdr:ext cx="314325" cy="352425"/>
    <xdr:sp macro="" textlink="">
      <xdr:nvSpPr>
        <xdr:cNvPr id="102" name="Shape 6" descr="pm">
          <a:extLst>
            <a:ext uri="{FF2B5EF4-FFF2-40B4-BE49-F238E27FC236}">
              <a16:creationId xmlns:a16="http://schemas.microsoft.com/office/drawing/2014/main" id="{00000000-0008-0000-1400-000066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21</xdr:col>
      <xdr:colOff>0</xdr:colOff>
      <xdr:row>26</xdr:row>
      <xdr:rowOff>0</xdr:rowOff>
    </xdr:from>
    <xdr:ext cx="314325" cy="352425"/>
    <xdr:sp macro="" textlink="">
      <xdr:nvSpPr>
        <xdr:cNvPr id="103" name="Shape 6" descr="pm">
          <a:extLst>
            <a:ext uri="{FF2B5EF4-FFF2-40B4-BE49-F238E27FC236}">
              <a16:creationId xmlns:a16="http://schemas.microsoft.com/office/drawing/2014/main" id="{00000000-0008-0000-1400-000067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</xdr:col>
      <xdr:colOff>0</xdr:colOff>
      <xdr:row>26</xdr:row>
      <xdr:rowOff>0</xdr:rowOff>
    </xdr:from>
    <xdr:ext cx="314325" cy="352425"/>
    <xdr:sp macro="" textlink="">
      <xdr:nvSpPr>
        <xdr:cNvPr id="104" name="Shape 6" descr="pm">
          <a:extLst>
            <a:ext uri="{FF2B5EF4-FFF2-40B4-BE49-F238E27FC236}">
              <a16:creationId xmlns:a16="http://schemas.microsoft.com/office/drawing/2014/main" id="{00000000-0008-0000-1400-000068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4</xdr:col>
      <xdr:colOff>0</xdr:colOff>
      <xdr:row>26</xdr:row>
      <xdr:rowOff>0</xdr:rowOff>
    </xdr:from>
    <xdr:ext cx="314325" cy="352425"/>
    <xdr:sp macro="" textlink="">
      <xdr:nvSpPr>
        <xdr:cNvPr id="105" name="Shape 6" descr="pm">
          <a:extLst>
            <a:ext uri="{FF2B5EF4-FFF2-40B4-BE49-F238E27FC236}">
              <a16:creationId xmlns:a16="http://schemas.microsoft.com/office/drawing/2014/main" id="{00000000-0008-0000-1400-000069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26</xdr:row>
      <xdr:rowOff>0</xdr:rowOff>
    </xdr:from>
    <xdr:ext cx="314325" cy="352425"/>
    <xdr:sp macro="" textlink="">
      <xdr:nvSpPr>
        <xdr:cNvPr id="106" name="Shape 6" descr="pm">
          <a:extLst>
            <a:ext uri="{FF2B5EF4-FFF2-40B4-BE49-F238E27FC236}">
              <a16:creationId xmlns:a16="http://schemas.microsoft.com/office/drawing/2014/main" id="{00000000-0008-0000-1400-00006A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0</xdr:colOff>
      <xdr:row>26</xdr:row>
      <xdr:rowOff>0</xdr:rowOff>
    </xdr:from>
    <xdr:ext cx="314325" cy="352425"/>
    <xdr:sp macro="" textlink="">
      <xdr:nvSpPr>
        <xdr:cNvPr id="107" name="Shape 6" descr="pm">
          <a:extLst>
            <a:ext uri="{FF2B5EF4-FFF2-40B4-BE49-F238E27FC236}">
              <a16:creationId xmlns:a16="http://schemas.microsoft.com/office/drawing/2014/main" id="{00000000-0008-0000-1400-00006B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0</xdr:colOff>
      <xdr:row>26</xdr:row>
      <xdr:rowOff>0</xdr:rowOff>
    </xdr:from>
    <xdr:ext cx="314325" cy="352425"/>
    <xdr:sp macro="" textlink="">
      <xdr:nvSpPr>
        <xdr:cNvPr id="108" name="Shape 6" descr="pm">
          <a:extLst>
            <a:ext uri="{FF2B5EF4-FFF2-40B4-BE49-F238E27FC236}">
              <a16:creationId xmlns:a16="http://schemas.microsoft.com/office/drawing/2014/main" id="{00000000-0008-0000-1400-00006C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26</xdr:row>
      <xdr:rowOff>0</xdr:rowOff>
    </xdr:from>
    <xdr:ext cx="314325" cy="352425"/>
    <xdr:sp macro="" textlink="">
      <xdr:nvSpPr>
        <xdr:cNvPr id="109" name="Shape 6" descr="pm">
          <a:extLst>
            <a:ext uri="{FF2B5EF4-FFF2-40B4-BE49-F238E27FC236}">
              <a16:creationId xmlns:a16="http://schemas.microsoft.com/office/drawing/2014/main" id="{00000000-0008-0000-1400-00006D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0</xdr:colOff>
      <xdr:row>26</xdr:row>
      <xdr:rowOff>0</xdr:rowOff>
    </xdr:from>
    <xdr:ext cx="314325" cy="352425"/>
    <xdr:sp macro="" textlink="">
      <xdr:nvSpPr>
        <xdr:cNvPr id="110" name="Shape 6" descr="pm">
          <a:extLst>
            <a:ext uri="{FF2B5EF4-FFF2-40B4-BE49-F238E27FC236}">
              <a16:creationId xmlns:a16="http://schemas.microsoft.com/office/drawing/2014/main" id="{00000000-0008-0000-1400-00006E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0</xdr:colOff>
      <xdr:row>26</xdr:row>
      <xdr:rowOff>0</xdr:rowOff>
    </xdr:from>
    <xdr:ext cx="314325" cy="352425"/>
    <xdr:sp macro="" textlink="">
      <xdr:nvSpPr>
        <xdr:cNvPr id="111" name="Shape 6" descr="pm">
          <a:extLst>
            <a:ext uri="{FF2B5EF4-FFF2-40B4-BE49-F238E27FC236}">
              <a16:creationId xmlns:a16="http://schemas.microsoft.com/office/drawing/2014/main" id="{00000000-0008-0000-1400-00006F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11</xdr:col>
      <xdr:colOff>0</xdr:colOff>
      <xdr:row>26</xdr:row>
      <xdr:rowOff>0</xdr:rowOff>
    </xdr:from>
    <xdr:ext cx="314325" cy="352425"/>
    <xdr:sp macro="" textlink="">
      <xdr:nvSpPr>
        <xdr:cNvPr id="112" name="Shape 6" descr="pm">
          <a:extLst>
            <a:ext uri="{FF2B5EF4-FFF2-40B4-BE49-F238E27FC236}">
              <a16:creationId xmlns:a16="http://schemas.microsoft.com/office/drawing/2014/main" id="{00000000-0008-0000-1400-000070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26</xdr:row>
      <xdr:rowOff>0</xdr:rowOff>
    </xdr:from>
    <xdr:ext cx="314325" cy="352425"/>
    <xdr:sp macro="" textlink="">
      <xdr:nvSpPr>
        <xdr:cNvPr id="113" name="Shape 6" descr="pm">
          <a:extLst>
            <a:ext uri="{FF2B5EF4-FFF2-40B4-BE49-F238E27FC236}">
              <a16:creationId xmlns:a16="http://schemas.microsoft.com/office/drawing/2014/main" id="{00000000-0008-0000-1400-000071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13</xdr:col>
      <xdr:colOff>0</xdr:colOff>
      <xdr:row>26</xdr:row>
      <xdr:rowOff>0</xdr:rowOff>
    </xdr:from>
    <xdr:ext cx="314325" cy="352425"/>
    <xdr:sp macro="" textlink="">
      <xdr:nvSpPr>
        <xdr:cNvPr id="114" name="Shape 6" descr="pm">
          <a:extLst>
            <a:ext uri="{FF2B5EF4-FFF2-40B4-BE49-F238E27FC236}">
              <a16:creationId xmlns:a16="http://schemas.microsoft.com/office/drawing/2014/main" id="{00000000-0008-0000-1400-000072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14</xdr:col>
      <xdr:colOff>0</xdr:colOff>
      <xdr:row>26</xdr:row>
      <xdr:rowOff>0</xdr:rowOff>
    </xdr:from>
    <xdr:ext cx="314325" cy="352425"/>
    <xdr:sp macro="" textlink="">
      <xdr:nvSpPr>
        <xdr:cNvPr id="115" name="Shape 6" descr="pm">
          <a:extLst>
            <a:ext uri="{FF2B5EF4-FFF2-40B4-BE49-F238E27FC236}">
              <a16:creationId xmlns:a16="http://schemas.microsoft.com/office/drawing/2014/main" id="{00000000-0008-0000-1400-000073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15</xdr:col>
      <xdr:colOff>0</xdr:colOff>
      <xdr:row>26</xdr:row>
      <xdr:rowOff>0</xdr:rowOff>
    </xdr:from>
    <xdr:ext cx="314325" cy="352425"/>
    <xdr:sp macro="" textlink="">
      <xdr:nvSpPr>
        <xdr:cNvPr id="116" name="Shape 6" descr="pm">
          <a:extLst>
            <a:ext uri="{FF2B5EF4-FFF2-40B4-BE49-F238E27FC236}">
              <a16:creationId xmlns:a16="http://schemas.microsoft.com/office/drawing/2014/main" id="{00000000-0008-0000-1400-000074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16</xdr:col>
      <xdr:colOff>0</xdr:colOff>
      <xdr:row>26</xdr:row>
      <xdr:rowOff>0</xdr:rowOff>
    </xdr:from>
    <xdr:ext cx="314325" cy="352425"/>
    <xdr:sp macro="" textlink="">
      <xdr:nvSpPr>
        <xdr:cNvPr id="117" name="Shape 6" descr="pm">
          <a:extLst>
            <a:ext uri="{FF2B5EF4-FFF2-40B4-BE49-F238E27FC236}">
              <a16:creationId xmlns:a16="http://schemas.microsoft.com/office/drawing/2014/main" id="{00000000-0008-0000-1400-000075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17</xdr:col>
      <xdr:colOff>0</xdr:colOff>
      <xdr:row>26</xdr:row>
      <xdr:rowOff>0</xdr:rowOff>
    </xdr:from>
    <xdr:ext cx="314325" cy="352425"/>
    <xdr:sp macro="" textlink="">
      <xdr:nvSpPr>
        <xdr:cNvPr id="118" name="Shape 6" descr="pm">
          <a:extLst>
            <a:ext uri="{FF2B5EF4-FFF2-40B4-BE49-F238E27FC236}">
              <a16:creationId xmlns:a16="http://schemas.microsoft.com/office/drawing/2014/main" id="{00000000-0008-0000-1400-000076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18</xdr:col>
      <xdr:colOff>0</xdr:colOff>
      <xdr:row>26</xdr:row>
      <xdr:rowOff>0</xdr:rowOff>
    </xdr:from>
    <xdr:ext cx="314325" cy="352425"/>
    <xdr:sp macro="" textlink="">
      <xdr:nvSpPr>
        <xdr:cNvPr id="119" name="Shape 6" descr="pm">
          <a:extLst>
            <a:ext uri="{FF2B5EF4-FFF2-40B4-BE49-F238E27FC236}">
              <a16:creationId xmlns:a16="http://schemas.microsoft.com/office/drawing/2014/main" id="{00000000-0008-0000-1400-000077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19</xdr:col>
      <xdr:colOff>0</xdr:colOff>
      <xdr:row>26</xdr:row>
      <xdr:rowOff>0</xdr:rowOff>
    </xdr:from>
    <xdr:ext cx="314325" cy="352425"/>
    <xdr:sp macro="" textlink="">
      <xdr:nvSpPr>
        <xdr:cNvPr id="120" name="Shape 6" descr="pm">
          <a:extLst>
            <a:ext uri="{FF2B5EF4-FFF2-40B4-BE49-F238E27FC236}">
              <a16:creationId xmlns:a16="http://schemas.microsoft.com/office/drawing/2014/main" id="{00000000-0008-0000-1400-000078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20</xdr:col>
      <xdr:colOff>0</xdr:colOff>
      <xdr:row>26</xdr:row>
      <xdr:rowOff>0</xdr:rowOff>
    </xdr:from>
    <xdr:ext cx="314325" cy="352425"/>
    <xdr:sp macro="" textlink="">
      <xdr:nvSpPr>
        <xdr:cNvPr id="121" name="Shape 6" descr="pm">
          <a:extLst>
            <a:ext uri="{FF2B5EF4-FFF2-40B4-BE49-F238E27FC236}">
              <a16:creationId xmlns:a16="http://schemas.microsoft.com/office/drawing/2014/main" id="{00000000-0008-0000-1400-000079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21</xdr:col>
      <xdr:colOff>0</xdr:colOff>
      <xdr:row>26</xdr:row>
      <xdr:rowOff>0</xdr:rowOff>
    </xdr:from>
    <xdr:ext cx="314325" cy="352425"/>
    <xdr:sp macro="" textlink="">
      <xdr:nvSpPr>
        <xdr:cNvPr id="122" name="Shape 6" descr="pm">
          <a:extLst>
            <a:ext uri="{FF2B5EF4-FFF2-40B4-BE49-F238E27FC236}">
              <a16:creationId xmlns:a16="http://schemas.microsoft.com/office/drawing/2014/main" id="{00000000-0008-0000-1400-00007A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22</xdr:col>
      <xdr:colOff>0</xdr:colOff>
      <xdr:row>26</xdr:row>
      <xdr:rowOff>0</xdr:rowOff>
    </xdr:from>
    <xdr:ext cx="314325" cy="352425"/>
    <xdr:sp macro="" textlink="">
      <xdr:nvSpPr>
        <xdr:cNvPr id="123" name="Shape 6" descr="pm">
          <a:extLst>
            <a:ext uri="{FF2B5EF4-FFF2-40B4-BE49-F238E27FC236}">
              <a16:creationId xmlns:a16="http://schemas.microsoft.com/office/drawing/2014/main" id="{00000000-0008-0000-1400-00007B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22</xdr:col>
      <xdr:colOff>0</xdr:colOff>
      <xdr:row>26</xdr:row>
      <xdr:rowOff>0</xdr:rowOff>
    </xdr:from>
    <xdr:ext cx="314325" cy="352425"/>
    <xdr:sp macro="" textlink="">
      <xdr:nvSpPr>
        <xdr:cNvPr id="124" name="Shape 6" descr="pm">
          <a:extLst>
            <a:ext uri="{FF2B5EF4-FFF2-40B4-BE49-F238E27FC236}">
              <a16:creationId xmlns:a16="http://schemas.microsoft.com/office/drawing/2014/main" id="{00000000-0008-0000-1400-00007C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23</xdr:col>
      <xdr:colOff>0</xdr:colOff>
      <xdr:row>26</xdr:row>
      <xdr:rowOff>0</xdr:rowOff>
    </xdr:from>
    <xdr:ext cx="314325" cy="352425"/>
    <xdr:sp macro="" textlink="">
      <xdr:nvSpPr>
        <xdr:cNvPr id="125" name="Shape 6" descr="pm">
          <a:extLst>
            <a:ext uri="{FF2B5EF4-FFF2-40B4-BE49-F238E27FC236}">
              <a16:creationId xmlns:a16="http://schemas.microsoft.com/office/drawing/2014/main" id="{00000000-0008-0000-1400-00007D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23</xdr:col>
      <xdr:colOff>0</xdr:colOff>
      <xdr:row>26</xdr:row>
      <xdr:rowOff>0</xdr:rowOff>
    </xdr:from>
    <xdr:ext cx="314325" cy="352425"/>
    <xdr:sp macro="" textlink="">
      <xdr:nvSpPr>
        <xdr:cNvPr id="126" name="Shape 6" descr="pm">
          <a:extLst>
            <a:ext uri="{FF2B5EF4-FFF2-40B4-BE49-F238E27FC236}">
              <a16:creationId xmlns:a16="http://schemas.microsoft.com/office/drawing/2014/main" id="{00000000-0008-0000-1400-00007E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24</xdr:col>
      <xdr:colOff>0</xdr:colOff>
      <xdr:row>26</xdr:row>
      <xdr:rowOff>0</xdr:rowOff>
    </xdr:from>
    <xdr:ext cx="314325" cy="352425"/>
    <xdr:sp macro="" textlink="">
      <xdr:nvSpPr>
        <xdr:cNvPr id="127" name="Shape 6" descr="pm">
          <a:extLst>
            <a:ext uri="{FF2B5EF4-FFF2-40B4-BE49-F238E27FC236}">
              <a16:creationId xmlns:a16="http://schemas.microsoft.com/office/drawing/2014/main" id="{00000000-0008-0000-1400-00007F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24</xdr:col>
      <xdr:colOff>0</xdr:colOff>
      <xdr:row>26</xdr:row>
      <xdr:rowOff>0</xdr:rowOff>
    </xdr:from>
    <xdr:ext cx="314325" cy="352425"/>
    <xdr:sp macro="" textlink="">
      <xdr:nvSpPr>
        <xdr:cNvPr id="128" name="Shape 6" descr="pm">
          <a:extLst>
            <a:ext uri="{FF2B5EF4-FFF2-40B4-BE49-F238E27FC236}">
              <a16:creationId xmlns:a16="http://schemas.microsoft.com/office/drawing/2014/main" id="{00000000-0008-0000-1400-000080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25</xdr:col>
      <xdr:colOff>0</xdr:colOff>
      <xdr:row>26</xdr:row>
      <xdr:rowOff>0</xdr:rowOff>
    </xdr:from>
    <xdr:ext cx="314325" cy="352425"/>
    <xdr:sp macro="" textlink="">
      <xdr:nvSpPr>
        <xdr:cNvPr id="129" name="Shape 6" descr="pm">
          <a:extLst>
            <a:ext uri="{FF2B5EF4-FFF2-40B4-BE49-F238E27FC236}">
              <a16:creationId xmlns:a16="http://schemas.microsoft.com/office/drawing/2014/main" id="{00000000-0008-0000-1400-000081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25</xdr:col>
      <xdr:colOff>0</xdr:colOff>
      <xdr:row>26</xdr:row>
      <xdr:rowOff>0</xdr:rowOff>
    </xdr:from>
    <xdr:ext cx="314325" cy="352425"/>
    <xdr:sp macro="" textlink="">
      <xdr:nvSpPr>
        <xdr:cNvPr id="130" name="Shape 6" descr="pm">
          <a:extLst>
            <a:ext uri="{FF2B5EF4-FFF2-40B4-BE49-F238E27FC236}">
              <a16:creationId xmlns:a16="http://schemas.microsoft.com/office/drawing/2014/main" id="{00000000-0008-0000-1400-000082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26</xdr:col>
      <xdr:colOff>0</xdr:colOff>
      <xdr:row>26</xdr:row>
      <xdr:rowOff>0</xdr:rowOff>
    </xdr:from>
    <xdr:ext cx="314325" cy="352425"/>
    <xdr:sp macro="" textlink="">
      <xdr:nvSpPr>
        <xdr:cNvPr id="131" name="Shape 6" descr="pm">
          <a:extLst>
            <a:ext uri="{FF2B5EF4-FFF2-40B4-BE49-F238E27FC236}">
              <a16:creationId xmlns:a16="http://schemas.microsoft.com/office/drawing/2014/main" id="{00000000-0008-0000-1400-000083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26</xdr:col>
      <xdr:colOff>0</xdr:colOff>
      <xdr:row>26</xdr:row>
      <xdr:rowOff>0</xdr:rowOff>
    </xdr:from>
    <xdr:ext cx="314325" cy="352425"/>
    <xdr:sp macro="" textlink="">
      <xdr:nvSpPr>
        <xdr:cNvPr id="132" name="Shape 6" descr="pm">
          <a:extLst>
            <a:ext uri="{FF2B5EF4-FFF2-40B4-BE49-F238E27FC236}">
              <a16:creationId xmlns:a16="http://schemas.microsoft.com/office/drawing/2014/main" id="{00000000-0008-0000-1400-000084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27</xdr:col>
      <xdr:colOff>0</xdr:colOff>
      <xdr:row>26</xdr:row>
      <xdr:rowOff>0</xdr:rowOff>
    </xdr:from>
    <xdr:ext cx="314325" cy="352425"/>
    <xdr:sp macro="" textlink="">
      <xdr:nvSpPr>
        <xdr:cNvPr id="133" name="Shape 6" descr="pm">
          <a:extLst>
            <a:ext uri="{FF2B5EF4-FFF2-40B4-BE49-F238E27FC236}">
              <a16:creationId xmlns:a16="http://schemas.microsoft.com/office/drawing/2014/main" id="{00000000-0008-0000-1400-000085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27</xdr:col>
      <xdr:colOff>0</xdr:colOff>
      <xdr:row>26</xdr:row>
      <xdr:rowOff>0</xdr:rowOff>
    </xdr:from>
    <xdr:ext cx="314325" cy="352425"/>
    <xdr:sp macro="" textlink="">
      <xdr:nvSpPr>
        <xdr:cNvPr id="134" name="Shape 6" descr="pm">
          <a:extLst>
            <a:ext uri="{FF2B5EF4-FFF2-40B4-BE49-F238E27FC236}">
              <a16:creationId xmlns:a16="http://schemas.microsoft.com/office/drawing/2014/main" id="{00000000-0008-0000-1400-000086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28</xdr:col>
      <xdr:colOff>0</xdr:colOff>
      <xdr:row>26</xdr:row>
      <xdr:rowOff>0</xdr:rowOff>
    </xdr:from>
    <xdr:ext cx="314325" cy="352425"/>
    <xdr:sp macro="" textlink="">
      <xdr:nvSpPr>
        <xdr:cNvPr id="135" name="Shape 6" descr="pm">
          <a:extLst>
            <a:ext uri="{FF2B5EF4-FFF2-40B4-BE49-F238E27FC236}">
              <a16:creationId xmlns:a16="http://schemas.microsoft.com/office/drawing/2014/main" id="{00000000-0008-0000-1400-000087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28</xdr:col>
      <xdr:colOff>0</xdr:colOff>
      <xdr:row>26</xdr:row>
      <xdr:rowOff>0</xdr:rowOff>
    </xdr:from>
    <xdr:ext cx="314325" cy="352425"/>
    <xdr:sp macro="" textlink="">
      <xdr:nvSpPr>
        <xdr:cNvPr id="136" name="Shape 6" descr="pm">
          <a:extLst>
            <a:ext uri="{FF2B5EF4-FFF2-40B4-BE49-F238E27FC236}">
              <a16:creationId xmlns:a16="http://schemas.microsoft.com/office/drawing/2014/main" id="{00000000-0008-0000-1400-000088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29</xdr:col>
      <xdr:colOff>0</xdr:colOff>
      <xdr:row>26</xdr:row>
      <xdr:rowOff>0</xdr:rowOff>
    </xdr:from>
    <xdr:ext cx="314325" cy="352425"/>
    <xdr:sp macro="" textlink="">
      <xdr:nvSpPr>
        <xdr:cNvPr id="137" name="Shape 6" descr="pm">
          <a:extLst>
            <a:ext uri="{FF2B5EF4-FFF2-40B4-BE49-F238E27FC236}">
              <a16:creationId xmlns:a16="http://schemas.microsoft.com/office/drawing/2014/main" id="{00000000-0008-0000-1400-000089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29</xdr:col>
      <xdr:colOff>0</xdr:colOff>
      <xdr:row>26</xdr:row>
      <xdr:rowOff>0</xdr:rowOff>
    </xdr:from>
    <xdr:ext cx="314325" cy="352425"/>
    <xdr:sp macro="" textlink="">
      <xdr:nvSpPr>
        <xdr:cNvPr id="138" name="Shape 6" descr="pm">
          <a:extLst>
            <a:ext uri="{FF2B5EF4-FFF2-40B4-BE49-F238E27FC236}">
              <a16:creationId xmlns:a16="http://schemas.microsoft.com/office/drawing/2014/main" id="{00000000-0008-0000-1400-00008A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30</xdr:col>
      <xdr:colOff>0</xdr:colOff>
      <xdr:row>26</xdr:row>
      <xdr:rowOff>0</xdr:rowOff>
    </xdr:from>
    <xdr:ext cx="314325" cy="352425"/>
    <xdr:sp macro="" textlink="">
      <xdr:nvSpPr>
        <xdr:cNvPr id="139" name="Shape 6" descr="pm">
          <a:extLst>
            <a:ext uri="{FF2B5EF4-FFF2-40B4-BE49-F238E27FC236}">
              <a16:creationId xmlns:a16="http://schemas.microsoft.com/office/drawing/2014/main" id="{00000000-0008-0000-1400-00008B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30</xdr:col>
      <xdr:colOff>0</xdr:colOff>
      <xdr:row>26</xdr:row>
      <xdr:rowOff>0</xdr:rowOff>
    </xdr:from>
    <xdr:ext cx="314325" cy="352425"/>
    <xdr:sp macro="" textlink="">
      <xdr:nvSpPr>
        <xdr:cNvPr id="140" name="Shape 6" descr="pm">
          <a:extLst>
            <a:ext uri="{FF2B5EF4-FFF2-40B4-BE49-F238E27FC236}">
              <a16:creationId xmlns:a16="http://schemas.microsoft.com/office/drawing/2014/main" id="{00000000-0008-0000-1400-00008C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31</xdr:col>
      <xdr:colOff>0</xdr:colOff>
      <xdr:row>26</xdr:row>
      <xdr:rowOff>0</xdr:rowOff>
    </xdr:from>
    <xdr:ext cx="314325" cy="352425"/>
    <xdr:sp macro="" textlink="">
      <xdr:nvSpPr>
        <xdr:cNvPr id="141" name="Shape 6" descr="pm">
          <a:extLst>
            <a:ext uri="{FF2B5EF4-FFF2-40B4-BE49-F238E27FC236}">
              <a16:creationId xmlns:a16="http://schemas.microsoft.com/office/drawing/2014/main" id="{00000000-0008-0000-1400-00008D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31</xdr:col>
      <xdr:colOff>0</xdr:colOff>
      <xdr:row>26</xdr:row>
      <xdr:rowOff>0</xdr:rowOff>
    </xdr:from>
    <xdr:ext cx="314325" cy="352425"/>
    <xdr:sp macro="" textlink="">
      <xdr:nvSpPr>
        <xdr:cNvPr id="142" name="Shape 6" descr="pm">
          <a:extLst>
            <a:ext uri="{FF2B5EF4-FFF2-40B4-BE49-F238E27FC236}">
              <a16:creationId xmlns:a16="http://schemas.microsoft.com/office/drawing/2014/main" id="{00000000-0008-0000-1400-00008E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21</xdr:col>
      <xdr:colOff>0</xdr:colOff>
      <xdr:row>26</xdr:row>
      <xdr:rowOff>0</xdr:rowOff>
    </xdr:from>
    <xdr:ext cx="314325" cy="352425"/>
    <xdr:sp macro="" textlink="">
      <xdr:nvSpPr>
        <xdr:cNvPr id="143" name="Shape 6" descr="pm">
          <a:extLst>
            <a:ext uri="{FF2B5EF4-FFF2-40B4-BE49-F238E27FC236}">
              <a16:creationId xmlns:a16="http://schemas.microsoft.com/office/drawing/2014/main" id="{00000000-0008-0000-1400-00008F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21</xdr:col>
      <xdr:colOff>0</xdr:colOff>
      <xdr:row>26</xdr:row>
      <xdr:rowOff>0</xdr:rowOff>
    </xdr:from>
    <xdr:ext cx="314325" cy="352425"/>
    <xdr:sp macro="" textlink="">
      <xdr:nvSpPr>
        <xdr:cNvPr id="144" name="Shape 6" descr="pm">
          <a:extLst>
            <a:ext uri="{FF2B5EF4-FFF2-40B4-BE49-F238E27FC236}">
              <a16:creationId xmlns:a16="http://schemas.microsoft.com/office/drawing/2014/main" id="{00000000-0008-0000-1400-000090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22</xdr:col>
      <xdr:colOff>0</xdr:colOff>
      <xdr:row>26</xdr:row>
      <xdr:rowOff>0</xdr:rowOff>
    </xdr:from>
    <xdr:ext cx="314325" cy="352425"/>
    <xdr:sp macro="" textlink="">
      <xdr:nvSpPr>
        <xdr:cNvPr id="145" name="Shape 6" descr="pm">
          <a:extLst>
            <a:ext uri="{FF2B5EF4-FFF2-40B4-BE49-F238E27FC236}">
              <a16:creationId xmlns:a16="http://schemas.microsoft.com/office/drawing/2014/main" id="{00000000-0008-0000-1400-000091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22</xdr:col>
      <xdr:colOff>0</xdr:colOff>
      <xdr:row>26</xdr:row>
      <xdr:rowOff>0</xdr:rowOff>
    </xdr:from>
    <xdr:ext cx="314325" cy="352425"/>
    <xdr:sp macro="" textlink="">
      <xdr:nvSpPr>
        <xdr:cNvPr id="146" name="Shape 6" descr="pm">
          <a:extLst>
            <a:ext uri="{FF2B5EF4-FFF2-40B4-BE49-F238E27FC236}">
              <a16:creationId xmlns:a16="http://schemas.microsoft.com/office/drawing/2014/main" id="{00000000-0008-0000-1400-000092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23</xdr:col>
      <xdr:colOff>0</xdr:colOff>
      <xdr:row>26</xdr:row>
      <xdr:rowOff>0</xdr:rowOff>
    </xdr:from>
    <xdr:ext cx="314325" cy="352425"/>
    <xdr:sp macro="" textlink="">
      <xdr:nvSpPr>
        <xdr:cNvPr id="147" name="Shape 6" descr="pm">
          <a:extLst>
            <a:ext uri="{FF2B5EF4-FFF2-40B4-BE49-F238E27FC236}">
              <a16:creationId xmlns:a16="http://schemas.microsoft.com/office/drawing/2014/main" id="{00000000-0008-0000-1400-000093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23</xdr:col>
      <xdr:colOff>0</xdr:colOff>
      <xdr:row>26</xdr:row>
      <xdr:rowOff>0</xdr:rowOff>
    </xdr:from>
    <xdr:ext cx="314325" cy="352425"/>
    <xdr:sp macro="" textlink="">
      <xdr:nvSpPr>
        <xdr:cNvPr id="148" name="Shape 6" descr="pm">
          <a:extLst>
            <a:ext uri="{FF2B5EF4-FFF2-40B4-BE49-F238E27FC236}">
              <a16:creationId xmlns:a16="http://schemas.microsoft.com/office/drawing/2014/main" id="{00000000-0008-0000-1400-000094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24</xdr:col>
      <xdr:colOff>0</xdr:colOff>
      <xdr:row>26</xdr:row>
      <xdr:rowOff>0</xdr:rowOff>
    </xdr:from>
    <xdr:ext cx="314325" cy="352425"/>
    <xdr:sp macro="" textlink="">
      <xdr:nvSpPr>
        <xdr:cNvPr id="149" name="Shape 6" descr="pm">
          <a:extLst>
            <a:ext uri="{FF2B5EF4-FFF2-40B4-BE49-F238E27FC236}">
              <a16:creationId xmlns:a16="http://schemas.microsoft.com/office/drawing/2014/main" id="{00000000-0008-0000-1400-000095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24</xdr:col>
      <xdr:colOff>0</xdr:colOff>
      <xdr:row>26</xdr:row>
      <xdr:rowOff>0</xdr:rowOff>
    </xdr:from>
    <xdr:ext cx="314325" cy="352425"/>
    <xdr:sp macro="" textlink="">
      <xdr:nvSpPr>
        <xdr:cNvPr id="150" name="Shape 6" descr="pm">
          <a:extLst>
            <a:ext uri="{FF2B5EF4-FFF2-40B4-BE49-F238E27FC236}">
              <a16:creationId xmlns:a16="http://schemas.microsoft.com/office/drawing/2014/main" id="{00000000-0008-0000-1400-000096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25</xdr:col>
      <xdr:colOff>0</xdr:colOff>
      <xdr:row>26</xdr:row>
      <xdr:rowOff>0</xdr:rowOff>
    </xdr:from>
    <xdr:ext cx="314325" cy="352425"/>
    <xdr:sp macro="" textlink="">
      <xdr:nvSpPr>
        <xdr:cNvPr id="151" name="Shape 6" descr="pm">
          <a:extLst>
            <a:ext uri="{FF2B5EF4-FFF2-40B4-BE49-F238E27FC236}">
              <a16:creationId xmlns:a16="http://schemas.microsoft.com/office/drawing/2014/main" id="{00000000-0008-0000-1400-000097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25</xdr:col>
      <xdr:colOff>0</xdr:colOff>
      <xdr:row>26</xdr:row>
      <xdr:rowOff>0</xdr:rowOff>
    </xdr:from>
    <xdr:ext cx="314325" cy="352425"/>
    <xdr:sp macro="" textlink="">
      <xdr:nvSpPr>
        <xdr:cNvPr id="152" name="Shape 6" descr="pm">
          <a:extLst>
            <a:ext uri="{FF2B5EF4-FFF2-40B4-BE49-F238E27FC236}">
              <a16:creationId xmlns:a16="http://schemas.microsoft.com/office/drawing/2014/main" id="{00000000-0008-0000-1400-000098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26</xdr:col>
      <xdr:colOff>0</xdr:colOff>
      <xdr:row>26</xdr:row>
      <xdr:rowOff>0</xdr:rowOff>
    </xdr:from>
    <xdr:ext cx="314325" cy="352425"/>
    <xdr:sp macro="" textlink="">
      <xdr:nvSpPr>
        <xdr:cNvPr id="153" name="Shape 6" descr="pm">
          <a:extLst>
            <a:ext uri="{FF2B5EF4-FFF2-40B4-BE49-F238E27FC236}">
              <a16:creationId xmlns:a16="http://schemas.microsoft.com/office/drawing/2014/main" id="{00000000-0008-0000-1400-000099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26</xdr:col>
      <xdr:colOff>0</xdr:colOff>
      <xdr:row>26</xdr:row>
      <xdr:rowOff>0</xdr:rowOff>
    </xdr:from>
    <xdr:ext cx="314325" cy="352425"/>
    <xdr:sp macro="" textlink="">
      <xdr:nvSpPr>
        <xdr:cNvPr id="154" name="Shape 6" descr="pm">
          <a:extLst>
            <a:ext uri="{FF2B5EF4-FFF2-40B4-BE49-F238E27FC236}">
              <a16:creationId xmlns:a16="http://schemas.microsoft.com/office/drawing/2014/main" id="{00000000-0008-0000-1400-00009A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27</xdr:col>
      <xdr:colOff>0</xdr:colOff>
      <xdr:row>26</xdr:row>
      <xdr:rowOff>0</xdr:rowOff>
    </xdr:from>
    <xdr:ext cx="314325" cy="352425"/>
    <xdr:sp macro="" textlink="">
      <xdr:nvSpPr>
        <xdr:cNvPr id="155" name="Shape 6" descr="pm">
          <a:extLst>
            <a:ext uri="{FF2B5EF4-FFF2-40B4-BE49-F238E27FC236}">
              <a16:creationId xmlns:a16="http://schemas.microsoft.com/office/drawing/2014/main" id="{00000000-0008-0000-1400-00009B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27</xdr:col>
      <xdr:colOff>0</xdr:colOff>
      <xdr:row>26</xdr:row>
      <xdr:rowOff>0</xdr:rowOff>
    </xdr:from>
    <xdr:ext cx="314325" cy="352425"/>
    <xdr:sp macro="" textlink="">
      <xdr:nvSpPr>
        <xdr:cNvPr id="156" name="Shape 6" descr="pm">
          <a:extLst>
            <a:ext uri="{FF2B5EF4-FFF2-40B4-BE49-F238E27FC236}">
              <a16:creationId xmlns:a16="http://schemas.microsoft.com/office/drawing/2014/main" id="{00000000-0008-0000-1400-00009C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28</xdr:col>
      <xdr:colOff>0</xdr:colOff>
      <xdr:row>26</xdr:row>
      <xdr:rowOff>0</xdr:rowOff>
    </xdr:from>
    <xdr:ext cx="314325" cy="352425"/>
    <xdr:sp macro="" textlink="">
      <xdr:nvSpPr>
        <xdr:cNvPr id="157" name="Shape 6" descr="pm">
          <a:extLst>
            <a:ext uri="{FF2B5EF4-FFF2-40B4-BE49-F238E27FC236}">
              <a16:creationId xmlns:a16="http://schemas.microsoft.com/office/drawing/2014/main" id="{00000000-0008-0000-1400-00009D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28</xdr:col>
      <xdr:colOff>0</xdr:colOff>
      <xdr:row>26</xdr:row>
      <xdr:rowOff>0</xdr:rowOff>
    </xdr:from>
    <xdr:ext cx="314325" cy="352425"/>
    <xdr:sp macro="" textlink="">
      <xdr:nvSpPr>
        <xdr:cNvPr id="158" name="Shape 6" descr="pm">
          <a:extLst>
            <a:ext uri="{FF2B5EF4-FFF2-40B4-BE49-F238E27FC236}">
              <a16:creationId xmlns:a16="http://schemas.microsoft.com/office/drawing/2014/main" id="{00000000-0008-0000-1400-00009E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29</xdr:col>
      <xdr:colOff>0</xdr:colOff>
      <xdr:row>26</xdr:row>
      <xdr:rowOff>0</xdr:rowOff>
    </xdr:from>
    <xdr:ext cx="314325" cy="352425"/>
    <xdr:sp macro="" textlink="">
      <xdr:nvSpPr>
        <xdr:cNvPr id="159" name="Shape 6" descr="pm">
          <a:extLst>
            <a:ext uri="{FF2B5EF4-FFF2-40B4-BE49-F238E27FC236}">
              <a16:creationId xmlns:a16="http://schemas.microsoft.com/office/drawing/2014/main" id="{00000000-0008-0000-1400-00009F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29</xdr:col>
      <xdr:colOff>0</xdr:colOff>
      <xdr:row>26</xdr:row>
      <xdr:rowOff>0</xdr:rowOff>
    </xdr:from>
    <xdr:ext cx="314325" cy="352425"/>
    <xdr:sp macro="" textlink="">
      <xdr:nvSpPr>
        <xdr:cNvPr id="160" name="Shape 6" descr="pm">
          <a:extLst>
            <a:ext uri="{FF2B5EF4-FFF2-40B4-BE49-F238E27FC236}">
              <a16:creationId xmlns:a16="http://schemas.microsoft.com/office/drawing/2014/main" id="{00000000-0008-0000-1400-0000A0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30</xdr:col>
      <xdr:colOff>0</xdr:colOff>
      <xdr:row>26</xdr:row>
      <xdr:rowOff>0</xdr:rowOff>
    </xdr:from>
    <xdr:ext cx="314325" cy="352425"/>
    <xdr:sp macro="" textlink="">
      <xdr:nvSpPr>
        <xdr:cNvPr id="161" name="Shape 6" descr="pm">
          <a:extLst>
            <a:ext uri="{FF2B5EF4-FFF2-40B4-BE49-F238E27FC236}">
              <a16:creationId xmlns:a16="http://schemas.microsoft.com/office/drawing/2014/main" id="{00000000-0008-0000-1400-0000A1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30</xdr:col>
      <xdr:colOff>0</xdr:colOff>
      <xdr:row>26</xdr:row>
      <xdr:rowOff>0</xdr:rowOff>
    </xdr:from>
    <xdr:ext cx="314325" cy="352425"/>
    <xdr:sp macro="" textlink="">
      <xdr:nvSpPr>
        <xdr:cNvPr id="162" name="Shape 6" descr="pm">
          <a:extLst>
            <a:ext uri="{FF2B5EF4-FFF2-40B4-BE49-F238E27FC236}">
              <a16:creationId xmlns:a16="http://schemas.microsoft.com/office/drawing/2014/main" id="{00000000-0008-0000-1400-0000A2000000}"/>
            </a:ext>
          </a:extLst>
        </xdr:cNvPr>
        <xdr:cNvSpPr/>
      </xdr:nvSpPr>
      <xdr:spPr>
        <a:xfrm>
          <a:off x="5193600" y="3607492"/>
          <a:ext cx="304800" cy="3450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463550</xdr:colOff>
      <xdr:row>13</xdr:row>
      <xdr:rowOff>50800</xdr:rowOff>
    </xdr:from>
    <xdr:to>
      <xdr:col>19</xdr:col>
      <xdr:colOff>127000</xdr:colOff>
      <xdr:row>26</xdr:row>
      <xdr:rowOff>177800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AB2F271-AEE1-B021-760E-217C61D85E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419100</xdr:colOff>
      <xdr:row>14</xdr:row>
      <xdr:rowOff>76200</xdr:rowOff>
    </xdr:from>
    <xdr:to>
      <xdr:col>26</xdr:col>
      <xdr:colOff>660400</xdr:colOff>
      <xdr:row>30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67161B1-44FF-5998-E7B3-83EE86ADCB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442912</xdr:colOff>
      <xdr:row>5</xdr:row>
      <xdr:rowOff>119062</xdr:rowOff>
    </xdr:from>
    <xdr:to>
      <xdr:col>27</xdr:col>
      <xdr:colOff>442912</xdr:colOff>
      <xdr:row>20</xdr:row>
      <xdr:rowOff>4762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500062</xdr:colOff>
      <xdr:row>36</xdr:row>
      <xdr:rowOff>185737</xdr:rowOff>
    </xdr:from>
    <xdr:to>
      <xdr:col>26</xdr:col>
      <xdr:colOff>500062</xdr:colOff>
      <xdr:row>51</xdr:row>
      <xdr:rowOff>71437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1295400</xdr:colOff>
      <xdr:row>2</xdr:row>
      <xdr:rowOff>72571</xdr:rowOff>
    </xdr:from>
    <xdr:to>
      <xdr:col>5</xdr:col>
      <xdr:colOff>43543</xdr:colOff>
      <xdr:row>15</xdr:row>
      <xdr:rowOff>174171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34F2663-CEFD-EB93-6CEB-2E1B894658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0</xdr:row>
      <xdr:rowOff>133350</xdr:rowOff>
    </xdr:from>
    <xdr:to>
      <xdr:col>11</xdr:col>
      <xdr:colOff>266700</xdr:colOff>
      <xdr:row>21</xdr:row>
      <xdr:rowOff>133350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obson Oliveira" id="{B001F001-51D2-3048-8107-4DF6AB9D6A9B}" userId="71692ea338018216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son Oliveira" refreshedDate="44802.390572916665" createdVersion="8" refreshedVersion="8" minRefreshableVersion="3" recordCount="103" xr:uid="{00000000-000A-0000-FFFF-FFFF04000000}">
  <cacheSource type="worksheet">
    <worksheetSource ref="A1:AI104" sheet="D2 - Capex Resumo"/>
  </cacheSource>
  <cacheFields count="35">
    <cacheField name="Item" numFmtId="0">
      <sharedItems count="35">
        <s v="Construção em madeira com fechamento de madeira"/>
        <s v="Sinalização vertical"/>
        <s v="Montagem restaurante/lanchonete"/>
        <s v="Camionete 4x4 cabine simples"/>
        <s v="Food truck sobre veículo 4x4"/>
        <s v="Decks e escadarias de madeira"/>
        <s v="Piso intertravado permeável"/>
        <s v="Pavimentação com piso intertravado"/>
        <s v="Paisagismo"/>
        <s v="Bancos de madeira"/>
        <s v="Lixeira coleta seletiva"/>
        <s v="Mobiliário administrativo"/>
        <s v="Montagem loja"/>
        <s v="Furgão 4x4"/>
        <s v="Camionete 4x4 cabine dupla"/>
        <s v="Reforma de ponte"/>
        <s v="Construção de ponte"/>
        <s v="Cerca de arame farpado"/>
        <s v="Piso pista de corrida"/>
        <s v="Bobcat minitrator"/>
        <s v="Quadriciclo"/>
        <s v="Implantação de software gerencial"/>
        <s v="Pavimentação com asfalto"/>
        <s v="Construção de ponte de concreto"/>
        <s v="Passarela ou piso de madeira"/>
        <s v="Fundação de concreto - escadaria Pedra Furada"/>
        <s v="Estudos de implantação de estrada"/>
        <s v="Poço artesiano"/>
        <s v="Reforma de edificações"/>
        <s v="Extensão de rede elétrica"/>
        <s v="Bandeiras de sinalização"/>
        <s v="Implantação museológica"/>
        <s v="Biodigestor 3000"/>
        <s v="Biodigestor 1300"/>
        <s v="Pavimentação com pedra tosca"/>
      </sharedItems>
    </cacheField>
    <cacheField name="Tipo" numFmtId="0">
      <sharedItems/>
    </cacheField>
    <cacheField name="Vínculo" numFmtId="0">
      <sharedItems count="15">
        <s v="Árvore da Preguiça - Alimentação"/>
        <s v="Geral - Unidade móvel - Alimentação"/>
        <s v="Ingresso"/>
        <s v="Lagoa Grande - Estacionamento"/>
        <s v="Mangue Seco - Estacionamento"/>
        <s v="Pedra Furada - Alimentação"/>
        <s v="Preá - Alimentação"/>
        <s v="Preá - Comércio"/>
        <s v="Preá - Estacionamento"/>
        <s v="Serrote - Alimentação"/>
        <s v="Serrote - Comércio"/>
        <s v="Administrativo"/>
        <s v="Construções e reformas"/>
        <s v="Água e Esgoto"/>
        <s v="Energia"/>
      </sharedItems>
    </cacheField>
    <cacheField name="Categoria" numFmtId="0">
      <sharedItems count="7">
        <s v="Edificações"/>
        <s v="Infraestrutura"/>
        <s v="Equipamentos e instalações"/>
        <s v="Veículos e embarcações"/>
        <s v="Outros"/>
        <s v="Móveis e Utensílios"/>
        <s v="TI"/>
      </sharedItems>
    </cacheField>
    <cacheField name="1" numFmtId="0">
      <sharedItems containsSemiMixedTypes="0" containsString="0" containsNumber="1" minValue="0" maxValue="9746000"/>
    </cacheField>
    <cacheField name="2" numFmtId="0">
      <sharedItems containsSemiMixedTypes="0" containsString="0" containsNumber="1" minValue="0" maxValue="6105000"/>
    </cacheField>
    <cacheField name="3" numFmtId="0">
      <sharedItems containsSemiMixedTypes="0" containsString="0" containsNumber="1" minValue="0" maxValue="3398309.2000000007"/>
    </cacheField>
    <cacheField name="4" numFmtId="0">
      <sharedItems containsSemiMixedTypes="0" containsString="0" containsNumber="1" minValue="0" maxValue="1650000"/>
    </cacheField>
    <cacheField name="5" numFmtId="0">
      <sharedItems containsSemiMixedTypes="0" containsString="0" containsNumber="1" containsInteger="1" minValue="0" maxValue="0"/>
    </cacheField>
    <cacheField name="6" numFmtId="0">
      <sharedItems containsSemiMixedTypes="0" containsString="0" containsNumber="1" minValue="0" maxValue="2350612"/>
    </cacheField>
    <cacheField name="7" numFmtId="0">
      <sharedItems containsSemiMixedTypes="0" containsString="0" containsNumber="1" minValue="0" maxValue="43560.000000000007"/>
    </cacheField>
    <cacheField name="8" numFmtId="0">
      <sharedItems containsSemiMixedTypes="0" containsString="0" containsNumber="1" containsInteger="1" minValue="0" maxValue="0"/>
    </cacheField>
    <cacheField name="9" numFmtId="0">
      <sharedItems containsSemiMixedTypes="0" containsString="0" containsNumber="1" containsInteger="1" minValue="0" maxValue="0"/>
    </cacheField>
    <cacheField name="10" numFmtId="0">
      <sharedItems containsSemiMixedTypes="0" containsString="0" containsNumber="1" minValue="0" maxValue="43560.000000000007"/>
    </cacheField>
    <cacheField name="11" numFmtId="0">
      <sharedItems containsSemiMixedTypes="0" containsString="0" containsNumber="1" minValue="0" maxValue="2350612"/>
    </cacheField>
    <cacheField name="12" numFmtId="0">
      <sharedItems containsSemiMixedTypes="0" containsString="0" containsNumber="1" containsInteger="1" minValue="0" maxValue="0"/>
    </cacheField>
    <cacheField name="13" numFmtId="0">
      <sharedItems containsSemiMixedTypes="0" containsString="0" containsNumber="1" minValue="0" maxValue="43560.000000000007"/>
    </cacheField>
    <cacheField name="14" numFmtId="0">
      <sharedItems containsSemiMixedTypes="0" containsString="0" containsNumber="1" containsInteger="1" minValue="0" maxValue="0"/>
    </cacheField>
    <cacheField name="15" numFmtId="0">
      <sharedItems containsSemiMixedTypes="0" containsString="0" containsNumber="1" containsInteger="1" minValue="0" maxValue="0"/>
    </cacheField>
    <cacheField name="16" numFmtId="0">
      <sharedItems containsSemiMixedTypes="0" containsString="0" containsNumber="1" minValue="0" maxValue="2350612"/>
    </cacheField>
    <cacheField name="17" numFmtId="0">
      <sharedItems containsSemiMixedTypes="0" containsString="0" containsNumber="1" containsInteger="1" minValue="0" maxValue="0"/>
    </cacheField>
    <cacheField name="18" numFmtId="0">
      <sharedItems containsSemiMixedTypes="0" containsString="0" containsNumber="1" containsInteger="1" minValue="0" maxValue="0"/>
    </cacheField>
    <cacheField name="19" numFmtId="0">
      <sharedItems containsSemiMixedTypes="0" containsString="0" containsNumber="1" minValue="0" maxValue="43560.000000000007"/>
    </cacheField>
    <cacheField name="20" numFmtId="0">
      <sharedItems containsSemiMixedTypes="0" containsString="0" containsNumber="1" containsInteger="1" minValue="0" maxValue="0"/>
    </cacheField>
    <cacheField name="21" numFmtId="0">
      <sharedItems containsSemiMixedTypes="0" containsString="0" containsNumber="1" minValue="0" maxValue="9746000"/>
    </cacheField>
    <cacheField name="22" numFmtId="0">
      <sharedItems containsSemiMixedTypes="0" containsString="0" containsNumber="1" minValue="0" maxValue="43560.000000000007"/>
    </cacheField>
    <cacheField name="23" numFmtId="0">
      <sharedItems containsSemiMixedTypes="0" containsString="0" containsNumber="1" containsInteger="1" minValue="0" maxValue="0"/>
    </cacheField>
    <cacheField name="24" numFmtId="0">
      <sharedItems containsSemiMixedTypes="0" containsString="0" containsNumber="1" containsInteger="1" minValue="0" maxValue="0"/>
    </cacheField>
    <cacheField name="25" numFmtId="0">
      <sharedItems containsSemiMixedTypes="0" containsString="0" containsNumber="1" minValue="0" maxValue="43560.000000000007"/>
    </cacheField>
    <cacheField name="26" numFmtId="0">
      <sharedItems containsSemiMixedTypes="0" containsString="0" containsNumber="1" minValue="0" maxValue="2350612"/>
    </cacheField>
    <cacheField name="27" numFmtId="0">
      <sharedItems containsSemiMixedTypes="0" containsString="0" containsNumber="1" containsInteger="1" minValue="0" maxValue="0"/>
    </cacheField>
    <cacheField name="28" numFmtId="0">
      <sharedItems containsSemiMixedTypes="0" containsString="0" containsNumber="1" minValue="0" maxValue="43560.000000000007"/>
    </cacheField>
    <cacheField name="29" numFmtId="0">
      <sharedItems containsSemiMixedTypes="0" containsString="0" containsNumber="1" containsInteger="1" minValue="0" maxValue="0"/>
    </cacheField>
    <cacheField name="30" numFmtId="0">
      <sharedItems containsSemiMixedTypes="0" containsString="0" containsNumber="1" containsInteger="1" minValue="0" maxValue="0"/>
    </cacheField>
    <cacheField name="Total" numFmtId="0">
      <sharedItems containsSemiMixedTypes="0" containsString="0" containsNumber="1" minValue="0" maxValue="19492000" count="85">
        <n v="78295.47"/>
        <n v="10560.000000000002"/>
        <n v="505019.39400000003"/>
        <n v="30607.236000000001"/>
        <n v="3939170.4"/>
        <n v="693000"/>
        <n v="151845.76000000001"/>
        <n v="1670303.36"/>
        <n v="57464.129800000002"/>
        <n v="237259"/>
        <n v="502989.08"/>
        <n v="1191040.1800000002"/>
        <n v="0"/>
        <n v="109139.14000000001"/>
        <n v="5280.0000000000009"/>
        <n v="15840.000000000004"/>
        <n v="27500"/>
        <n v="704"/>
        <n v="7040"/>
        <n v="23452"/>
        <n v="22871.199999999997"/>
        <n v="9064"/>
        <n v="5500"/>
        <n v="155948.1"/>
        <n v="113103.76"/>
        <n v="89184.150000000009"/>
        <n v="109725.00000000001"/>
        <n v="12182.28"/>
        <n v="36546.840000000004"/>
        <n v="9136.7100000000009"/>
        <n v="67081.607999999993"/>
        <n v="156750.00000000003"/>
        <n v="742368.00000000012"/>
        <n v="122100.00000000003"/>
        <n v="258852.00000000006"/>
        <n v="36630.000000000007"/>
        <n v="547008.00000000012"/>
        <n v="176995.21400000001"/>
        <n v="9680"/>
        <n v="281853.13200000004"/>
        <n v="91086.6"/>
        <n v="118629.5"/>
        <n v="6600"/>
        <n v="146261.06"/>
        <n v="61050.000000000015"/>
        <n v="42706.62"/>
        <n v="275465.12400000001"/>
        <n v="45910.853999999999"/>
        <n v="979431.55200000003"/>
        <n v="967954.21800000011"/>
        <n v="42084.966000000008"/>
        <n v="526070.60000000009"/>
        <n v="104393.96"/>
        <n v="673359.19200000004"/>
        <n v="2372.59"/>
        <n v="21042.483000000004"/>
        <n v="63127.449000000008"/>
        <n v="4946462.4000000004"/>
        <n v="14103672"/>
        <n v="949036"/>
        <n v="488400.00000000012"/>
        <n v="5376201.6000000015"/>
        <n v="19492000"/>
        <n v="4950000"/>
        <n v="6105000"/>
        <n v="4529226.24"/>
        <n v="555852.00000000012"/>
        <n v="495000.00000000006"/>
        <n v="10194927.600000001"/>
        <n v="73550.290000000008"/>
        <n v="9900000"/>
        <n v="5042400"/>
        <n v="275000"/>
        <n v="330000"/>
        <n v="148500"/>
        <n v="1731990.7000000002"/>
        <n v="646800"/>
        <n v="37961.440000000002"/>
        <n v="435600.00000000006"/>
        <n v="990000"/>
        <n v="248930.00000000003"/>
        <n v="8500.8000000000011"/>
        <n v="7143400.0000000019"/>
        <n v="3084367"/>
        <n v="166081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">
  <r>
    <x v="0"/>
    <s v="Operacional"/>
    <x v="0"/>
    <x v="0"/>
    <n v="78295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0"/>
  </r>
  <r>
    <x v="1"/>
    <s v="Operacional"/>
    <x v="0"/>
    <x v="1"/>
    <n v="3520.0000000000005"/>
    <n v="0"/>
    <n v="0"/>
    <n v="0"/>
    <n v="0"/>
    <n v="0"/>
    <n v="0"/>
    <n v="0"/>
    <n v="0"/>
    <n v="0"/>
    <n v="3520.0000000000005"/>
    <n v="0"/>
    <n v="0"/>
    <n v="0"/>
    <n v="0"/>
    <n v="0"/>
    <n v="0"/>
    <n v="0"/>
    <n v="0"/>
    <n v="0"/>
    <n v="3520.0000000000005"/>
    <n v="0"/>
    <n v="0"/>
    <n v="0"/>
    <n v="0"/>
    <n v="0"/>
    <n v="0"/>
    <n v="0"/>
    <n v="0"/>
    <n v="0"/>
    <x v="1"/>
  </r>
  <r>
    <x v="2"/>
    <s v="Operacional"/>
    <x v="0"/>
    <x v="2"/>
    <n v="168339.79800000001"/>
    <n v="0"/>
    <n v="0"/>
    <n v="0"/>
    <n v="0"/>
    <n v="0"/>
    <n v="0"/>
    <n v="0"/>
    <n v="0"/>
    <n v="0"/>
    <n v="168339.79800000001"/>
    <n v="0"/>
    <n v="0"/>
    <n v="0"/>
    <n v="0"/>
    <n v="0"/>
    <n v="0"/>
    <n v="0"/>
    <n v="0"/>
    <n v="0"/>
    <n v="168339.79800000001"/>
    <n v="0"/>
    <n v="0"/>
    <n v="0"/>
    <n v="0"/>
    <n v="0"/>
    <n v="0"/>
    <n v="0"/>
    <n v="0"/>
    <n v="0"/>
    <x v="2"/>
  </r>
  <r>
    <x v="2"/>
    <s v="Operacional"/>
    <x v="0"/>
    <x v="2"/>
    <n v="10202.412"/>
    <n v="0"/>
    <n v="0"/>
    <n v="0"/>
    <n v="0"/>
    <n v="0"/>
    <n v="0"/>
    <n v="0"/>
    <n v="0"/>
    <n v="0"/>
    <n v="10202.412"/>
    <n v="0"/>
    <n v="0"/>
    <n v="0"/>
    <n v="0"/>
    <n v="0"/>
    <n v="0"/>
    <n v="0"/>
    <n v="0"/>
    <n v="0"/>
    <n v="10202.412"/>
    <n v="0"/>
    <n v="0"/>
    <n v="0"/>
    <n v="0"/>
    <n v="0"/>
    <n v="0"/>
    <n v="0"/>
    <n v="0"/>
    <n v="0"/>
    <x v="3"/>
  </r>
  <r>
    <x v="3"/>
    <s v="Operacional"/>
    <x v="1"/>
    <x v="3"/>
    <n v="656528.4"/>
    <n v="0"/>
    <n v="0"/>
    <n v="0"/>
    <n v="0"/>
    <n v="656528.4"/>
    <n v="0"/>
    <n v="0"/>
    <n v="0"/>
    <n v="0"/>
    <n v="656528.4"/>
    <n v="0"/>
    <n v="0"/>
    <n v="0"/>
    <n v="0"/>
    <n v="656528.4"/>
    <n v="0"/>
    <n v="0"/>
    <n v="0"/>
    <n v="0"/>
    <n v="656528.4"/>
    <n v="0"/>
    <n v="0"/>
    <n v="0"/>
    <n v="0"/>
    <n v="656528.4"/>
    <n v="0"/>
    <n v="0"/>
    <n v="0"/>
    <n v="0"/>
    <x v="4"/>
  </r>
  <r>
    <x v="4"/>
    <s v="Operacional"/>
    <x v="1"/>
    <x v="3"/>
    <n v="115500"/>
    <n v="0"/>
    <n v="0"/>
    <n v="0"/>
    <n v="0"/>
    <n v="115500"/>
    <n v="0"/>
    <n v="0"/>
    <n v="0"/>
    <n v="0"/>
    <n v="115500"/>
    <n v="0"/>
    <n v="0"/>
    <n v="0"/>
    <n v="0"/>
    <n v="115500"/>
    <n v="0"/>
    <n v="0"/>
    <n v="0"/>
    <n v="0"/>
    <n v="115500"/>
    <n v="0"/>
    <n v="0"/>
    <n v="0"/>
    <n v="0"/>
    <n v="115500"/>
    <n v="0"/>
    <n v="0"/>
    <n v="0"/>
    <n v="0"/>
    <x v="5"/>
  </r>
  <r>
    <x v="0"/>
    <s v="Operacional"/>
    <x v="2"/>
    <x v="0"/>
    <n v="151845.7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</r>
  <r>
    <x v="0"/>
    <s v="Operacional"/>
    <x v="2"/>
    <x v="0"/>
    <n v="1670303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"/>
  </r>
  <r>
    <x v="0"/>
    <s v="Operacional"/>
    <x v="2"/>
    <x v="0"/>
    <n v="57464.1298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"/>
  </r>
  <r>
    <x v="0"/>
    <s v="Operacional"/>
    <x v="2"/>
    <x v="0"/>
    <n v="237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</r>
  <r>
    <x v="0"/>
    <s v="Operacional"/>
    <x v="2"/>
    <x v="0"/>
    <n v="502989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0"/>
  </r>
  <r>
    <x v="0"/>
    <s v="Operacional"/>
    <x v="2"/>
    <x v="0"/>
    <n v="1191040.18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1"/>
  </r>
  <r>
    <x v="0"/>
    <s v="Operacional"/>
    <x v="2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2"/>
  </r>
  <r>
    <x v="0"/>
    <s v="Operacional"/>
    <x v="2"/>
    <x v="0"/>
    <n v="109139.1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</r>
  <r>
    <x v="1"/>
    <s v="Operacional"/>
    <x v="2"/>
    <x v="1"/>
    <n v="1760.0000000000002"/>
    <n v="0"/>
    <n v="0"/>
    <n v="0"/>
    <n v="0"/>
    <n v="0"/>
    <n v="0"/>
    <n v="0"/>
    <n v="0"/>
    <n v="0"/>
    <n v="1760.0000000000002"/>
    <n v="0"/>
    <n v="0"/>
    <n v="0"/>
    <n v="0"/>
    <n v="0"/>
    <n v="0"/>
    <n v="0"/>
    <n v="0"/>
    <n v="0"/>
    <n v="1760.0000000000002"/>
    <n v="0"/>
    <n v="0"/>
    <n v="0"/>
    <n v="0"/>
    <n v="0"/>
    <n v="0"/>
    <n v="0"/>
    <n v="0"/>
    <n v="0"/>
    <x v="14"/>
  </r>
  <r>
    <x v="1"/>
    <s v="Operacional"/>
    <x v="2"/>
    <x v="1"/>
    <n v="3520.0000000000005"/>
    <n v="0"/>
    <n v="0"/>
    <n v="0"/>
    <n v="0"/>
    <n v="0"/>
    <n v="0"/>
    <n v="0"/>
    <n v="0"/>
    <n v="0"/>
    <n v="3520.0000000000005"/>
    <n v="0"/>
    <n v="0"/>
    <n v="0"/>
    <n v="0"/>
    <n v="0"/>
    <n v="0"/>
    <n v="0"/>
    <n v="0"/>
    <n v="0"/>
    <n v="3520.0000000000005"/>
    <n v="0"/>
    <n v="0"/>
    <n v="0"/>
    <n v="0"/>
    <n v="0"/>
    <n v="0"/>
    <n v="0"/>
    <n v="0"/>
    <n v="0"/>
    <x v="1"/>
  </r>
  <r>
    <x v="1"/>
    <s v="Operacional"/>
    <x v="2"/>
    <x v="1"/>
    <n v="3520.0000000000005"/>
    <n v="0"/>
    <n v="0"/>
    <n v="0"/>
    <n v="0"/>
    <n v="0"/>
    <n v="0"/>
    <n v="0"/>
    <n v="0"/>
    <n v="0"/>
    <n v="3520.0000000000005"/>
    <n v="0"/>
    <n v="0"/>
    <n v="0"/>
    <n v="0"/>
    <n v="0"/>
    <n v="0"/>
    <n v="0"/>
    <n v="0"/>
    <n v="0"/>
    <n v="3520.0000000000005"/>
    <n v="0"/>
    <n v="0"/>
    <n v="0"/>
    <n v="0"/>
    <n v="0"/>
    <n v="0"/>
    <n v="0"/>
    <n v="0"/>
    <n v="0"/>
    <x v="1"/>
  </r>
  <r>
    <x v="1"/>
    <s v="Operacional"/>
    <x v="2"/>
    <x v="1"/>
    <n v="3520.0000000000005"/>
    <n v="0"/>
    <n v="0"/>
    <n v="0"/>
    <n v="0"/>
    <n v="0"/>
    <n v="0"/>
    <n v="0"/>
    <n v="0"/>
    <n v="0"/>
    <n v="3520.0000000000005"/>
    <n v="0"/>
    <n v="0"/>
    <n v="0"/>
    <n v="0"/>
    <n v="0"/>
    <n v="0"/>
    <n v="0"/>
    <n v="0"/>
    <n v="0"/>
    <n v="3520.0000000000005"/>
    <n v="0"/>
    <n v="0"/>
    <n v="0"/>
    <n v="0"/>
    <n v="0"/>
    <n v="0"/>
    <n v="0"/>
    <n v="0"/>
    <n v="0"/>
    <x v="1"/>
  </r>
  <r>
    <x v="1"/>
    <s v="Operacional"/>
    <x v="2"/>
    <x v="1"/>
    <n v="3520.0000000000005"/>
    <n v="0"/>
    <n v="0"/>
    <n v="0"/>
    <n v="0"/>
    <n v="0"/>
    <n v="0"/>
    <n v="0"/>
    <n v="0"/>
    <n v="0"/>
    <n v="3520.0000000000005"/>
    <n v="0"/>
    <n v="0"/>
    <n v="0"/>
    <n v="0"/>
    <n v="0"/>
    <n v="0"/>
    <n v="0"/>
    <n v="0"/>
    <n v="0"/>
    <n v="3520.0000000000005"/>
    <n v="0"/>
    <n v="0"/>
    <n v="0"/>
    <n v="0"/>
    <n v="0"/>
    <n v="0"/>
    <n v="0"/>
    <n v="0"/>
    <n v="0"/>
    <x v="1"/>
  </r>
  <r>
    <x v="1"/>
    <s v="Operacional"/>
    <x v="2"/>
    <x v="1"/>
    <n v="5280.0000000000009"/>
    <n v="0"/>
    <n v="0"/>
    <n v="0"/>
    <n v="0"/>
    <n v="0"/>
    <n v="0"/>
    <n v="0"/>
    <n v="0"/>
    <n v="0"/>
    <n v="5280.0000000000009"/>
    <n v="0"/>
    <n v="0"/>
    <n v="0"/>
    <n v="0"/>
    <n v="0"/>
    <n v="0"/>
    <n v="0"/>
    <n v="0"/>
    <n v="0"/>
    <n v="5280.0000000000009"/>
    <n v="0"/>
    <n v="0"/>
    <n v="0"/>
    <n v="0"/>
    <n v="0"/>
    <n v="0"/>
    <n v="0"/>
    <n v="0"/>
    <n v="0"/>
    <x v="15"/>
  </r>
  <r>
    <x v="1"/>
    <s v="Operacional"/>
    <x v="2"/>
    <x v="1"/>
    <n v="3520.0000000000005"/>
    <n v="0"/>
    <n v="0"/>
    <n v="0"/>
    <n v="0"/>
    <n v="0"/>
    <n v="0"/>
    <n v="0"/>
    <n v="0"/>
    <n v="0"/>
    <n v="3520.0000000000005"/>
    <n v="0"/>
    <n v="0"/>
    <n v="0"/>
    <n v="0"/>
    <n v="0"/>
    <n v="0"/>
    <n v="0"/>
    <n v="0"/>
    <n v="0"/>
    <n v="3520.0000000000005"/>
    <n v="0"/>
    <n v="0"/>
    <n v="0"/>
    <n v="0"/>
    <n v="0"/>
    <n v="0"/>
    <n v="0"/>
    <n v="0"/>
    <n v="0"/>
    <x v="1"/>
  </r>
  <r>
    <x v="1"/>
    <s v="Operacional"/>
    <x v="2"/>
    <x v="1"/>
    <n v="5280.0000000000009"/>
    <n v="0"/>
    <n v="0"/>
    <n v="0"/>
    <n v="0"/>
    <n v="0"/>
    <n v="0"/>
    <n v="0"/>
    <n v="0"/>
    <n v="0"/>
    <n v="5280.0000000000009"/>
    <n v="0"/>
    <n v="0"/>
    <n v="0"/>
    <n v="0"/>
    <n v="0"/>
    <n v="0"/>
    <n v="0"/>
    <n v="0"/>
    <n v="0"/>
    <n v="5280.0000000000009"/>
    <n v="0"/>
    <n v="0"/>
    <n v="0"/>
    <n v="0"/>
    <n v="0"/>
    <n v="0"/>
    <n v="0"/>
    <n v="0"/>
    <n v="0"/>
    <x v="15"/>
  </r>
  <r>
    <x v="5"/>
    <s v="Operacional"/>
    <x v="2"/>
    <x v="1"/>
    <n v="27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6"/>
  </r>
  <r>
    <x v="6"/>
    <s v="Operacional"/>
    <x v="2"/>
    <x v="1"/>
    <n v="7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7"/>
  </r>
  <r>
    <x v="6"/>
    <s v="Operacional"/>
    <x v="2"/>
    <x v="1"/>
    <n v="70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8"/>
  </r>
  <r>
    <x v="6"/>
    <s v="Operacional"/>
    <x v="2"/>
    <x v="1"/>
    <n v="234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9"/>
  </r>
  <r>
    <x v="6"/>
    <s v="Operacional"/>
    <x v="2"/>
    <x v="1"/>
    <n v="22871.1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0"/>
  </r>
  <r>
    <x v="6"/>
    <s v="Operacional"/>
    <x v="2"/>
    <x v="1"/>
    <n v="90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1"/>
  </r>
  <r>
    <x v="6"/>
    <s v="Operacional"/>
    <x v="2"/>
    <x v="1"/>
    <n v="5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2"/>
  </r>
  <r>
    <x v="7"/>
    <s v="Operacional"/>
    <x v="2"/>
    <x v="1"/>
    <n v="15594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3"/>
  </r>
  <r>
    <x v="7"/>
    <s v="Operacional"/>
    <x v="2"/>
    <x v="1"/>
    <n v="113103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4"/>
  </r>
  <r>
    <x v="7"/>
    <s v="Operacional"/>
    <x v="2"/>
    <x v="1"/>
    <n v="89184.15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5"/>
  </r>
  <r>
    <x v="8"/>
    <s v="Operacional"/>
    <x v="2"/>
    <x v="4"/>
    <n v="109725.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26"/>
  </r>
  <r>
    <x v="9"/>
    <s v="Operacional"/>
    <x v="2"/>
    <x v="4"/>
    <n v="4060.76"/>
    <n v="0"/>
    <n v="0"/>
    <n v="0"/>
    <n v="0"/>
    <n v="0"/>
    <n v="0"/>
    <n v="0"/>
    <n v="0"/>
    <n v="0"/>
    <n v="4060.76"/>
    <n v="0"/>
    <n v="0"/>
    <n v="0"/>
    <n v="0"/>
    <n v="0"/>
    <n v="0"/>
    <n v="0"/>
    <n v="0"/>
    <n v="0"/>
    <n v="4060.76"/>
    <n v="0"/>
    <n v="0"/>
    <n v="0"/>
    <n v="0"/>
    <n v="0"/>
    <n v="0"/>
    <n v="0"/>
    <n v="0"/>
    <n v="0"/>
    <x v="27"/>
  </r>
  <r>
    <x v="9"/>
    <s v="Operacional"/>
    <x v="2"/>
    <x v="4"/>
    <n v="12182.28"/>
    <n v="0"/>
    <n v="0"/>
    <n v="0"/>
    <n v="0"/>
    <n v="0"/>
    <n v="0"/>
    <n v="0"/>
    <n v="0"/>
    <n v="0"/>
    <n v="12182.28"/>
    <n v="0"/>
    <n v="0"/>
    <n v="0"/>
    <n v="0"/>
    <n v="0"/>
    <n v="0"/>
    <n v="0"/>
    <n v="0"/>
    <n v="0"/>
    <n v="12182.28"/>
    <n v="0"/>
    <n v="0"/>
    <n v="0"/>
    <n v="0"/>
    <n v="0"/>
    <n v="0"/>
    <n v="0"/>
    <n v="0"/>
    <n v="0"/>
    <x v="28"/>
  </r>
  <r>
    <x v="9"/>
    <s v="Operacional"/>
    <x v="2"/>
    <x v="4"/>
    <n v="3045.57"/>
    <n v="0"/>
    <n v="0"/>
    <n v="0"/>
    <n v="0"/>
    <n v="0"/>
    <n v="0"/>
    <n v="0"/>
    <n v="0"/>
    <n v="0"/>
    <n v="3045.57"/>
    <n v="0"/>
    <n v="0"/>
    <n v="0"/>
    <n v="0"/>
    <n v="0"/>
    <n v="0"/>
    <n v="0"/>
    <n v="0"/>
    <n v="0"/>
    <n v="3045.57"/>
    <n v="0"/>
    <n v="0"/>
    <n v="0"/>
    <n v="0"/>
    <n v="0"/>
    <n v="0"/>
    <n v="0"/>
    <n v="0"/>
    <n v="0"/>
    <x v="29"/>
  </r>
  <r>
    <x v="9"/>
    <s v="Operacional"/>
    <x v="2"/>
    <x v="4"/>
    <n v="4060.76"/>
    <n v="0"/>
    <n v="0"/>
    <n v="0"/>
    <n v="0"/>
    <n v="0"/>
    <n v="0"/>
    <n v="0"/>
    <n v="0"/>
    <n v="0"/>
    <n v="4060.76"/>
    <n v="0"/>
    <n v="0"/>
    <n v="0"/>
    <n v="0"/>
    <n v="0"/>
    <n v="0"/>
    <n v="0"/>
    <n v="0"/>
    <n v="0"/>
    <n v="4060.76"/>
    <n v="0"/>
    <n v="0"/>
    <n v="0"/>
    <n v="0"/>
    <n v="0"/>
    <n v="0"/>
    <n v="0"/>
    <n v="0"/>
    <n v="0"/>
    <x v="27"/>
  </r>
  <r>
    <x v="9"/>
    <s v="Operacional"/>
    <x v="2"/>
    <x v="4"/>
    <n v="4060.76"/>
    <n v="0"/>
    <n v="0"/>
    <n v="0"/>
    <n v="0"/>
    <n v="0"/>
    <n v="0"/>
    <n v="0"/>
    <n v="0"/>
    <n v="0"/>
    <n v="4060.76"/>
    <n v="0"/>
    <n v="0"/>
    <n v="0"/>
    <n v="0"/>
    <n v="0"/>
    <n v="0"/>
    <n v="0"/>
    <n v="0"/>
    <n v="0"/>
    <n v="4060.76"/>
    <n v="0"/>
    <n v="0"/>
    <n v="0"/>
    <n v="0"/>
    <n v="0"/>
    <n v="0"/>
    <n v="0"/>
    <n v="0"/>
    <n v="0"/>
    <x v="27"/>
  </r>
  <r>
    <x v="10"/>
    <s v="Operacional"/>
    <x v="2"/>
    <x v="4"/>
    <n v="11180.268"/>
    <n v="0"/>
    <n v="0"/>
    <n v="0"/>
    <n v="0"/>
    <n v="11180.268"/>
    <n v="0"/>
    <n v="0"/>
    <n v="0"/>
    <n v="0"/>
    <n v="11180.268"/>
    <n v="0"/>
    <n v="0"/>
    <n v="0"/>
    <n v="0"/>
    <n v="11180.268"/>
    <n v="0"/>
    <n v="0"/>
    <n v="0"/>
    <n v="0"/>
    <n v="11180.268"/>
    <n v="0"/>
    <n v="0"/>
    <n v="0"/>
    <n v="0"/>
    <n v="11180.268"/>
    <n v="0"/>
    <n v="0"/>
    <n v="0"/>
    <n v="0"/>
    <x v="30"/>
  </r>
  <r>
    <x v="8"/>
    <s v="Operacional"/>
    <x v="2"/>
    <x v="4"/>
    <n v="156750.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1"/>
  </r>
  <r>
    <x v="11"/>
    <s v="Operacional"/>
    <x v="2"/>
    <x v="5"/>
    <n v="247456.00000000003"/>
    <n v="0"/>
    <n v="0"/>
    <n v="0"/>
    <n v="0"/>
    <n v="0"/>
    <n v="0"/>
    <n v="0"/>
    <n v="0"/>
    <n v="0"/>
    <n v="247456.00000000003"/>
    <n v="0"/>
    <n v="0"/>
    <n v="0"/>
    <n v="0"/>
    <n v="0"/>
    <n v="0"/>
    <n v="0"/>
    <n v="0"/>
    <n v="0"/>
    <n v="247456.00000000003"/>
    <n v="0"/>
    <n v="0"/>
    <n v="0"/>
    <n v="0"/>
    <n v="0"/>
    <n v="0"/>
    <n v="0"/>
    <n v="0"/>
    <n v="0"/>
    <x v="32"/>
  </r>
  <r>
    <x v="11"/>
    <s v="Operacional"/>
    <x v="2"/>
    <x v="5"/>
    <n v="40700.000000000007"/>
    <n v="0"/>
    <n v="0"/>
    <n v="0"/>
    <n v="0"/>
    <n v="0"/>
    <n v="0"/>
    <n v="0"/>
    <n v="0"/>
    <n v="0"/>
    <n v="40700.000000000007"/>
    <n v="0"/>
    <n v="0"/>
    <n v="0"/>
    <n v="0"/>
    <n v="0"/>
    <n v="0"/>
    <n v="0"/>
    <n v="0"/>
    <n v="0"/>
    <n v="40700.000000000007"/>
    <n v="0"/>
    <n v="0"/>
    <n v="0"/>
    <n v="0"/>
    <n v="0"/>
    <n v="0"/>
    <n v="0"/>
    <n v="0"/>
    <n v="0"/>
    <x v="33"/>
  </r>
  <r>
    <x v="11"/>
    <s v="Operacional"/>
    <x v="2"/>
    <x v="5"/>
    <n v="86284.000000000015"/>
    <n v="0"/>
    <n v="0"/>
    <n v="0"/>
    <n v="0"/>
    <n v="0"/>
    <n v="0"/>
    <n v="0"/>
    <n v="0"/>
    <n v="0"/>
    <n v="86284.000000000015"/>
    <n v="0"/>
    <n v="0"/>
    <n v="0"/>
    <n v="0"/>
    <n v="0"/>
    <n v="0"/>
    <n v="0"/>
    <n v="0"/>
    <n v="0"/>
    <n v="86284.000000000015"/>
    <n v="0"/>
    <n v="0"/>
    <n v="0"/>
    <n v="0"/>
    <n v="0"/>
    <n v="0"/>
    <n v="0"/>
    <n v="0"/>
    <n v="0"/>
    <x v="34"/>
  </r>
  <r>
    <x v="11"/>
    <s v="Operacional"/>
    <x v="2"/>
    <x v="5"/>
    <n v="12210.000000000002"/>
    <n v="0"/>
    <n v="0"/>
    <n v="0"/>
    <n v="0"/>
    <n v="0"/>
    <n v="0"/>
    <n v="0"/>
    <n v="0"/>
    <n v="0"/>
    <n v="12210.000000000002"/>
    <n v="0"/>
    <n v="0"/>
    <n v="0"/>
    <n v="0"/>
    <n v="0"/>
    <n v="0"/>
    <n v="0"/>
    <n v="0"/>
    <n v="0"/>
    <n v="12210.000000000002"/>
    <n v="0"/>
    <n v="0"/>
    <n v="0"/>
    <n v="0"/>
    <n v="0"/>
    <n v="0"/>
    <n v="0"/>
    <n v="0"/>
    <n v="0"/>
    <x v="35"/>
  </r>
  <r>
    <x v="11"/>
    <s v="Operacional"/>
    <x v="2"/>
    <x v="5"/>
    <n v="182336.00000000003"/>
    <n v="0"/>
    <n v="0"/>
    <n v="0"/>
    <n v="0"/>
    <n v="0"/>
    <n v="0"/>
    <n v="0"/>
    <n v="0"/>
    <n v="0"/>
    <n v="182336.00000000003"/>
    <n v="0"/>
    <n v="0"/>
    <n v="0"/>
    <n v="0"/>
    <n v="0"/>
    <n v="0"/>
    <n v="0"/>
    <n v="0"/>
    <n v="0"/>
    <n v="182336.00000000003"/>
    <n v="0"/>
    <n v="0"/>
    <n v="0"/>
    <n v="0"/>
    <n v="0"/>
    <n v="0"/>
    <n v="0"/>
    <n v="0"/>
    <n v="0"/>
    <x v="36"/>
  </r>
  <r>
    <x v="0"/>
    <s v="Operacional"/>
    <x v="3"/>
    <x v="0"/>
    <n v="176995.214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7"/>
  </r>
  <r>
    <x v="6"/>
    <s v="Operacional"/>
    <x v="3"/>
    <x v="1"/>
    <n v="96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8"/>
  </r>
  <r>
    <x v="7"/>
    <s v="Operacional"/>
    <x v="3"/>
    <x v="1"/>
    <n v="281853.132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39"/>
  </r>
  <r>
    <x v="11"/>
    <s v="Operacional"/>
    <x v="3"/>
    <x v="5"/>
    <n v="30362.2"/>
    <n v="0"/>
    <n v="0"/>
    <n v="0"/>
    <n v="0"/>
    <n v="0"/>
    <n v="0"/>
    <n v="0"/>
    <n v="0"/>
    <n v="0"/>
    <n v="30362.2"/>
    <n v="0"/>
    <n v="0"/>
    <n v="0"/>
    <n v="0"/>
    <n v="0"/>
    <n v="0"/>
    <n v="0"/>
    <n v="0"/>
    <n v="0"/>
    <n v="30362.2"/>
    <n v="0"/>
    <n v="0"/>
    <n v="0"/>
    <n v="0"/>
    <n v="0"/>
    <n v="0"/>
    <n v="0"/>
    <n v="0"/>
    <n v="0"/>
    <x v="40"/>
  </r>
  <r>
    <x v="0"/>
    <s v="Operacional"/>
    <x v="4"/>
    <x v="0"/>
    <n v="118629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1"/>
  </r>
  <r>
    <x v="6"/>
    <s v="Operacional"/>
    <x v="4"/>
    <x v="1"/>
    <n v="6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2"/>
  </r>
  <r>
    <x v="7"/>
    <s v="Operacional"/>
    <x v="4"/>
    <x v="1"/>
    <n v="14626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3"/>
  </r>
  <r>
    <x v="11"/>
    <s v="Operacional"/>
    <x v="4"/>
    <x v="5"/>
    <n v="20350.000000000004"/>
    <n v="0"/>
    <n v="0"/>
    <n v="0"/>
    <n v="0"/>
    <n v="0"/>
    <n v="0"/>
    <n v="0"/>
    <n v="0"/>
    <n v="0"/>
    <n v="20350.000000000004"/>
    <n v="0"/>
    <n v="0"/>
    <n v="0"/>
    <n v="0"/>
    <n v="0"/>
    <n v="0"/>
    <n v="0"/>
    <n v="0"/>
    <n v="0"/>
    <n v="20350.000000000004"/>
    <n v="0"/>
    <n v="0"/>
    <n v="0"/>
    <n v="0"/>
    <n v="0"/>
    <n v="0"/>
    <n v="0"/>
    <n v="0"/>
    <n v="0"/>
    <x v="44"/>
  </r>
  <r>
    <x v="0"/>
    <s v="Operacional"/>
    <x v="5"/>
    <x v="0"/>
    <n v="42706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45"/>
  </r>
  <r>
    <x v="1"/>
    <s v="Operacional"/>
    <x v="5"/>
    <x v="1"/>
    <n v="5280.0000000000009"/>
    <n v="0"/>
    <n v="0"/>
    <n v="0"/>
    <n v="0"/>
    <n v="0"/>
    <n v="0"/>
    <n v="0"/>
    <n v="0"/>
    <n v="0"/>
    <n v="5280.0000000000009"/>
    <n v="0"/>
    <n v="0"/>
    <n v="0"/>
    <n v="0"/>
    <n v="0"/>
    <n v="0"/>
    <n v="0"/>
    <n v="0"/>
    <n v="0"/>
    <n v="5280.0000000000009"/>
    <n v="0"/>
    <n v="0"/>
    <n v="0"/>
    <n v="0"/>
    <n v="0"/>
    <n v="0"/>
    <n v="0"/>
    <n v="0"/>
    <n v="0"/>
    <x v="15"/>
  </r>
  <r>
    <x v="2"/>
    <s v="Operacional"/>
    <x v="5"/>
    <x v="2"/>
    <n v="91821.707999999999"/>
    <n v="0"/>
    <n v="0"/>
    <n v="0"/>
    <n v="0"/>
    <n v="0"/>
    <n v="0"/>
    <n v="0"/>
    <n v="0"/>
    <n v="0"/>
    <n v="91821.707999999999"/>
    <n v="0"/>
    <n v="0"/>
    <n v="0"/>
    <n v="0"/>
    <n v="0"/>
    <n v="0"/>
    <n v="0"/>
    <n v="0"/>
    <n v="0"/>
    <n v="91821.707999999999"/>
    <n v="0"/>
    <n v="0"/>
    <n v="0"/>
    <n v="0"/>
    <n v="0"/>
    <n v="0"/>
    <n v="0"/>
    <n v="0"/>
    <n v="0"/>
    <x v="46"/>
  </r>
  <r>
    <x v="2"/>
    <s v="Operacional"/>
    <x v="5"/>
    <x v="2"/>
    <n v="15303.618"/>
    <n v="0"/>
    <n v="0"/>
    <n v="0"/>
    <n v="0"/>
    <n v="0"/>
    <n v="0"/>
    <n v="0"/>
    <n v="0"/>
    <n v="0"/>
    <n v="15303.618"/>
    <n v="0"/>
    <n v="0"/>
    <n v="0"/>
    <n v="0"/>
    <n v="0"/>
    <n v="0"/>
    <n v="0"/>
    <n v="0"/>
    <n v="0"/>
    <n v="15303.618"/>
    <n v="0"/>
    <n v="0"/>
    <n v="0"/>
    <n v="0"/>
    <n v="0"/>
    <n v="0"/>
    <n v="0"/>
    <n v="0"/>
    <n v="0"/>
    <x v="47"/>
  </r>
  <r>
    <x v="0"/>
    <s v="Operacional"/>
    <x v="6"/>
    <x v="0"/>
    <n v="151845.7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"/>
  </r>
  <r>
    <x v="2"/>
    <s v="Operacional"/>
    <x v="6"/>
    <x v="2"/>
    <n v="326477.18400000001"/>
    <n v="0"/>
    <n v="0"/>
    <n v="0"/>
    <n v="0"/>
    <n v="0"/>
    <n v="0"/>
    <n v="0"/>
    <n v="0"/>
    <n v="0"/>
    <n v="326477.18400000001"/>
    <n v="0"/>
    <n v="0"/>
    <n v="0"/>
    <n v="0"/>
    <n v="0"/>
    <n v="0"/>
    <n v="0"/>
    <n v="0"/>
    <n v="0"/>
    <n v="326477.18400000001"/>
    <n v="0"/>
    <n v="0"/>
    <n v="0"/>
    <n v="0"/>
    <n v="0"/>
    <n v="0"/>
    <n v="0"/>
    <n v="0"/>
    <n v="0"/>
    <x v="48"/>
  </r>
  <r>
    <x v="0"/>
    <s v="Operacional"/>
    <x v="7"/>
    <x v="0"/>
    <n v="109139.1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13"/>
  </r>
  <r>
    <x v="1"/>
    <s v="Operacional"/>
    <x v="7"/>
    <x v="1"/>
    <n v="3520.0000000000005"/>
    <n v="0"/>
    <n v="0"/>
    <n v="0"/>
    <n v="0"/>
    <n v="0"/>
    <n v="0"/>
    <n v="0"/>
    <n v="0"/>
    <n v="0"/>
    <n v="3520.0000000000005"/>
    <n v="0"/>
    <n v="0"/>
    <n v="0"/>
    <n v="0"/>
    <n v="0"/>
    <n v="0"/>
    <n v="0"/>
    <n v="0"/>
    <n v="0"/>
    <n v="3520.0000000000005"/>
    <n v="0"/>
    <n v="0"/>
    <n v="0"/>
    <n v="0"/>
    <n v="0"/>
    <n v="0"/>
    <n v="0"/>
    <n v="0"/>
    <n v="0"/>
    <x v="1"/>
  </r>
  <r>
    <x v="12"/>
    <s v="Operacional"/>
    <x v="7"/>
    <x v="2"/>
    <n v="322651.40600000002"/>
    <n v="0"/>
    <n v="0"/>
    <n v="0"/>
    <n v="0"/>
    <n v="0"/>
    <n v="0"/>
    <n v="0"/>
    <n v="0"/>
    <n v="0"/>
    <n v="322651.40600000002"/>
    <n v="0"/>
    <n v="0"/>
    <n v="0"/>
    <n v="0"/>
    <n v="0"/>
    <n v="0"/>
    <n v="0"/>
    <n v="0"/>
    <n v="0"/>
    <n v="322651.40600000002"/>
    <n v="0"/>
    <n v="0"/>
    <n v="0"/>
    <n v="0"/>
    <n v="0"/>
    <n v="0"/>
    <n v="0"/>
    <n v="0"/>
    <n v="0"/>
    <x v="49"/>
  </r>
  <r>
    <x v="12"/>
    <s v="Operacional"/>
    <x v="7"/>
    <x v="2"/>
    <n v="14028.322000000002"/>
    <n v="0"/>
    <n v="0"/>
    <n v="0"/>
    <n v="0"/>
    <n v="0"/>
    <n v="0"/>
    <n v="0"/>
    <n v="0"/>
    <n v="0"/>
    <n v="14028.322000000002"/>
    <n v="0"/>
    <n v="0"/>
    <n v="0"/>
    <n v="0"/>
    <n v="0"/>
    <n v="0"/>
    <n v="0"/>
    <n v="0"/>
    <n v="0"/>
    <n v="14028.322000000002"/>
    <n v="0"/>
    <n v="0"/>
    <n v="0"/>
    <n v="0"/>
    <n v="0"/>
    <n v="0"/>
    <n v="0"/>
    <n v="0"/>
    <n v="0"/>
    <x v="50"/>
  </r>
  <r>
    <x v="7"/>
    <s v="Operacional"/>
    <x v="8"/>
    <x v="1"/>
    <n v="526070.6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1"/>
  </r>
  <r>
    <x v="0"/>
    <s v="Operacional"/>
    <x v="9"/>
    <x v="0"/>
    <n v="104393.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2"/>
  </r>
  <r>
    <x v="1"/>
    <s v="Operacional"/>
    <x v="9"/>
    <x v="1"/>
    <n v="3520.0000000000005"/>
    <n v="0"/>
    <n v="0"/>
    <n v="0"/>
    <n v="0"/>
    <n v="0"/>
    <n v="0"/>
    <n v="0"/>
    <n v="0"/>
    <n v="0"/>
    <n v="3520.0000000000005"/>
    <n v="0"/>
    <n v="0"/>
    <n v="0"/>
    <n v="0"/>
    <n v="0"/>
    <n v="0"/>
    <n v="0"/>
    <n v="0"/>
    <n v="0"/>
    <n v="3520.0000000000005"/>
    <n v="0"/>
    <n v="0"/>
    <n v="0"/>
    <n v="0"/>
    <n v="0"/>
    <n v="0"/>
    <n v="0"/>
    <n v="0"/>
    <n v="0"/>
    <x v="1"/>
  </r>
  <r>
    <x v="2"/>
    <s v="Operacional"/>
    <x v="9"/>
    <x v="2"/>
    <n v="224453.06400000001"/>
    <n v="0"/>
    <n v="0"/>
    <n v="0"/>
    <n v="0"/>
    <n v="0"/>
    <n v="0"/>
    <n v="0"/>
    <n v="0"/>
    <n v="0"/>
    <n v="224453.06400000001"/>
    <n v="0"/>
    <n v="0"/>
    <n v="0"/>
    <n v="0"/>
    <n v="0"/>
    <n v="0"/>
    <n v="0"/>
    <n v="0"/>
    <n v="0"/>
    <n v="224453.06400000001"/>
    <n v="0"/>
    <n v="0"/>
    <n v="0"/>
    <n v="0"/>
    <n v="0"/>
    <n v="0"/>
    <n v="0"/>
    <n v="0"/>
    <n v="0"/>
    <x v="53"/>
  </r>
  <r>
    <x v="2"/>
    <s v="Operacional"/>
    <x v="9"/>
    <x v="2"/>
    <n v="10202.412"/>
    <n v="0"/>
    <n v="0"/>
    <n v="0"/>
    <n v="0"/>
    <n v="0"/>
    <n v="0"/>
    <n v="0"/>
    <n v="0"/>
    <n v="0"/>
    <n v="10202.412"/>
    <n v="0"/>
    <n v="0"/>
    <n v="0"/>
    <n v="0"/>
    <n v="0"/>
    <n v="0"/>
    <n v="0"/>
    <n v="0"/>
    <n v="0"/>
    <n v="10202.412"/>
    <n v="0"/>
    <n v="0"/>
    <n v="0"/>
    <n v="0"/>
    <n v="0"/>
    <n v="0"/>
    <n v="0"/>
    <n v="0"/>
    <n v="0"/>
    <x v="3"/>
  </r>
  <r>
    <x v="0"/>
    <s v="Operacional"/>
    <x v="10"/>
    <x v="0"/>
    <n v="2372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4"/>
  </r>
  <r>
    <x v="1"/>
    <s v="Operacional"/>
    <x v="10"/>
    <x v="1"/>
    <n v="5280.0000000000009"/>
    <n v="0"/>
    <n v="0"/>
    <n v="0"/>
    <n v="0"/>
    <n v="0"/>
    <n v="0"/>
    <n v="0"/>
    <n v="0"/>
    <n v="0"/>
    <n v="5280.0000000000009"/>
    <n v="0"/>
    <n v="0"/>
    <n v="0"/>
    <n v="0"/>
    <n v="0"/>
    <n v="0"/>
    <n v="0"/>
    <n v="0"/>
    <n v="0"/>
    <n v="5280.0000000000009"/>
    <n v="0"/>
    <n v="0"/>
    <n v="0"/>
    <n v="0"/>
    <n v="0"/>
    <n v="0"/>
    <n v="0"/>
    <n v="0"/>
    <n v="0"/>
    <x v="15"/>
  </r>
  <r>
    <x v="12"/>
    <s v="Operacional"/>
    <x v="10"/>
    <x v="2"/>
    <n v="7014.161000000001"/>
    <n v="0"/>
    <n v="0"/>
    <n v="0"/>
    <n v="0"/>
    <n v="0"/>
    <n v="0"/>
    <n v="0"/>
    <n v="0"/>
    <n v="0"/>
    <n v="7014.161000000001"/>
    <n v="0"/>
    <n v="0"/>
    <n v="0"/>
    <n v="0"/>
    <n v="0"/>
    <n v="0"/>
    <n v="0"/>
    <n v="0"/>
    <n v="0"/>
    <n v="7014.161000000001"/>
    <n v="0"/>
    <n v="0"/>
    <n v="0"/>
    <n v="0"/>
    <n v="0"/>
    <n v="0"/>
    <n v="0"/>
    <n v="0"/>
    <n v="0"/>
    <x v="55"/>
  </r>
  <r>
    <x v="12"/>
    <s v="Operacional"/>
    <x v="10"/>
    <x v="2"/>
    <n v="21042.483000000004"/>
    <n v="0"/>
    <n v="0"/>
    <n v="0"/>
    <n v="0"/>
    <n v="0"/>
    <n v="0"/>
    <n v="0"/>
    <n v="0"/>
    <n v="0"/>
    <n v="21042.483000000004"/>
    <n v="0"/>
    <n v="0"/>
    <n v="0"/>
    <n v="0"/>
    <n v="0"/>
    <n v="0"/>
    <n v="0"/>
    <n v="0"/>
    <n v="0"/>
    <n v="21042.483000000004"/>
    <n v="0"/>
    <n v="0"/>
    <n v="0"/>
    <n v="0"/>
    <n v="0"/>
    <n v="0"/>
    <n v="0"/>
    <n v="0"/>
    <n v="0"/>
    <x v="56"/>
  </r>
  <r>
    <x v="13"/>
    <s v="Encargo"/>
    <x v="11"/>
    <x v="3"/>
    <n v="824410.4"/>
    <n v="0"/>
    <n v="0"/>
    <n v="0"/>
    <n v="0"/>
    <n v="824410.4"/>
    <n v="0"/>
    <n v="0"/>
    <n v="0"/>
    <n v="0"/>
    <n v="824410.4"/>
    <n v="0"/>
    <n v="0"/>
    <n v="0"/>
    <n v="0"/>
    <n v="824410.4"/>
    <n v="0"/>
    <n v="0"/>
    <n v="0"/>
    <n v="0"/>
    <n v="824410.4"/>
    <n v="0"/>
    <n v="0"/>
    <n v="0"/>
    <n v="0"/>
    <n v="824410.4"/>
    <n v="0"/>
    <n v="0"/>
    <n v="0"/>
    <n v="0"/>
    <x v="57"/>
  </r>
  <r>
    <x v="14"/>
    <s v="Encargo"/>
    <x v="11"/>
    <x v="3"/>
    <n v="2350612"/>
    <n v="0"/>
    <n v="0"/>
    <n v="0"/>
    <n v="0"/>
    <n v="2350612"/>
    <n v="0"/>
    <n v="0"/>
    <n v="0"/>
    <n v="0"/>
    <n v="2350612"/>
    <n v="0"/>
    <n v="0"/>
    <n v="0"/>
    <n v="0"/>
    <n v="2350612"/>
    <n v="0"/>
    <n v="0"/>
    <n v="0"/>
    <n v="0"/>
    <n v="2350612"/>
    <n v="0"/>
    <n v="0"/>
    <n v="0"/>
    <n v="0"/>
    <n v="2350612"/>
    <n v="0"/>
    <n v="0"/>
    <n v="0"/>
    <n v="0"/>
    <x v="58"/>
  </r>
  <r>
    <x v="0"/>
    <s v="Encargo"/>
    <x v="11"/>
    <x v="0"/>
    <n v="9490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59"/>
  </r>
  <r>
    <x v="11"/>
    <s v="Encargo"/>
    <x v="11"/>
    <x v="5"/>
    <n v="162800.00000000003"/>
    <n v="0"/>
    <n v="0"/>
    <n v="0"/>
    <n v="0"/>
    <n v="0"/>
    <n v="0"/>
    <n v="0"/>
    <n v="0"/>
    <n v="0"/>
    <n v="162800.00000000003"/>
    <n v="0"/>
    <n v="0"/>
    <n v="0"/>
    <n v="0"/>
    <n v="0"/>
    <n v="0"/>
    <n v="0"/>
    <n v="0"/>
    <n v="0"/>
    <n v="162800.00000000003"/>
    <n v="0"/>
    <n v="0"/>
    <n v="0"/>
    <n v="0"/>
    <n v="0"/>
    <n v="0"/>
    <n v="0"/>
    <n v="0"/>
    <n v="0"/>
    <x v="60"/>
  </r>
  <r>
    <x v="15"/>
    <s v="Encargo"/>
    <x v="12"/>
    <x v="1"/>
    <n v="1792067.2000000004"/>
    <n v="0"/>
    <n v="0"/>
    <n v="0"/>
    <n v="0"/>
    <n v="0"/>
    <n v="0"/>
    <n v="0"/>
    <n v="0"/>
    <n v="0"/>
    <n v="1792067.2000000004"/>
    <n v="0"/>
    <n v="0"/>
    <n v="0"/>
    <n v="0"/>
    <n v="0"/>
    <n v="0"/>
    <n v="0"/>
    <n v="0"/>
    <n v="0"/>
    <n v="1792067.2000000004"/>
    <n v="0"/>
    <n v="0"/>
    <n v="0"/>
    <n v="0"/>
    <n v="0"/>
    <n v="0"/>
    <n v="0"/>
    <n v="0"/>
    <n v="0"/>
    <x v="61"/>
  </r>
  <r>
    <x v="16"/>
    <s v="Encargo"/>
    <x v="12"/>
    <x v="1"/>
    <n v="974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46000"/>
    <n v="0"/>
    <n v="0"/>
    <n v="0"/>
    <n v="0"/>
    <n v="0"/>
    <n v="0"/>
    <n v="0"/>
    <n v="0"/>
    <n v="0"/>
    <x v="62"/>
  </r>
  <r>
    <x v="17"/>
    <s v="Encargo"/>
    <x v="12"/>
    <x v="1"/>
    <n v="0"/>
    <n v="1650000"/>
    <n v="1650000"/>
    <n v="165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3"/>
  </r>
  <r>
    <x v="18"/>
    <s v="Encargo"/>
    <x v="12"/>
    <x v="1"/>
    <n v="0"/>
    <n v="610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4"/>
  </r>
  <r>
    <x v="19"/>
    <s v="Encargo"/>
    <x v="12"/>
    <x v="2"/>
    <n v="754871.04"/>
    <n v="0"/>
    <n v="0"/>
    <n v="0"/>
    <n v="0"/>
    <n v="754871.04"/>
    <n v="0"/>
    <n v="0"/>
    <n v="0"/>
    <n v="0"/>
    <n v="754871.04"/>
    <n v="0"/>
    <n v="0"/>
    <n v="0"/>
    <n v="0"/>
    <n v="754871.04"/>
    <n v="0"/>
    <n v="0"/>
    <n v="0"/>
    <n v="0"/>
    <n v="754871.04"/>
    <n v="0"/>
    <n v="0"/>
    <n v="0"/>
    <n v="0"/>
    <n v="754871.04"/>
    <n v="0"/>
    <n v="0"/>
    <n v="0"/>
    <n v="0"/>
    <x v="65"/>
  </r>
  <r>
    <x v="20"/>
    <s v="Encargo"/>
    <x v="12"/>
    <x v="3"/>
    <n v="92642.000000000015"/>
    <n v="0"/>
    <n v="0"/>
    <n v="0"/>
    <n v="0"/>
    <n v="92642.000000000015"/>
    <n v="0"/>
    <n v="0"/>
    <n v="0"/>
    <n v="0"/>
    <n v="92642.000000000015"/>
    <n v="0"/>
    <n v="0"/>
    <n v="0"/>
    <n v="0"/>
    <n v="92642.000000000015"/>
    <n v="0"/>
    <n v="0"/>
    <n v="0"/>
    <n v="0"/>
    <n v="92642.000000000015"/>
    <n v="0"/>
    <n v="0"/>
    <n v="0"/>
    <n v="0"/>
    <n v="92642.000000000015"/>
    <n v="0"/>
    <n v="0"/>
    <n v="0"/>
    <n v="0"/>
    <x v="66"/>
  </r>
  <r>
    <x v="21"/>
    <s v="Encargo"/>
    <x v="11"/>
    <x v="6"/>
    <n v="495000.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7"/>
  </r>
  <r>
    <x v="22"/>
    <s v="Encargo"/>
    <x v="12"/>
    <x v="1"/>
    <n v="3398309.2000000007"/>
    <n v="3398309.2000000007"/>
    <n v="3398309.2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8"/>
  </r>
  <r>
    <x v="0"/>
    <s v="Operacional"/>
    <x v="4"/>
    <x v="0"/>
    <n v="73550.29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9"/>
  </r>
  <r>
    <x v="0"/>
    <s v="Operacional"/>
    <x v="3"/>
    <x v="0"/>
    <n v="73550.29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9"/>
  </r>
  <r>
    <x v="23"/>
    <s v="Encargo"/>
    <x v="12"/>
    <x v="1"/>
    <n v="3300000"/>
    <n v="3300000"/>
    <n v="33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0"/>
  </r>
  <r>
    <x v="24"/>
    <s v="Operacional"/>
    <x v="2"/>
    <x v="1"/>
    <n v="1680800"/>
    <n v="0"/>
    <n v="0"/>
    <n v="0"/>
    <n v="0"/>
    <n v="0"/>
    <n v="0"/>
    <n v="0"/>
    <n v="0"/>
    <n v="0"/>
    <n v="1680800"/>
    <n v="0"/>
    <n v="0"/>
    <n v="0"/>
    <n v="0"/>
    <n v="0"/>
    <n v="0"/>
    <n v="0"/>
    <n v="0"/>
    <n v="0"/>
    <n v="1680800"/>
    <n v="0"/>
    <n v="0"/>
    <n v="0"/>
    <n v="0"/>
    <n v="0"/>
    <n v="0"/>
    <n v="0"/>
    <n v="0"/>
    <n v="0"/>
    <x v="71"/>
  </r>
  <r>
    <x v="25"/>
    <s v="Operacional"/>
    <x v="2"/>
    <x v="1"/>
    <n v="27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2"/>
  </r>
  <r>
    <x v="26"/>
    <s v="Encargo"/>
    <x v="12"/>
    <x v="4"/>
    <n v="33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3"/>
  </r>
  <r>
    <x v="27"/>
    <s v="Encargo"/>
    <x v="13"/>
    <x v="1"/>
    <n v="148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4"/>
  </r>
  <r>
    <x v="28"/>
    <s v="Encargo"/>
    <x v="12"/>
    <x v="0"/>
    <n v="1731990.7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5"/>
  </r>
  <r>
    <x v="0"/>
    <s v="Encargo"/>
    <x v="12"/>
    <x v="0"/>
    <n v="237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9"/>
  </r>
  <r>
    <x v="29"/>
    <s v="Encargo"/>
    <x v="14"/>
    <x v="1"/>
    <n v="646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6"/>
  </r>
  <r>
    <x v="0"/>
    <s v="Encargo"/>
    <x v="12"/>
    <x v="0"/>
    <n v="73550.29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69"/>
  </r>
  <r>
    <x v="28"/>
    <s v="Encargo"/>
    <x v="12"/>
    <x v="0"/>
    <n v="37961.44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77"/>
  </r>
  <r>
    <x v="30"/>
    <s v="Encargo"/>
    <x v="12"/>
    <x v="4"/>
    <n v="43560.000000000007"/>
    <n v="0"/>
    <n v="0"/>
    <n v="43560.000000000007"/>
    <n v="0"/>
    <n v="0"/>
    <n v="43560.000000000007"/>
    <n v="0"/>
    <n v="0"/>
    <n v="43560.000000000007"/>
    <n v="0"/>
    <n v="0"/>
    <n v="43560.000000000007"/>
    <n v="0"/>
    <n v="0"/>
    <n v="43560.000000000007"/>
    <n v="0"/>
    <n v="0"/>
    <n v="43560.000000000007"/>
    <n v="0"/>
    <n v="0"/>
    <n v="43560.000000000007"/>
    <n v="0"/>
    <n v="0"/>
    <n v="43560.000000000007"/>
    <n v="0"/>
    <n v="0"/>
    <n v="43560.000000000007"/>
    <n v="0"/>
    <n v="0"/>
    <x v="78"/>
  </r>
  <r>
    <x v="31"/>
    <s v="Operacional"/>
    <x v="2"/>
    <x v="2"/>
    <n v="330000"/>
    <n v="0"/>
    <n v="0"/>
    <n v="0"/>
    <n v="0"/>
    <n v="0"/>
    <n v="0"/>
    <n v="0"/>
    <n v="0"/>
    <n v="0"/>
    <n v="330000"/>
    <n v="0"/>
    <n v="0"/>
    <n v="0"/>
    <n v="0"/>
    <n v="0"/>
    <n v="0"/>
    <n v="0"/>
    <n v="0"/>
    <n v="0"/>
    <n v="330000"/>
    <n v="0"/>
    <n v="0"/>
    <n v="0"/>
    <n v="0"/>
    <n v="0"/>
    <n v="0"/>
    <n v="0"/>
    <n v="0"/>
    <n v="0"/>
    <x v="79"/>
  </r>
  <r>
    <x v="32"/>
    <s v="Encargo"/>
    <x v="13"/>
    <x v="0"/>
    <n v="248930.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0"/>
  </r>
  <r>
    <x v="33"/>
    <s v="Encargo"/>
    <x v="13"/>
    <x v="0"/>
    <n v="8500.8000000000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1"/>
  </r>
  <r>
    <x v="34"/>
    <s v="Encargo"/>
    <x v="12"/>
    <x v="1"/>
    <n v="2381133.333333334"/>
    <n v="2381133.333333334"/>
    <n v="2381133.3333333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2"/>
  </r>
  <r>
    <x v="0"/>
    <s v="Encargo"/>
    <x v="11"/>
    <x v="0"/>
    <n v="1028122.3333333334"/>
    <n v="1028122.3333333334"/>
    <n v="1028122.33333333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3"/>
  </r>
  <r>
    <x v="28"/>
    <s v="Encargo"/>
    <x v="11"/>
    <x v="0"/>
    <n v="830406.5"/>
    <n v="830406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x v="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B00-000000000000}" name="Tabela dinâmica1" cacheId="1666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39" firstHeaderRow="1" firstDataRow="1" firstDataCol="1"/>
  <pivotFields count="35">
    <pivotField axis="axisRow" showAll="0" sortType="descending">
      <items count="36">
        <item x="9"/>
        <item x="30"/>
        <item x="33"/>
        <item x="32"/>
        <item x="19"/>
        <item x="14"/>
        <item x="3"/>
        <item x="17"/>
        <item x="16"/>
        <item x="23"/>
        <item x="0"/>
        <item x="5"/>
        <item x="26"/>
        <item x="29"/>
        <item x="4"/>
        <item x="25"/>
        <item x="13"/>
        <item x="21"/>
        <item x="31"/>
        <item x="10"/>
        <item x="11"/>
        <item x="12"/>
        <item x="2"/>
        <item x="8"/>
        <item x="24"/>
        <item x="22"/>
        <item x="34"/>
        <item x="7"/>
        <item x="6"/>
        <item x="18"/>
        <item x="27"/>
        <item x="20"/>
        <item x="28"/>
        <item x="15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86">
        <item x="12"/>
        <item x="17"/>
        <item x="54"/>
        <item x="14"/>
        <item x="22"/>
        <item x="42"/>
        <item x="18"/>
        <item x="81"/>
        <item x="21"/>
        <item x="29"/>
        <item x="38"/>
        <item x="1"/>
        <item x="27"/>
        <item x="15"/>
        <item x="55"/>
        <item x="20"/>
        <item x="19"/>
        <item x="16"/>
        <item x="3"/>
        <item x="28"/>
        <item x="35"/>
        <item x="77"/>
        <item x="50"/>
        <item x="45"/>
        <item x="47"/>
        <item x="8"/>
        <item x="44"/>
        <item x="56"/>
        <item x="30"/>
        <item x="69"/>
        <item x="0"/>
        <item x="25"/>
        <item x="40"/>
        <item x="52"/>
        <item x="13"/>
        <item x="26"/>
        <item x="24"/>
        <item x="41"/>
        <item x="33"/>
        <item x="43"/>
        <item x="74"/>
        <item x="6"/>
        <item x="23"/>
        <item x="31"/>
        <item x="37"/>
        <item x="9"/>
        <item x="80"/>
        <item x="34"/>
        <item x="72"/>
        <item x="46"/>
        <item x="39"/>
        <item x="73"/>
        <item x="78"/>
        <item x="60"/>
        <item x="67"/>
        <item x="10"/>
        <item x="2"/>
        <item x="51"/>
        <item x="36"/>
        <item x="66"/>
        <item x="76"/>
        <item x="53"/>
        <item x="5"/>
        <item x="32"/>
        <item x="59"/>
        <item x="49"/>
        <item x="48"/>
        <item x="79"/>
        <item x="11"/>
        <item x="84"/>
        <item x="7"/>
        <item x="75"/>
        <item x="83"/>
        <item x="4"/>
        <item x="65"/>
        <item x="57"/>
        <item x="63"/>
        <item x="71"/>
        <item x="61"/>
        <item x="64"/>
        <item x="82"/>
        <item x="70"/>
        <item x="68"/>
        <item x="58"/>
        <item x="62"/>
        <item t="default"/>
      </items>
    </pivotField>
  </pivotFields>
  <rowFields count="1">
    <field x="0"/>
  </rowFields>
  <rowItems count="36">
    <i>
      <x v="8"/>
    </i>
    <i>
      <x v="5"/>
    </i>
    <i>
      <x v="25"/>
    </i>
    <i>
      <x v="9"/>
    </i>
    <i>
      <x v="10"/>
    </i>
    <i>
      <x v="26"/>
    </i>
    <i>
      <x v="29"/>
    </i>
    <i>
      <x v="33"/>
    </i>
    <i>
      <x v="24"/>
    </i>
    <i>
      <x v="7"/>
    </i>
    <i>
      <x v="16"/>
    </i>
    <i>
      <x v="4"/>
    </i>
    <i>
      <x v="6"/>
    </i>
    <i>
      <x v="32"/>
    </i>
    <i>
      <x v="22"/>
    </i>
    <i>
      <x v="20"/>
    </i>
    <i>
      <x v="27"/>
    </i>
    <i>
      <x v="21"/>
    </i>
    <i>
      <x v="18"/>
    </i>
    <i>
      <x v="14"/>
    </i>
    <i>
      <x v="13"/>
    </i>
    <i>
      <x v="31"/>
    </i>
    <i>
      <x v="17"/>
    </i>
    <i>
      <x v="1"/>
    </i>
    <i>
      <x v="12"/>
    </i>
    <i>
      <x v="15"/>
    </i>
    <i>
      <x v="23"/>
    </i>
    <i>
      <x v="3"/>
    </i>
    <i>
      <x v="34"/>
    </i>
    <i>
      <x v="30"/>
    </i>
    <i>
      <x v="28"/>
    </i>
    <i>
      <x/>
    </i>
    <i>
      <x v="19"/>
    </i>
    <i>
      <x v="11"/>
    </i>
    <i>
      <x v="2"/>
    </i>
    <i t="grand">
      <x/>
    </i>
  </rowItems>
  <colItems count="1">
    <i/>
  </colItems>
  <dataFields count="1">
    <dataField name="Soma de Total" fld="34" baseField="0" baseItem="0" numFmtId="183"/>
  </dataFields>
  <formats count="2">
    <format dxfId="44">
      <pivotArea outline="0" collapsedLevelsAreSubtotals="1" fieldPosition="0"/>
    </format>
    <format dxfId="45">
      <pivotArea dataOnly="0" labelOnly="1" outline="0" axis="axisValues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C00-000000000000}" name="Tabela dinâmica2" cacheId="1666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5">
  <location ref="A3:B11" firstHeaderRow="1" firstDataRow="1" firstDataCol="1"/>
  <pivotFields count="35">
    <pivotField showAll="0"/>
    <pivotField showAll="0"/>
    <pivotField showAll="0"/>
    <pivotField axis="axisRow" showAll="0" sortType="descending">
      <items count="8">
        <item x="0"/>
        <item x="2"/>
        <item x="1"/>
        <item x="5"/>
        <item x="4"/>
        <item x="6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86">
        <item x="12"/>
        <item x="17"/>
        <item x="54"/>
        <item x="14"/>
        <item x="22"/>
        <item x="42"/>
        <item x="18"/>
        <item x="81"/>
        <item x="21"/>
        <item x="29"/>
        <item x="38"/>
        <item x="1"/>
        <item x="27"/>
        <item x="15"/>
        <item x="55"/>
        <item x="20"/>
        <item x="19"/>
        <item x="16"/>
        <item x="3"/>
        <item x="28"/>
        <item x="35"/>
        <item x="77"/>
        <item x="50"/>
        <item x="45"/>
        <item x="47"/>
        <item x="8"/>
        <item x="44"/>
        <item x="56"/>
        <item x="30"/>
        <item x="69"/>
        <item x="0"/>
        <item x="25"/>
        <item x="40"/>
        <item x="52"/>
        <item x="13"/>
        <item x="26"/>
        <item x="24"/>
        <item x="41"/>
        <item x="33"/>
        <item x="43"/>
        <item x="74"/>
        <item x="6"/>
        <item x="23"/>
        <item x="31"/>
        <item x="37"/>
        <item x="9"/>
        <item x="80"/>
        <item x="34"/>
        <item x="72"/>
        <item x="46"/>
        <item x="39"/>
        <item x="73"/>
        <item x="78"/>
        <item x="60"/>
        <item x="67"/>
        <item x="10"/>
        <item x="2"/>
        <item x="51"/>
        <item x="36"/>
        <item x="66"/>
        <item x="76"/>
        <item x="53"/>
        <item x="5"/>
        <item x="32"/>
        <item x="59"/>
        <item x="49"/>
        <item x="48"/>
        <item x="79"/>
        <item x="11"/>
        <item x="84"/>
        <item x="7"/>
        <item x="75"/>
        <item x="83"/>
        <item x="4"/>
        <item x="65"/>
        <item x="57"/>
        <item x="63"/>
        <item x="71"/>
        <item x="61"/>
        <item x="64"/>
        <item x="82"/>
        <item x="70"/>
        <item x="68"/>
        <item x="58"/>
        <item x="62"/>
        <item t="default"/>
      </items>
    </pivotField>
  </pivotFields>
  <rowFields count="1">
    <field x="3"/>
  </rowFields>
  <rowItems count="8">
    <i>
      <x v="2"/>
    </i>
    <i>
      <x v="6"/>
    </i>
    <i>
      <x/>
    </i>
    <i>
      <x v="1"/>
    </i>
    <i>
      <x v="3"/>
    </i>
    <i>
      <x v="4"/>
    </i>
    <i>
      <x v="5"/>
    </i>
    <i t="grand">
      <x/>
    </i>
  </rowItems>
  <colItems count="1">
    <i/>
  </colItems>
  <dataFields count="1">
    <dataField name="Soma de Total" fld="34" baseField="0" baseItem="0" numFmtId="183"/>
  </dataFields>
  <formats count="1">
    <format dxfId="43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2"/>
          </reference>
        </references>
      </pivotArea>
    </chartFormat>
  </chart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D00-000000000000}" name="Tabela dinâmica3" cacheId="1666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19" firstHeaderRow="1" firstDataRow="1" firstDataCol="1"/>
  <pivotFields count="35">
    <pivotField showAll="0"/>
    <pivotField showAll="0"/>
    <pivotField axis="axisRow" showAll="0" sortType="descending">
      <items count="16">
        <item x="11"/>
        <item x="13"/>
        <item x="0"/>
        <item x="12"/>
        <item x="14"/>
        <item x="1"/>
        <item x="2"/>
        <item x="3"/>
        <item x="4"/>
        <item x="5"/>
        <item x="6"/>
        <item x="7"/>
        <item x="8"/>
        <item x="9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86">
        <item x="12"/>
        <item x="17"/>
        <item x="54"/>
        <item x="14"/>
        <item x="22"/>
        <item x="42"/>
        <item x="18"/>
        <item x="81"/>
        <item x="21"/>
        <item x="29"/>
        <item x="38"/>
        <item x="1"/>
        <item x="27"/>
        <item x="15"/>
        <item x="55"/>
        <item x="20"/>
        <item x="19"/>
        <item x="16"/>
        <item x="3"/>
        <item x="28"/>
        <item x="35"/>
        <item x="77"/>
        <item x="50"/>
        <item x="45"/>
        <item x="47"/>
        <item x="8"/>
        <item x="44"/>
        <item x="56"/>
        <item x="30"/>
        <item x="69"/>
        <item x="0"/>
        <item x="25"/>
        <item x="40"/>
        <item x="52"/>
        <item x="13"/>
        <item x="26"/>
        <item x="24"/>
        <item x="41"/>
        <item x="33"/>
        <item x="43"/>
        <item x="74"/>
        <item x="6"/>
        <item x="23"/>
        <item x="31"/>
        <item x="37"/>
        <item x="9"/>
        <item x="80"/>
        <item x="34"/>
        <item x="72"/>
        <item x="46"/>
        <item x="39"/>
        <item x="73"/>
        <item x="78"/>
        <item x="60"/>
        <item x="67"/>
        <item x="10"/>
        <item x="2"/>
        <item x="51"/>
        <item x="36"/>
        <item x="66"/>
        <item x="76"/>
        <item x="53"/>
        <item x="5"/>
        <item x="32"/>
        <item x="59"/>
        <item x="49"/>
        <item x="48"/>
        <item x="79"/>
        <item x="11"/>
        <item x="84"/>
        <item x="7"/>
        <item x="75"/>
        <item x="83"/>
        <item x="4"/>
        <item x="65"/>
        <item x="57"/>
        <item x="63"/>
        <item x="71"/>
        <item x="61"/>
        <item x="64"/>
        <item x="82"/>
        <item x="70"/>
        <item x="68"/>
        <item x="58"/>
        <item x="62"/>
        <item t="default"/>
      </items>
    </pivotField>
  </pivotFields>
  <rowFields count="1">
    <field x="2"/>
  </rowFields>
  <rowItems count="16">
    <i>
      <x v="3"/>
    </i>
    <i>
      <x/>
    </i>
    <i>
      <x v="6"/>
    </i>
    <i>
      <x v="5"/>
    </i>
    <i>
      <x v="10"/>
    </i>
    <i>
      <x v="11"/>
    </i>
    <i>
      <x v="13"/>
    </i>
    <i>
      <x v="4"/>
    </i>
    <i>
      <x v="7"/>
    </i>
    <i>
      <x v="2"/>
    </i>
    <i>
      <x v="12"/>
    </i>
    <i>
      <x v="8"/>
    </i>
    <i>
      <x v="1"/>
    </i>
    <i>
      <x v="9"/>
    </i>
    <i>
      <x v="14"/>
    </i>
    <i t="grand">
      <x/>
    </i>
  </rowItems>
  <colItems count="1">
    <i/>
  </colItems>
  <dataFields count="1">
    <dataField name="Soma de Total" fld="34" baseField="0" baseItem="0" numFmtId="183"/>
  </dataFields>
  <formats count="3">
    <format dxfId="40">
      <pivotArea outline="0" collapsedLevelsAreSubtotals="1" fieldPosition="0"/>
    </format>
    <format dxfId="41">
      <pivotArea dataOnly="0" labelOnly="1" outline="0" axis="axisValues" fieldPosition="0"/>
    </format>
    <format dxfId="42">
      <pivotArea dataOnly="0" labelOnly="1" fieldPosition="0">
        <references count="1">
          <reference field="2" count="1">
            <x v="7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K6">
  <tableColumns count="11">
    <tableColumn id="1" xr3:uid="{00000000-0010-0000-0000-000001000000}" name="Função"/>
    <tableColumn id="2" xr3:uid="{00000000-0010-0000-0000-000002000000}" name="Preá"/>
    <tableColumn id="3" xr3:uid="{00000000-0010-0000-0000-000003000000}" name="Mangue Seco"/>
    <tableColumn id="4" xr3:uid="{00000000-0010-0000-0000-000004000000}" name="Lagoa Grande"/>
    <tableColumn id="5" xr3:uid="{00000000-0010-0000-0000-000005000000}" name="Guriú (móvel)"/>
    <tableColumn id="6" xr3:uid="{00000000-0010-0000-0000-000006000000}" name="Serrote"/>
    <tableColumn id="7" xr3:uid="{00000000-0010-0000-0000-000007000000}" name="Pedra Furada"/>
    <tableColumn id="8" xr3:uid="{00000000-0010-0000-0000-000008000000}" name="Árvore da Preguiça"/>
    <tableColumn id="9" xr3:uid="{00000000-0010-0000-0000-000009000000}" name="Silveira"/>
    <tableColumn id="10" xr3:uid="{00000000-0010-0000-0000-00000A000000}" name="Paraíso"/>
    <tableColumn id="11" xr3:uid="{00000000-0010-0000-0000-00000B000000}" name="TOTAL"/>
  </tableColumns>
  <tableStyleInfo name="Memória Pessoal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25" dT="2022-02-05T14:48:43.87" personId="{B001F001-51D2-3048-8107-4DF6AB9D6A9B}" id="{0762B22D-57AF-BD48-9DAC-057E17AE459C}">
    <text xml:space="preserve">Incluir remuneração do BNDES + B3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Relationship Id="rId4" Type="http://schemas.microsoft.com/office/2017/10/relationships/threadedComment" Target="../threadedComments/threadedComment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9"/>
  <dimension ref="A1:D44"/>
  <sheetViews>
    <sheetView workbookViewId="0">
      <selection activeCell="C22" sqref="C22"/>
    </sheetView>
  </sheetViews>
  <sheetFormatPr defaultColWidth="8.77734375" defaultRowHeight="15.6"/>
  <sheetData>
    <row r="1" spans="1:4">
      <c r="A1" s="402" t="s">
        <v>0</v>
      </c>
      <c r="B1" s="402" t="s">
        <v>1</v>
      </c>
      <c r="C1" t="s">
        <v>2</v>
      </c>
      <c r="D1" t="s">
        <v>3</v>
      </c>
    </row>
    <row r="2" spans="1:4">
      <c r="A2" s="400">
        <v>-100000</v>
      </c>
      <c r="B2" s="400">
        <v>0</v>
      </c>
      <c r="C2">
        <f>B2/$B$44</f>
        <v>0</v>
      </c>
      <c r="D2">
        <f>C2</f>
        <v>0</v>
      </c>
    </row>
    <row r="3" spans="1:4">
      <c r="A3" s="400">
        <v>-95000</v>
      </c>
      <c r="B3" s="400">
        <v>0</v>
      </c>
      <c r="C3">
        <f t="shared" ref="C3:C43" si="0">B3/$B$44</f>
        <v>0</v>
      </c>
      <c r="D3">
        <f>D2+C3</f>
        <v>0</v>
      </c>
    </row>
    <row r="4" spans="1:4">
      <c r="A4" s="400">
        <v>-90000</v>
      </c>
      <c r="B4" s="400">
        <v>0</v>
      </c>
      <c r="C4">
        <f t="shared" si="0"/>
        <v>0</v>
      </c>
      <c r="D4">
        <f t="shared" ref="D4:D43" si="1">D3+C4</f>
        <v>0</v>
      </c>
    </row>
    <row r="5" spans="1:4">
      <c r="A5" s="400">
        <v>-85000</v>
      </c>
      <c r="B5" s="400">
        <v>0</v>
      </c>
      <c r="C5">
        <f t="shared" si="0"/>
        <v>0</v>
      </c>
      <c r="D5">
        <f t="shared" si="1"/>
        <v>0</v>
      </c>
    </row>
    <row r="6" spans="1:4">
      <c r="A6" s="400">
        <v>-80000</v>
      </c>
      <c r="B6" s="400">
        <v>0</v>
      </c>
      <c r="C6">
        <f t="shared" si="0"/>
        <v>0</v>
      </c>
      <c r="D6">
        <f t="shared" si="1"/>
        <v>0</v>
      </c>
    </row>
    <row r="7" spans="1:4">
      <c r="A7" s="400">
        <v>-75000</v>
      </c>
      <c r="B7" s="400">
        <v>0</v>
      </c>
      <c r="C7">
        <f t="shared" si="0"/>
        <v>0</v>
      </c>
      <c r="D7">
        <f t="shared" si="1"/>
        <v>0</v>
      </c>
    </row>
    <row r="8" spans="1:4">
      <c r="A8" s="400">
        <v>-70000</v>
      </c>
      <c r="B8" s="400">
        <v>0</v>
      </c>
      <c r="C8">
        <f t="shared" si="0"/>
        <v>0</v>
      </c>
      <c r="D8">
        <f t="shared" si="1"/>
        <v>0</v>
      </c>
    </row>
    <row r="9" spans="1:4">
      <c r="A9" s="400">
        <v>-65000</v>
      </c>
      <c r="B9" s="400">
        <v>0</v>
      </c>
      <c r="C9">
        <f t="shared" si="0"/>
        <v>0</v>
      </c>
      <c r="D9">
        <f t="shared" si="1"/>
        <v>0</v>
      </c>
    </row>
    <row r="10" spans="1:4">
      <c r="A10" s="400">
        <v>-60000</v>
      </c>
      <c r="B10" s="400">
        <v>0</v>
      </c>
      <c r="C10">
        <f t="shared" si="0"/>
        <v>0</v>
      </c>
      <c r="D10">
        <f t="shared" si="1"/>
        <v>0</v>
      </c>
    </row>
    <row r="11" spans="1:4">
      <c r="A11" s="400">
        <v>-55000</v>
      </c>
      <c r="B11" s="400">
        <v>0</v>
      </c>
      <c r="C11">
        <f t="shared" si="0"/>
        <v>0</v>
      </c>
      <c r="D11">
        <f t="shared" si="1"/>
        <v>0</v>
      </c>
    </row>
    <row r="12" spans="1:4">
      <c r="A12" s="400">
        <v>-50000</v>
      </c>
      <c r="B12" s="400">
        <v>0</v>
      </c>
      <c r="C12">
        <f t="shared" si="0"/>
        <v>0</v>
      </c>
      <c r="D12">
        <f t="shared" si="1"/>
        <v>0</v>
      </c>
    </row>
    <row r="13" spans="1:4">
      <c r="A13" s="400">
        <v>-45000</v>
      </c>
      <c r="B13" s="400">
        <v>0</v>
      </c>
      <c r="C13">
        <f t="shared" si="0"/>
        <v>0</v>
      </c>
      <c r="D13">
        <f t="shared" si="1"/>
        <v>0</v>
      </c>
    </row>
    <row r="14" spans="1:4">
      <c r="A14" s="400">
        <v>-40000</v>
      </c>
      <c r="B14" s="400">
        <v>9</v>
      </c>
      <c r="C14">
        <f t="shared" si="0"/>
        <v>8.9999999999999998E-4</v>
      </c>
      <c r="D14">
        <f t="shared" si="1"/>
        <v>8.9999999999999998E-4</v>
      </c>
    </row>
    <row r="15" spans="1:4">
      <c r="A15" s="400">
        <v>-35000</v>
      </c>
      <c r="B15" s="400">
        <v>68</v>
      </c>
      <c r="C15">
        <f t="shared" si="0"/>
        <v>6.7999999999999996E-3</v>
      </c>
      <c r="D15">
        <f t="shared" si="1"/>
        <v>7.6999999999999994E-3</v>
      </c>
    </row>
    <row r="16" spans="1:4">
      <c r="A16" s="400">
        <v>-30000</v>
      </c>
      <c r="B16" s="400">
        <v>155</v>
      </c>
      <c r="C16">
        <f t="shared" si="0"/>
        <v>1.55E-2</v>
      </c>
      <c r="D16">
        <f t="shared" si="1"/>
        <v>2.3199999999999998E-2</v>
      </c>
    </row>
    <row r="17" spans="1:4">
      <c r="A17" s="400">
        <v>-25000</v>
      </c>
      <c r="B17" s="400">
        <v>221</v>
      </c>
      <c r="C17">
        <f t="shared" si="0"/>
        <v>2.2100000000000002E-2</v>
      </c>
      <c r="D17">
        <f t="shared" si="1"/>
        <v>4.53E-2</v>
      </c>
    </row>
    <row r="18" spans="1:4">
      <c r="A18" s="400">
        <v>-20000</v>
      </c>
      <c r="B18" s="400">
        <v>350</v>
      </c>
      <c r="C18">
        <f t="shared" si="0"/>
        <v>3.5000000000000003E-2</v>
      </c>
      <c r="D18">
        <f t="shared" si="1"/>
        <v>8.030000000000001E-2</v>
      </c>
    </row>
    <row r="19" spans="1:4">
      <c r="A19" s="400">
        <v>-15000</v>
      </c>
      <c r="B19" s="400">
        <v>457</v>
      </c>
      <c r="C19">
        <f t="shared" si="0"/>
        <v>4.5699999999999998E-2</v>
      </c>
      <c r="D19">
        <f t="shared" si="1"/>
        <v>0.126</v>
      </c>
    </row>
    <row r="20" spans="1:4">
      <c r="A20" s="400">
        <v>-10000</v>
      </c>
      <c r="B20" s="400">
        <v>557</v>
      </c>
      <c r="C20">
        <f t="shared" si="0"/>
        <v>5.57E-2</v>
      </c>
      <c r="D20">
        <f t="shared" si="1"/>
        <v>0.1817</v>
      </c>
    </row>
    <row r="21" spans="1:4">
      <c r="A21" s="400">
        <v>-5000</v>
      </c>
      <c r="B21" s="400">
        <v>647</v>
      </c>
      <c r="C21">
        <f t="shared" si="0"/>
        <v>6.4699999999999994E-2</v>
      </c>
      <c r="D21">
        <f t="shared" si="1"/>
        <v>0.24640000000000001</v>
      </c>
    </row>
    <row r="22" spans="1:4">
      <c r="A22" s="400">
        <v>0</v>
      </c>
      <c r="B22" s="400">
        <v>679</v>
      </c>
      <c r="C22">
        <f t="shared" si="0"/>
        <v>6.7900000000000002E-2</v>
      </c>
      <c r="D22">
        <f t="shared" si="1"/>
        <v>0.31430000000000002</v>
      </c>
    </row>
    <row r="23" spans="1:4">
      <c r="A23" s="400">
        <v>5000</v>
      </c>
      <c r="B23" s="400">
        <v>679</v>
      </c>
      <c r="C23">
        <f t="shared" si="0"/>
        <v>6.7900000000000002E-2</v>
      </c>
      <c r="D23">
        <f t="shared" si="1"/>
        <v>0.38220000000000004</v>
      </c>
    </row>
    <row r="24" spans="1:4">
      <c r="A24" s="400">
        <v>10000</v>
      </c>
      <c r="B24" s="400">
        <v>716</v>
      </c>
      <c r="C24">
        <f t="shared" si="0"/>
        <v>7.1599999999999997E-2</v>
      </c>
      <c r="D24">
        <f t="shared" si="1"/>
        <v>0.45380000000000004</v>
      </c>
    </row>
    <row r="25" spans="1:4">
      <c r="A25" s="400">
        <v>15000</v>
      </c>
      <c r="B25" s="400">
        <v>680</v>
      </c>
      <c r="C25">
        <f t="shared" si="0"/>
        <v>6.8000000000000005E-2</v>
      </c>
      <c r="D25">
        <f t="shared" si="1"/>
        <v>0.52180000000000004</v>
      </c>
    </row>
    <row r="26" spans="1:4">
      <c r="A26" s="400">
        <v>20000</v>
      </c>
      <c r="B26" s="400">
        <v>686</v>
      </c>
      <c r="C26">
        <f t="shared" si="0"/>
        <v>6.8599999999999994E-2</v>
      </c>
      <c r="D26">
        <f t="shared" si="1"/>
        <v>0.59040000000000004</v>
      </c>
    </row>
    <row r="27" spans="1:4">
      <c r="A27" s="400">
        <v>25000</v>
      </c>
      <c r="B27" s="400">
        <v>668</v>
      </c>
      <c r="C27">
        <f t="shared" si="0"/>
        <v>6.6799999999999998E-2</v>
      </c>
      <c r="D27">
        <f t="shared" si="1"/>
        <v>0.65720000000000001</v>
      </c>
    </row>
    <row r="28" spans="1:4">
      <c r="A28" s="400">
        <v>30000</v>
      </c>
      <c r="B28" s="400">
        <v>617</v>
      </c>
      <c r="C28">
        <f t="shared" si="0"/>
        <v>6.1699999999999998E-2</v>
      </c>
      <c r="D28">
        <f t="shared" si="1"/>
        <v>0.71889999999999998</v>
      </c>
    </row>
    <row r="29" spans="1:4">
      <c r="A29" s="400">
        <v>35000</v>
      </c>
      <c r="B29" s="400">
        <v>616</v>
      </c>
      <c r="C29">
        <f t="shared" si="0"/>
        <v>6.1600000000000002E-2</v>
      </c>
      <c r="D29">
        <f t="shared" si="1"/>
        <v>0.78049999999999997</v>
      </c>
    </row>
    <row r="30" spans="1:4">
      <c r="A30" s="400">
        <v>40000</v>
      </c>
      <c r="B30" s="400">
        <v>534</v>
      </c>
      <c r="C30">
        <f t="shared" si="0"/>
        <v>5.3400000000000003E-2</v>
      </c>
      <c r="D30">
        <f t="shared" si="1"/>
        <v>0.83389999999999997</v>
      </c>
    </row>
    <row r="31" spans="1:4">
      <c r="A31" s="400">
        <v>45000</v>
      </c>
      <c r="B31" s="400">
        <v>456</v>
      </c>
      <c r="C31">
        <f t="shared" si="0"/>
        <v>4.5600000000000002E-2</v>
      </c>
      <c r="D31">
        <f t="shared" si="1"/>
        <v>0.87949999999999995</v>
      </c>
    </row>
    <row r="32" spans="1:4">
      <c r="A32" s="400">
        <v>50000</v>
      </c>
      <c r="B32" s="400">
        <v>357</v>
      </c>
      <c r="C32">
        <f t="shared" si="0"/>
        <v>3.5700000000000003E-2</v>
      </c>
      <c r="D32">
        <f t="shared" si="1"/>
        <v>0.9151999999999999</v>
      </c>
    </row>
    <row r="33" spans="1:4">
      <c r="A33" s="400">
        <v>55000</v>
      </c>
      <c r="B33" s="400">
        <v>268</v>
      </c>
      <c r="C33">
        <f t="shared" si="0"/>
        <v>2.6800000000000001E-2</v>
      </c>
      <c r="D33">
        <f t="shared" si="1"/>
        <v>0.94199999999999995</v>
      </c>
    </row>
    <row r="34" spans="1:4">
      <c r="A34" s="400">
        <v>60000</v>
      </c>
      <c r="B34" s="400">
        <v>203</v>
      </c>
      <c r="C34">
        <f t="shared" si="0"/>
        <v>2.0299999999999999E-2</v>
      </c>
      <c r="D34">
        <f t="shared" si="1"/>
        <v>0.96229999999999993</v>
      </c>
    </row>
    <row r="35" spans="1:4">
      <c r="A35" s="400">
        <v>65000</v>
      </c>
      <c r="B35" s="400">
        <v>166</v>
      </c>
      <c r="C35">
        <f t="shared" si="0"/>
        <v>1.66E-2</v>
      </c>
      <c r="D35">
        <f t="shared" si="1"/>
        <v>0.97889999999999988</v>
      </c>
    </row>
    <row r="36" spans="1:4">
      <c r="A36" s="400">
        <v>70000</v>
      </c>
      <c r="B36" s="400">
        <v>103</v>
      </c>
      <c r="C36">
        <f t="shared" si="0"/>
        <v>1.03E-2</v>
      </c>
      <c r="D36">
        <f t="shared" si="1"/>
        <v>0.98919999999999986</v>
      </c>
    </row>
    <row r="37" spans="1:4">
      <c r="A37" s="400">
        <v>75000</v>
      </c>
      <c r="B37" s="400">
        <v>67</v>
      </c>
      <c r="C37">
        <f t="shared" si="0"/>
        <v>6.7000000000000002E-3</v>
      </c>
      <c r="D37">
        <f t="shared" si="1"/>
        <v>0.9958999999999999</v>
      </c>
    </row>
    <row r="38" spans="1:4">
      <c r="A38" s="400">
        <v>80000</v>
      </c>
      <c r="B38" s="400">
        <v>31</v>
      </c>
      <c r="C38">
        <f t="shared" si="0"/>
        <v>3.0999999999999999E-3</v>
      </c>
      <c r="D38">
        <f t="shared" si="1"/>
        <v>0.99899999999999989</v>
      </c>
    </row>
    <row r="39" spans="1:4">
      <c r="A39" s="400">
        <v>85000</v>
      </c>
      <c r="B39" s="400">
        <v>9</v>
      </c>
      <c r="C39">
        <f t="shared" si="0"/>
        <v>8.9999999999999998E-4</v>
      </c>
      <c r="D39">
        <f t="shared" si="1"/>
        <v>0.9998999999999999</v>
      </c>
    </row>
    <row r="40" spans="1:4">
      <c r="A40" s="400">
        <v>90000</v>
      </c>
      <c r="B40" s="400">
        <v>1</v>
      </c>
      <c r="C40">
        <f t="shared" si="0"/>
        <v>1E-4</v>
      </c>
      <c r="D40">
        <f t="shared" si="1"/>
        <v>0.99999999999999989</v>
      </c>
    </row>
    <row r="41" spans="1:4">
      <c r="A41" s="400">
        <v>95000</v>
      </c>
      <c r="B41" s="400">
        <v>0</v>
      </c>
      <c r="C41">
        <f t="shared" si="0"/>
        <v>0</v>
      </c>
      <c r="D41">
        <f t="shared" si="1"/>
        <v>0.99999999999999989</v>
      </c>
    </row>
    <row r="42" spans="1:4">
      <c r="A42" s="400">
        <v>100000</v>
      </c>
      <c r="B42" s="400">
        <v>0</v>
      </c>
      <c r="C42">
        <f t="shared" si="0"/>
        <v>0</v>
      </c>
      <c r="D42">
        <f t="shared" si="1"/>
        <v>0.99999999999999989</v>
      </c>
    </row>
    <row r="43" spans="1:4" ht="15.95" thickBot="1">
      <c r="A43" s="401" t="s">
        <v>4</v>
      </c>
      <c r="B43" s="401">
        <v>0</v>
      </c>
      <c r="C43">
        <f t="shared" si="0"/>
        <v>0</v>
      </c>
      <c r="D43">
        <f t="shared" si="1"/>
        <v>0.99999999999999989</v>
      </c>
    </row>
    <row r="44" spans="1:4">
      <c r="B44">
        <f>SUM(B2:B43)</f>
        <v>10000</v>
      </c>
      <c r="C44">
        <f>SUM(C2:C43)</f>
        <v>0.99999999999999989</v>
      </c>
    </row>
  </sheetData>
  <sortState xmlns:xlrd2="http://schemas.microsoft.com/office/spreadsheetml/2017/richdata2" ref="A2:A42">
    <sortCondition ref="A2"/>
  </sortState>
  <pageMargins left="0.511811024" right="0.511811024" top="0.78740157499999996" bottom="0.78740157499999996" header="0.31496062000000002" footer="0.31496062000000002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0" filterMode="1">
    <tabColor rgb="FFFFC000"/>
  </sheetPr>
  <dimension ref="A1:M135"/>
  <sheetViews>
    <sheetView workbookViewId="0"/>
  </sheetViews>
  <sheetFormatPr defaultColWidth="11.44140625" defaultRowHeight="15" customHeight="1"/>
  <cols>
    <col min="1" max="1" width="3" customWidth="1"/>
    <col min="2" max="2" width="33.5546875" customWidth="1"/>
    <col min="3" max="3" width="17.21875" customWidth="1"/>
    <col min="4" max="4" width="46.5546875" customWidth="1"/>
    <col min="5" max="5" width="12.44140625" customWidth="1"/>
    <col min="6" max="6" width="14.21875" customWidth="1"/>
    <col min="7" max="10" width="11.44140625" customWidth="1"/>
    <col min="11" max="11" width="14.21875" customWidth="1"/>
    <col min="12" max="12" width="11.5546875" customWidth="1"/>
    <col min="13" max="13" width="58" customWidth="1"/>
    <col min="14" max="26" width="11.44140625" customWidth="1"/>
  </cols>
  <sheetData>
    <row r="1" spans="1:13" ht="15" customHeight="1">
      <c r="A1" s="520"/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</row>
    <row r="2" spans="1:13" ht="27" customHeight="1">
      <c r="A2" s="522"/>
      <c r="B2" s="767" t="s">
        <v>252</v>
      </c>
      <c r="C2" s="813"/>
      <c r="D2" s="813"/>
      <c r="E2" s="813"/>
      <c r="F2" s="813"/>
      <c r="G2" s="813"/>
      <c r="H2" s="813"/>
      <c r="I2" s="813"/>
      <c r="J2" s="813"/>
      <c r="K2" s="813"/>
      <c r="L2" s="813"/>
      <c r="M2" s="813"/>
    </row>
    <row r="3" spans="1:13" ht="16.5" customHeight="1">
      <c r="A3" s="521"/>
      <c r="B3" s="565" t="s">
        <v>253</v>
      </c>
      <c r="C3" s="521"/>
      <c r="D3" s="566"/>
      <c r="E3" s="566"/>
      <c r="F3" s="566"/>
      <c r="G3" s="566"/>
      <c r="H3" s="566"/>
      <c r="I3" s="566"/>
      <c r="J3" s="566"/>
      <c r="K3" s="566"/>
      <c r="L3" s="566"/>
      <c r="M3" s="566"/>
    </row>
    <row r="4" spans="1:13" ht="16.5" customHeight="1">
      <c r="A4" s="505"/>
      <c r="B4" s="565" t="s">
        <v>254</v>
      </c>
      <c r="C4" s="521"/>
      <c r="D4" s="566"/>
      <c r="E4" s="566"/>
      <c r="F4" s="566"/>
      <c r="G4" s="566"/>
      <c r="H4" s="566"/>
      <c r="I4" s="566"/>
      <c r="J4" s="566"/>
      <c r="K4" s="566"/>
      <c r="L4" s="566"/>
      <c r="M4" s="566"/>
    </row>
    <row r="5" spans="1:13" ht="16.5" customHeight="1">
      <c r="A5" s="521"/>
      <c r="B5" s="565" t="s">
        <v>255</v>
      </c>
      <c r="C5" s="522"/>
      <c r="D5" s="566"/>
      <c r="E5" s="566"/>
      <c r="F5" s="566"/>
      <c r="G5" s="566"/>
      <c r="H5" s="566"/>
      <c r="I5" s="566"/>
      <c r="J5" s="566"/>
      <c r="K5" s="566"/>
      <c r="L5" s="566"/>
      <c r="M5" s="567"/>
    </row>
    <row r="6" spans="1:13" ht="18" customHeight="1">
      <c r="A6" s="505"/>
      <c r="B6" s="524" t="s">
        <v>256</v>
      </c>
      <c r="C6" s="522"/>
      <c r="D6" s="522"/>
      <c r="E6" s="522"/>
      <c r="F6" s="522"/>
      <c r="G6" s="522"/>
      <c r="H6" s="522"/>
      <c r="I6" s="522"/>
      <c r="J6" s="522"/>
      <c r="K6" s="522"/>
      <c r="L6" s="522"/>
      <c r="M6" s="522"/>
    </row>
    <row r="7" spans="1:13" ht="54" customHeight="1">
      <c r="A7" s="505"/>
      <c r="B7" s="77" t="s">
        <v>257</v>
      </c>
      <c r="C7" s="78" t="s">
        <v>258</v>
      </c>
      <c r="D7" s="77" t="s">
        <v>187</v>
      </c>
      <c r="E7" s="78" t="s">
        <v>259</v>
      </c>
      <c r="F7" s="78" t="s">
        <v>260</v>
      </c>
      <c r="G7" s="78" t="s">
        <v>261</v>
      </c>
      <c r="H7" s="78" t="s">
        <v>262</v>
      </c>
      <c r="I7" s="78" t="s">
        <v>263</v>
      </c>
      <c r="J7" s="78" t="s">
        <v>264</v>
      </c>
      <c r="K7" s="78" t="s">
        <v>265</v>
      </c>
      <c r="L7" s="78" t="s">
        <v>266</v>
      </c>
      <c r="M7" s="79" t="s">
        <v>267</v>
      </c>
    </row>
    <row r="8" spans="1:13" ht="18" hidden="1" customHeight="1">
      <c r="A8" s="505"/>
      <c r="B8" s="80" t="s">
        <v>268</v>
      </c>
      <c r="C8" s="81" t="s">
        <v>209</v>
      </c>
      <c r="D8" s="568" t="s">
        <v>88</v>
      </c>
      <c r="E8" s="82">
        <v>1</v>
      </c>
      <c r="F8" s="81">
        <v>1263.3900000000001</v>
      </c>
      <c r="G8" s="83">
        <f t="shared" ref="G8:G32" si="0">IF(F8&gt;0,SUM(encargos),0)</f>
        <v>0.81869566666666682</v>
      </c>
      <c r="H8" s="84">
        <f t="shared" ref="H8:H105" si="1">F8*G8</f>
        <v>1034.3319183100002</v>
      </c>
      <c r="I8" s="84">
        <f t="shared" ref="I8:I32" si="2">IF(F8&gt;0,SUM(beneficios),0)</f>
        <v>1156.3333333333333</v>
      </c>
      <c r="J8" s="84">
        <f t="shared" ref="J8:J105" si="3">F8+H8+I8</f>
        <v>3454.0552516433336</v>
      </c>
      <c r="K8" s="84">
        <f t="shared" ref="K8:K105" si="4">J8*12</f>
        <v>41448.663019719999</v>
      </c>
      <c r="L8" s="84">
        <f t="shared" ref="L8:L105" si="5">K8*E8</f>
        <v>41448.663019719999</v>
      </c>
      <c r="M8" s="85" t="s">
        <v>269</v>
      </c>
    </row>
    <row r="9" spans="1:13" ht="18" hidden="1" customHeight="1">
      <c r="A9" s="505"/>
      <c r="B9" s="80" t="s">
        <v>270</v>
      </c>
      <c r="C9" s="81" t="s">
        <v>209</v>
      </c>
      <c r="D9" s="568" t="s">
        <v>88</v>
      </c>
      <c r="E9" s="82">
        <v>2</v>
      </c>
      <c r="F9" s="81">
        <v>1157.1300000000001</v>
      </c>
      <c r="G9" s="83">
        <f t="shared" si="0"/>
        <v>0.81869566666666682</v>
      </c>
      <c r="H9" s="84">
        <f t="shared" si="1"/>
        <v>947.33731677000026</v>
      </c>
      <c r="I9" s="84">
        <f t="shared" si="2"/>
        <v>1156.3333333333333</v>
      </c>
      <c r="J9" s="84">
        <f t="shared" si="3"/>
        <v>3260.8006501033333</v>
      </c>
      <c r="K9" s="84">
        <f t="shared" si="4"/>
        <v>39129.607801239996</v>
      </c>
      <c r="L9" s="84">
        <f t="shared" si="5"/>
        <v>78259.215602479992</v>
      </c>
      <c r="M9" s="86" t="s">
        <v>271</v>
      </c>
    </row>
    <row r="10" spans="1:13" ht="18" hidden="1" customHeight="1">
      <c r="A10" s="505"/>
      <c r="B10" s="80" t="s">
        <v>272</v>
      </c>
      <c r="C10" s="81" t="s">
        <v>209</v>
      </c>
      <c r="D10" s="568" t="s">
        <v>88</v>
      </c>
      <c r="E10" s="82">
        <v>2</v>
      </c>
      <c r="F10" s="569">
        <v>1181.1500000000001</v>
      </c>
      <c r="G10" s="83">
        <f t="shared" si="0"/>
        <v>0.81869566666666682</v>
      </c>
      <c r="H10" s="84">
        <f t="shared" si="1"/>
        <v>967.00238668333361</v>
      </c>
      <c r="I10" s="84">
        <f t="shared" si="2"/>
        <v>1156.3333333333333</v>
      </c>
      <c r="J10" s="84">
        <f t="shared" si="3"/>
        <v>3304.4857200166671</v>
      </c>
      <c r="K10" s="84">
        <f t="shared" si="4"/>
        <v>39653.828640200009</v>
      </c>
      <c r="L10" s="84">
        <f t="shared" si="5"/>
        <v>79307.657280400017</v>
      </c>
      <c r="M10" s="86" t="s">
        <v>273</v>
      </c>
    </row>
    <row r="11" spans="1:13" ht="18" hidden="1" customHeight="1">
      <c r="A11" s="505"/>
      <c r="B11" s="80" t="s">
        <v>274</v>
      </c>
      <c r="C11" s="81" t="s">
        <v>209</v>
      </c>
      <c r="D11" s="568" t="s">
        <v>88</v>
      </c>
      <c r="E11" s="82">
        <v>2</v>
      </c>
      <c r="F11" s="81">
        <v>1166.42</v>
      </c>
      <c r="G11" s="83">
        <f t="shared" si="0"/>
        <v>0.81869566666666682</v>
      </c>
      <c r="H11" s="84">
        <f t="shared" si="1"/>
        <v>954.94299951333358</v>
      </c>
      <c r="I11" s="84">
        <f t="shared" si="2"/>
        <v>1156.3333333333333</v>
      </c>
      <c r="J11" s="84">
        <f t="shared" si="3"/>
        <v>3277.6963328466672</v>
      </c>
      <c r="K11" s="84">
        <f t="shared" si="4"/>
        <v>39332.355994160011</v>
      </c>
      <c r="L11" s="84">
        <f t="shared" si="5"/>
        <v>78664.711988320021</v>
      </c>
      <c r="M11" s="86" t="s">
        <v>275</v>
      </c>
    </row>
    <row r="12" spans="1:13" ht="18" hidden="1" customHeight="1">
      <c r="A12" s="505"/>
      <c r="B12" s="80" t="s">
        <v>272</v>
      </c>
      <c r="C12" s="81" t="s">
        <v>209</v>
      </c>
      <c r="D12" s="568" t="s">
        <v>89</v>
      </c>
      <c r="E12" s="82">
        <v>1</v>
      </c>
      <c r="F12" s="81">
        <v>1181.1500000000001</v>
      </c>
      <c r="G12" s="83">
        <f t="shared" si="0"/>
        <v>0.81869566666666682</v>
      </c>
      <c r="H12" s="84">
        <f t="shared" si="1"/>
        <v>967.00238668333361</v>
      </c>
      <c r="I12" s="84">
        <f t="shared" si="2"/>
        <v>1156.3333333333333</v>
      </c>
      <c r="J12" s="84">
        <f t="shared" si="3"/>
        <v>3304.4857200166671</v>
      </c>
      <c r="K12" s="84">
        <f t="shared" si="4"/>
        <v>39653.828640200009</v>
      </c>
      <c r="L12" s="84">
        <f t="shared" si="5"/>
        <v>39653.828640200009</v>
      </c>
      <c r="M12" s="86" t="s">
        <v>273</v>
      </c>
    </row>
    <row r="13" spans="1:13" ht="18" hidden="1" customHeight="1">
      <c r="A13" s="505"/>
      <c r="B13" s="80" t="s">
        <v>274</v>
      </c>
      <c r="C13" s="81" t="s">
        <v>209</v>
      </c>
      <c r="D13" s="568" t="s">
        <v>89</v>
      </c>
      <c r="E13" s="82">
        <v>2</v>
      </c>
      <c r="F13" s="81">
        <v>1166.42</v>
      </c>
      <c r="G13" s="83">
        <f t="shared" si="0"/>
        <v>0.81869566666666682</v>
      </c>
      <c r="H13" s="84">
        <f t="shared" si="1"/>
        <v>954.94299951333358</v>
      </c>
      <c r="I13" s="84">
        <f t="shared" si="2"/>
        <v>1156.3333333333333</v>
      </c>
      <c r="J13" s="84">
        <f t="shared" si="3"/>
        <v>3277.6963328466672</v>
      </c>
      <c r="K13" s="84">
        <f t="shared" si="4"/>
        <v>39332.355994160011</v>
      </c>
      <c r="L13" s="84">
        <f t="shared" si="5"/>
        <v>78664.711988320021</v>
      </c>
      <c r="M13" s="86" t="s">
        <v>275</v>
      </c>
    </row>
    <row r="14" spans="1:13" ht="18" hidden="1" customHeight="1">
      <c r="A14" s="521"/>
      <c r="B14" s="80" t="s">
        <v>274</v>
      </c>
      <c r="C14" s="81" t="s">
        <v>209</v>
      </c>
      <c r="D14" s="568" t="s">
        <v>100</v>
      </c>
      <c r="E14" s="82">
        <v>3</v>
      </c>
      <c r="F14" s="569">
        <v>1180.98</v>
      </c>
      <c r="G14" s="83">
        <f t="shared" si="0"/>
        <v>0.81869566666666682</v>
      </c>
      <c r="H14" s="84">
        <f t="shared" si="1"/>
        <v>966.86320842000021</v>
      </c>
      <c r="I14" s="84">
        <f t="shared" si="2"/>
        <v>1156.3333333333333</v>
      </c>
      <c r="J14" s="84">
        <f t="shared" si="3"/>
        <v>3304.1765417533334</v>
      </c>
      <c r="K14" s="84">
        <f t="shared" si="4"/>
        <v>39650.11850104</v>
      </c>
      <c r="L14" s="84">
        <f t="shared" si="5"/>
        <v>118950.35550311999</v>
      </c>
      <c r="M14" s="86"/>
    </row>
    <row r="15" spans="1:13" ht="18" hidden="1" customHeight="1">
      <c r="A15" s="521"/>
      <c r="B15" s="80" t="s">
        <v>276</v>
      </c>
      <c r="C15" s="81" t="s">
        <v>209</v>
      </c>
      <c r="D15" s="568" t="s">
        <v>100</v>
      </c>
      <c r="E15" s="82">
        <v>3</v>
      </c>
      <c r="F15" s="81">
        <v>1387.02</v>
      </c>
      <c r="G15" s="83">
        <f t="shared" si="0"/>
        <v>0.81869566666666682</v>
      </c>
      <c r="H15" s="84">
        <f t="shared" si="1"/>
        <v>1135.5472635800002</v>
      </c>
      <c r="I15" s="84">
        <f t="shared" si="2"/>
        <v>1156.3333333333333</v>
      </c>
      <c r="J15" s="84">
        <f t="shared" si="3"/>
        <v>3678.9005969133332</v>
      </c>
      <c r="K15" s="84">
        <f t="shared" si="4"/>
        <v>44146.807162960002</v>
      </c>
      <c r="L15" s="84">
        <f t="shared" si="5"/>
        <v>132440.42148888001</v>
      </c>
      <c r="M15" s="86"/>
    </row>
    <row r="16" spans="1:13" ht="18" hidden="1" customHeight="1">
      <c r="A16" s="521"/>
      <c r="B16" s="80" t="s">
        <v>277</v>
      </c>
      <c r="C16" s="81" t="s">
        <v>209</v>
      </c>
      <c r="D16" s="568" t="s">
        <v>79</v>
      </c>
      <c r="E16" s="82">
        <v>17</v>
      </c>
      <c r="F16" s="81">
        <v>1210.06</v>
      </c>
      <c r="G16" s="83">
        <f t="shared" si="0"/>
        <v>0.81869566666666682</v>
      </c>
      <c r="H16" s="84">
        <f t="shared" si="1"/>
        <v>990.67087840666682</v>
      </c>
      <c r="I16" s="84">
        <f t="shared" si="2"/>
        <v>1156.3333333333333</v>
      </c>
      <c r="J16" s="84">
        <f t="shared" si="3"/>
        <v>3357.0642117400002</v>
      </c>
      <c r="K16" s="84">
        <f t="shared" si="4"/>
        <v>40284.770540880003</v>
      </c>
      <c r="L16" s="84">
        <f t="shared" si="5"/>
        <v>684841.09919496009</v>
      </c>
      <c r="M16" s="86" t="s">
        <v>278</v>
      </c>
    </row>
    <row r="17" spans="1:13" ht="18" hidden="1" customHeight="1">
      <c r="A17" s="521"/>
      <c r="B17" s="80" t="s">
        <v>279</v>
      </c>
      <c r="C17" s="81" t="s">
        <v>209</v>
      </c>
      <c r="D17" s="568" t="s">
        <v>79</v>
      </c>
      <c r="E17" s="82">
        <v>14</v>
      </c>
      <c r="F17" s="81">
        <v>1182.55</v>
      </c>
      <c r="G17" s="83">
        <f t="shared" si="0"/>
        <v>0.81869566666666682</v>
      </c>
      <c r="H17" s="84">
        <f t="shared" si="1"/>
        <v>968.14856061666683</v>
      </c>
      <c r="I17" s="84">
        <f t="shared" si="2"/>
        <v>1156.3333333333333</v>
      </c>
      <c r="J17" s="84">
        <f t="shared" si="3"/>
        <v>3307.0318939500003</v>
      </c>
      <c r="K17" s="84">
        <f t="shared" si="4"/>
        <v>39684.382727400007</v>
      </c>
      <c r="L17" s="84">
        <f t="shared" si="5"/>
        <v>555581.35818360012</v>
      </c>
      <c r="M17" s="86" t="s">
        <v>273</v>
      </c>
    </row>
    <row r="18" spans="1:13" ht="18" hidden="1" customHeight="1">
      <c r="A18" s="521"/>
      <c r="B18" s="80" t="s">
        <v>280</v>
      </c>
      <c r="C18" s="81" t="s">
        <v>209</v>
      </c>
      <c r="D18" s="568" t="s">
        <v>79</v>
      </c>
      <c r="E18" s="82">
        <v>16</v>
      </c>
      <c r="F18" s="569">
        <v>1150.94</v>
      </c>
      <c r="G18" s="83">
        <f t="shared" si="0"/>
        <v>0.81869566666666682</v>
      </c>
      <c r="H18" s="84">
        <f t="shared" si="1"/>
        <v>942.26959059333353</v>
      </c>
      <c r="I18" s="84">
        <f t="shared" si="2"/>
        <v>1156.3333333333333</v>
      </c>
      <c r="J18" s="84">
        <f t="shared" si="3"/>
        <v>3249.5429239266668</v>
      </c>
      <c r="K18" s="84">
        <f t="shared" si="4"/>
        <v>38994.515087120002</v>
      </c>
      <c r="L18" s="84">
        <f t="shared" si="5"/>
        <v>623912.24139392003</v>
      </c>
      <c r="M18" s="85" t="s">
        <v>269</v>
      </c>
    </row>
    <row r="19" spans="1:13" ht="18" hidden="1" customHeight="1">
      <c r="A19" s="521"/>
      <c r="B19" s="80" t="s">
        <v>281</v>
      </c>
      <c r="C19" s="81" t="s">
        <v>209</v>
      </c>
      <c r="D19" s="568" t="s">
        <v>79</v>
      </c>
      <c r="E19" s="82">
        <v>23</v>
      </c>
      <c r="F19" s="81">
        <v>1539.15</v>
      </c>
      <c r="G19" s="83">
        <f t="shared" si="0"/>
        <v>0.81869566666666682</v>
      </c>
      <c r="H19" s="84">
        <f t="shared" si="1"/>
        <v>1260.0954353500003</v>
      </c>
      <c r="I19" s="84">
        <f t="shared" si="2"/>
        <v>1156.3333333333333</v>
      </c>
      <c r="J19" s="84">
        <f t="shared" si="3"/>
        <v>3955.5787686833337</v>
      </c>
      <c r="K19" s="84">
        <f t="shared" si="4"/>
        <v>47466.945224200004</v>
      </c>
      <c r="L19" s="84">
        <f t="shared" si="5"/>
        <v>1091739.7401566</v>
      </c>
      <c r="M19" s="85" t="s">
        <v>282</v>
      </c>
    </row>
    <row r="20" spans="1:13" ht="18" hidden="1" customHeight="1">
      <c r="A20" s="521"/>
      <c r="B20" s="80" t="s">
        <v>272</v>
      </c>
      <c r="C20" s="81" t="s">
        <v>209</v>
      </c>
      <c r="D20" s="568" t="s">
        <v>102</v>
      </c>
      <c r="E20" s="82">
        <v>4</v>
      </c>
      <c r="F20" s="81">
        <v>1181.1500000000001</v>
      </c>
      <c r="G20" s="83">
        <f t="shared" si="0"/>
        <v>0.81869566666666682</v>
      </c>
      <c r="H20" s="84">
        <f t="shared" si="1"/>
        <v>967.00238668333361</v>
      </c>
      <c r="I20" s="84">
        <f t="shared" si="2"/>
        <v>1156.3333333333333</v>
      </c>
      <c r="J20" s="84">
        <f t="shared" si="3"/>
        <v>3304.4857200166671</v>
      </c>
      <c r="K20" s="84">
        <f t="shared" si="4"/>
        <v>39653.828640200009</v>
      </c>
      <c r="L20" s="84">
        <f t="shared" si="5"/>
        <v>158615.31456080003</v>
      </c>
      <c r="M20" s="86" t="s">
        <v>273</v>
      </c>
    </row>
    <row r="21" spans="1:13" ht="18" hidden="1" customHeight="1">
      <c r="A21" s="521"/>
      <c r="B21" s="80" t="s">
        <v>272</v>
      </c>
      <c r="C21" s="81" t="s">
        <v>209</v>
      </c>
      <c r="D21" s="568" t="s">
        <v>101</v>
      </c>
      <c r="E21" s="82">
        <v>4</v>
      </c>
      <c r="F21" s="81">
        <v>1181.1500000000001</v>
      </c>
      <c r="G21" s="83">
        <f t="shared" si="0"/>
        <v>0.81869566666666682</v>
      </c>
      <c r="H21" s="84">
        <f t="shared" si="1"/>
        <v>967.00238668333361</v>
      </c>
      <c r="I21" s="84">
        <f t="shared" si="2"/>
        <v>1156.3333333333333</v>
      </c>
      <c r="J21" s="84">
        <f t="shared" si="3"/>
        <v>3304.4857200166671</v>
      </c>
      <c r="K21" s="84">
        <f t="shared" si="4"/>
        <v>39653.828640200009</v>
      </c>
      <c r="L21" s="84">
        <f t="shared" si="5"/>
        <v>158615.31456080003</v>
      </c>
      <c r="M21" s="86" t="s">
        <v>273</v>
      </c>
    </row>
    <row r="22" spans="1:13" ht="18" hidden="1" customHeight="1">
      <c r="A22" s="521"/>
      <c r="B22" s="80" t="s">
        <v>268</v>
      </c>
      <c r="C22" s="81" t="s">
        <v>209</v>
      </c>
      <c r="D22" s="568" t="s">
        <v>93</v>
      </c>
      <c r="E22" s="82">
        <v>1</v>
      </c>
      <c r="F22" s="81">
        <v>1263.3900000000001</v>
      </c>
      <c r="G22" s="83">
        <f t="shared" si="0"/>
        <v>0.81869566666666682</v>
      </c>
      <c r="H22" s="84">
        <f t="shared" si="1"/>
        <v>1034.3319183100002</v>
      </c>
      <c r="I22" s="84">
        <f t="shared" si="2"/>
        <v>1156.3333333333333</v>
      </c>
      <c r="J22" s="84">
        <f t="shared" si="3"/>
        <v>3454.0552516433336</v>
      </c>
      <c r="K22" s="84">
        <f t="shared" si="4"/>
        <v>41448.663019719999</v>
      </c>
      <c r="L22" s="84">
        <f t="shared" si="5"/>
        <v>41448.663019719999</v>
      </c>
      <c r="M22" s="85" t="s">
        <v>269</v>
      </c>
    </row>
    <row r="23" spans="1:13" ht="18" hidden="1" customHeight="1">
      <c r="A23" s="521"/>
      <c r="B23" s="80" t="s">
        <v>270</v>
      </c>
      <c r="C23" s="81" t="s">
        <v>209</v>
      </c>
      <c r="D23" s="568" t="s">
        <v>93</v>
      </c>
      <c r="E23" s="82">
        <v>2</v>
      </c>
      <c r="F23" s="569">
        <v>1157.1300000000001</v>
      </c>
      <c r="G23" s="83">
        <f t="shared" si="0"/>
        <v>0.81869566666666682</v>
      </c>
      <c r="H23" s="84">
        <f t="shared" si="1"/>
        <v>947.33731677000026</v>
      </c>
      <c r="I23" s="84">
        <f t="shared" si="2"/>
        <v>1156.3333333333333</v>
      </c>
      <c r="J23" s="84">
        <f t="shared" si="3"/>
        <v>3260.8006501033333</v>
      </c>
      <c r="K23" s="84">
        <f t="shared" si="4"/>
        <v>39129.607801239996</v>
      </c>
      <c r="L23" s="84">
        <f t="shared" si="5"/>
        <v>78259.215602479992</v>
      </c>
      <c r="M23" s="86" t="s">
        <v>271</v>
      </c>
    </row>
    <row r="24" spans="1:13" ht="18" hidden="1" customHeight="1">
      <c r="A24" s="521"/>
      <c r="B24" s="80" t="s">
        <v>272</v>
      </c>
      <c r="C24" s="81" t="s">
        <v>209</v>
      </c>
      <c r="D24" s="568" t="s">
        <v>93</v>
      </c>
      <c r="E24" s="82">
        <v>2</v>
      </c>
      <c r="F24" s="81">
        <v>1181.1500000000001</v>
      </c>
      <c r="G24" s="83">
        <f t="shared" si="0"/>
        <v>0.81869566666666682</v>
      </c>
      <c r="H24" s="84">
        <f t="shared" si="1"/>
        <v>967.00238668333361</v>
      </c>
      <c r="I24" s="84">
        <f t="shared" si="2"/>
        <v>1156.3333333333333</v>
      </c>
      <c r="J24" s="84">
        <f t="shared" si="3"/>
        <v>3304.4857200166671</v>
      </c>
      <c r="K24" s="84">
        <f t="shared" si="4"/>
        <v>39653.828640200009</v>
      </c>
      <c r="L24" s="84">
        <f t="shared" si="5"/>
        <v>79307.657280400017</v>
      </c>
      <c r="M24" s="86" t="s">
        <v>273</v>
      </c>
    </row>
    <row r="25" spans="1:13" ht="18" hidden="1" customHeight="1">
      <c r="A25" s="521"/>
      <c r="B25" s="80" t="s">
        <v>274</v>
      </c>
      <c r="C25" s="81" t="s">
        <v>209</v>
      </c>
      <c r="D25" s="568" t="s">
        <v>93</v>
      </c>
      <c r="E25" s="82">
        <v>2</v>
      </c>
      <c r="F25" s="81">
        <v>1180.98</v>
      </c>
      <c r="G25" s="83">
        <f t="shared" si="0"/>
        <v>0.81869566666666682</v>
      </c>
      <c r="H25" s="84">
        <f t="shared" si="1"/>
        <v>966.86320842000021</v>
      </c>
      <c r="I25" s="84">
        <f t="shared" si="2"/>
        <v>1156.3333333333333</v>
      </c>
      <c r="J25" s="84">
        <f t="shared" si="3"/>
        <v>3304.1765417533334</v>
      </c>
      <c r="K25" s="84">
        <f t="shared" si="4"/>
        <v>39650.11850104</v>
      </c>
      <c r="L25" s="84">
        <f t="shared" si="5"/>
        <v>79300.237002080001</v>
      </c>
      <c r="M25" s="85" t="s">
        <v>283</v>
      </c>
    </row>
    <row r="26" spans="1:13" ht="18" hidden="1" customHeight="1">
      <c r="A26" s="521"/>
      <c r="B26" s="80" t="s">
        <v>272</v>
      </c>
      <c r="C26" s="81" t="s">
        <v>209</v>
      </c>
      <c r="D26" s="568" t="s">
        <v>94</v>
      </c>
      <c r="E26" s="82">
        <v>1</v>
      </c>
      <c r="F26" s="81">
        <v>1181.1500000000001</v>
      </c>
      <c r="G26" s="83">
        <f t="shared" si="0"/>
        <v>0.81869566666666682</v>
      </c>
      <c r="H26" s="84">
        <f t="shared" si="1"/>
        <v>967.00238668333361</v>
      </c>
      <c r="I26" s="84">
        <f t="shared" si="2"/>
        <v>1156.3333333333333</v>
      </c>
      <c r="J26" s="84">
        <f t="shared" si="3"/>
        <v>3304.4857200166671</v>
      </c>
      <c r="K26" s="84">
        <f t="shared" si="4"/>
        <v>39653.828640200009</v>
      </c>
      <c r="L26" s="84">
        <f t="shared" si="5"/>
        <v>39653.828640200009</v>
      </c>
      <c r="M26" s="86" t="s">
        <v>273</v>
      </c>
    </row>
    <row r="27" spans="1:13" ht="18" hidden="1" customHeight="1">
      <c r="A27" s="521"/>
      <c r="B27" s="80" t="s">
        <v>274</v>
      </c>
      <c r="C27" s="81" t="s">
        <v>209</v>
      </c>
      <c r="D27" s="568" t="s">
        <v>94</v>
      </c>
      <c r="E27" s="82">
        <v>2</v>
      </c>
      <c r="F27" s="569">
        <v>1166.42</v>
      </c>
      <c r="G27" s="83">
        <f t="shared" si="0"/>
        <v>0.81869566666666682</v>
      </c>
      <c r="H27" s="84">
        <f t="shared" si="1"/>
        <v>954.94299951333358</v>
      </c>
      <c r="I27" s="84">
        <f t="shared" si="2"/>
        <v>1156.3333333333333</v>
      </c>
      <c r="J27" s="84">
        <f t="shared" si="3"/>
        <v>3277.6963328466672</v>
      </c>
      <c r="K27" s="84">
        <f t="shared" si="4"/>
        <v>39332.355994160011</v>
      </c>
      <c r="L27" s="84">
        <f t="shared" si="5"/>
        <v>78664.711988320021</v>
      </c>
      <c r="M27" s="86" t="s">
        <v>275</v>
      </c>
    </row>
    <row r="28" spans="1:13" ht="18" hidden="1" customHeight="1">
      <c r="A28" s="521"/>
      <c r="B28" s="80" t="s">
        <v>268</v>
      </c>
      <c r="C28" s="81" t="s">
        <v>209</v>
      </c>
      <c r="D28" s="568" t="s">
        <v>83</v>
      </c>
      <c r="E28" s="82">
        <v>2</v>
      </c>
      <c r="F28" s="81">
        <v>1263.3900000000001</v>
      </c>
      <c r="G28" s="83">
        <f t="shared" si="0"/>
        <v>0.81869566666666682</v>
      </c>
      <c r="H28" s="84">
        <f t="shared" si="1"/>
        <v>1034.3319183100002</v>
      </c>
      <c r="I28" s="84">
        <f t="shared" si="2"/>
        <v>1156.3333333333333</v>
      </c>
      <c r="J28" s="84">
        <f t="shared" si="3"/>
        <v>3454.0552516433336</v>
      </c>
      <c r="K28" s="84">
        <f t="shared" si="4"/>
        <v>41448.663019719999</v>
      </c>
      <c r="L28" s="84">
        <f t="shared" si="5"/>
        <v>82897.326039439999</v>
      </c>
      <c r="M28" s="85" t="s">
        <v>269</v>
      </c>
    </row>
    <row r="29" spans="1:13" ht="18" hidden="1" customHeight="1">
      <c r="A29" s="521"/>
      <c r="B29" s="80" t="s">
        <v>270</v>
      </c>
      <c r="C29" s="81" t="s">
        <v>209</v>
      </c>
      <c r="D29" s="568" t="s">
        <v>83</v>
      </c>
      <c r="E29" s="82">
        <v>3</v>
      </c>
      <c r="F29" s="81">
        <v>1157.1300000000001</v>
      </c>
      <c r="G29" s="83">
        <f t="shared" si="0"/>
        <v>0.81869566666666682</v>
      </c>
      <c r="H29" s="84">
        <f t="shared" si="1"/>
        <v>947.33731677000026</v>
      </c>
      <c r="I29" s="84">
        <f t="shared" si="2"/>
        <v>1156.3333333333333</v>
      </c>
      <c r="J29" s="84">
        <f t="shared" si="3"/>
        <v>3260.8006501033333</v>
      </c>
      <c r="K29" s="84">
        <f t="shared" si="4"/>
        <v>39129.607801239996</v>
      </c>
      <c r="L29" s="84">
        <f t="shared" si="5"/>
        <v>117388.82340371999</v>
      </c>
      <c r="M29" s="86" t="s">
        <v>271</v>
      </c>
    </row>
    <row r="30" spans="1:13" ht="18" hidden="1" customHeight="1">
      <c r="A30" s="521"/>
      <c r="B30" s="80" t="s">
        <v>272</v>
      </c>
      <c r="C30" s="81" t="s">
        <v>209</v>
      </c>
      <c r="D30" s="568" t="s">
        <v>83</v>
      </c>
      <c r="E30" s="82">
        <v>2</v>
      </c>
      <c r="F30" s="81">
        <v>1181.1500000000001</v>
      </c>
      <c r="G30" s="83">
        <f t="shared" si="0"/>
        <v>0.81869566666666682</v>
      </c>
      <c r="H30" s="84">
        <f t="shared" si="1"/>
        <v>967.00238668333361</v>
      </c>
      <c r="I30" s="84">
        <f t="shared" si="2"/>
        <v>1156.3333333333333</v>
      </c>
      <c r="J30" s="84">
        <f t="shared" si="3"/>
        <v>3304.4857200166671</v>
      </c>
      <c r="K30" s="84">
        <f t="shared" si="4"/>
        <v>39653.828640200009</v>
      </c>
      <c r="L30" s="84">
        <f t="shared" si="5"/>
        <v>79307.657280400017</v>
      </c>
      <c r="M30" s="86" t="s">
        <v>273</v>
      </c>
    </row>
    <row r="31" spans="1:13" ht="18" hidden="1" customHeight="1">
      <c r="A31" s="521"/>
      <c r="B31" s="80" t="s">
        <v>274</v>
      </c>
      <c r="C31" s="81" t="s">
        <v>209</v>
      </c>
      <c r="D31" s="568" t="s">
        <v>83</v>
      </c>
      <c r="E31" s="82">
        <v>4</v>
      </c>
      <c r="F31" s="81">
        <v>1180.98</v>
      </c>
      <c r="G31" s="83">
        <f t="shared" si="0"/>
        <v>0.81869566666666682</v>
      </c>
      <c r="H31" s="84">
        <f t="shared" si="1"/>
        <v>966.86320842000021</v>
      </c>
      <c r="I31" s="84">
        <f t="shared" si="2"/>
        <v>1156.3333333333333</v>
      </c>
      <c r="J31" s="84">
        <f t="shared" si="3"/>
        <v>3304.1765417533334</v>
      </c>
      <c r="K31" s="84">
        <f t="shared" si="4"/>
        <v>39650.11850104</v>
      </c>
      <c r="L31" s="84">
        <f t="shared" si="5"/>
        <v>158600.47400416</v>
      </c>
      <c r="M31" s="85" t="s">
        <v>283</v>
      </c>
    </row>
    <row r="32" spans="1:13" ht="18" hidden="1" customHeight="1">
      <c r="A32" s="521"/>
      <c r="B32" s="80" t="s">
        <v>274</v>
      </c>
      <c r="C32" s="81" t="s">
        <v>209</v>
      </c>
      <c r="D32" s="568" t="s">
        <v>85</v>
      </c>
      <c r="E32" s="82">
        <v>2</v>
      </c>
      <c r="F32" s="569">
        <v>1166.42</v>
      </c>
      <c r="G32" s="83">
        <f t="shared" si="0"/>
        <v>0.81869566666666682</v>
      </c>
      <c r="H32" s="84">
        <f t="shared" si="1"/>
        <v>954.94299951333358</v>
      </c>
      <c r="I32" s="84">
        <f t="shared" si="2"/>
        <v>1156.3333333333333</v>
      </c>
      <c r="J32" s="84">
        <f t="shared" si="3"/>
        <v>3277.6963328466672</v>
      </c>
      <c r="K32" s="84">
        <f t="shared" si="4"/>
        <v>39332.355994160011</v>
      </c>
      <c r="L32" s="84">
        <f t="shared" si="5"/>
        <v>78664.711988320021</v>
      </c>
      <c r="M32" s="86" t="s">
        <v>275</v>
      </c>
    </row>
    <row r="33" spans="1:13" ht="18" hidden="1" customHeight="1">
      <c r="A33" s="521"/>
      <c r="B33" s="80" t="s">
        <v>272</v>
      </c>
      <c r="C33" s="81" t="s">
        <v>209</v>
      </c>
      <c r="D33" s="568" t="s">
        <v>85</v>
      </c>
      <c r="E33" s="82">
        <v>2</v>
      </c>
      <c r="F33" s="81">
        <v>1181.1500000000001</v>
      </c>
      <c r="G33" s="83">
        <f t="shared" ref="G33:G54" si="6">IF(F33&gt;0,SUM(encargos),0)</f>
        <v>0.81869566666666682</v>
      </c>
      <c r="H33" s="84">
        <f t="shared" si="1"/>
        <v>967.00238668333361</v>
      </c>
      <c r="I33" s="84">
        <f t="shared" ref="I33:I54" si="7">IF(F33&gt;0,SUM(beneficios),0)</f>
        <v>1156.3333333333333</v>
      </c>
      <c r="J33" s="84">
        <f t="shared" si="3"/>
        <v>3304.4857200166671</v>
      </c>
      <c r="K33" s="84">
        <f t="shared" si="4"/>
        <v>39653.828640200009</v>
      </c>
      <c r="L33" s="84">
        <f t="shared" si="5"/>
        <v>79307.657280400017</v>
      </c>
      <c r="M33" s="86" t="s">
        <v>273</v>
      </c>
    </row>
    <row r="34" spans="1:13" ht="18" hidden="1" customHeight="1">
      <c r="A34" s="521"/>
      <c r="B34" s="80" t="s">
        <v>272</v>
      </c>
      <c r="C34" s="81" t="s">
        <v>209</v>
      </c>
      <c r="D34" s="568" t="s">
        <v>87</v>
      </c>
      <c r="E34" s="82">
        <v>5</v>
      </c>
      <c r="F34" s="569">
        <v>1181.1500000000001</v>
      </c>
      <c r="G34" s="83">
        <f t="shared" si="6"/>
        <v>0.81869566666666682</v>
      </c>
      <c r="H34" s="84">
        <f t="shared" si="1"/>
        <v>967.00238668333361</v>
      </c>
      <c r="I34" s="84">
        <f t="shared" si="7"/>
        <v>1156.3333333333333</v>
      </c>
      <c r="J34" s="84">
        <f t="shared" si="3"/>
        <v>3304.4857200166671</v>
      </c>
      <c r="K34" s="84">
        <f t="shared" si="4"/>
        <v>39653.828640200009</v>
      </c>
      <c r="L34" s="84">
        <f t="shared" si="5"/>
        <v>198269.14320100006</v>
      </c>
      <c r="M34" s="86" t="s">
        <v>273</v>
      </c>
    </row>
    <row r="35" spans="1:13" ht="18" hidden="1" customHeight="1">
      <c r="A35" s="521"/>
      <c r="B35" s="80" t="s">
        <v>268</v>
      </c>
      <c r="C35" s="81" t="s">
        <v>209</v>
      </c>
      <c r="D35" s="568" t="s">
        <v>95</v>
      </c>
      <c r="E35" s="82">
        <v>2</v>
      </c>
      <c r="F35" s="81">
        <v>1263.3900000000001</v>
      </c>
      <c r="G35" s="83">
        <f t="shared" si="6"/>
        <v>0.81869566666666682</v>
      </c>
      <c r="H35" s="84">
        <f t="shared" si="1"/>
        <v>1034.3319183100002</v>
      </c>
      <c r="I35" s="84">
        <f t="shared" si="7"/>
        <v>1156.3333333333333</v>
      </c>
      <c r="J35" s="84">
        <f t="shared" si="3"/>
        <v>3454.0552516433336</v>
      </c>
      <c r="K35" s="84">
        <f t="shared" si="4"/>
        <v>41448.663019719999</v>
      </c>
      <c r="L35" s="84">
        <f t="shared" si="5"/>
        <v>82897.326039439999</v>
      </c>
      <c r="M35" s="85" t="s">
        <v>269</v>
      </c>
    </row>
    <row r="36" spans="1:13" ht="18" hidden="1" customHeight="1">
      <c r="A36" s="521"/>
      <c r="B36" s="80" t="s">
        <v>270</v>
      </c>
      <c r="C36" s="81" t="s">
        <v>209</v>
      </c>
      <c r="D36" s="568" t="s">
        <v>95</v>
      </c>
      <c r="E36" s="82">
        <v>3</v>
      </c>
      <c r="F36" s="569">
        <v>1157.1300000000001</v>
      </c>
      <c r="G36" s="83">
        <f t="shared" si="6"/>
        <v>0.81869566666666682</v>
      </c>
      <c r="H36" s="84">
        <f t="shared" si="1"/>
        <v>947.33731677000026</v>
      </c>
      <c r="I36" s="84">
        <f t="shared" si="7"/>
        <v>1156.3333333333333</v>
      </c>
      <c r="J36" s="84">
        <f t="shared" si="3"/>
        <v>3260.8006501033333</v>
      </c>
      <c r="K36" s="84">
        <f t="shared" si="4"/>
        <v>39129.607801239996</v>
      </c>
      <c r="L36" s="84">
        <f t="shared" si="5"/>
        <v>117388.82340371999</v>
      </c>
      <c r="M36" s="86" t="s">
        <v>271</v>
      </c>
    </row>
    <row r="37" spans="1:13" ht="18" hidden="1" customHeight="1">
      <c r="A37" s="521"/>
      <c r="B37" s="80" t="s">
        <v>272</v>
      </c>
      <c r="C37" s="81" t="s">
        <v>209</v>
      </c>
      <c r="D37" s="568" t="s">
        <v>95</v>
      </c>
      <c r="E37" s="82">
        <v>2</v>
      </c>
      <c r="F37" s="81">
        <v>1181.1500000000001</v>
      </c>
      <c r="G37" s="83">
        <f t="shared" si="6"/>
        <v>0.81869566666666682</v>
      </c>
      <c r="H37" s="84">
        <f t="shared" si="1"/>
        <v>967.00238668333361</v>
      </c>
      <c r="I37" s="84">
        <f t="shared" si="7"/>
        <v>1156.3333333333333</v>
      </c>
      <c r="J37" s="84">
        <f t="shared" si="3"/>
        <v>3304.4857200166671</v>
      </c>
      <c r="K37" s="84">
        <f t="shared" si="4"/>
        <v>39653.828640200009</v>
      </c>
      <c r="L37" s="84">
        <f t="shared" si="5"/>
        <v>79307.657280400017</v>
      </c>
      <c r="M37" s="86" t="s">
        <v>273</v>
      </c>
    </row>
    <row r="38" spans="1:13" ht="18" hidden="1" customHeight="1">
      <c r="A38" s="521"/>
      <c r="B38" s="80" t="s">
        <v>274</v>
      </c>
      <c r="C38" s="81" t="s">
        <v>209</v>
      </c>
      <c r="D38" s="568" t="s">
        <v>95</v>
      </c>
      <c r="E38" s="82">
        <v>4</v>
      </c>
      <c r="F38" s="569">
        <v>1180.98</v>
      </c>
      <c r="G38" s="83">
        <f t="shared" si="6"/>
        <v>0.81869566666666682</v>
      </c>
      <c r="H38" s="84">
        <f t="shared" si="1"/>
        <v>966.86320842000021</v>
      </c>
      <c r="I38" s="84">
        <f t="shared" si="7"/>
        <v>1156.3333333333333</v>
      </c>
      <c r="J38" s="84">
        <f t="shared" si="3"/>
        <v>3304.1765417533334</v>
      </c>
      <c r="K38" s="84">
        <f t="shared" si="4"/>
        <v>39650.11850104</v>
      </c>
      <c r="L38" s="84">
        <f t="shared" si="5"/>
        <v>158600.47400416</v>
      </c>
      <c r="M38" s="85" t="s">
        <v>283</v>
      </c>
    </row>
    <row r="39" spans="1:13" ht="18" hidden="1" customHeight="1">
      <c r="A39" s="521"/>
      <c r="B39" s="80" t="s">
        <v>272</v>
      </c>
      <c r="C39" s="81" t="s">
        <v>209</v>
      </c>
      <c r="D39" s="568" t="s">
        <v>96</v>
      </c>
      <c r="E39" s="82">
        <v>2</v>
      </c>
      <c r="F39" s="81">
        <v>1181.1500000000001</v>
      </c>
      <c r="G39" s="83">
        <f t="shared" si="6"/>
        <v>0.81869566666666682</v>
      </c>
      <c r="H39" s="84">
        <f t="shared" si="1"/>
        <v>967.00238668333361</v>
      </c>
      <c r="I39" s="84">
        <f t="shared" si="7"/>
        <v>1156.3333333333333</v>
      </c>
      <c r="J39" s="84">
        <f t="shared" si="3"/>
        <v>3304.4857200166671</v>
      </c>
      <c r="K39" s="84">
        <f t="shared" si="4"/>
        <v>39653.828640200009</v>
      </c>
      <c r="L39" s="84">
        <f t="shared" si="5"/>
        <v>79307.657280400017</v>
      </c>
      <c r="M39" s="86" t="s">
        <v>273</v>
      </c>
    </row>
    <row r="40" spans="1:13" ht="18" hidden="1" customHeight="1">
      <c r="A40" s="521"/>
      <c r="B40" s="80" t="s">
        <v>274</v>
      </c>
      <c r="C40" s="81" t="s">
        <v>209</v>
      </c>
      <c r="D40" s="568" t="s">
        <v>96</v>
      </c>
      <c r="E40" s="82">
        <v>2</v>
      </c>
      <c r="F40" s="569">
        <v>1166.42</v>
      </c>
      <c r="G40" s="83">
        <f t="shared" si="6"/>
        <v>0.81869566666666682</v>
      </c>
      <c r="H40" s="84">
        <f t="shared" si="1"/>
        <v>954.94299951333358</v>
      </c>
      <c r="I40" s="84">
        <f t="shared" si="7"/>
        <v>1156.3333333333333</v>
      </c>
      <c r="J40" s="84">
        <f t="shared" si="3"/>
        <v>3277.6963328466672</v>
      </c>
      <c r="K40" s="84">
        <f t="shared" si="4"/>
        <v>39332.355994160011</v>
      </c>
      <c r="L40" s="84">
        <f t="shared" si="5"/>
        <v>78664.711988320021</v>
      </c>
      <c r="M40" s="86" t="s">
        <v>275</v>
      </c>
    </row>
    <row r="41" spans="1:13" ht="18" hidden="1" customHeight="1">
      <c r="A41" s="521"/>
      <c r="B41" s="80" t="s">
        <v>284</v>
      </c>
      <c r="C41" s="81" t="s">
        <v>191</v>
      </c>
      <c r="D41" s="568" t="s">
        <v>196</v>
      </c>
      <c r="E41" s="82">
        <v>10</v>
      </c>
      <c r="F41" s="81">
        <v>1547.01</v>
      </c>
      <c r="G41" s="83">
        <f t="shared" si="6"/>
        <v>0.81869566666666682</v>
      </c>
      <c r="H41" s="84">
        <f t="shared" si="1"/>
        <v>1266.5303832900001</v>
      </c>
      <c r="I41" s="84">
        <f t="shared" si="7"/>
        <v>1156.3333333333333</v>
      </c>
      <c r="J41" s="84">
        <f t="shared" si="3"/>
        <v>3969.8737166233332</v>
      </c>
      <c r="K41" s="84">
        <f t="shared" si="4"/>
        <v>47638.484599479998</v>
      </c>
      <c r="L41" s="84">
        <f t="shared" si="5"/>
        <v>476384.84599479998</v>
      </c>
      <c r="M41" s="87" t="s">
        <v>285</v>
      </c>
    </row>
    <row r="42" spans="1:13" ht="18" hidden="1" customHeight="1">
      <c r="A42" s="521"/>
      <c r="B42" s="80" t="s">
        <v>286</v>
      </c>
      <c r="C42" s="81" t="s">
        <v>191</v>
      </c>
      <c r="D42" s="568" t="s">
        <v>196</v>
      </c>
      <c r="E42" s="82">
        <v>1</v>
      </c>
      <c r="F42" s="81">
        <v>4062.37</v>
      </c>
      <c r="G42" s="83">
        <f t="shared" si="6"/>
        <v>0.81869566666666682</v>
      </c>
      <c r="H42" s="84">
        <f t="shared" si="1"/>
        <v>3325.8447153966672</v>
      </c>
      <c r="I42" s="84">
        <f t="shared" si="7"/>
        <v>1156.3333333333333</v>
      </c>
      <c r="J42" s="84">
        <f t="shared" si="3"/>
        <v>8544.548048730001</v>
      </c>
      <c r="K42" s="84">
        <f t="shared" si="4"/>
        <v>102534.57658476001</v>
      </c>
      <c r="L42" s="84">
        <f t="shared" si="5"/>
        <v>102534.57658476001</v>
      </c>
      <c r="M42" s="85" t="s">
        <v>287</v>
      </c>
    </row>
    <row r="43" spans="1:13" ht="18" hidden="1" customHeight="1">
      <c r="A43" s="521"/>
      <c r="B43" s="80" t="s">
        <v>288</v>
      </c>
      <c r="C43" s="81" t="s">
        <v>191</v>
      </c>
      <c r="D43" s="568" t="s">
        <v>196</v>
      </c>
      <c r="E43" s="82">
        <v>1</v>
      </c>
      <c r="F43" s="569">
        <v>20543.25</v>
      </c>
      <c r="G43" s="83">
        <f t="shared" si="6"/>
        <v>0.81869566666666682</v>
      </c>
      <c r="H43" s="84">
        <f t="shared" si="1"/>
        <v>16818.669754250004</v>
      </c>
      <c r="I43" s="84">
        <f t="shared" si="7"/>
        <v>1156.3333333333333</v>
      </c>
      <c r="J43" s="84">
        <f t="shared" si="3"/>
        <v>38518.25308758334</v>
      </c>
      <c r="K43" s="84">
        <f t="shared" si="4"/>
        <v>462219.03705100005</v>
      </c>
      <c r="L43" s="84">
        <f t="shared" si="5"/>
        <v>462219.03705100005</v>
      </c>
      <c r="M43" s="85" t="s">
        <v>289</v>
      </c>
    </row>
    <row r="44" spans="1:13" ht="18" hidden="1" customHeight="1">
      <c r="A44" s="521"/>
      <c r="B44" s="80" t="s">
        <v>276</v>
      </c>
      <c r="C44" s="81" t="s">
        <v>191</v>
      </c>
      <c r="D44" s="568" t="s">
        <v>196</v>
      </c>
      <c r="E44" s="82">
        <v>12</v>
      </c>
      <c r="F44" s="81">
        <v>1387.02</v>
      </c>
      <c r="G44" s="83">
        <f t="shared" si="6"/>
        <v>0.81869566666666682</v>
      </c>
      <c r="H44" s="84">
        <f t="shared" si="1"/>
        <v>1135.5472635800002</v>
      </c>
      <c r="I44" s="84">
        <f t="shared" si="7"/>
        <v>1156.3333333333333</v>
      </c>
      <c r="J44" s="84">
        <f t="shared" si="3"/>
        <v>3678.9005969133332</v>
      </c>
      <c r="K44" s="84">
        <f t="shared" si="4"/>
        <v>44146.807162960002</v>
      </c>
      <c r="L44" s="84">
        <f t="shared" si="5"/>
        <v>529761.68595552002</v>
      </c>
      <c r="M44" s="85" t="s">
        <v>290</v>
      </c>
    </row>
    <row r="45" spans="1:13" ht="18" hidden="1" customHeight="1">
      <c r="A45" s="521"/>
      <c r="B45" s="80" t="s">
        <v>291</v>
      </c>
      <c r="C45" s="81" t="s">
        <v>191</v>
      </c>
      <c r="D45" s="568" t="s">
        <v>196</v>
      </c>
      <c r="E45" s="82">
        <v>5</v>
      </c>
      <c r="F45" s="569">
        <v>2441.27</v>
      </c>
      <c r="G45" s="83">
        <f t="shared" si="6"/>
        <v>0.81869566666666682</v>
      </c>
      <c r="H45" s="84">
        <f t="shared" si="1"/>
        <v>1998.6571701633336</v>
      </c>
      <c r="I45" s="84">
        <f t="shared" si="7"/>
        <v>1156.3333333333333</v>
      </c>
      <c r="J45" s="84">
        <f t="shared" si="3"/>
        <v>5596.2605034966664</v>
      </c>
      <c r="K45" s="84">
        <f t="shared" si="4"/>
        <v>67155.12604196</v>
      </c>
      <c r="L45" s="84">
        <f t="shared" si="5"/>
        <v>335775.63020979997</v>
      </c>
      <c r="M45" s="85" t="s">
        <v>292</v>
      </c>
    </row>
    <row r="46" spans="1:13" ht="18" hidden="1" customHeight="1">
      <c r="A46" s="521"/>
      <c r="B46" s="80" t="s">
        <v>293</v>
      </c>
      <c r="C46" s="81" t="s">
        <v>191</v>
      </c>
      <c r="D46" s="568" t="s">
        <v>196</v>
      </c>
      <c r="E46" s="82">
        <v>1</v>
      </c>
      <c r="F46" s="569">
        <v>2535.41</v>
      </c>
      <c r="G46" s="83">
        <f t="shared" si="6"/>
        <v>0.81869566666666682</v>
      </c>
      <c r="H46" s="84">
        <f t="shared" si="1"/>
        <v>2075.7291802233335</v>
      </c>
      <c r="I46" s="84">
        <f t="shared" si="7"/>
        <v>1156.3333333333333</v>
      </c>
      <c r="J46" s="84">
        <f t="shared" si="3"/>
        <v>5767.4725135566669</v>
      </c>
      <c r="K46" s="84">
        <f t="shared" si="4"/>
        <v>69209.670162680006</v>
      </c>
      <c r="L46" s="84">
        <f t="shared" si="5"/>
        <v>69209.670162680006</v>
      </c>
      <c r="M46" s="85" t="s">
        <v>294</v>
      </c>
    </row>
    <row r="47" spans="1:13" ht="18" hidden="1" customHeight="1">
      <c r="A47" s="521"/>
      <c r="B47" s="80" t="s">
        <v>295</v>
      </c>
      <c r="C47" s="81" t="s">
        <v>191</v>
      </c>
      <c r="D47" s="568" t="s">
        <v>196</v>
      </c>
      <c r="E47" s="82">
        <v>20</v>
      </c>
      <c r="F47" s="569">
        <v>1100</v>
      </c>
      <c r="G47" s="83">
        <f t="shared" si="6"/>
        <v>0.81869566666666682</v>
      </c>
      <c r="H47" s="84">
        <f t="shared" si="1"/>
        <v>900.56523333333348</v>
      </c>
      <c r="I47" s="84">
        <f t="shared" si="7"/>
        <v>1156.3333333333333</v>
      </c>
      <c r="J47" s="84">
        <f t="shared" si="3"/>
        <v>3156.8985666666667</v>
      </c>
      <c r="K47" s="84">
        <f t="shared" si="4"/>
        <v>37882.782800000001</v>
      </c>
      <c r="L47" s="84">
        <f t="shared" si="5"/>
        <v>757655.65599999996</v>
      </c>
      <c r="M47" s="86" t="s">
        <v>296</v>
      </c>
    </row>
    <row r="48" spans="1:13" ht="18" hidden="1" customHeight="1">
      <c r="A48" s="521"/>
      <c r="B48" s="80" t="s">
        <v>297</v>
      </c>
      <c r="C48" s="81" t="s">
        <v>191</v>
      </c>
      <c r="D48" s="568" t="s">
        <v>234</v>
      </c>
      <c r="E48" s="82">
        <v>2</v>
      </c>
      <c r="F48" s="569">
        <v>1549.73</v>
      </c>
      <c r="G48" s="83">
        <f t="shared" si="6"/>
        <v>0.81869566666666682</v>
      </c>
      <c r="H48" s="84">
        <f t="shared" si="1"/>
        <v>1268.7572355033335</v>
      </c>
      <c r="I48" s="84">
        <f t="shared" si="7"/>
        <v>1156.3333333333333</v>
      </c>
      <c r="J48" s="84">
        <f t="shared" si="3"/>
        <v>3974.820568836667</v>
      </c>
      <c r="K48" s="84">
        <f t="shared" si="4"/>
        <v>47697.846826040004</v>
      </c>
      <c r="L48" s="84">
        <f t="shared" si="5"/>
        <v>95395.693652080008</v>
      </c>
      <c r="M48" s="85" t="s">
        <v>298</v>
      </c>
    </row>
    <row r="49" spans="1:13" ht="18" hidden="1" customHeight="1">
      <c r="A49" s="521"/>
      <c r="B49" s="80" t="s">
        <v>299</v>
      </c>
      <c r="C49" s="81" t="s">
        <v>191</v>
      </c>
      <c r="D49" s="568" t="s">
        <v>234</v>
      </c>
      <c r="E49" s="82">
        <v>2</v>
      </c>
      <c r="F49" s="81">
        <v>1782.37</v>
      </c>
      <c r="G49" s="83">
        <f t="shared" si="6"/>
        <v>0.81869566666666682</v>
      </c>
      <c r="H49" s="84">
        <f t="shared" si="1"/>
        <v>1459.2185953966668</v>
      </c>
      <c r="I49" s="84">
        <f t="shared" si="7"/>
        <v>1156.3333333333333</v>
      </c>
      <c r="J49" s="84">
        <f t="shared" si="3"/>
        <v>4397.9219287300002</v>
      </c>
      <c r="K49" s="84">
        <f t="shared" si="4"/>
        <v>52775.063144760003</v>
      </c>
      <c r="L49" s="84">
        <f t="shared" si="5"/>
        <v>105550.12628952001</v>
      </c>
      <c r="M49" s="85" t="s">
        <v>300</v>
      </c>
    </row>
    <row r="50" spans="1:13" ht="18" hidden="1" customHeight="1">
      <c r="A50" s="521"/>
      <c r="B50" s="80" t="s">
        <v>301</v>
      </c>
      <c r="C50" s="81" t="s">
        <v>191</v>
      </c>
      <c r="D50" s="568" t="s">
        <v>302</v>
      </c>
      <c r="E50" s="82">
        <v>40</v>
      </c>
      <c r="F50" s="569">
        <v>1213.74</v>
      </c>
      <c r="G50" s="83">
        <f t="shared" si="6"/>
        <v>0.81869566666666682</v>
      </c>
      <c r="H50" s="84">
        <f t="shared" si="1"/>
        <v>993.68367846000024</v>
      </c>
      <c r="I50" s="84">
        <f t="shared" si="7"/>
        <v>1156.3333333333333</v>
      </c>
      <c r="J50" s="84">
        <f t="shared" si="3"/>
        <v>3363.7570117933337</v>
      </c>
      <c r="K50" s="84">
        <f t="shared" si="4"/>
        <v>40365.084141520005</v>
      </c>
      <c r="L50" s="84">
        <f t="shared" si="5"/>
        <v>1614603.3656608001</v>
      </c>
      <c r="M50" s="86" t="s">
        <v>303</v>
      </c>
    </row>
    <row r="51" spans="1:13" ht="18" hidden="1" customHeight="1">
      <c r="A51" s="521"/>
      <c r="B51" s="80"/>
      <c r="C51" s="81"/>
      <c r="D51" s="568"/>
      <c r="E51" s="82"/>
      <c r="F51" s="81"/>
      <c r="G51" s="83">
        <f t="shared" si="6"/>
        <v>0</v>
      </c>
      <c r="H51" s="84">
        <f t="shared" si="1"/>
        <v>0</v>
      </c>
      <c r="I51" s="84">
        <f t="shared" si="7"/>
        <v>0</v>
      </c>
      <c r="J51" s="84">
        <f t="shared" si="3"/>
        <v>0</v>
      </c>
      <c r="K51" s="84">
        <f t="shared" si="4"/>
        <v>0</v>
      </c>
      <c r="L51" s="84">
        <f t="shared" si="5"/>
        <v>0</v>
      </c>
      <c r="M51" s="86"/>
    </row>
    <row r="52" spans="1:13" ht="18" hidden="1" customHeight="1">
      <c r="A52" s="521"/>
      <c r="B52" s="80"/>
      <c r="C52" s="81"/>
      <c r="D52" s="568"/>
      <c r="E52" s="82"/>
      <c r="F52" s="569"/>
      <c r="G52" s="83">
        <f t="shared" si="6"/>
        <v>0</v>
      </c>
      <c r="H52" s="84">
        <f t="shared" si="1"/>
        <v>0</v>
      </c>
      <c r="I52" s="84">
        <f t="shared" si="7"/>
        <v>0</v>
      </c>
      <c r="J52" s="84">
        <f t="shared" si="3"/>
        <v>0</v>
      </c>
      <c r="K52" s="84">
        <f t="shared" si="4"/>
        <v>0</v>
      </c>
      <c r="L52" s="84">
        <f t="shared" si="5"/>
        <v>0</v>
      </c>
      <c r="M52" s="86"/>
    </row>
    <row r="53" spans="1:13" ht="18" hidden="1" customHeight="1">
      <c r="A53" s="521"/>
      <c r="B53" s="80"/>
      <c r="C53" s="81"/>
      <c r="D53" s="568"/>
      <c r="E53" s="82"/>
      <c r="F53" s="569"/>
      <c r="G53" s="83">
        <f t="shared" si="6"/>
        <v>0</v>
      </c>
      <c r="H53" s="84">
        <f t="shared" si="1"/>
        <v>0</v>
      </c>
      <c r="I53" s="84">
        <f t="shared" si="7"/>
        <v>0</v>
      </c>
      <c r="J53" s="84">
        <f t="shared" si="3"/>
        <v>0</v>
      </c>
      <c r="K53" s="84">
        <f t="shared" si="4"/>
        <v>0</v>
      </c>
      <c r="L53" s="84">
        <f t="shared" si="5"/>
        <v>0</v>
      </c>
      <c r="M53" s="85"/>
    </row>
    <row r="54" spans="1:13" ht="18" hidden="1" customHeight="1">
      <c r="A54" s="521"/>
      <c r="B54" s="80"/>
      <c r="C54" s="81"/>
      <c r="D54" s="568"/>
      <c r="E54" s="82"/>
      <c r="F54" s="569"/>
      <c r="G54" s="83">
        <f t="shared" si="6"/>
        <v>0</v>
      </c>
      <c r="H54" s="84">
        <f t="shared" si="1"/>
        <v>0</v>
      </c>
      <c r="I54" s="84">
        <f t="shared" si="7"/>
        <v>0</v>
      </c>
      <c r="J54" s="84">
        <f t="shared" si="3"/>
        <v>0</v>
      </c>
      <c r="K54" s="84">
        <f t="shared" si="4"/>
        <v>0</v>
      </c>
      <c r="L54" s="84">
        <f t="shared" si="5"/>
        <v>0</v>
      </c>
      <c r="M54" s="86"/>
    </row>
    <row r="55" spans="1:13" ht="18" hidden="1" customHeight="1">
      <c r="A55" s="521"/>
      <c r="B55" s="80"/>
      <c r="C55" s="81"/>
      <c r="D55" s="568"/>
      <c r="E55" s="82"/>
      <c r="F55" s="81"/>
      <c r="G55" s="83">
        <f t="shared" ref="G55:G86" si="8">IF(F55&gt;0,SUM(encargos),0)</f>
        <v>0</v>
      </c>
      <c r="H55" s="84">
        <f t="shared" si="1"/>
        <v>0</v>
      </c>
      <c r="I55" s="84">
        <f t="shared" ref="I55:I86" si="9">IF(F55&gt;0,SUM(beneficios),0)</f>
        <v>0</v>
      </c>
      <c r="J55" s="84">
        <f t="shared" si="3"/>
        <v>0</v>
      </c>
      <c r="K55" s="84">
        <f t="shared" si="4"/>
        <v>0</v>
      </c>
      <c r="L55" s="84">
        <f t="shared" si="5"/>
        <v>0</v>
      </c>
      <c r="M55" s="88"/>
    </row>
    <row r="56" spans="1:13" ht="18" hidden="1" customHeight="1">
      <c r="A56" s="521"/>
      <c r="B56" s="80"/>
      <c r="C56" s="81"/>
      <c r="D56" s="568"/>
      <c r="E56" s="82"/>
      <c r="F56" s="81"/>
      <c r="G56" s="83">
        <f t="shared" si="8"/>
        <v>0</v>
      </c>
      <c r="H56" s="84">
        <f t="shared" si="1"/>
        <v>0</v>
      </c>
      <c r="I56" s="84">
        <f t="shared" si="9"/>
        <v>0</v>
      </c>
      <c r="J56" s="84">
        <f t="shared" si="3"/>
        <v>0</v>
      </c>
      <c r="K56" s="84">
        <f t="shared" si="4"/>
        <v>0</v>
      </c>
      <c r="L56" s="84">
        <f t="shared" si="5"/>
        <v>0</v>
      </c>
      <c r="M56" s="88"/>
    </row>
    <row r="57" spans="1:13" ht="18" hidden="1" customHeight="1">
      <c r="A57" s="521"/>
      <c r="B57" s="80"/>
      <c r="C57" s="81"/>
      <c r="D57" s="568"/>
      <c r="E57" s="82"/>
      <c r="F57" s="81"/>
      <c r="G57" s="83">
        <f t="shared" si="8"/>
        <v>0</v>
      </c>
      <c r="H57" s="84">
        <f t="shared" si="1"/>
        <v>0</v>
      </c>
      <c r="I57" s="84">
        <f t="shared" si="9"/>
        <v>0</v>
      </c>
      <c r="J57" s="84">
        <f t="shared" si="3"/>
        <v>0</v>
      </c>
      <c r="K57" s="84">
        <f t="shared" si="4"/>
        <v>0</v>
      </c>
      <c r="L57" s="84">
        <f t="shared" si="5"/>
        <v>0</v>
      </c>
      <c r="M57" s="88"/>
    </row>
    <row r="58" spans="1:13" ht="18" hidden="1" customHeight="1">
      <c r="A58" s="521"/>
      <c r="B58" s="80"/>
      <c r="C58" s="81"/>
      <c r="D58" s="568"/>
      <c r="E58" s="82"/>
      <c r="F58" s="569"/>
      <c r="G58" s="83">
        <f t="shared" si="8"/>
        <v>0</v>
      </c>
      <c r="H58" s="84">
        <f t="shared" si="1"/>
        <v>0</v>
      </c>
      <c r="I58" s="84">
        <f t="shared" si="9"/>
        <v>0</v>
      </c>
      <c r="J58" s="84">
        <f t="shared" si="3"/>
        <v>0</v>
      </c>
      <c r="K58" s="84">
        <f t="shared" si="4"/>
        <v>0</v>
      </c>
      <c r="L58" s="84">
        <f t="shared" si="5"/>
        <v>0</v>
      </c>
      <c r="M58" s="88"/>
    </row>
    <row r="59" spans="1:13" ht="18" hidden="1" customHeight="1">
      <c r="A59" s="521"/>
      <c r="B59" s="80"/>
      <c r="C59" s="81"/>
      <c r="D59" s="568"/>
      <c r="E59" s="82"/>
      <c r="F59" s="569"/>
      <c r="G59" s="83">
        <f t="shared" si="8"/>
        <v>0</v>
      </c>
      <c r="H59" s="84">
        <f t="shared" si="1"/>
        <v>0</v>
      </c>
      <c r="I59" s="84">
        <f t="shared" si="9"/>
        <v>0</v>
      </c>
      <c r="J59" s="84">
        <f t="shared" si="3"/>
        <v>0</v>
      </c>
      <c r="K59" s="84">
        <f t="shared" si="4"/>
        <v>0</v>
      </c>
      <c r="L59" s="84">
        <f t="shared" si="5"/>
        <v>0</v>
      </c>
      <c r="M59" s="88"/>
    </row>
    <row r="60" spans="1:13" ht="18" hidden="1" customHeight="1">
      <c r="A60" s="521"/>
      <c r="B60" s="80"/>
      <c r="C60" s="81"/>
      <c r="D60" s="568"/>
      <c r="E60" s="82"/>
      <c r="F60" s="569"/>
      <c r="G60" s="83">
        <f t="shared" si="8"/>
        <v>0</v>
      </c>
      <c r="H60" s="84">
        <f t="shared" si="1"/>
        <v>0</v>
      </c>
      <c r="I60" s="84">
        <f t="shared" si="9"/>
        <v>0</v>
      </c>
      <c r="J60" s="84">
        <f t="shared" si="3"/>
        <v>0</v>
      </c>
      <c r="K60" s="84">
        <f t="shared" si="4"/>
        <v>0</v>
      </c>
      <c r="L60" s="84">
        <f t="shared" si="5"/>
        <v>0</v>
      </c>
      <c r="M60" s="88"/>
    </row>
    <row r="61" spans="1:13" ht="18" hidden="1" customHeight="1">
      <c r="A61" s="521"/>
      <c r="B61" s="80"/>
      <c r="C61" s="81"/>
      <c r="D61" s="568"/>
      <c r="E61" s="82"/>
      <c r="F61" s="569"/>
      <c r="G61" s="83">
        <f t="shared" si="8"/>
        <v>0</v>
      </c>
      <c r="H61" s="84">
        <f t="shared" si="1"/>
        <v>0</v>
      </c>
      <c r="I61" s="84">
        <f t="shared" si="9"/>
        <v>0</v>
      </c>
      <c r="J61" s="84">
        <f t="shared" si="3"/>
        <v>0</v>
      </c>
      <c r="K61" s="84">
        <f t="shared" si="4"/>
        <v>0</v>
      </c>
      <c r="L61" s="84">
        <f t="shared" si="5"/>
        <v>0</v>
      </c>
      <c r="M61" s="88"/>
    </row>
    <row r="62" spans="1:13" ht="18" hidden="1" customHeight="1">
      <c r="A62" s="521"/>
      <c r="B62" s="80"/>
      <c r="C62" s="81"/>
      <c r="D62" s="568"/>
      <c r="E62" s="82"/>
      <c r="F62" s="569"/>
      <c r="G62" s="83">
        <f t="shared" si="8"/>
        <v>0</v>
      </c>
      <c r="H62" s="84">
        <f t="shared" si="1"/>
        <v>0</v>
      </c>
      <c r="I62" s="84">
        <f t="shared" si="9"/>
        <v>0</v>
      </c>
      <c r="J62" s="84">
        <f t="shared" si="3"/>
        <v>0</v>
      </c>
      <c r="K62" s="84">
        <f t="shared" si="4"/>
        <v>0</v>
      </c>
      <c r="L62" s="84">
        <f t="shared" si="5"/>
        <v>0</v>
      </c>
      <c r="M62" s="88"/>
    </row>
    <row r="63" spans="1:13" ht="18" hidden="1" customHeight="1">
      <c r="A63" s="521"/>
      <c r="B63" s="80"/>
      <c r="C63" s="81"/>
      <c r="D63" s="568"/>
      <c r="E63" s="82"/>
      <c r="F63" s="569"/>
      <c r="G63" s="83">
        <f t="shared" si="8"/>
        <v>0</v>
      </c>
      <c r="H63" s="84">
        <f t="shared" si="1"/>
        <v>0</v>
      </c>
      <c r="I63" s="84">
        <f t="shared" si="9"/>
        <v>0</v>
      </c>
      <c r="J63" s="84">
        <f t="shared" si="3"/>
        <v>0</v>
      </c>
      <c r="K63" s="84">
        <f t="shared" si="4"/>
        <v>0</v>
      </c>
      <c r="L63" s="84">
        <f t="shared" si="5"/>
        <v>0</v>
      </c>
      <c r="M63" s="88"/>
    </row>
    <row r="64" spans="1:13" ht="18" hidden="1" customHeight="1">
      <c r="A64" s="521"/>
      <c r="B64" s="80"/>
      <c r="C64" s="81"/>
      <c r="D64" s="568"/>
      <c r="E64" s="82"/>
      <c r="F64" s="569"/>
      <c r="G64" s="83">
        <f t="shared" si="8"/>
        <v>0</v>
      </c>
      <c r="H64" s="84">
        <f t="shared" si="1"/>
        <v>0</v>
      </c>
      <c r="I64" s="84">
        <f t="shared" si="9"/>
        <v>0</v>
      </c>
      <c r="J64" s="84">
        <f t="shared" si="3"/>
        <v>0</v>
      </c>
      <c r="K64" s="84">
        <f t="shared" si="4"/>
        <v>0</v>
      </c>
      <c r="L64" s="84">
        <f t="shared" si="5"/>
        <v>0</v>
      </c>
      <c r="M64" s="88"/>
    </row>
    <row r="65" spans="1:13" ht="18" hidden="1" customHeight="1">
      <c r="A65" s="521"/>
      <c r="B65" s="80"/>
      <c r="C65" s="81"/>
      <c r="D65" s="568"/>
      <c r="E65" s="82"/>
      <c r="F65" s="569"/>
      <c r="G65" s="83">
        <f t="shared" si="8"/>
        <v>0</v>
      </c>
      <c r="H65" s="84">
        <f t="shared" si="1"/>
        <v>0</v>
      </c>
      <c r="I65" s="84">
        <f t="shared" si="9"/>
        <v>0</v>
      </c>
      <c r="J65" s="84">
        <f t="shared" si="3"/>
        <v>0</v>
      </c>
      <c r="K65" s="84">
        <f t="shared" si="4"/>
        <v>0</v>
      </c>
      <c r="L65" s="84">
        <f t="shared" si="5"/>
        <v>0</v>
      </c>
      <c r="M65" s="88"/>
    </row>
    <row r="66" spans="1:13" ht="18" hidden="1" customHeight="1">
      <c r="A66" s="521"/>
      <c r="B66" s="80"/>
      <c r="C66" s="81"/>
      <c r="D66" s="568"/>
      <c r="E66" s="82"/>
      <c r="F66" s="569"/>
      <c r="G66" s="83">
        <f t="shared" si="8"/>
        <v>0</v>
      </c>
      <c r="H66" s="84">
        <f t="shared" si="1"/>
        <v>0</v>
      </c>
      <c r="I66" s="84">
        <f t="shared" si="9"/>
        <v>0</v>
      </c>
      <c r="J66" s="84">
        <f t="shared" si="3"/>
        <v>0</v>
      </c>
      <c r="K66" s="84">
        <f t="shared" si="4"/>
        <v>0</v>
      </c>
      <c r="L66" s="84">
        <f t="shared" si="5"/>
        <v>0</v>
      </c>
      <c r="M66" s="88"/>
    </row>
    <row r="67" spans="1:13" ht="18" hidden="1" customHeight="1">
      <c r="A67" s="521"/>
      <c r="B67" s="80"/>
      <c r="C67" s="81"/>
      <c r="D67" s="568"/>
      <c r="E67" s="82"/>
      <c r="F67" s="569"/>
      <c r="G67" s="83">
        <f t="shared" si="8"/>
        <v>0</v>
      </c>
      <c r="H67" s="84">
        <f t="shared" si="1"/>
        <v>0</v>
      </c>
      <c r="I67" s="84">
        <f t="shared" si="9"/>
        <v>0</v>
      </c>
      <c r="J67" s="84">
        <f t="shared" si="3"/>
        <v>0</v>
      </c>
      <c r="K67" s="84">
        <f t="shared" si="4"/>
        <v>0</v>
      </c>
      <c r="L67" s="84">
        <f t="shared" si="5"/>
        <v>0</v>
      </c>
      <c r="M67" s="88"/>
    </row>
    <row r="68" spans="1:13" ht="18" hidden="1" customHeight="1">
      <c r="A68" s="521"/>
      <c r="B68" s="80"/>
      <c r="C68" s="81"/>
      <c r="D68" s="568"/>
      <c r="E68" s="82"/>
      <c r="F68" s="569"/>
      <c r="G68" s="83">
        <f t="shared" si="8"/>
        <v>0</v>
      </c>
      <c r="H68" s="84">
        <f t="shared" si="1"/>
        <v>0</v>
      </c>
      <c r="I68" s="84">
        <f t="shared" si="9"/>
        <v>0</v>
      </c>
      <c r="J68" s="84">
        <f t="shared" si="3"/>
        <v>0</v>
      </c>
      <c r="K68" s="84">
        <f t="shared" si="4"/>
        <v>0</v>
      </c>
      <c r="L68" s="84">
        <f t="shared" si="5"/>
        <v>0</v>
      </c>
      <c r="M68" s="88"/>
    </row>
    <row r="69" spans="1:13" ht="18" hidden="1" customHeight="1">
      <c r="A69" s="521"/>
      <c r="B69" s="80"/>
      <c r="C69" s="81"/>
      <c r="D69" s="568"/>
      <c r="E69" s="82"/>
      <c r="F69" s="569"/>
      <c r="G69" s="83">
        <f t="shared" si="8"/>
        <v>0</v>
      </c>
      <c r="H69" s="84">
        <f t="shared" si="1"/>
        <v>0</v>
      </c>
      <c r="I69" s="84">
        <f t="shared" si="9"/>
        <v>0</v>
      </c>
      <c r="J69" s="84">
        <f t="shared" si="3"/>
        <v>0</v>
      </c>
      <c r="K69" s="84">
        <f t="shared" si="4"/>
        <v>0</v>
      </c>
      <c r="L69" s="84">
        <f t="shared" si="5"/>
        <v>0</v>
      </c>
      <c r="M69" s="88"/>
    </row>
    <row r="70" spans="1:13" ht="18" hidden="1" customHeight="1">
      <c r="A70" s="521"/>
      <c r="B70" s="80"/>
      <c r="C70" s="81"/>
      <c r="D70" s="568"/>
      <c r="E70" s="82"/>
      <c r="F70" s="569"/>
      <c r="G70" s="83">
        <f t="shared" si="8"/>
        <v>0</v>
      </c>
      <c r="H70" s="84">
        <f t="shared" si="1"/>
        <v>0</v>
      </c>
      <c r="I70" s="84">
        <f t="shared" si="9"/>
        <v>0</v>
      </c>
      <c r="J70" s="84">
        <f t="shared" si="3"/>
        <v>0</v>
      </c>
      <c r="K70" s="84">
        <f t="shared" si="4"/>
        <v>0</v>
      </c>
      <c r="L70" s="84">
        <f t="shared" si="5"/>
        <v>0</v>
      </c>
      <c r="M70" s="88"/>
    </row>
    <row r="71" spans="1:13" ht="18" hidden="1" customHeight="1">
      <c r="A71" s="521"/>
      <c r="B71" s="80"/>
      <c r="C71" s="81"/>
      <c r="D71" s="568"/>
      <c r="E71" s="82"/>
      <c r="F71" s="569"/>
      <c r="G71" s="83">
        <f t="shared" si="8"/>
        <v>0</v>
      </c>
      <c r="H71" s="84">
        <f t="shared" si="1"/>
        <v>0</v>
      </c>
      <c r="I71" s="84">
        <f t="shared" si="9"/>
        <v>0</v>
      </c>
      <c r="J71" s="84">
        <f t="shared" si="3"/>
        <v>0</v>
      </c>
      <c r="K71" s="84">
        <f t="shared" si="4"/>
        <v>0</v>
      </c>
      <c r="L71" s="84">
        <f t="shared" si="5"/>
        <v>0</v>
      </c>
      <c r="M71" s="88"/>
    </row>
    <row r="72" spans="1:13" ht="18" hidden="1" customHeight="1">
      <c r="A72" s="521"/>
      <c r="B72" s="80"/>
      <c r="C72" s="81"/>
      <c r="D72" s="568"/>
      <c r="E72" s="82"/>
      <c r="F72" s="569"/>
      <c r="G72" s="83">
        <f t="shared" si="8"/>
        <v>0</v>
      </c>
      <c r="H72" s="84">
        <f t="shared" si="1"/>
        <v>0</v>
      </c>
      <c r="I72" s="84">
        <f t="shared" si="9"/>
        <v>0</v>
      </c>
      <c r="J72" s="84">
        <f t="shared" si="3"/>
        <v>0</v>
      </c>
      <c r="K72" s="84">
        <f t="shared" si="4"/>
        <v>0</v>
      </c>
      <c r="L72" s="84">
        <f t="shared" si="5"/>
        <v>0</v>
      </c>
      <c r="M72" s="88"/>
    </row>
    <row r="73" spans="1:13" ht="18" hidden="1" customHeight="1">
      <c r="A73" s="521"/>
      <c r="B73" s="80"/>
      <c r="C73" s="81"/>
      <c r="D73" s="568"/>
      <c r="E73" s="82"/>
      <c r="F73" s="569"/>
      <c r="G73" s="83">
        <f t="shared" si="8"/>
        <v>0</v>
      </c>
      <c r="H73" s="84">
        <f t="shared" si="1"/>
        <v>0</v>
      </c>
      <c r="I73" s="84">
        <f t="shared" si="9"/>
        <v>0</v>
      </c>
      <c r="J73" s="84">
        <f t="shared" si="3"/>
        <v>0</v>
      </c>
      <c r="K73" s="84">
        <f t="shared" si="4"/>
        <v>0</v>
      </c>
      <c r="L73" s="84">
        <f t="shared" si="5"/>
        <v>0</v>
      </c>
      <c r="M73" s="88"/>
    </row>
    <row r="74" spans="1:13" ht="18" hidden="1" customHeight="1">
      <c r="A74" s="521"/>
      <c r="B74" s="80"/>
      <c r="C74" s="81"/>
      <c r="D74" s="568"/>
      <c r="E74" s="82"/>
      <c r="F74" s="569"/>
      <c r="G74" s="83">
        <f t="shared" si="8"/>
        <v>0</v>
      </c>
      <c r="H74" s="84">
        <f t="shared" si="1"/>
        <v>0</v>
      </c>
      <c r="I74" s="84">
        <f t="shared" si="9"/>
        <v>0</v>
      </c>
      <c r="J74" s="84">
        <f t="shared" si="3"/>
        <v>0</v>
      </c>
      <c r="K74" s="84">
        <f t="shared" si="4"/>
        <v>0</v>
      </c>
      <c r="L74" s="84">
        <f t="shared" si="5"/>
        <v>0</v>
      </c>
      <c r="M74" s="88"/>
    </row>
    <row r="75" spans="1:13" ht="18" hidden="1" customHeight="1">
      <c r="A75" s="521"/>
      <c r="B75" s="80"/>
      <c r="C75" s="81"/>
      <c r="D75" s="568"/>
      <c r="E75" s="82"/>
      <c r="F75" s="569"/>
      <c r="G75" s="83">
        <f t="shared" si="8"/>
        <v>0</v>
      </c>
      <c r="H75" s="84">
        <f t="shared" si="1"/>
        <v>0</v>
      </c>
      <c r="I75" s="84">
        <f t="shared" si="9"/>
        <v>0</v>
      </c>
      <c r="J75" s="84">
        <f t="shared" si="3"/>
        <v>0</v>
      </c>
      <c r="K75" s="84">
        <f t="shared" si="4"/>
        <v>0</v>
      </c>
      <c r="L75" s="84">
        <f t="shared" si="5"/>
        <v>0</v>
      </c>
      <c r="M75" s="88"/>
    </row>
    <row r="76" spans="1:13" ht="18" hidden="1" customHeight="1">
      <c r="A76" s="521"/>
      <c r="B76" s="80"/>
      <c r="C76" s="81"/>
      <c r="D76" s="568"/>
      <c r="E76" s="82"/>
      <c r="F76" s="569"/>
      <c r="G76" s="83">
        <f t="shared" si="8"/>
        <v>0</v>
      </c>
      <c r="H76" s="84">
        <f t="shared" si="1"/>
        <v>0</v>
      </c>
      <c r="I76" s="84">
        <f t="shared" si="9"/>
        <v>0</v>
      </c>
      <c r="J76" s="84">
        <f t="shared" si="3"/>
        <v>0</v>
      </c>
      <c r="K76" s="84">
        <f t="shared" si="4"/>
        <v>0</v>
      </c>
      <c r="L76" s="84">
        <f t="shared" si="5"/>
        <v>0</v>
      </c>
      <c r="M76" s="88"/>
    </row>
    <row r="77" spans="1:13" ht="18" hidden="1" customHeight="1">
      <c r="A77" s="521"/>
      <c r="B77" s="80"/>
      <c r="C77" s="81"/>
      <c r="D77" s="568"/>
      <c r="E77" s="82"/>
      <c r="F77" s="569"/>
      <c r="G77" s="83">
        <f t="shared" si="8"/>
        <v>0</v>
      </c>
      <c r="H77" s="84">
        <f t="shared" si="1"/>
        <v>0</v>
      </c>
      <c r="I77" s="84">
        <f t="shared" si="9"/>
        <v>0</v>
      </c>
      <c r="J77" s="84">
        <f t="shared" si="3"/>
        <v>0</v>
      </c>
      <c r="K77" s="84">
        <f t="shared" si="4"/>
        <v>0</v>
      </c>
      <c r="L77" s="84">
        <f t="shared" si="5"/>
        <v>0</v>
      </c>
      <c r="M77" s="88"/>
    </row>
    <row r="78" spans="1:13" ht="18" hidden="1" customHeight="1">
      <c r="A78" s="521"/>
      <c r="B78" s="80"/>
      <c r="C78" s="81"/>
      <c r="D78" s="568"/>
      <c r="E78" s="82"/>
      <c r="F78" s="569"/>
      <c r="G78" s="83">
        <f t="shared" si="8"/>
        <v>0</v>
      </c>
      <c r="H78" s="84">
        <f t="shared" si="1"/>
        <v>0</v>
      </c>
      <c r="I78" s="84">
        <f t="shared" si="9"/>
        <v>0</v>
      </c>
      <c r="J78" s="84">
        <f t="shared" si="3"/>
        <v>0</v>
      </c>
      <c r="K78" s="84">
        <f t="shared" si="4"/>
        <v>0</v>
      </c>
      <c r="L78" s="84">
        <f t="shared" si="5"/>
        <v>0</v>
      </c>
      <c r="M78" s="88"/>
    </row>
    <row r="79" spans="1:13" ht="18" hidden="1" customHeight="1">
      <c r="A79" s="521"/>
      <c r="B79" s="80"/>
      <c r="C79" s="81"/>
      <c r="D79" s="568"/>
      <c r="E79" s="82"/>
      <c r="F79" s="569"/>
      <c r="G79" s="83">
        <f t="shared" si="8"/>
        <v>0</v>
      </c>
      <c r="H79" s="84">
        <f t="shared" si="1"/>
        <v>0</v>
      </c>
      <c r="I79" s="84">
        <f t="shared" si="9"/>
        <v>0</v>
      </c>
      <c r="J79" s="84">
        <f t="shared" si="3"/>
        <v>0</v>
      </c>
      <c r="K79" s="84">
        <f t="shared" si="4"/>
        <v>0</v>
      </c>
      <c r="L79" s="84">
        <f t="shared" si="5"/>
        <v>0</v>
      </c>
      <c r="M79" s="88"/>
    </row>
    <row r="80" spans="1:13" ht="18" hidden="1" customHeight="1">
      <c r="A80" s="521"/>
      <c r="B80" s="80"/>
      <c r="C80" s="81"/>
      <c r="D80" s="568"/>
      <c r="E80" s="82"/>
      <c r="F80" s="569"/>
      <c r="G80" s="83">
        <f t="shared" si="8"/>
        <v>0</v>
      </c>
      <c r="H80" s="84">
        <f t="shared" si="1"/>
        <v>0</v>
      </c>
      <c r="I80" s="84">
        <f t="shared" si="9"/>
        <v>0</v>
      </c>
      <c r="J80" s="84">
        <f t="shared" si="3"/>
        <v>0</v>
      </c>
      <c r="K80" s="84">
        <f t="shared" si="4"/>
        <v>0</v>
      </c>
      <c r="L80" s="84">
        <f t="shared" si="5"/>
        <v>0</v>
      </c>
      <c r="M80" s="88"/>
    </row>
    <row r="81" spans="1:13" ht="18" hidden="1" customHeight="1">
      <c r="A81" s="521"/>
      <c r="B81" s="80"/>
      <c r="C81" s="81"/>
      <c r="D81" s="568"/>
      <c r="E81" s="82"/>
      <c r="F81" s="569"/>
      <c r="G81" s="83">
        <f t="shared" si="8"/>
        <v>0</v>
      </c>
      <c r="H81" s="84">
        <f t="shared" si="1"/>
        <v>0</v>
      </c>
      <c r="I81" s="84">
        <f t="shared" si="9"/>
        <v>0</v>
      </c>
      <c r="J81" s="84">
        <f t="shared" si="3"/>
        <v>0</v>
      </c>
      <c r="K81" s="84">
        <f t="shared" si="4"/>
        <v>0</v>
      </c>
      <c r="L81" s="84">
        <f t="shared" si="5"/>
        <v>0</v>
      </c>
      <c r="M81" s="88"/>
    </row>
    <row r="82" spans="1:13" ht="18" hidden="1" customHeight="1">
      <c r="A82" s="521"/>
      <c r="B82" s="80"/>
      <c r="C82" s="81"/>
      <c r="D82" s="568"/>
      <c r="E82" s="82"/>
      <c r="F82" s="569"/>
      <c r="G82" s="83">
        <f t="shared" si="8"/>
        <v>0</v>
      </c>
      <c r="H82" s="84">
        <f t="shared" si="1"/>
        <v>0</v>
      </c>
      <c r="I82" s="84">
        <f t="shared" si="9"/>
        <v>0</v>
      </c>
      <c r="J82" s="84">
        <f t="shared" si="3"/>
        <v>0</v>
      </c>
      <c r="K82" s="84">
        <f t="shared" si="4"/>
        <v>0</v>
      </c>
      <c r="L82" s="84">
        <f t="shared" si="5"/>
        <v>0</v>
      </c>
      <c r="M82" s="88"/>
    </row>
    <row r="83" spans="1:13" ht="18" hidden="1" customHeight="1">
      <c r="A83" s="521"/>
      <c r="B83" s="80"/>
      <c r="C83" s="81"/>
      <c r="D83" s="568"/>
      <c r="E83" s="82"/>
      <c r="F83" s="569"/>
      <c r="G83" s="83">
        <f t="shared" si="8"/>
        <v>0</v>
      </c>
      <c r="H83" s="84">
        <f t="shared" si="1"/>
        <v>0</v>
      </c>
      <c r="I83" s="84">
        <f t="shared" si="9"/>
        <v>0</v>
      </c>
      <c r="J83" s="84">
        <f t="shared" si="3"/>
        <v>0</v>
      </c>
      <c r="K83" s="84">
        <f t="shared" si="4"/>
        <v>0</v>
      </c>
      <c r="L83" s="84">
        <f t="shared" si="5"/>
        <v>0</v>
      </c>
      <c r="M83" s="88"/>
    </row>
    <row r="84" spans="1:13" ht="18" hidden="1" customHeight="1">
      <c r="A84" s="521"/>
      <c r="B84" s="80"/>
      <c r="C84" s="81"/>
      <c r="D84" s="568"/>
      <c r="E84" s="82"/>
      <c r="F84" s="569"/>
      <c r="G84" s="83">
        <f t="shared" si="8"/>
        <v>0</v>
      </c>
      <c r="H84" s="84">
        <f t="shared" si="1"/>
        <v>0</v>
      </c>
      <c r="I84" s="84">
        <f t="shared" si="9"/>
        <v>0</v>
      </c>
      <c r="J84" s="84">
        <f t="shared" si="3"/>
        <v>0</v>
      </c>
      <c r="K84" s="84">
        <f t="shared" si="4"/>
        <v>0</v>
      </c>
      <c r="L84" s="84">
        <f t="shared" si="5"/>
        <v>0</v>
      </c>
      <c r="M84" s="88"/>
    </row>
    <row r="85" spans="1:13" ht="18" hidden="1" customHeight="1">
      <c r="A85" s="521"/>
      <c r="B85" s="80"/>
      <c r="C85" s="81"/>
      <c r="D85" s="568"/>
      <c r="E85" s="82"/>
      <c r="F85" s="569"/>
      <c r="G85" s="83">
        <f t="shared" si="8"/>
        <v>0</v>
      </c>
      <c r="H85" s="84">
        <f t="shared" si="1"/>
        <v>0</v>
      </c>
      <c r="I85" s="84">
        <f t="shared" si="9"/>
        <v>0</v>
      </c>
      <c r="J85" s="84">
        <f t="shared" si="3"/>
        <v>0</v>
      </c>
      <c r="K85" s="84">
        <f t="shared" si="4"/>
        <v>0</v>
      </c>
      <c r="L85" s="84">
        <f t="shared" si="5"/>
        <v>0</v>
      </c>
      <c r="M85" s="88"/>
    </row>
    <row r="86" spans="1:13" ht="18" hidden="1" customHeight="1">
      <c r="A86" s="521"/>
      <c r="B86" s="80"/>
      <c r="C86" s="81"/>
      <c r="D86" s="568"/>
      <c r="E86" s="82"/>
      <c r="F86" s="569"/>
      <c r="G86" s="83">
        <f t="shared" si="8"/>
        <v>0</v>
      </c>
      <c r="H86" s="84">
        <f t="shared" si="1"/>
        <v>0</v>
      </c>
      <c r="I86" s="84">
        <f t="shared" si="9"/>
        <v>0</v>
      </c>
      <c r="J86" s="84">
        <f t="shared" si="3"/>
        <v>0</v>
      </c>
      <c r="K86" s="84">
        <f t="shared" si="4"/>
        <v>0</v>
      </c>
      <c r="L86" s="84">
        <f t="shared" si="5"/>
        <v>0</v>
      </c>
      <c r="M86" s="88"/>
    </row>
    <row r="87" spans="1:13" ht="18" hidden="1" customHeight="1">
      <c r="A87" s="521"/>
      <c r="B87" s="80"/>
      <c r="C87" s="81"/>
      <c r="D87" s="568"/>
      <c r="E87" s="82"/>
      <c r="F87" s="569"/>
      <c r="G87" s="83">
        <f t="shared" ref="G87:G105" si="10">IF(F87&gt;0,SUM(encargos),0)</f>
        <v>0</v>
      </c>
      <c r="H87" s="84">
        <f t="shared" si="1"/>
        <v>0</v>
      </c>
      <c r="I87" s="84">
        <f t="shared" ref="I87:I105" si="11">IF(F87&gt;0,SUM(beneficios),0)</f>
        <v>0</v>
      </c>
      <c r="J87" s="84">
        <f t="shared" si="3"/>
        <v>0</v>
      </c>
      <c r="K87" s="84">
        <f t="shared" si="4"/>
        <v>0</v>
      </c>
      <c r="L87" s="84">
        <f t="shared" si="5"/>
        <v>0</v>
      </c>
      <c r="M87" s="88"/>
    </row>
    <row r="88" spans="1:13" ht="18" hidden="1" customHeight="1">
      <c r="A88" s="521"/>
      <c r="B88" s="80"/>
      <c r="C88" s="81"/>
      <c r="D88" s="568"/>
      <c r="E88" s="82"/>
      <c r="F88" s="569"/>
      <c r="G88" s="83">
        <f t="shared" si="10"/>
        <v>0</v>
      </c>
      <c r="H88" s="84">
        <f t="shared" si="1"/>
        <v>0</v>
      </c>
      <c r="I88" s="84">
        <f t="shared" si="11"/>
        <v>0</v>
      </c>
      <c r="J88" s="84">
        <f t="shared" si="3"/>
        <v>0</v>
      </c>
      <c r="K88" s="84">
        <f t="shared" si="4"/>
        <v>0</v>
      </c>
      <c r="L88" s="84">
        <f t="shared" si="5"/>
        <v>0</v>
      </c>
      <c r="M88" s="88"/>
    </row>
    <row r="89" spans="1:13" ht="18" hidden="1" customHeight="1">
      <c r="A89" s="521"/>
      <c r="B89" s="80"/>
      <c r="C89" s="81"/>
      <c r="D89" s="568"/>
      <c r="E89" s="82"/>
      <c r="F89" s="569"/>
      <c r="G89" s="83">
        <f t="shared" si="10"/>
        <v>0</v>
      </c>
      <c r="H89" s="84">
        <f t="shared" si="1"/>
        <v>0</v>
      </c>
      <c r="I89" s="84">
        <f t="shared" si="11"/>
        <v>0</v>
      </c>
      <c r="J89" s="84">
        <f t="shared" si="3"/>
        <v>0</v>
      </c>
      <c r="K89" s="84">
        <f t="shared" si="4"/>
        <v>0</v>
      </c>
      <c r="L89" s="84">
        <f t="shared" si="5"/>
        <v>0</v>
      </c>
      <c r="M89" s="88"/>
    </row>
    <row r="90" spans="1:13" ht="18" hidden="1" customHeight="1">
      <c r="A90" s="521"/>
      <c r="B90" s="80"/>
      <c r="C90" s="81"/>
      <c r="D90" s="568"/>
      <c r="E90" s="82"/>
      <c r="F90" s="569"/>
      <c r="G90" s="83">
        <f t="shared" si="10"/>
        <v>0</v>
      </c>
      <c r="H90" s="84">
        <f t="shared" si="1"/>
        <v>0</v>
      </c>
      <c r="I90" s="84">
        <f t="shared" si="11"/>
        <v>0</v>
      </c>
      <c r="J90" s="84">
        <f t="shared" si="3"/>
        <v>0</v>
      </c>
      <c r="K90" s="84">
        <f t="shared" si="4"/>
        <v>0</v>
      </c>
      <c r="L90" s="84">
        <f t="shared" si="5"/>
        <v>0</v>
      </c>
      <c r="M90" s="88"/>
    </row>
    <row r="91" spans="1:13" ht="18" hidden="1" customHeight="1">
      <c r="A91" s="521"/>
      <c r="B91" s="80"/>
      <c r="C91" s="81"/>
      <c r="D91" s="568"/>
      <c r="E91" s="82"/>
      <c r="F91" s="569"/>
      <c r="G91" s="83">
        <f t="shared" si="10"/>
        <v>0</v>
      </c>
      <c r="H91" s="84">
        <f t="shared" si="1"/>
        <v>0</v>
      </c>
      <c r="I91" s="84">
        <f t="shared" si="11"/>
        <v>0</v>
      </c>
      <c r="J91" s="84">
        <f t="shared" si="3"/>
        <v>0</v>
      </c>
      <c r="K91" s="84">
        <f t="shared" si="4"/>
        <v>0</v>
      </c>
      <c r="L91" s="84">
        <f t="shared" si="5"/>
        <v>0</v>
      </c>
      <c r="M91" s="88"/>
    </row>
    <row r="92" spans="1:13" ht="18" hidden="1" customHeight="1">
      <c r="A92" s="521"/>
      <c r="B92" s="80"/>
      <c r="C92" s="81"/>
      <c r="D92" s="568"/>
      <c r="E92" s="82"/>
      <c r="F92" s="569"/>
      <c r="G92" s="83">
        <f t="shared" si="10"/>
        <v>0</v>
      </c>
      <c r="H92" s="84">
        <f t="shared" si="1"/>
        <v>0</v>
      </c>
      <c r="I92" s="84">
        <f t="shared" si="11"/>
        <v>0</v>
      </c>
      <c r="J92" s="84">
        <f t="shared" si="3"/>
        <v>0</v>
      </c>
      <c r="K92" s="84">
        <f t="shared" si="4"/>
        <v>0</v>
      </c>
      <c r="L92" s="84">
        <f t="shared" si="5"/>
        <v>0</v>
      </c>
      <c r="M92" s="88"/>
    </row>
    <row r="93" spans="1:13" ht="18" hidden="1" customHeight="1">
      <c r="A93" s="521"/>
      <c r="B93" s="80"/>
      <c r="C93" s="81"/>
      <c r="D93" s="568"/>
      <c r="E93" s="82"/>
      <c r="F93" s="569"/>
      <c r="G93" s="83">
        <f t="shared" si="10"/>
        <v>0</v>
      </c>
      <c r="H93" s="84">
        <f t="shared" si="1"/>
        <v>0</v>
      </c>
      <c r="I93" s="84">
        <f t="shared" si="11"/>
        <v>0</v>
      </c>
      <c r="J93" s="84">
        <f t="shared" si="3"/>
        <v>0</v>
      </c>
      <c r="K93" s="84">
        <f t="shared" si="4"/>
        <v>0</v>
      </c>
      <c r="L93" s="84">
        <f t="shared" si="5"/>
        <v>0</v>
      </c>
      <c r="M93" s="88"/>
    </row>
    <row r="94" spans="1:13" ht="18" hidden="1" customHeight="1">
      <c r="A94" s="521"/>
      <c r="B94" s="80"/>
      <c r="C94" s="81"/>
      <c r="D94" s="568"/>
      <c r="E94" s="82"/>
      <c r="F94" s="569"/>
      <c r="G94" s="83">
        <f t="shared" si="10"/>
        <v>0</v>
      </c>
      <c r="H94" s="84">
        <f t="shared" si="1"/>
        <v>0</v>
      </c>
      <c r="I94" s="84">
        <f t="shared" si="11"/>
        <v>0</v>
      </c>
      <c r="J94" s="84">
        <f t="shared" si="3"/>
        <v>0</v>
      </c>
      <c r="K94" s="84">
        <f t="shared" si="4"/>
        <v>0</v>
      </c>
      <c r="L94" s="84">
        <f t="shared" si="5"/>
        <v>0</v>
      </c>
      <c r="M94" s="88"/>
    </row>
    <row r="95" spans="1:13" ht="18" hidden="1" customHeight="1">
      <c r="A95" s="521"/>
      <c r="B95" s="80"/>
      <c r="C95" s="81"/>
      <c r="D95" s="568"/>
      <c r="E95" s="82"/>
      <c r="F95" s="569"/>
      <c r="G95" s="83">
        <f t="shared" si="10"/>
        <v>0</v>
      </c>
      <c r="H95" s="84">
        <f t="shared" si="1"/>
        <v>0</v>
      </c>
      <c r="I95" s="84">
        <f t="shared" si="11"/>
        <v>0</v>
      </c>
      <c r="J95" s="84">
        <f t="shared" si="3"/>
        <v>0</v>
      </c>
      <c r="K95" s="84">
        <f t="shared" si="4"/>
        <v>0</v>
      </c>
      <c r="L95" s="84">
        <f t="shared" si="5"/>
        <v>0</v>
      </c>
      <c r="M95" s="88"/>
    </row>
    <row r="96" spans="1:13" ht="18" hidden="1" customHeight="1">
      <c r="A96" s="521"/>
      <c r="B96" s="80"/>
      <c r="C96" s="81"/>
      <c r="D96" s="568"/>
      <c r="E96" s="82"/>
      <c r="F96" s="569"/>
      <c r="G96" s="83">
        <f t="shared" si="10"/>
        <v>0</v>
      </c>
      <c r="H96" s="84">
        <f t="shared" si="1"/>
        <v>0</v>
      </c>
      <c r="I96" s="84">
        <f t="shared" si="11"/>
        <v>0</v>
      </c>
      <c r="J96" s="84">
        <f t="shared" si="3"/>
        <v>0</v>
      </c>
      <c r="K96" s="84">
        <f t="shared" si="4"/>
        <v>0</v>
      </c>
      <c r="L96" s="84">
        <f t="shared" si="5"/>
        <v>0</v>
      </c>
      <c r="M96" s="88"/>
    </row>
    <row r="97" spans="1:13" ht="18" hidden="1" customHeight="1">
      <c r="A97" s="521"/>
      <c r="B97" s="80"/>
      <c r="C97" s="81"/>
      <c r="D97" s="568"/>
      <c r="E97" s="82"/>
      <c r="F97" s="569"/>
      <c r="G97" s="83">
        <f t="shared" si="10"/>
        <v>0</v>
      </c>
      <c r="H97" s="84">
        <f t="shared" si="1"/>
        <v>0</v>
      </c>
      <c r="I97" s="84">
        <f t="shared" si="11"/>
        <v>0</v>
      </c>
      <c r="J97" s="84">
        <f t="shared" si="3"/>
        <v>0</v>
      </c>
      <c r="K97" s="84">
        <f t="shared" si="4"/>
        <v>0</v>
      </c>
      <c r="L97" s="84">
        <f t="shared" si="5"/>
        <v>0</v>
      </c>
      <c r="M97" s="88"/>
    </row>
    <row r="98" spans="1:13" ht="18" hidden="1" customHeight="1">
      <c r="A98" s="521"/>
      <c r="B98" s="80"/>
      <c r="C98" s="81"/>
      <c r="D98" s="568"/>
      <c r="E98" s="82"/>
      <c r="F98" s="569"/>
      <c r="G98" s="83">
        <f t="shared" si="10"/>
        <v>0</v>
      </c>
      <c r="H98" s="84">
        <f t="shared" si="1"/>
        <v>0</v>
      </c>
      <c r="I98" s="84">
        <f t="shared" si="11"/>
        <v>0</v>
      </c>
      <c r="J98" s="84">
        <f t="shared" si="3"/>
        <v>0</v>
      </c>
      <c r="K98" s="84">
        <f t="shared" si="4"/>
        <v>0</v>
      </c>
      <c r="L98" s="84">
        <f t="shared" si="5"/>
        <v>0</v>
      </c>
      <c r="M98" s="88"/>
    </row>
    <row r="99" spans="1:13" ht="18" hidden="1" customHeight="1">
      <c r="A99" s="521"/>
      <c r="B99" s="80"/>
      <c r="C99" s="81"/>
      <c r="D99" s="568"/>
      <c r="E99" s="82"/>
      <c r="F99" s="569"/>
      <c r="G99" s="83">
        <f t="shared" si="10"/>
        <v>0</v>
      </c>
      <c r="H99" s="84">
        <f t="shared" si="1"/>
        <v>0</v>
      </c>
      <c r="I99" s="84">
        <f t="shared" si="11"/>
        <v>0</v>
      </c>
      <c r="J99" s="84">
        <f t="shared" si="3"/>
        <v>0</v>
      </c>
      <c r="K99" s="84">
        <f t="shared" si="4"/>
        <v>0</v>
      </c>
      <c r="L99" s="84">
        <f t="shared" si="5"/>
        <v>0</v>
      </c>
      <c r="M99" s="88"/>
    </row>
    <row r="100" spans="1:13" ht="18" hidden="1" customHeight="1">
      <c r="A100" s="521"/>
      <c r="B100" s="80"/>
      <c r="C100" s="81"/>
      <c r="D100" s="568"/>
      <c r="E100" s="82"/>
      <c r="F100" s="569"/>
      <c r="G100" s="83">
        <f t="shared" si="10"/>
        <v>0</v>
      </c>
      <c r="H100" s="84">
        <f t="shared" si="1"/>
        <v>0</v>
      </c>
      <c r="I100" s="84">
        <f t="shared" si="11"/>
        <v>0</v>
      </c>
      <c r="J100" s="84">
        <f t="shared" si="3"/>
        <v>0</v>
      </c>
      <c r="K100" s="84">
        <f t="shared" si="4"/>
        <v>0</v>
      </c>
      <c r="L100" s="84">
        <f t="shared" si="5"/>
        <v>0</v>
      </c>
      <c r="M100" s="88"/>
    </row>
    <row r="101" spans="1:13" ht="18" hidden="1" customHeight="1">
      <c r="A101" s="521"/>
      <c r="B101" s="80"/>
      <c r="C101" s="81"/>
      <c r="D101" s="568"/>
      <c r="E101" s="82"/>
      <c r="F101" s="569"/>
      <c r="G101" s="83">
        <f t="shared" si="10"/>
        <v>0</v>
      </c>
      <c r="H101" s="84">
        <f t="shared" si="1"/>
        <v>0</v>
      </c>
      <c r="I101" s="84">
        <f t="shared" si="11"/>
        <v>0</v>
      </c>
      <c r="J101" s="84">
        <f t="shared" si="3"/>
        <v>0</v>
      </c>
      <c r="K101" s="84">
        <f t="shared" si="4"/>
        <v>0</v>
      </c>
      <c r="L101" s="84">
        <f t="shared" si="5"/>
        <v>0</v>
      </c>
      <c r="M101" s="88"/>
    </row>
    <row r="102" spans="1:13" ht="18" hidden="1" customHeight="1">
      <c r="A102" s="521"/>
      <c r="B102" s="80"/>
      <c r="C102" s="81"/>
      <c r="D102" s="568"/>
      <c r="E102" s="82"/>
      <c r="F102" s="569"/>
      <c r="G102" s="83">
        <f t="shared" si="10"/>
        <v>0</v>
      </c>
      <c r="H102" s="84">
        <f t="shared" si="1"/>
        <v>0</v>
      </c>
      <c r="I102" s="84">
        <f t="shared" si="11"/>
        <v>0</v>
      </c>
      <c r="J102" s="84">
        <f t="shared" si="3"/>
        <v>0</v>
      </c>
      <c r="K102" s="84">
        <f t="shared" si="4"/>
        <v>0</v>
      </c>
      <c r="L102" s="84">
        <f t="shared" si="5"/>
        <v>0</v>
      </c>
      <c r="M102" s="88"/>
    </row>
    <row r="103" spans="1:13" ht="18" hidden="1" customHeight="1">
      <c r="A103" s="521"/>
      <c r="B103" s="80"/>
      <c r="C103" s="81"/>
      <c r="D103" s="568"/>
      <c r="E103" s="82"/>
      <c r="F103" s="569"/>
      <c r="G103" s="83">
        <f t="shared" si="10"/>
        <v>0</v>
      </c>
      <c r="H103" s="84">
        <f t="shared" si="1"/>
        <v>0</v>
      </c>
      <c r="I103" s="84">
        <f t="shared" si="11"/>
        <v>0</v>
      </c>
      <c r="J103" s="84">
        <f t="shared" si="3"/>
        <v>0</v>
      </c>
      <c r="K103" s="84">
        <f t="shared" si="4"/>
        <v>0</v>
      </c>
      <c r="L103" s="84">
        <f t="shared" si="5"/>
        <v>0</v>
      </c>
      <c r="M103" s="88"/>
    </row>
    <row r="104" spans="1:13" ht="18" hidden="1" customHeight="1">
      <c r="A104" s="521"/>
      <c r="B104" s="80"/>
      <c r="C104" s="81"/>
      <c r="D104" s="568"/>
      <c r="E104" s="82"/>
      <c r="F104" s="569"/>
      <c r="G104" s="83">
        <f t="shared" si="10"/>
        <v>0</v>
      </c>
      <c r="H104" s="84">
        <f t="shared" si="1"/>
        <v>0</v>
      </c>
      <c r="I104" s="84">
        <f t="shared" si="11"/>
        <v>0</v>
      </c>
      <c r="J104" s="84">
        <f t="shared" si="3"/>
        <v>0</v>
      </c>
      <c r="K104" s="84">
        <f t="shared" si="4"/>
        <v>0</v>
      </c>
      <c r="L104" s="84">
        <f t="shared" si="5"/>
        <v>0</v>
      </c>
      <c r="M104" s="88"/>
    </row>
    <row r="105" spans="1:13" ht="18" hidden="1" customHeight="1">
      <c r="A105" s="521"/>
      <c r="B105" s="80"/>
      <c r="C105" s="81"/>
      <c r="D105" s="568"/>
      <c r="E105" s="82"/>
      <c r="F105" s="569"/>
      <c r="G105" s="83">
        <f t="shared" si="10"/>
        <v>0</v>
      </c>
      <c r="H105" s="84">
        <f t="shared" si="1"/>
        <v>0</v>
      </c>
      <c r="I105" s="84">
        <f t="shared" si="11"/>
        <v>0</v>
      </c>
      <c r="J105" s="84">
        <f t="shared" si="3"/>
        <v>0</v>
      </c>
      <c r="K105" s="84">
        <f t="shared" si="4"/>
        <v>0</v>
      </c>
      <c r="L105" s="84">
        <f t="shared" si="5"/>
        <v>0</v>
      </c>
      <c r="M105" s="88"/>
    </row>
    <row r="106" spans="1:13" ht="18" customHeight="1">
      <c r="A106" s="521"/>
      <c r="B106" s="89"/>
      <c r="C106" s="570"/>
      <c r="D106" s="571"/>
      <c r="E106" s="90">
        <f>SUM(E8:E105)</f>
        <v>233</v>
      </c>
      <c r="F106" s="89"/>
      <c r="G106" s="570"/>
      <c r="H106" s="570"/>
      <c r="I106" s="570"/>
      <c r="J106" s="570"/>
      <c r="K106" s="570"/>
      <c r="L106" s="570"/>
      <c r="M106" s="91"/>
    </row>
    <row r="107" spans="1:13" ht="18" customHeight="1">
      <c r="A107" s="521"/>
      <c r="B107" s="572" t="s">
        <v>196</v>
      </c>
      <c r="C107" s="573" t="s">
        <v>191</v>
      </c>
      <c r="D107" s="522"/>
      <c r="E107" s="522"/>
      <c r="F107" s="522"/>
      <c r="G107" s="522"/>
      <c r="H107" s="522"/>
      <c r="I107" s="522"/>
      <c r="J107" s="522"/>
      <c r="K107" s="522"/>
      <c r="L107" s="522"/>
      <c r="M107" s="522"/>
    </row>
    <row r="108" spans="1:13" ht="37.5" customHeight="1">
      <c r="A108" s="521"/>
      <c r="B108" s="92" t="s">
        <v>304</v>
      </c>
      <c r="C108" s="93">
        <f>SUM(encargos)</f>
        <v>0.81869566666666682</v>
      </c>
      <c r="D108" s="522"/>
      <c r="E108" s="522"/>
      <c r="F108" s="522"/>
      <c r="G108" s="566"/>
      <c r="H108" s="566"/>
      <c r="I108" s="566"/>
      <c r="J108" s="522"/>
      <c r="K108" s="522"/>
      <c r="L108" s="522"/>
      <c r="M108" s="567"/>
    </row>
    <row r="109" spans="1:13" ht="19.5" customHeight="1">
      <c r="A109" s="522"/>
      <c r="B109" s="522"/>
      <c r="C109" s="522"/>
      <c r="D109" s="522"/>
      <c r="E109" s="522"/>
      <c r="F109" s="522"/>
      <c r="G109" s="566"/>
      <c r="H109" s="566"/>
      <c r="I109" s="566"/>
      <c r="J109" s="522"/>
      <c r="K109" s="522"/>
      <c r="L109" s="522"/>
      <c r="M109" s="567"/>
    </row>
    <row r="110" spans="1:13" ht="18" customHeight="1">
      <c r="A110" s="521"/>
      <c r="B110" s="574" t="s">
        <v>305</v>
      </c>
      <c r="C110" s="522"/>
      <c r="D110" s="522"/>
      <c r="E110" s="522"/>
      <c r="F110" s="522"/>
      <c r="G110" s="522"/>
      <c r="H110" s="522"/>
      <c r="I110" s="522"/>
      <c r="J110" s="522"/>
      <c r="K110" s="522"/>
      <c r="L110" s="522"/>
      <c r="M110" s="522"/>
    </row>
    <row r="111" spans="1:13" ht="30.75" customHeight="1">
      <c r="A111" s="521"/>
      <c r="B111" s="78" t="s">
        <v>164</v>
      </c>
      <c r="C111" s="78" t="s">
        <v>306</v>
      </c>
      <c r="D111" s="78" t="s">
        <v>307</v>
      </c>
      <c r="E111" s="522"/>
      <c r="F111" s="575"/>
      <c r="G111" s="575"/>
      <c r="H111" s="575"/>
      <c r="I111" s="575"/>
      <c r="J111" s="521"/>
      <c r="K111" s="521"/>
      <c r="L111" s="521"/>
      <c r="M111" s="576"/>
    </row>
    <row r="112" spans="1:13" ht="18" customHeight="1">
      <c r="A112" s="521"/>
      <c r="B112" s="94" t="s">
        <v>308</v>
      </c>
      <c r="C112" s="95"/>
      <c r="D112" s="96"/>
      <c r="E112" s="522"/>
      <c r="F112" s="577"/>
      <c r="G112" s="577"/>
      <c r="H112" s="577"/>
      <c r="I112" s="577"/>
      <c r="J112" s="521"/>
      <c r="K112" s="521"/>
      <c r="L112" s="521"/>
      <c r="M112" s="578"/>
    </row>
    <row r="113" spans="1:13" ht="18" customHeight="1">
      <c r="A113" s="521"/>
      <c r="B113" s="97" t="s">
        <v>309</v>
      </c>
      <c r="C113" s="98">
        <v>0.2</v>
      </c>
      <c r="D113" s="99"/>
      <c r="E113" s="522"/>
      <c r="F113" s="577"/>
      <c r="G113" s="577"/>
      <c r="H113" s="577"/>
      <c r="I113" s="521"/>
      <c r="J113" s="521"/>
      <c r="K113" s="521"/>
      <c r="L113" s="521"/>
      <c r="M113" s="579"/>
    </row>
    <row r="114" spans="1:13" ht="18" customHeight="1">
      <c r="A114" s="521"/>
      <c r="B114" s="97" t="s">
        <v>310</v>
      </c>
      <c r="C114" s="98">
        <v>0.08</v>
      </c>
      <c r="D114" s="99"/>
      <c r="E114" s="522"/>
      <c r="F114" s="577"/>
      <c r="G114" s="577"/>
      <c r="H114" s="577"/>
      <c r="I114" s="577"/>
      <c r="J114" s="521"/>
      <c r="K114" s="521"/>
      <c r="L114" s="521"/>
      <c r="M114" s="521"/>
    </row>
    <row r="115" spans="1:13" ht="18" customHeight="1">
      <c r="A115" s="521"/>
      <c r="B115" s="97" t="s">
        <v>311</v>
      </c>
      <c r="C115" s="98">
        <v>0</v>
      </c>
      <c r="D115" s="99"/>
      <c r="E115" s="522"/>
      <c r="F115" s="577"/>
      <c r="G115" s="577"/>
      <c r="H115" s="577"/>
      <c r="I115" s="577"/>
      <c r="J115" s="521"/>
      <c r="K115" s="521"/>
      <c r="L115" s="521"/>
      <c r="M115" s="521"/>
    </row>
    <row r="116" spans="1:13" ht="18" customHeight="1">
      <c r="A116" s="521"/>
      <c r="B116" s="97" t="s">
        <v>312</v>
      </c>
      <c r="C116" s="98">
        <v>3.3000000000000002E-2</v>
      </c>
      <c r="D116" s="99"/>
      <c r="E116" s="522"/>
      <c r="F116" s="577"/>
      <c r="G116" s="577"/>
      <c r="H116" s="577"/>
      <c r="I116" s="577"/>
      <c r="J116" s="521"/>
      <c r="K116" s="521"/>
      <c r="L116" s="521"/>
      <c r="M116" s="521"/>
    </row>
    <row r="117" spans="1:13" ht="18" customHeight="1">
      <c r="A117" s="521"/>
      <c r="B117" s="97" t="s">
        <v>313</v>
      </c>
      <c r="C117" s="98">
        <v>0.03</v>
      </c>
      <c r="D117" s="99"/>
      <c r="E117" s="522"/>
      <c r="F117" s="577"/>
      <c r="G117" s="577"/>
      <c r="H117" s="577"/>
      <c r="I117" s="577"/>
      <c r="J117" s="521"/>
      <c r="K117" s="521"/>
      <c r="L117" s="521"/>
      <c r="M117" s="521"/>
    </row>
    <row r="118" spans="1:13" ht="18" customHeight="1">
      <c r="A118" s="521"/>
      <c r="B118" s="97" t="s">
        <v>314</v>
      </c>
      <c r="C118" s="98">
        <v>7.6140000000000001E-3</v>
      </c>
      <c r="D118" s="99"/>
      <c r="E118" s="522"/>
      <c r="F118" s="577"/>
      <c r="G118" s="577"/>
      <c r="H118" s="577"/>
      <c r="I118" s="577"/>
      <c r="J118" s="521"/>
      <c r="K118" s="521"/>
      <c r="L118" s="521"/>
      <c r="M118" s="521"/>
    </row>
    <row r="119" spans="1:13" ht="18" customHeight="1">
      <c r="A119" s="521"/>
      <c r="B119" s="97" t="s">
        <v>315</v>
      </c>
      <c r="C119" s="98">
        <v>2.5000000000000001E-2</v>
      </c>
      <c r="D119" s="99"/>
      <c r="E119" s="522"/>
      <c r="F119" s="577"/>
      <c r="G119" s="577"/>
      <c r="H119" s="577"/>
      <c r="I119" s="577"/>
      <c r="J119" s="521"/>
      <c r="K119" s="521"/>
      <c r="L119" s="521"/>
      <c r="M119" s="521"/>
    </row>
    <row r="120" spans="1:13" ht="18" customHeight="1">
      <c r="A120" s="521"/>
      <c r="B120" s="97" t="s">
        <v>316</v>
      </c>
      <c r="C120" s="98">
        <f t="shared" ref="C120:C122" si="12">1/12</f>
        <v>8.3333333333333329E-2</v>
      </c>
      <c r="D120" s="99"/>
      <c r="E120" s="522"/>
      <c r="F120" s="577"/>
      <c r="G120" s="577"/>
      <c r="H120" s="577"/>
      <c r="I120" s="577"/>
      <c r="J120" s="521"/>
      <c r="K120" s="521"/>
      <c r="L120" s="521"/>
      <c r="M120" s="521"/>
    </row>
    <row r="121" spans="1:13" ht="18" customHeight="1">
      <c r="A121" s="521"/>
      <c r="B121" s="97" t="s">
        <v>317</v>
      </c>
      <c r="C121" s="98">
        <f t="shared" si="12"/>
        <v>8.3333333333333329E-2</v>
      </c>
      <c r="D121" s="99"/>
      <c r="E121" s="522"/>
      <c r="F121" s="577"/>
      <c r="G121" s="577"/>
      <c r="H121" s="577"/>
      <c r="I121" s="577"/>
      <c r="J121" s="521"/>
      <c r="K121" s="521"/>
      <c r="L121" s="521"/>
      <c r="M121" s="521"/>
    </row>
    <row r="122" spans="1:13" ht="18" customHeight="1">
      <c r="A122" s="521"/>
      <c r="B122" s="97" t="s">
        <v>318</v>
      </c>
      <c r="C122" s="98">
        <f t="shared" si="12"/>
        <v>8.3333333333333329E-2</v>
      </c>
      <c r="D122" s="99"/>
      <c r="E122" s="522"/>
      <c r="F122" s="577"/>
      <c r="G122" s="577"/>
      <c r="H122" s="577"/>
      <c r="I122" s="577"/>
      <c r="J122" s="521"/>
      <c r="K122" s="521"/>
      <c r="L122" s="521"/>
      <c r="M122" s="521"/>
    </row>
    <row r="123" spans="1:13" ht="18" customHeight="1">
      <c r="A123" s="521"/>
      <c r="B123" s="97" t="s">
        <v>319</v>
      </c>
      <c r="C123" s="98">
        <f>1/12/3</f>
        <v>2.7777777777777776E-2</v>
      </c>
      <c r="D123" s="99"/>
      <c r="E123" s="522"/>
      <c r="F123" s="577"/>
      <c r="G123" s="577"/>
      <c r="H123" s="577"/>
      <c r="I123" s="577"/>
      <c r="J123" s="521"/>
      <c r="K123" s="521"/>
      <c r="L123" s="521"/>
      <c r="M123" s="521"/>
    </row>
    <row r="124" spans="1:13" ht="18" customHeight="1">
      <c r="A124" s="521"/>
      <c r="B124" s="100" t="s">
        <v>320</v>
      </c>
      <c r="C124" s="101">
        <f>SUM(C113:C119)*SUM(C120:C123)</f>
        <v>0.10433722222222226</v>
      </c>
      <c r="D124" s="99"/>
      <c r="E124" s="522"/>
      <c r="F124" s="577"/>
      <c r="G124" s="577"/>
      <c r="H124" s="577"/>
      <c r="I124" s="577"/>
      <c r="J124" s="521"/>
      <c r="K124" s="521"/>
      <c r="L124" s="521"/>
      <c r="M124" s="521"/>
    </row>
    <row r="125" spans="1:13" ht="18" customHeight="1">
      <c r="A125" s="521"/>
      <c r="B125" s="97" t="s">
        <v>321</v>
      </c>
      <c r="C125" s="98">
        <v>1.9300000000000001E-2</v>
      </c>
      <c r="D125" s="99"/>
      <c r="E125" s="522"/>
      <c r="F125" s="577"/>
      <c r="G125" s="577"/>
      <c r="H125" s="577"/>
      <c r="I125" s="577"/>
      <c r="J125" s="521"/>
      <c r="K125" s="521"/>
      <c r="L125" s="521"/>
      <c r="M125" s="521"/>
    </row>
    <row r="126" spans="1:13" ht="18" customHeight="1">
      <c r="A126" s="521"/>
      <c r="B126" s="97" t="s">
        <v>322</v>
      </c>
      <c r="C126" s="98">
        <f>50%/12</f>
        <v>4.1666666666666664E-2</v>
      </c>
      <c r="D126" s="99"/>
      <c r="E126" s="522"/>
      <c r="F126" s="577"/>
      <c r="G126" s="577"/>
      <c r="H126" s="577"/>
      <c r="I126" s="577"/>
      <c r="J126" s="521"/>
      <c r="K126" s="521"/>
      <c r="L126" s="521"/>
      <c r="M126" s="521"/>
    </row>
    <row r="127" spans="1:13" ht="18" customHeight="1">
      <c r="A127" s="521"/>
      <c r="B127" s="102" t="s">
        <v>323</v>
      </c>
      <c r="C127" s="103"/>
      <c r="D127" s="104">
        <v>0</v>
      </c>
      <c r="E127" s="522"/>
      <c r="F127" s="522"/>
      <c r="G127" s="522"/>
      <c r="H127" s="522"/>
      <c r="I127" s="522"/>
      <c r="J127" s="522"/>
      <c r="K127" s="522"/>
      <c r="L127" s="522"/>
      <c r="M127" s="522"/>
    </row>
    <row r="128" spans="1:13" ht="18" customHeight="1">
      <c r="A128" s="521"/>
      <c r="B128" s="102" t="s">
        <v>324</v>
      </c>
      <c r="C128" s="103"/>
      <c r="D128" s="104">
        <f>1000/12</f>
        <v>83.333333333333329</v>
      </c>
      <c r="E128" s="522"/>
      <c r="F128" s="522"/>
      <c r="G128" s="522"/>
      <c r="H128" s="522"/>
      <c r="I128" s="522"/>
      <c r="J128" s="522"/>
      <c r="K128" s="522"/>
      <c r="L128" s="522"/>
      <c r="M128" s="522"/>
    </row>
    <row r="129" spans="1:13" ht="18" customHeight="1">
      <c r="A129" s="521"/>
      <c r="B129" s="102" t="s">
        <v>325</v>
      </c>
      <c r="C129" s="103"/>
      <c r="D129" s="104">
        <v>5</v>
      </c>
      <c r="E129" s="522"/>
      <c r="F129" s="522"/>
      <c r="G129" s="522"/>
      <c r="H129" s="522"/>
      <c r="I129" s="522"/>
      <c r="J129" s="522"/>
      <c r="K129" s="522"/>
      <c r="L129" s="522"/>
      <c r="M129" s="522"/>
    </row>
    <row r="130" spans="1:13" ht="18" customHeight="1">
      <c r="A130" s="521"/>
      <c r="B130" s="102" t="s">
        <v>326</v>
      </c>
      <c r="C130" s="103"/>
      <c r="D130" s="104">
        <v>0</v>
      </c>
      <c r="E130" s="522"/>
      <c r="F130" s="522"/>
      <c r="G130" s="522"/>
      <c r="H130" s="522"/>
      <c r="I130" s="522"/>
      <c r="J130" s="522"/>
      <c r="K130" s="522"/>
      <c r="L130" s="522"/>
      <c r="M130" s="522"/>
    </row>
    <row r="131" spans="1:13" ht="18" customHeight="1">
      <c r="A131" s="521"/>
      <c r="B131" s="102" t="s">
        <v>327</v>
      </c>
      <c r="C131" s="103"/>
      <c r="D131" s="104">
        <v>100</v>
      </c>
      <c r="E131" s="522"/>
      <c r="F131" s="522"/>
      <c r="G131" s="522"/>
      <c r="H131" s="522"/>
      <c r="I131" s="522"/>
      <c r="J131" s="522"/>
      <c r="K131" s="522"/>
      <c r="L131" s="522"/>
      <c r="M131" s="522"/>
    </row>
    <row r="132" spans="1:13" ht="18" customHeight="1">
      <c r="A132" s="521"/>
      <c r="B132" s="102" t="s">
        <v>328</v>
      </c>
      <c r="C132" s="103"/>
      <c r="D132" s="104">
        <f>35*22</f>
        <v>770</v>
      </c>
      <c r="E132" s="522"/>
      <c r="F132" s="522"/>
      <c r="G132" s="522"/>
      <c r="H132" s="522"/>
      <c r="I132" s="522"/>
      <c r="J132" s="522"/>
      <c r="K132" s="522"/>
      <c r="L132" s="522"/>
      <c r="M132" s="522"/>
    </row>
    <row r="133" spans="1:13" ht="18" customHeight="1">
      <c r="A133" s="521"/>
      <c r="B133" s="102" t="s">
        <v>329</v>
      </c>
      <c r="C133" s="103"/>
      <c r="D133" s="104">
        <v>0</v>
      </c>
      <c r="E133" s="522"/>
      <c r="F133" s="522"/>
      <c r="G133" s="522"/>
      <c r="H133" s="522"/>
      <c r="I133" s="522"/>
      <c r="J133" s="522"/>
      <c r="K133" s="522"/>
      <c r="L133" s="522"/>
      <c r="M133" s="522"/>
    </row>
    <row r="134" spans="1:13" ht="18" customHeight="1">
      <c r="A134" s="521"/>
      <c r="B134" s="102" t="s">
        <v>330</v>
      </c>
      <c r="C134" s="103"/>
      <c r="D134" s="104">
        <f>4.5*22*2</f>
        <v>198</v>
      </c>
      <c r="E134" s="522"/>
      <c r="F134" s="522"/>
      <c r="G134" s="522"/>
      <c r="H134" s="522"/>
      <c r="I134" s="522"/>
      <c r="J134" s="522"/>
      <c r="K134" s="522"/>
      <c r="L134" s="522"/>
      <c r="M134" s="522"/>
    </row>
    <row r="135" spans="1:13" ht="18" customHeight="1">
      <c r="A135" s="521"/>
      <c r="B135" s="580" t="s">
        <v>331</v>
      </c>
      <c r="C135" s="581"/>
      <c r="D135" s="522"/>
      <c r="E135" s="522"/>
      <c r="F135" s="522"/>
      <c r="G135" s="522"/>
      <c r="H135" s="522"/>
      <c r="I135" s="522"/>
      <c r="J135" s="522"/>
      <c r="K135" s="522"/>
      <c r="L135" s="522"/>
      <c r="M135" s="522"/>
    </row>
  </sheetData>
  <autoFilter ref="B7:M105" xr:uid="{00000000-0009-0000-0000-000009000000}">
    <filterColumn colId="2">
      <filters>
        <filter val="Paraíso - Alimentação"/>
        <filter val="Paraíso - Comércio + Locação + Atividades"/>
      </filters>
    </filterColumn>
  </autoFilter>
  <mergeCells count="1">
    <mergeCell ref="B2:M2"/>
  </mergeCells>
  <dataValidations count="6">
    <dataValidation type="list" allowBlank="1" showErrorMessage="1" sqref="L111" xr:uid="{00000000-0002-0000-0900-000000000000}">
      <formula1>$M$116:$M$118</formula1>
    </dataValidation>
    <dataValidation type="custom" allowBlank="1" showErrorMessage="1" sqref="C113:C134" xr:uid="{00000000-0002-0000-0900-000001000000}">
      <formula1>D113=""</formula1>
    </dataValidation>
    <dataValidation type="custom" allowBlank="1" showErrorMessage="1" sqref="D113:D134" xr:uid="{00000000-0002-0000-0900-000002000000}">
      <formula1>C113=""</formula1>
    </dataValidation>
    <dataValidation type="list" allowBlank="1" showErrorMessage="1" sqref="D8:D105" xr:uid="{00000000-0002-0000-0900-000003000000}">
      <formula1>INDIRECT($C8)</formula1>
    </dataValidation>
    <dataValidation type="decimal" allowBlank="1" showErrorMessage="1" sqref="E8:E105" xr:uid="{00000000-0002-0000-0900-000004000000}">
      <formula1>0</formula1>
      <formula2>1000</formula2>
    </dataValidation>
    <dataValidation type="list" allowBlank="1" showErrorMessage="1" sqref="C8:C105" xr:uid="{00000000-0002-0000-0900-000005000000}">
      <formula1>"Operacional,Administrativo,Encargo"</formula1>
    </dataValidation>
  </dataValidations>
  <pageMargins left="0.70866141732283472" right="0.70866141732283472" top="0.74803149606299213" bottom="0.74803149606299213" header="0" footer="0"/>
  <pageSetup paperSize="9" orientation="portrait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1">
    <tabColor rgb="FFFFC000"/>
    <pageSetUpPr fitToPage="1"/>
  </sheetPr>
  <dimension ref="A1:BJ124"/>
  <sheetViews>
    <sheetView workbookViewId="0"/>
  </sheetViews>
  <sheetFormatPr defaultColWidth="11.44140625" defaultRowHeight="15" customHeight="1"/>
  <cols>
    <col min="1" max="1" width="3" customWidth="1"/>
    <col min="2" max="2" width="31.5546875" customWidth="1"/>
    <col min="3" max="62" width="4.5546875" customWidth="1"/>
  </cols>
  <sheetData>
    <row r="1" spans="1:62" ht="15" customHeight="1">
      <c r="A1" s="520"/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  <c r="AP1" s="521"/>
      <c r="AQ1" s="521"/>
      <c r="AR1" s="521"/>
      <c r="AS1" s="521"/>
      <c r="AT1" s="521"/>
      <c r="AU1" s="521"/>
      <c r="AV1" s="521"/>
      <c r="AW1" s="521"/>
      <c r="AX1" s="521"/>
      <c r="AY1" s="521"/>
      <c r="AZ1" s="521"/>
      <c r="BA1" s="521"/>
      <c r="BB1" s="521"/>
      <c r="BC1" s="521"/>
      <c r="BD1" s="521"/>
      <c r="BE1" s="521"/>
      <c r="BF1" s="521"/>
      <c r="BG1" s="521"/>
      <c r="BH1" s="521"/>
      <c r="BI1" s="521"/>
      <c r="BJ1" s="521"/>
    </row>
    <row r="2" spans="1:62" ht="27" customHeight="1">
      <c r="A2" s="522"/>
      <c r="B2" s="523" t="s">
        <v>332</v>
      </c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3"/>
      <c r="AH2" s="523"/>
      <c r="AI2" s="523"/>
      <c r="AJ2" s="523"/>
      <c r="AK2" s="523"/>
      <c r="AL2" s="523"/>
      <c r="AM2" s="523"/>
      <c r="AN2" s="523"/>
      <c r="AO2" s="523"/>
      <c r="AP2" s="523"/>
      <c r="AQ2" s="523"/>
      <c r="AR2" s="523"/>
      <c r="AS2" s="523"/>
      <c r="AT2" s="523"/>
      <c r="AU2" s="523"/>
      <c r="AV2" s="523"/>
      <c r="AW2" s="523"/>
      <c r="AX2" s="523"/>
      <c r="AY2" s="523"/>
      <c r="AZ2" s="523"/>
      <c r="BA2" s="523"/>
      <c r="BB2" s="523"/>
      <c r="BC2" s="522"/>
      <c r="BD2" s="522"/>
      <c r="BE2" s="522"/>
      <c r="BF2" s="522"/>
      <c r="BG2" s="522"/>
      <c r="BH2" s="522"/>
      <c r="BI2" s="522"/>
      <c r="BJ2" s="522"/>
    </row>
    <row r="3" spans="1:62" ht="15" customHeight="1">
      <c r="A3" s="521"/>
      <c r="B3" s="565"/>
      <c r="C3" s="521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66"/>
      <c r="AE3" s="566"/>
      <c r="AF3" s="566"/>
      <c r="AG3" s="521"/>
      <c r="AH3" s="566"/>
      <c r="AI3" s="566"/>
      <c r="AJ3" s="566"/>
      <c r="AK3" s="566"/>
      <c r="AL3" s="566"/>
      <c r="AM3" s="566"/>
      <c r="AN3" s="566"/>
      <c r="AO3" s="566"/>
      <c r="AP3" s="566"/>
      <c r="AQ3" s="566"/>
      <c r="AR3" s="566"/>
      <c r="AS3" s="566"/>
      <c r="AT3" s="566"/>
      <c r="AU3" s="566"/>
      <c r="AV3" s="566"/>
      <c r="AW3" s="566"/>
      <c r="AX3" s="566"/>
      <c r="AY3" s="566"/>
      <c r="AZ3" s="566"/>
      <c r="BA3" s="566"/>
      <c r="BB3" s="566"/>
      <c r="BC3" s="566"/>
      <c r="BD3" s="566"/>
      <c r="BE3" s="566"/>
      <c r="BF3" s="521"/>
      <c r="BG3" s="521"/>
      <c r="BH3" s="521"/>
      <c r="BI3" s="521"/>
      <c r="BJ3" s="521"/>
    </row>
    <row r="4" spans="1:62" ht="15" customHeight="1">
      <c r="A4" s="505"/>
      <c r="B4" s="521"/>
      <c r="C4" s="521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Z4" s="566"/>
      <c r="AA4" s="566"/>
      <c r="AB4" s="566"/>
      <c r="AC4" s="566"/>
      <c r="AD4" s="566"/>
      <c r="AE4" s="566"/>
      <c r="AF4" s="566"/>
      <c r="AG4" s="521"/>
      <c r="AH4" s="566"/>
      <c r="AI4" s="566"/>
      <c r="AJ4" s="566"/>
      <c r="AK4" s="566"/>
      <c r="AL4" s="566"/>
      <c r="AM4" s="566"/>
      <c r="AN4" s="566"/>
      <c r="AO4" s="566"/>
      <c r="AP4" s="566"/>
      <c r="AQ4" s="566"/>
      <c r="AR4" s="566"/>
      <c r="AS4" s="566"/>
      <c r="AT4" s="566"/>
      <c r="AU4" s="566"/>
      <c r="AV4" s="566"/>
      <c r="AW4" s="566"/>
      <c r="AX4" s="566"/>
      <c r="AY4" s="566"/>
      <c r="AZ4" s="566"/>
      <c r="BA4" s="566"/>
      <c r="BB4" s="566"/>
      <c r="BC4" s="521"/>
      <c r="BD4" s="521"/>
      <c r="BE4" s="521"/>
      <c r="BF4" s="521"/>
      <c r="BG4" s="521"/>
      <c r="BH4" s="521"/>
      <c r="BI4" s="521"/>
      <c r="BJ4" s="521"/>
    </row>
    <row r="5" spans="1:62" ht="12" customHeight="1">
      <c r="A5" s="505"/>
      <c r="B5" s="521"/>
      <c r="C5" s="521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  <c r="W5" s="566"/>
      <c r="X5" s="566"/>
      <c r="Y5" s="566"/>
      <c r="Z5" s="566"/>
      <c r="AA5" s="566"/>
      <c r="AB5" s="566"/>
      <c r="AC5" s="566"/>
      <c r="AD5" s="566"/>
      <c r="AE5" s="566"/>
      <c r="AF5" s="566"/>
      <c r="AG5" s="521"/>
      <c r="AH5" s="566"/>
      <c r="AI5" s="566"/>
      <c r="AJ5" s="566"/>
      <c r="AK5" s="566"/>
      <c r="AL5" s="566"/>
      <c r="AM5" s="566"/>
      <c r="AN5" s="566"/>
      <c r="AO5" s="566"/>
      <c r="AP5" s="566"/>
      <c r="AQ5" s="566"/>
      <c r="AR5" s="566"/>
      <c r="AS5" s="566"/>
      <c r="AT5" s="566"/>
      <c r="AU5" s="566"/>
      <c r="AV5" s="566"/>
      <c r="AW5" s="566"/>
      <c r="AX5" s="566"/>
      <c r="AY5" s="566"/>
      <c r="AZ5" s="566"/>
      <c r="BA5" s="566"/>
      <c r="BB5" s="566"/>
      <c r="BC5" s="521"/>
      <c r="BD5" s="521"/>
      <c r="BE5" s="521"/>
      <c r="BF5" s="521"/>
      <c r="BG5" s="521"/>
      <c r="BH5" s="521"/>
      <c r="BI5" s="521"/>
      <c r="BJ5" s="521"/>
    </row>
    <row r="6" spans="1:62" ht="12" customHeight="1">
      <c r="A6" s="505"/>
      <c r="B6" s="582" t="s">
        <v>333</v>
      </c>
      <c r="C6" s="521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83" t="s">
        <v>334</v>
      </c>
      <c r="W6" s="583"/>
      <c r="X6" s="583"/>
      <c r="Y6" s="583"/>
      <c r="Z6" s="583"/>
      <c r="AA6" s="583"/>
      <c r="AB6" s="583"/>
      <c r="AC6" s="583"/>
      <c r="AD6" s="583"/>
      <c r="AE6" s="583"/>
      <c r="AF6" s="583"/>
      <c r="AG6" s="521"/>
      <c r="AH6" s="521"/>
      <c r="AI6" s="521"/>
      <c r="AJ6" s="521"/>
      <c r="AK6" s="521"/>
      <c r="AL6" s="521"/>
      <c r="AM6" s="521"/>
      <c r="AN6" s="521"/>
      <c r="AO6" s="521"/>
      <c r="AP6" s="521"/>
      <c r="AQ6" s="521"/>
      <c r="AR6" s="521"/>
      <c r="AS6" s="521"/>
      <c r="AT6" s="521"/>
      <c r="AU6" s="521"/>
      <c r="AV6" s="521"/>
      <c r="AW6" s="521"/>
      <c r="AX6" s="521"/>
      <c r="AY6" s="521"/>
      <c r="AZ6" s="583" t="s">
        <v>334</v>
      </c>
      <c r="BA6" s="521"/>
      <c r="BB6" s="521"/>
      <c r="BC6" s="521"/>
      <c r="BD6" s="521"/>
      <c r="BE6" s="521"/>
      <c r="BF6" s="521"/>
      <c r="BG6" s="521"/>
      <c r="BH6" s="521"/>
      <c r="BI6" s="521"/>
      <c r="BJ6" s="521"/>
    </row>
    <row r="7" spans="1:62" ht="12" customHeight="1">
      <c r="A7" s="505"/>
      <c r="B7" s="78" t="str">
        <f>""&amp;'C1 - Cargos e Salários'!B7</f>
        <v>Cargo</v>
      </c>
      <c r="C7" s="105" t="s">
        <v>147</v>
      </c>
      <c r="D7" s="584"/>
      <c r="E7" s="584"/>
      <c r="F7" s="584"/>
      <c r="G7" s="584"/>
      <c r="H7" s="584"/>
      <c r="I7" s="584"/>
      <c r="J7" s="584"/>
      <c r="K7" s="584"/>
      <c r="L7" s="584"/>
      <c r="M7" s="584"/>
      <c r="N7" s="584"/>
      <c r="O7" s="584"/>
      <c r="P7" s="584"/>
      <c r="Q7" s="584"/>
      <c r="R7" s="584"/>
      <c r="S7" s="584"/>
      <c r="T7" s="584"/>
      <c r="U7" s="584"/>
      <c r="V7" s="106"/>
      <c r="W7" s="584"/>
      <c r="X7" s="584"/>
      <c r="Y7" s="584"/>
      <c r="Z7" s="584"/>
      <c r="AA7" s="584"/>
      <c r="AB7" s="584"/>
      <c r="AC7" s="584"/>
      <c r="AD7" s="584"/>
      <c r="AE7" s="584"/>
      <c r="AF7" s="584"/>
      <c r="AG7" s="107" t="s">
        <v>335</v>
      </c>
      <c r="AH7" s="585"/>
      <c r="AI7" s="585"/>
      <c r="AJ7" s="585"/>
      <c r="AK7" s="585"/>
      <c r="AL7" s="585"/>
      <c r="AM7" s="585"/>
      <c r="AN7" s="585"/>
      <c r="AO7" s="585"/>
      <c r="AP7" s="585"/>
      <c r="AQ7" s="585"/>
      <c r="AR7" s="585"/>
      <c r="AS7" s="585"/>
      <c r="AT7" s="585"/>
      <c r="AU7" s="585"/>
      <c r="AV7" s="585"/>
      <c r="AW7" s="585"/>
      <c r="AX7" s="585"/>
      <c r="AY7" s="585"/>
      <c r="AZ7" s="585"/>
      <c r="BA7" s="585"/>
      <c r="BB7" s="585"/>
      <c r="BC7" s="585"/>
      <c r="BD7" s="585"/>
      <c r="BE7" s="585"/>
      <c r="BF7" s="585"/>
      <c r="BG7" s="585"/>
      <c r="BH7" s="585"/>
      <c r="BI7" s="585"/>
      <c r="BJ7" s="585"/>
    </row>
    <row r="8" spans="1:62" ht="12" customHeight="1">
      <c r="A8" s="505"/>
      <c r="B8" s="108"/>
      <c r="C8" s="109">
        <v>1</v>
      </c>
      <c r="D8" s="110">
        <v>2</v>
      </c>
      <c r="E8" s="109">
        <v>3</v>
      </c>
      <c r="F8" s="110">
        <v>4</v>
      </c>
      <c r="G8" s="109">
        <v>5</v>
      </c>
      <c r="H8" s="110">
        <v>6</v>
      </c>
      <c r="I8" s="109">
        <v>7</v>
      </c>
      <c r="J8" s="110">
        <v>8</v>
      </c>
      <c r="K8" s="109">
        <v>9</v>
      </c>
      <c r="L8" s="110">
        <v>10</v>
      </c>
      <c r="M8" s="109">
        <v>11</v>
      </c>
      <c r="N8" s="110">
        <v>12</v>
      </c>
      <c r="O8" s="109">
        <v>13</v>
      </c>
      <c r="P8" s="110">
        <v>14</v>
      </c>
      <c r="Q8" s="109">
        <v>15</v>
      </c>
      <c r="R8" s="110">
        <v>16</v>
      </c>
      <c r="S8" s="109">
        <v>17</v>
      </c>
      <c r="T8" s="110">
        <v>18</v>
      </c>
      <c r="U8" s="109">
        <v>19</v>
      </c>
      <c r="V8" s="110">
        <v>20</v>
      </c>
      <c r="W8" s="109">
        <v>21</v>
      </c>
      <c r="X8" s="110">
        <v>22</v>
      </c>
      <c r="Y8" s="109">
        <v>23</v>
      </c>
      <c r="Z8" s="110">
        <v>24</v>
      </c>
      <c r="AA8" s="109">
        <v>25</v>
      </c>
      <c r="AB8" s="110">
        <v>26</v>
      </c>
      <c r="AC8" s="109">
        <v>27</v>
      </c>
      <c r="AD8" s="110">
        <v>28</v>
      </c>
      <c r="AE8" s="109">
        <v>29</v>
      </c>
      <c r="AF8" s="110">
        <v>30</v>
      </c>
      <c r="AG8" s="109">
        <v>1</v>
      </c>
      <c r="AH8" s="110">
        <v>2</v>
      </c>
      <c r="AI8" s="109">
        <v>3</v>
      </c>
      <c r="AJ8" s="110">
        <v>4</v>
      </c>
      <c r="AK8" s="109">
        <v>5</v>
      </c>
      <c r="AL8" s="110">
        <v>6</v>
      </c>
      <c r="AM8" s="109">
        <v>7</v>
      </c>
      <c r="AN8" s="110">
        <v>8</v>
      </c>
      <c r="AO8" s="109">
        <v>9</v>
      </c>
      <c r="AP8" s="110">
        <v>10</v>
      </c>
      <c r="AQ8" s="109">
        <v>11</v>
      </c>
      <c r="AR8" s="110">
        <v>12</v>
      </c>
      <c r="AS8" s="109">
        <v>13</v>
      </c>
      <c r="AT8" s="110">
        <v>14</v>
      </c>
      <c r="AU8" s="109">
        <v>15</v>
      </c>
      <c r="AV8" s="110">
        <v>16</v>
      </c>
      <c r="AW8" s="109">
        <v>17</v>
      </c>
      <c r="AX8" s="110">
        <v>18</v>
      </c>
      <c r="AY8" s="109">
        <v>19</v>
      </c>
      <c r="AZ8" s="110">
        <v>20</v>
      </c>
      <c r="BA8" s="109">
        <v>21</v>
      </c>
      <c r="BB8" s="110">
        <v>22</v>
      </c>
      <c r="BC8" s="109">
        <v>23</v>
      </c>
      <c r="BD8" s="110">
        <v>24</v>
      </c>
      <c r="BE8" s="109">
        <v>25</v>
      </c>
      <c r="BF8" s="110">
        <v>26</v>
      </c>
      <c r="BG8" s="109">
        <v>27</v>
      </c>
      <c r="BH8" s="110">
        <v>28</v>
      </c>
      <c r="BI8" s="109">
        <v>29</v>
      </c>
      <c r="BJ8" s="110">
        <v>30</v>
      </c>
    </row>
    <row r="9" spans="1:62" ht="12" customHeight="1">
      <c r="A9" s="505"/>
      <c r="B9" s="111" t="str">
        <f>'C1 - Cargos e Salários'!B8</f>
        <v>Cozinheiro</v>
      </c>
      <c r="C9" s="112">
        <f>'C1 - Cargos e Salários'!E8</f>
        <v>1</v>
      </c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2">
        <f t="shared" ref="AG9:BJ9" si="0">SUM($C9:C9)</f>
        <v>1</v>
      </c>
      <c r="AH9" s="112">
        <f t="shared" si="0"/>
        <v>1</v>
      </c>
      <c r="AI9" s="112">
        <f t="shared" si="0"/>
        <v>1</v>
      </c>
      <c r="AJ9" s="112">
        <f t="shared" si="0"/>
        <v>1</v>
      </c>
      <c r="AK9" s="112">
        <f t="shared" si="0"/>
        <v>1</v>
      </c>
      <c r="AL9" s="112">
        <f t="shared" si="0"/>
        <v>1</v>
      </c>
      <c r="AM9" s="112">
        <f t="shared" si="0"/>
        <v>1</v>
      </c>
      <c r="AN9" s="112">
        <f t="shared" si="0"/>
        <v>1</v>
      </c>
      <c r="AO9" s="112">
        <f t="shared" si="0"/>
        <v>1</v>
      </c>
      <c r="AP9" s="112">
        <f t="shared" si="0"/>
        <v>1</v>
      </c>
      <c r="AQ9" s="112">
        <f t="shared" si="0"/>
        <v>1</v>
      </c>
      <c r="AR9" s="112">
        <f t="shared" si="0"/>
        <v>1</v>
      </c>
      <c r="AS9" s="112">
        <f t="shared" si="0"/>
        <v>1</v>
      </c>
      <c r="AT9" s="112">
        <f t="shared" si="0"/>
        <v>1</v>
      </c>
      <c r="AU9" s="112">
        <f t="shared" si="0"/>
        <v>1</v>
      </c>
      <c r="AV9" s="112">
        <f t="shared" si="0"/>
        <v>1</v>
      </c>
      <c r="AW9" s="112">
        <f t="shared" si="0"/>
        <v>1</v>
      </c>
      <c r="AX9" s="112">
        <f t="shared" si="0"/>
        <v>1</v>
      </c>
      <c r="AY9" s="112">
        <f t="shared" si="0"/>
        <v>1</v>
      </c>
      <c r="AZ9" s="112">
        <f t="shared" si="0"/>
        <v>1</v>
      </c>
      <c r="BA9" s="112">
        <f t="shared" si="0"/>
        <v>1</v>
      </c>
      <c r="BB9" s="112">
        <f t="shared" si="0"/>
        <v>1</v>
      </c>
      <c r="BC9" s="112">
        <f t="shared" si="0"/>
        <v>1</v>
      </c>
      <c r="BD9" s="112">
        <f t="shared" si="0"/>
        <v>1</v>
      </c>
      <c r="BE9" s="112">
        <f t="shared" si="0"/>
        <v>1</v>
      </c>
      <c r="BF9" s="112">
        <f t="shared" si="0"/>
        <v>1</v>
      </c>
      <c r="BG9" s="112">
        <f t="shared" si="0"/>
        <v>1</v>
      </c>
      <c r="BH9" s="112">
        <f t="shared" si="0"/>
        <v>1</v>
      </c>
      <c r="BI9" s="112">
        <f t="shared" si="0"/>
        <v>1</v>
      </c>
      <c r="BJ9" s="112">
        <f t="shared" si="0"/>
        <v>1</v>
      </c>
    </row>
    <row r="10" spans="1:62" ht="12" customHeight="1">
      <c r="A10" s="521"/>
      <c r="B10" s="111" t="str">
        <f>'C1 - Cargos e Salários'!B9</f>
        <v>Auxiliar de cozinha</v>
      </c>
      <c r="C10" s="112">
        <f>'C1 - Cargos e Salários'!E9</f>
        <v>2</v>
      </c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2">
        <f t="shared" ref="AG10:BJ10" si="1">SUM($C10:C10)</f>
        <v>2</v>
      </c>
      <c r="AH10" s="112">
        <f t="shared" si="1"/>
        <v>2</v>
      </c>
      <c r="AI10" s="112">
        <f t="shared" si="1"/>
        <v>2</v>
      </c>
      <c r="AJ10" s="112">
        <f t="shared" si="1"/>
        <v>2</v>
      </c>
      <c r="AK10" s="112">
        <f t="shared" si="1"/>
        <v>2</v>
      </c>
      <c r="AL10" s="112">
        <f t="shared" si="1"/>
        <v>2</v>
      </c>
      <c r="AM10" s="112">
        <f t="shared" si="1"/>
        <v>2</v>
      </c>
      <c r="AN10" s="112">
        <f t="shared" si="1"/>
        <v>2</v>
      </c>
      <c r="AO10" s="112">
        <f t="shared" si="1"/>
        <v>2</v>
      </c>
      <c r="AP10" s="112">
        <f t="shared" si="1"/>
        <v>2</v>
      </c>
      <c r="AQ10" s="112">
        <f t="shared" si="1"/>
        <v>2</v>
      </c>
      <c r="AR10" s="112">
        <f t="shared" si="1"/>
        <v>2</v>
      </c>
      <c r="AS10" s="112">
        <f t="shared" si="1"/>
        <v>2</v>
      </c>
      <c r="AT10" s="112">
        <f t="shared" si="1"/>
        <v>2</v>
      </c>
      <c r="AU10" s="112">
        <f t="shared" si="1"/>
        <v>2</v>
      </c>
      <c r="AV10" s="112">
        <f t="shared" si="1"/>
        <v>2</v>
      </c>
      <c r="AW10" s="112">
        <f t="shared" si="1"/>
        <v>2</v>
      </c>
      <c r="AX10" s="112">
        <f t="shared" si="1"/>
        <v>2</v>
      </c>
      <c r="AY10" s="112">
        <f t="shared" si="1"/>
        <v>2</v>
      </c>
      <c r="AZ10" s="112">
        <f t="shared" si="1"/>
        <v>2</v>
      </c>
      <c r="BA10" s="112">
        <f t="shared" si="1"/>
        <v>2</v>
      </c>
      <c r="BB10" s="112">
        <f t="shared" si="1"/>
        <v>2</v>
      </c>
      <c r="BC10" s="112">
        <f t="shared" si="1"/>
        <v>2</v>
      </c>
      <c r="BD10" s="112">
        <f t="shared" si="1"/>
        <v>2</v>
      </c>
      <c r="BE10" s="112">
        <f t="shared" si="1"/>
        <v>2</v>
      </c>
      <c r="BF10" s="112">
        <f t="shared" si="1"/>
        <v>2</v>
      </c>
      <c r="BG10" s="112">
        <f t="shared" si="1"/>
        <v>2</v>
      </c>
      <c r="BH10" s="112">
        <f t="shared" si="1"/>
        <v>2</v>
      </c>
      <c r="BI10" s="112">
        <f t="shared" si="1"/>
        <v>2</v>
      </c>
      <c r="BJ10" s="112">
        <f t="shared" si="1"/>
        <v>2</v>
      </c>
    </row>
    <row r="11" spans="1:62" ht="12" customHeight="1">
      <c r="A11" s="521"/>
      <c r="B11" s="111" t="str">
        <f>'C1 - Cargos e Salários'!B10</f>
        <v>Caixa</v>
      </c>
      <c r="C11" s="112">
        <f>'C1 - Cargos e Salários'!E10</f>
        <v>2</v>
      </c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2">
        <f t="shared" ref="AG11:BJ11" si="2">SUM($C11:C11)</f>
        <v>2</v>
      </c>
      <c r="AH11" s="112">
        <f t="shared" si="2"/>
        <v>2</v>
      </c>
      <c r="AI11" s="112">
        <f t="shared" si="2"/>
        <v>2</v>
      </c>
      <c r="AJ11" s="112">
        <f t="shared" si="2"/>
        <v>2</v>
      </c>
      <c r="AK11" s="112">
        <f t="shared" si="2"/>
        <v>2</v>
      </c>
      <c r="AL11" s="112">
        <f t="shared" si="2"/>
        <v>2</v>
      </c>
      <c r="AM11" s="112">
        <f t="shared" si="2"/>
        <v>2</v>
      </c>
      <c r="AN11" s="112">
        <f t="shared" si="2"/>
        <v>2</v>
      </c>
      <c r="AO11" s="112">
        <f t="shared" si="2"/>
        <v>2</v>
      </c>
      <c r="AP11" s="112">
        <f t="shared" si="2"/>
        <v>2</v>
      </c>
      <c r="AQ11" s="112">
        <f t="shared" si="2"/>
        <v>2</v>
      </c>
      <c r="AR11" s="112">
        <f t="shared" si="2"/>
        <v>2</v>
      </c>
      <c r="AS11" s="112">
        <f t="shared" si="2"/>
        <v>2</v>
      </c>
      <c r="AT11" s="112">
        <f t="shared" si="2"/>
        <v>2</v>
      </c>
      <c r="AU11" s="112">
        <f t="shared" si="2"/>
        <v>2</v>
      </c>
      <c r="AV11" s="112">
        <f t="shared" si="2"/>
        <v>2</v>
      </c>
      <c r="AW11" s="112">
        <f t="shared" si="2"/>
        <v>2</v>
      </c>
      <c r="AX11" s="112">
        <f t="shared" si="2"/>
        <v>2</v>
      </c>
      <c r="AY11" s="112">
        <f t="shared" si="2"/>
        <v>2</v>
      </c>
      <c r="AZ11" s="112">
        <f t="shared" si="2"/>
        <v>2</v>
      </c>
      <c r="BA11" s="112">
        <f t="shared" si="2"/>
        <v>2</v>
      </c>
      <c r="BB11" s="112">
        <f t="shared" si="2"/>
        <v>2</v>
      </c>
      <c r="BC11" s="112">
        <f t="shared" si="2"/>
        <v>2</v>
      </c>
      <c r="BD11" s="112">
        <f t="shared" si="2"/>
        <v>2</v>
      </c>
      <c r="BE11" s="112">
        <f t="shared" si="2"/>
        <v>2</v>
      </c>
      <c r="BF11" s="112">
        <f t="shared" si="2"/>
        <v>2</v>
      </c>
      <c r="BG11" s="112">
        <f t="shared" si="2"/>
        <v>2</v>
      </c>
      <c r="BH11" s="112">
        <f t="shared" si="2"/>
        <v>2</v>
      </c>
      <c r="BI11" s="112">
        <f t="shared" si="2"/>
        <v>2</v>
      </c>
      <c r="BJ11" s="112">
        <f t="shared" si="2"/>
        <v>2</v>
      </c>
    </row>
    <row r="12" spans="1:62" ht="12" customHeight="1">
      <c r="A12" s="521"/>
      <c r="B12" s="111" t="str">
        <f>'C1 - Cargos e Salários'!B11</f>
        <v>Atendente</v>
      </c>
      <c r="C12" s="112">
        <f>'C1 - Cargos e Salários'!E11</f>
        <v>2</v>
      </c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2">
        <f t="shared" ref="AG12:BJ12" si="3">SUM($C12:C12)</f>
        <v>2</v>
      </c>
      <c r="AH12" s="112">
        <f t="shared" si="3"/>
        <v>2</v>
      </c>
      <c r="AI12" s="112">
        <f t="shared" si="3"/>
        <v>2</v>
      </c>
      <c r="AJ12" s="112">
        <f t="shared" si="3"/>
        <v>2</v>
      </c>
      <c r="AK12" s="112">
        <f t="shared" si="3"/>
        <v>2</v>
      </c>
      <c r="AL12" s="112">
        <f t="shared" si="3"/>
        <v>2</v>
      </c>
      <c r="AM12" s="112">
        <f t="shared" si="3"/>
        <v>2</v>
      </c>
      <c r="AN12" s="112">
        <f t="shared" si="3"/>
        <v>2</v>
      </c>
      <c r="AO12" s="112">
        <f t="shared" si="3"/>
        <v>2</v>
      </c>
      <c r="AP12" s="112">
        <f t="shared" si="3"/>
        <v>2</v>
      </c>
      <c r="AQ12" s="112">
        <f t="shared" si="3"/>
        <v>2</v>
      </c>
      <c r="AR12" s="112">
        <f t="shared" si="3"/>
        <v>2</v>
      </c>
      <c r="AS12" s="112">
        <f t="shared" si="3"/>
        <v>2</v>
      </c>
      <c r="AT12" s="112">
        <f t="shared" si="3"/>
        <v>2</v>
      </c>
      <c r="AU12" s="112">
        <f t="shared" si="3"/>
        <v>2</v>
      </c>
      <c r="AV12" s="112">
        <f t="shared" si="3"/>
        <v>2</v>
      </c>
      <c r="AW12" s="112">
        <f t="shared" si="3"/>
        <v>2</v>
      </c>
      <c r="AX12" s="112">
        <f t="shared" si="3"/>
        <v>2</v>
      </c>
      <c r="AY12" s="112">
        <f t="shared" si="3"/>
        <v>2</v>
      </c>
      <c r="AZ12" s="112">
        <f t="shared" si="3"/>
        <v>2</v>
      </c>
      <c r="BA12" s="112">
        <f t="shared" si="3"/>
        <v>2</v>
      </c>
      <c r="BB12" s="112">
        <f t="shared" si="3"/>
        <v>2</v>
      </c>
      <c r="BC12" s="112">
        <f t="shared" si="3"/>
        <v>2</v>
      </c>
      <c r="BD12" s="112">
        <f t="shared" si="3"/>
        <v>2</v>
      </c>
      <c r="BE12" s="112">
        <f t="shared" si="3"/>
        <v>2</v>
      </c>
      <c r="BF12" s="112">
        <f t="shared" si="3"/>
        <v>2</v>
      </c>
      <c r="BG12" s="112">
        <f t="shared" si="3"/>
        <v>2</v>
      </c>
      <c r="BH12" s="112">
        <f t="shared" si="3"/>
        <v>2</v>
      </c>
      <c r="BI12" s="112">
        <f t="shared" si="3"/>
        <v>2</v>
      </c>
      <c r="BJ12" s="112">
        <f t="shared" si="3"/>
        <v>2</v>
      </c>
    </row>
    <row r="13" spans="1:62" ht="12" customHeight="1">
      <c r="A13" s="521"/>
      <c r="B13" s="111" t="str">
        <f>'C1 - Cargos e Salários'!B12</f>
        <v>Caixa</v>
      </c>
      <c r="C13" s="112">
        <f>'C1 - Cargos e Salários'!E12</f>
        <v>1</v>
      </c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2">
        <f t="shared" ref="AG13:BJ13" si="4">SUM($C13:C13)</f>
        <v>1</v>
      </c>
      <c r="AH13" s="112">
        <f t="shared" si="4"/>
        <v>1</v>
      </c>
      <c r="AI13" s="112">
        <f t="shared" si="4"/>
        <v>1</v>
      </c>
      <c r="AJ13" s="112">
        <f t="shared" si="4"/>
        <v>1</v>
      </c>
      <c r="AK13" s="112">
        <f t="shared" si="4"/>
        <v>1</v>
      </c>
      <c r="AL13" s="112">
        <f t="shared" si="4"/>
        <v>1</v>
      </c>
      <c r="AM13" s="112">
        <f t="shared" si="4"/>
        <v>1</v>
      </c>
      <c r="AN13" s="112">
        <f t="shared" si="4"/>
        <v>1</v>
      </c>
      <c r="AO13" s="112">
        <f t="shared" si="4"/>
        <v>1</v>
      </c>
      <c r="AP13" s="112">
        <f t="shared" si="4"/>
        <v>1</v>
      </c>
      <c r="AQ13" s="112">
        <f t="shared" si="4"/>
        <v>1</v>
      </c>
      <c r="AR13" s="112">
        <f t="shared" si="4"/>
        <v>1</v>
      </c>
      <c r="AS13" s="112">
        <f t="shared" si="4"/>
        <v>1</v>
      </c>
      <c r="AT13" s="112">
        <f t="shared" si="4"/>
        <v>1</v>
      </c>
      <c r="AU13" s="112">
        <f t="shared" si="4"/>
        <v>1</v>
      </c>
      <c r="AV13" s="112">
        <f t="shared" si="4"/>
        <v>1</v>
      </c>
      <c r="AW13" s="112">
        <f t="shared" si="4"/>
        <v>1</v>
      </c>
      <c r="AX13" s="112">
        <f t="shared" si="4"/>
        <v>1</v>
      </c>
      <c r="AY13" s="112">
        <f t="shared" si="4"/>
        <v>1</v>
      </c>
      <c r="AZ13" s="112">
        <f t="shared" si="4"/>
        <v>1</v>
      </c>
      <c r="BA13" s="112">
        <f t="shared" si="4"/>
        <v>1</v>
      </c>
      <c r="BB13" s="112">
        <f t="shared" si="4"/>
        <v>1</v>
      </c>
      <c r="BC13" s="112">
        <f t="shared" si="4"/>
        <v>1</v>
      </c>
      <c r="BD13" s="112">
        <f t="shared" si="4"/>
        <v>1</v>
      </c>
      <c r="BE13" s="112">
        <f t="shared" si="4"/>
        <v>1</v>
      </c>
      <c r="BF13" s="112">
        <f t="shared" si="4"/>
        <v>1</v>
      </c>
      <c r="BG13" s="112">
        <f t="shared" si="4"/>
        <v>1</v>
      </c>
      <c r="BH13" s="112">
        <f t="shared" si="4"/>
        <v>1</v>
      </c>
      <c r="BI13" s="112">
        <f t="shared" si="4"/>
        <v>1</v>
      </c>
      <c r="BJ13" s="112">
        <f t="shared" si="4"/>
        <v>1</v>
      </c>
    </row>
    <row r="14" spans="1:62" ht="12" customHeight="1">
      <c r="A14" s="521"/>
      <c r="B14" s="111" t="str">
        <f>'C1 - Cargos e Salários'!B13</f>
        <v>Atendente</v>
      </c>
      <c r="C14" s="112">
        <f>'C1 - Cargos e Salários'!E13</f>
        <v>2</v>
      </c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2">
        <f t="shared" ref="AG14:BJ14" si="5">SUM($C14:C14)</f>
        <v>2</v>
      </c>
      <c r="AH14" s="112">
        <f t="shared" si="5"/>
        <v>2</v>
      </c>
      <c r="AI14" s="112">
        <f t="shared" si="5"/>
        <v>2</v>
      </c>
      <c r="AJ14" s="112">
        <f t="shared" si="5"/>
        <v>2</v>
      </c>
      <c r="AK14" s="112">
        <f t="shared" si="5"/>
        <v>2</v>
      </c>
      <c r="AL14" s="112">
        <f t="shared" si="5"/>
        <v>2</v>
      </c>
      <c r="AM14" s="112">
        <f t="shared" si="5"/>
        <v>2</v>
      </c>
      <c r="AN14" s="112">
        <f t="shared" si="5"/>
        <v>2</v>
      </c>
      <c r="AO14" s="112">
        <f t="shared" si="5"/>
        <v>2</v>
      </c>
      <c r="AP14" s="112">
        <f t="shared" si="5"/>
        <v>2</v>
      </c>
      <c r="AQ14" s="112">
        <f t="shared" si="5"/>
        <v>2</v>
      </c>
      <c r="AR14" s="112">
        <f t="shared" si="5"/>
        <v>2</v>
      </c>
      <c r="AS14" s="112">
        <f t="shared" si="5"/>
        <v>2</v>
      </c>
      <c r="AT14" s="112">
        <f t="shared" si="5"/>
        <v>2</v>
      </c>
      <c r="AU14" s="112">
        <f t="shared" si="5"/>
        <v>2</v>
      </c>
      <c r="AV14" s="112">
        <f t="shared" si="5"/>
        <v>2</v>
      </c>
      <c r="AW14" s="112">
        <f t="shared" si="5"/>
        <v>2</v>
      </c>
      <c r="AX14" s="112">
        <f t="shared" si="5"/>
        <v>2</v>
      </c>
      <c r="AY14" s="112">
        <f t="shared" si="5"/>
        <v>2</v>
      </c>
      <c r="AZ14" s="112">
        <f t="shared" si="5"/>
        <v>2</v>
      </c>
      <c r="BA14" s="112">
        <f t="shared" si="5"/>
        <v>2</v>
      </c>
      <c r="BB14" s="112">
        <f t="shared" si="5"/>
        <v>2</v>
      </c>
      <c r="BC14" s="112">
        <f t="shared" si="5"/>
        <v>2</v>
      </c>
      <c r="BD14" s="112">
        <f t="shared" si="5"/>
        <v>2</v>
      </c>
      <c r="BE14" s="112">
        <f t="shared" si="5"/>
        <v>2</v>
      </c>
      <c r="BF14" s="112">
        <f t="shared" si="5"/>
        <v>2</v>
      </c>
      <c r="BG14" s="112">
        <f t="shared" si="5"/>
        <v>2</v>
      </c>
      <c r="BH14" s="112">
        <f t="shared" si="5"/>
        <v>2</v>
      </c>
      <c r="BI14" s="112">
        <f t="shared" si="5"/>
        <v>2</v>
      </c>
      <c r="BJ14" s="112">
        <f t="shared" si="5"/>
        <v>2</v>
      </c>
    </row>
    <row r="15" spans="1:62" ht="12" customHeight="1">
      <c r="A15" s="521"/>
      <c r="B15" s="111" t="str">
        <f>'C1 - Cargos e Salários'!B14</f>
        <v>Atendente</v>
      </c>
      <c r="C15" s="112">
        <f>'C1 - Cargos e Salários'!E14</f>
        <v>3</v>
      </c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2">
        <f t="shared" ref="AG15:BJ15" si="6">SUM($C15:C15)</f>
        <v>3</v>
      </c>
      <c r="AH15" s="112">
        <f t="shared" si="6"/>
        <v>3</v>
      </c>
      <c r="AI15" s="112">
        <f t="shared" si="6"/>
        <v>3</v>
      </c>
      <c r="AJ15" s="112">
        <f t="shared" si="6"/>
        <v>3</v>
      </c>
      <c r="AK15" s="112">
        <f t="shared" si="6"/>
        <v>3</v>
      </c>
      <c r="AL15" s="112">
        <f t="shared" si="6"/>
        <v>3</v>
      </c>
      <c r="AM15" s="112">
        <f t="shared" si="6"/>
        <v>3</v>
      </c>
      <c r="AN15" s="112">
        <f t="shared" si="6"/>
        <v>3</v>
      </c>
      <c r="AO15" s="112">
        <f t="shared" si="6"/>
        <v>3</v>
      </c>
      <c r="AP15" s="112">
        <f t="shared" si="6"/>
        <v>3</v>
      </c>
      <c r="AQ15" s="112">
        <f t="shared" si="6"/>
        <v>3</v>
      </c>
      <c r="AR15" s="112">
        <f t="shared" si="6"/>
        <v>3</v>
      </c>
      <c r="AS15" s="112">
        <f t="shared" si="6"/>
        <v>3</v>
      </c>
      <c r="AT15" s="112">
        <f t="shared" si="6"/>
        <v>3</v>
      </c>
      <c r="AU15" s="112">
        <f t="shared" si="6"/>
        <v>3</v>
      </c>
      <c r="AV15" s="112">
        <f t="shared" si="6"/>
        <v>3</v>
      </c>
      <c r="AW15" s="112">
        <f t="shared" si="6"/>
        <v>3</v>
      </c>
      <c r="AX15" s="112">
        <f t="shared" si="6"/>
        <v>3</v>
      </c>
      <c r="AY15" s="112">
        <f t="shared" si="6"/>
        <v>3</v>
      </c>
      <c r="AZ15" s="112">
        <f t="shared" si="6"/>
        <v>3</v>
      </c>
      <c r="BA15" s="112">
        <f t="shared" si="6"/>
        <v>3</v>
      </c>
      <c r="BB15" s="112">
        <f t="shared" si="6"/>
        <v>3</v>
      </c>
      <c r="BC15" s="112">
        <f t="shared" si="6"/>
        <v>3</v>
      </c>
      <c r="BD15" s="112">
        <f t="shared" si="6"/>
        <v>3</v>
      </c>
      <c r="BE15" s="112">
        <f t="shared" si="6"/>
        <v>3</v>
      </c>
      <c r="BF15" s="112">
        <f t="shared" si="6"/>
        <v>3</v>
      </c>
      <c r="BG15" s="112">
        <f t="shared" si="6"/>
        <v>3</v>
      </c>
      <c r="BH15" s="112">
        <f t="shared" si="6"/>
        <v>3</v>
      </c>
      <c r="BI15" s="112">
        <f t="shared" si="6"/>
        <v>3</v>
      </c>
      <c r="BJ15" s="112">
        <f t="shared" si="6"/>
        <v>3</v>
      </c>
    </row>
    <row r="16" spans="1:62" ht="12" customHeight="1">
      <c r="A16" s="521"/>
      <c r="B16" s="111" t="str">
        <f>'C1 - Cargos e Salários'!B15</f>
        <v>Motorista</v>
      </c>
      <c r="C16" s="112">
        <f>'C1 - Cargos e Salários'!E15</f>
        <v>3</v>
      </c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2">
        <f t="shared" ref="AG16:BJ16" si="7">SUM($C16:C16)</f>
        <v>3</v>
      </c>
      <c r="AH16" s="112">
        <f t="shared" si="7"/>
        <v>3</v>
      </c>
      <c r="AI16" s="112">
        <f t="shared" si="7"/>
        <v>3</v>
      </c>
      <c r="AJ16" s="112">
        <f t="shared" si="7"/>
        <v>3</v>
      </c>
      <c r="AK16" s="112">
        <f t="shared" si="7"/>
        <v>3</v>
      </c>
      <c r="AL16" s="112">
        <f t="shared" si="7"/>
        <v>3</v>
      </c>
      <c r="AM16" s="112">
        <f t="shared" si="7"/>
        <v>3</v>
      </c>
      <c r="AN16" s="112">
        <f t="shared" si="7"/>
        <v>3</v>
      </c>
      <c r="AO16" s="112">
        <f t="shared" si="7"/>
        <v>3</v>
      </c>
      <c r="AP16" s="112">
        <f t="shared" si="7"/>
        <v>3</v>
      </c>
      <c r="AQ16" s="112">
        <f t="shared" si="7"/>
        <v>3</v>
      </c>
      <c r="AR16" s="112">
        <f t="shared" si="7"/>
        <v>3</v>
      </c>
      <c r="AS16" s="112">
        <f t="shared" si="7"/>
        <v>3</v>
      </c>
      <c r="AT16" s="112">
        <f t="shared" si="7"/>
        <v>3</v>
      </c>
      <c r="AU16" s="112">
        <f t="shared" si="7"/>
        <v>3</v>
      </c>
      <c r="AV16" s="112">
        <f t="shared" si="7"/>
        <v>3</v>
      </c>
      <c r="AW16" s="112">
        <f t="shared" si="7"/>
        <v>3</v>
      </c>
      <c r="AX16" s="112">
        <f t="shared" si="7"/>
        <v>3</v>
      </c>
      <c r="AY16" s="112">
        <f t="shared" si="7"/>
        <v>3</v>
      </c>
      <c r="AZ16" s="112">
        <f t="shared" si="7"/>
        <v>3</v>
      </c>
      <c r="BA16" s="112">
        <f t="shared" si="7"/>
        <v>3</v>
      </c>
      <c r="BB16" s="112">
        <f t="shared" si="7"/>
        <v>3</v>
      </c>
      <c r="BC16" s="112">
        <f t="shared" si="7"/>
        <v>3</v>
      </c>
      <c r="BD16" s="112">
        <f t="shared" si="7"/>
        <v>3</v>
      </c>
      <c r="BE16" s="112">
        <f t="shared" si="7"/>
        <v>3</v>
      </c>
      <c r="BF16" s="112">
        <f t="shared" si="7"/>
        <v>3</v>
      </c>
      <c r="BG16" s="112">
        <f t="shared" si="7"/>
        <v>3</v>
      </c>
      <c r="BH16" s="112">
        <f t="shared" si="7"/>
        <v>3</v>
      </c>
      <c r="BI16" s="112">
        <f t="shared" si="7"/>
        <v>3</v>
      </c>
      <c r="BJ16" s="112">
        <f t="shared" si="7"/>
        <v>3</v>
      </c>
    </row>
    <row r="17" spans="1:62" ht="12" customHeight="1">
      <c r="A17" s="521"/>
      <c r="B17" s="111" t="str">
        <f>'C1 - Cargos e Salários'!B16</f>
        <v>Recepcionista bilíngue</v>
      </c>
      <c r="C17" s="112">
        <f>'C1 - Cargos e Salários'!E16</f>
        <v>17</v>
      </c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2">
        <f t="shared" ref="AG17:BJ17" si="8">SUM($C17:C17)</f>
        <v>17</v>
      </c>
      <c r="AH17" s="112">
        <f t="shared" si="8"/>
        <v>17</v>
      </c>
      <c r="AI17" s="112">
        <f t="shared" si="8"/>
        <v>17</v>
      </c>
      <c r="AJ17" s="112">
        <f t="shared" si="8"/>
        <v>17</v>
      </c>
      <c r="AK17" s="112">
        <f t="shared" si="8"/>
        <v>17</v>
      </c>
      <c r="AL17" s="112">
        <f t="shared" si="8"/>
        <v>17</v>
      </c>
      <c r="AM17" s="112">
        <f t="shared" si="8"/>
        <v>17</v>
      </c>
      <c r="AN17" s="112">
        <f t="shared" si="8"/>
        <v>17</v>
      </c>
      <c r="AO17" s="112">
        <f t="shared" si="8"/>
        <v>17</v>
      </c>
      <c r="AP17" s="112">
        <f t="shared" si="8"/>
        <v>17</v>
      </c>
      <c r="AQ17" s="112">
        <f t="shared" si="8"/>
        <v>17</v>
      </c>
      <c r="AR17" s="112">
        <f t="shared" si="8"/>
        <v>17</v>
      </c>
      <c r="AS17" s="112">
        <f t="shared" si="8"/>
        <v>17</v>
      </c>
      <c r="AT17" s="112">
        <f t="shared" si="8"/>
        <v>17</v>
      </c>
      <c r="AU17" s="112">
        <f t="shared" si="8"/>
        <v>17</v>
      </c>
      <c r="AV17" s="112">
        <f t="shared" si="8"/>
        <v>17</v>
      </c>
      <c r="AW17" s="112">
        <f t="shared" si="8"/>
        <v>17</v>
      </c>
      <c r="AX17" s="112">
        <f t="shared" si="8"/>
        <v>17</v>
      </c>
      <c r="AY17" s="112">
        <f t="shared" si="8"/>
        <v>17</v>
      </c>
      <c r="AZ17" s="112">
        <f t="shared" si="8"/>
        <v>17</v>
      </c>
      <c r="BA17" s="112">
        <f t="shared" si="8"/>
        <v>17</v>
      </c>
      <c r="BB17" s="112">
        <f t="shared" si="8"/>
        <v>17</v>
      </c>
      <c r="BC17" s="112">
        <f t="shared" si="8"/>
        <v>17</v>
      </c>
      <c r="BD17" s="112">
        <f t="shared" si="8"/>
        <v>17</v>
      </c>
      <c r="BE17" s="112">
        <f t="shared" si="8"/>
        <v>17</v>
      </c>
      <c r="BF17" s="112">
        <f t="shared" si="8"/>
        <v>17</v>
      </c>
      <c r="BG17" s="112">
        <f t="shared" si="8"/>
        <v>17</v>
      </c>
      <c r="BH17" s="112">
        <f t="shared" si="8"/>
        <v>17</v>
      </c>
      <c r="BI17" s="112">
        <f t="shared" si="8"/>
        <v>17</v>
      </c>
      <c r="BJ17" s="112">
        <f t="shared" si="8"/>
        <v>17</v>
      </c>
    </row>
    <row r="18" spans="1:62" ht="12" customHeight="1">
      <c r="A18" s="521"/>
      <c r="B18" s="111" t="str">
        <f>'C1 - Cargos e Salários'!B17</f>
        <v>Bilheteiro</v>
      </c>
      <c r="C18" s="112">
        <f>'C1 - Cargos e Salários'!E17</f>
        <v>14</v>
      </c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2">
        <f t="shared" ref="AG18:BJ18" si="9">SUM($C18:C18)</f>
        <v>14</v>
      </c>
      <c r="AH18" s="112">
        <f t="shared" si="9"/>
        <v>14</v>
      </c>
      <c r="AI18" s="112">
        <f t="shared" si="9"/>
        <v>14</v>
      </c>
      <c r="AJ18" s="112">
        <f t="shared" si="9"/>
        <v>14</v>
      </c>
      <c r="AK18" s="112">
        <f t="shared" si="9"/>
        <v>14</v>
      </c>
      <c r="AL18" s="112">
        <f t="shared" si="9"/>
        <v>14</v>
      </c>
      <c r="AM18" s="112">
        <f t="shared" si="9"/>
        <v>14</v>
      </c>
      <c r="AN18" s="112">
        <f t="shared" si="9"/>
        <v>14</v>
      </c>
      <c r="AO18" s="112">
        <f t="shared" si="9"/>
        <v>14</v>
      </c>
      <c r="AP18" s="112">
        <f t="shared" si="9"/>
        <v>14</v>
      </c>
      <c r="AQ18" s="112">
        <f t="shared" si="9"/>
        <v>14</v>
      </c>
      <c r="AR18" s="112">
        <f t="shared" si="9"/>
        <v>14</v>
      </c>
      <c r="AS18" s="112">
        <f t="shared" si="9"/>
        <v>14</v>
      </c>
      <c r="AT18" s="112">
        <f t="shared" si="9"/>
        <v>14</v>
      </c>
      <c r="AU18" s="112">
        <f t="shared" si="9"/>
        <v>14</v>
      </c>
      <c r="AV18" s="112">
        <f t="shared" si="9"/>
        <v>14</v>
      </c>
      <c r="AW18" s="112">
        <f t="shared" si="9"/>
        <v>14</v>
      </c>
      <c r="AX18" s="112">
        <f t="shared" si="9"/>
        <v>14</v>
      </c>
      <c r="AY18" s="112">
        <f t="shared" si="9"/>
        <v>14</v>
      </c>
      <c r="AZ18" s="112">
        <f t="shared" si="9"/>
        <v>14</v>
      </c>
      <c r="BA18" s="112">
        <f t="shared" si="9"/>
        <v>14</v>
      </c>
      <c r="BB18" s="112">
        <f t="shared" si="9"/>
        <v>14</v>
      </c>
      <c r="BC18" s="112">
        <f t="shared" si="9"/>
        <v>14</v>
      </c>
      <c r="BD18" s="112">
        <f t="shared" si="9"/>
        <v>14</v>
      </c>
      <c r="BE18" s="112">
        <f t="shared" si="9"/>
        <v>14</v>
      </c>
      <c r="BF18" s="112">
        <f t="shared" si="9"/>
        <v>14</v>
      </c>
      <c r="BG18" s="112">
        <f t="shared" si="9"/>
        <v>14</v>
      </c>
      <c r="BH18" s="112">
        <f t="shared" si="9"/>
        <v>14</v>
      </c>
      <c r="BI18" s="112">
        <f t="shared" si="9"/>
        <v>14</v>
      </c>
      <c r="BJ18" s="112">
        <f t="shared" si="9"/>
        <v>14</v>
      </c>
    </row>
    <row r="19" spans="1:62" ht="12" customHeight="1">
      <c r="A19" s="521"/>
      <c r="B19" s="111" t="str">
        <f>'C1 - Cargos e Salários'!B18</f>
        <v>Faxineiro</v>
      </c>
      <c r="C19" s="112">
        <f>'C1 - Cargos e Salários'!E18</f>
        <v>16</v>
      </c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2">
        <f t="shared" ref="AG19:BJ19" si="10">SUM($C19:C19)</f>
        <v>16</v>
      </c>
      <c r="AH19" s="112">
        <f t="shared" si="10"/>
        <v>16</v>
      </c>
      <c r="AI19" s="112">
        <f t="shared" si="10"/>
        <v>16</v>
      </c>
      <c r="AJ19" s="112">
        <f t="shared" si="10"/>
        <v>16</v>
      </c>
      <c r="AK19" s="112">
        <f t="shared" si="10"/>
        <v>16</v>
      </c>
      <c r="AL19" s="112">
        <f t="shared" si="10"/>
        <v>16</v>
      </c>
      <c r="AM19" s="112">
        <f t="shared" si="10"/>
        <v>16</v>
      </c>
      <c r="AN19" s="112">
        <f t="shared" si="10"/>
        <v>16</v>
      </c>
      <c r="AO19" s="112">
        <f t="shared" si="10"/>
        <v>16</v>
      </c>
      <c r="AP19" s="112">
        <f t="shared" si="10"/>
        <v>16</v>
      </c>
      <c r="AQ19" s="112">
        <f t="shared" si="10"/>
        <v>16</v>
      </c>
      <c r="AR19" s="112">
        <f t="shared" si="10"/>
        <v>16</v>
      </c>
      <c r="AS19" s="112">
        <f t="shared" si="10"/>
        <v>16</v>
      </c>
      <c r="AT19" s="112">
        <f t="shared" si="10"/>
        <v>16</v>
      </c>
      <c r="AU19" s="112">
        <f t="shared" si="10"/>
        <v>16</v>
      </c>
      <c r="AV19" s="112">
        <f t="shared" si="10"/>
        <v>16</v>
      </c>
      <c r="AW19" s="112">
        <f t="shared" si="10"/>
        <v>16</v>
      </c>
      <c r="AX19" s="112">
        <f t="shared" si="10"/>
        <v>16</v>
      </c>
      <c r="AY19" s="112">
        <f t="shared" si="10"/>
        <v>16</v>
      </c>
      <c r="AZ19" s="112">
        <f t="shared" si="10"/>
        <v>16</v>
      </c>
      <c r="BA19" s="112">
        <f t="shared" si="10"/>
        <v>16</v>
      </c>
      <c r="BB19" s="112">
        <f t="shared" si="10"/>
        <v>16</v>
      </c>
      <c r="BC19" s="112">
        <f t="shared" si="10"/>
        <v>16</v>
      </c>
      <c r="BD19" s="112">
        <f t="shared" si="10"/>
        <v>16</v>
      </c>
      <c r="BE19" s="112">
        <f t="shared" si="10"/>
        <v>16</v>
      </c>
      <c r="BF19" s="112">
        <f t="shared" si="10"/>
        <v>16</v>
      </c>
      <c r="BG19" s="112">
        <f t="shared" si="10"/>
        <v>16</v>
      </c>
      <c r="BH19" s="112">
        <f t="shared" si="10"/>
        <v>16</v>
      </c>
      <c r="BI19" s="112">
        <f t="shared" si="10"/>
        <v>16</v>
      </c>
      <c r="BJ19" s="112">
        <f t="shared" si="10"/>
        <v>16</v>
      </c>
    </row>
    <row r="20" spans="1:62" ht="12" customHeight="1">
      <c r="A20" s="521"/>
      <c r="B20" s="111" t="str">
        <f>'C1 - Cargos e Salários'!B19</f>
        <v>Monitor de visitação</v>
      </c>
      <c r="C20" s="112">
        <f>'C1 - Cargos e Salários'!E19</f>
        <v>23</v>
      </c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2">
        <f t="shared" ref="AG20:BJ20" si="11">SUM($C20:C20)</f>
        <v>23</v>
      </c>
      <c r="AH20" s="112">
        <f t="shared" si="11"/>
        <v>23</v>
      </c>
      <c r="AI20" s="112">
        <f t="shared" si="11"/>
        <v>23</v>
      </c>
      <c r="AJ20" s="112">
        <f t="shared" si="11"/>
        <v>23</v>
      </c>
      <c r="AK20" s="112">
        <f t="shared" si="11"/>
        <v>23</v>
      </c>
      <c r="AL20" s="112">
        <f t="shared" si="11"/>
        <v>23</v>
      </c>
      <c r="AM20" s="112">
        <f t="shared" si="11"/>
        <v>23</v>
      </c>
      <c r="AN20" s="112">
        <f t="shared" si="11"/>
        <v>23</v>
      </c>
      <c r="AO20" s="112">
        <f t="shared" si="11"/>
        <v>23</v>
      </c>
      <c r="AP20" s="112">
        <f t="shared" si="11"/>
        <v>23</v>
      </c>
      <c r="AQ20" s="112">
        <f t="shared" si="11"/>
        <v>23</v>
      </c>
      <c r="AR20" s="112">
        <f t="shared" si="11"/>
        <v>23</v>
      </c>
      <c r="AS20" s="112">
        <f t="shared" si="11"/>
        <v>23</v>
      </c>
      <c r="AT20" s="112">
        <f t="shared" si="11"/>
        <v>23</v>
      </c>
      <c r="AU20" s="112">
        <f t="shared" si="11"/>
        <v>23</v>
      </c>
      <c r="AV20" s="112">
        <f t="shared" si="11"/>
        <v>23</v>
      </c>
      <c r="AW20" s="112">
        <f t="shared" si="11"/>
        <v>23</v>
      </c>
      <c r="AX20" s="112">
        <f t="shared" si="11"/>
        <v>23</v>
      </c>
      <c r="AY20" s="112">
        <f t="shared" si="11"/>
        <v>23</v>
      </c>
      <c r="AZ20" s="112">
        <f t="shared" si="11"/>
        <v>23</v>
      </c>
      <c r="BA20" s="112">
        <f t="shared" si="11"/>
        <v>23</v>
      </c>
      <c r="BB20" s="112">
        <f t="shared" si="11"/>
        <v>23</v>
      </c>
      <c r="BC20" s="112">
        <f t="shared" si="11"/>
        <v>23</v>
      </c>
      <c r="BD20" s="112">
        <f t="shared" si="11"/>
        <v>23</v>
      </c>
      <c r="BE20" s="112">
        <f t="shared" si="11"/>
        <v>23</v>
      </c>
      <c r="BF20" s="112">
        <f t="shared" si="11"/>
        <v>23</v>
      </c>
      <c r="BG20" s="112">
        <f t="shared" si="11"/>
        <v>23</v>
      </c>
      <c r="BH20" s="112">
        <f t="shared" si="11"/>
        <v>23</v>
      </c>
      <c r="BI20" s="112">
        <f t="shared" si="11"/>
        <v>23</v>
      </c>
      <c r="BJ20" s="112">
        <f t="shared" si="11"/>
        <v>23</v>
      </c>
    </row>
    <row r="21" spans="1:62" ht="12" customHeight="1">
      <c r="A21" s="521"/>
      <c r="B21" s="111" t="str">
        <f>'C1 - Cargos e Salários'!B20</f>
        <v>Caixa</v>
      </c>
      <c r="C21" s="112">
        <f>'C1 - Cargos e Salários'!E20</f>
        <v>4</v>
      </c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2">
        <f t="shared" ref="AG21:BJ21" si="12">SUM($C21:C21)</f>
        <v>4</v>
      </c>
      <c r="AH21" s="112">
        <f t="shared" si="12"/>
        <v>4</v>
      </c>
      <c r="AI21" s="112">
        <f t="shared" si="12"/>
        <v>4</v>
      </c>
      <c r="AJ21" s="112">
        <f t="shared" si="12"/>
        <v>4</v>
      </c>
      <c r="AK21" s="112">
        <f t="shared" si="12"/>
        <v>4</v>
      </c>
      <c r="AL21" s="112">
        <f t="shared" si="12"/>
        <v>4</v>
      </c>
      <c r="AM21" s="112">
        <f t="shared" si="12"/>
        <v>4</v>
      </c>
      <c r="AN21" s="112">
        <f t="shared" si="12"/>
        <v>4</v>
      </c>
      <c r="AO21" s="112">
        <f t="shared" si="12"/>
        <v>4</v>
      </c>
      <c r="AP21" s="112">
        <f t="shared" si="12"/>
        <v>4</v>
      </c>
      <c r="AQ21" s="112">
        <f t="shared" si="12"/>
        <v>4</v>
      </c>
      <c r="AR21" s="112">
        <f t="shared" si="12"/>
        <v>4</v>
      </c>
      <c r="AS21" s="112">
        <f t="shared" si="12"/>
        <v>4</v>
      </c>
      <c r="AT21" s="112">
        <f t="shared" si="12"/>
        <v>4</v>
      </c>
      <c r="AU21" s="112">
        <f t="shared" si="12"/>
        <v>4</v>
      </c>
      <c r="AV21" s="112">
        <f t="shared" si="12"/>
        <v>4</v>
      </c>
      <c r="AW21" s="112">
        <f t="shared" si="12"/>
        <v>4</v>
      </c>
      <c r="AX21" s="112">
        <f t="shared" si="12"/>
        <v>4</v>
      </c>
      <c r="AY21" s="112">
        <f t="shared" si="12"/>
        <v>4</v>
      </c>
      <c r="AZ21" s="112">
        <f t="shared" si="12"/>
        <v>4</v>
      </c>
      <c r="BA21" s="112">
        <f t="shared" si="12"/>
        <v>4</v>
      </c>
      <c r="BB21" s="112">
        <f t="shared" si="12"/>
        <v>4</v>
      </c>
      <c r="BC21" s="112">
        <f t="shared" si="12"/>
        <v>4</v>
      </c>
      <c r="BD21" s="112">
        <f t="shared" si="12"/>
        <v>4</v>
      </c>
      <c r="BE21" s="112">
        <f t="shared" si="12"/>
        <v>4</v>
      </c>
      <c r="BF21" s="112">
        <f t="shared" si="12"/>
        <v>4</v>
      </c>
      <c r="BG21" s="112">
        <f t="shared" si="12"/>
        <v>4</v>
      </c>
      <c r="BH21" s="112">
        <f t="shared" si="12"/>
        <v>4</v>
      </c>
      <c r="BI21" s="112">
        <f t="shared" si="12"/>
        <v>4</v>
      </c>
      <c r="BJ21" s="112">
        <f t="shared" si="12"/>
        <v>4</v>
      </c>
    </row>
    <row r="22" spans="1:62" ht="12" customHeight="1">
      <c r="A22" s="521"/>
      <c r="B22" s="111" t="str">
        <f>'C1 - Cargos e Salários'!B21</f>
        <v>Caixa</v>
      </c>
      <c r="C22" s="112">
        <f>'C1 - Cargos e Salários'!E21</f>
        <v>4</v>
      </c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2">
        <f t="shared" ref="AG22:BJ22" si="13">SUM($C22:C22)</f>
        <v>4</v>
      </c>
      <c r="AH22" s="112">
        <f t="shared" si="13"/>
        <v>4</v>
      </c>
      <c r="AI22" s="112">
        <f t="shared" si="13"/>
        <v>4</v>
      </c>
      <c r="AJ22" s="112">
        <f t="shared" si="13"/>
        <v>4</v>
      </c>
      <c r="AK22" s="112">
        <f t="shared" si="13"/>
        <v>4</v>
      </c>
      <c r="AL22" s="112">
        <f t="shared" si="13"/>
        <v>4</v>
      </c>
      <c r="AM22" s="112">
        <f t="shared" si="13"/>
        <v>4</v>
      </c>
      <c r="AN22" s="112">
        <f t="shared" si="13"/>
        <v>4</v>
      </c>
      <c r="AO22" s="112">
        <f t="shared" si="13"/>
        <v>4</v>
      </c>
      <c r="AP22" s="112">
        <f t="shared" si="13"/>
        <v>4</v>
      </c>
      <c r="AQ22" s="112">
        <f t="shared" si="13"/>
        <v>4</v>
      </c>
      <c r="AR22" s="112">
        <f t="shared" si="13"/>
        <v>4</v>
      </c>
      <c r="AS22" s="112">
        <f t="shared" si="13"/>
        <v>4</v>
      </c>
      <c r="AT22" s="112">
        <f t="shared" si="13"/>
        <v>4</v>
      </c>
      <c r="AU22" s="112">
        <f t="shared" si="13"/>
        <v>4</v>
      </c>
      <c r="AV22" s="112">
        <f t="shared" si="13"/>
        <v>4</v>
      </c>
      <c r="AW22" s="112">
        <f t="shared" si="13"/>
        <v>4</v>
      </c>
      <c r="AX22" s="112">
        <f t="shared" si="13"/>
        <v>4</v>
      </c>
      <c r="AY22" s="112">
        <f t="shared" si="13"/>
        <v>4</v>
      </c>
      <c r="AZ22" s="112">
        <f t="shared" si="13"/>
        <v>4</v>
      </c>
      <c r="BA22" s="112">
        <f t="shared" si="13"/>
        <v>4</v>
      </c>
      <c r="BB22" s="112">
        <f t="shared" si="13"/>
        <v>4</v>
      </c>
      <c r="BC22" s="112">
        <f t="shared" si="13"/>
        <v>4</v>
      </c>
      <c r="BD22" s="112">
        <f t="shared" si="13"/>
        <v>4</v>
      </c>
      <c r="BE22" s="112">
        <f t="shared" si="13"/>
        <v>4</v>
      </c>
      <c r="BF22" s="112">
        <f t="shared" si="13"/>
        <v>4</v>
      </c>
      <c r="BG22" s="112">
        <f t="shared" si="13"/>
        <v>4</v>
      </c>
      <c r="BH22" s="112">
        <f t="shared" si="13"/>
        <v>4</v>
      </c>
      <c r="BI22" s="112">
        <f t="shared" si="13"/>
        <v>4</v>
      </c>
      <c r="BJ22" s="112">
        <f t="shared" si="13"/>
        <v>4</v>
      </c>
    </row>
    <row r="23" spans="1:62" ht="12" customHeight="1">
      <c r="A23" s="521"/>
      <c r="B23" s="111" t="e">
        <f>'C1 - Cargos e Salários'!#REF!</f>
        <v>#REF!</v>
      </c>
      <c r="C23" s="112" t="e">
        <f>'C1 - Cargos e Salários'!#REF!</f>
        <v>#REF!</v>
      </c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2" t="e">
        <f t="shared" ref="AG23:BJ23" si="14">SUM($C23:C23)</f>
        <v>#REF!</v>
      </c>
      <c r="AH23" s="112" t="e">
        <f t="shared" si="14"/>
        <v>#REF!</v>
      </c>
      <c r="AI23" s="112" t="e">
        <f t="shared" si="14"/>
        <v>#REF!</v>
      </c>
      <c r="AJ23" s="112" t="e">
        <f t="shared" si="14"/>
        <v>#REF!</v>
      </c>
      <c r="AK23" s="112" t="e">
        <f t="shared" si="14"/>
        <v>#REF!</v>
      </c>
      <c r="AL23" s="112" t="e">
        <f t="shared" si="14"/>
        <v>#REF!</v>
      </c>
      <c r="AM23" s="112" t="e">
        <f t="shared" si="14"/>
        <v>#REF!</v>
      </c>
      <c r="AN23" s="112" t="e">
        <f t="shared" si="14"/>
        <v>#REF!</v>
      </c>
      <c r="AO23" s="112" t="e">
        <f t="shared" si="14"/>
        <v>#REF!</v>
      </c>
      <c r="AP23" s="112" t="e">
        <f t="shared" si="14"/>
        <v>#REF!</v>
      </c>
      <c r="AQ23" s="112" t="e">
        <f t="shared" si="14"/>
        <v>#REF!</v>
      </c>
      <c r="AR23" s="112" t="e">
        <f t="shared" si="14"/>
        <v>#REF!</v>
      </c>
      <c r="AS23" s="112" t="e">
        <f t="shared" si="14"/>
        <v>#REF!</v>
      </c>
      <c r="AT23" s="112" t="e">
        <f t="shared" si="14"/>
        <v>#REF!</v>
      </c>
      <c r="AU23" s="112" t="e">
        <f t="shared" si="14"/>
        <v>#REF!</v>
      </c>
      <c r="AV23" s="112" t="e">
        <f t="shared" si="14"/>
        <v>#REF!</v>
      </c>
      <c r="AW23" s="112" t="e">
        <f t="shared" si="14"/>
        <v>#REF!</v>
      </c>
      <c r="AX23" s="112" t="e">
        <f t="shared" si="14"/>
        <v>#REF!</v>
      </c>
      <c r="AY23" s="112" t="e">
        <f t="shared" si="14"/>
        <v>#REF!</v>
      </c>
      <c r="AZ23" s="112" t="e">
        <f t="shared" si="14"/>
        <v>#REF!</v>
      </c>
      <c r="BA23" s="112" t="e">
        <f t="shared" si="14"/>
        <v>#REF!</v>
      </c>
      <c r="BB23" s="112" t="e">
        <f t="shared" si="14"/>
        <v>#REF!</v>
      </c>
      <c r="BC23" s="112" t="e">
        <f t="shared" si="14"/>
        <v>#REF!</v>
      </c>
      <c r="BD23" s="112" t="e">
        <f t="shared" si="14"/>
        <v>#REF!</v>
      </c>
      <c r="BE23" s="112" t="e">
        <f t="shared" si="14"/>
        <v>#REF!</v>
      </c>
      <c r="BF23" s="112" t="e">
        <f t="shared" si="14"/>
        <v>#REF!</v>
      </c>
      <c r="BG23" s="112" t="e">
        <f t="shared" si="14"/>
        <v>#REF!</v>
      </c>
      <c r="BH23" s="112" t="e">
        <f t="shared" si="14"/>
        <v>#REF!</v>
      </c>
      <c r="BI23" s="112" t="e">
        <f t="shared" si="14"/>
        <v>#REF!</v>
      </c>
      <c r="BJ23" s="112" t="e">
        <f t="shared" si="14"/>
        <v>#REF!</v>
      </c>
    </row>
    <row r="24" spans="1:62" ht="12" customHeight="1">
      <c r="A24" s="521"/>
      <c r="B24" s="111" t="e">
        <f>'C1 - Cargos e Salários'!#REF!</f>
        <v>#REF!</v>
      </c>
      <c r="C24" s="112" t="e">
        <f>'C1 - Cargos e Salários'!#REF!</f>
        <v>#REF!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2" t="e">
        <f t="shared" ref="AG24:BJ24" si="15">SUM($C24:C24)</f>
        <v>#REF!</v>
      </c>
      <c r="AH24" s="112" t="e">
        <f t="shared" si="15"/>
        <v>#REF!</v>
      </c>
      <c r="AI24" s="112" t="e">
        <f t="shared" si="15"/>
        <v>#REF!</v>
      </c>
      <c r="AJ24" s="112" t="e">
        <f t="shared" si="15"/>
        <v>#REF!</v>
      </c>
      <c r="AK24" s="112" t="e">
        <f t="shared" si="15"/>
        <v>#REF!</v>
      </c>
      <c r="AL24" s="112" t="e">
        <f t="shared" si="15"/>
        <v>#REF!</v>
      </c>
      <c r="AM24" s="112" t="e">
        <f t="shared" si="15"/>
        <v>#REF!</v>
      </c>
      <c r="AN24" s="112" t="e">
        <f t="shared" si="15"/>
        <v>#REF!</v>
      </c>
      <c r="AO24" s="112" t="e">
        <f t="shared" si="15"/>
        <v>#REF!</v>
      </c>
      <c r="AP24" s="112" t="e">
        <f t="shared" si="15"/>
        <v>#REF!</v>
      </c>
      <c r="AQ24" s="112" t="e">
        <f t="shared" si="15"/>
        <v>#REF!</v>
      </c>
      <c r="AR24" s="112" t="e">
        <f t="shared" si="15"/>
        <v>#REF!</v>
      </c>
      <c r="AS24" s="112" t="e">
        <f t="shared" si="15"/>
        <v>#REF!</v>
      </c>
      <c r="AT24" s="112" t="e">
        <f t="shared" si="15"/>
        <v>#REF!</v>
      </c>
      <c r="AU24" s="112" t="e">
        <f t="shared" si="15"/>
        <v>#REF!</v>
      </c>
      <c r="AV24" s="112" t="e">
        <f t="shared" si="15"/>
        <v>#REF!</v>
      </c>
      <c r="AW24" s="112" t="e">
        <f t="shared" si="15"/>
        <v>#REF!</v>
      </c>
      <c r="AX24" s="112" t="e">
        <f t="shared" si="15"/>
        <v>#REF!</v>
      </c>
      <c r="AY24" s="112" t="e">
        <f t="shared" si="15"/>
        <v>#REF!</v>
      </c>
      <c r="AZ24" s="112" t="e">
        <f t="shared" si="15"/>
        <v>#REF!</v>
      </c>
      <c r="BA24" s="112" t="e">
        <f t="shared" si="15"/>
        <v>#REF!</v>
      </c>
      <c r="BB24" s="112" t="e">
        <f t="shared" si="15"/>
        <v>#REF!</v>
      </c>
      <c r="BC24" s="112" t="e">
        <f t="shared" si="15"/>
        <v>#REF!</v>
      </c>
      <c r="BD24" s="112" t="e">
        <f t="shared" si="15"/>
        <v>#REF!</v>
      </c>
      <c r="BE24" s="112" t="e">
        <f t="shared" si="15"/>
        <v>#REF!</v>
      </c>
      <c r="BF24" s="112" t="e">
        <f t="shared" si="15"/>
        <v>#REF!</v>
      </c>
      <c r="BG24" s="112" t="e">
        <f t="shared" si="15"/>
        <v>#REF!</v>
      </c>
      <c r="BH24" s="112" t="e">
        <f t="shared" si="15"/>
        <v>#REF!</v>
      </c>
      <c r="BI24" s="112" t="e">
        <f t="shared" si="15"/>
        <v>#REF!</v>
      </c>
      <c r="BJ24" s="112" t="e">
        <f t="shared" si="15"/>
        <v>#REF!</v>
      </c>
    </row>
    <row r="25" spans="1:62" ht="12" customHeight="1">
      <c r="A25" s="521"/>
      <c r="B25" s="111" t="e">
        <f>'C1 - Cargos e Salários'!#REF!</f>
        <v>#REF!</v>
      </c>
      <c r="C25" s="112" t="e">
        <f>'C1 - Cargos e Salários'!#REF!</f>
        <v>#REF!</v>
      </c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2" t="e">
        <f t="shared" ref="AG25:BJ25" si="16">SUM($C25:C25)</f>
        <v>#REF!</v>
      </c>
      <c r="AH25" s="112" t="e">
        <f t="shared" si="16"/>
        <v>#REF!</v>
      </c>
      <c r="AI25" s="112" t="e">
        <f t="shared" si="16"/>
        <v>#REF!</v>
      </c>
      <c r="AJ25" s="112" t="e">
        <f t="shared" si="16"/>
        <v>#REF!</v>
      </c>
      <c r="AK25" s="112" t="e">
        <f t="shared" si="16"/>
        <v>#REF!</v>
      </c>
      <c r="AL25" s="112" t="e">
        <f t="shared" si="16"/>
        <v>#REF!</v>
      </c>
      <c r="AM25" s="112" t="e">
        <f t="shared" si="16"/>
        <v>#REF!</v>
      </c>
      <c r="AN25" s="112" t="e">
        <f t="shared" si="16"/>
        <v>#REF!</v>
      </c>
      <c r="AO25" s="112" t="e">
        <f t="shared" si="16"/>
        <v>#REF!</v>
      </c>
      <c r="AP25" s="112" t="e">
        <f t="shared" si="16"/>
        <v>#REF!</v>
      </c>
      <c r="AQ25" s="112" t="e">
        <f t="shared" si="16"/>
        <v>#REF!</v>
      </c>
      <c r="AR25" s="112" t="e">
        <f t="shared" si="16"/>
        <v>#REF!</v>
      </c>
      <c r="AS25" s="112" t="e">
        <f t="shared" si="16"/>
        <v>#REF!</v>
      </c>
      <c r="AT25" s="112" t="e">
        <f t="shared" si="16"/>
        <v>#REF!</v>
      </c>
      <c r="AU25" s="112" t="e">
        <f t="shared" si="16"/>
        <v>#REF!</v>
      </c>
      <c r="AV25" s="112" t="e">
        <f t="shared" si="16"/>
        <v>#REF!</v>
      </c>
      <c r="AW25" s="112" t="e">
        <f t="shared" si="16"/>
        <v>#REF!</v>
      </c>
      <c r="AX25" s="112" t="e">
        <f t="shared" si="16"/>
        <v>#REF!</v>
      </c>
      <c r="AY25" s="112" t="e">
        <f t="shared" si="16"/>
        <v>#REF!</v>
      </c>
      <c r="AZ25" s="112" t="e">
        <f t="shared" si="16"/>
        <v>#REF!</v>
      </c>
      <c r="BA25" s="112" t="e">
        <f t="shared" si="16"/>
        <v>#REF!</v>
      </c>
      <c r="BB25" s="112" t="e">
        <f t="shared" si="16"/>
        <v>#REF!</v>
      </c>
      <c r="BC25" s="112" t="e">
        <f t="shared" si="16"/>
        <v>#REF!</v>
      </c>
      <c r="BD25" s="112" t="e">
        <f t="shared" si="16"/>
        <v>#REF!</v>
      </c>
      <c r="BE25" s="112" t="e">
        <f t="shared" si="16"/>
        <v>#REF!</v>
      </c>
      <c r="BF25" s="112" t="e">
        <f t="shared" si="16"/>
        <v>#REF!</v>
      </c>
      <c r="BG25" s="112" t="e">
        <f t="shared" si="16"/>
        <v>#REF!</v>
      </c>
      <c r="BH25" s="112" t="e">
        <f t="shared" si="16"/>
        <v>#REF!</v>
      </c>
      <c r="BI25" s="112" t="e">
        <f t="shared" si="16"/>
        <v>#REF!</v>
      </c>
      <c r="BJ25" s="112" t="e">
        <f t="shared" si="16"/>
        <v>#REF!</v>
      </c>
    </row>
    <row r="26" spans="1:62" ht="12" customHeight="1">
      <c r="A26" s="521"/>
      <c r="B26" s="111" t="e">
        <f>'C1 - Cargos e Salários'!#REF!</f>
        <v>#REF!</v>
      </c>
      <c r="C26" s="112" t="e">
        <f>'C1 - Cargos e Salários'!#REF!</f>
        <v>#REF!</v>
      </c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2" t="e">
        <f t="shared" ref="AG26:BJ26" si="17">SUM($C26:C26)</f>
        <v>#REF!</v>
      </c>
      <c r="AH26" s="112" t="e">
        <f t="shared" si="17"/>
        <v>#REF!</v>
      </c>
      <c r="AI26" s="112" t="e">
        <f t="shared" si="17"/>
        <v>#REF!</v>
      </c>
      <c r="AJ26" s="112" t="e">
        <f t="shared" si="17"/>
        <v>#REF!</v>
      </c>
      <c r="AK26" s="112" t="e">
        <f t="shared" si="17"/>
        <v>#REF!</v>
      </c>
      <c r="AL26" s="112" t="e">
        <f t="shared" si="17"/>
        <v>#REF!</v>
      </c>
      <c r="AM26" s="112" t="e">
        <f t="shared" si="17"/>
        <v>#REF!</v>
      </c>
      <c r="AN26" s="112" t="e">
        <f t="shared" si="17"/>
        <v>#REF!</v>
      </c>
      <c r="AO26" s="112" t="e">
        <f t="shared" si="17"/>
        <v>#REF!</v>
      </c>
      <c r="AP26" s="112" t="e">
        <f t="shared" si="17"/>
        <v>#REF!</v>
      </c>
      <c r="AQ26" s="112" t="e">
        <f t="shared" si="17"/>
        <v>#REF!</v>
      </c>
      <c r="AR26" s="112" t="e">
        <f t="shared" si="17"/>
        <v>#REF!</v>
      </c>
      <c r="AS26" s="112" t="e">
        <f t="shared" si="17"/>
        <v>#REF!</v>
      </c>
      <c r="AT26" s="112" t="e">
        <f t="shared" si="17"/>
        <v>#REF!</v>
      </c>
      <c r="AU26" s="112" t="e">
        <f t="shared" si="17"/>
        <v>#REF!</v>
      </c>
      <c r="AV26" s="112" t="e">
        <f t="shared" si="17"/>
        <v>#REF!</v>
      </c>
      <c r="AW26" s="112" t="e">
        <f t="shared" si="17"/>
        <v>#REF!</v>
      </c>
      <c r="AX26" s="112" t="e">
        <f t="shared" si="17"/>
        <v>#REF!</v>
      </c>
      <c r="AY26" s="112" t="e">
        <f t="shared" si="17"/>
        <v>#REF!</v>
      </c>
      <c r="AZ26" s="112" t="e">
        <f t="shared" si="17"/>
        <v>#REF!</v>
      </c>
      <c r="BA26" s="112" t="e">
        <f t="shared" si="17"/>
        <v>#REF!</v>
      </c>
      <c r="BB26" s="112" t="e">
        <f t="shared" si="17"/>
        <v>#REF!</v>
      </c>
      <c r="BC26" s="112" t="e">
        <f t="shared" si="17"/>
        <v>#REF!</v>
      </c>
      <c r="BD26" s="112" t="e">
        <f t="shared" si="17"/>
        <v>#REF!</v>
      </c>
      <c r="BE26" s="112" t="e">
        <f t="shared" si="17"/>
        <v>#REF!</v>
      </c>
      <c r="BF26" s="112" t="e">
        <f t="shared" si="17"/>
        <v>#REF!</v>
      </c>
      <c r="BG26" s="112" t="e">
        <f t="shared" si="17"/>
        <v>#REF!</v>
      </c>
      <c r="BH26" s="112" t="e">
        <f t="shared" si="17"/>
        <v>#REF!</v>
      </c>
      <c r="BI26" s="112" t="e">
        <f t="shared" si="17"/>
        <v>#REF!</v>
      </c>
      <c r="BJ26" s="112" t="e">
        <f t="shared" si="17"/>
        <v>#REF!</v>
      </c>
    </row>
    <row r="27" spans="1:62" ht="12" customHeight="1">
      <c r="A27" s="521"/>
      <c r="B27" s="111" t="e">
        <f>'C1 - Cargos e Salários'!#REF!</f>
        <v>#REF!</v>
      </c>
      <c r="C27" s="112" t="e">
        <f>'C1 - Cargos e Salários'!#REF!</f>
        <v>#REF!</v>
      </c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2" t="e">
        <f t="shared" ref="AG27:BJ27" si="18">SUM($C27:C27)</f>
        <v>#REF!</v>
      </c>
      <c r="AH27" s="112" t="e">
        <f t="shared" si="18"/>
        <v>#REF!</v>
      </c>
      <c r="AI27" s="112" t="e">
        <f t="shared" si="18"/>
        <v>#REF!</v>
      </c>
      <c r="AJ27" s="112" t="e">
        <f t="shared" si="18"/>
        <v>#REF!</v>
      </c>
      <c r="AK27" s="112" t="e">
        <f t="shared" si="18"/>
        <v>#REF!</v>
      </c>
      <c r="AL27" s="112" t="e">
        <f t="shared" si="18"/>
        <v>#REF!</v>
      </c>
      <c r="AM27" s="112" t="e">
        <f t="shared" si="18"/>
        <v>#REF!</v>
      </c>
      <c r="AN27" s="112" t="e">
        <f t="shared" si="18"/>
        <v>#REF!</v>
      </c>
      <c r="AO27" s="112" t="e">
        <f t="shared" si="18"/>
        <v>#REF!</v>
      </c>
      <c r="AP27" s="112" t="e">
        <f t="shared" si="18"/>
        <v>#REF!</v>
      </c>
      <c r="AQ27" s="112" t="e">
        <f t="shared" si="18"/>
        <v>#REF!</v>
      </c>
      <c r="AR27" s="112" t="e">
        <f t="shared" si="18"/>
        <v>#REF!</v>
      </c>
      <c r="AS27" s="112" t="e">
        <f t="shared" si="18"/>
        <v>#REF!</v>
      </c>
      <c r="AT27" s="112" t="e">
        <f t="shared" si="18"/>
        <v>#REF!</v>
      </c>
      <c r="AU27" s="112" t="e">
        <f t="shared" si="18"/>
        <v>#REF!</v>
      </c>
      <c r="AV27" s="112" t="e">
        <f t="shared" si="18"/>
        <v>#REF!</v>
      </c>
      <c r="AW27" s="112" t="e">
        <f t="shared" si="18"/>
        <v>#REF!</v>
      </c>
      <c r="AX27" s="112" t="e">
        <f t="shared" si="18"/>
        <v>#REF!</v>
      </c>
      <c r="AY27" s="112" t="e">
        <f t="shared" si="18"/>
        <v>#REF!</v>
      </c>
      <c r="AZ27" s="112" t="e">
        <f t="shared" si="18"/>
        <v>#REF!</v>
      </c>
      <c r="BA27" s="112" t="e">
        <f t="shared" si="18"/>
        <v>#REF!</v>
      </c>
      <c r="BB27" s="112" t="e">
        <f t="shared" si="18"/>
        <v>#REF!</v>
      </c>
      <c r="BC27" s="112" t="e">
        <f t="shared" si="18"/>
        <v>#REF!</v>
      </c>
      <c r="BD27" s="112" t="e">
        <f t="shared" si="18"/>
        <v>#REF!</v>
      </c>
      <c r="BE27" s="112" t="e">
        <f t="shared" si="18"/>
        <v>#REF!</v>
      </c>
      <c r="BF27" s="112" t="e">
        <f t="shared" si="18"/>
        <v>#REF!</v>
      </c>
      <c r="BG27" s="112" t="e">
        <f t="shared" si="18"/>
        <v>#REF!</v>
      </c>
      <c r="BH27" s="112" t="e">
        <f t="shared" si="18"/>
        <v>#REF!</v>
      </c>
      <c r="BI27" s="112" t="e">
        <f t="shared" si="18"/>
        <v>#REF!</v>
      </c>
      <c r="BJ27" s="112" t="e">
        <f t="shared" si="18"/>
        <v>#REF!</v>
      </c>
    </row>
    <row r="28" spans="1:62" ht="12" customHeight="1">
      <c r="A28" s="521"/>
      <c r="B28" s="111" t="e">
        <f>'C1 - Cargos e Salários'!#REF!</f>
        <v>#REF!</v>
      </c>
      <c r="C28" s="112" t="e">
        <f>'C1 - Cargos e Salários'!#REF!</f>
        <v>#REF!</v>
      </c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2" t="e">
        <f t="shared" ref="AG28:BJ28" si="19">SUM($C28:C28)</f>
        <v>#REF!</v>
      </c>
      <c r="AH28" s="112" t="e">
        <f t="shared" si="19"/>
        <v>#REF!</v>
      </c>
      <c r="AI28" s="112" t="e">
        <f t="shared" si="19"/>
        <v>#REF!</v>
      </c>
      <c r="AJ28" s="112" t="e">
        <f t="shared" si="19"/>
        <v>#REF!</v>
      </c>
      <c r="AK28" s="112" t="e">
        <f t="shared" si="19"/>
        <v>#REF!</v>
      </c>
      <c r="AL28" s="112" t="e">
        <f t="shared" si="19"/>
        <v>#REF!</v>
      </c>
      <c r="AM28" s="112" t="e">
        <f t="shared" si="19"/>
        <v>#REF!</v>
      </c>
      <c r="AN28" s="112" t="e">
        <f t="shared" si="19"/>
        <v>#REF!</v>
      </c>
      <c r="AO28" s="112" t="e">
        <f t="shared" si="19"/>
        <v>#REF!</v>
      </c>
      <c r="AP28" s="112" t="e">
        <f t="shared" si="19"/>
        <v>#REF!</v>
      </c>
      <c r="AQ28" s="112" t="e">
        <f t="shared" si="19"/>
        <v>#REF!</v>
      </c>
      <c r="AR28" s="112" t="e">
        <f t="shared" si="19"/>
        <v>#REF!</v>
      </c>
      <c r="AS28" s="112" t="e">
        <f t="shared" si="19"/>
        <v>#REF!</v>
      </c>
      <c r="AT28" s="112" t="e">
        <f t="shared" si="19"/>
        <v>#REF!</v>
      </c>
      <c r="AU28" s="112" t="e">
        <f t="shared" si="19"/>
        <v>#REF!</v>
      </c>
      <c r="AV28" s="112" t="e">
        <f t="shared" si="19"/>
        <v>#REF!</v>
      </c>
      <c r="AW28" s="112" t="e">
        <f t="shared" si="19"/>
        <v>#REF!</v>
      </c>
      <c r="AX28" s="112" t="e">
        <f t="shared" si="19"/>
        <v>#REF!</v>
      </c>
      <c r="AY28" s="112" t="e">
        <f t="shared" si="19"/>
        <v>#REF!</v>
      </c>
      <c r="AZ28" s="112" t="e">
        <f t="shared" si="19"/>
        <v>#REF!</v>
      </c>
      <c r="BA28" s="112" t="e">
        <f t="shared" si="19"/>
        <v>#REF!</v>
      </c>
      <c r="BB28" s="112" t="e">
        <f t="shared" si="19"/>
        <v>#REF!</v>
      </c>
      <c r="BC28" s="112" t="e">
        <f t="shared" si="19"/>
        <v>#REF!</v>
      </c>
      <c r="BD28" s="112" t="e">
        <f t="shared" si="19"/>
        <v>#REF!</v>
      </c>
      <c r="BE28" s="112" t="e">
        <f t="shared" si="19"/>
        <v>#REF!</v>
      </c>
      <c r="BF28" s="112" t="e">
        <f t="shared" si="19"/>
        <v>#REF!</v>
      </c>
      <c r="BG28" s="112" t="e">
        <f t="shared" si="19"/>
        <v>#REF!</v>
      </c>
      <c r="BH28" s="112" t="e">
        <f t="shared" si="19"/>
        <v>#REF!</v>
      </c>
      <c r="BI28" s="112" t="e">
        <f t="shared" si="19"/>
        <v>#REF!</v>
      </c>
      <c r="BJ28" s="112" t="e">
        <f t="shared" si="19"/>
        <v>#REF!</v>
      </c>
    </row>
    <row r="29" spans="1:62" ht="12" customHeight="1">
      <c r="A29" s="521"/>
      <c r="B29" s="111" t="e">
        <f>'C1 - Cargos e Salários'!#REF!</f>
        <v>#REF!</v>
      </c>
      <c r="C29" s="112" t="e">
        <f>'C1 - Cargos e Salários'!#REF!</f>
        <v>#REF!</v>
      </c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2" t="e">
        <f t="shared" ref="AG29:BJ29" si="20">SUM($C29:C29)</f>
        <v>#REF!</v>
      </c>
      <c r="AH29" s="112" t="e">
        <f t="shared" si="20"/>
        <v>#REF!</v>
      </c>
      <c r="AI29" s="112" t="e">
        <f t="shared" si="20"/>
        <v>#REF!</v>
      </c>
      <c r="AJ29" s="112" t="e">
        <f t="shared" si="20"/>
        <v>#REF!</v>
      </c>
      <c r="AK29" s="112" t="e">
        <f t="shared" si="20"/>
        <v>#REF!</v>
      </c>
      <c r="AL29" s="112" t="e">
        <f t="shared" si="20"/>
        <v>#REF!</v>
      </c>
      <c r="AM29" s="112" t="e">
        <f t="shared" si="20"/>
        <v>#REF!</v>
      </c>
      <c r="AN29" s="112" t="e">
        <f t="shared" si="20"/>
        <v>#REF!</v>
      </c>
      <c r="AO29" s="112" t="e">
        <f t="shared" si="20"/>
        <v>#REF!</v>
      </c>
      <c r="AP29" s="112" t="e">
        <f t="shared" si="20"/>
        <v>#REF!</v>
      </c>
      <c r="AQ29" s="112" t="e">
        <f t="shared" si="20"/>
        <v>#REF!</v>
      </c>
      <c r="AR29" s="112" t="e">
        <f t="shared" si="20"/>
        <v>#REF!</v>
      </c>
      <c r="AS29" s="112" t="e">
        <f t="shared" si="20"/>
        <v>#REF!</v>
      </c>
      <c r="AT29" s="112" t="e">
        <f t="shared" si="20"/>
        <v>#REF!</v>
      </c>
      <c r="AU29" s="112" t="e">
        <f t="shared" si="20"/>
        <v>#REF!</v>
      </c>
      <c r="AV29" s="112" t="e">
        <f t="shared" si="20"/>
        <v>#REF!</v>
      </c>
      <c r="AW29" s="112" t="e">
        <f t="shared" si="20"/>
        <v>#REF!</v>
      </c>
      <c r="AX29" s="112" t="e">
        <f t="shared" si="20"/>
        <v>#REF!</v>
      </c>
      <c r="AY29" s="112" t="e">
        <f t="shared" si="20"/>
        <v>#REF!</v>
      </c>
      <c r="AZ29" s="112" t="e">
        <f t="shared" si="20"/>
        <v>#REF!</v>
      </c>
      <c r="BA29" s="112" t="e">
        <f t="shared" si="20"/>
        <v>#REF!</v>
      </c>
      <c r="BB29" s="112" t="e">
        <f t="shared" si="20"/>
        <v>#REF!</v>
      </c>
      <c r="BC29" s="112" t="e">
        <f t="shared" si="20"/>
        <v>#REF!</v>
      </c>
      <c r="BD29" s="112" t="e">
        <f t="shared" si="20"/>
        <v>#REF!</v>
      </c>
      <c r="BE29" s="112" t="e">
        <f t="shared" si="20"/>
        <v>#REF!</v>
      </c>
      <c r="BF29" s="112" t="e">
        <f t="shared" si="20"/>
        <v>#REF!</v>
      </c>
      <c r="BG29" s="112" t="e">
        <f t="shared" si="20"/>
        <v>#REF!</v>
      </c>
      <c r="BH29" s="112" t="e">
        <f t="shared" si="20"/>
        <v>#REF!</v>
      </c>
      <c r="BI29" s="112" t="e">
        <f t="shared" si="20"/>
        <v>#REF!</v>
      </c>
      <c r="BJ29" s="112" t="e">
        <f t="shared" si="20"/>
        <v>#REF!</v>
      </c>
    </row>
    <row r="30" spans="1:62" ht="12" customHeight="1">
      <c r="A30" s="521"/>
      <c r="B30" s="111" t="str">
        <f>'C1 - Cargos e Salários'!B22</f>
        <v>Cozinheiro</v>
      </c>
      <c r="C30" s="112">
        <f>'C1 - Cargos e Salários'!E22</f>
        <v>1</v>
      </c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2">
        <f t="shared" ref="AG30:BJ30" si="21">SUM($C30:C30)</f>
        <v>1</v>
      </c>
      <c r="AH30" s="112">
        <f t="shared" si="21"/>
        <v>1</v>
      </c>
      <c r="AI30" s="112">
        <f t="shared" si="21"/>
        <v>1</v>
      </c>
      <c r="AJ30" s="112">
        <f t="shared" si="21"/>
        <v>1</v>
      </c>
      <c r="AK30" s="112">
        <f t="shared" si="21"/>
        <v>1</v>
      </c>
      <c r="AL30" s="112">
        <f t="shared" si="21"/>
        <v>1</v>
      </c>
      <c r="AM30" s="112">
        <f t="shared" si="21"/>
        <v>1</v>
      </c>
      <c r="AN30" s="112">
        <f t="shared" si="21"/>
        <v>1</v>
      </c>
      <c r="AO30" s="112">
        <f t="shared" si="21"/>
        <v>1</v>
      </c>
      <c r="AP30" s="112">
        <f t="shared" si="21"/>
        <v>1</v>
      </c>
      <c r="AQ30" s="112">
        <f t="shared" si="21"/>
        <v>1</v>
      </c>
      <c r="AR30" s="112">
        <f t="shared" si="21"/>
        <v>1</v>
      </c>
      <c r="AS30" s="112">
        <f t="shared" si="21"/>
        <v>1</v>
      </c>
      <c r="AT30" s="112">
        <f t="shared" si="21"/>
        <v>1</v>
      </c>
      <c r="AU30" s="112">
        <f t="shared" si="21"/>
        <v>1</v>
      </c>
      <c r="AV30" s="112">
        <f t="shared" si="21"/>
        <v>1</v>
      </c>
      <c r="AW30" s="112">
        <f t="shared" si="21"/>
        <v>1</v>
      </c>
      <c r="AX30" s="112">
        <f t="shared" si="21"/>
        <v>1</v>
      </c>
      <c r="AY30" s="112">
        <f t="shared" si="21"/>
        <v>1</v>
      </c>
      <c r="AZ30" s="112">
        <f t="shared" si="21"/>
        <v>1</v>
      </c>
      <c r="BA30" s="112">
        <f t="shared" si="21"/>
        <v>1</v>
      </c>
      <c r="BB30" s="112">
        <f t="shared" si="21"/>
        <v>1</v>
      </c>
      <c r="BC30" s="112">
        <f t="shared" si="21"/>
        <v>1</v>
      </c>
      <c r="BD30" s="112">
        <f t="shared" si="21"/>
        <v>1</v>
      </c>
      <c r="BE30" s="112">
        <f t="shared" si="21"/>
        <v>1</v>
      </c>
      <c r="BF30" s="112">
        <f t="shared" si="21"/>
        <v>1</v>
      </c>
      <c r="BG30" s="112">
        <f t="shared" si="21"/>
        <v>1</v>
      </c>
      <c r="BH30" s="112">
        <f t="shared" si="21"/>
        <v>1</v>
      </c>
      <c r="BI30" s="112">
        <f t="shared" si="21"/>
        <v>1</v>
      </c>
      <c r="BJ30" s="112">
        <f t="shared" si="21"/>
        <v>1</v>
      </c>
    </row>
    <row r="31" spans="1:62" ht="12" customHeight="1">
      <c r="A31" s="521"/>
      <c r="B31" s="111" t="str">
        <f>'C1 - Cargos e Salários'!B23</f>
        <v>Auxiliar de cozinha</v>
      </c>
      <c r="C31" s="112">
        <f>'C1 - Cargos e Salários'!E23</f>
        <v>2</v>
      </c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2">
        <f t="shared" ref="AG31:BJ31" si="22">SUM($C31:C31)</f>
        <v>2</v>
      </c>
      <c r="AH31" s="112">
        <f t="shared" si="22"/>
        <v>2</v>
      </c>
      <c r="AI31" s="112">
        <f t="shared" si="22"/>
        <v>2</v>
      </c>
      <c r="AJ31" s="112">
        <f t="shared" si="22"/>
        <v>2</v>
      </c>
      <c r="AK31" s="112">
        <f t="shared" si="22"/>
        <v>2</v>
      </c>
      <c r="AL31" s="112">
        <f t="shared" si="22"/>
        <v>2</v>
      </c>
      <c r="AM31" s="112">
        <f t="shared" si="22"/>
        <v>2</v>
      </c>
      <c r="AN31" s="112">
        <f t="shared" si="22"/>
        <v>2</v>
      </c>
      <c r="AO31" s="112">
        <f t="shared" si="22"/>
        <v>2</v>
      </c>
      <c r="AP31" s="112">
        <f t="shared" si="22"/>
        <v>2</v>
      </c>
      <c r="AQ31" s="112">
        <f t="shared" si="22"/>
        <v>2</v>
      </c>
      <c r="AR31" s="112">
        <f t="shared" si="22"/>
        <v>2</v>
      </c>
      <c r="AS31" s="112">
        <f t="shared" si="22"/>
        <v>2</v>
      </c>
      <c r="AT31" s="112">
        <f t="shared" si="22"/>
        <v>2</v>
      </c>
      <c r="AU31" s="112">
        <f t="shared" si="22"/>
        <v>2</v>
      </c>
      <c r="AV31" s="112">
        <f t="shared" si="22"/>
        <v>2</v>
      </c>
      <c r="AW31" s="112">
        <f t="shared" si="22"/>
        <v>2</v>
      </c>
      <c r="AX31" s="112">
        <f t="shared" si="22"/>
        <v>2</v>
      </c>
      <c r="AY31" s="112">
        <f t="shared" si="22"/>
        <v>2</v>
      </c>
      <c r="AZ31" s="112">
        <f t="shared" si="22"/>
        <v>2</v>
      </c>
      <c r="BA31" s="112">
        <f t="shared" si="22"/>
        <v>2</v>
      </c>
      <c r="BB31" s="112">
        <f t="shared" si="22"/>
        <v>2</v>
      </c>
      <c r="BC31" s="112">
        <f t="shared" si="22"/>
        <v>2</v>
      </c>
      <c r="BD31" s="112">
        <f t="shared" si="22"/>
        <v>2</v>
      </c>
      <c r="BE31" s="112">
        <f t="shared" si="22"/>
        <v>2</v>
      </c>
      <c r="BF31" s="112">
        <f t="shared" si="22"/>
        <v>2</v>
      </c>
      <c r="BG31" s="112">
        <f t="shared" si="22"/>
        <v>2</v>
      </c>
      <c r="BH31" s="112">
        <f t="shared" si="22"/>
        <v>2</v>
      </c>
      <c r="BI31" s="112">
        <f t="shared" si="22"/>
        <v>2</v>
      </c>
      <c r="BJ31" s="112">
        <f t="shared" si="22"/>
        <v>2</v>
      </c>
    </row>
    <row r="32" spans="1:62" ht="12" customHeight="1">
      <c r="A32" s="521"/>
      <c r="B32" s="111" t="str">
        <f>'C1 - Cargos e Salários'!B24</f>
        <v>Caixa</v>
      </c>
      <c r="C32" s="112">
        <f>'C1 - Cargos e Salários'!E24</f>
        <v>2</v>
      </c>
      <c r="D32" s="113"/>
      <c r="E32" s="113"/>
      <c r="F32" s="113"/>
      <c r="G32" s="113"/>
      <c r="H32" s="113"/>
      <c r="I32" s="113"/>
      <c r="J32" s="113"/>
      <c r="K32" s="113"/>
      <c r="L32" s="113"/>
      <c r="M32" s="295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2">
        <f t="shared" ref="AG32:BJ32" si="23">SUM($C32:C32)</f>
        <v>2</v>
      </c>
      <c r="AH32" s="112">
        <f t="shared" si="23"/>
        <v>2</v>
      </c>
      <c r="AI32" s="112">
        <f t="shared" si="23"/>
        <v>2</v>
      </c>
      <c r="AJ32" s="112">
        <f t="shared" si="23"/>
        <v>2</v>
      </c>
      <c r="AK32" s="112">
        <f t="shared" si="23"/>
        <v>2</v>
      </c>
      <c r="AL32" s="112">
        <f t="shared" si="23"/>
        <v>2</v>
      </c>
      <c r="AM32" s="112">
        <f t="shared" si="23"/>
        <v>2</v>
      </c>
      <c r="AN32" s="112">
        <f t="shared" si="23"/>
        <v>2</v>
      </c>
      <c r="AO32" s="112">
        <f t="shared" si="23"/>
        <v>2</v>
      </c>
      <c r="AP32" s="112">
        <f t="shared" si="23"/>
        <v>2</v>
      </c>
      <c r="AQ32" s="112">
        <f t="shared" si="23"/>
        <v>2</v>
      </c>
      <c r="AR32" s="112">
        <f t="shared" si="23"/>
        <v>2</v>
      </c>
      <c r="AS32" s="112">
        <f t="shared" si="23"/>
        <v>2</v>
      </c>
      <c r="AT32" s="112">
        <f t="shared" si="23"/>
        <v>2</v>
      </c>
      <c r="AU32" s="112">
        <f t="shared" si="23"/>
        <v>2</v>
      </c>
      <c r="AV32" s="112">
        <f t="shared" si="23"/>
        <v>2</v>
      </c>
      <c r="AW32" s="112">
        <f t="shared" si="23"/>
        <v>2</v>
      </c>
      <c r="AX32" s="112">
        <f t="shared" si="23"/>
        <v>2</v>
      </c>
      <c r="AY32" s="112">
        <f t="shared" si="23"/>
        <v>2</v>
      </c>
      <c r="AZ32" s="112">
        <f t="shared" si="23"/>
        <v>2</v>
      </c>
      <c r="BA32" s="112">
        <f t="shared" si="23"/>
        <v>2</v>
      </c>
      <c r="BB32" s="112">
        <f t="shared" si="23"/>
        <v>2</v>
      </c>
      <c r="BC32" s="112">
        <f t="shared" si="23"/>
        <v>2</v>
      </c>
      <c r="BD32" s="112">
        <f t="shared" si="23"/>
        <v>2</v>
      </c>
      <c r="BE32" s="112">
        <f t="shared" si="23"/>
        <v>2</v>
      </c>
      <c r="BF32" s="112">
        <f t="shared" si="23"/>
        <v>2</v>
      </c>
      <c r="BG32" s="112">
        <f t="shared" si="23"/>
        <v>2</v>
      </c>
      <c r="BH32" s="112">
        <f t="shared" si="23"/>
        <v>2</v>
      </c>
      <c r="BI32" s="112">
        <f t="shared" si="23"/>
        <v>2</v>
      </c>
      <c r="BJ32" s="112">
        <f t="shared" si="23"/>
        <v>2</v>
      </c>
    </row>
    <row r="33" spans="1:62" ht="12" customHeight="1">
      <c r="A33" s="521"/>
      <c r="B33" s="111" t="str">
        <f>'C1 - Cargos e Salários'!B25</f>
        <v>Atendente</v>
      </c>
      <c r="C33" s="112">
        <f>'C1 - Cargos e Salários'!E25</f>
        <v>2</v>
      </c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2">
        <f t="shared" ref="AG33:BJ33" si="24">SUM($C33:C33)</f>
        <v>2</v>
      </c>
      <c r="AH33" s="112">
        <f t="shared" si="24"/>
        <v>2</v>
      </c>
      <c r="AI33" s="112">
        <f t="shared" si="24"/>
        <v>2</v>
      </c>
      <c r="AJ33" s="112">
        <f t="shared" si="24"/>
        <v>2</v>
      </c>
      <c r="AK33" s="112">
        <f t="shared" si="24"/>
        <v>2</v>
      </c>
      <c r="AL33" s="112">
        <f t="shared" si="24"/>
        <v>2</v>
      </c>
      <c r="AM33" s="112">
        <f t="shared" si="24"/>
        <v>2</v>
      </c>
      <c r="AN33" s="112">
        <f t="shared" si="24"/>
        <v>2</v>
      </c>
      <c r="AO33" s="112">
        <f t="shared" si="24"/>
        <v>2</v>
      </c>
      <c r="AP33" s="112">
        <f t="shared" si="24"/>
        <v>2</v>
      </c>
      <c r="AQ33" s="112">
        <f t="shared" si="24"/>
        <v>2</v>
      </c>
      <c r="AR33" s="112">
        <f t="shared" si="24"/>
        <v>2</v>
      </c>
      <c r="AS33" s="112">
        <f t="shared" si="24"/>
        <v>2</v>
      </c>
      <c r="AT33" s="112">
        <f t="shared" si="24"/>
        <v>2</v>
      </c>
      <c r="AU33" s="112">
        <f t="shared" si="24"/>
        <v>2</v>
      </c>
      <c r="AV33" s="112">
        <f t="shared" si="24"/>
        <v>2</v>
      </c>
      <c r="AW33" s="112">
        <f t="shared" si="24"/>
        <v>2</v>
      </c>
      <c r="AX33" s="112">
        <f t="shared" si="24"/>
        <v>2</v>
      </c>
      <c r="AY33" s="112">
        <f t="shared" si="24"/>
        <v>2</v>
      </c>
      <c r="AZ33" s="112">
        <f t="shared" si="24"/>
        <v>2</v>
      </c>
      <c r="BA33" s="112">
        <f t="shared" si="24"/>
        <v>2</v>
      </c>
      <c r="BB33" s="112">
        <f t="shared" si="24"/>
        <v>2</v>
      </c>
      <c r="BC33" s="112">
        <f t="shared" si="24"/>
        <v>2</v>
      </c>
      <c r="BD33" s="112">
        <f t="shared" si="24"/>
        <v>2</v>
      </c>
      <c r="BE33" s="112">
        <f t="shared" si="24"/>
        <v>2</v>
      </c>
      <c r="BF33" s="112">
        <f t="shared" si="24"/>
        <v>2</v>
      </c>
      <c r="BG33" s="112">
        <f t="shared" si="24"/>
        <v>2</v>
      </c>
      <c r="BH33" s="112">
        <f t="shared" si="24"/>
        <v>2</v>
      </c>
      <c r="BI33" s="112">
        <f t="shared" si="24"/>
        <v>2</v>
      </c>
      <c r="BJ33" s="112">
        <f t="shared" si="24"/>
        <v>2</v>
      </c>
    </row>
    <row r="34" spans="1:62" ht="12" customHeight="1">
      <c r="A34" s="521"/>
      <c r="B34" s="111" t="str">
        <f>'C1 - Cargos e Salários'!B26</f>
        <v>Caixa</v>
      </c>
      <c r="C34" s="112">
        <f>'C1 - Cargos e Salários'!E26</f>
        <v>1</v>
      </c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2">
        <f t="shared" ref="AG34:BJ34" si="25">SUM($C34:C34)</f>
        <v>1</v>
      </c>
      <c r="AH34" s="112">
        <f t="shared" si="25"/>
        <v>1</v>
      </c>
      <c r="AI34" s="112">
        <f t="shared" si="25"/>
        <v>1</v>
      </c>
      <c r="AJ34" s="112">
        <f t="shared" si="25"/>
        <v>1</v>
      </c>
      <c r="AK34" s="112">
        <f t="shared" si="25"/>
        <v>1</v>
      </c>
      <c r="AL34" s="112">
        <f t="shared" si="25"/>
        <v>1</v>
      </c>
      <c r="AM34" s="112">
        <f t="shared" si="25"/>
        <v>1</v>
      </c>
      <c r="AN34" s="112">
        <f t="shared" si="25"/>
        <v>1</v>
      </c>
      <c r="AO34" s="112">
        <f t="shared" si="25"/>
        <v>1</v>
      </c>
      <c r="AP34" s="112">
        <f t="shared" si="25"/>
        <v>1</v>
      </c>
      <c r="AQ34" s="112">
        <f t="shared" si="25"/>
        <v>1</v>
      </c>
      <c r="AR34" s="112">
        <f t="shared" si="25"/>
        <v>1</v>
      </c>
      <c r="AS34" s="112">
        <f t="shared" si="25"/>
        <v>1</v>
      </c>
      <c r="AT34" s="112">
        <f t="shared" si="25"/>
        <v>1</v>
      </c>
      <c r="AU34" s="112">
        <f t="shared" si="25"/>
        <v>1</v>
      </c>
      <c r="AV34" s="112">
        <f t="shared" si="25"/>
        <v>1</v>
      </c>
      <c r="AW34" s="112">
        <f t="shared" si="25"/>
        <v>1</v>
      </c>
      <c r="AX34" s="112">
        <f t="shared" si="25"/>
        <v>1</v>
      </c>
      <c r="AY34" s="112">
        <f t="shared" si="25"/>
        <v>1</v>
      </c>
      <c r="AZ34" s="112">
        <f t="shared" si="25"/>
        <v>1</v>
      </c>
      <c r="BA34" s="112">
        <f t="shared" si="25"/>
        <v>1</v>
      </c>
      <c r="BB34" s="112">
        <f t="shared" si="25"/>
        <v>1</v>
      </c>
      <c r="BC34" s="112">
        <f t="shared" si="25"/>
        <v>1</v>
      </c>
      <c r="BD34" s="112">
        <f t="shared" si="25"/>
        <v>1</v>
      </c>
      <c r="BE34" s="112">
        <f t="shared" si="25"/>
        <v>1</v>
      </c>
      <c r="BF34" s="112">
        <f t="shared" si="25"/>
        <v>1</v>
      </c>
      <c r="BG34" s="112">
        <f t="shared" si="25"/>
        <v>1</v>
      </c>
      <c r="BH34" s="112">
        <f t="shared" si="25"/>
        <v>1</v>
      </c>
      <c r="BI34" s="112">
        <f t="shared" si="25"/>
        <v>1</v>
      </c>
      <c r="BJ34" s="112">
        <f t="shared" si="25"/>
        <v>1</v>
      </c>
    </row>
    <row r="35" spans="1:62" ht="12" customHeight="1">
      <c r="A35" s="521"/>
      <c r="B35" s="111" t="str">
        <f>'C1 - Cargos e Salários'!B27</f>
        <v>Atendente</v>
      </c>
      <c r="C35" s="112">
        <f>'C1 - Cargos e Salários'!E27</f>
        <v>2</v>
      </c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2">
        <f t="shared" ref="AG35:BJ35" si="26">SUM($C35:C35)</f>
        <v>2</v>
      </c>
      <c r="AH35" s="112">
        <f t="shared" si="26"/>
        <v>2</v>
      </c>
      <c r="AI35" s="112">
        <f t="shared" si="26"/>
        <v>2</v>
      </c>
      <c r="AJ35" s="112">
        <f t="shared" si="26"/>
        <v>2</v>
      </c>
      <c r="AK35" s="112">
        <f t="shared" si="26"/>
        <v>2</v>
      </c>
      <c r="AL35" s="112">
        <f t="shared" si="26"/>
        <v>2</v>
      </c>
      <c r="AM35" s="112">
        <f t="shared" si="26"/>
        <v>2</v>
      </c>
      <c r="AN35" s="112">
        <f t="shared" si="26"/>
        <v>2</v>
      </c>
      <c r="AO35" s="112">
        <f t="shared" si="26"/>
        <v>2</v>
      </c>
      <c r="AP35" s="112">
        <f t="shared" si="26"/>
        <v>2</v>
      </c>
      <c r="AQ35" s="112">
        <f t="shared" si="26"/>
        <v>2</v>
      </c>
      <c r="AR35" s="112">
        <f t="shared" si="26"/>
        <v>2</v>
      </c>
      <c r="AS35" s="112">
        <f t="shared" si="26"/>
        <v>2</v>
      </c>
      <c r="AT35" s="112">
        <f t="shared" si="26"/>
        <v>2</v>
      </c>
      <c r="AU35" s="112">
        <f t="shared" si="26"/>
        <v>2</v>
      </c>
      <c r="AV35" s="112">
        <f t="shared" si="26"/>
        <v>2</v>
      </c>
      <c r="AW35" s="112">
        <f t="shared" si="26"/>
        <v>2</v>
      </c>
      <c r="AX35" s="112">
        <f t="shared" si="26"/>
        <v>2</v>
      </c>
      <c r="AY35" s="112">
        <f t="shared" si="26"/>
        <v>2</v>
      </c>
      <c r="AZ35" s="112">
        <f t="shared" si="26"/>
        <v>2</v>
      </c>
      <c r="BA35" s="112">
        <f t="shared" si="26"/>
        <v>2</v>
      </c>
      <c r="BB35" s="112">
        <f t="shared" si="26"/>
        <v>2</v>
      </c>
      <c r="BC35" s="112">
        <f t="shared" si="26"/>
        <v>2</v>
      </c>
      <c r="BD35" s="112">
        <f t="shared" si="26"/>
        <v>2</v>
      </c>
      <c r="BE35" s="112">
        <f t="shared" si="26"/>
        <v>2</v>
      </c>
      <c r="BF35" s="112">
        <f t="shared" si="26"/>
        <v>2</v>
      </c>
      <c r="BG35" s="112">
        <f t="shared" si="26"/>
        <v>2</v>
      </c>
      <c r="BH35" s="112">
        <f t="shared" si="26"/>
        <v>2</v>
      </c>
      <c r="BI35" s="112">
        <f t="shared" si="26"/>
        <v>2</v>
      </c>
      <c r="BJ35" s="112">
        <f t="shared" si="26"/>
        <v>2</v>
      </c>
    </row>
    <row r="36" spans="1:62" ht="12" customHeight="1">
      <c r="A36" s="521"/>
      <c r="B36" s="111" t="str">
        <f>'C1 - Cargos e Salários'!B28</f>
        <v>Cozinheiro</v>
      </c>
      <c r="C36" s="112">
        <f>'C1 - Cargos e Salários'!E28</f>
        <v>2</v>
      </c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2">
        <f t="shared" ref="AG36:BJ36" si="27">SUM($C36:C36)</f>
        <v>2</v>
      </c>
      <c r="AH36" s="112">
        <f t="shared" si="27"/>
        <v>2</v>
      </c>
      <c r="AI36" s="112">
        <f t="shared" si="27"/>
        <v>2</v>
      </c>
      <c r="AJ36" s="112">
        <f t="shared" si="27"/>
        <v>2</v>
      </c>
      <c r="AK36" s="112">
        <f t="shared" si="27"/>
        <v>2</v>
      </c>
      <c r="AL36" s="112">
        <f t="shared" si="27"/>
        <v>2</v>
      </c>
      <c r="AM36" s="112">
        <f t="shared" si="27"/>
        <v>2</v>
      </c>
      <c r="AN36" s="112">
        <f t="shared" si="27"/>
        <v>2</v>
      </c>
      <c r="AO36" s="112">
        <f t="shared" si="27"/>
        <v>2</v>
      </c>
      <c r="AP36" s="112">
        <f t="shared" si="27"/>
        <v>2</v>
      </c>
      <c r="AQ36" s="112">
        <f t="shared" si="27"/>
        <v>2</v>
      </c>
      <c r="AR36" s="112">
        <f t="shared" si="27"/>
        <v>2</v>
      </c>
      <c r="AS36" s="112">
        <f t="shared" si="27"/>
        <v>2</v>
      </c>
      <c r="AT36" s="112">
        <f t="shared" si="27"/>
        <v>2</v>
      </c>
      <c r="AU36" s="112">
        <f t="shared" si="27"/>
        <v>2</v>
      </c>
      <c r="AV36" s="112">
        <f t="shared" si="27"/>
        <v>2</v>
      </c>
      <c r="AW36" s="112">
        <f t="shared" si="27"/>
        <v>2</v>
      </c>
      <c r="AX36" s="112">
        <f t="shared" si="27"/>
        <v>2</v>
      </c>
      <c r="AY36" s="112">
        <f t="shared" si="27"/>
        <v>2</v>
      </c>
      <c r="AZ36" s="112">
        <f t="shared" si="27"/>
        <v>2</v>
      </c>
      <c r="BA36" s="112">
        <f t="shared" si="27"/>
        <v>2</v>
      </c>
      <c r="BB36" s="112">
        <f t="shared" si="27"/>
        <v>2</v>
      </c>
      <c r="BC36" s="112">
        <f t="shared" si="27"/>
        <v>2</v>
      </c>
      <c r="BD36" s="112">
        <f t="shared" si="27"/>
        <v>2</v>
      </c>
      <c r="BE36" s="112">
        <f t="shared" si="27"/>
        <v>2</v>
      </c>
      <c r="BF36" s="112">
        <f t="shared" si="27"/>
        <v>2</v>
      </c>
      <c r="BG36" s="112">
        <f t="shared" si="27"/>
        <v>2</v>
      </c>
      <c r="BH36" s="112">
        <f t="shared" si="27"/>
        <v>2</v>
      </c>
      <c r="BI36" s="112">
        <f t="shared" si="27"/>
        <v>2</v>
      </c>
      <c r="BJ36" s="112">
        <f t="shared" si="27"/>
        <v>2</v>
      </c>
    </row>
    <row r="37" spans="1:62" ht="12" customHeight="1">
      <c r="A37" s="521"/>
      <c r="B37" s="111" t="str">
        <f>'C1 - Cargos e Salários'!B29</f>
        <v>Auxiliar de cozinha</v>
      </c>
      <c r="C37" s="112">
        <f>'C1 - Cargos e Salários'!E29</f>
        <v>3</v>
      </c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2">
        <f t="shared" ref="AG37:BJ37" si="28">SUM($C37:C37)</f>
        <v>3</v>
      </c>
      <c r="AH37" s="112">
        <f t="shared" si="28"/>
        <v>3</v>
      </c>
      <c r="AI37" s="112">
        <f t="shared" si="28"/>
        <v>3</v>
      </c>
      <c r="AJ37" s="112">
        <f t="shared" si="28"/>
        <v>3</v>
      </c>
      <c r="AK37" s="112">
        <f t="shared" si="28"/>
        <v>3</v>
      </c>
      <c r="AL37" s="112">
        <f t="shared" si="28"/>
        <v>3</v>
      </c>
      <c r="AM37" s="112">
        <f t="shared" si="28"/>
        <v>3</v>
      </c>
      <c r="AN37" s="112">
        <f t="shared" si="28"/>
        <v>3</v>
      </c>
      <c r="AO37" s="112">
        <f t="shared" si="28"/>
        <v>3</v>
      </c>
      <c r="AP37" s="112">
        <f t="shared" si="28"/>
        <v>3</v>
      </c>
      <c r="AQ37" s="112">
        <f t="shared" si="28"/>
        <v>3</v>
      </c>
      <c r="AR37" s="112">
        <f t="shared" si="28"/>
        <v>3</v>
      </c>
      <c r="AS37" s="112">
        <f t="shared" si="28"/>
        <v>3</v>
      </c>
      <c r="AT37" s="112">
        <f t="shared" si="28"/>
        <v>3</v>
      </c>
      <c r="AU37" s="112">
        <f t="shared" si="28"/>
        <v>3</v>
      </c>
      <c r="AV37" s="112">
        <f t="shared" si="28"/>
        <v>3</v>
      </c>
      <c r="AW37" s="112">
        <f t="shared" si="28"/>
        <v>3</v>
      </c>
      <c r="AX37" s="112">
        <f t="shared" si="28"/>
        <v>3</v>
      </c>
      <c r="AY37" s="112">
        <f t="shared" si="28"/>
        <v>3</v>
      </c>
      <c r="AZ37" s="112">
        <f t="shared" si="28"/>
        <v>3</v>
      </c>
      <c r="BA37" s="112">
        <f t="shared" si="28"/>
        <v>3</v>
      </c>
      <c r="BB37" s="112">
        <f t="shared" si="28"/>
        <v>3</v>
      </c>
      <c r="BC37" s="112">
        <f t="shared" si="28"/>
        <v>3</v>
      </c>
      <c r="BD37" s="112">
        <f t="shared" si="28"/>
        <v>3</v>
      </c>
      <c r="BE37" s="112">
        <f t="shared" si="28"/>
        <v>3</v>
      </c>
      <c r="BF37" s="112">
        <f t="shared" si="28"/>
        <v>3</v>
      </c>
      <c r="BG37" s="112">
        <f t="shared" si="28"/>
        <v>3</v>
      </c>
      <c r="BH37" s="112">
        <f t="shared" si="28"/>
        <v>3</v>
      </c>
      <c r="BI37" s="112">
        <f t="shared" si="28"/>
        <v>3</v>
      </c>
      <c r="BJ37" s="112">
        <f t="shared" si="28"/>
        <v>3</v>
      </c>
    </row>
    <row r="38" spans="1:62" ht="12" customHeight="1">
      <c r="A38" s="521"/>
      <c r="B38" s="111" t="str">
        <f>'C1 - Cargos e Salários'!B30</f>
        <v>Caixa</v>
      </c>
      <c r="C38" s="112">
        <f>'C1 - Cargos e Salários'!E30</f>
        <v>2</v>
      </c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2">
        <f t="shared" ref="AG38:BJ38" si="29">SUM($C38:C38)</f>
        <v>2</v>
      </c>
      <c r="AH38" s="112">
        <f t="shared" si="29"/>
        <v>2</v>
      </c>
      <c r="AI38" s="112">
        <f t="shared" si="29"/>
        <v>2</v>
      </c>
      <c r="AJ38" s="112">
        <f t="shared" si="29"/>
        <v>2</v>
      </c>
      <c r="AK38" s="112">
        <f t="shared" si="29"/>
        <v>2</v>
      </c>
      <c r="AL38" s="112">
        <f t="shared" si="29"/>
        <v>2</v>
      </c>
      <c r="AM38" s="112">
        <f t="shared" si="29"/>
        <v>2</v>
      </c>
      <c r="AN38" s="112">
        <f t="shared" si="29"/>
        <v>2</v>
      </c>
      <c r="AO38" s="112">
        <f t="shared" si="29"/>
        <v>2</v>
      </c>
      <c r="AP38" s="112">
        <f t="shared" si="29"/>
        <v>2</v>
      </c>
      <c r="AQ38" s="112">
        <f t="shared" si="29"/>
        <v>2</v>
      </c>
      <c r="AR38" s="112">
        <f t="shared" si="29"/>
        <v>2</v>
      </c>
      <c r="AS38" s="112">
        <f t="shared" si="29"/>
        <v>2</v>
      </c>
      <c r="AT38" s="112">
        <f t="shared" si="29"/>
        <v>2</v>
      </c>
      <c r="AU38" s="112">
        <f t="shared" si="29"/>
        <v>2</v>
      </c>
      <c r="AV38" s="112">
        <f t="shared" si="29"/>
        <v>2</v>
      </c>
      <c r="AW38" s="112">
        <f t="shared" si="29"/>
        <v>2</v>
      </c>
      <c r="AX38" s="112">
        <f t="shared" si="29"/>
        <v>2</v>
      </c>
      <c r="AY38" s="112">
        <f t="shared" si="29"/>
        <v>2</v>
      </c>
      <c r="AZ38" s="112">
        <f t="shared" si="29"/>
        <v>2</v>
      </c>
      <c r="BA38" s="112">
        <f t="shared" si="29"/>
        <v>2</v>
      </c>
      <c r="BB38" s="112">
        <f t="shared" si="29"/>
        <v>2</v>
      </c>
      <c r="BC38" s="112">
        <f t="shared" si="29"/>
        <v>2</v>
      </c>
      <c r="BD38" s="112">
        <f t="shared" si="29"/>
        <v>2</v>
      </c>
      <c r="BE38" s="112">
        <f t="shared" si="29"/>
        <v>2</v>
      </c>
      <c r="BF38" s="112">
        <f t="shared" si="29"/>
        <v>2</v>
      </c>
      <c r="BG38" s="112">
        <f t="shared" si="29"/>
        <v>2</v>
      </c>
      <c r="BH38" s="112">
        <f t="shared" si="29"/>
        <v>2</v>
      </c>
      <c r="BI38" s="112">
        <f t="shared" si="29"/>
        <v>2</v>
      </c>
      <c r="BJ38" s="112">
        <f t="shared" si="29"/>
        <v>2</v>
      </c>
    </row>
    <row r="39" spans="1:62" ht="12" customHeight="1">
      <c r="A39" s="521"/>
      <c r="B39" s="111" t="str">
        <f>'C1 - Cargos e Salários'!B31</f>
        <v>Atendente</v>
      </c>
      <c r="C39" s="112">
        <f>'C1 - Cargos e Salários'!E31</f>
        <v>4</v>
      </c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2">
        <f t="shared" ref="AG39:BJ39" si="30">SUM($C39:C39)</f>
        <v>4</v>
      </c>
      <c r="AH39" s="112">
        <f t="shared" si="30"/>
        <v>4</v>
      </c>
      <c r="AI39" s="112">
        <f t="shared" si="30"/>
        <v>4</v>
      </c>
      <c r="AJ39" s="112">
        <f t="shared" si="30"/>
        <v>4</v>
      </c>
      <c r="AK39" s="112">
        <f t="shared" si="30"/>
        <v>4</v>
      </c>
      <c r="AL39" s="112">
        <f t="shared" si="30"/>
        <v>4</v>
      </c>
      <c r="AM39" s="112">
        <f t="shared" si="30"/>
        <v>4</v>
      </c>
      <c r="AN39" s="112">
        <f t="shared" si="30"/>
        <v>4</v>
      </c>
      <c r="AO39" s="112">
        <f t="shared" si="30"/>
        <v>4</v>
      </c>
      <c r="AP39" s="112">
        <f t="shared" si="30"/>
        <v>4</v>
      </c>
      <c r="AQ39" s="112">
        <f t="shared" si="30"/>
        <v>4</v>
      </c>
      <c r="AR39" s="112">
        <f t="shared" si="30"/>
        <v>4</v>
      </c>
      <c r="AS39" s="112">
        <f t="shared" si="30"/>
        <v>4</v>
      </c>
      <c r="AT39" s="112">
        <f t="shared" si="30"/>
        <v>4</v>
      </c>
      <c r="AU39" s="112">
        <f t="shared" si="30"/>
        <v>4</v>
      </c>
      <c r="AV39" s="112">
        <f t="shared" si="30"/>
        <v>4</v>
      </c>
      <c r="AW39" s="112">
        <f t="shared" si="30"/>
        <v>4</v>
      </c>
      <c r="AX39" s="112">
        <f t="shared" si="30"/>
        <v>4</v>
      </c>
      <c r="AY39" s="112">
        <f t="shared" si="30"/>
        <v>4</v>
      </c>
      <c r="AZ39" s="112">
        <f t="shared" si="30"/>
        <v>4</v>
      </c>
      <c r="BA39" s="112">
        <f t="shared" si="30"/>
        <v>4</v>
      </c>
      <c r="BB39" s="112">
        <f t="shared" si="30"/>
        <v>4</v>
      </c>
      <c r="BC39" s="112">
        <f t="shared" si="30"/>
        <v>4</v>
      </c>
      <c r="BD39" s="112">
        <f t="shared" si="30"/>
        <v>4</v>
      </c>
      <c r="BE39" s="112">
        <f t="shared" si="30"/>
        <v>4</v>
      </c>
      <c r="BF39" s="112">
        <f t="shared" si="30"/>
        <v>4</v>
      </c>
      <c r="BG39" s="112">
        <f t="shared" si="30"/>
        <v>4</v>
      </c>
      <c r="BH39" s="112">
        <f t="shared" si="30"/>
        <v>4</v>
      </c>
      <c r="BI39" s="112">
        <f t="shared" si="30"/>
        <v>4</v>
      </c>
      <c r="BJ39" s="112">
        <f t="shared" si="30"/>
        <v>4</v>
      </c>
    </row>
    <row r="40" spans="1:62" ht="12" customHeight="1">
      <c r="A40" s="521"/>
      <c r="B40" s="111" t="str">
        <f>'C1 - Cargos e Salários'!B32</f>
        <v>Atendente</v>
      </c>
      <c r="C40" s="112">
        <f>'C1 - Cargos e Salários'!E32</f>
        <v>2</v>
      </c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2">
        <f t="shared" ref="AG40:BJ40" si="31">SUM($C40:C40)</f>
        <v>2</v>
      </c>
      <c r="AH40" s="112">
        <f t="shared" si="31"/>
        <v>2</v>
      </c>
      <c r="AI40" s="112">
        <f t="shared" si="31"/>
        <v>2</v>
      </c>
      <c r="AJ40" s="112">
        <f t="shared" si="31"/>
        <v>2</v>
      </c>
      <c r="AK40" s="112">
        <f t="shared" si="31"/>
        <v>2</v>
      </c>
      <c r="AL40" s="112">
        <f t="shared" si="31"/>
        <v>2</v>
      </c>
      <c r="AM40" s="112">
        <f t="shared" si="31"/>
        <v>2</v>
      </c>
      <c r="AN40" s="112">
        <f t="shared" si="31"/>
        <v>2</v>
      </c>
      <c r="AO40" s="112">
        <f t="shared" si="31"/>
        <v>2</v>
      </c>
      <c r="AP40" s="112">
        <f t="shared" si="31"/>
        <v>2</v>
      </c>
      <c r="AQ40" s="112">
        <f t="shared" si="31"/>
        <v>2</v>
      </c>
      <c r="AR40" s="112">
        <f t="shared" si="31"/>
        <v>2</v>
      </c>
      <c r="AS40" s="112">
        <f t="shared" si="31"/>
        <v>2</v>
      </c>
      <c r="AT40" s="112">
        <f t="shared" si="31"/>
        <v>2</v>
      </c>
      <c r="AU40" s="112">
        <f t="shared" si="31"/>
        <v>2</v>
      </c>
      <c r="AV40" s="112">
        <f t="shared" si="31"/>
        <v>2</v>
      </c>
      <c r="AW40" s="112">
        <f t="shared" si="31"/>
        <v>2</v>
      </c>
      <c r="AX40" s="112">
        <f t="shared" si="31"/>
        <v>2</v>
      </c>
      <c r="AY40" s="112">
        <f t="shared" si="31"/>
        <v>2</v>
      </c>
      <c r="AZ40" s="112">
        <f t="shared" si="31"/>
        <v>2</v>
      </c>
      <c r="BA40" s="112">
        <f t="shared" si="31"/>
        <v>2</v>
      </c>
      <c r="BB40" s="112">
        <f t="shared" si="31"/>
        <v>2</v>
      </c>
      <c r="BC40" s="112">
        <f t="shared" si="31"/>
        <v>2</v>
      </c>
      <c r="BD40" s="112">
        <f t="shared" si="31"/>
        <v>2</v>
      </c>
      <c r="BE40" s="112">
        <f t="shared" si="31"/>
        <v>2</v>
      </c>
      <c r="BF40" s="112">
        <f t="shared" si="31"/>
        <v>2</v>
      </c>
      <c r="BG40" s="112">
        <f t="shared" si="31"/>
        <v>2</v>
      </c>
      <c r="BH40" s="112">
        <f t="shared" si="31"/>
        <v>2</v>
      </c>
      <c r="BI40" s="112">
        <f t="shared" si="31"/>
        <v>2</v>
      </c>
      <c r="BJ40" s="112">
        <f t="shared" si="31"/>
        <v>2</v>
      </c>
    </row>
    <row r="41" spans="1:62" ht="12" customHeight="1">
      <c r="A41" s="521"/>
      <c r="B41" s="111" t="str">
        <f>'C1 - Cargos e Salários'!B33</f>
        <v>Caixa</v>
      </c>
      <c r="C41" s="112">
        <f>'C1 - Cargos e Salários'!E33</f>
        <v>2</v>
      </c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2">
        <f t="shared" ref="AG41:BJ41" si="32">SUM($C41:C41)</f>
        <v>2</v>
      </c>
      <c r="AH41" s="112">
        <f t="shared" si="32"/>
        <v>2</v>
      </c>
      <c r="AI41" s="112">
        <f t="shared" si="32"/>
        <v>2</v>
      </c>
      <c r="AJ41" s="112">
        <f t="shared" si="32"/>
        <v>2</v>
      </c>
      <c r="AK41" s="112">
        <f t="shared" si="32"/>
        <v>2</v>
      </c>
      <c r="AL41" s="112">
        <f t="shared" si="32"/>
        <v>2</v>
      </c>
      <c r="AM41" s="112">
        <f t="shared" si="32"/>
        <v>2</v>
      </c>
      <c r="AN41" s="112">
        <f t="shared" si="32"/>
        <v>2</v>
      </c>
      <c r="AO41" s="112">
        <f t="shared" si="32"/>
        <v>2</v>
      </c>
      <c r="AP41" s="112">
        <f t="shared" si="32"/>
        <v>2</v>
      </c>
      <c r="AQ41" s="112">
        <f t="shared" si="32"/>
        <v>2</v>
      </c>
      <c r="AR41" s="112">
        <f t="shared" si="32"/>
        <v>2</v>
      </c>
      <c r="AS41" s="112">
        <f t="shared" si="32"/>
        <v>2</v>
      </c>
      <c r="AT41" s="112">
        <f t="shared" si="32"/>
        <v>2</v>
      </c>
      <c r="AU41" s="112">
        <f t="shared" si="32"/>
        <v>2</v>
      </c>
      <c r="AV41" s="112">
        <f t="shared" si="32"/>
        <v>2</v>
      </c>
      <c r="AW41" s="112">
        <f t="shared" si="32"/>
        <v>2</v>
      </c>
      <c r="AX41" s="112">
        <f t="shared" si="32"/>
        <v>2</v>
      </c>
      <c r="AY41" s="112">
        <f t="shared" si="32"/>
        <v>2</v>
      </c>
      <c r="AZ41" s="112">
        <f t="shared" si="32"/>
        <v>2</v>
      </c>
      <c r="BA41" s="112">
        <f t="shared" si="32"/>
        <v>2</v>
      </c>
      <c r="BB41" s="112">
        <f t="shared" si="32"/>
        <v>2</v>
      </c>
      <c r="BC41" s="112">
        <f t="shared" si="32"/>
        <v>2</v>
      </c>
      <c r="BD41" s="112">
        <f t="shared" si="32"/>
        <v>2</v>
      </c>
      <c r="BE41" s="112">
        <f t="shared" si="32"/>
        <v>2</v>
      </c>
      <c r="BF41" s="112">
        <f t="shared" si="32"/>
        <v>2</v>
      </c>
      <c r="BG41" s="112">
        <f t="shared" si="32"/>
        <v>2</v>
      </c>
      <c r="BH41" s="112">
        <f t="shared" si="32"/>
        <v>2</v>
      </c>
      <c r="BI41" s="112">
        <f t="shared" si="32"/>
        <v>2</v>
      </c>
      <c r="BJ41" s="112">
        <f t="shared" si="32"/>
        <v>2</v>
      </c>
    </row>
    <row r="42" spans="1:62" ht="12" customHeight="1">
      <c r="A42" s="521"/>
      <c r="B42" s="111" t="str">
        <f>'C1 - Cargos e Salários'!B34</f>
        <v>Caixa</v>
      </c>
      <c r="C42" s="112">
        <f>'C1 - Cargos e Salários'!E34</f>
        <v>5</v>
      </c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2">
        <f t="shared" ref="AG42:BJ42" si="33">SUM($C42:C42)</f>
        <v>5</v>
      </c>
      <c r="AH42" s="112">
        <f t="shared" si="33"/>
        <v>5</v>
      </c>
      <c r="AI42" s="112">
        <f t="shared" si="33"/>
        <v>5</v>
      </c>
      <c r="AJ42" s="112">
        <f t="shared" si="33"/>
        <v>5</v>
      </c>
      <c r="AK42" s="112">
        <f t="shared" si="33"/>
        <v>5</v>
      </c>
      <c r="AL42" s="112">
        <f t="shared" si="33"/>
        <v>5</v>
      </c>
      <c r="AM42" s="112">
        <f t="shared" si="33"/>
        <v>5</v>
      </c>
      <c r="AN42" s="112">
        <f t="shared" si="33"/>
        <v>5</v>
      </c>
      <c r="AO42" s="112">
        <f t="shared" si="33"/>
        <v>5</v>
      </c>
      <c r="AP42" s="112">
        <f t="shared" si="33"/>
        <v>5</v>
      </c>
      <c r="AQ42" s="112">
        <f t="shared" si="33"/>
        <v>5</v>
      </c>
      <c r="AR42" s="112">
        <f t="shared" si="33"/>
        <v>5</v>
      </c>
      <c r="AS42" s="112">
        <f t="shared" si="33"/>
        <v>5</v>
      </c>
      <c r="AT42" s="112">
        <f t="shared" si="33"/>
        <v>5</v>
      </c>
      <c r="AU42" s="112">
        <f t="shared" si="33"/>
        <v>5</v>
      </c>
      <c r="AV42" s="112">
        <f t="shared" si="33"/>
        <v>5</v>
      </c>
      <c r="AW42" s="112">
        <f t="shared" si="33"/>
        <v>5</v>
      </c>
      <c r="AX42" s="112">
        <f t="shared" si="33"/>
        <v>5</v>
      </c>
      <c r="AY42" s="112">
        <f t="shared" si="33"/>
        <v>5</v>
      </c>
      <c r="AZ42" s="112">
        <f t="shared" si="33"/>
        <v>5</v>
      </c>
      <c r="BA42" s="112">
        <f t="shared" si="33"/>
        <v>5</v>
      </c>
      <c r="BB42" s="112">
        <f t="shared" si="33"/>
        <v>5</v>
      </c>
      <c r="BC42" s="112">
        <f t="shared" si="33"/>
        <v>5</v>
      </c>
      <c r="BD42" s="112">
        <f t="shared" si="33"/>
        <v>5</v>
      </c>
      <c r="BE42" s="112">
        <f t="shared" si="33"/>
        <v>5</v>
      </c>
      <c r="BF42" s="112">
        <f t="shared" si="33"/>
        <v>5</v>
      </c>
      <c r="BG42" s="112">
        <f t="shared" si="33"/>
        <v>5</v>
      </c>
      <c r="BH42" s="112">
        <f t="shared" si="33"/>
        <v>5</v>
      </c>
      <c r="BI42" s="112">
        <f t="shared" si="33"/>
        <v>5</v>
      </c>
      <c r="BJ42" s="112">
        <f t="shared" si="33"/>
        <v>5</v>
      </c>
    </row>
    <row r="43" spans="1:62" ht="12" customHeight="1">
      <c r="A43" s="521"/>
      <c r="B43" s="111" t="str">
        <f>'C1 - Cargos e Salários'!B35</f>
        <v>Cozinheiro</v>
      </c>
      <c r="C43" s="112">
        <f>'C1 - Cargos e Salários'!E35</f>
        <v>2</v>
      </c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2">
        <f t="shared" ref="AG43:BJ43" si="34">SUM($C43:C43)</f>
        <v>2</v>
      </c>
      <c r="AH43" s="112">
        <f t="shared" si="34"/>
        <v>2</v>
      </c>
      <c r="AI43" s="112">
        <f t="shared" si="34"/>
        <v>2</v>
      </c>
      <c r="AJ43" s="112">
        <f t="shared" si="34"/>
        <v>2</v>
      </c>
      <c r="AK43" s="112">
        <f t="shared" si="34"/>
        <v>2</v>
      </c>
      <c r="AL43" s="112">
        <f t="shared" si="34"/>
        <v>2</v>
      </c>
      <c r="AM43" s="112">
        <f t="shared" si="34"/>
        <v>2</v>
      </c>
      <c r="AN43" s="112">
        <f t="shared" si="34"/>
        <v>2</v>
      </c>
      <c r="AO43" s="112">
        <f t="shared" si="34"/>
        <v>2</v>
      </c>
      <c r="AP43" s="112">
        <f t="shared" si="34"/>
        <v>2</v>
      </c>
      <c r="AQ43" s="112">
        <f t="shared" si="34"/>
        <v>2</v>
      </c>
      <c r="AR43" s="112">
        <f t="shared" si="34"/>
        <v>2</v>
      </c>
      <c r="AS43" s="112">
        <f t="shared" si="34"/>
        <v>2</v>
      </c>
      <c r="AT43" s="112">
        <f t="shared" si="34"/>
        <v>2</v>
      </c>
      <c r="AU43" s="112">
        <f t="shared" si="34"/>
        <v>2</v>
      </c>
      <c r="AV43" s="112">
        <f t="shared" si="34"/>
        <v>2</v>
      </c>
      <c r="AW43" s="112">
        <f t="shared" si="34"/>
        <v>2</v>
      </c>
      <c r="AX43" s="112">
        <f t="shared" si="34"/>
        <v>2</v>
      </c>
      <c r="AY43" s="112">
        <f t="shared" si="34"/>
        <v>2</v>
      </c>
      <c r="AZ43" s="112">
        <f t="shared" si="34"/>
        <v>2</v>
      </c>
      <c r="BA43" s="112">
        <f t="shared" si="34"/>
        <v>2</v>
      </c>
      <c r="BB43" s="112">
        <f t="shared" si="34"/>
        <v>2</v>
      </c>
      <c r="BC43" s="112">
        <f t="shared" si="34"/>
        <v>2</v>
      </c>
      <c r="BD43" s="112">
        <f t="shared" si="34"/>
        <v>2</v>
      </c>
      <c r="BE43" s="112">
        <f t="shared" si="34"/>
        <v>2</v>
      </c>
      <c r="BF43" s="112">
        <f t="shared" si="34"/>
        <v>2</v>
      </c>
      <c r="BG43" s="112">
        <f t="shared" si="34"/>
        <v>2</v>
      </c>
      <c r="BH43" s="112">
        <f t="shared" si="34"/>
        <v>2</v>
      </c>
      <c r="BI43" s="112">
        <f t="shared" si="34"/>
        <v>2</v>
      </c>
      <c r="BJ43" s="112">
        <f t="shared" si="34"/>
        <v>2</v>
      </c>
    </row>
    <row r="44" spans="1:62" ht="12" customHeight="1">
      <c r="A44" s="521"/>
      <c r="B44" s="111" t="str">
        <f>'C1 - Cargos e Salários'!B36</f>
        <v>Auxiliar de cozinha</v>
      </c>
      <c r="C44" s="112">
        <f>'C1 - Cargos e Salários'!E36</f>
        <v>3</v>
      </c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2">
        <f t="shared" ref="AG44:BJ44" si="35">SUM($C44:C44)</f>
        <v>3</v>
      </c>
      <c r="AH44" s="112">
        <f t="shared" si="35"/>
        <v>3</v>
      </c>
      <c r="AI44" s="112">
        <f t="shared" si="35"/>
        <v>3</v>
      </c>
      <c r="AJ44" s="112">
        <f t="shared" si="35"/>
        <v>3</v>
      </c>
      <c r="AK44" s="112">
        <f t="shared" si="35"/>
        <v>3</v>
      </c>
      <c r="AL44" s="112">
        <f t="shared" si="35"/>
        <v>3</v>
      </c>
      <c r="AM44" s="112">
        <f t="shared" si="35"/>
        <v>3</v>
      </c>
      <c r="AN44" s="112">
        <f t="shared" si="35"/>
        <v>3</v>
      </c>
      <c r="AO44" s="112">
        <f t="shared" si="35"/>
        <v>3</v>
      </c>
      <c r="AP44" s="112">
        <f t="shared" si="35"/>
        <v>3</v>
      </c>
      <c r="AQ44" s="112">
        <f t="shared" si="35"/>
        <v>3</v>
      </c>
      <c r="AR44" s="112">
        <f t="shared" si="35"/>
        <v>3</v>
      </c>
      <c r="AS44" s="112">
        <f t="shared" si="35"/>
        <v>3</v>
      </c>
      <c r="AT44" s="112">
        <f t="shared" si="35"/>
        <v>3</v>
      </c>
      <c r="AU44" s="112">
        <f t="shared" si="35"/>
        <v>3</v>
      </c>
      <c r="AV44" s="112">
        <f t="shared" si="35"/>
        <v>3</v>
      </c>
      <c r="AW44" s="112">
        <f t="shared" si="35"/>
        <v>3</v>
      </c>
      <c r="AX44" s="112">
        <f t="shared" si="35"/>
        <v>3</v>
      </c>
      <c r="AY44" s="112">
        <f t="shared" si="35"/>
        <v>3</v>
      </c>
      <c r="AZ44" s="112">
        <f t="shared" si="35"/>
        <v>3</v>
      </c>
      <c r="BA44" s="112">
        <f t="shared" si="35"/>
        <v>3</v>
      </c>
      <c r="BB44" s="112">
        <f t="shared" si="35"/>
        <v>3</v>
      </c>
      <c r="BC44" s="112">
        <f t="shared" si="35"/>
        <v>3</v>
      </c>
      <c r="BD44" s="112">
        <f t="shared" si="35"/>
        <v>3</v>
      </c>
      <c r="BE44" s="112">
        <f t="shared" si="35"/>
        <v>3</v>
      </c>
      <c r="BF44" s="112">
        <f t="shared" si="35"/>
        <v>3</v>
      </c>
      <c r="BG44" s="112">
        <f t="shared" si="35"/>
        <v>3</v>
      </c>
      <c r="BH44" s="112">
        <f t="shared" si="35"/>
        <v>3</v>
      </c>
      <c r="BI44" s="112">
        <f t="shared" si="35"/>
        <v>3</v>
      </c>
      <c r="BJ44" s="112">
        <f t="shared" si="35"/>
        <v>3</v>
      </c>
    </row>
    <row r="45" spans="1:62" ht="12" customHeight="1">
      <c r="A45" s="521"/>
      <c r="B45" s="111" t="str">
        <f>'C1 - Cargos e Salários'!B37</f>
        <v>Caixa</v>
      </c>
      <c r="C45" s="112">
        <f>'C1 - Cargos e Salários'!E37</f>
        <v>2</v>
      </c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2">
        <f t="shared" ref="AG45:BJ45" si="36">SUM($C45:C45)</f>
        <v>2</v>
      </c>
      <c r="AH45" s="112">
        <f t="shared" si="36"/>
        <v>2</v>
      </c>
      <c r="AI45" s="112">
        <f t="shared" si="36"/>
        <v>2</v>
      </c>
      <c r="AJ45" s="112">
        <f t="shared" si="36"/>
        <v>2</v>
      </c>
      <c r="AK45" s="112">
        <f t="shared" si="36"/>
        <v>2</v>
      </c>
      <c r="AL45" s="112">
        <f t="shared" si="36"/>
        <v>2</v>
      </c>
      <c r="AM45" s="112">
        <f t="shared" si="36"/>
        <v>2</v>
      </c>
      <c r="AN45" s="112">
        <f t="shared" si="36"/>
        <v>2</v>
      </c>
      <c r="AO45" s="112">
        <f t="shared" si="36"/>
        <v>2</v>
      </c>
      <c r="AP45" s="112">
        <f t="shared" si="36"/>
        <v>2</v>
      </c>
      <c r="AQ45" s="112">
        <f t="shared" si="36"/>
        <v>2</v>
      </c>
      <c r="AR45" s="112">
        <f t="shared" si="36"/>
        <v>2</v>
      </c>
      <c r="AS45" s="112">
        <f t="shared" si="36"/>
        <v>2</v>
      </c>
      <c r="AT45" s="112">
        <f t="shared" si="36"/>
        <v>2</v>
      </c>
      <c r="AU45" s="112">
        <f t="shared" si="36"/>
        <v>2</v>
      </c>
      <c r="AV45" s="112">
        <f t="shared" si="36"/>
        <v>2</v>
      </c>
      <c r="AW45" s="112">
        <f t="shared" si="36"/>
        <v>2</v>
      </c>
      <c r="AX45" s="112">
        <f t="shared" si="36"/>
        <v>2</v>
      </c>
      <c r="AY45" s="112">
        <f t="shared" si="36"/>
        <v>2</v>
      </c>
      <c r="AZ45" s="112">
        <f t="shared" si="36"/>
        <v>2</v>
      </c>
      <c r="BA45" s="112">
        <f t="shared" si="36"/>
        <v>2</v>
      </c>
      <c r="BB45" s="112">
        <f t="shared" si="36"/>
        <v>2</v>
      </c>
      <c r="BC45" s="112">
        <f t="shared" si="36"/>
        <v>2</v>
      </c>
      <c r="BD45" s="112">
        <f t="shared" si="36"/>
        <v>2</v>
      </c>
      <c r="BE45" s="112">
        <f t="shared" si="36"/>
        <v>2</v>
      </c>
      <c r="BF45" s="112">
        <f t="shared" si="36"/>
        <v>2</v>
      </c>
      <c r="BG45" s="112">
        <f t="shared" si="36"/>
        <v>2</v>
      </c>
      <c r="BH45" s="112">
        <f t="shared" si="36"/>
        <v>2</v>
      </c>
      <c r="BI45" s="112">
        <f t="shared" si="36"/>
        <v>2</v>
      </c>
      <c r="BJ45" s="112">
        <f t="shared" si="36"/>
        <v>2</v>
      </c>
    </row>
    <row r="46" spans="1:62" ht="12" customHeight="1">
      <c r="A46" s="521"/>
      <c r="B46" s="111" t="str">
        <f>'C1 - Cargos e Salários'!B38</f>
        <v>Atendente</v>
      </c>
      <c r="C46" s="112">
        <f>'C1 - Cargos e Salários'!E38</f>
        <v>4</v>
      </c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2">
        <f t="shared" ref="AG46:BJ46" si="37">SUM($C46:C46)</f>
        <v>4</v>
      </c>
      <c r="AH46" s="112">
        <f t="shared" si="37"/>
        <v>4</v>
      </c>
      <c r="AI46" s="112">
        <f t="shared" si="37"/>
        <v>4</v>
      </c>
      <c r="AJ46" s="112">
        <f t="shared" si="37"/>
        <v>4</v>
      </c>
      <c r="AK46" s="112">
        <f t="shared" si="37"/>
        <v>4</v>
      </c>
      <c r="AL46" s="112">
        <f t="shared" si="37"/>
        <v>4</v>
      </c>
      <c r="AM46" s="112">
        <f t="shared" si="37"/>
        <v>4</v>
      </c>
      <c r="AN46" s="112">
        <f t="shared" si="37"/>
        <v>4</v>
      </c>
      <c r="AO46" s="112">
        <f t="shared" si="37"/>
        <v>4</v>
      </c>
      <c r="AP46" s="112">
        <f t="shared" si="37"/>
        <v>4</v>
      </c>
      <c r="AQ46" s="112">
        <f t="shared" si="37"/>
        <v>4</v>
      </c>
      <c r="AR46" s="112">
        <f t="shared" si="37"/>
        <v>4</v>
      </c>
      <c r="AS46" s="112">
        <f t="shared" si="37"/>
        <v>4</v>
      </c>
      <c r="AT46" s="112">
        <f t="shared" si="37"/>
        <v>4</v>
      </c>
      <c r="AU46" s="112">
        <f t="shared" si="37"/>
        <v>4</v>
      </c>
      <c r="AV46" s="112">
        <f t="shared" si="37"/>
        <v>4</v>
      </c>
      <c r="AW46" s="112">
        <f t="shared" si="37"/>
        <v>4</v>
      </c>
      <c r="AX46" s="112">
        <f t="shared" si="37"/>
        <v>4</v>
      </c>
      <c r="AY46" s="112">
        <f t="shared" si="37"/>
        <v>4</v>
      </c>
      <c r="AZ46" s="112">
        <f t="shared" si="37"/>
        <v>4</v>
      </c>
      <c r="BA46" s="112">
        <f t="shared" si="37"/>
        <v>4</v>
      </c>
      <c r="BB46" s="112">
        <f t="shared" si="37"/>
        <v>4</v>
      </c>
      <c r="BC46" s="112">
        <f t="shared" si="37"/>
        <v>4</v>
      </c>
      <c r="BD46" s="112">
        <f t="shared" si="37"/>
        <v>4</v>
      </c>
      <c r="BE46" s="112">
        <f t="shared" si="37"/>
        <v>4</v>
      </c>
      <c r="BF46" s="112">
        <f t="shared" si="37"/>
        <v>4</v>
      </c>
      <c r="BG46" s="112">
        <f t="shared" si="37"/>
        <v>4</v>
      </c>
      <c r="BH46" s="112">
        <f t="shared" si="37"/>
        <v>4</v>
      </c>
      <c r="BI46" s="112">
        <f t="shared" si="37"/>
        <v>4</v>
      </c>
      <c r="BJ46" s="112">
        <f t="shared" si="37"/>
        <v>4</v>
      </c>
    </row>
    <row r="47" spans="1:62" ht="12" customHeight="1">
      <c r="A47" s="521"/>
      <c r="B47" s="111" t="str">
        <f>'C1 - Cargos e Salários'!B39</f>
        <v>Caixa</v>
      </c>
      <c r="C47" s="112">
        <f>'C1 - Cargos e Salários'!E39</f>
        <v>2</v>
      </c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2">
        <f t="shared" ref="AG47:BJ47" si="38">SUM($C47:C47)</f>
        <v>2</v>
      </c>
      <c r="AH47" s="112">
        <f t="shared" si="38"/>
        <v>2</v>
      </c>
      <c r="AI47" s="112">
        <f t="shared" si="38"/>
        <v>2</v>
      </c>
      <c r="AJ47" s="112">
        <f t="shared" si="38"/>
        <v>2</v>
      </c>
      <c r="AK47" s="112">
        <f t="shared" si="38"/>
        <v>2</v>
      </c>
      <c r="AL47" s="112">
        <f t="shared" si="38"/>
        <v>2</v>
      </c>
      <c r="AM47" s="112">
        <f t="shared" si="38"/>
        <v>2</v>
      </c>
      <c r="AN47" s="112">
        <f t="shared" si="38"/>
        <v>2</v>
      </c>
      <c r="AO47" s="112">
        <f t="shared" si="38"/>
        <v>2</v>
      </c>
      <c r="AP47" s="112">
        <f t="shared" si="38"/>
        <v>2</v>
      </c>
      <c r="AQ47" s="112">
        <f t="shared" si="38"/>
        <v>2</v>
      </c>
      <c r="AR47" s="112">
        <f t="shared" si="38"/>
        <v>2</v>
      </c>
      <c r="AS47" s="112">
        <f t="shared" si="38"/>
        <v>2</v>
      </c>
      <c r="AT47" s="112">
        <f t="shared" si="38"/>
        <v>2</v>
      </c>
      <c r="AU47" s="112">
        <f t="shared" si="38"/>
        <v>2</v>
      </c>
      <c r="AV47" s="112">
        <f t="shared" si="38"/>
        <v>2</v>
      </c>
      <c r="AW47" s="112">
        <f t="shared" si="38"/>
        <v>2</v>
      </c>
      <c r="AX47" s="112">
        <f t="shared" si="38"/>
        <v>2</v>
      </c>
      <c r="AY47" s="112">
        <f t="shared" si="38"/>
        <v>2</v>
      </c>
      <c r="AZ47" s="112">
        <f t="shared" si="38"/>
        <v>2</v>
      </c>
      <c r="BA47" s="112">
        <f t="shared" si="38"/>
        <v>2</v>
      </c>
      <c r="BB47" s="112">
        <f t="shared" si="38"/>
        <v>2</v>
      </c>
      <c r="BC47" s="112">
        <f t="shared" si="38"/>
        <v>2</v>
      </c>
      <c r="BD47" s="112">
        <f t="shared" si="38"/>
        <v>2</v>
      </c>
      <c r="BE47" s="112">
        <f t="shared" si="38"/>
        <v>2</v>
      </c>
      <c r="BF47" s="112">
        <f t="shared" si="38"/>
        <v>2</v>
      </c>
      <c r="BG47" s="112">
        <f t="shared" si="38"/>
        <v>2</v>
      </c>
      <c r="BH47" s="112">
        <f t="shared" si="38"/>
        <v>2</v>
      </c>
      <c r="BI47" s="112">
        <f t="shared" si="38"/>
        <v>2</v>
      </c>
      <c r="BJ47" s="112">
        <f t="shared" si="38"/>
        <v>2</v>
      </c>
    </row>
    <row r="48" spans="1:62" ht="12" customHeight="1">
      <c r="A48" s="521"/>
      <c r="B48" s="111" t="str">
        <f>'C1 - Cargos e Salários'!B40</f>
        <v>Atendente</v>
      </c>
      <c r="C48" s="112">
        <f>'C1 - Cargos e Salários'!E40</f>
        <v>2</v>
      </c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2">
        <f t="shared" ref="AG48:BJ48" si="39">SUM($C48:C48)</f>
        <v>2</v>
      </c>
      <c r="AH48" s="112">
        <f t="shared" si="39"/>
        <v>2</v>
      </c>
      <c r="AI48" s="112">
        <f t="shared" si="39"/>
        <v>2</v>
      </c>
      <c r="AJ48" s="112">
        <f t="shared" si="39"/>
        <v>2</v>
      </c>
      <c r="AK48" s="112">
        <f t="shared" si="39"/>
        <v>2</v>
      </c>
      <c r="AL48" s="112">
        <f t="shared" si="39"/>
        <v>2</v>
      </c>
      <c r="AM48" s="112">
        <f t="shared" si="39"/>
        <v>2</v>
      </c>
      <c r="AN48" s="112">
        <f t="shared" si="39"/>
        <v>2</v>
      </c>
      <c r="AO48" s="112">
        <f t="shared" si="39"/>
        <v>2</v>
      </c>
      <c r="AP48" s="112">
        <f t="shared" si="39"/>
        <v>2</v>
      </c>
      <c r="AQ48" s="112">
        <f t="shared" si="39"/>
        <v>2</v>
      </c>
      <c r="AR48" s="112">
        <f t="shared" si="39"/>
        <v>2</v>
      </c>
      <c r="AS48" s="112">
        <f t="shared" si="39"/>
        <v>2</v>
      </c>
      <c r="AT48" s="112">
        <f t="shared" si="39"/>
        <v>2</v>
      </c>
      <c r="AU48" s="112">
        <f t="shared" si="39"/>
        <v>2</v>
      </c>
      <c r="AV48" s="112">
        <f t="shared" si="39"/>
        <v>2</v>
      </c>
      <c r="AW48" s="112">
        <f t="shared" si="39"/>
        <v>2</v>
      </c>
      <c r="AX48" s="112">
        <f t="shared" si="39"/>
        <v>2</v>
      </c>
      <c r="AY48" s="112">
        <f t="shared" si="39"/>
        <v>2</v>
      </c>
      <c r="AZ48" s="112">
        <f t="shared" si="39"/>
        <v>2</v>
      </c>
      <c r="BA48" s="112">
        <f t="shared" si="39"/>
        <v>2</v>
      </c>
      <c r="BB48" s="112">
        <f t="shared" si="39"/>
        <v>2</v>
      </c>
      <c r="BC48" s="112">
        <f t="shared" si="39"/>
        <v>2</v>
      </c>
      <c r="BD48" s="112">
        <f t="shared" si="39"/>
        <v>2</v>
      </c>
      <c r="BE48" s="112">
        <f t="shared" si="39"/>
        <v>2</v>
      </c>
      <c r="BF48" s="112">
        <f t="shared" si="39"/>
        <v>2</v>
      </c>
      <c r="BG48" s="112">
        <f t="shared" si="39"/>
        <v>2</v>
      </c>
      <c r="BH48" s="112">
        <f t="shared" si="39"/>
        <v>2</v>
      </c>
      <c r="BI48" s="112">
        <f t="shared" si="39"/>
        <v>2</v>
      </c>
      <c r="BJ48" s="112">
        <f t="shared" si="39"/>
        <v>2</v>
      </c>
    </row>
    <row r="49" spans="1:62" ht="12" customHeight="1">
      <c r="A49" s="521"/>
      <c r="B49" s="111" t="e">
        <f>'C1 - Cargos e Salários'!#REF!</f>
        <v>#REF!</v>
      </c>
      <c r="C49" s="112" t="e">
        <f>'C1 - Cargos e Salários'!#REF!</f>
        <v>#REF!</v>
      </c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2" t="e">
        <f t="shared" ref="AG49:BJ49" si="40">SUM($C49:C49)</f>
        <v>#REF!</v>
      </c>
      <c r="AH49" s="112" t="e">
        <f t="shared" si="40"/>
        <v>#REF!</v>
      </c>
      <c r="AI49" s="112" t="e">
        <f t="shared" si="40"/>
        <v>#REF!</v>
      </c>
      <c r="AJ49" s="112" t="e">
        <f t="shared" si="40"/>
        <v>#REF!</v>
      </c>
      <c r="AK49" s="112" t="e">
        <f t="shared" si="40"/>
        <v>#REF!</v>
      </c>
      <c r="AL49" s="112" t="e">
        <f t="shared" si="40"/>
        <v>#REF!</v>
      </c>
      <c r="AM49" s="112" t="e">
        <f t="shared" si="40"/>
        <v>#REF!</v>
      </c>
      <c r="AN49" s="112" t="e">
        <f t="shared" si="40"/>
        <v>#REF!</v>
      </c>
      <c r="AO49" s="112" t="e">
        <f t="shared" si="40"/>
        <v>#REF!</v>
      </c>
      <c r="AP49" s="112" t="e">
        <f t="shared" si="40"/>
        <v>#REF!</v>
      </c>
      <c r="AQ49" s="112" t="e">
        <f t="shared" si="40"/>
        <v>#REF!</v>
      </c>
      <c r="AR49" s="112" t="e">
        <f t="shared" si="40"/>
        <v>#REF!</v>
      </c>
      <c r="AS49" s="112" t="e">
        <f t="shared" si="40"/>
        <v>#REF!</v>
      </c>
      <c r="AT49" s="112" t="e">
        <f t="shared" si="40"/>
        <v>#REF!</v>
      </c>
      <c r="AU49" s="112" t="e">
        <f t="shared" si="40"/>
        <v>#REF!</v>
      </c>
      <c r="AV49" s="112" t="e">
        <f t="shared" si="40"/>
        <v>#REF!</v>
      </c>
      <c r="AW49" s="112" t="e">
        <f t="shared" si="40"/>
        <v>#REF!</v>
      </c>
      <c r="AX49" s="112" t="e">
        <f t="shared" si="40"/>
        <v>#REF!</v>
      </c>
      <c r="AY49" s="112" t="e">
        <f t="shared" si="40"/>
        <v>#REF!</v>
      </c>
      <c r="AZ49" s="112" t="e">
        <f t="shared" si="40"/>
        <v>#REF!</v>
      </c>
      <c r="BA49" s="112" t="e">
        <f t="shared" si="40"/>
        <v>#REF!</v>
      </c>
      <c r="BB49" s="112" t="e">
        <f t="shared" si="40"/>
        <v>#REF!</v>
      </c>
      <c r="BC49" s="112" t="e">
        <f t="shared" si="40"/>
        <v>#REF!</v>
      </c>
      <c r="BD49" s="112" t="e">
        <f t="shared" si="40"/>
        <v>#REF!</v>
      </c>
      <c r="BE49" s="112" t="e">
        <f t="shared" si="40"/>
        <v>#REF!</v>
      </c>
      <c r="BF49" s="112" t="e">
        <f t="shared" si="40"/>
        <v>#REF!</v>
      </c>
      <c r="BG49" s="112" t="e">
        <f t="shared" si="40"/>
        <v>#REF!</v>
      </c>
      <c r="BH49" s="112" t="e">
        <f t="shared" si="40"/>
        <v>#REF!</v>
      </c>
      <c r="BI49" s="112" t="e">
        <f t="shared" si="40"/>
        <v>#REF!</v>
      </c>
      <c r="BJ49" s="112" t="e">
        <f t="shared" si="40"/>
        <v>#REF!</v>
      </c>
    </row>
    <row r="50" spans="1:62" ht="12" customHeight="1">
      <c r="A50" s="521"/>
      <c r="B50" s="111" t="e">
        <f>'C1 - Cargos e Salários'!#REF!</f>
        <v>#REF!</v>
      </c>
      <c r="C50" s="112" t="e">
        <f>'C1 - Cargos e Salários'!#REF!</f>
        <v>#REF!</v>
      </c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2" t="e">
        <f t="shared" ref="AG50:BJ50" si="41">SUM($C50:C50)</f>
        <v>#REF!</v>
      </c>
      <c r="AH50" s="112" t="e">
        <f t="shared" si="41"/>
        <v>#REF!</v>
      </c>
      <c r="AI50" s="112" t="e">
        <f t="shared" si="41"/>
        <v>#REF!</v>
      </c>
      <c r="AJ50" s="112" t="e">
        <f t="shared" si="41"/>
        <v>#REF!</v>
      </c>
      <c r="AK50" s="112" t="e">
        <f t="shared" si="41"/>
        <v>#REF!</v>
      </c>
      <c r="AL50" s="112" t="e">
        <f t="shared" si="41"/>
        <v>#REF!</v>
      </c>
      <c r="AM50" s="112" t="e">
        <f t="shared" si="41"/>
        <v>#REF!</v>
      </c>
      <c r="AN50" s="112" t="e">
        <f t="shared" si="41"/>
        <v>#REF!</v>
      </c>
      <c r="AO50" s="112" t="e">
        <f t="shared" si="41"/>
        <v>#REF!</v>
      </c>
      <c r="AP50" s="112" t="e">
        <f t="shared" si="41"/>
        <v>#REF!</v>
      </c>
      <c r="AQ50" s="112" t="e">
        <f t="shared" si="41"/>
        <v>#REF!</v>
      </c>
      <c r="AR50" s="112" t="e">
        <f t="shared" si="41"/>
        <v>#REF!</v>
      </c>
      <c r="AS50" s="112" t="e">
        <f t="shared" si="41"/>
        <v>#REF!</v>
      </c>
      <c r="AT50" s="112" t="e">
        <f t="shared" si="41"/>
        <v>#REF!</v>
      </c>
      <c r="AU50" s="112" t="e">
        <f t="shared" si="41"/>
        <v>#REF!</v>
      </c>
      <c r="AV50" s="112" t="e">
        <f t="shared" si="41"/>
        <v>#REF!</v>
      </c>
      <c r="AW50" s="112" t="e">
        <f t="shared" si="41"/>
        <v>#REF!</v>
      </c>
      <c r="AX50" s="112" t="e">
        <f t="shared" si="41"/>
        <v>#REF!</v>
      </c>
      <c r="AY50" s="112" t="e">
        <f t="shared" si="41"/>
        <v>#REF!</v>
      </c>
      <c r="AZ50" s="112" t="e">
        <f t="shared" si="41"/>
        <v>#REF!</v>
      </c>
      <c r="BA50" s="112" t="e">
        <f t="shared" si="41"/>
        <v>#REF!</v>
      </c>
      <c r="BB50" s="112" t="e">
        <f t="shared" si="41"/>
        <v>#REF!</v>
      </c>
      <c r="BC50" s="112" t="e">
        <f t="shared" si="41"/>
        <v>#REF!</v>
      </c>
      <c r="BD50" s="112" t="e">
        <f t="shared" si="41"/>
        <v>#REF!</v>
      </c>
      <c r="BE50" s="112" t="e">
        <f t="shared" si="41"/>
        <v>#REF!</v>
      </c>
      <c r="BF50" s="112" t="e">
        <f t="shared" si="41"/>
        <v>#REF!</v>
      </c>
      <c r="BG50" s="112" t="e">
        <f t="shared" si="41"/>
        <v>#REF!</v>
      </c>
      <c r="BH50" s="112" t="e">
        <f t="shared" si="41"/>
        <v>#REF!</v>
      </c>
      <c r="BI50" s="112" t="e">
        <f t="shared" si="41"/>
        <v>#REF!</v>
      </c>
      <c r="BJ50" s="112" t="e">
        <f t="shared" si="41"/>
        <v>#REF!</v>
      </c>
    </row>
    <row r="51" spans="1:62" ht="12" customHeight="1">
      <c r="A51" s="521"/>
      <c r="B51" s="111" t="e">
        <f>'C1 - Cargos e Salários'!#REF!</f>
        <v>#REF!</v>
      </c>
      <c r="C51" s="112" t="e">
        <f>'C1 - Cargos e Salários'!#REF!</f>
        <v>#REF!</v>
      </c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2" t="e">
        <f t="shared" ref="AG51:BJ51" si="42">SUM($C51:C51)</f>
        <v>#REF!</v>
      </c>
      <c r="AH51" s="112" t="e">
        <f t="shared" si="42"/>
        <v>#REF!</v>
      </c>
      <c r="AI51" s="112" t="e">
        <f t="shared" si="42"/>
        <v>#REF!</v>
      </c>
      <c r="AJ51" s="112" t="e">
        <f t="shared" si="42"/>
        <v>#REF!</v>
      </c>
      <c r="AK51" s="112" t="e">
        <f t="shared" si="42"/>
        <v>#REF!</v>
      </c>
      <c r="AL51" s="112" t="e">
        <f t="shared" si="42"/>
        <v>#REF!</v>
      </c>
      <c r="AM51" s="112" t="e">
        <f t="shared" si="42"/>
        <v>#REF!</v>
      </c>
      <c r="AN51" s="112" t="e">
        <f t="shared" si="42"/>
        <v>#REF!</v>
      </c>
      <c r="AO51" s="112" t="e">
        <f t="shared" si="42"/>
        <v>#REF!</v>
      </c>
      <c r="AP51" s="112" t="e">
        <f t="shared" si="42"/>
        <v>#REF!</v>
      </c>
      <c r="AQ51" s="112" t="e">
        <f t="shared" si="42"/>
        <v>#REF!</v>
      </c>
      <c r="AR51" s="112" t="e">
        <f t="shared" si="42"/>
        <v>#REF!</v>
      </c>
      <c r="AS51" s="112" t="e">
        <f t="shared" si="42"/>
        <v>#REF!</v>
      </c>
      <c r="AT51" s="112" t="e">
        <f t="shared" si="42"/>
        <v>#REF!</v>
      </c>
      <c r="AU51" s="112" t="e">
        <f t="shared" si="42"/>
        <v>#REF!</v>
      </c>
      <c r="AV51" s="112" t="e">
        <f t="shared" si="42"/>
        <v>#REF!</v>
      </c>
      <c r="AW51" s="112" t="e">
        <f t="shared" si="42"/>
        <v>#REF!</v>
      </c>
      <c r="AX51" s="112" t="e">
        <f t="shared" si="42"/>
        <v>#REF!</v>
      </c>
      <c r="AY51" s="112" t="e">
        <f t="shared" si="42"/>
        <v>#REF!</v>
      </c>
      <c r="AZ51" s="112" t="e">
        <f t="shared" si="42"/>
        <v>#REF!</v>
      </c>
      <c r="BA51" s="112" t="e">
        <f t="shared" si="42"/>
        <v>#REF!</v>
      </c>
      <c r="BB51" s="112" t="e">
        <f t="shared" si="42"/>
        <v>#REF!</v>
      </c>
      <c r="BC51" s="112" t="e">
        <f t="shared" si="42"/>
        <v>#REF!</v>
      </c>
      <c r="BD51" s="112" t="e">
        <f t="shared" si="42"/>
        <v>#REF!</v>
      </c>
      <c r="BE51" s="112" t="e">
        <f t="shared" si="42"/>
        <v>#REF!</v>
      </c>
      <c r="BF51" s="112" t="e">
        <f t="shared" si="42"/>
        <v>#REF!</v>
      </c>
      <c r="BG51" s="112" t="e">
        <f t="shared" si="42"/>
        <v>#REF!</v>
      </c>
      <c r="BH51" s="112" t="e">
        <f t="shared" si="42"/>
        <v>#REF!</v>
      </c>
      <c r="BI51" s="112" t="e">
        <f t="shared" si="42"/>
        <v>#REF!</v>
      </c>
      <c r="BJ51" s="112" t="e">
        <f t="shared" si="42"/>
        <v>#REF!</v>
      </c>
    </row>
    <row r="52" spans="1:62" ht="12" customHeight="1">
      <c r="A52" s="521"/>
      <c r="B52" s="111" t="e">
        <f>'C1 - Cargos e Salários'!#REF!</f>
        <v>#REF!</v>
      </c>
      <c r="C52" s="112" t="e">
        <f>'C1 - Cargos e Salários'!#REF!</f>
        <v>#REF!</v>
      </c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2" t="e">
        <f t="shared" ref="AG52:BJ52" si="43">SUM($C52:C52)</f>
        <v>#REF!</v>
      </c>
      <c r="AH52" s="112" t="e">
        <f t="shared" si="43"/>
        <v>#REF!</v>
      </c>
      <c r="AI52" s="112" t="e">
        <f t="shared" si="43"/>
        <v>#REF!</v>
      </c>
      <c r="AJ52" s="112" t="e">
        <f t="shared" si="43"/>
        <v>#REF!</v>
      </c>
      <c r="AK52" s="112" t="e">
        <f t="shared" si="43"/>
        <v>#REF!</v>
      </c>
      <c r="AL52" s="112" t="e">
        <f t="shared" si="43"/>
        <v>#REF!</v>
      </c>
      <c r="AM52" s="112" t="e">
        <f t="shared" si="43"/>
        <v>#REF!</v>
      </c>
      <c r="AN52" s="112" t="e">
        <f t="shared" si="43"/>
        <v>#REF!</v>
      </c>
      <c r="AO52" s="112" t="e">
        <f t="shared" si="43"/>
        <v>#REF!</v>
      </c>
      <c r="AP52" s="112" t="e">
        <f t="shared" si="43"/>
        <v>#REF!</v>
      </c>
      <c r="AQ52" s="112" t="e">
        <f t="shared" si="43"/>
        <v>#REF!</v>
      </c>
      <c r="AR52" s="112" t="e">
        <f t="shared" si="43"/>
        <v>#REF!</v>
      </c>
      <c r="AS52" s="112" t="e">
        <f t="shared" si="43"/>
        <v>#REF!</v>
      </c>
      <c r="AT52" s="112" t="e">
        <f t="shared" si="43"/>
        <v>#REF!</v>
      </c>
      <c r="AU52" s="112" t="e">
        <f t="shared" si="43"/>
        <v>#REF!</v>
      </c>
      <c r="AV52" s="112" t="e">
        <f t="shared" si="43"/>
        <v>#REF!</v>
      </c>
      <c r="AW52" s="112" t="e">
        <f t="shared" si="43"/>
        <v>#REF!</v>
      </c>
      <c r="AX52" s="112" t="e">
        <f t="shared" si="43"/>
        <v>#REF!</v>
      </c>
      <c r="AY52" s="112" t="e">
        <f t="shared" si="43"/>
        <v>#REF!</v>
      </c>
      <c r="AZ52" s="112" t="e">
        <f t="shared" si="43"/>
        <v>#REF!</v>
      </c>
      <c r="BA52" s="112" t="e">
        <f t="shared" si="43"/>
        <v>#REF!</v>
      </c>
      <c r="BB52" s="112" t="e">
        <f t="shared" si="43"/>
        <v>#REF!</v>
      </c>
      <c r="BC52" s="112" t="e">
        <f t="shared" si="43"/>
        <v>#REF!</v>
      </c>
      <c r="BD52" s="112" t="e">
        <f t="shared" si="43"/>
        <v>#REF!</v>
      </c>
      <c r="BE52" s="112" t="e">
        <f t="shared" si="43"/>
        <v>#REF!</v>
      </c>
      <c r="BF52" s="112" t="e">
        <f t="shared" si="43"/>
        <v>#REF!</v>
      </c>
      <c r="BG52" s="112" t="e">
        <f t="shared" si="43"/>
        <v>#REF!</v>
      </c>
      <c r="BH52" s="112" t="e">
        <f t="shared" si="43"/>
        <v>#REF!</v>
      </c>
      <c r="BI52" s="112" t="e">
        <f t="shared" si="43"/>
        <v>#REF!</v>
      </c>
      <c r="BJ52" s="112" t="e">
        <f t="shared" si="43"/>
        <v>#REF!</v>
      </c>
    </row>
    <row r="53" spans="1:62" ht="12" customHeight="1">
      <c r="A53" s="521"/>
      <c r="B53" s="111" t="e">
        <f>'C1 - Cargos e Salários'!#REF!</f>
        <v>#REF!</v>
      </c>
      <c r="C53" s="112" t="e">
        <f>'C1 - Cargos e Salários'!#REF!</f>
        <v>#REF!</v>
      </c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2" t="e">
        <f t="shared" ref="AG53:BJ53" si="44">SUM($C53:C53)</f>
        <v>#REF!</v>
      </c>
      <c r="AH53" s="112" t="e">
        <f t="shared" si="44"/>
        <v>#REF!</v>
      </c>
      <c r="AI53" s="112" t="e">
        <f t="shared" si="44"/>
        <v>#REF!</v>
      </c>
      <c r="AJ53" s="112" t="e">
        <f t="shared" si="44"/>
        <v>#REF!</v>
      </c>
      <c r="AK53" s="112" t="e">
        <f t="shared" si="44"/>
        <v>#REF!</v>
      </c>
      <c r="AL53" s="112" t="e">
        <f t="shared" si="44"/>
        <v>#REF!</v>
      </c>
      <c r="AM53" s="112" t="e">
        <f t="shared" si="44"/>
        <v>#REF!</v>
      </c>
      <c r="AN53" s="112" t="e">
        <f t="shared" si="44"/>
        <v>#REF!</v>
      </c>
      <c r="AO53" s="112" t="e">
        <f t="shared" si="44"/>
        <v>#REF!</v>
      </c>
      <c r="AP53" s="112" t="e">
        <f t="shared" si="44"/>
        <v>#REF!</v>
      </c>
      <c r="AQ53" s="112" t="e">
        <f t="shared" si="44"/>
        <v>#REF!</v>
      </c>
      <c r="AR53" s="112" t="e">
        <f t="shared" si="44"/>
        <v>#REF!</v>
      </c>
      <c r="AS53" s="112" t="e">
        <f t="shared" si="44"/>
        <v>#REF!</v>
      </c>
      <c r="AT53" s="112" t="e">
        <f t="shared" si="44"/>
        <v>#REF!</v>
      </c>
      <c r="AU53" s="112" t="e">
        <f t="shared" si="44"/>
        <v>#REF!</v>
      </c>
      <c r="AV53" s="112" t="e">
        <f t="shared" si="44"/>
        <v>#REF!</v>
      </c>
      <c r="AW53" s="112" t="e">
        <f t="shared" si="44"/>
        <v>#REF!</v>
      </c>
      <c r="AX53" s="112" t="e">
        <f t="shared" si="44"/>
        <v>#REF!</v>
      </c>
      <c r="AY53" s="112" t="e">
        <f t="shared" si="44"/>
        <v>#REF!</v>
      </c>
      <c r="AZ53" s="112" t="e">
        <f t="shared" si="44"/>
        <v>#REF!</v>
      </c>
      <c r="BA53" s="112" t="e">
        <f t="shared" si="44"/>
        <v>#REF!</v>
      </c>
      <c r="BB53" s="112" t="e">
        <f t="shared" si="44"/>
        <v>#REF!</v>
      </c>
      <c r="BC53" s="112" t="e">
        <f t="shared" si="44"/>
        <v>#REF!</v>
      </c>
      <c r="BD53" s="112" t="e">
        <f t="shared" si="44"/>
        <v>#REF!</v>
      </c>
      <c r="BE53" s="112" t="e">
        <f t="shared" si="44"/>
        <v>#REF!</v>
      </c>
      <c r="BF53" s="112" t="e">
        <f t="shared" si="44"/>
        <v>#REF!</v>
      </c>
      <c r="BG53" s="112" t="e">
        <f t="shared" si="44"/>
        <v>#REF!</v>
      </c>
      <c r="BH53" s="112" t="e">
        <f t="shared" si="44"/>
        <v>#REF!</v>
      </c>
      <c r="BI53" s="112" t="e">
        <f t="shared" si="44"/>
        <v>#REF!</v>
      </c>
      <c r="BJ53" s="112" t="e">
        <f t="shared" si="44"/>
        <v>#REF!</v>
      </c>
    </row>
    <row r="54" spans="1:62" ht="12" customHeight="1">
      <c r="A54" s="521"/>
      <c r="B54" s="111" t="e">
        <f>'C1 - Cargos e Salários'!#REF!</f>
        <v>#REF!</v>
      </c>
      <c r="C54" s="112" t="e">
        <f>'C1 - Cargos e Salários'!#REF!</f>
        <v>#REF!</v>
      </c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2" t="e">
        <f t="shared" ref="AG54:BJ54" si="45">SUM($C54:C54)</f>
        <v>#REF!</v>
      </c>
      <c r="AH54" s="112" t="e">
        <f t="shared" si="45"/>
        <v>#REF!</v>
      </c>
      <c r="AI54" s="112" t="e">
        <f t="shared" si="45"/>
        <v>#REF!</v>
      </c>
      <c r="AJ54" s="112" t="e">
        <f t="shared" si="45"/>
        <v>#REF!</v>
      </c>
      <c r="AK54" s="112" t="e">
        <f t="shared" si="45"/>
        <v>#REF!</v>
      </c>
      <c r="AL54" s="112" t="e">
        <f t="shared" si="45"/>
        <v>#REF!</v>
      </c>
      <c r="AM54" s="112" t="e">
        <f t="shared" si="45"/>
        <v>#REF!</v>
      </c>
      <c r="AN54" s="112" t="e">
        <f t="shared" si="45"/>
        <v>#REF!</v>
      </c>
      <c r="AO54" s="112" t="e">
        <f t="shared" si="45"/>
        <v>#REF!</v>
      </c>
      <c r="AP54" s="112" t="e">
        <f t="shared" si="45"/>
        <v>#REF!</v>
      </c>
      <c r="AQ54" s="112" t="e">
        <f t="shared" si="45"/>
        <v>#REF!</v>
      </c>
      <c r="AR54" s="112" t="e">
        <f t="shared" si="45"/>
        <v>#REF!</v>
      </c>
      <c r="AS54" s="112" t="e">
        <f t="shared" si="45"/>
        <v>#REF!</v>
      </c>
      <c r="AT54" s="112" t="e">
        <f t="shared" si="45"/>
        <v>#REF!</v>
      </c>
      <c r="AU54" s="112" t="e">
        <f t="shared" si="45"/>
        <v>#REF!</v>
      </c>
      <c r="AV54" s="112" t="e">
        <f t="shared" si="45"/>
        <v>#REF!</v>
      </c>
      <c r="AW54" s="112" t="e">
        <f t="shared" si="45"/>
        <v>#REF!</v>
      </c>
      <c r="AX54" s="112" t="e">
        <f t="shared" si="45"/>
        <v>#REF!</v>
      </c>
      <c r="AY54" s="112" t="e">
        <f t="shared" si="45"/>
        <v>#REF!</v>
      </c>
      <c r="AZ54" s="112" t="e">
        <f t="shared" si="45"/>
        <v>#REF!</v>
      </c>
      <c r="BA54" s="112" t="e">
        <f t="shared" si="45"/>
        <v>#REF!</v>
      </c>
      <c r="BB54" s="112" t="e">
        <f t="shared" si="45"/>
        <v>#REF!</v>
      </c>
      <c r="BC54" s="112" t="e">
        <f t="shared" si="45"/>
        <v>#REF!</v>
      </c>
      <c r="BD54" s="112" t="e">
        <f t="shared" si="45"/>
        <v>#REF!</v>
      </c>
      <c r="BE54" s="112" t="e">
        <f t="shared" si="45"/>
        <v>#REF!</v>
      </c>
      <c r="BF54" s="112" t="e">
        <f t="shared" si="45"/>
        <v>#REF!</v>
      </c>
      <c r="BG54" s="112" t="e">
        <f t="shared" si="45"/>
        <v>#REF!</v>
      </c>
      <c r="BH54" s="112" t="e">
        <f t="shared" si="45"/>
        <v>#REF!</v>
      </c>
      <c r="BI54" s="112" t="e">
        <f t="shared" si="45"/>
        <v>#REF!</v>
      </c>
      <c r="BJ54" s="112" t="e">
        <f t="shared" si="45"/>
        <v>#REF!</v>
      </c>
    </row>
    <row r="55" spans="1:62" ht="12" customHeight="1">
      <c r="A55" s="521"/>
      <c r="B55" s="111" t="e">
        <f>'C1 - Cargos e Salários'!#REF!</f>
        <v>#REF!</v>
      </c>
      <c r="C55" s="112" t="e">
        <f>'C1 - Cargos e Salários'!#REF!</f>
        <v>#REF!</v>
      </c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2" t="e">
        <f t="shared" ref="AG55:BJ55" si="46">SUM($C55:C55)</f>
        <v>#REF!</v>
      </c>
      <c r="AH55" s="112" t="e">
        <f t="shared" si="46"/>
        <v>#REF!</v>
      </c>
      <c r="AI55" s="112" t="e">
        <f t="shared" si="46"/>
        <v>#REF!</v>
      </c>
      <c r="AJ55" s="112" t="e">
        <f t="shared" si="46"/>
        <v>#REF!</v>
      </c>
      <c r="AK55" s="112" t="e">
        <f t="shared" si="46"/>
        <v>#REF!</v>
      </c>
      <c r="AL55" s="112" t="e">
        <f t="shared" si="46"/>
        <v>#REF!</v>
      </c>
      <c r="AM55" s="112" t="e">
        <f t="shared" si="46"/>
        <v>#REF!</v>
      </c>
      <c r="AN55" s="112" t="e">
        <f t="shared" si="46"/>
        <v>#REF!</v>
      </c>
      <c r="AO55" s="112" t="e">
        <f t="shared" si="46"/>
        <v>#REF!</v>
      </c>
      <c r="AP55" s="112" t="e">
        <f t="shared" si="46"/>
        <v>#REF!</v>
      </c>
      <c r="AQ55" s="112" t="e">
        <f t="shared" si="46"/>
        <v>#REF!</v>
      </c>
      <c r="AR55" s="112" t="e">
        <f t="shared" si="46"/>
        <v>#REF!</v>
      </c>
      <c r="AS55" s="112" t="e">
        <f t="shared" si="46"/>
        <v>#REF!</v>
      </c>
      <c r="AT55" s="112" t="e">
        <f t="shared" si="46"/>
        <v>#REF!</v>
      </c>
      <c r="AU55" s="112" t="e">
        <f t="shared" si="46"/>
        <v>#REF!</v>
      </c>
      <c r="AV55" s="112" t="e">
        <f t="shared" si="46"/>
        <v>#REF!</v>
      </c>
      <c r="AW55" s="112" t="e">
        <f t="shared" si="46"/>
        <v>#REF!</v>
      </c>
      <c r="AX55" s="112" t="e">
        <f t="shared" si="46"/>
        <v>#REF!</v>
      </c>
      <c r="AY55" s="112" t="e">
        <f t="shared" si="46"/>
        <v>#REF!</v>
      </c>
      <c r="AZ55" s="112" t="e">
        <f t="shared" si="46"/>
        <v>#REF!</v>
      </c>
      <c r="BA55" s="112" t="e">
        <f t="shared" si="46"/>
        <v>#REF!</v>
      </c>
      <c r="BB55" s="112" t="e">
        <f t="shared" si="46"/>
        <v>#REF!</v>
      </c>
      <c r="BC55" s="112" t="e">
        <f t="shared" si="46"/>
        <v>#REF!</v>
      </c>
      <c r="BD55" s="112" t="e">
        <f t="shared" si="46"/>
        <v>#REF!</v>
      </c>
      <c r="BE55" s="112" t="e">
        <f t="shared" si="46"/>
        <v>#REF!</v>
      </c>
      <c r="BF55" s="112" t="e">
        <f t="shared" si="46"/>
        <v>#REF!</v>
      </c>
      <c r="BG55" s="112" t="e">
        <f t="shared" si="46"/>
        <v>#REF!</v>
      </c>
      <c r="BH55" s="112" t="e">
        <f t="shared" si="46"/>
        <v>#REF!</v>
      </c>
      <c r="BI55" s="112" t="e">
        <f t="shared" si="46"/>
        <v>#REF!</v>
      </c>
      <c r="BJ55" s="112" t="e">
        <f t="shared" si="46"/>
        <v>#REF!</v>
      </c>
    </row>
    <row r="56" spans="1:62" ht="12" customHeight="1">
      <c r="A56" s="521"/>
      <c r="B56" s="111" t="e">
        <f>'C1 - Cargos e Salários'!#REF!</f>
        <v>#REF!</v>
      </c>
      <c r="C56" s="112" t="e">
        <f>'C1 - Cargos e Salários'!#REF!</f>
        <v>#REF!</v>
      </c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2" t="e">
        <f t="shared" ref="AG56:BJ56" si="47">SUM($C56:C56)</f>
        <v>#REF!</v>
      </c>
      <c r="AH56" s="112" t="e">
        <f t="shared" si="47"/>
        <v>#REF!</v>
      </c>
      <c r="AI56" s="112" t="e">
        <f t="shared" si="47"/>
        <v>#REF!</v>
      </c>
      <c r="AJ56" s="112" t="e">
        <f t="shared" si="47"/>
        <v>#REF!</v>
      </c>
      <c r="AK56" s="112" t="e">
        <f t="shared" si="47"/>
        <v>#REF!</v>
      </c>
      <c r="AL56" s="112" t="e">
        <f t="shared" si="47"/>
        <v>#REF!</v>
      </c>
      <c r="AM56" s="112" t="e">
        <f t="shared" si="47"/>
        <v>#REF!</v>
      </c>
      <c r="AN56" s="112" t="e">
        <f t="shared" si="47"/>
        <v>#REF!</v>
      </c>
      <c r="AO56" s="112" t="e">
        <f t="shared" si="47"/>
        <v>#REF!</v>
      </c>
      <c r="AP56" s="112" t="e">
        <f t="shared" si="47"/>
        <v>#REF!</v>
      </c>
      <c r="AQ56" s="112" t="e">
        <f t="shared" si="47"/>
        <v>#REF!</v>
      </c>
      <c r="AR56" s="112" t="e">
        <f t="shared" si="47"/>
        <v>#REF!</v>
      </c>
      <c r="AS56" s="112" t="e">
        <f t="shared" si="47"/>
        <v>#REF!</v>
      </c>
      <c r="AT56" s="112" t="e">
        <f t="shared" si="47"/>
        <v>#REF!</v>
      </c>
      <c r="AU56" s="112" t="e">
        <f t="shared" si="47"/>
        <v>#REF!</v>
      </c>
      <c r="AV56" s="112" t="e">
        <f t="shared" si="47"/>
        <v>#REF!</v>
      </c>
      <c r="AW56" s="112" t="e">
        <f t="shared" si="47"/>
        <v>#REF!</v>
      </c>
      <c r="AX56" s="112" t="e">
        <f t="shared" si="47"/>
        <v>#REF!</v>
      </c>
      <c r="AY56" s="112" t="e">
        <f t="shared" si="47"/>
        <v>#REF!</v>
      </c>
      <c r="AZ56" s="112" t="e">
        <f t="shared" si="47"/>
        <v>#REF!</v>
      </c>
      <c r="BA56" s="112" t="e">
        <f t="shared" si="47"/>
        <v>#REF!</v>
      </c>
      <c r="BB56" s="112" t="e">
        <f t="shared" si="47"/>
        <v>#REF!</v>
      </c>
      <c r="BC56" s="112" t="e">
        <f t="shared" si="47"/>
        <v>#REF!</v>
      </c>
      <c r="BD56" s="112" t="e">
        <f t="shared" si="47"/>
        <v>#REF!</v>
      </c>
      <c r="BE56" s="112" t="e">
        <f t="shared" si="47"/>
        <v>#REF!</v>
      </c>
      <c r="BF56" s="112" t="e">
        <f t="shared" si="47"/>
        <v>#REF!</v>
      </c>
      <c r="BG56" s="112" t="e">
        <f t="shared" si="47"/>
        <v>#REF!</v>
      </c>
      <c r="BH56" s="112" t="e">
        <f t="shared" si="47"/>
        <v>#REF!</v>
      </c>
      <c r="BI56" s="112" t="e">
        <f t="shared" si="47"/>
        <v>#REF!</v>
      </c>
      <c r="BJ56" s="112" t="e">
        <f t="shared" si="47"/>
        <v>#REF!</v>
      </c>
    </row>
    <row r="57" spans="1:62" ht="12" customHeight="1">
      <c r="A57" s="521"/>
      <c r="B57" s="111" t="e">
        <f>'C1 - Cargos e Salários'!#REF!</f>
        <v>#REF!</v>
      </c>
      <c r="C57" s="112" t="e">
        <f>'C1 - Cargos e Salários'!#REF!</f>
        <v>#REF!</v>
      </c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2" t="e">
        <f t="shared" ref="AG57:BJ57" si="48">SUM($C57:C57)</f>
        <v>#REF!</v>
      </c>
      <c r="AH57" s="112" t="e">
        <f t="shared" si="48"/>
        <v>#REF!</v>
      </c>
      <c r="AI57" s="112" t="e">
        <f t="shared" si="48"/>
        <v>#REF!</v>
      </c>
      <c r="AJ57" s="112" t="e">
        <f t="shared" si="48"/>
        <v>#REF!</v>
      </c>
      <c r="AK57" s="112" t="e">
        <f t="shared" si="48"/>
        <v>#REF!</v>
      </c>
      <c r="AL57" s="112" t="e">
        <f t="shared" si="48"/>
        <v>#REF!</v>
      </c>
      <c r="AM57" s="112" t="e">
        <f t="shared" si="48"/>
        <v>#REF!</v>
      </c>
      <c r="AN57" s="112" t="e">
        <f t="shared" si="48"/>
        <v>#REF!</v>
      </c>
      <c r="AO57" s="112" t="e">
        <f t="shared" si="48"/>
        <v>#REF!</v>
      </c>
      <c r="AP57" s="112" t="e">
        <f t="shared" si="48"/>
        <v>#REF!</v>
      </c>
      <c r="AQ57" s="112" t="e">
        <f t="shared" si="48"/>
        <v>#REF!</v>
      </c>
      <c r="AR57" s="112" t="e">
        <f t="shared" si="48"/>
        <v>#REF!</v>
      </c>
      <c r="AS57" s="112" t="e">
        <f t="shared" si="48"/>
        <v>#REF!</v>
      </c>
      <c r="AT57" s="112" t="e">
        <f t="shared" si="48"/>
        <v>#REF!</v>
      </c>
      <c r="AU57" s="112" t="e">
        <f t="shared" si="48"/>
        <v>#REF!</v>
      </c>
      <c r="AV57" s="112" t="e">
        <f t="shared" si="48"/>
        <v>#REF!</v>
      </c>
      <c r="AW57" s="112" t="e">
        <f t="shared" si="48"/>
        <v>#REF!</v>
      </c>
      <c r="AX57" s="112" t="e">
        <f t="shared" si="48"/>
        <v>#REF!</v>
      </c>
      <c r="AY57" s="112" t="e">
        <f t="shared" si="48"/>
        <v>#REF!</v>
      </c>
      <c r="AZ57" s="112" t="e">
        <f t="shared" si="48"/>
        <v>#REF!</v>
      </c>
      <c r="BA57" s="112" t="e">
        <f t="shared" si="48"/>
        <v>#REF!</v>
      </c>
      <c r="BB57" s="112" t="e">
        <f t="shared" si="48"/>
        <v>#REF!</v>
      </c>
      <c r="BC57" s="112" t="e">
        <f t="shared" si="48"/>
        <v>#REF!</v>
      </c>
      <c r="BD57" s="112" t="e">
        <f t="shared" si="48"/>
        <v>#REF!</v>
      </c>
      <c r="BE57" s="112" t="e">
        <f t="shared" si="48"/>
        <v>#REF!</v>
      </c>
      <c r="BF57" s="112" t="e">
        <f t="shared" si="48"/>
        <v>#REF!</v>
      </c>
      <c r="BG57" s="112" t="e">
        <f t="shared" si="48"/>
        <v>#REF!</v>
      </c>
      <c r="BH57" s="112" t="e">
        <f t="shared" si="48"/>
        <v>#REF!</v>
      </c>
      <c r="BI57" s="112" t="e">
        <f t="shared" si="48"/>
        <v>#REF!</v>
      </c>
      <c r="BJ57" s="112" t="e">
        <f t="shared" si="48"/>
        <v>#REF!</v>
      </c>
    </row>
    <row r="58" spans="1:62" ht="12" customHeight="1">
      <c r="A58" s="521"/>
      <c r="B58" s="111" t="e">
        <f>'C1 - Cargos e Salários'!#REF!</f>
        <v>#REF!</v>
      </c>
      <c r="C58" s="112" t="e">
        <f>'C1 - Cargos e Salários'!#REF!</f>
        <v>#REF!</v>
      </c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2" t="e">
        <f t="shared" ref="AG58:BJ58" si="49">SUM($C58:C58)</f>
        <v>#REF!</v>
      </c>
      <c r="AH58" s="112" t="e">
        <f t="shared" si="49"/>
        <v>#REF!</v>
      </c>
      <c r="AI58" s="112" t="e">
        <f t="shared" si="49"/>
        <v>#REF!</v>
      </c>
      <c r="AJ58" s="112" t="e">
        <f t="shared" si="49"/>
        <v>#REF!</v>
      </c>
      <c r="AK58" s="112" t="e">
        <f t="shared" si="49"/>
        <v>#REF!</v>
      </c>
      <c r="AL58" s="112" t="e">
        <f t="shared" si="49"/>
        <v>#REF!</v>
      </c>
      <c r="AM58" s="112" t="e">
        <f t="shared" si="49"/>
        <v>#REF!</v>
      </c>
      <c r="AN58" s="112" t="e">
        <f t="shared" si="49"/>
        <v>#REF!</v>
      </c>
      <c r="AO58" s="112" t="e">
        <f t="shared" si="49"/>
        <v>#REF!</v>
      </c>
      <c r="AP58" s="112" t="e">
        <f t="shared" si="49"/>
        <v>#REF!</v>
      </c>
      <c r="AQ58" s="112" t="e">
        <f t="shared" si="49"/>
        <v>#REF!</v>
      </c>
      <c r="AR58" s="112" t="e">
        <f t="shared" si="49"/>
        <v>#REF!</v>
      </c>
      <c r="AS58" s="112" t="e">
        <f t="shared" si="49"/>
        <v>#REF!</v>
      </c>
      <c r="AT58" s="112" t="e">
        <f t="shared" si="49"/>
        <v>#REF!</v>
      </c>
      <c r="AU58" s="112" t="e">
        <f t="shared" si="49"/>
        <v>#REF!</v>
      </c>
      <c r="AV58" s="112" t="e">
        <f t="shared" si="49"/>
        <v>#REF!</v>
      </c>
      <c r="AW58" s="112" t="e">
        <f t="shared" si="49"/>
        <v>#REF!</v>
      </c>
      <c r="AX58" s="112" t="e">
        <f t="shared" si="49"/>
        <v>#REF!</v>
      </c>
      <c r="AY58" s="112" t="e">
        <f t="shared" si="49"/>
        <v>#REF!</v>
      </c>
      <c r="AZ58" s="112" t="e">
        <f t="shared" si="49"/>
        <v>#REF!</v>
      </c>
      <c r="BA58" s="112" t="e">
        <f t="shared" si="49"/>
        <v>#REF!</v>
      </c>
      <c r="BB58" s="112" t="e">
        <f t="shared" si="49"/>
        <v>#REF!</v>
      </c>
      <c r="BC58" s="112" t="e">
        <f t="shared" si="49"/>
        <v>#REF!</v>
      </c>
      <c r="BD58" s="112" t="e">
        <f t="shared" si="49"/>
        <v>#REF!</v>
      </c>
      <c r="BE58" s="112" t="e">
        <f t="shared" si="49"/>
        <v>#REF!</v>
      </c>
      <c r="BF58" s="112" t="e">
        <f t="shared" si="49"/>
        <v>#REF!</v>
      </c>
      <c r="BG58" s="112" t="e">
        <f t="shared" si="49"/>
        <v>#REF!</v>
      </c>
      <c r="BH58" s="112" t="e">
        <f t="shared" si="49"/>
        <v>#REF!</v>
      </c>
      <c r="BI58" s="112" t="e">
        <f t="shared" si="49"/>
        <v>#REF!</v>
      </c>
      <c r="BJ58" s="112" t="e">
        <f t="shared" si="49"/>
        <v>#REF!</v>
      </c>
    </row>
    <row r="59" spans="1:62" ht="12" customHeight="1">
      <c r="A59" s="521"/>
      <c r="B59" s="111" t="str">
        <f>'C1 - Cargos e Salários'!B41</f>
        <v>Assistente administrativo</v>
      </c>
      <c r="C59" s="112">
        <f>'C1 - Cargos e Salários'!E41</f>
        <v>10</v>
      </c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2">
        <f t="shared" ref="AG59:BJ59" si="50">SUM($C59:C59)</f>
        <v>10</v>
      </c>
      <c r="AH59" s="112">
        <f t="shared" si="50"/>
        <v>10</v>
      </c>
      <c r="AI59" s="112">
        <f t="shared" si="50"/>
        <v>10</v>
      </c>
      <c r="AJ59" s="112">
        <f t="shared" si="50"/>
        <v>10</v>
      </c>
      <c r="AK59" s="112">
        <f t="shared" si="50"/>
        <v>10</v>
      </c>
      <c r="AL59" s="112">
        <f t="shared" si="50"/>
        <v>10</v>
      </c>
      <c r="AM59" s="112">
        <f t="shared" si="50"/>
        <v>10</v>
      </c>
      <c r="AN59" s="112">
        <f t="shared" si="50"/>
        <v>10</v>
      </c>
      <c r="AO59" s="112">
        <f t="shared" si="50"/>
        <v>10</v>
      </c>
      <c r="AP59" s="112">
        <f t="shared" si="50"/>
        <v>10</v>
      </c>
      <c r="AQ59" s="112">
        <f t="shared" si="50"/>
        <v>10</v>
      </c>
      <c r="AR59" s="112">
        <f t="shared" si="50"/>
        <v>10</v>
      </c>
      <c r="AS59" s="112">
        <f t="shared" si="50"/>
        <v>10</v>
      </c>
      <c r="AT59" s="112">
        <f t="shared" si="50"/>
        <v>10</v>
      </c>
      <c r="AU59" s="112">
        <f t="shared" si="50"/>
        <v>10</v>
      </c>
      <c r="AV59" s="112">
        <f t="shared" si="50"/>
        <v>10</v>
      </c>
      <c r="AW59" s="112">
        <f t="shared" si="50"/>
        <v>10</v>
      </c>
      <c r="AX59" s="112">
        <f t="shared" si="50"/>
        <v>10</v>
      </c>
      <c r="AY59" s="112">
        <f t="shared" si="50"/>
        <v>10</v>
      </c>
      <c r="AZ59" s="112">
        <f t="shared" si="50"/>
        <v>10</v>
      </c>
      <c r="BA59" s="112">
        <f t="shared" si="50"/>
        <v>10</v>
      </c>
      <c r="BB59" s="112">
        <f t="shared" si="50"/>
        <v>10</v>
      </c>
      <c r="BC59" s="112">
        <f t="shared" si="50"/>
        <v>10</v>
      </c>
      <c r="BD59" s="112">
        <f t="shared" si="50"/>
        <v>10</v>
      </c>
      <c r="BE59" s="112">
        <f t="shared" si="50"/>
        <v>10</v>
      </c>
      <c r="BF59" s="112">
        <f t="shared" si="50"/>
        <v>10</v>
      </c>
      <c r="BG59" s="112">
        <f t="shared" si="50"/>
        <v>10</v>
      </c>
      <c r="BH59" s="112">
        <f t="shared" si="50"/>
        <v>10</v>
      </c>
      <c r="BI59" s="112">
        <f t="shared" si="50"/>
        <v>10</v>
      </c>
      <c r="BJ59" s="112">
        <f t="shared" si="50"/>
        <v>10</v>
      </c>
    </row>
    <row r="60" spans="1:62" ht="12" customHeight="1">
      <c r="A60" s="521"/>
      <c r="B60" s="111" t="str">
        <f>'C1 - Cargos e Salários'!B42</f>
        <v>Gerente de Recursos Humanos</v>
      </c>
      <c r="C60" s="112">
        <f>'C1 - Cargos e Salários'!E42</f>
        <v>1</v>
      </c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2">
        <f t="shared" ref="AG60:BJ60" si="51">SUM($C60:C60)</f>
        <v>1</v>
      </c>
      <c r="AH60" s="112">
        <f t="shared" si="51"/>
        <v>1</v>
      </c>
      <c r="AI60" s="112">
        <f t="shared" si="51"/>
        <v>1</v>
      </c>
      <c r="AJ60" s="112">
        <f t="shared" si="51"/>
        <v>1</v>
      </c>
      <c r="AK60" s="112">
        <f t="shared" si="51"/>
        <v>1</v>
      </c>
      <c r="AL60" s="112">
        <f t="shared" si="51"/>
        <v>1</v>
      </c>
      <c r="AM60" s="112">
        <f t="shared" si="51"/>
        <v>1</v>
      </c>
      <c r="AN60" s="112">
        <f t="shared" si="51"/>
        <v>1</v>
      </c>
      <c r="AO60" s="112">
        <f t="shared" si="51"/>
        <v>1</v>
      </c>
      <c r="AP60" s="112">
        <f t="shared" si="51"/>
        <v>1</v>
      </c>
      <c r="AQ60" s="112">
        <f t="shared" si="51"/>
        <v>1</v>
      </c>
      <c r="AR60" s="112">
        <f t="shared" si="51"/>
        <v>1</v>
      </c>
      <c r="AS60" s="112">
        <f t="shared" si="51"/>
        <v>1</v>
      </c>
      <c r="AT60" s="112">
        <f t="shared" si="51"/>
        <v>1</v>
      </c>
      <c r="AU60" s="112">
        <f t="shared" si="51"/>
        <v>1</v>
      </c>
      <c r="AV60" s="112">
        <f t="shared" si="51"/>
        <v>1</v>
      </c>
      <c r="AW60" s="112">
        <f t="shared" si="51"/>
        <v>1</v>
      </c>
      <c r="AX60" s="112">
        <f t="shared" si="51"/>
        <v>1</v>
      </c>
      <c r="AY60" s="112">
        <f t="shared" si="51"/>
        <v>1</v>
      </c>
      <c r="AZ60" s="112">
        <f t="shared" si="51"/>
        <v>1</v>
      </c>
      <c r="BA60" s="112">
        <f t="shared" si="51"/>
        <v>1</v>
      </c>
      <c r="BB60" s="112">
        <f t="shared" si="51"/>
        <v>1</v>
      </c>
      <c r="BC60" s="112">
        <f t="shared" si="51"/>
        <v>1</v>
      </c>
      <c r="BD60" s="112">
        <f t="shared" si="51"/>
        <v>1</v>
      </c>
      <c r="BE60" s="112">
        <f t="shared" si="51"/>
        <v>1</v>
      </c>
      <c r="BF60" s="112">
        <f t="shared" si="51"/>
        <v>1</v>
      </c>
      <c r="BG60" s="112">
        <f t="shared" si="51"/>
        <v>1</v>
      </c>
      <c r="BH60" s="112">
        <f t="shared" si="51"/>
        <v>1</v>
      </c>
      <c r="BI60" s="112">
        <f t="shared" si="51"/>
        <v>1</v>
      </c>
      <c r="BJ60" s="112">
        <f t="shared" si="51"/>
        <v>1</v>
      </c>
    </row>
    <row r="61" spans="1:62" ht="12" customHeight="1">
      <c r="A61" s="521"/>
      <c r="B61" s="111" t="str">
        <f>'C1 - Cargos e Salários'!B43</f>
        <v>Gerente geral</v>
      </c>
      <c r="C61" s="112">
        <f>'C1 - Cargos e Salários'!E43</f>
        <v>1</v>
      </c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2">
        <f t="shared" ref="AG61:BJ61" si="52">SUM($C61:C61)</f>
        <v>1</v>
      </c>
      <c r="AH61" s="112">
        <f t="shared" si="52"/>
        <v>1</v>
      </c>
      <c r="AI61" s="112">
        <f t="shared" si="52"/>
        <v>1</v>
      </c>
      <c r="AJ61" s="112">
        <f t="shared" si="52"/>
        <v>1</v>
      </c>
      <c r="AK61" s="112">
        <f t="shared" si="52"/>
        <v>1</v>
      </c>
      <c r="AL61" s="112">
        <f t="shared" si="52"/>
        <v>1</v>
      </c>
      <c r="AM61" s="112">
        <f t="shared" si="52"/>
        <v>1</v>
      </c>
      <c r="AN61" s="112">
        <f t="shared" si="52"/>
        <v>1</v>
      </c>
      <c r="AO61" s="112">
        <f t="shared" si="52"/>
        <v>1</v>
      </c>
      <c r="AP61" s="112">
        <f t="shared" si="52"/>
        <v>1</v>
      </c>
      <c r="AQ61" s="112">
        <f t="shared" si="52"/>
        <v>1</v>
      </c>
      <c r="AR61" s="112">
        <f t="shared" si="52"/>
        <v>1</v>
      </c>
      <c r="AS61" s="112">
        <f t="shared" si="52"/>
        <v>1</v>
      </c>
      <c r="AT61" s="112">
        <f t="shared" si="52"/>
        <v>1</v>
      </c>
      <c r="AU61" s="112">
        <f t="shared" si="52"/>
        <v>1</v>
      </c>
      <c r="AV61" s="112">
        <f t="shared" si="52"/>
        <v>1</v>
      </c>
      <c r="AW61" s="112">
        <f t="shared" si="52"/>
        <v>1</v>
      </c>
      <c r="AX61" s="112">
        <f t="shared" si="52"/>
        <v>1</v>
      </c>
      <c r="AY61" s="112">
        <f t="shared" si="52"/>
        <v>1</v>
      </c>
      <c r="AZ61" s="112">
        <f t="shared" si="52"/>
        <v>1</v>
      </c>
      <c r="BA61" s="112">
        <f t="shared" si="52"/>
        <v>1</v>
      </c>
      <c r="BB61" s="112">
        <f t="shared" si="52"/>
        <v>1</v>
      </c>
      <c r="BC61" s="112">
        <f t="shared" si="52"/>
        <v>1</v>
      </c>
      <c r="BD61" s="112">
        <f t="shared" si="52"/>
        <v>1</v>
      </c>
      <c r="BE61" s="112">
        <f t="shared" si="52"/>
        <v>1</v>
      </c>
      <c r="BF61" s="112">
        <f t="shared" si="52"/>
        <v>1</v>
      </c>
      <c r="BG61" s="112">
        <f t="shared" si="52"/>
        <v>1</v>
      </c>
      <c r="BH61" s="112">
        <f t="shared" si="52"/>
        <v>1</v>
      </c>
      <c r="BI61" s="112">
        <f t="shared" si="52"/>
        <v>1</v>
      </c>
      <c r="BJ61" s="112">
        <f t="shared" si="52"/>
        <v>1</v>
      </c>
    </row>
    <row r="62" spans="1:62" ht="12" customHeight="1">
      <c r="A62" s="521"/>
      <c r="B62" s="111" t="str">
        <f>'C1 - Cargos e Salários'!B44</f>
        <v>Motorista</v>
      </c>
      <c r="C62" s="112">
        <f>'C1 - Cargos e Salários'!E44</f>
        <v>12</v>
      </c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2">
        <f t="shared" ref="AG62:BJ62" si="53">SUM($C62:C62)</f>
        <v>12</v>
      </c>
      <c r="AH62" s="112">
        <f t="shared" si="53"/>
        <v>12</v>
      </c>
      <c r="AI62" s="112">
        <f t="shared" si="53"/>
        <v>12</v>
      </c>
      <c r="AJ62" s="112">
        <f t="shared" si="53"/>
        <v>12</v>
      </c>
      <c r="AK62" s="112">
        <f t="shared" si="53"/>
        <v>12</v>
      </c>
      <c r="AL62" s="112">
        <f t="shared" si="53"/>
        <v>12</v>
      </c>
      <c r="AM62" s="112">
        <f t="shared" si="53"/>
        <v>12</v>
      </c>
      <c r="AN62" s="112">
        <f t="shared" si="53"/>
        <v>12</v>
      </c>
      <c r="AO62" s="112">
        <f t="shared" si="53"/>
        <v>12</v>
      </c>
      <c r="AP62" s="112">
        <f t="shared" si="53"/>
        <v>12</v>
      </c>
      <c r="AQ62" s="112">
        <f t="shared" si="53"/>
        <v>12</v>
      </c>
      <c r="AR62" s="112">
        <f t="shared" si="53"/>
        <v>12</v>
      </c>
      <c r="AS62" s="112">
        <f t="shared" si="53"/>
        <v>12</v>
      </c>
      <c r="AT62" s="112">
        <f t="shared" si="53"/>
        <v>12</v>
      </c>
      <c r="AU62" s="112">
        <f t="shared" si="53"/>
        <v>12</v>
      </c>
      <c r="AV62" s="112">
        <f t="shared" si="53"/>
        <v>12</v>
      </c>
      <c r="AW62" s="112">
        <f t="shared" si="53"/>
        <v>12</v>
      </c>
      <c r="AX62" s="112">
        <f t="shared" si="53"/>
        <v>12</v>
      </c>
      <c r="AY62" s="112">
        <f t="shared" si="53"/>
        <v>12</v>
      </c>
      <c r="AZ62" s="112">
        <f t="shared" si="53"/>
        <v>12</v>
      </c>
      <c r="BA62" s="112">
        <f t="shared" si="53"/>
        <v>12</v>
      </c>
      <c r="BB62" s="112">
        <f t="shared" si="53"/>
        <v>12</v>
      </c>
      <c r="BC62" s="112">
        <f t="shared" si="53"/>
        <v>12</v>
      </c>
      <c r="BD62" s="112">
        <f t="shared" si="53"/>
        <v>12</v>
      </c>
      <c r="BE62" s="112">
        <f t="shared" si="53"/>
        <v>12</v>
      </c>
      <c r="BF62" s="112">
        <f t="shared" si="53"/>
        <v>12</v>
      </c>
      <c r="BG62" s="112">
        <f t="shared" si="53"/>
        <v>12</v>
      </c>
      <c r="BH62" s="112">
        <f t="shared" si="53"/>
        <v>12</v>
      </c>
      <c r="BI62" s="112">
        <f t="shared" si="53"/>
        <v>12</v>
      </c>
      <c r="BJ62" s="112">
        <f t="shared" si="53"/>
        <v>12</v>
      </c>
    </row>
    <row r="63" spans="1:62" ht="12" customHeight="1">
      <c r="A63" s="521"/>
      <c r="B63" s="111" t="str">
        <f>'C1 - Cargos e Salários'!B45</f>
        <v>Supervisor de operação</v>
      </c>
      <c r="C63" s="112">
        <f>'C1 - Cargos e Salários'!E45</f>
        <v>5</v>
      </c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2">
        <f t="shared" ref="AG63:BJ63" si="54">SUM($C63:C63)</f>
        <v>5</v>
      </c>
      <c r="AH63" s="112">
        <f t="shared" si="54"/>
        <v>5</v>
      </c>
      <c r="AI63" s="112">
        <f t="shared" si="54"/>
        <v>5</v>
      </c>
      <c r="AJ63" s="112">
        <f t="shared" si="54"/>
        <v>5</v>
      </c>
      <c r="AK63" s="112">
        <f t="shared" si="54"/>
        <v>5</v>
      </c>
      <c r="AL63" s="112">
        <f t="shared" si="54"/>
        <v>5</v>
      </c>
      <c r="AM63" s="112">
        <f t="shared" si="54"/>
        <v>5</v>
      </c>
      <c r="AN63" s="112">
        <f t="shared" si="54"/>
        <v>5</v>
      </c>
      <c r="AO63" s="112">
        <f t="shared" si="54"/>
        <v>5</v>
      </c>
      <c r="AP63" s="112">
        <f t="shared" si="54"/>
        <v>5</v>
      </c>
      <c r="AQ63" s="112">
        <f t="shared" si="54"/>
        <v>5</v>
      </c>
      <c r="AR63" s="112">
        <f t="shared" si="54"/>
        <v>5</v>
      </c>
      <c r="AS63" s="112">
        <f t="shared" si="54"/>
        <v>5</v>
      </c>
      <c r="AT63" s="112">
        <f t="shared" si="54"/>
        <v>5</v>
      </c>
      <c r="AU63" s="112">
        <f t="shared" si="54"/>
        <v>5</v>
      </c>
      <c r="AV63" s="112">
        <f t="shared" si="54"/>
        <v>5</v>
      </c>
      <c r="AW63" s="112">
        <f t="shared" si="54"/>
        <v>5</v>
      </c>
      <c r="AX63" s="112">
        <f t="shared" si="54"/>
        <v>5</v>
      </c>
      <c r="AY63" s="112">
        <f t="shared" si="54"/>
        <v>5</v>
      </c>
      <c r="AZ63" s="112">
        <f t="shared" si="54"/>
        <v>5</v>
      </c>
      <c r="BA63" s="112">
        <f t="shared" si="54"/>
        <v>5</v>
      </c>
      <c r="BB63" s="112">
        <f t="shared" si="54"/>
        <v>5</v>
      </c>
      <c r="BC63" s="112">
        <f t="shared" si="54"/>
        <v>5</v>
      </c>
      <c r="BD63" s="112">
        <f t="shared" si="54"/>
        <v>5</v>
      </c>
      <c r="BE63" s="112">
        <f t="shared" si="54"/>
        <v>5</v>
      </c>
      <c r="BF63" s="112">
        <f t="shared" si="54"/>
        <v>5</v>
      </c>
      <c r="BG63" s="112">
        <f t="shared" si="54"/>
        <v>5</v>
      </c>
      <c r="BH63" s="112">
        <f t="shared" si="54"/>
        <v>5</v>
      </c>
      <c r="BI63" s="112">
        <f t="shared" si="54"/>
        <v>5</v>
      </c>
      <c r="BJ63" s="112">
        <f t="shared" si="54"/>
        <v>5</v>
      </c>
    </row>
    <row r="64" spans="1:62" ht="12" customHeight="1">
      <c r="A64" s="521"/>
      <c r="B64" s="111" t="str">
        <f>'C1 - Cargos e Salários'!B46</f>
        <v>Comprador</v>
      </c>
      <c r="C64" s="112">
        <f>'C1 - Cargos e Salários'!E46</f>
        <v>1</v>
      </c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2">
        <f t="shared" ref="AG64:BJ64" si="55">SUM($C64:C64)</f>
        <v>1</v>
      </c>
      <c r="AH64" s="112">
        <f t="shared" si="55"/>
        <v>1</v>
      </c>
      <c r="AI64" s="112">
        <f t="shared" si="55"/>
        <v>1</v>
      </c>
      <c r="AJ64" s="112">
        <f t="shared" si="55"/>
        <v>1</v>
      </c>
      <c r="AK64" s="112">
        <f t="shared" si="55"/>
        <v>1</v>
      </c>
      <c r="AL64" s="112">
        <f t="shared" si="55"/>
        <v>1</v>
      </c>
      <c r="AM64" s="112">
        <f t="shared" si="55"/>
        <v>1</v>
      </c>
      <c r="AN64" s="112">
        <f t="shared" si="55"/>
        <v>1</v>
      </c>
      <c r="AO64" s="112">
        <f t="shared" si="55"/>
        <v>1</v>
      </c>
      <c r="AP64" s="112">
        <f t="shared" si="55"/>
        <v>1</v>
      </c>
      <c r="AQ64" s="112">
        <f t="shared" si="55"/>
        <v>1</v>
      </c>
      <c r="AR64" s="112">
        <f t="shared" si="55"/>
        <v>1</v>
      </c>
      <c r="AS64" s="112">
        <f t="shared" si="55"/>
        <v>1</v>
      </c>
      <c r="AT64" s="112">
        <f t="shared" si="55"/>
        <v>1</v>
      </c>
      <c r="AU64" s="112">
        <f t="shared" si="55"/>
        <v>1</v>
      </c>
      <c r="AV64" s="112">
        <f t="shared" si="55"/>
        <v>1</v>
      </c>
      <c r="AW64" s="112">
        <f t="shared" si="55"/>
        <v>1</v>
      </c>
      <c r="AX64" s="112">
        <f t="shared" si="55"/>
        <v>1</v>
      </c>
      <c r="AY64" s="112">
        <f t="shared" si="55"/>
        <v>1</v>
      </c>
      <c r="AZ64" s="112">
        <f t="shared" si="55"/>
        <v>1</v>
      </c>
      <c r="BA64" s="112">
        <f t="shared" si="55"/>
        <v>1</v>
      </c>
      <c r="BB64" s="112">
        <f t="shared" si="55"/>
        <v>1</v>
      </c>
      <c r="BC64" s="112">
        <f t="shared" si="55"/>
        <v>1</v>
      </c>
      <c r="BD64" s="112">
        <f t="shared" si="55"/>
        <v>1</v>
      </c>
      <c r="BE64" s="112">
        <f t="shared" si="55"/>
        <v>1</v>
      </c>
      <c r="BF64" s="112">
        <f t="shared" si="55"/>
        <v>1</v>
      </c>
      <c r="BG64" s="112">
        <f t="shared" si="55"/>
        <v>1</v>
      </c>
      <c r="BH64" s="112">
        <f t="shared" si="55"/>
        <v>1</v>
      </c>
      <c r="BI64" s="112">
        <f t="shared" si="55"/>
        <v>1</v>
      </c>
      <c r="BJ64" s="112">
        <f t="shared" si="55"/>
        <v>1</v>
      </c>
    </row>
    <row r="65" spans="1:62" ht="12" customHeight="1">
      <c r="A65" s="521"/>
      <c r="B65" s="111" t="str">
        <f>'C1 - Cargos e Salários'!B47</f>
        <v>Agente ambiental</v>
      </c>
      <c r="C65" s="112">
        <f>'C1 - Cargos e Salários'!E47</f>
        <v>20</v>
      </c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2">
        <f t="shared" ref="AG65:BJ65" si="56">SUM($C65:C65)</f>
        <v>20</v>
      </c>
      <c r="AH65" s="112">
        <f t="shared" si="56"/>
        <v>20</v>
      </c>
      <c r="AI65" s="112">
        <f t="shared" si="56"/>
        <v>20</v>
      </c>
      <c r="AJ65" s="112">
        <f t="shared" si="56"/>
        <v>20</v>
      </c>
      <c r="AK65" s="112">
        <f t="shared" si="56"/>
        <v>20</v>
      </c>
      <c r="AL65" s="112">
        <f t="shared" si="56"/>
        <v>20</v>
      </c>
      <c r="AM65" s="112">
        <f t="shared" si="56"/>
        <v>20</v>
      </c>
      <c r="AN65" s="112">
        <f t="shared" si="56"/>
        <v>20</v>
      </c>
      <c r="AO65" s="112">
        <f t="shared" si="56"/>
        <v>20</v>
      </c>
      <c r="AP65" s="112">
        <f t="shared" si="56"/>
        <v>20</v>
      </c>
      <c r="AQ65" s="112">
        <f t="shared" si="56"/>
        <v>20</v>
      </c>
      <c r="AR65" s="112">
        <f t="shared" si="56"/>
        <v>20</v>
      </c>
      <c r="AS65" s="112">
        <f t="shared" si="56"/>
        <v>20</v>
      </c>
      <c r="AT65" s="112">
        <f t="shared" si="56"/>
        <v>20</v>
      </c>
      <c r="AU65" s="112">
        <f t="shared" si="56"/>
        <v>20</v>
      </c>
      <c r="AV65" s="112">
        <f t="shared" si="56"/>
        <v>20</v>
      </c>
      <c r="AW65" s="112">
        <f t="shared" si="56"/>
        <v>20</v>
      </c>
      <c r="AX65" s="112">
        <f t="shared" si="56"/>
        <v>20</v>
      </c>
      <c r="AY65" s="112">
        <f t="shared" si="56"/>
        <v>20</v>
      </c>
      <c r="AZ65" s="112">
        <f t="shared" si="56"/>
        <v>20</v>
      </c>
      <c r="BA65" s="112">
        <f t="shared" si="56"/>
        <v>20</v>
      </c>
      <c r="BB65" s="112">
        <f t="shared" si="56"/>
        <v>20</v>
      </c>
      <c r="BC65" s="112">
        <f t="shared" si="56"/>
        <v>20</v>
      </c>
      <c r="BD65" s="112">
        <f t="shared" si="56"/>
        <v>20</v>
      </c>
      <c r="BE65" s="112">
        <f t="shared" si="56"/>
        <v>20</v>
      </c>
      <c r="BF65" s="112">
        <f t="shared" si="56"/>
        <v>20</v>
      </c>
      <c r="BG65" s="112">
        <f t="shared" si="56"/>
        <v>20</v>
      </c>
      <c r="BH65" s="112">
        <f t="shared" si="56"/>
        <v>20</v>
      </c>
      <c r="BI65" s="112">
        <f t="shared" si="56"/>
        <v>20</v>
      </c>
      <c r="BJ65" s="112">
        <f t="shared" si="56"/>
        <v>20</v>
      </c>
    </row>
    <row r="66" spans="1:62" ht="12" customHeight="1">
      <c r="A66" s="521"/>
      <c r="B66" s="111" t="str">
        <f>'C1 - Cargos e Salários'!B48</f>
        <v>Assistente de manutenção de vias</v>
      </c>
      <c r="C66" s="112">
        <f>'C1 - Cargos e Salários'!E48</f>
        <v>2</v>
      </c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2">
        <f t="shared" ref="AG66:BJ66" si="57">SUM($C66:C66)</f>
        <v>2</v>
      </c>
      <c r="AH66" s="112">
        <f t="shared" si="57"/>
        <v>2</v>
      </c>
      <c r="AI66" s="112">
        <f t="shared" si="57"/>
        <v>2</v>
      </c>
      <c r="AJ66" s="112">
        <f t="shared" si="57"/>
        <v>2</v>
      </c>
      <c r="AK66" s="112">
        <f t="shared" si="57"/>
        <v>2</v>
      </c>
      <c r="AL66" s="112">
        <f t="shared" si="57"/>
        <v>2</v>
      </c>
      <c r="AM66" s="112">
        <f t="shared" si="57"/>
        <v>2</v>
      </c>
      <c r="AN66" s="112">
        <f t="shared" si="57"/>
        <v>2</v>
      </c>
      <c r="AO66" s="112">
        <f t="shared" si="57"/>
        <v>2</v>
      </c>
      <c r="AP66" s="112">
        <f t="shared" si="57"/>
        <v>2</v>
      </c>
      <c r="AQ66" s="112">
        <f t="shared" si="57"/>
        <v>2</v>
      </c>
      <c r="AR66" s="112">
        <f t="shared" si="57"/>
        <v>2</v>
      </c>
      <c r="AS66" s="112">
        <f t="shared" si="57"/>
        <v>2</v>
      </c>
      <c r="AT66" s="112">
        <f t="shared" si="57"/>
        <v>2</v>
      </c>
      <c r="AU66" s="112">
        <f t="shared" si="57"/>
        <v>2</v>
      </c>
      <c r="AV66" s="112">
        <f t="shared" si="57"/>
        <v>2</v>
      </c>
      <c r="AW66" s="112">
        <f t="shared" si="57"/>
        <v>2</v>
      </c>
      <c r="AX66" s="112">
        <f t="shared" si="57"/>
        <v>2</v>
      </c>
      <c r="AY66" s="112">
        <f t="shared" si="57"/>
        <v>2</v>
      </c>
      <c r="AZ66" s="112">
        <f t="shared" si="57"/>
        <v>2</v>
      </c>
      <c r="BA66" s="112">
        <f t="shared" si="57"/>
        <v>2</v>
      </c>
      <c r="BB66" s="112">
        <f t="shared" si="57"/>
        <v>2</v>
      </c>
      <c r="BC66" s="112">
        <f t="shared" si="57"/>
        <v>2</v>
      </c>
      <c r="BD66" s="112">
        <f t="shared" si="57"/>
        <v>2</v>
      </c>
      <c r="BE66" s="112">
        <f t="shared" si="57"/>
        <v>2</v>
      </c>
      <c r="BF66" s="112">
        <f t="shared" si="57"/>
        <v>2</v>
      </c>
      <c r="BG66" s="112">
        <f t="shared" si="57"/>
        <v>2</v>
      </c>
      <c r="BH66" s="112">
        <f t="shared" si="57"/>
        <v>2</v>
      </c>
      <c r="BI66" s="112">
        <f t="shared" si="57"/>
        <v>2</v>
      </c>
      <c r="BJ66" s="112">
        <f t="shared" si="57"/>
        <v>2</v>
      </c>
    </row>
    <row r="67" spans="1:62" ht="12" customHeight="1">
      <c r="A67" s="521"/>
      <c r="B67" s="111" t="str">
        <f>'C1 - Cargos e Salários'!B49</f>
        <v>Operador de bobcat</v>
      </c>
      <c r="C67" s="112">
        <f>'C1 - Cargos e Salários'!E49</f>
        <v>2</v>
      </c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2">
        <f t="shared" ref="AG67:BJ67" si="58">SUM($C67:C67)</f>
        <v>2</v>
      </c>
      <c r="AH67" s="112">
        <f t="shared" si="58"/>
        <v>2</v>
      </c>
      <c r="AI67" s="112">
        <f t="shared" si="58"/>
        <v>2</v>
      </c>
      <c r="AJ67" s="112">
        <f t="shared" si="58"/>
        <v>2</v>
      </c>
      <c r="AK67" s="112">
        <f t="shared" si="58"/>
        <v>2</v>
      </c>
      <c r="AL67" s="112">
        <f t="shared" si="58"/>
        <v>2</v>
      </c>
      <c r="AM67" s="112">
        <f t="shared" si="58"/>
        <v>2</v>
      </c>
      <c r="AN67" s="112">
        <f t="shared" si="58"/>
        <v>2</v>
      </c>
      <c r="AO67" s="112">
        <f t="shared" si="58"/>
        <v>2</v>
      </c>
      <c r="AP67" s="112">
        <f t="shared" si="58"/>
        <v>2</v>
      </c>
      <c r="AQ67" s="112">
        <f t="shared" si="58"/>
        <v>2</v>
      </c>
      <c r="AR67" s="112">
        <f t="shared" si="58"/>
        <v>2</v>
      </c>
      <c r="AS67" s="112">
        <f t="shared" si="58"/>
        <v>2</v>
      </c>
      <c r="AT67" s="112">
        <f t="shared" si="58"/>
        <v>2</v>
      </c>
      <c r="AU67" s="112">
        <f t="shared" si="58"/>
        <v>2</v>
      </c>
      <c r="AV67" s="112">
        <f t="shared" si="58"/>
        <v>2</v>
      </c>
      <c r="AW67" s="112">
        <f t="shared" si="58"/>
        <v>2</v>
      </c>
      <c r="AX67" s="112">
        <f t="shared" si="58"/>
        <v>2</v>
      </c>
      <c r="AY67" s="112">
        <f t="shared" si="58"/>
        <v>2</v>
      </c>
      <c r="AZ67" s="112">
        <f t="shared" si="58"/>
        <v>2</v>
      </c>
      <c r="BA67" s="112">
        <f t="shared" si="58"/>
        <v>2</v>
      </c>
      <c r="BB67" s="112">
        <f t="shared" si="58"/>
        <v>2</v>
      </c>
      <c r="BC67" s="112">
        <f t="shared" si="58"/>
        <v>2</v>
      </c>
      <c r="BD67" s="112">
        <f t="shared" si="58"/>
        <v>2</v>
      </c>
      <c r="BE67" s="112">
        <f t="shared" si="58"/>
        <v>2</v>
      </c>
      <c r="BF67" s="112">
        <f t="shared" si="58"/>
        <v>2</v>
      </c>
      <c r="BG67" s="112">
        <f t="shared" si="58"/>
        <v>2</v>
      </c>
      <c r="BH67" s="112">
        <f t="shared" si="58"/>
        <v>2</v>
      </c>
      <c r="BI67" s="112">
        <f t="shared" si="58"/>
        <v>2</v>
      </c>
      <c r="BJ67" s="112">
        <f t="shared" si="58"/>
        <v>2</v>
      </c>
    </row>
    <row r="68" spans="1:62" ht="12" customHeight="1">
      <c r="A68" s="521"/>
      <c r="B68" s="111" t="str">
        <f>'C1 - Cargos e Salários'!B50</f>
        <v>Vigilante - posto fixo</v>
      </c>
      <c r="C68" s="112">
        <f>'C1 - Cargos e Salários'!E50</f>
        <v>40</v>
      </c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2">
        <f t="shared" ref="AG68:BJ68" si="59">SUM($C68:C68)</f>
        <v>40</v>
      </c>
      <c r="AH68" s="112">
        <f t="shared" si="59"/>
        <v>40</v>
      </c>
      <c r="AI68" s="112">
        <f t="shared" si="59"/>
        <v>40</v>
      </c>
      <c r="AJ68" s="112">
        <f t="shared" si="59"/>
        <v>40</v>
      </c>
      <c r="AK68" s="112">
        <f t="shared" si="59"/>
        <v>40</v>
      </c>
      <c r="AL68" s="112">
        <f t="shared" si="59"/>
        <v>40</v>
      </c>
      <c r="AM68" s="112">
        <f t="shared" si="59"/>
        <v>40</v>
      </c>
      <c r="AN68" s="112">
        <f t="shared" si="59"/>
        <v>40</v>
      </c>
      <c r="AO68" s="112">
        <f t="shared" si="59"/>
        <v>40</v>
      </c>
      <c r="AP68" s="112">
        <f t="shared" si="59"/>
        <v>40</v>
      </c>
      <c r="AQ68" s="112">
        <f t="shared" si="59"/>
        <v>40</v>
      </c>
      <c r="AR68" s="112">
        <f t="shared" si="59"/>
        <v>40</v>
      </c>
      <c r="AS68" s="112">
        <f t="shared" si="59"/>
        <v>40</v>
      </c>
      <c r="AT68" s="112">
        <f t="shared" si="59"/>
        <v>40</v>
      </c>
      <c r="AU68" s="112">
        <f t="shared" si="59"/>
        <v>40</v>
      </c>
      <c r="AV68" s="112">
        <f t="shared" si="59"/>
        <v>40</v>
      </c>
      <c r="AW68" s="112">
        <f t="shared" si="59"/>
        <v>40</v>
      </c>
      <c r="AX68" s="112">
        <f t="shared" si="59"/>
        <v>40</v>
      </c>
      <c r="AY68" s="112">
        <f t="shared" si="59"/>
        <v>40</v>
      </c>
      <c r="AZ68" s="112">
        <f t="shared" si="59"/>
        <v>40</v>
      </c>
      <c r="BA68" s="112">
        <f t="shared" si="59"/>
        <v>40</v>
      </c>
      <c r="BB68" s="112">
        <f t="shared" si="59"/>
        <v>40</v>
      </c>
      <c r="BC68" s="112">
        <f t="shared" si="59"/>
        <v>40</v>
      </c>
      <c r="BD68" s="112">
        <f t="shared" si="59"/>
        <v>40</v>
      </c>
      <c r="BE68" s="112">
        <f t="shared" si="59"/>
        <v>40</v>
      </c>
      <c r="BF68" s="112">
        <f t="shared" si="59"/>
        <v>40</v>
      </c>
      <c r="BG68" s="112">
        <f t="shared" si="59"/>
        <v>40</v>
      </c>
      <c r="BH68" s="112">
        <f t="shared" si="59"/>
        <v>40</v>
      </c>
      <c r="BI68" s="112">
        <f t="shared" si="59"/>
        <v>40</v>
      </c>
      <c r="BJ68" s="112">
        <f t="shared" si="59"/>
        <v>40</v>
      </c>
    </row>
    <row r="69" spans="1:62" ht="12" customHeight="1">
      <c r="A69" s="521"/>
      <c r="B69" s="111">
        <f>'C1 - Cargos e Salários'!B51</f>
        <v>0</v>
      </c>
      <c r="C69" s="112">
        <f>'C1 - Cargos e Salários'!E51</f>
        <v>0</v>
      </c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2">
        <f t="shared" ref="AG69:BJ69" si="60">SUM($C69:C69)</f>
        <v>0</v>
      </c>
      <c r="AH69" s="112">
        <f t="shared" si="60"/>
        <v>0</v>
      </c>
      <c r="AI69" s="112">
        <f t="shared" si="60"/>
        <v>0</v>
      </c>
      <c r="AJ69" s="112">
        <f t="shared" si="60"/>
        <v>0</v>
      </c>
      <c r="AK69" s="112">
        <f t="shared" si="60"/>
        <v>0</v>
      </c>
      <c r="AL69" s="112">
        <f t="shared" si="60"/>
        <v>0</v>
      </c>
      <c r="AM69" s="112">
        <f t="shared" si="60"/>
        <v>0</v>
      </c>
      <c r="AN69" s="112">
        <f t="shared" si="60"/>
        <v>0</v>
      </c>
      <c r="AO69" s="112">
        <f t="shared" si="60"/>
        <v>0</v>
      </c>
      <c r="AP69" s="112">
        <f t="shared" si="60"/>
        <v>0</v>
      </c>
      <c r="AQ69" s="112">
        <f t="shared" si="60"/>
        <v>0</v>
      </c>
      <c r="AR69" s="112">
        <f t="shared" si="60"/>
        <v>0</v>
      </c>
      <c r="AS69" s="112">
        <f t="shared" si="60"/>
        <v>0</v>
      </c>
      <c r="AT69" s="112">
        <f t="shared" si="60"/>
        <v>0</v>
      </c>
      <c r="AU69" s="112">
        <f t="shared" si="60"/>
        <v>0</v>
      </c>
      <c r="AV69" s="112">
        <f t="shared" si="60"/>
        <v>0</v>
      </c>
      <c r="AW69" s="112">
        <f t="shared" si="60"/>
        <v>0</v>
      </c>
      <c r="AX69" s="112">
        <f t="shared" si="60"/>
        <v>0</v>
      </c>
      <c r="AY69" s="112">
        <f t="shared" si="60"/>
        <v>0</v>
      </c>
      <c r="AZ69" s="112">
        <f t="shared" si="60"/>
        <v>0</v>
      </c>
      <c r="BA69" s="112">
        <f t="shared" si="60"/>
        <v>0</v>
      </c>
      <c r="BB69" s="112">
        <f t="shared" si="60"/>
        <v>0</v>
      </c>
      <c r="BC69" s="112">
        <f t="shared" si="60"/>
        <v>0</v>
      </c>
      <c r="BD69" s="112">
        <f t="shared" si="60"/>
        <v>0</v>
      </c>
      <c r="BE69" s="112">
        <f t="shared" si="60"/>
        <v>0</v>
      </c>
      <c r="BF69" s="112">
        <f t="shared" si="60"/>
        <v>0</v>
      </c>
      <c r="BG69" s="112">
        <f t="shared" si="60"/>
        <v>0</v>
      </c>
      <c r="BH69" s="112">
        <f t="shared" si="60"/>
        <v>0</v>
      </c>
      <c r="BI69" s="112">
        <f t="shared" si="60"/>
        <v>0</v>
      </c>
      <c r="BJ69" s="112">
        <f t="shared" si="60"/>
        <v>0</v>
      </c>
    </row>
    <row r="70" spans="1:62" ht="12" customHeight="1">
      <c r="A70" s="521"/>
      <c r="B70" s="111">
        <f>'C1 - Cargos e Salários'!B52</f>
        <v>0</v>
      </c>
      <c r="C70" s="112">
        <f>'C1 - Cargos e Salários'!E52</f>
        <v>0</v>
      </c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2">
        <f t="shared" ref="AG70:BJ70" si="61">SUM($C70:C70)</f>
        <v>0</v>
      </c>
      <c r="AH70" s="112">
        <f t="shared" si="61"/>
        <v>0</v>
      </c>
      <c r="AI70" s="112">
        <f t="shared" si="61"/>
        <v>0</v>
      </c>
      <c r="AJ70" s="112">
        <f t="shared" si="61"/>
        <v>0</v>
      </c>
      <c r="AK70" s="112">
        <f t="shared" si="61"/>
        <v>0</v>
      </c>
      <c r="AL70" s="112">
        <f t="shared" si="61"/>
        <v>0</v>
      </c>
      <c r="AM70" s="112">
        <f t="shared" si="61"/>
        <v>0</v>
      </c>
      <c r="AN70" s="112">
        <f t="shared" si="61"/>
        <v>0</v>
      </c>
      <c r="AO70" s="112">
        <f t="shared" si="61"/>
        <v>0</v>
      </c>
      <c r="AP70" s="112">
        <f t="shared" si="61"/>
        <v>0</v>
      </c>
      <c r="AQ70" s="112">
        <f t="shared" si="61"/>
        <v>0</v>
      </c>
      <c r="AR70" s="112">
        <f t="shared" si="61"/>
        <v>0</v>
      </c>
      <c r="AS70" s="112">
        <f t="shared" si="61"/>
        <v>0</v>
      </c>
      <c r="AT70" s="112">
        <f t="shared" si="61"/>
        <v>0</v>
      </c>
      <c r="AU70" s="112">
        <f t="shared" si="61"/>
        <v>0</v>
      </c>
      <c r="AV70" s="112">
        <f t="shared" si="61"/>
        <v>0</v>
      </c>
      <c r="AW70" s="112">
        <f t="shared" si="61"/>
        <v>0</v>
      </c>
      <c r="AX70" s="112">
        <f t="shared" si="61"/>
        <v>0</v>
      </c>
      <c r="AY70" s="112">
        <f t="shared" si="61"/>
        <v>0</v>
      </c>
      <c r="AZ70" s="112">
        <f t="shared" si="61"/>
        <v>0</v>
      </c>
      <c r="BA70" s="112">
        <f t="shared" si="61"/>
        <v>0</v>
      </c>
      <c r="BB70" s="112">
        <f t="shared" si="61"/>
        <v>0</v>
      </c>
      <c r="BC70" s="112">
        <f t="shared" si="61"/>
        <v>0</v>
      </c>
      <c r="BD70" s="112">
        <f t="shared" si="61"/>
        <v>0</v>
      </c>
      <c r="BE70" s="112">
        <f t="shared" si="61"/>
        <v>0</v>
      </c>
      <c r="BF70" s="112">
        <f t="shared" si="61"/>
        <v>0</v>
      </c>
      <c r="BG70" s="112">
        <f t="shared" si="61"/>
        <v>0</v>
      </c>
      <c r="BH70" s="112">
        <f t="shared" si="61"/>
        <v>0</v>
      </c>
      <c r="BI70" s="112">
        <f t="shared" si="61"/>
        <v>0</v>
      </c>
      <c r="BJ70" s="112">
        <f t="shared" si="61"/>
        <v>0</v>
      </c>
    </row>
    <row r="71" spans="1:62" ht="12" customHeight="1">
      <c r="A71" s="521"/>
      <c r="B71" s="111">
        <f>'C1 - Cargos e Salários'!B53</f>
        <v>0</v>
      </c>
      <c r="C71" s="112">
        <f>'C1 - Cargos e Salários'!E53</f>
        <v>0</v>
      </c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2">
        <f t="shared" ref="AG71:BJ71" si="62">SUM($C71:C71)</f>
        <v>0</v>
      </c>
      <c r="AH71" s="112">
        <f t="shared" si="62"/>
        <v>0</v>
      </c>
      <c r="AI71" s="112">
        <f t="shared" si="62"/>
        <v>0</v>
      </c>
      <c r="AJ71" s="112">
        <f t="shared" si="62"/>
        <v>0</v>
      </c>
      <c r="AK71" s="112">
        <f t="shared" si="62"/>
        <v>0</v>
      </c>
      <c r="AL71" s="112">
        <f t="shared" si="62"/>
        <v>0</v>
      </c>
      <c r="AM71" s="112">
        <f t="shared" si="62"/>
        <v>0</v>
      </c>
      <c r="AN71" s="112">
        <f t="shared" si="62"/>
        <v>0</v>
      </c>
      <c r="AO71" s="112">
        <f t="shared" si="62"/>
        <v>0</v>
      </c>
      <c r="AP71" s="112">
        <f t="shared" si="62"/>
        <v>0</v>
      </c>
      <c r="AQ71" s="112">
        <f t="shared" si="62"/>
        <v>0</v>
      </c>
      <c r="AR71" s="112">
        <f t="shared" si="62"/>
        <v>0</v>
      </c>
      <c r="AS71" s="112">
        <f t="shared" si="62"/>
        <v>0</v>
      </c>
      <c r="AT71" s="112">
        <f t="shared" si="62"/>
        <v>0</v>
      </c>
      <c r="AU71" s="112">
        <f t="shared" si="62"/>
        <v>0</v>
      </c>
      <c r="AV71" s="112">
        <f t="shared" si="62"/>
        <v>0</v>
      </c>
      <c r="AW71" s="112">
        <f t="shared" si="62"/>
        <v>0</v>
      </c>
      <c r="AX71" s="112">
        <f t="shared" si="62"/>
        <v>0</v>
      </c>
      <c r="AY71" s="112">
        <f t="shared" si="62"/>
        <v>0</v>
      </c>
      <c r="AZ71" s="112">
        <f t="shared" si="62"/>
        <v>0</v>
      </c>
      <c r="BA71" s="112">
        <f t="shared" si="62"/>
        <v>0</v>
      </c>
      <c r="BB71" s="112">
        <f t="shared" si="62"/>
        <v>0</v>
      </c>
      <c r="BC71" s="112">
        <f t="shared" si="62"/>
        <v>0</v>
      </c>
      <c r="BD71" s="112">
        <f t="shared" si="62"/>
        <v>0</v>
      </c>
      <c r="BE71" s="112">
        <f t="shared" si="62"/>
        <v>0</v>
      </c>
      <c r="BF71" s="112">
        <f t="shared" si="62"/>
        <v>0</v>
      </c>
      <c r="BG71" s="112">
        <f t="shared" si="62"/>
        <v>0</v>
      </c>
      <c r="BH71" s="112">
        <f t="shared" si="62"/>
        <v>0</v>
      </c>
      <c r="BI71" s="112">
        <f t="shared" si="62"/>
        <v>0</v>
      </c>
      <c r="BJ71" s="112">
        <f t="shared" si="62"/>
        <v>0</v>
      </c>
    </row>
    <row r="72" spans="1:62" ht="12" customHeight="1">
      <c r="A72" s="521"/>
      <c r="B72" s="111">
        <f>'C1 - Cargos e Salários'!B54</f>
        <v>0</v>
      </c>
      <c r="C72" s="112">
        <f>'C1 - Cargos e Salários'!E54</f>
        <v>0</v>
      </c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2">
        <f t="shared" ref="AG72:BJ72" si="63">SUM($C72:C72)</f>
        <v>0</v>
      </c>
      <c r="AH72" s="112">
        <f t="shared" si="63"/>
        <v>0</v>
      </c>
      <c r="AI72" s="112">
        <f t="shared" si="63"/>
        <v>0</v>
      </c>
      <c r="AJ72" s="112">
        <f t="shared" si="63"/>
        <v>0</v>
      </c>
      <c r="AK72" s="112">
        <f t="shared" si="63"/>
        <v>0</v>
      </c>
      <c r="AL72" s="112">
        <f t="shared" si="63"/>
        <v>0</v>
      </c>
      <c r="AM72" s="112">
        <f t="shared" si="63"/>
        <v>0</v>
      </c>
      <c r="AN72" s="112">
        <f t="shared" si="63"/>
        <v>0</v>
      </c>
      <c r="AO72" s="112">
        <f t="shared" si="63"/>
        <v>0</v>
      </c>
      <c r="AP72" s="112">
        <f t="shared" si="63"/>
        <v>0</v>
      </c>
      <c r="AQ72" s="112">
        <f t="shared" si="63"/>
        <v>0</v>
      </c>
      <c r="AR72" s="112">
        <f t="shared" si="63"/>
        <v>0</v>
      </c>
      <c r="AS72" s="112">
        <f t="shared" si="63"/>
        <v>0</v>
      </c>
      <c r="AT72" s="112">
        <f t="shared" si="63"/>
        <v>0</v>
      </c>
      <c r="AU72" s="112">
        <f t="shared" si="63"/>
        <v>0</v>
      </c>
      <c r="AV72" s="112">
        <f t="shared" si="63"/>
        <v>0</v>
      </c>
      <c r="AW72" s="112">
        <f t="shared" si="63"/>
        <v>0</v>
      </c>
      <c r="AX72" s="112">
        <f t="shared" si="63"/>
        <v>0</v>
      </c>
      <c r="AY72" s="112">
        <f t="shared" si="63"/>
        <v>0</v>
      </c>
      <c r="AZ72" s="112">
        <f t="shared" si="63"/>
        <v>0</v>
      </c>
      <c r="BA72" s="112">
        <f t="shared" si="63"/>
        <v>0</v>
      </c>
      <c r="BB72" s="112">
        <f t="shared" si="63"/>
        <v>0</v>
      </c>
      <c r="BC72" s="112">
        <f t="shared" si="63"/>
        <v>0</v>
      </c>
      <c r="BD72" s="112">
        <f t="shared" si="63"/>
        <v>0</v>
      </c>
      <c r="BE72" s="112">
        <f t="shared" si="63"/>
        <v>0</v>
      </c>
      <c r="BF72" s="112">
        <f t="shared" si="63"/>
        <v>0</v>
      </c>
      <c r="BG72" s="112">
        <f t="shared" si="63"/>
        <v>0</v>
      </c>
      <c r="BH72" s="112">
        <f t="shared" si="63"/>
        <v>0</v>
      </c>
      <c r="BI72" s="112">
        <f t="shared" si="63"/>
        <v>0</v>
      </c>
      <c r="BJ72" s="112">
        <f t="shared" si="63"/>
        <v>0</v>
      </c>
    </row>
    <row r="73" spans="1:62" ht="12" customHeight="1">
      <c r="A73" s="521"/>
      <c r="B73" s="111">
        <f>'C1 - Cargos e Salários'!B55</f>
        <v>0</v>
      </c>
      <c r="C73" s="112">
        <f>'C1 - Cargos e Salários'!E55</f>
        <v>0</v>
      </c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2">
        <f t="shared" ref="AG73:BJ73" si="64">SUM($C73:C73)</f>
        <v>0</v>
      </c>
      <c r="AH73" s="112">
        <f t="shared" si="64"/>
        <v>0</v>
      </c>
      <c r="AI73" s="112">
        <f t="shared" si="64"/>
        <v>0</v>
      </c>
      <c r="AJ73" s="112">
        <f t="shared" si="64"/>
        <v>0</v>
      </c>
      <c r="AK73" s="112">
        <f t="shared" si="64"/>
        <v>0</v>
      </c>
      <c r="AL73" s="112">
        <f t="shared" si="64"/>
        <v>0</v>
      </c>
      <c r="AM73" s="112">
        <f t="shared" si="64"/>
        <v>0</v>
      </c>
      <c r="AN73" s="112">
        <f t="shared" si="64"/>
        <v>0</v>
      </c>
      <c r="AO73" s="112">
        <f t="shared" si="64"/>
        <v>0</v>
      </c>
      <c r="AP73" s="112">
        <f t="shared" si="64"/>
        <v>0</v>
      </c>
      <c r="AQ73" s="112">
        <f t="shared" si="64"/>
        <v>0</v>
      </c>
      <c r="AR73" s="112">
        <f t="shared" si="64"/>
        <v>0</v>
      </c>
      <c r="AS73" s="112">
        <f t="shared" si="64"/>
        <v>0</v>
      </c>
      <c r="AT73" s="112">
        <f t="shared" si="64"/>
        <v>0</v>
      </c>
      <c r="AU73" s="112">
        <f t="shared" si="64"/>
        <v>0</v>
      </c>
      <c r="AV73" s="112">
        <f t="shared" si="64"/>
        <v>0</v>
      </c>
      <c r="AW73" s="112">
        <f t="shared" si="64"/>
        <v>0</v>
      </c>
      <c r="AX73" s="112">
        <f t="shared" si="64"/>
        <v>0</v>
      </c>
      <c r="AY73" s="112">
        <f t="shared" si="64"/>
        <v>0</v>
      </c>
      <c r="AZ73" s="112">
        <f t="shared" si="64"/>
        <v>0</v>
      </c>
      <c r="BA73" s="112">
        <f t="shared" si="64"/>
        <v>0</v>
      </c>
      <c r="BB73" s="112">
        <f t="shared" si="64"/>
        <v>0</v>
      </c>
      <c r="BC73" s="112">
        <f t="shared" si="64"/>
        <v>0</v>
      </c>
      <c r="BD73" s="112">
        <f t="shared" si="64"/>
        <v>0</v>
      </c>
      <c r="BE73" s="112">
        <f t="shared" si="64"/>
        <v>0</v>
      </c>
      <c r="BF73" s="112">
        <f t="shared" si="64"/>
        <v>0</v>
      </c>
      <c r="BG73" s="112">
        <f t="shared" si="64"/>
        <v>0</v>
      </c>
      <c r="BH73" s="112">
        <f t="shared" si="64"/>
        <v>0</v>
      </c>
      <c r="BI73" s="112">
        <f t="shared" si="64"/>
        <v>0</v>
      </c>
      <c r="BJ73" s="112">
        <f t="shared" si="64"/>
        <v>0</v>
      </c>
    </row>
    <row r="74" spans="1:62" ht="12" customHeight="1">
      <c r="A74" s="521"/>
      <c r="B74" s="111">
        <f>'C1 - Cargos e Salários'!B56</f>
        <v>0</v>
      </c>
      <c r="C74" s="112">
        <f>'C1 - Cargos e Salários'!E56</f>
        <v>0</v>
      </c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2">
        <f t="shared" ref="AG74:BJ74" si="65">SUM($C74:C74)</f>
        <v>0</v>
      </c>
      <c r="AH74" s="112">
        <f t="shared" si="65"/>
        <v>0</v>
      </c>
      <c r="AI74" s="112">
        <f t="shared" si="65"/>
        <v>0</v>
      </c>
      <c r="AJ74" s="112">
        <f t="shared" si="65"/>
        <v>0</v>
      </c>
      <c r="AK74" s="112">
        <f t="shared" si="65"/>
        <v>0</v>
      </c>
      <c r="AL74" s="112">
        <f t="shared" si="65"/>
        <v>0</v>
      </c>
      <c r="AM74" s="112">
        <f t="shared" si="65"/>
        <v>0</v>
      </c>
      <c r="AN74" s="112">
        <f t="shared" si="65"/>
        <v>0</v>
      </c>
      <c r="AO74" s="112">
        <f t="shared" si="65"/>
        <v>0</v>
      </c>
      <c r="AP74" s="112">
        <f t="shared" si="65"/>
        <v>0</v>
      </c>
      <c r="AQ74" s="112">
        <f t="shared" si="65"/>
        <v>0</v>
      </c>
      <c r="AR74" s="112">
        <f t="shared" si="65"/>
        <v>0</v>
      </c>
      <c r="AS74" s="112">
        <f t="shared" si="65"/>
        <v>0</v>
      </c>
      <c r="AT74" s="112">
        <f t="shared" si="65"/>
        <v>0</v>
      </c>
      <c r="AU74" s="112">
        <f t="shared" si="65"/>
        <v>0</v>
      </c>
      <c r="AV74" s="112">
        <f t="shared" si="65"/>
        <v>0</v>
      </c>
      <c r="AW74" s="112">
        <f t="shared" si="65"/>
        <v>0</v>
      </c>
      <c r="AX74" s="112">
        <f t="shared" si="65"/>
        <v>0</v>
      </c>
      <c r="AY74" s="112">
        <f t="shared" si="65"/>
        <v>0</v>
      </c>
      <c r="AZ74" s="112">
        <f t="shared" si="65"/>
        <v>0</v>
      </c>
      <c r="BA74" s="112">
        <f t="shared" si="65"/>
        <v>0</v>
      </c>
      <c r="BB74" s="112">
        <f t="shared" si="65"/>
        <v>0</v>
      </c>
      <c r="BC74" s="112">
        <f t="shared" si="65"/>
        <v>0</v>
      </c>
      <c r="BD74" s="112">
        <f t="shared" si="65"/>
        <v>0</v>
      </c>
      <c r="BE74" s="112">
        <f t="shared" si="65"/>
        <v>0</v>
      </c>
      <c r="BF74" s="112">
        <f t="shared" si="65"/>
        <v>0</v>
      </c>
      <c r="BG74" s="112">
        <f t="shared" si="65"/>
        <v>0</v>
      </c>
      <c r="BH74" s="112">
        <f t="shared" si="65"/>
        <v>0</v>
      </c>
      <c r="BI74" s="112">
        <f t="shared" si="65"/>
        <v>0</v>
      </c>
      <c r="BJ74" s="112">
        <f t="shared" si="65"/>
        <v>0</v>
      </c>
    </row>
    <row r="75" spans="1:62" ht="12" customHeight="1">
      <c r="A75" s="521"/>
      <c r="B75" s="111">
        <f>'C1 - Cargos e Salários'!B57</f>
        <v>0</v>
      </c>
      <c r="C75" s="112">
        <f>'C1 - Cargos e Salários'!E57</f>
        <v>0</v>
      </c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2">
        <f t="shared" ref="AG75:BJ75" si="66">SUM($C75:C75)</f>
        <v>0</v>
      </c>
      <c r="AH75" s="112">
        <f t="shared" si="66"/>
        <v>0</v>
      </c>
      <c r="AI75" s="112">
        <f t="shared" si="66"/>
        <v>0</v>
      </c>
      <c r="AJ75" s="112">
        <f t="shared" si="66"/>
        <v>0</v>
      </c>
      <c r="AK75" s="112">
        <f t="shared" si="66"/>
        <v>0</v>
      </c>
      <c r="AL75" s="112">
        <f t="shared" si="66"/>
        <v>0</v>
      </c>
      <c r="AM75" s="112">
        <f t="shared" si="66"/>
        <v>0</v>
      </c>
      <c r="AN75" s="112">
        <f t="shared" si="66"/>
        <v>0</v>
      </c>
      <c r="AO75" s="112">
        <f t="shared" si="66"/>
        <v>0</v>
      </c>
      <c r="AP75" s="112">
        <f t="shared" si="66"/>
        <v>0</v>
      </c>
      <c r="AQ75" s="112">
        <f t="shared" si="66"/>
        <v>0</v>
      </c>
      <c r="AR75" s="112">
        <f t="shared" si="66"/>
        <v>0</v>
      </c>
      <c r="AS75" s="112">
        <f t="shared" si="66"/>
        <v>0</v>
      </c>
      <c r="AT75" s="112">
        <f t="shared" si="66"/>
        <v>0</v>
      </c>
      <c r="AU75" s="112">
        <f t="shared" si="66"/>
        <v>0</v>
      </c>
      <c r="AV75" s="112">
        <f t="shared" si="66"/>
        <v>0</v>
      </c>
      <c r="AW75" s="112">
        <f t="shared" si="66"/>
        <v>0</v>
      </c>
      <c r="AX75" s="112">
        <f t="shared" si="66"/>
        <v>0</v>
      </c>
      <c r="AY75" s="112">
        <f t="shared" si="66"/>
        <v>0</v>
      </c>
      <c r="AZ75" s="112">
        <f t="shared" si="66"/>
        <v>0</v>
      </c>
      <c r="BA75" s="112">
        <f t="shared" si="66"/>
        <v>0</v>
      </c>
      <c r="BB75" s="112">
        <f t="shared" si="66"/>
        <v>0</v>
      </c>
      <c r="BC75" s="112">
        <f t="shared" si="66"/>
        <v>0</v>
      </c>
      <c r="BD75" s="112">
        <f t="shared" si="66"/>
        <v>0</v>
      </c>
      <c r="BE75" s="112">
        <f t="shared" si="66"/>
        <v>0</v>
      </c>
      <c r="BF75" s="112">
        <f t="shared" si="66"/>
        <v>0</v>
      </c>
      <c r="BG75" s="112">
        <f t="shared" si="66"/>
        <v>0</v>
      </c>
      <c r="BH75" s="112">
        <f t="shared" si="66"/>
        <v>0</v>
      </c>
      <c r="BI75" s="112">
        <f t="shared" si="66"/>
        <v>0</v>
      </c>
      <c r="BJ75" s="112">
        <f t="shared" si="66"/>
        <v>0</v>
      </c>
    </row>
    <row r="76" spans="1:62" ht="12" customHeight="1">
      <c r="A76" s="521"/>
      <c r="B76" s="111">
        <f>'C1 - Cargos e Salários'!B58</f>
        <v>0</v>
      </c>
      <c r="C76" s="112">
        <f>'C1 - Cargos e Salários'!E58</f>
        <v>0</v>
      </c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2">
        <f t="shared" ref="AG76:BJ76" si="67">SUM($C76:C76)</f>
        <v>0</v>
      </c>
      <c r="AH76" s="112">
        <f t="shared" si="67"/>
        <v>0</v>
      </c>
      <c r="AI76" s="112">
        <f t="shared" si="67"/>
        <v>0</v>
      </c>
      <c r="AJ76" s="112">
        <f t="shared" si="67"/>
        <v>0</v>
      </c>
      <c r="AK76" s="112">
        <f t="shared" si="67"/>
        <v>0</v>
      </c>
      <c r="AL76" s="112">
        <f t="shared" si="67"/>
        <v>0</v>
      </c>
      <c r="AM76" s="112">
        <f t="shared" si="67"/>
        <v>0</v>
      </c>
      <c r="AN76" s="112">
        <f t="shared" si="67"/>
        <v>0</v>
      </c>
      <c r="AO76" s="112">
        <f t="shared" si="67"/>
        <v>0</v>
      </c>
      <c r="AP76" s="112">
        <f t="shared" si="67"/>
        <v>0</v>
      </c>
      <c r="AQ76" s="112">
        <f t="shared" si="67"/>
        <v>0</v>
      </c>
      <c r="AR76" s="112">
        <f t="shared" si="67"/>
        <v>0</v>
      </c>
      <c r="AS76" s="112">
        <f t="shared" si="67"/>
        <v>0</v>
      </c>
      <c r="AT76" s="112">
        <f t="shared" si="67"/>
        <v>0</v>
      </c>
      <c r="AU76" s="112">
        <f t="shared" si="67"/>
        <v>0</v>
      </c>
      <c r="AV76" s="112">
        <f t="shared" si="67"/>
        <v>0</v>
      </c>
      <c r="AW76" s="112">
        <f t="shared" si="67"/>
        <v>0</v>
      </c>
      <c r="AX76" s="112">
        <f t="shared" si="67"/>
        <v>0</v>
      </c>
      <c r="AY76" s="112">
        <f t="shared" si="67"/>
        <v>0</v>
      </c>
      <c r="AZ76" s="112">
        <f t="shared" si="67"/>
        <v>0</v>
      </c>
      <c r="BA76" s="112">
        <f t="shared" si="67"/>
        <v>0</v>
      </c>
      <c r="BB76" s="112">
        <f t="shared" si="67"/>
        <v>0</v>
      </c>
      <c r="BC76" s="112">
        <f t="shared" si="67"/>
        <v>0</v>
      </c>
      <c r="BD76" s="112">
        <f t="shared" si="67"/>
        <v>0</v>
      </c>
      <c r="BE76" s="112">
        <f t="shared" si="67"/>
        <v>0</v>
      </c>
      <c r="BF76" s="112">
        <f t="shared" si="67"/>
        <v>0</v>
      </c>
      <c r="BG76" s="112">
        <f t="shared" si="67"/>
        <v>0</v>
      </c>
      <c r="BH76" s="112">
        <f t="shared" si="67"/>
        <v>0</v>
      </c>
      <c r="BI76" s="112">
        <f t="shared" si="67"/>
        <v>0</v>
      </c>
      <c r="BJ76" s="112">
        <f t="shared" si="67"/>
        <v>0</v>
      </c>
    </row>
    <row r="77" spans="1:62" ht="12" customHeight="1">
      <c r="A77" s="521"/>
      <c r="B77" s="111">
        <f>'C1 - Cargos e Salários'!B59</f>
        <v>0</v>
      </c>
      <c r="C77" s="112">
        <f>'C1 - Cargos e Salários'!E59</f>
        <v>0</v>
      </c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2">
        <f t="shared" ref="AG77:BJ77" si="68">SUM($C77:C77)</f>
        <v>0</v>
      </c>
      <c r="AH77" s="112">
        <f t="shared" si="68"/>
        <v>0</v>
      </c>
      <c r="AI77" s="112">
        <f t="shared" si="68"/>
        <v>0</v>
      </c>
      <c r="AJ77" s="112">
        <f t="shared" si="68"/>
        <v>0</v>
      </c>
      <c r="AK77" s="112">
        <f t="shared" si="68"/>
        <v>0</v>
      </c>
      <c r="AL77" s="112">
        <f t="shared" si="68"/>
        <v>0</v>
      </c>
      <c r="AM77" s="112">
        <f t="shared" si="68"/>
        <v>0</v>
      </c>
      <c r="AN77" s="112">
        <f t="shared" si="68"/>
        <v>0</v>
      </c>
      <c r="AO77" s="112">
        <f t="shared" si="68"/>
        <v>0</v>
      </c>
      <c r="AP77" s="112">
        <f t="shared" si="68"/>
        <v>0</v>
      </c>
      <c r="AQ77" s="112">
        <f t="shared" si="68"/>
        <v>0</v>
      </c>
      <c r="AR77" s="112">
        <f t="shared" si="68"/>
        <v>0</v>
      </c>
      <c r="AS77" s="112">
        <f t="shared" si="68"/>
        <v>0</v>
      </c>
      <c r="AT77" s="112">
        <f t="shared" si="68"/>
        <v>0</v>
      </c>
      <c r="AU77" s="112">
        <f t="shared" si="68"/>
        <v>0</v>
      </c>
      <c r="AV77" s="112">
        <f t="shared" si="68"/>
        <v>0</v>
      </c>
      <c r="AW77" s="112">
        <f t="shared" si="68"/>
        <v>0</v>
      </c>
      <c r="AX77" s="112">
        <f t="shared" si="68"/>
        <v>0</v>
      </c>
      <c r="AY77" s="112">
        <f t="shared" si="68"/>
        <v>0</v>
      </c>
      <c r="AZ77" s="112">
        <f t="shared" si="68"/>
        <v>0</v>
      </c>
      <c r="BA77" s="112">
        <f t="shared" si="68"/>
        <v>0</v>
      </c>
      <c r="BB77" s="112">
        <f t="shared" si="68"/>
        <v>0</v>
      </c>
      <c r="BC77" s="112">
        <f t="shared" si="68"/>
        <v>0</v>
      </c>
      <c r="BD77" s="112">
        <f t="shared" si="68"/>
        <v>0</v>
      </c>
      <c r="BE77" s="112">
        <f t="shared" si="68"/>
        <v>0</v>
      </c>
      <c r="BF77" s="112">
        <f t="shared" si="68"/>
        <v>0</v>
      </c>
      <c r="BG77" s="112">
        <f t="shared" si="68"/>
        <v>0</v>
      </c>
      <c r="BH77" s="112">
        <f t="shared" si="68"/>
        <v>0</v>
      </c>
      <c r="BI77" s="112">
        <f t="shared" si="68"/>
        <v>0</v>
      </c>
      <c r="BJ77" s="112">
        <f t="shared" si="68"/>
        <v>0</v>
      </c>
    </row>
    <row r="78" spans="1:62" ht="12" customHeight="1">
      <c r="A78" s="521"/>
      <c r="B78" s="111">
        <f>'C1 - Cargos e Salários'!B60</f>
        <v>0</v>
      </c>
      <c r="C78" s="112">
        <f>'C1 - Cargos e Salários'!E60</f>
        <v>0</v>
      </c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2">
        <f t="shared" ref="AG78:BJ78" si="69">SUM($C78:C78)</f>
        <v>0</v>
      </c>
      <c r="AH78" s="112">
        <f t="shared" si="69"/>
        <v>0</v>
      </c>
      <c r="AI78" s="112">
        <f t="shared" si="69"/>
        <v>0</v>
      </c>
      <c r="AJ78" s="112">
        <f t="shared" si="69"/>
        <v>0</v>
      </c>
      <c r="AK78" s="112">
        <f t="shared" si="69"/>
        <v>0</v>
      </c>
      <c r="AL78" s="112">
        <f t="shared" si="69"/>
        <v>0</v>
      </c>
      <c r="AM78" s="112">
        <f t="shared" si="69"/>
        <v>0</v>
      </c>
      <c r="AN78" s="112">
        <f t="shared" si="69"/>
        <v>0</v>
      </c>
      <c r="AO78" s="112">
        <f t="shared" si="69"/>
        <v>0</v>
      </c>
      <c r="AP78" s="112">
        <f t="shared" si="69"/>
        <v>0</v>
      </c>
      <c r="AQ78" s="112">
        <f t="shared" si="69"/>
        <v>0</v>
      </c>
      <c r="AR78" s="112">
        <f t="shared" si="69"/>
        <v>0</v>
      </c>
      <c r="AS78" s="112">
        <f t="shared" si="69"/>
        <v>0</v>
      </c>
      <c r="AT78" s="112">
        <f t="shared" si="69"/>
        <v>0</v>
      </c>
      <c r="AU78" s="112">
        <f t="shared" si="69"/>
        <v>0</v>
      </c>
      <c r="AV78" s="112">
        <f t="shared" si="69"/>
        <v>0</v>
      </c>
      <c r="AW78" s="112">
        <f t="shared" si="69"/>
        <v>0</v>
      </c>
      <c r="AX78" s="112">
        <f t="shared" si="69"/>
        <v>0</v>
      </c>
      <c r="AY78" s="112">
        <f t="shared" si="69"/>
        <v>0</v>
      </c>
      <c r="AZ78" s="112">
        <f t="shared" si="69"/>
        <v>0</v>
      </c>
      <c r="BA78" s="112">
        <f t="shared" si="69"/>
        <v>0</v>
      </c>
      <c r="BB78" s="112">
        <f t="shared" si="69"/>
        <v>0</v>
      </c>
      <c r="BC78" s="112">
        <f t="shared" si="69"/>
        <v>0</v>
      </c>
      <c r="BD78" s="112">
        <f t="shared" si="69"/>
        <v>0</v>
      </c>
      <c r="BE78" s="112">
        <f t="shared" si="69"/>
        <v>0</v>
      </c>
      <c r="BF78" s="112">
        <f t="shared" si="69"/>
        <v>0</v>
      </c>
      <c r="BG78" s="112">
        <f t="shared" si="69"/>
        <v>0</v>
      </c>
      <c r="BH78" s="112">
        <f t="shared" si="69"/>
        <v>0</v>
      </c>
      <c r="BI78" s="112">
        <f t="shared" si="69"/>
        <v>0</v>
      </c>
      <c r="BJ78" s="112">
        <f t="shared" si="69"/>
        <v>0</v>
      </c>
    </row>
    <row r="79" spans="1:62" ht="12" customHeight="1">
      <c r="A79" s="521"/>
      <c r="B79" s="111">
        <f>'C1 - Cargos e Salários'!B61</f>
        <v>0</v>
      </c>
      <c r="C79" s="112">
        <f>'C1 - Cargos e Salários'!E61</f>
        <v>0</v>
      </c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2">
        <f t="shared" ref="AG79:BJ79" si="70">SUM($C79:C79)</f>
        <v>0</v>
      </c>
      <c r="AH79" s="112">
        <f t="shared" si="70"/>
        <v>0</v>
      </c>
      <c r="AI79" s="112">
        <f t="shared" si="70"/>
        <v>0</v>
      </c>
      <c r="AJ79" s="112">
        <f t="shared" si="70"/>
        <v>0</v>
      </c>
      <c r="AK79" s="112">
        <f t="shared" si="70"/>
        <v>0</v>
      </c>
      <c r="AL79" s="112">
        <f t="shared" si="70"/>
        <v>0</v>
      </c>
      <c r="AM79" s="112">
        <f t="shared" si="70"/>
        <v>0</v>
      </c>
      <c r="AN79" s="112">
        <f t="shared" si="70"/>
        <v>0</v>
      </c>
      <c r="AO79" s="112">
        <f t="shared" si="70"/>
        <v>0</v>
      </c>
      <c r="AP79" s="112">
        <f t="shared" si="70"/>
        <v>0</v>
      </c>
      <c r="AQ79" s="112">
        <f t="shared" si="70"/>
        <v>0</v>
      </c>
      <c r="AR79" s="112">
        <f t="shared" si="70"/>
        <v>0</v>
      </c>
      <c r="AS79" s="112">
        <f t="shared" si="70"/>
        <v>0</v>
      </c>
      <c r="AT79" s="112">
        <f t="shared" si="70"/>
        <v>0</v>
      </c>
      <c r="AU79" s="112">
        <f t="shared" si="70"/>
        <v>0</v>
      </c>
      <c r="AV79" s="112">
        <f t="shared" si="70"/>
        <v>0</v>
      </c>
      <c r="AW79" s="112">
        <f t="shared" si="70"/>
        <v>0</v>
      </c>
      <c r="AX79" s="112">
        <f t="shared" si="70"/>
        <v>0</v>
      </c>
      <c r="AY79" s="112">
        <f t="shared" si="70"/>
        <v>0</v>
      </c>
      <c r="AZ79" s="112">
        <f t="shared" si="70"/>
        <v>0</v>
      </c>
      <c r="BA79" s="112">
        <f t="shared" si="70"/>
        <v>0</v>
      </c>
      <c r="BB79" s="112">
        <f t="shared" si="70"/>
        <v>0</v>
      </c>
      <c r="BC79" s="112">
        <f t="shared" si="70"/>
        <v>0</v>
      </c>
      <c r="BD79" s="112">
        <f t="shared" si="70"/>
        <v>0</v>
      </c>
      <c r="BE79" s="112">
        <f t="shared" si="70"/>
        <v>0</v>
      </c>
      <c r="BF79" s="112">
        <f t="shared" si="70"/>
        <v>0</v>
      </c>
      <c r="BG79" s="112">
        <f t="shared" si="70"/>
        <v>0</v>
      </c>
      <c r="BH79" s="112">
        <f t="shared" si="70"/>
        <v>0</v>
      </c>
      <c r="BI79" s="112">
        <f t="shared" si="70"/>
        <v>0</v>
      </c>
      <c r="BJ79" s="112">
        <f t="shared" si="70"/>
        <v>0</v>
      </c>
    </row>
    <row r="80" spans="1:62" ht="12" customHeight="1">
      <c r="A80" s="521"/>
      <c r="B80" s="111">
        <f>'C1 - Cargos e Salários'!B62</f>
        <v>0</v>
      </c>
      <c r="C80" s="112">
        <f>'C1 - Cargos e Salários'!E62</f>
        <v>0</v>
      </c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2">
        <f t="shared" ref="AG80:BJ80" si="71">SUM($C80:C80)</f>
        <v>0</v>
      </c>
      <c r="AH80" s="112">
        <f t="shared" si="71"/>
        <v>0</v>
      </c>
      <c r="AI80" s="112">
        <f t="shared" si="71"/>
        <v>0</v>
      </c>
      <c r="AJ80" s="112">
        <f t="shared" si="71"/>
        <v>0</v>
      </c>
      <c r="AK80" s="112">
        <f t="shared" si="71"/>
        <v>0</v>
      </c>
      <c r="AL80" s="112">
        <f t="shared" si="71"/>
        <v>0</v>
      </c>
      <c r="AM80" s="112">
        <f t="shared" si="71"/>
        <v>0</v>
      </c>
      <c r="AN80" s="112">
        <f t="shared" si="71"/>
        <v>0</v>
      </c>
      <c r="AO80" s="112">
        <f t="shared" si="71"/>
        <v>0</v>
      </c>
      <c r="AP80" s="112">
        <f t="shared" si="71"/>
        <v>0</v>
      </c>
      <c r="AQ80" s="112">
        <f t="shared" si="71"/>
        <v>0</v>
      </c>
      <c r="AR80" s="112">
        <f t="shared" si="71"/>
        <v>0</v>
      </c>
      <c r="AS80" s="112">
        <f t="shared" si="71"/>
        <v>0</v>
      </c>
      <c r="AT80" s="112">
        <f t="shared" si="71"/>
        <v>0</v>
      </c>
      <c r="AU80" s="112">
        <f t="shared" si="71"/>
        <v>0</v>
      </c>
      <c r="AV80" s="112">
        <f t="shared" si="71"/>
        <v>0</v>
      </c>
      <c r="AW80" s="112">
        <f t="shared" si="71"/>
        <v>0</v>
      </c>
      <c r="AX80" s="112">
        <f t="shared" si="71"/>
        <v>0</v>
      </c>
      <c r="AY80" s="112">
        <f t="shared" si="71"/>
        <v>0</v>
      </c>
      <c r="AZ80" s="112">
        <f t="shared" si="71"/>
        <v>0</v>
      </c>
      <c r="BA80" s="112">
        <f t="shared" si="71"/>
        <v>0</v>
      </c>
      <c r="BB80" s="112">
        <f t="shared" si="71"/>
        <v>0</v>
      </c>
      <c r="BC80" s="112">
        <f t="shared" si="71"/>
        <v>0</v>
      </c>
      <c r="BD80" s="112">
        <f t="shared" si="71"/>
        <v>0</v>
      </c>
      <c r="BE80" s="112">
        <f t="shared" si="71"/>
        <v>0</v>
      </c>
      <c r="BF80" s="112">
        <f t="shared" si="71"/>
        <v>0</v>
      </c>
      <c r="BG80" s="112">
        <f t="shared" si="71"/>
        <v>0</v>
      </c>
      <c r="BH80" s="112">
        <f t="shared" si="71"/>
        <v>0</v>
      </c>
      <c r="BI80" s="112">
        <f t="shared" si="71"/>
        <v>0</v>
      </c>
      <c r="BJ80" s="112">
        <f t="shared" si="71"/>
        <v>0</v>
      </c>
    </row>
    <row r="81" spans="1:62" ht="12" customHeight="1">
      <c r="A81" s="521"/>
      <c r="B81" s="111">
        <f>'C1 - Cargos e Salários'!B63</f>
        <v>0</v>
      </c>
      <c r="C81" s="112">
        <f>'C1 - Cargos e Salários'!E63</f>
        <v>0</v>
      </c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2">
        <f t="shared" ref="AG81:BJ81" si="72">SUM($C81:C81)</f>
        <v>0</v>
      </c>
      <c r="AH81" s="112">
        <f t="shared" si="72"/>
        <v>0</v>
      </c>
      <c r="AI81" s="112">
        <f t="shared" si="72"/>
        <v>0</v>
      </c>
      <c r="AJ81" s="112">
        <f t="shared" si="72"/>
        <v>0</v>
      </c>
      <c r="AK81" s="112">
        <f t="shared" si="72"/>
        <v>0</v>
      </c>
      <c r="AL81" s="112">
        <f t="shared" si="72"/>
        <v>0</v>
      </c>
      <c r="AM81" s="112">
        <f t="shared" si="72"/>
        <v>0</v>
      </c>
      <c r="AN81" s="112">
        <f t="shared" si="72"/>
        <v>0</v>
      </c>
      <c r="AO81" s="112">
        <f t="shared" si="72"/>
        <v>0</v>
      </c>
      <c r="AP81" s="112">
        <f t="shared" si="72"/>
        <v>0</v>
      </c>
      <c r="AQ81" s="112">
        <f t="shared" si="72"/>
        <v>0</v>
      </c>
      <c r="AR81" s="112">
        <f t="shared" si="72"/>
        <v>0</v>
      </c>
      <c r="AS81" s="112">
        <f t="shared" si="72"/>
        <v>0</v>
      </c>
      <c r="AT81" s="112">
        <f t="shared" si="72"/>
        <v>0</v>
      </c>
      <c r="AU81" s="112">
        <f t="shared" si="72"/>
        <v>0</v>
      </c>
      <c r="AV81" s="112">
        <f t="shared" si="72"/>
        <v>0</v>
      </c>
      <c r="AW81" s="112">
        <f t="shared" si="72"/>
        <v>0</v>
      </c>
      <c r="AX81" s="112">
        <f t="shared" si="72"/>
        <v>0</v>
      </c>
      <c r="AY81" s="112">
        <f t="shared" si="72"/>
        <v>0</v>
      </c>
      <c r="AZ81" s="112">
        <f t="shared" si="72"/>
        <v>0</v>
      </c>
      <c r="BA81" s="112">
        <f t="shared" si="72"/>
        <v>0</v>
      </c>
      <c r="BB81" s="112">
        <f t="shared" si="72"/>
        <v>0</v>
      </c>
      <c r="BC81" s="112">
        <f t="shared" si="72"/>
        <v>0</v>
      </c>
      <c r="BD81" s="112">
        <f t="shared" si="72"/>
        <v>0</v>
      </c>
      <c r="BE81" s="112">
        <f t="shared" si="72"/>
        <v>0</v>
      </c>
      <c r="BF81" s="112">
        <f t="shared" si="72"/>
        <v>0</v>
      </c>
      <c r="BG81" s="112">
        <f t="shared" si="72"/>
        <v>0</v>
      </c>
      <c r="BH81" s="112">
        <f t="shared" si="72"/>
        <v>0</v>
      </c>
      <c r="BI81" s="112">
        <f t="shared" si="72"/>
        <v>0</v>
      </c>
      <c r="BJ81" s="112">
        <f t="shared" si="72"/>
        <v>0</v>
      </c>
    </row>
    <row r="82" spans="1:62" ht="12" customHeight="1">
      <c r="A82" s="521"/>
      <c r="B82" s="111">
        <f>'C1 - Cargos e Salários'!B64</f>
        <v>0</v>
      </c>
      <c r="C82" s="112">
        <f>'C1 - Cargos e Salários'!E64</f>
        <v>0</v>
      </c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2">
        <f t="shared" ref="AG82:BJ82" si="73">SUM($C82:C82)</f>
        <v>0</v>
      </c>
      <c r="AH82" s="112">
        <f t="shared" si="73"/>
        <v>0</v>
      </c>
      <c r="AI82" s="112">
        <f t="shared" si="73"/>
        <v>0</v>
      </c>
      <c r="AJ82" s="112">
        <f t="shared" si="73"/>
        <v>0</v>
      </c>
      <c r="AK82" s="112">
        <f t="shared" si="73"/>
        <v>0</v>
      </c>
      <c r="AL82" s="112">
        <f t="shared" si="73"/>
        <v>0</v>
      </c>
      <c r="AM82" s="112">
        <f t="shared" si="73"/>
        <v>0</v>
      </c>
      <c r="AN82" s="112">
        <f t="shared" si="73"/>
        <v>0</v>
      </c>
      <c r="AO82" s="112">
        <f t="shared" si="73"/>
        <v>0</v>
      </c>
      <c r="AP82" s="112">
        <f t="shared" si="73"/>
        <v>0</v>
      </c>
      <c r="AQ82" s="112">
        <f t="shared" si="73"/>
        <v>0</v>
      </c>
      <c r="AR82" s="112">
        <f t="shared" si="73"/>
        <v>0</v>
      </c>
      <c r="AS82" s="112">
        <f t="shared" si="73"/>
        <v>0</v>
      </c>
      <c r="AT82" s="112">
        <f t="shared" si="73"/>
        <v>0</v>
      </c>
      <c r="AU82" s="112">
        <f t="shared" si="73"/>
        <v>0</v>
      </c>
      <c r="AV82" s="112">
        <f t="shared" si="73"/>
        <v>0</v>
      </c>
      <c r="AW82" s="112">
        <f t="shared" si="73"/>
        <v>0</v>
      </c>
      <c r="AX82" s="112">
        <f t="shared" si="73"/>
        <v>0</v>
      </c>
      <c r="AY82" s="112">
        <f t="shared" si="73"/>
        <v>0</v>
      </c>
      <c r="AZ82" s="112">
        <f t="shared" si="73"/>
        <v>0</v>
      </c>
      <c r="BA82" s="112">
        <f t="shared" si="73"/>
        <v>0</v>
      </c>
      <c r="BB82" s="112">
        <f t="shared" si="73"/>
        <v>0</v>
      </c>
      <c r="BC82" s="112">
        <f t="shared" si="73"/>
        <v>0</v>
      </c>
      <c r="BD82" s="112">
        <f t="shared" si="73"/>
        <v>0</v>
      </c>
      <c r="BE82" s="112">
        <f t="shared" si="73"/>
        <v>0</v>
      </c>
      <c r="BF82" s="112">
        <f t="shared" si="73"/>
        <v>0</v>
      </c>
      <c r="BG82" s="112">
        <f t="shared" si="73"/>
        <v>0</v>
      </c>
      <c r="BH82" s="112">
        <f t="shared" si="73"/>
        <v>0</v>
      </c>
      <c r="BI82" s="112">
        <f t="shared" si="73"/>
        <v>0</v>
      </c>
      <c r="BJ82" s="112">
        <f t="shared" si="73"/>
        <v>0</v>
      </c>
    </row>
    <row r="83" spans="1:62" ht="12" customHeight="1">
      <c r="A83" s="521"/>
      <c r="B83" s="111">
        <f>'C1 - Cargos e Salários'!B65</f>
        <v>0</v>
      </c>
      <c r="C83" s="112">
        <f>'C1 - Cargos e Salários'!E65</f>
        <v>0</v>
      </c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2">
        <f t="shared" ref="AG83:BJ83" si="74">SUM($C83:C83)</f>
        <v>0</v>
      </c>
      <c r="AH83" s="112">
        <f t="shared" si="74"/>
        <v>0</v>
      </c>
      <c r="AI83" s="112">
        <f t="shared" si="74"/>
        <v>0</v>
      </c>
      <c r="AJ83" s="112">
        <f t="shared" si="74"/>
        <v>0</v>
      </c>
      <c r="AK83" s="112">
        <f t="shared" si="74"/>
        <v>0</v>
      </c>
      <c r="AL83" s="112">
        <f t="shared" si="74"/>
        <v>0</v>
      </c>
      <c r="AM83" s="112">
        <f t="shared" si="74"/>
        <v>0</v>
      </c>
      <c r="AN83" s="112">
        <f t="shared" si="74"/>
        <v>0</v>
      </c>
      <c r="AO83" s="112">
        <f t="shared" si="74"/>
        <v>0</v>
      </c>
      <c r="AP83" s="112">
        <f t="shared" si="74"/>
        <v>0</v>
      </c>
      <c r="AQ83" s="112">
        <f t="shared" si="74"/>
        <v>0</v>
      </c>
      <c r="AR83" s="112">
        <f t="shared" si="74"/>
        <v>0</v>
      </c>
      <c r="AS83" s="112">
        <f t="shared" si="74"/>
        <v>0</v>
      </c>
      <c r="AT83" s="112">
        <f t="shared" si="74"/>
        <v>0</v>
      </c>
      <c r="AU83" s="112">
        <f t="shared" si="74"/>
        <v>0</v>
      </c>
      <c r="AV83" s="112">
        <f t="shared" si="74"/>
        <v>0</v>
      </c>
      <c r="AW83" s="112">
        <f t="shared" si="74"/>
        <v>0</v>
      </c>
      <c r="AX83" s="112">
        <f t="shared" si="74"/>
        <v>0</v>
      </c>
      <c r="AY83" s="112">
        <f t="shared" si="74"/>
        <v>0</v>
      </c>
      <c r="AZ83" s="112">
        <f t="shared" si="74"/>
        <v>0</v>
      </c>
      <c r="BA83" s="112">
        <f t="shared" si="74"/>
        <v>0</v>
      </c>
      <c r="BB83" s="112">
        <f t="shared" si="74"/>
        <v>0</v>
      </c>
      <c r="BC83" s="112">
        <f t="shared" si="74"/>
        <v>0</v>
      </c>
      <c r="BD83" s="112">
        <f t="shared" si="74"/>
        <v>0</v>
      </c>
      <c r="BE83" s="112">
        <f t="shared" si="74"/>
        <v>0</v>
      </c>
      <c r="BF83" s="112">
        <f t="shared" si="74"/>
        <v>0</v>
      </c>
      <c r="BG83" s="112">
        <f t="shared" si="74"/>
        <v>0</v>
      </c>
      <c r="BH83" s="112">
        <f t="shared" si="74"/>
        <v>0</v>
      </c>
      <c r="BI83" s="112">
        <f t="shared" si="74"/>
        <v>0</v>
      </c>
      <c r="BJ83" s="112">
        <f t="shared" si="74"/>
        <v>0</v>
      </c>
    </row>
    <row r="84" spans="1:62" ht="12" customHeight="1">
      <c r="A84" s="521"/>
      <c r="B84" s="111">
        <f>'C1 - Cargos e Salários'!B66</f>
        <v>0</v>
      </c>
      <c r="C84" s="112">
        <f>'C1 - Cargos e Salários'!E66</f>
        <v>0</v>
      </c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2">
        <f t="shared" ref="AG84:BJ84" si="75">SUM($C84:C84)</f>
        <v>0</v>
      </c>
      <c r="AH84" s="112">
        <f t="shared" si="75"/>
        <v>0</v>
      </c>
      <c r="AI84" s="112">
        <f t="shared" si="75"/>
        <v>0</v>
      </c>
      <c r="AJ84" s="112">
        <f t="shared" si="75"/>
        <v>0</v>
      </c>
      <c r="AK84" s="112">
        <f t="shared" si="75"/>
        <v>0</v>
      </c>
      <c r="AL84" s="112">
        <f t="shared" si="75"/>
        <v>0</v>
      </c>
      <c r="AM84" s="112">
        <f t="shared" si="75"/>
        <v>0</v>
      </c>
      <c r="AN84" s="112">
        <f t="shared" si="75"/>
        <v>0</v>
      </c>
      <c r="AO84" s="112">
        <f t="shared" si="75"/>
        <v>0</v>
      </c>
      <c r="AP84" s="112">
        <f t="shared" si="75"/>
        <v>0</v>
      </c>
      <c r="AQ84" s="112">
        <f t="shared" si="75"/>
        <v>0</v>
      </c>
      <c r="AR84" s="112">
        <f t="shared" si="75"/>
        <v>0</v>
      </c>
      <c r="AS84" s="112">
        <f t="shared" si="75"/>
        <v>0</v>
      </c>
      <c r="AT84" s="112">
        <f t="shared" si="75"/>
        <v>0</v>
      </c>
      <c r="AU84" s="112">
        <f t="shared" si="75"/>
        <v>0</v>
      </c>
      <c r="AV84" s="112">
        <f t="shared" si="75"/>
        <v>0</v>
      </c>
      <c r="AW84" s="112">
        <f t="shared" si="75"/>
        <v>0</v>
      </c>
      <c r="AX84" s="112">
        <f t="shared" si="75"/>
        <v>0</v>
      </c>
      <c r="AY84" s="112">
        <f t="shared" si="75"/>
        <v>0</v>
      </c>
      <c r="AZ84" s="112">
        <f t="shared" si="75"/>
        <v>0</v>
      </c>
      <c r="BA84" s="112">
        <f t="shared" si="75"/>
        <v>0</v>
      </c>
      <c r="BB84" s="112">
        <f t="shared" si="75"/>
        <v>0</v>
      </c>
      <c r="BC84" s="112">
        <f t="shared" si="75"/>
        <v>0</v>
      </c>
      <c r="BD84" s="112">
        <f t="shared" si="75"/>
        <v>0</v>
      </c>
      <c r="BE84" s="112">
        <f t="shared" si="75"/>
        <v>0</v>
      </c>
      <c r="BF84" s="112">
        <f t="shared" si="75"/>
        <v>0</v>
      </c>
      <c r="BG84" s="112">
        <f t="shared" si="75"/>
        <v>0</v>
      </c>
      <c r="BH84" s="112">
        <f t="shared" si="75"/>
        <v>0</v>
      </c>
      <c r="BI84" s="112">
        <f t="shared" si="75"/>
        <v>0</v>
      </c>
      <c r="BJ84" s="112">
        <f t="shared" si="75"/>
        <v>0</v>
      </c>
    </row>
    <row r="85" spans="1:62" ht="12" customHeight="1">
      <c r="A85" s="521"/>
      <c r="B85" s="111">
        <f>'C1 - Cargos e Salários'!B67</f>
        <v>0</v>
      </c>
      <c r="C85" s="112">
        <f>'C1 - Cargos e Salários'!E67</f>
        <v>0</v>
      </c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2">
        <f t="shared" ref="AG85:BJ85" si="76">SUM($C85:C85)</f>
        <v>0</v>
      </c>
      <c r="AH85" s="112">
        <f t="shared" si="76"/>
        <v>0</v>
      </c>
      <c r="AI85" s="112">
        <f t="shared" si="76"/>
        <v>0</v>
      </c>
      <c r="AJ85" s="112">
        <f t="shared" si="76"/>
        <v>0</v>
      </c>
      <c r="AK85" s="112">
        <f t="shared" si="76"/>
        <v>0</v>
      </c>
      <c r="AL85" s="112">
        <f t="shared" si="76"/>
        <v>0</v>
      </c>
      <c r="AM85" s="112">
        <f t="shared" si="76"/>
        <v>0</v>
      </c>
      <c r="AN85" s="112">
        <f t="shared" si="76"/>
        <v>0</v>
      </c>
      <c r="AO85" s="112">
        <f t="shared" si="76"/>
        <v>0</v>
      </c>
      <c r="AP85" s="112">
        <f t="shared" si="76"/>
        <v>0</v>
      </c>
      <c r="AQ85" s="112">
        <f t="shared" si="76"/>
        <v>0</v>
      </c>
      <c r="AR85" s="112">
        <f t="shared" si="76"/>
        <v>0</v>
      </c>
      <c r="AS85" s="112">
        <f t="shared" si="76"/>
        <v>0</v>
      </c>
      <c r="AT85" s="112">
        <f t="shared" si="76"/>
        <v>0</v>
      </c>
      <c r="AU85" s="112">
        <f t="shared" si="76"/>
        <v>0</v>
      </c>
      <c r="AV85" s="112">
        <f t="shared" si="76"/>
        <v>0</v>
      </c>
      <c r="AW85" s="112">
        <f t="shared" si="76"/>
        <v>0</v>
      </c>
      <c r="AX85" s="112">
        <f t="shared" si="76"/>
        <v>0</v>
      </c>
      <c r="AY85" s="112">
        <f t="shared" si="76"/>
        <v>0</v>
      </c>
      <c r="AZ85" s="112">
        <f t="shared" si="76"/>
        <v>0</v>
      </c>
      <c r="BA85" s="112">
        <f t="shared" si="76"/>
        <v>0</v>
      </c>
      <c r="BB85" s="112">
        <f t="shared" si="76"/>
        <v>0</v>
      </c>
      <c r="BC85" s="112">
        <f t="shared" si="76"/>
        <v>0</v>
      </c>
      <c r="BD85" s="112">
        <f t="shared" si="76"/>
        <v>0</v>
      </c>
      <c r="BE85" s="112">
        <f t="shared" si="76"/>
        <v>0</v>
      </c>
      <c r="BF85" s="112">
        <f t="shared" si="76"/>
        <v>0</v>
      </c>
      <c r="BG85" s="112">
        <f t="shared" si="76"/>
        <v>0</v>
      </c>
      <c r="BH85" s="112">
        <f t="shared" si="76"/>
        <v>0</v>
      </c>
      <c r="BI85" s="112">
        <f t="shared" si="76"/>
        <v>0</v>
      </c>
      <c r="BJ85" s="112">
        <f t="shared" si="76"/>
        <v>0</v>
      </c>
    </row>
    <row r="86" spans="1:62" ht="12" customHeight="1">
      <c r="A86" s="521"/>
      <c r="B86" s="111">
        <f>'C1 - Cargos e Salários'!B68</f>
        <v>0</v>
      </c>
      <c r="C86" s="112">
        <f>'C1 - Cargos e Salários'!E68</f>
        <v>0</v>
      </c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2">
        <f t="shared" ref="AG86:BJ86" si="77">SUM($C86:C86)</f>
        <v>0</v>
      </c>
      <c r="AH86" s="112">
        <f t="shared" si="77"/>
        <v>0</v>
      </c>
      <c r="AI86" s="112">
        <f t="shared" si="77"/>
        <v>0</v>
      </c>
      <c r="AJ86" s="112">
        <f t="shared" si="77"/>
        <v>0</v>
      </c>
      <c r="AK86" s="112">
        <f t="shared" si="77"/>
        <v>0</v>
      </c>
      <c r="AL86" s="112">
        <f t="shared" si="77"/>
        <v>0</v>
      </c>
      <c r="AM86" s="112">
        <f t="shared" si="77"/>
        <v>0</v>
      </c>
      <c r="AN86" s="112">
        <f t="shared" si="77"/>
        <v>0</v>
      </c>
      <c r="AO86" s="112">
        <f t="shared" si="77"/>
        <v>0</v>
      </c>
      <c r="AP86" s="112">
        <f t="shared" si="77"/>
        <v>0</v>
      </c>
      <c r="AQ86" s="112">
        <f t="shared" si="77"/>
        <v>0</v>
      </c>
      <c r="AR86" s="112">
        <f t="shared" si="77"/>
        <v>0</v>
      </c>
      <c r="AS86" s="112">
        <f t="shared" si="77"/>
        <v>0</v>
      </c>
      <c r="AT86" s="112">
        <f t="shared" si="77"/>
        <v>0</v>
      </c>
      <c r="AU86" s="112">
        <f t="shared" si="77"/>
        <v>0</v>
      </c>
      <c r="AV86" s="112">
        <f t="shared" si="77"/>
        <v>0</v>
      </c>
      <c r="AW86" s="112">
        <f t="shared" si="77"/>
        <v>0</v>
      </c>
      <c r="AX86" s="112">
        <f t="shared" si="77"/>
        <v>0</v>
      </c>
      <c r="AY86" s="112">
        <f t="shared" si="77"/>
        <v>0</v>
      </c>
      <c r="AZ86" s="112">
        <f t="shared" si="77"/>
        <v>0</v>
      </c>
      <c r="BA86" s="112">
        <f t="shared" si="77"/>
        <v>0</v>
      </c>
      <c r="BB86" s="112">
        <f t="shared" si="77"/>
        <v>0</v>
      </c>
      <c r="BC86" s="112">
        <f t="shared" si="77"/>
        <v>0</v>
      </c>
      <c r="BD86" s="112">
        <f t="shared" si="77"/>
        <v>0</v>
      </c>
      <c r="BE86" s="112">
        <f t="shared" si="77"/>
        <v>0</v>
      </c>
      <c r="BF86" s="112">
        <f t="shared" si="77"/>
        <v>0</v>
      </c>
      <c r="BG86" s="112">
        <f t="shared" si="77"/>
        <v>0</v>
      </c>
      <c r="BH86" s="112">
        <f t="shared" si="77"/>
        <v>0</v>
      </c>
      <c r="BI86" s="112">
        <f t="shared" si="77"/>
        <v>0</v>
      </c>
      <c r="BJ86" s="112">
        <f t="shared" si="77"/>
        <v>0</v>
      </c>
    </row>
    <row r="87" spans="1:62" ht="12" customHeight="1">
      <c r="A87" s="521"/>
      <c r="B87" s="111">
        <f>'C1 - Cargos e Salários'!B69</f>
        <v>0</v>
      </c>
      <c r="C87" s="112">
        <f>'C1 - Cargos e Salários'!E69</f>
        <v>0</v>
      </c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2">
        <f t="shared" ref="AG87:BJ87" si="78">SUM($C87:C87)</f>
        <v>0</v>
      </c>
      <c r="AH87" s="112">
        <f t="shared" si="78"/>
        <v>0</v>
      </c>
      <c r="AI87" s="112">
        <f t="shared" si="78"/>
        <v>0</v>
      </c>
      <c r="AJ87" s="112">
        <f t="shared" si="78"/>
        <v>0</v>
      </c>
      <c r="AK87" s="112">
        <f t="shared" si="78"/>
        <v>0</v>
      </c>
      <c r="AL87" s="112">
        <f t="shared" si="78"/>
        <v>0</v>
      </c>
      <c r="AM87" s="112">
        <f t="shared" si="78"/>
        <v>0</v>
      </c>
      <c r="AN87" s="112">
        <f t="shared" si="78"/>
        <v>0</v>
      </c>
      <c r="AO87" s="112">
        <f t="shared" si="78"/>
        <v>0</v>
      </c>
      <c r="AP87" s="112">
        <f t="shared" si="78"/>
        <v>0</v>
      </c>
      <c r="AQ87" s="112">
        <f t="shared" si="78"/>
        <v>0</v>
      </c>
      <c r="AR87" s="112">
        <f t="shared" si="78"/>
        <v>0</v>
      </c>
      <c r="AS87" s="112">
        <f t="shared" si="78"/>
        <v>0</v>
      </c>
      <c r="AT87" s="112">
        <f t="shared" si="78"/>
        <v>0</v>
      </c>
      <c r="AU87" s="112">
        <f t="shared" si="78"/>
        <v>0</v>
      </c>
      <c r="AV87" s="112">
        <f t="shared" si="78"/>
        <v>0</v>
      </c>
      <c r="AW87" s="112">
        <f t="shared" si="78"/>
        <v>0</v>
      </c>
      <c r="AX87" s="112">
        <f t="shared" si="78"/>
        <v>0</v>
      </c>
      <c r="AY87" s="112">
        <f t="shared" si="78"/>
        <v>0</v>
      </c>
      <c r="AZ87" s="112">
        <f t="shared" si="78"/>
        <v>0</v>
      </c>
      <c r="BA87" s="112">
        <f t="shared" si="78"/>
        <v>0</v>
      </c>
      <c r="BB87" s="112">
        <f t="shared" si="78"/>
        <v>0</v>
      </c>
      <c r="BC87" s="112">
        <f t="shared" si="78"/>
        <v>0</v>
      </c>
      <c r="BD87" s="112">
        <f t="shared" si="78"/>
        <v>0</v>
      </c>
      <c r="BE87" s="112">
        <f t="shared" si="78"/>
        <v>0</v>
      </c>
      <c r="BF87" s="112">
        <f t="shared" si="78"/>
        <v>0</v>
      </c>
      <c r="BG87" s="112">
        <f t="shared" si="78"/>
        <v>0</v>
      </c>
      <c r="BH87" s="112">
        <f t="shared" si="78"/>
        <v>0</v>
      </c>
      <c r="BI87" s="112">
        <f t="shared" si="78"/>
        <v>0</v>
      </c>
      <c r="BJ87" s="112">
        <f t="shared" si="78"/>
        <v>0</v>
      </c>
    </row>
    <row r="88" spans="1:62" ht="12" customHeight="1">
      <c r="A88" s="521"/>
      <c r="B88" s="111">
        <f>'C1 - Cargos e Salários'!B70</f>
        <v>0</v>
      </c>
      <c r="C88" s="112">
        <f>'C1 - Cargos e Salários'!E70</f>
        <v>0</v>
      </c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2">
        <f t="shared" ref="AG88:BJ88" si="79">SUM($C88:C88)</f>
        <v>0</v>
      </c>
      <c r="AH88" s="112">
        <f t="shared" si="79"/>
        <v>0</v>
      </c>
      <c r="AI88" s="112">
        <f t="shared" si="79"/>
        <v>0</v>
      </c>
      <c r="AJ88" s="112">
        <f t="shared" si="79"/>
        <v>0</v>
      </c>
      <c r="AK88" s="112">
        <f t="shared" si="79"/>
        <v>0</v>
      </c>
      <c r="AL88" s="112">
        <f t="shared" si="79"/>
        <v>0</v>
      </c>
      <c r="AM88" s="112">
        <f t="shared" si="79"/>
        <v>0</v>
      </c>
      <c r="AN88" s="112">
        <f t="shared" si="79"/>
        <v>0</v>
      </c>
      <c r="AO88" s="112">
        <f t="shared" si="79"/>
        <v>0</v>
      </c>
      <c r="AP88" s="112">
        <f t="shared" si="79"/>
        <v>0</v>
      </c>
      <c r="AQ88" s="112">
        <f t="shared" si="79"/>
        <v>0</v>
      </c>
      <c r="AR88" s="112">
        <f t="shared" si="79"/>
        <v>0</v>
      </c>
      <c r="AS88" s="112">
        <f t="shared" si="79"/>
        <v>0</v>
      </c>
      <c r="AT88" s="112">
        <f t="shared" si="79"/>
        <v>0</v>
      </c>
      <c r="AU88" s="112">
        <f t="shared" si="79"/>
        <v>0</v>
      </c>
      <c r="AV88" s="112">
        <f t="shared" si="79"/>
        <v>0</v>
      </c>
      <c r="AW88" s="112">
        <f t="shared" si="79"/>
        <v>0</v>
      </c>
      <c r="AX88" s="112">
        <f t="shared" si="79"/>
        <v>0</v>
      </c>
      <c r="AY88" s="112">
        <f t="shared" si="79"/>
        <v>0</v>
      </c>
      <c r="AZ88" s="112">
        <f t="shared" si="79"/>
        <v>0</v>
      </c>
      <c r="BA88" s="112">
        <f t="shared" si="79"/>
        <v>0</v>
      </c>
      <c r="BB88" s="112">
        <f t="shared" si="79"/>
        <v>0</v>
      </c>
      <c r="BC88" s="112">
        <f t="shared" si="79"/>
        <v>0</v>
      </c>
      <c r="BD88" s="112">
        <f t="shared" si="79"/>
        <v>0</v>
      </c>
      <c r="BE88" s="112">
        <f t="shared" si="79"/>
        <v>0</v>
      </c>
      <c r="BF88" s="112">
        <f t="shared" si="79"/>
        <v>0</v>
      </c>
      <c r="BG88" s="112">
        <f t="shared" si="79"/>
        <v>0</v>
      </c>
      <c r="BH88" s="112">
        <f t="shared" si="79"/>
        <v>0</v>
      </c>
      <c r="BI88" s="112">
        <f t="shared" si="79"/>
        <v>0</v>
      </c>
      <c r="BJ88" s="112">
        <f t="shared" si="79"/>
        <v>0</v>
      </c>
    </row>
    <row r="89" spans="1:62" ht="12" customHeight="1">
      <c r="A89" s="521"/>
      <c r="B89" s="111">
        <f>'C1 - Cargos e Salários'!B71</f>
        <v>0</v>
      </c>
      <c r="C89" s="112">
        <f>'C1 - Cargos e Salários'!E71</f>
        <v>0</v>
      </c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2">
        <f t="shared" ref="AG89:BJ89" si="80">SUM($C89:C89)</f>
        <v>0</v>
      </c>
      <c r="AH89" s="112">
        <f t="shared" si="80"/>
        <v>0</v>
      </c>
      <c r="AI89" s="112">
        <f t="shared" si="80"/>
        <v>0</v>
      </c>
      <c r="AJ89" s="112">
        <f t="shared" si="80"/>
        <v>0</v>
      </c>
      <c r="AK89" s="112">
        <f t="shared" si="80"/>
        <v>0</v>
      </c>
      <c r="AL89" s="112">
        <f t="shared" si="80"/>
        <v>0</v>
      </c>
      <c r="AM89" s="112">
        <f t="shared" si="80"/>
        <v>0</v>
      </c>
      <c r="AN89" s="112">
        <f t="shared" si="80"/>
        <v>0</v>
      </c>
      <c r="AO89" s="112">
        <f t="shared" si="80"/>
        <v>0</v>
      </c>
      <c r="AP89" s="112">
        <f t="shared" si="80"/>
        <v>0</v>
      </c>
      <c r="AQ89" s="112">
        <f t="shared" si="80"/>
        <v>0</v>
      </c>
      <c r="AR89" s="112">
        <f t="shared" si="80"/>
        <v>0</v>
      </c>
      <c r="AS89" s="112">
        <f t="shared" si="80"/>
        <v>0</v>
      </c>
      <c r="AT89" s="112">
        <f t="shared" si="80"/>
        <v>0</v>
      </c>
      <c r="AU89" s="112">
        <f t="shared" si="80"/>
        <v>0</v>
      </c>
      <c r="AV89" s="112">
        <f t="shared" si="80"/>
        <v>0</v>
      </c>
      <c r="AW89" s="112">
        <f t="shared" si="80"/>
        <v>0</v>
      </c>
      <c r="AX89" s="112">
        <f t="shared" si="80"/>
        <v>0</v>
      </c>
      <c r="AY89" s="112">
        <f t="shared" si="80"/>
        <v>0</v>
      </c>
      <c r="AZ89" s="112">
        <f t="shared" si="80"/>
        <v>0</v>
      </c>
      <c r="BA89" s="112">
        <f t="shared" si="80"/>
        <v>0</v>
      </c>
      <c r="BB89" s="112">
        <f t="shared" si="80"/>
        <v>0</v>
      </c>
      <c r="BC89" s="112">
        <f t="shared" si="80"/>
        <v>0</v>
      </c>
      <c r="BD89" s="112">
        <f t="shared" si="80"/>
        <v>0</v>
      </c>
      <c r="BE89" s="112">
        <f t="shared" si="80"/>
        <v>0</v>
      </c>
      <c r="BF89" s="112">
        <f t="shared" si="80"/>
        <v>0</v>
      </c>
      <c r="BG89" s="112">
        <f t="shared" si="80"/>
        <v>0</v>
      </c>
      <c r="BH89" s="112">
        <f t="shared" si="80"/>
        <v>0</v>
      </c>
      <c r="BI89" s="112">
        <f t="shared" si="80"/>
        <v>0</v>
      </c>
      <c r="BJ89" s="112">
        <f t="shared" si="80"/>
        <v>0</v>
      </c>
    </row>
    <row r="90" spans="1:62" ht="12" customHeight="1">
      <c r="A90" s="521"/>
      <c r="B90" s="111">
        <f>'C1 - Cargos e Salários'!B72</f>
        <v>0</v>
      </c>
      <c r="C90" s="112">
        <f>'C1 - Cargos e Salários'!E72</f>
        <v>0</v>
      </c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2">
        <f t="shared" ref="AG90:BJ90" si="81">SUM($C90:C90)</f>
        <v>0</v>
      </c>
      <c r="AH90" s="112">
        <f t="shared" si="81"/>
        <v>0</v>
      </c>
      <c r="AI90" s="112">
        <f t="shared" si="81"/>
        <v>0</v>
      </c>
      <c r="AJ90" s="112">
        <f t="shared" si="81"/>
        <v>0</v>
      </c>
      <c r="AK90" s="112">
        <f t="shared" si="81"/>
        <v>0</v>
      </c>
      <c r="AL90" s="112">
        <f t="shared" si="81"/>
        <v>0</v>
      </c>
      <c r="AM90" s="112">
        <f t="shared" si="81"/>
        <v>0</v>
      </c>
      <c r="AN90" s="112">
        <f t="shared" si="81"/>
        <v>0</v>
      </c>
      <c r="AO90" s="112">
        <f t="shared" si="81"/>
        <v>0</v>
      </c>
      <c r="AP90" s="112">
        <f t="shared" si="81"/>
        <v>0</v>
      </c>
      <c r="AQ90" s="112">
        <f t="shared" si="81"/>
        <v>0</v>
      </c>
      <c r="AR90" s="112">
        <f t="shared" si="81"/>
        <v>0</v>
      </c>
      <c r="AS90" s="112">
        <f t="shared" si="81"/>
        <v>0</v>
      </c>
      <c r="AT90" s="112">
        <f t="shared" si="81"/>
        <v>0</v>
      </c>
      <c r="AU90" s="112">
        <f t="shared" si="81"/>
        <v>0</v>
      </c>
      <c r="AV90" s="112">
        <f t="shared" si="81"/>
        <v>0</v>
      </c>
      <c r="AW90" s="112">
        <f t="shared" si="81"/>
        <v>0</v>
      </c>
      <c r="AX90" s="112">
        <f t="shared" si="81"/>
        <v>0</v>
      </c>
      <c r="AY90" s="112">
        <f t="shared" si="81"/>
        <v>0</v>
      </c>
      <c r="AZ90" s="112">
        <f t="shared" si="81"/>
        <v>0</v>
      </c>
      <c r="BA90" s="112">
        <f t="shared" si="81"/>
        <v>0</v>
      </c>
      <c r="BB90" s="112">
        <f t="shared" si="81"/>
        <v>0</v>
      </c>
      <c r="BC90" s="112">
        <f t="shared" si="81"/>
        <v>0</v>
      </c>
      <c r="BD90" s="112">
        <f t="shared" si="81"/>
        <v>0</v>
      </c>
      <c r="BE90" s="112">
        <f t="shared" si="81"/>
        <v>0</v>
      </c>
      <c r="BF90" s="112">
        <f t="shared" si="81"/>
        <v>0</v>
      </c>
      <c r="BG90" s="112">
        <f t="shared" si="81"/>
        <v>0</v>
      </c>
      <c r="BH90" s="112">
        <f t="shared" si="81"/>
        <v>0</v>
      </c>
      <c r="BI90" s="112">
        <f t="shared" si="81"/>
        <v>0</v>
      </c>
      <c r="BJ90" s="112">
        <f t="shared" si="81"/>
        <v>0</v>
      </c>
    </row>
    <row r="91" spans="1:62" ht="12" customHeight="1">
      <c r="A91" s="521"/>
      <c r="B91" s="111">
        <f>'C1 - Cargos e Salários'!B73</f>
        <v>0</v>
      </c>
      <c r="C91" s="112">
        <f>'C1 - Cargos e Salários'!E73</f>
        <v>0</v>
      </c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2">
        <f t="shared" ref="AG91:BJ91" si="82">SUM($C91:C91)</f>
        <v>0</v>
      </c>
      <c r="AH91" s="112">
        <f t="shared" si="82"/>
        <v>0</v>
      </c>
      <c r="AI91" s="112">
        <f t="shared" si="82"/>
        <v>0</v>
      </c>
      <c r="AJ91" s="112">
        <f t="shared" si="82"/>
        <v>0</v>
      </c>
      <c r="AK91" s="112">
        <f t="shared" si="82"/>
        <v>0</v>
      </c>
      <c r="AL91" s="112">
        <f t="shared" si="82"/>
        <v>0</v>
      </c>
      <c r="AM91" s="112">
        <f t="shared" si="82"/>
        <v>0</v>
      </c>
      <c r="AN91" s="112">
        <f t="shared" si="82"/>
        <v>0</v>
      </c>
      <c r="AO91" s="112">
        <f t="shared" si="82"/>
        <v>0</v>
      </c>
      <c r="AP91" s="112">
        <f t="shared" si="82"/>
        <v>0</v>
      </c>
      <c r="AQ91" s="112">
        <f t="shared" si="82"/>
        <v>0</v>
      </c>
      <c r="AR91" s="112">
        <f t="shared" si="82"/>
        <v>0</v>
      </c>
      <c r="AS91" s="112">
        <f t="shared" si="82"/>
        <v>0</v>
      </c>
      <c r="AT91" s="112">
        <f t="shared" si="82"/>
        <v>0</v>
      </c>
      <c r="AU91" s="112">
        <f t="shared" si="82"/>
        <v>0</v>
      </c>
      <c r="AV91" s="112">
        <f t="shared" si="82"/>
        <v>0</v>
      </c>
      <c r="AW91" s="112">
        <f t="shared" si="82"/>
        <v>0</v>
      </c>
      <c r="AX91" s="112">
        <f t="shared" si="82"/>
        <v>0</v>
      </c>
      <c r="AY91" s="112">
        <f t="shared" si="82"/>
        <v>0</v>
      </c>
      <c r="AZ91" s="112">
        <f t="shared" si="82"/>
        <v>0</v>
      </c>
      <c r="BA91" s="112">
        <f t="shared" si="82"/>
        <v>0</v>
      </c>
      <c r="BB91" s="112">
        <f t="shared" si="82"/>
        <v>0</v>
      </c>
      <c r="BC91" s="112">
        <f t="shared" si="82"/>
        <v>0</v>
      </c>
      <c r="BD91" s="112">
        <f t="shared" si="82"/>
        <v>0</v>
      </c>
      <c r="BE91" s="112">
        <f t="shared" si="82"/>
        <v>0</v>
      </c>
      <c r="BF91" s="112">
        <f t="shared" si="82"/>
        <v>0</v>
      </c>
      <c r="BG91" s="112">
        <f t="shared" si="82"/>
        <v>0</v>
      </c>
      <c r="BH91" s="112">
        <f t="shared" si="82"/>
        <v>0</v>
      </c>
      <c r="BI91" s="112">
        <f t="shared" si="82"/>
        <v>0</v>
      </c>
      <c r="BJ91" s="112">
        <f t="shared" si="82"/>
        <v>0</v>
      </c>
    </row>
    <row r="92" spans="1:62" ht="12" customHeight="1">
      <c r="A92" s="521"/>
      <c r="B92" s="111">
        <f>'C1 - Cargos e Salários'!B74</f>
        <v>0</v>
      </c>
      <c r="C92" s="112">
        <f>'C1 - Cargos e Salários'!E74</f>
        <v>0</v>
      </c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2">
        <f t="shared" ref="AG92:BJ92" si="83">SUM($C92:C92)</f>
        <v>0</v>
      </c>
      <c r="AH92" s="112">
        <f t="shared" si="83"/>
        <v>0</v>
      </c>
      <c r="AI92" s="112">
        <f t="shared" si="83"/>
        <v>0</v>
      </c>
      <c r="AJ92" s="112">
        <f t="shared" si="83"/>
        <v>0</v>
      </c>
      <c r="AK92" s="112">
        <f t="shared" si="83"/>
        <v>0</v>
      </c>
      <c r="AL92" s="112">
        <f t="shared" si="83"/>
        <v>0</v>
      </c>
      <c r="AM92" s="112">
        <f t="shared" si="83"/>
        <v>0</v>
      </c>
      <c r="AN92" s="112">
        <f t="shared" si="83"/>
        <v>0</v>
      </c>
      <c r="AO92" s="112">
        <f t="shared" si="83"/>
        <v>0</v>
      </c>
      <c r="AP92" s="112">
        <f t="shared" si="83"/>
        <v>0</v>
      </c>
      <c r="AQ92" s="112">
        <f t="shared" si="83"/>
        <v>0</v>
      </c>
      <c r="AR92" s="112">
        <f t="shared" si="83"/>
        <v>0</v>
      </c>
      <c r="AS92" s="112">
        <f t="shared" si="83"/>
        <v>0</v>
      </c>
      <c r="AT92" s="112">
        <f t="shared" si="83"/>
        <v>0</v>
      </c>
      <c r="AU92" s="112">
        <f t="shared" si="83"/>
        <v>0</v>
      </c>
      <c r="AV92" s="112">
        <f t="shared" si="83"/>
        <v>0</v>
      </c>
      <c r="AW92" s="112">
        <f t="shared" si="83"/>
        <v>0</v>
      </c>
      <c r="AX92" s="112">
        <f t="shared" si="83"/>
        <v>0</v>
      </c>
      <c r="AY92" s="112">
        <f t="shared" si="83"/>
        <v>0</v>
      </c>
      <c r="AZ92" s="112">
        <f t="shared" si="83"/>
        <v>0</v>
      </c>
      <c r="BA92" s="112">
        <f t="shared" si="83"/>
        <v>0</v>
      </c>
      <c r="BB92" s="112">
        <f t="shared" si="83"/>
        <v>0</v>
      </c>
      <c r="BC92" s="112">
        <f t="shared" si="83"/>
        <v>0</v>
      </c>
      <c r="BD92" s="112">
        <f t="shared" si="83"/>
        <v>0</v>
      </c>
      <c r="BE92" s="112">
        <f t="shared" si="83"/>
        <v>0</v>
      </c>
      <c r="BF92" s="112">
        <f t="shared" si="83"/>
        <v>0</v>
      </c>
      <c r="BG92" s="112">
        <f t="shared" si="83"/>
        <v>0</v>
      </c>
      <c r="BH92" s="112">
        <f t="shared" si="83"/>
        <v>0</v>
      </c>
      <c r="BI92" s="112">
        <f t="shared" si="83"/>
        <v>0</v>
      </c>
      <c r="BJ92" s="112">
        <f t="shared" si="83"/>
        <v>0</v>
      </c>
    </row>
    <row r="93" spans="1:62" ht="12" customHeight="1">
      <c r="A93" s="521"/>
      <c r="B93" s="111">
        <f>'C1 - Cargos e Salários'!B75</f>
        <v>0</v>
      </c>
      <c r="C93" s="112">
        <f>'C1 - Cargos e Salários'!E75</f>
        <v>0</v>
      </c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2">
        <f t="shared" ref="AG93:BJ93" si="84">SUM($C93:C93)</f>
        <v>0</v>
      </c>
      <c r="AH93" s="112">
        <f t="shared" si="84"/>
        <v>0</v>
      </c>
      <c r="AI93" s="112">
        <f t="shared" si="84"/>
        <v>0</v>
      </c>
      <c r="AJ93" s="112">
        <f t="shared" si="84"/>
        <v>0</v>
      </c>
      <c r="AK93" s="112">
        <f t="shared" si="84"/>
        <v>0</v>
      </c>
      <c r="AL93" s="112">
        <f t="shared" si="84"/>
        <v>0</v>
      </c>
      <c r="AM93" s="112">
        <f t="shared" si="84"/>
        <v>0</v>
      </c>
      <c r="AN93" s="112">
        <f t="shared" si="84"/>
        <v>0</v>
      </c>
      <c r="AO93" s="112">
        <f t="shared" si="84"/>
        <v>0</v>
      </c>
      <c r="AP93" s="112">
        <f t="shared" si="84"/>
        <v>0</v>
      </c>
      <c r="AQ93" s="112">
        <f t="shared" si="84"/>
        <v>0</v>
      </c>
      <c r="AR93" s="112">
        <f t="shared" si="84"/>
        <v>0</v>
      </c>
      <c r="AS93" s="112">
        <f t="shared" si="84"/>
        <v>0</v>
      </c>
      <c r="AT93" s="112">
        <f t="shared" si="84"/>
        <v>0</v>
      </c>
      <c r="AU93" s="112">
        <f t="shared" si="84"/>
        <v>0</v>
      </c>
      <c r="AV93" s="112">
        <f t="shared" si="84"/>
        <v>0</v>
      </c>
      <c r="AW93" s="112">
        <f t="shared" si="84"/>
        <v>0</v>
      </c>
      <c r="AX93" s="112">
        <f t="shared" si="84"/>
        <v>0</v>
      </c>
      <c r="AY93" s="112">
        <f t="shared" si="84"/>
        <v>0</v>
      </c>
      <c r="AZ93" s="112">
        <f t="shared" si="84"/>
        <v>0</v>
      </c>
      <c r="BA93" s="112">
        <f t="shared" si="84"/>
        <v>0</v>
      </c>
      <c r="BB93" s="112">
        <f t="shared" si="84"/>
        <v>0</v>
      </c>
      <c r="BC93" s="112">
        <f t="shared" si="84"/>
        <v>0</v>
      </c>
      <c r="BD93" s="112">
        <f t="shared" si="84"/>
        <v>0</v>
      </c>
      <c r="BE93" s="112">
        <f t="shared" si="84"/>
        <v>0</v>
      </c>
      <c r="BF93" s="112">
        <f t="shared" si="84"/>
        <v>0</v>
      </c>
      <c r="BG93" s="112">
        <f t="shared" si="84"/>
        <v>0</v>
      </c>
      <c r="BH93" s="112">
        <f t="shared" si="84"/>
        <v>0</v>
      </c>
      <c r="BI93" s="112">
        <f t="shared" si="84"/>
        <v>0</v>
      </c>
      <c r="BJ93" s="112">
        <f t="shared" si="84"/>
        <v>0</v>
      </c>
    </row>
    <row r="94" spans="1:62" ht="12" customHeight="1">
      <c r="A94" s="521"/>
      <c r="B94" s="111">
        <f>'C1 - Cargos e Salários'!B76</f>
        <v>0</v>
      </c>
      <c r="C94" s="112">
        <f>'C1 - Cargos e Salários'!E76</f>
        <v>0</v>
      </c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2">
        <f t="shared" ref="AG94:BJ94" si="85">SUM($C94:C94)</f>
        <v>0</v>
      </c>
      <c r="AH94" s="112">
        <f t="shared" si="85"/>
        <v>0</v>
      </c>
      <c r="AI94" s="112">
        <f t="shared" si="85"/>
        <v>0</v>
      </c>
      <c r="AJ94" s="112">
        <f t="shared" si="85"/>
        <v>0</v>
      </c>
      <c r="AK94" s="112">
        <f t="shared" si="85"/>
        <v>0</v>
      </c>
      <c r="AL94" s="112">
        <f t="shared" si="85"/>
        <v>0</v>
      </c>
      <c r="AM94" s="112">
        <f t="shared" si="85"/>
        <v>0</v>
      </c>
      <c r="AN94" s="112">
        <f t="shared" si="85"/>
        <v>0</v>
      </c>
      <c r="AO94" s="112">
        <f t="shared" si="85"/>
        <v>0</v>
      </c>
      <c r="AP94" s="112">
        <f t="shared" si="85"/>
        <v>0</v>
      </c>
      <c r="AQ94" s="112">
        <f t="shared" si="85"/>
        <v>0</v>
      </c>
      <c r="AR94" s="112">
        <f t="shared" si="85"/>
        <v>0</v>
      </c>
      <c r="AS94" s="112">
        <f t="shared" si="85"/>
        <v>0</v>
      </c>
      <c r="AT94" s="112">
        <f t="shared" si="85"/>
        <v>0</v>
      </c>
      <c r="AU94" s="112">
        <f t="shared" si="85"/>
        <v>0</v>
      </c>
      <c r="AV94" s="112">
        <f t="shared" si="85"/>
        <v>0</v>
      </c>
      <c r="AW94" s="112">
        <f t="shared" si="85"/>
        <v>0</v>
      </c>
      <c r="AX94" s="112">
        <f t="shared" si="85"/>
        <v>0</v>
      </c>
      <c r="AY94" s="112">
        <f t="shared" si="85"/>
        <v>0</v>
      </c>
      <c r="AZ94" s="112">
        <f t="shared" si="85"/>
        <v>0</v>
      </c>
      <c r="BA94" s="112">
        <f t="shared" si="85"/>
        <v>0</v>
      </c>
      <c r="BB94" s="112">
        <f t="shared" si="85"/>
        <v>0</v>
      </c>
      <c r="BC94" s="112">
        <f t="shared" si="85"/>
        <v>0</v>
      </c>
      <c r="BD94" s="112">
        <f t="shared" si="85"/>
        <v>0</v>
      </c>
      <c r="BE94" s="112">
        <f t="shared" si="85"/>
        <v>0</v>
      </c>
      <c r="BF94" s="112">
        <f t="shared" si="85"/>
        <v>0</v>
      </c>
      <c r="BG94" s="112">
        <f t="shared" si="85"/>
        <v>0</v>
      </c>
      <c r="BH94" s="112">
        <f t="shared" si="85"/>
        <v>0</v>
      </c>
      <c r="BI94" s="112">
        <f t="shared" si="85"/>
        <v>0</v>
      </c>
      <c r="BJ94" s="112">
        <f t="shared" si="85"/>
        <v>0</v>
      </c>
    </row>
    <row r="95" spans="1:62" ht="12" customHeight="1">
      <c r="A95" s="521"/>
      <c r="B95" s="111">
        <f>'C1 - Cargos e Salários'!B77</f>
        <v>0</v>
      </c>
      <c r="C95" s="112">
        <f>'C1 - Cargos e Salários'!E77</f>
        <v>0</v>
      </c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2">
        <f t="shared" ref="AG95:BJ95" si="86">SUM($C95:C95)</f>
        <v>0</v>
      </c>
      <c r="AH95" s="112">
        <f t="shared" si="86"/>
        <v>0</v>
      </c>
      <c r="AI95" s="112">
        <f t="shared" si="86"/>
        <v>0</v>
      </c>
      <c r="AJ95" s="112">
        <f t="shared" si="86"/>
        <v>0</v>
      </c>
      <c r="AK95" s="112">
        <f t="shared" si="86"/>
        <v>0</v>
      </c>
      <c r="AL95" s="112">
        <f t="shared" si="86"/>
        <v>0</v>
      </c>
      <c r="AM95" s="112">
        <f t="shared" si="86"/>
        <v>0</v>
      </c>
      <c r="AN95" s="112">
        <f t="shared" si="86"/>
        <v>0</v>
      </c>
      <c r="AO95" s="112">
        <f t="shared" si="86"/>
        <v>0</v>
      </c>
      <c r="AP95" s="112">
        <f t="shared" si="86"/>
        <v>0</v>
      </c>
      <c r="AQ95" s="112">
        <f t="shared" si="86"/>
        <v>0</v>
      </c>
      <c r="AR95" s="112">
        <f t="shared" si="86"/>
        <v>0</v>
      </c>
      <c r="AS95" s="112">
        <f t="shared" si="86"/>
        <v>0</v>
      </c>
      <c r="AT95" s="112">
        <f t="shared" si="86"/>
        <v>0</v>
      </c>
      <c r="AU95" s="112">
        <f t="shared" si="86"/>
        <v>0</v>
      </c>
      <c r="AV95" s="112">
        <f t="shared" si="86"/>
        <v>0</v>
      </c>
      <c r="AW95" s="112">
        <f t="shared" si="86"/>
        <v>0</v>
      </c>
      <c r="AX95" s="112">
        <f t="shared" si="86"/>
        <v>0</v>
      </c>
      <c r="AY95" s="112">
        <f t="shared" si="86"/>
        <v>0</v>
      </c>
      <c r="AZ95" s="112">
        <f t="shared" si="86"/>
        <v>0</v>
      </c>
      <c r="BA95" s="112">
        <f t="shared" si="86"/>
        <v>0</v>
      </c>
      <c r="BB95" s="112">
        <f t="shared" si="86"/>
        <v>0</v>
      </c>
      <c r="BC95" s="112">
        <f t="shared" si="86"/>
        <v>0</v>
      </c>
      <c r="BD95" s="112">
        <f t="shared" si="86"/>
        <v>0</v>
      </c>
      <c r="BE95" s="112">
        <f t="shared" si="86"/>
        <v>0</v>
      </c>
      <c r="BF95" s="112">
        <f t="shared" si="86"/>
        <v>0</v>
      </c>
      <c r="BG95" s="112">
        <f t="shared" si="86"/>
        <v>0</v>
      </c>
      <c r="BH95" s="112">
        <f t="shared" si="86"/>
        <v>0</v>
      </c>
      <c r="BI95" s="112">
        <f t="shared" si="86"/>
        <v>0</v>
      </c>
      <c r="BJ95" s="112">
        <f t="shared" si="86"/>
        <v>0</v>
      </c>
    </row>
    <row r="96" spans="1:62" ht="12" customHeight="1">
      <c r="A96" s="521"/>
      <c r="B96" s="111">
        <f>'C1 - Cargos e Salários'!B78</f>
        <v>0</v>
      </c>
      <c r="C96" s="112">
        <f>'C1 - Cargos e Salários'!E78</f>
        <v>0</v>
      </c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2">
        <f t="shared" ref="AG96:BJ96" si="87">SUM($C96:C96)</f>
        <v>0</v>
      </c>
      <c r="AH96" s="112">
        <f t="shared" si="87"/>
        <v>0</v>
      </c>
      <c r="AI96" s="112">
        <f t="shared" si="87"/>
        <v>0</v>
      </c>
      <c r="AJ96" s="112">
        <f t="shared" si="87"/>
        <v>0</v>
      </c>
      <c r="AK96" s="112">
        <f t="shared" si="87"/>
        <v>0</v>
      </c>
      <c r="AL96" s="112">
        <f t="shared" si="87"/>
        <v>0</v>
      </c>
      <c r="AM96" s="112">
        <f t="shared" si="87"/>
        <v>0</v>
      </c>
      <c r="AN96" s="112">
        <f t="shared" si="87"/>
        <v>0</v>
      </c>
      <c r="AO96" s="112">
        <f t="shared" si="87"/>
        <v>0</v>
      </c>
      <c r="AP96" s="112">
        <f t="shared" si="87"/>
        <v>0</v>
      </c>
      <c r="AQ96" s="112">
        <f t="shared" si="87"/>
        <v>0</v>
      </c>
      <c r="AR96" s="112">
        <f t="shared" si="87"/>
        <v>0</v>
      </c>
      <c r="AS96" s="112">
        <f t="shared" si="87"/>
        <v>0</v>
      </c>
      <c r="AT96" s="112">
        <f t="shared" si="87"/>
        <v>0</v>
      </c>
      <c r="AU96" s="112">
        <f t="shared" si="87"/>
        <v>0</v>
      </c>
      <c r="AV96" s="112">
        <f t="shared" si="87"/>
        <v>0</v>
      </c>
      <c r="AW96" s="112">
        <f t="shared" si="87"/>
        <v>0</v>
      </c>
      <c r="AX96" s="112">
        <f t="shared" si="87"/>
        <v>0</v>
      </c>
      <c r="AY96" s="112">
        <f t="shared" si="87"/>
        <v>0</v>
      </c>
      <c r="AZ96" s="112">
        <f t="shared" si="87"/>
        <v>0</v>
      </c>
      <c r="BA96" s="112">
        <f t="shared" si="87"/>
        <v>0</v>
      </c>
      <c r="BB96" s="112">
        <f t="shared" si="87"/>
        <v>0</v>
      </c>
      <c r="BC96" s="112">
        <f t="shared" si="87"/>
        <v>0</v>
      </c>
      <c r="BD96" s="112">
        <f t="shared" si="87"/>
        <v>0</v>
      </c>
      <c r="BE96" s="112">
        <f t="shared" si="87"/>
        <v>0</v>
      </c>
      <c r="BF96" s="112">
        <f t="shared" si="87"/>
        <v>0</v>
      </c>
      <c r="BG96" s="112">
        <f t="shared" si="87"/>
        <v>0</v>
      </c>
      <c r="BH96" s="112">
        <f t="shared" si="87"/>
        <v>0</v>
      </c>
      <c r="BI96" s="112">
        <f t="shared" si="87"/>
        <v>0</v>
      </c>
      <c r="BJ96" s="112">
        <f t="shared" si="87"/>
        <v>0</v>
      </c>
    </row>
    <row r="97" spans="1:62" ht="12" customHeight="1">
      <c r="A97" s="521"/>
      <c r="B97" s="111">
        <f>'C1 - Cargos e Salários'!B79</f>
        <v>0</v>
      </c>
      <c r="C97" s="112">
        <f>'C1 - Cargos e Salários'!E79</f>
        <v>0</v>
      </c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2">
        <f t="shared" ref="AG97:BJ97" si="88">SUM($C97:C97)</f>
        <v>0</v>
      </c>
      <c r="AH97" s="112">
        <f t="shared" si="88"/>
        <v>0</v>
      </c>
      <c r="AI97" s="112">
        <f t="shared" si="88"/>
        <v>0</v>
      </c>
      <c r="AJ97" s="112">
        <f t="shared" si="88"/>
        <v>0</v>
      </c>
      <c r="AK97" s="112">
        <f t="shared" si="88"/>
        <v>0</v>
      </c>
      <c r="AL97" s="112">
        <f t="shared" si="88"/>
        <v>0</v>
      </c>
      <c r="AM97" s="112">
        <f t="shared" si="88"/>
        <v>0</v>
      </c>
      <c r="AN97" s="112">
        <f t="shared" si="88"/>
        <v>0</v>
      </c>
      <c r="AO97" s="112">
        <f t="shared" si="88"/>
        <v>0</v>
      </c>
      <c r="AP97" s="112">
        <f t="shared" si="88"/>
        <v>0</v>
      </c>
      <c r="AQ97" s="112">
        <f t="shared" si="88"/>
        <v>0</v>
      </c>
      <c r="AR97" s="112">
        <f t="shared" si="88"/>
        <v>0</v>
      </c>
      <c r="AS97" s="112">
        <f t="shared" si="88"/>
        <v>0</v>
      </c>
      <c r="AT97" s="112">
        <f t="shared" si="88"/>
        <v>0</v>
      </c>
      <c r="AU97" s="112">
        <f t="shared" si="88"/>
        <v>0</v>
      </c>
      <c r="AV97" s="112">
        <f t="shared" si="88"/>
        <v>0</v>
      </c>
      <c r="AW97" s="112">
        <f t="shared" si="88"/>
        <v>0</v>
      </c>
      <c r="AX97" s="112">
        <f t="shared" si="88"/>
        <v>0</v>
      </c>
      <c r="AY97" s="112">
        <f t="shared" si="88"/>
        <v>0</v>
      </c>
      <c r="AZ97" s="112">
        <f t="shared" si="88"/>
        <v>0</v>
      </c>
      <c r="BA97" s="112">
        <f t="shared" si="88"/>
        <v>0</v>
      </c>
      <c r="BB97" s="112">
        <f t="shared" si="88"/>
        <v>0</v>
      </c>
      <c r="BC97" s="112">
        <f t="shared" si="88"/>
        <v>0</v>
      </c>
      <c r="BD97" s="112">
        <f t="shared" si="88"/>
        <v>0</v>
      </c>
      <c r="BE97" s="112">
        <f t="shared" si="88"/>
        <v>0</v>
      </c>
      <c r="BF97" s="112">
        <f t="shared" si="88"/>
        <v>0</v>
      </c>
      <c r="BG97" s="112">
        <f t="shared" si="88"/>
        <v>0</v>
      </c>
      <c r="BH97" s="112">
        <f t="shared" si="88"/>
        <v>0</v>
      </c>
      <c r="BI97" s="112">
        <f t="shared" si="88"/>
        <v>0</v>
      </c>
      <c r="BJ97" s="112">
        <f t="shared" si="88"/>
        <v>0</v>
      </c>
    </row>
    <row r="98" spans="1:62" ht="12" customHeight="1">
      <c r="A98" s="521"/>
      <c r="B98" s="111">
        <f>'C1 - Cargos e Salários'!B80</f>
        <v>0</v>
      </c>
      <c r="C98" s="112">
        <f>'C1 - Cargos e Salários'!E80</f>
        <v>0</v>
      </c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2">
        <f t="shared" ref="AG98:BJ98" si="89">SUM($C98:C98)</f>
        <v>0</v>
      </c>
      <c r="AH98" s="112">
        <f t="shared" si="89"/>
        <v>0</v>
      </c>
      <c r="AI98" s="112">
        <f t="shared" si="89"/>
        <v>0</v>
      </c>
      <c r="AJ98" s="112">
        <f t="shared" si="89"/>
        <v>0</v>
      </c>
      <c r="AK98" s="112">
        <f t="shared" si="89"/>
        <v>0</v>
      </c>
      <c r="AL98" s="112">
        <f t="shared" si="89"/>
        <v>0</v>
      </c>
      <c r="AM98" s="112">
        <f t="shared" si="89"/>
        <v>0</v>
      </c>
      <c r="AN98" s="112">
        <f t="shared" si="89"/>
        <v>0</v>
      </c>
      <c r="AO98" s="112">
        <f t="shared" si="89"/>
        <v>0</v>
      </c>
      <c r="AP98" s="112">
        <f t="shared" si="89"/>
        <v>0</v>
      </c>
      <c r="AQ98" s="112">
        <f t="shared" si="89"/>
        <v>0</v>
      </c>
      <c r="AR98" s="112">
        <f t="shared" si="89"/>
        <v>0</v>
      </c>
      <c r="AS98" s="112">
        <f t="shared" si="89"/>
        <v>0</v>
      </c>
      <c r="AT98" s="112">
        <f t="shared" si="89"/>
        <v>0</v>
      </c>
      <c r="AU98" s="112">
        <f t="shared" si="89"/>
        <v>0</v>
      </c>
      <c r="AV98" s="112">
        <f t="shared" si="89"/>
        <v>0</v>
      </c>
      <c r="AW98" s="112">
        <f t="shared" si="89"/>
        <v>0</v>
      </c>
      <c r="AX98" s="112">
        <f t="shared" si="89"/>
        <v>0</v>
      </c>
      <c r="AY98" s="112">
        <f t="shared" si="89"/>
        <v>0</v>
      </c>
      <c r="AZ98" s="112">
        <f t="shared" si="89"/>
        <v>0</v>
      </c>
      <c r="BA98" s="112">
        <f t="shared" si="89"/>
        <v>0</v>
      </c>
      <c r="BB98" s="112">
        <f t="shared" si="89"/>
        <v>0</v>
      </c>
      <c r="BC98" s="112">
        <f t="shared" si="89"/>
        <v>0</v>
      </c>
      <c r="BD98" s="112">
        <f t="shared" si="89"/>
        <v>0</v>
      </c>
      <c r="BE98" s="112">
        <f t="shared" si="89"/>
        <v>0</v>
      </c>
      <c r="BF98" s="112">
        <f t="shared" si="89"/>
        <v>0</v>
      </c>
      <c r="BG98" s="112">
        <f t="shared" si="89"/>
        <v>0</v>
      </c>
      <c r="BH98" s="112">
        <f t="shared" si="89"/>
        <v>0</v>
      </c>
      <c r="BI98" s="112">
        <f t="shared" si="89"/>
        <v>0</v>
      </c>
      <c r="BJ98" s="112">
        <f t="shared" si="89"/>
        <v>0</v>
      </c>
    </row>
    <row r="99" spans="1:62" ht="12" customHeight="1">
      <c r="A99" s="521"/>
      <c r="B99" s="111">
        <f>'C1 - Cargos e Salários'!B81</f>
        <v>0</v>
      </c>
      <c r="C99" s="112">
        <f>'C1 - Cargos e Salários'!E81</f>
        <v>0</v>
      </c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2">
        <f t="shared" ref="AG99:BJ99" si="90">SUM($C99:C99)</f>
        <v>0</v>
      </c>
      <c r="AH99" s="112">
        <f t="shared" si="90"/>
        <v>0</v>
      </c>
      <c r="AI99" s="112">
        <f t="shared" si="90"/>
        <v>0</v>
      </c>
      <c r="AJ99" s="112">
        <f t="shared" si="90"/>
        <v>0</v>
      </c>
      <c r="AK99" s="112">
        <f t="shared" si="90"/>
        <v>0</v>
      </c>
      <c r="AL99" s="112">
        <f t="shared" si="90"/>
        <v>0</v>
      </c>
      <c r="AM99" s="112">
        <f t="shared" si="90"/>
        <v>0</v>
      </c>
      <c r="AN99" s="112">
        <f t="shared" si="90"/>
        <v>0</v>
      </c>
      <c r="AO99" s="112">
        <f t="shared" si="90"/>
        <v>0</v>
      </c>
      <c r="AP99" s="112">
        <f t="shared" si="90"/>
        <v>0</v>
      </c>
      <c r="AQ99" s="112">
        <f t="shared" si="90"/>
        <v>0</v>
      </c>
      <c r="AR99" s="112">
        <f t="shared" si="90"/>
        <v>0</v>
      </c>
      <c r="AS99" s="112">
        <f t="shared" si="90"/>
        <v>0</v>
      </c>
      <c r="AT99" s="112">
        <f t="shared" si="90"/>
        <v>0</v>
      </c>
      <c r="AU99" s="112">
        <f t="shared" si="90"/>
        <v>0</v>
      </c>
      <c r="AV99" s="112">
        <f t="shared" si="90"/>
        <v>0</v>
      </c>
      <c r="AW99" s="112">
        <f t="shared" si="90"/>
        <v>0</v>
      </c>
      <c r="AX99" s="112">
        <f t="shared" si="90"/>
        <v>0</v>
      </c>
      <c r="AY99" s="112">
        <f t="shared" si="90"/>
        <v>0</v>
      </c>
      <c r="AZ99" s="112">
        <f t="shared" si="90"/>
        <v>0</v>
      </c>
      <c r="BA99" s="112">
        <f t="shared" si="90"/>
        <v>0</v>
      </c>
      <c r="BB99" s="112">
        <f t="shared" si="90"/>
        <v>0</v>
      </c>
      <c r="BC99" s="112">
        <f t="shared" si="90"/>
        <v>0</v>
      </c>
      <c r="BD99" s="112">
        <f t="shared" si="90"/>
        <v>0</v>
      </c>
      <c r="BE99" s="112">
        <f t="shared" si="90"/>
        <v>0</v>
      </c>
      <c r="BF99" s="112">
        <f t="shared" si="90"/>
        <v>0</v>
      </c>
      <c r="BG99" s="112">
        <f t="shared" si="90"/>
        <v>0</v>
      </c>
      <c r="BH99" s="112">
        <f t="shared" si="90"/>
        <v>0</v>
      </c>
      <c r="BI99" s="112">
        <f t="shared" si="90"/>
        <v>0</v>
      </c>
      <c r="BJ99" s="112">
        <f t="shared" si="90"/>
        <v>0</v>
      </c>
    </row>
    <row r="100" spans="1:62" ht="12" customHeight="1">
      <c r="A100" s="521"/>
      <c r="B100" s="111">
        <f>'C1 - Cargos e Salários'!B82</f>
        <v>0</v>
      </c>
      <c r="C100" s="112">
        <f>'C1 - Cargos e Salários'!E82</f>
        <v>0</v>
      </c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2">
        <f t="shared" ref="AG100:BJ100" si="91">SUM($C100:C100)</f>
        <v>0</v>
      </c>
      <c r="AH100" s="112">
        <f t="shared" si="91"/>
        <v>0</v>
      </c>
      <c r="AI100" s="112">
        <f t="shared" si="91"/>
        <v>0</v>
      </c>
      <c r="AJ100" s="112">
        <f t="shared" si="91"/>
        <v>0</v>
      </c>
      <c r="AK100" s="112">
        <f t="shared" si="91"/>
        <v>0</v>
      </c>
      <c r="AL100" s="112">
        <f t="shared" si="91"/>
        <v>0</v>
      </c>
      <c r="AM100" s="112">
        <f t="shared" si="91"/>
        <v>0</v>
      </c>
      <c r="AN100" s="112">
        <f t="shared" si="91"/>
        <v>0</v>
      </c>
      <c r="AO100" s="112">
        <f t="shared" si="91"/>
        <v>0</v>
      </c>
      <c r="AP100" s="112">
        <f t="shared" si="91"/>
        <v>0</v>
      </c>
      <c r="AQ100" s="112">
        <f t="shared" si="91"/>
        <v>0</v>
      </c>
      <c r="AR100" s="112">
        <f t="shared" si="91"/>
        <v>0</v>
      </c>
      <c r="AS100" s="112">
        <f t="shared" si="91"/>
        <v>0</v>
      </c>
      <c r="AT100" s="112">
        <f t="shared" si="91"/>
        <v>0</v>
      </c>
      <c r="AU100" s="112">
        <f t="shared" si="91"/>
        <v>0</v>
      </c>
      <c r="AV100" s="112">
        <f t="shared" si="91"/>
        <v>0</v>
      </c>
      <c r="AW100" s="112">
        <f t="shared" si="91"/>
        <v>0</v>
      </c>
      <c r="AX100" s="112">
        <f t="shared" si="91"/>
        <v>0</v>
      </c>
      <c r="AY100" s="112">
        <f t="shared" si="91"/>
        <v>0</v>
      </c>
      <c r="AZ100" s="112">
        <f t="shared" si="91"/>
        <v>0</v>
      </c>
      <c r="BA100" s="112">
        <f t="shared" si="91"/>
        <v>0</v>
      </c>
      <c r="BB100" s="112">
        <f t="shared" si="91"/>
        <v>0</v>
      </c>
      <c r="BC100" s="112">
        <f t="shared" si="91"/>
        <v>0</v>
      </c>
      <c r="BD100" s="112">
        <f t="shared" si="91"/>
        <v>0</v>
      </c>
      <c r="BE100" s="112">
        <f t="shared" si="91"/>
        <v>0</v>
      </c>
      <c r="BF100" s="112">
        <f t="shared" si="91"/>
        <v>0</v>
      </c>
      <c r="BG100" s="112">
        <f t="shared" si="91"/>
        <v>0</v>
      </c>
      <c r="BH100" s="112">
        <f t="shared" si="91"/>
        <v>0</v>
      </c>
      <c r="BI100" s="112">
        <f t="shared" si="91"/>
        <v>0</v>
      </c>
      <c r="BJ100" s="112">
        <f t="shared" si="91"/>
        <v>0</v>
      </c>
    </row>
    <row r="101" spans="1:62" ht="12" customHeight="1">
      <c r="A101" s="521"/>
      <c r="B101" s="111">
        <f>'C1 - Cargos e Salários'!B83</f>
        <v>0</v>
      </c>
      <c r="C101" s="112">
        <f>'C1 - Cargos e Salários'!E83</f>
        <v>0</v>
      </c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2">
        <f t="shared" ref="AG101:BJ101" si="92">SUM($C101:C101)</f>
        <v>0</v>
      </c>
      <c r="AH101" s="112">
        <f t="shared" si="92"/>
        <v>0</v>
      </c>
      <c r="AI101" s="112">
        <f t="shared" si="92"/>
        <v>0</v>
      </c>
      <c r="AJ101" s="112">
        <f t="shared" si="92"/>
        <v>0</v>
      </c>
      <c r="AK101" s="112">
        <f t="shared" si="92"/>
        <v>0</v>
      </c>
      <c r="AL101" s="112">
        <f t="shared" si="92"/>
        <v>0</v>
      </c>
      <c r="AM101" s="112">
        <f t="shared" si="92"/>
        <v>0</v>
      </c>
      <c r="AN101" s="112">
        <f t="shared" si="92"/>
        <v>0</v>
      </c>
      <c r="AO101" s="112">
        <f t="shared" si="92"/>
        <v>0</v>
      </c>
      <c r="AP101" s="112">
        <f t="shared" si="92"/>
        <v>0</v>
      </c>
      <c r="AQ101" s="112">
        <f t="shared" si="92"/>
        <v>0</v>
      </c>
      <c r="AR101" s="112">
        <f t="shared" si="92"/>
        <v>0</v>
      </c>
      <c r="AS101" s="112">
        <f t="shared" si="92"/>
        <v>0</v>
      </c>
      <c r="AT101" s="112">
        <f t="shared" si="92"/>
        <v>0</v>
      </c>
      <c r="AU101" s="112">
        <f t="shared" si="92"/>
        <v>0</v>
      </c>
      <c r="AV101" s="112">
        <f t="shared" si="92"/>
        <v>0</v>
      </c>
      <c r="AW101" s="112">
        <f t="shared" si="92"/>
        <v>0</v>
      </c>
      <c r="AX101" s="112">
        <f t="shared" si="92"/>
        <v>0</v>
      </c>
      <c r="AY101" s="112">
        <f t="shared" si="92"/>
        <v>0</v>
      </c>
      <c r="AZ101" s="112">
        <f t="shared" si="92"/>
        <v>0</v>
      </c>
      <c r="BA101" s="112">
        <f t="shared" si="92"/>
        <v>0</v>
      </c>
      <c r="BB101" s="112">
        <f t="shared" si="92"/>
        <v>0</v>
      </c>
      <c r="BC101" s="112">
        <f t="shared" si="92"/>
        <v>0</v>
      </c>
      <c r="BD101" s="112">
        <f t="shared" si="92"/>
        <v>0</v>
      </c>
      <c r="BE101" s="112">
        <f t="shared" si="92"/>
        <v>0</v>
      </c>
      <c r="BF101" s="112">
        <f t="shared" si="92"/>
        <v>0</v>
      </c>
      <c r="BG101" s="112">
        <f t="shared" si="92"/>
        <v>0</v>
      </c>
      <c r="BH101" s="112">
        <f t="shared" si="92"/>
        <v>0</v>
      </c>
      <c r="BI101" s="112">
        <f t="shared" si="92"/>
        <v>0</v>
      </c>
      <c r="BJ101" s="112">
        <f t="shared" si="92"/>
        <v>0</v>
      </c>
    </row>
    <row r="102" spans="1:62" ht="12" customHeight="1">
      <c r="A102" s="521"/>
      <c r="B102" s="111">
        <f>'C1 - Cargos e Salários'!B84</f>
        <v>0</v>
      </c>
      <c r="C102" s="112">
        <f>'C1 - Cargos e Salários'!E84</f>
        <v>0</v>
      </c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2">
        <f t="shared" ref="AG102:BJ102" si="93">SUM($C102:C102)</f>
        <v>0</v>
      </c>
      <c r="AH102" s="112">
        <f t="shared" si="93"/>
        <v>0</v>
      </c>
      <c r="AI102" s="112">
        <f t="shared" si="93"/>
        <v>0</v>
      </c>
      <c r="AJ102" s="112">
        <f t="shared" si="93"/>
        <v>0</v>
      </c>
      <c r="AK102" s="112">
        <f t="shared" si="93"/>
        <v>0</v>
      </c>
      <c r="AL102" s="112">
        <f t="shared" si="93"/>
        <v>0</v>
      </c>
      <c r="AM102" s="112">
        <f t="shared" si="93"/>
        <v>0</v>
      </c>
      <c r="AN102" s="112">
        <f t="shared" si="93"/>
        <v>0</v>
      </c>
      <c r="AO102" s="112">
        <f t="shared" si="93"/>
        <v>0</v>
      </c>
      <c r="AP102" s="112">
        <f t="shared" si="93"/>
        <v>0</v>
      </c>
      <c r="AQ102" s="112">
        <f t="shared" si="93"/>
        <v>0</v>
      </c>
      <c r="AR102" s="112">
        <f t="shared" si="93"/>
        <v>0</v>
      </c>
      <c r="AS102" s="112">
        <f t="shared" si="93"/>
        <v>0</v>
      </c>
      <c r="AT102" s="112">
        <f t="shared" si="93"/>
        <v>0</v>
      </c>
      <c r="AU102" s="112">
        <f t="shared" si="93"/>
        <v>0</v>
      </c>
      <c r="AV102" s="112">
        <f t="shared" si="93"/>
        <v>0</v>
      </c>
      <c r="AW102" s="112">
        <f t="shared" si="93"/>
        <v>0</v>
      </c>
      <c r="AX102" s="112">
        <f t="shared" si="93"/>
        <v>0</v>
      </c>
      <c r="AY102" s="112">
        <f t="shared" si="93"/>
        <v>0</v>
      </c>
      <c r="AZ102" s="112">
        <f t="shared" si="93"/>
        <v>0</v>
      </c>
      <c r="BA102" s="112">
        <f t="shared" si="93"/>
        <v>0</v>
      </c>
      <c r="BB102" s="112">
        <f t="shared" si="93"/>
        <v>0</v>
      </c>
      <c r="BC102" s="112">
        <f t="shared" si="93"/>
        <v>0</v>
      </c>
      <c r="BD102" s="112">
        <f t="shared" si="93"/>
        <v>0</v>
      </c>
      <c r="BE102" s="112">
        <f t="shared" si="93"/>
        <v>0</v>
      </c>
      <c r="BF102" s="112">
        <f t="shared" si="93"/>
        <v>0</v>
      </c>
      <c r="BG102" s="112">
        <f t="shared" si="93"/>
        <v>0</v>
      </c>
      <c r="BH102" s="112">
        <f t="shared" si="93"/>
        <v>0</v>
      </c>
      <c r="BI102" s="112">
        <f t="shared" si="93"/>
        <v>0</v>
      </c>
      <c r="BJ102" s="112">
        <f t="shared" si="93"/>
        <v>0</v>
      </c>
    </row>
    <row r="103" spans="1:62" ht="12" customHeight="1">
      <c r="A103" s="521"/>
      <c r="B103" s="111">
        <f>'C1 - Cargos e Salários'!B85</f>
        <v>0</v>
      </c>
      <c r="C103" s="112">
        <f>'C1 - Cargos e Salários'!E85</f>
        <v>0</v>
      </c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2">
        <f t="shared" ref="AG103:BJ103" si="94">SUM($C103:C103)</f>
        <v>0</v>
      </c>
      <c r="AH103" s="112">
        <f t="shared" si="94"/>
        <v>0</v>
      </c>
      <c r="AI103" s="112">
        <f t="shared" si="94"/>
        <v>0</v>
      </c>
      <c r="AJ103" s="112">
        <f t="shared" si="94"/>
        <v>0</v>
      </c>
      <c r="AK103" s="112">
        <f t="shared" si="94"/>
        <v>0</v>
      </c>
      <c r="AL103" s="112">
        <f t="shared" si="94"/>
        <v>0</v>
      </c>
      <c r="AM103" s="112">
        <f t="shared" si="94"/>
        <v>0</v>
      </c>
      <c r="AN103" s="112">
        <f t="shared" si="94"/>
        <v>0</v>
      </c>
      <c r="AO103" s="112">
        <f t="shared" si="94"/>
        <v>0</v>
      </c>
      <c r="AP103" s="112">
        <f t="shared" si="94"/>
        <v>0</v>
      </c>
      <c r="AQ103" s="112">
        <f t="shared" si="94"/>
        <v>0</v>
      </c>
      <c r="AR103" s="112">
        <f t="shared" si="94"/>
        <v>0</v>
      </c>
      <c r="AS103" s="112">
        <f t="shared" si="94"/>
        <v>0</v>
      </c>
      <c r="AT103" s="112">
        <f t="shared" si="94"/>
        <v>0</v>
      </c>
      <c r="AU103" s="112">
        <f t="shared" si="94"/>
        <v>0</v>
      </c>
      <c r="AV103" s="112">
        <f t="shared" si="94"/>
        <v>0</v>
      </c>
      <c r="AW103" s="112">
        <f t="shared" si="94"/>
        <v>0</v>
      </c>
      <c r="AX103" s="112">
        <f t="shared" si="94"/>
        <v>0</v>
      </c>
      <c r="AY103" s="112">
        <f t="shared" si="94"/>
        <v>0</v>
      </c>
      <c r="AZ103" s="112">
        <f t="shared" si="94"/>
        <v>0</v>
      </c>
      <c r="BA103" s="112">
        <f t="shared" si="94"/>
        <v>0</v>
      </c>
      <c r="BB103" s="112">
        <f t="shared" si="94"/>
        <v>0</v>
      </c>
      <c r="BC103" s="112">
        <f t="shared" si="94"/>
        <v>0</v>
      </c>
      <c r="BD103" s="112">
        <f t="shared" si="94"/>
        <v>0</v>
      </c>
      <c r="BE103" s="112">
        <f t="shared" si="94"/>
        <v>0</v>
      </c>
      <c r="BF103" s="112">
        <f t="shared" si="94"/>
        <v>0</v>
      </c>
      <c r="BG103" s="112">
        <f t="shared" si="94"/>
        <v>0</v>
      </c>
      <c r="BH103" s="112">
        <f t="shared" si="94"/>
        <v>0</v>
      </c>
      <c r="BI103" s="112">
        <f t="shared" si="94"/>
        <v>0</v>
      </c>
      <c r="BJ103" s="112">
        <f t="shared" si="94"/>
        <v>0</v>
      </c>
    </row>
    <row r="104" spans="1:62" ht="12" customHeight="1">
      <c r="A104" s="521"/>
      <c r="B104" s="111">
        <f>'C1 - Cargos e Salários'!B86</f>
        <v>0</v>
      </c>
      <c r="C104" s="112">
        <f>'C1 - Cargos e Salários'!E86</f>
        <v>0</v>
      </c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2">
        <f t="shared" ref="AG104:BJ104" si="95">SUM($C104:C104)</f>
        <v>0</v>
      </c>
      <c r="AH104" s="112">
        <f t="shared" si="95"/>
        <v>0</v>
      </c>
      <c r="AI104" s="112">
        <f t="shared" si="95"/>
        <v>0</v>
      </c>
      <c r="AJ104" s="112">
        <f t="shared" si="95"/>
        <v>0</v>
      </c>
      <c r="AK104" s="112">
        <f t="shared" si="95"/>
        <v>0</v>
      </c>
      <c r="AL104" s="112">
        <f t="shared" si="95"/>
        <v>0</v>
      </c>
      <c r="AM104" s="112">
        <f t="shared" si="95"/>
        <v>0</v>
      </c>
      <c r="AN104" s="112">
        <f t="shared" si="95"/>
        <v>0</v>
      </c>
      <c r="AO104" s="112">
        <f t="shared" si="95"/>
        <v>0</v>
      </c>
      <c r="AP104" s="112">
        <f t="shared" si="95"/>
        <v>0</v>
      </c>
      <c r="AQ104" s="112">
        <f t="shared" si="95"/>
        <v>0</v>
      </c>
      <c r="AR104" s="112">
        <f t="shared" si="95"/>
        <v>0</v>
      </c>
      <c r="AS104" s="112">
        <f t="shared" si="95"/>
        <v>0</v>
      </c>
      <c r="AT104" s="112">
        <f t="shared" si="95"/>
        <v>0</v>
      </c>
      <c r="AU104" s="112">
        <f t="shared" si="95"/>
        <v>0</v>
      </c>
      <c r="AV104" s="112">
        <f t="shared" si="95"/>
        <v>0</v>
      </c>
      <c r="AW104" s="112">
        <f t="shared" si="95"/>
        <v>0</v>
      </c>
      <c r="AX104" s="112">
        <f t="shared" si="95"/>
        <v>0</v>
      </c>
      <c r="AY104" s="112">
        <f t="shared" si="95"/>
        <v>0</v>
      </c>
      <c r="AZ104" s="112">
        <f t="shared" si="95"/>
        <v>0</v>
      </c>
      <c r="BA104" s="112">
        <f t="shared" si="95"/>
        <v>0</v>
      </c>
      <c r="BB104" s="112">
        <f t="shared" si="95"/>
        <v>0</v>
      </c>
      <c r="BC104" s="112">
        <f t="shared" si="95"/>
        <v>0</v>
      </c>
      <c r="BD104" s="112">
        <f t="shared" si="95"/>
        <v>0</v>
      </c>
      <c r="BE104" s="112">
        <f t="shared" si="95"/>
        <v>0</v>
      </c>
      <c r="BF104" s="112">
        <f t="shared" si="95"/>
        <v>0</v>
      </c>
      <c r="BG104" s="112">
        <f t="shared" si="95"/>
        <v>0</v>
      </c>
      <c r="BH104" s="112">
        <f t="shared" si="95"/>
        <v>0</v>
      </c>
      <c r="BI104" s="112">
        <f t="shared" si="95"/>
        <v>0</v>
      </c>
      <c r="BJ104" s="112">
        <f t="shared" si="95"/>
        <v>0</v>
      </c>
    </row>
    <row r="105" spans="1:62" ht="12" customHeight="1">
      <c r="A105" s="521"/>
      <c r="B105" s="111">
        <f>'C1 - Cargos e Salários'!B87</f>
        <v>0</v>
      </c>
      <c r="C105" s="112">
        <f>'C1 - Cargos e Salários'!E87</f>
        <v>0</v>
      </c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2">
        <f t="shared" ref="AG105:BJ105" si="96">SUM($C105:C105)</f>
        <v>0</v>
      </c>
      <c r="AH105" s="112">
        <f t="shared" si="96"/>
        <v>0</v>
      </c>
      <c r="AI105" s="112">
        <f t="shared" si="96"/>
        <v>0</v>
      </c>
      <c r="AJ105" s="112">
        <f t="shared" si="96"/>
        <v>0</v>
      </c>
      <c r="AK105" s="112">
        <f t="shared" si="96"/>
        <v>0</v>
      </c>
      <c r="AL105" s="112">
        <f t="shared" si="96"/>
        <v>0</v>
      </c>
      <c r="AM105" s="112">
        <f t="shared" si="96"/>
        <v>0</v>
      </c>
      <c r="AN105" s="112">
        <f t="shared" si="96"/>
        <v>0</v>
      </c>
      <c r="AO105" s="112">
        <f t="shared" si="96"/>
        <v>0</v>
      </c>
      <c r="AP105" s="112">
        <f t="shared" si="96"/>
        <v>0</v>
      </c>
      <c r="AQ105" s="112">
        <f t="shared" si="96"/>
        <v>0</v>
      </c>
      <c r="AR105" s="112">
        <f t="shared" si="96"/>
        <v>0</v>
      </c>
      <c r="AS105" s="112">
        <f t="shared" si="96"/>
        <v>0</v>
      </c>
      <c r="AT105" s="112">
        <f t="shared" si="96"/>
        <v>0</v>
      </c>
      <c r="AU105" s="112">
        <f t="shared" si="96"/>
        <v>0</v>
      </c>
      <c r="AV105" s="112">
        <f t="shared" si="96"/>
        <v>0</v>
      </c>
      <c r="AW105" s="112">
        <f t="shared" si="96"/>
        <v>0</v>
      </c>
      <c r="AX105" s="112">
        <f t="shared" si="96"/>
        <v>0</v>
      </c>
      <c r="AY105" s="112">
        <f t="shared" si="96"/>
        <v>0</v>
      </c>
      <c r="AZ105" s="112">
        <f t="shared" si="96"/>
        <v>0</v>
      </c>
      <c r="BA105" s="112">
        <f t="shared" si="96"/>
        <v>0</v>
      </c>
      <c r="BB105" s="112">
        <f t="shared" si="96"/>
        <v>0</v>
      </c>
      <c r="BC105" s="112">
        <f t="shared" si="96"/>
        <v>0</v>
      </c>
      <c r="BD105" s="112">
        <f t="shared" si="96"/>
        <v>0</v>
      </c>
      <c r="BE105" s="112">
        <f t="shared" si="96"/>
        <v>0</v>
      </c>
      <c r="BF105" s="112">
        <f t="shared" si="96"/>
        <v>0</v>
      </c>
      <c r="BG105" s="112">
        <f t="shared" si="96"/>
        <v>0</v>
      </c>
      <c r="BH105" s="112">
        <f t="shared" si="96"/>
        <v>0</v>
      </c>
      <c r="BI105" s="112">
        <f t="shared" si="96"/>
        <v>0</v>
      </c>
      <c r="BJ105" s="112">
        <f t="shared" si="96"/>
        <v>0</v>
      </c>
    </row>
    <row r="106" spans="1:62" ht="12" customHeight="1">
      <c r="A106" s="521"/>
      <c r="B106" s="111">
        <f>'C1 - Cargos e Salários'!B88</f>
        <v>0</v>
      </c>
      <c r="C106" s="112">
        <f>'C1 - Cargos e Salários'!E88</f>
        <v>0</v>
      </c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2">
        <f t="shared" ref="AG106:BJ106" si="97">SUM($C106:C106)</f>
        <v>0</v>
      </c>
      <c r="AH106" s="112">
        <f t="shared" si="97"/>
        <v>0</v>
      </c>
      <c r="AI106" s="112">
        <f t="shared" si="97"/>
        <v>0</v>
      </c>
      <c r="AJ106" s="112">
        <f t="shared" si="97"/>
        <v>0</v>
      </c>
      <c r="AK106" s="112">
        <f t="shared" si="97"/>
        <v>0</v>
      </c>
      <c r="AL106" s="112">
        <f t="shared" si="97"/>
        <v>0</v>
      </c>
      <c r="AM106" s="112">
        <f t="shared" si="97"/>
        <v>0</v>
      </c>
      <c r="AN106" s="112">
        <f t="shared" si="97"/>
        <v>0</v>
      </c>
      <c r="AO106" s="112">
        <f t="shared" si="97"/>
        <v>0</v>
      </c>
      <c r="AP106" s="112">
        <f t="shared" si="97"/>
        <v>0</v>
      </c>
      <c r="AQ106" s="112">
        <f t="shared" si="97"/>
        <v>0</v>
      </c>
      <c r="AR106" s="112">
        <f t="shared" si="97"/>
        <v>0</v>
      </c>
      <c r="AS106" s="112">
        <f t="shared" si="97"/>
        <v>0</v>
      </c>
      <c r="AT106" s="112">
        <f t="shared" si="97"/>
        <v>0</v>
      </c>
      <c r="AU106" s="112">
        <f t="shared" si="97"/>
        <v>0</v>
      </c>
      <c r="AV106" s="112">
        <f t="shared" si="97"/>
        <v>0</v>
      </c>
      <c r="AW106" s="112">
        <f t="shared" si="97"/>
        <v>0</v>
      </c>
      <c r="AX106" s="112">
        <f t="shared" si="97"/>
        <v>0</v>
      </c>
      <c r="AY106" s="112">
        <f t="shared" si="97"/>
        <v>0</v>
      </c>
      <c r="AZ106" s="112">
        <f t="shared" si="97"/>
        <v>0</v>
      </c>
      <c r="BA106" s="112">
        <f t="shared" si="97"/>
        <v>0</v>
      </c>
      <c r="BB106" s="112">
        <f t="shared" si="97"/>
        <v>0</v>
      </c>
      <c r="BC106" s="112">
        <f t="shared" si="97"/>
        <v>0</v>
      </c>
      <c r="BD106" s="112">
        <f t="shared" si="97"/>
        <v>0</v>
      </c>
      <c r="BE106" s="112">
        <f t="shared" si="97"/>
        <v>0</v>
      </c>
      <c r="BF106" s="112">
        <f t="shared" si="97"/>
        <v>0</v>
      </c>
      <c r="BG106" s="112">
        <f t="shared" si="97"/>
        <v>0</v>
      </c>
      <c r="BH106" s="112">
        <f t="shared" si="97"/>
        <v>0</v>
      </c>
      <c r="BI106" s="112">
        <f t="shared" si="97"/>
        <v>0</v>
      </c>
      <c r="BJ106" s="112">
        <f t="shared" si="97"/>
        <v>0</v>
      </c>
    </row>
    <row r="107" spans="1:62" ht="12" customHeight="1">
      <c r="A107" s="521"/>
      <c r="B107" s="111">
        <f>'C1 - Cargos e Salários'!B89</f>
        <v>0</v>
      </c>
      <c r="C107" s="112">
        <f>'C1 - Cargos e Salários'!E89</f>
        <v>0</v>
      </c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2">
        <f t="shared" ref="AG107:BJ107" si="98">SUM($C107:C107)</f>
        <v>0</v>
      </c>
      <c r="AH107" s="112">
        <f t="shared" si="98"/>
        <v>0</v>
      </c>
      <c r="AI107" s="112">
        <f t="shared" si="98"/>
        <v>0</v>
      </c>
      <c r="AJ107" s="112">
        <f t="shared" si="98"/>
        <v>0</v>
      </c>
      <c r="AK107" s="112">
        <f t="shared" si="98"/>
        <v>0</v>
      </c>
      <c r="AL107" s="112">
        <f t="shared" si="98"/>
        <v>0</v>
      </c>
      <c r="AM107" s="112">
        <f t="shared" si="98"/>
        <v>0</v>
      </c>
      <c r="AN107" s="112">
        <f t="shared" si="98"/>
        <v>0</v>
      </c>
      <c r="AO107" s="112">
        <f t="shared" si="98"/>
        <v>0</v>
      </c>
      <c r="AP107" s="112">
        <f t="shared" si="98"/>
        <v>0</v>
      </c>
      <c r="AQ107" s="112">
        <f t="shared" si="98"/>
        <v>0</v>
      </c>
      <c r="AR107" s="112">
        <f t="shared" si="98"/>
        <v>0</v>
      </c>
      <c r="AS107" s="112">
        <f t="shared" si="98"/>
        <v>0</v>
      </c>
      <c r="AT107" s="112">
        <f t="shared" si="98"/>
        <v>0</v>
      </c>
      <c r="AU107" s="112">
        <f t="shared" si="98"/>
        <v>0</v>
      </c>
      <c r="AV107" s="112">
        <f t="shared" si="98"/>
        <v>0</v>
      </c>
      <c r="AW107" s="112">
        <f t="shared" si="98"/>
        <v>0</v>
      </c>
      <c r="AX107" s="112">
        <f t="shared" si="98"/>
        <v>0</v>
      </c>
      <c r="AY107" s="112">
        <f t="shared" si="98"/>
        <v>0</v>
      </c>
      <c r="AZ107" s="112">
        <f t="shared" si="98"/>
        <v>0</v>
      </c>
      <c r="BA107" s="112">
        <f t="shared" si="98"/>
        <v>0</v>
      </c>
      <c r="BB107" s="112">
        <f t="shared" si="98"/>
        <v>0</v>
      </c>
      <c r="BC107" s="112">
        <f t="shared" si="98"/>
        <v>0</v>
      </c>
      <c r="BD107" s="112">
        <f t="shared" si="98"/>
        <v>0</v>
      </c>
      <c r="BE107" s="112">
        <f t="shared" si="98"/>
        <v>0</v>
      </c>
      <c r="BF107" s="112">
        <f t="shared" si="98"/>
        <v>0</v>
      </c>
      <c r="BG107" s="112">
        <f t="shared" si="98"/>
        <v>0</v>
      </c>
      <c r="BH107" s="112">
        <f t="shared" si="98"/>
        <v>0</v>
      </c>
      <c r="BI107" s="112">
        <f t="shared" si="98"/>
        <v>0</v>
      </c>
      <c r="BJ107" s="112">
        <f t="shared" si="98"/>
        <v>0</v>
      </c>
    </row>
    <row r="108" spans="1:62" ht="12" customHeight="1">
      <c r="A108" s="521"/>
      <c r="B108" s="111">
        <f>'C1 - Cargos e Salários'!B90</f>
        <v>0</v>
      </c>
      <c r="C108" s="112">
        <f>'C1 - Cargos e Salários'!E90</f>
        <v>0</v>
      </c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2">
        <f t="shared" ref="AG108:BJ108" si="99">SUM($C108:C108)</f>
        <v>0</v>
      </c>
      <c r="AH108" s="112">
        <f t="shared" si="99"/>
        <v>0</v>
      </c>
      <c r="AI108" s="112">
        <f t="shared" si="99"/>
        <v>0</v>
      </c>
      <c r="AJ108" s="112">
        <f t="shared" si="99"/>
        <v>0</v>
      </c>
      <c r="AK108" s="112">
        <f t="shared" si="99"/>
        <v>0</v>
      </c>
      <c r="AL108" s="112">
        <f t="shared" si="99"/>
        <v>0</v>
      </c>
      <c r="AM108" s="112">
        <f t="shared" si="99"/>
        <v>0</v>
      </c>
      <c r="AN108" s="112">
        <f t="shared" si="99"/>
        <v>0</v>
      </c>
      <c r="AO108" s="112">
        <f t="shared" si="99"/>
        <v>0</v>
      </c>
      <c r="AP108" s="112">
        <f t="shared" si="99"/>
        <v>0</v>
      </c>
      <c r="AQ108" s="112">
        <f t="shared" si="99"/>
        <v>0</v>
      </c>
      <c r="AR108" s="112">
        <f t="shared" si="99"/>
        <v>0</v>
      </c>
      <c r="AS108" s="112">
        <f t="shared" si="99"/>
        <v>0</v>
      </c>
      <c r="AT108" s="112">
        <f t="shared" si="99"/>
        <v>0</v>
      </c>
      <c r="AU108" s="112">
        <f t="shared" si="99"/>
        <v>0</v>
      </c>
      <c r="AV108" s="112">
        <f t="shared" si="99"/>
        <v>0</v>
      </c>
      <c r="AW108" s="112">
        <f t="shared" si="99"/>
        <v>0</v>
      </c>
      <c r="AX108" s="112">
        <f t="shared" si="99"/>
        <v>0</v>
      </c>
      <c r="AY108" s="112">
        <f t="shared" si="99"/>
        <v>0</v>
      </c>
      <c r="AZ108" s="112">
        <f t="shared" si="99"/>
        <v>0</v>
      </c>
      <c r="BA108" s="112">
        <f t="shared" si="99"/>
        <v>0</v>
      </c>
      <c r="BB108" s="112">
        <f t="shared" si="99"/>
        <v>0</v>
      </c>
      <c r="BC108" s="112">
        <f t="shared" si="99"/>
        <v>0</v>
      </c>
      <c r="BD108" s="112">
        <f t="shared" si="99"/>
        <v>0</v>
      </c>
      <c r="BE108" s="112">
        <f t="shared" si="99"/>
        <v>0</v>
      </c>
      <c r="BF108" s="112">
        <f t="shared" si="99"/>
        <v>0</v>
      </c>
      <c r="BG108" s="112">
        <f t="shared" si="99"/>
        <v>0</v>
      </c>
      <c r="BH108" s="112">
        <f t="shared" si="99"/>
        <v>0</v>
      </c>
      <c r="BI108" s="112">
        <f t="shared" si="99"/>
        <v>0</v>
      </c>
      <c r="BJ108" s="112">
        <f t="shared" si="99"/>
        <v>0</v>
      </c>
    </row>
    <row r="109" spans="1:62" ht="12" customHeight="1">
      <c r="A109" s="521"/>
      <c r="B109" s="111">
        <f>'C1 - Cargos e Salários'!B91</f>
        <v>0</v>
      </c>
      <c r="C109" s="112">
        <f>'C1 - Cargos e Salários'!E91</f>
        <v>0</v>
      </c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2">
        <f t="shared" ref="AG109:BJ109" si="100">SUM($C109:C109)</f>
        <v>0</v>
      </c>
      <c r="AH109" s="112">
        <f t="shared" si="100"/>
        <v>0</v>
      </c>
      <c r="AI109" s="112">
        <f t="shared" si="100"/>
        <v>0</v>
      </c>
      <c r="AJ109" s="112">
        <f t="shared" si="100"/>
        <v>0</v>
      </c>
      <c r="AK109" s="112">
        <f t="shared" si="100"/>
        <v>0</v>
      </c>
      <c r="AL109" s="112">
        <f t="shared" si="100"/>
        <v>0</v>
      </c>
      <c r="AM109" s="112">
        <f t="shared" si="100"/>
        <v>0</v>
      </c>
      <c r="AN109" s="112">
        <f t="shared" si="100"/>
        <v>0</v>
      </c>
      <c r="AO109" s="112">
        <f t="shared" si="100"/>
        <v>0</v>
      </c>
      <c r="AP109" s="112">
        <f t="shared" si="100"/>
        <v>0</v>
      </c>
      <c r="AQ109" s="112">
        <f t="shared" si="100"/>
        <v>0</v>
      </c>
      <c r="AR109" s="112">
        <f t="shared" si="100"/>
        <v>0</v>
      </c>
      <c r="AS109" s="112">
        <f t="shared" si="100"/>
        <v>0</v>
      </c>
      <c r="AT109" s="112">
        <f t="shared" si="100"/>
        <v>0</v>
      </c>
      <c r="AU109" s="112">
        <f t="shared" si="100"/>
        <v>0</v>
      </c>
      <c r="AV109" s="112">
        <f t="shared" si="100"/>
        <v>0</v>
      </c>
      <c r="AW109" s="112">
        <f t="shared" si="100"/>
        <v>0</v>
      </c>
      <c r="AX109" s="112">
        <f t="shared" si="100"/>
        <v>0</v>
      </c>
      <c r="AY109" s="112">
        <f t="shared" si="100"/>
        <v>0</v>
      </c>
      <c r="AZ109" s="112">
        <f t="shared" si="100"/>
        <v>0</v>
      </c>
      <c r="BA109" s="112">
        <f t="shared" si="100"/>
        <v>0</v>
      </c>
      <c r="BB109" s="112">
        <f t="shared" si="100"/>
        <v>0</v>
      </c>
      <c r="BC109" s="112">
        <f t="shared" si="100"/>
        <v>0</v>
      </c>
      <c r="BD109" s="112">
        <f t="shared" si="100"/>
        <v>0</v>
      </c>
      <c r="BE109" s="112">
        <f t="shared" si="100"/>
        <v>0</v>
      </c>
      <c r="BF109" s="112">
        <f t="shared" si="100"/>
        <v>0</v>
      </c>
      <c r="BG109" s="112">
        <f t="shared" si="100"/>
        <v>0</v>
      </c>
      <c r="BH109" s="112">
        <f t="shared" si="100"/>
        <v>0</v>
      </c>
      <c r="BI109" s="112">
        <f t="shared" si="100"/>
        <v>0</v>
      </c>
      <c r="BJ109" s="112">
        <f t="shared" si="100"/>
        <v>0</v>
      </c>
    </row>
    <row r="110" spans="1:62" ht="12" customHeight="1">
      <c r="A110" s="521"/>
      <c r="B110" s="111">
        <f>'C1 - Cargos e Salários'!B92</f>
        <v>0</v>
      </c>
      <c r="C110" s="112">
        <f>'C1 - Cargos e Salários'!E92</f>
        <v>0</v>
      </c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2">
        <f t="shared" ref="AG110:BJ110" si="101">SUM($C110:C110)</f>
        <v>0</v>
      </c>
      <c r="AH110" s="112">
        <f t="shared" si="101"/>
        <v>0</v>
      </c>
      <c r="AI110" s="112">
        <f t="shared" si="101"/>
        <v>0</v>
      </c>
      <c r="AJ110" s="112">
        <f t="shared" si="101"/>
        <v>0</v>
      </c>
      <c r="AK110" s="112">
        <f t="shared" si="101"/>
        <v>0</v>
      </c>
      <c r="AL110" s="112">
        <f t="shared" si="101"/>
        <v>0</v>
      </c>
      <c r="AM110" s="112">
        <f t="shared" si="101"/>
        <v>0</v>
      </c>
      <c r="AN110" s="112">
        <f t="shared" si="101"/>
        <v>0</v>
      </c>
      <c r="AO110" s="112">
        <f t="shared" si="101"/>
        <v>0</v>
      </c>
      <c r="AP110" s="112">
        <f t="shared" si="101"/>
        <v>0</v>
      </c>
      <c r="AQ110" s="112">
        <f t="shared" si="101"/>
        <v>0</v>
      </c>
      <c r="AR110" s="112">
        <f t="shared" si="101"/>
        <v>0</v>
      </c>
      <c r="AS110" s="112">
        <f t="shared" si="101"/>
        <v>0</v>
      </c>
      <c r="AT110" s="112">
        <f t="shared" si="101"/>
        <v>0</v>
      </c>
      <c r="AU110" s="112">
        <f t="shared" si="101"/>
        <v>0</v>
      </c>
      <c r="AV110" s="112">
        <f t="shared" si="101"/>
        <v>0</v>
      </c>
      <c r="AW110" s="112">
        <f t="shared" si="101"/>
        <v>0</v>
      </c>
      <c r="AX110" s="112">
        <f t="shared" si="101"/>
        <v>0</v>
      </c>
      <c r="AY110" s="112">
        <f t="shared" si="101"/>
        <v>0</v>
      </c>
      <c r="AZ110" s="112">
        <f t="shared" si="101"/>
        <v>0</v>
      </c>
      <c r="BA110" s="112">
        <f t="shared" si="101"/>
        <v>0</v>
      </c>
      <c r="BB110" s="112">
        <f t="shared" si="101"/>
        <v>0</v>
      </c>
      <c r="BC110" s="112">
        <f t="shared" si="101"/>
        <v>0</v>
      </c>
      <c r="BD110" s="112">
        <f t="shared" si="101"/>
        <v>0</v>
      </c>
      <c r="BE110" s="112">
        <f t="shared" si="101"/>
        <v>0</v>
      </c>
      <c r="BF110" s="112">
        <f t="shared" si="101"/>
        <v>0</v>
      </c>
      <c r="BG110" s="112">
        <f t="shared" si="101"/>
        <v>0</v>
      </c>
      <c r="BH110" s="112">
        <f t="shared" si="101"/>
        <v>0</v>
      </c>
      <c r="BI110" s="112">
        <f t="shared" si="101"/>
        <v>0</v>
      </c>
      <c r="BJ110" s="112">
        <f t="shared" si="101"/>
        <v>0</v>
      </c>
    </row>
    <row r="111" spans="1:62" ht="12" customHeight="1">
      <c r="A111" s="521"/>
      <c r="B111" s="111">
        <f>'C1 - Cargos e Salários'!B93</f>
        <v>0</v>
      </c>
      <c r="C111" s="112">
        <f>'C1 - Cargos e Salários'!E93</f>
        <v>0</v>
      </c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2">
        <f t="shared" ref="AG111:BJ111" si="102">SUM($C111:C111)</f>
        <v>0</v>
      </c>
      <c r="AH111" s="112">
        <f t="shared" si="102"/>
        <v>0</v>
      </c>
      <c r="AI111" s="112">
        <f t="shared" si="102"/>
        <v>0</v>
      </c>
      <c r="AJ111" s="112">
        <f t="shared" si="102"/>
        <v>0</v>
      </c>
      <c r="AK111" s="112">
        <f t="shared" si="102"/>
        <v>0</v>
      </c>
      <c r="AL111" s="112">
        <f t="shared" si="102"/>
        <v>0</v>
      </c>
      <c r="AM111" s="112">
        <f t="shared" si="102"/>
        <v>0</v>
      </c>
      <c r="AN111" s="112">
        <f t="shared" si="102"/>
        <v>0</v>
      </c>
      <c r="AO111" s="112">
        <f t="shared" si="102"/>
        <v>0</v>
      </c>
      <c r="AP111" s="112">
        <f t="shared" si="102"/>
        <v>0</v>
      </c>
      <c r="AQ111" s="112">
        <f t="shared" si="102"/>
        <v>0</v>
      </c>
      <c r="AR111" s="112">
        <f t="shared" si="102"/>
        <v>0</v>
      </c>
      <c r="AS111" s="112">
        <f t="shared" si="102"/>
        <v>0</v>
      </c>
      <c r="AT111" s="112">
        <f t="shared" si="102"/>
        <v>0</v>
      </c>
      <c r="AU111" s="112">
        <f t="shared" si="102"/>
        <v>0</v>
      </c>
      <c r="AV111" s="112">
        <f t="shared" si="102"/>
        <v>0</v>
      </c>
      <c r="AW111" s="112">
        <f t="shared" si="102"/>
        <v>0</v>
      </c>
      <c r="AX111" s="112">
        <f t="shared" si="102"/>
        <v>0</v>
      </c>
      <c r="AY111" s="112">
        <f t="shared" si="102"/>
        <v>0</v>
      </c>
      <c r="AZ111" s="112">
        <f t="shared" si="102"/>
        <v>0</v>
      </c>
      <c r="BA111" s="112">
        <f t="shared" si="102"/>
        <v>0</v>
      </c>
      <c r="BB111" s="112">
        <f t="shared" si="102"/>
        <v>0</v>
      </c>
      <c r="BC111" s="112">
        <f t="shared" si="102"/>
        <v>0</v>
      </c>
      <c r="BD111" s="112">
        <f t="shared" si="102"/>
        <v>0</v>
      </c>
      <c r="BE111" s="112">
        <f t="shared" si="102"/>
        <v>0</v>
      </c>
      <c r="BF111" s="112">
        <f t="shared" si="102"/>
        <v>0</v>
      </c>
      <c r="BG111" s="112">
        <f t="shared" si="102"/>
        <v>0</v>
      </c>
      <c r="BH111" s="112">
        <f t="shared" si="102"/>
        <v>0</v>
      </c>
      <c r="BI111" s="112">
        <f t="shared" si="102"/>
        <v>0</v>
      </c>
      <c r="BJ111" s="112">
        <f t="shared" si="102"/>
        <v>0</v>
      </c>
    </row>
    <row r="112" spans="1:62" ht="12" customHeight="1">
      <c r="A112" s="521"/>
      <c r="B112" s="111">
        <f>'C1 - Cargos e Salários'!B94</f>
        <v>0</v>
      </c>
      <c r="C112" s="112">
        <f>'C1 - Cargos e Salários'!E94</f>
        <v>0</v>
      </c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2">
        <f t="shared" ref="AG112:BJ112" si="103">SUM($C112:C112)</f>
        <v>0</v>
      </c>
      <c r="AH112" s="112">
        <f t="shared" si="103"/>
        <v>0</v>
      </c>
      <c r="AI112" s="112">
        <f t="shared" si="103"/>
        <v>0</v>
      </c>
      <c r="AJ112" s="112">
        <f t="shared" si="103"/>
        <v>0</v>
      </c>
      <c r="AK112" s="112">
        <f t="shared" si="103"/>
        <v>0</v>
      </c>
      <c r="AL112" s="112">
        <f t="shared" si="103"/>
        <v>0</v>
      </c>
      <c r="AM112" s="112">
        <f t="shared" si="103"/>
        <v>0</v>
      </c>
      <c r="AN112" s="112">
        <f t="shared" si="103"/>
        <v>0</v>
      </c>
      <c r="AO112" s="112">
        <f t="shared" si="103"/>
        <v>0</v>
      </c>
      <c r="AP112" s="112">
        <f t="shared" si="103"/>
        <v>0</v>
      </c>
      <c r="AQ112" s="112">
        <f t="shared" si="103"/>
        <v>0</v>
      </c>
      <c r="AR112" s="112">
        <f t="shared" si="103"/>
        <v>0</v>
      </c>
      <c r="AS112" s="112">
        <f t="shared" si="103"/>
        <v>0</v>
      </c>
      <c r="AT112" s="112">
        <f t="shared" si="103"/>
        <v>0</v>
      </c>
      <c r="AU112" s="112">
        <f t="shared" si="103"/>
        <v>0</v>
      </c>
      <c r="AV112" s="112">
        <f t="shared" si="103"/>
        <v>0</v>
      </c>
      <c r="AW112" s="112">
        <f t="shared" si="103"/>
        <v>0</v>
      </c>
      <c r="AX112" s="112">
        <f t="shared" si="103"/>
        <v>0</v>
      </c>
      <c r="AY112" s="112">
        <f t="shared" si="103"/>
        <v>0</v>
      </c>
      <c r="AZ112" s="112">
        <f t="shared" si="103"/>
        <v>0</v>
      </c>
      <c r="BA112" s="112">
        <f t="shared" si="103"/>
        <v>0</v>
      </c>
      <c r="BB112" s="112">
        <f t="shared" si="103"/>
        <v>0</v>
      </c>
      <c r="BC112" s="112">
        <f t="shared" si="103"/>
        <v>0</v>
      </c>
      <c r="BD112" s="112">
        <f t="shared" si="103"/>
        <v>0</v>
      </c>
      <c r="BE112" s="112">
        <f t="shared" si="103"/>
        <v>0</v>
      </c>
      <c r="BF112" s="112">
        <f t="shared" si="103"/>
        <v>0</v>
      </c>
      <c r="BG112" s="112">
        <f t="shared" si="103"/>
        <v>0</v>
      </c>
      <c r="BH112" s="112">
        <f t="shared" si="103"/>
        <v>0</v>
      </c>
      <c r="BI112" s="112">
        <f t="shared" si="103"/>
        <v>0</v>
      </c>
      <c r="BJ112" s="112">
        <f t="shared" si="103"/>
        <v>0</v>
      </c>
    </row>
    <row r="113" spans="1:62" ht="12" customHeight="1">
      <c r="A113" s="521"/>
      <c r="B113" s="111">
        <f>'C1 - Cargos e Salários'!B95</f>
        <v>0</v>
      </c>
      <c r="C113" s="112">
        <f>'C1 - Cargos e Salários'!E95</f>
        <v>0</v>
      </c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2">
        <f t="shared" ref="AG113:BJ113" si="104">SUM($C113:C113)</f>
        <v>0</v>
      </c>
      <c r="AH113" s="112">
        <f t="shared" si="104"/>
        <v>0</v>
      </c>
      <c r="AI113" s="112">
        <f t="shared" si="104"/>
        <v>0</v>
      </c>
      <c r="AJ113" s="112">
        <f t="shared" si="104"/>
        <v>0</v>
      </c>
      <c r="AK113" s="112">
        <f t="shared" si="104"/>
        <v>0</v>
      </c>
      <c r="AL113" s="112">
        <f t="shared" si="104"/>
        <v>0</v>
      </c>
      <c r="AM113" s="112">
        <f t="shared" si="104"/>
        <v>0</v>
      </c>
      <c r="AN113" s="112">
        <f t="shared" si="104"/>
        <v>0</v>
      </c>
      <c r="AO113" s="112">
        <f t="shared" si="104"/>
        <v>0</v>
      </c>
      <c r="AP113" s="112">
        <f t="shared" si="104"/>
        <v>0</v>
      </c>
      <c r="AQ113" s="112">
        <f t="shared" si="104"/>
        <v>0</v>
      </c>
      <c r="AR113" s="112">
        <f t="shared" si="104"/>
        <v>0</v>
      </c>
      <c r="AS113" s="112">
        <f t="shared" si="104"/>
        <v>0</v>
      </c>
      <c r="AT113" s="112">
        <f t="shared" si="104"/>
        <v>0</v>
      </c>
      <c r="AU113" s="112">
        <f t="shared" si="104"/>
        <v>0</v>
      </c>
      <c r="AV113" s="112">
        <f t="shared" si="104"/>
        <v>0</v>
      </c>
      <c r="AW113" s="112">
        <f t="shared" si="104"/>
        <v>0</v>
      </c>
      <c r="AX113" s="112">
        <f t="shared" si="104"/>
        <v>0</v>
      </c>
      <c r="AY113" s="112">
        <f t="shared" si="104"/>
        <v>0</v>
      </c>
      <c r="AZ113" s="112">
        <f t="shared" si="104"/>
        <v>0</v>
      </c>
      <c r="BA113" s="112">
        <f t="shared" si="104"/>
        <v>0</v>
      </c>
      <c r="BB113" s="112">
        <f t="shared" si="104"/>
        <v>0</v>
      </c>
      <c r="BC113" s="112">
        <f t="shared" si="104"/>
        <v>0</v>
      </c>
      <c r="BD113" s="112">
        <f t="shared" si="104"/>
        <v>0</v>
      </c>
      <c r="BE113" s="112">
        <f t="shared" si="104"/>
        <v>0</v>
      </c>
      <c r="BF113" s="112">
        <f t="shared" si="104"/>
        <v>0</v>
      </c>
      <c r="BG113" s="112">
        <f t="shared" si="104"/>
        <v>0</v>
      </c>
      <c r="BH113" s="112">
        <f t="shared" si="104"/>
        <v>0</v>
      </c>
      <c r="BI113" s="112">
        <f t="shared" si="104"/>
        <v>0</v>
      </c>
      <c r="BJ113" s="112">
        <f t="shared" si="104"/>
        <v>0</v>
      </c>
    </row>
    <row r="114" spans="1:62" ht="12" customHeight="1">
      <c r="A114" s="521"/>
      <c r="B114" s="111">
        <f>'C1 - Cargos e Salários'!B96</f>
        <v>0</v>
      </c>
      <c r="C114" s="112">
        <f>'C1 - Cargos e Salários'!E96</f>
        <v>0</v>
      </c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2">
        <f t="shared" ref="AG114:BJ114" si="105">SUM($C114:C114)</f>
        <v>0</v>
      </c>
      <c r="AH114" s="112">
        <f t="shared" si="105"/>
        <v>0</v>
      </c>
      <c r="AI114" s="112">
        <f t="shared" si="105"/>
        <v>0</v>
      </c>
      <c r="AJ114" s="112">
        <f t="shared" si="105"/>
        <v>0</v>
      </c>
      <c r="AK114" s="112">
        <f t="shared" si="105"/>
        <v>0</v>
      </c>
      <c r="AL114" s="112">
        <f t="shared" si="105"/>
        <v>0</v>
      </c>
      <c r="AM114" s="112">
        <f t="shared" si="105"/>
        <v>0</v>
      </c>
      <c r="AN114" s="112">
        <f t="shared" si="105"/>
        <v>0</v>
      </c>
      <c r="AO114" s="112">
        <f t="shared" si="105"/>
        <v>0</v>
      </c>
      <c r="AP114" s="112">
        <f t="shared" si="105"/>
        <v>0</v>
      </c>
      <c r="AQ114" s="112">
        <f t="shared" si="105"/>
        <v>0</v>
      </c>
      <c r="AR114" s="112">
        <f t="shared" si="105"/>
        <v>0</v>
      </c>
      <c r="AS114" s="112">
        <f t="shared" si="105"/>
        <v>0</v>
      </c>
      <c r="AT114" s="112">
        <f t="shared" si="105"/>
        <v>0</v>
      </c>
      <c r="AU114" s="112">
        <f t="shared" si="105"/>
        <v>0</v>
      </c>
      <c r="AV114" s="112">
        <f t="shared" si="105"/>
        <v>0</v>
      </c>
      <c r="AW114" s="112">
        <f t="shared" si="105"/>
        <v>0</v>
      </c>
      <c r="AX114" s="112">
        <f t="shared" si="105"/>
        <v>0</v>
      </c>
      <c r="AY114" s="112">
        <f t="shared" si="105"/>
        <v>0</v>
      </c>
      <c r="AZ114" s="112">
        <f t="shared" si="105"/>
        <v>0</v>
      </c>
      <c r="BA114" s="112">
        <f t="shared" si="105"/>
        <v>0</v>
      </c>
      <c r="BB114" s="112">
        <f t="shared" si="105"/>
        <v>0</v>
      </c>
      <c r="BC114" s="112">
        <f t="shared" si="105"/>
        <v>0</v>
      </c>
      <c r="BD114" s="112">
        <f t="shared" si="105"/>
        <v>0</v>
      </c>
      <c r="BE114" s="112">
        <f t="shared" si="105"/>
        <v>0</v>
      </c>
      <c r="BF114" s="112">
        <f t="shared" si="105"/>
        <v>0</v>
      </c>
      <c r="BG114" s="112">
        <f t="shared" si="105"/>
        <v>0</v>
      </c>
      <c r="BH114" s="112">
        <f t="shared" si="105"/>
        <v>0</v>
      </c>
      <c r="BI114" s="112">
        <f t="shared" si="105"/>
        <v>0</v>
      </c>
      <c r="BJ114" s="112">
        <f t="shared" si="105"/>
        <v>0</v>
      </c>
    </row>
    <row r="115" spans="1:62" ht="12" customHeight="1">
      <c r="A115" s="521"/>
      <c r="B115" s="111">
        <f>'C1 - Cargos e Salários'!B97</f>
        <v>0</v>
      </c>
      <c r="C115" s="112">
        <f>'C1 - Cargos e Salários'!E97</f>
        <v>0</v>
      </c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2">
        <f t="shared" ref="AG115:BJ115" si="106">SUM($C115:C115)</f>
        <v>0</v>
      </c>
      <c r="AH115" s="112">
        <f t="shared" si="106"/>
        <v>0</v>
      </c>
      <c r="AI115" s="112">
        <f t="shared" si="106"/>
        <v>0</v>
      </c>
      <c r="AJ115" s="112">
        <f t="shared" si="106"/>
        <v>0</v>
      </c>
      <c r="AK115" s="112">
        <f t="shared" si="106"/>
        <v>0</v>
      </c>
      <c r="AL115" s="112">
        <f t="shared" si="106"/>
        <v>0</v>
      </c>
      <c r="AM115" s="112">
        <f t="shared" si="106"/>
        <v>0</v>
      </c>
      <c r="AN115" s="112">
        <f t="shared" si="106"/>
        <v>0</v>
      </c>
      <c r="AO115" s="112">
        <f t="shared" si="106"/>
        <v>0</v>
      </c>
      <c r="AP115" s="112">
        <f t="shared" si="106"/>
        <v>0</v>
      </c>
      <c r="AQ115" s="112">
        <f t="shared" si="106"/>
        <v>0</v>
      </c>
      <c r="AR115" s="112">
        <f t="shared" si="106"/>
        <v>0</v>
      </c>
      <c r="AS115" s="112">
        <f t="shared" si="106"/>
        <v>0</v>
      </c>
      <c r="AT115" s="112">
        <f t="shared" si="106"/>
        <v>0</v>
      </c>
      <c r="AU115" s="112">
        <f t="shared" si="106"/>
        <v>0</v>
      </c>
      <c r="AV115" s="112">
        <f t="shared" si="106"/>
        <v>0</v>
      </c>
      <c r="AW115" s="112">
        <f t="shared" si="106"/>
        <v>0</v>
      </c>
      <c r="AX115" s="112">
        <f t="shared" si="106"/>
        <v>0</v>
      </c>
      <c r="AY115" s="112">
        <f t="shared" si="106"/>
        <v>0</v>
      </c>
      <c r="AZ115" s="112">
        <f t="shared" si="106"/>
        <v>0</v>
      </c>
      <c r="BA115" s="112">
        <f t="shared" si="106"/>
        <v>0</v>
      </c>
      <c r="BB115" s="112">
        <f t="shared" si="106"/>
        <v>0</v>
      </c>
      <c r="BC115" s="112">
        <f t="shared" si="106"/>
        <v>0</v>
      </c>
      <c r="BD115" s="112">
        <f t="shared" si="106"/>
        <v>0</v>
      </c>
      <c r="BE115" s="112">
        <f t="shared" si="106"/>
        <v>0</v>
      </c>
      <c r="BF115" s="112">
        <f t="shared" si="106"/>
        <v>0</v>
      </c>
      <c r="BG115" s="112">
        <f t="shared" si="106"/>
        <v>0</v>
      </c>
      <c r="BH115" s="112">
        <f t="shared" si="106"/>
        <v>0</v>
      </c>
      <c r="BI115" s="112">
        <f t="shared" si="106"/>
        <v>0</v>
      </c>
      <c r="BJ115" s="112">
        <f t="shared" si="106"/>
        <v>0</v>
      </c>
    </row>
    <row r="116" spans="1:62" ht="12" customHeight="1">
      <c r="A116" s="521"/>
      <c r="B116" s="111">
        <f>'C1 - Cargos e Salários'!B98</f>
        <v>0</v>
      </c>
      <c r="C116" s="112">
        <f>'C1 - Cargos e Salários'!E98</f>
        <v>0</v>
      </c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2">
        <f t="shared" ref="AG116:BJ116" si="107">SUM($C116:C116)</f>
        <v>0</v>
      </c>
      <c r="AH116" s="112">
        <f t="shared" si="107"/>
        <v>0</v>
      </c>
      <c r="AI116" s="112">
        <f t="shared" si="107"/>
        <v>0</v>
      </c>
      <c r="AJ116" s="112">
        <f t="shared" si="107"/>
        <v>0</v>
      </c>
      <c r="AK116" s="112">
        <f t="shared" si="107"/>
        <v>0</v>
      </c>
      <c r="AL116" s="112">
        <f t="shared" si="107"/>
        <v>0</v>
      </c>
      <c r="AM116" s="112">
        <f t="shared" si="107"/>
        <v>0</v>
      </c>
      <c r="AN116" s="112">
        <f t="shared" si="107"/>
        <v>0</v>
      </c>
      <c r="AO116" s="112">
        <f t="shared" si="107"/>
        <v>0</v>
      </c>
      <c r="AP116" s="112">
        <f t="shared" si="107"/>
        <v>0</v>
      </c>
      <c r="AQ116" s="112">
        <f t="shared" si="107"/>
        <v>0</v>
      </c>
      <c r="AR116" s="112">
        <f t="shared" si="107"/>
        <v>0</v>
      </c>
      <c r="AS116" s="112">
        <f t="shared" si="107"/>
        <v>0</v>
      </c>
      <c r="AT116" s="112">
        <f t="shared" si="107"/>
        <v>0</v>
      </c>
      <c r="AU116" s="112">
        <f t="shared" si="107"/>
        <v>0</v>
      </c>
      <c r="AV116" s="112">
        <f t="shared" si="107"/>
        <v>0</v>
      </c>
      <c r="AW116" s="112">
        <f t="shared" si="107"/>
        <v>0</v>
      </c>
      <c r="AX116" s="112">
        <f t="shared" si="107"/>
        <v>0</v>
      </c>
      <c r="AY116" s="112">
        <f t="shared" si="107"/>
        <v>0</v>
      </c>
      <c r="AZ116" s="112">
        <f t="shared" si="107"/>
        <v>0</v>
      </c>
      <c r="BA116" s="112">
        <f t="shared" si="107"/>
        <v>0</v>
      </c>
      <c r="BB116" s="112">
        <f t="shared" si="107"/>
        <v>0</v>
      </c>
      <c r="BC116" s="112">
        <f t="shared" si="107"/>
        <v>0</v>
      </c>
      <c r="BD116" s="112">
        <f t="shared" si="107"/>
        <v>0</v>
      </c>
      <c r="BE116" s="112">
        <f t="shared" si="107"/>
        <v>0</v>
      </c>
      <c r="BF116" s="112">
        <f t="shared" si="107"/>
        <v>0</v>
      </c>
      <c r="BG116" s="112">
        <f t="shared" si="107"/>
        <v>0</v>
      </c>
      <c r="BH116" s="112">
        <f t="shared" si="107"/>
        <v>0</v>
      </c>
      <c r="BI116" s="112">
        <f t="shared" si="107"/>
        <v>0</v>
      </c>
      <c r="BJ116" s="112">
        <f t="shared" si="107"/>
        <v>0</v>
      </c>
    </row>
    <row r="117" spans="1:62" ht="12" customHeight="1">
      <c r="A117" s="521"/>
      <c r="B117" s="111">
        <f>'C1 - Cargos e Salários'!B99</f>
        <v>0</v>
      </c>
      <c r="C117" s="112">
        <f>'C1 - Cargos e Salários'!E99</f>
        <v>0</v>
      </c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2">
        <f t="shared" ref="AG117:BJ117" si="108">SUM($C117:C117)</f>
        <v>0</v>
      </c>
      <c r="AH117" s="112">
        <f t="shared" si="108"/>
        <v>0</v>
      </c>
      <c r="AI117" s="112">
        <f t="shared" si="108"/>
        <v>0</v>
      </c>
      <c r="AJ117" s="112">
        <f t="shared" si="108"/>
        <v>0</v>
      </c>
      <c r="AK117" s="112">
        <f t="shared" si="108"/>
        <v>0</v>
      </c>
      <c r="AL117" s="112">
        <f t="shared" si="108"/>
        <v>0</v>
      </c>
      <c r="AM117" s="112">
        <f t="shared" si="108"/>
        <v>0</v>
      </c>
      <c r="AN117" s="112">
        <f t="shared" si="108"/>
        <v>0</v>
      </c>
      <c r="AO117" s="112">
        <f t="shared" si="108"/>
        <v>0</v>
      </c>
      <c r="AP117" s="112">
        <f t="shared" si="108"/>
        <v>0</v>
      </c>
      <c r="AQ117" s="112">
        <f t="shared" si="108"/>
        <v>0</v>
      </c>
      <c r="AR117" s="112">
        <f t="shared" si="108"/>
        <v>0</v>
      </c>
      <c r="AS117" s="112">
        <f t="shared" si="108"/>
        <v>0</v>
      </c>
      <c r="AT117" s="112">
        <f t="shared" si="108"/>
        <v>0</v>
      </c>
      <c r="AU117" s="112">
        <f t="shared" si="108"/>
        <v>0</v>
      </c>
      <c r="AV117" s="112">
        <f t="shared" si="108"/>
        <v>0</v>
      </c>
      <c r="AW117" s="112">
        <f t="shared" si="108"/>
        <v>0</v>
      </c>
      <c r="AX117" s="112">
        <f t="shared" si="108"/>
        <v>0</v>
      </c>
      <c r="AY117" s="112">
        <f t="shared" si="108"/>
        <v>0</v>
      </c>
      <c r="AZ117" s="112">
        <f t="shared" si="108"/>
        <v>0</v>
      </c>
      <c r="BA117" s="112">
        <f t="shared" si="108"/>
        <v>0</v>
      </c>
      <c r="BB117" s="112">
        <f t="shared" si="108"/>
        <v>0</v>
      </c>
      <c r="BC117" s="112">
        <f t="shared" si="108"/>
        <v>0</v>
      </c>
      <c r="BD117" s="112">
        <f t="shared" si="108"/>
        <v>0</v>
      </c>
      <c r="BE117" s="112">
        <f t="shared" si="108"/>
        <v>0</v>
      </c>
      <c r="BF117" s="112">
        <f t="shared" si="108"/>
        <v>0</v>
      </c>
      <c r="BG117" s="112">
        <f t="shared" si="108"/>
        <v>0</v>
      </c>
      <c r="BH117" s="112">
        <f t="shared" si="108"/>
        <v>0</v>
      </c>
      <c r="BI117" s="112">
        <f t="shared" si="108"/>
        <v>0</v>
      </c>
      <c r="BJ117" s="112">
        <f t="shared" si="108"/>
        <v>0</v>
      </c>
    </row>
    <row r="118" spans="1:62" ht="12" customHeight="1">
      <c r="A118" s="521"/>
      <c r="B118" s="111">
        <f>'C1 - Cargos e Salários'!B100</f>
        <v>0</v>
      </c>
      <c r="C118" s="112">
        <f>'C1 - Cargos e Salários'!E100</f>
        <v>0</v>
      </c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2">
        <f t="shared" ref="AG118:BJ118" si="109">SUM($C118:C118)</f>
        <v>0</v>
      </c>
      <c r="AH118" s="112">
        <f t="shared" si="109"/>
        <v>0</v>
      </c>
      <c r="AI118" s="112">
        <f t="shared" si="109"/>
        <v>0</v>
      </c>
      <c r="AJ118" s="112">
        <f t="shared" si="109"/>
        <v>0</v>
      </c>
      <c r="AK118" s="112">
        <f t="shared" si="109"/>
        <v>0</v>
      </c>
      <c r="AL118" s="112">
        <f t="shared" si="109"/>
        <v>0</v>
      </c>
      <c r="AM118" s="112">
        <f t="shared" si="109"/>
        <v>0</v>
      </c>
      <c r="AN118" s="112">
        <f t="shared" si="109"/>
        <v>0</v>
      </c>
      <c r="AO118" s="112">
        <f t="shared" si="109"/>
        <v>0</v>
      </c>
      <c r="AP118" s="112">
        <f t="shared" si="109"/>
        <v>0</v>
      </c>
      <c r="AQ118" s="112">
        <f t="shared" si="109"/>
        <v>0</v>
      </c>
      <c r="AR118" s="112">
        <f t="shared" si="109"/>
        <v>0</v>
      </c>
      <c r="AS118" s="112">
        <f t="shared" si="109"/>
        <v>0</v>
      </c>
      <c r="AT118" s="112">
        <f t="shared" si="109"/>
        <v>0</v>
      </c>
      <c r="AU118" s="112">
        <f t="shared" si="109"/>
        <v>0</v>
      </c>
      <c r="AV118" s="112">
        <f t="shared" si="109"/>
        <v>0</v>
      </c>
      <c r="AW118" s="112">
        <f t="shared" si="109"/>
        <v>0</v>
      </c>
      <c r="AX118" s="112">
        <f t="shared" si="109"/>
        <v>0</v>
      </c>
      <c r="AY118" s="112">
        <f t="shared" si="109"/>
        <v>0</v>
      </c>
      <c r="AZ118" s="112">
        <f t="shared" si="109"/>
        <v>0</v>
      </c>
      <c r="BA118" s="112">
        <f t="shared" si="109"/>
        <v>0</v>
      </c>
      <c r="BB118" s="112">
        <f t="shared" si="109"/>
        <v>0</v>
      </c>
      <c r="BC118" s="112">
        <f t="shared" si="109"/>
        <v>0</v>
      </c>
      <c r="BD118" s="112">
        <f t="shared" si="109"/>
        <v>0</v>
      </c>
      <c r="BE118" s="112">
        <f t="shared" si="109"/>
        <v>0</v>
      </c>
      <c r="BF118" s="112">
        <f t="shared" si="109"/>
        <v>0</v>
      </c>
      <c r="BG118" s="112">
        <f t="shared" si="109"/>
        <v>0</v>
      </c>
      <c r="BH118" s="112">
        <f t="shared" si="109"/>
        <v>0</v>
      </c>
      <c r="BI118" s="112">
        <f t="shared" si="109"/>
        <v>0</v>
      </c>
      <c r="BJ118" s="112">
        <f t="shared" si="109"/>
        <v>0</v>
      </c>
    </row>
    <row r="119" spans="1:62" ht="12" customHeight="1">
      <c r="A119" s="521"/>
      <c r="B119" s="111">
        <f>'C1 - Cargos e Salários'!B101</f>
        <v>0</v>
      </c>
      <c r="C119" s="112">
        <f>'C1 - Cargos e Salários'!E101</f>
        <v>0</v>
      </c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2">
        <f t="shared" ref="AG119:BJ119" si="110">SUM($C119:C119)</f>
        <v>0</v>
      </c>
      <c r="AH119" s="112">
        <f t="shared" si="110"/>
        <v>0</v>
      </c>
      <c r="AI119" s="112">
        <f t="shared" si="110"/>
        <v>0</v>
      </c>
      <c r="AJ119" s="112">
        <f t="shared" si="110"/>
        <v>0</v>
      </c>
      <c r="AK119" s="112">
        <f t="shared" si="110"/>
        <v>0</v>
      </c>
      <c r="AL119" s="112">
        <f t="shared" si="110"/>
        <v>0</v>
      </c>
      <c r="AM119" s="112">
        <f t="shared" si="110"/>
        <v>0</v>
      </c>
      <c r="AN119" s="112">
        <f t="shared" si="110"/>
        <v>0</v>
      </c>
      <c r="AO119" s="112">
        <f t="shared" si="110"/>
        <v>0</v>
      </c>
      <c r="AP119" s="112">
        <f t="shared" si="110"/>
        <v>0</v>
      </c>
      <c r="AQ119" s="112">
        <f t="shared" si="110"/>
        <v>0</v>
      </c>
      <c r="AR119" s="112">
        <f t="shared" si="110"/>
        <v>0</v>
      </c>
      <c r="AS119" s="112">
        <f t="shared" si="110"/>
        <v>0</v>
      </c>
      <c r="AT119" s="112">
        <f t="shared" si="110"/>
        <v>0</v>
      </c>
      <c r="AU119" s="112">
        <f t="shared" si="110"/>
        <v>0</v>
      </c>
      <c r="AV119" s="112">
        <f t="shared" si="110"/>
        <v>0</v>
      </c>
      <c r="AW119" s="112">
        <f t="shared" si="110"/>
        <v>0</v>
      </c>
      <c r="AX119" s="112">
        <f t="shared" si="110"/>
        <v>0</v>
      </c>
      <c r="AY119" s="112">
        <f t="shared" si="110"/>
        <v>0</v>
      </c>
      <c r="AZ119" s="112">
        <f t="shared" si="110"/>
        <v>0</v>
      </c>
      <c r="BA119" s="112">
        <f t="shared" si="110"/>
        <v>0</v>
      </c>
      <c r="BB119" s="112">
        <f t="shared" si="110"/>
        <v>0</v>
      </c>
      <c r="BC119" s="112">
        <f t="shared" si="110"/>
        <v>0</v>
      </c>
      <c r="BD119" s="112">
        <f t="shared" si="110"/>
        <v>0</v>
      </c>
      <c r="BE119" s="112">
        <f t="shared" si="110"/>
        <v>0</v>
      </c>
      <c r="BF119" s="112">
        <f t="shared" si="110"/>
        <v>0</v>
      </c>
      <c r="BG119" s="112">
        <f t="shared" si="110"/>
        <v>0</v>
      </c>
      <c r="BH119" s="112">
        <f t="shared" si="110"/>
        <v>0</v>
      </c>
      <c r="BI119" s="112">
        <f t="shared" si="110"/>
        <v>0</v>
      </c>
      <c r="BJ119" s="112">
        <f t="shared" si="110"/>
        <v>0</v>
      </c>
    </row>
    <row r="120" spans="1:62" ht="12" customHeight="1">
      <c r="A120" s="521"/>
      <c r="B120" s="111">
        <f>'C1 - Cargos e Salários'!B102</f>
        <v>0</v>
      </c>
      <c r="C120" s="112">
        <f>'C1 - Cargos e Salários'!E102</f>
        <v>0</v>
      </c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2">
        <f t="shared" ref="AG120:BJ120" si="111">SUM($C120:C120)</f>
        <v>0</v>
      </c>
      <c r="AH120" s="112">
        <f t="shared" si="111"/>
        <v>0</v>
      </c>
      <c r="AI120" s="112">
        <f t="shared" si="111"/>
        <v>0</v>
      </c>
      <c r="AJ120" s="112">
        <f t="shared" si="111"/>
        <v>0</v>
      </c>
      <c r="AK120" s="112">
        <f t="shared" si="111"/>
        <v>0</v>
      </c>
      <c r="AL120" s="112">
        <f t="shared" si="111"/>
        <v>0</v>
      </c>
      <c r="AM120" s="112">
        <f t="shared" si="111"/>
        <v>0</v>
      </c>
      <c r="AN120" s="112">
        <f t="shared" si="111"/>
        <v>0</v>
      </c>
      <c r="AO120" s="112">
        <f t="shared" si="111"/>
        <v>0</v>
      </c>
      <c r="AP120" s="112">
        <f t="shared" si="111"/>
        <v>0</v>
      </c>
      <c r="AQ120" s="112">
        <f t="shared" si="111"/>
        <v>0</v>
      </c>
      <c r="AR120" s="112">
        <f t="shared" si="111"/>
        <v>0</v>
      </c>
      <c r="AS120" s="112">
        <f t="shared" si="111"/>
        <v>0</v>
      </c>
      <c r="AT120" s="112">
        <f t="shared" si="111"/>
        <v>0</v>
      </c>
      <c r="AU120" s="112">
        <f t="shared" si="111"/>
        <v>0</v>
      </c>
      <c r="AV120" s="112">
        <f t="shared" si="111"/>
        <v>0</v>
      </c>
      <c r="AW120" s="112">
        <f t="shared" si="111"/>
        <v>0</v>
      </c>
      <c r="AX120" s="112">
        <f t="shared" si="111"/>
        <v>0</v>
      </c>
      <c r="AY120" s="112">
        <f t="shared" si="111"/>
        <v>0</v>
      </c>
      <c r="AZ120" s="112">
        <f t="shared" si="111"/>
        <v>0</v>
      </c>
      <c r="BA120" s="112">
        <f t="shared" si="111"/>
        <v>0</v>
      </c>
      <c r="BB120" s="112">
        <f t="shared" si="111"/>
        <v>0</v>
      </c>
      <c r="BC120" s="112">
        <f t="shared" si="111"/>
        <v>0</v>
      </c>
      <c r="BD120" s="112">
        <f t="shared" si="111"/>
        <v>0</v>
      </c>
      <c r="BE120" s="112">
        <f t="shared" si="111"/>
        <v>0</v>
      </c>
      <c r="BF120" s="112">
        <f t="shared" si="111"/>
        <v>0</v>
      </c>
      <c r="BG120" s="112">
        <f t="shared" si="111"/>
        <v>0</v>
      </c>
      <c r="BH120" s="112">
        <f t="shared" si="111"/>
        <v>0</v>
      </c>
      <c r="BI120" s="112">
        <f t="shared" si="111"/>
        <v>0</v>
      </c>
      <c r="BJ120" s="112">
        <f t="shared" si="111"/>
        <v>0</v>
      </c>
    </row>
    <row r="121" spans="1:62" ht="12" customHeight="1">
      <c r="A121" s="521"/>
      <c r="B121" s="111">
        <f>'C1 - Cargos e Salários'!B103</f>
        <v>0</v>
      </c>
      <c r="C121" s="112">
        <f>'C1 - Cargos e Salários'!E103</f>
        <v>0</v>
      </c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2">
        <f t="shared" ref="AG121:BJ121" si="112">SUM($C121:C121)</f>
        <v>0</v>
      </c>
      <c r="AH121" s="112">
        <f t="shared" si="112"/>
        <v>0</v>
      </c>
      <c r="AI121" s="112">
        <f t="shared" si="112"/>
        <v>0</v>
      </c>
      <c r="AJ121" s="112">
        <f t="shared" si="112"/>
        <v>0</v>
      </c>
      <c r="AK121" s="112">
        <f t="shared" si="112"/>
        <v>0</v>
      </c>
      <c r="AL121" s="112">
        <f t="shared" si="112"/>
        <v>0</v>
      </c>
      <c r="AM121" s="112">
        <f t="shared" si="112"/>
        <v>0</v>
      </c>
      <c r="AN121" s="112">
        <f t="shared" si="112"/>
        <v>0</v>
      </c>
      <c r="AO121" s="112">
        <f t="shared" si="112"/>
        <v>0</v>
      </c>
      <c r="AP121" s="112">
        <f t="shared" si="112"/>
        <v>0</v>
      </c>
      <c r="AQ121" s="112">
        <f t="shared" si="112"/>
        <v>0</v>
      </c>
      <c r="AR121" s="112">
        <f t="shared" si="112"/>
        <v>0</v>
      </c>
      <c r="AS121" s="112">
        <f t="shared" si="112"/>
        <v>0</v>
      </c>
      <c r="AT121" s="112">
        <f t="shared" si="112"/>
        <v>0</v>
      </c>
      <c r="AU121" s="112">
        <f t="shared" si="112"/>
        <v>0</v>
      </c>
      <c r="AV121" s="112">
        <f t="shared" si="112"/>
        <v>0</v>
      </c>
      <c r="AW121" s="112">
        <f t="shared" si="112"/>
        <v>0</v>
      </c>
      <c r="AX121" s="112">
        <f t="shared" si="112"/>
        <v>0</v>
      </c>
      <c r="AY121" s="112">
        <f t="shared" si="112"/>
        <v>0</v>
      </c>
      <c r="AZ121" s="112">
        <f t="shared" si="112"/>
        <v>0</v>
      </c>
      <c r="BA121" s="112">
        <f t="shared" si="112"/>
        <v>0</v>
      </c>
      <c r="BB121" s="112">
        <f t="shared" si="112"/>
        <v>0</v>
      </c>
      <c r="BC121" s="112">
        <f t="shared" si="112"/>
        <v>0</v>
      </c>
      <c r="BD121" s="112">
        <f t="shared" si="112"/>
        <v>0</v>
      </c>
      <c r="BE121" s="112">
        <f t="shared" si="112"/>
        <v>0</v>
      </c>
      <c r="BF121" s="112">
        <f t="shared" si="112"/>
        <v>0</v>
      </c>
      <c r="BG121" s="112">
        <f t="shared" si="112"/>
        <v>0</v>
      </c>
      <c r="BH121" s="112">
        <f t="shared" si="112"/>
        <v>0</v>
      </c>
      <c r="BI121" s="112">
        <f t="shared" si="112"/>
        <v>0</v>
      </c>
      <c r="BJ121" s="112">
        <f t="shared" si="112"/>
        <v>0</v>
      </c>
    </row>
    <row r="122" spans="1:62" ht="12" customHeight="1">
      <c r="A122" s="521"/>
      <c r="B122" s="111">
        <f>'C1 - Cargos e Salários'!B104</f>
        <v>0</v>
      </c>
      <c r="C122" s="112">
        <f>'C1 - Cargos e Salários'!E104</f>
        <v>0</v>
      </c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2">
        <f t="shared" ref="AG122:BJ122" si="113">SUM($C122:C122)</f>
        <v>0</v>
      </c>
      <c r="AH122" s="112">
        <f t="shared" si="113"/>
        <v>0</v>
      </c>
      <c r="AI122" s="112">
        <f t="shared" si="113"/>
        <v>0</v>
      </c>
      <c r="AJ122" s="112">
        <f t="shared" si="113"/>
        <v>0</v>
      </c>
      <c r="AK122" s="112">
        <f t="shared" si="113"/>
        <v>0</v>
      </c>
      <c r="AL122" s="112">
        <f t="shared" si="113"/>
        <v>0</v>
      </c>
      <c r="AM122" s="112">
        <f t="shared" si="113"/>
        <v>0</v>
      </c>
      <c r="AN122" s="112">
        <f t="shared" si="113"/>
        <v>0</v>
      </c>
      <c r="AO122" s="112">
        <f t="shared" si="113"/>
        <v>0</v>
      </c>
      <c r="AP122" s="112">
        <f t="shared" si="113"/>
        <v>0</v>
      </c>
      <c r="AQ122" s="112">
        <f t="shared" si="113"/>
        <v>0</v>
      </c>
      <c r="AR122" s="112">
        <f t="shared" si="113"/>
        <v>0</v>
      </c>
      <c r="AS122" s="112">
        <f t="shared" si="113"/>
        <v>0</v>
      </c>
      <c r="AT122" s="112">
        <f t="shared" si="113"/>
        <v>0</v>
      </c>
      <c r="AU122" s="112">
        <f t="shared" si="113"/>
        <v>0</v>
      </c>
      <c r="AV122" s="112">
        <f t="shared" si="113"/>
        <v>0</v>
      </c>
      <c r="AW122" s="112">
        <f t="shared" si="113"/>
        <v>0</v>
      </c>
      <c r="AX122" s="112">
        <f t="shared" si="113"/>
        <v>0</v>
      </c>
      <c r="AY122" s="112">
        <f t="shared" si="113"/>
        <v>0</v>
      </c>
      <c r="AZ122" s="112">
        <f t="shared" si="113"/>
        <v>0</v>
      </c>
      <c r="BA122" s="112">
        <f t="shared" si="113"/>
        <v>0</v>
      </c>
      <c r="BB122" s="112">
        <f t="shared" si="113"/>
        <v>0</v>
      </c>
      <c r="BC122" s="112">
        <f t="shared" si="113"/>
        <v>0</v>
      </c>
      <c r="BD122" s="112">
        <f t="shared" si="113"/>
        <v>0</v>
      </c>
      <c r="BE122" s="112">
        <f t="shared" si="113"/>
        <v>0</v>
      </c>
      <c r="BF122" s="112">
        <f t="shared" si="113"/>
        <v>0</v>
      </c>
      <c r="BG122" s="112">
        <f t="shared" si="113"/>
        <v>0</v>
      </c>
      <c r="BH122" s="112">
        <f t="shared" si="113"/>
        <v>0</v>
      </c>
      <c r="BI122" s="112">
        <f t="shared" si="113"/>
        <v>0</v>
      </c>
      <c r="BJ122" s="112">
        <f t="shared" si="113"/>
        <v>0</v>
      </c>
    </row>
    <row r="123" spans="1:62" ht="12" customHeight="1">
      <c r="A123" s="521"/>
      <c r="B123" s="111">
        <f>'C1 - Cargos e Salários'!B105</f>
        <v>0</v>
      </c>
      <c r="C123" s="112">
        <f>'C1 - Cargos e Salários'!E105</f>
        <v>0</v>
      </c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2">
        <f t="shared" ref="AG123:BJ123" si="114">SUM($C123:C123)</f>
        <v>0</v>
      </c>
      <c r="AH123" s="112">
        <f t="shared" si="114"/>
        <v>0</v>
      </c>
      <c r="AI123" s="112">
        <f t="shared" si="114"/>
        <v>0</v>
      </c>
      <c r="AJ123" s="112">
        <f t="shared" si="114"/>
        <v>0</v>
      </c>
      <c r="AK123" s="112">
        <f t="shared" si="114"/>
        <v>0</v>
      </c>
      <c r="AL123" s="112">
        <f t="shared" si="114"/>
        <v>0</v>
      </c>
      <c r="AM123" s="112">
        <f t="shared" si="114"/>
        <v>0</v>
      </c>
      <c r="AN123" s="112">
        <f t="shared" si="114"/>
        <v>0</v>
      </c>
      <c r="AO123" s="112">
        <f t="shared" si="114"/>
        <v>0</v>
      </c>
      <c r="AP123" s="112">
        <f t="shared" si="114"/>
        <v>0</v>
      </c>
      <c r="AQ123" s="112">
        <f t="shared" si="114"/>
        <v>0</v>
      </c>
      <c r="AR123" s="112">
        <f t="shared" si="114"/>
        <v>0</v>
      </c>
      <c r="AS123" s="112">
        <f t="shared" si="114"/>
        <v>0</v>
      </c>
      <c r="AT123" s="112">
        <f t="shared" si="114"/>
        <v>0</v>
      </c>
      <c r="AU123" s="112">
        <f t="shared" si="114"/>
        <v>0</v>
      </c>
      <c r="AV123" s="112">
        <f t="shared" si="114"/>
        <v>0</v>
      </c>
      <c r="AW123" s="112">
        <f t="shared" si="114"/>
        <v>0</v>
      </c>
      <c r="AX123" s="112">
        <f t="shared" si="114"/>
        <v>0</v>
      </c>
      <c r="AY123" s="112">
        <f t="shared" si="114"/>
        <v>0</v>
      </c>
      <c r="AZ123" s="112">
        <f t="shared" si="114"/>
        <v>0</v>
      </c>
      <c r="BA123" s="112">
        <f t="shared" si="114"/>
        <v>0</v>
      </c>
      <c r="BB123" s="112">
        <f t="shared" si="114"/>
        <v>0</v>
      </c>
      <c r="BC123" s="112">
        <f t="shared" si="114"/>
        <v>0</v>
      </c>
      <c r="BD123" s="112">
        <f t="shared" si="114"/>
        <v>0</v>
      </c>
      <c r="BE123" s="112">
        <f t="shared" si="114"/>
        <v>0</v>
      </c>
      <c r="BF123" s="112">
        <f t="shared" si="114"/>
        <v>0</v>
      </c>
      <c r="BG123" s="112">
        <f t="shared" si="114"/>
        <v>0</v>
      </c>
      <c r="BH123" s="112">
        <f t="shared" si="114"/>
        <v>0</v>
      </c>
      <c r="BI123" s="112">
        <f t="shared" si="114"/>
        <v>0</v>
      </c>
      <c r="BJ123" s="112">
        <f t="shared" si="114"/>
        <v>0</v>
      </c>
    </row>
    <row r="124" spans="1:62" ht="14.25" customHeight="1">
      <c r="A124" s="521"/>
      <c r="B124" s="114" t="s">
        <v>52</v>
      </c>
      <c r="C124" s="115" t="e">
        <f t="shared" ref="C124:BJ124" si="115">SUM(C9:C123)</f>
        <v>#REF!</v>
      </c>
      <c r="D124" s="115">
        <f t="shared" si="115"/>
        <v>0</v>
      </c>
      <c r="E124" s="115">
        <f t="shared" si="115"/>
        <v>0</v>
      </c>
      <c r="F124" s="115">
        <f t="shared" si="115"/>
        <v>0</v>
      </c>
      <c r="G124" s="115">
        <f t="shared" si="115"/>
        <v>0</v>
      </c>
      <c r="H124" s="115">
        <f t="shared" si="115"/>
        <v>0</v>
      </c>
      <c r="I124" s="115">
        <f t="shared" si="115"/>
        <v>0</v>
      </c>
      <c r="J124" s="115">
        <f t="shared" si="115"/>
        <v>0</v>
      </c>
      <c r="K124" s="115">
        <f t="shared" si="115"/>
        <v>0</v>
      </c>
      <c r="L124" s="115">
        <f t="shared" si="115"/>
        <v>0</v>
      </c>
      <c r="M124" s="115">
        <f t="shared" si="115"/>
        <v>0</v>
      </c>
      <c r="N124" s="115">
        <f t="shared" si="115"/>
        <v>0</v>
      </c>
      <c r="O124" s="115">
        <f t="shared" si="115"/>
        <v>0</v>
      </c>
      <c r="P124" s="115">
        <f t="shared" si="115"/>
        <v>0</v>
      </c>
      <c r="Q124" s="115">
        <f t="shared" si="115"/>
        <v>0</v>
      </c>
      <c r="R124" s="115">
        <f t="shared" si="115"/>
        <v>0</v>
      </c>
      <c r="S124" s="115">
        <f t="shared" si="115"/>
        <v>0</v>
      </c>
      <c r="T124" s="115">
        <f t="shared" si="115"/>
        <v>0</v>
      </c>
      <c r="U124" s="115">
        <f t="shared" si="115"/>
        <v>0</v>
      </c>
      <c r="V124" s="115">
        <f t="shared" si="115"/>
        <v>0</v>
      </c>
      <c r="W124" s="115">
        <f t="shared" si="115"/>
        <v>0</v>
      </c>
      <c r="X124" s="115">
        <f t="shared" si="115"/>
        <v>0</v>
      </c>
      <c r="Y124" s="115">
        <f t="shared" si="115"/>
        <v>0</v>
      </c>
      <c r="Z124" s="115">
        <f t="shared" si="115"/>
        <v>0</v>
      </c>
      <c r="AA124" s="115">
        <f t="shared" si="115"/>
        <v>0</v>
      </c>
      <c r="AB124" s="115">
        <f t="shared" si="115"/>
        <v>0</v>
      </c>
      <c r="AC124" s="115">
        <f t="shared" si="115"/>
        <v>0</v>
      </c>
      <c r="AD124" s="115">
        <f t="shared" si="115"/>
        <v>0</v>
      </c>
      <c r="AE124" s="115">
        <f t="shared" si="115"/>
        <v>0</v>
      </c>
      <c r="AF124" s="115">
        <f t="shared" si="115"/>
        <v>0</v>
      </c>
      <c r="AG124" s="115" t="e">
        <f t="shared" si="115"/>
        <v>#REF!</v>
      </c>
      <c r="AH124" s="115" t="e">
        <f t="shared" si="115"/>
        <v>#REF!</v>
      </c>
      <c r="AI124" s="115" t="e">
        <f t="shared" si="115"/>
        <v>#REF!</v>
      </c>
      <c r="AJ124" s="115" t="e">
        <f t="shared" si="115"/>
        <v>#REF!</v>
      </c>
      <c r="AK124" s="115" t="e">
        <f t="shared" si="115"/>
        <v>#REF!</v>
      </c>
      <c r="AL124" s="115" t="e">
        <f t="shared" si="115"/>
        <v>#REF!</v>
      </c>
      <c r="AM124" s="115" t="e">
        <f t="shared" si="115"/>
        <v>#REF!</v>
      </c>
      <c r="AN124" s="115" t="e">
        <f t="shared" si="115"/>
        <v>#REF!</v>
      </c>
      <c r="AO124" s="115" t="e">
        <f t="shared" si="115"/>
        <v>#REF!</v>
      </c>
      <c r="AP124" s="115" t="e">
        <f t="shared" si="115"/>
        <v>#REF!</v>
      </c>
      <c r="AQ124" s="115" t="e">
        <f t="shared" si="115"/>
        <v>#REF!</v>
      </c>
      <c r="AR124" s="115" t="e">
        <f t="shared" si="115"/>
        <v>#REF!</v>
      </c>
      <c r="AS124" s="115" t="e">
        <f t="shared" si="115"/>
        <v>#REF!</v>
      </c>
      <c r="AT124" s="115" t="e">
        <f t="shared" si="115"/>
        <v>#REF!</v>
      </c>
      <c r="AU124" s="115" t="e">
        <f t="shared" si="115"/>
        <v>#REF!</v>
      </c>
      <c r="AV124" s="115" t="e">
        <f t="shared" si="115"/>
        <v>#REF!</v>
      </c>
      <c r="AW124" s="115" t="e">
        <f t="shared" si="115"/>
        <v>#REF!</v>
      </c>
      <c r="AX124" s="115" t="e">
        <f t="shared" si="115"/>
        <v>#REF!</v>
      </c>
      <c r="AY124" s="115" t="e">
        <f t="shared" si="115"/>
        <v>#REF!</v>
      </c>
      <c r="AZ124" s="115" t="e">
        <f t="shared" si="115"/>
        <v>#REF!</v>
      </c>
      <c r="BA124" s="115" t="e">
        <f t="shared" si="115"/>
        <v>#REF!</v>
      </c>
      <c r="BB124" s="115" t="e">
        <f t="shared" si="115"/>
        <v>#REF!</v>
      </c>
      <c r="BC124" s="115" t="e">
        <f t="shared" si="115"/>
        <v>#REF!</v>
      </c>
      <c r="BD124" s="115" t="e">
        <f t="shared" si="115"/>
        <v>#REF!</v>
      </c>
      <c r="BE124" s="115" t="e">
        <f t="shared" si="115"/>
        <v>#REF!</v>
      </c>
      <c r="BF124" s="115" t="e">
        <f t="shared" si="115"/>
        <v>#REF!</v>
      </c>
      <c r="BG124" s="115" t="e">
        <f t="shared" si="115"/>
        <v>#REF!</v>
      </c>
      <c r="BH124" s="115" t="e">
        <f t="shared" si="115"/>
        <v>#REF!</v>
      </c>
      <c r="BI124" s="115" t="e">
        <f t="shared" si="115"/>
        <v>#REF!</v>
      </c>
      <c r="BJ124" s="115" t="e">
        <f t="shared" si="115"/>
        <v>#REF!</v>
      </c>
    </row>
  </sheetData>
  <autoFilter ref="B6:AZ124" xr:uid="{00000000-0009-0000-0000-00000A000000}"/>
  <pageMargins left="0.70866141732283472" right="0.70866141732283472" top="0.74803149606299213" bottom="0.74803149606299213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12">
    <tabColor rgb="FFFFC000"/>
    <pageSetUpPr fitToPage="1"/>
  </sheetPr>
  <dimension ref="A1:AJ129"/>
  <sheetViews>
    <sheetView workbookViewId="0"/>
  </sheetViews>
  <sheetFormatPr defaultColWidth="11.44140625" defaultRowHeight="15" customHeight="1"/>
  <cols>
    <col min="1" max="1" width="2.44140625" customWidth="1"/>
    <col min="2" max="2" width="31.5546875" customWidth="1"/>
    <col min="3" max="3" width="19.44140625" customWidth="1"/>
    <col min="4" max="4" width="25.5546875" customWidth="1"/>
    <col min="5" max="5" width="13" customWidth="1"/>
    <col min="6" max="6" width="8.5546875" customWidth="1"/>
    <col min="7" max="7" width="11.21875" customWidth="1"/>
    <col min="8" max="27" width="10.44140625" customWidth="1"/>
    <col min="28" max="36" width="8.5546875" customWidth="1"/>
  </cols>
  <sheetData>
    <row r="1" spans="1:36" ht="15" customHeight="1">
      <c r="A1" s="520"/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</row>
    <row r="2" spans="1:36" ht="27" customHeight="1">
      <c r="A2" s="522"/>
      <c r="B2" s="775" t="s">
        <v>336</v>
      </c>
      <c r="C2" s="813"/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3"/>
      <c r="T2" s="813"/>
      <c r="U2" s="813"/>
      <c r="V2" s="813"/>
      <c r="W2" s="813"/>
      <c r="X2" s="813"/>
      <c r="Y2" s="813"/>
      <c r="Z2" s="813"/>
      <c r="AA2" s="813"/>
      <c r="AB2" s="813"/>
      <c r="AC2" s="813"/>
      <c r="AD2" s="813"/>
      <c r="AE2" s="813"/>
      <c r="AF2" s="813"/>
      <c r="AG2" s="813"/>
      <c r="AH2" s="813"/>
      <c r="AI2" s="813"/>
      <c r="AJ2" s="813"/>
    </row>
    <row r="3" spans="1:36" ht="15" customHeight="1">
      <c r="A3" s="505"/>
      <c r="B3" s="521"/>
      <c r="C3" s="566"/>
      <c r="D3" s="566"/>
      <c r="E3" s="521"/>
      <c r="F3" s="521"/>
      <c r="G3" s="58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21"/>
      <c r="AE3" s="521"/>
      <c r="AF3" s="521"/>
      <c r="AG3" s="521"/>
      <c r="AH3" s="521"/>
      <c r="AI3" s="521"/>
      <c r="AJ3" s="521"/>
    </row>
    <row r="4" spans="1:36" ht="15.6">
      <c r="A4" s="521"/>
      <c r="B4" s="582" t="s">
        <v>337</v>
      </c>
      <c r="C4" s="521"/>
      <c r="D4" s="521"/>
      <c r="E4" s="566"/>
      <c r="F4" s="566"/>
      <c r="G4" s="521"/>
      <c r="H4" s="521"/>
      <c r="I4" s="521"/>
      <c r="J4" s="521"/>
      <c r="K4" s="521"/>
      <c r="L4" s="521"/>
      <c r="M4" s="521"/>
      <c r="N4" s="521"/>
      <c r="O4" s="521"/>
      <c r="P4" s="521"/>
      <c r="Q4" s="521"/>
      <c r="R4" s="521"/>
      <c r="S4" s="521"/>
      <c r="T4" s="583"/>
      <c r="U4" s="521"/>
      <c r="V4" s="521"/>
      <c r="W4" s="521"/>
      <c r="X4" s="521"/>
      <c r="Y4" s="521"/>
      <c r="Z4" s="583" t="s">
        <v>151</v>
      </c>
      <c r="AA4" s="521"/>
      <c r="AB4" s="521"/>
      <c r="AC4" s="521"/>
      <c r="AD4" s="521"/>
      <c r="AE4" s="521"/>
      <c r="AF4" s="521"/>
      <c r="AG4" s="521"/>
      <c r="AH4" s="521"/>
      <c r="AI4" s="521"/>
      <c r="AJ4" s="521"/>
    </row>
    <row r="5" spans="1:36" ht="32.25" customHeight="1">
      <c r="A5" s="521"/>
      <c r="B5" s="116" t="s">
        <v>257</v>
      </c>
      <c r="C5" s="116" t="s">
        <v>338</v>
      </c>
      <c r="D5" s="116" t="s">
        <v>187</v>
      </c>
      <c r="E5" s="78" t="s">
        <v>339</v>
      </c>
      <c r="F5" s="78" t="s">
        <v>340</v>
      </c>
      <c r="G5" s="107" t="s">
        <v>147</v>
      </c>
      <c r="H5" s="585"/>
      <c r="I5" s="585"/>
      <c r="J5" s="585"/>
      <c r="K5" s="585"/>
      <c r="L5" s="585"/>
      <c r="M5" s="585"/>
      <c r="N5" s="585"/>
      <c r="O5" s="585"/>
      <c r="P5" s="585"/>
      <c r="Q5" s="585"/>
      <c r="R5" s="585"/>
      <c r="S5" s="585"/>
      <c r="T5" s="585"/>
      <c r="U5" s="585"/>
      <c r="V5" s="585"/>
      <c r="W5" s="585"/>
      <c r="X5" s="585"/>
      <c r="Y5" s="585"/>
      <c r="Z5" s="585"/>
      <c r="AA5" s="585"/>
      <c r="AB5" s="585"/>
      <c r="AC5" s="585"/>
      <c r="AD5" s="585"/>
      <c r="AE5" s="585"/>
      <c r="AF5" s="585"/>
      <c r="AG5" s="585"/>
      <c r="AH5" s="585"/>
      <c r="AI5" s="585"/>
      <c r="AJ5" s="585"/>
    </row>
    <row r="6" spans="1:36" ht="15.6">
      <c r="A6" s="521"/>
      <c r="B6" s="117"/>
      <c r="C6" s="117"/>
      <c r="D6" s="117"/>
      <c r="E6" s="108"/>
      <c r="F6" s="108"/>
      <c r="G6" s="109">
        <v>1</v>
      </c>
      <c r="H6" s="110">
        <v>2</v>
      </c>
      <c r="I6" s="109">
        <v>3</v>
      </c>
      <c r="J6" s="110">
        <v>4</v>
      </c>
      <c r="K6" s="109">
        <v>5</v>
      </c>
      <c r="L6" s="110">
        <v>6</v>
      </c>
      <c r="M6" s="109">
        <v>7</v>
      </c>
      <c r="N6" s="110">
        <v>8</v>
      </c>
      <c r="O6" s="109">
        <v>9</v>
      </c>
      <c r="P6" s="110">
        <v>10</v>
      </c>
      <c r="Q6" s="109">
        <v>11</v>
      </c>
      <c r="R6" s="110">
        <v>12</v>
      </c>
      <c r="S6" s="109">
        <v>13</v>
      </c>
      <c r="T6" s="110">
        <v>14</v>
      </c>
      <c r="U6" s="109">
        <v>15</v>
      </c>
      <c r="V6" s="110">
        <v>16</v>
      </c>
      <c r="W6" s="109">
        <v>17</v>
      </c>
      <c r="X6" s="110">
        <v>18</v>
      </c>
      <c r="Y6" s="109">
        <v>19</v>
      </c>
      <c r="Z6" s="110">
        <v>20</v>
      </c>
      <c r="AA6" s="109">
        <v>21</v>
      </c>
      <c r="AB6" s="110">
        <v>22</v>
      </c>
      <c r="AC6" s="109">
        <v>23</v>
      </c>
      <c r="AD6" s="110">
        <v>24</v>
      </c>
      <c r="AE6" s="109">
        <v>25</v>
      </c>
      <c r="AF6" s="110">
        <v>26</v>
      </c>
      <c r="AG6" s="109">
        <v>27</v>
      </c>
      <c r="AH6" s="110">
        <v>28</v>
      </c>
      <c r="AI6" s="109">
        <v>29</v>
      </c>
      <c r="AJ6" s="110">
        <v>30</v>
      </c>
    </row>
    <row r="7" spans="1:36" ht="15.6">
      <c r="A7" s="521"/>
      <c r="B7" s="51" t="str">
        <f>'C1 - Cargos e Salários'!B8</f>
        <v>Cozinheiro</v>
      </c>
      <c r="C7" s="51" t="str">
        <f>'C1 - Cargos e Salários'!C8</f>
        <v>Operacional</v>
      </c>
      <c r="D7" s="51" t="str">
        <f>'C1 - Cargos e Salários'!D8</f>
        <v>Árvore da Preguiça - Alimentação</v>
      </c>
      <c r="E7" s="118">
        <f>'C1 - Cargos e Salários'!K8</f>
        <v>41448.663019719999</v>
      </c>
      <c r="F7" s="119">
        <f>IF(C7="Operacional",IFERROR(VLOOKUP(D7,ReceitaPorTipo,COLUMN('A1 - Serviços e demanda'!$Z$17),0),0),100%)</f>
        <v>0</v>
      </c>
      <c r="G7" s="120">
        <f>E7*F7*'C2 - Funcionários #'!AG9*IF($C7="Operacional",IFERROR(VLOOKUP($D7,SN_UGC,28,0),0),1)</f>
        <v>0</v>
      </c>
      <c r="H7" s="120">
        <f>$E7*'C2 - Funcionários #'!AH9*IF($C7="Operacional",IFERROR(VLOOKUP($D7,SN_UGC,28,0),0),1)</f>
        <v>41448.663019719999</v>
      </c>
      <c r="I7" s="120">
        <f>$E7*'C2 - Funcionários #'!AI9*IF($C7="Operacional",IFERROR(VLOOKUP($D7,SN_UGC,28,0),0),1)</f>
        <v>41448.663019719999</v>
      </c>
      <c r="J7" s="120">
        <f>$E7*'C2 - Funcionários #'!AJ9*IF($C7="Operacional",IFERROR(VLOOKUP($D7,SN_UGC,28,0),0),1)</f>
        <v>41448.663019719999</v>
      </c>
      <c r="K7" s="120">
        <f>$E7*'C2 - Funcionários #'!AK9*IF($C7="Operacional",IFERROR(VLOOKUP($D7,SN_UGC,28,0),0),1)</f>
        <v>41448.663019719999</v>
      </c>
      <c r="L7" s="120">
        <f>$E7*'C2 - Funcionários #'!AL9*IF($C7="Operacional",IFERROR(VLOOKUP($D7,SN_UGC,28,0),0),1)</f>
        <v>41448.663019719999</v>
      </c>
      <c r="M7" s="120">
        <f>$E7*'C2 - Funcionários #'!AM9*IF($C7="Operacional",IFERROR(VLOOKUP($D7,SN_UGC,28,0),0),1)</f>
        <v>41448.663019719999</v>
      </c>
      <c r="N7" s="120">
        <f>$E7*'C2 - Funcionários #'!AN9*IF($C7="Operacional",IFERROR(VLOOKUP($D7,SN_UGC,28,0),0),1)</f>
        <v>41448.663019719999</v>
      </c>
      <c r="O7" s="120">
        <f>$E7*'C2 - Funcionários #'!AO9*IF($C7="Operacional",IFERROR(VLOOKUP($D7,SN_UGC,28,0),0),1)</f>
        <v>41448.663019719999</v>
      </c>
      <c r="P7" s="120">
        <f>$E7*'C2 - Funcionários #'!AP9*IF($C7="Operacional",IFERROR(VLOOKUP($D7,SN_UGC,28,0),0),1)</f>
        <v>41448.663019719999</v>
      </c>
      <c r="Q7" s="120">
        <f>$E7*'C2 - Funcionários #'!AQ9*IF($C7="Operacional",IFERROR(VLOOKUP($D7,SN_UGC,28,0),0),1)</f>
        <v>41448.663019719999</v>
      </c>
      <c r="R7" s="120">
        <f>$E7*'C2 - Funcionários #'!AR9*IF($C7="Operacional",IFERROR(VLOOKUP($D7,SN_UGC,28,0),0),1)</f>
        <v>41448.663019719999</v>
      </c>
      <c r="S7" s="120">
        <f>$E7*'C2 - Funcionários #'!AS9*IF($C7="Operacional",IFERROR(VLOOKUP($D7,SN_UGC,28,0),0),1)</f>
        <v>41448.663019719999</v>
      </c>
      <c r="T7" s="120">
        <f>$E7*'C2 - Funcionários #'!AT9*IF($C7="Operacional",IFERROR(VLOOKUP($D7,SN_UGC,28,0),0),1)</f>
        <v>41448.663019719999</v>
      </c>
      <c r="U7" s="120">
        <f>$E7*'C2 - Funcionários #'!AU9*IF($C7="Operacional",IFERROR(VLOOKUP($D7,SN_UGC,28,0),0),1)</f>
        <v>41448.663019719999</v>
      </c>
      <c r="V7" s="120">
        <f>$E7*'C2 - Funcionários #'!AV9*IF($C7="Operacional",IFERROR(VLOOKUP($D7,SN_UGC,28,0),0),1)</f>
        <v>41448.663019719999</v>
      </c>
      <c r="W7" s="120">
        <f>$E7*'C2 - Funcionários #'!AW9*IF($C7="Operacional",IFERROR(VLOOKUP($D7,SN_UGC,28,0),0),1)</f>
        <v>41448.663019719999</v>
      </c>
      <c r="X7" s="120">
        <f>$E7*'C2 - Funcionários #'!AX9*IF($C7="Operacional",IFERROR(VLOOKUP($D7,SN_UGC,28,0),0),1)</f>
        <v>41448.663019719999</v>
      </c>
      <c r="Y7" s="120">
        <f>$E7*'C2 - Funcionários #'!AY9*IF($C7="Operacional",IFERROR(VLOOKUP($D7,SN_UGC,28,0),0),1)</f>
        <v>41448.663019719999</v>
      </c>
      <c r="Z7" s="120">
        <f>$E7*'C2 - Funcionários #'!AZ9*IF($C7="Operacional",IFERROR(VLOOKUP($D7,SN_UGC,28,0),0),1)</f>
        <v>41448.663019719999</v>
      </c>
      <c r="AA7" s="120">
        <f>$E7*'C2 - Funcionários #'!BA9*IF($C7="Operacional",IFERROR(VLOOKUP($D7,SN_UGC,28,0),0),1)</f>
        <v>41448.663019719999</v>
      </c>
      <c r="AB7" s="120">
        <f>$E7*'C2 - Funcionários #'!BB9*IF($C7="Operacional",IFERROR(VLOOKUP($D7,SN_UGC,28,0),0),1)</f>
        <v>41448.663019719999</v>
      </c>
      <c r="AC7" s="120">
        <f>$E7*'C2 - Funcionários #'!BC9*IF($C7="Operacional",IFERROR(VLOOKUP($D7,SN_UGC,28,0),0),1)</f>
        <v>41448.663019719999</v>
      </c>
      <c r="AD7" s="120">
        <f>$E7*'C2 - Funcionários #'!BD9*IF($C7="Operacional",IFERROR(VLOOKUP($D7,SN_UGC,28,0),0),1)</f>
        <v>41448.663019719999</v>
      </c>
      <c r="AE7" s="120">
        <f>$E7*'C2 - Funcionários #'!BE9*IF($C7="Operacional",IFERROR(VLOOKUP($D7,SN_UGC,28,0),0),1)</f>
        <v>41448.663019719999</v>
      </c>
      <c r="AF7" s="120">
        <f>$E7*'C2 - Funcionários #'!BF9*IF($C7="Operacional",IFERROR(VLOOKUP($D7,SN_UGC,28,0),0),1)</f>
        <v>41448.663019719999</v>
      </c>
      <c r="AG7" s="120">
        <f>$E7*'C2 - Funcionários #'!BG9*IF($C7="Operacional",IFERROR(VLOOKUP($D7,SN_UGC,28,0),0),1)</f>
        <v>41448.663019719999</v>
      </c>
      <c r="AH7" s="120">
        <f>$E7*'C2 - Funcionários #'!BH9*IF($C7="Operacional",IFERROR(VLOOKUP($D7,SN_UGC,28,0),0),1)</f>
        <v>41448.663019719999</v>
      </c>
      <c r="AI7" s="120">
        <f>$E7*'C2 - Funcionários #'!BI9*IF($C7="Operacional",IFERROR(VLOOKUP($D7,SN_UGC,28,0),0),1)</f>
        <v>41448.663019719999</v>
      </c>
      <c r="AJ7" s="120">
        <f>$E7*'C2 - Funcionários #'!BJ9*IF($C7="Operacional",IFERROR(VLOOKUP($D7,SN_UGC,28,0),0),1)</f>
        <v>41448.663019719999</v>
      </c>
    </row>
    <row r="8" spans="1:36" ht="15.6">
      <c r="A8" s="521"/>
      <c r="B8" s="51" t="str">
        <f>'C1 - Cargos e Salários'!B9</f>
        <v>Auxiliar de cozinha</v>
      </c>
      <c r="C8" s="51" t="str">
        <f>'C1 - Cargos e Salários'!C9</f>
        <v>Operacional</v>
      </c>
      <c r="D8" s="51" t="str">
        <f>'C1 - Cargos e Salários'!D9</f>
        <v>Árvore da Preguiça - Alimentação</v>
      </c>
      <c r="E8" s="118">
        <f>'C1 - Cargos e Salários'!K9</f>
        <v>39129.607801239996</v>
      </c>
      <c r="F8" s="119">
        <f>IF(C8="Operacional",IFERROR(VLOOKUP(D8,ReceitaPorTipo,COLUMN('A1 - Serviços e demanda'!$Z$17),0),0),100%)</f>
        <v>0</v>
      </c>
      <c r="G8" s="120">
        <f>E8*F8*'C2 - Funcionários #'!AG10*IF($C8="Operacional",IFERROR(VLOOKUP($D8,SN_UGC,28,0),0),1)</f>
        <v>0</v>
      </c>
      <c r="H8" s="120">
        <f>$E8*'C2 - Funcionários #'!AH10*IF($C8="Operacional",IFERROR(VLOOKUP($D8,SN_UGC,28,0),0),1)</f>
        <v>78259.215602479992</v>
      </c>
      <c r="I8" s="120">
        <f>$E8*'C2 - Funcionários #'!AI10*IF($C8="Operacional",IFERROR(VLOOKUP($D8,SN_UGC,28,0),0),1)</f>
        <v>78259.215602479992</v>
      </c>
      <c r="J8" s="120">
        <f>$E8*'C2 - Funcionários #'!AJ10*IF($C8="Operacional",IFERROR(VLOOKUP($D8,SN_UGC,28,0),0),1)</f>
        <v>78259.215602479992</v>
      </c>
      <c r="K8" s="120">
        <f>$E8*'C2 - Funcionários #'!AK10*IF($C8="Operacional",IFERROR(VLOOKUP($D8,SN_UGC,28,0),0),1)</f>
        <v>78259.215602479992</v>
      </c>
      <c r="L8" s="120">
        <f>$E8*'C2 - Funcionários #'!AL10*IF($C8="Operacional",IFERROR(VLOOKUP($D8,SN_UGC,28,0),0),1)</f>
        <v>78259.215602479992</v>
      </c>
      <c r="M8" s="120">
        <f>$E8*'C2 - Funcionários #'!AM10*IF($C8="Operacional",IFERROR(VLOOKUP($D8,SN_UGC,28,0),0),1)</f>
        <v>78259.215602479992</v>
      </c>
      <c r="N8" s="120">
        <f>$E8*'C2 - Funcionários #'!AN10*IF($C8="Operacional",IFERROR(VLOOKUP($D8,SN_UGC,28,0),0),1)</f>
        <v>78259.215602479992</v>
      </c>
      <c r="O8" s="120">
        <f>$E8*'C2 - Funcionários #'!AO10*IF($C8="Operacional",IFERROR(VLOOKUP($D8,SN_UGC,28,0),0),1)</f>
        <v>78259.215602479992</v>
      </c>
      <c r="P8" s="120">
        <f>$E8*'C2 - Funcionários #'!AP10*IF($C8="Operacional",IFERROR(VLOOKUP($D8,SN_UGC,28,0),0),1)</f>
        <v>78259.215602479992</v>
      </c>
      <c r="Q8" s="120">
        <f>$E8*'C2 - Funcionários #'!AQ10*IF($C8="Operacional",IFERROR(VLOOKUP($D8,SN_UGC,28,0),0),1)</f>
        <v>78259.215602479992</v>
      </c>
      <c r="R8" s="120">
        <f>$E8*'C2 - Funcionários #'!AR10*IF($C8="Operacional",IFERROR(VLOOKUP($D8,SN_UGC,28,0),0),1)</f>
        <v>78259.215602479992</v>
      </c>
      <c r="S8" s="120">
        <f>$E8*'C2 - Funcionários #'!AS10*IF($C8="Operacional",IFERROR(VLOOKUP($D8,SN_UGC,28,0),0),1)</f>
        <v>78259.215602479992</v>
      </c>
      <c r="T8" s="120">
        <f>$E8*'C2 - Funcionários #'!AT10*IF($C8="Operacional",IFERROR(VLOOKUP($D8,SN_UGC,28,0),0),1)</f>
        <v>78259.215602479992</v>
      </c>
      <c r="U8" s="120">
        <f>$E8*'C2 - Funcionários #'!AU10*IF($C8="Operacional",IFERROR(VLOOKUP($D8,SN_UGC,28,0),0),1)</f>
        <v>78259.215602479992</v>
      </c>
      <c r="V8" s="120">
        <f>$E8*'C2 - Funcionários #'!AV10*IF($C8="Operacional",IFERROR(VLOOKUP($D8,SN_UGC,28,0),0),1)</f>
        <v>78259.215602479992</v>
      </c>
      <c r="W8" s="120">
        <f>$E8*'C2 - Funcionários #'!AW10*IF($C8="Operacional",IFERROR(VLOOKUP($D8,SN_UGC,28,0),0),1)</f>
        <v>78259.215602479992</v>
      </c>
      <c r="X8" s="120">
        <f>$E8*'C2 - Funcionários #'!AX10*IF($C8="Operacional",IFERROR(VLOOKUP($D8,SN_UGC,28,0),0),1)</f>
        <v>78259.215602479992</v>
      </c>
      <c r="Y8" s="120">
        <f>$E8*'C2 - Funcionários #'!AY10*IF($C8="Operacional",IFERROR(VLOOKUP($D8,SN_UGC,28,0),0),1)</f>
        <v>78259.215602479992</v>
      </c>
      <c r="Z8" s="120">
        <f>$E8*'C2 - Funcionários #'!AZ10*IF($C8="Operacional",IFERROR(VLOOKUP($D8,SN_UGC,28,0),0),1)</f>
        <v>78259.215602479992</v>
      </c>
      <c r="AA8" s="120">
        <f>$E8*'C2 - Funcionários #'!BA10*IF($C8="Operacional",IFERROR(VLOOKUP($D8,SN_UGC,28,0),0),1)</f>
        <v>78259.215602479992</v>
      </c>
      <c r="AB8" s="120">
        <f>$E8*'C2 - Funcionários #'!BB10*IF($C8="Operacional",IFERROR(VLOOKUP($D8,SN_UGC,28,0),0),1)</f>
        <v>78259.215602479992</v>
      </c>
      <c r="AC8" s="120">
        <f>$E8*'C2 - Funcionários #'!BC10*IF($C8="Operacional",IFERROR(VLOOKUP($D8,SN_UGC,28,0),0),1)</f>
        <v>78259.215602479992</v>
      </c>
      <c r="AD8" s="120">
        <f>$E8*'C2 - Funcionários #'!BD10*IF($C8="Operacional",IFERROR(VLOOKUP($D8,SN_UGC,28,0),0),1)</f>
        <v>78259.215602479992</v>
      </c>
      <c r="AE8" s="120">
        <f>$E8*'C2 - Funcionários #'!BE10*IF($C8="Operacional",IFERROR(VLOOKUP($D8,SN_UGC,28,0),0),1)</f>
        <v>78259.215602479992</v>
      </c>
      <c r="AF8" s="120">
        <f>$E8*'C2 - Funcionários #'!BF10*IF($C8="Operacional",IFERROR(VLOOKUP($D8,SN_UGC,28,0),0),1)</f>
        <v>78259.215602479992</v>
      </c>
      <c r="AG8" s="120">
        <f>$E8*'C2 - Funcionários #'!BG10*IF($C8="Operacional",IFERROR(VLOOKUP($D8,SN_UGC,28,0),0),1)</f>
        <v>78259.215602479992</v>
      </c>
      <c r="AH8" s="120">
        <f>$E8*'C2 - Funcionários #'!BH10*IF($C8="Operacional",IFERROR(VLOOKUP($D8,SN_UGC,28,0),0),1)</f>
        <v>78259.215602479992</v>
      </c>
      <c r="AI8" s="120">
        <f>$E8*'C2 - Funcionários #'!BI10*IF($C8="Operacional",IFERROR(VLOOKUP($D8,SN_UGC,28,0),0),1)</f>
        <v>78259.215602479992</v>
      </c>
      <c r="AJ8" s="120">
        <f>$E8*'C2 - Funcionários #'!BJ10*IF($C8="Operacional",IFERROR(VLOOKUP($D8,SN_UGC,28,0),0),1)</f>
        <v>78259.215602479992</v>
      </c>
    </row>
    <row r="9" spans="1:36" ht="15.6">
      <c r="A9" s="521"/>
      <c r="B9" s="51" t="str">
        <f>'C1 - Cargos e Salários'!B10</f>
        <v>Caixa</v>
      </c>
      <c r="C9" s="51" t="str">
        <f>'C1 - Cargos e Salários'!C10</f>
        <v>Operacional</v>
      </c>
      <c r="D9" s="51" t="str">
        <f>'C1 - Cargos e Salários'!D10</f>
        <v>Árvore da Preguiça - Alimentação</v>
      </c>
      <c r="E9" s="118">
        <f>'C1 - Cargos e Salários'!K10</f>
        <v>39653.828640200009</v>
      </c>
      <c r="F9" s="119">
        <f>IF(C9="Operacional",IFERROR(VLOOKUP(D9,ReceitaPorTipo,COLUMN('A1 - Serviços e demanda'!$Z$17),0),0),100%)</f>
        <v>0</v>
      </c>
      <c r="G9" s="120">
        <f>E9*F9*'C2 - Funcionários #'!AG11*IF($C9="Operacional",IFERROR(VLOOKUP($D9,SN_UGC,28,0),0),1)</f>
        <v>0</v>
      </c>
      <c r="H9" s="120">
        <f>$E9*'C2 - Funcionários #'!AH11*IF($C9="Operacional",IFERROR(VLOOKUP($D9,SN_UGC,28,0),0),1)</f>
        <v>79307.657280400017</v>
      </c>
      <c r="I9" s="120">
        <f>$E9*'C2 - Funcionários #'!AI11*IF($C9="Operacional",IFERROR(VLOOKUP($D9,SN_UGC,28,0),0),1)</f>
        <v>79307.657280400017</v>
      </c>
      <c r="J9" s="120">
        <f>$E9*'C2 - Funcionários #'!AJ11*IF($C9="Operacional",IFERROR(VLOOKUP($D9,SN_UGC,28,0),0),1)</f>
        <v>79307.657280400017</v>
      </c>
      <c r="K9" s="120">
        <f>$E9*'C2 - Funcionários #'!AK11*IF($C9="Operacional",IFERROR(VLOOKUP($D9,SN_UGC,28,0),0),1)</f>
        <v>79307.657280400017</v>
      </c>
      <c r="L9" s="120">
        <f>$E9*'C2 - Funcionários #'!AL11*IF($C9="Operacional",IFERROR(VLOOKUP($D9,SN_UGC,28,0),0),1)</f>
        <v>79307.657280400017</v>
      </c>
      <c r="M9" s="120">
        <f>$E9*'C2 - Funcionários #'!AM11*IF($C9="Operacional",IFERROR(VLOOKUP($D9,SN_UGC,28,0),0),1)</f>
        <v>79307.657280400017</v>
      </c>
      <c r="N9" s="120">
        <f>$E9*'C2 - Funcionários #'!AN11*IF($C9="Operacional",IFERROR(VLOOKUP($D9,SN_UGC,28,0),0),1)</f>
        <v>79307.657280400017</v>
      </c>
      <c r="O9" s="120">
        <f>$E9*'C2 - Funcionários #'!AO11*IF($C9="Operacional",IFERROR(VLOOKUP($D9,SN_UGC,28,0),0),1)</f>
        <v>79307.657280400017</v>
      </c>
      <c r="P9" s="120">
        <f>$E9*'C2 - Funcionários #'!AP11*IF($C9="Operacional",IFERROR(VLOOKUP($D9,SN_UGC,28,0),0),1)</f>
        <v>79307.657280400017</v>
      </c>
      <c r="Q9" s="120">
        <f>$E9*'C2 - Funcionários #'!AQ11*IF($C9="Operacional",IFERROR(VLOOKUP($D9,SN_UGC,28,0),0),1)</f>
        <v>79307.657280400017</v>
      </c>
      <c r="R9" s="120">
        <f>$E9*'C2 - Funcionários #'!AR11*IF($C9="Operacional",IFERROR(VLOOKUP($D9,SN_UGC,28,0),0),1)</f>
        <v>79307.657280400017</v>
      </c>
      <c r="S9" s="120">
        <f>$E9*'C2 - Funcionários #'!AS11*IF($C9="Operacional",IFERROR(VLOOKUP($D9,SN_UGC,28,0),0),1)</f>
        <v>79307.657280400017</v>
      </c>
      <c r="T9" s="120">
        <f>$E9*'C2 - Funcionários #'!AT11*IF($C9="Operacional",IFERROR(VLOOKUP($D9,SN_UGC,28,0),0),1)</f>
        <v>79307.657280400017</v>
      </c>
      <c r="U9" s="120">
        <f>$E9*'C2 - Funcionários #'!AU11*IF($C9="Operacional",IFERROR(VLOOKUP($D9,SN_UGC,28,0),0),1)</f>
        <v>79307.657280400017</v>
      </c>
      <c r="V9" s="120">
        <f>$E9*'C2 - Funcionários #'!AV11*IF($C9="Operacional",IFERROR(VLOOKUP($D9,SN_UGC,28,0),0),1)</f>
        <v>79307.657280400017</v>
      </c>
      <c r="W9" s="120">
        <f>$E9*'C2 - Funcionários #'!AW11*IF($C9="Operacional",IFERROR(VLOOKUP($D9,SN_UGC,28,0),0),1)</f>
        <v>79307.657280400017</v>
      </c>
      <c r="X9" s="120">
        <f>$E9*'C2 - Funcionários #'!AX11*IF($C9="Operacional",IFERROR(VLOOKUP($D9,SN_UGC,28,0),0),1)</f>
        <v>79307.657280400017</v>
      </c>
      <c r="Y9" s="120">
        <f>$E9*'C2 - Funcionários #'!AY11*IF($C9="Operacional",IFERROR(VLOOKUP($D9,SN_UGC,28,0),0),1)</f>
        <v>79307.657280400017</v>
      </c>
      <c r="Z9" s="120">
        <f>$E9*'C2 - Funcionários #'!AZ11*IF($C9="Operacional",IFERROR(VLOOKUP($D9,SN_UGC,28,0),0),1)</f>
        <v>79307.657280400017</v>
      </c>
      <c r="AA9" s="120">
        <f>$E9*'C2 - Funcionários #'!BA11*IF($C9="Operacional",IFERROR(VLOOKUP($D9,SN_UGC,28,0),0),1)</f>
        <v>79307.657280400017</v>
      </c>
      <c r="AB9" s="120">
        <f>$E9*'C2 - Funcionários #'!BB11*IF($C9="Operacional",IFERROR(VLOOKUP($D9,SN_UGC,28,0),0),1)</f>
        <v>79307.657280400017</v>
      </c>
      <c r="AC9" s="120">
        <f>$E9*'C2 - Funcionários #'!BC11*IF($C9="Operacional",IFERROR(VLOOKUP($D9,SN_UGC,28,0),0),1)</f>
        <v>79307.657280400017</v>
      </c>
      <c r="AD9" s="120">
        <f>$E9*'C2 - Funcionários #'!BD11*IF($C9="Operacional",IFERROR(VLOOKUP($D9,SN_UGC,28,0),0),1)</f>
        <v>79307.657280400017</v>
      </c>
      <c r="AE9" s="120">
        <f>$E9*'C2 - Funcionários #'!BE11*IF($C9="Operacional",IFERROR(VLOOKUP($D9,SN_UGC,28,0),0),1)</f>
        <v>79307.657280400017</v>
      </c>
      <c r="AF9" s="120">
        <f>$E9*'C2 - Funcionários #'!BF11*IF($C9="Operacional",IFERROR(VLOOKUP($D9,SN_UGC,28,0),0),1)</f>
        <v>79307.657280400017</v>
      </c>
      <c r="AG9" s="120">
        <f>$E9*'C2 - Funcionários #'!BG11*IF($C9="Operacional",IFERROR(VLOOKUP($D9,SN_UGC,28,0),0),1)</f>
        <v>79307.657280400017</v>
      </c>
      <c r="AH9" s="120">
        <f>$E9*'C2 - Funcionários #'!BH11*IF($C9="Operacional",IFERROR(VLOOKUP($D9,SN_UGC,28,0),0),1)</f>
        <v>79307.657280400017</v>
      </c>
      <c r="AI9" s="120">
        <f>$E9*'C2 - Funcionários #'!BI11*IF($C9="Operacional",IFERROR(VLOOKUP($D9,SN_UGC,28,0),0),1)</f>
        <v>79307.657280400017</v>
      </c>
      <c r="AJ9" s="120">
        <f>$E9*'C2 - Funcionários #'!BJ11*IF($C9="Operacional",IFERROR(VLOOKUP($D9,SN_UGC,28,0),0),1)</f>
        <v>79307.657280400017</v>
      </c>
    </row>
    <row r="10" spans="1:36" ht="15.6">
      <c r="A10" s="521"/>
      <c r="B10" s="51" t="str">
        <f>'C1 - Cargos e Salários'!B11</f>
        <v>Atendente</v>
      </c>
      <c r="C10" s="51" t="str">
        <f>'C1 - Cargos e Salários'!C11</f>
        <v>Operacional</v>
      </c>
      <c r="D10" s="51" t="str">
        <f>'C1 - Cargos e Salários'!D11</f>
        <v>Árvore da Preguiça - Alimentação</v>
      </c>
      <c r="E10" s="118">
        <f>'C1 - Cargos e Salários'!K11</f>
        <v>39332.355994160011</v>
      </c>
      <c r="F10" s="119">
        <f>IF(C10="Operacional",IFERROR(VLOOKUP(D10,ReceitaPorTipo,COLUMN('A1 - Serviços e demanda'!$Z$17),0),0),100%)</f>
        <v>0</v>
      </c>
      <c r="G10" s="120">
        <f>E10*F10*'C2 - Funcionários #'!AG12*IF($C10="Operacional",IFERROR(VLOOKUP($D10,SN_UGC,28,0),0),1)</f>
        <v>0</v>
      </c>
      <c r="H10" s="120">
        <f>$E10*'C2 - Funcionários #'!AH12*IF($C10="Operacional",IFERROR(VLOOKUP($D10,SN_UGC,28,0),0),1)</f>
        <v>78664.711988320021</v>
      </c>
      <c r="I10" s="120">
        <f>$E10*'C2 - Funcionários #'!AI12*IF($C10="Operacional",IFERROR(VLOOKUP($D10,SN_UGC,28,0),0),1)</f>
        <v>78664.711988320021</v>
      </c>
      <c r="J10" s="120">
        <f>$E10*'C2 - Funcionários #'!AJ12*IF($C10="Operacional",IFERROR(VLOOKUP($D10,SN_UGC,28,0),0),1)</f>
        <v>78664.711988320021</v>
      </c>
      <c r="K10" s="120">
        <f>$E10*'C2 - Funcionários #'!AK12*IF($C10="Operacional",IFERROR(VLOOKUP($D10,SN_UGC,28,0),0),1)</f>
        <v>78664.711988320021</v>
      </c>
      <c r="L10" s="120">
        <f>$E10*'C2 - Funcionários #'!AL12*IF($C10="Operacional",IFERROR(VLOOKUP($D10,SN_UGC,28,0),0),1)</f>
        <v>78664.711988320021</v>
      </c>
      <c r="M10" s="120">
        <f>$E10*'C2 - Funcionários #'!AM12*IF($C10="Operacional",IFERROR(VLOOKUP($D10,SN_UGC,28,0),0),1)</f>
        <v>78664.711988320021</v>
      </c>
      <c r="N10" s="120">
        <f>$E10*'C2 - Funcionários #'!AN12*IF($C10="Operacional",IFERROR(VLOOKUP($D10,SN_UGC,28,0),0),1)</f>
        <v>78664.711988320021</v>
      </c>
      <c r="O10" s="120">
        <f>$E10*'C2 - Funcionários #'!AO12*IF($C10="Operacional",IFERROR(VLOOKUP($D10,SN_UGC,28,0),0),1)</f>
        <v>78664.711988320021</v>
      </c>
      <c r="P10" s="120">
        <f>$E10*'C2 - Funcionários #'!AP12*IF($C10="Operacional",IFERROR(VLOOKUP($D10,SN_UGC,28,0),0),1)</f>
        <v>78664.711988320021</v>
      </c>
      <c r="Q10" s="120">
        <f>$E10*'C2 - Funcionários #'!AQ12*IF($C10="Operacional",IFERROR(VLOOKUP($D10,SN_UGC,28,0),0),1)</f>
        <v>78664.711988320021</v>
      </c>
      <c r="R10" s="120">
        <f>$E10*'C2 - Funcionários #'!AR12*IF($C10="Operacional",IFERROR(VLOOKUP($D10,SN_UGC,28,0),0),1)</f>
        <v>78664.711988320021</v>
      </c>
      <c r="S10" s="120">
        <f>$E10*'C2 - Funcionários #'!AS12*IF($C10="Operacional",IFERROR(VLOOKUP($D10,SN_UGC,28,0),0),1)</f>
        <v>78664.711988320021</v>
      </c>
      <c r="T10" s="120">
        <f>$E10*'C2 - Funcionários #'!AT12*IF($C10="Operacional",IFERROR(VLOOKUP($D10,SN_UGC,28,0),0),1)</f>
        <v>78664.711988320021</v>
      </c>
      <c r="U10" s="120">
        <f>$E10*'C2 - Funcionários #'!AU12*IF($C10="Operacional",IFERROR(VLOOKUP($D10,SN_UGC,28,0),0),1)</f>
        <v>78664.711988320021</v>
      </c>
      <c r="V10" s="120">
        <f>$E10*'C2 - Funcionários #'!AV12*IF($C10="Operacional",IFERROR(VLOOKUP($D10,SN_UGC,28,0),0),1)</f>
        <v>78664.711988320021</v>
      </c>
      <c r="W10" s="120">
        <f>$E10*'C2 - Funcionários #'!AW12*IF($C10="Operacional",IFERROR(VLOOKUP($D10,SN_UGC,28,0),0),1)</f>
        <v>78664.711988320021</v>
      </c>
      <c r="X10" s="120">
        <f>$E10*'C2 - Funcionários #'!AX12*IF($C10="Operacional",IFERROR(VLOOKUP($D10,SN_UGC,28,0),0),1)</f>
        <v>78664.711988320021</v>
      </c>
      <c r="Y10" s="120">
        <f>$E10*'C2 - Funcionários #'!AY12*IF($C10="Operacional",IFERROR(VLOOKUP($D10,SN_UGC,28,0),0),1)</f>
        <v>78664.711988320021</v>
      </c>
      <c r="Z10" s="120">
        <f>$E10*'C2 - Funcionários #'!AZ12*IF($C10="Operacional",IFERROR(VLOOKUP($D10,SN_UGC,28,0),0),1)</f>
        <v>78664.711988320021</v>
      </c>
      <c r="AA10" s="120">
        <f>$E10*'C2 - Funcionários #'!BA12*IF($C10="Operacional",IFERROR(VLOOKUP($D10,SN_UGC,28,0),0),1)</f>
        <v>78664.711988320021</v>
      </c>
      <c r="AB10" s="120">
        <f>$E10*'C2 - Funcionários #'!BB12*IF($C10="Operacional",IFERROR(VLOOKUP($D10,SN_UGC,28,0),0),1)</f>
        <v>78664.711988320021</v>
      </c>
      <c r="AC10" s="120">
        <f>$E10*'C2 - Funcionários #'!BC12*IF($C10="Operacional",IFERROR(VLOOKUP($D10,SN_UGC,28,0),0),1)</f>
        <v>78664.711988320021</v>
      </c>
      <c r="AD10" s="120">
        <f>$E10*'C2 - Funcionários #'!BD12*IF($C10="Operacional",IFERROR(VLOOKUP($D10,SN_UGC,28,0),0),1)</f>
        <v>78664.711988320021</v>
      </c>
      <c r="AE10" s="120">
        <f>$E10*'C2 - Funcionários #'!BE12*IF($C10="Operacional",IFERROR(VLOOKUP($D10,SN_UGC,28,0),0),1)</f>
        <v>78664.711988320021</v>
      </c>
      <c r="AF10" s="120">
        <f>$E10*'C2 - Funcionários #'!BF12*IF($C10="Operacional",IFERROR(VLOOKUP($D10,SN_UGC,28,0),0),1)</f>
        <v>78664.711988320021</v>
      </c>
      <c r="AG10" s="120">
        <f>$E10*'C2 - Funcionários #'!BG12*IF($C10="Operacional",IFERROR(VLOOKUP($D10,SN_UGC,28,0),0),1)</f>
        <v>78664.711988320021</v>
      </c>
      <c r="AH10" s="120">
        <f>$E10*'C2 - Funcionários #'!BH12*IF($C10="Operacional",IFERROR(VLOOKUP($D10,SN_UGC,28,0),0),1)</f>
        <v>78664.711988320021</v>
      </c>
      <c r="AI10" s="120">
        <f>$E10*'C2 - Funcionários #'!BI12*IF($C10="Operacional",IFERROR(VLOOKUP($D10,SN_UGC,28,0),0),1)</f>
        <v>78664.711988320021</v>
      </c>
      <c r="AJ10" s="120">
        <f>$E10*'C2 - Funcionários #'!BJ12*IF($C10="Operacional",IFERROR(VLOOKUP($D10,SN_UGC,28,0),0),1)</f>
        <v>78664.711988320021</v>
      </c>
    </row>
    <row r="11" spans="1:36" ht="15.6">
      <c r="A11" s="521"/>
      <c r="B11" s="51" t="str">
        <f>'C1 - Cargos e Salários'!B12</f>
        <v>Caixa</v>
      </c>
      <c r="C11" s="51" t="str">
        <f>'C1 - Cargos e Salários'!C12</f>
        <v>Operacional</v>
      </c>
      <c r="D11" s="51" t="str">
        <f>'C1 - Cargos e Salários'!D12</f>
        <v>Árvore da Preguiça - Comércio</v>
      </c>
      <c r="E11" s="118">
        <f>'C1 - Cargos e Salários'!K12</f>
        <v>39653.828640200009</v>
      </c>
      <c r="F11" s="119">
        <f>IF(C11="Operacional",IFERROR(VLOOKUP(D11,ReceitaPorTipo,COLUMN('A1 - Serviços e demanda'!$Z$17),0),0),100%)</f>
        <v>0</v>
      </c>
      <c r="G11" s="120">
        <f>E11*F11*'C2 - Funcionários #'!AG13*IF($C11="Operacional",IFERROR(VLOOKUP($D11,SN_UGC,28,0),0),1)</f>
        <v>0</v>
      </c>
      <c r="H11" s="120">
        <f>$E11*'C2 - Funcionários #'!AH13*IF($C11="Operacional",IFERROR(VLOOKUP($D11,SN_UGC,28,0),0),1)</f>
        <v>39653.828640200009</v>
      </c>
      <c r="I11" s="120">
        <f>$E11*'C2 - Funcionários #'!AI13*IF($C11="Operacional",IFERROR(VLOOKUP($D11,SN_UGC,28,0),0),1)</f>
        <v>39653.828640200009</v>
      </c>
      <c r="J11" s="120">
        <f>$E11*'C2 - Funcionários #'!AJ13*IF($C11="Operacional",IFERROR(VLOOKUP($D11,SN_UGC,28,0),0),1)</f>
        <v>39653.828640200009</v>
      </c>
      <c r="K11" s="120">
        <f>$E11*'C2 - Funcionários #'!AK13*IF($C11="Operacional",IFERROR(VLOOKUP($D11,SN_UGC,28,0),0),1)</f>
        <v>39653.828640200009</v>
      </c>
      <c r="L11" s="120">
        <f>$E11*'C2 - Funcionários #'!AL13*IF($C11="Operacional",IFERROR(VLOOKUP($D11,SN_UGC,28,0),0),1)</f>
        <v>39653.828640200009</v>
      </c>
      <c r="M11" s="120">
        <f>$E11*'C2 - Funcionários #'!AM13*IF($C11="Operacional",IFERROR(VLOOKUP($D11,SN_UGC,28,0),0),1)</f>
        <v>39653.828640200009</v>
      </c>
      <c r="N11" s="120">
        <f>$E11*'C2 - Funcionários #'!AN13*IF($C11="Operacional",IFERROR(VLOOKUP($D11,SN_UGC,28,0),0),1)</f>
        <v>39653.828640200009</v>
      </c>
      <c r="O11" s="120">
        <f>$E11*'C2 - Funcionários #'!AO13*IF($C11="Operacional",IFERROR(VLOOKUP($D11,SN_UGC,28,0),0),1)</f>
        <v>39653.828640200009</v>
      </c>
      <c r="P11" s="120">
        <f>$E11*'C2 - Funcionários #'!AP13*IF($C11="Operacional",IFERROR(VLOOKUP($D11,SN_UGC,28,0),0),1)</f>
        <v>39653.828640200009</v>
      </c>
      <c r="Q11" s="120">
        <f>$E11*'C2 - Funcionários #'!AQ13*IF($C11="Operacional",IFERROR(VLOOKUP($D11,SN_UGC,28,0),0),1)</f>
        <v>39653.828640200009</v>
      </c>
      <c r="R11" s="120">
        <f>$E11*'C2 - Funcionários #'!AR13*IF($C11="Operacional",IFERROR(VLOOKUP($D11,SN_UGC,28,0),0),1)</f>
        <v>39653.828640200009</v>
      </c>
      <c r="S11" s="120">
        <f>$E11*'C2 - Funcionários #'!AS13*IF($C11="Operacional",IFERROR(VLOOKUP($D11,SN_UGC,28,0),0),1)</f>
        <v>39653.828640200009</v>
      </c>
      <c r="T11" s="120">
        <f>$E11*'C2 - Funcionários #'!AT13*IF($C11="Operacional",IFERROR(VLOOKUP($D11,SN_UGC,28,0),0),1)</f>
        <v>39653.828640200009</v>
      </c>
      <c r="U11" s="120">
        <f>$E11*'C2 - Funcionários #'!AU13*IF($C11="Operacional",IFERROR(VLOOKUP($D11,SN_UGC,28,0),0),1)</f>
        <v>39653.828640200009</v>
      </c>
      <c r="V11" s="120">
        <f>$E11*'C2 - Funcionários #'!AV13*IF($C11="Operacional",IFERROR(VLOOKUP($D11,SN_UGC,28,0),0),1)</f>
        <v>39653.828640200009</v>
      </c>
      <c r="W11" s="120">
        <f>$E11*'C2 - Funcionários #'!AW13*IF($C11="Operacional",IFERROR(VLOOKUP($D11,SN_UGC,28,0),0),1)</f>
        <v>39653.828640200009</v>
      </c>
      <c r="X11" s="120">
        <f>$E11*'C2 - Funcionários #'!AX13*IF($C11="Operacional",IFERROR(VLOOKUP($D11,SN_UGC,28,0),0),1)</f>
        <v>39653.828640200009</v>
      </c>
      <c r="Y11" s="120">
        <f>$E11*'C2 - Funcionários #'!AY13*IF($C11="Operacional",IFERROR(VLOOKUP($D11,SN_UGC,28,0),0),1)</f>
        <v>39653.828640200009</v>
      </c>
      <c r="Z11" s="120">
        <f>$E11*'C2 - Funcionários #'!AZ13*IF($C11="Operacional",IFERROR(VLOOKUP($D11,SN_UGC,28,0),0),1)</f>
        <v>39653.828640200009</v>
      </c>
      <c r="AA11" s="120">
        <f>$E11*'C2 - Funcionários #'!BA13*IF($C11="Operacional",IFERROR(VLOOKUP($D11,SN_UGC,28,0),0),1)</f>
        <v>39653.828640200009</v>
      </c>
      <c r="AB11" s="120">
        <f>$E11*'C2 - Funcionários #'!BB13*IF($C11="Operacional",IFERROR(VLOOKUP($D11,SN_UGC,28,0),0),1)</f>
        <v>39653.828640200009</v>
      </c>
      <c r="AC11" s="120">
        <f>$E11*'C2 - Funcionários #'!BC13*IF($C11="Operacional",IFERROR(VLOOKUP($D11,SN_UGC,28,0),0),1)</f>
        <v>39653.828640200009</v>
      </c>
      <c r="AD11" s="120">
        <f>$E11*'C2 - Funcionários #'!BD13*IF($C11="Operacional",IFERROR(VLOOKUP($D11,SN_UGC,28,0),0),1)</f>
        <v>39653.828640200009</v>
      </c>
      <c r="AE11" s="120">
        <f>$E11*'C2 - Funcionários #'!BE13*IF($C11="Operacional",IFERROR(VLOOKUP($D11,SN_UGC,28,0),0),1)</f>
        <v>39653.828640200009</v>
      </c>
      <c r="AF11" s="120">
        <f>$E11*'C2 - Funcionários #'!BF13*IF($C11="Operacional",IFERROR(VLOOKUP($D11,SN_UGC,28,0),0),1)</f>
        <v>39653.828640200009</v>
      </c>
      <c r="AG11" s="120">
        <f>$E11*'C2 - Funcionários #'!BG13*IF($C11="Operacional",IFERROR(VLOOKUP($D11,SN_UGC,28,0),0),1)</f>
        <v>39653.828640200009</v>
      </c>
      <c r="AH11" s="120">
        <f>$E11*'C2 - Funcionários #'!BH13*IF($C11="Operacional",IFERROR(VLOOKUP($D11,SN_UGC,28,0),0),1)</f>
        <v>39653.828640200009</v>
      </c>
      <c r="AI11" s="120">
        <f>$E11*'C2 - Funcionários #'!BI13*IF($C11="Operacional",IFERROR(VLOOKUP($D11,SN_UGC,28,0),0),1)</f>
        <v>39653.828640200009</v>
      </c>
      <c r="AJ11" s="120">
        <f>$E11*'C2 - Funcionários #'!BJ13*IF($C11="Operacional",IFERROR(VLOOKUP($D11,SN_UGC,28,0),0),1)</f>
        <v>39653.828640200009</v>
      </c>
    </row>
    <row r="12" spans="1:36" ht="15.6">
      <c r="A12" s="521"/>
      <c r="B12" s="51" t="str">
        <f>'C1 - Cargos e Salários'!B13</f>
        <v>Atendente</v>
      </c>
      <c r="C12" s="51" t="str">
        <f>'C1 - Cargos e Salários'!C13</f>
        <v>Operacional</v>
      </c>
      <c r="D12" s="51" t="str">
        <f>'C1 - Cargos e Salários'!D13</f>
        <v>Árvore da Preguiça - Comércio</v>
      </c>
      <c r="E12" s="118">
        <f>'C1 - Cargos e Salários'!K13</f>
        <v>39332.355994160011</v>
      </c>
      <c r="F12" s="119">
        <f>IF(C12="Operacional",IFERROR(VLOOKUP(D12,ReceitaPorTipo,COLUMN('A1 - Serviços e demanda'!$Z$17),0),0),100%)</f>
        <v>0</v>
      </c>
      <c r="G12" s="120">
        <f>E12*F12*'C2 - Funcionários #'!AG14*IF($C12="Operacional",IFERROR(VLOOKUP($D12,SN_UGC,28,0),0),1)</f>
        <v>0</v>
      </c>
      <c r="H12" s="120">
        <f>$E12*'C2 - Funcionários #'!AH14*IF($C12="Operacional",IFERROR(VLOOKUP($D12,SN_UGC,28,0),0),1)</f>
        <v>78664.711988320021</v>
      </c>
      <c r="I12" s="120">
        <f>$E12*'C2 - Funcionários #'!AI14*IF($C12="Operacional",IFERROR(VLOOKUP($D12,SN_UGC,28,0),0),1)</f>
        <v>78664.711988320021</v>
      </c>
      <c r="J12" s="120">
        <f>$E12*'C2 - Funcionários #'!AJ14*IF($C12="Operacional",IFERROR(VLOOKUP($D12,SN_UGC,28,0),0),1)</f>
        <v>78664.711988320021</v>
      </c>
      <c r="K12" s="120">
        <f>$E12*'C2 - Funcionários #'!AK14*IF($C12="Operacional",IFERROR(VLOOKUP($D12,SN_UGC,28,0),0),1)</f>
        <v>78664.711988320021</v>
      </c>
      <c r="L12" s="120">
        <f>$E12*'C2 - Funcionários #'!AL14*IF($C12="Operacional",IFERROR(VLOOKUP($D12,SN_UGC,28,0),0),1)</f>
        <v>78664.711988320021</v>
      </c>
      <c r="M12" s="120">
        <f>$E12*'C2 - Funcionários #'!AM14*IF($C12="Operacional",IFERROR(VLOOKUP($D12,SN_UGC,28,0),0),1)</f>
        <v>78664.711988320021</v>
      </c>
      <c r="N12" s="120">
        <f>$E12*'C2 - Funcionários #'!AN14*IF($C12="Operacional",IFERROR(VLOOKUP($D12,SN_UGC,28,0),0),1)</f>
        <v>78664.711988320021</v>
      </c>
      <c r="O12" s="120">
        <f>$E12*'C2 - Funcionários #'!AO14*IF($C12="Operacional",IFERROR(VLOOKUP($D12,SN_UGC,28,0),0),1)</f>
        <v>78664.711988320021</v>
      </c>
      <c r="P12" s="120">
        <f>$E12*'C2 - Funcionários #'!AP14*IF($C12="Operacional",IFERROR(VLOOKUP($D12,SN_UGC,28,0),0),1)</f>
        <v>78664.711988320021</v>
      </c>
      <c r="Q12" s="120">
        <f>$E12*'C2 - Funcionários #'!AQ14*IF($C12="Operacional",IFERROR(VLOOKUP($D12,SN_UGC,28,0),0),1)</f>
        <v>78664.711988320021</v>
      </c>
      <c r="R12" s="120">
        <f>$E12*'C2 - Funcionários #'!AR14*IF($C12="Operacional",IFERROR(VLOOKUP($D12,SN_UGC,28,0),0),1)</f>
        <v>78664.711988320021</v>
      </c>
      <c r="S12" s="120">
        <f>$E12*'C2 - Funcionários #'!AS14*IF($C12="Operacional",IFERROR(VLOOKUP($D12,SN_UGC,28,0),0),1)</f>
        <v>78664.711988320021</v>
      </c>
      <c r="T12" s="120">
        <f>$E12*'C2 - Funcionários #'!AT14*IF($C12="Operacional",IFERROR(VLOOKUP($D12,SN_UGC,28,0),0),1)</f>
        <v>78664.711988320021</v>
      </c>
      <c r="U12" s="120">
        <f>$E12*'C2 - Funcionários #'!AU14*IF($C12="Operacional",IFERROR(VLOOKUP($D12,SN_UGC,28,0),0),1)</f>
        <v>78664.711988320021</v>
      </c>
      <c r="V12" s="120">
        <f>$E12*'C2 - Funcionários #'!AV14*IF($C12="Operacional",IFERROR(VLOOKUP($D12,SN_UGC,28,0),0),1)</f>
        <v>78664.711988320021</v>
      </c>
      <c r="W12" s="120">
        <f>$E12*'C2 - Funcionários #'!AW14*IF($C12="Operacional",IFERROR(VLOOKUP($D12,SN_UGC,28,0),0),1)</f>
        <v>78664.711988320021</v>
      </c>
      <c r="X12" s="120">
        <f>$E12*'C2 - Funcionários #'!AX14*IF($C12="Operacional",IFERROR(VLOOKUP($D12,SN_UGC,28,0),0),1)</f>
        <v>78664.711988320021</v>
      </c>
      <c r="Y12" s="120">
        <f>$E12*'C2 - Funcionários #'!AY14*IF($C12="Operacional",IFERROR(VLOOKUP($D12,SN_UGC,28,0),0),1)</f>
        <v>78664.711988320021</v>
      </c>
      <c r="Z12" s="120">
        <f>$E12*'C2 - Funcionários #'!AZ14*IF($C12="Operacional",IFERROR(VLOOKUP($D12,SN_UGC,28,0),0),1)</f>
        <v>78664.711988320021</v>
      </c>
      <c r="AA12" s="120">
        <f>$E12*'C2 - Funcionários #'!BA14*IF($C12="Operacional",IFERROR(VLOOKUP($D12,SN_UGC,28,0),0),1)</f>
        <v>78664.711988320021</v>
      </c>
      <c r="AB12" s="120">
        <f>$E12*'C2 - Funcionários #'!BB14*IF($C12="Operacional",IFERROR(VLOOKUP($D12,SN_UGC,28,0),0),1)</f>
        <v>78664.711988320021</v>
      </c>
      <c r="AC12" s="120">
        <f>$E12*'C2 - Funcionários #'!BC14*IF($C12="Operacional",IFERROR(VLOOKUP($D12,SN_UGC,28,0),0),1)</f>
        <v>78664.711988320021</v>
      </c>
      <c r="AD12" s="120">
        <f>$E12*'C2 - Funcionários #'!BD14*IF($C12="Operacional",IFERROR(VLOOKUP($D12,SN_UGC,28,0),0),1)</f>
        <v>78664.711988320021</v>
      </c>
      <c r="AE12" s="120">
        <f>$E12*'C2 - Funcionários #'!BE14*IF($C12="Operacional",IFERROR(VLOOKUP($D12,SN_UGC,28,0),0),1)</f>
        <v>78664.711988320021</v>
      </c>
      <c r="AF12" s="120">
        <f>$E12*'C2 - Funcionários #'!BF14*IF($C12="Operacional",IFERROR(VLOOKUP($D12,SN_UGC,28,0),0),1)</f>
        <v>78664.711988320021</v>
      </c>
      <c r="AG12" s="120">
        <f>$E12*'C2 - Funcionários #'!BG14*IF($C12="Operacional",IFERROR(VLOOKUP($D12,SN_UGC,28,0),0),1)</f>
        <v>78664.711988320021</v>
      </c>
      <c r="AH12" s="120">
        <f>$E12*'C2 - Funcionários #'!BH14*IF($C12="Operacional",IFERROR(VLOOKUP($D12,SN_UGC,28,0),0),1)</f>
        <v>78664.711988320021</v>
      </c>
      <c r="AI12" s="120">
        <f>$E12*'C2 - Funcionários #'!BI14*IF($C12="Operacional",IFERROR(VLOOKUP($D12,SN_UGC,28,0),0),1)</f>
        <v>78664.711988320021</v>
      </c>
      <c r="AJ12" s="120">
        <f>$E12*'C2 - Funcionários #'!BJ14*IF($C12="Operacional",IFERROR(VLOOKUP($D12,SN_UGC,28,0),0),1)</f>
        <v>78664.711988320021</v>
      </c>
    </row>
    <row r="13" spans="1:36" ht="15.6">
      <c r="A13" s="521"/>
      <c r="B13" s="51" t="str">
        <f>'C1 - Cargos e Salários'!B14</f>
        <v>Atendente</v>
      </c>
      <c r="C13" s="51" t="str">
        <f>'C1 - Cargos e Salários'!C14</f>
        <v>Operacional</v>
      </c>
      <c r="D13" s="51" t="str">
        <f>'C1 - Cargos e Salários'!D14</f>
        <v>Geral - Unidade móvel - Alimentação</v>
      </c>
      <c r="E13" s="118">
        <f>'C1 - Cargos e Salários'!K14</f>
        <v>39650.11850104</v>
      </c>
      <c r="F13" s="119">
        <f>IF(C13="Operacional",IFERROR(VLOOKUP(D13,ReceitaPorTipo,COLUMN('A1 - Serviços e demanda'!$Z$17),0),0),100%)</f>
        <v>0</v>
      </c>
      <c r="G13" s="120">
        <f>E13*F13*'C2 - Funcionários #'!AG15*IF($C13="Operacional",IFERROR(VLOOKUP($D13,SN_UGC,28,0),0),1)</f>
        <v>0</v>
      </c>
      <c r="H13" s="120">
        <f>$E13*'C2 - Funcionários #'!AH15*IF($C13="Operacional",IFERROR(VLOOKUP($D13,SN_UGC,28,0),0),1)</f>
        <v>118950.35550311999</v>
      </c>
      <c r="I13" s="120">
        <f>$E13*'C2 - Funcionários #'!AI15*IF($C13="Operacional",IFERROR(VLOOKUP($D13,SN_UGC,28,0),0),1)</f>
        <v>118950.35550311999</v>
      </c>
      <c r="J13" s="120">
        <f>$E13*'C2 - Funcionários #'!AJ15*IF($C13="Operacional",IFERROR(VLOOKUP($D13,SN_UGC,28,0),0),1)</f>
        <v>118950.35550311999</v>
      </c>
      <c r="K13" s="120">
        <f>$E13*'C2 - Funcionários #'!AK15*IF($C13="Operacional",IFERROR(VLOOKUP($D13,SN_UGC,28,0),0),1)</f>
        <v>118950.35550311999</v>
      </c>
      <c r="L13" s="120">
        <f>$E13*'C2 - Funcionários #'!AL15*IF($C13="Operacional",IFERROR(VLOOKUP($D13,SN_UGC,28,0),0),1)</f>
        <v>118950.35550311999</v>
      </c>
      <c r="M13" s="120">
        <f>$E13*'C2 - Funcionários #'!AM15*IF($C13="Operacional",IFERROR(VLOOKUP($D13,SN_UGC,28,0),0),1)</f>
        <v>118950.35550311999</v>
      </c>
      <c r="N13" s="120">
        <f>$E13*'C2 - Funcionários #'!AN15*IF($C13="Operacional",IFERROR(VLOOKUP($D13,SN_UGC,28,0),0),1)</f>
        <v>118950.35550311999</v>
      </c>
      <c r="O13" s="120">
        <f>$E13*'C2 - Funcionários #'!AO15*IF($C13="Operacional",IFERROR(VLOOKUP($D13,SN_UGC,28,0),0),1)</f>
        <v>118950.35550311999</v>
      </c>
      <c r="P13" s="120">
        <f>$E13*'C2 - Funcionários #'!AP15*IF($C13="Operacional",IFERROR(VLOOKUP($D13,SN_UGC,28,0),0),1)</f>
        <v>118950.35550311999</v>
      </c>
      <c r="Q13" s="120">
        <f>$E13*'C2 - Funcionários #'!AQ15*IF($C13="Operacional",IFERROR(VLOOKUP($D13,SN_UGC,28,0),0),1)</f>
        <v>118950.35550311999</v>
      </c>
      <c r="R13" s="120">
        <f>$E13*'C2 - Funcionários #'!AR15*IF($C13="Operacional",IFERROR(VLOOKUP($D13,SN_UGC,28,0),0),1)</f>
        <v>118950.35550311999</v>
      </c>
      <c r="S13" s="120">
        <f>$E13*'C2 - Funcionários #'!AS15*IF($C13="Operacional",IFERROR(VLOOKUP($D13,SN_UGC,28,0),0),1)</f>
        <v>118950.35550311999</v>
      </c>
      <c r="T13" s="120">
        <f>$E13*'C2 - Funcionários #'!AT15*IF($C13="Operacional",IFERROR(VLOOKUP($D13,SN_UGC,28,0),0),1)</f>
        <v>118950.35550311999</v>
      </c>
      <c r="U13" s="120">
        <f>$E13*'C2 - Funcionários #'!AU15*IF($C13="Operacional",IFERROR(VLOOKUP($D13,SN_UGC,28,0),0),1)</f>
        <v>118950.35550311999</v>
      </c>
      <c r="V13" s="120">
        <f>$E13*'C2 - Funcionários #'!AV15*IF($C13="Operacional",IFERROR(VLOOKUP($D13,SN_UGC,28,0),0),1)</f>
        <v>118950.35550311999</v>
      </c>
      <c r="W13" s="120">
        <f>$E13*'C2 - Funcionários #'!AW15*IF($C13="Operacional",IFERROR(VLOOKUP($D13,SN_UGC,28,0),0),1)</f>
        <v>118950.35550311999</v>
      </c>
      <c r="X13" s="120">
        <f>$E13*'C2 - Funcionários #'!AX15*IF($C13="Operacional",IFERROR(VLOOKUP($D13,SN_UGC,28,0),0),1)</f>
        <v>118950.35550311999</v>
      </c>
      <c r="Y13" s="120">
        <f>$E13*'C2 - Funcionários #'!AY15*IF($C13="Operacional",IFERROR(VLOOKUP($D13,SN_UGC,28,0),0),1)</f>
        <v>118950.35550311999</v>
      </c>
      <c r="Z13" s="120">
        <f>$E13*'C2 - Funcionários #'!AZ15*IF($C13="Operacional",IFERROR(VLOOKUP($D13,SN_UGC,28,0),0),1)</f>
        <v>118950.35550311999</v>
      </c>
      <c r="AA13" s="120">
        <f>$E13*'C2 - Funcionários #'!BA15*IF($C13="Operacional",IFERROR(VLOOKUP($D13,SN_UGC,28,0),0),1)</f>
        <v>118950.35550311999</v>
      </c>
      <c r="AB13" s="120">
        <f>$E13*'C2 - Funcionários #'!BB15*IF($C13="Operacional",IFERROR(VLOOKUP($D13,SN_UGC,28,0),0),1)</f>
        <v>118950.35550311999</v>
      </c>
      <c r="AC13" s="120">
        <f>$E13*'C2 - Funcionários #'!BC15*IF($C13="Operacional",IFERROR(VLOOKUP($D13,SN_UGC,28,0),0),1)</f>
        <v>118950.35550311999</v>
      </c>
      <c r="AD13" s="120">
        <f>$E13*'C2 - Funcionários #'!BD15*IF($C13="Operacional",IFERROR(VLOOKUP($D13,SN_UGC,28,0),0),1)</f>
        <v>118950.35550311999</v>
      </c>
      <c r="AE13" s="120">
        <f>$E13*'C2 - Funcionários #'!BE15*IF($C13="Operacional",IFERROR(VLOOKUP($D13,SN_UGC,28,0),0),1)</f>
        <v>118950.35550311999</v>
      </c>
      <c r="AF13" s="120">
        <f>$E13*'C2 - Funcionários #'!BF15*IF($C13="Operacional",IFERROR(VLOOKUP($D13,SN_UGC,28,0),0),1)</f>
        <v>118950.35550311999</v>
      </c>
      <c r="AG13" s="120">
        <f>$E13*'C2 - Funcionários #'!BG15*IF($C13="Operacional",IFERROR(VLOOKUP($D13,SN_UGC,28,0),0),1)</f>
        <v>118950.35550311999</v>
      </c>
      <c r="AH13" s="120">
        <f>$E13*'C2 - Funcionários #'!BH15*IF($C13="Operacional",IFERROR(VLOOKUP($D13,SN_UGC,28,0),0),1)</f>
        <v>118950.35550311999</v>
      </c>
      <c r="AI13" s="120">
        <f>$E13*'C2 - Funcionários #'!BI15*IF($C13="Operacional",IFERROR(VLOOKUP($D13,SN_UGC,28,0),0),1)</f>
        <v>118950.35550311999</v>
      </c>
      <c r="AJ13" s="120">
        <f>$E13*'C2 - Funcionários #'!BJ15*IF($C13="Operacional",IFERROR(VLOOKUP($D13,SN_UGC,28,0),0),1)</f>
        <v>118950.35550311999</v>
      </c>
    </row>
    <row r="14" spans="1:36" ht="15.6">
      <c r="A14" s="521"/>
      <c r="B14" s="51" t="str">
        <f>'C1 - Cargos e Salários'!B15</f>
        <v>Motorista</v>
      </c>
      <c r="C14" s="51" t="str">
        <f>'C1 - Cargos e Salários'!C15</f>
        <v>Operacional</v>
      </c>
      <c r="D14" s="51" t="str">
        <f>'C1 - Cargos e Salários'!D15</f>
        <v>Geral - Unidade móvel - Alimentação</v>
      </c>
      <c r="E14" s="118">
        <f>'C1 - Cargos e Salários'!K15</f>
        <v>44146.807162960002</v>
      </c>
      <c r="F14" s="119">
        <f>IF(C14="Operacional",IFERROR(VLOOKUP(D14,ReceitaPorTipo,COLUMN('A1 - Serviços e demanda'!$Z$17),0),0),100%)</f>
        <v>0</v>
      </c>
      <c r="G14" s="120">
        <f>E14*F14*'C2 - Funcionários #'!AG16*IF($C14="Operacional",IFERROR(VLOOKUP($D14,SN_UGC,28,0),0),1)</f>
        <v>0</v>
      </c>
      <c r="H14" s="120">
        <f>$E14*'C2 - Funcionários #'!AH16*IF($C14="Operacional",IFERROR(VLOOKUP($D14,SN_UGC,28,0),0),1)</f>
        <v>132440.42148888001</v>
      </c>
      <c r="I14" s="120">
        <f>$E14*'C2 - Funcionários #'!AI16*IF($C14="Operacional",IFERROR(VLOOKUP($D14,SN_UGC,28,0),0),1)</f>
        <v>132440.42148888001</v>
      </c>
      <c r="J14" s="120">
        <f>$E14*'C2 - Funcionários #'!AJ16*IF($C14="Operacional",IFERROR(VLOOKUP($D14,SN_UGC,28,0),0),1)</f>
        <v>132440.42148888001</v>
      </c>
      <c r="K14" s="120">
        <f>$E14*'C2 - Funcionários #'!AK16*IF($C14="Operacional",IFERROR(VLOOKUP($D14,SN_UGC,28,0),0),1)</f>
        <v>132440.42148888001</v>
      </c>
      <c r="L14" s="120">
        <f>$E14*'C2 - Funcionários #'!AL16*IF($C14="Operacional",IFERROR(VLOOKUP($D14,SN_UGC,28,0),0),1)</f>
        <v>132440.42148888001</v>
      </c>
      <c r="M14" s="120">
        <f>$E14*'C2 - Funcionários #'!AM16*IF($C14="Operacional",IFERROR(VLOOKUP($D14,SN_UGC,28,0),0),1)</f>
        <v>132440.42148888001</v>
      </c>
      <c r="N14" s="120">
        <f>$E14*'C2 - Funcionários #'!AN16*IF($C14="Operacional",IFERROR(VLOOKUP($D14,SN_UGC,28,0),0),1)</f>
        <v>132440.42148888001</v>
      </c>
      <c r="O14" s="120">
        <f>$E14*'C2 - Funcionários #'!AO16*IF($C14="Operacional",IFERROR(VLOOKUP($D14,SN_UGC,28,0),0),1)</f>
        <v>132440.42148888001</v>
      </c>
      <c r="P14" s="120">
        <f>$E14*'C2 - Funcionários #'!AP16*IF($C14="Operacional",IFERROR(VLOOKUP($D14,SN_UGC,28,0),0),1)</f>
        <v>132440.42148888001</v>
      </c>
      <c r="Q14" s="120">
        <f>$E14*'C2 - Funcionários #'!AQ16*IF($C14="Operacional",IFERROR(VLOOKUP($D14,SN_UGC,28,0),0),1)</f>
        <v>132440.42148888001</v>
      </c>
      <c r="R14" s="120">
        <f>$E14*'C2 - Funcionários #'!AR16*IF($C14="Operacional",IFERROR(VLOOKUP($D14,SN_UGC,28,0),0),1)</f>
        <v>132440.42148888001</v>
      </c>
      <c r="S14" s="120">
        <f>$E14*'C2 - Funcionários #'!AS16*IF($C14="Operacional",IFERROR(VLOOKUP($D14,SN_UGC,28,0),0),1)</f>
        <v>132440.42148888001</v>
      </c>
      <c r="T14" s="120">
        <f>$E14*'C2 - Funcionários #'!AT16*IF($C14="Operacional",IFERROR(VLOOKUP($D14,SN_UGC,28,0),0),1)</f>
        <v>132440.42148888001</v>
      </c>
      <c r="U14" s="120">
        <f>$E14*'C2 - Funcionários #'!AU16*IF($C14="Operacional",IFERROR(VLOOKUP($D14,SN_UGC,28,0),0),1)</f>
        <v>132440.42148888001</v>
      </c>
      <c r="V14" s="120">
        <f>$E14*'C2 - Funcionários #'!AV16*IF($C14="Operacional",IFERROR(VLOOKUP($D14,SN_UGC,28,0),0),1)</f>
        <v>132440.42148888001</v>
      </c>
      <c r="W14" s="120">
        <f>$E14*'C2 - Funcionários #'!AW16*IF($C14="Operacional",IFERROR(VLOOKUP($D14,SN_UGC,28,0),0),1)</f>
        <v>132440.42148888001</v>
      </c>
      <c r="X14" s="120">
        <f>$E14*'C2 - Funcionários #'!AX16*IF($C14="Operacional",IFERROR(VLOOKUP($D14,SN_UGC,28,0),0),1)</f>
        <v>132440.42148888001</v>
      </c>
      <c r="Y14" s="120">
        <f>$E14*'C2 - Funcionários #'!AY16*IF($C14="Operacional",IFERROR(VLOOKUP($D14,SN_UGC,28,0),0),1)</f>
        <v>132440.42148888001</v>
      </c>
      <c r="Z14" s="120">
        <f>$E14*'C2 - Funcionários #'!AZ16*IF($C14="Operacional",IFERROR(VLOOKUP($D14,SN_UGC,28,0),0),1)</f>
        <v>132440.42148888001</v>
      </c>
      <c r="AA14" s="120">
        <f>$E14*'C2 - Funcionários #'!BA16*IF($C14="Operacional",IFERROR(VLOOKUP($D14,SN_UGC,28,0),0),1)</f>
        <v>132440.42148888001</v>
      </c>
      <c r="AB14" s="120">
        <f>$E14*'C2 - Funcionários #'!BB16*IF($C14="Operacional",IFERROR(VLOOKUP($D14,SN_UGC,28,0),0),1)</f>
        <v>132440.42148888001</v>
      </c>
      <c r="AC14" s="120">
        <f>$E14*'C2 - Funcionários #'!BC16*IF($C14="Operacional",IFERROR(VLOOKUP($D14,SN_UGC,28,0),0),1)</f>
        <v>132440.42148888001</v>
      </c>
      <c r="AD14" s="120">
        <f>$E14*'C2 - Funcionários #'!BD16*IF($C14="Operacional",IFERROR(VLOOKUP($D14,SN_UGC,28,0),0),1)</f>
        <v>132440.42148888001</v>
      </c>
      <c r="AE14" s="120">
        <f>$E14*'C2 - Funcionários #'!BE16*IF($C14="Operacional",IFERROR(VLOOKUP($D14,SN_UGC,28,0),0),1)</f>
        <v>132440.42148888001</v>
      </c>
      <c r="AF14" s="120">
        <f>$E14*'C2 - Funcionários #'!BF16*IF($C14="Operacional",IFERROR(VLOOKUP($D14,SN_UGC,28,0),0),1)</f>
        <v>132440.42148888001</v>
      </c>
      <c r="AG14" s="120">
        <f>$E14*'C2 - Funcionários #'!BG16*IF($C14="Operacional",IFERROR(VLOOKUP($D14,SN_UGC,28,0),0),1)</f>
        <v>132440.42148888001</v>
      </c>
      <c r="AH14" s="120">
        <f>$E14*'C2 - Funcionários #'!BH16*IF($C14="Operacional",IFERROR(VLOOKUP($D14,SN_UGC,28,0),0),1)</f>
        <v>132440.42148888001</v>
      </c>
      <c r="AI14" s="120">
        <f>$E14*'C2 - Funcionários #'!BI16*IF($C14="Operacional",IFERROR(VLOOKUP($D14,SN_UGC,28,0),0),1)</f>
        <v>132440.42148888001</v>
      </c>
      <c r="AJ14" s="120">
        <f>$E14*'C2 - Funcionários #'!BJ16*IF($C14="Operacional",IFERROR(VLOOKUP($D14,SN_UGC,28,0),0),1)</f>
        <v>132440.42148888001</v>
      </c>
    </row>
    <row r="15" spans="1:36" ht="15.6">
      <c r="A15" s="521"/>
      <c r="B15" s="51" t="str">
        <f>'C1 - Cargos e Salários'!B16</f>
        <v>Recepcionista bilíngue</v>
      </c>
      <c r="C15" s="51" t="str">
        <f>'C1 - Cargos e Salários'!C16</f>
        <v>Operacional</v>
      </c>
      <c r="D15" s="51" t="str">
        <f>'C1 - Cargos e Salários'!D16</f>
        <v>Ingresso</v>
      </c>
      <c r="E15" s="118">
        <f>'C1 - Cargos e Salários'!K16</f>
        <v>40284.770540880003</v>
      </c>
      <c r="F15" s="119">
        <f>IF(C15="Operacional",IFERROR(VLOOKUP(D15,ReceitaPorTipo,COLUMN('A1 - Serviços e demanda'!$Z$17),0),0),100%)</f>
        <v>0.5</v>
      </c>
      <c r="G15" s="120">
        <f>E15*F15*'C2 - Funcionários #'!AG17*IF($C15="Operacional",IFERROR(VLOOKUP($D15,SN_UGC,28,0),0),1)</f>
        <v>342420.54959748004</v>
      </c>
      <c r="H15" s="120">
        <f>$E15*'C2 - Funcionários #'!AH17*IF($C15="Operacional",IFERROR(VLOOKUP($D15,SN_UGC,28,0),0),1)</f>
        <v>684841.09919496009</v>
      </c>
      <c r="I15" s="120">
        <f>$E15*'C2 - Funcionários #'!AI17*IF($C15="Operacional",IFERROR(VLOOKUP($D15,SN_UGC,28,0),0),1)</f>
        <v>684841.09919496009</v>
      </c>
      <c r="J15" s="120">
        <f>$E15*'C2 - Funcionários #'!AJ17*IF($C15="Operacional",IFERROR(VLOOKUP($D15,SN_UGC,28,0),0),1)</f>
        <v>684841.09919496009</v>
      </c>
      <c r="K15" s="120">
        <f>$E15*'C2 - Funcionários #'!AK17*IF($C15="Operacional",IFERROR(VLOOKUP($D15,SN_UGC,28,0),0),1)</f>
        <v>684841.09919496009</v>
      </c>
      <c r="L15" s="120">
        <f>$E15*'C2 - Funcionários #'!AL17*IF($C15="Operacional",IFERROR(VLOOKUP($D15,SN_UGC,28,0),0),1)</f>
        <v>684841.09919496009</v>
      </c>
      <c r="M15" s="120">
        <f>$E15*'C2 - Funcionários #'!AM17*IF($C15="Operacional",IFERROR(VLOOKUP($D15,SN_UGC,28,0),0),1)</f>
        <v>684841.09919496009</v>
      </c>
      <c r="N15" s="120">
        <f>$E15*'C2 - Funcionários #'!AN17*IF($C15="Operacional",IFERROR(VLOOKUP($D15,SN_UGC,28,0),0),1)</f>
        <v>684841.09919496009</v>
      </c>
      <c r="O15" s="120">
        <f>$E15*'C2 - Funcionários #'!AO17*IF($C15="Operacional",IFERROR(VLOOKUP($D15,SN_UGC,28,0),0),1)</f>
        <v>684841.09919496009</v>
      </c>
      <c r="P15" s="120">
        <f>$E15*'C2 - Funcionários #'!AP17*IF($C15="Operacional",IFERROR(VLOOKUP($D15,SN_UGC,28,0),0),1)</f>
        <v>684841.09919496009</v>
      </c>
      <c r="Q15" s="120">
        <f>$E15*'C2 - Funcionários #'!AQ17*IF($C15="Operacional",IFERROR(VLOOKUP($D15,SN_UGC,28,0),0),1)</f>
        <v>684841.09919496009</v>
      </c>
      <c r="R15" s="120">
        <f>$E15*'C2 - Funcionários #'!AR17*IF($C15="Operacional",IFERROR(VLOOKUP($D15,SN_UGC,28,0),0),1)</f>
        <v>684841.09919496009</v>
      </c>
      <c r="S15" s="120">
        <f>$E15*'C2 - Funcionários #'!AS17*IF($C15="Operacional",IFERROR(VLOOKUP($D15,SN_UGC,28,0),0),1)</f>
        <v>684841.09919496009</v>
      </c>
      <c r="T15" s="120">
        <f>$E15*'C2 - Funcionários #'!AT17*IF($C15="Operacional",IFERROR(VLOOKUP($D15,SN_UGC,28,0),0),1)</f>
        <v>684841.09919496009</v>
      </c>
      <c r="U15" s="120">
        <f>$E15*'C2 - Funcionários #'!AU17*IF($C15="Operacional",IFERROR(VLOOKUP($D15,SN_UGC,28,0),0),1)</f>
        <v>684841.09919496009</v>
      </c>
      <c r="V15" s="120">
        <f>$E15*'C2 - Funcionários #'!AV17*IF($C15="Operacional",IFERROR(VLOOKUP($D15,SN_UGC,28,0),0),1)</f>
        <v>684841.09919496009</v>
      </c>
      <c r="W15" s="120">
        <f>$E15*'C2 - Funcionários #'!AW17*IF($C15="Operacional",IFERROR(VLOOKUP($D15,SN_UGC,28,0),0),1)</f>
        <v>684841.09919496009</v>
      </c>
      <c r="X15" s="120">
        <f>$E15*'C2 - Funcionários #'!AX17*IF($C15="Operacional",IFERROR(VLOOKUP($D15,SN_UGC,28,0),0),1)</f>
        <v>684841.09919496009</v>
      </c>
      <c r="Y15" s="120">
        <f>$E15*'C2 - Funcionários #'!AY17*IF($C15="Operacional",IFERROR(VLOOKUP($D15,SN_UGC,28,0),0),1)</f>
        <v>684841.09919496009</v>
      </c>
      <c r="Z15" s="120">
        <f>$E15*'C2 - Funcionários #'!AZ17*IF($C15="Operacional",IFERROR(VLOOKUP($D15,SN_UGC,28,0),0),1)</f>
        <v>684841.09919496009</v>
      </c>
      <c r="AA15" s="120">
        <f>$E15*'C2 - Funcionários #'!BA17*IF($C15="Operacional",IFERROR(VLOOKUP($D15,SN_UGC,28,0),0),1)</f>
        <v>684841.09919496009</v>
      </c>
      <c r="AB15" s="120">
        <f>$E15*'C2 - Funcionários #'!BB17*IF($C15="Operacional",IFERROR(VLOOKUP($D15,SN_UGC,28,0),0),1)</f>
        <v>684841.09919496009</v>
      </c>
      <c r="AC15" s="120">
        <f>$E15*'C2 - Funcionários #'!BC17*IF($C15="Operacional",IFERROR(VLOOKUP($D15,SN_UGC,28,0),0),1)</f>
        <v>684841.09919496009</v>
      </c>
      <c r="AD15" s="120">
        <f>$E15*'C2 - Funcionários #'!BD17*IF($C15="Operacional",IFERROR(VLOOKUP($D15,SN_UGC,28,0),0),1)</f>
        <v>684841.09919496009</v>
      </c>
      <c r="AE15" s="120">
        <f>$E15*'C2 - Funcionários #'!BE17*IF($C15="Operacional",IFERROR(VLOOKUP($D15,SN_UGC,28,0),0),1)</f>
        <v>684841.09919496009</v>
      </c>
      <c r="AF15" s="120">
        <f>$E15*'C2 - Funcionários #'!BF17*IF($C15="Operacional",IFERROR(VLOOKUP($D15,SN_UGC,28,0),0),1)</f>
        <v>684841.09919496009</v>
      </c>
      <c r="AG15" s="120">
        <f>$E15*'C2 - Funcionários #'!BG17*IF($C15="Operacional",IFERROR(VLOOKUP($D15,SN_UGC,28,0),0),1)</f>
        <v>684841.09919496009</v>
      </c>
      <c r="AH15" s="120">
        <f>$E15*'C2 - Funcionários #'!BH17*IF($C15="Operacional",IFERROR(VLOOKUP($D15,SN_UGC,28,0),0),1)</f>
        <v>684841.09919496009</v>
      </c>
      <c r="AI15" s="120">
        <f>$E15*'C2 - Funcionários #'!BI17*IF($C15="Operacional",IFERROR(VLOOKUP($D15,SN_UGC,28,0),0),1)</f>
        <v>684841.09919496009</v>
      </c>
      <c r="AJ15" s="120">
        <f>$E15*'C2 - Funcionários #'!BJ17*IF($C15="Operacional",IFERROR(VLOOKUP($D15,SN_UGC,28,0),0),1)</f>
        <v>684841.09919496009</v>
      </c>
    </row>
    <row r="16" spans="1:36" ht="15.6">
      <c r="A16" s="521"/>
      <c r="B16" s="51" t="str">
        <f>'C1 - Cargos e Salários'!B17</f>
        <v>Bilheteiro</v>
      </c>
      <c r="C16" s="51" t="str">
        <f>'C1 - Cargos e Salários'!C17</f>
        <v>Operacional</v>
      </c>
      <c r="D16" s="51" t="str">
        <f>'C1 - Cargos e Salários'!D17</f>
        <v>Ingresso</v>
      </c>
      <c r="E16" s="118">
        <f>'C1 - Cargos e Salários'!K17</f>
        <v>39684.382727400007</v>
      </c>
      <c r="F16" s="119">
        <f>IF(C16="Operacional",IFERROR(VLOOKUP(D16,ReceitaPorTipo,COLUMN('A1 - Serviços e demanda'!$Z$17),0),0),100%)</f>
        <v>0.5</v>
      </c>
      <c r="G16" s="120">
        <f>E16*F16*'C2 - Funcionários #'!AG18*IF($C16="Operacional",IFERROR(VLOOKUP($D16,SN_UGC,28,0),0),1)</f>
        <v>277790.67909180006</v>
      </c>
      <c r="H16" s="120">
        <f>$E16*'C2 - Funcionários #'!AH18*IF($C16="Operacional",IFERROR(VLOOKUP($D16,SN_UGC,28,0),0),1)</f>
        <v>555581.35818360012</v>
      </c>
      <c r="I16" s="120">
        <f>$E16*'C2 - Funcionários #'!AI18*IF($C16="Operacional",IFERROR(VLOOKUP($D16,SN_UGC,28,0),0),1)</f>
        <v>555581.35818360012</v>
      </c>
      <c r="J16" s="120">
        <f>$E16*'C2 - Funcionários #'!AJ18*IF($C16="Operacional",IFERROR(VLOOKUP($D16,SN_UGC,28,0),0),1)</f>
        <v>555581.35818360012</v>
      </c>
      <c r="K16" s="120">
        <f>$E16*'C2 - Funcionários #'!AK18*IF($C16="Operacional",IFERROR(VLOOKUP($D16,SN_UGC,28,0),0),1)</f>
        <v>555581.35818360012</v>
      </c>
      <c r="L16" s="120">
        <f>$E16*'C2 - Funcionários #'!AL18*IF($C16="Operacional",IFERROR(VLOOKUP($D16,SN_UGC,28,0),0),1)</f>
        <v>555581.35818360012</v>
      </c>
      <c r="M16" s="120">
        <f>$E16*'C2 - Funcionários #'!AM18*IF($C16="Operacional",IFERROR(VLOOKUP($D16,SN_UGC,28,0),0),1)</f>
        <v>555581.35818360012</v>
      </c>
      <c r="N16" s="120">
        <f>$E16*'C2 - Funcionários #'!AN18*IF($C16="Operacional",IFERROR(VLOOKUP($D16,SN_UGC,28,0),0),1)</f>
        <v>555581.35818360012</v>
      </c>
      <c r="O16" s="120">
        <f>$E16*'C2 - Funcionários #'!AO18*IF($C16="Operacional",IFERROR(VLOOKUP($D16,SN_UGC,28,0),0),1)</f>
        <v>555581.35818360012</v>
      </c>
      <c r="P16" s="120">
        <f>$E16*'C2 - Funcionários #'!AP18*IF($C16="Operacional",IFERROR(VLOOKUP($D16,SN_UGC,28,0),0),1)</f>
        <v>555581.35818360012</v>
      </c>
      <c r="Q16" s="120">
        <f>$E16*'C2 - Funcionários #'!AQ18*IF($C16="Operacional",IFERROR(VLOOKUP($D16,SN_UGC,28,0),0),1)</f>
        <v>555581.35818360012</v>
      </c>
      <c r="R16" s="120">
        <f>$E16*'C2 - Funcionários #'!AR18*IF($C16="Operacional",IFERROR(VLOOKUP($D16,SN_UGC,28,0),0),1)</f>
        <v>555581.35818360012</v>
      </c>
      <c r="S16" s="120">
        <f>$E16*'C2 - Funcionários #'!AS18*IF($C16="Operacional",IFERROR(VLOOKUP($D16,SN_UGC,28,0),0),1)</f>
        <v>555581.35818360012</v>
      </c>
      <c r="T16" s="120">
        <f>$E16*'C2 - Funcionários #'!AT18*IF($C16="Operacional",IFERROR(VLOOKUP($D16,SN_UGC,28,0),0),1)</f>
        <v>555581.35818360012</v>
      </c>
      <c r="U16" s="120">
        <f>$E16*'C2 - Funcionários #'!AU18*IF($C16="Operacional",IFERROR(VLOOKUP($D16,SN_UGC,28,0),0),1)</f>
        <v>555581.35818360012</v>
      </c>
      <c r="V16" s="120">
        <f>$E16*'C2 - Funcionários #'!AV18*IF($C16="Operacional",IFERROR(VLOOKUP($D16,SN_UGC,28,0),0),1)</f>
        <v>555581.35818360012</v>
      </c>
      <c r="W16" s="120">
        <f>$E16*'C2 - Funcionários #'!AW18*IF($C16="Operacional",IFERROR(VLOOKUP($D16,SN_UGC,28,0),0),1)</f>
        <v>555581.35818360012</v>
      </c>
      <c r="X16" s="120">
        <f>$E16*'C2 - Funcionários #'!AX18*IF($C16="Operacional",IFERROR(VLOOKUP($D16,SN_UGC,28,0),0),1)</f>
        <v>555581.35818360012</v>
      </c>
      <c r="Y16" s="120">
        <f>$E16*'C2 - Funcionários #'!AY18*IF($C16="Operacional",IFERROR(VLOOKUP($D16,SN_UGC,28,0),0),1)</f>
        <v>555581.35818360012</v>
      </c>
      <c r="Z16" s="120">
        <f>$E16*'C2 - Funcionários #'!AZ18*IF($C16="Operacional",IFERROR(VLOOKUP($D16,SN_UGC,28,0),0),1)</f>
        <v>555581.35818360012</v>
      </c>
      <c r="AA16" s="120">
        <f>$E16*'C2 - Funcionários #'!BA18*IF($C16="Operacional",IFERROR(VLOOKUP($D16,SN_UGC,28,0),0),1)</f>
        <v>555581.35818360012</v>
      </c>
      <c r="AB16" s="120">
        <f>$E16*'C2 - Funcionários #'!BB18*IF($C16="Operacional",IFERROR(VLOOKUP($D16,SN_UGC,28,0),0),1)</f>
        <v>555581.35818360012</v>
      </c>
      <c r="AC16" s="120">
        <f>$E16*'C2 - Funcionários #'!BC18*IF($C16="Operacional",IFERROR(VLOOKUP($D16,SN_UGC,28,0),0),1)</f>
        <v>555581.35818360012</v>
      </c>
      <c r="AD16" s="120">
        <f>$E16*'C2 - Funcionários #'!BD18*IF($C16="Operacional",IFERROR(VLOOKUP($D16,SN_UGC,28,0),0),1)</f>
        <v>555581.35818360012</v>
      </c>
      <c r="AE16" s="120">
        <f>$E16*'C2 - Funcionários #'!BE18*IF($C16="Operacional",IFERROR(VLOOKUP($D16,SN_UGC,28,0),0),1)</f>
        <v>555581.35818360012</v>
      </c>
      <c r="AF16" s="120">
        <f>$E16*'C2 - Funcionários #'!BF18*IF($C16="Operacional",IFERROR(VLOOKUP($D16,SN_UGC,28,0),0),1)</f>
        <v>555581.35818360012</v>
      </c>
      <c r="AG16" s="120">
        <f>$E16*'C2 - Funcionários #'!BG18*IF($C16="Operacional",IFERROR(VLOOKUP($D16,SN_UGC,28,0),0),1)</f>
        <v>555581.35818360012</v>
      </c>
      <c r="AH16" s="120">
        <f>$E16*'C2 - Funcionários #'!BH18*IF($C16="Operacional",IFERROR(VLOOKUP($D16,SN_UGC,28,0),0),1)</f>
        <v>555581.35818360012</v>
      </c>
      <c r="AI16" s="120">
        <f>$E16*'C2 - Funcionários #'!BI18*IF($C16="Operacional",IFERROR(VLOOKUP($D16,SN_UGC,28,0),0),1)</f>
        <v>555581.35818360012</v>
      </c>
      <c r="AJ16" s="120">
        <f>$E16*'C2 - Funcionários #'!BJ18*IF($C16="Operacional",IFERROR(VLOOKUP($D16,SN_UGC,28,0),0),1)</f>
        <v>555581.35818360012</v>
      </c>
    </row>
    <row r="17" spans="1:36" ht="15.6">
      <c r="A17" s="521"/>
      <c r="B17" s="51" t="str">
        <f>'C1 - Cargos e Salários'!B18</f>
        <v>Faxineiro</v>
      </c>
      <c r="C17" s="51" t="str">
        <f>'C1 - Cargos e Salários'!C18</f>
        <v>Operacional</v>
      </c>
      <c r="D17" s="51" t="str">
        <f>'C1 - Cargos e Salários'!D18</f>
        <v>Ingresso</v>
      </c>
      <c r="E17" s="118">
        <f>'C1 - Cargos e Salários'!K18</f>
        <v>38994.515087120002</v>
      </c>
      <c r="F17" s="119">
        <f>IF(C17="Operacional",IFERROR(VLOOKUP(D17,ReceitaPorTipo,COLUMN('A1 - Serviços e demanda'!$Z$17),0),0),100%)</f>
        <v>0.5</v>
      </c>
      <c r="G17" s="120">
        <f>E17*F17*'C2 - Funcionários #'!AG19*IF($C17="Operacional",IFERROR(VLOOKUP($D17,SN_UGC,28,0),0),1)</f>
        <v>311956.12069696002</v>
      </c>
      <c r="H17" s="120">
        <f>$E17*'C2 - Funcionários #'!AH19*IF($C17="Operacional",IFERROR(VLOOKUP($D17,SN_UGC,28,0),0),1)</f>
        <v>623912.24139392003</v>
      </c>
      <c r="I17" s="120">
        <f>$E17*'C2 - Funcionários #'!AI19*IF($C17="Operacional",IFERROR(VLOOKUP($D17,SN_UGC,28,0),0),1)</f>
        <v>623912.24139392003</v>
      </c>
      <c r="J17" s="120">
        <f>$E17*'C2 - Funcionários #'!AJ19*IF($C17="Operacional",IFERROR(VLOOKUP($D17,SN_UGC,28,0),0),1)</f>
        <v>623912.24139392003</v>
      </c>
      <c r="K17" s="120">
        <f>$E17*'C2 - Funcionários #'!AK19*IF($C17="Operacional",IFERROR(VLOOKUP($D17,SN_UGC,28,0),0),1)</f>
        <v>623912.24139392003</v>
      </c>
      <c r="L17" s="120">
        <f>$E17*'C2 - Funcionários #'!AL19*IF($C17="Operacional",IFERROR(VLOOKUP($D17,SN_UGC,28,0),0),1)</f>
        <v>623912.24139392003</v>
      </c>
      <c r="M17" s="120">
        <f>$E17*'C2 - Funcionários #'!AM19*IF($C17="Operacional",IFERROR(VLOOKUP($D17,SN_UGC,28,0),0),1)</f>
        <v>623912.24139392003</v>
      </c>
      <c r="N17" s="120">
        <f>$E17*'C2 - Funcionários #'!AN19*IF($C17="Operacional",IFERROR(VLOOKUP($D17,SN_UGC,28,0),0),1)</f>
        <v>623912.24139392003</v>
      </c>
      <c r="O17" s="120">
        <f>$E17*'C2 - Funcionários #'!AO19*IF($C17="Operacional",IFERROR(VLOOKUP($D17,SN_UGC,28,0),0),1)</f>
        <v>623912.24139392003</v>
      </c>
      <c r="P17" s="120">
        <f>$E17*'C2 - Funcionários #'!AP19*IF($C17="Operacional",IFERROR(VLOOKUP($D17,SN_UGC,28,0),0),1)</f>
        <v>623912.24139392003</v>
      </c>
      <c r="Q17" s="120">
        <f>$E17*'C2 - Funcionários #'!AQ19*IF($C17="Operacional",IFERROR(VLOOKUP($D17,SN_UGC,28,0),0),1)</f>
        <v>623912.24139392003</v>
      </c>
      <c r="R17" s="120">
        <f>$E17*'C2 - Funcionários #'!AR19*IF($C17="Operacional",IFERROR(VLOOKUP($D17,SN_UGC,28,0),0),1)</f>
        <v>623912.24139392003</v>
      </c>
      <c r="S17" s="120">
        <f>$E17*'C2 - Funcionários #'!AS19*IF($C17="Operacional",IFERROR(VLOOKUP($D17,SN_UGC,28,0),0),1)</f>
        <v>623912.24139392003</v>
      </c>
      <c r="T17" s="120">
        <f>$E17*'C2 - Funcionários #'!AT19*IF($C17="Operacional",IFERROR(VLOOKUP($D17,SN_UGC,28,0),0),1)</f>
        <v>623912.24139392003</v>
      </c>
      <c r="U17" s="120">
        <f>$E17*'C2 - Funcionários #'!AU19*IF($C17="Operacional",IFERROR(VLOOKUP($D17,SN_UGC,28,0),0),1)</f>
        <v>623912.24139392003</v>
      </c>
      <c r="V17" s="120">
        <f>$E17*'C2 - Funcionários #'!AV19*IF($C17="Operacional",IFERROR(VLOOKUP($D17,SN_UGC,28,0),0),1)</f>
        <v>623912.24139392003</v>
      </c>
      <c r="W17" s="120">
        <f>$E17*'C2 - Funcionários #'!AW19*IF($C17="Operacional",IFERROR(VLOOKUP($D17,SN_UGC,28,0),0),1)</f>
        <v>623912.24139392003</v>
      </c>
      <c r="X17" s="120">
        <f>$E17*'C2 - Funcionários #'!AX19*IF($C17="Operacional",IFERROR(VLOOKUP($D17,SN_UGC,28,0),0),1)</f>
        <v>623912.24139392003</v>
      </c>
      <c r="Y17" s="120">
        <f>$E17*'C2 - Funcionários #'!AY19*IF($C17="Operacional",IFERROR(VLOOKUP($D17,SN_UGC,28,0),0),1)</f>
        <v>623912.24139392003</v>
      </c>
      <c r="Z17" s="120">
        <f>$E17*'C2 - Funcionários #'!AZ19*IF($C17="Operacional",IFERROR(VLOOKUP($D17,SN_UGC,28,0),0),1)</f>
        <v>623912.24139392003</v>
      </c>
      <c r="AA17" s="120">
        <f>$E17*'C2 - Funcionários #'!BA19*IF($C17="Operacional",IFERROR(VLOOKUP($D17,SN_UGC,28,0),0),1)</f>
        <v>623912.24139392003</v>
      </c>
      <c r="AB17" s="120">
        <f>$E17*'C2 - Funcionários #'!BB19*IF($C17="Operacional",IFERROR(VLOOKUP($D17,SN_UGC,28,0),0),1)</f>
        <v>623912.24139392003</v>
      </c>
      <c r="AC17" s="120">
        <f>$E17*'C2 - Funcionários #'!BC19*IF($C17="Operacional",IFERROR(VLOOKUP($D17,SN_UGC,28,0),0),1)</f>
        <v>623912.24139392003</v>
      </c>
      <c r="AD17" s="120">
        <f>$E17*'C2 - Funcionários #'!BD19*IF($C17="Operacional",IFERROR(VLOOKUP($D17,SN_UGC,28,0),0),1)</f>
        <v>623912.24139392003</v>
      </c>
      <c r="AE17" s="120">
        <f>$E17*'C2 - Funcionários #'!BE19*IF($C17="Operacional",IFERROR(VLOOKUP($D17,SN_UGC,28,0),0),1)</f>
        <v>623912.24139392003</v>
      </c>
      <c r="AF17" s="120">
        <f>$E17*'C2 - Funcionários #'!BF19*IF($C17="Operacional",IFERROR(VLOOKUP($D17,SN_UGC,28,0),0),1)</f>
        <v>623912.24139392003</v>
      </c>
      <c r="AG17" s="120">
        <f>$E17*'C2 - Funcionários #'!BG19*IF($C17="Operacional",IFERROR(VLOOKUP($D17,SN_UGC,28,0),0),1)</f>
        <v>623912.24139392003</v>
      </c>
      <c r="AH17" s="120">
        <f>$E17*'C2 - Funcionários #'!BH19*IF($C17="Operacional",IFERROR(VLOOKUP($D17,SN_UGC,28,0),0),1)</f>
        <v>623912.24139392003</v>
      </c>
      <c r="AI17" s="120">
        <f>$E17*'C2 - Funcionários #'!BI19*IF($C17="Operacional",IFERROR(VLOOKUP($D17,SN_UGC,28,0),0),1)</f>
        <v>623912.24139392003</v>
      </c>
      <c r="AJ17" s="120">
        <f>$E17*'C2 - Funcionários #'!BJ19*IF($C17="Operacional",IFERROR(VLOOKUP($D17,SN_UGC,28,0),0),1)</f>
        <v>623912.24139392003</v>
      </c>
    </row>
    <row r="18" spans="1:36" ht="15.6">
      <c r="A18" s="521"/>
      <c r="B18" s="51" t="str">
        <f>'C1 - Cargos e Salários'!B19</f>
        <v>Monitor de visitação</v>
      </c>
      <c r="C18" s="51" t="str">
        <f>'C1 - Cargos e Salários'!C19</f>
        <v>Operacional</v>
      </c>
      <c r="D18" s="51" t="str">
        <f>'C1 - Cargos e Salários'!D19</f>
        <v>Ingresso</v>
      </c>
      <c r="E18" s="118">
        <f>'C1 - Cargos e Salários'!K19</f>
        <v>47466.945224200004</v>
      </c>
      <c r="F18" s="119">
        <f>IF(C18="Operacional",IFERROR(VLOOKUP(D18,ReceitaPorTipo,COLUMN('A1 - Serviços e demanda'!$Z$17),0),0),100%)</f>
        <v>0.5</v>
      </c>
      <c r="G18" s="120">
        <f>E18*F18*'C2 - Funcionários #'!AG20*IF($C18="Operacional",IFERROR(VLOOKUP($D18,SN_UGC,28,0),0),1)</f>
        <v>545869.87007830001</v>
      </c>
      <c r="H18" s="120">
        <f>$E18*'C2 - Funcionários #'!AH20*IF($C18="Operacional",IFERROR(VLOOKUP($D18,SN_UGC,28,0),0),1)</f>
        <v>1091739.7401566</v>
      </c>
      <c r="I18" s="120">
        <f>$E18*'C2 - Funcionários #'!AI20*IF($C18="Operacional",IFERROR(VLOOKUP($D18,SN_UGC,28,0),0),1)</f>
        <v>1091739.7401566</v>
      </c>
      <c r="J18" s="120">
        <f>$E18*'C2 - Funcionários #'!AJ20*IF($C18="Operacional",IFERROR(VLOOKUP($D18,SN_UGC,28,0),0),1)</f>
        <v>1091739.7401566</v>
      </c>
      <c r="K18" s="120">
        <f>$E18*'C2 - Funcionários #'!AK20*IF($C18="Operacional",IFERROR(VLOOKUP($D18,SN_UGC,28,0),0),1)</f>
        <v>1091739.7401566</v>
      </c>
      <c r="L18" s="120">
        <f>$E18*'C2 - Funcionários #'!AL20*IF($C18="Operacional",IFERROR(VLOOKUP($D18,SN_UGC,28,0),0),1)</f>
        <v>1091739.7401566</v>
      </c>
      <c r="M18" s="120">
        <f>$E18*'C2 - Funcionários #'!AM20*IF($C18="Operacional",IFERROR(VLOOKUP($D18,SN_UGC,28,0),0),1)</f>
        <v>1091739.7401566</v>
      </c>
      <c r="N18" s="120">
        <f>$E18*'C2 - Funcionários #'!AN20*IF($C18="Operacional",IFERROR(VLOOKUP($D18,SN_UGC,28,0),0),1)</f>
        <v>1091739.7401566</v>
      </c>
      <c r="O18" s="120">
        <f>$E18*'C2 - Funcionários #'!AO20*IF($C18="Operacional",IFERROR(VLOOKUP($D18,SN_UGC,28,0),0),1)</f>
        <v>1091739.7401566</v>
      </c>
      <c r="P18" s="120">
        <f>$E18*'C2 - Funcionários #'!AP20*IF($C18="Operacional",IFERROR(VLOOKUP($D18,SN_UGC,28,0),0),1)</f>
        <v>1091739.7401566</v>
      </c>
      <c r="Q18" s="120">
        <f>$E18*'C2 - Funcionários #'!AQ20*IF($C18="Operacional",IFERROR(VLOOKUP($D18,SN_UGC,28,0),0),1)</f>
        <v>1091739.7401566</v>
      </c>
      <c r="R18" s="120">
        <f>$E18*'C2 - Funcionários #'!AR20*IF($C18="Operacional",IFERROR(VLOOKUP($D18,SN_UGC,28,0),0),1)</f>
        <v>1091739.7401566</v>
      </c>
      <c r="S18" s="120">
        <f>$E18*'C2 - Funcionários #'!AS20*IF($C18="Operacional",IFERROR(VLOOKUP($D18,SN_UGC,28,0),0),1)</f>
        <v>1091739.7401566</v>
      </c>
      <c r="T18" s="120">
        <f>$E18*'C2 - Funcionários #'!AT20*IF($C18="Operacional",IFERROR(VLOOKUP($D18,SN_UGC,28,0),0),1)</f>
        <v>1091739.7401566</v>
      </c>
      <c r="U18" s="120">
        <f>$E18*'C2 - Funcionários #'!AU20*IF($C18="Operacional",IFERROR(VLOOKUP($D18,SN_UGC,28,0),0),1)</f>
        <v>1091739.7401566</v>
      </c>
      <c r="V18" s="120">
        <f>$E18*'C2 - Funcionários #'!AV20*IF($C18="Operacional",IFERROR(VLOOKUP($D18,SN_UGC,28,0),0),1)</f>
        <v>1091739.7401566</v>
      </c>
      <c r="W18" s="120">
        <f>$E18*'C2 - Funcionários #'!AW20*IF($C18="Operacional",IFERROR(VLOOKUP($D18,SN_UGC,28,0),0),1)</f>
        <v>1091739.7401566</v>
      </c>
      <c r="X18" s="120">
        <f>$E18*'C2 - Funcionários #'!AX20*IF($C18="Operacional",IFERROR(VLOOKUP($D18,SN_UGC,28,0),0),1)</f>
        <v>1091739.7401566</v>
      </c>
      <c r="Y18" s="120">
        <f>$E18*'C2 - Funcionários #'!AY20*IF($C18="Operacional",IFERROR(VLOOKUP($D18,SN_UGC,28,0),0),1)</f>
        <v>1091739.7401566</v>
      </c>
      <c r="Z18" s="120">
        <f>$E18*'C2 - Funcionários #'!AZ20*IF($C18="Operacional",IFERROR(VLOOKUP($D18,SN_UGC,28,0),0),1)</f>
        <v>1091739.7401566</v>
      </c>
      <c r="AA18" s="120">
        <f>$E18*'C2 - Funcionários #'!BA20*IF($C18="Operacional",IFERROR(VLOOKUP($D18,SN_UGC,28,0),0),1)</f>
        <v>1091739.7401566</v>
      </c>
      <c r="AB18" s="120">
        <f>$E18*'C2 - Funcionários #'!BB20*IF($C18="Operacional",IFERROR(VLOOKUP($D18,SN_UGC,28,0),0),1)</f>
        <v>1091739.7401566</v>
      </c>
      <c r="AC18" s="120">
        <f>$E18*'C2 - Funcionários #'!BC20*IF($C18="Operacional",IFERROR(VLOOKUP($D18,SN_UGC,28,0),0),1)</f>
        <v>1091739.7401566</v>
      </c>
      <c r="AD18" s="120">
        <f>$E18*'C2 - Funcionários #'!BD20*IF($C18="Operacional",IFERROR(VLOOKUP($D18,SN_UGC,28,0),0),1)</f>
        <v>1091739.7401566</v>
      </c>
      <c r="AE18" s="120">
        <f>$E18*'C2 - Funcionários #'!BE20*IF($C18="Operacional",IFERROR(VLOOKUP($D18,SN_UGC,28,0),0),1)</f>
        <v>1091739.7401566</v>
      </c>
      <c r="AF18" s="120">
        <f>$E18*'C2 - Funcionários #'!BF20*IF($C18="Operacional",IFERROR(VLOOKUP($D18,SN_UGC,28,0),0),1)</f>
        <v>1091739.7401566</v>
      </c>
      <c r="AG18" s="120">
        <f>$E18*'C2 - Funcionários #'!BG20*IF($C18="Operacional",IFERROR(VLOOKUP($D18,SN_UGC,28,0),0),1)</f>
        <v>1091739.7401566</v>
      </c>
      <c r="AH18" s="120">
        <f>$E18*'C2 - Funcionários #'!BH20*IF($C18="Operacional",IFERROR(VLOOKUP($D18,SN_UGC,28,0),0),1)</f>
        <v>1091739.7401566</v>
      </c>
      <c r="AI18" s="120">
        <f>$E18*'C2 - Funcionários #'!BI20*IF($C18="Operacional",IFERROR(VLOOKUP($D18,SN_UGC,28,0),0),1)</f>
        <v>1091739.7401566</v>
      </c>
      <c r="AJ18" s="120">
        <f>$E18*'C2 - Funcionários #'!BJ20*IF($C18="Operacional",IFERROR(VLOOKUP($D18,SN_UGC,28,0),0),1)</f>
        <v>1091739.7401566</v>
      </c>
    </row>
    <row r="19" spans="1:36" ht="15.6" hidden="1">
      <c r="A19" s="521"/>
      <c r="B19" s="51" t="str">
        <f>'C1 - Cargos e Salários'!B20</f>
        <v>Caixa</v>
      </c>
      <c r="C19" s="51" t="str">
        <f>'C1 - Cargos e Salários'!C20</f>
        <v>Operacional</v>
      </c>
      <c r="D19" s="51" t="str">
        <f>'C1 - Cargos e Salários'!D20</f>
        <v>Lagoa Grande - Estacionamento</v>
      </c>
      <c r="E19" s="118">
        <f>'C1 - Cargos e Salários'!K20</f>
        <v>39653.828640200009</v>
      </c>
      <c r="F19" s="119">
        <f>IF(C19="Operacional",IFERROR(VLOOKUP(D19,ReceitaPorTipo,COLUMN('A1 - Serviços e demanda'!$Z$17),0),0),100%)</f>
        <v>0</v>
      </c>
      <c r="G19" s="120">
        <f>E19*F19*'C2 - Funcionários #'!AG21*IF($C19="Operacional",IFERROR(VLOOKUP($D19,SN_UGC,28,0),0),1)</f>
        <v>0</v>
      </c>
      <c r="H19" s="120">
        <f>$E19*'C2 - Funcionários #'!AH21*IF($C19="Operacional",IFERROR(VLOOKUP($D19,SN_UGC,28,0),0),1)</f>
        <v>158615.31456080003</v>
      </c>
      <c r="I19" s="120">
        <f>$E19*'C2 - Funcionários #'!AI21*IF($C19="Operacional",IFERROR(VLOOKUP($D19,SN_UGC,28,0),0),1)</f>
        <v>158615.31456080003</v>
      </c>
      <c r="J19" s="120">
        <f>$E19*'C2 - Funcionários #'!AJ21*IF($C19="Operacional",IFERROR(VLOOKUP($D19,SN_UGC,28,0),0),1)</f>
        <v>158615.31456080003</v>
      </c>
      <c r="K19" s="120">
        <f>$E19*'C2 - Funcionários #'!AK21*IF($C19="Operacional",IFERROR(VLOOKUP($D19,SN_UGC,28,0),0),1)</f>
        <v>158615.31456080003</v>
      </c>
      <c r="L19" s="120">
        <f>$E19*'C2 - Funcionários #'!AL21*IF($C19="Operacional",IFERROR(VLOOKUP($D19,SN_UGC,28,0),0),1)</f>
        <v>158615.31456080003</v>
      </c>
      <c r="M19" s="120">
        <f>$E19*'C2 - Funcionários #'!AM21*IF($C19="Operacional",IFERROR(VLOOKUP($D19,SN_UGC,28,0),0),1)</f>
        <v>158615.31456080003</v>
      </c>
      <c r="N19" s="120">
        <f>$E19*'C2 - Funcionários #'!AN21*IF($C19="Operacional",IFERROR(VLOOKUP($D19,SN_UGC,28,0),0),1)</f>
        <v>158615.31456080003</v>
      </c>
      <c r="O19" s="120">
        <f>$E19*'C2 - Funcionários #'!AO21*IF($C19="Operacional",IFERROR(VLOOKUP($D19,SN_UGC,28,0),0),1)</f>
        <v>158615.31456080003</v>
      </c>
      <c r="P19" s="120">
        <f>$E19*'C2 - Funcionários #'!AP21*IF($C19="Operacional",IFERROR(VLOOKUP($D19,SN_UGC,28,0),0),1)</f>
        <v>158615.31456080003</v>
      </c>
      <c r="Q19" s="120">
        <f>$E19*'C2 - Funcionários #'!AQ21*IF($C19="Operacional",IFERROR(VLOOKUP($D19,SN_UGC,28,0),0),1)</f>
        <v>158615.31456080003</v>
      </c>
      <c r="R19" s="120">
        <f>$E19*'C2 - Funcionários #'!AR21*IF($C19="Operacional",IFERROR(VLOOKUP($D19,SN_UGC,28,0),0),1)</f>
        <v>158615.31456080003</v>
      </c>
      <c r="S19" s="120">
        <f>$E19*'C2 - Funcionários #'!AS21*IF($C19="Operacional",IFERROR(VLOOKUP($D19,SN_UGC,28,0),0),1)</f>
        <v>158615.31456080003</v>
      </c>
      <c r="T19" s="120">
        <f>$E19*'C2 - Funcionários #'!AT21*IF($C19="Operacional",IFERROR(VLOOKUP($D19,SN_UGC,28,0),0),1)</f>
        <v>158615.31456080003</v>
      </c>
      <c r="U19" s="120">
        <f>$E19*'C2 - Funcionários #'!AU21*IF($C19="Operacional",IFERROR(VLOOKUP($D19,SN_UGC,28,0),0),1)</f>
        <v>158615.31456080003</v>
      </c>
      <c r="V19" s="120">
        <f>$E19*'C2 - Funcionários #'!AV21*IF($C19="Operacional",IFERROR(VLOOKUP($D19,SN_UGC,28,0),0),1)</f>
        <v>158615.31456080003</v>
      </c>
      <c r="W19" s="120">
        <f>$E19*'C2 - Funcionários #'!AW21*IF($C19="Operacional",IFERROR(VLOOKUP($D19,SN_UGC,28,0),0),1)</f>
        <v>158615.31456080003</v>
      </c>
      <c r="X19" s="120">
        <f>$E19*'C2 - Funcionários #'!AX21*IF($C19="Operacional",IFERROR(VLOOKUP($D19,SN_UGC,28,0),0),1)</f>
        <v>158615.31456080003</v>
      </c>
      <c r="Y19" s="120">
        <f>$E19*'C2 - Funcionários #'!AY21*IF($C19="Operacional",IFERROR(VLOOKUP($D19,SN_UGC,28,0),0),1)</f>
        <v>158615.31456080003</v>
      </c>
      <c r="Z19" s="120">
        <f>$E19*'C2 - Funcionários #'!AZ21*IF($C19="Operacional",IFERROR(VLOOKUP($D19,SN_UGC,28,0),0),1)</f>
        <v>158615.31456080003</v>
      </c>
      <c r="AA19" s="120">
        <f>$E19*'C2 - Funcionários #'!BA21*IF($C19="Operacional",IFERROR(VLOOKUP($D19,SN_UGC,28,0),0),1)</f>
        <v>158615.31456080003</v>
      </c>
      <c r="AB19" s="120">
        <f>$E19*'C2 - Funcionários #'!BB21*IF($C19="Operacional",IFERROR(VLOOKUP($D19,SN_UGC,28,0),0),1)</f>
        <v>158615.31456080003</v>
      </c>
      <c r="AC19" s="120">
        <f>$E19*'C2 - Funcionários #'!BC21*IF($C19="Operacional",IFERROR(VLOOKUP($D19,SN_UGC,28,0),0),1)</f>
        <v>158615.31456080003</v>
      </c>
      <c r="AD19" s="120">
        <f>$E19*'C2 - Funcionários #'!BD21*IF($C19="Operacional",IFERROR(VLOOKUP($D19,SN_UGC,28,0),0),1)</f>
        <v>158615.31456080003</v>
      </c>
      <c r="AE19" s="120">
        <f>$E19*'C2 - Funcionários #'!BE21*IF($C19="Operacional",IFERROR(VLOOKUP($D19,SN_UGC,28,0),0),1)</f>
        <v>158615.31456080003</v>
      </c>
      <c r="AF19" s="120">
        <f>$E19*'C2 - Funcionários #'!BF21*IF($C19="Operacional",IFERROR(VLOOKUP($D19,SN_UGC,28,0),0),1)</f>
        <v>158615.31456080003</v>
      </c>
      <c r="AG19" s="120">
        <f>$E19*'C2 - Funcionários #'!BG21*IF($C19="Operacional",IFERROR(VLOOKUP($D19,SN_UGC,28,0),0),1)</f>
        <v>158615.31456080003</v>
      </c>
      <c r="AH19" s="120">
        <f>$E19*'C2 - Funcionários #'!BH21*IF($C19="Operacional",IFERROR(VLOOKUP($D19,SN_UGC,28,0),0),1)</f>
        <v>158615.31456080003</v>
      </c>
      <c r="AI19" s="120">
        <f>$E19*'C2 - Funcionários #'!BI21*IF($C19="Operacional",IFERROR(VLOOKUP($D19,SN_UGC,28,0),0),1)</f>
        <v>158615.31456080003</v>
      </c>
      <c r="AJ19" s="120">
        <f>$E19*'C2 - Funcionários #'!BJ21*IF($C19="Operacional",IFERROR(VLOOKUP($D19,SN_UGC,28,0),0),1)</f>
        <v>158615.31456080003</v>
      </c>
    </row>
    <row r="20" spans="1:36" ht="15.6">
      <c r="A20" s="521"/>
      <c r="B20" s="51" t="str">
        <f>'C1 - Cargos e Salários'!B21</f>
        <v>Caixa</v>
      </c>
      <c r="C20" s="51" t="str">
        <f>'C1 - Cargos e Salários'!C21</f>
        <v>Operacional</v>
      </c>
      <c r="D20" s="51" t="str">
        <f>'C1 - Cargos e Salários'!D21</f>
        <v>Mangue Seco - Estacionamento</v>
      </c>
      <c r="E20" s="118">
        <f>'C1 - Cargos e Salários'!K21</f>
        <v>39653.828640200009</v>
      </c>
      <c r="F20" s="119">
        <f>IF(C20="Operacional",IFERROR(VLOOKUP(D20,ReceitaPorTipo,COLUMN('A1 - Serviços e demanda'!$Z$17),0),0),100%)</f>
        <v>0</v>
      </c>
      <c r="G20" s="120">
        <f>E20*F20*'C2 - Funcionários #'!AG22*IF($C20="Operacional",IFERROR(VLOOKUP($D20,SN_UGC,28,0),0),1)</f>
        <v>0</v>
      </c>
      <c r="H20" s="120">
        <f>$E20*'C2 - Funcionários #'!AH22*IF($C20="Operacional",IFERROR(VLOOKUP($D20,SN_UGC,28,0),0),1)</f>
        <v>158615.31456080003</v>
      </c>
      <c r="I20" s="120">
        <f>$E20*'C2 - Funcionários #'!AI22*IF($C20="Operacional",IFERROR(VLOOKUP($D20,SN_UGC,28,0),0),1)</f>
        <v>158615.31456080003</v>
      </c>
      <c r="J20" s="120">
        <f>$E20*'C2 - Funcionários #'!AJ22*IF($C20="Operacional",IFERROR(VLOOKUP($D20,SN_UGC,28,0),0),1)</f>
        <v>158615.31456080003</v>
      </c>
      <c r="K20" s="120">
        <f>$E20*'C2 - Funcionários #'!AK22*IF($C20="Operacional",IFERROR(VLOOKUP($D20,SN_UGC,28,0),0),1)</f>
        <v>158615.31456080003</v>
      </c>
      <c r="L20" s="120">
        <f>$E20*'C2 - Funcionários #'!AL22*IF($C20="Operacional",IFERROR(VLOOKUP($D20,SN_UGC,28,0),0),1)</f>
        <v>158615.31456080003</v>
      </c>
      <c r="M20" s="120">
        <f>$E20*'C2 - Funcionários #'!AM22*IF($C20="Operacional",IFERROR(VLOOKUP($D20,SN_UGC,28,0),0),1)</f>
        <v>158615.31456080003</v>
      </c>
      <c r="N20" s="120">
        <f>$E20*'C2 - Funcionários #'!AN22*IF($C20="Operacional",IFERROR(VLOOKUP($D20,SN_UGC,28,0),0),1)</f>
        <v>158615.31456080003</v>
      </c>
      <c r="O20" s="120">
        <f>$E20*'C2 - Funcionários #'!AO22*IF($C20="Operacional",IFERROR(VLOOKUP($D20,SN_UGC,28,0),0),1)</f>
        <v>158615.31456080003</v>
      </c>
      <c r="P20" s="120">
        <f>$E20*'C2 - Funcionários #'!AP22*IF($C20="Operacional",IFERROR(VLOOKUP($D20,SN_UGC,28,0),0),1)</f>
        <v>158615.31456080003</v>
      </c>
      <c r="Q20" s="120">
        <f>$E20*'C2 - Funcionários #'!AQ22*IF($C20="Operacional",IFERROR(VLOOKUP($D20,SN_UGC,28,0),0),1)</f>
        <v>158615.31456080003</v>
      </c>
      <c r="R20" s="120">
        <f>$E20*'C2 - Funcionários #'!AR22*IF($C20="Operacional",IFERROR(VLOOKUP($D20,SN_UGC,28,0),0),1)</f>
        <v>158615.31456080003</v>
      </c>
      <c r="S20" s="120">
        <f>$E20*'C2 - Funcionários #'!AS22*IF($C20="Operacional",IFERROR(VLOOKUP($D20,SN_UGC,28,0),0),1)</f>
        <v>158615.31456080003</v>
      </c>
      <c r="T20" s="120">
        <f>$E20*'C2 - Funcionários #'!AT22*IF($C20="Operacional",IFERROR(VLOOKUP($D20,SN_UGC,28,0),0),1)</f>
        <v>158615.31456080003</v>
      </c>
      <c r="U20" s="120">
        <f>$E20*'C2 - Funcionários #'!AU22*IF($C20="Operacional",IFERROR(VLOOKUP($D20,SN_UGC,28,0),0),1)</f>
        <v>158615.31456080003</v>
      </c>
      <c r="V20" s="120">
        <f>$E20*'C2 - Funcionários #'!AV22*IF($C20="Operacional",IFERROR(VLOOKUP($D20,SN_UGC,28,0),0),1)</f>
        <v>158615.31456080003</v>
      </c>
      <c r="W20" s="120">
        <f>$E20*'C2 - Funcionários #'!AW22*IF($C20="Operacional",IFERROR(VLOOKUP($D20,SN_UGC,28,0),0),1)</f>
        <v>158615.31456080003</v>
      </c>
      <c r="X20" s="120">
        <f>$E20*'C2 - Funcionários #'!AX22*IF($C20="Operacional",IFERROR(VLOOKUP($D20,SN_UGC,28,0),0),1)</f>
        <v>158615.31456080003</v>
      </c>
      <c r="Y20" s="120">
        <f>$E20*'C2 - Funcionários #'!AY22*IF($C20="Operacional",IFERROR(VLOOKUP($D20,SN_UGC,28,0),0),1)</f>
        <v>158615.31456080003</v>
      </c>
      <c r="Z20" s="120">
        <f>$E20*'C2 - Funcionários #'!AZ22*IF($C20="Operacional",IFERROR(VLOOKUP($D20,SN_UGC,28,0),0),1)</f>
        <v>158615.31456080003</v>
      </c>
      <c r="AA20" s="120">
        <f>$E20*'C2 - Funcionários #'!BA22*IF($C20="Operacional",IFERROR(VLOOKUP($D20,SN_UGC,28,0),0),1)</f>
        <v>158615.31456080003</v>
      </c>
      <c r="AB20" s="120">
        <f>$E20*'C2 - Funcionários #'!BB22*IF($C20="Operacional",IFERROR(VLOOKUP($D20,SN_UGC,28,0),0),1)</f>
        <v>158615.31456080003</v>
      </c>
      <c r="AC20" s="120">
        <f>$E20*'C2 - Funcionários #'!BC22*IF($C20="Operacional",IFERROR(VLOOKUP($D20,SN_UGC,28,0),0),1)</f>
        <v>158615.31456080003</v>
      </c>
      <c r="AD20" s="120">
        <f>$E20*'C2 - Funcionários #'!BD22*IF($C20="Operacional",IFERROR(VLOOKUP($D20,SN_UGC,28,0),0),1)</f>
        <v>158615.31456080003</v>
      </c>
      <c r="AE20" s="120">
        <f>$E20*'C2 - Funcionários #'!BE22*IF($C20="Operacional",IFERROR(VLOOKUP($D20,SN_UGC,28,0),0),1)</f>
        <v>158615.31456080003</v>
      </c>
      <c r="AF20" s="120">
        <f>$E20*'C2 - Funcionários #'!BF22*IF($C20="Operacional",IFERROR(VLOOKUP($D20,SN_UGC,28,0),0),1)</f>
        <v>158615.31456080003</v>
      </c>
      <c r="AG20" s="120">
        <f>$E20*'C2 - Funcionários #'!BG22*IF($C20="Operacional",IFERROR(VLOOKUP($D20,SN_UGC,28,0),0),1)</f>
        <v>158615.31456080003</v>
      </c>
      <c r="AH20" s="120">
        <f>$E20*'C2 - Funcionários #'!BH22*IF($C20="Operacional",IFERROR(VLOOKUP($D20,SN_UGC,28,0),0),1)</f>
        <v>158615.31456080003</v>
      </c>
      <c r="AI20" s="120">
        <f>$E20*'C2 - Funcionários #'!BI22*IF($C20="Operacional",IFERROR(VLOOKUP($D20,SN_UGC,28,0),0),1)</f>
        <v>158615.31456080003</v>
      </c>
      <c r="AJ20" s="120">
        <f>$E20*'C2 - Funcionários #'!BJ22*IF($C20="Operacional",IFERROR(VLOOKUP($D20,SN_UGC,28,0),0),1)</f>
        <v>158615.31456080003</v>
      </c>
    </row>
    <row r="21" spans="1:36" ht="15.75" customHeight="1">
      <c r="A21" s="521"/>
      <c r="B21" s="51" t="e">
        <f>'C1 - Cargos e Salários'!#REF!</f>
        <v>#REF!</v>
      </c>
      <c r="C21" s="51" t="e">
        <f>'C1 - Cargos e Salários'!#REF!</f>
        <v>#REF!</v>
      </c>
      <c r="D21" s="51" t="e">
        <f>'C1 - Cargos e Salários'!#REF!</f>
        <v>#REF!</v>
      </c>
      <c r="E21" s="118" t="e">
        <f>'C1 - Cargos e Salários'!#REF!</f>
        <v>#REF!</v>
      </c>
      <c r="F21" s="119" t="e">
        <f>IF(C21="Operacional",IFERROR(VLOOKUP(D21,ReceitaPorTipo,COLUMN('A1 - Serviços e demanda'!$Z$17),0),0),100%)</f>
        <v>#REF!</v>
      </c>
      <c r="G21" s="120" t="e">
        <f>E21*F21*'C2 - Funcionários #'!AG23*IF($C21="Operacional",IFERROR(VLOOKUP($D21,SN_UGC,28,0),0),1)</f>
        <v>#REF!</v>
      </c>
      <c r="H21" s="120" t="e">
        <f>$E21*'C2 - Funcionários #'!AH23*IF($C21="Operacional",IFERROR(VLOOKUP($D21,SN_UGC,28,0),0),1)</f>
        <v>#REF!</v>
      </c>
      <c r="I21" s="120" t="e">
        <f>$E21*'C2 - Funcionários #'!AI23*IF($C21="Operacional",IFERROR(VLOOKUP($D21,SN_UGC,28,0),0),1)</f>
        <v>#REF!</v>
      </c>
      <c r="J21" s="120" t="e">
        <f>$E21*'C2 - Funcionários #'!AJ23*IF($C21="Operacional",IFERROR(VLOOKUP($D21,SN_UGC,28,0),0),1)</f>
        <v>#REF!</v>
      </c>
      <c r="K21" s="120" t="e">
        <f>$E21*'C2 - Funcionários #'!AK23*IF($C21="Operacional",IFERROR(VLOOKUP($D21,SN_UGC,28,0),0),1)</f>
        <v>#REF!</v>
      </c>
      <c r="L21" s="120" t="e">
        <f>$E21*'C2 - Funcionários #'!AL23*IF($C21="Operacional",IFERROR(VLOOKUP($D21,SN_UGC,28,0),0),1)</f>
        <v>#REF!</v>
      </c>
      <c r="M21" s="120" t="e">
        <f>$E21*'C2 - Funcionários #'!AM23*IF($C21="Operacional",IFERROR(VLOOKUP($D21,SN_UGC,28,0),0),1)</f>
        <v>#REF!</v>
      </c>
      <c r="N21" s="120" t="e">
        <f>$E21*'C2 - Funcionários #'!AN23*IF($C21="Operacional",IFERROR(VLOOKUP($D21,SN_UGC,28,0),0),1)</f>
        <v>#REF!</v>
      </c>
      <c r="O21" s="120" t="e">
        <f>$E21*'C2 - Funcionários #'!AO23*IF($C21="Operacional",IFERROR(VLOOKUP($D21,SN_UGC,28,0),0),1)</f>
        <v>#REF!</v>
      </c>
      <c r="P21" s="120" t="e">
        <f>$E21*'C2 - Funcionários #'!AP23*IF($C21="Operacional",IFERROR(VLOOKUP($D21,SN_UGC,28,0),0),1)</f>
        <v>#REF!</v>
      </c>
      <c r="Q21" s="120" t="e">
        <f>$E21*'C2 - Funcionários #'!AQ23*IF($C21="Operacional",IFERROR(VLOOKUP($D21,SN_UGC,28,0),0),1)</f>
        <v>#REF!</v>
      </c>
      <c r="R21" s="120" t="e">
        <f>$E21*'C2 - Funcionários #'!AR23*IF($C21="Operacional",IFERROR(VLOOKUP($D21,SN_UGC,28,0),0),1)</f>
        <v>#REF!</v>
      </c>
      <c r="S21" s="120" t="e">
        <f>$E21*'C2 - Funcionários #'!AS23*IF($C21="Operacional",IFERROR(VLOOKUP($D21,SN_UGC,28,0),0),1)</f>
        <v>#REF!</v>
      </c>
      <c r="T21" s="120" t="e">
        <f>$E21*'C2 - Funcionários #'!AT23*IF($C21="Operacional",IFERROR(VLOOKUP($D21,SN_UGC,28,0),0),1)</f>
        <v>#REF!</v>
      </c>
      <c r="U21" s="120" t="e">
        <f>$E21*'C2 - Funcionários #'!AU23*IF($C21="Operacional",IFERROR(VLOOKUP($D21,SN_UGC,28,0),0),1)</f>
        <v>#REF!</v>
      </c>
      <c r="V21" s="120" t="e">
        <f>$E21*'C2 - Funcionários #'!AV23*IF($C21="Operacional",IFERROR(VLOOKUP($D21,SN_UGC,28,0),0),1)</f>
        <v>#REF!</v>
      </c>
      <c r="W21" s="120" t="e">
        <f>$E21*'C2 - Funcionários #'!AW23*IF($C21="Operacional",IFERROR(VLOOKUP($D21,SN_UGC,28,0),0),1)</f>
        <v>#REF!</v>
      </c>
      <c r="X21" s="120" t="e">
        <f>$E21*'C2 - Funcionários #'!AX23*IF($C21="Operacional",IFERROR(VLOOKUP($D21,SN_UGC,28,0),0),1)</f>
        <v>#REF!</v>
      </c>
      <c r="Y21" s="120" t="e">
        <f>$E21*'C2 - Funcionários #'!AY23*IF($C21="Operacional",IFERROR(VLOOKUP($D21,SN_UGC,28,0),0),1)</f>
        <v>#REF!</v>
      </c>
      <c r="Z21" s="120" t="e">
        <f>$E21*'C2 - Funcionários #'!AZ23*IF($C21="Operacional",IFERROR(VLOOKUP($D21,SN_UGC,28,0),0),1)</f>
        <v>#REF!</v>
      </c>
      <c r="AA21" s="120" t="e">
        <f>$E21*'C2 - Funcionários #'!BA23*IF($C21="Operacional",IFERROR(VLOOKUP($D21,SN_UGC,28,0),0),1)</f>
        <v>#REF!</v>
      </c>
      <c r="AB21" s="120" t="e">
        <f>$E21*'C2 - Funcionários #'!BB23*IF($C21="Operacional",IFERROR(VLOOKUP($D21,SN_UGC,28,0),0),1)</f>
        <v>#REF!</v>
      </c>
      <c r="AC21" s="120" t="e">
        <f>$E21*'C2 - Funcionários #'!BC23*IF($C21="Operacional",IFERROR(VLOOKUP($D21,SN_UGC,28,0),0),1)</f>
        <v>#REF!</v>
      </c>
      <c r="AD21" s="120" t="e">
        <f>$E21*'C2 - Funcionários #'!BD23*IF($C21="Operacional",IFERROR(VLOOKUP($D21,SN_UGC,28,0),0),1)</f>
        <v>#REF!</v>
      </c>
      <c r="AE21" s="120" t="e">
        <f>$E21*'C2 - Funcionários #'!BE23*IF($C21="Operacional",IFERROR(VLOOKUP($D21,SN_UGC,28,0),0),1)</f>
        <v>#REF!</v>
      </c>
      <c r="AF21" s="120" t="e">
        <f>$E21*'C2 - Funcionários #'!BF23*IF($C21="Operacional",IFERROR(VLOOKUP($D21,SN_UGC,28,0),0),1)</f>
        <v>#REF!</v>
      </c>
      <c r="AG21" s="120" t="e">
        <f>$E21*'C2 - Funcionários #'!BG23*IF($C21="Operacional",IFERROR(VLOOKUP($D21,SN_UGC,28,0),0),1)</f>
        <v>#REF!</v>
      </c>
      <c r="AH21" s="120" t="e">
        <f>$E21*'C2 - Funcionários #'!BH23*IF($C21="Operacional",IFERROR(VLOOKUP($D21,SN_UGC,28,0),0),1)</f>
        <v>#REF!</v>
      </c>
      <c r="AI21" s="120" t="e">
        <f>$E21*'C2 - Funcionários #'!BI23*IF($C21="Operacional",IFERROR(VLOOKUP($D21,SN_UGC,28,0),0),1)</f>
        <v>#REF!</v>
      </c>
      <c r="AJ21" s="120" t="e">
        <f>$E21*'C2 - Funcionários #'!BJ23*IF($C21="Operacional",IFERROR(VLOOKUP($D21,SN_UGC,28,0),0),1)</f>
        <v>#REF!</v>
      </c>
    </row>
    <row r="22" spans="1:36" ht="15.75" customHeight="1">
      <c r="A22" s="521"/>
      <c r="B22" s="51" t="e">
        <f>'C1 - Cargos e Salários'!#REF!</f>
        <v>#REF!</v>
      </c>
      <c r="C22" s="51" t="e">
        <f>'C1 - Cargos e Salários'!#REF!</f>
        <v>#REF!</v>
      </c>
      <c r="D22" s="51" t="e">
        <f>'C1 - Cargos e Salários'!#REF!</f>
        <v>#REF!</v>
      </c>
      <c r="E22" s="118" t="e">
        <f>'C1 - Cargos e Salários'!#REF!</f>
        <v>#REF!</v>
      </c>
      <c r="F22" s="119" t="e">
        <f>IF(C22="Operacional",IFERROR(VLOOKUP(D22,ReceitaPorTipo,COLUMN('A1 - Serviços e demanda'!$Z$17),0),0),100%)</f>
        <v>#REF!</v>
      </c>
      <c r="G22" s="120" t="e">
        <f>E22*F22*'C2 - Funcionários #'!AG24*IF($C22="Operacional",IFERROR(VLOOKUP($D22,SN_UGC,28,0),0),1)</f>
        <v>#REF!</v>
      </c>
      <c r="H22" s="120" t="e">
        <f>$E22*'C2 - Funcionários #'!AH24*IF($C22="Operacional",IFERROR(VLOOKUP($D22,SN_UGC,28,0),0),1)</f>
        <v>#REF!</v>
      </c>
      <c r="I22" s="120" t="e">
        <f>$E22*'C2 - Funcionários #'!AI24*IF($C22="Operacional",IFERROR(VLOOKUP($D22,SN_UGC,28,0),0),1)</f>
        <v>#REF!</v>
      </c>
      <c r="J22" s="120" t="e">
        <f>$E22*'C2 - Funcionários #'!AJ24*IF($C22="Operacional",IFERROR(VLOOKUP($D22,SN_UGC,28,0),0),1)</f>
        <v>#REF!</v>
      </c>
      <c r="K22" s="120" t="e">
        <f>$E22*'C2 - Funcionários #'!AK24*IF($C22="Operacional",IFERROR(VLOOKUP($D22,SN_UGC,28,0),0),1)</f>
        <v>#REF!</v>
      </c>
      <c r="L22" s="120" t="e">
        <f>$E22*'C2 - Funcionários #'!AL24*IF($C22="Operacional",IFERROR(VLOOKUP($D22,SN_UGC,28,0),0),1)</f>
        <v>#REF!</v>
      </c>
      <c r="M22" s="120" t="e">
        <f>$E22*'C2 - Funcionários #'!AM24*IF($C22="Operacional",IFERROR(VLOOKUP($D22,SN_UGC,28,0),0),1)</f>
        <v>#REF!</v>
      </c>
      <c r="N22" s="120" t="e">
        <f>$E22*'C2 - Funcionários #'!AN24*IF($C22="Operacional",IFERROR(VLOOKUP($D22,SN_UGC,28,0),0),1)</f>
        <v>#REF!</v>
      </c>
      <c r="O22" s="120" t="e">
        <f>$E22*'C2 - Funcionários #'!AO24*IF($C22="Operacional",IFERROR(VLOOKUP($D22,SN_UGC,28,0),0),1)</f>
        <v>#REF!</v>
      </c>
      <c r="P22" s="120" t="e">
        <f>$E22*'C2 - Funcionários #'!AP24*IF($C22="Operacional",IFERROR(VLOOKUP($D22,SN_UGC,28,0),0),1)</f>
        <v>#REF!</v>
      </c>
      <c r="Q22" s="120" t="e">
        <f>$E22*'C2 - Funcionários #'!AQ24*IF($C22="Operacional",IFERROR(VLOOKUP($D22,SN_UGC,28,0),0),1)</f>
        <v>#REF!</v>
      </c>
      <c r="R22" s="120" t="e">
        <f>$E22*'C2 - Funcionários #'!AR24*IF($C22="Operacional",IFERROR(VLOOKUP($D22,SN_UGC,28,0),0),1)</f>
        <v>#REF!</v>
      </c>
      <c r="S22" s="120" t="e">
        <f>$E22*'C2 - Funcionários #'!AS24*IF($C22="Operacional",IFERROR(VLOOKUP($D22,SN_UGC,28,0),0),1)</f>
        <v>#REF!</v>
      </c>
      <c r="T22" s="120" t="e">
        <f>$E22*'C2 - Funcionários #'!AT24*IF($C22="Operacional",IFERROR(VLOOKUP($D22,SN_UGC,28,0),0),1)</f>
        <v>#REF!</v>
      </c>
      <c r="U22" s="120" t="e">
        <f>$E22*'C2 - Funcionários #'!AU24*IF($C22="Operacional",IFERROR(VLOOKUP($D22,SN_UGC,28,0),0),1)</f>
        <v>#REF!</v>
      </c>
      <c r="V22" s="120" t="e">
        <f>$E22*'C2 - Funcionários #'!AV24*IF($C22="Operacional",IFERROR(VLOOKUP($D22,SN_UGC,28,0),0),1)</f>
        <v>#REF!</v>
      </c>
      <c r="W22" s="120" t="e">
        <f>$E22*'C2 - Funcionários #'!AW24*IF($C22="Operacional",IFERROR(VLOOKUP($D22,SN_UGC,28,0),0),1)</f>
        <v>#REF!</v>
      </c>
      <c r="X22" s="120" t="e">
        <f>$E22*'C2 - Funcionários #'!AX24*IF($C22="Operacional",IFERROR(VLOOKUP($D22,SN_UGC,28,0),0),1)</f>
        <v>#REF!</v>
      </c>
      <c r="Y22" s="120" t="e">
        <f>$E22*'C2 - Funcionários #'!AY24*IF($C22="Operacional",IFERROR(VLOOKUP($D22,SN_UGC,28,0),0),1)</f>
        <v>#REF!</v>
      </c>
      <c r="Z22" s="120" t="e">
        <f>$E22*'C2 - Funcionários #'!AZ24*IF($C22="Operacional",IFERROR(VLOOKUP($D22,SN_UGC,28,0),0),1)</f>
        <v>#REF!</v>
      </c>
      <c r="AA22" s="120" t="e">
        <f>$E22*'C2 - Funcionários #'!BA24*IF($C22="Operacional",IFERROR(VLOOKUP($D22,SN_UGC,28,0),0),1)</f>
        <v>#REF!</v>
      </c>
      <c r="AB22" s="120" t="e">
        <f>$E22*'C2 - Funcionários #'!BB24*IF($C22="Operacional",IFERROR(VLOOKUP($D22,SN_UGC,28,0),0),1)</f>
        <v>#REF!</v>
      </c>
      <c r="AC22" s="120" t="e">
        <f>$E22*'C2 - Funcionários #'!BC24*IF($C22="Operacional",IFERROR(VLOOKUP($D22,SN_UGC,28,0),0),1)</f>
        <v>#REF!</v>
      </c>
      <c r="AD22" s="120" t="e">
        <f>$E22*'C2 - Funcionários #'!BD24*IF($C22="Operacional",IFERROR(VLOOKUP($D22,SN_UGC,28,0),0),1)</f>
        <v>#REF!</v>
      </c>
      <c r="AE22" s="120" t="e">
        <f>$E22*'C2 - Funcionários #'!BE24*IF($C22="Operacional",IFERROR(VLOOKUP($D22,SN_UGC,28,0),0),1)</f>
        <v>#REF!</v>
      </c>
      <c r="AF22" s="120" t="e">
        <f>$E22*'C2 - Funcionários #'!BF24*IF($C22="Operacional",IFERROR(VLOOKUP($D22,SN_UGC,28,0),0),1)</f>
        <v>#REF!</v>
      </c>
      <c r="AG22" s="120" t="e">
        <f>$E22*'C2 - Funcionários #'!BG24*IF($C22="Operacional",IFERROR(VLOOKUP($D22,SN_UGC,28,0),0),1)</f>
        <v>#REF!</v>
      </c>
      <c r="AH22" s="120" t="e">
        <f>$E22*'C2 - Funcionários #'!BH24*IF($C22="Operacional",IFERROR(VLOOKUP($D22,SN_UGC,28,0),0),1)</f>
        <v>#REF!</v>
      </c>
      <c r="AI22" s="120" t="e">
        <f>$E22*'C2 - Funcionários #'!BI24*IF($C22="Operacional",IFERROR(VLOOKUP($D22,SN_UGC,28,0),0),1)</f>
        <v>#REF!</v>
      </c>
      <c r="AJ22" s="120" t="e">
        <f>$E22*'C2 - Funcionários #'!BJ24*IF($C22="Operacional",IFERROR(VLOOKUP($D22,SN_UGC,28,0),0),1)</f>
        <v>#REF!</v>
      </c>
    </row>
    <row r="23" spans="1:36" ht="15.75" customHeight="1">
      <c r="A23" s="521"/>
      <c r="B23" s="51" t="e">
        <f>'C1 - Cargos e Salários'!#REF!</f>
        <v>#REF!</v>
      </c>
      <c r="C23" s="51" t="e">
        <f>'C1 - Cargos e Salários'!#REF!</f>
        <v>#REF!</v>
      </c>
      <c r="D23" s="51" t="e">
        <f>'C1 - Cargos e Salários'!#REF!</f>
        <v>#REF!</v>
      </c>
      <c r="E23" s="118" t="e">
        <f>'C1 - Cargos e Salários'!#REF!</f>
        <v>#REF!</v>
      </c>
      <c r="F23" s="119" t="e">
        <f>IF(C23="Operacional",IFERROR(VLOOKUP(D23,ReceitaPorTipo,COLUMN('A1 - Serviços e demanda'!$Z$17),0),0),100%)</f>
        <v>#REF!</v>
      </c>
      <c r="G23" s="120" t="e">
        <f>E23*F23*'C2 - Funcionários #'!AG25*IF($C23="Operacional",IFERROR(VLOOKUP($D23,SN_UGC,28,0),0),1)</f>
        <v>#REF!</v>
      </c>
      <c r="H23" s="120" t="e">
        <f>$E23*'C2 - Funcionários #'!AH25*IF($C23="Operacional",IFERROR(VLOOKUP($D23,SN_UGC,28,0),0),1)</f>
        <v>#REF!</v>
      </c>
      <c r="I23" s="120" t="e">
        <f>$E23*'C2 - Funcionários #'!AI25*IF($C23="Operacional",IFERROR(VLOOKUP($D23,SN_UGC,28,0),0),1)</f>
        <v>#REF!</v>
      </c>
      <c r="J23" s="120" t="e">
        <f>$E23*'C2 - Funcionários #'!AJ25*IF($C23="Operacional",IFERROR(VLOOKUP($D23,SN_UGC,28,0),0),1)</f>
        <v>#REF!</v>
      </c>
      <c r="K23" s="120" t="e">
        <f>$E23*'C2 - Funcionários #'!AK25*IF($C23="Operacional",IFERROR(VLOOKUP($D23,SN_UGC,28,0),0),1)</f>
        <v>#REF!</v>
      </c>
      <c r="L23" s="120" t="e">
        <f>$E23*'C2 - Funcionários #'!AL25*IF($C23="Operacional",IFERROR(VLOOKUP($D23,SN_UGC,28,0),0),1)</f>
        <v>#REF!</v>
      </c>
      <c r="M23" s="120" t="e">
        <f>$E23*'C2 - Funcionários #'!AM25*IF($C23="Operacional",IFERROR(VLOOKUP($D23,SN_UGC,28,0),0),1)</f>
        <v>#REF!</v>
      </c>
      <c r="N23" s="120" t="e">
        <f>$E23*'C2 - Funcionários #'!AN25*IF($C23="Operacional",IFERROR(VLOOKUP($D23,SN_UGC,28,0),0),1)</f>
        <v>#REF!</v>
      </c>
      <c r="O23" s="120" t="e">
        <f>$E23*'C2 - Funcionários #'!AO25*IF($C23="Operacional",IFERROR(VLOOKUP($D23,SN_UGC,28,0),0),1)</f>
        <v>#REF!</v>
      </c>
      <c r="P23" s="120" t="e">
        <f>$E23*'C2 - Funcionários #'!AP25*IF($C23="Operacional",IFERROR(VLOOKUP($D23,SN_UGC,28,0),0),1)</f>
        <v>#REF!</v>
      </c>
      <c r="Q23" s="120" t="e">
        <f>$E23*'C2 - Funcionários #'!AQ25*IF($C23="Operacional",IFERROR(VLOOKUP($D23,SN_UGC,28,0),0),1)</f>
        <v>#REF!</v>
      </c>
      <c r="R23" s="120" t="e">
        <f>$E23*'C2 - Funcionários #'!AR25*IF($C23="Operacional",IFERROR(VLOOKUP($D23,SN_UGC,28,0),0),1)</f>
        <v>#REF!</v>
      </c>
      <c r="S23" s="120" t="e">
        <f>$E23*'C2 - Funcionários #'!AS25*IF($C23="Operacional",IFERROR(VLOOKUP($D23,SN_UGC,28,0),0),1)</f>
        <v>#REF!</v>
      </c>
      <c r="T23" s="120" t="e">
        <f>$E23*'C2 - Funcionários #'!AT25*IF($C23="Operacional",IFERROR(VLOOKUP($D23,SN_UGC,28,0),0),1)</f>
        <v>#REF!</v>
      </c>
      <c r="U23" s="120" t="e">
        <f>$E23*'C2 - Funcionários #'!AU25*IF($C23="Operacional",IFERROR(VLOOKUP($D23,SN_UGC,28,0),0),1)</f>
        <v>#REF!</v>
      </c>
      <c r="V23" s="120" t="e">
        <f>$E23*'C2 - Funcionários #'!AV25*IF($C23="Operacional",IFERROR(VLOOKUP($D23,SN_UGC,28,0),0),1)</f>
        <v>#REF!</v>
      </c>
      <c r="W23" s="120" t="e">
        <f>$E23*'C2 - Funcionários #'!AW25*IF($C23="Operacional",IFERROR(VLOOKUP($D23,SN_UGC,28,0),0),1)</f>
        <v>#REF!</v>
      </c>
      <c r="X23" s="120" t="e">
        <f>$E23*'C2 - Funcionários #'!AX25*IF($C23="Operacional",IFERROR(VLOOKUP($D23,SN_UGC,28,0),0),1)</f>
        <v>#REF!</v>
      </c>
      <c r="Y23" s="120" t="e">
        <f>$E23*'C2 - Funcionários #'!AY25*IF($C23="Operacional",IFERROR(VLOOKUP($D23,SN_UGC,28,0),0),1)</f>
        <v>#REF!</v>
      </c>
      <c r="Z23" s="120" t="e">
        <f>$E23*'C2 - Funcionários #'!AZ25*IF($C23="Operacional",IFERROR(VLOOKUP($D23,SN_UGC,28,0),0),1)</f>
        <v>#REF!</v>
      </c>
      <c r="AA23" s="120" t="e">
        <f>$E23*'C2 - Funcionários #'!BA25*IF($C23="Operacional",IFERROR(VLOOKUP($D23,SN_UGC,28,0),0),1)</f>
        <v>#REF!</v>
      </c>
      <c r="AB23" s="120" t="e">
        <f>$E23*'C2 - Funcionários #'!BB25*IF($C23="Operacional",IFERROR(VLOOKUP($D23,SN_UGC,28,0),0),1)</f>
        <v>#REF!</v>
      </c>
      <c r="AC23" s="120" t="e">
        <f>$E23*'C2 - Funcionários #'!BC25*IF($C23="Operacional",IFERROR(VLOOKUP($D23,SN_UGC,28,0),0),1)</f>
        <v>#REF!</v>
      </c>
      <c r="AD23" s="120" t="e">
        <f>$E23*'C2 - Funcionários #'!BD25*IF($C23="Operacional",IFERROR(VLOOKUP($D23,SN_UGC,28,0),0),1)</f>
        <v>#REF!</v>
      </c>
      <c r="AE23" s="120" t="e">
        <f>$E23*'C2 - Funcionários #'!BE25*IF($C23="Operacional",IFERROR(VLOOKUP($D23,SN_UGC,28,0),0),1)</f>
        <v>#REF!</v>
      </c>
      <c r="AF23" s="120" t="e">
        <f>$E23*'C2 - Funcionários #'!BF25*IF($C23="Operacional",IFERROR(VLOOKUP($D23,SN_UGC,28,0),0),1)</f>
        <v>#REF!</v>
      </c>
      <c r="AG23" s="120" t="e">
        <f>$E23*'C2 - Funcionários #'!BG25*IF($C23="Operacional",IFERROR(VLOOKUP($D23,SN_UGC,28,0),0),1)</f>
        <v>#REF!</v>
      </c>
      <c r="AH23" s="120" t="e">
        <f>$E23*'C2 - Funcionários #'!BH25*IF($C23="Operacional",IFERROR(VLOOKUP($D23,SN_UGC,28,0),0),1)</f>
        <v>#REF!</v>
      </c>
      <c r="AI23" s="120" t="e">
        <f>$E23*'C2 - Funcionários #'!BI25*IF($C23="Operacional",IFERROR(VLOOKUP($D23,SN_UGC,28,0),0),1)</f>
        <v>#REF!</v>
      </c>
      <c r="AJ23" s="120" t="e">
        <f>$E23*'C2 - Funcionários #'!BJ25*IF($C23="Operacional",IFERROR(VLOOKUP($D23,SN_UGC,28,0),0),1)</f>
        <v>#REF!</v>
      </c>
    </row>
    <row r="24" spans="1:36" ht="15.75" customHeight="1">
      <c r="A24" s="521"/>
      <c r="B24" s="51" t="e">
        <f>'C1 - Cargos e Salários'!#REF!</f>
        <v>#REF!</v>
      </c>
      <c r="C24" s="51" t="e">
        <f>'C1 - Cargos e Salários'!#REF!</f>
        <v>#REF!</v>
      </c>
      <c r="D24" s="51" t="e">
        <f>'C1 - Cargos e Salários'!#REF!</f>
        <v>#REF!</v>
      </c>
      <c r="E24" s="118" t="e">
        <f>'C1 - Cargos e Salários'!#REF!</f>
        <v>#REF!</v>
      </c>
      <c r="F24" s="119" t="e">
        <f>IF(C24="Operacional",IFERROR(VLOOKUP(D24,ReceitaPorTipo,COLUMN('A1 - Serviços e demanda'!$Z$17),0),0),100%)</f>
        <v>#REF!</v>
      </c>
      <c r="G24" s="120" t="e">
        <f>E24*F24*'C2 - Funcionários #'!AG26*IF($C24="Operacional",IFERROR(VLOOKUP($D24,SN_UGC,28,0),0),1)</f>
        <v>#REF!</v>
      </c>
      <c r="H24" s="120" t="e">
        <f>$E24*'C2 - Funcionários #'!AH26*IF($C24="Operacional",IFERROR(VLOOKUP($D24,SN_UGC,28,0),0),1)</f>
        <v>#REF!</v>
      </c>
      <c r="I24" s="120" t="e">
        <f>$E24*'C2 - Funcionários #'!AI26*IF($C24="Operacional",IFERROR(VLOOKUP($D24,SN_UGC,28,0),0),1)</f>
        <v>#REF!</v>
      </c>
      <c r="J24" s="120" t="e">
        <f>$E24*'C2 - Funcionários #'!AJ26*IF($C24="Operacional",IFERROR(VLOOKUP($D24,SN_UGC,28,0),0),1)</f>
        <v>#REF!</v>
      </c>
      <c r="K24" s="120" t="e">
        <f>$E24*'C2 - Funcionários #'!AK26*IF($C24="Operacional",IFERROR(VLOOKUP($D24,SN_UGC,28,0),0),1)</f>
        <v>#REF!</v>
      </c>
      <c r="L24" s="120" t="e">
        <f>$E24*'C2 - Funcionários #'!AL26*IF($C24="Operacional",IFERROR(VLOOKUP($D24,SN_UGC,28,0),0),1)</f>
        <v>#REF!</v>
      </c>
      <c r="M24" s="120" t="e">
        <f>$E24*'C2 - Funcionários #'!AM26*IF($C24="Operacional",IFERROR(VLOOKUP($D24,SN_UGC,28,0),0),1)</f>
        <v>#REF!</v>
      </c>
      <c r="N24" s="120" t="e">
        <f>$E24*'C2 - Funcionários #'!AN26*IF($C24="Operacional",IFERROR(VLOOKUP($D24,SN_UGC,28,0),0),1)</f>
        <v>#REF!</v>
      </c>
      <c r="O24" s="120" t="e">
        <f>$E24*'C2 - Funcionários #'!AO26*IF($C24="Operacional",IFERROR(VLOOKUP($D24,SN_UGC,28,0),0),1)</f>
        <v>#REF!</v>
      </c>
      <c r="P24" s="120" t="e">
        <f>$E24*'C2 - Funcionários #'!AP26*IF($C24="Operacional",IFERROR(VLOOKUP($D24,SN_UGC,28,0),0),1)</f>
        <v>#REF!</v>
      </c>
      <c r="Q24" s="120" t="e">
        <f>$E24*'C2 - Funcionários #'!AQ26*IF($C24="Operacional",IFERROR(VLOOKUP($D24,SN_UGC,28,0),0),1)</f>
        <v>#REF!</v>
      </c>
      <c r="R24" s="120" t="e">
        <f>$E24*'C2 - Funcionários #'!AR26*IF($C24="Operacional",IFERROR(VLOOKUP($D24,SN_UGC,28,0),0),1)</f>
        <v>#REF!</v>
      </c>
      <c r="S24" s="120" t="e">
        <f>$E24*'C2 - Funcionários #'!AS26*IF($C24="Operacional",IFERROR(VLOOKUP($D24,SN_UGC,28,0),0),1)</f>
        <v>#REF!</v>
      </c>
      <c r="T24" s="120" t="e">
        <f>$E24*'C2 - Funcionários #'!AT26*IF($C24="Operacional",IFERROR(VLOOKUP($D24,SN_UGC,28,0),0),1)</f>
        <v>#REF!</v>
      </c>
      <c r="U24" s="120" t="e">
        <f>$E24*'C2 - Funcionários #'!AU26*IF($C24="Operacional",IFERROR(VLOOKUP($D24,SN_UGC,28,0),0),1)</f>
        <v>#REF!</v>
      </c>
      <c r="V24" s="120" t="e">
        <f>$E24*'C2 - Funcionários #'!AV26*IF($C24="Operacional",IFERROR(VLOOKUP($D24,SN_UGC,28,0),0),1)</f>
        <v>#REF!</v>
      </c>
      <c r="W24" s="120" t="e">
        <f>$E24*'C2 - Funcionários #'!AW26*IF($C24="Operacional",IFERROR(VLOOKUP($D24,SN_UGC,28,0),0),1)</f>
        <v>#REF!</v>
      </c>
      <c r="X24" s="120" t="e">
        <f>$E24*'C2 - Funcionários #'!AX26*IF($C24="Operacional",IFERROR(VLOOKUP($D24,SN_UGC,28,0),0),1)</f>
        <v>#REF!</v>
      </c>
      <c r="Y24" s="120" t="e">
        <f>$E24*'C2 - Funcionários #'!AY26*IF($C24="Operacional",IFERROR(VLOOKUP($D24,SN_UGC,28,0),0),1)</f>
        <v>#REF!</v>
      </c>
      <c r="Z24" s="120" t="e">
        <f>$E24*'C2 - Funcionários #'!AZ26*IF($C24="Operacional",IFERROR(VLOOKUP($D24,SN_UGC,28,0),0),1)</f>
        <v>#REF!</v>
      </c>
      <c r="AA24" s="120" t="e">
        <f>$E24*'C2 - Funcionários #'!BA26*IF($C24="Operacional",IFERROR(VLOOKUP($D24,SN_UGC,28,0),0),1)</f>
        <v>#REF!</v>
      </c>
      <c r="AB24" s="120" t="e">
        <f>$E24*'C2 - Funcionários #'!BB26*IF($C24="Operacional",IFERROR(VLOOKUP($D24,SN_UGC,28,0),0),1)</f>
        <v>#REF!</v>
      </c>
      <c r="AC24" s="120" t="e">
        <f>$E24*'C2 - Funcionários #'!BC26*IF($C24="Operacional",IFERROR(VLOOKUP($D24,SN_UGC,28,0),0),1)</f>
        <v>#REF!</v>
      </c>
      <c r="AD24" s="120" t="e">
        <f>$E24*'C2 - Funcionários #'!BD26*IF($C24="Operacional",IFERROR(VLOOKUP($D24,SN_UGC,28,0),0),1)</f>
        <v>#REF!</v>
      </c>
      <c r="AE24" s="120" t="e">
        <f>$E24*'C2 - Funcionários #'!BE26*IF($C24="Operacional",IFERROR(VLOOKUP($D24,SN_UGC,28,0),0),1)</f>
        <v>#REF!</v>
      </c>
      <c r="AF24" s="120" t="e">
        <f>$E24*'C2 - Funcionários #'!BF26*IF($C24="Operacional",IFERROR(VLOOKUP($D24,SN_UGC,28,0),0),1)</f>
        <v>#REF!</v>
      </c>
      <c r="AG24" s="120" t="e">
        <f>$E24*'C2 - Funcionários #'!BG26*IF($C24="Operacional",IFERROR(VLOOKUP($D24,SN_UGC,28,0),0),1)</f>
        <v>#REF!</v>
      </c>
      <c r="AH24" s="120" t="e">
        <f>$E24*'C2 - Funcionários #'!BH26*IF($C24="Operacional",IFERROR(VLOOKUP($D24,SN_UGC,28,0),0),1)</f>
        <v>#REF!</v>
      </c>
      <c r="AI24" s="120" t="e">
        <f>$E24*'C2 - Funcionários #'!BI26*IF($C24="Operacional",IFERROR(VLOOKUP($D24,SN_UGC,28,0),0),1)</f>
        <v>#REF!</v>
      </c>
      <c r="AJ24" s="120" t="e">
        <f>$E24*'C2 - Funcionários #'!BJ26*IF($C24="Operacional",IFERROR(VLOOKUP($D24,SN_UGC,28,0),0),1)</f>
        <v>#REF!</v>
      </c>
    </row>
    <row r="25" spans="1:36" ht="15.75" customHeight="1">
      <c r="A25" s="521"/>
      <c r="B25" s="51" t="e">
        <f>'C1 - Cargos e Salários'!#REF!</f>
        <v>#REF!</v>
      </c>
      <c r="C25" s="51" t="e">
        <f>'C1 - Cargos e Salários'!#REF!</f>
        <v>#REF!</v>
      </c>
      <c r="D25" s="51" t="e">
        <f>'C1 - Cargos e Salários'!#REF!</f>
        <v>#REF!</v>
      </c>
      <c r="E25" s="118" t="e">
        <f>'C1 - Cargos e Salários'!#REF!</f>
        <v>#REF!</v>
      </c>
      <c r="F25" s="119" t="e">
        <f>IF(C25="Operacional",IFERROR(VLOOKUP(D25,ReceitaPorTipo,COLUMN('A1 - Serviços e demanda'!$Z$17),0),0),100%)</f>
        <v>#REF!</v>
      </c>
      <c r="G25" s="120" t="e">
        <f>E25*F25*'C2 - Funcionários #'!AG27*IF($C25="Operacional",IFERROR(VLOOKUP($D25,SN_UGC,28,0),0),1)</f>
        <v>#REF!</v>
      </c>
      <c r="H25" s="120" t="e">
        <f>$E25*'C2 - Funcionários #'!AH27*IF($C25="Operacional",IFERROR(VLOOKUP($D25,SN_UGC,28,0),0),1)</f>
        <v>#REF!</v>
      </c>
      <c r="I25" s="120" t="e">
        <f>$E25*'C2 - Funcionários #'!AI27*IF($C25="Operacional",IFERROR(VLOOKUP($D25,SN_UGC,28,0),0),1)</f>
        <v>#REF!</v>
      </c>
      <c r="J25" s="120" t="e">
        <f>$E25*'C2 - Funcionários #'!AJ27*IF($C25="Operacional",IFERROR(VLOOKUP($D25,SN_UGC,28,0),0),1)</f>
        <v>#REF!</v>
      </c>
      <c r="K25" s="120" t="e">
        <f>$E25*'C2 - Funcionários #'!AK27*IF($C25="Operacional",IFERROR(VLOOKUP($D25,SN_UGC,28,0),0),1)</f>
        <v>#REF!</v>
      </c>
      <c r="L25" s="120" t="e">
        <f>$E25*'C2 - Funcionários #'!AL27*IF($C25="Operacional",IFERROR(VLOOKUP($D25,SN_UGC,28,0),0),1)</f>
        <v>#REF!</v>
      </c>
      <c r="M25" s="120" t="e">
        <f>$E25*'C2 - Funcionários #'!AM27*IF($C25="Operacional",IFERROR(VLOOKUP($D25,SN_UGC,28,0),0),1)</f>
        <v>#REF!</v>
      </c>
      <c r="N25" s="120" t="e">
        <f>$E25*'C2 - Funcionários #'!AN27*IF($C25="Operacional",IFERROR(VLOOKUP($D25,SN_UGC,28,0),0),1)</f>
        <v>#REF!</v>
      </c>
      <c r="O25" s="120" t="e">
        <f>$E25*'C2 - Funcionários #'!AO27*IF($C25="Operacional",IFERROR(VLOOKUP($D25,SN_UGC,28,0),0),1)</f>
        <v>#REF!</v>
      </c>
      <c r="P25" s="120" t="e">
        <f>$E25*'C2 - Funcionários #'!AP27*IF($C25="Operacional",IFERROR(VLOOKUP($D25,SN_UGC,28,0),0),1)</f>
        <v>#REF!</v>
      </c>
      <c r="Q25" s="120" t="e">
        <f>$E25*'C2 - Funcionários #'!AQ27*IF($C25="Operacional",IFERROR(VLOOKUP($D25,SN_UGC,28,0),0),1)</f>
        <v>#REF!</v>
      </c>
      <c r="R25" s="120" t="e">
        <f>$E25*'C2 - Funcionários #'!AR27*IF($C25="Operacional",IFERROR(VLOOKUP($D25,SN_UGC,28,0),0),1)</f>
        <v>#REF!</v>
      </c>
      <c r="S25" s="120" t="e">
        <f>$E25*'C2 - Funcionários #'!AS27*IF($C25="Operacional",IFERROR(VLOOKUP($D25,SN_UGC,28,0),0),1)</f>
        <v>#REF!</v>
      </c>
      <c r="T25" s="120" t="e">
        <f>$E25*'C2 - Funcionários #'!AT27*IF($C25="Operacional",IFERROR(VLOOKUP($D25,SN_UGC,28,0),0),1)</f>
        <v>#REF!</v>
      </c>
      <c r="U25" s="120" t="e">
        <f>$E25*'C2 - Funcionários #'!AU27*IF($C25="Operacional",IFERROR(VLOOKUP($D25,SN_UGC,28,0),0),1)</f>
        <v>#REF!</v>
      </c>
      <c r="V25" s="120" t="e">
        <f>$E25*'C2 - Funcionários #'!AV27*IF($C25="Operacional",IFERROR(VLOOKUP($D25,SN_UGC,28,0),0),1)</f>
        <v>#REF!</v>
      </c>
      <c r="W25" s="120" t="e">
        <f>$E25*'C2 - Funcionários #'!AW27*IF($C25="Operacional",IFERROR(VLOOKUP($D25,SN_UGC,28,0),0),1)</f>
        <v>#REF!</v>
      </c>
      <c r="X25" s="120" t="e">
        <f>$E25*'C2 - Funcionários #'!AX27*IF($C25="Operacional",IFERROR(VLOOKUP($D25,SN_UGC,28,0),0),1)</f>
        <v>#REF!</v>
      </c>
      <c r="Y25" s="120" t="e">
        <f>$E25*'C2 - Funcionários #'!AY27*IF($C25="Operacional",IFERROR(VLOOKUP($D25,SN_UGC,28,0),0),1)</f>
        <v>#REF!</v>
      </c>
      <c r="Z25" s="120" t="e">
        <f>$E25*'C2 - Funcionários #'!AZ27*IF($C25="Operacional",IFERROR(VLOOKUP($D25,SN_UGC,28,0),0),1)</f>
        <v>#REF!</v>
      </c>
      <c r="AA25" s="120" t="e">
        <f>$E25*'C2 - Funcionários #'!BA27*IF($C25="Operacional",IFERROR(VLOOKUP($D25,SN_UGC,28,0),0),1)</f>
        <v>#REF!</v>
      </c>
      <c r="AB25" s="120" t="e">
        <f>$E25*'C2 - Funcionários #'!BB27*IF($C25="Operacional",IFERROR(VLOOKUP($D25,SN_UGC,28,0),0),1)</f>
        <v>#REF!</v>
      </c>
      <c r="AC25" s="120" t="e">
        <f>$E25*'C2 - Funcionários #'!BC27*IF($C25="Operacional",IFERROR(VLOOKUP($D25,SN_UGC,28,0),0),1)</f>
        <v>#REF!</v>
      </c>
      <c r="AD25" s="120" t="e">
        <f>$E25*'C2 - Funcionários #'!BD27*IF($C25="Operacional",IFERROR(VLOOKUP($D25,SN_UGC,28,0),0),1)</f>
        <v>#REF!</v>
      </c>
      <c r="AE25" s="120" t="e">
        <f>$E25*'C2 - Funcionários #'!BE27*IF($C25="Operacional",IFERROR(VLOOKUP($D25,SN_UGC,28,0),0),1)</f>
        <v>#REF!</v>
      </c>
      <c r="AF25" s="120" t="e">
        <f>$E25*'C2 - Funcionários #'!BF27*IF($C25="Operacional",IFERROR(VLOOKUP($D25,SN_UGC,28,0),0),1)</f>
        <v>#REF!</v>
      </c>
      <c r="AG25" s="120" t="e">
        <f>$E25*'C2 - Funcionários #'!BG27*IF($C25="Operacional",IFERROR(VLOOKUP($D25,SN_UGC,28,0),0),1)</f>
        <v>#REF!</v>
      </c>
      <c r="AH25" s="120" t="e">
        <f>$E25*'C2 - Funcionários #'!BH27*IF($C25="Operacional",IFERROR(VLOOKUP($D25,SN_UGC,28,0),0),1)</f>
        <v>#REF!</v>
      </c>
      <c r="AI25" s="120" t="e">
        <f>$E25*'C2 - Funcionários #'!BI27*IF($C25="Operacional",IFERROR(VLOOKUP($D25,SN_UGC,28,0),0),1)</f>
        <v>#REF!</v>
      </c>
      <c r="AJ25" s="120" t="e">
        <f>$E25*'C2 - Funcionários #'!BJ27*IF($C25="Operacional",IFERROR(VLOOKUP($D25,SN_UGC,28,0),0),1)</f>
        <v>#REF!</v>
      </c>
    </row>
    <row r="26" spans="1:36" ht="15.75" customHeight="1">
      <c r="A26" s="521"/>
      <c r="B26" s="51" t="e">
        <f>'C1 - Cargos e Salários'!#REF!</f>
        <v>#REF!</v>
      </c>
      <c r="C26" s="51" t="e">
        <f>'C1 - Cargos e Salários'!#REF!</f>
        <v>#REF!</v>
      </c>
      <c r="D26" s="51" t="e">
        <f>'C1 - Cargos e Salários'!#REF!</f>
        <v>#REF!</v>
      </c>
      <c r="E26" s="118" t="e">
        <f>'C1 - Cargos e Salários'!#REF!</f>
        <v>#REF!</v>
      </c>
      <c r="F26" s="119" t="e">
        <f>IF(C26="Operacional",IFERROR(VLOOKUP(D26,ReceitaPorTipo,COLUMN('A1 - Serviços e demanda'!$Z$17),0),0),100%)</f>
        <v>#REF!</v>
      </c>
      <c r="G26" s="120" t="e">
        <f>E26*F26*'C2 - Funcionários #'!AG28*IF($C26="Operacional",IFERROR(VLOOKUP($D26,SN_UGC,28,0),0),1)</f>
        <v>#REF!</v>
      </c>
      <c r="H26" s="120" t="e">
        <f>$E26*'C2 - Funcionários #'!AH28*IF($C26="Operacional",IFERROR(VLOOKUP($D26,SN_UGC,28,0),0),1)</f>
        <v>#REF!</v>
      </c>
      <c r="I26" s="120" t="e">
        <f>$E26*'C2 - Funcionários #'!AI28*IF($C26="Operacional",IFERROR(VLOOKUP($D26,SN_UGC,28,0),0),1)</f>
        <v>#REF!</v>
      </c>
      <c r="J26" s="120" t="e">
        <f>$E26*'C2 - Funcionários #'!AJ28*IF($C26="Operacional",IFERROR(VLOOKUP($D26,SN_UGC,28,0),0),1)</f>
        <v>#REF!</v>
      </c>
      <c r="K26" s="120" t="e">
        <f>$E26*'C2 - Funcionários #'!AK28*IF($C26="Operacional",IFERROR(VLOOKUP($D26,SN_UGC,28,0),0),1)</f>
        <v>#REF!</v>
      </c>
      <c r="L26" s="120" t="e">
        <f>$E26*'C2 - Funcionários #'!AL28*IF($C26="Operacional",IFERROR(VLOOKUP($D26,SN_UGC,28,0),0),1)</f>
        <v>#REF!</v>
      </c>
      <c r="M26" s="120" t="e">
        <f>$E26*'C2 - Funcionários #'!AM28*IF($C26="Operacional",IFERROR(VLOOKUP($D26,SN_UGC,28,0),0),1)</f>
        <v>#REF!</v>
      </c>
      <c r="N26" s="120" t="e">
        <f>$E26*'C2 - Funcionários #'!AN28*IF($C26="Operacional",IFERROR(VLOOKUP($D26,SN_UGC,28,0),0),1)</f>
        <v>#REF!</v>
      </c>
      <c r="O26" s="120" t="e">
        <f>$E26*'C2 - Funcionários #'!AO28*IF($C26="Operacional",IFERROR(VLOOKUP($D26,SN_UGC,28,0),0),1)</f>
        <v>#REF!</v>
      </c>
      <c r="P26" s="120" t="e">
        <f>$E26*'C2 - Funcionários #'!AP28*IF($C26="Operacional",IFERROR(VLOOKUP($D26,SN_UGC,28,0),0),1)</f>
        <v>#REF!</v>
      </c>
      <c r="Q26" s="120" t="e">
        <f>$E26*'C2 - Funcionários #'!AQ28*IF($C26="Operacional",IFERROR(VLOOKUP($D26,SN_UGC,28,0),0),1)</f>
        <v>#REF!</v>
      </c>
      <c r="R26" s="120" t="e">
        <f>$E26*'C2 - Funcionários #'!AR28*IF($C26="Operacional",IFERROR(VLOOKUP($D26,SN_UGC,28,0),0),1)</f>
        <v>#REF!</v>
      </c>
      <c r="S26" s="120" t="e">
        <f>$E26*'C2 - Funcionários #'!AS28*IF($C26="Operacional",IFERROR(VLOOKUP($D26,SN_UGC,28,0),0),1)</f>
        <v>#REF!</v>
      </c>
      <c r="T26" s="120" t="e">
        <f>$E26*'C2 - Funcionários #'!AT28*IF($C26="Operacional",IFERROR(VLOOKUP($D26,SN_UGC,28,0),0),1)</f>
        <v>#REF!</v>
      </c>
      <c r="U26" s="120" t="e">
        <f>$E26*'C2 - Funcionários #'!AU28*IF($C26="Operacional",IFERROR(VLOOKUP($D26,SN_UGC,28,0),0),1)</f>
        <v>#REF!</v>
      </c>
      <c r="V26" s="120" t="e">
        <f>$E26*'C2 - Funcionários #'!AV28*IF($C26="Operacional",IFERROR(VLOOKUP($D26,SN_UGC,28,0),0),1)</f>
        <v>#REF!</v>
      </c>
      <c r="W26" s="120" t="e">
        <f>$E26*'C2 - Funcionários #'!AW28*IF($C26="Operacional",IFERROR(VLOOKUP($D26,SN_UGC,28,0),0),1)</f>
        <v>#REF!</v>
      </c>
      <c r="X26" s="120" t="e">
        <f>$E26*'C2 - Funcionários #'!AX28*IF($C26="Operacional",IFERROR(VLOOKUP($D26,SN_UGC,28,0),0),1)</f>
        <v>#REF!</v>
      </c>
      <c r="Y26" s="120" t="e">
        <f>$E26*'C2 - Funcionários #'!AY28*IF($C26="Operacional",IFERROR(VLOOKUP($D26,SN_UGC,28,0),0),1)</f>
        <v>#REF!</v>
      </c>
      <c r="Z26" s="120" t="e">
        <f>$E26*'C2 - Funcionários #'!AZ28*IF($C26="Operacional",IFERROR(VLOOKUP($D26,SN_UGC,28,0),0),1)</f>
        <v>#REF!</v>
      </c>
      <c r="AA26" s="120" t="e">
        <f>$E26*'C2 - Funcionários #'!BA28*IF($C26="Operacional",IFERROR(VLOOKUP($D26,SN_UGC,28,0),0),1)</f>
        <v>#REF!</v>
      </c>
      <c r="AB26" s="120" t="e">
        <f>$E26*'C2 - Funcionários #'!BB28*IF($C26="Operacional",IFERROR(VLOOKUP($D26,SN_UGC,28,0),0),1)</f>
        <v>#REF!</v>
      </c>
      <c r="AC26" s="120" t="e">
        <f>$E26*'C2 - Funcionários #'!BC28*IF($C26="Operacional",IFERROR(VLOOKUP($D26,SN_UGC,28,0),0),1)</f>
        <v>#REF!</v>
      </c>
      <c r="AD26" s="120" t="e">
        <f>$E26*'C2 - Funcionários #'!BD28*IF($C26="Operacional",IFERROR(VLOOKUP($D26,SN_UGC,28,0),0),1)</f>
        <v>#REF!</v>
      </c>
      <c r="AE26" s="120" t="e">
        <f>$E26*'C2 - Funcionários #'!BE28*IF($C26="Operacional",IFERROR(VLOOKUP($D26,SN_UGC,28,0),0),1)</f>
        <v>#REF!</v>
      </c>
      <c r="AF26" s="120" t="e">
        <f>$E26*'C2 - Funcionários #'!BF28*IF($C26="Operacional",IFERROR(VLOOKUP($D26,SN_UGC,28,0),0),1)</f>
        <v>#REF!</v>
      </c>
      <c r="AG26" s="120" t="e">
        <f>$E26*'C2 - Funcionários #'!BG28*IF($C26="Operacional",IFERROR(VLOOKUP($D26,SN_UGC,28,0),0),1)</f>
        <v>#REF!</v>
      </c>
      <c r="AH26" s="120" t="e">
        <f>$E26*'C2 - Funcionários #'!BH28*IF($C26="Operacional",IFERROR(VLOOKUP($D26,SN_UGC,28,0),0),1)</f>
        <v>#REF!</v>
      </c>
      <c r="AI26" s="120" t="e">
        <f>$E26*'C2 - Funcionários #'!BI28*IF($C26="Operacional",IFERROR(VLOOKUP($D26,SN_UGC,28,0),0),1)</f>
        <v>#REF!</v>
      </c>
      <c r="AJ26" s="120" t="e">
        <f>$E26*'C2 - Funcionários #'!BJ28*IF($C26="Operacional",IFERROR(VLOOKUP($D26,SN_UGC,28,0),0),1)</f>
        <v>#REF!</v>
      </c>
    </row>
    <row r="27" spans="1:36" ht="15.75" customHeight="1">
      <c r="A27" s="521"/>
      <c r="B27" s="51" t="e">
        <f>'C1 - Cargos e Salários'!#REF!</f>
        <v>#REF!</v>
      </c>
      <c r="C27" s="51" t="e">
        <f>'C1 - Cargos e Salários'!#REF!</f>
        <v>#REF!</v>
      </c>
      <c r="D27" s="51" t="e">
        <f>'C1 - Cargos e Salários'!#REF!</f>
        <v>#REF!</v>
      </c>
      <c r="E27" s="118" t="e">
        <f>'C1 - Cargos e Salários'!#REF!</f>
        <v>#REF!</v>
      </c>
      <c r="F27" s="119" t="e">
        <f>IF(C27="Operacional",IFERROR(VLOOKUP(D27,ReceitaPorTipo,COLUMN('A1 - Serviços e demanda'!$Z$17),0),0),100%)</f>
        <v>#REF!</v>
      </c>
      <c r="G27" s="120" t="e">
        <f>E27*F27*'C2 - Funcionários #'!AG29*IF($C27="Operacional",IFERROR(VLOOKUP($D27,SN_UGC,28,0),0),1)</f>
        <v>#REF!</v>
      </c>
      <c r="H27" s="120" t="e">
        <f>$E27*'C2 - Funcionários #'!AH29*IF($C27="Operacional",IFERROR(VLOOKUP($D27,SN_UGC,28,0),0),1)</f>
        <v>#REF!</v>
      </c>
      <c r="I27" s="120" t="e">
        <f>$E27*'C2 - Funcionários #'!AI29*IF($C27="Operacional",IFERROR(VLOOKUP($D27,SN_UGC,28,0),0),1)</f>
        <v>#REF!</v>
      </c>
      <c r="J27" s="120" t="e">
        <f>$E27*'C2 - Funcionários #'!AJ29*IF($C27="Operacional",IFERROR(VLOOKUP($D27,SN_UGC,28,0),0),1)</f>
        <v>#REF!</v>
      </c>
      <c r="K27" s="120" t="e">
        <f>$E27*'C2 - Funcionários #'!AK29*IF($C27="Operacional",IFERROR(VLOOKUP($D27,SN_UGC,28,0),0),1)</f>
        <v>#REF!</v>
      </c>
      <c r="L27" s="120" t="e">
        <f>$E27*'C2 - Funcionários #'!AL29*IF($C27="Operacional",IFERROR(VLOOKUP($D27,SN_UGC,28,0),0),1)</f>
        <v>#REF!</v>
      </c>
      <c r="M27" s="120" t="e">
        <f>$E27*'C2 - Funcionários #'!AM29*IF($C27="Operacional",IFERROR(VLOOKUP($D27,SN_UGC,28,0),0),1)</f>
        <v>#REF!</v>
      </c>
      <c r="N27" s="120" t="e">
        <f>$E27*'C2 - Funcionários #'!AN29*IF($C27="Operacional",IFERROR(VLOOKUP($D27,SN_UGC,28,0),0),1)</f>
        <v>#REF!</v>
      </c>
      <c r="O27" s="120" t="e">
        <f>$E27*'C2 - Funcionários #'!AO29*IF($C27="Operacional",IFERROR(VLOOKUP($D27,SN_UGC,28,0),0),1)</f>
        <v>#REF!</v>
      </c>
      <c r="P27" s="120" t="e">
        <f>$E27*'C2 - Funcionários #'!AP29*IF($C27="Operacional",IFERROR(VLOOKUP($D27,SN_UGC,28,0),0),1)</f>
        <v>#REF!</v>
      </c>
      <c r="Q27" s="120" t="e">
        <f>$E27*'C2 - Funcionários #'!AQ29*IF($C27="Operacional",IFERROR(VLOOKUP($D27,SN_UGC,28,0),0),1)</f>
        <v>#REF!</v>
      </c>
      <c r="R27" s="120" t="e">
        <f>$E27*'C2 - Funcionários #'!AR29*IF($C27="Operacional",IFERROR(VLOOKUP($D27,SN_UGC,28,0),0),1)</f>
        <v>#REF!</v>
      </c>
      <c r="S27" s="120" t="e">
        <f>$E27*'C2 - Funcionários #'!AS29*IF($C27="Operacional",IFERROR(VLOOKUP($D27,SN_UGC,28,0),0),1)</f>
        <v>#REF!</v>
      </c>
      <c r="T27" s="120" t="e">
        <f>$E27*'C2 - Funcionários #'!AT29*IF($C27="Operacional",IFERROR(VLOOKUP($D27,SN_UGC,28,0),0),1)</f>
        <v>#REF!</v>
      </c>
      <c r="U27" s="120" t="e">
        <f>$E27*'C2 - Funcionários #'!AU29*IF($C27="Operacional",IFERROR(VLOOKUP($D27,SN_UGC,28,0),0),1)</f>
        <v>#REF!</v>
      </c>
      <c r="V27" s="120" t="e">
        <f>$E27*'C2 - Funcionários #'!AV29*IF($C27="Operacional",IFERROR(VLOOKUP($D27,SN_UGC,28,0),0),1)</f>
        <v>#REF!</v>
      </c>
      <c r="W27" s="120" t="e">
        <f>$E27*'C2 - Funcionários #'!AW29*IF($C27="Operacional",IFERROR(VLOOKUP($D27,SN_UGC,28,0),0),1)</f>
        <v>#REF!</v>
      </c>
      <c r="X27" s="120" t="e">
        <f>$E27*'C2 - Funcionários #'!AX29*IF($C27="Operacional",IFERROR(VLOOKUP($D27,SN_UGC,28,0),0),1)</f>
        <v>#REF!</v>
      </c>
      <c r="Y27" s="120" t="e">
        <f>$E27*'C2 - Funcionários #'!AY29*IF($C27="Operacional",IFERROR(VLOOKUP($D27,SN_UGC,28,0),0),1)</f>
        <v>#REF!</v>
      </c>
      <c r="Z27" s="120" t="e">
        <f>$E27*'C2 - Funcionários #'!AZ29*IF($C27="Operacional",IFERROR(VLOOKUP($D27,SN_UGC,28,0),0),1)</f>
        <v>#REF!</v>
      </c>
      <c r="AA27" s="120" t="e">
        <f>$E27*'C2 - Funcionários #'!BA29*IF($C27="Operacional",IFERROR(VLOOKUP($D27,SN_UGC,28,0),0),1)</f>
        <v>#REF!</v>
      </c>
      <c r="AB27" s="120" t="e">
        <f>$E27*'C2 - Funcionários #'!BB29*IF($C27="Operacional",IFERROR(VLOOKUP($D27,SN_UGC,28,0),0),1)</f>
        <v>#REF!</v>
      </c>
      <c r="AC27" s="120" t="e">
        <f>$E27*'C2 - Funcionários #'!BC29*IF($C27="Operacional",IFERROR(VLOOKUP($D27,SN_UGC,28,0),0),1)</f>
        <v>#REF!</v>
      </c>
      <c r="AD27" s="120" t="e">
        <f>$E27*'C2 - Funcionários #'!BD29*IF($C27="Operacional",IFERROR(VLOOKUP($D27,SN_UGC,28,0),0),1)</f>
        <v>#REF!</v>
      </c>
      <c r="AE27" s="120" t="e">
        <f>$E27*'C2 - Funcionários #'!BE29*IF($C27="Operacional",IFERROR(VLOOKUP($D27,SN_UGC,28,0),0),1)</f>
        <v>#REF!</v>
      </c>
      <c r="AF27" s="120" t="e">
        <f>$E27*'C2 - Funcionários #'!BF29*IF($C27="Operacional",IFERROR(VLOOKUP($D27,SN_UGC,28,0),0),1)</f>
        <v>#REF!</v>
      </c>
      <c r="AG27" s="120" t="e">
        <f>$E27*'C2 - Funcionários #'!BG29*IF($C27="Operacional",IFERROR(VLOOKUP($D27,SN_UGC,28,0),0),1)</f>
        <v>#REF!</v>
      </c>
      <c r="AH27" s="120" t="e">
        <f>$E27*'C2 - Funcionários #'!BH29*IF($C27="Operacional",IFERROR(VLOOKUP($D27,SN_UGC,28,0),0),1)</f>
        <v>#REF!</v>
      </c>
      <c r="AI27" s="120" t="e">
        <f>$E27*'C2 - Funcionários #'!BI29*IF($C27="Operacional",IFERROR(VLOOKUP($D27,SN_UGC,28,0),0),1)</f>
        <v>#REF!</v>
      </c>
      <c r="AJ27" s="120" t="e">
        <f>$E27*'C2 - Funcionários #'!BJ29*IF($C27="Operacional",IFERROR(VLOOKUP($D27,SN_UGC,28,0),0),1)</f>
        <v>#REF!</v>
      </c>
    </row>
    <row r="28" spans="1:36" ht="15.75" customHeight="1">
      <c r="A28" s="521"/>
      <c r="B28" s="51" t="str">
        <f>'C1 - Cargos e Salários'!B22</f>
        <v>Cozinheiro</v>
      </c>
      <c r="C28" s="51" t="str">
        <f>'C1 - Cargos e Salários'!C22</f>
        <v>Operacional</v>
      </c>
      <c r="D28" s="51" t="str">
        <f>'C1 - Cargos e Salários'!D22</f>
        <v>Pedra Furada - Alimentação</v>
      </c>
      <c r="E28" s="118">
        <f>'C1 - Cargos e Salários'!K22</f>
        <v>41448.663019719999</v>
      </c>
      <c r="F28" s="119">
        <f>IF(C28="Operacional",IFERROR(VLOOKUP(D28,ReceitaPorTipo,COLUMN('A1 - Serviços e demanda'!$Z$17),0),0),100%)</f>
        <v>0</v>
      </c>
      <c r="G28" s="120">
        <f>E28*F28*'C2 - Funcionários #'!AG30*IF($C28="Operacional",IFERROR(VLOOKUP($D28,SN_UGC,28,0),0),1)</f>
        <v>0</v>
      </c>
      <c r="H28" s="120">
        <f>$E28*'C2 - Funcionários #'!AH30*IF($C28="Operacional",IFERROR(VLOOKUP($D28,SN_UGC,28,0),0),1)</f>
        <v>41448.663019719999</v>
      </c>
      <c r="I28" s="120">
        <f>$E28*'C2 - Funcionários #'!AI30*IF($C28="Operacional",IFERROR(VLOOKUP($D28,SN_UGC,28,0),0),1)</f>
        <v>41448.663019719999</v>
      </c>
      <c r="J28" s="120">
        <f>$E28*'C2 - Funcionários #'!AJ30*IF($C28="Operacional",IFERROR(VLOOKUP($D28,SN_UGC,28,0),0),1)</f>
        <v>41448.663019719999</v>
      </c>
      <c r="K28" s="120">
        <f>$E28*'C2 - Funcionários #'!AK30*IF($C28="Operacional",IFERROR(VLOOKUP($D28,SN_UGC,28,0),0),1)</f>
        <v>41448.663019719999</v>
      </c>
      <c r="L28" s="120">
        <f>$E28*'C2 - Funcionários #'!AL30*IF($C28="Operacional",IFERROR(VLOOKUP($D28,SN_UGC,28,0),0),1)</f>
        <v>41448.663019719999</v>
      </c>
      <c r="M28" s="120">
        <f>$E28*'C2 - Funcionários #'!AM30*IF($C28="Operacional",IFERROR(VLOOKUP($D28,SN_UGC,28,0),0),1)</f>
        <v>41448.663019719999</v>
      </c>
      <c r="N28" s="120">
        <f>$E28*'C2 - Funcionários #'!AN30*IF($C28="Operacional",IFERROR(VLOOKUP($D28,SN_UGC,28,0),0),1)</f>
        <v>41448.663019719999</v>
      </c>
      <c r="O28" s="120">
        <f>$E28*'C2 - Funcionários #'!AO30*IF($C28="Operacional",IFERROR(VLOOKUP($D28,SN_UGC,28,0),0),1)</f>
        <v>41448.663019719999</v>
      </c>
      <c r="P28" s="120">
        <f>$E28*'C2 - Funcionários #'!AP30*IF($C28="Operacional",IFERROR(VLOOKUP($D28,SN_UGC,28,0),0),1)</f>
        <v>41448.663019719999</v>
      </c>
      <c r="Q28" s="120">
        <f>$E28*'C2 - Funcionários #'!AQ30*IF($C28="Operacional",IFERROR(VLOOKUP($D28,SN_UGC,28,0),0),1)</f>
        <v>41448.663019719999</v>
      </c>
      <c r="R28" s="120">
        <f>$E28*'C2 - Funcionários #'!AR30*IF($C28="Operacional",IFERROR(VLOOKUP($D28,SN_UGC,28,0),0),1)</f>
        <v>41448.663019719999</v>
      </c>
      <c r="S28" s="120">
        <f>$E28*'C2 - Funcionários #'!AS30*IF($C28="Operacional",IFERROR(VLOOKUP($D28,SN_UGC,28,0),0),1)</f>
        <v>41448.663019719999</v>
      </c>
      <c r="T28" s="120">
        <f>$E28*'C2 - Funcionários #'!AT30*IF($C28="Operacional",IFERROR(VLOOKUP($D28,SN_UGC,28,0),0),1)</f>
        <v>41448.663019719999</v>
      </c>
      <c r="U28" s="120">
        <f>$E28*'C2 - Funcionários #'!AU30*IF($C28="Operacional",IFERROR(VLOOKUP($D28,SN_UGC,28,0),0),1)</f>
        <v>41448.663019719999</v>
      </c>
      <c r="V28" s="120">
        <f>$E28*'C2 - Funcionários #'!AV30*IF($C28="Operacional",IFERROR(VLOOKUP($D28,SN_UGC,28,0),0),1)</f>
        <v>41448.663019719999</v>
      </c>
      <c r="W28" s="120">
        <f>$E28*'C2 - Funcionários #'!AW30*IF($C28="Operacional",IFERROR(VLOOKUP($D28,SN_UGC,28,0),0),1)</f>
        <v>41448.663019719999</v>
      </c>
      <c r="X28" s="120">
        <f>$E28*'C2 - Funcionários #'!AX30*IF($C28="Operacional",IFERROR(VLOOKUP($D28,SN_UGC,28,0),0),1)</f>
        <v>41448.663019719999</v>
      </c>
      <c r="Y28" s="120">
        <f>$E28*'C2 - Funcionários #'!AY30*IF($C28="Operacional",IFERROR(VLOOKUP($D28,SN_UGC,28,0),0),1)</f>
        <v>41448.663019719999</v>
      </c>
      <c r="Z28" s="120">
        <f>$E28*'C2 - Funcionários #'!AZ30*IF($C28="Operacional",IFERROR(VLOOKUP($D28,SN_UGC,28,0),0),1)</f>
        <v>41448.663019719999</v>
      </c>
      <c r="AA28" s="120">
        <f>$E28*'C2 - Funcionários #'!BA30*IF($C28="Operacional",IFERROR(VLOOKUP($D28,SN_UGC,28,0),0),1)</f>
        <v>41448.663019719999</v>
      </c>
      <c r="AB28" s="120">
        <f>$E28*'C2 - Funcionários #'!BB30*IF($C28="Operacional",IFERROR(VLOOKUP($D28,SN_UGC,28,0),0),1)</f>
        <v>41448.663019719999</v>
      </c>
      <c r="AC28" s="120">
        <f>$E28*'C2 - Funcionários #'!BC30*IF($C28="Operacional",IFERROR(VLOOKUP($D28,SN_UGC,28,0),0),1)</f>
        <v>41448.663019719999</v>
      </c>
      <c r="AD28" s="120">
        <f>$E28*'C2 - Funcionários #'!BD30*IF($C28="Operacional",IFERROR(VLOOKUP($D28,SN_UGC,28,0),0),1)</f>
        <v>41448.663019719999</v>
      </c>
      <c r="AE28" s="120">
        <f>$E28*'C2 - Funcionários #'!BE30*IF($C28="Operacional",IFERROR(VLOOKUP($D28,SN_UGC,28,0),0),1)</f>
        <v>41448.663019719999</v>
      </c>
      <c r="AF28" s="120">
        <f>$E28*'C2 - Funcionários #'!BF30*IF($C28="Operacional",IFERROR(VLOOKUP($D28,SN_UGC,28,0),0),1)</f>
        <v>41448.663019719999</v>
      </c>
      <c r="AG28" s="120">
        <f>$E28*'C2 - Funcionários #'!BG30*IF($C28="Operacional",IFERROR(VLOOKUP($D28,SN_UGC,28,0),0),1)</f>
        <v>41448.663019719999</v>
      </c>
      <c r="AH28" s="120">
        <f>$E28*'C2 - Funcionários #'!BH30*IF($C28="Operacional",IFERROR(VLOOKUP($D28,SN_UGC,28,0),0),1)</f>
        <v>41448.663019719999</v>
      </c>
      <c r="AI28" s="120">
        <f>$E28*'C2 - Funcionários #'!BI30*IF($C28="Operacional",IFERROR(VLOOKUP($D28,SN_UGC,28,0),0),1)</f>
        <v>41448.663019719999</v>
      </c>
      <c r="AJ28" s="120">
        <f>$E28*'C2 - Funcionários #'!BJ30*IF($C28="Operacional",IFERROR(VLOOKUP($D28,SN_UGC,28,0),0),1)</f>
        <v>41448.663019719999</v>
      </c>
    </row>
    <row r="29" spans="1:36" ht="15.75" customHeight="1">
      <c r="A29" s="521"/>
      <c r="B29" s="51" t="str">
        <f>'C1 - Cargos e Salários'!B23</f>
        <v>Auxiliar de cozinha</v>
      </c>
      <c r="C29" s="51" t="str">
        <f>'C1 - Cargos e Salários'!C23</f>
        <v>Operacional</v>
      </c>
      <c r="D29" s="51" t="str">
        <f>'C1 - Cargos e Salários'!D23</f>
        <v>Pedra Furada - Alimentação</v>
      </c>
      <c r="E29" s="118">
        <f>'C1 - Cargos e Salários'!K23</f>
        <v>39129.607801239996</v>
      </c>
      <c r="F29" s="119">
        <f>IF(C29="Operacional",IFERROR(VLOOKUP(D29,ReceitaPorTipo,COLUMN('A1 - Serviços e demanda'!$Z$17),0),0),100%)</f>
        <v>0</v>
      </c>
      <c r="G29" s="120">
        <f>E29*F29*'C2 - Funcionários #'!AG31*IF($C29="Operacional",IFERROR(VLOOKUP($D29,SN_UGC,28,0),0),1)</f>
        <v>0</v>
      </c>
      <c r="H29" s="120">
        <f>$E29*'C2 - Funcionários #'!AH31*IF($C29="Operacional",IFERROR(VLOOKUP($D29,SN_UGC,28,0),0),1)</f>
        <v>78259.215602479992</v>
      </c>
      <c r="I29" s="120">
        <f>$E29*'C2 - Funcionários #'!AI31*IF($C29="Operacional",IFERROR(VLOOKUP($D29,SN_UGC,28,0),0),1)</f>
        <v>78259.215602479992</v>
      </c>
      <c r="J29" s="120">
        <f>$E29*'C2 - Funcionários #'!AJ31*IF($C29="Operacional",IFERROR(VLOOKUP($D29,SN_UGC,28,0),0),1)</f>
        <v>78259.215602479992</v>
      </c>
      <c r="K29" s="120">
        <f>$E29*'C2 - Funcionários #'!AK31*IF($C29="Operacional",IFERROR(VLOOKUP($D29,SN_UGC,28,0),0),1)</f>
        <v>78259.215602479992</v>
      </c>
      <c r="L29" s="120">
        <f>$E29*'C2 - Funcionários #'!AL31*IF($C29="Operacional",IFERROR(VLOOKUP($D29,SN_UGC,28,0),0),1)</f>
        <v>78259.215602479992</v>
      </c>
      <c r="M29" s="120">
        <f>$E29*'C2 - Funcionários #'!AM31*IF($C29="Operacional",IFERROR(VLOOKUP($D29,SN_UGC,28,0),0),1)</f>
        <v>78259.215602479992</v>
      </c>
      <c r="N29" s="120">
        <f>$E29*'C2 - Funcionários #'!AN31*IF($C29="Operacional",IFERROR(VLOOKUP($D29,SN_UGC,28,0),0),1)</f>
        <v>78259.215602479992</v>
      </c>
      <c r="O29" s="120">
        <f>$E29*'C2 - Funcionários #'!AO31*IF($C29="Operacional",IFERROR(VLOOKUP($D29,SN_UGC,28,0),0),1)</f>
        <v>78259.215602479992</v>
      </c>
      <c r="P29" s="120">
        <f>$E29*'C2 - Funcionários #'!AP31*IF($C29="Operacional",IFERROR(VLOOKUP($D29,SN_UGC,28,0),0),1)</f>
        <v>78259.215602479992</v>
      </c>
      <c r="Q29" s="120">
        <f>$E29*'C2 - Funcionários #'!AQ31*IF($C29="Operacional",IFERROR(VLOOKUP($D29,SN_UGC,28,0),0),1)</f>
        <v>78259.215602479992</v>
      </c>
      <c r="R29" s="120">
        <f>$E29*'C2 - Funcionários #'!AR31*IF($C29="Operacional",IFERROR(VLOOKUP($D29,SN_UGC,28,0),0),1)</f>
        <v>78259.215602479992</v>
      </c>
      <c r="S29" s="120">
        <f>$E29*'C2 - Funcionários #'!AS31*IF($C29="Operacional",IFERROR(VLOOKUP($D29,SN_UGC,28,0),0),1)</f>
        <v>78259.215602479992</v>
      </c>
      <c r="T29" s="120">
        <f>$E29*'C2 - Funcionários #'!AT31*IF($C29="Operacional",IFERROR(VLOOKUP($D29,SN_UGC,28,0),0),1)</f>
        <v>78259.215602479992</v>
      </c>
      <c r="U29" s="120">
        <f>$E29*'C2 - Funcionários #'!AU31*IF($C29="Operacional",IFERROR(VLOOKUP($D29,SN_UGC,28,0),0),1)</f>
        <v>78259.215602479992</v>
      </c>
      <c r="V29" s="120">
        <f>$E29*'C2 - Funcionários #'!AV31*IF($C29="Operacional",IFERROR(VLOOKUP($D29,SN_UGC,28,0),0),1)</f>
        <v>78259.215602479992</v>
      </c>
      <c r="W29" s="120">
        <f>$E29*'C2 - Funcionários #'!AW31*IF($C29="Operacional",IFERROR(VLOOKUP($D29,SN_UGC,28,0),0),1)</f>
        <v>78259.215602479992</v>
      </c>
      <c r="X29" s="120">
        <f>$E29*'C2 - Funcionários #'!AX31*IF($C29="Operacional",IFERROR(VLOOKUP($D29,SN_UGC,28,0),0),1)</f>
        <v>78259.215602479992</v>
      </c>
      <c r="Y29" s="120">
        <f>$E29*'C2 - Funcionários #'!AY31*IF($C29="Operacional",IFERROR(VLOOKUP($D29,SN_UGC,28,0),0),1)</f>
        <v>78259.215602479992</v>
      </c>
      <c r="Z29" s="120">
        <f>$E29*'C2 - Funcionários #'!AZ31*IF($C29="Operacional",IFERROR(VLOOKUP($D29,SN_UGC,28,0),0),1)</f>
        <v>78259.215602479992</v>
      </c>
      <c r="AA29" s="120">
        <f>$E29*'C2 - Funcionários #'!BA31*IF($C29="Operacional",IFERROR(VLOOKUP($D29,SN_UGC,28,0),0),1)</f>
        <v>78259.215602479992</v>
      </c>
      <c r="AB29" s="120">
        <f>$E29*'C2 - Funcionários #'!BB31*IF($C29="Operacional",IFERROR(VLOOKUP($D29,SN_UGC,28,0),0),1)</f>
        <v>78259.215602479992</v>
      </c>
      <c r="AC29" s="120">
        <f>$E29*'C2 - Funcionários #'!BC31*IF($C29="Operacional",IFERROR(VLOOKUP($D29,SN_UGC,28,0),0),1)</f>
        <v>78259.215602479992</v>
      </c>
      <c r="AD29" s="120">
        <f>$E29*'C2 - Funcionários #'!BD31*IF($C29="Operacional",IFERROR(VLOOKUP($D29,SN_UGC,28,0),0),1)</f>
        <v>78259.215602479992</v>
      </c>
      <c r="AE29" s="120">
        <f>$E29*'C2 - Funcionários #'!BE31*IF($C29="Operacional",IFERROR(VLOOKUP($D29,SN_UGC,28,0),0),1)</f>
        <v>78259.215602479992</v>
      </c>
      <c r="AF29" s="120">
        <f>$E29*'C2 - Funcionários #'!BF31*IF($C29="Operacional",IFERROR(VLOOKUP($D29,SN_UGC,28,0),0),1)</f>
        <v>78259.215602479992</v>
      </c>
      <c r="AG29" s="120">
        <f>$E29*'C2 - Funcionários #'!BG31*IF($C29="Operacional",IFERROR(VLOOKUP($D29,SN_UGC,28,0),0),1)</f>
        <v>78259.215602479992</v>
      </c>
      <c r="AH29" s="120">
        <f>$E29*'C2 - Funcionários #'!BH31*IF($C29="Operacional",IFERROR(VLOOKUP($D29,SN_UGC,28,0),0),1)</f>
        <v>78259.215602479992</v>
      </c>
      <c r="AI29" s="120">
        <f>$E29*'C2 - Funcionários #'!BI31*IF($C29="Operacional",IFERROR(VLOOKUP($D29,SN_UGC,28,0),0),1)</f>
        <v>78259.215602479992</v>
      </c>
      <c r="AJ29" s="120">
        <f>$E29*'C2 - Funcionários #'!BJ31*IF($C29="Operacional",IFERROR(VLOOKUP($D29,SN_UGC,28,0),0),1)</f>
        <v>78259.215602479992</v>
      </c>
    </row>
    <row r="30" spans="1:36" ht="15.75" customHeight="1">
      <c r="A30" s="521"/>
      <c r="B30" s="51" t="str">
        <f>'C1 - Cargos e Salários'!B24</f>
        <v>Caixa</v>
      </c>
      <c r="C30" s="51" t="str">
        <f>'C1 - Cargos e Salários'!C24</f>
        <v>Operacional</v>
      </c>
      <c r="D30" s="51" t="str">
        <f>'C1 - Cargos e Salários'!D24</f>
        <v>Pedra Furada - Alimentação</v>
      </c>
      <c r="E30" s="118">
        <f>'C1 - Cargos e Salários'!K24</f>
        <v>39653.828640200009</v>
      </c>
      <c r="F30" s="119">
        <f>IF(C30="Operacional",IFERROR(VLOOKUP(D30,ReceitaPorTipo,COLUMN('A1 - Serviços e demanda'!$Z$17),0),0),100%)</f>
        <v>0</v>
      </c>
      <c r="G30" s="120">
        <f>E30*F30*'C2 - Funcionários #'!AG32*IF($C30="Operacional",IFERROR(VLOOKUP($D30,SN_UGC,28,0),0),1)</f>
        <v>0</v>
      </c>
      <c r="H30" s="120">
        <f>$E30*'C2 - Funcionários #'!AH32*IF($C30="Operacional",IFERROR(VLOOKUP($D30,SN_UGC,28,0),0),1)</f>
        <v>79307.657280400017</v>
      </c>
      <c r="I30" s="120">
        <f>$E30*'C2 - Funcionários #'!AI32*IF($C30="Operacional",IFERROR(VLOOKUP($D30,SN_UGC,28,0),0),1)</f>
        <v>79307.657280400017</v>
      </c>
      <c r="J30" s="120">
        <f>$E30*'C2 - Funcionários #'!AJ32*IF($C30="Operacional",IFERROR(VLOOKUP($D30,SN_UGC,28,0),0),1)</f>
        <v>79307.657280400017</v>
      </c>
      <c r="K30" s="120">
        <f>$E30*'C2 - Funcionários #'!AK32*IF($C30="Operacional",IFERROR(VLOOKUP($D30,SN_UGC,28,0),0),1)</f>
        <v>79307.657280400017</v>
      </c>
      <c r="L30" s="120">
        <f>$E30*'C2 - Funcionários #'!AL32*IF($C30="Operacional",IFERROR(VLOOKUP($D30,SN_UGC,28,0),0),1)</f>
        <v>79307.657280400017</v>
      </c>
      <c r="M30" s="120">
        <f>$E30*'C2 - Funcionários #'!AM32*IF($C30="Operacional",IFERROR(VLOOKUP($D30,SN_UGC,28,0),0),1)</f>
        <v>79307.657280400017</v>
      </c>
      <c r="N30" s="120">
        <f>$E30*'C2 - Funcionários #'!AN32*IF($C30="Operacional",IFERROR(VLOOKUP($D30,SN_UGC,28,0),0),1)</f>
        <v>79307.657280400017</v>
      </c>
      <c r="O30" s="120">
        <f>$E30*'C2 - Funcionários #'!AO32*IF($C30="Operacional",IFERROR(VLOOKUP($D30,SN_UGC,28,0),0),1)</f>
        <v>79307.657280400017</v>
      </c>
      <c r="P30" s="120">
        <f>$E30*'C2 - Funcionários #'!AP32*IF($C30="Operacional",IFERROR(VLOOKUP($D30,SN_UGC,28,0),0),1)</f>
        <v>79307.657280400017</v>
      </c>
      <c r="Q30" s="120">
        <f>$E30*'C2 - Funcionários #'!AQ32*IF($C30="Operacional",IFERROR(VLOOKUP($D30,SN_UGC,28,0),0),1)</f>
        <v>79307.657280400017</v>
      </c>
      <c r="R30" s="120">
        <f>$E30*'C2 - Funcionários #'!AR32*IF($C30="Operacional",IFERROR(VLOOKUP($D30,SN_UGC,28,0),0),1)</f>
        <v>79307.657280400017</v>
      </c>
      <c r="S30" s="120">
        <f>$E30*'C2 - Funcionários #'!AS32*IF($C30="Operacional",IFERROR(VLOOKUP($D30,SN_UGC,28,0),0),1)</f>
        <v>79307.657280400017</v>
      </c>
      <c r="T30" s="120">
        <f>$E30*'C2 - Funcionários #'!AT32*IF($C30="Operacional",IFERROR(VLOOKUP($D30,SN_UGC,28,0),0),1)</f>
        <v>79307.657280400017</v>
      </c>
      <c r="U30" s="120">
        <f>$E30*'C2 - Funcionários #'!AU32*IF($C30="Operacional",IFERROR(VLOOKUP($D30,SN_UGC,28,0),0),1)</f>
        <v>79307.657280400017</v>
      </c>
      <c r="V30" s="120">
        <f>$E30*'C2 - Funcionários #'!AV32*IF($C30="Operacional",IFERROR(VLOOKUP($D30,SN_UGC,28,0),0),1)</f>
        <v>79307.657280400017</v>
      </c>
      <c r="W30" s="120">
        <f>$E30*'C2 - Funcionários #'!AW32*IF($C30="Operacional",IFERROR(VLOOKUP($D30,SN_UGC,28,0),0),1)</f>
        <v>79307.657280400017</v>
      </c>
      <c r="X30" s="120">
        <f>$E30*'C2 - Funcionários #'!AX32*IF($C30="Operacional",IFERROR(VLOOKUP($D30,SN_UGC,28,0),0),1)</f>
        <v>79307.657280400017</v>
      </c>
      <c r="Y30" s="120">
        <f>$E30*'C2 - Funcionários #'!AY32*IF($C30="Operacional",IFERROR(VLOOKUP($D30,SN_UGC,28,0),0),1)</f>
        <v>79307.657280400017</v>
      </c>
      <c r="Z30" s="120">
        <f>$E30*'C2 - Funcionários #'!AZ32*IF($C30="Operacional",IFERROR(VLOOKUP($D30,SN_UGC,28,0),0),1)</f>
        <v>79307.657280400017</v>
      </c>
      <c r="AA30" s="120">
        <f>$E30*'C2 - Funcionários #'!BA32*IF($C30="Operacional",IFERROR(VLOOKUP($D30,SN_UGC,28,0),0),1)</f>
        <v>79307.657280400017</v>
      </c>
      <c r="AB30" s="120">
        <f>$E30*'C2 - Funcionários #'!BB32*IF($C30="Operacional",IFERROR(VLOOKUP($D30,SN_UGC,28,0),0),1)</f>
        <v>79307.657280400017</v>
      </c>
      <c r="AC30" s="120">
        <f>$E30*'C2 - Funcionários #'!BC32*IF($C30="Operacional",IFERROR(VLOOKUP($D30,SN_UGC,28,0),0),1)</f>
        <v>79307.657280400017</v>
      </c>
      <c r="AD30" s="120">
        <f>$E30*'C2 - Funcionários #'!BD32*IF($C30="Operacional",IFERROR(VLOOKUP($D30,SN_UGC,28,0),0),1)</f>
        <v>79307.657280400017</v>
      </c>
      <c r="AE30" s="120">
        <f>$E30*'C2 - Funcionários #'!BE32*IF($C30="Operacional",IFERROR(VLOOKUP($D30,SN_UGC,28,0),0),1)</f>
        <v>79307.657280400017</v>
      </c>
      <c r="AF30" s="120">
        <f>$E30*'C2 - Funcionários #'!BF32*IF($C30="Operacional",IFERROR(VLOOKUP($D30,SN_UGC,28,0),0),1)</f>
        <v>79307.657280400017</v>
      </c>
      <c r="AG30" s="120">
        <f>$E30*'C2 - Funcionários #'!BG32*IF($C30="Operacional",IFERROR(VLOOKUP($D30,SN_UGC,28,0),0),1)</f>
        <v>79307.657280400017</v>
      </c>
      <c r="AH30" s="120">
        <f>$E30*'C2 - Funcionários #'!BH32*IF($C30="Operacional",IFERROR(VLOOKUP($D30,SN_UGC,28,0),0),1)</f>
        <v>79307.657280400017</v>
      </c>
      <c r="AI30" s="120">
        <f>$E30*'C2 - Funcionários #'!BI32*IF($C30="Operacional",IFERROR(VLOOKUP($D30,SN_UGC,28,0),0),1)</f>
        <v>79307.657280400017</v>
      </c>
      <c r="AJ30" s="120">
        <f>$E30*'C2 - Funcionários #'!BJ32*IF($C30="Operacional",IFERROR(VLOOKUP($D30,SN_UGC,28,0),0),1)</f>
        <v>79307.657280400017</v>
      </c>
    </row>
    <row r="31" spans="1:36" ht="15.75" customHeight="1">
      <c r="A31" s="521"/>
      <c r="B31" s="51" t="str">
        <f>'C1 - Cargos e Salários'!B25</f>
        <v>Atendente</v>
      </c>
      <c r="C31" s="51" t="str">
        <f>'C1 - Cargos e Salários'!C25</f>
        <v>Operacional</v>
      </c>
      <c r="D31" s="51" t="str">
        <f>'C1 - Cargos e Salários'!D25</f>
        <v>Pedra Furada - Alimentação</v>
      </c>
      <c r="E31" s="118">
        <f>'C1 - Cargos e Salários'!K25</f>
        <v>39650.11850104</v>
      </c>
      <c r="F31" s="119">
        <f>IF(C31="Operacional",IFERROR(VLOOKUP(D31,ReceitaPorTipo,COLUMN('A1 - Serviços e demanda'!$Z$17),0),0),100%)</f>
        <v>0</v>
      </c>
      <c r="G31" s="120">
        <f>E31*F31*'C2 - Funcionários #'!AG33*IF($C31="Operacional",IFERROR(VLOOKUP($D31,SN_UGC,28,0),0),1)</f>
        <v>0</v>
      </c>
      <c r="H31" s="120">
        <f>$E31*'C2 - Funcionários #'!AH33*IF($C31="Operacional",IFERROR(VLOOKUP($D31,SN_UGC,28,0),0),1)</f>
        <v>79300.237002080001</v>
      </c>
      <c r="I31" s="120">
        <f>$E31*'C2 - Funcionários #'!AI33*IF($C31="Operacional",IFERROR(VLOOKUP($D31,SN_UGC,28,0),0),1)</f>
        <v>79300.237002080001</v>
      </c>
      <c r="J31" s="120">
        <f>$E31*'C2 - Funcionários #'!AJ33*IF($C31="Operacional",IFERROR(VLOOKUP($D31,SN_UGC,28,0),0),1)</f>
        <v>79300.237002080001</v>
      </c>
      <c r="K31" s="120">
        <f>$E31*'C2 - Funcionários #'!AK33*IF($C31="Operacional",IFERROR(VLOOKUP($D31,SN_UGC,28,0),0),1)</f>
        <v>79300.237002080001</v>
      </c>
      <c r="L31" s="120">
        <f>$E31*'C2 - Funcionários #'!AL33*IF($C31="Operacional",IFERROR(VLOOKUP($D31,SN_UGC,28,0),0),1)</f>
        <v>79300.237002080001</v>
      </c>
      <c r="M31" s="120">
        <f>$E31*'C2 - Funcionários #'!AM33*IF($C31="Operacional",IFERROR(VLOOKUP($D31,SN_UGC,28,0),0),1)</f>
        <v>79300.237002080001</v>
      </c>
      <c r="N31" s="120">
        <f>$E31*'C2 - Funcionários #'!AN33*IF($C31="Operacional",IFERROR(VLOOKUP($D31,SN_UGC,28,0),0),1)</f>
        <v>79300.237002080001</v>
      </c>
      <c r="O31" s="120">
        <f>$E31*'C2 - Funcionários #'!AO33*IF($C31="Operacional",IFERROR(VLOOKUP($D31,SN_UGC,28,0),0),1)</f>
        <v>79300.237002080001</v>
      </c>
      <c r="P31" s="120">
        <f>$E31*'C2 - Funcionários #'!AP33*IF($C31="Operacional",IFERROR(VLOOKUP($D31,SN_UGC,28,0),0),1)</f>
        <v>79300.237002080001</v>
      </c>
      <c r="Q31" s="120">
        <f>$E31*'C2 - Funcionários #'!AQ33*IF($C31="Operacional",IFERROR(VLOOKUP($D31,SN_UGC,28,0),0),1)</f>
        <v>79300.237002080001</v>
      </c>
      <c r="R31" s="120">
        <f>$E31*'C2 - Funcionários #'!AR33*IF($C31="Operacional",IFERROR(VLOOKUP($D31,SN_UGC,28,0),0),1)</f>
        <v>79300.237002080001</v>
      </c>
      <c r="S31" s="120">
        <f>$E31*'C2 - Funcionários #'!AS33*IF($C31="Operacional",IFERROR(VLOOKUP($D31,SN_UGC,28,0),0),1)</f>
        <v>79300.237002080001</v>
      </c>
      <c r="T31" s="120">
        <f>$E31*'C2 - Funcionários #'!AT33*IF($C31="Operacional",IFERROR(VLOOKUP($D31,SN_UGC,28,0),0),1)</f>
        <v>79300.237002080001</v>
      </c>
      <c r="U31" s="120">
        <f>$E31*'C2 - Funcionários #'!AU33*IF($C31="Operacional",IFERROR(VLOOKUP($D31,SN_UGC,28,0),0),1)</f>
        <v>79300.237002080001</v>
      </c>
      <c r="V31" s="120">
        <f>$E31*'C2 - Funcionários #'!AV33*IF($C31="Operacional",IFERROR(VLOOKUP($D31,SN_UGC,28,0),0),1)</f>
        <v>79300.237002080001</v>
      </c>
      <c r="W31" s="120">
        <f>$E31*'C2 - Funcionários #'!AW33*IF($C31="Operacional",IFERROR(VLOOKUP($D31,SN_UGC,28,0),0),1)</f>
        <v>79300.237002080001</v>
      </c>
      <c r="X31" s="120">
        <f>$E31*'C2 - Funcionários #'!AX33*IF($C31="Operacional",IFERROR(VLOOKUP($D31,SN_UGC,28,0),0),1)</f>
        <v>79300.237002080001</v>
      </c>
      <c r="Y31" s="120">
        <f>$E31*'C2 - Funcionários #'!AY33*IF($C31="Operacional",IFERROR(VLOOKUP($D31,SN_UGC,28,0),0),1)</f>
        <v>79300.237002080001</v>
      </c>
      <c r="Z31" s="120">
        <f>$E31*'C2 - Funcionários #'!AZ33*IF($C31="Operacional",IFERROR(VLOOKUP($D31,SN_UGC,28,0),0),1)</f>
        <v>79300.237002080001</v>
      </c>
      <c r="AA31" s="120">
        <f>$E31*'C2 - Funcionários #'!BA33*IF($C31="Operacional",IFERROR(VLOOKUP($D31,SN_UGC,28,0),0),1)</f>
        <v>79300.237002080001</v>
      </c>
      <c r="AB31" s="120">
        <f>$E31*'C2 - Funcionários #'!BB33*IF($C31="Operacional",IFERROR(VLOOKUP($D31,SN_UGC,28,0),0),1)</f>
        <v>79300.237002080001</v>
      </c>
      <c r="AC31" s="120">
        <f>$E31*'C2 - Funcionários #'!BC33*IF($C31="Operacional",IFERROR(VLOOKUP($D31,SN_UGC,28,0),0),1)</f>
        <v>79300.237002080001</v>
      </c>
      <c r="AD31" s="120">
        <f>$E31*'C2 - Funcionários #'!BD33*IF($C31="Operacional",IFERROR(VLOOKUP($D31,SN_UGC,28,0),0),1)</f>
        <v>79300.237002080001</v>
      </c>
      <c r="AE31" s="120">
        <f>$E31*'C2 - Funcionários #'!BE33*IF($C31="Operacional",IFERROR(VLOOKUP($D31,SN_UGC,28,0),0),1)</f>
        <v>79300.237002080001</v>
      </c>
      <c r="AF31" s="120">
        <f>$E31*'C2 - Funcionários #'!BF33*IF($C31="Operacional",IFERROR(VLOOKUP($D31,SN_UGC,28,0),0),1)</f>
        <v>79300.237002080001</v>
      </c>
      <c r="AG31" s="120">
        <f>$E31*'C2 - Funcionários #'!BG33*IF($C31="Operacional",IFERROR(VLOOKUP($D31,SN_UGC,28,0),0),1)</f>
        <v>79300.237002080001</v>
      </c>
      <c r="AH31" s="120">
        <f>$E31*'C2 - Funcionários #'!BH33*IF($C31="Operacional",IFERROR(VLOOKUP($D31,SN_UGC,28,0),0),1)</f>
        <v>79300.237002080001</v>
      </c>
      <c r="AI31" s="120">
        <f>$E31*'C2 - Funcionários #'!BI33*IF($C31="Operacional",IFERROR(VLOOKUP($D31,SN_UGC,28,0),0),1)</f>
        <v>79300.237002080001</v>
      </c>
      <c r="AJ31" s="120">
        <f>$E31*'C2 - Funcionários #'!BJ33*IF($C31="Operacional",IFERROR(VLOOKUP($D31,SN_UGC,28,0),0),1)</f>
        <v>79300.237002080001</v>
      </c>
    </row>
    <row r="32" spans="1:36" ht="15.75" customHeight="1">
      <c r="A32" s="521"/>
      <c r="B32" s="51" t="str">
        <f>'C1 - Cargos e Salários'!B26</f>
        <v>Caixa</v>
      </c>
      <c r="C32" s="51" t="str">
        <f>'C1 - Cargos e Salários'!C26</f>
        <v>Operacional</v>
      </c>
      <c r="D32" s="51" t="str">
        <f>'C1 - Cargos e Salários'!D26</f>
        <v>Pedra Furada - Comércio</v>
      </c>
      <c r="E32" s="118">
        <f>'C1 - Cargos e Salários'!K26</f>
        <v>39653.828640200009</v>
      </c>
      <c r="F32" s="119">
        <f>IF(C32="Operacional",IFERROR(VLOOKUP(D32,ReceitaPorTipo,COLUMN('A1 - Serviços e demanda'!$Z$17),0),0),100%)</f>
        <v>0</v>
      </c>
      <c r="G32" s="120">
        <f>E32*F32*'C2 - Funcionários #'!AG34*IF($C32="Operacional",IFERROR(VLOOKUP($D32,SN_UGC,28,0),0),1)</f>
        <v>0</v>
      </c>
      <c r="H32" s="120">
        <f>$E32*'C2 - Funcionários #'!AH34*IF($C32="Operacional",IFERROR(VLOOKUP($D32,SN_UGC,28,0),0),1)</f>
        <v>39653.828640200009</v>
      </c>
      <c r="I32" s="120">
        <f>$E32*'C2 - Funcionários #'!AI34*IF($C32="Operacional",IFERROR(VLOOKUP($D32,SN_UGC,28,0),0),1)</f>
        <v>39653.828640200009</v>
      </c>
      <c r="J32" s="120">
        <f>$E32*'C2 - Funcionários #'!AJ34*IF($C32="Operacional",IFERROR(VLOOKUP($D32,SN_UGC,28,0),0),1)</f>
        <v>39653.828640200009</v>
      </c>
      <c r="K32" s="120">
        <f>$E32*'C2 - Funcionários #'!AK34*IF($C32="Operacional",IFERROR(VLOOKUP($D32,SN_UGC,28,0),0),1)</f>
        <v>39653.828640200009</v>
      </c>
      <c r="L32" s="120">
        <f>$E32*'C2 - Funcionários #'!AL34*IF($C32="Operacional",IFERROR(VLOOKUP($D32,SN_UGC,28,0),0),1)</f>
        <v>39653.828640200009</v>
      </c>
      <c r="M32" s="120">
        <f>$E32*'C2 - Funcionários #'!AM34*IF($C32="Operacional",IFERROR(VLOOKUP($D32,SN_UGC,28,0),0),1)</f>
        <v>39653.828640200009</v>
      </c>
      <c r="N32" s="120">
        <f>$E32*'C2 - Funcionários #'!AN34*IF($C32="Operacional",IFERROR(VLOOKUP($D32,SN_UGC,28,0),0),1)</f>
        <v>39653.828640200009</v>
      </c>
      <c r="O32" s="120">
        <f>$E32*'C2 - Funcionários #'!AO34*IF($C32="Operacional",IFERROR(VLOOKUP($D32,SN_UGC,28,0),0),1)</f>
        <v>39653.828640200009</v>
      </c>
      <c r="P32" s="120">
        <f>$E32*'C2 - Funcionários #'!AP34*IF($C32="Operacional",IFERROR(VLOOKUP($D32,SN_UGC,28,0),0),1)</f>
        <v>39653.828640200009</v>
      </c>
      <c r="Q32" s="120">
        <f>$E32*'C2 - Funcionários #'!AQ34*IF($C32="Operacional",IFERROR(VLOOKUP($D32,SN_UGC,28,0),0),1)</f>
        <v>39653.828640200009</v>
      </c>
      <c r="R32" s="120">
        <f>$E32*'C2 - Funcionários #'!AR34*IF($C32="Operacional",IFERROR(VLOOKUP($D32,SN_UGC,28,0),0),1)</f>
        <v>39653.828640200009</v>
      </c>
      <c r="S32" s="120">
        <f>$E32*'C2 - Funcionários #'!AS34*IF($C32="Operacional",IFERROR(VLOOKUP($D32,SN_UGC,28,0),0),1)</f>
        <v>39653.828640200009</v>
      </c>
      <c r="T32" s="120">
        <f>$E32*'C2 - Funcionários #'!AT34*IF($C32="Operacional",IFERROR(VLOOKUP($D32,SN_UGC,28,0),0),1)</f>
        <v>39653.828640200009</v>
      </c>
      <c r="U32" s="120">
        <f>$E32*'C2 - Funcionários #'!AU34*IF($C32="Operacional",IFERROR(VLOOKUP($D32,SN_UGC,28,0),0),1)</f>
        <v>39653.828640200009</v>
      </c>
      <c r="V32" s="120">
        <f>$E32*'C2 - Funcionários #'!AV34*IF($C32="Operacional",IFERROR(VLOOKUP($D32,SN_UGC,28,0),0),1)</f>
        <v>39653.828640200009</v>
      </c>
      <c r="W32" s="120">
        <f>$E32*'C2 - Funcionários #'!AW34*IF($C32="Operacional",IFERROR(VLOOKUP($D32,SN_UGC,28,0),0),1)</f>
        <v>39653.828640200009</v>
      </c>
      <c r="X32" s="120">
        <f>$E32*'C2 - Funcionários #'!AX34*IF($C32="Operacional",IFERROR(VLOOKUP($D32,SN_UGC,28,0),0),1)</f>
        <v>39653.828640200009</v>
      </c>
      <c r="Y32" s="120">
        <f>$E32*'C2 - Funcionários #'!AY34*IF($C32="Operacional",IFERROR(VLOOKUP($D32,SN_UGC,28,0),0),1)</f>
        <v>39653.828640200009</v>
      </c>
      <c r="Z32" s="120">
        <f>$E32*'C2 - Funcionários #'!AZ34*IF($C32="Operacional",IFERROR(VLOOKUP($D32,SN_UGC,28,0),0),1)</f>
        <v>39653.828640200009</v>
      </c>
      <c r="AA32" s="120">
        <f>$E32*'C2 - Funcionários #'!BA34*IF($C32="Operacional",IFERROR(VLOOKUP($D32,SN_UGC,28,0),0),1)</f>
        <v>39653.828640200009</v>
      </c>
      <c r="AB32" s="120">
        <f>$E32*'C2 - Funcionários #'!BB34*IF($C32="Operacional",IFERROR(VLOOKUP($D32,SN_UGC,28,0),0),1)</f>
        <v>39653.828640200009</v>
      </c>
      <c r="AC32" s="120">
        <f>$E32*'C2 - Funcionários #'!BC34*IF($C32="Operacional",IFERROR(VLOOKUP($D32,SN_UGC,28,0),0),1)</f>
        <v>39653.828640200009</v>
      </c>
      <c r="AD32" s="120">
        <f>$E32*'C2 - Funcionários #'!BD34*IF($C32="Operacional",IFERROR(VLOOKUP($D32,SN_UGC,28,0),0),1)</f>
        <v>39653.828640200009</v>
      </c>
      <c r="AE32" s="120">
        <f>$E32*'C2 - Funcionários #'!BE34*IF($C32="Operacional",IFERROR(VLOOKUP($D32,SN_UGC,28,0),0),1)</f>
        <v>39653.828640200009</v>
      </c>
      <c r="AF32" s="120">
        <f>$E32*'C2 - Funcionários #'!BF34*IF($C32="Operacional",IFERROR(VLOOKUP($D32,SN_UGC,28,0),0),1)</f>
        <v>39653.828640200009</v>
      </c>
      <c r="AG32" s="120">
        <f>$E32*'C2 - Funcionários #'!BG34*IF($C32="Operacional",IFERROR(VLOOKUP($D32,SN_UGC,28,0),0),1)</f>
        <v>39653.828640200009</v>
      </c>
      <c r="AH32" s="120">
        <f>$E32*'C2 - Funcionários #'!BH34*IF($C32="Operacional",IFERROR(VLOOKUP($D32,SN_UGC,28,0),0),1)</f>
        <v>39653.828640200009</v>
      </c>
      <c r="AI32" s="120">
        <f>$E32*'C2 - Funcionários #'!BI34*IF($C32="Operacional",IFERROR(VLOOKUP($D32,SN_UGC,28,0),0),1)</f>
        <v>39653.828640200009</v>
      </c>
      <c r="AJ32" s="120">
        <f>$E32*'C2 - Funcionários #'!BJ34*IF($C32="Operacional",IFERROR(VLOOKUP($D32,SN_UGC,28,0),0),1)</f>
        <v>39653.828640200009</v>
      </c>
    </row>
    <row r="33" spans="1:36" ht="15.75" customHeight="1">
      <c r="A33" s="521"/>
      <c r="B33" s="51" t="str">
        <f>'C1 - Cargos e Salários'!B27</f>
        <v>Atendente</v>
      </c>
      <c r="C33" s="51" t="str">
        <f>'C1 - Cargos e Salários'!C27</f>
        <v>Operacional</v>
      </c>
      <c r="D33" s="51" t="str">
        <f>'C1 - Cargos e Salários'!D27</f>
        <v>Pedra Furada - Comércio</v>
      </c>
      <c r="E33" s="118">
        <f>'C1 - Cargos e Salários'!K27</f>
        <v>39332.355994160011</v>
      </c>
      <c r="F33" s="119">
        <f>IF(C33="Operacional",IFERROR(VLOOKUP(D33,ReceitaPorTipo,COLUMN('A1 - Serviços e demanda'!$Z$17),0),0),100%)</f>
        <v>0</v>
      </c>
      <c r="G33" s="120">
        <f>E33*F33*'C2 - Funcionários #'!AG35*IF($C33="Operacional",IFERROR(VLOOKUP($D33,SN_UGC,28,0),0),1)</f>
        <v>0</v>
      </c>
      <c r="H33" s="120">
        <f>$E33*'C2 - Funcionários #'!AH35*IF($C33="Operacional",IFERROR(VLOOKUP($D33,SN_UGC,28,0),0),1)</f>
        <v>78664.711988320021</v>
      </c>
      <c r="I33" s="120">
        <f>$E33*'C2 - Funcionários #'!AI35*IF($C33="Operacional",IFERROR(VLOOKUP($D33,SN_UGC,28,0),0),1)</f>
        <v>78664.711988320021</v>
      </c>
      <c r="J33" s="120">
        <f>$E33*'C2 - Funcionários #'!AJ35*IF($C33="Operacional",IFERROR(VLOOKUP($D33,SN_UGC,28,0),0),1)</f>
        <v>78664.711988320021</v>
      </c>
      <c r="K33" s="120">
        <f>$E33*'C2 - Funcionários #'!AK35*IF($C33="Operacional",IFERROR(VLOOKUP($D33,SN_UGC,28,0),0),1)</f>
        <v>78664.711988320021</v>
      </c>
      <c r="L33" s="120">
        <f>$E33*'C2 - Funcionários #'!AL35*IF($C33="Operacional",IFERROR(VLOOKUP($D33,SN_UGC,28,0),0),1)</f>
        <v>78664.711988320021</v>
      </c>
      <c r="M33" s="120">
        <f>$E33*'C2 - Funcionários #'!AM35*IF($C33="Operacional",IFERROR(VLOOKUP($D33,SN_UGC,28,0),0),1)</f>
        <v>78664.711988320021</v>
      </c>
      <c r="N33" s="120">
        <f>$E33*'C2 - Funcionários #'!AN35*IF($C33="Operacional",IFERROR(VLOOKUP($D33,SN_UGC,28,0),0),1)</f>
        <v>78664.711988320021</v>
      </c>
      <c r="O33" s="120">
        <f>$E33*'C2 - Funcionários #'!AO35*IF($C33="Operacional",IFERROR(VLOOKUP($D33,SN_UGC,28,0),0),1)</f>
        <v>78664.711988320021</v>
      </c>
      <c r="P33" s="120">
        <f>$E33*'C2 - Funcionários #'!AP35*IF($C33="Operacional",IFERROR(VLOOKUP($D33,SN_UGC,28,0),0),1)</f>
        <v>78664.711988320021</v>
      </c>
      <c r="Q33" s="120">
        <f>$E33*'C2 - Funcionários #'!AQ35*IF($C33="Operacional",IFERROR(VLOOKUP($D33,SN_UGC,28,0),0),1)</f>
        <v>78664.711988320021</v>
      </c>
      <c r="R33" s="120">
        <f>$E33*'C2 - Funcionários #'!AR35*IF($C33="Operacional",IFERROR(VLOOKUP($D33,SN_UGC,28,0),0),1)</f>
        <v>78664.711988320021</v>
      </c>
      <c r="S33" s="120">
        <f>$E33*'C2 - Funcionários #'!AS35*IF($C33="Operacional",IFERROR(VLOOKUP($D33,SN_UGC,28,0),0),1)</f>
        <v>78664.711988320021</v>
      </c>
      <c r="T33" s="120">
        <f>$E33*'C2 - Funcionários #'!AT35*IF($C33="Operacional",IFERROR(VLOOKUP($D33,SN_UGC,28,0),0),1)</f>
        <v>78664.711988320021</v>
      </c>
      <c r="U33" s="120">
        <f>$E33*'C2 - Funcionários #'!AU35*IF($C33="Operacional",IFERROR(VLOOKUP($D33,SN_UGC,28,0),0),1)</f>
        <v>78664.711988320021</v>
      </c>
      <c r="V33" s="120">
        <f>$E33*'C2 - Funcionários #'!AV35*IF($C33="Operacional",IFERROR(VLOOKUP($D33,SN_UGC,28,0),0),1)</f>
        <v>78664.711988320021</v>
      </c>
      <c r="W33" s="120">
        <f>$E33*'C2 - Funcionários #'!AW35*IF($C33="Operacional",IFERROR(VLOOKUP($D33,SN_UGC,28,0),0),1)</f>
        <v>78664.711988320021</v>
      </c>
      <c r="X33" s="120">
        <f>$E33*'C2 - Funcionários #'!AX35*IF($C33="Operacional",IFERROR(VLOOKUP($D33,SN_UGC,28,0),0),1)</f>
        <v>78664.711988320021</v>
      </c>
      <c r="Y33" s="120">
        <f>$E33*'C2 - Funcionários #'!AY35*IF($C33="Operacional",IFERROR(VLOOKUP($D33,SN_UGC,28,0),0),1)</f>
        <v>78664.711988320021</v>
      </c>
      <c r="Z33" s="120">
        <f>$E33*'C2 - Funcionários #'!AZ35*IF($C33="Operacional",IFERROR(VLOOKUP($D33,SN_UGC,28,0),0),1)</f>
        <v>78664.711988320021</v>
      </c>
      <c r="AA33" s="120">
        <f>$E33*'C2 - Funcionários #'!BA35*IF($C33="Operacional",IFERROR(VLOOKUP($D33,SN_UGC,28,0),0),1)</f>
        <v>78664.711988320021</v>
      </c>
      <c r="AB33" s="120">
        <f>$E33*'C2 - Funcionários #'!BB35*IF($C33="Operacional",IFERROR(VLOOKUP($D33,SN_UGC,28,0),0),1)</f>
        <v>78664.711988320021</v>
      </c>
      <c r="AC33" s="120">
        <f>$E33*'C2 - Funcionários #'!BC35*IF($C33="Operacional",IFERROR(VLOOKUP($D33,SN_UGC,28,0),0),1)</f>
        <v>78664.711988320021</v>
      </c>
      <c r="AD33" s="120">
        <f>$E33*'C2 - Funcionários #'!BD35*IF($C33="Operacional",IFERROR(VLOOKUP($D33,SN_UGC,28,0),0),1)</f>
        <v>78664.711988320021</v>
      </c>
      <c r="AE33" s="120">
        <f>$E33*'C2 - Funcionários #'!BE35*IF($C33="Operacional",IFERROR(VLOOKUP($D33,SN_UGC,28,0),0),1)</f>
        <v>78664.711988320021</v>
      </c>
      <c r="AF33" s="120">
        <f>$E33*'C2 - Funcionários #'!BF35*IF($C33="Operacional",IFERROR(VLOOKUP($D33,SN_UGC,28,0),0),1)</f>
        <v>78664.711988320021</v>
      </c>
      <c r="AG33" s="120">
        <f>$E33*'C2 - Funcionários #'!BG35*IF($C33="Operacional",IFERROR(VLOOKUP($D33,SN_UGC,28,0),0),1)</f>
        <v>78664.711988320021</v>
      </c>
      <c r="AH33" s="120">
        <f>$E33*'C2 - Funcionários #'!BH35*IF($C33="Operacional",IFERROR(VLOOKUP($D33,SN_UGC,28,0),0),1)</f>
        <v>78664.711988320021</v>
      </c>
      <c r="AI33" s="120">
        <f>$E33*'C2 - Funcionários #'!BI35*IF($C33="Operacional",IFERROR(VLOOKUP($D33,SN_UGC,28,0),0),1)</f>
        <v>78664.711988320021</v>
      </c>
      <c r="AJ33" s="120">
        <f>$E33*'C2 - Funcionários #'!BJ35*IF($C33="Operacional",IFERROR(VLOOKUP($D33,SN_UGC,28,0),0),1)</f>
        <v>78664.711988320021</v>
      </c>
    </row>
    <row r="34" spans="1:36" ht="15.75" hidden="1" customHeight="1">
      <c r="A34" s="521"/>
      <c r="B34" s="51" t="str">
        <f>'C1 - Cargos e Salários'!B28</f>
        <v>Cozinheiro</v>
      </c>
      <c r="C34" s="51" t="str">
        <f>'C1 - Cargos e Salários'!C28</f>
        <v>Operacional</v>
      </c>
      <c r="D34" s="51" t="str">
        <f>'C1 - Cargos e Salários'!D28</f>
        <v>Preá - Alimentação</v>
      </c>
      <c r="E34" s="118">
        <f>'C1 - Cargos e Salários'!K28</f>
        <v>41448.663019719999</v>
      </c>
      <c r="F34" s="119">
        <f>IF(C34="Operacional",IFERROR(VLOOKUP(D34,ReceitaPorTipo,COLUMN('A1 - Serviços e demanda'!$Z$17),0),0),100%)</f>
        <v>0</v>
      </c>
      <c r="G34" s="120">
        <f>E34*F34*'C2 - Funcionários #'!AG36*IF($C34="Operacional",IFERROR(VLOOKUP($D34,SN_UGC,28,0),0),1)</f>
        <v>0</v>
      </c>
      <c r="H34" s="120">
        <f>$E34*'C2 - Funcionários #'!AH36*IF($C34="Operacional",IFERROR(VLOOKUP($D34,SN_UGC,28,0),0),1)</f>
        <v>82897.326039439999</v>
      </c>
      <c r="I34" s="120">
        <f>$E34*'C2 - Funcionários #'!AI36*IF($C34="Operacional",IFERROR(VLOOKUP($D34,SN_UGC,28,0),0),1)</f>
        <v>82897.326039439999</v>
      </c>
      <c r="J34" s="120">
        <f>$E34*'C2 - Funcionários #'!AJ36*IF($C34="Operacional",IFERROR(VLOOKUP($D34,SN_UGC,28,0),0),1)</f>
        <v>82897.326039439999</v>
      </c>
      <c r="K34" s="120">
        <f>$E34*'C2 - Funcionários #'!AK36*IF($C34="Operacional",IFERROR(VLOOKUP($D34,SN_UGC,28,0),0),1)</f>
        <v>82897.326039439999</v>
      </c>
      <c r="L34" s="120">
        <f>$E34*'C2 - Funcionários #'!AL36*IF($C34="Operacional",IFERROR(VLOOKUP($D34,SN_UGC,28,0),0),1)</f>
        <v>82897.326039439999</v>
      </c>
      <c r="M34" s="120">
        <f>$E34*'C2 - Funcionários #'!AM36*IF($C34="Operacional",IFERROR(VLOOKUP($D34,SN_UGC,28,0),0),1)</f>
        <v>82897.326039439999</v>
      </c>
      <c r="N34" s="120">
        <f>$E34*'C2 - Funcionários #'!AN36*IF($C34="Operacional",IFERROR(VLOOKUP($D34,SN_UGC,28,0),0),1)</f>
        <v>82897.326039439999</v>
      </c>
      <c r="O34" s="120">
        <f>$E34*'C2 - Funcionários #'!AO36*IF($C34="Operacional",IFERROR(VLOOKUP($D34,SN_UGC,28,0),0),1)</f>
        <v>82897.326039439999</v>
      </c>
      <c r="P34" s="120">
        <f>$E34*'C2 - Funcionários #'!AP36*IF($C34="Operacional",IFERROR(VLOOKUP($D34,SN_UGC,28,0),0),1)</f>
        <v>82897.326039439999</v>
      </c>
      <c r="Q34" s="120">
        <f>$E34*'C2 - Funcionários #'!AQ36*IF($C34="Operacional",IFERROR(VLOOKUP($D34,SN_UGC,28,0),0),1)</f>
        <v>82897.326039439999</v>
      </c>
      <c r="R34" s="120">
        <f>$E34*'C2 - Funcionários #'!AR36*IF($C34="Operacional",IFERROR(VLOOKUP($D34,SN_UGC,28,0),0),1)</f>
        <v>82897.326039439999</v>
      </c>
      <c r="S34" s="120">
        <f>$E34*'C2 - Funcionários #'!AS36*IF($C34="Operacional",IFERROR(VLOOKUP($D34,SN_UGC,28,0),0),1)</f>
        <v>82897.326039439999</v>
      </c>
      <c r="T34" s="120">
        <f>$E34*'C2 - Funcionários #'!AT36*IF($C34="Operacional",IFERROR(VLOOKUP($D34,SN_UGC,28,0),0),1)</f>
        <v>82897.326039439999</v>
      </c>
      <c r="U34" s="120">
        <f>$E34*'C2 - Funcionários #'!AU36*IF($C34="Operacional",IFERROR(VLOOKUP($D34,SN_UGC,28,0),0),1)</f>
        <v>82897.326039439999</v>
      </c>
      <c r="V34" s="120">
        <f>$E34*'C2 - Funcionários #'!AV36*IF($C34="Operacional",IFERROR(VLOOKUP($D34,SN_UGC,28,0),0),1)</f>
        <v>82897.326039439999</v>
      </c>
      <c r="W34" s="120">
        <f>$E34*'C2 - Funcionários #'!AW36*IF($C34="Operacional",IFERROR(VLOOKUP($D34,SN_UGC,28,0),0),1)</f>
        <v>82897.326039439999</v>
      </c>
      <c r="X34" s="120">
        <f>$E34*'C2 - Funcionários #'!AX36*IF($C34="Operacional",IFERROR(VLOOKUP($D34,SN_UGC,28,0),0),1)</f>
        <v>82897.326039439999</v>
      </c>
      <c r="Y34" s="120">
        <f>$E34*'C2 - Funcionários #'!AY36*IF($C34="Operacional",IFERROR(VLOOKUP($D34,SN_UGC,28,0),0),1)</f>
        <v>82897.326039439999</v>
      </c>
      <c r="Z34" s="120">
        <f>$E34*'C2 - Funcionários #'!AZ36*IF($C34="Operacional",IFERROR(VLOOKUP($D34,SN_UGC,28,0),0),1)</f>
        <v>82897.326039439999</v>
      </c>
      <c r="AA34" s="120">
        <f>$E34*'C2 - Funcionários #'!BA36*IF($C34="Operacional",IFERROR(VLOOKUP($D34,SN_UGC,28,0),0),1)</f>
        <v>82897.326039439999</v>
      </c>
      <c r="AB34" s="120">
        <f>$E34*'C2 - Funcionários #'!BB36*IF($C34="Operacional",IFERROR(VLOOKUP($D34,SN_UGC,28,0),0),1)</f>
        <v>82897.326039439999</v>
      </c>
      <c r="AC34" s="120">
        <f>$E34*'C2 - Funcionários #'!BC36*IF($C34="Operacional",IFERROR(VLOOKUP($D34,SN_UGC,28,0),0),1)</f>
        <v>82897.326039439999</v>
      </c>
      <c r="AD34" s="120">
        <f>$E34*'C2 - Funcionários #'!BD36*IF($C34="Operacional",IFERROR(VLOOKUP($D34,SN_UGC,28,0),0),1)</f>
        <v>82897.326039439999</v>
      </c>
      <c r="AE34" s="120">
        <f>$E34*'C2 - Funcionários #'!BE36*IF($C34="Operacional",IFERROR(VLOOKUP($D34,SN_UGC,28,0),0),1)</f>
        <v>82897.326039439999</v>
      </c>
      <c r="AF34" s="120">
        <f>$E34*'C2 - Funcionários #'!BF36*IF($C34="Operacional",IFERROR(VLOOKUP($D34,SN_UGC,28,0),0),1)</f>
        <v>82897.326039439999</v>
      </c>
      <c r="AG34" s="120">
        <f>$E34*'C2 - Funcionários #'!BG36*IF($C34="Operacional",IFERROR(VLOOKUP($D34,SN_UGC,28,0),0),1)</f>
        <v>82897.326039439999</v>
      </c>
      <c r="AH34" s="120">
        <f>$E34*'C2 - Funcionários #'!BH36*IF($C34="Operacional",IFERROR(VLOOKUP($D34,SN_UGC,28,0),0),1)</f>
        <v>82897.326039439999</v>
      </c>
      <c r="AI34" s="120">
        <f>$E34*'C2 - Funcionários #'!BI36*IF($C34="Operacional",IFERROR(VLOOKUP($D34,SN_UGC,28,0),0),1)</f>
        <v>82897.326039439999</v>
      </c>
      <c r="AJ34" s="120">
        <f>$E34*'C2 - Funcionários #'!BJ36*IF($C34="Operacional",IFERROR(VLOOKUP($D34,SN_UGC,28,0),0),1)</f>
        <v>82897.326039439999</v>
      </c>
    </row>
    <row r="35" spans="1:36" ht="15.75" customHeight="1">
      <c r="A35" s="521"/>
      <c r="B35" s="51" t="str">
        <f>'C1 - Cargos e Salários'!B29</f>
        <v>Auxiliar de cozinha</v>
      </c>
      <c r="C35" s="51" t="str">
        <f>'C1 - Cargos e Salários'!C29</f>
        <v>Operacional</v>
      </c>
      <c r="D35" s="51" t="str">
        <f>'C1 - Cargos e Salários'!D29</f>
        <v>Preá - Alimentação</v>
      </c>
      <c r="E35" s="118">
        <f>'C1 - Cargos e Salários'!K29</f>
        <v>39129.607801239996</v>
      </c>
      <c r="F35" s="119">
        <f>IF(C35="Operacional",IFERROR(VLOOKUP(D35,ReceitaPorTipo,COLUMN('A1 - Serviços e demanda'!$Z$17),0),0),100%)</f>
        <v>0</v>
      </c>
      <c r="G35" s="120">
        <f>E35*F35*'C2 - Funcionários #'!AG37*IF($C35="Operacional",IFERROR(VLOOKUP($D35,SN_UGC,28,0),0),1)</f>
        <v>0</v>
      </c>
      <c r="H35" s="120">
        <f>$E35*'C2 - Funcionários #'!AH37*IF($C35="Operacional",IFERROR(VLOOKUP($D35,SN_UGC,28,0),0),1)</f>
        <v>117388.82340371999</v>
      </c>
      <c r="I35" s="120">
        <f>$E35*'C2 - Funcionários #'!AI37*IF($C35="Operacional",IFERROR(VLOOKUP($D35,SN_UGC,28,0),0),1)</f>
        <v>117388.82340371999</v>
      </c>
      <c r="J35" s="120">
        <f>$E35*'C2 - Funcionários #'!AJ37*IF($C35="Operacional",IFERROR(VLOOKUP($D35,SN_UGC,28,0),0),1)</f>
        <v>117388.82340371999</v>
      </c>
      <c r="K35" s="120">
        <f>$E35*'C2 - Funcionários #'!AK37*IF($C35="Operacional",IFERROR(VLOOKUP($D35,SN_UGC,28,0),0),1)</f>
        <v>117388.82340371999</v>
      </c>
      <c r="L35" s="120">
        <f>$E35*'C2 - Funcionários #'!AL37*IF($C35="Operacional",IFERROR(VLOOKUP($D35,SN_UGC,28,0),0),1)</f>
        <v>117388.82340371999</v>
      </c>
      <c r="M35" s="120">
        <f>$E35*'C2 - Funcionários #'!AM37*IF($C35="Operacional",IFERROR(VLOOKUP($D35,SN_UGC,28,0),0),1)</f>
        <v>117388.82340371999</v>
      </c>
      <c r="N35" s="120">
        <f>$E35*'C2 - Funcionários #'!AN37*IF($C35="Operacional",IFERROR(VLOOKUP($D35,SN_UGC,28,0),0),1)</f>
        <v>117388.82340371999</v>
      </c>
      <c r="O35" s="120">
        <f>$E35*'C2 - Funcionários #'!AO37*IF($C35="Operacional",IFERROR(VLOOKUP($D35,SN_UGC,28,0),0),1)</f>
        <v>117388.82340371999</v>
      </c>
      <c r="P35" s="120">
        <f>$E35*'C2 - Funcionários #'!AP37*IF($C35="Operacional",IFERROR(VLOOKUP($D35,SN_UGC,28,0),0),1)</f>
        <v>117388.82340371999</v>
      </c>
      <c r="Q35" s="120">
        <f>$E35*'C2 - Funcionários #'!AQ37*IF($C35="Operacional",IFERROR(VLOOKUP($D35,SN_UGC,28,0),0),1)</f>
        <v>117388.82340371999</v>
      </c>
      <c r="R35" s="120">
        <f>$E35*'C2 - Funcionários #'!AR37*IF($C35="Operacional",IFERROR(VLOOKUP($D35,SN_UGC,28,0),0),1)</f>
        <v>117388.82340371999</v>
      </c>
      <c r="S35" s="120">
        <f>$E35*'C2 - Funcionários #'!AS37*IF($C35="Operacional",IFERROR(VLOOKUP($D35,SN_UGC,28,0),0),1)</f>
        <v>117388.82340371999</v>
      </c>
      <c r="T35" s="120">
        <f>$E35*'C2 - Funcionários #'!AT37*IF($C35="Operacional",IFERROR(VLOOKUP($D35,SN_UGC,28,0),0),1)</f>
        <v>117388.82340371999</v>
      </c>
      <c r="U35" s="120">
        <f>$E35*'C2 - Funcionários #'!AU37*IF($C35="Operacional",IFERROR(VLOOKUP($D35,SN_UGC,28,0),0),1)</f>
        <v>117388.82340371999</v>
      </c>
      <c r="V35" s="120">
        <f>$E35*'C2 - Funcionários #'!AV37*IF($C35="Operacional",IFERROR(VLOOKUP($D35,SN_UGC,28,0),0),1)</f>
        <v>117388.82340371999</v>
      </c>
      <c r="W35" s="120">
        <f>$E35*'C2 - Funcionários #'!AW37*IF($C35="Operacional",IFERROR(VLOOKUP($D35,SN_UGC,28,0),0),1)</f>
        <v>117388.82340371999</v>
      </c>
      <c r="X35" s="120">
        <f>$E35*'C2 - Funcionários #'!AX37*IF($C35="Operacional",IFERROR(VLOOKUP($D35,SN_UGC,28,0),0),1)</f>
        <v>117388.82340371999</v>
      </c>
      <c r="Y35" s="120">
        <f>$E35*'C2 - Funcionários #'!AY37*IF($C35="Operacional",IFERROR(VLOOKUP($D35,SN_UGC,28,0),0),1)</f>
        <v>117388.82340371999</v>
      </c>
      <c r="Z35" s="120">
        <f>$E35*'C2 - Funcionários #'!AZ37*IF($C35="Operacional",IFERROR(VLOOKUP($D35,SN_UGC,28,0),0),1)</f>
        <v>117388.82340371999</v>
      </c>
      <c r="AA35" s="120">
        <f>$E35*'C2 - Funcionários #'!BA37*IF($C35="Operacional",IFERROR(VLOOKUP($D35,SN_UGC,28,0),0),1)</f>
        <v>117388.82340371999</v>
      </c>
      <c r="AB35" s="120">
        <f>$E35*'C2 - Funcionários #'!BB37*IF($C35="Operacional",IFERROR(VLOOKUP($D35,SN_UGC,28,0),0),1)</f>
        <v>117388.82340371999</v>
      </c>
      <c r="AC35" s="120">
        <f>$E35*'C2 - Funcionários #'!BC37*IF($C35="Operacional",IFERROR(VLOOKUP($D35,SN_UGC,28,0),0),1)</f>
        <v>117388.82340371999</v>
      </c>
      <c r="AD35" s="120">
        <f>$E35*'C2 - Funcionários #'!BD37*IF($C35="Operacional",IFERROR(VLOOKUP($D35,SN_UGC,28,0),0),1)</f>
        <v>117388.82340371999</v>
      </c>
      <c r="AE35" s="120">
        <f>$E35*'C2 - Funcionários #'!BE37*IF($C35="Operacional",IFERROR(VLOOKUP($D35,SN_UGC,28,0),0),1)</f>
        <v>117388.82340371999</v>
      </c>
      <c r="AF35" s="120">
        <f>$E35*'C2 - Funcionários #'!BF37*IF($C35="Operacional",IFERROR(VLOOKUP($D35,SN_UGC,28,0),0),1)</f>
        <v>117388.82340371999</v>
      </c>
      <c r="AG35" s="120">
        <f>$E35*'C2 - Funcionários #'!BG37*IF($C35="Operacional",IFERROR(VLOOKUP($D35,SN_UGC,28,0),0),1)</f>
        <v>117388.82340371999</v>
      </c>
      <c r="AH35" s="120">
        <f>$E35*'C2 - Funcionários #'!BH37*IF($C35="Operacional",IFERROR(VLOOKUP($D35,SN_UGC,28,0),0),1)</f>
        <v>117388.82340371999</v>
      </c>
      <c r="AI35" s="120">
        <f>$E35*'C2 - Funcionários #'!BI37*IF($C35="Operacional",IFERROR(VLOOKUP($D35,SN_UGC,28,0),0),1)</f>
        <v>117388.82340371999</v>
      </c>
      <c r="AJ35" s="120">
        <f>$E35*'C2 - Funcionários #'!BJ37*IF($C35="Operacional",IFERROR(VLOOKUP($D35,SN_UGC,28,0),0),1)</f>
        <v>117388.82340371999</v>
      </c>
    </row>
    <row r="36" spans="1:36" ht="15.75" customHeight="1">
      <c r="A36" s="521"/>
      <c r="B36" s="51" t="str">
        <f>'C1 - Cargos e Salários'!B30</f>
        <v>Caixa</v>
      </c>
      <c r="C36" s="51" t="str">
        <f>'C1 - Cargos e Salários'!C30</f>
        <v>Operacional</v>
      </c>
      <c r="D36" s="51" t="str">
        <f>'C1 - Cargos e Salários'!D30</f>
        <v>Preá - Alimentação</v>
      </c>
      <c r="E36" s="118">
        <f>'C1 - Cargos e Salários'!K30</f>
        <v>39653.828640200009</v>
      </c>
      <c r="F36" s="119">
        <f>IF(C36="Operacional",IFERROR(VLOOKUP(D36,ReceitaPorTipo,COLUMN('A1 - Serviços e demanda'!$Z$17),0),0),100%)</f>
        <v>0</v>
      </c>
      <c r="G36" s="120">
        <f>E36*F36*'C2 - Funcionários #'!AG38*IF($C36="Operacional",IFERROR(VLOOKUP($D36,SN_UGC,28,0),0),1)</f>
        <v>0</v>
      </c>
      <c r="H36" s="120">
        <f>$E36*'C2 - Funcionários #'!AH38*IF($C36="Operacional",IFERROR(VLOOKUP($D36,SN_UGC,28,0),0),1)</f>
        <v>79307.657280400017</v>
      </c>
      <c r="I36" s="120">
        <f>$E36*'C2 - Funcionários #'!AI38*IF($C36="Operacional",IFERROR(VLOOKUP($D36,SN_UGC,28,0),0),1)</f>
        <v>79307.657280400017</v>
      </c>
      <c r="J36" s="120">
        <f>$E36*'C2 - Funcionários #'!AJ38*IF($C36="Operacional",IFERROR(VLOOKUP($D36,SN_UGC,28,0),0),1)</f>
        <v>79307.657280400017</v>
      </c>
      <c r="K36" s="120">
        <f>$E36*'C2 - Funcionários #'!AK38*IF($C36="Operacional",IFERROR(VLOOKUP($D36,SN_UGC,28,0),0),1)</f>
        <v>79307.657280400017</v>
      </c>
      <c r="L36" s="120">
        <f>$E36*'C2 - Funcionários #'!AL38*IF($C36="Operacional",IFERROR(VLOOKUP($D36,SN_UGC,28,0),0),1)</f>
        <v>79307.657280400017</v>
      </c>
      <c r="M36" s="120">
        <f>$E36*'C2 - Funcionários #'!AM38*IF($C36="Operacional",IFERROR(VLOOKUP($D36,SN_UGC,28,0),0),1)</f>
        <v>79307.657280400017</v>
      </c>
      <c r="N36" s="120">
        <f>$E36*'C2 - Funcionários #'!AN38*IF($C36="Operacional",IFERROR(VLOOKUP($D36,SN_UGC,28,0),0),1)</f>
        <v>79307.657280400017</v>
      </c>
      <c r="O36" s="120">
        <f>$E36*'C2 - Funcionários #'!AO38*IF($C36="Operacional",IFERROR(VLOOKUP($D36,SN_UGC,28,0),0),1)</f>
        <v>79307.657280400017</v>
      </c>
      <c r="P36" s="120">
        <f>$E36*'C2 - Funcionários #'!AP38*IF($C36="Operacional",IFERROR(VLOOKUP($D36,SN_UGC,28,0),0),1)</f>
        <v>79307.657280400017</v>
      </c>
      <c r="Q36" s="120">
        <f>$E36*'C2 - Funcionários #'!AQ38*IF($C36="Operacional",IFERROR(VLOOKUP($D36,SN_UGC,28,0),0),1)</f>
        <v>79307.657280400017</v>
      </c>
      <c r="R36" s="120">
        <f>$E36*'C2 - Funcionários #'!AR38*IF($C36="Operacional",IFERROR(VLOOKUP($D36,SN_UGC,28,0),0),1)</f>
        <v>79307.657280400017</v>
      </c>
      <c r="S36" s="120">
        <f>$E36*'C2 - Funcionários #'!AS38*IF($C36="Operacional",IFERROR(VLOOKUP($D36,SN_UGC,28,0),0),1)</f>
        <v>79307.657280400017</v>
      </c>
      <c r="T36" s="120">
        <f>$E36*'C2 - Funcionários #'!AT38*IF($C36="Operacional",IFERROR(VLOOKUP($D36,SN_UGC,28,0),0),1)</f>
        <v>79307.657280400017</v>
      </c>
      <c r="U36" s="120">
        <f>$E36*'C2 - Funcionários #'!AU38*IF($C36="Operacional",IFERROR(VLOOKUP($D36,SN_UGC,28,0),0),1)</f>
        <v>79307.657280400017</v>
      </c>
      <c r="V36" s="120">
        <f>$E36*'C2 - Funcionários #'!AV38*IF($C36="Operacional",IFERROR(VLOOKUP($D36,SN_UGC,28,0),0),1)</f>
        <v>79307.657280400017</v>
      </c>
      <c r="W36" s="120">
        <f>$E36*'C2 - Funcionários #'!AW38*IF($C36="Operacional",IFERROR(VLOOKUP($D36,SN_UGC,28,0),0),1)</f>
        <v>79307.657280400017</v>
      </c>
      <c r="X36" s="120">
        <f>$E36*'C2 - Funcionários #'!AX38*IF($C36="Operacional",IFERROR(VLOOKUP($D36,SN_UGC,28,0),0),1)</f>
        <v>79307.657280400017</v>
      </c>
      <c r="Y36" s="120">
        <f>$E36*'C2 - Funcionários #'!AY38*IF($C36="Operacional",IFERROR(VLOOKUP($D36,SN_UGC,28,0),0),1)</f>
        <v>79307.657280400017</v>
      </c>
      <c r="Z36" s="120">
        <f>$E36*'C2 - Funcionários #'!AZ38*IF($C36="Operacional",IFERROR(VLOOKUP($D36,SN_UGC,28,0),0),1)</f>
        <v>79307.657280400017</v>
      </c>
      <c r="AA36" s="120">
        <f>$E36*'C2 - Funcionários #'!BA38*IF($C36="Operacional",IFERROR(VLOOKUP($D36,SN_UGC,28,0),0),1)</f>
        <v>79307.657280400017</v>
      </c>
      <c r="AB36" s="120">
        <f>$E36*'C2 - Funcionários #'!BB38*IF($C36="Operacional",IFERROR(VLOOKUP($D36,SN_UGC,28,0),0),1)</f>
        <v>79307.657280400017</v>
      </c>
      <c r="AC36" s="120">
        <f>$E36*'C2 - Funcionários #'!BC38*IF($C36="Operacional",IFERROR(VLOOKUP($D36,SN_UGC,28,0),0),1)</f>
        <v>79307.657280400017</v>
      </c>
      <c r="AD36" s="120">
        <f>$E36*'C2 - Funcionários #'!BD38*IF($C36="Operacional",IFERROR(VLOOKUP($D36,SN_UGC,28,0),0),1)</f>
        <v>79307.657280400017</v>
      </c>
      <c r="AE36" s="120">
        <f>$E36*'C2 - Funcionários #'!BE38*IF($C36="Operacional",IFERROR(VLOOKUP($D36,SN_UGC,28,0),0),1)</f>
        <v>79307.657280400017</v>
      </c>
      <c r="AF36" s="120">
        <f>$E36*'C2 - Funcionários #'!BF38*IF($C36="Operacional",IFERROR(VLOOKUP($D36,SN_UGC,28,0),0),1)</f>
        <v>79307.657280400017</v>
      </c>
      <c r="AG36" s="120">
        <f>$E36*'C2 - Funcionários #'!BG38*IF($C36="Operacional",IFERROR(VLOOKUP($D36,SN_UGC,28,0),0),1)</f>
        <v>79307.657280400017</v>
      </c>
      <c r="AH36" s="120">
        <f>$E36*'C2 - Funcionários #'!BH38*IF($C36="Operacional",IFERROR(VLOOKUP($D36,SN_UGC,28,0),0),1)</f>
        <v>79307.657280400017</v>
      </c>
      <c r="AI36" s="120">
        <f>$E36*'C2 - Funcionários #'!BI38*IF($C36="Operacional",IFERROR(VLOOKUP($D36,SN_UGC,28,0),0),1)</f>
        <v>79307.657280400017</v>
      </c>
      <c r="AJ36" s="120">
        <f>$E36*'C2 - Funcionários #'!BJ38*IF($C36="Operacional",IFERROR(VLOOKUP($D36,SN_UGC,28,0),0),1)</f>
        <v>79307.657280400017</v>
      </c>
    </row>
    <row r="37" spans="1:36" ht="15.75" customHeight="1">
      <c r="A37" s="521"/>
      <c r="B37" s="51" t="str">
        <f>'C1 - Cargos e Salários'!B31</f>
        <v>Atendente</v>
      </c>
      <c r="C37" s="51" t="str">
        <f>'C1 - Cargos e Salários'!C31</f>
        <v>Operacional</v>
      </c>
      <c r="D37" s="51" t="str">
        <f>'C1 - Cargos e Salários'!D31</f>
        <v>Preá - Alimentação</v>
      </c>
      <c r="E37" s="118">
        <f>'C1 - Cargos e Salários'!K31</f>
        <v>39650.11850104</v>
      </c>
      <c r="F37" s="119">
        <f>IF(C37="Operacional",IFERROR(VLOOKUP(D37,ReceitaPorTipo,COLUMN('A1 - Serviços e demanda'!$Z$17),0),0),100%)</f>
        <v>0</v>
      </c>
      <c r="G37" s="120">
        <f>E37*F37*'C2 - Funcionários #'!AG39*IF($C37="Operacional",IFERROR(VLOOKUP($D37,SN_UGC,28,0),0),1)</f>
        <v>0</v>
      </c>
      <c r="H37" s="120">
        <f>$E37*'C2 - Funcionários #'!AH39*IF($C37="Operacional",IFERROR(VLOOKUP($D37,SN_UGC,28,0),0),1)</f>
        <v>158600.47400416</v>
      </c>
      <c r="I37" s="120">
        <f>$E37*'C2 - Funcionários #'!AI39*IF($C37="Operacional",IFERROR(VLOOKUP($D37,SN_UGC,28,0),0),1)</f>
        <v>158600.47400416</v>
      </c>
      <c r="J37" s="120">
        <f>$E37*'C2 - Funcionários #'!AJ39*IF($C37="Operacional",IFERROR(VLOOKUP($D37,SN_UGC,28,0),0),1)</f>
        <v>158600.47400416</v>
      </c>
      <c r="K37" s="120">
        <f>$E37*'C2 - Funcionários #'!AK39*IF($C37="Operacional",IFERROR(VLOOKUP($D37,SN_UGC,28,0),0),1)</f>
        <v>158600.47400416</v>
      </c>
      <c r="L37" s="120">
        <f>$E37*'C2 - Funcionários #'!AL39*IF($C37="Operacional",IFERROR(VLOOKUP($D37,SN_UGC,28,0),0),1)</f>
        <v>158600.47400416</v>
      </c>
      <c r="M37" s="120">
        <f>$E37*'C2 - Funcionários #'!AM39*IF($C37="Operacional",IFERROR(VLOOKUP($D37,SN_UGC,28,0),0),1)</f>
        <v>158600.47400416</v>
      </c>
      <c r="N37" s="120">
        <f>$E37*'C2 - Funcionários #'!AN39*IF($C37="Operacional",IFERROR(VLOOKUP($D37,SN_UGC,28,0),0),1)</f>
        <v>158600.47400416</v>
      </c>
      <c r="O37" s="120">
        <f>$E37*'C2 - Funcionários #'!AO39*IF($C37="Operacional",IFERROR(VLOOKUP($D37,SN_UGC,28,0),0),1)</f>
        <v>158600.47400416</v>
      </c>
      <c r="P37" s="120">
        <f>$E37*'C2 - Funcionários #'!AP39*IF($C37="Operacional",IFERROR(VLOOKUP($D37,SN_UGC,28,0),0),1)</f>
        <v>158600.47400416</v>
      </c>
      <c r="Q37" s="120">
        <f>$E37*'C2 - Funcionários #'!AQ39*IF($C37="Operacional",IFERROR(VLOOKUP($D37,SN_UGC,28,0),0),1)</f>
        <v>158600.47400416</v>
      </c>
      <c r="R37" s="120">
        <f>$E37*'C2 - Funcionários #'!AR39*IF($C37="Operacional",IFERROR(VLOOKUP($D37,SN_UGC,28,0),0),1)</f>
        <v>158600.47400416</v>
      </c>
      <c r="S37" s="120">
        <f>$E37*'C2 - Funcionários #'!AS39*IF($C37="Operacional",IFERROR(VLOOKUP($D37,SN_UGC,28,0),0),1)</f>
        <v>158600.47400416</v>
      </c>
      <c r="T37" s="120">
        <f>$E37*'C2 - Funcionários #'!AT39*IF($C37="Operacional",IFERROR(VLOOKUP($D37,SN_UGC,28,0),0),1)</f>
        <v>158600.47400416</v>
      </c>
      <c r="U37" s="120">
        <f>$E37*'C2 - Funcionários #'!AU39*IF($C37="Operacional",IFERROR(VLOOKUP($D37,SN_UGC,28,0),0),1)</f>
        <v>158600.47400416</v>
      </c>
      <c r="V37" s="120">
        <f>$E37*'C2 - Funcionários #'!AV39*IF($C37="Operacional",IFERROR(VLOOKUP($D37,SN_UGC,28,0),0),1)</f>
        <v>158600.47400416</v>
      </c>
      <c r="W37" s="120">
        <f>$E37*'C2 - Funcionários #'!AW39*IF($C37="Operacional",IFERROR(VLOOKUP($D37,SN_UGC,28,0),0),1)</f>
        <v>158600.47400416</v>
      </c>
      <c r="X37" s="120">
        <f>$E37*'C2 - Funcionários #'!AX39*IF($C37="Operacional",IFERROR(VLOOKUP($D37,SN_UGC,28,0),0),1)</f>
        <v>158600.47400416</v>
      </c>
      <c r="Y37" s="120">
        <f>$E37*'C2 - Funcionários #'!AY39*IF($C37="Operacional",IFERROR(VLOOKUP($D37,SN_UGC,28,0),0),1)</f>
        <v>158600.47400416</v>
      </c>
      <c r="Z37" s="120">
        <f>$E37*'C2 - Funcionários #'!AZ39*IF($C37="Operacional",IFERROR(VLOOKUP($D37,SN_UGC,28,0),0),1)</f>
        <v>158600.47400416</v>
      </c>
      <c r="AA37" s="120">
        <f>$E37*'C2 - Funcionários #'!BA39*IF($C37="Operacional",IFERROR(VLOOKUP($D37,SN_UGC,28,0),0),1)</f>
        <v>158600.47400416</v>
      </c>
      <c r="AB37" s="120">
        <f>$E37*'C2 - Funcionários #'!BB39*IF($C37="Operacional",IFERROR(VLOOKUP($D37,SN_UGC,28,0),0),1)</f>
        <v>158600.47400416</v>
      </c>
      <c r="AC37" s="120">
        <f>$E37*'C2 - Funcionários #'!BC39*IF($C37="Operacional",IFERROR(VLOOKUP($D37,SN_UGC,28,0),0),1)</f>
        <v>158600.47400416</v>
      </c>
      <c r="AD37" s="120">
        <f>$E37*'C2 - Funcionários #'!BD39*IF($C37="Operacional",IFERROR(VLOOKUP($D37,SN_UGC,28,0),0),1)</f>
        <v>158600.47400416</v>
      </c>
      <c r="AE37" s="120">
        <f>$E37*'C2 - Funcionários #'!BE39*IF($C37="Operacional",IFERROR(VLOOKUP($D37,SN_UGC,28,0),0),1)</f>
        <v>158600.47400416</v>
      </c>
      <c r="AF37" s="120">
        <f>$E37*'C2 - Funcionários #'!BF39*IF($C37="Operacional",IFERROR(VLOOKUP($D37,SN_UGC,28,0),0),1)</f>
        <v>158600.47400416</v>
      </c>
      <c r="AG37" s="120">
        <f>$E37*'C2 - Funcionários #'!BG39*IF($C37="Operacional",IFERROR(VLOOKUP($D37,SN_UGC,28,0),0),1)</f>
        <v>158600.47400416</v>
      </c>
      <c r="AH37" s="120">
        <f>$E37*'C2 - Funcionários #'!BH39*IF($C37="Operacional",IFERROR(VLOOKUP($D37,SN_UGC,28,0),0),1)</f>
        <v>158600.47400416</v>
      </c>
      <c r="AI37" s="120">
        <f>$E37*'C2 - Funcionários #'!BI39*IF($C37="Operacional",IFERROR(VLOOKUP($D37,SN_UGC,28,0),0),1)</f>
        <v>158600.47400416</v>
      </c>
      <c r="AJ37" s="120">
        <f>$E37*'C2 - Funcionários #'!BJ39*IF($C37="Operacional",IFERROR(VLOOKUP($D37,SN_UGC,28,0),0),1)</f>
        <v>158600.47400416</v>
      </c>
    </row>
    <row r="38" spans="1:36" ht="15.75" customHeight="1">
      <c r="A38" s="521"/>
      <c r="B38" s="51" t="str">
        <f>'C1 - Cargos e Salários'!B32</f>
        <v>Atendente</v>
      </c>
      <c r="C38" s="51" t="str">
        <f>'C1 - Cargos e Salários'!C32</f>
        <v>Operacional</v>
      </c>
      <c r="D38" s="51" t="str">
        <f>'C1 - Cargos e Salários'!D32</f>
        <v>Preá - Comércio</v>
      </c>
      <c r="E38" s="118">
        <f>'C1 - Cargos e Salários'!K32</f>
        <v>39332.355994160011</v>
      </c>
      <c r="F38" s="119">
        <f>IF(C38="Operacional",IFERROR(VLOOKUP(D38,ReceitaPorTipo,COLUMN('A1 - Serviços e demanda'!$Z$17),0),0),100%)</f>
        <v>0</v>
      </c>
      <c r="G38" s="120">
        <f>E38*F38*'C2 - Funcionários #'!AG40*IF($C38="Operacional",IFERROR(VLOOKUP($D38,SN_UGC,28,0),0),1)</f>
        <v>0</v>
      </c>
      <c r="H38" s="120">
        <f>$E38*'C2 - Funcionários #'!AH40*IF($C38="Operacional",IFERROR(VLOOKUP($D38,SN_UGC,28,0),0),1)</f>
        <v>78664.711988320021</v>
      </c>
      <c r="I38" s="120">
        <f>$E38*'C2 - Funcionários #'!AI40*IF($C38="Operacional",IFERROR(VLOOKUP($D38,SN_UGC,28,0),0),1)</f>
        <v>78664.711988320021</v>
      </c>
      <c r="J38" s="120">
        <f>$E38*'C2 - Funcionários #'!AJ40*IF($C38="Operacional",IFERROR(VLOOKUP($D38,SN_UGC,28,0),0),1)</f>
        <v>78664.711988320021</v>
      </c>
      <c r="K38" s="120">
        <f>$E38*'C2 - Funcionários #'!AK40*IF($C38="Operacional",IFERROR(VLOOKUP($D38,SN_UGC,28,0),0),1)</f>
        <v>78664.711988320021</v>
      </c>
      <c r="L38" s="120">
        <f>$E38*'C2 - Funcionários #'!AL40*IF($C38="Operacional",IFERROR(VLOOKUP($D38,SN_UGC,28,0),0),1)</f>
        <v>78664.711988320021</v>
      </c>
      <c r="M38" s="120">
        <f>$E38*'C2 - Funcionários #'!AM40*IF($C38="Operacional",IFERROR(VLOOKUP($D38,SN_UGC,28,0),0),1)</f>
        <v>78664.711988320021</v>
      </c>
      <c r="N38" s="120">
        <f>$E38*'C2 - Funcionários #'!AN40*IF($C38="Operacional",IFERROR(VLOOKUP($D38,SN_UGC,28,0),0),1)</f>
        <v>78664.711988320021</v>
      </c>
      <c r="O38" s="120">
        <f>$E38*'C2 - Funcionários #'!AO40*IF($C38="Operacional",IFERROR(VLOOKUP($D38,SN_UGC,28,0),0),1)</f>
        <v>78664.711988320021</v>
      </c>
      <c r="P38" s="120">
        <f>$E38*'C2 - Funcionários #'!AP40*IF($C38="Operacional",IFERROR(VLOOKUP($D38,SN_UGC,28,0),0),1)</f>
        <v>78664.711988320021</v>
      </c>
      <c r="Q38" s="120">
        <f>$E38*'C2 - Funcionários #'!AQ40*IF($C38="Operacional",IFERROR(VLOOKUP($D38,SN_UGC,28,0),0),1)</f>
        <v>78664.711988320021</v>
      </c>
      <c r="R38" s="120">
        <f>$E38*'C2 - Funcionários #'!AR40*IF($C38="Operacional",IFERROR(VLOOKUP($D38,SN_UGC,28,0),0),1)</f>
        <v>78664.711988320021</v>
      </c>
      <c r="S38" s="120">
        <f>$E38*'C2 - Funcionários #'!AS40*IF($C38="Operacional",IFERROR(VLOOKUP($D38,SN_UGC,28,0),0),1)</f>
        <v>78664.711988320021</v>
      </c>
      <c r="T38" s="120">
        <f>$E38*'C2 - Funcionários #'!AT40*IF($C38="Operacional",IFERROR(VLOOKUP($D38,SN_UGC,28,0),0),1)</f>
        <v>78664.711988320021</v>
      </c>
      <c r="U38" s="120">
        <f>$E38*'C2 - Funcionários #'!AU40*IF($C38="Operacional",IFERROR(VLOOKUP($D38,SN_UGC,28,0),0),1)</f>
        <v>78664.711988320021</v>
      </c>
      <c r="V38" s="120">
        <f>$E38*'C2 - Funcionários #'!AV40*IF($C38="Operacional",IFERROR(VLOOKUP($D38,SN_UGC,28,0),0),1)</f>
        <v>78664.711988320021</v>
      </c>
      <c r="W38" s="120">
        <f>$E38*'C2 - Funcionários #'!AW40*IF($C38="Operacional",IFERROR(VLOOKUP($D38,SN_UGC,28,0),0),1)</f>
        <v>78664.711988320021</v>
      </c>
      <c r="X38" s="120">
        <f>$E38*'C2 - Funcionários #'!AX40*IF($C38="Operacional",IFERROR(VLOOKUP($D38,SN_UGC,28,0),0),1)</f>
        <v>78664.711988320021</v>
      </c>
      <c r="Y38" s="120">
        <f>$E38*'C2 - Funcionários #'!AY40*IF($C38="Operacional",IFERROR(VLOOKUP($D38,SN_UGC,28,0),0),1)</f>
        <v>78664.711988320021</v>
      </c>
      <c r="Z38" s="120">
        <f>$E38*'C2 - Funcionários #'!AZ40*IF($C38="Operacional",IFERROR(VLOOKUP($D38,SN_UGC,28,0),0),1)</f>
        <v>78664.711988320021</v>
      </c>
      <c r="AA38" s="120">
        <f>$E38*'C2 - Funcionários #'!BA40*IF($C38="Operacional",IFERROR(VLOOKUP($D38,SN_UGC,28,0),0),1)</f>
        <v>78664.711988320021</v>
      </c>
      <c r="AB38" s="120">
        <f>$E38*'C2 - Funcionários #'!BB40*IF($C38="Operacional",IFERROR(VLOOKUP($D38,SN_UGC,28,0),0),1)</f>
        <v>78664.711988320021</v>
      </c>
      <c r="AC38" s="120">
        <f>$E38*'C2 - Funcionários #'!BC40*IF($C38="Operacional",IFERROR(VLOOKUP($D38,SN_UGC,28,0),0),1)</f>
        <v>78664.711988320021</v>
      </c>
      <c r="AD38" s="120">
        <f>$E38*'C2 - Funcionários #'!BD40*IF($C38="Operacional",IFERROR(VLOOKUP($D38,SN_UGC,28,0),0),1)</f>
        <v>78664.711988320021</v>
      </c>
      <c r="AE38" s="120">
        <f>$E38*'C2 - Funcionários #'!BE40*IF($C38="Operacional",IFERROR(VLOOKUP($D38,SN_UGC,28,0),0),1)</f>
        <v>78664.711988320021</v>
      </c>
      <c r="AF38" s="120">
        <f>$E38*'C2 - Funcionários #'!BF40*IF($C38="Operacional",IFERROR(VLOOKUP($D38,SN_UGC,28,0),0),1)</f>
        <v>78664.711988320021</v>
      </c>
      <c r="AG38" s="120">
        <f>$E38*'C2 - Funcionários #'!BG40*IF($C38="Operacional",IFERROR(VLOOKUP($D38,SN_UGC,28,0),0),1)</f>
        <v>78664.711988320021</v>
      </c>
      <c r="AH38" s="120">
        <f>$E38*'C2 - Funcionários #'!BH40*IF($C38="Operacional",IFERROR(VLOOKUP($D38,SN_UGC,28,0),0),1)</f>
        <v>78664.711988320021</v>
      </c>
      <c r="AI38" s="120">
        <f>$E38*'C2 - Funcionários #'!BI40*IF($C38="Operacional",IFERROR(VLOOKUP($D38,SN_UGC,28,0),0),1)</f>
        <v>78664.711988320021</v>
      </c>
      <c r="AJ38" s="120">
        <f>$E38*'C2 - Funcionários #'!BJ40*IF($C38="Operacional",IFERROR(VLOOKUP($D38,SN_UGC,28,0),0),1)</f>
        <v>78664.711988320021</v>
      </c>
    </row>
    <row r="39" spans="1:36" ht="15.75" customHeight="1">
      <c r="A39" s="521"/>
      <c r="B39" s="51" t="str">
        <f>'C1 - Cargos e Salários'!B33</f>
        <v>Caixa</v>
      </c>
      <c r="C39" s="51" t="str">
        <f>'C1 - Cargos e Salários'!C33</f>
        <v>Operacional</v>
      </c>
      <c r="D39" s="51" t="str">
        <f>'C1 - Cargos e Salários'!D33</f>
        <v>Preá - Comércio</v>
      </c>
      <c r="E39" s="118">
        <f>'C1 - Cargos e Salários'!K33</f>
        <v>39653.828640200009</v>
      </c>
      <c r="F39" s="119">
        <f>IF(C39="Operacional",IFERROR(VLOOKUP(D39,ReceitaPorTipo,COLUMN('A1 - Serviços e demanda'!$Z$17),0),0),100%)</f>
        <v>0</v>
      </c>
      <c r="G39" s="120">
        <f>E39*F39*'C2 - Funcionários #'!AG41*IF($C39="Operacional",IFERROR(VLOOKUP($D39,SN_UGC,28,0),0),1)</f>
        <v>0</v>
      </c>
      <c r="H39" s="120">
        <f>$E39*'C2 - Funcionários #'!AH41*IF($C39="Operacional",IFERROR(VLOOKUP($D39,SN_UGC,28,0),0),1)</f>
        <v>79307.657280400017</v>
      </c>
      <c r="I39" s="120">
        <f>$E39*'C2 - Funcionários #'!AI41*IF($C39="Operacional",IFERROR(VLOOKUP($D39,SN_UGC,28,0),0),1)</f>
        <v>79307.657280400017</v>
      </c>
      <c r="J39" s="120">
        <f>$E39*'C2 - Funcionários #'!AJ41*IF($C39="Operacional",IFERROR(VLOOKUP($D39,SN_UGC,28,0),0),1)</f>
        <v>79307.657280400017</v>
      </c>
      <c r="K39" s="120">
        <f>$E39*'C2 - Funcionários #'!AK41*IF($C39="Operacional",IFERROR(VLOOKUP($D39,SN_UGC,28,0),0),1)</f>
        <v>79307.657280400017</v>
      </c>
      <c r="L39" s="120">
        <f>$E39*'C2 - Funcionários #'!AL41*IF($C39="Operacional",IFERROR(VLOOKUP($D39,SN_UGC,28,0),0),1)</f>
        <v>79307.657280400017</v>
      </c>
      <c r="M39" s="120">
        <f>$E39*'C2 - Funcionários #'!AM41*IF($C39="Operacional",IFERROR(VLOOKUP($D39,SN_UGC,28,0),0),1)</f>
        <v>79307.657280400017</v>
      </c>
      <c r="N39" s="120">
        <f>$E39*'C2 - Funcionários #'!AN41*IF($C39="Operacional",IFERROR(VLOOKUP($D39,SN_UGC,28,0),0),1)</f>
        <v>79307.657280400017</v>
      </c>
      <c r="O39" s="120">
        <f>$E39*'C2 - Funcionários #'!AO41*IF($C39="Operacional",IFERROR(VLOOKUP($D39,SN_UGC,28,0),0),1)</f>
        <v>79307.657280400017</v>
      </c>
      <c r="P39" s="120">
        <f>$E39*'C2 - Funcionários #'!AP41*IF($C39="Operacional",IFERROR(VLOOKUP($D39,SN_UGC,28,0),0),1)</f>
        <v>79307.657280400017</v>
      </c>
      <c r="Q39" s="120">
        <f>$E39*'C2 - Funcionários #'!AQ41*IF($C39="Operacional",IFERROR(VLOOKUP($D39,SN_UGC,28,0),0),1)</f>
        <v>79307.657280400017</v>
      </c>
      <c r="R39" s="120">
        <f>$E39*'C2 - Funcionários #'!AR41*IF($C39="Operacional",IFERROR(VLOOKUP($D39,SN_UGC,28,0),0),1)</f>
        <v>79307.657280400017</v>
      </c>
      <c r="S39" s="120">
        <f>$E39*'C2 - Funcionários #'!AS41*IF($C39="Operacional",IFERROR(VLOOKUP($D39,SN_UGC,28,0),0),1)</f>
        <v>79307.657280400017</v>
      </c>
      <c r="T39" s="120">
        <f>$E39*'C2 - Funcionários #'!AT41*IF($C39="Operacional",IFERROR(VLOOKUP($D39,SN_UGC,28,0),0),1)</f>
        <v>79307.657280400017</v>
      </c>
      <c r="U39" s="120">
        <f>$E39*'C2 - Funcionários #'!AU41*IF($C39="Operacional",IFERROR(VLOOKUP($D39,SN_UGC,28,0),0),1)</f>
        <v>79307.657280400017</v>
      </c>
      <c r="V39" s="120">
        <f>$E39*'C2 - Funcionários #'!AV41*IF($C39="Operacional",IFERROR(VLOOKUP($D39,SN_UGC,28,0),0),1)</f>
        <v>79307.657280400017</v>
      </c>
      <c r="W39" s="120">
        <f>$E39*'C2 - Funcionários #'!AW41*IF($C39="Operacional",IFERROR(VLOOKUP($D39,SN_UGC,28,0),0),1)</f>
        <v>79307.657280400017</v>
      </c>
      <c r="X39" s="120">
        <f>$E39*'C2 - Funcionários #'!AX41*IF($C39="Operacional",IFERROR(VLOOKUP($D39,SN_UGC,28,0),0),1)</f>
        <v>79307.657280400017</v>
      </c>
      <c r="Y39" s="120">
        <f>$E39*'C2 - Funcionários #'!AY41*IF($C39="Operacional",IFERROR(VLOOKUP($D39,SN_UGC,28,0),0),1)</f>
        <v>79307.657280400017</v>
      </c>
      <c r="Z39" s="120">
        <f>$E39*'C2 - Funcionários #'!AZ41*IF($C39="Operacional",IFERROR(VLOOKUP($D39,SN_UGC,28,0),0),1)</f>
        <v>79307.657280400017</v>
      </c>
      <c r="AA39" s="120">
        <f>$E39*'C2 - Funcionários #'!BA41*IF($C39="Operacional",IFERROR(VLOOKUP($D39,SN_UGC,28,0),0),1)</f>
        <v>79307.657280400017</v>
      </c>
      <c r="AB39" s="120">
        <f>$E39*'C2 - Funcionários #'!BB41*IF($C39="Operacional",IFERROR(VLOOKUP($D39,SN_UGC,28,0),0),1)</f>
        <v>79307.657280400017</v>
      </c>
      <c r="AC39" s="120">
        <f>$E39*'C2 - Funcionários #'!BC41*IF($C39="Operacional",IFERROR(VLOOKUP($D39,SN_UGC,28,0),0),1)</f>
        <v>79307.657280400017</v>
      </c>
      <c r="AD39" s="120">
        <f>$E39*'C2 - Funcionários #'!BD41*IF($C39="Operacional",IFERROR(VLOOKUP($D39,SN_UGC,28,0),0),1)</f>
        <v>79307.657280400017</v>
      </c>
      <c r="AE39" s="120">
        <f>$E39*'C2 - Funcionários #'!BE41*IF($C39="Operacional",IFERROR(VLOOKUP($D39,SN_UGC,28,0),0),1)</f>
        <v>79307.657280400017</v>
      </c>
      <c r="AF39" s="120">
        <f>$E39*'C2 - Funcionários #'!BF41*IF($C39="Operacional",IFERROR(VLOOKUP($D39,SN_UGC,28,0),0),1)</f>
        <v>79307.657280400017</v>
      </c>
      <c r="AG39" s="120">
        <f>$E39*'C2 - Funcionários #'!BG41*IF($C39="Operacional",IFERROR(VLOOKUP($D39,SN_UGC,28,0),0),1)</f>
        <v>79307.657280400017</v>
      </c>
      <c r="AH39" s="120">
        <f>$E39*'C2 - Funcionários #'!BH41*IF($C39="Operacional",IFERROR(VLOOKUP($D39,SN_UGC,28,0),0),1)</f>
        <v>79307.657280400017</v>
      </c>
      <c r="AI39" s="120">
        <f>$E39*'C2 - Funcionários #'!BI41*IF($C39="Operacional",IFERROR(VLOOKUP($D39,SN_UGC,28,0),0),1)</f>
        <v>79307.657280400017</v>
      </c>
      <c r="AJ39" s="120">
        <f>$E39*'C2 - Funcionários #'!BJ41*IF($C39="Operacional",IFERROR(VLOOKUP($D39,SN_UGC,28,0),0),1)</f>
        <v>79307.657280400017</v>
      </c>
    </row>
    <row r="40" spans="1:36" ht="15.75" hidden="1" customHeight="1">
      <c r="A40" s="521"/>
      <c r="B40" s="51" t="str">
        <f>'C1 - Cargos e Salários'!B34</f>
        <v>Caixa</v>
      </c>
      <c r="C40" s="51" t="str">
        <f>'C1 - Cargos e Salários'!C34</f>
        <v>Operacional</v>
      </c>
      <c r="D40" s="51" t="str">
        <f>'C1 - Cargos e Salários'!D34</f>
        <v>Preá - Estacionamento</v>
      </c>
      <c r="E40" s="118">
        <f>'C1 - Cargos e Salários'!K34</f>
        <v>39653.828640200009</v>
      </c>
      <c r="F40" s="119">
        <f>IF(C40="Operacional",IFERROR(VLOOKUP(D40,ReceitaPorTipo,COLUMN('A1 - Serviços e demanda'!$Z$17),0),0),100%)</f>
        <v>0</v>
      </c>
      <c r="G40" s="120">
        <f>E40*F40*'C2 - Funcionários #'!AG42*IF($C40="Operacional",IFERROR(VLOOKUP($D40,SN_UGC,28,0),0),1)</f>
        <v>0</v>
      </c>
      <c r="H40" s="120">
        <f>$E40*'C2 - Funcionários #'!AH42*IF($C40="Operacional",IFERROR(VLOOKUP($D40,SN_UGC,28,0),0),1)</f>
        <v>198269.14320100006</v>
      </c>
      <c r="I40" s="120">
        <f>$E40*'C2 - Funcionários #'!AI42*IF($C40="Operacional",IFERROR(VLOOKUP($D40,SN_UGC,28,0),0),1)</f>
        <v>198269.14320100006</v>
      </c>
      <c r="J40" s="120">
        <f>$E40*'C2 - Funcionários #'!AJ42*IF($C40="Operacional",IFERROR(VLOOKUP($D40,SN_UGC,28,0),0),1)</f>
        <v>198269.14320100006</v>
      </c>
      <c r="K40" s="120">
        <f>$E40*'C2 - Funcionários #'!AK42*IF($C40="Operacional",IFERROR(VLOOKUP($D40,SN_UGC,28,0),0),1)</f>
        <v>198269.14320100006</v>
      </c>
      <c r="L40" s="120">
        <f>$E40*'C2 - Funcionários #'!AL42*IF($C40="Operacional",IFERROR(VLOOKUP($D40,SN_UGC,28,0),0),1)</f>
        <v>198269.14320100006</v>
      </c>
      <c r="M40" s="120">
        <f>$E40*'C2 - Funcionários #'!AM42*IF($C40="Operacional",IFERROR(VLOOKUP($D40,SN_UGC,28,0),0),1)</f>
        <v>198269.14320100006</v>
      </c>
      <c r="N40" s="120">
        <f>$E40*'C2 - Funcionários #'!AN42*IF($C40="Operacional",IFERROR(VLOOKUP($D40,SN_UGC,28,0),0),1)</f>
        <v>198269.14320100006</v>
      </c>
      <c r="O40" s="120">
        <f>$E40*'C2 - Funcionários #'!AO42*IF($C40="Operacional",IFERROR(VLOOKUP($D40,SN_UGC,28,0),0),1)</f>
        <v>198269.14320100006</v>
      </c>
      <c r="P40" s="120">
        <f>$E40*'C2 - Funcionários #'!AP42*IF($C40="Operacional",IFERROR(VLOOKUP($D40,SN_UGC,28,0),0),1)</f>
        <v>198269.14320100006</v>
      </c>
      <c r="Q40" s="120">
        <f>$E40*'C2 - Funcionários #'!AQ42*IF($C40="Operacional",IFERROR(VLOOKUP($D40,SN_UGC,28,0),0),1)</f>
        <v>198269.14320100006</v>
      </c>
      <c r="R40" s="120">
        <f>$E40*'C2 - Funcionários #'!AR42*IF($C40="Operacional",IFERROR(VLOOKUP($D40,SN_UGC,28,0),0),1)</f>
        <v>198269.14320100006</v>
      </c>
      <c r="S40" s="120">
        <f>$E40*'C2 - Funcionários #'!AS42*IF($C40="Operacional",IFERROR(VLOOKUP($D40,SN_UGC,28,0),0),1)</f>
        <v>198269.14320100006</v>
      </c>
      <c r="T40" s="120">
        <f>$E40*'C2 - Funcionários #'!AT42*IF($C40="Operacional",IFERROR(VLOOKUP($D40,SN_UGC,28,0),0),1)</f>
        <v>198269.14320100006</v>
      </c>
      <c r="U40" s="120">
        <f>$E40*'C2 - Funcionários #'!AU42*IF($C40="Operacional",IFERROR(VLOOKUP($D40,SN_UGC,28,0),0),1)</f>
        <v>198269.14320100006</v>
      </c>
      <c r="V40" s="120">
        <f>$E40*'C2 - Funcionários #'!AV42*IF($C40="Operacional",IFERROR(VLOOKUP($D40,SN_UGC,28,0),0),1)</f>
        <v>198269.14320100006</v>
      </c>
      <c r="W40" s="120">
        <f>$E40*'C2 - Funcionários #'!AW42*IF($C40="Operacional",IFERROR(VLOOKUP($D40,SN_UGC,28,0),0),1)</f>
        <v>198269.14320100006</v>
      </c>
      <c r="X40" s="120">
        <f>$E40*'C2 - Funcionários #'!AX42*IF($C40="Operacional",IFERROR(VLOOKUP($D40,SN_UGC,28,0),0),1)</f>
        <v>198269.14320100006</v>
      </c>
      <c r="Y40" s="120">
        <f>$E40*'C2 - Funcionários #'!AY42*IF($C40="Operacional",IFERROR(VLOOKUP($D40,SN_UGC,28,0),0),1)</f>
        <v>198269.14320100006</v>
      </c>
      <c r="Z40" s="120">
        <f>$E40*'C2 - Funcionários #'!AZ42*IF($C40="Operacional",IFERROR(VLOOKUP($D40,SN_UGC,28,0),0),1)</f>
        <v>198269.14320100006</v>
      </c>
      <c r="AA40" s="120">
        <f>$E40*'C2 - Funcionários #'!BA42*IF($C40="Operacional",IFERROR(VLOOKUP($D40,SN_UGC,28,0),0),1)</f>
        <v>198269.14320100006</v>
      </c>
      <c r="AB40" s="120">
        <f>$E40*'C2 - Funcionários #'!BB42*IF($C40="Operacional",IFERROR(VLOOKUP($D40,SN_UGC,28,0),0),1)</f>
        <v>198269.14320100006</v>
      </c>
      <c r="AC40" s="120">
        <f>$E40*'C2 - Funcionários #'!BC42*IF($C40="Operacional",IFERROR(VLOOKUP($D40,SN_UGC,28,0),0),1)</f>
        <v>198269.14320100006</v>
      </c>
      <c r="AD40" s="120">
        <f>$E40*'C2 - Funcionários #'!BD42*IF($C40="Operacional",IFERROR(VLOOKUP($D40,SN_UGC,28,0),0),1)</f>
        <v>198269.14320100006</v>
      </c>
      <c r="AE40" s="120">
        <f>$E40*'C2 - Funcionários #'!BE42*IF($C40="Operacional",IFERROR(VLOOKUP($D40,SN_UGC,28,0),0),1)</f>
        <v>198269.14320100006</v>
      </c>
      <c r="AF40" s="120">
        <f>$E40*'C2 - Funcionários #'!BF42*IF($C40="Operacional",IFERROR(VLOOKUP($D40,SN_UGC,28,0),0),1)</f>
        <v>198269.14320100006</v>
      </c>
      <c r="AG40" s="120">
        <f>$E40*'C2 - Funcionários #'!BG42*IF($C40="Operacional",IFERROR(VLOOKUP($D40,SN_UGC,28,0),0),1)</f>
        <v>198269.14320100006</v>
      </c>
      <c r="AH40" s="120">
        <f>$E40*'C2 - Funcionários #'!BH42*IF($C40="Operacional",IFERROR(VLOOKUP($D40,SN_UGC,28,0),0),1)</f>
        <v>198269.14320100006</v>
      </c>
      <c r="AI40" s="120">
        <f>$E40*'C2 - Funcionários #'!BI42*IF($C40="Operacional",IFERROR(VLOOKUP($D40,SN_UGC,28,0),0),1)</f>
        <v>198269.14320100006</v>
      </c>
      <c r="AJ40" s="120">
        <f>$E40*'C2 - Funcionários #'!BJ42*IF($C40="Operacional",IFERROR(VLOOKUP($D40,SN_UGC,28,0),0),1)</f>
        <v>198269.14320100006</v>
      </c>
    </row>
    <row r="41" spans="1:36" ht="15.75" customHeight="1">
      <c r="A41" s="521"/>
      <c r="B41" s="51" t="str">
        <f>'C1 - Cargos e Salários'!B35</f>
        <v>Cozinheiro</v>
      </c>
      <c r="C41" s="51" t="str">
        <f>'C1 - Cargos e Salários'!C35</f>
        <v>Operacional</v>
      </c>
      <c r="D41" s="51" t="str">
        <f>'C1 - Cargos e Salários'!D35</f>
        <v>Serrote - Alimentação</v>
      </c>
      <c r="E41" s="118">
        <f>'C1 - Cargos e Salários'!K35</f>
        <v>41448.663019719999</v>
      </c>
      <c r="F41" s="119">
        <f>IF(C41="Operacional",IFERROR(VLOOKUP(D41,ReceitaPorTipo,COLUMN('A1 - Serviços e demanda'!$Z$17),0),0),100%)</f>
        <v>0</v>
      </c>
      <c r="G41" s="120">
        <f>E41*F41*'C2 - Funcionários #'!AG43*IF($C41="Operacional",IFERROR(VLOOKUP($D41,SN_UGC,28,0),0),1)</f>
        <v>0</v>
      </c>
      <c r="H41" s="120">
        <f>$E41*'C2 - Funcionários #'!AH43*IF($C41="Operacional",IFERROR(VLOOKUP($D41,SN_UGC,28,0),0),1)</f>
        <v>82897.326039439999</v>
      </c>
      <c r="I41" s="120">
        <f>$E41*'C2 - Funcionários #'!AI43*IF($C41="Operacional",IFERROR(VLOOKUP($D41,SN_UGC,28,0),0),1)</f>
        <v>82897.326039439999</v>
      </c>
      <c r="J41" s="120">
        <f>$E41*'C2 - Funcionários #'!AJ43*IF($C41="Operacional",IFERROR(VLOOKUP($D41,SN_UGC,28,0),0),1)</f>
        <v>82897.326039439999</v>
      </c>
      <c r="K41" s="120">
        <f>$E41*'C2 - Funcionários #'!AK43*IF($C41="Operacional",IFERROR(VLOOKUP($D41,SN_UGC,28,0),0),1)</f>
        <v>82897.326039439999</v>
      </c>
      <c r="L41" s="120">
        <f>$E41*'C2 - Funcionários #'!AL43*IF($C41="Operacional",IFERROR(VLOOKUP($D41,SN_UGC,28,0),0),1)</f>
        <v>82897.326039439999</v>
      </c>
      <c r="M41" s="120">
        <f>$E41*'C2 - Funcionários #'!AM43*IF($C41="Operacional",IFERROR(VLOOKUP($D41,SN_UGC,28,0),0),1)</f>
        <v>82897.326039439999</v>
      </c>
      <c r="N41" s="120">
        <f>$E41*'C2 - Funcionários #'!AN43*IF($C41="Operacional",IFERROR(VLOOKUP($D41,SN_UGC,28,0),0),1)</f>
        <v>82897.326039439999</v>
      </c>
      <c r="O41" s="120">
        <f>$E41*'C2 - Funcionários #'!AO43*IF($C41="Operacional",IFERROR(VLOOKUP($D41,SN_UGC,28,0),0),1)</f>
        <v>82897.326039439999</v>
      </c>
      <c r="P41" s="120">
        <f>$E41*'C2 - Funcionários #'!AP43*IF($C41="Operacional",IFERROR(VLOOKUP($D41,SN_UGC,28,0),0),1)</f>
        <v>82897.326039439999</v>
      </c>
      <c r="Q41" s="120">
        <f>$E41*'C2 - Funcionários #'!AQ43*IF($C41="Operacional",IFERROR(VLOOKUP($D41,SN_UGC,28,0),0),1)</f>
        <v>82897.326039439999</v>
      </c>
      <c r="R41" s="120">
        <f>$E41*'C2 - Funcionários #'!AR43*IF($C41="Operacional",IFERROR(VLOOKUP($D41,SN_UGC,28,0),0),1)</f>
        <v>82897.326039439999</v>
      </c>
      <c r="S41" s="120">
        <f>$E41*'C2 - Funcionários #'!AS43*IF($C41="Operacional",IFERROR(VLOOKUP($D41,SN_UGC,28,0),0),1)</f>
        <v>82897.326039439999</v>
      </c>
      <c r="T41" s="120">
        <f>$E41*'C2 - Funcionários #'!AT43*IF($C41="Operacional",IFERROR(VLOOKUP($D41,SN_UGC,28,0),0),1)</f>
        <v>82897.326039439999</v>
      </c>
      <c r="U41" s="120">
        <f>$E41*'C2 - Funcionários #'!AU43*IF($C41="Operacional",IFERROR(VLOOKUP($D41,SN_UGC,28,0),0),1)</f>
        <v>82897.326039439999</v>
      </c>
      <c r="V41" s="120">
        <f>$E41*'C2 - Funcionários #'!AV43*IF($C41="Operacional",IFERROR(VLOOKUP($D41,SN_UGC,28,0),0),1)</f>
        <v>82897.326039439999</v>
      </c>
      <c r="W41" s="120">
        <f>$E41*'C2 - Funcionários #'!AW43*IF($C41="Operacional",IFERROR(VLOOKUP($D41,SN_UGC,28,0),0),1)</f>
        <v>82897.326039439999</v>
      </c>
      <c r="X41" s="120">
        <f>$E41*'C2 - Funcionários #'!AX43*IF($C41="Operacional",IFERROR(VLOOKUP($D41,SN_UGC,28,0),0),1)</f>
        <v>82897.326039439999</v>
      </c>
      <c r="Y41" s="120">
        <f>$E41*'C2 - Funcionários #'!AY43*IF($C41="Operacional",IFERROR(VLOOKUP($D41,SN_UGC,28,0),0),1)</f>
        <v>82897.326039439999</v>
      </c>
      <c r="Z41" s="120">
        <f>$E41*'C2 - Funcionários #'!AZ43*IF($C41="Operacional",IFERROR(VLOOKUP($D41,SN_UGC,28,0),0),1)</f>
        <v>82897.326039439999</v>
      </c>
      <c r="AA41" s="120">
        <f>$E41*'C2 - Funcionários #'!BA43*IF($C41="Operacional",IFERROR(VLOOKUP($D41,SN_UGC,28,0),0),1)</f>
        <v>82897.326039439999</v>
      </c>
      <c r="AB41" s="120">
        <f>$E41*'C2 - Funcionários #'!BB43*IF($C41="Operacional",IFERROR(VLOOKUP($D41,SN_UGC,28,0),0),1)</f>
        <v>82897.326039439999</v>
      </c>
      <c r="AC41" s="120">
        <f>$E41*'C2 - Funcionários #'!BC43*IF($C41="Operacional",IFERROR(VLOOKUP($D41,SN_UGC,28,0),0),1)</f>
        <v>82897.326039439999</v>
      </c>
      <c r="AD41" s="120">
        <f>$E41*'C2 - Funcionários #'!BD43*IF($C41="Operacional",IFERROR(VLOOKUP($D41,SN_UGC,28,0),0),1)</f>
        <v>82897.326039439999</v>
      </c>
      <c r="AE41" s="120">
        <f>$E41*'C2 - Funcionários #'!BE43*IF($C41="Operacional",IFERROR(VLOOKUP($D41,SN_UGC,28,0),0),1)</f>
        <v>82897.326039439999</v>
      </c>
      <c r="AF41" s="120">
        <f>$E41*'C2 - Funcionários #'!BF43*IF($C41="Operacional",IFERROR(VLOOKUP($D41,SN_UGC,28,0),0),1)</f>
        <v>82897.326039439999</v>
      </c>
      <c r="AG41" s="120">
        <f>$E41*'C2 - Funcionários #'!BG43*IF($C41="Operacional",IFERROR(VLOOKUP($D41,SN_UGC,28,0),0),1)</f>
        <v>82897.326039439999</v>
      </c>
      <c r="AH41" s="120">
        <f>$E41*'C2 - Funcionários #'!BH43*IF($C41="Operacional",IFERROR(VLOOKUP($D41,SN_UGC,28,0),0),1)</f>
        <v>82897.326039439999</v>
      </c>
      <c r="AI41" s="120">
        <f>$E41*'C2 - Funcionários #'!BI43*IF($C41="Operacional",IFERROR(VLOOKUP($D41,SN_UGC,28,0),0),1)</f>
        <v>82897.326039439999</v>
      </c>
      <c r="AJ41" s="120">
        <f>$E41*'C2 - Funcionários #'!BJ43*IF($C41="Operacional",IFERROR(VLOOKUP($D41,SN_UGC,28,0),0),1)</f>
        <v>82897.326039439999</v>
      </c>
    </row>
    <row r="42" spans="1:36" ht="15.75" customHeight="1">
      <c r="A42" s="521"/>
      <c r="B42" s="51" t="str">
        <f>'C1 - Cargos e Salários'!B36</f>
        <v>Auxiliar de cozinha</v>
      </c>
      <c r="C42" s="51" t="str">
        <f>'C1 - Cargos e Salários'!C36</f>
        <v>Operacional</v>
      </c>
      <c r="D42" s="51" t="str">
        <f>'C1 - Cargos e Salários'!D36</f>
        <v>Serrote - Alimentação</v>
      </c>
      <c r="E42" s="118">
        <f>'C1 - Cargos e Salários'!K36</f>
        <v>39129.607801239996</v>
      </c>
      <c r="F42" s="119">
        <f>IF(C42="Operacional",IFERROR(VLOOKUP(D42,ReceitaPorTipo,COLUMN('A1 - Serviços e demanda'!$Z$17),0),0),100%)</f>
        <v>0</v>
      </c>
      <c r="G42" s="120">
        <f>E42*F42*'C2 - Funcionários #'!AG44*IF($C42="Operacional",IFERROR(VLOOKUP($D42,SN_UGC,28,0),0),1)</f>
        <v>0</v>
      </c>
      <c r="H42" s="120">
        <f>$E42*'C2 - Funcionários #'!AH44*IF($C42="Operacional",IFERROR(VLOOKUP($D42,SN_UGC,28,0),0),1)</f>
        <v>117388.82340371999</v>
      </c>
      <c r="I42" s="120">
        <f>$E42*'C2 - Funcionários #'!AI44*IF($C42="Operacional",IFERROR(VLOOKUP($D42,SN_UGC,28,0),0),1)</f>
        <v>117388.82340371999</v>
      </c>
      <c r="J42" s="120">
        <f>$E42*'C2 - Funcionários #'!AJ44*IF($C42="Operacional",IFERROR(VLOOKUP($D42,SN_UGC,28,0),0),1)</f>
        <v>117388.82340371999</v>
      </c>
      <c r="K42" s="120">
        <f>$E42*'C2 - Funcionários #'!AK44*IF($C42="Operacional",IFERROR(VLOOKUP($D42,SN_UGC,28,0),0),1)</f>
        <v>117388.82340371999</v>
      </c>
      <c r="L42" s="120">
        <f>$E42*'C2 - Funcionários #'!AL44*IF($C42="Operacional",IFERROR(VLOOKUP($D42,SN_UGC,28,0),0),1)</f>
        <v>117388.82340371999</v>
      </c>
      <c r="M42" s="120">
        <f>$E42*'C2 - Funcionários #'!AM44*IF($C42="Operacional",IFERROR(VLOOKUP($D42,SN_UGC,28,0),0),1)</f>
        <v>117388.82340371999</v>
      </c>
      <c r="N42" s="120">
        <f>$E42*'C2 - Funcionários #'!AN44*IF($C42="Operacional",IFERROR(VLOOKUP($D42,SN_UGC,28,0),0),1)</f>
        <v>117388.82340371999</v>
      </c>
      <c r="O42" s="120">
        <f>$E42*'C2 - Funcionários #'!AO44*IF($C42="Operacional",IFERROR(VLOOKUP($D42,SN_UGC,28,0),0),1)</f>
        <v>117388.82340371999</v>
      </c>
      <c r="P42" s="120">
        <f>$E42*'C2 - Funcionários #'!AP44*IF($C42="Operacional",IFERROR(VLOOKUP($D42,SN_UGC,28,0),0),1)</f>
        <v>117388.82340371999</v>
      </c>
      <c r="Q42" s="120">
        <f>$E42*'C2 - Funcionários #'!AQ44*IF($C42="Operacional",IFERROR(VLOOKUP($D42,SN_UGC,28,0),0),1)</f>
        <v>117388.82340371999</v>
      </c>
      <c r="R42" s="120">
        <f>$E42*'C2 - Funcionários #'!AR44*IF($C42="Operacional",IFERROR(VLOOKUP($D42,SN_UGC,28,0),0),1)</f>
        <v>117388.82340371999</v>
      </c>
      <c r="S42" s="120">
        <f>$E42*'C2 - Funcionários #'!AS44*IF($C42="Operacional",IFERROR(VLOOKUP($D42,SN_UGC,28,0),0),1)</f>
        <v>117388.82340371999</v>
      </c>
      <c r="T42" s="120">
        <f>$E42*'C2 - Funcionários #'!AT44*IF($C42="Operacional",IFERROR(VLOOKUP($D42,SN_UGC,28,0),0),1)</f>
        <v>117388.82340371999</v>
      </c>
      <c r="U42" s="120">
        <f>$E42*'C2 - Funcionários #'!AU44*IF($C42="Operacional",IFERROR(VLOOKUP($D42,SN_UGC,28,0),0),1)</f>
        <v>117388.82340371999</v>
      </c>
      <c r="V42" s="120">
        <f>$E42*'C2 - Funcionários #'!AV44*IF($C42="Operacional",IFERROR(VLOOKUP($D42,SN_UGC,28,0),0),1)</f>
        <v>117388.82340371999</v>
      </c>
      <c r="W42" s="120">
        <f>$E42*'C2 - Funcionários #'!AW44*IF($C42="Operacional",IFERROR(VLOOKUP($D42,SN_UGC,28,0),0),1)</f>
        <v>117388.82340371999</v>
      </c>
      <c r="X42" s="120">
        <f>$E42*'C2 - Funcionários #'!AX44*IF($C42="Operacional",IFERROR(VLOOKUP($D42,SN_UGC,28,0),0),1)</f>
        <v>117388.82340371999</v>
      </c>
      <c r="Y42" s="120">
        <f>$E42*'C2 - Funcionários #'!AY44*IF($C42="Operacional",IFERROR(VLOOKUP($D42,SN_UGC,28,0),0),1)</f>
        <v>117388.82340371999</v>
      </c>
      <c r="Z42" s="120">
        <f>$E42*'C2 - Funcionários #'!AZ44*IF($C42="Operacional",IFERROR(VLOOKUP($D42,SN_UGC,28,0),0),1)</f>
        <v>117388.82340371999</v>
      </c>
      <c r="AA42" s="120">
        <f>$E42*'C2 - Funcionários #'!BA44*IF($C42="Operacional",IFERROR(VLOOKUP($D42,SN_UGC,28,0),0),1)</f>
        <v>117388.82340371999</v>
      </c>
      <c r="AB42" s="120">
        <f>$E42*'C2 - Funcionários #'!BB44*IF($C42="Operacional",IFERROR(VLOOKUP($D42,SN_UGC,28,0),0),1)</f>
        <v>117388.82340371999</v>
      </c>
      <c r="AC42" s="120">
        <f>$E42*'C2 - Funcionários #'!BC44*IF($C42="Operacional",IFERROR(VLOOKUP($D42,SN_UGC,28,0),0),1)</f>
        <v>117388.82340371999</v>
      </c>
      <c r="AD42" s="120">
        <f>$E42*'C2 - Funcionários #'!BD44*IF($C42="Operacional",IFERROR(VLOOKUP($D42,SN_UGC,28,0),0),1)</f>
        <v>117388.82340371999</v>
      </c>
      <c r="AE42" s="120">
        <f>$E42*'C2 - Funcionários #'!BE44*IF($C42="Operacional",IFERROR(VLOOKUP($D42,SN_UGC,28,0),0),1)</f>
        <v>117388.82340371999</v>
      </c>
      <c r="AF42" s="120">
        <f>$E42*'C2 - Funcionários #'!BF44*IF($C42="Operacional",IFERROR(VLOOKUP($D42,SN_UGC,28,0),0),1)</f>
        <v>117388.82340371999</v>
      </c>
      <c r="AG42" s="120">
        <f>$E42*'C2 - Funcionários #'!BG44*IF($C42="Operacional",IFERROR(VLOOKUP($D42,SN_UGC,28,0),0),1)</f>
        <v>117388.82340371999</v>
      </c>
      <c r="AH42" s="120">
        <f>$E42*'C2 - Funcionários #'!BH44*IF($C42="Operacional",IFERROR(VLOOKUP($D42,SN_UGC,28,0),0),1)</f>
        <v>117388.82340371999</v>
      </c>
      <c r="AI42" s="120">
        <f>$E42*'C2 - Funcionários #'!BI44*IF($C42="Operacional",IFERROR(VLOOKUP($D42,SN_UGC,28,0),0),1)</f>
        <v>117388.82340371999</v>
      </c>
      <c r="AJ42" s="120">
        <f>$E42*'C2 - Funcionários #'!BJ44*IF($C42="Operacional",IFERROR(VLOOKUP($D42,SN_UGC,28,0),0),1)</f>
        <v>117388.82340371999</v>
      </c>
    </row>
    <row r="43" spans="1:36" ht="15.75" customHeight="1">
      <c r="A43" s="521"/>
      <c r="B43" s="51" t="str">
        <f>'C1 - Cargos e Salários'!B37</f>
        <v>Caixa</v>
      </c>
      <c r="C43" s="51" t="str">
        <f>'C1 - Cargos e Salários'!C37</f>
        <v>Operacional</v>
      </c>
      <c r="D43" s="51" t="str">
        <f>'C1 - Cargos e Salários'!D37</f>
        <v>Serrote - Alimentação</v>
      </c>
      <c r="E43" s="118">
        <f>'C1 - Cargos e Salários'!K37</f>
        <v>39653.828640200009</v>
      </c>
      <c r="F43" s="119">
        <f>IF(C43="Operacional",IFERROR(VLOOKUP(D43,ReceitaPorTipo,COLUMN('A1 - Serviços e demanda'!$Z$17),0),0),100%)</f>
        <v>0</v>
      </c>
      <c r="G43" s="120">
        <f>E43*F43*'C2 - Funcionários #'!AG45*IF($C43="Operacional",IFERROR(VLOOKUP($D43,SN_UGC,28,0),0),1)</f>
        <v>0</v>
      </c>
      <c r="H43" s="120">
        <f>$E43*'C2 - Funcionários #'!AH45*IF($C43="Operacional",IFERROR(VLOOKUP($D43,SN_UGC,28,0),0),1)</f>
        <v>79307.657280400017</v>
      </c>
      <c r="I43" s="120">
        <f>$E43*'C2 - Funcionários #'!AI45*IF($C43="Operacional",IFERROR(VLOOKUP($D43,SN_UGC,28,0),0),1)</f>
        <v>79307.657280400017</v>
      </c>
      <c r="J43" s="120">
        <f>$E43*'C2 - Funcionários #'!AJ45*IF($C43="Operacional",IFERROR(VLOOKUP($D43,SN_UGC,28,0),0),1)</f>
        <v>79307.657280400017</v>
      </c>
      <c r="K43" s="120">
        <f>$E43*'C2 - Funcionários #'!AK45*IF($C43="Operacional",IFERROR(VLOOKUP($D43,SN_UGC,28,0),0),1)</f>
        <v>79307.657280400017</v>
      </c>
      <c r="L43" s="120">
        <f>$E43*'C2 - Funcionários #'!AL45*IF($C43="Operacional",IFERROR(VLOOKUP($D43,SN_UGC,28,0),0),1)</f>
        <v>79307.657280400017</v>
      </c>
      <c r="M43" s="120">
        <f>$E43*'C2 - Funcionários #'!AM45*IF($C43="Operacional",IFERROR(VLOOKUP($D43,SN_UGC,28,0),0),1)</f>
        <v>79307.657280400017</v>
      </c>
      <c r="N43" s="120">
        <f>$E43*'C2 - Funcionários #'!AN45*IF($C43="Operacional",IFERROR(VLOOKUP($D43,SN_UGC,28,0),0),1)</f>
        <v>79307.657280400017</v>
      </c>
      <c r="O43" s="120">
        <f>$E43*'C2 - Funcionários #'!AO45*IF($C43="Operacional",IFERROR(VLOOKUP($D43,SN_UGC,28,0),0),1)</f>
        <v>79307.657280400017</v>
      </c>
      <c r="P43" s="120">
        <f>$E43*'C2 - Funcionários #'!AP45*IF($C43="Operacional",IFERROR(VLOOKUP($D43,SN_UGC,28,0),0),1)</f>
        <v>79307.657280400017</v>
      </c>
      <c r="Q43" s="120">
        <f>$E43*'C2 - Funcionários #'!AQ45*IF($C43="Operacional",IFERROR(VLOOKUP($D43,SN_UGC,28,0),0),1)</f>
        <v>79307.657280400017</v>
      </c>
      <c r="R43" s="120">
        <f>$E43*'C2 - Funcionários #'!AR45*IF($C43="Operacional",IFERROR(VLOOKUP($D43,SN_UGC,28,0),0),1)</f>
        <v>79307.657280400017</v>
      </c>
      <c r="S43" s="120">
        <f>$E43*'C2 - Funcionários #'!AS45*IF($C43="Operacional",IFERROR(VLOOKUP($D43,SN_UGC,28,0),0),1)</f>
        <v>79307.657280400017</v>
      </c>
      <c r="T43" s="120">
        <f>$E43*'C2 - Funcionários #'!AT45*IF($C43="Operacional",IFERROR(VLOOKUP($D43,SN_UGC,28,0),0),1)</f>
        <v>79307.657280400017</v>
      </c>
      <c r="U43" s="120">
        <f>$E43*'C2 - Funcionários #'!AU45*IF($C43="Operacional",IFERROR(VLOOKUP($D43,SN_UGC,28,0),0),1)</f>
        <v>79307.657280400017</v>
      </c>
      <c r="V43" s="120">
        <f>$E43*'C2 - Funcionários #'!AV45*IF($C43="Operacional",IFERROR(VLOOKUP($D43,SN_UGC,28,0),0),1)</f>
        <v>79307.657280400017</v>
      </c>
      <c r="W43" s="120">
        <f>$E43*'C2 - Funcionários #'!AW45*IF($C43="Operacional",IFERROR(VLOOKUP($D43,SN_UGC,28,0),0),1)</f>
        <v>79307.657280400017</v>
      </c>
      <c r="X43" s="120">
        <f>$E43*'C2 - Funcionários #'!AX45*IF($C43="Operacional",IFERROR(VLOOKUP($D43,SN_UGC,28,0),0),1)</f>
        <v>79307.657280400017</v>
      </c>
      <c r="Y43" s="120">
        <f>$E43*'C2 - Funcionários #'!AY45*IF($C43="Operacional",IFERROR(VLOOKUP($D43,SN_UGC,28,0),0),1)</f>
        <v>79307.657280400017</v>
      </c>
      <c r="Z43" s="120">
        <f>$E43*'C2 - Funcionários #'!AZ45*IF($C43="Operacional",IFERROR(VLOOKUP($D43,SN_UGC,28,0),0),1)</f>
        <v>79307.657280400017</v>
      </c>
      <c r="AA43" s="120">
        <f>$E43*'C2 - Funcionários #'!BA45*IF($C43="Operacional",IFERROR(VLOOKUP($D43,SN_UGC,28,0),0),1)</f>
        <v>79307.657280400017</v>
      </c>
      <c r="AB43" s="120">
        <f>$E43*'C2 - Funcionários #'!BB45*IF($C43="Operacional",IFERROR(VLOOKUP($D43,SN_UGC,28,0),0),1)</f>
        <v>79307.657280400017</v>
      </c>
      <c r="AC43" s="120">
        <f>$E43*'C2 - Funcionários #'!BC45*IF($C43="Operacional",IFERROR(VLOOKUP($D43,SN_UGC,28,0),0),1)</f>
        <v>79307.657280400017</v>
      </c>
      <c r="AD43" s="120">
        <f>$E43*'C2 - Funcionários #'!BD45*IF($C43="Operacional",IFERROR(VLOOKUP($D43,SN_UGC,28,0),0),1)</f>
        <v>79307.657280400017</v>
      </c>
      <c r="AE43" s="120">
        <f>$E43*'C2 - Funcionários #'!BE45*IF($C43="Operacional",IFERROR(VLOOKUP($D43,SN_UGC,28,0),0),1)</f>
        <v>79307.657280400017</v>
      </c>
      <c r="AF43" s="120">
        <f>$E43*'C2 - Funcionários #'!BF45*IF($C43="Operacional",IFERROR(VLOOKUP($D43,SN_UGC,28,0),0),1)</f>
        <v>79307.657280400017</v>
      </c>
      <c r="AG43" s="120">
        <f>$E43*'C2 - Funcionários #'!BG45*IF($C43="Operacional",IFERROR(VLOOKUP($D43,SN_UGC,28,0),0),1)</f>
        <v>79307.657280400017</v>
      </c>
      <c r="AH43" s="120">
        <f>$E43*'C2 - Funcionários #'!BH45*IF($C43="Operacional",IFERROR(VLOOKUP($D43,SN_UGC,28,0),0),1)</f>
        <v>79307.657280400017</v>
      </c>
      <c r="AI43" s="120">
        <f>$E43*'C2 - Funcionários #'!BI45*IF($C43="Operacional",IFERROR(VLOOKUP($D43,SN_UGC,28,0),0),1)</f>
        <v>79307.657280400017</v>
      </c>
      <c r="AJ43" s="120">
        <f>$E43*'C2 - Funcionários #'!BJ45*IF($C43="Operacional",IFERROR(VLOOKUP($D43,SN_UGC,28,0),0),1)</f>
        <v>79307.657280400017</v>
      </c>
    </row>
    <row r="44" spans="1:36" ht="15.75" customHeight="1">
      <c r="A44" s="521"/>
      <c r="B44" s="51" t="str">
        <f>'C1 - Cargos e Salários'!B38</f>
        <v>Atendente</v>
      </c>
      <c r="C44" s="51" t="str">
        <f>'C1 - Cargos e Salários'!C38</f>
        <v>Operacional</v>
      </c>
      <c r="D44" s="51" t="str">
        <f>'C1 - Cargos e Salários'!D38</f>
        <v>Serrote - Alimentação</v>
      </c>
      <c r="E44" s="118">
        <f>'C1 - Cargos e Salários'!K38</f>
        <v>39650.11850104</v>
      </c>
      <c r="F44" s="119">
        <f>IF(C44="Operacional",IFERROR(VLOOKUP(D44,ReceitaPorTipo,COLUMN('A1 - Serviços e demanda'!$Z$17),0),0),100%)</f>
        <v>0</v>
      </c>
      <c r="G44" s="120">
        <f>E44*F44*'C2 - Funcionários #'!AG46*IF($C44="Operacional",IFERROR(VLOOKUP($D44,SN_UGC,28,0),0),1)</f>
        <v>0</v>
      </c>
      <c r="H44" s="120">
        <f>$E44*'C2 - Funcionários #'!AH46*IF($C44="Operacional",IFERROR(VLOOKUP($D44,SN_UGC,28,0),0),1)</f>
        <v>158600.47400416</v>
      </c>
      <c r="I44" s="120">
        <f>$E44*'C2 - Funcionários #'!AI46*IF($C44="Operacional",IFERROR(VLOOKUP($D44,SN_UGC,28,0),0),1)</f>
        <v>158600.47400416</v>
      </c>
      <c r="J44" s="120">
        <f>$E44*'C2 - Funcionários #'!AJ46*IF($C44="Operacional",IFERROR(VLOOKUP($D44,SN_UGC,28,0),0),1)</f>
        <v>158600.47400416</v>
      </c>
      <c r="K44" s="120">
        <f>$E44*'C2 - Funcionários #'!AK46*IF($C44="Operacional",IFERROR(VLOOKUP($D44,SN_UGC,28,0),0),1)</f>
        <v>158600.47400416</v>
      </c>
      <c r="L44" s="120">
        <f>$E44*'C2 - Funcionários #'!AL46*IF($C44="Operacional",IFERROR(VLOOKUP($D44,SN_UGC,28,0),0),1)</f>
        <v>158600.47400416</v>
      </c>
      <c r="M44" s="120">
        <f>$E44*'C2 - Funcionários #'!AM46*IF($C44="Operacional",IFERROR(VLOOKUP($D44,SN_UGC,28,0),0),1)</f>
        <v>158600.47400416</v>
      </c>
      <c r="N44" s="120">
        <f>$E44*'C2 - Funcionários #'!AN46*IF($C44="Operacional",IFERROR(VLOOKUP($D44,SN_UGC,28,0),0),1)</f>
        <v>158600.47400416</v>
      </c>
      <c r="O44" s="120">
        <f>$E44*'C2 - Funcionários #'!AO46*IF($C44="Operacional",IFERROR(VLOOKUP($D44,SN_UGC,28,0),0),1)</f>
        <v>158600.47400416</v>
      </c>
      <c r="P44" s="120">
        <f>$E44*'C2 - Funcionários #'!AP46*IF($C44="Operacional",IFERROR(VLOOKUP($D44,SN_UGC,28,0),0),1)</f>
        <v>158600.47400416</v>
      </c>
      <c r="Q44" s="120">
        <f>$E44*'C2 - Funcionários #'!AQ46*IF($C44="Operacional",IFERROR(VLOOKUP($D44,SN_UGC,28,0),0),1)</f>
        <v>158600.47400416</v>
      </c>
      <c r="R44" s="120">
        <f>$E44*'C2 - Funcionários #'!AR46*IF($C44="Operacional",IFERROR(VLOOKUP($D44,SN_UGC,28,0),0),1)</f>
        <v>158600.47400416</v>
      </c>
      <c r="S44" s="120">
        <f>$E44*'C2 - Funcionários #'!AS46*IF($C44="Operacional",IFERROR(VLOOKUP($D44,SN_UGC,28,0),0),1)</f>
        <v>158600.47400416</v>
      </c>
      <c r="T44" s="120">
        <f>$E44*'C2 - Funcionários #'!AT46*IF($C44="Operacional",IFERROR(VLOOKUP($D44,SN_UGC,28,0),0),1)</f>
        <v>158600.47400416</v>
      </c>
      <c r="U44" s="120">
        <f>$E44*'C2 - Funcionários #'!AU46*IF($C44="Operacional",IFERROR(VLOOKUP($D44,SN_UGC,28,0),0),1)</f>
        <v>158600.47400416</v>
      </c>
      <c r="V44" s="120">
        <f>$E44*'C2 - Funcionários #'!AV46*IF($C44="Operacional",IFERROR(VLOOKUP($D44,SN_UGC,28,0),0),1)</f>
        <v>158600.47400416</v>
      </c>
      <c r="W44" s="120">
        <f>$E44*'C2 - Funcionários #'!AW46*IF($C44="Operacional",IFERROR(VLOOKUP($D44,SN_UGC,28,0),0),1)</f>
        <v>158600.47400416</v>
      </c>
      <c r="X44" s="120">
        <f>$E44*'C2 - Funcionários #'!AX46*IF($C44="Operacional",IFERROR(VLOOKUP($D44,SN_UGC,28,0),0),1)</f>
        <v>158600.47400416</v>
      </c>
      <c r="Y44" s="120">
        <f>$E44*'C2 - Funcionários #'!AY46*IF($C44="Operacional",IFERROR(VLOOKUP($D44,SN_UGC,28,0),0),1)</f>
        <v>158600.47400416</v>
      </c>
      <c r="Z44" s="120">
        <f>$E44*'C2 - Funcionários #'!AZ46*IF($C44="Operacional",IFERROR(VLOOKUP($D44,SN_UGC,28,0),0),1)</f>
        <v>158600.47400416</v>
      </c>
      <c r="AA44" s="120">
        <f>$E44*'C2 - Funcionários #'!BA46*IF($C44="Operacional",IFERROR(VLOOKUP($D44,SN_UGC,28,0),0),1)</f>
        <v>158600.47400416</v>
      </c>
      <c r="AB44" s="120">
        <f>$E44*'C2 - Funcionários #'!BB46*IF($C44="Operacional",IFERROR(VLOOKUP($D44,SN_UGC,28,0),0),1)</f>
        <v>158600.47400416</v>
      </c>
      <c r="AC44" s="120">
        <f>$E44*'C2 - Funcionários #'!BC46*IF($C44="Operacional",IFERROR(VLOOKUP($D44,SN_UGC,28,0),0),1)</f>
        <v>158600.47400416</v>
      </c>
      <c r="AD44" s="120">
        <f>$E44*'C2 - Funcionários #'!BD46*IF($C44="Operacional",IFERROR(VLOOKUP($D44,SN_UGC,28,0),0),1)</f>
        <v>158600.47400416</v>
      </c>
      <c r="AE44" s="120">
        <f>$E44*'C2 - Funcionários #'!BE46*IF($C44="Operacional",IFERROR(VLOOKUP($D44,SN_UGC,28,0),0),1)</f>
        <v>158600.47400416</v>
      </c>
      <c r="AF44" s="120">
        <f>$E44*'C2 - Funcionários #'!BF46*IF($C44="Operacional",IFERROR(VLOOKUP($D44,SN_UGC,28,0),0),1)</f>
        <v>158600.47400416</v>
      </c>
      <c r="AG44" s="120">
        <f>$E44*'C2 - Funcionários #'!BG46*IF($C44="Operacional",IFERROR(VLOOKUP($D44,SN_UGC,28,0),0),1)</f>
        <v>158600.47400416</v>
      </c>
      <c r="AH44" s="120">
        <f>$E44*'C2 - Funcionários #'!BH46*IF($C44="Operacional",IFERROR(VLOOKUP($D44,SN_UGC,28,0),0),1)</f>
        <v>158600.47400416</v>
      </c>
      <c r="AI44" s="120">
        <f>$E44*'C2 - Funcionários #'!BI46*IF($C44="Operacional",IFERROR(VLOOKUP($D44,SN_UGC,28,0),0),1)</f>
        <v>158600.47400416</v>
      </c>
      <c r="AJ44" s="120">
        <f>$E44*'C2 - Funcionários #'!BJ46*IF($C44="Operacional",IFERROR(VLOOKUP($D44,SN_UGC,28,0),0),1)</f>
        <v>158600.47400416</v>
      </c>
    </row>
    <row r="45" spans="1:36" ht="15.75" customHeight="1">
      <c r="A45" s="521"/>
      <c r="B45" s="51" t="str">
        <f>'C1 - Cargos e Salários'!B39</f>
        <v>Caixa</v>
      </c>
      <c r="C45" s="51" t="str">
        <f>'C1 - Cargos e Salários'!C39</f>
        <v>Operacional</v>
      </c>
      <c r="D45" s="51" t="str">
        <f>'C1 - Cargos e Salários'!D39</f>
        <v>Serrote - Comércio</v>
      </c>
      <c r="E45" s="118">
        <f>'C1 - Cargos e Salários'!K39</f>
        <v>39653.828640200009</v>
      </c>
      <c r="F45" s="119">
        <f>IF(C45="Operacional",IFERROR(VLOOKUP(D45,ReceitaPorTipo,COLUMN('A1 - Serviços e demanda'!$Z$17),0),0),100%)</f>
        <v>0</v>
      </c>
      <c r="G45" s="120">
        <f>E45*F45*'C2 - Funcionários #'!AG47*IF($C45="Operacional",IFERROR(VLOOKUP($D45,SN_UGC,28,0),0),1)</f>
        <v>0</v>
      </c>
      <c r="H45" s="120">
        <f>$E45*'C2 - Funcionários #'!AH47*IF($C45="Operacional",IFERROR(VLOOKUP($D45,SN_UGC,28,0),0),1)</f>
        <v>79307.657280400017</v>
      </c>
      <c r="I45" s="120">
        <f>$E45*'C2 - Funcionários #'!AI47*IF($C45="Operacional",IFERROR(VLOOKUP($D45,SN_UGC,28,0),0),1)</f>
        <v>79307.657280400017</v>
      </c>
      <c r="J45" s="120">
        <f>$E45*'C2 - Funcionários #'!AJ47*IF($C45="Operacional",IFERROR(VLOOKUP($D45,SN_UGC,28,0),0),1)</f>
        <v>79307.657280400017</v>
      </c>
      <c r="K45" s="120">
        <f>$E45*'C2 - Funcionários #'!AK47*IF($C45="Operacional",IFERROR(VLOOKUP($D45,SN_UGC,28,0),0),1)</f>
        <v>79307.657280400017</v>
      </c>
      <c r="L45" s="120">
        <f>$E45*'C2 - Funcionários #'!AL47*IF($C45="Operacional",IFERROR(VLOOKUP($D45,SN_UGC,28,0),0),1)</f>
        <v>79307.657280400017</v>
      </c>
      <c r="M45" s="120">
        <f>$E45*'C2 - Funcionários #'!AM47*IF($C45="Operacional",IFERROR(VLOOKUP($D45,SN_UGC,28,0),0),1)</f>
        <v>79307.657280400017</v>
      </c>
      <c r="N45" s="120">
        <f>$E45*'C2 - Funcionários #'!AN47*IF($C45="Operacional",IFERROR(VLOOKUP($D45,SN_UGC,28,0),0),1)</f>
        <v>79307.657280400017</v>
      </c>
      <c r="O45" s="120">
        <f>$E45*'C2 - Funcionários #'!AO47*IF($C45="Operacional",IFERROR(VLOOKUP($D45,SN_UGC,28,0),0),1)</f>
        <v>79307.657280400017</v>
      </c>
      <c r="P45" s="120">
        <f>$E45*'C2 - Funcionários #'!AP47*IF($C45="Operacional",IFERROR(VLOOKUP($D45,SN_UGC,28,0),0),1)</f>
        <v>79307.657280400017</v>
      </c>
      <c r="Q45" s="120">
        <f>$E45*'C2 - Funcionários #'!AQ47*IF($C45="Operacional",IFERROR(VLOOKUP($D45,SN_UGC,28,0),0),1)</f>
        <v>79307.657280400017</v>
      </c>
      <c r="R45" s="120">
        <f>$E45*'C2 - Funcionários #'!AR47*IF($C45="Operacional",IFERROR(VLOOKUP($D45,SN_UGC,28,0),0),1)</f>
        <v>79307.657280400017</v>
      </c>
      <c r="S45" s="120">
        <f>$E45*'C2 - Funcionários #'!AS47*IF($C45="Operacional",IFERROR(VLOOKUP($D45,SN_UGC,28,0),0),1)</f>
        <v>79307.657280400017</v>
      </c>
      <c r="T45" s="120">
        <f>$E45*'C2 - Funcionários #'!AT47*IF($C45="Operacional",IFERROR(VLOOKUP($D45,SN_UGC,28,0),0),1)</f>
        <v>79307.657280400017</v>
      </c>
      <c r="U45" s="120">
        <f>$E45*'C2 - Funcionários #'!AU47*IF($C45="Operacional",IFERROR(VLOOKUP($D45,SN_UGC,28,0),0),1)</f>
        <v>79307.657280400017</v>
      </c>
      <c r="V45" s="120">
        <f>$E45*'C2 - Funcionários #'!AV47*IF($C45="Operacional",IFERROR(VLOOKUP($D45,SN_UGC,28,0),0),1)</f>
        <v>79307.657280400017</v>
      </c>
      <c r="W45" s="120">
        <f>$E45*'C2 - Funcionários #'!AW47*IF($C45="Operacional",IFERROR(VLOOKUP($D45,SN_UGC,28,0),0),1)</f>
        <v>79307.657280400017</v>
      </c>
      <c r="X45" s="120">
        <f>$E45*'C2 - Funcionários #'!AX47*IF($C45="Operacional",IFERROR(VLOOKUP($D45,SN_UGC,28,0),0),1)</f>
        <v>79307.657280400017</v>
      </c>
      <c r="Y45" s="120">
        <f>$E45*'C2 - Funcionários #'!AY47*IF($C45="Operacional",IFERROR(VLOOKUP($D45,SN_UGC,28,0),0),1)</f>
        <v>79307.657280400017</v>
      </c>
      <c r="Z45" s="120">
        <f>$E45*'C2 - Funcionários #'!AZ47*IF($C45="Operacional",IFERROR(VLOOKUP($D45,SN_UGC,28,0),0),1)</f>
        <v>79307.657280400017</v>
      </c>
      <c r="AA45" s="120">
        <f>$E45*'C2 - Funcionários #'!BA47*IF($C45="Operacional",IFERROR(VLOOKUP($D45,SN_UGC,28,0),0),1)</f>
        <v>79307.657280400017</v>
      </c>
      <c r="AB45" s="120">
        <f>$E45*'C2 - Funcionários #'!BB47*IF($C45="Operacional",IFERROR(VLOOKUP($D45,SN_UGC,28,0),0),1)</f>
        <v>79307.657280400017</v>
      </c>
      <c r="AC45" s="120">
        <f>$E45*'C2 - Funcionários #'!BC47*IF($C45="Operacional",IFERROR(VLOOKUP($D45,SN_UGC,28,0),0),1)</f>
        <v>79307.657280400017</v>
      </c>
      <c r="AD45" s="120">
        <f>$E45*'C2 - Funcionários #'!BD47*IF($C45="Operacional",IFERROR(VLOOKUP($D45,SN_UGC,28,0),0),1)</f>
        <v>79307.657280400017</v>
      </c>
      <c r="AE45" s="120">
        <f>$E45*'C2 - Funcionários #'!BE47*IF($C45="Operacional",IFERROR(VLOOKUP($D45,SN_UGC,28,0),0),1)</f>
        <v>79307.657280400017</v>
      </c>
      <c r="AF45" s="120">
        <f>$E45*'C2 - Funcionários #'!BF47*IF($C45="Operacional",IFERROR(VLOOKUP($D45,SN_UGC,28,0),0),1)</f>
        <v>79307.657280400017</v>
      </c>
      <c r="AG45" s="120">
        <f>$E45*'C2 - Funcionários #'!BG47*IF($C45="Operacional",IFERROR(VLOOKUP($D45,SN_UGC,28,0),0),1)</f>
        <v>79307.657280400017</v>
      </c>
      <c r="AH45" s="120">
        <f>$E45*'C2 - Funcionários #'!BH47*IF($C45="Operacional",IFERROR(VLOOKUP($D45,SN_UGC,28,0),0),1)</f>
        <v>79307.657280400017</v>
      </c>
      <c r="AI45" s="120">
        <f>$E45*'C2 - Funcionários #'!BI47*IF($C45="Operacional",IFERROR(VLOOKUP($D45,SN_UGC,28,0),0),1)</f>
        <v>79307.657280400017</v>
      </c>
      <c r="AJ45" s="120">
        <f>$E45*'C2 - Funcionários #'!BJ47*IF($C45="Operacional",IFERROR(VLOOKUP($D45,SN_UGC,28,0),0),1)</f>
        <v>79307.657280400017</v>
      </c>
    </row>
    <row r="46" spans="1:36" ht="15.75" customHeight="1">
      <c r="A46" s="521"/>
      <c r="B46" s="51" t="str">
        <f>'C1 - Cargos e Salários'!B40</f>
        <v>Atendente</v>
      </c>
      <c r="C46" s="51" t="str">
        <f>'C1 - Cargos e Salários'!C40</f>
        <v>Operacional</v>
      </c>
      <c r="D46" s="51" t="str">
        <f>'C1 - Cargos e Salários'!D40</f>
        <v>Serrote - Comércio</v>
      </c>
      <c r="E46" s="118">
        <f>'C1 - Cargos e Salários'!K40</f>
        <v>39332.355994160011</v>
      </c>
      <c r="F46" s="119">
        <f>IF(C46="Operacional",IFERROR(VLOOKUP(D46,ReceitaPorTipo,COLUMN('A1 - Serviços e demanda'!$Z$17),0),0),100%)</f>
        <v>0</v>
      </c>
      <c r="G46" s="120">
        <f>E46*F46*'C2 - Funcionários #'!AG48*IF($C46="Operacional",IFERROR(VLOOKUP($D46,SN_UGC,28,0),0),1)</f>
        <v>0</v>
      </c>
      <c r="H46" s="120">
        <f>$E46*'C2 - Funcionários #'!AH48*IF($C46="Operacional",IFERROR(VLOOKUP($D46,SN_UGC,28,0),0),1)</f>
        <v>78664.711988320021</v>
      </c>
      <c r="I46" s="120">
        <f>$E46*'C2 - Funcionários #'!AI48*IF($C46="Operacional",IFERROR(VLOOKUP($D46,SN_UGC,28,0),0),1)</f>
        <v>78664.711988320021</v>
      </c>
      <c r="J46" s="120">
        <f>$E46*'C2 - Funcionários #'!AJ48*IF($C46="Operacional",IFERROR(VLOOKUP($D46,SN_UGC,28,0),0),1)</f>
        <v>78664.711988320021</v>
      </c>
      <c r="K46" s="120">
        <f>$E46*'C2 - Funcionários #'!AK48*IF($C46="Operacional",IFERROR(VLOOKUP($D46,SN_UGC,28,0),0),1)</f>
        <v>78664.711988320021</v>
      </c>
      <c r="L46" s="120">
        <f>$E46*'C2 - Funcionários #'!AL48*IF($C46="Operacional",IFERROR(VLOOKUP($D46,SN_UGC,28,0),0),1)</f>
        <v>78664.711988320021</v>
      </c>
      <c r="M46" s="120">
        <f>$E46*'C2 - Funcionários #'!AM48*IF($C46="Operacional",IFERROR(VLOOKUP($D46,SN_UGC,28,0),0),1)</f>
        <v>78664.711988320021</v>
      </c>
      <c r="N46" s="120">
        <f>$E46*'C2 - Funcionários #'!AN48*IF($C46="Operacional",IFERROR(VLOOKUP($D46,SN_UGC,28,0),0),1)</f>
        <v>78664.711988320021</v>
      </c>
      <c r="O46" s="120">
        <f>$E46*'C2 - Funcionários #'!AO48*IF($C46="Operacional",IFERROR(VLOOKUP($D46,SN_UGC,28,0),0),1)</f>
        <v>78664.711988320021</v>
      </c>
      <c r="P46" s="120">
        <f>$E46*'C2 - Funcionários #'!AP48*IF($C46="Operacional",IFERROR(VLOOKUP($D46,SN_UGC,28,0),0),1)</f>
        <v>78664.711988320021</v>
      </c>
      <c r="Q46" s="120">
        <f>$E46*'C2 - Funcionários #'!AQ48*IF($C46="Operacional",IFERROR(VLOOKUP($D46,SN_UGC,28,0),0),1)</f>
        <v>78664.711988320021</v>
      </c>
      <c r="R46" s="120">
        <f>$E46*'C2 - Funcionários #'!AR48*IF($C46="Operacional",IFERROR(VLOOKUP($D46,SN_UGC,28,0),0),1)</f>
        <v>78664.711988320021</v>
      </c>
      <c r="S46" s="120">
        <f>$E46*'C2 - Funcionários #'!AS48*IF($C46="Operacional",IFERROR(VLOOKUP($D46,SN_UGC,28,0),0),1)</f>
        <v>78664.711988320021</v>
      </c>
      <c r="T46" s="120">
        <f>$E46*'C2 - Funcionários #'!AT48*IF($C46="Operacional",IFERROR(VLOOKUP($D46,SN_UGC,28,0),0),1)</f>
        <v>78664.711988320021</v>
      </c>
      <c r="U46" s="120">
        <f>$E46*'C2 - Funcionários #'!AU48*IF($C46="Operacional",IFERROR(VLOOKUP($D46,SN_UGC,28,0),0),1)</f>
        <v>78664.711988320021</v>
      </c>
      <c r="V46" s="120">
        <f>$E46*'C2 - Funcionários #'!AV48*IF($C46="Operacional",IFERROR(VLOOKUP($D46,SN_UGC,28,0),0),1)</f>
        <v>78664.711988320021</v>
      </c>
      <c r="W46" s="120">
        <f>$E46*'C2 - Funcionários #'!AW48*IF($C46="Operacional",IFERROR(VLOOKUP($D46,SN_UGC,28,0),0),1)</f>
        <v>78664.711988320021</v>
      </c>
      <c r="X46" s="120">
        <f>$E46*'C2 - Funcionários #'!AX48*IF($C46="Operacional",IFERROR(VLOOKUP($D46,SN_UGC,28,0),0),1)</f>
        <v>78664.711988320021</v>
      </c>
      <c r="Y46" s="120">
        <f>$E46*'C2 - Funcionários #'!AY48*IF($C46="Operacional",IFERROR(VLOOKUP($D46,SN_UGC,28,0),0),1)</f>
        <v>78664.711988320021</v>
      </c>
      <c r="Z46" s="120">
        <f>$E46*'C2 - Funcionários #'!AZ48*IF($C46="Operacional",IFERROR(VLOOKUP($D46,SN_UGC,28,0),0),1)</f>
        <v>78664.711988320021</v>
      </c>
      <c r="AA46" s="120">
        <f>$E46*'C2 - Funcionários #'!BA48*IF($C46="Operacional",IFERROR(VLOOKUP($D46,SN_UGC,28,0),0),1)</f>
        <v>78664.711988320021</v>
      </c>
      <c r="AB46" s="120">
        <f>$E46*'C2 - Funcionários #'!BB48*IF($C46="Operacional",IFERROR(VLOOKUP($D46,SN_UGC,28,0),0),1)</f>
        <v>78664.711988320021</v>
      </c>
      <c r="AC46" s="120">
        <f>$E46*'C2 - Funcionários #'!BC48*IF($C46="Operacional",IFERROR(VLOOKUP($D46,SN_UGC,28,0),0),1)</f>
        <v>78664.711988320021</v>
      </c>
      <c r="AD46" s="120">
        <f>$E46*'C2 - Funcionários #'!BD48*IF($C46="Operacional",IFERROR(VLOOKUP($D46,SN_UGC,28,0),0),1)</f>
        <v>78664.711988320021</v>
      </c>
      <c r="AE46" s="120">
        <f>$E46*'C2 - Funcionários #'!BE48*IF($C46="Operacional",IFERROR(VLOOKUP($D46,SN_UGC,28,0),0),1)</f>
        <v>78664.711988320021</v>
      </c>
      <c r="AF46" s="120">
        <f>$E46*'C2 - Funcionários #'!BF48*IF($C46="Operacional",IFERROR(VLOOKUP($D46,SN_UGC,28,0),0),1)</f>
        <v>78664.711988320021</v>
      </c>
      <c r="AG46" s="120">
        <f>$E46*'C2 - Funcionários #'!BG48*IF($C46="Operacional",IFERROR(VLOOKUP($D46,SN_UGC,28,0),0),1)</f>
        <v>78664.711988320021</v>
      </c>
      <c r="AH46" s="120">
        <f>$E46*'C2 - Funcionários #'!BH48*IF($C46="Operacional",IFERROR(VLOOKUP($D46,SN_UGC,28,0),0),1)</f>
        <v>78664.711988320021</v>
      </c>
      <c r="AI46" s="120">
        <f>$E46*'C2 - Funcionários #'!BI48*IF($C46="Operacional",IFERROR(VLOOKUP($D46,SN_UGC,28,0),0),1)</f>
        <v>78664.711988320021</v>
      </c>
      <c r="AJ46" s="120">
        <f>$E46*'C2 - Funcionários #'!BJ48*IF($C46="Operacional",IFERROR(VLOOKUP($D46,SN_UGC,28,0),0),1)</f>
        <v>78664.711988320021</v>
      </c>
    </row>
    <row r="47" spans="1:36" ht="15.75" customHeight="1">
      <c r="A47" s="521"/>
      <c r="B47" s="51" t="e">
        <f>'C1 - Cargos e Salários'!#REF!</f>
        <v>#REF!</v>
      </c>
      <c r="C47" s="51" t="e">
        <f>'C1 - Cargos e Salários'!#REF!</f>
        <v>#REF!</v>
      </c>
      <c r="D47" s="51" t="e">
        <f>'C1 - Cargos e Salários'!#REF!</f>
        <v>#REF!</v>
      </c>
      <c r="E47" s="118" t="e">
        <f>'C1 - Cargos e Salários'!#REF!</f>
        <v>#REF!</v>
      </c>
      <c r="F47" s="119" t="e">
        <f>IF(C47="Operacional",IFERROR(VLOOKUP(D47,ReceitaPorTipo,COLUMN('A1 - Serviços e demanda'!$Z$17),0),0),100%)</f>
        <v>#REF!</v>
      </c>
      <c r="G47" s="120" t="e">
        <f>E47*F47*'C2 - Funcionários #'!AG49*IF($C47="Operacional",IFERROR(VLOOKUP($D47,SN_UGC,28,0),0),1)</f>
        <v>#REF!</v>
      </c>
      <c r="H47" s="120" t="e">
        <f>$E47*'C2 - Funcionários #'!AH49*IF($C47="Operacional",IFERROR(VLOOKUP($D47,SN_UGC,28,0),0),1)</f>
        <v>#REF!</v>
      </c>
      <c r="I47" s="120" t="e">
        <f>$E47*'C2 - Funcionários #'!AI49*IF($C47="Operacional",IFERROR(VLOOKUP($D47,SN_UGC,28,0),0),1)</f>
        <v>#REF!</v>
      </c>
      <c r="J47" s="120" t="e">
        <f>$E47*'C2 - Funcionários #'!AJ49*IF($C47="Operacional",IFERROR(VLOOKUP($D47,SN_UGC,28,0),0),1)</f>
        <v>#REF!</v>
      </c>
      <c r="K47" s="120" t="e">
        <f>$E47*'C2 - Funcionários #'!AK49*IF($C47="Operacional",IFERROR(VLOOKUP($D47,SN_UGC,28,0),0),1)</f>
        <v>#REF!</v>
      </c>
      <c r="L47" s="120" t="e">
        <f>$E47*'C2 - Funcionários #'!AL49*IF($C47="Operacional",IFERROR(VLOOKUP($D47,SN_UGC,28,0),0),1)</f>
        <v>#REF!</v>
      </c>
      <c r="M47" s="120" t="e">
        <f>$E47*'C2 - Funcionários #'!AM49*IF($C47="Operacional",IFERROR(VLOOKUP($D47,SN_UGC,28,0),0),1)</f>
        <v>#REF!</v>
      </c>
      <c r="N47" s="120" t="e">
        <f>$E47*'C2 - Funcionários #'!AN49*IF($C47="Operacional",IFERROR(VLOOKUP($D47,SN_UGC,28,0),0),1)</f>
        <v>#REF!</v>
      </c>
      <c r="O47" s="120" t="e">
        <f>$E47*'C2 - Funcionários #'!AO49*IF($C47="Operacional",IFERROR(VLOOKUP($D47,SN_UGC,28,0),0),1)</f>
        <v>#REF!</v>
      </c>
      <c r="P47" s="120" t="e">
        <f>$E47*'C2 - Funcionários #'!AP49*IF($C47="Operacional",IFERROR(VLOOKUP($D47,SN_UGC,28,0),0),1)</f>
        <v>#REF!</v>
      </c>
      <c r="Q47" s="120" t="e">
        <f>$E47*'C2 - Funcionários #'!AQ49*IF($C47="Operacional",IFERROR(VLOOKUP($D47,SN_UGC,28,0),0),1)</f>
        <v>#REF!</v>
      </c>
      <c r="R47" s="120" t="e">
        <f>$E47*'C2 - Funcionários #'!AR49*IF($C47="Operacional",IFERROR(VLOOKUP($D47,SN_UGC,28,0),0),1)</f>
        <v>#REF!</v>
      </c>
      <c r="S47" s="120" t="e">
        <f>$E47*'C2 - Funcionários #'!AS49*IF($C47="Operacional",IFERROR(VLOOKUP($D47,SN_UGC,28,0),0),1)</f>
        <v>#REF!</v>
      </c>
      <c r="T47" s="120" t="e">
        <f>$E47*'C2 - Funcionários #'!AT49*IF($C47="Operacional",IFERROR(VLOOKUP($D47,SN_UGC,28,0),0),1)</f>
        <v>#REF!</v>
      </c>
      <c r="U47" s="120" t="e">
        <f>$E47*'C2 - Funcionários #'!AU49*IF($C47="Operacional",IFERROR(VLOOKUP($D47,SN_UGC,28,0),0),1)</f>
        <v>#REF!</v>
      </c>
      <c r="V47" s="120" t="e">
        <f>$E47*'C2 - Funcionários #'!AV49*IF($C47="Operacional",IFERROR(VLOOKUP($D47,SN_UGC,28,0),0),1)</f>
        <v>#REF!</v>
      </c>
      <c r="W47" s="120" t="e">
        <f>$E47*'C2 - Funcionários #'!AW49*IF($C47="Operacional",IFERROR(VLOOKUP($D47,SN_UGC,28,0),0),1)</f>
        <v>#REF!</v>
      </c>
      <c r="X47" s="120" t="e">
        <f>$E47*'C2 - Funcionários #'!AX49*IF($C47="Operacional",IFERROR(VLOOKUP($D47,SN_UGC,28,0),0),1)</f>
        <v>#REF!</v>
      </c>
      <c r="Y47" s="120" t="e">
        <f>$E47*'C2 - Funcionários #'!AY49*IF($C47="Operacional",IFERROR(VLOOKUP($D47,SN_UGC,28,0),0),1)</f>
        <v>#REF!</v>
      </c>
      <c r="Z47" s="120" t="e">
        <f>$E47*'C2 - Funcionários #'!AZ49*IF($C47="Operacional",IFERROR(VLOOKUP($D47,SN_UGC,28,0),0),1)</f>
        <v>#REF!</v>
      </c>
      <c r="AA47" s="120" t="e">
        <f>$E47*'C2 - Funcionários #'!BA49*IF($C47="Operacional",IFERROR(VLOOKUP($D47,SN_UGC,28,0),0),1)</f>
        <v>#REF!</v>
      </c>
      <c r="AB47" s="120" t="e">
        <f>$E47*'C2 - Funcionários #'!BB49*IF($C47="Operacional",IFERROR(VLOOKUP($D47,SN_UGC,28,0),0),1)</f>
        <v>#REF!</v>
      </c>
      <c r="AC47" s="120" t="e">
        <f>$E47*'C2 - Funcionários #'!BC49*IF($C47="Operacional",IFERROR(VLOOKUP($D47,SN_UGC,28,0),0),1)</f>
        <v>#REF!</v>
      </c>
      <c r="AD47" s="120" t="e">
        <f>$E47*'C2 - Funcionários #'!BD49*IF($C47="Operacional",IFERROR(VLOOKUP($D47,SN_UGC,28,0),0),1)</f>
        <v>#REF!</v>
      </c>
      <c r="AE47" s="120" t="e">
        <f>$E47*'C2 - Funcionários #'!BE49*IF($C47="Operacional",IFERROR(VLOOKUP($D47,SN_UGC,28,0),0),1)</f>
        <v>#REF!</v>
      </c>
      <c r="AF47" s="120" t="e">
        <f>$E47*'C2 - Funcionários #'!BF49*IF($C47="Operacional",IFERROR(VLOOKUP($D47,SN_UGC,28,0),0),1)</f>
        <v>#REF!</v>
      </c>
      <c r="AG47" s="120" t="e">
        <f>$E47*'C2 - Funcionários #'!BG49*IF($C47="Operacional",IFERROR(VLOOKUP($D47,SN_UGC,28,0),0),1)</f>
        <v>#REF!</v>
      </c>
      <c r="AH47" s="120" t="e">
        <f>$E47*'C2 - Funcionários #'!BH49*IF($C47="Operacional",IFERROR(VLOOKUP($D47,SN_UGC,28,0),0),1)</f>
        <v>#REF!</v>
      </c>
      <c r="AI47" s="120" t="e">
        <f>$E47*'C2 - Funcionários #'!BI49*IF($C47="Operacional",IFERROR(VLOOKUP($D47,SN_UGC,28,0),0),1)</f>
        <v>#REF!</v>
      </c>
      <c r="AJ47" s="120" t="e">
        <f>$E47*'C2 - Funcionários #'!BJ49*IF($C47="Operacional",IFERROR(VLOOKUP($D47,SN_UGC,28,0),0),1)</f>
        <v>#REF!</v>
      </c>
    </row>
    <row r="48" spans="1:36" ht="15.75" customHeight="1">
      <c r="A48" s="521"/>
      <c r="B48" s="51" t="e">
        <f>'C1 - Cargos e Salários'!#REF!</f>
        <v>#REF!</v>
      </c>
      <c r="C48" s="51" t="e">
        <f>'C1 - Cargos e Salários'!#REF!</f>
        <v>#REF!</v>
      </c>
      <c r="D48" s="51" t="e">
        <f>'C1 - Cargos e Salários'!#REF!</f>
        <v>#REF!</v>
      </c>
      <c r="E48" s="118" t="e">
        <f>'C1 - Cargos e Salários'!#REF!</f>
        <v>#REF!</v>
      </c>
      <c r="F48" s="119" t="e">
        <f>IF(C48="Operacional",IFERROR(VLOOKUP(D48,ReceitaPorTipo,COLUMN('A1 - Serviços e demanda'!$Z$17),0),0),100%)</f>
        <v>#REF!</v>
      </c>
      <c r="G48" s="120" t="e">
        <f>E48*F48*'C2 - Funcionários #'!AG50*IF($C48="Operacional",IFERROR(VLOOKUP($D48,SN_UGC,28,0),0),1)</f>
        <v>#REF!</v>
      </c>
      <c r="H48" s="120" t="e">
        <f>$E48*'C2 - Funcionários #'!AH50*IF($C48="Operacional",IFERROR(VLOOKUP($D48,SN_UGC,28,0),0),1)</f>
        <v>#REF!</v>
      </c>
      <c r="I48" s="120" t="e">
        <f>$E48*'C2 - Funcionários #'!AI50*IF($C48="Operacional",IFERROR(VLOOKUP($D48,SN_UGC,28,0),0),1)</f>
        <v>#REF!</v>
      </c>
      <c r="J48" s="120" t="e">
        <f>$E48*'C2 - Funcionários #'!AJ50*IF($C48="Operacional",IFERROR(VLOOKUP($D48,SN_UGC,28,0),0),1)</f>
        <v>#REF!</v>
      </c>
      <c r="K48" s="120" t="e">
        <f>$E48*'C2 - Funcionários #'!AK50*IF($C48="Operacional",IFERROR(VLOOKUP($D48,SN_UGC,28,0),0),1)</f>
        <v>#REF!</v>
      </c>
      <c r="L48" s="120" t="e">
        <f>$E48*'C2 - Funcionários #'!AL50*IF($C48="Operacional",IFERROR(VLOOKUP($D48,SN_UGC,28,0),0),1)</f>
        <v>#REF!</v>
      </c>
      <c r="M48" s="120" t="e">
        <f>$E48*'C2 - Funcionários #'!AM50*IF($C48="Operacional",IFERROR(VLOOKUP($D48,SN_UGC,28,0),0),1)</f>
        <v>#REF!</v>
      </c>
      <c r="N48" s="120" t="e">
        <f>$E48*'C2 - Funcionários #'!AN50*IF($C48="Operacional",IFERROR(VLOOKUP($D48,SN_UGC,28,0),0),1)</f>
        <v>#REF!</v>
      </c>
      <c r="O48" s="120" t="e">
        <f>$E48*'C2 - Funcionários #'!AO50*IF($C48="Operacional",IFERROR(VLOOKUP($D48,SN_UGC,28,0),0),1)</f>
        <v>#REF!</v>
      </c>
      <c r="P48" s="120" t="e">
        <f>$E48*'C2 - Funcionários #'!AP50*IF($C48="Operacional",IFERROR(VLOOKUP($D48,SN_UGC,28,0),0),1)</f>
        <v>#REF!</v>
      </c>
      <c r="Q48" s="120" t="e">
        <f>$E48*'C2 - Funcionários #'!AQ50*IF($C48="Operacional",IFERROR(VLOOKUP($D48,SN_UGC,28,0),0),1)</f>
        <v>#REF!</v>
      </c>
      <c r="R48" s="120" t="e">
        <f>$E48*'C2 - Funcionários #'!AR50*IF($C48="Operacional",IFERROR(VLOOKUP($D48,SN_UGC,28,0),0),1)</f>
        <v>#REF!</v>
      </c>
      <c r="S48" s="120" t="e">
        <f>$E48*'C2 - Funcionários #'!AS50*IF($C48="Operacional",IFERROR(VLOOKUP($D48,SN_UGC,28,0),0),1)</f>
        <v>#REF!</v>
      </c>
      <c r="T48" s="120" t="e">
        <f>$E48*'C2 - Funcionários #'!AT50*IF($C48="Operacional",IFERROR(VLOOKUP($D48,SN_UGC,28,0),0),1)</f>
        <v>#REF!</v>
      </c>
      <c r="U48" s="120" t="e">
        <f>$E48*'C2 - Funcionários #'!AU50*IF($C48="Operacional",IFERROR(VLOOKUP($D48,SN_UGC,28,0),0),1)</f>
        <v>#REF!</v>
      </c>
      <c r="V48" s="120" t="e">
        <f>$E48*'C2 - Funcionários #'!AV50*IF($C48="Operacional",IFERROR(VLOOKUP($D48,SN_UGC,28,0),0),1)</f>
        <v>#REF!</v>
      </c>
      <c r="W48" s="120" t="e">
        <f>$E48*'C2 - Funcionários #'!AW50*IF($C48="Operacional",IFERROR(VLOOKUP($D48,SN_UGC,28,0),0),1)</f>
        <v>#REF!</v>
      </c>
      <c r="X48" s="120" t="e">
        <f>$E48*'C2 - Funcionários #'!AX50*IF($C48="Operacional",IFERROR(VLOOKUP($D48,SN_UGC,28,0),0),1)</f>
        <v>#REF!</v>
      </c>
      <c r="Y48" s="120" t="e">
        <f>$E48*'C2 - Funcionários #'!AY50*IF($C48="Operacional",IFERROR(VLOOKUP($D48,SN_UGC,28,0),0),1)</f>
        <v>#REF!</v>
      </c>
      <c r="Z48" s="120" t="e">
        <f>$E48*'C2 - Funcionários #'!AZ50*IF($C48="Operacional",IFERROR(VLOOKUP($D48,SN_UGC,28,0),0),1)</f>
        <v>#REF!</v>
      </c>
      <c r="AA48" s="120" t="e">
        <f>$E48*'C2 - Funcionários #'!BA50*IF($C48="Operacional",IFERROR(VLOOKUP($D48,SN_UGC,28,0),0),1)</f>
        <v>#REF!</v>
      </c>
      <c r="AB48" s="120" t="e">
        <f>$E48*'C2 - Funcionários #'!BB50*IF($C48="Operacional",IFERROR(VLOOKUP($D48,SN_UGC,28,0),0),1)</f>
        <v>#REF!</v>
      </c>
      <c r="AC48" s="120" t="e">
        <f>$E48*'C2 - Funcionários #'!BC50*IF($C48="Operacional",IFERROR(VLOOKUP($D48,SN_UGC,28,0),0),1)</f>
        <v>#REF!</v>
      </c>
      <c r="AD48" s="120" t="e">
        <f>$E48*'C2 - Funcionários #'!BD50*IF($C48="Operacional",IFERROR(VLOOKUP($D48,SN_UGC,28,0),0),1)</f>
        <v>#REF!</v>
      </c>
      <c r="AE48" s="120" t="e">
        <f>$E48*'C2 - Funcionários #'!BE50*IF($C48="Operacional",IFERROR(VLOOKUP($D48,SN_UGC,28,0),0),1)</f>
        <v>#REF!</v>
      </c>
      <c r="AF48" s="120" t="e">
        <f>$E48*'C2 - Funcionários #'!BF50*IF($C48="Operacional",IFERROR(VLOOKUP($D48,SN_UGC,28,0),0),1)</f>
        <v>#REF!</v>
      </c>
      <c r="AG48" s="120" t="e">
        <f>$E48*'C2 - Funcionários #'!BG50*IF($C48="Operacional",IFERROR(VLOOKUP($D48,SN_UGC,28,0),0),1)</f>
        <v>#REF!</v>
      </c>
      <c r="AH48" s="120" t="e">
        <f>$E48*'C2 - Funcionários #'!BH50*IF($C48="Operacional",IFERROR(VLOOKUP($D48,SN_UGC,28,0),0),1)</f>
        <v>#REF!</v>
      </c>
      <c r="AI48" s="120" t="e">
        <f>$E48*'C2 - Funcionários #'!BI50*IF($C48="Operacional",IFERROR(VLOOKUP($D48,SN_UGC,28,0),0),1)</f>
        <v>#REF!</v>
      </c>
      <c r="AJ48" s="120" t="e">
        <f>$E48*'C2 - Funcionários #'!BJ50*IF($C48="Operacional",IFERROR(VLOOKUP($D48,SN_UGC,28,0),0),1)</f>
        <v>#REF!</v>
      </c>
    </row>
    <row r="49" spans="1:36" ht="15.75" customHeight="1">
      <c r="A49" s="521"/>
      <c r="B49" s="51" t="e">
        <f>'C1 - Cargos e Salários'!#REF!</f>
        <v>#REF!</v>
      </c>
      <c r="C49" s="51" t="e">
        <f>'C1 - Cargos e Salários'!#REF!</f>
        <v>#REF!</v>
      </c>
      <c r="D49" s="51" t="e">
        <f>'C1 - Cargos e Salários'!#REF!</f>
        <v>#REF!</v>
      </c>
      <c r="E49" s="118" t="e">
        <f>'C1 - Cargos e Salários'!#REF!</f>
        <v>#REF!</v>
      </c>
      <c r="F49" s="119" t="e">
        <f>IF(C49="Operacional",IFERROR(VLOOKUP(D49,ReceitaPorTipo,COLUMN('A1 - Serviços e demanda'!$Z$17),0),0),100%)</f>
        <v>#REF!</v>
      </c>
      <c r="G49" s="120" t="e">
        <f>E49*F49*'C2 - Funcionários #'!AG51*IF($C49="Operacional",IFERROR(VLOOKUP($D49,SN_UGC,28,0),0),1)</f>
        <v>#REF!</v>
      </c>
      <c r="H49" s="120" t="e">
        <f>$E49*'C2 - Funcionários #'!AH51*IF($C49="Operacional",IFERROR(VLOOKUP($D49,SN_UGC,28,0),0),1)</f>
        <v>#REF!</v>
      </c>
      <c r="I49" s="120" t="e">
        <f>$E49*'C2 - Funcionários #'!AI51*IF($C49="Operacional",IFERROR(VLOOKUP($D49,SN_UGC,28,0),0),1)</f>
        <v>#REF!</v>
      </c>
      <c r="J49" s="120" t="e">
        <f>$E49*'C2 - Funcionários #'!AJ51*IF($C49="Operacional",IFERROR(VLOOKUP($D49,SN_UGC,28,0),0),1)</f>
        <v>#REF!</v>
      </c>
      <c r="K49" s="120" t="e">
        <f>$E49*'C2 - Funcionários #'!AK51*IF($C49="Operacional",IFERROR(VLOOKUP($D49,SN_UGC,28,0),0),1)</f>
        <v>#REF!</v>
      </c>
      <c r="L49" s="120" t="e">
        <f>$E49*'C2 - Funcionários #'!AL51*IF($C49="Operacional",IFERROR(VLOOKUP($D49,SN_UGC,28,0),0),1)</f>
        <v>#REF!</v>
      </c>
      <c r="M49" s="120" t="e">
        <f>$E49*'C2 - Funcionários #'!AM51*IF($C49="Operacional",IFERROR(VLOOKUP($D49,SN_UGC,28,0),0),1)</f>
        <v>#REF!</v>
      </c>
      <c r="N49" s="120" t="e">
        <f>$E49*'C2 - Funcionários #'!AN51*IF($C49="Operacional",IFERROR(VLOOKUP($D49,SN_UGC,28,0),0),1)</f>
        <v>#REF!</v>
      </c>
      <c r="O49" s="120" t="e">
        <f>$E49*'C2 - Funcionários #'!AO51*IF($C49="Operacional",IFERROR(VLOOKUP($D49,SN_UGC,28,0),0),1)</f>
        <v>#REF!</v>
      </c>
      <c r="P49" s="120" t="e">
        <f>$E49*'C2 - Funcionários #'!AP51*IF($C49="Operacional",IFERROR(VLOOKUP($D49,SN_UGC,28,0),0),1)</f>
        <v>#REF!</v>
      </c>
      <c r="Q49" s="120" t="e">
        <f>$E49*'C2 - Funcionários #'!AQ51*IF($C49="Operacional",IFERROR(VLOOKUP($D49,SN_UGC,28,0),0),1)</f>
        <v>#REF!</v>
      </c>
      <c r="R49" s="120" t="e">
        <f>$E49*'C2 - Funcionários #'!AR51*IF($C49="Operacional",IFERROR(VLOOKUP($D49,SN_UGC,28,0),0),1)</f>
        <v>#REF!</v>
      </c>
      <c r="S49" s="120" t="e">
        <f>$E49*'C2 - Funcionários #'!AS51*IF($C49="Operacional",IFERROR(VLOOKUP($D49,SN_UGC,28,0),0),1)</f>
        <v>#REF!</v>
      </c>
      <c r="T49" s="120" t="e">
        <f>$E49*'C2 - Funcionários #'!AT51*IF($C49="Operacional",IFERROR(VLOOKUP($D49,SN_UGC,28,0),0),1)</f>
        <v>#REF!</v>
      </c>
      <c r="U49" s="120" t="e">
        <f>$E49*'C2 - Funcionários #'!AU51*IF($C49="Operacional",IFERROR(VLOOKUP($D49,SN_UGC,28,0),0),1)</f>
        <v>#REF!</v>
      </c>
      <c r="V49" s="120" t="e">
        <f>$E49*'C2 - Funcionários #'!AV51*IF($C49="Operacional",IFERROR(VLOOKUP($D49,SN_UGC,28,0),0),1)</f>
        <v>#REF!</v>
      </c>
      <c r="W49" s="120" t="e">
        <f>$E49*'C2 - Funcionários #'!AW51*IF($C49="Operacional",IFERROR(VLOOKUP($D49,SN_UGC,28,0),0),1)</f>
        <v>#REF!</v>
      </c>
      <c r="X49" s="120" t="e">
        <f>$E49*'C2 - Funcionários #'!AX51*IF($C49="Operacional",IFERROR(VLOOKUP($D49,SN_UGC,28,0),0),1)</f>
        <v>#REF!</v>
      </c>
      <c r="Y49" s="120" t="e">
        <f>$E49*'C2 - Funcionários #'!AY51*IF($C49="Operacional",IFERROR(VLOOKUP($D49,SN_UGC,28,0),0),1)</f>
        <v>#REF!</v>
      </c>
      <c r="Z49" s="120" t="e">
        <f>$E49*'C2 - Funcionários #'!AZ51*IF($C49="Operacional",IFERROR(VLOOKUP($D49,SN_UGC,28,0),0),1)</f>
        <v>#REF!</v>
      </c>
      <c r="AA49" s="120" t="e">
        <f>$E49*'C2 - Funcionários #'!BA51*IF($C49="Operacional",IFERROR(VLOOKUP($D49,SN_UGC,28,0),0),1)</f>
        <v>#REF!</v>
      </c>
      <c r="AB49" s="120" t="e">
        <f>$E49*'C2 - Funcionários #'!BB51*IF($C49="Operacional",IFERROR(VLOOKUP($D49,SN_UGC,28,0),0),1)</f>
        <v>#REF!</v>
      </c>
      <c r="AC49" s="120" t="e">
        <f>$E49*'C2 - Funcionários #'!BC51*IF($C49="Operacional",IFERROR(VLOOKUP($D49,SN_UGC,28,0),0),1)</f>
        <v>#REF!</v>
      </c>
      <c r="AD49" s="120" t="e">
        <f>$E49*'C2 - Funcionários #'!BD51*IF($C49="Operacional",IFERROR(VLOOKUP($D49,SN_UGC,28,0),0),1)</f>
        <v>#REF!</v>
      </c>
      <c r="AE49" s="120" t="e">
        <f>$E49*'C2 - Funcionários #'!BE51*IF($C49="Operacional",IFERROR(VLOOKUP($D49,SN_UGC,28,0),0),1)</f>
        <v>#REF!</v>
      </c>
      <c r="AF49" s="120" t="e">
        <f>$E49*'C2 - Funcionários #'!BF51*IF($C49="Operacional",IFERROR(VLOOKUP($D49,SN_UGC,28,0),0),1)</f>
        <v>#REF!</v>
      </c>
      <c r="AG49" s="120" t="e">
        <f>$E49*'C2 - Funcionários #'!BG51*IF($C49="Operacional",IFERROR(VLOOKUP($D49,SN_UGC,28,0),0),1)</f>
        <v>#REF!</v>
      </c>
      <c r="AH49" s="120" t="e">
        <f>$E49*'C2 - Funcionários #'!BH51*IF($C49="Operacional",IFERROR(VLOOKUP($D49,SN_UGC,28,0),0),1)</f>
        <v>#REF!</v>
      </c>
      <c r="AI49" s="120" t="e">
        <f>$E49*'C2 - Funcionários #'!BI51*IF($C49="Operacional",IFERROR(VLOOKUP($D49,SN_UGC,28,0),0),1)</f>
        <v>#REF!</v>
      </c>
      <c r="AJ49" s="120" t="e">
        <f>$E49*'C2 - Funcionários #'!BJ51*IF($C49="Operacional",IFERROR(VLOOKUP($D49,SN_UGC,28,0),0),1)</f>
        <v>#REF!</v>
      </c>
    </row>
    <row r="50" spans="1:36" ht="15.75" hidden="1" customHeight="1">
      <c r="A50" s="521"/>
      <c r="B50" s="51" t="e">
        <f>'C1 - Cargos e Salários'!#REF!</f>
        <v>#REF!</v>
      </c>
      <c r="C50" s="51" t="e">
        <f>'C1 - Cargos e Salários'!#REF!</f>
        <v>#REF!</v>
      </c>
      <c r="D50" s="51" t="e">
        <f>'C1 - Cargos e Salários'!#REF!</f>
        <v>#REF!</v>
      </c>
      <c r="E50" s="118" t="e">
        <f>'C1 - Cargos e Salários'!#REF!</f>
        <v>#REF!</v>
      </c>
      <c r="F50" s="119" t="e">
        <f>IF(C50="Operacional",IFERROR(VLOOKUP(D50,ReceitaPorTipo,COLUMN('A1 - Serviços e demanda'!$Z$17),0),0),100%)</f>
        <v>#REF!</v>
      </c>
      <c r="G50" s="120" t="e">
        <f>E50*F50*'C2 - Funcionários #'!AG52*IF($C50="Operacional",IFERROR(VLOOKUP($D50,SN_UGC,28,0),0),1)</f>
        <v>#REF!</v>
      </c>
      <c r="H50" s="120" t="e">
        <f>$E50*'C2 - Funcionários #'!AH52*IF($C50="Operacional",IFERROR(VLOOKUP($D50,SN_UGC,28,0),0),1)</f>
        <v>#REF!</v>
      </c>
      <c r="I50" s="120" t="e">
        <f>$E50*'C2 - Funcionários #'!AI52*IF($C50="Operacional",IFERROR(VLOOKUP($D50,SN_UGC,28,0),0),1)</f>
        <v>#REF!</v>
      </c>
      <c r="J50" s="120" t="e">
        <f>$E50*'C2 - Funcionários #'!AJ52*IF($C50="Operacional",IFERROR(VLOOKUP($D50,SN_UGC,28,0),0),1)</f>
        <v>#REF!</v>
      </c>
      <c r="K50" s="120" t="e">
        <f>$E50*'C2 - Funcionários #'!AK52*IF($C50="Operacional",IFERROR(VLOOKUP($D50,SN_UGC,28,0),0),1)</f>
        <v>#REF!</v>
      </c>
      <c r="L50" s="120" t="e">
        <f>$E50*'C2 - Funcionários #'!AL52*IF($C50="Operacional",IFERROR(VLOOKUP($D50,SN_UGC,28,0),0),1)</f>
        <v>#REF!</v>
      </c>
      <c r="M50" s="120" t="e">
        <f>$E50*'C2 - Funcionários #'!AM52*IF($C50="Operacional",IFERROR(VLOOKUP($D50,SN_UGC,28,0),0),1)</f>
        <v>#REF!</v>
      </c>
      <c r="N50" s="120" t="e">
        <f>$E50*'C2 - Funcionários #'!AN52*IF($C50="Operacional",IFERROR(VLOOKUP($D50,SN_UGC,28,0),0),1)</f>
        <v>#REF!</v>
      </c>
      <c r="O50" s="120" t="e">
        <f>$E50*'C2 - Funcionários #'!AO52*IF($C50="Operacional",IFERROR(VLOOKUP($D50,SN_UGC,28,0),0),1)</f>
        <v>#REF!</v>
      </c>
      <c r="P50" s="120" t="e">
        <f>$E50*'C2 - Funcionários #'!AP52*IF($C50="Operacional",IFERROR(VLOOKUP($D50,SN_UGC,28,0),0),1)</f>
        <v>#REF!</v>
      </c>
      <c r="Q50" s="120" t="e">
        <f>$E50*'C2 - Funcionários #'!AQ52*IF($C50="Operacional",IFERROR(VLOOKUP($D50,SN_UGC,28,0),0),1)</f>
        <v>#REF!</v>
      </c>
      <c r="R50" s="120" t="e">
        <f>$E50*'C2 - Funcionários #'!AR52*IF($C50="Operacional",IFERROR(VLOOKUP($D50,SN_UGC,28,0),0),1)</f>
        <v>#REF!</v>
      </c>
      <c r="S50" s="120" t="e">
        <f>$E50*'C2 - Funcionários #'!AS52*IF($C50="Operacional",IFERROR(VLOOKUP($D50,SN_UGC,28,0),0),1)</f>
        <v>#REF!</v>
      </c>
      <c r="T50" s="120" t="e">
        <f>$E50*'C2 - Funcionários #'!AT52*IF($C50="Operacional",IFERROR(VLOOKUP($D50,SN_UGC,28,0),0),1)</f>
        <v>#REF!</v>
      </c>
      <c r="U50" s="120" t="e">
        <f>$E50*'C2 - Funcionários #'!AU52*IF($C50="Operacional",IFERROR(VLOOKUP($D50,SN_UGC,28,0),0),1)</f>
        <v>#REF!</v>
      </c>
      <c r="V50" s="120" t="e">
        <f>$E50*'C2 - Funcionários #'!AV52*IF($C50="Operacional",IFERROR(VLOOKUP($D50,SN_UGC,28,0),0),1)</f>
        <v>#REF!</v>
      </c>
      <c r="W50" s="120" t="e">
        <f>$E50*'C2 - Funcionários #'!AW52*IF($C50="Operacional",IFERROR(VLOOKUP($D50,SN_UGC,28,0),0),1)</f>
        <v>#REF!</v>
      </c>
      <c r="X50" s="120" t="e">
        <f>$E50*'C2 - Funcionários #'!AX52*IF($C50="Operacional",IFERROR(VLOOKUP($D50,SN_UGC,28,0),0),1)</f>
        <v>#REF!</v>
      </c>
      <c r="Y50" s="120" t="e">
        <f>$E50*'C2 - Funcionários #'!AY52*IF($C50="Operacional",IFERROR(VLOOKUP($D50,SN_UGC,28,0),0),1)</f>
        <v>#REF!</v>
      </c>
      <c r="Z50" s="120" t="e">
        <f>$E50*'C2 - Funcionários #'!AZ52*IF($C50="Operacional",IFERROR(VLOOKUP($D50,SN_UGC,28,0),0),1)</f>
        <v>#REF!</v>
      </c>
      <c r="AA50" s="120" t="e">
        <f>$E50*'C2 - Funcionários #'!BA52*IF($C50="Operacional",IFERROR(VLOOKUP($D50,SN_UGC,28,0),0),1)</f>
        <v>#REF!</v>
      </c>
      <c r="AB50" s="120" t="e">
        <f>$E50*'C2 - Funcionários #'!BB52*IF($C50="Operacional",IFERROR(VLOOKUP($D50,SN_UGC,28,0),0),1)</f>
        <v>#REF!</v>
      </c>
      <c r="AC50" s="120" t="e">
        <f>$E50*'C2 - Funcionários #'!BC52*IF($C50="Operacional",IFERROR(VLOOKUP($D50,SN_UGC,28,0),0),1)</f>
        <v>#REF!</v>
      </c>
      <c r="AD50" s="120" t="e">
        <f>$E50*'C2 - Funcionários #'!BD52*IF($C50="Operacional",IFERROR(VLOOKUP($D50,SN_UGC,28,0),0),1)</f>
        <v>#REF!</v>
      </c>
      <c r="AE50" s="120" t="e">
        <f>$E50*'C2 - Funcionários #'!BE52*IF($C50="Operacional",IFERROR(VLOOKUP($D50,SN_UGC,28,0),0),1)</f>
        <v>#REF!</v>
      </c>
      <c r="AF50" s="120" t="e">
        <f>$E50*'C2 - Funcionários #'!BF52*IF($C50="Operacional",IFERROR(VLOOKUP($D50,SN_UGC,28,0),0),1)</f>
        <v>#REF!</v>
      </c>
      <c r="AG50" s="120" t="e">
        <f>$E50*'C2 - Funcionários #'!BG52*IF($C50="Operacional",IFERROR(VLOOKUP($D50,SN_UGC,28,0),0),1)</f>
        <v>#REF!</v>
      </c>
      <c r="AH50" s="120" t="e">
        <f>$E50*'C2 - Funcionários #'!BH52*IF($C50="Operacional",IFERROR(VLOOKUP($D50,SN_UGC,28,0),0),1)</f>
        <v>#REF!</v>
      </c>
      <c r="AI50" s="120" t="e">
        <f>$E50*'C2 - Funcionários #'!BI52*IF($C50="Operacional",IFERROR(VLOOKUP($D50,SN_UGC,28,0),0),1)</f>
        <v>#REF!</v>
      </c>
      <c r="AJ50" s="120" t="e">
        <f>$E50*'C2 - Funcionários #'!BJ52*IF($C50="Operacional",IFERROR(VLOOKUP($D50,SN_UGC,28,0),0),1)</f>
        <v>#REF!</v>
      </c>
    </row>
    <row r="51" spans="1:36" ht="15.75" customHeight="1">
      <c r="A51" s="521"/>
      <c r="B51" s="51" t="e">
        <f>'C1 - Cargos e Salários'!#REF!</f>
        <v>#REF!</v>
      </c>
      <c r="C51" s="51" t="e">
        <f>'C1 - Cargos e Salários'!#REF!</f>
        <v>#REF!</v>
      </c>
      <c r="D51" s="51" t="e">
        <f>'C1 - Cargos e Salários'!#REF!</f>
        <v>#REF!</v>
      </c>
      <c r="E51" s="118" t="e">
        <f>'C1 - Cargos e Salários'!#REF!</f>
        <v>#REF!</v>
      </c>
      <c r="F51" s="119" t="e">
        <f>IF(C51="Operacional",IFERROR(VLOOKUP(D51,ReceitaPorTipo,COLUMN('A1 - Serviços e demanda'!$Z$17),0),0),100%)</f>
        <v>#REF!</v>
      </c>
      <c r="G51" s="120" t="e">
        <f>E51*F51*'C2 - Funcionários #'!AG53*IF($C51="Operacional",IFERROR(VLOOKUP($D51,SN_UGC,28,0),0),1)</f>
        <v>#REF!</v>
      </c>
      <c r="H51" s="120" t="e">
        <f>$E51*'C2 - Funcionários #'!AH53*IF($C51="Operacional",IFERROR(VLOOKUP($D51,SN_UGC,28,0),0),1)</f>
        <v>#REF!</v>
      </c>
      <c r="I51" s="120" t="e">
        <f>$E51*'C2 - Funcionários #'!AI53*IF($C51="Operacional",IFERROR(VLOOKUP($D51,SN_UGC,28,0),0),1)</f>
        <v>#REF!</v>
      </c>
      <c r="J51" s="120" t="e">
        <f>$E51*'C2 - Funcionários #'!AJ53*IF($C51="Operacional",IFERROR(VLOOKUP($D51,SN_UGC,28,0),0),1)</f>
        <v>#REF!</v>
      </c>
      <c r="K51" s="120" t="e">
        <f>$E51*'C2 - Funcionários #'!AK53*IF($C51="Operacional",IFERROR(VLOOKUP($D51,SN_UGC,28,0),0),1)</f>
        <v>#REF!</v>
      </c>
      <c r="L51" s="120" t="e">
        <f>$E51*'C2 - Funcionários #'!AL53*IF($C51="Operacional",IFERROR(VLOOKUP($D51,SN_UGC,28,0),0),1)</f>
        <v>#REF!</v>
      </c>
      <c r="M51" s="120" t="e">
        <f>$E51*'C2 - Funcionários #'!AM53*IF($C51="Operacional",IFERROR(VLOOKUP($D51,SN_UGC,28,0),0),1)</f>
        <v>#REF!</v>
      </c>
      <c r="N51" s="120" t="e">
        <f>$E51*'C2 - Funcionários #'!AN53*IF($C51="Operacional",IFERROR(VLOOKUP($D51,SN_UGC,28,0),0),1)</f>
        <v>#REF!</v>
      </c>
      <c r="O51" s="120" t="e">
        <f>$E51*'C2 - Funcionários #'!AO53*IF($C51="Operacional",IFERROR(VLOOKUP($D51,SN_UGC,28,0),0),1)</f>
        <v>#REF!</v>
      </c>
      <c r="P51" s="120" t="e">
        <f>$E51*'C2 - Funcionários #'!AP53*IF($C51="Operacional",IFERROR(VLOOKUP($D51,SN_UGC,28,0),0),1)</f>
        <v>#REF!</v>
      </c>
      <c r="Q51" s="120" t="e">
        <f>$E51*'C2 - Funcionários #'!AQ53*IF($C51="Operacional",IFERROR(VLOOKUP($D51,SN_UGC,28,0),0),1)</f>
        <v>#REF!</v>
      </c>
      <c r="R51" s="120" t="e">
        <f>$E51*'C2 - Funcionários #'!AR53*IF($C51="Operacional",IFERROR(VLOOKUP($D51,SN_UGC,28,0),0),1)</f>
        <v>#REF!</v>
      </c>
      <c r="S51" s="120" t="e">
        <f>$E51*'C2 - Funcionários #'!AS53*IF($C51="Operacional",IFERROR(VLOOKUP($D51,SN_UGC,28,0),0),1)</f>
        <v>#REF!</v>
      </c>
      <c r="T51" s="120" t="e">
        <f>$E51*'C2 - Funcionários #'!AT53*IF($C51="Operacional",IFERROR(VLOOKUP($D51,SN_UGC,28,0),0),1)</f>
        <v>#REF!</v>
      </c>
      <c r="U51" s="120" t="e">
        <f>$E51*'C2 - Funcionários #'!AU53*IF($C51="Operacional",IFERROR(VLOOKUP($D51,SN_UGC,28,0),0),1)</f>
        <v>#REF!</v>
      </c>
      <c r="V51" s="120" t="e">
        <f>$E51*'C2 - Funcionários #'!AV53*IF($C51="Operacional",IFERROR(VLOOKUP($D51,SN_UGC,28,0),0),1)</f>
        <v>#REF!</v>
      </c>
      <c r="W51" s="120" t="e">
        <f>$E51*'C2 - Funcionários #'!AW53*IF($C51="Operacional",IFERROR(VLOOKUP($D51,SN_UGC,28,0),0),1)</f>
        <v>#REF!</v>
      </c>
      <c r="X51" s="120" t="e">
        <f>$E51*'C2 - Funcionários #'!AX53*IF($C51="Operacional",IFERROR(VLOOKUP($D51,SN_UGC,28,0),0),1)</f>
        <v>#REF!</v>
      </c>
      <c r="Y51" s="120" t="e">
        <f>$E51*'C2 - Funcionários #'!AY53*IF($C51="Operacional",IFERROR(VLOOKUP($D51,SN_UGC,28,0),0),1)</f>
        <v>#REF!</v>
      </c>
      <c r="Z51" s="120" t="e">
        <f>$E51*'C2 - Funcionários #'!AZ53*IF($C51="Operacional",IFERROR(VLOOKUP($D51,SN_UGC,28,0),0),1)</f>
        <v>#REF!</v>
      </c>
      <c r="AA51" s="120" t="e">
        <f>$E51*'C2 - Funcionários #'!BA53*IF($C51="Operacional",IFERROR(VLOOKUP($D51,SN_UGC,28,0),0),1)</f>
        <v>#REF!</v>
      </c>
      <c r="AB51" s="120" t="e">
        <f>$E51*'C2 - Funcionários #'!BB53*IF($C51="Operacional",IFERROR(VLOOKUP($D51,SN_UGC,28,0),0),1)</f>
        <v>#REF!</v>
      </c>
      <c r="AC51" s="120" t="e">
        <f>$E51*'C2 - Funcionários #'!BC53*IF($C51="Operacional",IFERROR(VLOOKUP($D51,SN_UGC,28,0),0),1)</f>
        <v>#REF!</v>
      </c>
      <c r="AD51" s="120" t="e">
        <f>$E51*'C2 - Funcionários #'!BD53*IF($C51="Operacional",IFERROR(VLOOKUP($D51,SN_UGC,28,0),0),1)</f>
        <v>#REF!</v>
      </c>
      <c r="AE51" s="120" t="e">
        <f>$E51*'C2 - Funcionários #'!BE53*IF($C51="Operacional",IFERROR(VLOOKUP($D51,SN_UGC,28,0),0),1)</f>
        <v>#REF!</v>
      </c>
      <c r="AF51" s="120" t="e">
        <f>$E51*'C2 - Funcionários #'!BF53*IF($C51="Operacional",IFERROR(VLOOKUP($D51,SN_UGC,28,0),0),1)</f>
        <v>#REF!</v>
      </c>
      <c r="AG51" s="120" t="e">
        <f>$E51*'C2 - Funcionários #'!BG53*IF($C51="Operacional",IFERROR(VLOOKUP($D51,SN_UGC,28,0),0),1)</f>
        <v>#REF!</v>
      </c>
      <c r="AH51" s="120" t="e">
        <f>$E51*'C2 - Funcionários #'!BH53*IF($C51="Operacional",IFERROR(VLOOKUP($D51,SN_UGC,28,0),0),1)</f>
        <v>#REF!</v>
      </c>
      <c r="AI51" s="120" t="e">
        <f>$E51*'C2 - Funcionários #'!BI53*IF($C51="Operacional",IFERROR(VLOOKUP($D51,SN_UGC,28,0),0),1)</f>
        <v>#REF!</v>
      </c>
      <c r="AJ51" s="120" t="e">
        <f>$E51*'C2 - Funcionários #'!BJ53*IF($C51="Operacional",IFERROR(VLOOKUP($D51,SN_UGC,28,0),0),1)</f>
        <v>#REF!</v>
      </c>
    </row>
    <row r="52" spans="1:36" ht="15.75" customHeight="1">
      <c r="A52" s="521"/>
      <c r="B52" s="51" t="e">
        <f>'C1 - Cargos e Salários'!#REF!</f>
        <v>#REF!</v>
      </c>
      <c r="C52" s="51" t="e">
        <f>'C1 - Cargos e Salários'!#REF!</f>
        <v>#REF!</v>
      </c>
      <c r="D52" s="51" t="e">
        <f>'C1 - Cargos e Salários'!#REF!</f>
        <v>#REF!</v>
      </c>
      <c r="E52" s="118" t="e">
        <f>'C1 - Cargos e Salários'!#REF!</f>
        <v>#REF!</v>
      </c>
      <c r="F52" s="119" t="e">
        <f>IF(C52="Operacional",IFERROR(VLOOKUP(D52,ReceitaPorTipo,COLUMN('A1 - Serviços e demanda'!$Z$17),0),0),100%)</f>
        <v>#REF!</v>
      </c>
      <c r="G52" s="120" t="e">
        <f>E52*F52*'C2 - Funcionários #'!AG54*IF($C52="Operacional",IFERROR(VLOOKUP($D52,SN_UGC,28,0),0),1)</f>
        <v>#REF!</v>
      </c>
      <c r="H52" s="120" t="e">
        <f>$E52*'C2 - Funcionários #'!AH54*IF($C52="Operacional",IFERROR(VLOOKUP($D52,SN_UGC,28,0),0),1)</f>
        <v>#REF!</v>
      </c>
      <c r="I52" s="120" t="e">
        <f>$E52*'C2 - Funcionários #'!AI54*IF($C52="Operacional",IFERROR(VLOOKUP($D52,SN_UGC,28,0),0),1)</f>
        <v>#REF!</v>
      </c>
      <c r="J52" s="120" t="e">
        <f>$E52*'C2 - Funcionários #'!AJ54*IF($C52="Operacional",IFERROR(VLOOKUP($D52,SN_UGC,28,0),0),1)</f>
        <v>#REF!</v>
      </c>
      <c r="K52" s="120" t="e">
        <f>$E52*'C2 - Funcionários #'!AK54*IF($C52="Operacional",IFERROR(VLOOKUP($D52,SN_UGC,28,0),0),1)</f>
        <v>#REF!</v>
      </c>
      <c r="L52" s="120" t="e">
        <f>$E52*'C2 - Funcionários #'!AL54*IF($C52="Operacional",IFERROR(VLOOKUP($D52,SN_UGC,28,0),0),1)</f>
        <v>#REF!</v>
      </c>
      <c r="M52" s="120" t="e">
        <f>$E52*'C2 - Funcionários #'!AM54*IF($C52="Operacional",IFERROR(VLOOKUP($D52,SN_UGC,28,0),0),1)</f>
        <v>#REF!</v>
      </c>
      <c r="N52" s="120" t="e">
        <f>$E52*'C2 - Funcionários #'!AN54*IF($C52="Operacional",IFERROR(VLOOKUP($D52,SN_UGC,28,0),0),1)</f>
        <v>#REF!</v>
      </c>
      <c r="O52" s="120" t="e">
        <f>$E52*'C2 - Funcionários #'!AO54*IF($C52="Operacional",IFERROR(VLOOKUP($D52,SN_UGC,28,0),0),1)</f>
        <v>#REF!</v>
      </c>
      <c r="P52" s="120" t="e">
        <f>$E52*'C2 - Funcionários #'!AP54*IF($C52="Operacional",IFERROR(VLOOKUP($D52,SN_UGC,28,0),0),1)</f>
        <v>#REF!</v>
      </c>
      <c r="Q52" s="120" t="e">
        <f>$E52*'C2 - Funcionários #'!AQ54*IF($C52="Operacional",IFERROR(VLOOKUP($D52,SN_UGC,28,0),0),1)</f>
        <v>#REF!</v>
      </c>
      <c r="R52" s="120" t="e">
        <f>$E52*'C2 - Funcionários #'!AR54*IF($C52="Operacional",IFERROR(VLOOKUP($D52,SN_UGC,28,0),0),1)</f>
        <v>#REF!</v>
      </c>
      <c r="S52" s="120" t="e">
        <f>$E52*'C2 - Funcionários #'!AS54*IF($C52="Operacional",IFERROR(VLOOKUP($D52,SN_UGC,28,0),0),1)</f>
        <v>#REF!</v>
      </c>
      <c r="T52" s="120" t="e">
        <f>$E52*'C2 - Funcionários #'!AT54*IF($C52="Operacional",IFERROR(VLOOKUP($D52,SN_UGC,28,0),0),1)</f>
        <v>#REF!</v>
      </c>
      <c r="U52" s="120" t="e">
        <f>$E52*'C2 - Funcionários #'!AU54*IF($C52="Operacional",IFERROR(VLOOKUP($D52,SN_UGC,28,0),0),1)</f>
        <v>#REF!</v>
      </c>
      <c r="V52" s="120" t="e">
        <f>$E52*'C2 - Funcionários #'!AV54*IF($C52="Operacional",IFERROR(VLOOKUP($D52,SN_UGC,28,0),0),1)</f>
        <v>#REF!</v>
      </c>
      <c r="W52" s="120" t="e">
        <f>$E52*'C2 - Funcionários #'!AW54*IF($C52="Operacional",IFERROR(VLOOKUP($D52,SN_UGC,28,0),0),1)</f>
        <v>#REF!</v>
      </c>
      <c r="X52" s="120" t="e">
        <f>$E52*'C2 - Funcionários #'!AX54*IF($C52="Operacional",IFERROR(VLOOKUP($D52,SN_UGC,28,0),0),1)</f>
        <v>#REF!</v>
      </c>
      <c r="Y52" s="120" t="e">
        <f>$E52*'C2 - Funcionários #'!AY54*IF($C52="Operacional",IFERROR(VLOOKUP($D52,SN_UGC,28,0),0),1)</f>
        <v>#REF!</v>
      </c>
      <c r="Z52" s="120" t="e">
        <f>$E52*'C2 - Funcionários #'!AZ54*IF($C52="Operacional",IFERROR(VLOOKUP($D52,SN_UGC,28,0),0),1)</f>
        <v>#REF!</v>
      </c>
      <c r="AA52" s="120" t="e">
        <f>$E52*'C2 - Funcionários #'!BA54*IF($C52="Operacional",IFERROR(VLOOKUP($D52,SN_UGC,28,0),0),1)</f>
        <v>#REF!</v>
      </c>
      <c r="AB52" s="120" t="e">
        <f>$E52*'C2 - Funcionários #'!BB54*IF($C52="Operacional",IFERROR(VLOOKUP($D52,SN_UGC,28,0),0),1)</f>
        <v>#REF!</v>
      </c>
      <c r="AC52" s="120" t="e">
        <f>$E52*'C2 - Funcionários #'!BC54*IF($C52="Operacional",IFERROR(VLOOKUP($D52,SN_UGC,28,0),0),1)</f>
        <v>#REF!</v>
      </c>
      <c r="AD52" s="120" t="e">
        <f>$E52*'C2 - Funcionários #'!BD54*IF($C52="Operacional",IFERROR(VLOOKUP($D52,SN_UGC,28,0),0),1)</f>
        <v>#REF!</v>
      </c>
      <c r="AE52" s="120" t="e">
        <f>$E52*'C2 - Funcionários #'!BE54*IF($C52="Operacional",IFERROR(VLOOKUP($D52,SN_UGC,28,0),0),1)</f>
        <v>#REF!</v>
      </c>
      <c r="AF52" s="120" t="e">
        <f>$E52*'C2 - Funcionários #'!BF54*IF($C52="Operacional",IFERROR(VLOOKUP($D52,SN_UGC,28,0),0),1)</f>
        <v>#REF!</v>
      </c>
      <c r="AG52" s="120" t="e">
        <f>$E52*'C2 - Funcionários #'!BG54*IF($C52="Operacional",IFERROR(VLOOKUP($D52,SN_UGC,28,0),0),1)</f>
        <v>#REF!</v>
      </c>
      <c r="AH52" s="120" t="e">
        <f>$E52*'C2 - Funcionários #'!BH54*IF($C52="Operacional",IFERROR(VLOOKUP($D52,SN_UGC,28,0),0),1)</f>
        <v>#REF!</v>
      </c>
      <c r="AI52" s="120" t="e">
        <f>$E52*'C2 - Funcionários #'!BI54*IF($C52="Operacional",IFERROR(VLOOKUP($D52,SN_UGC,28,0),0),1)</f>
        <v>#REF!</v>
      </c>
      <c r="AJ52" s="120" t="e">
        <f>$E52*'C2 - Funcionários #'!BJ54*IF($C52="Operacional",IFERROR(VLOOKUP($D52,SN_UGC,28,0),0),1)</f>
        <v>#REF!</v>
      </c>
    </row>
    <row r="53" spans="1:36" ht="15.75" hidden="1" customHeight="1">
      <c r="A53" s="521"/>
      <c r="B53" s="51" t="e">
        <f>'C1 - Cargos e Salários'!#REF!</f>
        <v>#REF!</v>
      </c>
      <c r="C53" s="51" t="e">
        <f>'C1 - Cargos e Salários'!#REF!</f>
        <v>#REF!</v>
      </c>
      <c r="D53" s="51" t="e">
        <f>'C1 - Cargos e Salários'!#REF!</f>
        <v>#REF!</v>
      </c>
      <c r="E53" s="118" t="e">
        <f>'C1 - Cargos e Salários'!#REF!</f>
        <v>#REF!</v>
      </c>
      <c r="F53" s="119" t="e">
        <f>IF(C53="Operacional",IFERROR(VLOOKUP(D53,ReceitaPorTipo,COLUMN('A1 - Serviços e demanda'!$Z$17),0),0),100%)</f>
        <v>#REF!</v>
      </c>
      <c r="G53" s="120" t="e">
        <f>E53*F53*'C2 - Funcionários #'!AG55*IF($C53="Operacional",IFERROR(VLOOKUP($D53,SN_UGC,28,0),0),1)</f>
        <v>#REF!</v>
      </c>
      <c r="H53" s="120" t="e">
        <f>$E53*'C2 - Funcionários #'!AH55*IF($C53="Operacional",IFERROR(VLOOKUP($D53,SN_UGC,28,0),0),1)</f>
        <v>#REF!</v>
      </c>
      <c r="I53" s="120" t="e">
        <f>$E53*'C2 - Funcionários #'!AI55*IF($C53="Operacional",IFERROR(VLOOKUP($D53,SN_UGC,28,0),0),1)</f>
        <v>#REF!</v>
      </c>
      <c r="J53" s="120" t="e">
        <f>$E53*'C2 - Funcionários #'!AJ55*IF($C53="Operacional",IFERROR(VLOOKUP($D53,SN_UGC,28,0),0),1)</f>
        <v>#REF!</v>
      </c>
      <c r="K53" s="120" t="e">
        <f>$E53*'C2 - Funcionários #'!AK55*IF($C53="Operacional",IFERROR(VLOOKUP($D53,SN_UGC,28,0),0),1)</f>
        <v>#REF!</v>
      </c>
      <c r="L53" s="120" t="e">
        <f>$E53*'C2 - Funcionários #'!AL55*IF($C53="Operacional",IFERROR(VLOOKUP($D53,SN_UGC,28,0),0),1)</f>
        <v>#REF!</v>
      </c>
      <c r="M53" s="120" t="e">
        <f>$E53*'C2 - Funcionários #'!AM55*IF($C53="Operacional",IFERROR(VLOOKUP($D53,SN_UGC,28,0),0),1)</f>
        <v>#REF!</v>
      </c>
      <c r="N53" s="120" t="e">
        <f>$E53*'C2 - Funcionários #'!AN55*IF($C53="Operacional",IFERROR(VLOOKUP($D53,SN_UGC,28,0),0),1)</f>
        <v>#REF!</v>
      </c>
      <c r="O53" s="120" t="e">
        <f>$E53*'C2 - Funcionários #'!AO55*IF($C53="Operacional",IFERROR(VLOOKUP($D53,SN_UGC,28,0),0),1)</f>
        <v>#REF!</v>
      </c>
      <c r="P53" s="120" t="e">
        <f>$E53*'C2 - Funcionários #'!AP55*IF($C53="Operacional",IFERROR(VLOOKUP($D53,SN_UGC,28,0),0),1)</f>
        <v>#REF!</v>
      </c>
      <c r="Q53" s="120" t="e">
        <f>$E53*'C2 - Funcionários #'!AQ55*IF($C53="Operacional",IFERROR(VLOOKUP($D53,SN_UGC,28,0),0),1)</f>
        <v>#REF!</v>
      </c>
      <c r="R53" s="120" t="e">
        <f>$E53*'C2 - Funcionários #'!AR55*IF($C53="Operacional",IFERROR(VLOOKUP($D53,SN_UGC,28,0),0),1)</f>
        <v>#REF!</v>
      </c>
      <c r="S53" s="120" t="e">
        <f>$E53*'C2 - Funcionários #'!AS55*IF($C53="Operacional",IFERROR(VLOOKUP($D53,SN_UGC,28,0),0),1)</f>
        <v>#REF!</v>
      </c>
      <c r="T53" s="120" t="e">
        <f>$E53*'C2 - Funcionários #'!AT55*IF($C53="Operacional",IFERROR(VLOOKUP($D53,SN_UGC,28,0),0),1)</f>
        <v>#REF!</v>
      </c>
      <c r="U53" s="120" t="e">
        <f>$E53*'C2 - Funcionários #'!AU55*IF($C53="Operacional",IFERROR(VLOOKUP($D53,SN_UGC,28,0),0),1)</f>
        <v>#REF!</v>
      </c>
      <c r="V53" s="120" t="e">
        <f>$E53*'C2 - Funcionários #'!AV55*IF($C53="Operacional",IFERROR(VLOOKUP($D53,SN_UGC,28,0),0),1)</f>
        <v>#REF!</v>
      </c>
      <c r="W53" s="120" t="e">
        <f>$E53*'C2 - Funcionários #'!AW55*IF($C53="Operacional",IFERROR(VLOOKUP($D53,SN_UGC,28,0),0),1)</f>
        <v>#REF!</v>
      </c>
      <c r="X53" s="120" t="e">
        <f>$E53*'C2 - Funcionários #'!AX55*IF($C53="Operacional",IFERROR(VLOOKUP($D53,SN_UGC,28,0),0),1)</f>
        <v>#REF!</v>
      </c>
      <c r="Y53" s="120" t="e">
        <f>$E53*'C2 - Funcionários #'!AY55*IF($C53="Operacional",IFERROR(VLOOKUP($D53,SN_UGC,28,0),0),1)</f>
        <v>#REF!</v>
      </c>
      <c r="Z53" s="120" t="e">
        <f>$E53*'C2 - Funcionários #'!AZ55*IF($C53="Operacional",IFERROR(VLOOKUP($D53,SN_UGC,28,0),0),1)</f>
        <v>#REF!</v>
      </c>
      <c r="AA53" s="120" t="e">
        <f>$E53*'C2 - Funcionários #'!BA55*IF($C53="Operacional",IFERROR(VLOOKUP($D53,SN_UGC,28,0),0),1)</f>
        <v>#REF!</v>
      </c>
      <c r="AB53" s="120" t="e">
        <f>$E53*'C2 - Funcionários #'!BB55*IF($C53="Operacional",IFERROR(VLOOKUP($D53,SN_UGC,28,0),0),1)</f>
        <v>#REF!</v>
      </c>
      <c r="AC53" s="120" t="e">
        <f>$E53*'C2 - Funcionários #'!BC55*IF($C53="Operacional",IFERROR(VLOOKUP($D53,SN_UGC,28,0),0),1)</f>
        <v>#REF!</v>
      </c>
      <c r="AD53" s="120" t="e">
        <f>$E53*'C2 - Funcionários #'!BD55*IF($C53="Operacional",IFERROR(VLOOKUP($D53,SN_UGC,28,0),0),1)</f>
        <v>#REF!</v>
      </c>
      <c r="AE53" s="120" t="e">
        <f>$E53*'C2 - Funcionários #'!BE55*IF($C53="Operacional",IFERROR(VLOOKUP($D53,SN_UGC,28,0),0),1)</f>
        <v>#REF!</v>
      </c>
      <c r="AF53" s="120" t="e">
        <f>$E53*'C2 - Funcionários #'!BF55*IF($C53="Operacional",IFERROR(VLOOKUP($D53,SN_UGC,28,0),0),1)</f>
        <v>#REF!</v>
      </c>
      <c r="AG53" s="120" t="e">
        <f>$E53*'C2 - Funcionários #'!BG55*IF($C53="Operacional",IFERROR(VLOOKUP($D53,SN_UGC,28,0),0),1)</f>
        <v>#REF!</v>
      </c>
      <c r="AH53" s="120" t="e">
        <f>$E53*'C2 - Funcionários #'!BH55*IF($C53="Operacional",IFERROR(VLOOKUP($D53,SN_UGC,28,0),0),1)</f>
        <v>#REF!</v>
      </c>
      <c r="AI53" s="120" t="e">
        <f>$E53*'C2 - Funcionários #'!BI55*IF($C53="Operacional",IFERROR(VLOOKUP($D53,SN_UGC,28,0),0),1)</f>
        <v>#REF!</v>
      </c>
      <c r="AJ53" s="120" t="e">
        <f>$E53*'C2 - Funcionários #'!BJ55*IF($C53="Operacional",IFERROR(VLOOKUP($D53,SN_UGC,28,0),0),1)</f>
        <v>#REF!</v>
      </c>
    </row>
    <row r="54" spans="1:36" ht="15.75" customHeight="1">
      <c r="A54" s="521"/>
      <c r="B54" s="51" t="e">
        <f>'C1 - Cargos e Salários'!#REF!</f>
        <v>#REF!</v>
      </c>
      <c r="C54" s="51" t="e">
        <f>'C1 - Cargos e Salários'!#REF!</f>
        <v>#REF!</v>
      </c>
      <c r="D54" s="51" t="e">
        <f>'C1 - Cargos e Salários'!#REF!</f>
        <v>#REF!</v>
      </c>
      <c r="E54" s="118" t="e">
        <f>'C1 - Cargos e Salários'!#REF!</f>
        <v>#REF!</v>
      </c>
      <c r="F54" s="119" t="e">
        <f>IF(C54="Operacional",IFERROR(VLOOKUP(D54,ReceitaPorTipo,COLUMN('A1 - Serviços e demanda'!$Z$17),0),0),100%)</f>
        <v>#REF!</v>
      </c>
      <c r="G54" s="120" t="e">
        <f>E54*F54*'C2 - Funcionários #'!AG56*IF($C54="Operacional",IFERROR(VLOOKUP($D54,SN_UGC,28,0),0),1)</f>
        <v>#REF!</v>
      </c>
      <c r="H54" s="120" t="e">
        <f>$E54*'C2 - Funcionários #'!AH56*IF($C54="Operacional",IFERROR(VLOOKUP($D54,SN_UGC,28,0),0),1)</f>
        <v>#REF!</v>
      </c>
      <c r="I54" s="120" t="e">
        <f>$E54*'C2 - Funcionários #'!AI56*IF($C54="Operacional",IFERROR(VLOOKUP($D54,SN_UGC,28,0),0),1)</f>
        <v>#REF!</v>
      </c>
      <c r="J54" s="120" t="e">
        <f>$E54*'C2 - Funcionários #'!AJ56*IF($C54="Operacional",IFERROR(VLOOKUP($D54,SN_UGC,28,0),0),1)</f>
        <v>#REF!</v>
      </c>
      <c r="K54" s="120" t="e">
        <f>$E54*'C2 - Funcionários #'!AK56*IF($C54="Operacional",IFERROR(VLOOKUP($D54,SN_UGC,28,0),0),1)</f>
        <v>#REF!</v>
      </c>
      <c r="L54" s="120" t="e">
        <f>$E54*'C2 - Funcionários #'!AL56*IF($C54="Operacional",IFERROR(VLOOKUP($D54,SN_UGC,28,0),0),1)</f>
        <v>#REF!</v>
      </c>
      <c r="M54" s="120" t="e">
        <f>$E54*'C2 - Funcionários #'!AM56*IF($C54="Operacional",IFERROR(VLOOKUP($D54,SN_UGC,28,0),0),1)</f>
        <v>#REF!</v>
      </c>
      <c r="N54" s="120" t="e">
        <f>$E54*'C2 - Funcionários #'!AN56*IF($C54="Operacional",IFERROR(VLOOKUP($D54,SN_UGC,28,0),0),1)</f>
        <v>#REF!</v>
      </c>
      <c r="O54" s="120" t="e">
        <f>$E54*'C2 - Funcionários #'!AO56*IF($C54="Operacional",IFERROR(VLOOKUP($D54,SN_UGC,28,0),0),1)</f>
        <v>#REF!</v>
      </c>
      <c r="P54" s="120" t="e">
        <f>$E54*'C2 - Funcionários #'!AP56*IF($C54="Operacional",IFERROR(VLOOKUP($D54,SN_UGC,28,0),0),1)</f>
        <v>#REF!</v>
      </c>
      <c r="Q54" s="120" t="e">
        <f>$E54*'C2 - Funcionários #'!AQ56*IF($C54="Operacional",IFERROR(VLOOKUP($D54,SN_UGC,28,0),0),1)</f>
        <v>#REF!</v>
      </c>
      <c r="R54" s="120" t="e">
        <f>$E54*'C2 - Funcionários #'!AR56*IF($C54="Operacional",IFERROR(VLOOKUP($D54,SN_UGC,28,0),0),1)</f>
        <v>#REF!</v>
      </c>
      <c r="S54" s="120" t="e">
        <f>$E54*'C2 - Funcionários #'!AS56*IF($C54="Operacional",IFERROR(VLOOKUP($D54,SN_UGC,28,0),0),1)</f>
        <v>#REF!</v>
      </c>
      <c r="T54" s="120" t="e">
        <f>$E54*'C2 - Funcionários #'!AT56*IF($C54="Operacional",IFERROR(VLOOKUP($D54,SN_UGC,28,0),0),1)</f>
        <v>#REF!</v>
      </c>
      <c r="U54" s="120" t="e">
        <f>$E54*'C2 - Funcionários #'!AU56*IF($C54="Operacional",IFERROR(VLOOKUP($D54,SN_UGC,28,0),0),1)</f>
        <v>#REF!</v>
      </c>
      <c r="V54" s="120" t="e">
        <f>$E54*'C2 - Funcionários #'!AV56*IF($C54="Operacional",IFERROR(VLOOKUP($D54,SN_UGC,28,0),0),1)</f>
        <v>#REF!</v>
      </c>
      <c r="W54" s="120" t="e">
        <f>$E54*'C2 - Funcionários #'!AW56*IF($C54="Operacional",IFERROR(VLOOKUP($D54,SN_UGC,28,0),0),1)</f>
        <v>#REF!</v>
      </c>
      <c r="X54" s="120" t="e">
        <f>$E54*'C2 - Funcionários #'!AX56*IF($C54="Operacional",IFERROR(VLOOKUP($D54,SN_UGC,28,0),0),1)</f>
        <v>#REF!</v>
      </c>
      <c r="Y54" s="120" t="e">
        <f>$E54*'C2 - Funcionários #'!AY56*IF($C54="Operacional",IFERROR(VLOOKUP($D54,SN_UGC,28,0),0),1)</f>
        <v>#REF!</v>
      </c>
      <c r="Z54" s="120" t="e">
        <f>$E54*'C2 - Funcionários #'!AZ56*IF($C54="Operacional",IFERROR(VLOOKUP($D54,SN_UGC,28,0),0),1)</f>
        <v>#REF!</v>
      </c>
      <c r="AA54" s="120" t="e">
        <f>$E54*'C2 - Funcionários #'!BA56*IF($C54="Operacional",IFERROR(VLOOKUP($D54,SN_UGC,28,0),0),1)</f>
        <v>#REF!</v>
      </c>
      <c r="AB54" s="120" t="e">
        <f>$E54*'C2 - Funcionários #'!BB56*IF($C54="Operacional",IFERROR(VLOOKUP($D54,SN_UGC,28,0),0),1)</f>
        <v>#REF!</v>
      </c>
      <c r="AC54" s="120" t="e">
        <f>$E54*'C2 - Funcionários #'!BC56*IF($C54="Operacional",IFERROR(VLOOKUP($D54,SN_UGC,28,0),0),1)</f>
        <v>#REF!</v>
      </c>
      <c r="AD54" s="120" t="e">
        <f>$E54*'C2 - Funcionários #'!BD56*IF($C54="Operacional",IFERROR(VLOOKUP($D54,SN_UGC,28,0),0),1)</f>
        <v>#REF!</v>
      </c>
      <c r="AE54" s="120" t="e">
        <f>$E54*'C2 - Funcionários #'!BE56*IF($C54="Operacional",IFERROR(VLOOKUP($D54,SN_UGC,28,0),0),1)</f>
        <v>#REF!</v>
      </c>
      <c r="AF54" s="120" t="e">
        <f>$E54*'C2 - Funcionários #'!BF56*IF($C54="Operacional",IFERROR(VLOOKUP($D54,SN_UGC,28,0),0),1)</f>
        <v>#REF!</v>
      </c>
      <c r="AG54" s="120" t="e">
        <f>$E54*'C2 - Funcionários #'!BG56*IF($C54="Operacional",IFERROR(VLOOKUP($D54,SN_UGC,28,0),0),1)</f>
        <v>#REF!</v>
      </c>
      <c r="AH54" s="120" t="e">
        <f>$E54*'C2 - Funcionários #'!BH56*IF($C54="Operacional",IFERROR(VLOOKUP($D54,SN_UGC,28,0),0),1)</f>
        <v>#REF!</v>
      </c>
      <c r="AI54" s="120" t="e">
        <f>$E54*'C2 - Funcionários #'!BI56*IF($C54="Operacional",IFERROR(VLOOKUP($D54,SN_UGC,28,0),0),1)</f>
        <v>#REF!</v>
      </c>
      <c r="AJ54" s="120" t="e">
        <f>$E54*'C2 - Funcionários #'!BJ56*IF($C54="Operacional",IFERROR(VLOOKUP($D54,SN_UGC,28,0),0),1)</f>
        <v>#REF!</v>
      </c>
    </row>
    <row r="55" spans="1:36" ht="15.75" customHeight="1">
      <c r="A55" s="521"/>
      <c r="B55" s="51" t="e">
        <f>'C1 - Cargos e Salários'!#REF!</f>
        <v>#REF!</v>
      </c>
      <c r="C55" s="51" t="e">
        <f>'C1 - Cargos e Salários'!#REF!</f>
        <v>#REF!</v>
      </c>
      <c r="D55" s="51" t="e">
        <f>'C1 - Cargos e Salários'!#REF!</f>
        <v>#REF!</v>
      </c>
      <c r="E55" s="118" t="e">
        <f>'C1 - Cargos e Salários'!#REF!</f>
        <v>#REF!</v>
      </c>
      <c r="F55" s="119" t="e">
        <f>IF(C55="Operacional",IFERROR(VLOOKUP(D55,ReceitaPorTipo,COLUMN('A1 - Serviços e demanda'!$Z$17),0),0),100%)</f>
        <v>#REF!</v>
      </c>
      <c r="G55" s="120" t="e">
        <f>E55*F55*'C2 - Funcionários #'!AG57*IF($C55="Operacional",IFERROR(VLOOKUP($D55,SN_UGC,28,0),0),1)</f>
        <v>#REF!</v>
      </c>
      <c r="H55" s="120" t="e">
        <f>$E55*'C2 - Funcionários #'!AH57*IF($C55="Operacional",IFERROR(VLOOKUP($D55,SN_UGC,28,0),0),1)</f>
        <v>#REF!</v>
      </c>
      <c r="I55" s="120" t="e">
        <f>$E55*'C2 - Funcionários #'!AI57*IF($C55="Operacional",IFERROR(VLOOKUP($D55,SN_UGC,28,0),0),1)</f>
        <v>#REF!</v>
      </c>
      <c r="J55" s="120" t="e">
        <f>$E55*'C2 - Funcionários #'!AJ57*IF($C55="Operacional",IFERROR(VLOOKUP($D55,SN_UGC,28,0),0),1)</f>
        <v>#REF!</v>
      </c>
      <c r="K55" s="120" t="e">
        <f>$E55*'C2 - Funcionários #'!AK57*IF($C55="Operacional",IFERROR(VLOOKUP($D55,SN_UGC,28,0),0),1)</f>
        <v>#REF!</v>
      </c>
      <c r="L55" s="120" t="e">
        <f>$E55*'C2 - Funcionários #'!AL57*IF($C55="Operacional",IFERROR(VLOOKUP($D55,SN_UGC,28,0),0),1)</f>
        <v>#REF!</v>
      </c>
      <c r="M55" s="120" t="e">
        <f>$E55*'C2 - Funcionários #'!AM57*IF($C55="Operacional",IFERROR(VLOOKUP($D55,SN_UGC,28,0),0),1)</f>
        <v>#REF!</v>
      </c>
      <c r="N55" s="120" t="e">
        <f>$E55*'C2 - Funcionários #'!AN57*IF($C55="Operacional",IFERROR(VLOOKUP($D55,SN_UGC,28,0),0),1)</f>
        <v>#REF!</v>
      </c>
      <c r="O55" s="120" t="e">
        <f>$E55*'C2 - Funcionários #'!AO57*IF($C55="Operacional",IFERROR(VLOOKUP($D55,SN_UGC,28,0),0),1)</f>
        <v>#REF!</v>
      </c>
      <c r="P55" s="120" t="e">
        <f>$E55*'C2 - Funcionários #'!AP57*IF($C55="Operacional",IFERROR(VLOOKUP($D55,SN_UGC,28,0),0),1)</f>
        <v>#REF!</v>
      </c>
      <c r="Q55" s="120" t="e">
        <f>$E55*'C2 - Funcionários #'!AQ57*IF($C55="Operacional",IFERROR(VLOOKUP($D55,SN_UGC,28,0),0),1)</f>
        <v>#REF!</v>
      </c>
      <c r="R55" s="120" t="e">
        <f>$E55*'C2 - Funcionários #'!AR57*IF($C55="Operacional",IFERROR(VLOOKUP($D55,SN_UGC,28,0),0),1)</f>
        <v>#REF!</v>
      </c>
      <c r="S55" s="120" t="e">
        <f>$E55*'C2 - Funcionários #'!AS57*IF($C55="Operacional",IFERROR(VLOOKUP($D55,SN_UGC,28,0),0),1)</f>
        <v>#REF!</v>
      </c>
      <c r="T55" s="120" t="e">
        <f>$E55*'C2 - Funcionários #'!AT57*IF($C55="Operacional",IFERROR(VLOOKUP($D55,SN_UGC,28,0),0),1)</f>
        <v>#REF!</v>
      </c>
      <c r="U55" s="120" t="e">
        <f>$E55*'C2 - Funcionários #'!AU57*IF($C55="Operacional",IFERROR(VLOOKUP($D55,SN_UGC,28,0),0),1)</f>
        <v>#REF!</v>
      </c>
      <c r="V55" s="120" t="e">
        <f>$E55*'C2 - Funcionários #'!AV57*IF($C55="Operacional",IFERROR(VLOOKUP($D55,SN_UGC,28,0),0),1)</f>
        <v>#REF!</v>
      </c>
      <c r="W55" s="120" t="e">
        <f>$E55*'C2 - Funcionários #'!AW57*IF($C55="Operacional",IFERROR(VLOOKUP($D55,SN_UGC,28,0),0),1)</f>
        <v>#REF!</v>
      </c>
      <c r="X55" s="120" t="e">
        <f>$E55*'C2 - Funcionários #'!AX57*IF($C55="Operacional",IFERROR(VLOOKUP($D55,SN_UGC,28,0),0),1)</f>
        <v>#REF!</v>
      </c>
      <c r="Y55" s="120" t="e">
        <f>$E55*'C2 - Funcionários #'!AY57*IF($C55="Operacional",IFERROR(VLOOKUP($D55,SN_UGC,28,0),0),1)</f>
        <v>#REF!</v>
      </c>
      <c r="Z55" s="120" t="e">
        <f>$E55*'C2 - Funcionários #'!AZ57*IF($C55="Operacional",IFERROR(VLOOKUP($D55,SN_UGC,28,0),0),1)</f>
        <v>#REF!</v>
      </c>
      <c r="AA55" s="120" t="e">
        <f>$E55*'C2 - Funcionários #'!BA57*IF($C55="Operacional",IFERROR(VLOOKUP($D55,SN_UGC,28,0),0),1)</f>
        <v>#REF!</v>
      </c>
      <c r="AB55" s="120" t="e">
        <f>$E55*'C2 - Funcionários #'!BB57*IF($C55="Operacional",IFERROR(VLOOKUP($D55,SN_UGC,28,0),0),1)</f>
        <v>#REF!</v>
      </c>
      <c r="AC55" s="120" t="e">
        <f>$E55*'C2 - Funcionários #'!BC57*IF($C55="Operacional",IFERROR(VLOOKUP($D55,SN_UGC,28,0),0),1)</f>
        <v>#REF!</v>
      </c>
      <c r="AD55" s="120" t="e">
        <f>$E55*'C2 - Funcionários #'!BD57*IF($C55="Operacional",IFERROR(VLOOKUP($D55,SN_UGC,28,0),0),1)</f>
        <v>#REF!</v>
      </c>
      <c r="AE55" s="120" t="e">
        <f>$E55*'C2 - Funcionários #'!BE57*IF($C55="Operacional",IFERROR(VLOOKUP($D55,SN_UGC,28,0),0),1)</f>
        <v>#REF!</v>
      </c>
      <c r="AF55" s="120" t="e">
        <f>$E55*'C2 - Funcionários #'!BF57*IF($C55="Operacional",IFERROR(VLOOKUP($D55,SN_UGC,28,0),0),1)</f>
        <v>#REF!</v>
      </c>
      <c r="AG55" s="120" t="e">
        <f>$E55*'C2 - Funcionários #'!BG57*IF($C55="Operacional",IFERROR(VLOOKUP($D55,SN_UGC,28,0),0),1)</f>
        <v>#REF!</v>
      </c>
      <c r="AH55" s="120" t="e">
        <f>$E55*'C2 - Funcionários #'!BH57*IF($C55="Operacional",IFERROR(VLOOKUP($D55,SN_UGC,28,0),0),1)</f>
        <v>#REF!</v>
      </c>
      <c r="AI55" s="120" t="e">
        <f>$E55*'C2 - Funcionários #'!BI57*IF($C55="Operacional",IFERROR(VLOOKUP($D55,SN_UGC,28,0),0),1)</f>
        <v>#REF!</v>
      </c>
      <c r="AJ55" s="120" t="e">
        <f>$E55*'C2 - Funcionários #'!BJ57*IF($C55="Operacional",IFERROR(VLOOKUP($D55,SN_UGC,28,0),0),1)</f>
        <v>#REF!</v>
      </c>
    </row>
    <row r="56" spans="1:36" ht="15.75" customHeight="1">
      <c r="A56" s="521"/>
      <c r="B56" s="51" t="e">
        <f>'C1 - Cargos e Salários'!#REF!</f>
        <v>#REF!</v>
      </c>
      <c r="C56" s="51" t="e">
        <f>'C1 - Cargos e Salários'!#REF!</f>
        <v>#REF!</v>
      </c>
      <c r="D56" s="51" t="e">
        <f>'C1 - Cargos e Salários'!#REF!</f>
        <v>#REF!</v>
      </c>
      <c r="E56" s="118" t="e">
        <f>'C1 - Cargos e Salários'!#REF!</f>
        <v>#REF!</v>
      </c>
      <c r="F56" s="119" t="e">
        <f>IF(C56="Operacional",IFERROR(VLOOKUP(D56,ReceitaPorTipo,COLUMN('A1 - Serviços e demanda'!$Z$17),0),0),100%)</f>
        <v>#REF!</v>
      </c>
      <c r="G56" s="120" t="e">
        <f>E56*F56*'C2 - Funcionários #'!AG58*IF($C56="Operacional",IFERROR(VLOOKUP($D56,SN_UGC,28,0),0),1)</f>
        <v>#REF!</v>
      </c>
      <c r="H56" s="120" t="e">
        <f>$E56*'C2 - Funcionários #'!AH58*IF($C56="Operacional",IFERROR(VLOOKUP($D56,SN_UGC,28,0),0),1)</f>
        <v>#REF!</v>
      </c>
      <c r="I56" s="120" t="e">
        <f>$E56*'C2 - Funcionários #'!AI58*IF($C56="Operacional",IFERROR(VLOOKUP($D56,SN_UGC,28,0),0),1)</f>
        <v>#REF!</v>
      </c>
      <c r="J56" s="120" t="e">
        <f>$E56*'C2 - Funcionários #'!AJ58*IF($C56="Operacional",IFERROR(VLOOKUP($D56,SN_UGC,28,0),0),1)</f>
        <v>#REF!</v>
      </c>
      <c r="K56" s="120" t="e">
        <f>$E56*'C2 - Funcionários #'!AK58*IF($C56="Operacional",IFERROR(VLOOKUP($D56,SN_UGC,28,0),0),1)</f>
        <v>#REF!</v>
      </c>
      <c r="L56" s="120" t="e">
        <f>$E56*'C2 - Funcionários #'!AL58*IF($C56="Operacional",IFERROR(VLOOKUP($D56,SN_UGC,28,0),0),1)</f>
        <v>#REF!</v>
      </c>
      <c r="M56" s="120" t="e">
        <f>$E56*'C2 - Funcionários #'!AM58*IF($C56="Operacional",IFERROR(VLOOKUP($D56,SN_UGC,28,0),0),1)</f>
        <v>#REF!</v>
      </c>
      <c r="N56" s="120" t="e">
        <f>$E56*'C2 - Funcionários #'!AN58*IF($C56="Operacional",IFERROR(VLOOKUP($D56,SN_UGC,28,0),0),1)</f>
        <v>#REF!</v>
      </c>
      <c r="O56" s="120" t="e">
        <f>$E56*'C2 - Funcionários #'!AO58*IF($C56="Operacional",IFERROR(VLOOKUP($D56,SN_UGC,28,0),0),1)</f>
        <v>#REF!</v>
      </c>
      <c r="P56" s="120" t="e">
        <f>$E56*'C2 - Funcionários #'!AP58*IF($C56="Operacional",IFERROR(VLOOKUP($D56,SN_UGC,28,0),0),1)</f>
        <v>#REF!</v>
      </c>
      <c r="Q56" s="120" t="e">
        <f>$E56*'C2 - Funcionários #'!AQ58*IF($C56="Operacional",IFERROR(VLOOKUP($D56,SN_UGC,28,0),0),1)</f>
        <v>#REF!</v>
      </c>
      <c r="R56" s="120" t="e">
        <f>$E56*'C2 - Funcionários #'!AR58*IF($C56="Operacional",IFERROR(VLOOKUP($D56,SN_UGC,28,0),0),1)</f>
        <v>#REF!</v>
      </c>
      <c r="S56" s="120" t="e">
        <f>$E56*'C2 - Funcionários #'!AS58*IF($C56="Operacional",IFERROR(VLOOKUP($D56,SN_UGC,28,0),0),1)</f>
        <v>#REF!</v>
      </c>
      <c r="T56" s="120" t="e">
        <f>$E56*'C2 - Funcionários #'!AT58*IF($C56="Operacional",IFERROR(VLOOKUP($D56,SN_UGC,28,0),0),1)</f>
        <v>#REF!</v>
      </c>
      <c r="U56" s="120" t="e">
        <f>$E56*'C2 - Funcionários #'!AU58*IF($C56="Operacional",IFERROR(VLOOKUP($D56,SN_UGC,28,0),0),1)</f>
        <v>#REF!</v>
      </c>
      <c r="V56" s="120" t="e">
        <f>$E56*'C2 - Funcionários #'!AV58*IF($C56="Operacional",IFERROR(VLOOKUP($D56,SN_UGC,28,0),0),1)</f>
        <v>#REF!</v>
      </c>
      <c r="W56" s="120" t="e">
        <f>$E56*'C2 - Funcionários #'!AW58*IF($C56="Operacional",IFERROR(VLOOKUP($D56,SN_UGC,28,0),0),1)</f>
        <v>#REF!</v>
      </c>
      <c r="X56" s="120" t="e">
        <f>$E56*'C2 - Funcionários #'!AX58*IF($C56="Operacional",IFERROR(VLOOKUP($D56,SN_UGC,28,0),0),1)</f>
        <v>#REF!</v>
      </c>
      <c r="Y56" s="120" t="e">
        <f>$E56*'C2 - Funcionários #'!AY58*IF($C56="Operacional",IFERROR(VLOOKUP($D56,SN_UGC,28,0),0),1)</f>
        <v>#REF!</v>
      </c>
      <c r="Z56" s="120" t="e">
        <f>$E56*'C2 - Funcionários #'!AZ58*IF($C56="Operacional",IFERROR(VLOOKUP($D56,SN_UGC,28,0),0),1)</f>
        <v>#REF!</v>
      </c>
      <c r="AA56" s="120" t="e">
        <f>$E56*'C2 - Funcionários #'!BA58*IF($C56="Operacional",IFERROR(VLOOKUP($D56,SN_UGC,28,0),0),1)</f>
        <v>#REF!</v>
      </c>
      <c r="AB56" s="120" t="e">
        <f>$E56*'C2 - Funcionários #'!BB58*IF($C56="Operacional",IFERROR(VLOOKUP($D56,SN_UGC,28,0),0),1)</f>
        <v>#REF!</v>
      </c>
      <c r="AC56" s="120" t="e">
        <f>$E56*'C2 - Funcionários #'!BC58*IF($C56="Operacional",IFERROR(VLOOKUP($D56,SN_UGC,28,0),0),1)</f>
        <v>#REF!</v>
      </c>
      <c r="AD56" s="120" t="e">
        <f>$E56*'C2 - Funcionários #'!BD58*IF($C56="Operacional",IFERROR(VLOOKUP($D56,SN_UGC,28,0),0),1)</f>
        <v>#REF!</v>
      </c>
      <c r="AE56" s="120" t="e">
        <f>$E56*'C2 - Funcionários #'!BE58*IF($C56="Operacional",IFERROR(VLOOKUP($D56,SN_UGC,28,0),0),1)</f>
        <v>#REF!</v>
      </c>
      <c r="AF56" s="120" t="e">
        <f>$E56*'C2 - Funcionários #'!BF58*IF($C56="Operacional",IFERROR(VLOOKUP($D56,SN_UGC,28,0),0),1)</f>
        <v>#REF!</v>
      </c>
      <c r="AG56" s="120" t="e">
        <f>$E56*'C2 - Funcionários #'!BG58*IF($C56="Operacional",IFERROR(VLOOKUP($D56,SN_UGC,28,0),0),1)</f>
        <v>#REF!</v>
      </c>
      <c r="AH56" s="120" t="e">
        <f>$E56*'C2 - Funcionários #'!BH58*IF($C56="Operacional",IFERROR(VLOOKUP($D56,SN_UGC,28,0),0),1)</f>
        <v>#REF!</v>
      </c>
      <c r="AI56" s="120" t="e">
        <f>$E56*'C2 - Funcionários #'!BI58*IF($C56="Operacional",IFERROR(VLOOKUP($D56,SN_UGC,28,0),0),1)</f>
        <v>#REF!</v>
      </c>
      <c r="AJ56" s="120" t="e">
        <f>$E56*'C2 - Funcionários #'!BJ58*IF($C56="Operacional",IFERROR(VLOOKUP($D56,SN_UGC,28,0),0),1)</f>
        <v>#REF!</v>
      </c>
    </row>
    <row r="57" spans="1:36" ht="15.75" customHeight="1">
      <c r="A57" s="521"/>
      <c r="B57" s="51" t="str">
        <f>'C1 - Cargos e Salários'!B41</f>
        <v>Assistente administrativo</v>
      </c>
      <c r="C57" s="51" t="str">
        <f>'C1 - Cargos e Salários'!C41</f>
        <v>Encargo</v>
      </c>
      <c r="D57" s="51" t="str">
        <f>'C1 - Cargos e Salários'!D41</f>
        <v>Administrativo</v>
      </c>
      <c r="E57" s="118">
        <f>'C1 - Cargos e Salários'!K41</f>
        <v>47638.484599479998</v>
      </c>
      <c r="F57" s="119">
        <f>IF(C57="Operacional",IFERROR(VLOOKUP(D57,ReceitaPorTipo,COLUMN('A1 - Serviços e demanda'!$Z$17),0),0),100%)</f>
        <v>1</v>
      </c>
      <c r="G57" s="120">
        <f>E57*F57*'C2 - Funcionários #'!AG59*IF($C57="Operacional",IFERROR(VLOOKUP($D57,SN_UGC,28,0),0),1)</f>
        <v>476384.84599479998</v>
      </c>
      <c r="H57" s="120">
        <f>$E57*'C2 - Funcionários #'!AH59*IF($C57="Operacional",IFERROR(VLOOKUP($D57,SN_UGC,28,0),0),1)</f>
        <v>476384.84599479998</v>
      </c>
      <c r="I57" s="120">
        <f>$E57*'C2 - Funcionários #'!AI59*IF($C57="Operacional",IFERROR(VLOOKUP($D57,SN_UGC,28,0),0),1)</f>
        <v>476384.84599479998</v>
      </c>
      <c r="J57" s="120">
        <f>$E57*'C2 - Funcionários #'!AJ59*IF($C57="Operacional",IFERROR(VLOOKUP($D57,SN_UGC,28,0),0),1)</f>
        <v>476384.84599479998</v>
      </c>
      <c r="K57" s="120">
        <f>$E57*'C2 - Funcionários #'!AK59*IF($C57="Operacional",IFERROR(VLOOKUP($D57,SN_UGC,28,0),0),1)</f>
        <v>476384.84599479998</v>
      </c>
      <c r="L57" s="120">
        <f>$E57*'C2 - Funcionários #'!AL59*IF($C57="Operacional",IFERROR(VLOOKUP($D57,SN_UGC,28,0),0),1)</f>
        <v>476384.84599479998</v>
      </c>
      <c r="M57" s="120">
        <f>$E57*'C2 - Funcionários #'!AM59*IF($C57="Operacional",IFERROR(VLOOKUP($D57,SN_UGC,28,0),0),1)</f>
        <v>476384.84599479998</v>
      </c>
      <c r="N57" s="120">
        <f>$E57*'C2 - Funcionários #'!AN59*IF($C57="Operacional",IFERROR(VLOOKUP($D57,SN_UGC,28,0),0),1)</f>
        <v>476384.84599479998</v>
      </c>
      <c r="O57" s="120">
        <f>$E57*'C2 - Funcionários #'!AO59*IF($C57="Operacional",IFERROR(VLOOKUP($D57,SN_UGC,28,0),0),1)</f>
        <v>476384.84599479998</v>
      </c>
      <c r="P57" s="120">
        <f>$E57*'C2 - Funcionários #'!AP59*IF($C57="Operacional",IFERROR(VLOOKUP($D57,SN_UGC,28,0),0),1)</f>
        <v>476384.84599479998</v>
      </c>
      <c r="Q57" s="120">
        <f>$E57*'C2 - Funcionários #'!AQ59*IF($C57="Operacional",IFERROR(VLOOKUP($D57,SN_UGC,28,0),0),1)</f>
        <v>476384.84599479998</v>
      </c>
      <c r="R57" s="120">
        <f>$E57*'C2 - Funcionários #'!AR59*IF($C57="Operacional",IFERROR(VLOOKUP($D57,SN_UGC,28,0),0),1)</f>
        <v>476384.84599479998</v>
      </c>
      <c r="S57" s="120">
        <f>$E57*'C2 - Funcionários #'!AS59*IF($C57="Operacional",IFERROR(VLOOKUP($D57,SN_UGC,28,0),0),1)</f>
        <v>476384.84599479998</v>
      </c>
      <c r="T57" s="120">
        <f>$E57*'C2 - Funcionários #'!AT59*IF($C57="Operacional",IFERROR(VLOOKUP($D57,SN_UGC,28,0),0),1)</f>
        <v>476384.84599479998</v>
      </c>
      <c r="U57" s="120">
        <f>$E57*'C2 - Funcionários #'!AU59*IF($C57="Operacional",IFERROR(VLOOKUP($D57,SN_UGC,28,0),0),1)</f>
        <v>476384.84599479998</v>
      </c>
      <c r="V57" s="120">
        <f>$E57*'C2 - Funcionários #'!AV59*IF($C57="Operacional",IFERROR(VLOOKUP($D57,SN_UGC,28,0),0),1)</f>
        <v>476384.84599479998</v>
      </c>
      <c r="W57" s="120">
        <f>$E57*'C2 - Funcionários #'!AW59*IF($C57="Operacional",IFERROR(VLOOKUP($D57,SN_UGC,28,0),0),1)</f>
        <v>476384.84599479998</v>
      </c>
      <c r="X57" s="120">
        <f>$E57*'C2 - Funcionários #'!AX59*IF($C57="Operacional",IFERROR(VLOOKUP($D57,SN_UGC,28,0),0),1)</f>
        <v>476384.84599479998</v>
      </c>
      <c r="Y57" s="120">
        <f>$E57*'C2 - Funcionários #'!AY59*IF($C57="Operacional",IFERROR(VLOOKUP($D57,SN_UGC,28,0),0),1)</f>
        <v>476384.84599479998</v>
      </c>
      <c r="Z57" s="120">
        <f>$E57*'C2 - Funcionários #'!AZ59*IF($C57="Operacional",IFERROR(VLOOKUP($D57,SN_UGC,28,0),0),1)</f>
        <v>476384.84599479998</v>
      </c>
      <c r="AA57" s="120">
        <f>$E57*'C2 - Funcionários #'!BA59*IF($C57="Operacional",IFERROR(VLOOKUP($D57,SN_UGC,28,0),0),1)</f>
        <v>476384.84599479998</v>
      </c>
      <c r="AB57" s="120">
        <f>$E57*'C2 - Funcionários #'!BB59*IF($C57="Operacional",IFERROR(VLOOKUP($D57,SN_UGC,28,0),0),1)</f>
        <v>476384.84599479998</v>
      </c>
      <c r="AC57" s="120">
        <f>$E57*'C2 - Funcionários #'!BC59*IF($C57="Operacional",IFERROR(VLOOKUP($D57,SN_UGC,28,0),0),1)</f>
        <v>476384.84599479998</v>
      </c>
      <c r="AD57" s="120">
        <f>$E57*'C2 - Funcionários #'!BD59*IF($C57="Operacional",IFERROR(VLOOKUP($D57,SN_UGC,28,0),0),1)</f>
        <v>476384.84599479998</v>
      </c>
      <c r="AE57" s="120">
        <f>$E57*'C2 - Funcionários #'!BE59*IF($C57="Operacional",IFERROR(VLOOKUP($D57,SN_UGC,28,0),0),1)</f>
        <v>476384.84599479998</v>
      </c>
      <c r="AF57" s="120">
        <f>$E57*'C2 - Funcionários #'!BF59*IF($C57="Operacional",IFERROR(VLOOKUP($D57,SN_UGC,28,0),0),1)</f>
        <v>476384.84599479998</v>
      </c>
      <c r="AG57" s="120">
        <f>$E57*'C2 - Funcionários #'!BG59*IF($C57="Operacional",IFERROR(VLOOKUP($D57,SN_UGC,28,0),0),1)</f>
        <v>476384.84599479998</v>
      </c>
      <c r="AH57" s="120">
        <f>$E57*'C2 - Funcionários #'!BH59*IF($C57="Operacional",IFERROR(VLOOKUP($D57,SN_UGC,28,0),0),1)</f>
        <v>476384.84599479998</v>
      </c>
      <c r="AI57" s="120">
        <f>$E57*'C2 - Funcionários #'!BI59*IF($C57="Operacional",IFERROR(VLOOKUP($D57,SN_UGC,28,0),0),1)</f>
        <v>476384.84599479998</v>
      </c>
      <c r="AJ57" s="120">
        <f>$E57*'C2 - Funcionários #'!BJ59*IF($C57="Operacional",IFERROR(VLOOKUP($D57,SN_UGC,28,0),0),1)</f>
        <v>476384.84599479998</v>
      </c>
    </row>
    <row r="58" spans="1:36" ht="15.75" customHeight="1">
      <c r="A58" s="521"/>
      <c r="B58" s="51" t="str">
        <f>'C1 - Cargos e Salários'!B42</f>
        <v>Gerente de Recursos Humanos</v>
      </c>
      <c r="C58" s="51" t="str">
        <f>'C1 - Cargos e Salários'!C42</f>
        <v>Encargo</v>
      </c>
      <c r="D58" s="51" t="str">
        <f>'C1 - Cargos e Salários'!D42</f>
        <v>Administrativo</v>
      </c>
      <c r="E58" s="118">
        <f>'C1 - Cargos e Salários'!K42</f>
        <v>102534.57658476001</v>
      </c>
      <c r="F58" s="119">
        <f>IF(C58="Operacional",IFERROR(VLOOKUP(D58,ReceitaPorTipo,COLUMN('A1 - Serviços e demanda'!$Z$17),0),0),100%)</f>
        <v>1</v>
      </c>
      <c r="G58" s="120">
        <f>E58*F58*'C2 - Funcionários #'!AG60*IF($C58="Operacional",IFERROR(VLOOKUP($D58,SN_UGC,28,0),0),1)</f>
        <v>102534.57658476001</v>
      </c>
      <c r="H58" s="120">
        <f>$E58*'C2 - Funcionários #'!AH60*IF($C58="Operacional",IFERROR(VLOOKUP($D58,SN_UGC,28,0),0),1)</f>
        <v>102534.57658476001</v>
      </c>
      <c r="I58" s="120">
        <f>$E58*'C2 - Funcionários #'!AI60*IF($C58="Operacional",IFERROR(VLOOKUP($D58,SN_UGC,28,0),0),1)</f>
        <v>102534.57658476001</v>
      </c>
      <c r="J58" s="120">
        <f>$E58*'C2 - Funcionários #'!AJ60*IF($C58="Operacional",IFERROR(VLOOKUP($D58,SN_UGC,28,0),0),1)</f>
        <v>102534.57658476001</v>
      </c>
      <c r="K58" s="120">
        <f>$E58*'C2 - Funcionários #'!AK60*IF($C58="Operacional",IFERROR(VLOOKUP($D58,SN_UGC,28,0),0),1)</f>
        <v>102534.57658476001</v>
      </c>
      <c r="L58" s="120">
        <f>$E58*'C2 - Funcionários #'!AL60*IF($C58="Operacional",IFERROR(VLOOKUP($D58,SN_UGC,28,0),0),1)</f>
        <v>102534.57658476001</v>
      </c>
      <c r="M58" s="120">
        <f>$E58*'C2 - Funcionários #'!AM60*IF($C58="Operacional",IFERROR(VLOOKUP($D58,SN_UGC,28,0),0),1)</f>
        <v>102534.57658476001</v>
      </c>
      <c r="N58" s="120">
        <f>$E58*'C2 - Funcionários #'!AN60*IF($C58="Operacional",IFERROR(VLOOKUP($D58,SN_UGC,28,0),0),1)</f>
        <v>102534.57658476001</v>
      </c>
      <c r="O58" s="120">
        <f>$E58*'C2 - Funcionários #'!AO60*IF($C58="Operacional",IFERROR(VLOOKUP($D58,SN_UGC,28,0),0),1)</f>
        <v>102534.57658476001</v>
      </c>
      <c r="P58" s="120">
        <f>$E58*'C2 - Funcionários #'!AP60*IF($C58="Operacional",IFERROR(VLOOKUP($D58,SN_UGC,28,0),0),1)</f>
        <v>102534.57658476001</v>
      </c>
      <c r="Q58" s="120">
        <f>$E58*'C2 - Funcionários #'!AQ60*IF($C58="Operacional",IFERROR(VLOOKUP($D58,SN_UGC,28,0),0),1)</f>
        <v>102534.57658476001</v>
      </c>
      <c r="R58" s="120">
        <f>$E58*'C2 - Funcionários #'!AR60*IF($C58="Operacional",IFERROR(VLOOKUP($D58,SN_UGC,28,0),0),1)</f>
        <v>102534.57658476001</v>
      </c>
      <c r="S58" s="120">
        <f>$E58*'C2 - Funcionários #'!AS60*IF($C58="Operacional",IFERROR(VLOOKUP($D58,SN_UGC,28,0),0),1)</f>
        <v>102534.57658476001</v>
      </c>
      <c r="T58" s="120">
        <f>$E58*'C2 - Funcionários #'!AT60*IF($C58="Operacional",IFERROR(VLOOKUP($D58,SN_UGC,28,0),0),1)</f>
        <v>102534.57658476001</v>
      </c>
      <c r="U58" s="120">
        <f>$E58*'C2 - Funcionários #'!AU60*IF($C58="Operacional",IFERROR(VLOOKUP($D58,SN_UGC,28,0),0),1)</f>
        <v>102534.57658476001</v>
      </c>
      <c r="V58" s="120">
        <f>$E58*'C2 - Funcionários #'!AV60*IF($C58="Operacional",IFERROR(VLOOKUP($D58,SN_UGC,28,0),0),1)</f>
        <v>102534.57658476001</v>
      </c>
      <c r="W58" s="120">
        <f>$E58*'C2 - Funcionários #'!AW60*IF($C58="Operacional",IFERROR(VLOOKUP($D58,SN_UGC,28,0),0),1)</f>
        <v>102534.57658476001</v>
      </c>
      <c r="X58" s="120">
        <f>$E58*'C2 - Funcionários #'!AX60*IF($C58="Operacional",IFERROR(VLOOKUP($D58,SN_UGC,28,0),0),1)</f>
        <v>102534.57658476001</v>
      </c>
      <c r="Y58" s="120">
        <f>$E58*'C2 - Funcionários #'!AY60*IF($C58="Operacional",IFERROR(VLOOKUP($D58,SN_UGC,28,0),0),1)</f>
        <v>102534.57658476001</v>
      </c>
      <c r="Z58" s="120">
        <f>$E58*'C2 - Funcionários #'!AZ60*IF($C58="Operacional",IFERROR(VLOOKUP($D58,SN_UGC,28,0),0),1)</f>
        <v>102534.57658476001</v>
      </c>
      <c r="AA58" s="120">
        <f>$E58*'C2 - Funcionários #'!BA60*IF($C58="Operacional",IFERROR(VLOOKUP($D58,SN_UGC,28,0),0),1)</f>
        <v>102534.57658476001</v>
      </c>
      <c r="AB58" s="120">
        <f>$E58*'C2 - Funcionários #'!BB60*IF($C58="Operacional",IFERROR(VLOOKUP($D58,SN_UGC,28,0),0),1)</f>
        <v>102534.57658476001</v>
      </c>
      <c r="AC58" s="120">
        <f>$E58*'C2 - Funcionários #'!BC60*IF($C58="Operacional",IFERROR(VLOOKUP($D58,SN_UGC,28,0),0),1)</f>
        <v>102534.57658476001</v>
      </c>
      <c r="AD58" s="120">
        <f>$E58*'C2 - Funcionários #'!BD60*IF($C58="Operacional",IFERROR(VLOOKUP($D58,SN_UGC,28,0),0),1)</f>
        <v>102534.57658476001</v>
      </c>
      <c r="AE58" s="120">
        <f>$E58*'C2 - Funcionários #'!BE60*IF($C58="Operacional",IFERROR(VLOOKUP($D58,SN_UGC,28,0),0),1)</f>
        <v>102534.57658476001</v>
      </c>
      <c r="AF58" s="120">
        <f>$E58*'C2 - Funcionários #'!BF60*IF($C58="Operacional",IFERROR(VLOOKUP($D58,SN_UGC,28,0),0),1)</f>
        <v>102534.57658476001</v>
      </c>
      <c r="AG58" s="120">
        <f>$E58*'C2 - Funcionários #'!BG60*IF($C58="Operacional",IFERROR(VLOOKUP($D58,SN_UGC,28,0),0),1)</f>
        <v>102534.57658476001</v>
      </c>
      <c r="AH58" s="120">
        <f>$E58*'C2 - Funcionários #'!BH60*IF($C58="Operacional",IFERROR(VLOOKUP($D58,SN_UGC,28,0),0),1)</f>
        <v>102534.57658476001</v>
      </c>
      <c r="AI58" s="120">
        <f>$E58*'C2 - Funcionários #'!BI60*IF($C58="Operacional",IFERROR(VLOOKUP($D58,SN_UGC,28,0),0),1)</f>
        <v>102534.57658476001</v>
      </c>
      <c r="AJ58" s="120">
        <f>$E58*'C2 - Funcionários #'!BJ60*IF($C58="Operacional",IFERROR(VLOOKUP($D58,SN_UGC,28,0),0),1)</f>
        <v>102534.57658476001</v>
      </c>
    </row>
    <row r="59" spans="1:36" ht="15.75" customHeight="1">
      <c r="A59" s="521"/>
      <c r="B59" s="51" t="str">
        <f>'C1 - Cargos e Salários'!B43</f>
        <v>Gerente geral</v>
      </c>
      <c r="C59" s="51" t="str">
        <f>'C1 - Cargos e Salários'!C43</f>
        <v>Encargo</v>
      </c>
      <c r="D59" s="51" t="str">
        <f>'C1 - Cargos e Salários'!D43</f>
        <v>Administrativo</v>
      </c>
      <c r="E59" s="118">
        <f>'C1 - Cargos e Salários'!K43</f>
        <v>462219.03705100005</v>
      </c>
      <c r="F59" s="119">
        <f>IF(C59="Operacional",IFERROR(VLOOKUP(D59,ReceitaPorTipo,COLUMN('A1 - Serviços e demanda'!$Z$17),0),0),100%)</f>
        <v>1</v>
      </c>
      <c r="G59" s="120">
        <f>E59*F59*'C2 - Funcionários #'!AG61*IF($C59="Operacional",IFERROR(VLOOKUP($D59,SN_UGC,28,0),0),1)</f>
        <v>462219.03705100005</v>
      </c>
      <c r="H59" s="120">
        <f>$E59*'C2 - Funcionários #'!AH61*IF($C59="Operacional",IFERROR(VLOOKUP($D59,SN_UGC,28,0),0),1)</f>
        <v>462219.03705100005</v>
      </c>
      <c r="I59" s="120">
        <f>$E59*'C2 - Funcionários #'!AI61*IF($C59="Operacional",IFERROR(VLOOKUP($D59,SN_UGC,28,0),0),1)</f>
        <v>462219.03705100005</v>
      </c>
      <c r="J59" s="120">
        <f>$E59*'C2 - Funcionários #'!AJ61*IF($C59="Operacional",IFERROR(VLOOKUP($D59,SN_UGC,28,0),0),1)</f>
        <v>462219.03705100005</v>
      </c>
      <c r="K59" s="120">
        <f>$E59*'C2 - Funcionários #'!AK61*IF($C59="Operacional",IFERROR(VLOOKUP($D59,SN_UGC,28,0),0),1)</f>
        <v>462219.03705100005</v>
      </c>
      <c r="L59" s="120">
        <f>$E59*'C2 - Funcionários #'!AL61*IF($C59="Operacional",IFERROR(VLOOKUP($D59,SN_UGC,28,0),0),1)</f>
        <v>462219.03705100005</v>
      </c>
      <c r="M59" s="120">
        <f>$E59*'C2 - Funcionários #'!AM61*IF($C59="Operacional",IFERROR(VLOOKUP($D59,SN_UGC,28,0),0),1)</f>
        <v>462219.03705100005</v>
      </c>
      <c r="N59" s="120">
        <f>$E59*'C2 - Funcionários #'!AN61*IF($C59="Operacional",IFERROR(VLOOKUP($D59,SN_UGC,28,0),0),1)</f>
        <v>462219.03705100005</v>
      </c>
      <c r="O59" s="120">
        <f>$E59*'C2 - Funcionários #'!AO61*IF($C59="Operacional",IFERROR(VLOOKUP($D59,SN_UGC,28,0),0),1)</f>
        <v>462219.03705100005</v>
      </c>
      <c r="P59" s="120">
        <f>$E59*'C2 - Funcionários #'!AP61*IF($C59="Operacional",IFERROR(VLOOKUP($D59,SN_UGC,28,0),0),1)</f>
        <v>462219.03705100005</v>
      </c>
      <c r="Q59" s="120">
        <f>$E59*'C2 - Funcionários #'!AQ61*IF($C59="Operacional",IFERROR(VLOOKUP($D59,SN_UGC,28,0),0),1)</f>
        <v>462219.03705100005</v>
      </c>
      <c r="R59" s="120">
        <f>$E59*'C2 - Funcionários #'!AR61*IF($C59="Operacional",IFERROR(VLOOKUP($D59,SN_UGC,28,0),0),1)</f>
        <v>462219.03705100005</v>
      </c>
      <c r="S59" s="120">
        <f>$E59*'C2 - Funcionários #'!AS61*IF($C59="Operacional",IFERROR(VLOOKUP($D59,SN_UGC,28,0),0),1)</f>
        <v>462219.03705100005</v>
      </c>
      <c r="T59" s="120">
        <f>$E59*'C2 - Funcionários #'!AT61*IF($C59="Operacional",IFERROR(VLOOKUP($D59,SN_UGC,28,0),0),1)</f>
        <v>462219.03705100005</v>
      </c>
      <c r="U59" s="120">
        <f>$E59*'C2 - Funcionários #'!AU61*IF($C59="Operacional",IFERROR(VLOOKUP($D59,SN_UGC,28,0),0),1)</f>
        <v>462219.03705100005</v>
      </c>
      <c r="V59" s="120">
        <f>$E59*'C2 - Funcionários #'!AV61*IF($C59="Operacional",IFERROR(VLOOKUP($D59,SN_UGC,28,0),0),1)</f>
        <v>462219.03705100005</v>
      </c>
      <c r="W59" s="120">
        <f>$E59*'C2 - Funcionários #'!AW61*IF($C59="Operacional",IFERROR(VLOOKUP($D59,SN_UGC,28,0),0),1)</f>
        <v>462219.03705100005</v>
      </c>
      <c r="X59" s="120">
        <f>$E59*'C2 - Funcionários #'!AX61*IF($C59="Operacional",IFERROR(VLOOKUP($D59,SN_UGC,28,0),0),1)</f>
        <v>462219.03705100005</v>
      </c>
      <c r="Y59" s="120">
        <f>$E59*'C2 - Funcionários #'!AY61*IF($C59="Operacional",IFERROR(VLOOKUP($D59,SN_UGC,28,0),0),1)</f>
        <v>462219.03705100005</v>
      </c>
      <c r="Z59" s="120">
        <f>$E59*'C2 - Funcionários #'!AZ61*IF($C59="Operacional",IFERROR(VLOOKUP($D59,SN_UGC,28,0),0),1)</f>
        <v>462219.03705100005</v>
      </c>
      <c r="AA59" s="120">
        <f>$E59*'C2 - Funcionários #'!BA61*IF($C59="Operacional",IFERROR(VLOOKUP($D59,SN_UGC,28,0),0),1)</f>
        <v>462219.03705100005</v>
      </c>
      <c r="AB59" s="120">
        <f>$E59*'C2 - Funcionários #'!BB61*IF($C59="Operacional",IFERROR(VLOOKUP($D59,SN_UGC,28,0),0),1)</f>
        <v>462219.03705100005</v>
      </c>
      <c r="AC59" s="120">
        <f>$E59*'C2 - Funcionários #'!BC61*IF($C59="Operacional",IFERROR(VLOOKUP($D59,SN_UGC,28,0),0),1)</f>
        <v>462219.03705100005</v>
      </c>
      <c r="AD59" s="120">
        <f>$E59*'C2 - Funcionários #'!BD61*IF($C59="Operacional",IFERROR(VLOOKUP($D59,SN_UGC,28,0),0),1)</f>
        <v>462219.03705100005</v>
      </c>
      <c r="AE59" s="120">
        <f>$E59*'C2 - Funcionários #'!BE61*IF($C59="Operacional",IFERROR(VLOOKUP($D59,SN_UGC,28,0),0),1)</f>
        <v>462219.03705100005</v>
      </c>
      <c r="AF59" s="120">
        <f>$E59*'C2 - Funcionários #'!BF61*IF($C59="Operacional",IFERROR(VLOOKUP($D59,SN_UGC,28,0),0),1)</f>
        <v>462219.03705100005</v>
      </c>
      <c r="AG59" s="120">
        <f>$E59*'C2 - Funcionários #'!BG61*IF($C59="Operacional",IFERROR(VLOOKUP($D59,SN_UGC,28,0),0),1)</f>
        <v>462219.03705100005</v>
      </c>
      <c r="AH59" s="120">
        <f>$E59*'C2 - Funcionários #'!BH61*IF($C59="Operacional",IFERROR(VLOOKUP($D59,SN_UGC,28,0),0),1)</f>
        <v>462219.03705100005</v>
      </c>
      <c r="AI59" s="120">
        <f>$E59*'C2 - Funcionários #'!BI61*IF($C59="Operacional",IFERROR(VLOOKUP($D59,SN_UGC,28,0),0),1)</f>
        <v>462219.03705100005</v>
      </c>
      <c r="AJ59" s="120">
        <f>$E59*'C2 - Funcionários #'!BJ61*IF($C59="Operacional",IFERROR(VLOOKUP($D59,SN_UGC,28,0),0),1)</f>
        <v>462219.03705100005</v>
      </c>
    </row>
    <row r="60" spans="1:36" ht="15.75" customHeight="1">
      <c r="A60" s="521"/>
      <c r="B60" s="51" t="str">
        <f>'C1 - Cargos e Salários'!B44</f>
        <v>Motorista</v>
      </c>
      <c r="C60" s="51" t="str">
        <f>'C1 - Cargos e Salários'!C44</f>
        <v>Encargo</v>
      </c>
      <c r="D60" s="51" t="str">
        <f>'C1 - Cargos e Salários'!D44</f>
        <v>Administrativo</v>
      </c>
      <c r="E60" s="118">
        <f>'C1 - Cargos e Salários'!K44</f>
        <v>44146.807162960002</v>
      </c>
      <c r="F60" s="119">
        <f>IF(C60="Operacional",IFERROR(VLOOKUP(D60,ReceitaPorTipo,COLUMN('A1 - Serviços e demanda'!$Z$17),0),0),100%)</f>
        <v>1</v>
      </c>
      <c r="G60" s="120">
        <f>E60*F60*'C2 - Funcionários #'!AG62*IF($C60="Operacional",IFERROR(VLOOKUP($D60,SN_UGC,28,0),0),1)</f>
        <v>529761.68595552002</v>
      </c>
      <c r="H60" s="120">
        <f>$E60*'C2 - Funcionários #'!AH62*IF($C60="Operacional",IFERROR(VLOOKUP($D60,SN_UGC,28,0),0),1)</f>
        <v>529761.68595552002</v>
      </c>
      <c r="I60" s="120">
        <f>$E60*'C2 - Funcionários #'!AI62*IF($C60="Operacional",IFERROR(VLOOKUP($D60,SN_UGC,28,0),0),1)</f>
        <v>529761.68595552002</v>
      </c>
      <c r="J60" s="120">
        <f>$E60*'C2 - Funcionários #'!AJ62*IF($C60="Operacional",IFERROR(VLOOKUP($D60,SN_UGC,28,0),0),1)</f>
        <v>529761.68595552002</v>
      </c>
      <c r="K60" s="120">
        <f>$E60*'C2 - Funcionários #'!AK62*IF($C60="Operacional",IFERROR(VLOOKUP($D60,SN_UGC,28,0),0),1)</f>
        <v>529761.68595552002</v>
      </c>
      <c r="L60" s="120">
        <f>$E60*'C2 - Funcionários #'!AL62*IF($C60="Operacional",IFERROR(VLOOKUP($D60,SN_UGC,28,0),0),1)</f>
        <v>529761.68595552002</v>
      </c>
      <c r="M60" s="120">
        <f>$E60*'C2 - Funcionários #'!AM62*IF($C60="Operacional",IFERROR(VLOOKUP($D60,SN_UGC,28,0),0),1)</f>
        <v>529761.68595552002</v>
      </c>
      <c r="N60" s="120">
        <f>$E60*'C2 - Funcionários #'!AN62*IF($C60="Operacional",IFERROR(VLOOKUP($D60,SN_UGC,28,0),0),1)</f>
        <v>529761.68595552002</v>
      </c>
      <c r="O60" s="120">
        <f>$E60*'C2 - Funcionários #'!AO62*IF($C60="Operacional",IFERROR(VLOOKUP($D60,SN_UGC,28,0),0),1)</f>
        <v>529761.68595552002</v>
      </c>
      <c r="P60" s="120">
        <f>$E60*'C2 - Funcionários #'!AP62*IF($C60="Operacional",IFERROR(VLOOKUP($D60,SN_UGC,28,0),0),1)</f>
        <v>529761.68595552002</v>
      </c>
      <c r="Q60" s="120">
        <f>$E60*'C2 - Funcionários #'!AQ62*IF($C60="Operacional",IFERROR(VLOOKUP($D60,SN_UGC,28,0),0),1)</f>
        <v>529761.68595552002</v>
      </c>
      <c r="R60" s="120">
        <f>$E60*'C2 - Funcionários #'!AR62*IF($C60="Operacional",IFERROR(VLOOKUP($D60,SN_UGC,28,0),0),1)</f>
        <v>529761.68595552002</v>
      </c>
      <c r="S60" s="120">
        <f>$E60*'C2 - Funcionários #'!AS62*IF($C60="Operacional",IFERROR(VLOOKUP($D60,SN_UGC,28,0),0),1)</f>
        <v>529761.68595552002</v>
      </c>
      <c r="T60" s="120">
        <f>$E60*'C2 - Funcionários #'!AT62*IF($C60="Operacional",IFERROR(VLOOKUP($D60,SN_UGC,28,0),0),1)</f>
        <v>529761.68595552002</v>
      </c>
      <c r="U60" s="120">
        <f>$E60*'C2 - Funcionários #'!AU62*IF($C60="Operacional",IFERROR(VLOOKUP($D60,SN_UGC,28,0),0),1)</f>
        <v>529761.68595552002</v>
      </c>
      <c r="V60" s="120">
        <f>$E60*'C2 - Funcionários #'!AV62*IF($C60="Operacional",IFERROR(VLOOKUP($D60,SN_UGC,28,0),0),1)</f>
        <v>529761.68595552002</v>
      </c>
      <c r="W60" s="120">
        <f>$E60*'C2 - Funcionários #'!AW62*IF($C60="Operacional",IFERROR(VLOOKUP($D60,SN_UGC,28,0),0),1)</f>
        <v>529761.68595552002</v>
      </c>
      <c r="X60" s="120">
        <f>$E60*'C2 - Funcionários #'!AX62*IF($C60="Operacional",IFERROR(VLOOKUP($D60,SN_UGC,28,0),0),1)</f>
        <v>529761.68595552002</v>
      </c>
      <c r="Y60" s="120">
        <f>$E60*'C2 - Funcionários #'!AY62*IF($C60="Operacional",IFERROR(VLOOKUP($D60,SN_UGC,28,0),0),1)</f>
        <v>529761.68595552002</v>
      </c>
      <c r="Z60" s="120">
        <f>$E60*'C2 - Funcionários #'!AZ62*IF($C60="Operacional",IFERROR(VLOOKUP($D60,SN_UGC,28,0),0),1)</f>
        <v>529761.68595552002</v>
      </c>
      <c r="AA60" s="120">
        <f>$E60*'C2 - Funcionários #'!BA62*IF($C60="Operacional",IFERROR(VLOOKUP($D60,SN_UGC,28,0),0),1)</f>
        <v>529761.68595552002</v>
      </c>
      <c r="AB60" s="120">
        <f>$E60*'C2 - Funcionários #'!BB62*IF($C60="Operacional",IFERROR(VLOOKUP($D60,SN_UGC,28,0),0),1)</f>
        <v>529761.68595552002</v>
      </c>
      <c r="AC60" s="120">
        <f>$E60*'C2 - Funcionários #'!BC62*IF($C60="Operacional",IFERROR(VLOOKUP($D60,SN_UGC,28,0),0),1)</f>
        <v>529761.68595552002</v>
      </c>
      <c r="AD60" s="120">
        <f>$E60*'C2 - Funcionários #'!BD62*IF($C60="Operacional",IFERROR(VLOOKUP($D60,SN_UGC,28,0),0),1)</f>
        <v>529761.68595552002</v>
      </c>
      <c r="AE60" s="120">
        <f>$E60*'C2 - Funcionários #'!BE62*IF($C60="Operacional",IFERROR(VLOOKUP($D60,SN_UGC,28,0),0),1)</f>
        <v>529761.68595552002</v>
      </c>
      <c r="AF60" s="120">
        <f>$E60*'C2 - Funcionários #'!BF62*IF($C60="Operacional",IFERROR(VLOOKUP($D60,SN_UGC,28,0),0),1)</f>
        <v>529761.68595552002</v>
      </c>
      <c r="AG60" s="120">
        <f>$E60*'C2 - Funcionários #'!BG62*IF($C60="Operacional",IFERROR(VLOOKUP($D60,SN_UGC,28,0),0),1)</f>
        <v>529761.68595552002</v>
      </c>
      <c r="AH60" s="120">
        <f>$E60*'C2 - Funcionários #'!BH62*IF($C60="Operacional",IFERROR(VLOOKUP($D60,SN_UGC,28,0),0),1)</f>
        <v>529761.68595552002</v>
      </c>
      <c r="AI60" s="120">
        <f>$E60*'C2 - Funcionários #'!BI62*IF($C60="Operacional",IFERROR(VLOOKUP($D60,SN_UGC,28,0),0),1)</f>
        <v>529761.68595552002</v>
      </c>
      <c r="AJ60" s="120">
        <f>$E60*'C2 - Funcionários #'!BJ62*IF($C60="Operacional",IFERROR(VLOOKUP($D60,SN_UGC,28,0),0),1)</f>
        <v>529761.68595552002</v>
      </c>
    </row>
    <row r="61" spans="1:36" ht="15.75" customHeight="1">
      <c r="A61" s="521"/>
      <c r="B61" s="51" t="str">
        <f>'C1 - Cargos e Salários'!B45</f>
        <v>Supervisor de operação</v>
      </c>
      <c r="C61" s="51" t="str">
        <f>'C1 - Cargos e Salários'!C45</f>
        <v>Encargo</v>
      </c>
      <c r="D61" s="51" t="str">
        <f>'C1 - Cargos e Salários'!D45</f>
        <v>Administrativo</v>
      </c>
      <c r="E61" s="118">
        <f>'C1 - Cargos e Salários'!K45</f>
        <v>67155.12604196</v>
      </c>
      <c r="F61" s="119">
        <f>IF(C61="Operacional",IFERROR(VLOOKUP(D61,ReceitaPorTipo,COLUMN('A1 - Serviços e demanda'!$Z$17),0),0),100%)</f>
        <v>1</v>
      </c>
      <c r="G61" s="120">
        <f>E61*F61*'C2 - Funcionários #'!AG63*IF($C61="Operacional",IFERROR(VLOOKUP($D61,SN_UGC,28,0),0),1)</f>
        <v>335775.63020979997</v>
      </c>
      <c r="H61" s="120">
        <f>$E61*'C2 - Funcionários #'!AH63*IF($C61="Operacional",IFERROR(VLOOKUP($D61,SN_UGC,28,0),0),1)</f>
        <v>335775.63020979997</v>
      </c>
      <c r="I61" s="120">
        <f>$E61*'C2 - Funcionários #'!AI63*IF($C61="Operacional",IFERROR(VLOOKUP($D61,SN_UGC,28,0),0),1)</f>
        <v>335775.63020979997</v>
      </c>
      <c r="J61" s="120">
        <f>$E61*'C2 - Funcionários #'!AJ63*IF($C61="Operacional",IFERROR(VLOOKUP($D61,SN_UGC,28,0),0),1)</f>
        <v>335775.63020979997</v>
      </c>
      <c r="K61" s="120">
        <f>$E61*'C2 - Funcionários #'!AK63*IF($C61="Operacional",IFERROR(VLOOKUP($D61,SN_UGC,28,0),0),1)</f>
        <v>335775.63020979997</v>
      </c>
      <c r="L61" s="120">
        <f>$E61*'C2 - Funcionários #'!AL63*IF($C61="Operacional",IFERROR(VLOOKUP($D61,SN_UGC,28,0),0),1)</f>
        <v>335775.63020979997</v>
      </c>
      <c r="M61" s="120">
        <f>$E61*'C2 - Funcionários #'!AM63*IF($C61="Operacional",IFERROR(VLOOKUP($D61,SN_UGC,28,0),0),1)</f>
        <v>335775.63020979997</v>
      </c>
      <c r="N61" s="120">
        <f>$E61*'C2 - Funcionários #'!AN63*IF($C61="Operacional",IFERROR(VLOOKUP($D61,SN_UGC,28,0),0),1)</f>
        <v>335775.63020979997</v>
      </c>
      <c r="O61" s="120">
        <f>$E61*'C2 - Funcionários #'!AO63*IF($C61="Operacional",IFERROR(VLOOKUP($D61,SN_UGC,28,0),0),1)</f>
        <v>335775.63020979997</v>
      </c>
      <c r="P61" s="120">
        <f>$E61*'C2 - Funcionários #'!AP63*IF($C61="Operacional",IFERROR(VLOOKUP($D61,SN_UGC,28,0),0),1)</f>
        <v>335775.63020979997</v>
      </c>
      <c r="Q61" s="120">
        <f>$E61*'C2 - Funcionários #'!AQ63*IF($C61="Operacional",IFERROR(VLOOKUP($D61,SN_UGC,28,0),0),1)</f>
        <v>335775.63020979997</v>
      </c>
      <c r="R61" s="120">
        <f>$E61*'C2 - Funcionários #'!AR63*IF($C61="Operacional",IFERROR(VLOOKUP($D61,SN_UGC,28,0),0),1)</f>
        <v>335775.63020979997</v>
      </c>
      <c r="S61" s="120">
        <f>$E61*'C2 - Funcionários #'!AS63*IF($C61="Operacional",IFERROR(VLOOKUP($D61,SN_UGC,28,0),0),1)</f>
        <v>335775.63020979997</v>
      </c>
      <c r="T61" s="120">
        <f>$E61*'C2 - Funcionários #'!AT63*IF($C61="Operacional",IFERROR(VLOOKUP($D61,SN_UGC,28,0),0),1)</f>
        <v>335775.63020979997</v>
      </c>
      <c r="U61" s="120">
        <f>$E61*'C2 - Funcionários #'!AU63*IF($C61="Operacional",IFERROR(VLOOKUP($D61,SN_UGC,28,0),0),1)</f>
        <v>335775.63020979997</v>
      </c>
      <c r="V61" s="120">
        <f>$E61*'C2 - Funcionários #'!AV63*IF($C61="Operacional",IFERROR(VLOOKUP($D61,SN_UGC,28,0),0),1)</f>
        <v>335775.63020979997</v>
      </c>
      <c r="W61" s="120">
        <f>$E61*'C2 - Funcionários #'!AW63*IF($C61="Operacional",IFERROR(VLOOKUP($D61,SN_UGC,28,0),0),1)</f>
        <v>335775.63020979997</v>
      </c>
      <c r="X61" s="120">
        <f>$E61*'C2 - Funcionários #'!AX63*IF($C61="Operacional",IFERROR(VLOOKUP($D61,SN_UGC,28,0),0),1)</f>
        <v>335775.63020979997</v>
      </c>
      <c r="Y61" s="120">
        <f>$E61*'C2 - Funcionários #'!AY63*IF($C61="Operacional",IFERROR(VLOOKUP($D61,SN_UGC,28,0),0),1)</f>
        <v>335775.63020979997</v>
      </c>
      <c r="Z61" s="120">
        <f>$E61*'C2 - Funcionários #'!AZ63*IF($C61="Operacional",IFERROR(VLOOKUP($D61,SN_UGC,28,0),0),1)</f>
        <v>335775.63020979997</v>
      </c>
      <c r="AA61" s="120">
        <f>$E61*'C2 - Funcionários #'!BA63*IF($C61="Operacional",IFERROR(VLOOKUP($D61,SN_UGC,28,0),0),1)</f>
        <v>335775.63020979997</v>
      </c>
      <c r="AB61" s="120">
        <f>$E61*'C2 - Funcionários #'!BB63*IF($C61="Operacional",IFERROR(VLOOKUP($D61,SN_UGC,28,0),0),1)</f>
        <v>335775.63020979997</v>
      </c>
      <c r="AC61" s="120">
        <f>$E61*'C2 - Funcionários #'!BC63*IF($C61="Operacional",IFERROR(VLOOKUP($D61,SN_UGC,28,0),0),1)</f>
        <v>335775.63020979997</v>
      </c>
      <c r="AD61" s="120">
        <f>$E61*'C2 - Funcionários #'!BD63*IF($C61="Operacional",IFERROR(VLOOKUP($D61,SN_UGC,28,0),0),1)</f>
        <v>335775.63020979997</v>
      </c>
      <c r="AE61" s="120">
        <f>$E61*'C2 - Funcionários #'!BE63*IF($C61="Operacional",IFERROR(VLOOKUP($D61,SN_UGC,28,0),0),1)</f>
        <v>335775.63020979997</v>
      </c>
      <c r="AF61" s="120">
        <f>$E61*'C2 - Funcionários #'!BF63*IF($C61="Operacional",IFERROR(VLOOKUP($D61,SN_UGC,28,0),0),1)</f>
        <v>335775.63020979997</v>
      </c>
      <c r="AG61" s="120">
        <f>$E61*'C2 - Funcionários #'!BG63*IF($C61="Operacional",IFERROR(VLOOKUP($D61,SN_UGC,28,0),0),1)</f>
        <v>335775.63020979997</v>
      </c>
      <c r="AH61" s="120">
        <f>$E61*'C2 - Funcionários #'!BH63*IF($C61="Operacional",IFERROR(VLOOKUP($D61,SN_UGC,28,0),0),1)</f>
        <v>335775.63020979997</v>
      </c>
      <c r="AI61" s="120">
        <f>$E61*'C2 - Funcionários #'!BI63*IF($C61="Operacional",IFERROR(VLOOKUP($D61,SN_UGC,28,0),0),1)</f>
        <v>335775.63020979997</v>
      </c>
      <c r="AJ61" s="120">
        <f>$E61*'C2 - Funcionários #'!BJ63*IF($C61="Operacional",IFERROR(VLOOKUP($D61,SN_UGC,28,0),0),1)</f>
        <v>335775.63020979997</v>
      </c>
    </row>
    <row r="62" spans="1:36" ht="15.75" customHeight="1">
      <c r="A62" s="521"/>
      <c r="B62" s="51" t="str">
        <f>'C1 - Cargos e Salários'!B46</f>
        <v>Comprador</v>
      </c>
      <c r="C62" s="51" t="str">
        <f>'C1 - Cargos e Salários'!C46</f>
        <v>Encargo</v>
      </c>
      <c r="D62" s="51" t="str">
        <f>'C1 - Cargos e Salários'!D46</f>
        <v>Administrativo</v>
      </c>
      <c r="E62" s="118">
        <f>'C1 - Cargos e Salários'!K46</f>
        <v>69209.670162680006</v>
      </c>
      <c r="F62" s="119">
        <f>IF(C62="Operacional",IFERROR(VLOOKUP(D62,ReceitaPorTipo,COLUMN('A1 - Serviços e demanda'!$Z$17),0),0),100%)</f>
        <v>1</v>
      </c>
      <c r="G62" s="120">
        <f>E62*F62*'C2 - Funcionários #'!AG64*IF($C62="Operacional",IFERROR(VLOOKUP($D62,SN_UGC,28,0),0),1)</f>
        <v>69209.670162680006</v>
      </c>
      <c r="H62" s="120">
        <f>$E62*'C2 - Funcionários #'!AH64*IF($C62="Operacional",IFERROR(VLOOKUP($D62,SN_UGC,28,0),0),1)</f>
        <v>69209.670162680006</v>
      </c>
      <c r="I62" s="120">
        <f>$E62*'C2 - Funcionários #'!AI64*IF($C62="Operacional",IFERROR(VLOOKUP($D62,SN_UGC,28,0),0),1)</f>
        <v>69209.670162680006</v>
      </c>
      <c r="J62" s="120">
        <f>$E62*'C2 - Funcionários #'!AJ64*IF($C62="Operacional",IFERROR(VLOOKUP($D62,SN_UGC,28,0),0),1)</f>
        <v>69209.670162680006</v>
      </c>
      <c r="K62" s="120">
        <f>$E62*'C2 - Funcionários #'!AK64*IF($C62="Operacional",IFERROR(VLOOKUP($D62,SN_UGC,28,0),0),1)</f>
        <v>69209.670162680006</v>
      </c>
      <c r="L62" s="120">
        <f>$E62*'C2 - Funcionários #'!AL64*IF($C62="Operacional",IFERROR(VLOOKUP($D62,SN_UGC,28,0),0),1)</f>
        <v>69209.670162680006</v>
      </c>
      <c r="M62" s="120">
        <f>$E62*'C2 - Funcionários #'!AM64*IF($C62="Operacional",IFERROR(VLOOKUP($D62,SN_UGC,28,0),0),1)</f>
        <v>69209.670162680006</v>
      </c>
      <c r="N62" s="120">
        <f>$E62*'C2 - Funcionários #'!AN64*IF($C62="Operacional",IFERROR(VLOOKUP($D62,SN_UGC,28,0),0),1)</f>
        <v>69209.670162680006</v>
      </c>
      <c r="O62" s="120">
        <f>$E62*'C2 - Funcionários #'!AO64*IF($C62="Operacional",IFERROR(VLOOKUP($D62,SN_UGC,28,0),0),1)</f>
        <v>69209.670162680006</v>
      </c>
      <c r="P62" s="120">
        <f>$E62*'C2 - Funcionários #'!AP64*IF($C62="Operacional",IFERROR(VLOOKUP($D62,SN_UGC,28,0),0),1)</f>
        <v>69209.670162680006</v>
      </c>
      <c r="Q62" s="120">
        <f>$E62*'C2 - Funcionários #'!AQ64*IF($C62="Operacional",IFERROR(VLOOKUP($D62,SN_UGC,28,0),0),1)</f>
        <v>69209.670162680006</v>
      </c>
      <c r="R62" s="120">
        <f>$E62*'C2 - Funcionários #'!AR64*IF($C62="Operacional",IFERROR(VLOOKUP($D62,SN_UGC,28,0),0),1)</f>
        <v>69209.670162680006</v>
      </c>
      <c r="S62" s="120">
        <f>$E62*'C2 - Funcionários #'!AS64*IF($C62="Operacional",IFERROR(VLOOKUP($D62,SN_UGC,28,0),0),1)</f>
        <v>69209.670162680006</v>
      </c>
      <c r="T62" s="120">
        <f>$E62*'C2 - Funcionários #'!AT64*IF($C62="Operacional",IFERROR(VLOOKUP($D62,SN_UGC,28,0),0),1)</f>
        <v>69209.670162680006</v>
      </c>
      <c r="U62" s="120">
        <f>$E62*'C2 - Funcionários #'!AU64*IF($C62="Operacional",IFERROR(VLOOKUP($D62,SN_UGC,28,0),0),1)</f>
        <v>69209.670162680006</v>
      </c>
      <c r="V62" s="120">
        <f>$E62*'C2 - Funcionários #'!AV64*IF($C62="Operacional",IFERROR(VLOOKUP($D62,SN_UGC,28,0),0),1)</f>
        <v>69209.670162680006</v>
      </c>
      <c r="W62" s="120">
        <f>$E62*'C2 - Funcionários #'!AW64*IF($C62="Operacional",IFERROR(VLOOKUP($D62,SN_UGC,28,0),0),1)</f>
        <v>69209.670162680006</v>
      </c>
      <c r="X62" s="120">
        <f>$E62*'C2 - Funcionários #'!AX64*IF($C62="Operacional",IFERROR(VLOOKUP($D62,SN_UGC,28,0),0),1)</f>
        <v>69209.670162680006</v>
      </c>
      <c r="Y62" s="120">
        <f>$E62*'C2 - Funcionários #'!AY64*IF($C62="Operacional",IFERROR(VLOOKUP($D62,SN_UGC,28,0),0),1)</f>
        <v>69209.670162680006</v>
      </c>
      <c r="Z62" s="120">
        <f>$E62*'C2 - Funcionários #'!AZ64*IF($C62="Operacional",IFERROR(VLOOKUP($D62,SN_UGC,28,0),0),1)</f>
        <v>69209.670162680006</v>
      </c>
      <c r="AA62" s="120">
        <f>$E62*'C2 - Funcionários #'!BA64*IF($C62="Operacional",IFERROR(VLOOKUP($D62,SN_UGC,28,0),0),1)</f>
        <v>69209.670162680006</v>
      </c>
      <c r="AB62" s="120">
        <f>$E62*'C2 - Funcionários #'!BB64*IF($C62="Operacional",IFERROR(VLOOKUP($D62,SN_UGC,28,0),0),1)</f>
        <v>69209.670162680006</v>
      </c>
      <c r="AC62" s="120">
        <f>$E62*'C2 - Funcionários #'!BC64*IF($C62="Operacional",IFERROR(VLOOKUP($D62,SN_UGC,28,0),0),1)</f>
        <v>69209.670162680006</v>
      </c>
      <c r="AD62" s="120">
        <f>$E62*'C2 - Funcionários #'!BD64*IF($C62="Operacional",IFERROR(VLOOKUP($D62,SN_UGC,28,0),0),1)</f>
        <v>69209.670162680006</v>
      </c>
      <c r="AE62" s="120">
        <f>$E62*'C2 - Funcionários #'!BE64*IF($C62="Operacional",IFERROR(VLOOKUP($D62,SN_UGC,28,0),0),1)</f>
        <v>69209.670162680006</v>
      </c>
      <c r="AF62" s="120">
        <f>$E62*'C2 - Funcionários #'!BF64*IF($C62="Operacional",IFERROR(VLOOKUP($D62,SN_UGC,28,0),0),1)</f>
        <v>69209.670162680006</v>
      </c>
      <c r="AG62" s="120">
        <f>$E62*'C2 - Funcionários #'!BG64*IF($C62="Operacional",IFERROR(VLOOKUP($D62,SN_UGC,28,0),0),1)</f>
        <v>69209.670162680006</v>
      </c>
      <c r="AH62" s="120">
        <f>$E62*'C2 - Funcionários #'!BH64*IF($C62="Operacional",IFERROR(VLOOKUP($D62,SN_UGC,28,0),0),1)</f>
        <v>69209.670162680006</v>
      </c>
      <c r="AI62" s="120">
        <f>$E62*'C2 - Funcionários #'!BI64*IF($C62="Operacional",IFERROR(VLOOKUP($D62,SN_UGC,28,0),0),1)</f>
        <v>69209.670162680006</v>
      </c>
      <c r="AJ62" s="120">
        <f>$E62*'C2 - Funcionários #'!BJ64*IF($C62="Operacional",IFERROR(VLOOKUP($D62,SN_UGC,28,0),0),1)</f>
        <v>69209.670162680006</v>
      </c>
    </row>
    <row r="63" spans="1:36" ht="15.75" customHeight="1">
      <c r="A63" s="521"/>
      <c r="B63" s="51" t="str">
        <f>'C1 - Cargos e Salários'!B47</f>
        <v>Agente ambiental</v>
      </c>
      <c r="C63" s="51" t="str">
        <f>'C1 - Cargos e Salários'!C47</f>
        <v>Encargo</v>
      </c>
      <c r="D63" s="51" t="str">
        <f>'C1 - Cargos e Salários'!D47</f>
        <v>Administrativo</v>
      </c>
      <c r="E63" s="118">
        <f>'C1 - Cargos e Salários'!K47</f>
        <v>37882.782800000001</v>
      </c>
      <c r="F63" s="119">
        <f>IF(C63="Operacional",IFERROR(VLOOKUP(D63,ReceitaPorTipo,COLUMN('A1 - Serviços e demanda'!$Z$17),0),0),100%)</f>
        <v>1</v>
      </c>
      <c r="G63" s="120">
        <f>E63*F63*'C2 - Funcionários #'!AG65*IF($C63="Operacional",IFERROR(VLOOKUP($D63,SN_UGC,28,0),0),1)</f>
        <v>757655.65599999996</v>
      </c>
      <c r="H63" s="120">
        <f>$E63*'C2 - Funcionários #'!AH65*IF($C63="Operacional",IFERROR(VLOOKUP($D63,SN_UGC,28,0),0),1)</f>
        <v>757655.65599999996</v>
      </c>
      <c r="I63" s="120">
        <f>$E63*'C2 - Funcionários #'!AI65*IF($C63="Operacional",IFERROR(VLOOKUP($D63,SN_UGC,28,0),0),1)</f>
        <v>757655.65599999996</v>
      </c>
      <c r="J63" s="120">
        <f>$E63*'C2 - Funcionários #'!AJ65*IF($C63="Operacional",IFERROR(VLOOKUP($D63,SN_UGC,28,0),0),1)</f>
        <v>757655.65599999996</v>
      </c>
      <c r="K63" s="120">
        <f>$E63*'C2 - Funcionários #'!AK65*IF($C63="Operacional",IFERROR(VLOOKUP($D63,SN_UGC,28,0),0),1)</f>
        <v>757655.65599999996</v>
      </c>
      <c r="L63" s="120">
        <f>$E63*'C2 - Funcionários #'!AL65*IF($C63="Operacional",IFERROR(VLOOKUP($D63,SN_UGC,28,0),0),1)</f>
        <v>757655.65599999996</v>
      </c>
      <c r="M63" s="120">
        <f>$E63*'C2 - Funcionários #'!AM65*IF($C63="Operacional",IFERROR(VLOOKUP($D63,SN_UGC,28,0),0),1)</f>
        <v>757655.65599999996</v>
      </c>
      <c r="N63" s="120">
        <f>$E63*'C2 - Funcionários #'!AN65*IF($C63="Operacional",IFERROR(VLOOKUP($D63,SN_UGC,28,0),0),1)</f>
        <v>757655.65599999996</v>
      </c>
      <c r="O63" s="120">
        <f>$E63*'C2 - Funcionários #'!AO65*IF($C63="Operacional",IFERROR(VLOOKUP($D63,SN_UGC,28,0),0),1)</f>
        <v>757655.65599999996</v>
      </c>
      <c r="P63" s="120">
        <f>$E63*'C2 - Funcionários #'!AP65*IF($C63="Operacional",IFERROR(VLOOKUP($D63,SN_UGC,28,0),0),1)</f>
        <v>757655.65599999996</v>
      </c>
      <c r="Q63" s="120">
        <f>$E63*'C2 - Funcionários #'!AQ65*IF($C63="Operacional",IFERROR(VLOOKUP($D63,SN_UGC,28,0),0),1)</f>
        <v>757655.65599999996</v>
      </c>
      <c r="R63" s="120">
        <f>$E63*'C2 - Funcionários #'!AR65*IF($C63="Operacional",IFERROR(VLOOKUP($D63,SN_UGC,28,0),0),1)</f>
        <v>757655.65599999996</v>
      </c>
      <c r="S63" s="120">
        <f>$E63*'C2 - Funcionários #'!AS65*IF($C63="Operacional",IFERROR(VLOOKUP($D63,SN_UGC,28,0),0),1)</f>
        <v>757655.65599999996</v>
      </c>
      <c r="T63" s="120">
        <f>$E63*'C2 - Funcionários #'!AT65*IF($C63="Operacional",IFERROR(VLOOKUP($D63,SN_UGC,28,0),0),1)</f>
        <v>757655.65599999996</v>
      </c>
      <c r="U63" s="120">
        <f>$E63*'C2 - Funcionários #'!AU65*IF($C63="Operacional",IFERROR(VLOOKUP($D63,SN_UGC,28,0),0),1)</f>
        <v>757655.65599999996</v>
      </c>
      <c r="V63" s="120">
        <f>$E63*'C2 - Funcionários #'!AV65*IF($C63="Operacional",IFERROR(VLOOKUP($D63,SN_UGC,28,0),0),1)</f>
        <v>757655.65599999996</v>
      </c>
      <c r="W63" s="120">
        <f>$E63*'C2 - Funcionários #'!AW65*IF($C63="Operacional",IFERROR(VLOOKUP($D63,SN_UGC,28,0),0),1)</f>
        <v>757655.65599999996</v>
      </c>
      <c r="X63" s="120">
        <f>$E63*'C2 - Funcionários #'!AX65*IF($C63="Operacional",IFERROR(VLOOKUP($D63,SN_UGC,28,0),0),1)</f>
        <v>757655.65599999996</v>
      </c>
      <c r="Y63" s="120">
        <f>$E63*'C2 - Funcionários #'!AY65*IF($C63="Operacional",IFERROR(VLOOKUP($D63,SN_UGC,28,0),0),1)</f>
        <v>757655.65599999996</v>
      </c>
      <c r="Z63" s="120">
        <f>$E63*'C2 - Funcionários #'!AZ65*IF($C63="Operacional",IFERROR(VLOOKUP($D63,SN_UGC,28,0),0),1)</f>
        <v>757655.65599999996</v>
      </c>
      <c r="AA63" s="120">
        <f>$E63*'C2 - Funcionários #'!BA65*IF($C63="Operacional",IFERROR(VLOOKUP($D63,SN_UGC,28,0),0),1)</f>
        <v>757655.65599999996</v>
      </c>
      <c r="AB63" s="120">
        <f>$E63*'C2 - Funcionários #'!BB65*IF($C63="Operacional",IFERROR(VLOOKUP($D63,SN_UGC,28,0),0),1)</f>
        <v>757655.65599999996</v>
      </c>
      <c r="AC63" s="120">
        <f>$E63*'C2 - Funcionários #'!BC65*IF($C63="Operacional",IFERROR(VLOOKUP($D63,SN_UGC,28,0),0),1)</f>
        <v>757655.65599999996</v>
      </c>
      <c r="AD63" s="120">
        <f>$E63*'C2 - Funcionários #'!BD65*IF($C63="Operacional",IFERROR(VLOOKUP($D63,SN_UGC,28,0),0),1)</f>
        <v>757655.65599999996</v>
      </c>
      <c r="AE63" s="120">
        <f>$E63*'C2 - Funcionários #'!BE65*IF($C63="Operacional",IFERROR(VLOOKUP($D63,SN_UGC,28,0),0),1)</f>
        <v>757655.65599999996</v>
      </c>
      <c r="AF63" s="120">
        <f>$E63*'C2 - Funcionários #'!BF65*IF($C63="Operacional",IFERROR(VLOOKUP($D63,SN_UGC,28,0),0),1)</f>
        <v>757655.65599999996</v>
      </c>
      <c r="AG63" s="120">
        <f>$E63*'C2 - Funcionários #'!BG65*IF($C63="Operacional",IFERROR(VLOOKUP($D63,SN_UGC,28,0),0),1)</f>
        <v>757655.65599999996</v>
      </c>
      <c r="AH63" s="120">
        <f>$E63*'C2 - Funcionários #'!BH65*IF($C63="Operacional",IFERROR(VLOOKUP($D63,SN_UGC,28,0),0),1)</f>
        <v>757655.65599999996</v>
      </c>
      <c r="AI63" s="120">
        <f>$E63*'C2 - Funcionários #'!BI65*IF($C63="Operacional",IFERROR(VLOOKUP($D63,SN_UGC,28,0),0),1)</f>
        <v>757655.65599999996</v>
      </c>
      <c r="AJ63" s="120">
        <f>$E63*'C2 - Funcionários #'!BJ65*IF($C63="Operacional",IFERROR(VLOOKUP($D63,SN_UGC,28,0),0),1)</f>
        <v>757655.65599999996</v>
      </c>
    </row>
    <row r="64" spans="1:36" ht="15.75" customHeight="1">
      <c r="A64" s="521"/>
      <c r="B64" s="51" t="str">
        <f>'C1 - Cargos e Salários'!B48</f>
        <v>Assistente de manutenção de vias</v>
      </c>
      <c r="C64" s="51" t="str">
        <f>'C1 - Cargos e Salários'!C48</f>
        <v>Encargo</v>
      </c>
      <c r="D64" s="51" t="str">
        <f>'C1 - Cargos e Salários'!D48</f>
        <v>Construções e reformas</v>
      </c>
      <c r="E64" s="118">
        <f>'C1 - Cargos e Salários'!K48</f>
        <v>47697.846826040004</v>
      </c>
      <c r="F64" s="119">
        <f>IF(C64="Operacional",IFERROR(VLOOKUP(D64,ReceitaPorTipo,COLUMN('A1 - Serviços e demanda'!$Z$17),0),0),100%)</f>
        <v>1</v>
      </c>
      <c r="G64" s="120">
        <f>E64*F64*'C2 - Funcionários #'!AG66*IF($C64="Operacional",IFERROR(VLOOKUP($D64,SN_UGC,28,0),0),1)</f>
        <v>95395.693652080008</v>
      </c>
      <c r="H64" s="120">
        <f>$E64*'C2 - Funcionários #'!AH66*IF($C64="Operacional",IFERROR(VLOOKUP($D64,SN_UGC,28,0),0),1)</f>
        <v>95395.693652080008</v>
      </c>
      <c r="I64" s="120">
        <f>$E64*'C2 - Funcionários #'!AI66*IF($C64="Operacional",IFERROR(VLOOKUP($D64,SN_UGC,28,0),0),1)</f>
        <v>95395.693652080008</v>
      </c>
      <c r="J64" s="120">
        <f>$E64*'C2 - Funcionários #'!AJ66*IF($C64="Operacional",IFERROR(VLOOKUP($D64,SN_UGC,28,0),0),1)</f>
        <v>95395.693652080008</v>
      </c>
      <c r="K64" s="120">
        <f>$E64*'C2 - Funcionários #'!AK66*IF($C64="Operacional",IFERROR(VLOOKUP($D64,SN_UGC,28,0),0),1)</f>
        <v>95395.693652080008</v>
      </c>
      <c r="L64" s="120">
        <f>$E64*'C2 - Funcionários #'!AL66*IF($C64="Operacional",IFERROR(VLOOKUP($D64,SN_UGC,28,0),0),1)</f>
        <v>95395.693652080008</v>
      </c>
      <c r="M64" s="120">
        <f>$E64*'C2 - Funcionários #'!AM66*IF($C64="Operacional",IFERROR(VLOOKUP($D64,SN_UGC,28,0),0),1)</f>
        <v>95395.693652080008</v>
      </c>
      <c r="N64" s="120">
        <f>$E64*'C2 - Funcionários #'!AN66*IF($C64="Operacional",IFERROR(VLOOKUP($D64,SN_UGC,28,0),0),1)</f>
        <v>95395.693652080008</v>
      </c>
      <c r="O64" s="120">
        <f>$E64*'C2 - Funcionários #'!AO66*IF($C64="Operacional",IFERROR(VLOOKUP($D64,SN_UGC,28,0),0),1)</f>
        <v>95395.693652080008</v>
      </c>
      <c r="P64" s="120">
        <f>$E64*'C2 - Funcionários #'!AP66*IF($C64="Operacional",IFERROR(VLOOKUP($D64,SN_UGC,28,0),0),1)</f>
        <v>95395.693652080008</v>
      </c>
      <c r="Q64" s="120">
        <f>$E64*'C2 - Funcionários #'!AQ66*IF($C64="Operacional",IFERROR(VLOOKUP($D64,SN_UGC,28,0),0),1)</f>
        <v>95395.693652080008</v>
      </c>
      <c r="R64" s="120">
        <f>$E64*'C2 - Funcionários #'!AR66*IF($C64="Operacional",IFERROR(VLOOKUP($D64,SN_UGC,28,0),0),1)</f>
        <v>95395.693652080008</v>
      </c>
      <c r="S64" s="120">
        <f>$E64*'C2 - Funcionários #'!AS66*IF($C64="Operacional",IFERROR(VLOOKUP($D64,SN_UGC,28,0),0),1)</f>
        <v>95395.693652080008</v>
      </c>
      <c r="T64" s="120">
        <f>$E64*'C2 - Funcionários #'!AT66*IF($C64="Operacional",IFERROR(VLOOKUP($D64,SN_UGC,28,0),0),1)</f>
        <v>95395.693652080008</v>
      </c>
      <c r="U64" s="120">
        <f>$E64*'C2 - Funcionários #'!AU66*IF($C64="Operacional",IFERROR(VLOOKUP($D64,SN_UGC,28,0),0),1)</f>
        <v>95395.693652080008</v>
      </c>
      <c r="V64" s="120">
        <f>$E64*'C2 - Funcionários #'!AV66*IF($C64="Operacional",IFERROR(VLOOKUP($D64,SN_UGC,28,0),0),1)</f>
        <v>95395.693652080008</v>
      </c>
      <c r="W64" s="120">
        <f>$E64*'C2 - Funcionários #'!AW66*IF($C64="Operacional",IFERROR(VLOOKUP($D64,SN_UGC,28,0),0),1)</f>
        <v>95395.693652080008</v>
      </c>
      <c r="X64" s="120">
        <f>$E64*'C2 - Funcionários #'!AX66*IF($C64="Operacional",IFERROR(VLOOKUP($D64,SN_UGC,28,0),0),1)</f>
        <v>95395.693652080008</v>
      </c>
      <c r="Y64" s="120">
        <f>$E64*'C2 - Funcionários #'!AY66*IF($C64="Operacional",IFERROR(VLOOKUP($D64,SN_UGC,28,0),0),1)</f>
        <v>95395.693652080008</v>
      </c>
      <c r="Z64" s="120">
        <f>$E64*'C2 - Funcionários #'!AZ66*IF($C64="Operacional",IFERROR(VLOOKUP($D64,SN_UGC,28,0),0),1)</f>
        <v>95395.693652080008</v>
      </c>
      <c r="AA64" s="120">
        <f>$E64*'C2 - Funcionários #'!BA66*IF($C64="Operacional",IFERROR(VLOOKUP($D64,SN_UGC,28,0),0),1)</f>
        <v>95395.693652080008</v>
      </c>
      <c r="AB64" s="120">
        <f>$E64*'C2 - Funcionários #'!BB66*IF($C64="Operacional",IFERROR(VLOOKUP($D64,SN_UGC,28,0),0),1)</f>
        <v>95395.693652080008</v>
      </c>
      <c r="AC64" s="120">
        <f>$E64*'C2 - Funcionários #'!BC66*IF($C64="Operacional",IFERROR(VLOOKUP($D64,SN_UGC,28,0),0),1)</f>
        <v>95395.693652080008</v>
      </c>
      <c r="AD64" s="120">
        <f>$E64*'C2 - Funcionários #'!BD66*IF($C64="Operacional",IFERROR(VLOOKUP($D64,SN_UGC,28,0),0),1)</f>
        <v>95395.693652080008</v>
      </c>
      <c r="AE64" s="120">
        <f>$E64*'C2 - Funcionários #'!BE66*IF($C64="Operacional",IFERROR(VLOOKUP($D64,SN_UGC,28,0),0),1)</f>
        <v>95395.693652080008</v>
      </c>
      <c r="AF64" s="120">
        <f>$E64*'C2 - Funcionários #'!BF66*IF($C64="Operacional",IFERROR(VLOOKUP($D64,SN_UGC,28,0),0),1)</f>
        <v>95395.693652080008</v>
      </c>
      <c r="AG64" s="120">
        <f>$E64*'C2 - Funcionários #'!BG66*IF($C64="Operacional",IFERROR(VLOOKUP($D64,SN_UGC,28,0),0),1)</f>
        <v>95395.693652080008</v>
      </c>
      <c r="AH64" s="120">
        <f>$E64*'C2 - Funcionários #'!BH66*IF($C64="Operacional",IFERROR(VLOOKUP($D64,SN_UGC,28,0),0),1)</f>
        <v>95395.693652080008</v>
      </c>
      <c r="AI64" s="120">
        <f>$E64*'C2 - Funcionários #'!BI66*IF($C64="Operacional",IFERROR(VLOOKUP($D64,SN_UGC,28,0),0),1)</f>
        <v>95395.693652080008</v>
      </c>
      <c r="AJ64" s="120">
        <f>$E64*'C2 - Funcionários #'!BJ66*IF($C64="Operacional",IFERROR(VLOOKUP($D64,SN_UGC,28,0),0),1)</f>
        <v>95395.693652080008</v>
      </c>
    </row>
    <row r="65" spans="1:36" ht="15.75" customHeight="1">
      <c r="A65" s="521"/>
      <c r="B65" s="51" t="str">
        <f>'C1 - Cargos e Salários'!B49</f>
        <v>Operador de bobcat</v>
      </c>
      <c r="C65" s="51" t="str">
        <f>'C1 - Cargos e Salários'!C49</f>
        <v>Encargo</v>
      </c>
      <c r="D65" s="51" t="str">
        <f>'C1 - Cargos e Salários'!D49</f>
        <v>Construções e reformas</v>
      </c>
      <c r="E65" s="118">
        <f>'C1 - Cargos e Salários'!K49</f>
        <v>52775.063144760003</v>
      </c>
      <c r="F65" s="119">
        <f>IF(C65="Operacional",IFERROR(VLOOKUP(D65,ReceitaPorTipo,COLUMN('A1 - Serviços e demanda'!$Z$17),0),0),100%)</f>
        <v>1</v>
      </c>
      <c r="G65" s="120">
        <f>E65*F65*'C2 - Funcionários #'!AG67*IF($C65="Operacional",IFERROR(VLOOKUP($D65,SN_UGC,28,0),0),1)</f>
        <v>105550.12628952001</v>
      </c>
      <c r="H65" s="120">
        <f>$E65*'C2 - Funcionários #'!AH67*IF($C65="Operacional",IFERROR(VLOOKUP($D65,SN_UGC,28,0),0),1)</f>
        <v>105550.12628952001</v>
      </c>
      <c r="I65" s="120">
        <f>$E65*'C2 - Funcionários #'!AI67*IF($C65="Operacional",IFERROR(VLOOKUP($D65,SN_UGC,28,0),0),1)</f>
        <v>105550.12628952001</v>
      </c>
      <c r="J65" s="120">
        <f>$E65*'C2 - Funcionários #'!AJ67*IF($C65="Operacional",IFERROR(VLOOKUP($D65,SN_UGC,28,0),0),1)</f>
        <v>105550.12628952001</v>
      </c>
      <c r="K65" s="120">
        <f>$E65*'C2 - Funcionários #'!AK67*IF($C65="Operacional",IFERROR(VLOOKUP($D65,SN_UGC,28,0),0),1)</f>
        <v>105550.12628952001</v>
      </c>
      <c r="L65" s="120">
        <f>$E65*'C2 - Funcionários #'!AL67*IF($C65="Operacional",IFERROR(VLOOKUP($D65,SN_UGC,28,0),0),1)</f>
        <v>105550.12628952001</v>
      </c>
      <c r="M65" s="120">
        <f>$E65*'C2 - Funcionários #'!AM67*IF($C65="Operacional",IFERROR(VLOOKUP($D65,SN_UGC,28,0),0),1)</f>
        <v>105550.12628952001</v>
      </c>
      <c r="N65" s="120">
        <f>$E65*'C2 - Funcionários #'!AN67*IF($C65="Operacional",IFERROR(VLOOKUP($D65,SN_UGC,28,0),0),1)</f>
        <v>105550.12628952001</v>
      </c>
      <c r="O65" s="120">
        <f>$E65*'C2 - Funcionários #'!AO67*IF($C65="Operacional",IFERROR(VLOOKUP($D65,SN_UGC,28,0),0),1)</f>
        <v>105550.12628952001</v>
      </c>
      <c r="P65" s="120">
        <f>$E65*'C2 - Funcionários #'!AP67*IF($C65="Operacional",IFERROR(VLOOKUP($D65,SN_UGC,28,0),0),1)</f>
        <v>105550.12628952001</v>
      </c>
      <c r="Q65" s="120">
        <f>$E65*'C2 - Funcionários #'!AQ67*IF($C65="Operacional",IFERROR(VLOOKUP($D65,SN_UGC,28,0),0),1)</f>
        <v>105550.12628952001</v>
      </c>
      <c r="R65" s="120">
        <f>$E65*'C2 - Funcionários #'!AR67*IF($C65="Operacional",IFERROR(VLOOKUP($D65,SN_UGC,28,0),0),1)</f>
        <v>105550.12628952001</v>
      </c>
      <c r="S65" s="120">
        <f>$E65*'C2 - Funcionários #'!AS67*IF($C65="Operacional",IFERROR(VLOOKUP($D65,SN_UGC,28,0),0),1)</f>
        <v>105550.12628952001</v>
      </c>
      <c r="T65" s="120">
        <f>$E65*'C2 - Funcionários #'!AT67*IF($C65="Operacional",IFERROR(VLOOKUP($D65,SN_UGC,28,0),0),1)</f>
        <v>105550.12628952001</v>
      </c>
      <c r="U65" s="120">
        <f>$E65*'C2 - Funcionários #'!AU67*IF($C65="Operacional",IFERROR(VLOOKUP($D65,SN_UGC,28,0),0),1)</f>
        <v>105550.12628952001</v>
      </c>
      <c r="V65" s="120">
        <f>$E65*'C2 - Funcionários #'!AV67*IF($C65="Operacional",IFERROR(VLOOKUP($D65,SN_UGC,28,0),0),1)</f>
        <v>105550.12628952001</v>
      </c>
      <c r="W65" s="120">
        <f>$E65*'C2 - Funcionários #'!AW67*IF($C65="Operacional",IFERROR(VLOOKUP($D65,SN_UGC,28,0),0),1)</f>
        <v>105550.12628952001</v>
      </c>
      <c r="X65" s="120">
        <f>$E65*'C2 - Funcionários #'!AX67*IF($C65="Operacional",IFERROR(VLOOKUP($D65,SN_UGC,28,0),0),1)</f>
        <v>105550.12628952001</v>
      </c>
      <c r="Y65" s="120">
        <f>$E65*'C2 - Funcionários #'!AY67*IF($C65="Operacional",IFERROR(VLOOKUP($D65,SN_UGC,28,0),0),1)</f>
        <v>105550.12628952001</v>
      </c>
      <c r="Z65" s="120">
        <f>$E65*'C2 - Funcionários #'!AZ67*IF($C65="Operacional",IFERROR(VLOOKUP($D65,SN_UGC,28,0),0),1)</f>
        <v>105550.12628952001</v>
      </c>
      <c r="AA65" s="120">
        <f>$E65*'C2 - Funcionários #'!BA67*IF($C65="Operacional",IFERROR(VLOOKUP($D65,SN_UGC,28,0),0),1)</f>
        <v>105550.12628952001</v>
      </c>
      <c r="AB65" s="120">
        <f>$E65*'C2 - Funcionários #'!BB67*IF($C65="Operacional",IFERROR(VLOOKUP($D65,SN_UGC,28,0),0),1)</f>
        <v>105550.12628952001</v>
      </c>
      <c r="AC65" s="120">
        <f>$E65*'C2 - Funcionários #'!BC67*IF($C65="Operacional",IFERROR(VLOOKUP($D65,SN_UGC,28,0),0),1)</f>
        <v>105550.12628952001</v>
      </c>
      <c r="AD65" s="120">
        <f>$E65*'C2 - Funcionários #'!BD67*IF($C65="Operacional",IFERROR(VLOOKUP($D65,SN_UGC,28,0),0),1)</f>
        <v>105550.12628952001</v>
      </c>
      <c r="AE65" s="120">
        <f>$E65*'C2 - Funcionários #'!BE67*IF($C65="Operacional",IFERROR(VLOOKUP($D65,SN_UGC,28,0),0),1)</f>
        <v>105550.12628952001</v>
      </c>
      <c r="AF65" s="120">
        <f>$E65*'C2 - Funcionários #'!BF67*IF($C65="Operacional",IFERROR(VLOOKUP($D65,SN_UGC,28,0),0),1)</f>
        <v>105550.12628952001</v>
      </c>
      <c r="AG65" s="120">
        <f>$E65*'C2 - Funcionários #'!BG67*IF($C65="Operacional",IFERROR(VLOOKUP($D65,SN_UGC,28,0),0),1)</f>
        <v>105550.12628952001</v>
      </c>
      <c r="AH65" s="120">
        <f>$E65*'C2 - Funcionários #'!BH67*IF($C65="Operacional",IFERROR(VLOOKUP($D65,SN_UGC,28,0),0),1)</f>
        <v>105550.12628952001</v>
      </c>
      <c r="AI65" s="120">
        <f>$E65*'C2 - Funcionários #'!BI67*IF($C65="Operacional",IFERROR(VLOOKUP($D65,SN_UGC,28,0),0),1)</f>
        <v>105550.12628952001</v>
      </c>
      <c r="AJ65" s="120">
        <f>$E65*'C2 - Funcionários #'!BJ67*IF($C65="Operacional",IFERROR(VLOOKUP($D65,SN_UGC,28,0),0),1)</f>
        <v>105550.12628952001</v>
      </c>
    </row>
    <row r="66" spans="1:36" ht="15.75" customHeight="1">
      <c r="A66" s="521"/>
      <c r="B66" s="51" t="str">
        <f>'C1 - Cargos e Salários'!B50</f>
        <v>Vigilante - posto fixo</v>
      </c>
      <c r="C66" s="51" t="str">
        <f>'C1 - Cargos e Salários'!C50</f>
        <v>Encargo</v>
      </c>
      <c r="D66" s="51" t="str">
        <f>'C1 - Cargos e Salários'!D50</f>
        <v>Segurança</v>
      </c>
      <c r="E66" s="118">
        <f>'C1 - Cargos e Salários'!K50</f>
        <v>40365.084141520005</v>
      </c>
      <c r="F66" s="119">
        <f>IF(C66="Operacional",IFERROR(VLOOKUP(D66,ReceitaPorTipo,COLUMN('A1 - Serviços e demanda'!$Z$17),0),0),100%)</f>
        <v>1</v>
      </c>
      <c r="G66" s="120">
        <f>E66*F66*'C2 - Funcionários #'!AG68*IF($C66="Operacional",IFERROR(VLOOKUP($D66,SN_UGC,28,0),0),1)</f>
        <v>1614603.3656608001</v>
      </c>
      <c r="H66" s="120">
        <f>$E66*'C2 - Funcionários #'!AH68*IF($C66="Operacional",IFERROR(VLOOKUP($D66,SN_UGC,28,0),0),1)</f>
        <v>1614603.3656608001</v>
      </c>
      <c r="I66" s="120">
        <f>$E66*'C2 - Funcionários #'!AI68*IF($C66="Operacional",IFERROR(VLOOKUP($D66,SN_UGC,28,0),0),1)</f>
        <v>1614603.3656608001</v>
      </c>
      <c r="J66" s="120">
        <f>$E66*'C2 - Funcionários #'!AJ68*IF($C66="Operacional",IFERROR(VLOOKUP($D66,SN_UGC,28,0),0),1)</f>
        <v>1614603.3656608001</v>
      </c>
      <c r="K66" s="120">
        <f>$E66*'C2 - Funcionários #'!AK68*IF($C66="Operacional",IFERROR(VLOOKUP($D66,SN_UGC,28,0),0),1)</f>
        <v>1614603.3656608001</v>
      </c>
      <c r="L66" s="120">
        <f>$E66*'C2 - Funcionários #'!AL68*IF($C66="Operacional",IFERROR(VLOOKUP($D66,SN_UGC,28,0),0),1)</f>
        <v>1614603.3656608001</v>
      </c>
      <c r="M66" s="120">
        <f>$E66*'C2 - Funcionários #'!AM68*IF($C66="Operacional",IFERROR(VLOOKUP($D66,SN_UGC,28,0),0),1)</f>
        <v>1614603.3656608001</v>
      </c>
      <c r="N66" s="120">
        <f>$E66*'C2 - Funcionários #'!AN68*IF($C66="Operacional",IFERROR(VLOOKUP($D66,SN_UGC,28,0),0),1)</f>
        <v>1614603.3656608001</v>
      </c>
      <c r="O66" s="120">
        <f>$E66*'C2 - Funcionários #'!AO68*IF($C66="Operacional",IFERROR(VLOOKUP($D66,SN_UGC,28,0),0),1)</f>
        <v>1614603.3656608001</v>
      </c>
      <c r="P66" s="120">
        <f>$E66*'C2 - Funcionários #'!AP68*IF($C66="Operacional",IFERROR(VLOOKUP($D66,SN_UGC,28,0),0),1)</f>
        <v>1614603.3656608001</v>
      </c>
      <c r="Q66" s="120">
        <f>$E66*'C2 - Funcionários #'!AQ68*IF($C66="Operacional",IFERROR(VLOOKUP($D66,SN_UGC,28,0),0),1)</f>
        <v>1614603.3656608001</v>
      </c>
      <c r="R66" s="120">
        <f>$E66*'C2 - Funcionários #'!AR68*IF($C66="Operacional",IFERROR(VLOOKUP($D66,SN_UGC,28,0),0),1)</f>
        <v>1614603.3656608001</v>
      </c>
      <c r="S66" s="120">
        <f>$E66*'C2 - Funcionários #'!AS68*IF($C66="Operacional",IFERROR(VLOOKUP($D66,SN_UGC,28,0),0),1)</f>
        <v>1614603.3656608001</v>
      </c>
      <c r="T66" s="120">
        <f>$E66*'C2 - Funcionários #'!AT68*IF($C66="Operacional",IFERROR(VLOOKUP($D66,SN_UGC,28,0),0),1)</f>
        <v>1614603.3656608001</v>
      </c>
      <c r="U66" s="120">
        <f>$E66*'C2 - Funcionários #'!AU68*IF($C66="Operacional",IFERROR(VLOOKUP($D66,SN_UGC,28,0),0),1)</f>
        <v>1614603.3656608001</v>
      </c>
      <c r="V66" s="120">
        <f>$E66*'C2 - Funcionários #'!AV68*IF($C66="Operacional",IFERROR(VLOOKUP($D66,SN_UGC,28,0),0),1)</f>
        <v>1614603.3656608001</v>
      </c>
      <c r="W66" s="120">
        <f>$E66*'C2 - Funcionários #'!AW68*IF($C66="Operacional",IFERROR(VLOOKUP($D66,SN_UGC,28,0),0),1)</f>
        <v>1614603.3656608001</v>
      </c>
      <c r="X66" s="120">
        <f>$E66*'C2 - Funcionários #'!AX68*IF($C66="Operacional",IFERROR(VLOOKUP($D66,SN_UGC,28,0),0),1)</f>
        <v>1614603.3656608001</v>
      </c>
      <c r="Y66" s="120">
        <f>$E66*'C2 - Funcionários #'!AY68*IF($C66="Operacional",IFERROR(VLOOKUP($D66,SN_UGC,28,0),0),1)</f>
        <v>1614603.3656608001</v>
      </c>
      <c r="Z66" s="120">
        <f>$E66*'C2 - Funcionários #'!AZ68*IF($C66="Operacional",IFERROR(VLOOKUP($D66,SN_UGC,28,0),0),1)</f>
        <v>1614603.3656608001</v>
      </c>
      <c r="AA66" s="120">
        <f>$E66*'C2 - Funcionários #'!BA68*IF($C66="Operacional",IFERROR(VLOOKUP($D66,SN_UGC,28,0),0),1)</f>
        <v>1614603.3656608001</v>
      </c>
      <c r="AB66" s="120">
        <f>$E66*'C2 - Funcionários #'!BB68*IF($C66="Operacional",IFERROR(VLOOKUP($D66,SN_UGC,28,0),0),1)</f>
        <v>1614603.3656608001</v>
      </c>
      <c r="AC66" s="120">
        <f>$E66*'C2 - Funcionários #'!BC68*IF($C66="Operacional",IFERROR(VLOOKUP($D66,SN_UGC,28,0),0),1)</f>
        <v>1614603.3656608001</v>
      </c>
      <c r="AD66" s="120">
        <f>$E66*'C2 - Funcionários #'!BD68*IF($C66="Operacional",IFERROR(VLOOKUP($D66,SN_UGC,28,0),0),1)</f>
        <v>1614603.3656608001</v>
      </c>
      <c r="AE66" s="120">
        <f>$E66*'C2 - Funcionários #'!BE68*IF($C66="Operacional",IFERROR(VLOOKUP($D66,SN_UGC,28,0),0),1)</f>
        <v>1614603.3656608001</v>
      </c>
      <c r="AF66" s="120">
        <f>$E66*'C2 - Funcionários #'!BF68*IF($C66="Operacional",IFERROR(VLOOKUP($D66,SN_UGC,28,0),0),1)</f>
        <v>1614603.3656608001</v>
      </c>
      <c r="AG66" s="120">
        <f>$E66*'C2 - Funcionários #'!BG68*IF($C66="Operacional",IFERROR(VLOOKUP($D66,SN_UGC,28,0),0),1)</f>
        <v>1614603.3656608001</v>
      </c>
      <c r="AH66" s="120">
        <f>$E66*'C2 - Funcionários #'!BH68*IF($C66="Operacional",IFERROR(VLOOKUP($D66,SN_UGC,28,0),0),1)</f>
        <v>1614603.3656608001</v>
      </c>
      <c r="AI66" s="120">
        <f>$E66*'C2 - Funcionários #'!BI68*IF($C66="Operacional",IFERROR(VLOOKUP($D66,SN_UGC,28,0),0),1)</f>
        <v>1614603.3656608001</v>
      </c>
      <c r="AJ66" s="120">
        <f>$E66*'C2 - Funcionários #'!BJ68*IF($C66="Operacional",IFERROR(VLOOKUP($D66,SN_UGC,28,0),0),1)</f>
        <v>1614603.3656608001</v>
      </c>
    </row>
    <row r="67" spans="1:36" ht="15.75" customHeight="1">
      <c r="A67" s="521"/>
      <c r="B67" s="51">
        <f>'C1 - Cargos e Salários'!B51</f>
        <v>0</v>
      </c>
      <c r="C67" s="51">
        <f>'C1 - Cargos e Salários'!C51</f>
        <v>0</v>
      </c>
      <c r="D67" s="51">
        <f>'C1 - Cargos e Salários'!D51</f>
        <v>0</v>
      </c>
      <c r="E67" s="118">
        <f>'C1 - Cargos e Salários'!K51</f>
        <v>0</v>
      </c>
      <c r="F67" s="119">
        <f>IF(C67="Operacional",IFERROR(VLOOKUP(D67,ReceitaPorTipo,COLUMN('A1 - Serviços e demanda'!$Z$17),0),0),100%)</f>
        <v>1</v>
      </c>
      <c r="G67" s="120">
        <f>E67*F67*'C2 - Funcionários #'!AG69*IF($C67="Operacional",IFERROR(VLOOKUP($D67,SN_UGC,28,0),0),1)</f>
        <v>0</v>
      </c>
      <c r="H67" s="120">
        <f>$E67*'C2 - Funcionários #'!AH69*IF($C67="Operacional",IFERROR(VLOOKUP($D67,SN_UGC,28,0),0),1)</f>
        <v>0</v>
      </c>
      <c r="I67" s="120">
        <f>$E67*'C2 - Funcionários #'!AI69*IF($C67="Operacional",IFERROR(VLOOKUP($D67,SN_UGC,28,0),0),1)</f>
        <v>0</v>
      </c>
      <c r="J67" s="120">
        <f>$E67*'C2 - Funcionários #'!AJ69*IF($C67="Operacional",IFERROR(VLOOKUP($D67,SN_UGC,28,0),0),1)</f>
        <v>0</v>
      </c>
      <c r="K67" s="120">
        <f>$E67*'C2 - Funcionários #'!AK69*IF($C67="Operacional",IFERROR(VLOOKUP($D67,SN_UGC,28,0),0),1)</f>
        <v>0</v>
      </c>
      <c r="L67" s="120">
        <f>$E67*'C2 - Funcionários #'!AL69*IF($C67="Operacional",IFERROR(VLOOKUP($D67,SN_UGC,28,0),0),1)</f>
        <v>0</v>
      </c>
      <c r="M67" s="120">
        <f>$E67*'C2 - Funcionários #'!AM69*IF($C67="Operacional",IFERROR(VLOOKUP($D67,SN_UGC,28,0),0),1)</f>
        <v>0</v>
      </c>
      <c r="N67" s="120">
        <f>$E67*'C2 - Funcionários #'!AN69*IF($C67="Operacional",IFERROR(VLOOKUP($D67,SN_UGC,28,0),0),1)</f>
        <v>0</v>
      </c>
      <c r="O67" s="120">
        <f>$E67*'C2 - Funcionários #'!AO69*IF($C67="Operacional",IFERROR(VLOOKUP($D67,SN_UGC,28,0),0),1)</f>
        <v>0</v>
      </c>
      <c r="P67" s="120">
        <f>$E67*'C2 - Funcionários #'!AP69*IF($C67="Operacional",IFERROR(VLOOKUP($D67,SN_UGC,28,0),0),1)</f>
        <v>0</v>
      </c>
      <c r="Q67" s="120">
        <f>$E67*'C2 - Funcionários #'!AQ69*IF($C67="Operacional",IFERROR(VLOOKUP($D67,SN_UGC,28,0),0),1)</f>
        <v>0</v>
      </c>
      <c r="R67" s="120">
        <f>$E67*'C2 - Funcionários #'!AR69*IF($C67="Operacional",IFERROR(VLOOKUP($D67,SN_UGC,28,0),0),1)</f>
        <v>0</v>
      </c>
      <c r="S67" s="120">
        <f>$E67*'C2 - Funcionários #'!AS69*IF($C67="Operacional",IFERROR(VLOOKUP($D67,SN_UGC,28,0),0),1)</f>
        <v>0</v>
      </c>
      <c r="T67" s="120">
        <f>$E67*'C2 - Funcionários #'!AT69*IF($C67="Operacional",IFERROR(VLOOKUP($D67,SN_UGC,28,0),0),1)</f>
        <v>0</v>
      </c>
      <c r="U67" s="120">
        <f>$E67*'C2 - Funcionários #'!AU69*IF($C67="Operacional",IFERROR(VLOOKUP($D67,SN_UGC,28,0),0),1)</f>
        <v>0</v>
      </c>
      <c r="V67" s="120">
        <f>$E67*'C2 - Funcionários #'!AV69*IF($C67="Operacional",IFERROR(VLOOKUP($D67,SN_UGC,28,0),0),1)</f>
        <v>0</v>
      </c>
      <c r="W67" s="120">
        <f>$E67*'C2 - Funcionários #'!AW69*IF($C67="Operacional",IFERROR(VLOOKUP($D67,SN_UGC,28,0),0),1)</f>
        <v>0</v>
      </c>
      <c r="X67" s="120">
        <f>$E67*'C2 - Funcionários #'!AX69*IF($C67="Operacional",IFERROR(VLOOKUP($D67,SN_UGC,28,0),0),1)</f>
        <v>0</v>
      </c>
      <c r="Y67" s="120">
        <f>$E67*'C2 - Funcionários #'!AY69*IF($C67="Operacional",IFERROR(VLOOKUP($D67,SN_UGC,28,0),0),1)</f>
        <v>0</v>
      </c>
      <c r="Z67" s="120">
        <f>$E67*'C2 - Funcionários #'!AZ69*IF($C67="Operacional",IFERROR(VLOOKUP($D67,SN_UGC,28,0),0),1)</f>
        <v>0</v>
      </c>
      <c r="AA67" s="120">
        <f>$E67*'C2 - Funcionários #'!BA69*IF($C67="Operacional",IFERROR(VLOOKUP($D67,SN_UGC,28,0),0),1)</f>
        <v>0</v>
      </c>
      <c r="AB67" s="120">
        <f>$E67*'C2 - Funcionários #'!BB69*IF($C67="Operacional",IFERROR(VLOOKUP($D67,SN_UGC,28,0),0),1)</f>
        <v>0</v>
      </c>
      <c r="AC67" s="120">
        <f>$E67*'C2 - Funcionários #'!BC69*IF($C67="Operacional",IFERROR(VLOOKUP($D67,SN_UGC,28,0),0),1)</f>
        <v>0</v>
      </c>
      <c r="AD67" s="120">
        <f>$E67*'C2 - Funcionários #'!BD69*IF($C67="Operacional",IFERROR(VLOOKUP($D67,SN_UGC,28,0),0),1)</f>
        <v>0</v>
      </c>
      <c r="AE67" s="120">
        <f>$E67*'C2 - Funcionários #'!BE69*IF($C67="Operacional",IFERROR(VLOOKUP($D67,SN_UGC,28,0),0),1)</f>
        <v>0</v>
      </c>
      <c r="AF67" s="120">
        <f>$E67*'C2 - Funcionários #'!BF69*IF($C67="Operacional",IFERROR(VLOOKUP($D67,SN_UGC,28,0),0),1)</f>
        <v>0</v>
      </c>
      <c r="AG67" s="120">
        <f>$E67*'C2 - Funcionários #'!BG69*IF($C67="Operacional",IFERROR(VLOOKUP($D67,SN_UGC,28,0),0),1)</f>
        <v>0</v>
      </c>
      <c r="AH67" s="120">
        <f>$E67*'C2 - Funcionários #'!BH69*IF($C67="Operacional",IFERROR(VLOOKUP($D67,SN_UGC,28,0),0),1)</f>
        <v>0</v>
      </c>
      <c r="AI67" s="120">
        <f>$E67*'C2 - Funcionários #'!BI69*IF($C67="Operacional",IFERROR(VLOOKUP($D67,SN_UGC,28,0),0),1)</f>
        <v>0</v>
      </c>
      <c r="AJ67" s="120">
        <f>$E67*'C2 - Funcionários #'!BJ69*IF($C67="Operacional",IFERROR(VLOOKUP($D67,SN_UGC,28,0),0),1)</f>
        <v>0</v>
      </c>
    </row>
    <row r="68" spans="1:36" ht="15.75" customHeight="1">
      <c r="A68" s="521"/>
      <c r="B68" s="51">
        <f>'C1 - Cargos e Salários'!B52</f>
        <v>0</v>
      </c>
      <c r="C68" s="51">
        <f>'C1 - Cargos e Salários'!C52</f>
        <v>0</v>
      </c>
      <c r="D68" s="51">
        <f>'C1 - Cargos e Salários'!D52</f>
        <v>0</v>
      </c>
      <c r="E68" s="118">
        <f>'C1 - Cargos e Salários'!K52</f>
        <v>0</v>
      </c>
      <c r="F68" s="119">
        <f>IF(C68="Operacional",IFERROR(VLOOKUP(D68,ReceitaPorTipo,COLUMN('A1 - Serviços e demanda'!$Z$17),0),0),100%)</f>
        <v>1</v>
      </c>
      <c r="G68" s="120">
        <f>E68*F68*'C2 - Funcionários #'!AG70*IF($C68="Operacional",IFERROR(VLOOKUP($D68,SN_UGC,28,0),0),1)</f>
        <v>0</v>
      </c>
      <c r="H68" s="120">
        <f>$E68*'C2 - Funcionários #'!AH70*IF($C68="Operacional",IFERROR(VLOOKUP($D68,SN_UGC,28,0),0),1)</f>
        <v>0</v>
      </c>
      <c r="I68" s="120">
        <f>$E68*'C2 - Funcionários #'!AI70*IF($C68="Operacional",IFERROR(VLOOKUP($D68,SN_UGC,28,0),0),1)</f>
        <v>0</v>
      </c>
      <c r="J68" s="120">
        <f>$E68*'C2 - Funcionários #'!AJ70*IF($C68="Operacional",IFERROR(VLOOKUP($D68,SN_UGC,28,0),0),1)</f>
        <v>0</v>
      </c>
      <c r="K68" s="120">
        <f>$E68*'C2 - Funcionários #'!AK70*IF($C68="Operacional",IFERROR(VLOOKUP($D68,SN_UGC,28,0),0),1)</f>
        <v>0</v>
      </c>
      <c r="L68" s="120">
        <f>$E68*'C2 - Funcionários #'!AL70*IF($C68="Operacional",IFERROR(VLOOKUP($D68,SN_UGC,28,0),0),1)</f>
        <v>0</v>
      </c>
      <c r="M68" s="120">
        <f>$E68*'C2 - Funcionários #'!AM70*IF($C68="Operacional",IFERROR(VLOOKUP($D68,SN_UGC,28,0),0),1)</f>
        <v>0</v>
      </c>
      <c r="N68" s="120">
        <f>$E68*'C2 - Funcionários #'!AN70*IF($C68="Operacional",IFERROR(VLOOKUP($D68,SN_UGC,28,0),0),1)</f>
        <v>0</v>
      </c>
      <c r="O68" s="120">
        <f>$E68*'C2 - Funcionários #'!AO70*IF($C68="Operacional",IFERROR(VLOOKUP($D68,SN_UGC,28,0),0),1)</f>
        <v>0</v>
      </c>
      <c r="P68" s="120">
        <f>$E68*'C2 - Funcionários #'!AP70*IF($C68="Operacional",IFERROR(VLOOKUP($D68,SN_UGC,28,0),0),1)</f>
        <v>0</v>
      </c>
      <c r="Q68" s="120">
        <f>$E68*'C2 - Funcionários #'!AQ70*IF($C68="Operacional",IFERROR(VLOOKUP($D68,SN_UGC,28,0),0),1)</f>
        <v>0</v>
      </c>
      <c r="R68" s="120">
        <f>$E68*'C2 - Funcionários #'!AR70*IF($C68="Operacional",IFERROR(VLOOKUP($D68,SN_UGC,28,0),0),1)</f>
        <v>0</v>
      </c>
      <c r="S68" s="120">
        <f>$E68*'C2 - Funcionários #'!AS70*IF($C68="Operacional",IFERROR(VLOOKUP($D68,SN_UGC,28,0),0),1)</f>
        <v>0</v>
      </c>
      <c r="T68" s="120">
        <f>$E68*'C2 - Funcionários #'!AT70*IF($C68="Operacional",IFERROR(VLOOKUP($D68,SN_UGC,28,0),0),1)</f>
        <v>0</v>
      </c>
      <c r="U68" s="120">
        <f>$E68*'C2 - Funcionários #'!AU70*IF($C68="Operacional",IFERROR(VLOOKUP($D68,SN_UGC,28,0),0),1)</f>
        <v>0</v>
      </c>
      <c r="V68" s="120">
        <f>$E68*'C2 - Funcionários #'!AV70*IF($C68="Operacional",IFERROR(VLOOKUP($D68,SN_UGC,28,0),0),1)</f>
        <v>0</v>
      </c>
      <c r="W68" s="120">
        <f>$E68*'C2 - Funcionários #'!AW70*IF($C68="Operacional",IFERROR(VLOOKUP($D68,SN_UGC,28,0),0),1)</f>
        <v>0</v>
      </c>
      <c r="X68" s="120">
        <f>$E68*'C2 - Funcionários #'!AX70*IF($C68="Operacional",IFERROR(VLOOKUP($D68,SN_UGC,28,0),0),1)</f>
        <v>0</v>
      </c>
      <c r="Y68" s="120">
        <f>$E68*'C2 - Funcionários #'!AY70*IF($C68="Operacional",IFERROR(VLOOKUP($D68,SN_UGC,28,0),0),1)</f>
        <v>0</v>
      </c>
      <c r="Z68" s="120">
        <f>$E68*'C2 - Funcionários #'!AZ70*IF($C68="Operacional",IFERROR(VLOOKUP($D68,SN_UGC,28,0),0),1)</f>
        <v>0</v>
      </c>
      <c r="AA68" s="120">
        <f>$E68*'C2 - Funcionários #'!BA70*IF($C68="Operacional",IFERROR(VLOOKUP($D68,SN_UGC,28,0),0),1)</f>
        <v>0</v>
      </c>
      <c r="AB68" s="120">
        <f>$E68*'C2 - Funcionários #'!BB70*IF($C68="Operacional",IFERROR(VLOOKUP($D68,SN_UGC,28,0),0),1)</f>
        <v>0</v>
      </c>
      <c r="AC68" s="120">
        <f>$E68*'C2 - Funcionários #'!BC70*IF($C68="Operacional",IFERROR(VLOOKUP($D68,SN_UGC,28,0),0),1)</f>
        <v>0</v>
      </c>
      <c r="AD68" s="120">
        <f>$E68*'C2 - Funcionários #'!BD70*IF($C68="Operacional",IFERROR(VLOOKUP($D68,SN_UGC,28,0),0),1)</f>
        <v>0</v>
      </c>
      <c r="AE68" s="120">
        <f>$E68*'C2 - Funcionários #'!BE70*IF($C68="Operacional",IFERROR(VLOOKUP($D68,SN_UGC,28,0),0),1)</f>
        <v>0</v>
      </c>
      <c r="AF68" s="120">
        <f>$E68*'C2 - Funcionários #'!BF70*IF($C68="Operacional",IFERROR(VLOOKUP($D68,SN_UGC,28,0),0),1)</f>
        <v>0</v>
      </c>
      <c r="AG68" s="120">
        <f>$E68*'C2 - Funcionários #'!BG70*IF($C68="Operacional",IFERROR(VLOOKUP($D68,SN_UGC,28,0),0),1)</f>
        <v>0</v>
      </c>
      <c r="AH68" s="120">
        <f>$E68*'C2 - Funcionários #'!BH70*IF($C68="Operacional",IFERROR(VLOOKUP($D68,SN_UGC,28,0),0),1)</f>
        <v>0</v>
      </c>
      <c r="AI68" s="120">
        <f>$E68*'C2 - Funcionários #'!BI70*IF($C68="Operacional",IFERROR(VLOOKUP($D68,SN_UGC,28,0),0),1)</f>
        <v>0</v>
      </c>
      <c r="AJ68" s="120">
        <f>$E68*'C2 - Funcionários #'!BJ70*IF($C68="Operacional",IFERROR(VLOOKUP($D68,SN_UGC,28,0),0),1)</f>
        <v>0</v>
      </c>
    </row>
    <row r="69" spans="1:36" ht="15.75" customHeight="1">
      <c r="A69" s="521"/>
      <c r="B69" s="51">
        <f>'C1 - Cargos e Salários'!B53</f>
        <v>0</v>
      </c>
      <c r="C69" s="51">
        <f>'C1 - Cargos e Salários'!C53</f>
        <v>0</v>
      </c>
      <c r="D69" s="51">
        <f>'C1 - Cargos e Salários'!D53</f>
        <v>0</v>
      </c>
      <c r="E69" s="118">
        <f>'C1 - Cargos e Salários'!K53</f>
        <v>0</v>
      </c>
      <c r="F69" s="119">
        <f>IF(C69="Operacional",IFERROR(VLOOKUP(D69,ReceitaPorTipo,COLUMN('A1 - Serviços e demanda'!$Z$17),0),0),100%)</f>
        <v>1</v>
      </c>
      <c r="G69" s="120">
        <f>E69*F69*'C2 - Funcionários #'!AG71*IF($C69="Operacional",IFERROR(VLOOKUP($D69,SN_UGC,28,0),0),1)</f>
        <v>0</v>
      </c>
      <c r="H69" s="120">
        <f>$E69*'C2 - Funcionários #'!AH71*IF($C69="Operacional",IFERROR(VLOOKUP($D69,SN_UGC,28,0),0),1)</f>
        <v>0</v>
      </c>
      <c r="I69" s="120">
        <f>$E69*'C2 - Funcionários #'!AI71*IF($C69="Operacional",IFERROR(VLOOKUP($D69,SN_UGC,28,0),0),1)</f>
        <v>0</v>
      </c>
      <c r="J69" s="120">
        <f>$E69*'C2 - Funcionários #'!AJ71*IF($C69="Operacional",IFERROR(VLOOKUP($D69,SN_UGC,28,0),0),1)</f>
        <v>0</v>
      </c>
      <c r="K69" s="120">
        <f>$E69*'C2 - Funcionários #'!AK71*IF($C69="Operacional",IFERROR(VLOOKUP($D69,SN_UGC,28,0),0),1)</f>
        <v>0</v>
      </c>
      <c r="L69" s="120">
        <f>$E69*'C2 - Funcionários #'!AL71*IF($C69="Operacional",IFERROR(VLOOKUP($D69,SN_UGC,28,0),0),1)</f>
        <v>0</v>
      </c>
      <c r="M69" s="120">
        <f>$E69*'C2 - Funcionários #'!AM71*IF($C69="Operacional",IFERROR(VLOOKUP($D69,SN_UGC,28,0),0),1)</f>
        <v>0</v>
      </c>
      <c r="N69" s="120">
        <f>$E69*'C2 - Funcionários #'!AN71*IF($C69="Operacional",IFERROR(VLOOKUP($D69,SN_UGC,28,0),0),1)</f>
        <v>0</v>
      </c>
      <c r="O69" s="120">
        <f>$E69*'C2 - Funcionários #'!AO71*IF($C69="Operacional",IFERROR(VLOOKUP($D69,SN_UGC,28,0),0),1)</f>
        <v>0</v>
      </c>
      <c r="P69" s="120">
        <f>$E69*'C2 - Funcionários #'!AP71*IF($C69="Operacional",IFERROR(VLOOKUP($D69,SN_UGC,28,0),0),1)</f>
        <v>0</v>
      </c>
      <c r="Q69" s="120">
        <f>$E69*'C2 - Funcionários #'!AQ71*IF($C69="Operacional",IFERROR(VLOOKUP($D69,SN_UGC,28,0),0),1)</f>
        <v>0</v>
      </c>
      <c r="R69" s="120">
        <f>$E69*'C2 - Funcionários #'!AR71*IF($C69="Operacional",IFERROR(VLOOKUP($D69,SN_UGC,28,0),0),1)</f>
        <v>0</v>
      </c>
      <c r="S69" s="120">
        <f>$E69*'C2 - Funcionários #'!AS71*IF($C69="Operacional",IFERROR(VLOOKUP($D69,SN_UGC,28,0),0),1)</f>
        <v>0</v>
      </c>
      <c r="T69" s="120">
        <f>$E69*'C2 - Funcionários #'!AT71*IF($C69="Operacional",IFERROR(VLOOKUP($D69,SN_UGC,28,0),0),1)</f>
        <v>0</v>
      </c>
      <c r="U69" s="120">
        <f>$E69*'C2 - Funcionários #'!AU71*IF($C69="Operacional",IFERROR(VLOOKUP($D69,SN_UGC,28,0),0),1)</f>
        <v>0</v>
      </c>
      <c r="V69" s="120">
        <f>$E69*'C2 - Funcionários #'!AV71*IF($C69="Operacional",IFERROR(VLOOKUP($D69,SN_UGC,28,0),0),1)</f>
        <v>0</v>
      </c>
      <c r="W69" s="120">
        <f>$E69*'C2 - Funcionários #'!AW71*IF($C69="Operacional",IFERROR(VLOOKUP($D69,SN_UGC,28,0),0),1)</f>
        <v>0</v>
      </c>
      <c r="X69" s="120">
        <f>$E69*'C2 - Funcionários #'!AX71*IF($C69="Operacional",IFERROR(VLOOKUP($D69,SN_UGC,28,0),0),1)</f>
        <v>0</v>
      </c>
      <c r="Y69" s="120">
        <f>$E69*'C2 - Funcionários #'!AY71*IF($C69="Operacional",IFERROR(VLOOKUP($D69,SN_UGC,28,0),0),1)</f>
        <v>0</v>
      </c>
      <c r="Z69" s="120">
        <f>$E69*'C2 - Funcionários #'!AZ71*IF($C69="Operacional",IFERROR(VLOOKUP($D69,SN_UGC,28,0),0),1)</f>
        <v>0</v>
      </c>
      <c r="AA69" s="120">
        <f>$E69*'C2 - Funcionários #'!BA71*IF($C69="Operacional",IFERROR(VLOOKUP($D69,SN_UGC,28,0),0),1)</f>
        <v>0</v>
      </c>
      <c r="AB69" s="120">
        <f>$E69*'C2 - Funcionários #'!BB71*IF($C69="Operacional",IFERROR(VLOOKUP($D69,SN_UGC,28,0),0),1)</f>
        <v>0</v>
      </c>
      <c r="AC69" s="120">
        <f>$E69*'C2 - Funcionários #'!BC71*IF($C69="Operacional",IFERROR(VLOOKUP($D69,SN_UGC,28,0),0),1)</f>
        <v>0</v>
      </c>
      <c r="AD69" s="120">
        <f>$E69*'C2 - Funcionários #'!BD71*IF($C69="Operacional",IFERROR(VLOOKUP($D69,SN_UGC,28,0),0),1)</f>
        <v>0</v>
      </c>
      <c r="AE69" s="120">
        <f>$E69*'C2 - Funcionários #'!BE71*IF($C69="Operacional",IFERROR(VLOOKUP($D69,SN_UGC,28,0),0),1)</f>
        <v>0</v>
      </c>
      <c r="AF69" s="120">
        <f>$E69*'C2 - Funcionários #'!BF71*IF($C69="Operacional",IFERROR(VLOOKUP($D69,SN_UGC,28,0),0),1)</f>
        <v>0</v>
      </c>
      <c r="AG69" s="120">
        <f>$E69*'C2 - Funcionários #'!BG71*IF($C69="Operacional",IFERROR(VLOOKUP($D69,SN_UGC,28,0),0),1)</f>
        <v>0</v>
      </c>
      <c r="AH69" s="120">
        <f>$E69*'C2 - Funcionários #'!BH71*IF($C69="Operacional",IFERROR(VLOOKUP($D69,SN_UGC,28,0),0),1)</f>
        <v>0</v>
      </c>
      <c r="AI69" s="120">
        <f>$E69*'C2 - Funcionários #'!BI71*IF($C69="Operacional",IFERROR(VLOOKUP($D69,SN_UGC,28,0),0),1)</f>
        <v>0</v>
      </c>
      <c r="AJ69" s="120">
        <f>$E69*'C2 - Funcionários #'!BJ71*IF($C69="Operacional",IFERROR(VLOOKUP($D69,SN_UGC,28,0),0),1)</f>
        <v>0</v>
      </c>
    </row>
    <row r="70" spans="1:36" ht="15.75" customHeight="1">
      <c r="A70" s="521"/>
      <c r="B70" s="51">
        <f>'C1 - Cargos e Salários'!B54</f>
        <v>0</v>
      </c>
      <c r="C70" s="51">
        <f>'C1 - Cargos e Salários'!C54</f>
        <v>0</v>
      </c>
      <c r="D70" s="51">
        <f>'C1 - Cargos e Salários'!D54</f>
        <v>0</v>
      </c>
      <c r="E70" s="118">
        <f>'C1 - Cargos e Salários'!K54</f>
        <v>0</v>
      </c>
      <c r="F70" s="119">
        <f>IF(C70="Operacional",IFERROR(VLOOKUP(D70,ReceitaPorTipo,COLUMN('A1 - Serviços e demanda'!$Z$17),0),0),100%)</f>
        <v>1</v>
      </c>
      <c r="G70" s="120">
        <f>E70*F70*'C2 - Funcionários #'!AG72*IF($C70="Operacional",IFERROR(VLOOKUP($D70,SN_UGC,28,0),0),1)</f>
        <v>0</v>
      </c>
      <c r="H70" s="120">
        <f>$E70*'C2 - Funcionários #'!AH72*IF($C70="Operacional",IFERROR(VLOOKUP($D70,SN_UGC,28,0),0),1)</f>
        <v>0</v>
      </c>
      <c r="I70" s="120">
        <f>$E70*'C2 - Funcionários #'!AI72*IF($C70="Operacional",IFERROR(VLOOKUP($D70,SN_UGC,28,0),0),1)</f>
        <v>0</v>
      </c>
      <c r="J70" s="120">
        <f>$E70*'C2 - Funcionários #'!AJ72*IF($C70="Operacional",IFERROR(VLOOKUP($D70,SN_UGC,28,0),0),1)</f>
        <v>0</v>
      </c>
      <c r="K70" s="120">
        <f>$E70*'C2 - Funcionários #'!AK72*IF($C70="Operacional",IFERROR(VLOOKUP($D70,SN_UGC,28,0),0),1)</f>
        <v>0</v>
      </c>
      <c r="L70" s="120">
        <f>$E70*'C2 - Funcionários #'!AL72*IF($C70="Operacional",IFERROR(VLOOKUP($D70,SN_UGC,28,0),0),1)</f>
        <v>0</v>
      </c>
      <c r="M70" s="120">
        <f>$E70*'C2 - Funcionários #'!AM72*IF($C70="Operacional",IFERROR(VLOOKUP($D70,SN_UGC,28,0),0),1)</f>
        <v>0</v>
      </c>
      <c r="N70" s="120">
        <f>$E70*'C2 - Funcionários #'!AN72*IF($C70="Operacional",IFERROR(VLOOKUP($D70,SN_UGC,28,0),0),1)</f>
        <v>0</v>
      </c>
      <c r="O70" s="120">
        <f>$E70*'C2 - Funcionários #'!AO72*IF($C70="Operacional",IFERROR(VLOOKUP($D70,SN_UGC,28,0),0),1)</f>
        <v>0</v>
      </c>
      <c r="P70" s="120">
        <f>$E70*'C2 - Funcionários #'!AP72*IF($C70="Operacional",IFERROR(VLOOKUP($D70,SN_UGC,28,0),0),1)</f>
        <v>0</v>
      </c>
      <c r="Q70" s="120">
        <f>$E70*'C2 - Funcionários #'!AQ72*IF($C70="Operacional",IFERROR(VLOOKUP($D70,SN_UGC,28,0),0),1)</f>
        <v>0</v>
      </c>
      <c r="R70" s="120">
        <f>$E70*'C2 - Funcionários #'!AR72*IF($C70="Operacional",IFERROR(VLOOKUP($D70,SN_UGC,28,0),0),1)</f>
        <v>0</v>
      </c>
      <c r="S70" s="120">
        <f>$E70*'C2 - Funcionários #'!AS72*IF($C70="Operacional",IFERROR(VLOOKUP($D70,SN_UGC,28,0),0),1)</f>
        <v>0</v>
      </c>
      <c r="T70" s="120">
        <f>$E70*'C2 - Funcionários #'!AT72*IF($C70="Operacional",IFERROR(VLOOKUP($D70,SN_UGC,28,0),0),1)</f>
        <v>0</v>
      </c>
      <c r="U70" s="120">
        <f>$E70*'C2 - Funcionários #'!AU72*IF($C70="Operacional",IFERROR(VLOOKUP($D70,SN_UGC,28,0),0),1)</f>
        <v>0</v>
      </c>
      <c r="V70" s="120">
        <f>$E70*'C2 - Funcionários #'!AV72*IF($C70="Operacional",IFERROR(VLOOKUP($D70,SN_UGC,28,0),0),1)</f>
        <v>0</v>
      </c>
      <c r="W70" s="120">
        <f>$E70*'C2 - Funcionários #'!AW72*IF($C70="Operacional",IFERROR(VLOOKUP($D70,SN_UGC,28,0),0),1)</f>
        <v>0</v>
      </c>
      <c r="X70" s="120">
        <f>$E70*'C2 - Funcionários #'!AX72*IF($C70="Operacional",IFERROR(VLOOKUP($D70,SN_UGC,28,0),0),1)</f>
        <v>0</v>
      </c>
      <c r="Y70" s="120">
        <f>$E70*'C2 - Funcionários #'!AY72*IF($C70="Operacional",IFERROR(VLOOKUP($D70,SN_UGC,28,0),0),1)</f>
        <v>0</v>
      </c>
      <c r="Z70" s="120">
        <f>$E70*'C2 - Funcionários #'!AZ72*IF($C70="Operacional",IFERROR(VLOOKUP($D70,SN_UGC,28,0),0),1)</f>
        <v>0</v>
      </c>
      <c r="AA70" s="120">
        <f>$E70*'C2 - Funcionários #'!BA72*IF($C70="Operacional",IFERROR(VLOOKUP($D70,SN_UGC,28,0),0),1)</f>
        <v>0</v>
      </c>
      <c r="AB70" s="120">
        <f>$E70*'C2 - Funcionários #'!BB72*IF($C70="Operacional",IFERROR(VLOOKUP($D70,SN_UGC,28,0),0),1)</f>
        <v>0</v>
      </c>
      <c r="AC70" s="120">
        <f>$E70*'C2 - Funcionários #'!BC72*IF($C70="Operacional",IFERROR(VLOOKUP($D70,SN_UGC,28,0),0),1)</f>
        <v>0</v>
      </c>
      <c r="AD70" s="120">
        <f>$E70*'C2 - Funcionários #'!BD72*IF($C70="Operacional",IFERROR(VLOOKUP($D70,SN_UGC,28,0),0),1)</f>
        <v>0</v>
      </c>
      <c r="AE70" s="120">
        <f>$E70*'C2 - Funcionários #'!BE72*IF($C70="Operacional",IFERROR(VLOOKUP($D70,SN_UGC,28,0),0),1)</f>
        <v>0</v>
      </c>
      <c r="AF70" s="120">
        <f>$E70*'C2 - Funcionários #'!BF72*IF($C70="Operacional",IFERROR(VLOOKUP($D70,SN_UGC,28,0),0),1)</f>
        <v>0</v>
      </c>
      <c r="AG70" s="120">
        <f>$E70*'C2 - Funcionários #'!BG72*IF($C70="Operacional",IFERROR(VLOOKUP($D70,SN_UGC,28,0),0),1)</f>
        <v>0</v>
      </c>
      <c r="AH70" s="120">
        <f>$E70*'C2 - Funcionários #'!BH72*IF($C70="Operacional",IFERROR(VLOOKUP($D70,SN_UGC,28,0),0),1)</f>
        <v>0</v>
      </c>
      <c r="AI70" s="120">
        <f>$E70*'C2 - Funcionários #'!BI72*IF($C70="Operacional",IFERROR(VLOOKUP($D70,SN_UGC,28,0),0),1)</f>
        <v>0</v>
      </c>
      <c r="AJ70" s="120">
        <f>$E70*'C2 - Funcionários #'!BJ72*IF($C70="Operacional",IFERROR(VLOOKUP($D70,SN_UGC,28,0),0),1)</f>
        <v>0</v>
      </c>
    </row>
    <row r="71" spans="1:36" ht="15.75" customHeight="1">
      <c r="A71" s="521"/>
      <c r="B71" s="51">
        <f>'C1 - Cargos e Salários'!B55</f>
        <v>0</v>
      </c>
      <c r="C71" s="51">
        <f>'C1 - Cargos e Salários'!C55</f>
        <v>0</v>
      </c>
      <c r="D71" s="51">
        <f>'C1 - Cargos e Salários'!D55</f>
        <v>0</v>
      </c>
      <c r="E71" s="118">
        <f>'C1 - Cargos e Salários'!K55</f>
        <v>0</v>
      </c>
      <c r="F71" s="119">
        <f>IF(C71="Operacional",IFERROR(VLOOKUP(D71,ReceitaPorTipo,COLUMN('A1 - Serviços e demanda'!$Z$17),0),0),100%)</f>
        <v>1</v>
      </c>
      <c r="G71" s="120">
        <f>E71*F71*'C2 - Funcionários #'!AG73*IF($C71="Operacional",IFERROR(VLOOKUP($D71,SN_UGC,28,0),0),1)</f>
        <v>0</v>
      </c>
      <c r="H71" s="120">
        <f>$E71*'C2 - Funcionários #'!AH73*IF($C71="Operacional",IFERROR(VLOOKUP($D71,SN_UGC,28,0),0),1)</f>
        <v>0</v>
      </c>
      <c r="I71" s="120">
        <f>$E71*'C2 - Funcionários #'!AI73*IF($C71="Operacional",IFERROR(VLOOKUP($D71,SN_UGC,28,0),0),1)</f>
        <v>0</v>
      </c>
      <c r="J71" s="120">
        <f>$E71*'C2 - Funcionários #'!AJ73*IF($C71="Operacional",IFERROR(VLOOKUP($D71,SN_UGC,28,0),0),1)</f>
        <v>0</v>
      </c>
      <c r="K71" s="120">
        <f>$E71*'C2 - Funcionários #'!AK73*IF($C71="Operacional",IFERROR(VLOOKUP($D71,SN_UGC,28,0),0),1)</f>
        <v>0</v>
      </c>
      <c r="L71" s="120">
        <f>$E71*'C2 - Funcionários #'!AL73*IF($C71="Operacional",IFERROR(VLOOKUP($D71,SN_UGC,28,0),0),1)</f>
        <v>0</v>
      </c>
      <c r="M71" s="120">
        <f>$E71*'C2 - Funcionários #'!AM73*IF($C71="Operacional",IFERROR(VLOOKUP($D71,SN_UGC,28,0),0),1)</f>
        <v>0</v>
      </c>
      <c r="N71" s="120">
        <f>$E71*'C2 - Funcionários #'!AN73*IF($C71="Operacional",IFERROR(VLOOKUP($D71,SN_UGC,28,0),0),1)</f>
        <v>0</v>
      </c>
      <c r="O71" s="120">
        <f>$E71*'C2 - Funcionários #'!AO73*IF($C71="Operacional",IFERROR(VLOOKUP($D71,SN_UGC,28,0),0),1)</f>
        <v>0</v>
      </c>
      <c r="P71" s="120">
        <f>$E71*'C2 - Funcionários #'!AP73*IF($C71="Operacional",IFERROR(VLOOKUP($D71,SN_UGC,28,0),0),1)</f>
        <v>0</v>
      </c>
      <c r="Q71" s="120">
        <f>$E71*'C2 - Funcionários #'!AQ73*IF($C71="Operacional",IFERROR(VLOOKUP($D71,SN_UGC,28,0),0),1)</f>
        <v>0</v>
      </c>
      <c r="R71" s="120">
        <f>$E71*'C2 - Funcionários #'!AR73*IF($C71="Operacional",IFERROR(VLOOKUP($D71,SN_UGC,28,0),0),1)</f>
        <v>0</v>
      </c>
      <c r="S71" s="120">
        <f>$E71*'C2 - Funcionários #'!AS73*IF($C71="Operacional",IFERROR(VLOOKUP($D71,SN_UGC,28,0),0),1)</f>
        <v>0</v>
      </c>
      <c r="T71" s="120">
        <f>$E71*'C2 - Funcionários #'!AT73*IF($C71="Operacional",IFERROR(VLOOKUP($D71,SN_UGC,28,0),0),1)</f>
        <v>0</v>
      </c>
      <c r="U71" s="120">
        <f>$E71*'C2 - Funcionários #'!AU73*IF($C71="Operacional",IFERROR(VLOOKUP($D71,SN_UGC,28,0),0),1)</f>
        <v>0</v>
      </c>
      <c r="V71" s="120">
        <f>$E71*'C2 - Funcionários #'!AV73*IF($C71="Operacional",IFERROR(VLOOKUP($D71,SN_UGC,28,0),0),1)</f>
        <v>0</v>
      </c>
      <c r="W71" s="120">
        <f>$E71*'C2 - Funcionários #'!AW73*IF($C71="Operacional",IFERROR(VLOOKUP($D71,SN_UGC,28,0),0),1)</f>
        <v>0</v>
      </c>
      <c r="X71" s="120">
        <f>$E71*'C2 - Funcionários #'!AX73*IF($C71="Operacional",IFERROR(VLOOKUP($D71,SN_UGC,28,0),0),1)</f>
        <v>0</v>
      </c>
      <c r="Y71" s="120">
        <f>$E71*'C2 - Funcionários #'!AY73*IF($C71="Operacional",IFERROR(VLOOKUP($D71,SN_UGC,28,0),0),1)</f>
        <v>0</v>
      </c>
      <c r="Z71" s="120">
        <f>$E71*'C2 - Funcionários #'!AZ73*IF($C71="Operacional",IFERROR(VLOOKUP($D71,SN_UGC,28,0),0),1)</f>
        <v>0</v>
      </c>
      <c r="AA71" s="120">
        <f>$E71*'C2 - Funcionários #'!BA73*IF($C71="Operacional",IFERROR(VLOOKUP($D71,SN_UGC,28,0),0),1)</f>
        <v>0</v>
      </c>
      <c r="AB71" s="120">
        <f>$E71*'C2 - Funcionários #'!BB73*IF($C71="Operacional",IFERROR(VLOOKUP($D71,SN_UGC,28,0),0),1)</f>
        <v>0</v>
      </c>
      <c r="AC71" s="120">
        <f>$E71*'C2 - Funcionários #'!BC73*IF($C71="Operacional",IFERROR(VLOOKUP($D71,SN_UGC,28,0),0),1)</f>
        <v>0</v>
      </c>
      <c r="AD71" s="120">
        <f>$E71*'C2 - Funcionários #'!BD73*IF($C71="Operacional",IFERROR(VLOOKUP($D71,SN_UGC,28,0),0),1)</f>
        <v>0</v>
      </c>
      <c r="AE71" s="120">
        <f>$E71*'C2 - Funcionários #'!BE73*IF($C71="Operacional",IFERROR(VLOOKUP($D71,SN_UGC,28,0),0),1)</f>
        <v>0</v>
      </c>
      <c r="AF71" s="120">
        <f>$E71*'C2 - Funcionários #'!BF73*IF($C71="Operacional",IFERROR(VLOOKUP($D71,SN_UGC,28,0),0),1)</f>
        <v>0</v>
      </c>
      <c r="AG71" s="120">
        <f>$E71*'C2 - Funcionários #'!BG73*IF($C71="Operacional",IFERROR(VLOOKUP($D71,SN_UGC,28,0),0),1)</f>
        <v>0</v>
      </c>
      <c r="AH71" s="120">
        <f>$E71*'C2 - Funcionários #'!BH73*IF($C71="Operacional",IFERROR(VLOOKUP($D71,SN_UGC,28,0),0),1)</f>
        <v>0</v>
      </c>
      <c r="AI71" s="120">
        <f>$E71*'C2 - Funcionários #'!BI73*IF($C71="Operacional",IFERROR(VLOOKUP($D71,SN_UGC,28,0),0),1)</f>
        <v>0</v>
      </c>
      <c r="AJ71" s="120">
        <f>$E71*'C2 - Funcionários #'!BJ73*IF($C71="Operacional",IFERROR(VLOOKUP($D71,SN_UGC,28,0),0),1)</f>
        <v>0</v>
      </c>
    </row>
    <row r="72" spans="1:36" ht="15.75" customHeight="1">
      <c r="A72" s="521"/>
      <c r="B72" s="51">
        <f>'C1 - Cargos e Salários'!B56</f>
        <v>0</v>
      </c>
      <c r="C72" s="51">
        <f>'C1 - Cargos e Salários'!C56</f>
        <v>0</v>
      </c>
      <c r="D72" s="51">
        <f>'C1 - Cargos e Salários'!D56</f>
        <v>0</v>
      </c>
      <c r="E72" s="118">
        <f>'C1 - Cargos e Salários'!K56</f>
        <v>0</v>
      </c>
      <c r="F72" s="119">
        <f>IF(C72="Operacional",IFERROR(VLOOKUP(D72,ReceitaPorTipo,COLUMN('A1 - Serviços e demanda'!$Z$17),0),0),100%)</f>
        <v>1</v>
      </c>
      <c r="G72" s="120">
        <f>E72*F72*'C2 - Funcionários #'!AG74*IF($C72="Operacional",IFERROR(VLOOKUP($D72,SN_UGC,28,0),0),1)</f>
        <v>0</v>
      </c>
      <c r="H72" s="120">
        <f>$E72*'C2 - Funcionários #'!AH74*IF($C72="Operacional",IFERROR(VLOOKUP($D72,SN_UGC,28,0),0),1)</f>
        <v>0</v>
      </c>
      <c r="I72" s="120">
        <f>$E72*'C2 - Funcionários #'!AI74*IF($C72="Operacional",IFERROR(VLOOKUP($D72,SN_UGC,28,0),0),1)</f>
        <v>0</v>
      </c>
      <c r="J72" s="120">
        <f>$E72*'C2 - Funcionários #'!AJ74*IF($C72="Operacional",IFERROR(VLOOKUP($D72,SN_UGC,28,0),0),1)</f>
        <v>0</v>
      </c>
      <c r="K72" s="120">
        <f>$E72*'C2 - Funcionários #'!AK74*IF($C72="Operacional",IFERROR(VLOOKUP($D72,SN_UGC,28,0),0),1)</f>
        <v>0</v>
      </c>
      <c r="L72" s="120">
        <f>$E72*'C2 - Funcionários #'!AL74*IF($C72="Operacional",IFERROR(VLOOKUP($D72,SN_UGC,28,0),0),1)</f>
        <v>0</v>
      </c>
      <c r="M72" s="120">
        <f>$E72*'C2 - Funcionários #'!AM74*IF($C72="Operacional",IFERROR(VLOOKUP($D72,SN_UGC,28,0),0),1)</f>
        <v>0</v>
      </c>
      <c r="N72" s="120">
        <f>$E72*'C2 - Funcionários #'!AN74*IF($C72="Operacional",IFERROR(VLOOKUP($D72,SN_UGC,28,0),0),1)</f>
        <v>0</v>
      </c>
      <c r="O72" s="120">
        <f>$E72*'C2 - Funcionários #'!AO74*IF($C72="Operacional",IFERROR(VLOOKUP($D72,SN_UGC,28,0),0),1)</f>
        <v>0</v>
      </c>
      <c r="P72" s="120">
        <f>$E72*'C2 - Funcionários #'!AP74*IF($C72="Operacional",IFERROR(VLOOKUP($D72,SN_UGC,28,0),0),1)</f>
        <v>0</v>
      </c>
      <c r="Q72" s="120">
        <f>$E72*'C2 - Funcionários #'!AQ74*IF($C72="Operacional",IFERROR(VLOOKUP($D72,SN_UGC,28,0),0),1)</f>
        <v>0</v>
      </c>
      <c r="R72" s="120">
        <f>$E72*'C2 - Funcionários #'!AR74*IF($C72="Operacional",IFERROR(VLOOKUP($D72,SN_UGC,28,0),0),1)</f>
        <v>0</v>
      </c>
      <c r="S72" s="120">
        <f>$E72*'C2 - Funcionários #'!AS74*IF($C72="Operacional",IFERROR(VLOOKUP($D72,SN_UGC,28,0),0),1)</f>
        <v>0</v>
      </c>
      <c r="T72" s="120">
        <f>$E72*'C2 - Funcionários #'!AT74*IF($C72="Operacional",IFERROR(VLOOKUP($D72,SN_UGC,28,0),0),1)</f>
        <v>0</v>
      </c>
      <c r="U72" s="120">
        <f>$E72*'C2 - Funcionários #'!AU74*IF($C72="Operacional",IFERROR(VLOOKUP($D72,SN_UGC,28,0),0),1)</f>
        <v>0</v>
      </c>
      <c r="V72" s="120">
        <f>$E72*'C2 - Funcionários #'!AV74*IF($C72="Operacional",IFERROR(VLOOKUP($D72,SN_UGC,28,0),0),1)</f>
        <v>0</v>
      </c>
      <c r="W72" s="120">
        <f>$E72*'C2 - Funcionários #'!AW74*IF($C72="Operacional",IFERROR(VLOOKUP($D72,SN_UGC,28,0),0),1)</f>
        <v>0</v>
      </c>
      <c r="X72" s="120">
        <f>$E72*'C2 - Funcionários #'!AX74*IF($C72="Operacional",IFERROR(VLOOKUP($D72,SN_UGC,28,0),0),1)</f>
        <v>0</v>
      </c>
      <c r="Y72" s="120">
        <f>$E72*'C2 - Funcionários #'!AY74*IF($C72="Operacional",IFERROR(VLOOKUP($D72,SN_UGC,28,0),0),1)</f>
        <v>0</v>
      </c>
      <c r="Z72" s="120">
        <f>$E72*'C2 - Funcionários #'!AZ74*IF($C72="Operacional",IFERROR(VLOOKUP($D72,SN_UGC,28,0),0),1)</f>
        <v>0</v>
      </c>
      <c r="AA72" s="120">
        <f>$E72*'C2 - Funcionários #'!BA74*IF($C72="Operacional",IFERROR(VLOOKUP($D72,SN_UGC,28,0),0),1)</f>
        <v>0</v>
      </c>
      <c r="AB72" s="120">
        <f>$E72*'C2 - Funcionários #'!BB74*IF($C72="Operacional",IFERROR(VLOOKUP($D72,SN_UGC,28,0),0),1)</f>
        <v>0</v>
      </c>
      <c r="AC72" s="120">
        <f>$E72*'C2 - Funcionários #'!BC74*IF($C72="Operacional",IFERROR(VLOOKUP($D72,SN_UGC,28,0),0),1)</f>
        <v>0</v>
      </c>
      <c r="AD72" s="120">
        <f>$E72*'C2 - Funcionários #'!BD74*IF($C72="Operacional",IFERROR(VLOOKUP($D72,SN_UGC,28,0),0),1)</f>
        <v>0</v>
      </c>
      <c r="AE72" s="120">
        <f>$E72*'C2 - Funcionários #'!BE74*IF($C72="Operacional",IFERROR(VLOOKUP($D72,SN_UGC,28,0),0),1)</f>
        <v>0</v>
      </c>
      <c r="AF72" s="120">
        <f>$E72*'C2 - Funcionários #'!BF74*IF($C72="Operacional",IFERROR(VLOOKUP($D72,SN_UGC,28,0),0),1)</f>
        <v>0</v>
      </c>
      <c r="AG72" s="120">
        <f>$E72*'C2 - Funcionários #'!BG74*IF($C72="Operacional",IFERROR(VLOOKUP($D72,SN_UGC,28,0),0),1)</f>
        <v>0</v>
      </c>
      <c r="AH72" s="120">
        <f>$E72*'C2 - Funcionários #'!BH74*IF($C72="Operacional",IFERROR(VLOOKUP($D72,SN_UGC,28,0),0),1)</f>
        <v>0</v>
      </c>
      <c r="AI72" s="120">
        <f>$E72*'C2 - Funcionários #'!BI74*IF($C72="Operacional",IFERROR(VLOOKUP($D72,SN_UGC,28,0),0),1)</f>
        <v>0</v>
      </c>
      <c r="AJ72" s="120">
        <f>$E72*'C2 - Funcionários #'!BJ74*IF($C72="Operacional",IFERROR(VLOOKUP($D72,SN_UGC,28,0),0),1)</f>
        <v>0</v>
      </c>
    </row>
    <row r="73" spans="1:36" ht="15.75" customHeight="1">
      <c r="A73" s="521"/>
      <c r="B73" s="51">
        <f>'C1 - Cargos e Salários'!B57</f>
        <v>0</v>
      </c>
      <c r="C73" s="51">
        <f>'C1 - Cargos e Salários'!C57</f>
        <v>0</v>
      </c>
      <c r="D73" s="51">
        <f>'C1 - Cargos e Salários'!D57</f>
        <v>0</v>
      </c>
      <c r="E73" s="118">
        <f>'C1 - Cargos e Salários'!K57</f>
        <v>0</v>
      </c>
      <c r="F73" s="119">
        <f>IF(C73="Operacional",IFERROR(VLOOKUP(D73,ReceitaPorTipo,COLUMN('A1 - Serviços e demanda'!$Z$17),0),0),100%)</f>
        <v>1</v>
      </c>
      <c r="G73" s="120">
        <f>E73*F73*'C2 - Funcionários #'!AG75*IF($C73="Operacional",IFERROR(VLOOKUP($D73,SN_UGC,28,0),0),1)</f>
        <v>0</v>
      </c>
      <c r="H73" s="120">
        <f>$E73*'C2 - Funcionários #'!AH75*IF($C73="Operacional",IFERROR(VLOOKUP($D73,SN_UGC,28,0),0),1)</f>
        <v>0</v>
      </c>
      <c r="I73" s="120">
        <f>$E73*'C2 - Funcionários #'!AI75*IF($C73="Operacional",IFERROR(VLOOKUP($D73,SN_UGC,28,0),0),1)</f>
        <v>0</v>
      </c>
      <c r="J73" s="120">
        <f>$E73*'C2 - Funcionários #'!AJ75*IF($C73="Operacional",IFERROR(VLOOKUP($D73,SN_UGC,28,0),0),1)</f>
        <v>0</v>
      </c>
      <c r="K73" s="120">
        <f>$E73*'C2 - Funcionários #'!AK75*IF($C73="Operacional",IFERROR(VLOOKUP($D73,SN_UGC,28,0),0),1)</f>
        <v>0</v>
      </c>
      <c r="L73" s="120">
        <f>$E73*'C2 - Funcionários #'!AL75*IF($C73="Operacional",IFERROR(VLOOKUP($D73,SN_UGC,28,0),0),1)</f>
        <v>0</v>
      </c>
      <c r="M73" s="120">
        <f>$E73*'C2 - Funcionários #'!AM75*IF($C73="Operacional",IFERROR(VLOOKUP($D73,SN_UGC,28,0),0),1)</f>
        <v>0</v>
      </c>
      <c r="N73" s="120">
        <f>$E73*'C2 - Funcionários #'!AN75*IF($C73="Operacional",IFERROR(VLOOKUP($D73,SN_UGC,28,0),0),1)</f>
        <v>0</v>
      </c>
      <c r="O73" s="120">
        <f>$E73*'C2 - Funcionários #'!AO75*IF($C73="Operacional",IFERROR(VLOOKUP($D73,SN_UGC,28,0),0),1)</f>
        <v>0</v>
      </c>
      <c r="P73" s="120">
        <f>$E73*'C2 - Funcionários #'!AP75*IF($C73="Operacional",IFERROR(VLOOKUP($D73,SN_UGC,28,0),0),1)</f>
        <v>0</v>
      </c>
      <c r="Q73" s="120">
        <f>$E73*'C2 - Funcionários #'!AQ75*IF($C73="Operacional",IFERROR(VLOOKUP($D73,SN_UGC,28,0),0),1)</f>
        <v>0</v>
      </c>
      <c r="R73" s="120">
        <f>$E73*'C2 - Funcionários #'!AR75*IF($C73="Operacional",IFERROR(VLOOKUP($D73,SN_UGC,28,0),0),1)</f>
        <v>0</v>
      </c>
      <c r="S73" s="120">
        <f>$E73*'C2 - Funcionários #'!AS75*IF($C73="Operacional",IFERROR(VLOOKUP($D73,SN_UGC,28,0),0),1)</f>
        <v>0</v>
      </c>
      <c r="T73" s="120">
        <f>$E73*'C2 - Funcionários #'!AT75*IF($C73="Operacional",IFERROR(VLOOKUP($D73,SN_UGC,28,0),0),1)</f>
        <v>0</v>
      </c>
      <c r="U73" s="120">
        <f>$E73*'C2 - Funcionários #'!AU75*IF($C73="Operacional",IFERROR(VLOOKUP($D73,SN_UGC,28,0),0),1)</f>
        <v>0</v>
      </c>
      <c r="V73" s="120">
        <f>$E73*'C2 - Funcionários #'!AV75*IF($C73="Operacional",IFERROR(VLOOKUP($D73,SN_UGC,28,0),0),1)</f>
        <v>0</v>
      </c>
      <c r="W73" s="120">
        <f>$E73*'C2 - Funcionários #'!AW75*IF($C73="Operacional",IFERROR(VLOOKUP($D73,SN_UGC,28,0),0),1)</f>
        <v>0</v>
      </c>
      <c r="X73" s="120">
        <f>$E73*'C2 - Funcionários #'!AX75*IF($C73="Operacional",IFERROR(VLOOKUP($D73,SN_UGC,28,0),0),1)</f>
        <v>0</v>
      </c>
      <c r="Y73" s="120">
        <f>$E73*'C2 - Funcionários #'!AY75*IF($C73="Operacional",IFERROR(VLOOKUP($D73,SN_UGC,28,0),0),1)</f>
        <v>0</v>
      </c>
      <c r="Z73" s="120">
        <f>$E73*'C2 - Funcionários #'!AZ75*IF($C73="Operacional",IFERROR(VLOOKUP($D73,SN_UGC,28,0),0),1)</f>
        <v>0</v>
      </c>
      <c r="AA73" s="120">
        <f>$E73*'C2 - Funcionários #'!BA75*IF($C73="Operacional",IFERROR(VLOOKUP($D73,SN_UGC,28,0),0),1)</f>
        <v>0</v>
      </c>
      <c r="AB73" s="120">
        <f>$E73*'C2 - Funcionários #'!BB75*IF($C73="Operacional",IFERROR(VLOOKUP($D73,SN_UGC,28,0),0),1)</f>
        <v>0</v>
      </c>
      <c r="AC73" s="120">
        <f>$E73*'C2 - Funcionários #'!BC75*IF($C73="Operacional",IFERROR(VLOOKUP($D73,SN_UGC,28,0),0),1)</f>
        <v>0</v>
      </c>
      <c r="AD73" s="120">
        <f>$E73*'C2 - Funcionários #'!BD75*IF($C73="Operacional",IFERROR(VLOOKUP($D73,SN_UGC,28,0),0),1)</f>
        <v>0</v>
      </c>
      <c r="AE73" s="120">
        <f>$E73*'C2 - Funcionários #'!BE75*IF($C73="Operacional",IFERROR(VLOOKUP($D73,SN_UGC,28,0),0),1)</f>
        <v>0</v>
      </c>
      <c r="AF73" s="120">
        <f>$E73*'C2 - Funcionários #'!BF75*IF($C73="Operacional",IFERROR(VLOOKUP($D73,SN_UGC,28,0),0),1)</f>
        <v>0</v>
      </c>
      <c r="AG73" s="120">
        <f>$E73*'C2 - Funcionários #'!BG75*IF($C73="Operacional",IFERROR(VLOOKUP($D73,SN_UGC,28,0),0),1)</f>
        <v>0</v>
      </c>
      <c r="AH73" s="120">
        <f>$E73*'C2 - Funcionários #'!BH75*IF($C73="Operacional",IFERROR(VLOOKUP($D73,SN_UGC,28,0),0),1)</f>
        <v>0</v>
      </c>
      <c r="AI73" s="120">
        <f>$E73*'C2 - Funcionários #'!BI75*IF($C73="Operacional",IFERROR(VLOOKUP($D73,SN_UGC,28,0),0),1)</f>
        <v>0</v>
      </c>
      <c r="AJ73" s="120">
        <f>$E73*'C2 - Funcionários #'!BJ75*IF($C73="Operacional",IFERROR(VLOOKUP($D73,SN_UGC,28,0),0),1)</f>
        <v>0</v>
      </c>
    </row>
    <row r="74" spans="1:36" ht="15.75" customHeight="1">
      <c r="A74" s="521"/>
      <c r="B74" s="51">
        <f>'C1 - Cargos e Salários'!B58</f>
        <v>0</v>
      </c>
      <c r="C74" s="51">
        <f>'C1 - Cargos e Salários'!C58</f>
        <v>0</v>
      </c>
      <c r="D74" s="51">
        <f>'C1 - Cargos e Salários'!D58</f>
        <v>0</v>
      </c>
      <c r="E74" s="118">
        <f>'C1 - Cargos e Salários'!K58</f>
        <v>0</v>
      </c>
      <c r="F74" s="119">
        <f>IF(C74="Operacional",IFERROR(VLOOKUP(D74,ReceitaPorTipo,COLUMN('A1 - Serviços e demanda'!$Z$17),0),0),100%)</f>
        <v>1</v>
      </c>
      <c r="G74" s="120">
        <f>E74*F74*'C2 - Funcionários #'!AG76*IF($C74="Operacional",IFERROR(VLOOKUP($D74,SN_UGC,28,0),0),1)</f>
        <v>0</v>
      </c>
      <c r="H74" s="120">
        <f>$E74*'C2 - Funcionários #'!AH76*IF($C74="Operacional",IFERROR(VLOOKUP($D74,SN_UGC,28,0),0),1)</f>
        <v>0</v>
      </c>
      <c r="I74" s="120">
        <f>$E74*'C2 - Funcionários #'!AI76*IF($C74="Operacional",IFERROR(VLOOKUP($D74,SN_UGC,28,0),0),1)</f>
        <v>0</v>
      </c>
      <c r="J74" s="120">
        <f>$E74*'C2 - Funcionários #'!AJ76*IF($C74="Operacional",IFERROR(VLOOKUP($D74,SN_UGC,28,0),0),1)</f>
        <v>0</v>
      </c>
      <c r="K74" s="120">
        <f>$E74*'C2 - Funcionários #'!AK76*IF($C74="Operacional",IFERROR(VLOOKUP($D74,SN_UGC,28,0),0),1)</f>
        <v>0</v>
      </c>
      <c r="L74" s="120">
        <f>$E74*'C2 - Funcionários #'!AL76*IF($C74="Operacional",IFERROR(VLOOKUP($D74,SN_UGC,28,0),0),1)</f>
        <v>0</v>
      </c>
      <c r="M74" s="120">
        <f>$E74*'C2 - Funcionários #'!AM76*IF($C74="Operacional",IFERROR(VLOOKUP($D74,SN_UGC,28,0),0),1)</f>
        <v>0</v>
      </c>
      <c r="N74" s="120">
        <f>$E74*'C2 - Funcionários #'!AN76*IF($C74="Operacional",IFERROR(VLOOKUP($D74,SN_UGC,28,0),0),1)</f>
        <v>0</v>
      </c>
      <c r="O74" s="120">
        <f>$E74*'C2 - Funcionários #'!AO76*IF($C74="Operacional",IFERROR(VLOOKUP($D74,SN_UGC,28,0),0),1)</f>
        <v>0</v>
      </c>
      <c r="P74" s="120">
        <f>$E74*'C2 - Funcionários #'!AP76*IF($C74="Operacional",IFERROR(VLOOKUP($D74,SN_UGC,28,0),0),1)</f>
        <v>0</v>
      </c>
      <c r="Q74" s="120">
        <f>$E74*'C2 - Funcionários #'!AQ76*IF($C74="Operacional",IFERROR(VLOOKUP($D74,SN_UGC,28,0),0),1)</f>
        <v>0</v>
      </c>
      <c r="R74" s="120">
        <f>$E74*'C2 - Funcionários #'!AR76*IF($C74="Operacional",IFERROR(VLOOKUP($D74,SN_UGC,28,0),0),1)</f>
        <v>0</v>
      </c>
      <c r="S74" s="120">
        <f>$E74*'C2 - Funcionários #'!AS76*IF($C74="Operacional",IFERROR(VLOOKUP($D74,SN_UGC,28,0),0),1)</f>
        <v>0</v>
      </c>
      <c r="T74" s="120">
        <f>$E74*'C2 - Funcionários #'!AT76*IF($C74="Operacional",IFERROR(VLOOKUP($D74,SN_UGC,28,0),0),1)</f>
        <v>0</v>
      </c>
      <c r="U74" s="120">
        <f>$E74*'C2 - Funcionários #'!AU76*IF($C74="Operacional",IFERROR(VLOOKUP($D74,SN_UGC,28,0),0),1)</f>
        <v>0</v>
      </c>
      <c r="V74" s="120">
        <f>$E74*'C2 - Funcionários #'!AV76*IF($C74="Operacional",IFERROR(VLOOKUP($D74,SN_UGC,28,0),0),1)</f>
        <v>0</v>
      </c>
      <c r="W74" s="120">
        <f>$E74*'C2 - Funcionários #'!AW76*IF($C74="Operacional",IFERROR(VLOOKUP($D74,SN_UGC,28,0),0),1)</f>
        <v>0</v>
      </c>
      <c r="X74" s="120">
        <f>$E74*'C2 - Funcionários #'!AX76*IF($C74="Operacional",IFERROR(VLOOKUP($D74,SN_UGC,28,0),0),1)</f>
        <v>0</v>
      </c>
      <c r="Y74" s="120">
        <f>$E74*'C2 - Funcionários #'!AY76*IF($C74="Operacional",IFERROR(VLOOKUP($D74,SN_UGC,28,0),0),1)</f>
        <v>0</v>
      </c>
      <c r="Z74" s="120">
        <f>$E74*'C2 - Funcionários #'!AZ76*IF($C74="Operacional",IFERROR(VLOOKUP($D74,SN_UGC,28,0),0),1)</f>
        <v>0</v>
      </c>
      <c r="AA74" s="120">
        <f>$E74*'C2 - Funcionários #'!BA76*IF($C74="Operacional",IFERROR(VLOOKUP($D74,SN_UGC,28,0),0),1)</f>
        <v>0</v>
      </c>
      <c r="AB74" s="120">
        <f>$E74*'C2 - Funcionários #'!BB76*IF($C74="Operacional",IFERROR(VLOOKUP($D74,SN_UGC,28,0),0),1)</f>
        <v>0</v>
      </c>
      <c r="AC74" s="120">
        <f>$E74*'C2 - Funcionários #'!BC76*IF($C74="Operacional",IFERROR(VLOOKUP($D74,SN_UGC,28,0),0),1)</f>
        <v>0</v>
      </c>
      <c r="AD74" s="120">
        <f>$E74*'C2 - Funcionários #'!BD76*IF($C74="Operacional",IFERROR(VLOOKUP($D74,SN_UGC,28,0),0),1)</f>
        <v>0</v>
      </c>
      <c r="AE74" s="120">
        <f>$E74*'C2 - Funcionários #'!BE76*IF($C74="Operacional",IFERROR(VLOOKUP($D74,SN_UGC,28,0),0),1)</f>
        <v>0</v>
      </c>
      <c r="AF74" s="120">
        <f>$E74*'C2 - Funcionários #'!BF76*IF($C74="Operacional",IFERROR(VLOOKUP($D74,SN_UGC,28,0),0),1)</f>
        <v>0</v>
      </c>
      <c r="AG74" s="120">
        <f>$E74*'C2 - Funcionários #'!BG76*IF($C74="Operacional",IFERROR(VLOOKUP($D74,SN_UGC,28,0),0),1)</f>
        <v>0</v>
      </c>
      <c r="AH74" s="120">
        <f>$E74*'C2 - Funcionários #'!BH76*IF($C74="Operacional",IFERROR(VLOOKUP($D74,SN_UGC,28,0),0),1)</f>
        <v>0</v>
      </c>
      <c r="AI74" s="120">
        <f>$E74*'C2 - Funcionários #'!BI76*IF($C74="Operacional",IFERROR(VLOOKUP($D74,SN_UGC,28,0),0),1)</f>
        <v>0</v>
      </c>
      <c r="AJ74" s="120">
        <f>$E74*'C2 - Funcionários #'!BJ76*IF($C74="Operacional",IFERROR(VLOOKUP($D74,SN_UGC,28,0),0),1)</f>
        <v>0</v>
      </c>
    </row>
    <row r="75" spans="1:36" ht="15.75" customHeight="1">
      <c r="A75" s="521"/>
      <c r="B75" s="51">
        <f>'C1 - Cargos e Salários'!B59</f>
        <v>0</v>
      </c>
      <c r="C75" s="51">
        <f>'C1 - Cargos e Salários'!C59</f>
        <v>0</v>
      </c>
      <c r="D75" s="51">
        <f>'C1 - Cargos e Salários'!D59</f>
        <v>0</v>
      </c>
      <c r="E75" s="118">
        <f>'C1 - Cargos e Salários'!K59</f>
        <v>0</v>
      </c>
      <c r="F75" s="119">
        <f>IF(C75="Operacional",IFERROR(VLOOKUP(D75,ReceitaPorTipo,COLUMN('A1 - Serviços e demanda'!$Z$17),0),0),100%)</f>
        <v>1</v>
      </c>
      <c r="G75" s="120">
        <f>E75*F75*'C2 - Funcionários #'!AG77*IF($C75="Operacional",IFERROR(VLOOKUP($D75,SN_UGC,28,0),0),1)</f>
        <v>0</v>
      </c>
      <c r="H75" s="120">
        <f>$E75*'C2 - Funcionários #'!AH77*IF($C75="Operacional",IFERROR(VLOOKUP($D75,SN_UGC,28,0),0),1)</f>
        <v>0</v>
      </c>
      <c r="I75" s="120">
        <f>$E75*'C2 - Funcionários #'!AI77*IF($C75="Operacional",IFERROR(VLOOKUP($D75,SN_UGC,28,0),0),1)</f>
        <v>0</v>
      </c>
      <c r="J75" s="120">
        <f>$E75*'C2 - Funcionários #'!AJ77*IF($C75="Operacional",IFERROR(VLOOKUP($D75,SN_UGC,28,0),0),1)</f>
        <v>0</v>
      </c>
      <c r="K75" s="120">
        <f>$E75*'C2 - Funcionários #'!AK77*IF($C75="Operacional",IFERROR(VLOOKUP($D75,SN_UGC,28,0),0),1)</f>
        <v>0</v>
      </c>
      <c r="L75" s="120">
        <f>$E75*'C2 - Funcionários #'!AL77*IF($C75="Operacional",IFERROR(VLOOKUP($D75,SN_UGC,28,0),0),1)</f>
        <v>0</v>
      </c>
      <c r="M75" s="120">
        <f>$E75*'C2 - Funcionários #'!AM77*IF($C75="Operacional",IFERROR(VLOOKUP($D75,SN_UGC,28,0),0),1)</f>
        <v>0</v>
      </c>
      <c r="N75" s="120">
        <f>$E75*'C2 - Funcionários #'!AN77*IF($C75="Operacional",IFERROR(VLOOKUP($D75,SN_UGC,28,0),0),1)</f>
        <v>0</v>
      </c>
      <c r="O75" s="120">
        <f>$E75*'C2 - Funcionários #'!AO77*IF($C75="Operacional",IFERROR(VLOOKUP($D75,SN_UGC,28,0),0),1)</f>
        <v>0</v>
      </c>
      <c r="P75" s="120">
        <f>$E75*'C2 - Funcionários #'!AP77*IF($C75="Operacional",IFERROR(VLOOKUP($D75,SN_UGC,28,0),0),1)</f>
        <v>0</v>
      </c>
      <c r="Q75" s="120">
        <f>$E75*'C2 - Funcionários #'!AQ77*IF($C75="Operacional",IFERROR(VLOOKUP($D75,SN_UGC,28,0),0),1)</f>
        <v>0</v>
      </c>
      <c r="R75" s="120">
        <f>$E75*'C2 - Funcionários #'!AR77*IF($C75="Operacional",IFERROR(VLOOKUP($D75,SN_UGC,28,0),0),1)</f>
        <v>0</v>
      </c>
      <c r="S75" s="120">
        <f>$E75*'C2 - Funcionários #'!AS77*IF($C75="Operacional",IFERROR(VLOOKUP($D75,SN_UGC,28,0),0),1)</f>
        <v>0</v>
      </c>
      <c r="T75" s="120">
        <f>$E75*'C2 - Funcionários #'!AT77*IF($C75="Operacional",IFERROR(VLOOKUP($D75,SN_UGC,28,0),0),1)</f>
        <v>0</v>
      </c>
      <c r="U75" s="120">
        <f>$E75*'C2 - Funcionários #'!AU77*IF($C75="Operacional",IFERROR(VLOOKUP($D75,SN_UGC,28,0),0),1)</f>
        <v>0</v>
      </c>
      <c r="V75" s="120">
        <f>$E75*'C2 - Funcionários #'!AV77*IF($C75="Operacional",IFERROR(VLOOKUP($D75,SN_UGC,28,0),0),1)</f>
        <v>0</v>
      </c>
      <c r="W75" s="120">
        <f>$E75*'C2 - Funcionários #'!AW77*IF($C75="Operacional",IFERROR(VLOOKUP($D75,SN_UGC,28,0),0),1)</f>
        <v>0</v>
      </c>
      <c r="X75" s="120">
        <f>$E75*'C2 - Funcionários #'!AX77*IF($C75="Operacional",IFERROR(VLOOKUP($D75,SN_UGC,28,0),0),1)</f>
        <v>0</v>
      </c>
      <c r="Y75" s="120">
        <f>$E75*'C2 - Funcionários #'!AY77*IF($C75="Operacional",IFERROR(VLOOKUP($D75,SN_UGC,28,0),0),1)</f>
        <v>0</v>
      </c>
      <c r="Z75" s="120">
        <f>$E75*'C2 - Funcionários #'!AZ77*IF($C75="Operacional",IFERROR(VLOOKUP($D75,SN_UGC,28,0),0),1)</f>
        <v>0</v>
      </c>
      <c r="AA75" s="120">
        <f>$E75*'C2 - Funcionários #'!BA77*IF($C75="Operacional",IFERROR(VLOOKUP($D75,SN_UGC,28,0),0),1)</f>
        <v>0</v>
      </c>
      <c r="AB75" s="120">
        <f>$E75*'C2 - Funcionários #'!BB77*IF($C75="Operacional",IFERROR(VLOOKUP($D75,SN_UGC,28,0),0),1)</f>
        <v>0</v>
      </c>
      <c r="AC75" s="120">
        <f>$E75*'C2 - Funcionários #'!BC77*IF($C75="Operacional",IFERROR(VLOOKUP($D75,SN_UGC,28,0),0),1)</f>
        <v>0</v>
      </c>
      <c r="AD75" s="120">
        <f>$E75*'C2 - Funcionários #'!BD77*IF($C75="Operacional",IFERROR(VLOOKUP($D75,SN_UGC,28,0),0),1)</f>
        <v>0</v>
      </c>
      <c r="AE75" s="120">
        <f>$E75*'C2 - Funcionários #'!BE77*IF($C75="Operacional",IFERROR(VLOOKUP($D75,SN_UGC,28,0),0),1)</f>
        <v>0</v>
      </c>
      <c r="AF75" s="120">
        <f>$E75*'C2 - Funcionários #'!BF77*IF($C75="Operacional",IFERROR(VLOOKUP($D75,SN_UGC,28,0),0),1)</f>
        <v>0</v>
      </c>
      <c r="AG75" s="120">
        <f>$E75*'C2 - Funcionários #'!BG77*IF($C75="Operacional",IFERROR(VLOOKUP($D75,SN_UGC,28,0),0),1)</f>
        <v>0</v>
      </c>
      <c r="AH75" s="120">
        <f>$E75*'C2 - Funcionários #'!BH77*IF($C75="Operacional",IFERROR(VLOOKUP($D75,SN_UGC,28,0),0),1)</f>
        <v>0</v>
      </c>
      <c r="AI75" s="120">
        <f>$E75*'C2 - Funcionários #'!BI77*IF($C75="Operacional",IFERROR(VLOOKUP($D75,SN_UGC,28,0),0),1)</f>
        <v>0</v>
      </c>
      <c r="AJ75" s="120">
        <f>$E75*'C2 - Funcionários #'!BJ77*IF($C75="Operacional",IFERROR(VLOOKUP($D75,SN_UGC,28,0),0),1)</f>
        <v>0</v>
      </c>
    </row>
    <row r="76" spans="1:36" ht="15.75" customHeight="1">
      <c r="A76" s="521"/>
      <c r="B76" s="51">
        <f>'C1 - Cargos e Salários'!B60</f>
        <v>0</v>
      </c>
      <c r="C76" s="51">
        <f>'C1 - Cargos e Salários'!C60</f>
        <v>0</v>
      </c>
      <c r="D76" s="51">
        <f>'C1 - Cargos e Salários'!D60</f>
        <v>0</v>
      </c>
      <c r="E76" s="118">
        <f>'C1 - Cargos e Salários'!K60</f>
        <v>0</v>
      </c>
      <c r="F76" s="119">
        <f>IF(C76="Operacional",IFERROR(VLOOKUP(D76,ReceitaPorTipo,COLUMN('A1 - Serviços e demanda'!$Z$17),0),0),100%)</f>
        <v>1</v>
      </c>
      <c r="G76" s="120">
        <f>E76*F76*'C2 - Funcionários #'!AG78*IF($C76="Operacional",IFERROR(VLOOKUP($D76,SN_UGC,28,0),0),1)</f>
        <v>0</v>
      </c>
      <c r="H76" s="120">
        <f>$E76*'C2 - Funcionários #'!AH78*IF($C76="Operacional",IFERROR(VLOOKUP($D76,SN_UGC,28,0),0),1)</f>
        <v>0</v>
      </c>
      <c r="I76" s="120">
        <f>$E76*'C2 - Funcionários #'!AI78*IF($C76="Operacional",IFERROR(VLOOKUP($D76,SN_UGC,28,0),0),1)</f>
        <v>0</v>
      </c>
      <c r="J76" s="120">
        <f>$E76*'C2 - Funcionários #'!AJ78*IF($C76="Operacional",IFERROR(VLOOKUP($D76,SN_UGC,28,0),0),1)</f>
        <v>0</v>
      </c>
      <c r="K76" s="120">
        <f>$E76*'C2 - Funcionários #'!AK78*IF($C76="Operacional",IFERROR(VLOOKUP($D76,SN_UGC,28,0),0),1)</f>
        <v>0</v>
      </c>
      <c r="L76" s="120">
        <f>$E76*'C2 - Funcionários #'!AL78*IF($C76="Operacional",IFERROR(VLOOKUP($D76,SN_UGC,28,0),0),1)</f>
        <v>0</v>
      </c>
      <c r="M76" s="120">
        <f>$E76*'C2 - Funcionários #'!AM78*IF($C76="Operacional",IFERROR(VLOOKUP($D76,SN_UGC,28,0),0),1)</f>
        <v>0</v>
      </c>
      <c r="N76" s="120">
        <f>$E76*'C2 - Funcionários #'!AN78*IF($C76="Operacional",IFERROR(VLOOKUP($D76,SN_UGC,28,0),0),1)</f>
        <v>0</v>
      </c>
      <c r="O76" s="120">
        <f>$E76*'C2 - Funcionários #'!AO78*IF($C76="Operacional",IFERROR(VLOOKUP($D76,SN_UGC,28,0),0),1)</f>
        <v>0</v>
      </c>
      <c r="P76" s="120">
        <f>$E76*'C2 - Funcionários #'!AP78*IF($C76="Operacional",IFERROR(VLOOKUP($D76,SN_UGC,28,0),0),1)</f>
        <v>0</v>
      </c>
      <c r="Q76" s="120">
        <f>$E76*'C2 - Funcionários #'!AQ78*IF($C76="Operacional",IFERROR(VLOOKUP($D76,SN_UGC,28,0),0),1)</f>
        <v>0</v>
      </c>
      <c r="R76" s="120">
        <f>$E76*'C2 - Funcionários #'!AR78*IF($C76="Operacional",IFERROR(VLOOKUP($D76,SN_UGC,28,0),0),1)</f>
        <v>0</v>
      </c>
      <c r="S76" s="120">
        <f>$E76*'C2 - Funcionários #'!AS78*IF($C76="Operacional",IFERROR(VLOOKUP($D76,SN_UGC,28,0),0),1)</f>
        <v>0</v>
      </c>
      <c r="T76" s="120">
        <f>$E76*'C2 - Funcionários #'!AT78*IF($C76="Operacional",IFERROR(VLOOKUP($D76,SN_UGC,28,0),0),1)</f>
        <v>0</v>
      </c>
      <c r="U76" s="120">
        <f>$E76*'C2 - Funcionários #'!AU78*IF($C76="Operacional",IFERROR(VLOOKUP($D76,SN_UGC,28,0),0),1)</f>
        <v>0</v>
      </c>
      <c r="V76" s="120">
        <f>$E76*'C2 - Funcionários #'!AV78*IF($C76="Operacional",IFERROR(VLOOKUP($D76,SN_UGC,28,0),0),1)</f>
        <v>0</v>
      </c>
      <c r="W76" s="120">
        <f>$E76*'C2 - Funcionários #'!AW78*IF($C76="Operacional",IFERROR(VLOOKUP($D76,SN_UGC,28,0),0),1)</f>
        <v>0</v>
      </c>
      <c r="X76" s="120">
        <f>$E76*'C2 - Funcionários #'!AX78*IF($C76="Operacional",IFERROR(VLOOKUP($D76,SN_UGC,28,0),0),1)</f>
        <v>0</v>
      </c>
      <c r="Y76" s="120">
        <f>$E76*'C2 - Funcionários #'!AY78*IF($C76="Operacional",IFERROR(VLOOKUP($D76,SN_UGC,28,0),0),1)</f>
        <v>0</v>
      </c>
      <c r="Z76" s="120">
        <f>$E76*'C2 - Funcionários #'!AZ78*IF($C76="Operacional",IFERROR(VLOOKUP($D76,SN_UGC,28,0),0),1)</f>
        <v>0</v>
      </c>
      <c r="AA76" s="120">
        <f>$E76*'C2 - Funcionários #'!BA78*IF($C76="Operacional",IFERROR(VLOOKUP($D76,SN_UGC,28,0),0),1)</f>
        <v>0</v>
      </c>
      <c r="AB76" s="120">
        <f>$E76*'C2 - Funcionários #'!BB78*IF($C76="Operacional",IFERROR(VLOOKUP($D76,SN_UGC,28,0),0),1)</f>
        <v>0</v>
      </c>
      <c r="AC76" s="120">
        <f>$E76*'C2 - Funcionários #'!BC78*IF($C76="Operacional",IFERROR(VLOOKUP($D76,SN_UGC,28,0),0),1)</f>
        <v>0</v>
      </c>
      <c r="AD76" s="120">
        <f>$E76*'C2 - Funcionários #'!BD78*IF($C76="Operacional",IFERROR(VLOOKUP($D76,SN_UGC,28,0),0),1)</f>
        <v>0</v>
      </c>
      <c r="AE76" s="120">
        <f>$E76*'C2 - Funcionários #'!BE78*IF($C76="Operacional",IFERROR(VLOOKUP($D76,SN_UGC,28,0),0),1)</f>
        <v>0</v>
      </c>
      <c r="AF76" s="120">
        <f>$E76*'C2 - Funcionários #'!BF78*IF($C76="Operacional",IFERROR(VLOOKUP($D76,SN_UGC,28,0),0),1)</f>
        <v>0</v>
      </c>
      <c r="AG76" s="120">
        <f>$E76*'C2 - Funcionários #'!BG78*IF($C76="Operacional",IFERROR(VLOOKUP($D76,SN_UGC,28,0),0),1)</f>
        <v>0</v>
      </c>
      <c r="AH76" s="120">
        <f>$E76*'C2 - Funcionários #'!BH78*IF($C76="Operacional",IFERROR(VLOOKUP($D76,SN_UGC,28,0),0),1)</f>
        <v>0</v>
      </c>
      <c r="AI76" s="120">
        <f>$E76*'C2 - Funcionários #'!BI78*IF($C76="Operacional",IFERROR(VLOOKUP($D76,SN_UGC,28,0),0),1)</f>
        <v>0</v>
      </c>
      <c r="AJ76" s="120">
        <f>$E76*'C2 - Funcionários #'!BJ78*IF($C76="Operacional",IFERROR(VLOOKUP($D76,SN_UGC,28,0),0),1)</f>
        <v>0</v>
      </c>
    </row>
    <row r="77" spans="1:36" ht="15.75" customHeight="1">
      <c r="A77" s="521"/>
      <c r="B77" s="51">
        <f>'C1 - Cargos e Salários'!B61</f>
        <v>0</v>
      </c>
      <c r="C77" s="51">
        <f>'C1 - Cargos e Salários'!C61</f>
        <v>0</v>
      </c>
      <c r="D77" s="51">
        <f>'C1 - Cargos e Salários'!D61</f>
        <v>0</v>
      </c>
      <c r="E77" s="118">
        <f>'C1 - Cargos e Salários'!K61</f>
        <v>0</v>
      </c>
      <c r="F77" s="119">
        <f>IF(C77="Operacional",IFERROR(VLOOKUP(D77,ReceitaPorTipo,COLUMN('A1 - Serviços e demanda'!$Z$17),0),0),100%)</f>
        <v>1</v>
      </c>
      <c r="G77" s="120">
        <f>E77*F77*'C2 - Funcionários #'!AG79*IF($C77="Operacional",IFERROR(VLOOKUP($D77,SN_UGC,28,0),0),1)</f>
        <v>0</v>
      </c>
      <c r="H77" s="120">
        <f>$E77*'C2 - Funcionários #'!AH79*IF($C77="Operacional",IFERROR(VLOOKUP($D77,SN_UGC,28,0),0),1)</f>
        <v>0</v>
      </c>
      <c r="I77" s="120">
        <f>$E77*'C2 - Funcionários #'!AI79*IF($C77="Operacional",IFERROR(VLOOKUP($D77,SN_UGC,28,0),0),1)</f>
        <v>0</v>
      </c>
      <c r="J77" s="120">
        <f>$E77*'C2 - Funcionários #'!AJ79*IF($C77="Operacional",IFERROR(VLOOKUP($D77,SN_UGC,28,0),0),1)</f>
        <v>0</v>
      </c>
      <c r="K77" s="120">
        <f>$E77*'C2 - Funcionários #'!AK79*IF($C77="Operacional",IFERROR(VLOOKUP($D77,SN_UGC,28,0),0),1)</f>
        <v>0</v>
      </c>
      <c r="L77" s="120">
        <f>$E77*'C2 - Funcionários #'!AL79*IF($C77="Operacional",IFERROR(VLOOKUP($D77,SN_UGC,28,0),0),1)</f>
        <v>0</v>
      </c>
      <c r="M77" s="120">
        <f>$E77*'C2 - Funcionários #'!AM79*IF($C77="Operacional",IFERROR(VLOOKUP($D77,SN_UGC,28,0),0),1)</f>
        <v>0</v>
      </c>
      <c r="N77" s="120">
        <f>$E77*'C2 - Funcionários #'!AN79*IF($C77="Operacional",IFERROR(VLOOKUP($D77,SN_UGC,28,0),0),1)</f>
        <v>0</v>
      </c>
      <c r="O77" s="120">
        <f>$E77*'C2 - Funcionários #'!AO79*IF($C77="Operacional",IFERROR(VLOOKUP($D77,SN_UGC,28,0),0),1)</f>
        <v>0</v>
      </c>
      <c r="P77" s="120">
        <f>$E77*'C2 - Funcionários #'!AP79*IF($C77="Operacional",IFERROR(VLOOKUP($D77,SN_UGC,28,0),0),1)</f>
        <v>0</v>
      </c>
      <c r="Q77" s="120">
        <f>$E77*'C2 - Funcionários #'!AQ79*IF($C77="Operacional",IFERROR(VLOOKUP($D77,SN_UGC,28,0),0),1)</f>
        <v>0</v>
      </c>
      <c r="R77" s="120">
        <f>$E77*'C2 - Funcionários #'!AR79*IF($C77="Operacional",IFERROR(VLOOKUP($D77,SN_UGC,28,0),0),1)</f>
        <v>0</v>
      </c>
      <c r="S77" s="120">
        <f>$E77*'C2 - Funcionários #'!AS79*IF($C77="Operacional",IFERROR(VLOOKUP($D77,SN_UGC,28,0),0),1)</f>
        <v>0</v>
      </c>
      <c r="T77" s="120">
        <f>$E77*'C2 - Funcionários #'!AT79*IF($C77="Operacional",IFERROR(VLOOKUP($D77,SN_UGC,28,0),0),1)</f>
        <v>0</v>
      </c>
      <c r="U77" s="120">
        <f>$E77*'C2 - Funcionários #'!AU79*IF($C77="Operacional",IFERROR(VLOOKUP($D77,SN_UGC,28,0),0),1)</f>
        <v>0</v>
      </c>
      <c r="V77" s="120">
        <f>$E77*'C2 - Funcionários #'!AV79*IF($C77="Operacional",IFERROR(VLOOKUP($D77,SN_UGC,28,0),0),1)</f>
        <v>0</v>
      </c>
      <c r="W77" s="120">
        <f>$E77*'C2 - Funcionários #'!AW79*IF($C77="Operacional",IFERROR(VLOOKUP($D77,SN_UGC,28,0),0),1)</f>
        <v>0</v>
      </c>
      <c r="X77" s="120">
        <f>$E77*'C2 - Funcionários #'!AX79*IF($C77="Operacional",IFERROR(VLOOKUP($D77,SN_UGC,28,0),0),1)</f>
        <v>0</v>
      </c>
      <c r="Y77" s="120">
        <f>$E77*'C2 - Funcionários #'!AY79*IF($C77="Operacional",IFERROR(VLOOKUP($D77,SN_UGC,28,0),0),1)</f>
        <v>0</v>
      </c>
      <c r="Z77" s="120">
        <f>$E77*'C2 - Funcionários #'!AZ79*IF($C77="Operacional",IFERROR(VLOOKUP($D77,SN_UGC,28,0),0),1)</f>
        <v>0</v>
      </c>
      <c r="AA77" s="120">
        <f>$E77*'C2 - Funcionários #'!BA79*IF($C77="Operacional",IFERROR(VLOOKUP($D77,SN_UGC,28,0),0),1)</f>
        <v>0</v>
      </c>
      <c r="AB77" s="120">
        <f>$E77*'C2 - Funcionários #'!BB79*IF($C77="Operacional",IFERROR(VLOOKUP($D77,SN_UGC,28,0),0),1)</f>
        <v>0</v>
      </c>
      <c r="AC77" s="120">
        <f>$E77*'C2 - Funcionários #'!BC79*IF($C77="Operacional",IFERROR(VLOOKUP($D77,SN_UGC,28,0),0),1)</f>
        <v>0</v>
      </c>
      <c r="AD77" s="120">
        <f>$E77*'C2 - Funcionários #'!BD79*IF($C77="Operacional",IFERROR(VLOOKUP($D77,SN_UGC,28,0),0),1)</f>
        <v>0</v>
      </c>
      <c r="AE77" s="120">
        <f>$E77*'C2 - Funcionários #'!BE79*IF($C77="Operacional",IFERROR(VLOOKUP($D77,SN_UGC,28,0),0),1)</f>
        <v>0</v>
      </c>
      <c r="AF77" s="120">
        <f>$E77*'C2 - Funcionários #'!BF79*IF($C77="Operacional",IFERROR(VLOOKUP($D77,SN_UGC,28,0),0),1)</f>
        <v>0</v>
      </c>
      <c r="AG77" s="120">
        <f>$E77*'C2 - Funcionários #'!BG79*IF($C77="Operacional",IFERROR(VLOOKUP($D77,SN_UGC,28,0),0),1)</f>
        <v>0</v>
      </c>
      <c r="AH77" s="120">
        <f>$E77*'C2 - Funcionários #'!BH79*IF($C77="Operacional",IFERROR(VLOOKUP($D77,SN_UGC,28,0),0),1)</f>
        <v>0</v>
      </c>
      <c r="AI77" s="120">
        <f>$E77*'C2 - Funcionários #'!BI79*IF($C77="Operacional",IFERROR(VLOOKUP($D77,SN_UGC,28,0),0),1)</f>
        <v>0</v>
      </c>
      <c r="AJ77" s="120">
        <f>$E77*'C2 - Funcionários #'!BJ79*IF($C77="Operacional",IFERROR(VLOOKUP($D77,SN_UGC,28,0),0),1)</f>
        <v>0</v>
      </c>
    </row>
    <row r="78" spans="1:36" ht="15.75" customHeight="1">
      <c r="A78" s="521"/>
      <c r="B78" s="51">
        <f>'C1 - Cargos e Salários'!B62</f>
        <v>0</v>
      </c>
      <c r="C78" s="51">
        <f>'C1 - Cargos e Salários'!C62</f>
        <v>0</v>
      </c>
      <c r="D78" s="51">
        <f>'C1 - Cargos e Salários'!D62</f>
        <v>0</v>
      </c>
      <c r="E78" s="118">
        <f>'C1 - Cargos e Salários'!K62</f>
        <v>0</v>
      </c>
      <c r="F78" s="119">
        <f>IF(C78="Operacional",IFERROR(VLOOKUP(D78,ReceitaPorTipo,COLUMN('A1 - Serviços e demanda'!$Z$17),0),0),100%)</f>
        <v>1</v>
      </c>
      <c r="G78" s="120">
        <f>E78*F78*'C2 - Funcionários #'!AG80*IF($C78="Operacional",IFERROR(VLOOKUP($D78,SN_UGC,28,0),0),1)</f>
        <v>0</v>
      </c>
      <c r="H78" s="120">
        <f>$E78*'C2 - Funcionários #'!AH80*IF($C78="Operacional",IFERROR(VLOOKUP($D78,SN_UGC,28,0),0),1)</f>
        <v>0</v>
      </c>
      <c r="I78" s="120">
        <f>$E78*'C2 - Funcionários #'!AI80*IF($C78="Operacional",IFERROR(VLOOKUP($D78,SN_UGC,28,0),0),1)</f>
        <v>0</v>
      </c>
      <c r="J78" s="120">
        <f>$E78*'C2 - Funcionários #'!AJ80*IF($C78="Operacional",IFERROR(VLOOKUP($D78,SN_UGC,28,0),0),1)</f>
        <v>0</v>
      </c>
      <c r="K78" s="120">
        <f>$E78*'C2 - Funcionários #'!AK80*IF($C78="Operacional",IFERROR(VLOOKUP($D78,SN_UGC,28,0),0),1)</f>
        <v>0</v>
      </c>
      <c r="L78" s="120">
        <f>$E78*'C2 - Funcionários #'!AL80*IF($C78="Operacional",IFERROR(VLOOKUP($D78,SN_UGC,28,0),0),1)</f>
        <v>0</v>
      </c>
      <c r="M78" s="120">
        <f>$E78*'C2 - Funcionários #'!AM80*IF($C78="Operacional",IFERROR(VLOOKUP($D78,SN_UGC,28,0),0),1)</f>
        <v>0</v>
      </c>
      <c r="N78" s="120">
        <f>$E78*'C2 - Funcionários #'!AN80*IF($C78="Operacional",IFERROR(VLOOKUP($D78,SN_UGC,28,0),0),1)</f>
        <v>0</v>
      </c>
      <c r="O78" s="120">
        <f>$E78*'C2 - Funcionários #'!AO80*IF($C78="Operacional",IFERROR(VLOOKUP($D78,SN_UGC,28,0),0),1)</f>
        <v>0</v>
      </c>
      <c r="P78" s="120">
        <f>$E78*'C2 - Funcionários #'!AP80*IF($C78="Operacional",IFERROR(VLOOKUP($D78,SN_UGC,28,0),0),1)</f>
        <v>0</v>
      </c>
      <c r="Q78" s="120">
        <f>$E78*'C2 - Funcionários #'!AQ80*IF($C78="Operacional",IFERROR(VLOOKUP($D78,SN_UGC,28,0),0),1)</f>
        <v>0</v>
      </c>
      <c r="R78" s="120">
        <f>$E78*'C2 - Funcionários #'!AR80*IF($C78="Operacional",IFERROR(VLOOKUP($D78,SN_UGC,28,0),0),1)</f>
        <v>0</v>
      </c>
      <c r="S78" s="120">
        <f>$E78*'C2 - Funcionários #'!AS80*IF($C78="Operacional",IFERROR(VLOOKUP($D78,SN_UGC,28,0),0),1)</f>
        <v>0</v>
      </c>
      <c r="T78" s="120">
        <f>$E78*'C2 - Funcionários #'!AT80*IF($C78="Operacional",IFERROR(VLOOKUP($D78,SN_UGC,28,0),0),1)</f>
        <v>0</v>
      </c>
      <c r="U78" s="120">
        <f>$E78*'C2 - Funcionários #'!AU80*IF($C78="Operacional",IFERROR(VLOOKUP($D78,SN_UGC,28,0),0),1)</f>
        <v>0</v>
      </c>
      <c r="V78" s="120">
        <f>$E78*'C2 - Funcionários #'!AV80*IF($C78="Operacional",IFERROR(VLOOKUP($D78,SN_UGC,28,0),0),1)</f>
        <v>0</v>
      </c>
      <c r="W78" s="120">
        <f>$E78*'C2 - Funcionários #'!AW80*IF($C78="Operacional",IFERROR(VLOOKUP($D78,SN_UGC,28,0),0),1)</f>
        <v>0</v>
      </c>
      <c r="X78" s="120">
        <f>$E78*'C2 - Funcionários #'!AX80*IF($C78="Operacional",IFERROR(VLOOKUP($D78,SN_UGC,28,0),0),1)</f>
        <v>0</v>
      </c>
      <c r="Y78" s="120">
        <f>$E78*'C2 - Funcionários #'!AY80*IF($C78="Operacional",IFERROR(VLOOKUP($D78,SN_UGC,28,0),0),1)</f>
        <v>0</v>
      </c>
      <c r="Z78" s="120">
        <f>$E78*'C2 - Funcionários #'!AZ80*IF($C78="Operacional",IFERROR(VLOOKUP($D78,SN_UGC,28,0),0),1)</f>
        <v>0</v>
      </c>
      <c r="AA78" s="120">
        <f>$E78*'C2 - Funcionários #'!BA80*IF($C78="Operacional",IFERROR(VLOOKUP($D78,SN_UGC,28,0),0),1)</f>
        <v>0</v>
      </c>
      <c r="AB78" s="120">
        <f>$E78*'C2 - Funcionários #'!BB80*IF($C78="Operacional",IFERROR(VLOOKUP($D78,SN_UGC,28,0),0),1)</f>
        <v>0</v>
      </c>
      <c r="AC78" s="120">
        <f>$E78*'C2 - Funcionários #'!BC80*IF($C78="Operacional",IFERROR(VLOOKUP($D78,SN_UGC,28,0),0),1)</f>
        <v>0</v>
      </c>
      <c r="AD78" s="120">
        <f>$E78*'C2 - Funcionários #'!BD80*IF($C78="Operacional",IFERROR(VLOOKUP($D78,SN_UGC,28,0),0),1)</f>
        <v>0</v>
      </c>
      <c r="AE78" s="120">
        <f>$E78*'C2 - Funcionários #'!BE80*IF($C78="Operacional",IFERROR(VLOOKUP($D78,SN_UGC,28,0),0),1)</f>
        <v>0</v>
      </c>
      <c r="AF78" s="120">
        <f>$E78*'C2 - Funcionários #'!BF80*IF($C78="Operacional",IFERROR(VLOOKUP($D78,SN_UGC,28,0),0),1)</f>
        <v>0</v>
      </c>
      <c r="AG78" s="120">
        <f>$E78*'C2 - Funcionários #'!BG80*IF($C78="Operacional",IFERROR(VLOOKUP($D78,SN_UGC,28,0),0),1)</f>
        <v>0</v>
      </c>
      <c r="AH78" s="120">
        <f>$E78*'C2 - Funcionários #'!BH80*IF($C78="Operacional",IFERROR(VLOOKUP($D78,SN_UGC,28,0),0),1)</f>
        <v>0</v>
      </c>
      <c r="AI78" s="120">
        <f>$E78*'C2 - Funcionários #'!BI80*IF($C78="Operacional",IFERROR(VLOOKUP($D78,SN_UGC,28,0),0),1)</f>
        <v>0</v>
      </c>
      <c r="AJ78" s="120">
        <f>$E78*'C2 - Funcionários #'!BJ80*IF($C78="Operacional",IFERROR(VLOOKUP($D78,SN_UGC,28,0),0),1)</f>
        <v>0</v>
      </c>
    </row>
    <row r="79" spans="1:36" ht="15.75" customHeight="1">
      <c r="A79" s="521"/>
      <c r="B79" s="51">
        <f>'C1 - Cargos e Salários'!B63</f>
        <v>0</v>
      </c>
      <c r="C79" s="51">
        <f>'C1 - Cargos e Salários'!C63</f>
        <v>0</v>
      </c>
      <c r="D79" s="51">
        <f>'C1 - Cargos e Salários'!D63</f>
        <v>0</v>
      </c>
      <c r="E79" s="118">
        <f>'C1 - Cargos e Salários'!K63</f>
        <v>0</v>
      </c>
      <c r="F79" s="119">
        <f>IF(C79="Operacional",IFERROR(VLOOKUP(D79,ReceitaPorTipo,COLUMN('A1 - Serviços e demanda'!$Z$17),0),0),100%)</f>
        <v>1</v>
      </c>
      <c r="G79" s="120">
        <f>E79*F79*'C2 - Funcionários #'!AG81*IF($C79="Operacional",IFERROR(VLOOKUP($D79,SN_UGC,28,0),0),1)</f>
        <v>0</v>
      </c>
      <c r="H79" s="120">
        <f>$E79*'C2 - Funcionários #'!AH81*IF($C79="Operacional",IFERROR(VLOOKUP($D79,SN_UGC,28,0),0),1)</f>
        <v>0</v>
      </c>
      <c r="I79" s="120">
        <f>$E79*'C2 - Funcionários #'!AI81*IF($C79="Operacional",IFERROR(VLOOKUP($D79,SN_UGC,28,0),0),1)</f>
        <v>0</v>
      </c>
      <c r="J79" s="120">
        <f>$E79*'C2 - Funcionários #'!AJ81*IF($C79="Operacional",IFERROR(VLOOKUP($D79,SN_UGC,28,0),0),1)</f>
        <v>0</v>
      </c>
      <c r="K79" s="120">
        <f>$E79*'C2 - Funcionários #'!AK81*IF($C79="Operacional",IFERROR(VLOOKUP($D79,SN_UGC,28,0),0),1)</f>
        <v>0</v>
      </c>
      <c r="L79" s="120">
        <f>$E79*'C2 - Funcionários #'!AL81*IF($C79="Operacional",IFERROR(VLOOKUP($D79,SN_UGC,28,0),0),1)</f>
        <v>0</v>
      </c>
      <c r="M79" s="120">
        <f>$E79*'C2 - Funcionários #'!AM81*IF($C79="Operacional",IFERROR(VLOOKUP($D79,SN_UGC,28,0),0),1)</f>
        <v>0</v>
      </c>
      <c r="N79" s="120">
        <f>$E79*'C2 - Funcionários #'!AN81*IF($C79="Operacional",IFERROR(VLOOKUP($D79,SN_UGC,28,0),0),1)</f>
        <v>0</v>
      </c>
      <c r="O79" s="120">
        <f>$E79*'C2 - Funcionários #'!AO81*IF($C79="Operacional",IFERROR(VLOOKUP($D79,SN_UGC,28,0),0),1)</f>
        <v>0</v>
      </c>
      <c r="P79" s="120">
        <f>$E79*'C2 - Funcionários #'!AP81*IF($C79="Operacional",IFERROR(VLOOKUP($D79,SN_UGC,28,0),0),1)</f>
        <v>0</v>
      </c>
      <c r="Q79" s="120">
        <f>$E79*'C2 - Funcionários #'!AQ81*IF($C79="Operacional",IFERROR(VLOOKUP($D79,SN_UGC,28,0),0),1)</f>
        <v>0</v>
      </c>
      <c r="R79" s="120">
        <f>$E79*'C2 - Funcionários #'!AR81*IF($C79="Operacional",IFERROR(VLOOKUP($D79,SN_UGC,28,0),0),1)</f>
        <v>0</v>
      </c>
      <c r="S79" s="120">
        <f>$E79*'C2 - Funcionários #'!AS81*IF($C79="Operacional",IFERROR(VLOOKUP($D79,SN_UGC,28,0),0),1)</f>
        <v>0</v>
      </c>
      <c r="T79" s="120">
        <f>$E79*'C2 - Funcionários #'!AT81*IF($C79="Operacional",IFERROR(VLOOKUP($D79,SN_UGC,28,0),0),1)</f>
        <v>0</v>
      </c>
      <c r="U79" s="120">
        <f>$E79*'C2 - Funcionários #'!AU81*IF($C79="Operacional",IFERROR(VLOOKUP($D79,SN_UGC,28,0),0),1)</f>
        <v>0</v>
      </c>
      <c r="V79" s="120">
        <f>$E79*'C2 - Funcionários #'!AV81*IF($C79="Operacional",IFERROR(VLOOKUP($D79,SN_UGC,28,0),0),1)</f>
        <v>0</v>
      </c>
      <c r="W79" s="120">
        <f>$E79*'C2 - Funcionários #'!AW81*IF($C79="Operacional",IFERROR(VLOOKUP($D79,SN_UGC,28,0),0),1)</f>
        <v>0</v>
      </c>
      <c r="X79" s="120">
        <f>$E79*'C2 - Funcionários #'!AX81*IF($C79="Operacional",IFERROR(VLOOKUP($D79,SN_UGC,28,0),0),1)</f>
        <v>0</v>
      </c>
      <c r="Y79" s="120">
        <f>$E79*'C2 - Funcionários #'!AY81*IF($C79="Operacional",IFERROR(VLOOKUP($D79,SN_UGC,28,0),0),1)</f>
        <v>0</v>
      </c>
      <c r="Z79" s="120">
        <f>$E79*'C2 - Funcionários #'!AZ81*IF($C79="Operacional",IFERROR(VLOOKUP($D79,SN_UGC,28,0),0),1)</f>
        <v>0</v>
      </c>
      <c r="AA79" s="120">
        <f>$E79*'C2 - Funcionários #'!BA81*IF($C79="Operacional",IFERROR(VLOOKUP($D79,SN_UGC,28,0),0),1)</f>
        <v>0</v>
      </c>
      <c r="AB79" s="120">
        <f>$E79*'C2 - Funcionários #'!BB81*IF($C79="Operacional",IFERROR(VLOOKUP($D79,SN_UGC,28,0),0),1)</f>
        <v>0</v>
      </c>
      <c r="AC79" s="120">
        <f>$E79*'C2 - Funcionários #'!BC81*IF($C79="Operacional",IFERROR(VLOOKUP($D79,SN_UGC,28,0),0),1)</f>
        <v>0</v>
      </c>
      <c r="AD79" s="120">
        <f>$E79*'C2 - Funcionários #'!BD81*IF($C79="Operacional",IFERROR(VLOOKUP($D79,SN_UGC,28,0),0),1)</f>
        <v>0</v>
      </c>
      <c r="AE79" s="120">
        <f>$E79*'C2 - Funcionários #'!BE81*IF($C79="Operacional",IFERROR(VLOOKUP($D79,SN_UGC,28,0),0),1)</f>
        <v>0</v>
      </c>
      <c r="AF79" s="120">
        <f>$E79*'C2 - Funcionários #'!BF81*IF($C79="Operacional",IFERROR(VLOOKUP($D79,SN_UGC,28,0),0),1)</f>
        <v>0</v>
      </c>
      <c r="AG79" s="120">
        <f>$E79*'C2 - Funcionários #'!BG81*IF($C79="Operacional",IFERROR(VLOOKUP($D79,SN_UGC,28,0),0),1)</f>
        <v>0</v>
      </c>
      <c r="AH79" s="120">
        <f>$E79*'C2 - Funcionários #'!BH81*IF($C79="Operacional",IFERROR(VLOOKUP($D79,SN_UGC,28,0),0),1)</f>
        <v>0</v>
      </c>
      <c r="AI79" s="120">
        <f>$E79*'C2 - Funcionários #'!BI81*IF($C79="Operacional",IFERROR(VLOOKUP($D79,SN_UGC,28,0),0),1)</f>
        <v>0</v>
      </c>
      <c r="AJ79" s="120">
        <f>$E79*'C2 - Funcionários #'!BJ81*IF($C79="Operacional",IFERROR(VLOOKUP($D79,SN_UGC,28,0),0),1)</f>
        <v>0</v>
      </c>
    </row>
    <row r="80" spans="1:36" ht="15.75" customHeight="1">
      <c r="A80" s="521"/>
      <c r="B80" s="51">
        <f>'C1 - Cargos e Salários'!B64</f>
        <v>0</v>
      </c>
      <c r="C80" s="51">
        <f>'C1 - Cargos e Salários'!C64</f>
        <v>0</v>
      </c>
      <c r="D80" s="51">
        <f>'C1 - Cargos e Salários'!D64</f>
        <v>0</v>
      </c>
      <c r="E80" s="118">
        <f>'C1 - Cargos e Salários'!K64</f>
        <v>0</v>
      </c>
      <c r="F80" s="119">
        <f>IF(C80="Operacional",IFERROR(VLOOKUP(D80,ReceitaPorTipo,COLUMN('A1 - Serviços e demanda'!$Z$17),0),0),100%)</f>
        <v>1</v>
      </c>
      <c r="G80" s="120">
        <f>E80*F80*'C2 - Funcionários #'!AG82*IF($C80="Operacional",IFERROR(VLOOKUP($D80,SN_UGC,28,0),0),1)</f>
        <v>0</v>
      </c>
      <c r="H80" s="120">
        <f>$E80*'C2 - Funcionários #'!AH82*IF($C80="Operacional",IFERROR(VLOOKUP($D80,SN_UGC,28,0),0),1)</f>
        <v>0</v>
      </c>
      <c r="I80" s="120">
        <f>$E80*'C2 - Funcionários #'!AI82*IF($C80="Operacional",IFERROR(VLOOKUP($D80,SN_UGC,28,0),0),1)</f>
        <v>0</v>
      </c>
      <c r="J80" s="120">
        <f>$E80*'C2 - Funcionários #'!AJ82*IF($C80="Operacional",IFERROR(VLOOKUP($D80,SN_UGC,28,0),0),1)</f>
        <v>0</v>
      </c>
      <c r="K80" s="120">
        <f>$E80*'C2 - Funcionários #'!AK82*IF($C80="Operacional",IFERROR(VLOOKUP($D80,SN_UGC,28,0),0),1)</f>
        <v>0</v>
      </c>
      <c r="L80" s="120">
        <f>$E80*'C2 - Funcionários #'!AL82*IF($C80="Operacional",IFERROR(VLOOKUP($D80,SN_UGC,28,0),0),1)</f>
        <v>0</v>
      </c>
      <c r="M80" s="120">
        <f>$E80*'C2 - Funcionários #'!AM82*IF($C80="Operacional",IFERROR(VLOOKUP($D80,SN_UGC,28,0),0),1)</f>
        <v>0</v>
      </c>
      <c r="N80" s="120">
        <f>$E80*'C2 - Funcionários #'!AN82*IF($C80="Operacional",IFERROR(VLOOKUP($D80,SN_UGC,28,0),0),1)</f>
        <v>0</v>
      </c>
      <c r="O80" s="120">
        <f>$E80*'C2 - Funcionários #'!AO82*IF($C80="Operacional",IFERROR(VLOOKUP($D80,SN_UGC,28,0),0),1)</f>
        <v>0</v>
      </c>
      <c r="P80" s="120">
        <f>$E80*'C2 - Funcionários #'!AP82*IF($C80="Operacional",IFERROR(VLOOKUP($D80,SN_UGC,28,0),0),1)</f>
        <v>0</v>
      </c>
      <c r="Q80" s="120">
        <f>$E80*'C2 - Funcionários #'!AQ82*IF($C80="Operacional",IFERROR(VLOOKUP($D80,SN_UGC,28,0),0),1)</f>
        <v>0</v>
      </c>
      <c r="R80" s="120">
        <f>$E80*'C2 - Funcionários #'!AR82*IF($C80="Operacional",IFERROR(VLOOKUP($D80,SN_UGC,28,0),0),1)</f>
        <v>0</v>
      </c>
      <c r="S80" s="120">
        <f>$E80*'C2 - Funcionários #'!AS82*IF($C80="Operacional",IFERROR(VLOOKUP($D80,SN_UGC,28,0),0),1)</f>
        <v>0</v>
      </c>
      <c r="T80" s="120">
        <f>$E80*'C2 - Funcionários #'!AT82*IF($C80="Operacional",IFERROR(VLOOKUP($D80,SN_UGC,28,0),0),1)</f>
        <v>0</v>
      </c>
      <c r="U80" s="120">
        <f>$E80*'C2 - Funcionários #'!AU82*IF($C80="Operacional",IFERROR(VLOOKUP($D80,SN_UGC,28,0),0),1)</f>
        <v>0</v>
      </c>
      <c r="V80" s="120">
        <f>$E80*'C2 - Funcionários #'!AV82*IF($C80="Operacional",IFERROR(VLOOKUP($D80,SN_UGC,28,0),0),1)</f>
        <v>0</v>
      </c>
      <c r="W80" s="120">
        <f>$E80*'C2 - Funcionários #'!AW82*IF($C80="Operacional",IFERROR(VLOOKUP($D80,SN_UGC,28,0),0),1)</f>
        <v>0</v>
      </c>
      <c r="X80" s="120">
        <f>$E80*'C2 - Funcionários #'!AX82*IF($C80="Operacional",IFERROR(VLOOKUP($D80,SN_UGC,28,0),0),1)</f>
        <v>0</v>
      </c>
      <c r="Y80" s="120">
        <f>$E80*'C2 - Funcionários #'!AY82*IF($C80="Operacional",IFERROR(VLOOKUP($D80,SN_UGC,28,0),0),1)</f>
        <v>0</v>
      </c>
      <c r="Z80" s="120">
        <f>$E80*'C2 - Funcionários #'!AZ82*IF($C80="Operacional",IFERROR(VLOOKUP($D80,SN_UGC,28,0),0),1)</f>
        <v>0</v>
      </c>
      <c r="AA80" s="120">
        <f>$E80*'C2 - Funcionários #'!BA82*IF($C80="Operacional",IFERROR(VLOOKUP($D80,SN_UGC,28,0),0),1)</f>
        <v>0</v>
      </c>
      <c r="AB80" s="120">
        <f>$E80*'C2 - Funcionários #'!BB82*IF($C80="Operacional",IFERROR(VLOOKUP($D80,SN_UGC,28,0),0),1)</f>
        <v>0</v>
      </c>
      <c r="AC80" s="120">
        <f>$E80*'C2 - Funcionários #'!BC82*IF($C80="Operacional",IFERROR(VLOOKUP($D80,SN_UGC,28,0),0),1)</f>
        <v>0</v>
      </c>
      <c r="AD80" s="120">
        <f>$E80*'C2 - Funcionários #'!BD82*IF($C80="Operacional",IFERROR(VLOOKUP($D80,SN_UGC,28,0),0),1)</f>
        <v>0</v>
      </c>
      <c r="AE80" s="120">
        <f>$E80*'C2 - Funcionários #'!BE82*IF($C80="Operacional",IFERROR(VLOOKUP($D80,SN_UGC,28,0),0),1)</f>
        <v>0</v>
      </c>
      <c r="AF80" s="120">
        <f>$E80*'C2 - Funcionários #'!BF82*IF($C80="Operacional",IFERROR(VLOOKUP($D80,SN_UGC,28,0),0),1)</f>
        <v>0</v>
      </c>
      <c r="AG80" s="120">
        <f>$E80*'C2 - Funcionários #'!BG82*IF($C80="Operacional",IFERROR(VLOOKUP($D80,SN_UGC,28,0),0),1)</f>
        <v>0</v>
      </c>
      <c r="AH80" s="120">
        <f>$E80*'C2 - Funcionários #'!BH82*IF($C80="Operacional",IFERROR(VLOOKUP($D80,SN_UGC,28,0),0),1)</f>
        <v>0</v>
      </c>
      <c r="AI80" s="120">
        <f>$E80*'C2 - Funcionários #'!BI82*IF($C80="Operacional",IFERROR(VLOOKUP($D80,SN_UGC,28,0),0),1)</f>
        <v>0</v>
      </c>
      <c r="AJ80" s="120">
        <f>$E80*'C2 - Funcionários #'!BJ82*IF($C80="Operacional",IFERROR(VLOOKUP($D80,SN_UGC,28,0),0),1)</f>
        <v>0</v>
      </c>
    </row>
    <row r="81" spans="1:36" ht="15.75" customHeight="1">
      <c r="A81" s="521"/>
      <c r="B81" s="51">
        <f>'C1 - Cargos e Salários'!B65</f>
        <v>0</v>
      </c>
      <c r="C81" s="51">
        <f>'C1 - Cargos e Salários'!C65</f>
        <v>0</v>
      </c>
      <c r="D81" s="51">
        <f>'C1 - Cargos e Salários'!D65</f>
        <v>0</v>
      </c>
      <c r="E81" s="118">
        <f>'C1 - Cargos e Salários'!K65</f>
        <v>0</v>
      </c>
      <c r="F81" s="119">
        <f>IF(C81="Operacional",IFERROR(VLOOKUP(D81,ReceitaPorTipo,COLUMN('A1 - Serviços e demanda'!$Z$17),0),0),100%)</f>
        <v>1</v>
      </c>
      <c r="G81" s="120">
        <f>E81*F81*'C2 - Funcionários #'!AG83*IF($C81="Operacional",IFERROR(VLOOKUP($D81,SN_UGC,28,0),0),1)</f>
        <v>0</v>
      </c>
      <c r="H81" s="120">
        <f>$E81*'C2 - Funcionários #'!AH83*IF($C81="Operacional",IFERROR(VLOOKUP($D81,SN_UGC,28,0),0),1)</f>
        <v>0</v>
      </c>
      <c r="I81" s="120">
        <f>$E81*'C2 - Funcionários #'!AI83*IF($C81="Operacional",IFERROR(VLOOKUP($D81,SN_UGC,28,0),0),1)</f>
        <v>0</v>
      </c>
      <c r="J81" s="120">
        <f>$E81*'C2 - Funcionários #'!AJ83*IF($C81="Operacional",IFERROR(VLOOKUP($D81,SN_UGC,28,0),0),1)</f>
        <v>0</v>
      </c>
      <c r="K81" s="120">
        <f>$E81*'C2 - Funcionários #'!AK83*IF($C81="Operacional",IFERROR(VLOOKUP($D81,SN_UGC,28,0),0),1)</f>
        <v>0</v>
      </c>
      <c r="L81" s="120">
        <f>$E81*'C2 - Funcionários #'!AL83*IF($C81="Operacional",IFERROR(VLOOKUP($D81,SN_UGC,28,0),0),1)</f>
        <v>0</v>
      </c>
      <c r="M81" s="120">
        <f>$E81*'C2 - Funcionários #'!AM83*IF($C81="Operacional",IFERROR(VLOOKUP($D81,SN_UGC,28,0),0),1)</f>
        <v>0</v>
      </c>
      <c r="N81" s="120">
        <f>$E81*'C2 - Funcionários #'!AN83*IF($C81="Operacional",IFERROR(VLOOKUP($D81,SN_UGC,28,0),0),1)</f>
        <v>0</v>
      </c>
      <c r="O81" s="120">
        <f>$E81*'C2 - Funcionários #'!AO83*IF($C81="Operacional",IFERROR(VLOOKUP($D81,SN_UGC,28,0),0),1)</f>
        <v>0</v>
      </c>
      <c r="P81" s="120">
        <f>$E81*'C2 - Funcionários #'!AP83*IF($C81="Operacional",IFERROR(VLOOKUP($D81,SN_UGC,28,0),0),1)</f>
        <v>0</v>
      </c>
      <c r="Q81" s="120">
        <f>$E81*'C2 - Funcionários #'!AQ83*IF($C81="Operacional",IFERROR(VLOOKUP($D81,SN_UGC,28,0),0),1)</f>
        <v>0</v>
      </c>
      <c r="R81" s="120">
        <f>$E81*'C2 - Funcionários #'!AR83*IF($C81="Operacional",IFERROR(VLOOKUP($D81,SN_UGC,28,0),0),1)</f>
        <v>0</v>
      </c>
      <c r="S81" s="120">
        <f>$E81*'C2 - Funcionários #'!AS83*IF($C81="Operacional",IFERROR(VLOOKUP($D81,SN_UGC,28,0),0),1)</f>
        <v>0</v>
      </c>
      <c r="T81" s="120">
        <f>$E81*'C2 - Funcionários #'!AT83*IF($C81="Operacional",IFERROR(VLOOKUP($D81,SN_UGC,28,0),0),1)</f>
        <v>0</v>
      </c>
      <c r="U81" s="120">
        <f>$E81*'C2 - Funcionários #'!AU83*IF($C81="Operacional",IFERROR(VLOOKUP($D81,SN_UGC,28,0),0),1)</f>
        <v>0</v>
      </c>
      <c r="V81" s="120">
        <f>$E81*'C2 - Funcionários #'!AV83*IF($C81="Operacional",IFERROR(VLOOKUP($D81,SN_UGC,28,0),0),1)</f>
        <v>0</v>
      </c>
      <c r="W81" s="120">
        <f>$E81*'C2 - Funcionários #'!AW83*IF($C81="Operacional",IFERROR(VLOOKUP($D81,SN_UGC,28,0),0),1)</f>
        <v>0</v>
      </c>
      <c r="X81" s="120">
        <f>$E81*'C2 - Funcionários #'!AX83*IF($C81="Operacional",IFERROR(VLOOKUP($D81,SN_UGC,28,0),0),1)</f>
        <v>0</v>
      </c>
      <c r="Y81" s="120">
        <f>$E81*'C2 - Funcionários #'!AY83*IF($C81="Operacional",IFERROR(VLOOKUP($D81,SN_UGC,28,0),0),1)</f>
        <v>0</v>
      </c>
      <c r="Z81" s="120">
        <f>$E81*'C2 - Funcionários #'!AZ83*IF($C81="Operacional",IFERROR(VLOOKUP($D81,SN_UGC,28,0),0),1)</f>
        <v>0</v>
      </c>
      <c r="AA81" s="120">
        <f>$E81*'C2 - Funcionários #'!BA83*IF($C81="Operacional",IFERROR(VLOOKUP($D81,SN_UGC,28,0),0),1)</f>
        <v>0</v>
      </c>
      <c r="AB81" s="120">
        <f>$E81*'C2 - Funcionários #'!BB83*IF($C81="Operacional",IFERROR(VLOOKUP($D81,SN_UGC,28,0),0),1)</f>
        <v>0</v>
      </c>
      <c r="AC81" s="120">
        <f>$E81*'C2 - Funcionários #'!BC83*IF($C81="Operacional",IFERROR(VLOOKUP($D81,SN_UGC,28,0),0),1)</f>
        <v>0</v>
      </c>
      <c r="AD81" s="120">
        <f>$E81*'C2 - Funcionários #'!BD83*IF($C81="Operacional",IFERROR(VLOOKUP($D81,SN_UGC,28,0),0),1)</f>
        <v>0</v>
      </c>
      <c r="AE81" s="120">
        <f>$E81*'C2 - Funcionários #'!BE83*IF($C81="Operacional",IFERROR(VLOOKUP($D81,SN_UGC,28,0),0),1)</f>
        <v>0</v>
      </c>
      <c r="AF81" s="120">
        <f>$E81*'C2 - Funcionários #'!BF83*IF($C81="Operacional",IFERROR(VLOOKUP($D81,SN_UGC,28,0),0),1)</f>
        <v>0</v>
      </c>
      <c r="AG81" s="120">
        <f>$E81*'C2 - Funcionários #'!BG83*IF($C81="Operacional",IFERROR(VLOOKUP($D81,SN_UGC,28,0),0),1)</f>
        <v>0</v>
      </c>
      <c r="AH81" s="120">
        <f>$E81*'C2 - Funcionários #'!BH83*IF($C81="Operacional",IFERROR(VLOOKUP($D81,SN_UGC,28,0),0),1)</f>
        <v>0</v>
      </c>
      <c r="AI81" s="120">
        <f>$E81*'C2 - Funcionários #'!BI83*IF($C81="Operacional",IFERROR(VLOOKUP($D81,SN_UGC,28,0),0),1)</f>
        <v>0</v>
      </c>
      <c r="AJ81" s="120">
        <f>$E81*'C2 - Funcionários #'!BJ83*IF($C81="Operacional",IFERROR(VLOOKUP($D81,SN_UGC,28,0),0),1)</f>
        <v>0</v>
      </c>
    </row>
    <row r="82" spans="1:36" ht="15.75" customHeight="1">
      <c r="A82" s="521"/>
      <c r="B82" s="51">
        <f>'C1 - Cargos e Salários'!B66</f>
        <v>0</v>
      </c>
      <c r="C82" s="51">
        <f>'C1 - Cargos e Salários'!C66</f>
        <v>0</v>
      </c>
      <c r="D82" s="51">
        <f>'C1 - Cargos e Salários'!D66</f>
        <v>0</v>
      </c>
      <c r="E82" s="118">
        <f>'C1 - Cargos e Salários'!K66</f>
        <v>0</v>
      </c>
      <c r="F82" s="119">
        <f>IF(C82="Operacional",IFERROR(VLOOKUP(D82,ReceitaPorTipo,COLUMN('A1 - Serviços e demanda'!$Z$17),0),0),100%)</f>
        <v>1</v>
      </c>
      <c r="G82" s="120">
        <f>E82*F82*'C2 - Funcionários #'!AG84*IF($C82="Operacional",IFERROR(VLOOKUP($D82,SN_UGC,28,0),0),1)</f>
        <v>0</v>
      </c>
      <c r="H82" s="120">
        <f>$E82*'C2 - Funcionários #'!AH84*IF($C82="Operacional",IFERROR(VLOOKUP($D82,SN_UGC,28,0),0),1)</f>
        <v>0</v>
      </c>
      <c r="I82" s="120">
        <f>$E82*'C2 - Funcionários #'!AI84*IF($C82="Operacional",IFERROR(VLOOKUP($D82,SN_UGC,28,0),0),1)</f>
        <v>0</v>
      </c>
      <c r="J82" s="120">
        <f>$E82*'C2 - Funcionários #'!AJ84*IF($C82="Operacional",IFERROR(VLOOKUP($D82,SN_UGC,28,0),0),1)</f>
        <v>0</v>
      </c>
      <c r="K82" s="120">
        <f>$E82*'C2 - Funcionários #'!AK84*IF($C82="Operacional",IFERROR(VLOOKUP($D82,SN_UGC,28,0),0),1)</f>
        <v>0</v>
      </c>
      <c r="L82" s="120">
        <f>$E82*'C2 - Funcionários #'!AL84*IF($C82="Operacional",IFERROR(VLOOKUP($D82,SN_UGC,28,0),0),1)</f>
        <v>0</v>
      </c>
      <c r="M82" s="120">
        <f>$E82*'C2 - Funcionários #'!AM84*IF($C82="Operacional",IFERROR(VLOOKUP($D82,SN_UGC,28,0),0),1)</f>
        <v>0</v>
      </c>
      <c r="N82" s="120">
        <f>$E82*'C2 - Funcionários #'!AN84*IF($C82="Operacional",IFERROR(VLOOKUP($D82,SN_UGC,28,0),0),1)</f>
        <v>0</v>
      </c>
      <c r="O82" s="120">
        <f>$E82*'C2 - Funcionários #'!AO84*IF($C82="Operacional",IFERROR(VLOOKUP($D82,SN_UGC,28,0),0),1)</f>
        <v>0</v>
      </c>
      <c r="P82" s="120">
        <f>$E82*'C2 - Funcionários #'!AP84*IF($C82="Operacional",IFERROR(VLOOKUP($D82,SN_UGC,28,0),0),1)</f>
        <v>0</v>
      </c>
      <c r="Q82" s="120">
        <f>$E82*'C2 - Funcionários #'!AQ84*IF($C82="Operacional",IFERROR(VLOOKUP($D82,SN_UGC,28,0),0),1)</f>
        <v>0</v>
      </c>
      <c r="R82" s="120">
        <f>$E82*'C2 - Funcionários #'!AR84*IF($C82="Operacional",IFERROR(VLOOKUP($D82,SN_UGC,28,0),0),1)</f>
        <v>0</v>
      </c>
      <c r="S82" s="120">
        <f>$E82*'C2 - Funcionários #'!AS84*IF($C82="Operacional",IFERROR(VLOOKUP($D82,SN_UGC,28,0),0),1)</f>
        <v>0</v>
      </c>
      <c r="T82" s="120">
        <f>$E82*'C2 - Funcionários #'!AT84*IF($C82="Operacional",IFERROR(VLOOKUP($D82,SN_UGC,28,0),0),1)</f>
        <v>0</v>
      </c>
      <c r="U82" s="120">
        <f>$E82*'C2 - Funcionários #'!AU84*IF($C82="Operacional",IFERROR(VLOOKUP($D82,SN_UGC,28,0),0),1)</f>
        <v>0</v>
      </c>
      <c r="V82" s="120">
        <f>$E82*'C2 - Funcionários #'!AV84*IF($C82="Operacional",IFERROR(VLOOKUP($D82,SN_UGC,28,0),0),1)</f>
        <v>0</v>
      </c>
      <c r="W82" s="120">
        <f>$E82*'C2 - Funcionários #'!AW84*IF($C82="Operacional",IFERROR(VLOOKUP($D82,SN_UGC,28,0),0),1)</f>
        <v>0</v>
      </c>
      <c r="X82" s="120">
        <f>$E82*'C2 - Funcionários #'!AX84*IF($C82="Operacional",IFERROR(VLOOKUP($D82,SN_UGC,28,0),0),1)</f>
        <v>0</v>
      </c>
      <c r="Y82" s="120">
        <f>$E82*'C2 - Funcionários #'!AY84*IF($C82="Operacional",IFERROR(VLOOKUP($D82,SN_UGC,28,0),0),1)</f>
        <v>0</v>
      </c>
      <c r="Z82" s="120">
        <f>$E82*'C2 - Funcionários #'!AZ84*IF($C82="Operacional",IFERROR(VLOOKUP($D82,SN_UGC,28,0),0),1)</f>
        <v>0</v>
      </c>
      <c r="AA82" s="120">
        <f>$E82*'C2 - Funcionários #'!BA84*IF($C82="Operacional",IFERROR(VLOOKUP($D82,SN_UGC,28,0),0),1)</f>
        <v>0</v>
      </c>
      <c r="AB82" s="120">
        <f>$E82*'C2 - Funcionários #'!BB84*IF($C82="Operacional",IFERROR(VLOOKUP($D82,SN_UGC,28,0),0),1)</f>
        <v>0</v>
      </c>
      <c r="AC82" s="120">
        <f>$E82*'C2 - Funcionários #'!BC84*IF($C82="Operacional",IFERROR(VLOOKUP($D82,SN_UGC,28,0),0),1)</f>
        <v>0</v>
      </c>
      <c r="AD82" s="120">
        <f>$E82*'C2 - Funcionários #'!BD84*IF($C82="Operacional",IFERROR(VLOOKUP($D82,SN_UGC,28,0),0),1)</f>
        <v>0</v>
      </c>
      <c r="AE82" s="120">
        <f>$E82*'C2 - Funcionários #'!BE84*IF($C82="Operacional",IFERROR(VLOOKUP($D82,SN_UGC,28,0),0),1)</f>
        <v>0</v>
      </c>
      <c r="AF82" s="120">
        <f>$E82*'C2 - Funcionários #'!BF84*IF($C82="Operacional",IFERROR(VLOOKUP($D82,SN_UGC,28,0),0),1)</f>
        <v>0</v>
      </c>
      <c r="AG82" s="120">
        <f>$E82*'C2 - Funcionários #'!BG84*IF($C82="Operacional",IFERROR(VLOOKUP($D82,SN_UGC,28,0),0),1)</f>
        <v>0</v>
      </c>
      <c r="AH82" s="120">
        <f>$E82*'C2 - Funcionários #'!BH84*IF($C82="Operacional",IFERROR(VLOOKUP($D82,SN_UGC,28,0),0),1)</f>
        <v>0</v>
      </c>
      <c r="AI82" s="120">
        <f>$E82*'C2 - Funcionários #'!BI84*IF($C82="Operacional",IFERROR(VLOOKUP($D82,SN_UGC,28,0),0),1)</f>
        <v>0</v>
      </c>
      <c r="AJ82" s="120">
        <f>$E82*'C2 - Funcionários #'!BJ84*IF($C82="Operacional",IFERROR(VLOOKUP($D82,SN_UGC,28,0),0),1)</f>
        <v>0</v>
      </c>
    </row>
    <row r="83" spans="1:36" ht="15.75" customHeight="1">
      <c r="A83" s="521"/>
      <c r="B83" s="51">
        <f>'C1 - Cargos e Salários'!B67</f>
        <v>0</v>
      </c>
      <c r="C83" s="51">
        <f>'C1 - Cargos e Salários'!C67</f>
        <v>0</v>
      </c>
      <c r="D83" s="51">
        <f>'C1 - Cargos e Salários'!D67</f>
        <v>0</v>
      </c>
      <c r="E83" s="118">
        <f>'C1 - Cargos e Salários'!K67</f>
        <v>0</v>
      </c>
      <c r="F83" s="119">
        <f>IF(C83="Operacional",IFERROR(VLOOKUP(D83,ReceitaPorTipo,COLUMN('A1 - Serviços e demanda'!$Z$17),0),0),100%)</f>
        <v>1</v>
      </c>
      <c r="G83" s="120">
        <f>E83*F83*'C2 - Funcionários #'!AG85*IF($C83="Operacional",IFERROR(VLOOKUP($D83,SN_UGC,28,0),0),1)</f>
        <v>0</v>
      </c>
      <c r="H83" s="120">
        <f>$E83*'C2 - Funcionários #'!AH85*IF($C83="Operacional",IFERROR(VLOOKUP($D83,SN_UGC,28,0),0),1)</f>
        <v>0</v>
      </c>
      <c r="I83" s="120">
        <f>$E83*'C2 - Funcionários #'!AI85*IF($C83="Operacional",IFERROR(VLOOKUP($D83,SN_UGC,28,0),0),1)</f>
        <v>0</v>
      </c>
      <c r="J83" s="120">
        <f>$E83*'C2 - Funcionários #'!AJ85*IF($C83="Operacional",IFERROR(VLOOKUP($D83,SN_UGC,28,0),0),1)</f>
        <v>0</v>
      </c>
      <c r="K83" s="120">
        <f>$E83*'C2 - Funcionários #'!AK85*IF($C83="Operacional",IFERROR(VLOOKUP($D83,SN_UGC,28,0),0),1)</f>
        <v>0</v>
      </c>
      <c r="L83" s="120">
        <f>$E83*'C2 - Funcionários #'!AL85*IF($C83="Operacional",IFERROR(VLOOKUP($D83,SN_UGC,28,0),0),1)</f>
        <v>0</v>
      </c>
      <c r="M83" s="120">
        <f>$E83*'C2 - Funcionários #'!AM85*IF($C83="Operacional",IFERROR(VLOOKUP($D83,SN_UGC,28,0),0),1)</f>
        <v>0</v>
      </c>
      <c r="N83" s="120">
        <f>$E83*'C2 - Funcionários #'!AN85*IF($C83="Operacional",IFERROR(VLOOKUP($D83,SN_UGC,28,0),0),1)</f>
        <v>0</v>
      </c>
      <c r="O83" s="120">
        <f>$E83*'C2 - Funcionários #'!AO85*IF($C83="Operacional",IFERROR(VLOOKUP($D83,SN_UGC,28,0),0),1)</f>
        <v>0</v>
      </c>
      <c r="P83" s="120">
        <f>$E83*'C2 - Funcionários #'!AP85*IF($C83="Operacional",IFERROR(VLOOKUP($D83,SN_UGC,28,0),0),1)</f>
        <v>0</v>
      </c>
      <c r="Q83" s="120">
        <f>$E83*'C2 - Funcionários #'!AQ85*IF($C83="Operacional",IFERROR(VLOOKUP($D83,SN_UGC,28,0),0),1)</f>
        <v>0</v>
      </c>
      <c r="R83" s="120">
        <f>$E83*'C2 - Funcionários #'!AR85*IF($C83="Operacional",IFERROR(VLOOKUP($D83,SN_UGC,28,0),0),1)</f>
        <v>0</v>
      </c>
      <c r="S83" s="120">
        <f>$E83*'C2 - Funcionários #'!AS85*IF($C83="Operacional",IFERROR(VLOOKUP($D83,SN_UGC,28,0),0),1)</f>
        <v>0</v>
      </c>
      <c r="T83" s="120">
        <f>$E83*'C2 - Funcionários #'!AT85*IF($C83="Operacional",IFERROR(VLOOKUP($D83,SN_UGC,28,0),0),1)</f>
        <v>0</v>
      </c>
      <c r="U83" s="120">
        <f>$E83*'C2 - Funcionários #'!AU85*IF($C83="Operacional",IFERROR(VLOOKUP($D83,SN_UGC,28,0),0),1)</f>
        <v>0</v>
      </c>
      <c r="V83" s="120">
        <f>$E83*'C2 - Funcionários #'!AV85*IF($C83="Operacional",IFERROR(VLOOKUP($D83,SN_UGC,28,0),0),1)</f>
        <v>0</v>
      </c>
      <c r="W83" s="120">
        <f>$E83*'C2 - Funcionários #'!AW85*IF($C83="Operacional",IFERROR(VLOOKUP($D83,SN_UGC,28,0),0),1)</f>
        <v>0</v>
      </c>
      <c r="X83" s="120">
        <f>$E83*'C2 - Funcionários #'!AX85*IF($C83="Operacional",IFERROR(VLOOKUP($D83,SN_UGC,28,0),0),1)</f>
        <v>0</v>
      </c>
      <c r="Y83" s="120">
        <f>$E83*'C2 - Funcionários #'!AY85*IF($C83="Operacional",IFERROR(VLOOKUP($D83,SN_UGC,28,0),0),1)</f>
        <v>0</v>
      </c>
      <c r="Z83" s="120">
        <f>$E83*'C2 - Funcionários #'!AZ85*IF($C83="Operacional",IFERROR(VLOOKUP($D83,SN_UGC,28,0),0),1)</f>
        <v>0</v>
      </c>
      <c r="AA83" s="120">
        <f>$E83*'C2 - Funcionários #'!BA85*IF($C83="Operacional",IFERROR(VLOOKUP($D83,SN_UGC,28,0),0),1)</f>
        <v>0</v>
      </c>
      <c r="AB83" s="120">
        <f>$E83*'C2 - Funcionários #'!BB85*IF($C83="Operacional",IFERROR(VLOOKUP($D83,SN_UGC,28,0),0),1)</f>
        <v>0</v>
      </c>
      <c r="AC83" s="120">
        <f>$E83*'C2 - Funcionários #'!BC85*IF($C83="Operacional",IFERROR(VLOOKUP($D83,SN_UGC,28,0),0),1)</f>
        <v>0</v>
      </c>
      <c r="AD83" s="120">
        <f>$E83*'C2 - Funcionários #'!BD85*IF($C83="Operacional",IFERROR(VLOOKUP($D83,SN_UGC,28,0),0),1)</f>
        <v>0</v>
      </c>
      <c r="AE83" s="120">
        <f>$E83*'C2 - Funcionários #'!BE85*IF($C83="Operacional",IFERROR(VLOOKUP($D83,SN_UGC,28,0),0),1)</f>
        <v>0</v>
      </c>
      <c r="AF83" s="120">
        <f>$E83*'C2 - Funcionários #'!BF85*IF($C83="Operacional",IFERROR(VLOOKUP($D83,SN_UGC,28,0),0),1)</f>
        <v>0</v>
      </c>
      <c r="AG83" s="120">
        <f>$E83*'C2 - Funcionários #'!BG85*IF($C83="Operacional",IFERROR(VLOOKUP($D83,SN_UGC,28,0),0),1)</f>
        <v>0</v>
      </c>
      <c r="AH83" s="120">
        <f>$E83*'C2 - Funcionários #'!BH85*IF($C83="Operacional",IFERROR(VLOOKUP($D83,SN_UGC,28,0),0),1)</f>
        <v>0</v>
      </c>
      <c r="AI83" s="120">
        <f>$E83*'C2 - Funcionários #'!BI85*IF($C83="Operacional",IFERROR(VLOOKUP($D83,SN_UGC,28,0),0),1)</f>
        <v>0</v>
      </c>
      <c r="AJ83" s="120">
        <f>$E83*'C2 - Funcionários #'!BJ85*IF($C83="Operacional",IFERROR(VLOOKUP($D83,SN_UGC,28,0),0),1)</f>
        <v>0</v>
      </c>
    </row>
    <row r="84" spans="1:36" ht="15.75" customHeight="1">
      <c r="A84" s="521"/>
      <c r="B84" s="51">
        <f>'C1 - Cargos e Salários'!B68</f>
        <v>0</v>
      </c>
      <c r="C84" s="51">
        <f>'C1 - Cargos e Salários'!C68</f>
        <v>0</v>
      </c>
      <c r="D84" s="51">
        <f>'C1 - Cargos e Salários'!D68</f>
        <v>0</v>
      </c>
      <c r="E84" s="118">
        <f>'C1 - Cargos e Salários'!K68</f>
        <v>0</v>
      </c>
      <c r="F84" s="119">
        <f>IF(C84="Operacional",IFERROR(VLOOKUP(D84,ReceitaPorTipo,COLUMN('A1 - Serviços e demanda'!$Z$17),0),0),100%)</f>
        <v>1</v>
      </c>
      <c r="G84" s="120">
        <f>E84*F84*'C2 - Funcionários #'!AG86*IF($C84="Operacional",IFERROR(VLOOKUP($D84,SN_UGC,28,0),0),1)</f>
        <v>0</v>
      </c>
      <c r="H84" s="120">
        <f>$E84*'C2 - Funcionários #'!AH86*IF($C84="Operacional",IFERROR(VLOOKUP($D84,SN_UGC,28,0),0),1)</f>
        <v>0</v>
      </c>
      <c r="I84" s="120">
        <f>$E84*'C2 - Funcionários #'!AI86*IF($C84="Operacional",IFERROR(VLOOKUP($D84,SN_UGC,28,0),0),1)</f>
        <v>0</v>
      </c>
      <c r="J84" s="120">
        <f>$E84*'C2 - Funcionários #'!AJ86*IF($C84="Operacional",IFERROR(VLOOKUP($D84,SN_UGC,28,0),0),1)</f>
        <v>0</v>
      </c>
      <c r="K84" s="120">
        <f>$E84*'C2 - Funcionários #'!AK86*IF($C84="Operacional",IFERROR(VLOOKUP($D84,SN_UGC,28,0),0),1)</f>
        <v>0</v>
      </c>
      <c r="L84" s="120">
        <f>$E84*'C2 - Funcionários #'!AL86*IF($C84="Operacional",IFERROR(VLOOKUP($D84,SN_UGC,28,0),0),1)</f>
        <v>0</v>
      </c>
      <c r="M84" s="120">
        <f>$E84*'C2 - Funcionários #'!AM86*IF($C84="Operacional",IFERROR(VLOOKUP($D84,SN_UGC,28,0),0),1)</f>
        <v>0</v>
      </c>
      <c r="N84" s="120">
        <f>$E84*'C2 - Funcionários #'!AN86*IF($C84="Operacional",IFERROR(VLOOKUP($D84,SN_UGC,28,0),0),1)</f>
        <v>0</v>
      </c>
      <c r="O84" s="120">
        <f>$E84*'C2 - Funcionários #'!AO86*IF($C84="Operacional",IFERROR(VLOOKUP($D84,SN_UGC,28,0),0),1)</f>
        <v>0</v>
      </c>
      <c r="P84" s="120">
        <f>$E84*'C2 - Funcionários #'!AP86*IF($C84="Operacional",IFERROR(VLOOKUP($D84,SN_UGC,28,0),0),1)</f>
        <v>0</v>
      </c>
      <c r="Q84" s="120">
        <f>$E84*'C2 - Funcionários #'!AQ86*IF($C84="Operacional",IFERROR(VLOOKUP($D84,SN_UGC,28,0),0),1)</f>
        <v>0</v>
      </c>
      <c r="R84" s="120">
        <f>$E84*'C2 - Funcionários #'!AR86*IF($C84="Operacional",IFERROR(VLOOKUP($D84,SN_UGC,28,0),0),1)</f>
        <v>0</v>
      </c>
      <c r="S84" s="120">
        <f>$E84*'C2 - Funcionários #'!AS86*IF($C84="Operacional",IFERROR(VLOOKUP($D84,SN_UGC,28,0),0),1)</f>
        <v>0</v>
      </c>
      <c r="T84" s="120">
        <f>$E84*'C2 - Funcionários #'!AT86*IF($C84="Operacional",IFERROR(VLOOKUP($D84,SN_UGC,28,0),0),1)</f>
        <v>0</v>
      </c>
      <c r="U84" s="120">
        <f>$E84*'C2 - Funcionários #'!AU86*IF($C84="Operacional",IFERROR(VLOOKUP($D84,SN_UGC,28,0),0),1)</f>
        <v>0</v>
      </c>
      <c r="V84" s="120">
        <f>$E84*'C2 - Funcionários #'!AV86*IF($C84="Operacional",IFERROR(VLOOKUP($D84,SN_UGC,28,0),0),1)</f>
        <v>0</v>
      </c>
      <c r="W84" s="120">
        <f>$E84*'C2 - Funcionários #'!AW86*IF($C84="Operacional",IFERROR(VLOOKUP($D84,SN_UGC,28,0),0),1)</f>
        <v>0</v>
      </c>
      <c r="X84" s="120">
        <f>$E84*'C2 - Funcionários #'!AX86*IF($C84="Operacional",IFERROR(VLOOKUP($D84,SN_UGC,28,0),0),1)</f>
        <v>0</v>
      </c>
      <c r="Y84" s="120">
        <f>$E84*'C2 - Funcionários #'!AY86*IF($C84="Operacional",IFERROR(VLOOKUP($D84,SN_UGC,28,0),0),1)</f>
        <v>0</v>
      </c>
      <c r="Z84" s="120">
        <f>$E84*'C2 - Funcionários #'!AZ86*IF($C84="Operacional",IFERROR(VLOOKUP($D84,SN_UGC,28,0),0),1)</f>
        <v>0</v>
      </c>
      <c r="AA84" s="120">
        <f>$E84*'C2 - Funcionários #'!BA86*IF($C84="Operacional",IFERROR(VLOOKUP($D84,SN_UGC,28,0),0),1)</f>
        <v>0</v>
      </c>
      <c r="AB84" s="120">
        <f>$E84*'C2 - Funcionários #'!BB86*IF($C84="Operacional",IFERROR(VLOOKUP($D84,SN_UGC,28,0),0),1)</f>
        <v>0</v>
      </c>
      <c r="AC84" s="120">
        <f>$E84*'C2 - Funcionários #'!BC86*IF($C84="Operacional",IFERROR(VLOOKUP($D84,SN_UGC,28,0),0),1)</f>
        <v>0</v>
      </c>
      <c r="AD84" s="120">
        <f>$E84*'C2 - Funcionários #'!BD86*IF($C84="Operacional",IFERROR(VLOOKUP($D84,SN_UGC,28,0),0),1)</f>
        <v>0</v>
      </c>
      <c r="AE84" s="120">
        <f>$E84*'C2 - Funcionários #'!BE86*IF($C84="Operacional",IFERROR(VLOOKUP($D84,SN_UGC,28,0),0),1)</f>
        <v>0</v>
      </c>
      <c r="AF84" s="120">
        <f>$E84*'C2 - Funcionários #'!BF86*IF($C84="Operacional",IFERROR(VLOOKUP($D84,SN_UGC,28,0),0),1)</f>
        <v>0</v>
      </c>
      <c r="AG84" s="120">
        <f>$E84*'C2 - Funcionários #'!BG86*IF($C84="Operacional",IFERROR(VLOOKUP($D84,SN_UGC,28,0),0),1)</f>
        <v>0</v>
      </c>
      <c r="AH84" s="120">
        <f>$E84*'C2 - Funcionários #'!BH86*IF($C84="Operacional",IFERROR(VLOOKUP($D84,SN_UGC,28,0),0),1)</f>
        <v>0</v>
      </c>
      <c r="AI84" s="120">
        <f>$E84*'C2 - Funcionários #'!BI86*IF($C84="Operacional",IFERROR(VLOOKUP($D84,SN_UGC,28,0),0),1)</f>
        <v>0</v>
      </c>
      <c r="AJ84" s="120">
        <f>$E84*'C2 - Funcionários #'!BJ86*IF($C84="Operacional",IFERROR(VLOOKUP($D84,SN_UGC,28,0),0),1)</f>
        <v>0</v>
      </c>
    </row>
    <row r="85" spans="1:36" ht="15.75" customHeight="1">
      <c r="A85" s="521"/>
      <c r="B85" s="51">
        <f>'C1 - Cargos e Salários'!B69</f>
        <v>0</v>
      </c>
      <c r="C85" s="51">
        <f>'C1 - Cargos e Salários'!C69</f>
        <v>0</v>
      </c>
      <c r="D85" s="51">
        <f>'C1 - Cargos e Salários'!D69</f>
        <v>0</v>
      </c>
      <c r="E85" s="118">
        <f>'C1 - Cargos e Salários'!K69</f>
        <v>0</v>
      </c>
      <c r="F85" s="119">
        <f>IF(C85="Operacional",IFERROR(VLOOKUP(D85,ReceitaPorTipo,COLUMN('A1 - Serviços e demanda'!$Z$17),0),0),100%)</f>
        <v>1</v>
      </c>
      <c r="G85" s="120">
        <f>E85*F85*'C2 - Funcionários #'!AG87*IF($C85="Operacional",IFERROR(VLOOKUP($D85,SN_UGC,28,0),0),1)</f>
        <v>0</v>
      </c>
      <c r="H85" s="120">
        <f>$E85*'C2 - Funcionários #'!AH87*IF($C85="Operacional",IFERROR(VLOOKUP($D85,SN_UGC,28,0),0),1)</f>
        <v>0</v>
      </c>
      <c r="I85" s="120">
        <f>$E85*'C2 - Funcionários #'!AI87*IF($C85="Operacional",IFERROR(VLOOKUP($D85,SN_UGC,28,0),0),1)</f>
        <v>0</v>
      </c>
      <c r="J85" s="120">
        <f>$E85*'C2 - Funcionários #'!AJ87*IF($C85="Operacional",IFERROR(VLOOKUP($D85,SN_UGC,28,0),0),1)</f>
        <v>0</v>
      </c>
      <c r="K85" s="120">
        <f>$E85*'C2 - Funcionários #'!AK87*IF($C85="Operacional",IFERROR(VLOOKUP($D85,SN_UGC,28,0),0),1)</f>
        <v>0</v>
      </c>
      <c r="L85" s="120">
        <f>$E85*'C2 - Funcionários #'!AL87*IF($C85="Operacional",IFERROR(VLOOKUP($D85,SN_UGC,28,0),0),1)</f>
        <v>0</v>
      </c>
      <c r="M85" s="120">
        <f>$E85*'C2 - Funcionários #'!AM87*IF($C85="Operacional",IFERROR(VLOOKUP($D85,SN_UGC,28,0),0),1)</f>
        <v>0</v>
      </c>
      <c r="N85" s="120">
        <f>$E85*'C2 - Funcionários #'!AN87*IF($C85="Operacional",IFERROR(VLOOKUP($D85,SN_UGC,28,0),0),1)</f>
        <v>0</v>
      </c>
      <c r="O85" s="120">
        <f>$E85*'C2 - Funcionários #'!AO87*IF($C85="Operacional",IFERROR(VLOOKUP($D85,SN_UGC,28,0),0),1)</f>
        <v>0</v>
      </c>
      <c r="P85" s="120">
        <f>$E85*'C2 - Funcionários #'!AP87*IF($C85="Operacional",IFERROR(VLOOKUP($D85,SN_UGC,28,0),0),1)</f>
        <v>0</v>
      </c>
      <c r="Q85" s="120">
        <f>$E85*'C2 - Funcionários #'!AQ87*IF($C85="Operacional",IFERROR(VLOOKUP($D85,SN_UGC,28,0),0),1)</f>
        <v>0</v>
      </c>
      <c r="R85" s="120">
        <f>$E85*'C2 - Funcionários #'!AR87*IF($C85="Operacional",IFERROR(VLOOKUP($D85,SN_UGC,28,0),0),1)</f>
        <v>0</v>
      </c>
      <c r="S85" s="120">
        <f>$E85*'C2 - Funcionários #'!AS87*IF($C85="Operacional",IFERROR(VLOOKUP($D85,SN_UGC,28,0),0),1)</f>
        <v>0</v>
      </c>
      <c r="T85" s="120">
        <f>$E85*'C2 - Funcionários #'!AT87*IF($C85="Operacional",IFERROR(VLOOKUP($D85,SN_UGC,28,0),0),1)</f>
        <v>0</v>
      </c>
      <c r="U85" s="120">
        <f>$E85*'C2 - Funcionários #'!AU87*IF($C85="Operacional",IFERROR(VLOOKUP($D85,SN_UGC,28,0),0),1)</f>
        <v>0</v>
      </c>
      <c r="V85" s="120">
        <f>$E85*'C2 - Funcionários #'!AV87*IF($C85="Operacional",IFERROR(VLOOKUP($D85,SN_UGC,28,0),0),1)</f>
        <v>0</v>
      </c>
      <c r="W85" s="120">
        <f>$E85*'C2 - Funcionários #'!AW87*IF($C85="Operacional",IFERROR(VLOOKUP($D85,SN_UGC,28,0),0),1)</f>
        <v>0</v>
      </c>
      <c r="X85" s="120">
        <f>$E85*'C2 - Funcionários #'!AX87*IF($C85="Operacional",IFERROR(VLOOKUP($D85,SN_UGC,28,0),0),1)</f>
        <v>0</v>
      </c>
      <c r="Y85" s="120">
        <f>$E85*'C2 - Funcionários #'!AY87*IF($C85="Operacional",IFERROR(VLOOKUP($D85,SN_UGC,28,0),0),1)</f>
        <v>0</v>
      </c>
      <c r="Z85" s="120">
        <f>$E85*'C2 - Funcionários #'!AZ87*IF($C85="Operacional",IFERROR(VLOOKUP($D85,SN_UGC,28,0),0),1)</f>
        <v>0</v>
      </c>
      <c r="AA85" s="120">
        <f>$E85*'C2 - Funcionários #'!BA87*IF($C85="Operacional",IFERROR(VLOOKUP($D85,SN_UGC,28,0),0),1)</f>
        <v>0</v>
      </c>
      <c r="AB85" s="120">
        <f>$E85*'C2 - Funcionários #'!BB87*IF($C85="Operacional",IFERROR(VLOOKUP($D85,SN_UGC,28,0),0),1)</f>
        <v>0</v>
      </c>
      <c r="AC85" s="120">
        <f>$E85*'C2 - Funcionários #'!BC87*IF($C85="Operacional",IFERROR(VLOOKUP($D85,SN_UGC,28,0),0),1)</f>
        <v>0</v>
      </c>
      <c r="AD85" s="120">
        <f>$E85*'C2 - Funcionários #'!BD87*IF($C85="Operacional",IFERROR(VLOOKUP($D85,SN_UGC,28,0),0),1)</f>
        <v>0</v>
      </c>
      <c r="AE85" s="120">
        <f>$E85*'C2 - Funcionários #'!BE87*IF($C85="Operacional",IFERROR(VLOOKUP($D85,SN_UGC,28,0),0),1)</f>
        <v>0</v>
      </c>
      <c r="AF85" s="120">
        <f>$E85*'C2 - Funcionários #'!BF87*IF($C85="Operacional",IFERROR(VLOOKUP($D85,SN_UGC,28,0),0),1)</f>
        <v>0</v>
      </c>
      <c r="AG85" s="120">
        <f>$E85*'C2 - Funcionários #'!BG87*IF($C85="Operacional",IFERROR(VLOOKUP($D85,SN_UGC,28,0),0),1)</f>
        <v>0</v>
      </c>
      <c r="AH85" s="120">
        <f>$E85*'C2 - Funcionários #'!BH87*IF($C85="Operacional",IFERROR(VLOOKUP($D85,SN_UGC,28,0),0),1)</f>
        <v>0</v>
      </c>
      <c r="AI85" s="120">
        <f>$E85*'C2 - Funcionários #'!BI87*IF($C85="Operacional",IFERROR(VLOOKUP($D85,SN_UGC,28,0),0),1)</f>
        <v>0</v>
      </c>
      <c r="AJ85" s="120">
        <f>$E85*'C2 - Funcionários #'!BJ87*IF($C85="Operacional",IFERROR(VLOOKUP($D85,SN_UGC,28,0),0),1)</f>
        <v>0</v>
      </c>
    </row>
    <row r="86" spans="1:36" ht="15.75" customHeight="1">
      <c r="A86" s="521"/>
      <c r="B86" s="51">
        <f>'C1 - Cargos e Salários'!B70</f>
        <v>0</v>
      </c>
      <c r="C86" s="51">
        <f>'C1 - Cargos e Salários'!C70</f>
        <v>0</v>
      </c>
      <c r="D86" s="51">
        <f>'C1 - Cargos e Salários'!D70</f>
        <v>0</v>
      </c>
      <c r="E86" s="118">
        <f>'C1 - Cargos e Salários'!K70</f>
        <v>0</v>
      </c>
      <c r="F86" s="119">
        <f>IF(C86="Operacional",IFERROR(VLOOKUP(D86,ReceitaPorTipo,COLUMN('A1 - Serviços e demanda'!$Z$17),0),0),100%)</f>
        <v>1</v>
      </c>
      <c r="G86" s="120">
        <f>E86*F86*'C2 - Funcionários #'!AG88*IF($C86="Operacional",IFERROR(VLOOKUP($D86,SN_UGC,28,0),0),1)</f>
        <v>0</v>
      </c>
      <c r="H86" s="120">
        <f>$E86*'C2 - Funcionários #'!AH88*IF($C86="Operacional",IFERROR(VLOOKUP($D86,SN_UGC,28,0),0),1)</f>
        <v>0</v>
      </c>
      <c r="I86" s="120">
        <f>$E86*'C2 - Funcionários #'!AI88*IF($C86="Operacional",IFERROR(VLOOKUP($D86,SN_UGC,28,0),0),1)</f>
        <v>0</v>
      </c>
      <c r="J86" s="120">
        <f>$E86*'C2 - Funcionários #'!AJ88*IF($C86="Operacional",IFERROR(VLOOKUP($D86,SN_UGC,28,0),0),1)</f>
        <v>0</v>
      </c>
      <c r="K86" s="120">
        <f>$E86*'C2 - Funcionários #'!AK88*IF($C86="Operacional",IFERROR(VLOOKUP($D86,SN_UGC,28,0),0),1)</f>
        <v>0</v>
      </c>
      <c r="L86" s="120">
        <f>$E86*'C2 - Funcionários #'!AL88*IF($C86="Operacional",IFERROR(VLOOKUP($D86,SN_UGC,28,0),0),1)</f>
        <v>0</v>
      </c>
      <c r="M86" s="120">
        <f>$E86*'C2 - Funcionários #'!AM88*IF($C86="Operacional",IFERROR(VLOOKUP($D86,SN_UGC,28,0),0),1)</f>
        <v>0</v>
      </c>
      <c r="N86" s="120">
        <f>$E86*'C2 - Funcionários #'!AN88*IF($C86="Operacional",IFERROR(VLOOKUP($D86,SN_UGC,28,0),0),1)</f>
        <v>0</v>
      </c>
      <c r="O86" s="120">
        <f>$E86*'C2 - Funcionários #'!AO88*IF($C86="Operacional",IFERROR(VLOOKUP($D86,SN_UGC,28,0),0),1)</f>
        <v>0</v>
      </c>
      <c r="P86" s="120">
        <f>$E86*'C2 - Funcionários #'!AP88*IF($C86="Operacional",IFERROR(VLOOKUP($D86,SN_UGC,28,0),0),1)</f>
        <v>0</v>
      </c>
      <c r="Q86" s="120">
        <f>$E86*'C2 - Funcionários #'!AQ88*IF($C86="Operacional",IFERROR(VLOOKUP($D86,SN_UGC,28,0),0),1)</f>
        <v>0</v>
      </c>
      <c r="R86" s="120">
        <f>$E86*'C2 - Funcionários #'!AR88*IF($C86="Operacional",IFERROR(VLOOKUP($D86,SN_UGC,28,0),0),1)</f>
        <v>0</v>
      </c>
      <c r="S86" s="120">
        <f>$E86*'C2 - Funcionários #'!AS88*IF($C86="Operacional",IFERROR(VLOOKUP($D86,SN_UGC,28,0),0),1)</f>
        <v>0</v>
      </c>
      <c r="T86" s="120">
        <f>$E86*'C2 - Funcionários #'!AT88*IF($C86="Operacional",IFERROR(VLOOKUP($D86,SN_UGC,28,0),0),1)</f>
        <v>0</v>
      </c>
      <c r="U86" s="120">
        <f>$E86*'C2 - Funcionários #'!AU88*IF($C86="Operacional",IFERROR(VLOOKUP($D86,SN_UGC,28,0),0),1)</f>
        <v>0</v>
      </c>
      <c r="V86" s="120">
        <f>$E86*'C2 - Funcionários #'!AV88*IF($C86="Operacional",IFERROR(VLOOKUP($D86,SN_UGC,28,0),0),1)</f>
        <v>0</v>
      </c>
      <c r="W86" s="120">
        <f>$E86*'C2 - Funcionários #'!AW88*IF($C86="Operacional",IFERROR(VLOOKUP($D86,SN_UGC,28,0),0),1)</f>
        <v>0</v>
      </c>
      <c r="X86" s="120">
        <f>$E86*'C2 - Funcionários #'!AX88*IF($C86="Operacional",IFERROR(VLOOKUP($D86,SN_UGC,28,0),0),1)</f>
        <v>0</v>
      </c>
      <c r="Y86" s="120">
        <f>$E86*'C2 - Funcionários #'!AY88*IF($C86="Operacional",IFERROR(VLOOKUP($D86,SN_UGC,28,0),0),1)</f>
        <v>0</v>
      </c>
      <c r="Z86" s="120">
        <f>$E86*'C2 - Funcionários #'!AZ88*IF($C86="Operacional",IFERROR(VLOOKUP($D86,SN_UGC,28,0),0),1)</f>
        <v>0</v>
      </c>
      <c r="AA86" s="120">
        <f>$E86*'C2 - Funcionários #'!BA88*IF($C86="Operacional",IFERROR(VLOOKUP($D86,SN_UGC,28,0),0),1)</f>
        <v>0</v>
      </c>
      <c r="AB86" s="120">
        <f>$E86*'C2 - Funcionários #'!BB88*IF($C86="Operacional",IFERROR(VLOOKUP($D86,SN_UGC,28,0),0),1)</f>
        <v>0</v>
      </c>
      <c r="AC86" s="120">
        <f>$E86*'C2 - Funcionários #'!BC88*IF($C86="Operacional",IFERROR(VLOOKUP($D86,SN_UGC,28,0),0),1)</f>
        <v>0</v>
      </c>
      <c r="AD86" s="120">
        <f>$E86*'C2 - Funcionários #'!BD88*IF($C86="Operacional",IFERROR(VLOOKUP($D86,SN_UGC,28,0),0),1)</f>
        <v>0</v>
      </c>
      <c r="AE86" s="120">
        <f>$E86*'C2 - Funcionários #'!BE88*IF($C86="Operacional",IFERROR(VLOOKUP($D86,SN_UGC,28,0),0),1)</f>
        <v>0</v>
      </c>
      <c r="AF86" s="120">
        <f>$E86*'C2 - Funcionários #'!BF88*IF($C86="Operacional",IFERROR(VLOOKUP($D86,SN_UGC,28,0),0),1)</f>
        <v>0</v>
      </c>
      <c r="AG86" s="120">
        <f>$E86*'C2 - Funcionários #'!BG88*IF($C86="Operacional",IFERROR(VLOOKUP($D86,SN_UGC,28,0),0),1)</f>
        <v>0</v>
      </c>
      <c r="AH86" s="120">
        <f>$E86*'C2 - Funcionários #'!BH88*IF($C86="Operacional",IFERROR(VLOOKUP($D86,SN_UGC,28,0),0),1)</f>
        <v>0</v>
      </c>
      <c r="AI86" s="120">
        <f>$E86*'C2 - Funcionários #'!BI88*IF($C86="Operacional",IFERROR(VLOOKUP($D86,SN_UGC,28,0),0),1)</f>
        <v>0</v>
      </c>
      <c r="AJ86" s="120">
        <f>$E86*'C2 - Funcionários #'!BJ88*IF($C86="Operacional",IFERROR(VLOOKUP($D86,SN_UGC,28,0),0),1)</f>
        <v>0</v>
      </c>
    </row>
    <row r="87" spans="1:36" ht="15.75" customHeight="1">
      <c r="A87" s="521"/>
      <c r="B87" s="51">
        <f>'C1 - Cargos e Salários'!B71</f>
        <v>0</v>
      </c>
      <c r="C87" s="51">
        <f>'C1 - Cargos e Salários'!C71</f>
        <v>0</v>
      </c>
      <c r="D87" s="51">
        <f>'C1 - Cargos e Salários'!D71</f>
        <v>0</v>
      </c>
      <c r="E87" s="118">
        <f>'C1 - Cargos e Salários'!K71</f>
        <v>0</v>
      </c>
      <c r="F87" s="119">
        <f>IF(C87="Operacional",IFERROR(VLOOKUP(D87,ReceitaPorTipo,COLUMN('A1 - Serviços e demanda'!$Z$17),0),0),100%)</f>
        <v>1</v>
      </c>
      <c r="G87" s="120">
        <f>E87*F87*'C2 - Funcionários #'!AG89*IF($C87="Operacional",IFERROR(VLOOKUP($D87,SN_UGC,28,0),0),1)</f>
        <v>0</v>
      </c>
      <c r="H87" s="120">
        <f>$E87*'C2 - Funcionários #'!AH89*IF($C87="Operacional",IFERROR(VLOOKUP($D87,SN_UGC,28,0),0),1)</f>
        <v>0</v>
      </c>
      <c r="I87" s="120">
        <f>$E87*'C2 - Funcionários #'!AI89*IF($C87="Operacional",IFERROR(VLOOKUP($D87,SN_UGC,28,0),0),1)</f>
        <v>0</v>
      </c>
      <c r="J87" s="120">
        <f>$E87*'C2 - Funcionários #'!AJ89*IF($C87="Operacional",IFERROR(VLOOKUP($D87,SN_UGC,28,0),0),1)</f>
        <v>0</v>
      </c>
      <c r="K87" s="120">
        <f>$E87*'C2 - Funcionários #'!AK89*IF($C87="Operacional",IFERROR(VLOOKUP($D87,SN_UGC,28,0),0),1)</f>
        <v>0</v>
      </c>
      <c r="L87" s="120">
        <f>$E87*'C2 - Funcionários #'!AL89*IF($C87="Operacional",IFERROR(VLOOKUP($D87,SN_UGC,28,0),0),1)</f>
        <v>0</v>
      </c>
      <c r="M87" s="120">
        <f>$E87*'C2 - Funcionários #'!AM89*IF($C87="Operacional",IFERROR(VLOOKUP($D87,SN_UGC,28,0),0),1)</f>
        <v>0</v>
      </c>
      <c r="N87" s="120">
        <f>$E87*'C2 - Funcionários #'!AN89*IF($C87="Operacional",IFERROR(VLOOKUP($D87,SN_UGC,28,0),0),1)</f>
        <v>0</v>
      </c>
      <c r="O87" s="120">
        <f>$E87*'C2 - Funcionários #'!AO89*IF($C87="Operacional",IFERROR(VLOOKUP($D87,SN_UGC,28,0),0),1)</f>
        <v>0</v>
      </c>
      <c r="P87" s="120">
        <f>$E87*'C2 - Funcionários #'!AP89*IF($C87="Operacional",IFERROR(VLOOKUP($D87,SN_UGC,28,0),0),1)</f>
        <v>0</v>
      </c>
      <c r="Q87" s="120">
        <f>$E87*'C2 - Funcionários #'!AQ89*IF($C87="Operacional",IFERROR(VLOOKUP($D87,SN_UGC,28,0),0),1)</f>
        <v>0</v>
      </c>
      <c r="R87" s="120">
        <f>$E87*'C2 - Funcionários #'!AR89*IF($C87="Operacional",IFERROR(VLOOKUP($D87,SN_UGC,28,0),0),1)</f>
        <v>0</v>
      </c>
      <c r="S87" s="120">
        <f>$E87*'C2 - Funcionários #'!AS89*IF($C87="Operacional",IFERROR(VLOOKUP($D87,SN_UGC,28,0),0),1)</f>
        <v>0</v>
      </c>
      <c r="T87" s="120">
        <f>$E87*'C2 - Funcionários #'!AT89*IF($C87="Operacional",IFERROR(VLOOKUP($D87,SN_UGC,28,0),0),1)</f>
        <v>0</v>
      </c>
      <c r="U87" s="120">
        <f>$E87*'C2 - Funcionários #'!AU89*IF($C87="Operacional",IFERROR(VLOOKUP($D87,SN_UGC,28,0),0),1)</f>
        <v>0</v>
      </c>
      <c r="V87" s="120">
        <f>$E87*'C2 - Funcionários #'!AV89*IF($C87="Operacional",IFERROR(VLOOKUP($D87,SN_UGC,28,0),0),1)</f>
        <v>0</v>
      </c>
      <c r="W87" s="120">
        <f>$E87*'C2 - Funcionários #'!AW89*IF($C87="Operacional",IFERROR(VLOOKUP($D87,SN_UGC,28,0),0),1)</f>
        <v>0</v>
      </c>
      <c r="X87" s="120">
        <f>$E87*'C2 - Funcionários #'!AX89*IF($C87="Operacional",IFERROR(VLOOKUP($D87,SN_UGC,28,0),0),1)</f>
        <v>0</v>
      </c>
      <c r="Y87" s="120">
        <f>$E87*'C2 - Funcionários #'!AY89*IF($C87="Operacional",IFERROR(VLOOKUP($D87,SN_UGC,28,0),0),1)</f>
        <v>0</v>
      </c>
      <c r="Z87" s="120">
        <f>$E87*'C2 - Funcionários #'!AZ89*IF($C87="Operacional",IFERROR(VLOOKUP($D87,SN_UGC,28,0),0),1)</f>
        <v>0</v>
      </c>
      <c r="AA87" s="120">
        <f>$E87*'C2 - Funcionários #'!BA89*IF($C87="Operacional",IFERROR(VLOOKUP($D87,SN_UGC,28,0),0),1)</f>
        <v>0</v>
      </c>
      <c r="AB87" s="120">
        <f>$E87*'C2 - Funcionários #'!BB89*IF($C87="Operacional",IFERROR(VLOOKUP($D87,SN_UGC,28,0),0),1)</f>
        <v>0</v>
      </c>
      <c r="AC87" s="120">
        <f>$E87*'C2 - Funcionários #'!BC89*IF($C87="Operacional",IFERROR(VLOOKUP($D87,SN_UGC,28,0),0),1)</f>
        <v>0</v>
      </c>
      <c r="AD87" s="120">
        <f>$E87*'C2 - Funcionários #'!BD89*IF($C87="Operacional",IFERROR(VLOOKUP($D87,SN_UGC,28,0),0),1)</f>
        <v>0</v>
      </c>
      <c r="AE87" s="120">
        <f>$E87*'C2 - Funcionários #'!BE89*IF($C87="Operacional",IFERROR(VLOOKUP($D87,SN_UGC,28,0),0),1)</f>
        <v>0</v>
      </c>
      <c r="AF87" s="120">
        <f>$E87*'C2 - Funcionários #'!BF89*IF($C87="Operacional",IFERROR(VLOOKUP($D87,SN_UGC,28,0),0),1)</f>
        <v>0</v>
      </c>
      <c r="AG87" s="120">
        <f>$E87*'C2 - Funcionários #'!BG89*IF($C87="Operacional",IFERROR(VLOOKUP($D87,SN_UGC,28,0),0),1)</f>
        <v>0</v>
      </c>
      <c r="AH87" s="120">
        <f>$E87*'C2 - Funcionários #'!BH89*IF($C87="Operacional",IFERROR(VLOOKUP($D87,SN_UGC,28,0),0),1)</f>
        <v>0</v>
      </c>
      <c r="AI87" s="120">
        <f>$E87*'C2 - Funcionários #'!BI89*IF($C87="Operacional",IFERROR(VLOOKUP($D87,SN_UGC,28,0),0),1)</f>
        <v>0</v>
      </c>
      <c r="AJ87" s="120">
        <f>$E87*'C2 - Funcionários #'!BJ89*IF($C87="Operacional",IFERROR(VLOOKUP($D87,SN_UGC,28,0),0),1)</f>
        <v>0</v>
      </c>
    </row>
    <row r="88" spans="1:36" ht="15.75" customHeight="1">
      <c r="A88" s="521"/>
      <c r="B88" s="51">
        <f>'C1 - Cargos e Salários'!B72</f>
        <v>0</v>
      </c>
      <c r="C88" s="51">
        <f>'C1 - Cargos e Salários'!C72</f>
        <v>0</v>
      </c>
      <c r="D88" s="51">
        <f>'C1 - Cargos e Salários'!D72</f>
        <v>0</v>
      </c>
      <c r="E88" s="118">
        <f>'C1 - Cargos e Salários'!K72</f>
        <v>0</v>
      </c>
      <c r="F88" s="119">
        <f>IF(C88="Operacional",IFERROR(VLOOKUP(D88,ReceitaPorTipo,COLUMN('A1 - Serviços e demanda'!$Z$17),0),0),100%)</f>
        <v>1</v>
      </c>
      <c r="G88" s="120">
        <f>E88*F88*'C2 - Funcionários #'!AG90*IF($C88="Operacional",IFERROR(VLOOKUP($D88,SN_UGC,28,0),0),1)</f>
        <v>0</v>
      </c>
      <c r="H88" s="120">
        <f>$E88*'C2 - Funcionários #'!AH90*IF($C88="Operacional",IFERROR(VLOOKUP($D88,SN_UGC,28,0),0),1)</f>
        <v>0</v>
      </c>
      <c r="I88" s="120">
        <f>$E88*'C2 - Funcionários #'!AI90*IF($C88="Operacional",IFERROR(VLOOKUP($D88,SN_UGC,28,0),0),1)</f>
        <v>0</v>
      </c>
      <c r="J88" s="120">
        <f>$E88*'C2 - Funcionários #'!AJ90*IF($C88="Operacional",IFERROR(VLOOKUP($D88,SN_UGC,28,0),0),1)</f>
        <v>0</v>
      </c>
      <c r="K88" s="120">
        <f>$E88*'C2 - Funcionários #'!AK90*IF($C88="Operacional",IFERROR(VLOOKUP($D88,SN_UGC,28,0),0),1)</f>
        <v>0</v>
      </c>
      <c r="L88" s="120">
        <f>$E88*'C2 - Funcionários #'!AL90*IF($C88="Operacional",IFERROR(VLOOKUP($D88,SN_UGC,28,0),0),1)</f>
        <v>0</v>
      </c>
      <c r="M88" s="120">
        <f>$E88*'C2 - Funcionários #'!AM90*IF($C88="Operacional",IFERROR(VLOOKUP($D88,SN_UGC,28,0),0),1)</f>
        <v>0</v>
      </c>
      <c r="N88" s="120">
        <f>$E88*'C2 - Funcionários #'!AN90*IF($C88="Operacional",IFERROR(VLOOKUP($D88,SN_UGC,28,0),0),1)</f>
        <v>0</v>
      </c>
      <c r="O88" s="120">
        <f>$E88*'C2 - Funcionários #'!AO90*IF($C88="Operacional",IFERROR(VLOOKUP($D88,SN_UGC,28,0),0),1)</f>
        <v>0</v>
      </c>
      <c r="P88" s="120">
        <f>$E88*'C2 - Funcionários #'!AP90*IF($C88="Operacional",IFERROR(VLOOKUP($D88,SN_UGC,28,0),0),1)</f>
        <v>0</v>
      </c>
      <c r="Q88" s="120">
        <f>$E88*'C2 - Funcionários #'!AQ90*IF($C88="Operacional",IFERROR(VLOOKUP($D88,SN_UGC,28,0),0),1)</f>
        <v>0</v>
      </c>
      <c r="R88" s="120">
        <f>$E88*'C2 - Funcionários #'!AR90*IF($C88="Operacional",IFERROR(VLOOKUP($D88,SN_UGC,28,0),0),1)</f>
        <v>0</v>
      </c>
      <c r="S88" s="120">
        <f>$E88*'C2 - Funcionários #'!AS90*IF($C88="Operacional",IFERROR(VLOOKUP($D88,SN_UGC,28,0),0),1)</f>
        <v>0</v>
      </c>
      <c r="T88" s="120">
        <f>$E88*'C2 - Funcionários #'!AT90*IF($C88="Operacional",IFERROR(VLOOKUP($D88,SN_UGC,28,0),0),1)</f>
        <v>0</v>
      </c>
      <c r="U88" s="120">
        <f>$E88*'C2 - Funcionários #'!AU90*IF($C88="Operacional",IFERROR(VLOOKUP($D88,SN_UGC,28,0),0),1)</f>
        <v>0</v>
      </c>
      <c r="V88" s="120">
        <f>$E88*'C2 - Funcionários #'!AV90*IF($C88="Operacional",IFERROR(VLOOKUP($D88,SN_UGC,28,0),0),1)</f>
        <v>0</v>
      </c>
      <c r="W88" s="120">
        <f>$E88*'C2 - Funcionários #'!AW90*IF($C88="Operacional",IFERROR(VLOOKUP($D88,SN_UGC,28,0),0),1)</f>
        <v>0</v>
      </c>
      <c r="X88" s="120">
        <f>$E88*'C2 - Funcionários #'!AX90*IF($C88="Operacional",IFERROR(VLOOKUP($D88,SN_UGC,28,0),0),1)</f>
        <v>0</v>
      </c>
      <c r="Y88" s="120">
        <f>$E88*'C2 - Funcionários #'!AY90*IF($C88="Operacional",IFERROR(VLOOKUP($D88,SN_UGC,28,0),0),1)</f>
        <v>0</v>
      </c>
      <c r="Z88" s="120">
        <f>$E88*'C2 - Funcionários #'!AZ90*IF($C88="Operacional",IFERROR(VLOOKUP($D88,SN_UGC,28,0),0),1)</f>
        <v>0</v>
      </c>
      <c r="AA88" s="120">
        <f>$E88*'C2 - Funcionários #'!BA90*IF($C88="Operacional",IFERROR(VLOOKUP($D88,SN_UGC,28,0),0),1)</f>
        <v>0</v>
      </c>
      <c r="AB88" s="120">
        <f>$E88*'C2 - Funcionários #'!BB90*IF($C88="Operacional",IFERROR(VLOOKUP($D88,SN_UGC,28,0),0),1)</f>
        <v>0</v>
      </c>
      <c r="AC88" s="120">
        <f>$E88*'C2 - Funcionários #'!BC90*IF($C88="Operacional",IFERROR(VLOOKUP($D88,SN_UGC,28,0),0),1)</f>
        <v>0</v>
      </c>
      <c r="AD88" s="120">
        <f>$E88*'C2 - Funcionários #'!BD90*IF($C88="Operacional",IFERROR(VLOOKUP($D88,SN_UGC,28,0),0),1)</f>
        <v>0</v>
      </c>
      <c r="AE88" s="120">
        <f>$E88*'C2 - Funcionários #'!BE90*IF($C88="Operacional",IFERROR(VLOOKUP($D88,SN_UGC,28,0),0),1)</f>
        <v>0</v>
      </c>
      <c r="AF88" s="120">
        <f>$E88*'C2 - Funcionários #'!BF90*IF($C88="Operacional",IFERROR(VLOOKUP($D88,SN_UGC,28,0),0),1)</f>
        <v>0</v>
      </c>
      <c r="AG88" s="120">
        <f>$E88*'C2 - Funcionários #'!BG90*IF($C88="Operacional",IFERROR(VLOOKUP($D88,SN_UGC,28,0),0),1)</f>
        <v>0</v>
      </c>
      <c r="AH88" s="120">
        <f>$E88*'C2 - Funcionários #'!BH90*IF($C88="Operacional",IFERROR(VLOOKUP($D88,SN_UGC,28,0),0),1)</f>
        <v>0</v>
      </c>
      <c r="AI88" s="120">
        <f>$E88*'C2 - Funcionários #'!BI90*IF($C88="Operacional",IFERROR(VLOOKUP($D88,SN_UGC,28,0),0),1)</f>
        <v>0</v>
      </c>
      <c r="AJ88" s="120">
        <f>$E88*'C2 - Funcionários #'!BJ90*IF($C88="Operacional",IFERROR(VLOOKUP($D88,SN_UGC,28,0),0),1)</f>
        <v>0</v>
      </c>
    </row>
    <row r="89" spans="1:36" ht="15.75" customHeight="1">
      <c r="A89" s="521"/>
      <c r="B89" s="51">
        <f>'C1 - Cargos e Salários'!B73</f>
        <v>0</v>
      </c>
      <c r="C89" s="51">
        <f>'C1 - Cargos e Salários'!C73</f>
        <v>0</v>
      </c>
      <c r="D89" s="51">
        <f>'C1 - Cargos e Salários'!D73</f>
        <v>0</v>
      </c>
      <c r="E89" s="118">
        <f>'C1 - Cargos e Salários'!K73</f>
        <v>0</v>
      </c>
      <c r="F89" s="119">
        <f>IF(C89="Operacional",IFERROR(VLOOKUP(D89,ReceitaPorTipo,COLUMN('A1 - Serviços e demanda'!$Z$17),0),0),100%)</f>
        <v>1</v>
      </c>
      <c r="G89" s="120">
        <f>E89*F89*'C2 - Funcionários #'!AG91*IF($C89="Operacional",IFERROR(VLOOKUP($D89,SN_UGC,28,0),0),1)</f>
        <v>0</v>
      </c>
      <c r="H89" s="120">
        <f>$E89*'C2 - Funcionários #'!AH91*IF($C89="Operacional",IFERROR(VLOOKUP($D89,SN_UGC,28,0),0),1)</f>
        <v>0</v>
      </c>
      <c r="I89" s="120">
        <f>$E89*'C2 - Funcionários #'!AI91*IF($C89="Operacional",IFERROR(VLOOKUP($D89,SN_UGC,28,0),0),1)</f>
        <v>0</v>
      </c>
      <c r="J89" s="120">
        <f>$E89*'C2 - Funcionários #'!AJ91*IF($C89="Operacional",IFERROR(VLOOKUP($D89,SN_UGC,28,0),0),1)</f>
        <v>0</v>
      </c>
      <c r="K89" s="120">
        <f>$E89*'C2 - Funcionários #'!AK91*IF($C89="Operacional",IFERROR(VLOOKUP($D89,SN_UGC,28,0),0),1)</f>
        <v>0</v>
      </c>
      <c r="L89" s="120">
        <f>$E89*'C2 - Funcionários #'!AL91*IF($C89="Operacional",IFERROR(VLOOKUP($D89,SN_UGC,28,0),0),1)</f>
        <v>0</v>
      </c>
      <c r="M89" s="120">
        <f>$E89*'C2 - Funcionários #'!AM91*IF($C89="Operacional",IFERROR(VLOOKUP($D89,SN_UGC,28,0),0),1)</f>
        <v>0</v>
      </c>
      <c r="N89" s="120">
        <f>$E89*'C2 - Funcionários #'!AN91*IF($C89="Operacional",IFERROR(VLOOKUP($D89,SN_UGC,28,0),0),1)</f>
        <v>0</v>
      </c>
      <c r="O89" s="120">
        <f>$E89*'C2 - Funcionários #'!AO91*IF($C89="Operacional",IFERROR(VLOOKUP($D89,SN_UGC,28,0),0),1)</f>
        <v>0</v>
      </c>
      <c r="P89" s="120">
        <f>$E89*'C2 - Funcionários #'!AP91*IF($C89="Operacional",IFERROR(VLOOKUP($D89,SN_UGC,28,0),0),1)</f>
        <v>0</v>
      </c>
      <c r="Q89" s="120">
        <f>$E89*'C2 - Funcionários #'!AQ91*IF($C89="Operacional",IFERROR(VLOOKUP($D89,SN_UGC,28,0),0),1)</f>
        <v>0</v>
      </c>
      <c r="R89" s="120">
        <f>$E89*'C2 - Funcionários #'!AR91*IF($C89="Operacional",IFERROR(VLOOKUP($D89,SN_UGC,28,0),0),1)</f>
        <v>0</v>
      </c>
      <c r="S89" s="120">
        <f>$E89*'C2 - Funcionários #'!AS91*IF($C89="Operacional",IFERROR(VLOOKUP($D89,SN_UGC,28,0),0),1)</f>
        <v>0</v>
      </c>
      <c r="T89" s="120">
        <f>$E89*'C2 - Funcionários #'!AT91*IF($C89="Operacional",IFERROR(VLOOKUP($D89,SN_UGC,28,0),0),1)</f>
        <v>0</v>
      </c>
      <c r="U89" s="120">
        <f>$E89*'C2 - Funcionários #'!AU91*IF($C89="Operacional",IFERROR(VLOOKUP($D89,SN_UGC,28,0),0),1)</f>
        <v>0</v>
      </c>
      <c r="V89" s="120">
        <f>$E89*'C2 - Funcionários #'!AV91*IF($C89="Operacional",IFERROR(VLOOKUP($D89,SN_UGC,28,0),0),1)</f>
        <v>0</v>
      </c>
      <c r="W89" s="120">
        <f>$E89*'C2 - Funcionários #'!AW91*IF($C89="Operacional",IFERROR(VLOOKUP($D89,SN_UGC,28,0),0),1)</f>
        <v>0</v>
      </c>
      <c r="X89" s="120">
        <f>$E89*'C2 - Funcionários #'!AX91*IF($C89="Operacional",IFERROR(VLOOKUP($D89,SN_UGC,28,0),0),1)</f>
        <v>0</v>
      </c>
      <c r="Y89" s="120">
        <f>$E89*'C2 - Funcionários #'!AY91*IF($C89="Operacional",IFERROR(VLOOKUP($D89,SN_UGC,28,0),0),1)</f>
        <v>0</v>
      </c>
      <c r="Z89" s="120">
        <f>$E89*'C2 - Funcionários #'!AZ91*IF($C89="Operacional",IFERROR(VLOOKUP($D89,SN_UGC,28,0),0),1)</f>
        <v>0</v>
      </c>
      <c r="AA89" s="120">
        <f>$E89*'C2 - Funcionários #'!BA91*IF($C89="Operacional",IFERROR(VLOOKUP($D89,SN_UGC,28,0),0),1)</f>
        <v>0</v>
      </c>
      <c r="AB89" s="120">
        <f>$E89*'C2 - Funcionários #'!BB91*IF($C89="Operacional",IFERROR(VLOOKUP($D89,SN_UGC,28,0),0),1)</f>
        <v>0</v>
      </c>
      <c r="AC89" s="120">
        <f>$E89*'C2 - Funcionários #'!BC91*IF($C89="Operacional",IFERROR(VLOOKUP($D89,SN_UGC,28,0),0),1)</f>
        <v>0</v>
      </c>
      <c r="AD89" s="120">
        <f>$E89*'C2 - Funcionários #'!BD91*IF($C89="Operacional",IFERROR(VLOOKUP($D89,SN_UGC,28,0),0),1)</f>
        <v>0</v>
      </c>
      <c r="AE89" s="120">
        <f>$E89*'C2 - Funcionários #'!BE91*IF($C89="Operacional",IFERROR(VLOOKUP($D89,SN_UGC,28,0),0),1)</f>
        <v>0</v>
      </c>
      <c r="AF89" s="120">
        <f>$E89*'C2 - Funcionários #'!BF91*IF($C89="Operacional",IFERROR(VLOOKUP($D89,SN_UGC,28,0),0),1)</f>
        <v>0</v>
      </c>
      <c r="AG89" s="120">
        <f>$E89*'C2 - Funcionários #'!BG91*IF($C89="Operacional",IFERROR(VLOOKUP($D89,SN_UGC,28,0),0),1)</f>
        <v>0</v>
      </c>
      <c r="AH89" s="120">
        <f>$E89*'C2 - Funcionários #'!BH91*IF($C89="Operacional",IFERROR(VLOOKUP($D89,SN_UGC,28,0),0),1)</f>
        <v>0</v>
      </c>
      <c r="AI89" s="120">
        <f>$E89*'C2 - Funcionários #'!BI91*IF($C89="Operacional",IFERROR(VLOOKUP($D89,SN_UGC,28,0),0),1)</f>
        <v>0</v>
      </c>
      <c r="AJ89" s="120">
        <f>$E89*'C2 - Funcionários #'!BJ91*IF($C89="Operacional",IFERROR(VLOOKUP($D89,SN_UGC,28,0),0),1)</f>
        <v>0</v>
      </c>
    </row>
    <row r="90" spans="1:36" ht="15.75" customHeight="1">
      <c r="A90" s="521"/>
      <c r="B90" s="51">
        <f>'C1 - Cargos e Salários'!B74</f>
        <v>0</v>
      </c>
      <c r="C90" s="51">
        <f>'C1 - Cargos e Salários'!C74</f>
        <v>0</v>
      </c>
      <c r="D90" s="51">
        <f>'C1 - Cargos e Salários'!D74</f>
        <v>0</v>
      </c>
      <c r="E90" s="118">
        <f>'C1 - Cargos e Salários'!K74</f>
        <v>0</v>
      </c>
      <c r="F90" s="119">
        <f>IF(C90="Operacional",IFERROR(VLOOKUP(D90,ReceitaPorTipo,COLUMN('A1 - Serviços e demanda'!$Z$17),0),0),100%)</f>
        <v>1</v>
      </c>
      <c r="G90" s="120">
        <f>E90*F90*'C2 - Funcionários #'!AG92*IF($C90="Operacional",IFERROR(VLOOKUP($D90,SN_UGC,28,0),0),1)</f>
        <v>0</v>
      </c>
      <c r="H90" s="120">
        <f>$E90*'C2 - Funcionários #'!AH92*IF($C90="Operacional",IFERROR(VLOOKUP($D90,SN_UGC,28,0),0),1)</f>
        <v>0</v>
      </c>
      <c r="I90" s="120">
        <f>$E90*'C2 - Funcionários #'!AI92*IF($C90="Operacional",IFERROR(VLOOKUP($D90,SN_UGC,28,0),0),1)</f>
        <v>0</v>
      </c>
      <c r="J90" s="120">
        <f>$E90*'C2 - Funcionários #'!AJ92*IF($C90="Operacional",IFERROR(VLOOKUP($D90,SN_UGC,28,0),0),1)</f>
        <v>0</v>
      </c>
      <c r="K90" s="120">
        <f>$E90*'C2 - Funcionários #'!AK92*IF($C90="Operacional",IFERROR(VLOOKUP($D90,SN_UGC,28,0),0),1)</f>
        <v>0</v>
      </c>
      <c r="L90" s="120">
        <f>$E90*'C2 - Funcionários #'!AL92*IF($C90="Operacional",IFERROR(VLOOKUP($D90,SN_UGC,28,0),0),1)</f>
        <v>0</v>
      </c>
      <c r="M90" s="120">
        <f>$E90*'C2 - Funcionários #'!AM92*IF($C90="Operacional",IFERROR(VLOOKUP($D90,SN_UGC,28,0),0),1)</f>
        <v>0</v>
      </c>
      <c r="N90" s="120">
        <f>$E90*'C2 - Funcionários #'!AN92*IF($C90="Operacional",IFERROR(VLOOKUP($D90,SN_UGC,28,0),0),1)</f>
        <v>0</v>
      </c>
      <c r="O90" s="120">
        <f>$E90*'C2 - Funcionários #'!AO92*IF($C90="Operacional",IFERROR(VLOOKUP($D90,SN_UGC,28,0),0),1)</f>
        <v>0</v>
      </c>
      <c r="P90" s="120">
        <f>$E90*'C2 - Funcionários #'!AP92*IF($C90="Operacional",IFERROR(VLOOKUP($D90,SN_UGC,28,0),0),1)</f>
        <v>0</v>
      </c>
      <c r="Q90" s="120">
        <f>$E90*'C2 - Funcionários #'!AQ92*IF($C90="Operacional",IFERROR(VLOOKUP($D90,SN_UGC,28,0),0),1)</f>
        <v>0</v>
      </c>
      <c r="R90" s="120">
        <f>$E90*'C2 - Funcionários #'!AR92*IF($C90="Operacional",IFERROR(VLOOKUP($D90,SN_UGC,28,0),0),1)</f>
        <v>0</v>
      </c>
      <c r="S90" s="120">
        <f>$E90*'C2 - Funcionários #'!AS92*IF($C90="Operacional",IFERROR(VLOOKUP($D90,SN_UGC,28,0),0),1)</f>
        <v>0</v>
      </c>
      <c r="T90" s="120">
        <f>$E90*'C2 - Funcionários #'!AT92*IF($C90="Operacional",IFERROR(VLOOKUP($D90,SN_UGC,28,0),0),1)</f>
        <v>0</v>
      </c>
      <c r="U90" s="120">
        <f>$E90*'C2 - Funcionários #'!AU92*IF($C90="Operacional",IFERROR(VLOOKUP($D90,SN_UGC,28,0),0),1)</f>
        <v>0</v>
      </c>
      <c r="V90" s="120">
        <f>$E90*'C2 - Funcionários #'!AV92*IF($C90="Operacional",IFERROR(VLOOKUP($D90,SN_UGC,28,0),0),1)</f>
        <v>0</v>
      </c>
      <c r="W90" s="120">
        <f>$E90*'C2 - Funcionários #'!AW92*IF($C90="Operacional",IFERROR(VLOOKUP($D90,SN_UGC,28,0),0),1)</f>
        <v>0</v>
      </c>
      <c r="X90" s="120">
        <f>$E90*'C2 - Funcionários #'!AX92*IF($C90="Operacional",IFERROR(VLOOKUP($D90,SN_UGC,28,0),0),1)</f>
        <v>0</v>
      </c>
      <c r="Y90" s="120">
        <f>$E90*'C2 - Funcionários #'!AY92*IF($C90="Operacional",IFERROR(VLOOKUP($D90,SN_UGC,28,0),0),1)</f>
        <v>0</v>
      </c>
      <c r="Z90" s="120">
        <f>$E90*'C2 - Funcionários #'!AZ92*IF($C90="Operacional",IFERROR(VLOOKUP($D90,SN_UGC,28,0),0),1)</f>
        <v>0</v>
      </c>
      <c r="AA90" s="120">
        <f>$E90*'C2 - Funcionários #'!BA92*IF($C90="Operacional",IFERROR(VLOOKUP($D90,SN_UGC,28,0),0),1)</f>
        <v>0</v>
      </c>
      <c r="AB90" s="120">
        <f>$E90*'C2 - Funcionários #'!BB92*IF($C90="Operacional",IFERROR(VLOOKUP($D90,SN_UGC,28,0),0),1)</f>
        <v>0</v>
      </c>
      <c r="AC90" s="120">
        <f>$E90*'C2 - Funcionários #'!BC92*IF($C90="Operacional",IFERROR(VLOOKUP($D90,SN_UGC,28,0),0),1)</f>
        <v>0</v>
      </c>
      <c r="AD90" s="120">
        <f>$E90*'C2 - Funcionários #'!BD92*IF($C90="Operacional",IFERROR(VLOOKUP($D90,SN_UGC,28,0),0),1)</f>
        <v>0</v>
      </c>
      <c r="AE90" s="120">
        <f>$E90*'C2 - Funcionários #'!BE92*IF($C90="Operacional",IFERROR(VLOOKUP($D90,SN_UGC,28,0),0),1)</f>
        <v>0</v>
      </c>
      <c r="AF90" s="120">
        <f>$E90*'C2 - Funcionários #'!BF92*IF($C90="Operacional",IFERROR(VLOOKUP($D90,SN_UGC,28,0),0),1)</f>
        <v>0</v>
      </c>
      <c r="AG90" s="120">
        <f>$E90*'C2 - Funcionários #'!BG92*IF($C90="Operacional",IFERROR(VLOOKUP($D90,SN_UGC,28,0),0),1)</f>
        <v>0</v>
      </c>
      <c r="AH90" s="120">
        <f>$E90*'C2 - Funcionários #'!BH92*IF($C90="Operacional",IFERROR(VLOOKUP($D90,SN_UGC,28,0),0),1)</f>
        <v>0</v>
      </c>
      <c r="AI90" s="120">
        <f>$E90*'C2 - Funcionários #'!BI92*IF($C90="Operacional",IFERROR(VLOOKUP($D90,SN_UGC,28,0),0),1)</f>
        <v>0</v>
      </c>
      <c r="AJ90" s="120">
        <f>$E90*'C2 - Funcionários #'!BJ92*IF($C90="Operacional",IFERROR(VLOOKUP($D90,SN_UGC,28,0),0),1)</f>
        <v>0</v>
      </c>
    </row>
    <row r="91" spans="1:36" ht="15.75" customHeight="1">
      <c r="A91" s="521"/>
      <c r="B91" s="51">
        <f>'C1 - Cargos e Salários'!B75</f>
        <v>0</v>
      </c>
      <c r="C91" s="51">
        <f>'C1 - Cargos e Salários'!C75</f>
        <v>0</v>
      </c>
      <c r="D91" s="51">
        <f>'C1 - Cargos e Salários'!D75</f>
        <v>0</v>
      </c>
      <c r="E91" s="118">
        <f>'C1 - Cargos e Salários'!K75</f>
        <v>0</v>
      </c>
      <c r="F91" s="119">
        <f>IF(C91="Operacional",IFERROR(VLOOKUP(D91,ReceitaPorTipo,COLUMN('A1 - Serviços e demanda'!$Z$17),0),0),100%)</f>
        <v>1</v>
      </c>
      <c r="G91" s="120">
        <f>E91*F91*'C2 - Funcionários #'!AG93*IF($C91="Operacional",IFERROR(VLOOKUP($D91,SN_UGC,28,0),0),1)</f>
        <v>0</v>
      </c>
      <c r="H91" s="120">
        <f>$E91*'C2 - Funcionários #'!AH93*IF($C91="Operacional",IFERROR(VLOOKUP($D91,SN_UGC,28,0),0),1)</f>
        <v>0</v>
      </c>
      <c r="I91" s="120">
        <f>$E91*'C2 - Funcionários #'!AI93*IF($C91="Operacional",IFERROR(VLOOKUP($D91,SN_UGC,28,0),0),1)</f>
        <v>0</v>
      </c>
      <c r="J91" s="120">
        <f>$E91*'C2 - Funcionários #'!AJ93*IF($C91="Operacional",IFERROR(VLOOKUP($D91,SN_UGC,28,0),0),1)</f>
        <v>0</v>
      </c>
      <c r="K91" s="120">
        <f>$E91*'C2 - Funcionários #'!AK93*IF($C91="Operacional",IFERROR(VLOOKUP($D91,SN_UGC,28,0),0),1)</f>
        <v>0</v>
      </c>
      <c r="L91" s="120">
        <f>$E91*'C2 - Funcionários #'!AL93*IF($C91="Operacional",IFERROR(VLOOKUP($D91,SN_UGC,28,0),0),1)</f>
        <v>0</v>
      </c>
      <c r="M91" s="120">
        <f>$E91*'C2 - Funcionários #'!AM93*IF($C91="Operacional",IFERROR(VLOOKUP($D91,SN_UGC,28,0),0),1)</f>
        <v>0</v>
      </c>
      <c r="N91" s="120">
        <f>$E91*'C2 - Funcionários #'!AN93*IF($C91="Operacional",IFERROR(VLOOKUP($D91,SN_UGC,28,0),0),1)</f>
        <v>0</v>
      </c>
      <c r="O91" s="120">
        <f>$E91*'C2 - Funcionários #'!AO93*IF($C91="Operacional",IFERROR(VLOOKUP($D91,SN_UGC,28,0),0),1)</f>
        <v>0</v>
      </c>
      <c r="P91" s="120">
        <f>$E91*'C2 - Funcionários #'!AP93*IF($C91="Operacional",IFERROR(VLOOKUP($D91,SN_UGC,28,0),0),1)</f>
        <v>0</v>
      </c>
      <c r="Q91" s="120">
        <f>$E91*'C2 - Funcionários #'!AQ93*IF($C91="Operacional",IFERROR(VLOOKUP($D91,SN_UGC,28,0),0),1)</f>
        <v>0</v>
      </c>
      <c r="R91" s="120">
        <f>$E91*'C2 - Funcionários #'!AR93*IF($C91="Operacional",IFERROR(VLOOKUP($D91,SN_UGC,28,0),0),1)</f>
        <v>0</v>
      </c>
      <c r="S91" s="120">
        <f>$E91*'C2 - Funcionários #'!AS93*IF($C91="Operacional",IFERROR(VLOOKUP($D91,SN_UGC,28,0),0),1)</f>
        <v>0</v>
      </c>
      <c r="T91" s="120">
        <f>$E91*'C2 - Funcionários #'!AT93*IF($C91="Operacional",IFERROR(VLOOKUP($D91,SN_UGC,28,0),0),1)</f>
        <v>0</v>
      </c>
      <c r="U91" s="120">
        <f>$E91*'C2 - Funcionários #'!AU93*IF($C91="Operacional",IFERROR(VLOOKUP($D91,SN_UGC,28,0),0),1)</f>
        <v>0</v>
      </c>
      <c r="V91" s="120">
        <f>$E91*'C2 - Funcionários #'!AV93*IF($C91="Operacional",IFERROR(VLOOKUP($D91,SN_UGC,28,0),0),1)</f>
        <v>0</v>
      </c>
      <c r="W91" s="120">
        <f>$E91*'C2 - Funcionários #'!AW93*IF($C91="Operacional",IFERROR(VLOOKUP($D91,SN_UGC,28,0),0),1)</f>
        <v>0</v>
      </c>
      <c r="X91" s="120">
        <f>$E91*'C2 - Funcionários #'!AX93*IF($C91="Operacional",IFERROR(VLOOKUP($D91,SN_UGC,28,0),0),1)</f>
        <v>0</v>
      </c>
      <c r="Y91" s="120">
        <f>$E91*'C2 - Funcionários #'!AY93*IF($C91="Operacional",IFERROR(VLOOKUP($D91,SN_UGC,28,0),0),1)</f>
        <v>0</v>
      </c>
      <c r="Z91" s="120">
        <f>$E91*'C2 - Funcionários #'!AZ93*IF($C91="Operacional",IFERROR(VLOOKUP($D91,SN_UGC,28,0),0),1)</f>
        <v>0</v>
      </c>
      <c r="AA91" s="120">
        <f>$E91*'C2 - Funcionários #'!BA93*IF($C91="Operacional",IFERROR(VLOOKUP($D91,SN_UGC,28,0),0),1)</f>
        <v>0</v>
      </c>
      <c r="AB91" s="120">
        <f>$E91*'C2 - Funcionários #'!BB93*IF($C91="Operacional",IFERROR(VLOOKUP($D91,SN_UGC,28,0),0),1)</f>
        <v>0</v>
      </c>
      <c r="AC91" s="120">
        <f>$E91*'C2 - Funcionários #'!BC93*IF($C91="Operacional",IFERROR(VLOOKUP($D91,SN_UGC,28,0),0),1)</f>
        <v>0</v>
      </c>
      <c r="AD91" s="120">
        <f>$E91*'C2 - Funcionários #'!BD93*IF($C91="Operacional",IFERROR(VLOOKUP($D91,SN_UGC,28,0),0),1)</f>
        <v>0</v>
      </c>
      <c r="AE91" s="120">
        <f>$E91*'C2 - Funcionários #'!BE93*IF($C91="Operacional",IFERROR(VLOOKUP($D91,SN_UGC,28,0),0),1)</f>
        <v>0</v>
      </c>
      <c r="AF91" s="120">
        <f>$E91*'C2 - Funcionários #'!BF93*IF($C91="Operacional",IFERROR(VLOOKUP($D91,SN_UGC,28,0),0),1)</f>
        <v>0</v>
      </c>
      <c r="AG91" s="120">
        <f>$E91*'C2 - Funcionários #'!BG93*IF($C91="Operacional",IFERROR(VLOOKUP($D91,SN_UGC,28,0),0),1)</f>
        <v>0</v>
      </c>
      <c r="AH91" s="120">
        <f>$E91*'C2 - Funcionários #'!BH93*IF($C91="Operacional",IFERROR(VLOOKUP($D91,SN_UGC,28,0),0),1)</f>
        <v>0</v>
      </c>
      <c r="AI91" s="120">
        <f>$E91*'C2 - Funcionários #'!BI93*IF($C91="Operacional",IFERROR(VLOOKUP($D91,SN_UGC,28,0),0),1)</f>
        <v>0</v>
      </c>
      <c r="AJ91" s="120">
        <f>$E91*'C2 - Funcionários #'!BJ93*IF($C91="Operacional",IFERROR(VLOOKUP($D91,SN_UGC,28,0),0),1)</f>
        <v>0</v>
      </c>
    </row>
    <row r="92" spans="1:36" ht="15.75" customHeight="1">
      <c r="A92" s="521"/>
      <c r="B92" s="51">
        <f>'C1 - Cargos e Salários'!B76</f>
        <v>0</v>
      </c>
      <c r="C92" s="51">
        <f>'C1 - Cargos e Salários'!C76</f>
        <v>0</v>
      </c>
      <c r="D92" s="51">
        <f>'C1 - Cargos e Salários'!D76</f>
        <v>0</v>
      </c>
      <c r="E92" s="118">
        <f>'C1 - Cargos e Salários'!K76</f>
        <v>0</v>
      </c>
      <c r="F92" s="119">
        <f>IF(C92="Operacional",IFERROR(VLOOKUP(D92,ReceitaPorTipo,COLUMN('A1 - Serviços e demanda'!$Z$17),0),0),100%)</f>
        <v>1</v>
      </c>
      <c r="G92" s="120">
        <f>E92*F92*'C2 - Funcionários #'!AG94*IF($C92="Operacional",IFERROR(VLOOKUP($D92,SN_UGC,28,0),0),1)</f>
        <v>0</v>
      </c>
      <c r="H92" s="120">
        <f>$E92*'C2 - Funcionários #'!AH94*IF($C92="Operacional",IFERROR(VLOOKUP($D92,SN_UGC,28,0),0),1)</f>
        <v>0</v>
      </c>
      <c r="I92" s="120">
        <f>$E92*'C2 - Funcionários #'!AI94*IF($C92="Operacional",IFERROR(VLOOKUP($D92,SN_UGC,28,0),0),1)</f>
        <v>0</v>
      </c>
      <c r="J92" s="120">
        <f>$E92*'C2 - Funcionários #'!AJ94*IF($C92="Operacional",IFERROR(VLOOKUP($D92,SN_UGC,28,0),0),1)</f>
        <v>0</v>
      </c>
      <c r="K92" s="120">
        <f>$E92*'C2 - Funcionários #'!AK94*IF($C92="Operacional",IFERROR(VLOOKUP($D92,SN_UGC,28,0),0),1)</f>
        <v>0</v>
      </c>
      <c r="L92" s="120">
        <f>$E92*'C2 - Funcionários #'!AL94*IF($C92="Operacional",IFERROR(VLOOKUP($D92,SN_UGC,28,0),0),1)</f>
        <v>0</v>
      </c>
      <c r="M92" s="120">
        <f>$E92*'C2 - Funcionários #'!AM94*IF($C92="Operacional",IFERROR(VLOOKUP($D92,SN_UGC,28,0),0),1)</f>
        <v>0</v>
      </c>
      <c r="N92" s="120">
        <f>$E92*'C2 - Funcionários #'!AN94*IF($C92="Operacional",IFERROR(VLOOKUP($D92,SN_UGC,28,0),0),1)</f>
        <v>0</v>
      </c>
      <c r="O92" s="120">
        <f>$E92*'C2 - Funcionários #'!AO94*IF($C92="Operacional",IFERROR(VLOOKUP($D92,SN_UGC,28,0),0),1)</f>
        <v>0</v>
      </c>
      <c r="P92" s="120">
        <f>$E92*'C2 - Funcionários #'!AP94*IF($C92="Operacional",IFERROR(VLOOKUP($D92,SN_UGC,28,0),0),1)</f>
        <v>0</v>
      </c>
      <c r="Q92" s="120">
        <f>$E92*'C2 - Funcionários #'!AQ94*IF($C92="Operacional",IFERROR(VLOOKUP($D92,SN_UGC,28,0),0),1)</f>
        <v>0</v>
      </c>
      <c r="R92" s="120">
        <f>$E92*'C2 - Funcionários #'!AR94*IF($C92="Operacional",IFERROR(VLOOKUP($D92,SN_UGC,28,0),0),1)</f>
        <v>0</v>
      </c>
      <c r="S92" s="120">
        <f>$E92*'C2 - Funcionários #'!AS94*IF($C92="Operacional",IFERROR(VLOOKUP($D92,SN_UGC,28,0),0),1)</f>
        <v>0</v>
      </c>
      <c r="T92" s="120">
        <f>$E92*'C2 - Funcionários #'!AT94*IF($C92="Operacional",IFERROR(VLOOKUP($D92,SN_UGC,28,0),0),1)</f>
        <v>0</v>
      </c>
      <c r="U92" s="120">
        <f>$E92*'C2 - Funcionários #'!AU94*IF($C92="Operacional",IFERROR(VLOOKUP($D92,SN_UGC,28,0),0),1)</f>
        <v>0</v>
      </c>
      <c r="V92" s="120">
        <f>$E92*'C2 - Funcionários #'!AV94*IF($C92="Operacional",IFERROR(VLOOKUP($D92,SN_UGC,28,0),0),1)</f>
        <v>0</v>
      </c>
      <c r="W92" s="120">
        <f>$E92*'C2 - Funcionários #'!AW94*IF($C92="Operacional",IFERROR(VLOOKUP($D92,SN_UGC,28,0),0),1)</f>
        <v>0</v>
      </c>
      <c r="X92" s="120">
        <f>$E92*'C2 - Funcionários #'!AX94*IF($C92="Operacional",IFERROR(VLOOKUP($D92,SN_UGC,28,0),0),1)</f>
        <v>0</v>
      </c>
      <c r="Y92" s="120">
        <f>$E92*'C2 - Funcionários #'!AY94*IF($C92="Operacional",IFERROR(VLOOKUP($D92,SN_UGC,28,0),0),1)</f>
        <v>0</v>
      </c>
      <c r="Z92" s="120">
        <f>$E92*'C2 - Funcionários #'!AZ94*IF($C92="Operacional",IFERROR(VLOOKUP($D92,SN_UGC,28,0),0),1)</f>
        <v>0</v>
      </c>
      <c r="AA92" s="120">
        <f>$E92*'C2 - Funcionários #'!BA94*IF($C92="Operacional",IFERROR(VLOOKUP($D92,SN_UGC,28,0),0),1)</f>
        <v>0</v>
      </c>
      <c r="AB92" s="120">
        <f>$E92*'C2 - Funcionários #'!BB94*IF($C92="Operacional",IFERROR(VLOOKUP($D92,SN_UGC,28,0),0),1)</f>
        <v>0</v>
      </c>
      <c r="AC92" s="120">
        <f>$E92*'C2 - Funcionários #'!BC94*IF($C92="Operacional",IFERROR(VLOOKUP($D92,SN_UGC,28,0),0),1)</f>
        <v>0</v>
      </c>
      <c r="AD92" s="120">
        <f>$E92*'C2 - Funcionários #'!BD94*IF($C92="Operacional",IFERROR(VLOOKUP($D92,SN_UGC,28,0),0),1)</f>
        <v>0</v>
      </c>
      <c r="AE92" s="120">
        <f>$E92*'C2 - Funcionários #'!BE94*IF($C92="Operacional",IFERROR(VLOOKUP($D92,SN_UGC,28,0),0),1)</f>
        <v>0</v>
      </c>
      <c r="AF92" s="120">
        <f>$E92*'C2 - Funcionários #'!BF94*IF($C92="Operacional",IFERROR(VLOOKUP($D92,SN_UGC,28,0),0),1)</f>
        <v>0</v>
      </c>
      <c r="AG92" s="120">
        <f>$E92*'C2 - Funcionários #'!BG94*IF($C92="Operacional",IFERROR(VLOOKUP($D92,SN_UGC,28,0),0),1)</f>
        <v>0</v>
      </c>
      <c r="AH92" s="120">
        <f>$E92*'C2 - Funcionários #'!BH94*IF($C92="Operacional",IFERROR(VLOOKUP($D92,SN_UGC,28,0),0),1)</f>
        <v>0</v>
      </c>
      <c r="AI92" s="120">
        <f>$E92*'C2 - Funcionários #'!BI94*IF($C92="Operacional",IFERROR(VLOOKUP($D92,SN_UGC,28,0),0),1)</f>
        <v>0</v>
      </c>
      <c r="AJ92" s="120">
        <f>$E92*'C2 - Funcionários #'!BJ94*IF($C92="Operacional",IFERROR(VLOOKUP($D92,SN_UGC,28,0),0),1)</f>
        <v>0</v>
      </c>
    </row>
    <row r="93" spans="1:36" ht="15.75" customHeight="1">
      <c r="A93" s="521"/>
      <c r="B93" s="51">
        <f>'C1 - Cargos e Salários'!B77</f>
        <v>0</v>
      </c>
      <c r="C93" s="51">
        <f>'C1 - Cargos e Salários'!C77</f>
        <v>0</v>
      </c>
      <c r="D93" s="51">
        <f>'C1 - Cargos e Salários'!D77</f>
        <v>0</v>
      </c>
      <c r="E93" s="118">
        <f>'C1 - Cargos e Salários'!K77</f>
        <v>0</v>
      </c>
      <c r="F93" s="119">
        <f>IF(C93="Operacional",IFERROR(VLOOKUP(D93,ReceitaPorTipo,COLUMN('A1 - Serviços e demanda'!$Z$17),0),0),100%)</f>
        <v>1</v>
      </c>
      <c r="G93" s="120">
        <f>E93*F93*'C2 - Funcionários #'!AG95*IF($C93="Operacional",IFERROR(VLOOKUP($D93,SN_UGC,28,0),0),1)</f>
        <v>0</v>
      </c>
      <c r="H93" s="120">
        <f>$E93*'C2 - Funcionários #'!AH95*IF($C93="Operacional",IFERROR(VLOOKUP($D93,SN_UGC,28,0),0),1)</f>
        <v>0</v>
      </c>
      <c r="I93" s="120">
        <f>$E93*'C2 - Funcionários #'!AI95*IF($C93="Operacional",IFERROR(VLOOKUP($D93,SN_UGC,28,0),0),1)</f>
        <v>0</v>
      </c>
      <c r="J93" s="120">
        <f>$E93*'C2 - Funcionários #'!AJ95*IF($C93="Operacional",IFERROR(VLOOKUP($D93,SN_UGC,28,0),0),1)</f>
        <v>0</v>
      </c>
      <c r="K93" s="120">
        <f>$E93*'C2 - Funcionários #'!AK95*IF($C93="Operacional",IFERROR(VLOOKUP($D93,SN_UGC,28,0),0),1)</f>
        <v>0</v>
      </c>
      <c r="L93" s="120">
        <f>$E93*'C2 - Funcionários #'!AL95*IF($C93="Operacional",IFERROR(VLOOKUP($D93,SN_UGC,28,0),0),1)</f>
        <v>0</v>
      </c>
      <c r="M93" s="120">
        <f>$E93*'C2 - Funcionários #'!AM95*IF($C93="Operacional",IFERROR(VLOOKUP($D93,SN_UGC,28,0),0),1)</f>
        <v>0</v>
      </c>
      <c r="N93" s="120">
        <f>$E93*'C2 - Funcionários #'!AN95*IF($C93="Operacional",IFERROR(VLOOKUP($D93,SN_UGC,28,0),0),1)</f>
        <v>0</v>
      </c>
      <c r="O93" s="120">
        <f>$E93*'C2 - Funcionários #'!AO95*IF($C93="Operacional",IFERROR(VLOOKUP($D93,SN_UGC,28,0),0),1)</f>
        <v>0</v>
      </c>
      <c r="P93" s="120">
        <f>$E93*'C2 - Funcionários #'!AP95*IF($C93="Operacional",IFERROR(VLOOKUP($D93,SN_UGC,28,0),0),1)</f>
        <v>0</v>
      </c>
      <c r="Q93" s="120">
        <f>$E93*'C2 - Funcionários #'!AQ95*IF($C93="Operacional",IFERROR(VLOOKUP($D93,SN_UGC,28,0),0),1)</f>
        <v>0</v>
      </c>
      <c r="R93" s="120">
        <f>$E93*'C2 - Funcionários #'!AR95*IF($C93="Operacional",IFERROR(VLOOKUP($D93,SN_UGC,28,0),0),1)</f>
        <v>0</v>
      </c>
      <c r="S93" s="120">
        <f>$E93*'C2 - Funcionários #'!AS95*IF($C93="Operacional",IFERROR(VLOOKUP($D93,SN_UGC,28,0),0),1)</f>
        <v>0</v>
      </c>
      <c r="T93" s="120">
        <f>$E93*'C2 - Funcionários #'!AT95*IF($C93="Operacional",IFERROR(VLOOKUP($D93,SN_UGC,28,0),0),1)</f>
        <v>0</v>
      </c>
      <c r="U93" s="120">
        <f>$E93*'C2 - Funcionários #'!AU95*IF($C93="Operacional",IFERROR(VLOOKUP($D93,SN_UGC,28,0),0),1)</f>
        <v>0</v>
      </c>
      <c r="V93" s="120">
        <f>$E93*'C2 - Funcionários #'!AV95*IF($C93="Operacional",IFERROR(VLOOKUP($D93,SN_UGC,28,0),0),1)</f>
        <v>0</v>
      </c>
      <c r="W93" s="120">
        <f>$E93*'C2 - Funcionários #'!AW95*IF($C93="Operacional",IFERROR(VLOOKUP($D93,SN_UGC,28,0),0),1)</f>
        <v>0</v>
      </c>
      <c r="X93" s="120">
        <f>$E93*'C2 - Funcionários #'!AX95*IF($C93="Operacional",IFERROR(VLOOKUP($D93,SN_UGC,28,0),0),1)</f>
        <v>0</v>
      </c>
      <c r="Y93" s="120">
        <f>$E93*'C2 - Funcionários #'!AY95*IF($C93="Operacional",IFERROR(VLOOKUP($D93,SN_UGC,28,0),0),1)</f>
        <v>0</v>
      </c>
      <c r="Z93" s="120">
        <f>$E93*'C2 - Funcionários #'!AZ95*IF($C93="Operacional",IFERROR(VLOOKUP($D93,SN_UGC,28,0),0),1)</f>
        <v>0</v>
      </c>
      <c r="AA93" s="120">
        <f>$E93*'C2 - Funcionários #'!BA95*IF($C93="Operacional",IFERROR(VLOOKUP($D93,SN_UGC,28,0),0),1)</f>
        <v>0</v>
      </c>
      <c r="AB93" s="120">
        <f>$E93*'C2 - Funcionários #'!BB95*IF($C93="Operacional",IFERROR(VLOOKUP($D93,SN_UGC,28,0),0),1)</f>
        <v>0</v>
      </c>
      <c r="AC93" s="120">
        <f>$E93*'C2 - Funcionários #'!BC95*IF($C93="Operacional",IFERROR(VLOOKUP($D93,SN_UGC,28,0),0),1)</f>
        <v>0</v>
      </c>
      <c r="AD93" s="120">
        <f>$E93*'C2 - Funcionários #'!BD95*IF($C93="Operacional",IFERROR(VLOOKUP($D93,SN_UGC,28,0),0),1)</f>
        <v>0</v>
      </c>
      <c r="AE93" s="120">
        <f>$E93*'C2 - Funcionários #'!BE95*IF($C93="Operacional",IFERROR(VLOOKUP($D93,SN_UGC,28,0),0),1)</f>
        <v>0</v>
      </c>
      <c r="AF93" s="120">
        <f>$E93*'C2 - Funcionários #'!BF95*IF($C93="Operacional",IFERROR(VLOOKUP($D93,SN_UGC,28,0),0),1)</f>
        <v>0</v>
      </c>
      <c r="AG93" s="120">
        <f>$E93*'C2 - Funcionários #'!BG95*IF($C93="Operacional",IFERROR(VLOOKUP($D93,SN_UGC,28,0),0),1)</f>
        <v>0</v>
      </c>
      <c r="AH93" s="120">
        <f>$E93*'C2 - Funcionários #'!BH95*IF($C93="Operacional",IFERROR(VLOOKUP($D93,SN_UGC,28,0),0),1)</f>
        <v>0</v>
      </c>
      <c r="AI93" s="120">
        <f>$E93*'C2 - Funcionários #'!BI95*IF($C93="Operacional",IFERROR(VLOOKUP($D93,SN_UGC,28,0),0),1)</f>
        <v>0</v>
      </c>
      <c r="AJ93" s="120">
        <f>$E93*'C2 - Funcionários #'!BJ95*IF($C93="Operacional",IFERROR(VLOOKUP($D93,SN_UGC,28,0),0),1)</f>
        <v>0</v>
      </c>
    </row>
    <row r="94" spans="1:36" ht="15.75" customHeight="1">
      <c r="A94" s="521"/>
      <c r="B94" s="51">
        <f>'C1 - Cargos e Salários'!B78</f>
        <v>0</v>
      </c>
      <c r="C94" s="51">
        <f>'C1 - Cargos e Salários'!C78</f>
        <v>0</v>
      </c>
      <c r="D94" s="51">
        <f>'C1 - Cargos e Salários'!D78</f>
        <v>0</v>
      </c>
      <c r="E94" s="118">
        <f>'C1 - Cargos e Salários'!K78</f>
        <v>0</v>
      </c>
      <c r="F94" s="119">
        <f>IF(C94="Operacional",IFERROR(VLOOKUP(D94,ReceitaPorTipo,COLUMN('A1 - Serviços e demanda'!$Z$17),0),0),100%)</f>
        <v>1</v>
      </c>
      <c r="G94" s="120">
        <f>E94*F94*'C2 - Funcionários #'!AG96*IF($C94="Operacional",IFERROR(VLOOKUP($D94,SN_UGC,28,0),0),1)</f>
        <v>0</v>
      </c>
      <c r="H94" s="120">
        <f>$E94*'C2 - Funcionários #'!AH96*IF($C94="Operacional",IFERROR(VLOOKUP($D94,SN_UGC,28,0),0),1)</f>
        <v>0</v>
      </c>
      <c r="I94" s="120">
        <f>$E94*'C2 - Funcionários #'!AI96*IF($C94="Operacional",IFERROR(VLOOKUP($D94,SN_UGC,28,0),0),1)</f>
        <v>0</v>
      </c>
      <c r="J94" s="120">
        <f>$E94*'C2 - Funcionários #'!AJ96*IF($C94="Operacional",IFERROR(VLOOKUP($D94,SN_UGC,28,0),0),1)</f>
        <v>0</v>
      </c>
      <c r="K94" s="120">
        <f>$E94*'C2 - Funcionários #'!AK96*IF($C94="Operacional",IFERROR(VLOOKUP($D94,SN_UGC,28,0),0),1)</f>
        <v>0</v>
      </c>
      <c r="L94" s="120">
        <f>$E94*'C2 - Funcionários #'!AL96*IF($C94="Operacional",IFERROR(VLOOKUP($D94,SN_UGC,28,0),0),1)</f>
        <v>0</v>
      </c>
      <c r="M94" s="120">
        <f>$E94*'C2 - Funcionários #'!AM96*IF($C94="Operacional",IFERROR(VLOOKUP($D94,SN_UGC,28,0),0),1)</f>
        <v>0</v>
      </c>
      <c r="N94" s="120">
        <f>$E94*'C2 - Funcionários #'!AN96*IF($C94="Operacional",IFERROR(VLOOKUP($D94,SN_UGC,28,0),0),1)</f>
        <v>0</v>
      </c>
      <c r="O94" s="120">
        <f>$E94*'C2 - Funcionários #'!AO96*IF($C94="Operacional",IFERROR(VLOOKUP($D94,SN_UGC,28,0),0),1)</f>
        <v>0</v>
      </c>
      <c r="P94" s="120">
        <f>$E94*'C2 - Funcionários #'!AP96*IF($C94="Operacional",IFERROR(VLOOKUP($D94,SN_UGC,28,0),0),1)</f>
        <v>0</v>
      </c>
      <c r="Q94" s="120">
        <f>$E94*'C2 - Funcionários #'!AQ96*IF($C94="Operacional",IFERROR(VLOOKUP($D94,SN_UGC,28,0),0),1)</f>
        <v>0</v>
      </c>
      <c r="R94" s="120">
        <f>$E94*'C2 - Funcionários #'!AR96*IF($C94="Operacional",IFERROR(VLOOKUP($D94,SN_UGC,28,0),0),1)</f>
        <v>0</v>
      </c>
      <c r="S94" s="120">
        <f>$E94*'C2 - Funcionários #'!AS96*IF($C94="Operacional",IFERROR(VLOOKUP($D94,SN_UGC,28,0),0),1)</f>
        <v>0</v>
      </c>
      <c r="T94" s="120">
        <f>$E94*'C2 - Funcionários #'!AT96*IF($C94="Operacional",IFERROR(VLOOKUP($D94,SN_UGC,28,0),0),1)</f>
        <v>0</v>
      </c>
      <c r="U94" s="120">
        <f>$E94*'C2 - Funcionários #'!AU96*IF($C94="Operacional",IFERROR(VLOOKUP($D94,SN_UGC,28,0),0),1)</f>
        <v>0</v>
      </c>
      <c r="V94" s="120">
        <f>$E94*'C2 - Funcionários #'!AV96*IF($C94="Operacional",IFERROR(VLOOKUP($D94,SN_UGC,28,0),0),1)</f>
        <v>0</v>
      </c>
      <c r="W94" s="120">
        <f>$E94*'C2 - Funcionários #'!AW96*IF($C94="Operacional",IFERROR(VLOOKUP($D94,SN_UGC,28,0),0),1)</f>
        <v>0</v>
      </c>
      <c r="X94" s="120">
        <f>$E94*'C2 - Funcionários #'!AX96*IF($C94="Operacional",IFERROR(VLOOKUP($D94,SN_UGC,28,0),0),1)</f>
        <v>0</v>
      </c>
      <c r="Y94" s="120">
        <f>$E94*'C2 - Funcionários #'!AY96*IF($C94="Operacional",IFERROR(VLOOKUP($D94,SN_UGC,28,0),0),1)</f>
        <v>0</v>
      </c>
      <c r="Z94" s="120">
        <f>$E94*'C2 - Funcionários #'!AZ96*IF($C94="Operacional",IFERROR(VLOOKUP($D94,SN_UGC,28,0),0),1)</f>
        <v>0</v>
      </c>
      <c r="AA94" s="120">
        <f>$E94*'C2 - Funcionários #'!BA96*IF($C94="Operacional",IFERROR(VLOOKUP($D94,SN_UGC,28,0),0),1)</f>
        <v>0</v>
      </c>
      <c r="AB94" s="120">
        <f>$E94*'C2 - Funcionários #'!BB96*IF($C94="Operacional",IFERROR(VLOOKUP($D94,SN_UGC,28,0),0),1)</f>
        <v>0</v>
      </c>
      <c r="AC94" s="120">
        <f>$E94*'C2 - Funcionários #'!BC96*IF($C94="Operacional",IFERROR(VLOOKUP($D94,SN_UGC,28,0),0),1)</f>
        <v>0</v>
      </c>
      <c r="AD94" s="120">
        <f>$E94*'C2 - Funcionários #'!BD96*IF($C94="Operacional",IFERROR(VLOOKUP($D94,SN_UGC,28,0),0),1)</f>
        <v>0</v>
      </c>
      <c r="AE94" s="120">
        <f>$E94*'C2 - Funcionários #'!BE96*IF($C94="Operacional",IFERROR(VLOOKUP($D94,SN_UGC,28,0),0),1)</f>
        <v>0</v>
      </c>
      <c r="AF94" s="120">
        <f>$E94*'C2 - Funcionários #'!BF96*IF($C94="Operacional",IFERROR(VLOOKUP($D94,SN_UGC,28,0),0),1)</f>
        <v>0</v>
      </c>
      <c r="AG94" s="120">
        <f>$E94*'C2 - Funcionários #'!BG96*IF($C94="Operacional",IFERROR(VLOOKUP($D94,SN_UGC,28,0),0),1)</f>
        <v>0</v>
      </c>
      <c r="AH94" s="120">
        <f>$E94*'C2 - Funcionários #'!BH96*IF($C94="Operacional",IFERROR(VLOOKUP($D94,SN_UGC,28,0),0),1)</f>
        <v>0</v>
      </c>
      <c r="AI94" s="120">
        <f>$E94*'C2 - Funcionários #'!BI96*IF($C94="Operacional",IFERROR(VLOOKUP($D94,SN_UGC,28,0),0),1)</f>
        <v>0</v>
      </c>
      <c r="AJ94" s="120">
        <f>$E94*'C2 - Funcionários #'!BJ96*IF($C94="Operacional",IFERROR(VLOOKUP($D94,SN_UGC,28,0),0),1)</f>
        <v>0</v>
      </c>
    </row>
    <row r="95" spans="1:36" ht="15.75" customHeight="1">
      <c r="A95" s="521"/>
      <c r="B95" s="51">
        <f>'C1 - Cargos e Salários'!B79</f>
        <v>0</v>
      </c>
      <c r="C95" s="51">
        <f>'C1 - Cargos e Salários'!C79</f>
        <v>0</v>
      </c>
      <c r="D95" s="51">
        <f>'C1 - Cargos e Salários'!D79</f>
        <v>0</v>
      </c>
      <c r="E95" s="118">
        <f>'C1 - Cargos e Salários'!K79</f>
        <v>0</v>
      </c>
      <c r="F95" s="119">
        <f>IF(C95="Operacional",IFERROR(VLOOKUP(D95,ReceitaPorTipo,COLUMN('A1 - Serviços e demanda'!$Z$17),0),0),100%)</f>
        <v>1</v>
      </c>
      <c r="G95" s="120">
        <f>E95*F95*'C2 - Funcionários #'!AG97*IF($C95="Operacional",IFERROR(VLOOKUP($D95,SN_UGC,28,0),0),1)</f>
        <v>0</v>
      </c>
      <c r="H95" s="120">
        <f>$E95*'C2 - Funcionários #'!AH97*IF($C95="Operacional",IFERROR(VLOOKUP($D95,SN_UGC,28,0),0),1)</f>
        <v>0</v>
      </c>
      <c r="I95" s="120">
        <f>$E95*'C2 - Funcionários #'!AI97*IF($C95="Operacional",IFERROR(VLOOKUP($D95,SN_UGC,28,0),0),1)</f>
        <v>0</v>
      </c>
      <c r="J95" s="120">
        <f>$E95*'C2 - Funcionários #'!AJ97*IF($C95="Operacional",IFERROR(VLOOKUP($D95,SN_UGC,28,0),0),1)</f>
        <v>0</v>
      </c>
      <c r="K95" s="120">
        <f>$E95*'C2 - Funcionários #'!AK97*IF($C95="Operacional",IFERROR(VLOOKUP($D95,SN_UGC,28,0),0),1)</f>
        <v>0</v>
      </c>
      <c r="L95" s="120">
        <f>$E95*'C2 - Funcionários #'!AL97*IF($C95="Operacional",IFERROR(VLOOKUP($D95,SN_UGC,28,0),0),1)</f>
        <v>0</v>
      </c>
      <c r="M95" s="120">
        <f>$E95*'C2 - Funcionários #'!AM97*IF($C95="Operacional",IFERROR(VLOOKUP($D95,SN_UGC,28,0),0),1)</f>
        <v>0</v>
      </c>
      <c r="N95" s="120">
        <f>$E95*'C2 - Funcionários #'!AN97*IF($C95="Operacional",IFERROR(VLOOKUP($D95,SN_UGC,28,0),0),1)</f>
        <v>0</v>
      </c>
      <c r="O95" s="120">
        <f>$E95*'C2 - Funcionários #'!AO97*IF($C95="Operacional",IFERROR(VLOOKUP($D95,SN_UGC,28,0),0),1)</f>
        <v>0</v>
      </c>
      <c r="P95" s="120">
        <f>$E95*'C2 - Funcionários #'!AP97*IF($C95="Operacional",IFERROR(VLOOKUP($D95,SN_UGC,28,0),0),1)</f>
        <v>0</v>
      </c>
      <c r="Q95" s="120">
        <f>$E95*'C2 - Funcionários #'!AQ97*IF($C95="Operacional",IFERROR(VLOOKUP($D95,SN_UGC,28,0),0),1)</f>
        <v>0</v>
      </c>
      <c r="R95" s="120">
        <f>$E95*'C2 - Funcionários #'!AR97*IF($C95="Operacional",IFERROR(VLOOKUP($D95,SN_UGC,28,0),0),1)</f>
        <v>0</v>
      </c>
      <c r="S95" s="120">
        <f>$E95*'C2 - Funcionários #'!AS97*IF($C95="Operacional",IFERROR(VLOOKUP($D95,SN_UGC,28,0),0),1)</f>
        <v>0</v>
      </c>
      <c r="T95" s="120">
        <f>$E95*'C2 - Funcionários #'!AT97*IF($C95="Operacional",IFERROR(VLOOKUP($D95,SN_UGC,28,0),0),1)</f>
        <v>0</v>
      </c>
      <c r="U95" s="120">
        <f>$E95*'C2 - Funcionários #'!AU97*IF($C95="Operacional",IFERROR(VLOOKUP($D95,SN_UGC,28,0),0),1)</f>
        <v>0</v>
      </c>
      <c r="V95" s="120">
        <f>$E95*'C2 - Funcionários #'!AV97*IF($C95="Operacional",IFERROR(VLOOKUP($D95,SN_UGC,28,0),0),1)</f>
        <v>0</v>
      </c>
      <c r="W95" s="120">
        <f>$E95*'C2 - Funcionários #'!AW97*IF($C95="Operacional",IFERROR(VLOOKUP($D95,SN_UGC,28,0),0),1)</f>
        <v>0</v>
      </c>
      <c r="X95" s="120">
        <f>$E95*'C2 - Funcionários #'!AX97*IF($C95="Operacional",IFERROR(VLOOKUP($D95,SN_UGC,28,0),0),1)</f>
        <v>0</v>
      </c>
      <c r="Y95" s="120">
        <f>$E95*'C2 - Funcionários #'!AY97*IF($C95="Operacional",IFERROR(VLOOKUP($D95,SN_UGC,28,0),0),1)</f>
        <v>0</v>
      </c>
      <c r="Z95" s="120">
        <f>$E95*'C2 - Funcionários #'!AZ97*IF($C95="Operacional",IFERROR(VLOOKUP($D95,SN_UGC,28,0),0),1)</f>
        <v>0</v>
      </c>
      <c r="AA95" s="120">
        <f>$E95*'C2 - Funcionários #'!BA97*IF($C95="Operacional",IFERROR(VLOOKUP($D95,SN_UGC,28,0),0),1)</f>
        <v>0</v>
      </c>
      <c r="AB95" s="120">
        <f>$E95*'C2 - Funcionários #'!BB97*IF($C95="Operacional",IFERROR(VLOOKUP($D95,SN_UGC,28,0),0),1)</f>
        <v>0</v>
      </c>
      <c r="AC95" s="120">
        <f>$E95*'C2 - Funcionários #'!BC97*IF($C95="Operacional",IFERROR(VLOOKUP($D95,SN_UGC,28,0),0),1)</f>
        <v>0</v>
      </c>
      <c r="AD95" s="120">
        <f>$E95*'C2 - Funcionários #'!BD97*IF($C95="Operacional",IFERROR(VLOOKUP($D95,SN_UGC,28,0),0),1)</f>
        <v>0</v>
      </c>
      <c r="AE95" s="120">
        <f>$E95*'C2 - Funcionários #'!BE97*IF($C95="Operacional",IFERROR(VLOOKUP($D95,SN_UGC,28,0),0),1)</f>
        <v>0</v>
      </c>
      <c r="AF95" s="120">
        <f>$E95*'C2 - Funcionários #'!BF97*IF($C95="Operacional",IFERROR(VLOOKUP($D95,SN_UGC,28,0),0),1)</f>
        <v>0</v>
      </c>
      <c r="AG95" s="120">
        <f>$E95*'C2 - Funcionários #'!BG97*IF($C95="Operacional",IFERROR(VLOOKUP($D95,SN_UGC,28,0),0),1)</f>
        <v>0</v>
      </c>
      <c r="AH95" s="120">
        <f>$E95*'C2 - Funcionários #'!BH97*IF($C95="Operacional",IFERROR(VLOOKUP($D95,SN_UGC,28,0),0),1)</f>
        <v>0</v>
      </c>
      <c r="AI95" s="120">
        <f>$E95*'C2 - Funcionários #'!BI97*IF($C95="Operacional",IFERROR(VLOOKUP($D95,SN_UGC,28,0),0),1)</f>
        <v>0</v>
      </c>
      <c r="AJ95" s="120">
        <f>$E95*'C2 - Funcionários #'!BJ97*IF($C95="Operacional",IFERROR(VLOOKUP($D95,SN_UGC,28,0),0),1)</f>
        <v>0</v>
      </c>
    </row>
    <row r="96" spans="1:36" ht="15.75" customHeight="1">
      <c r="A96" s="521"/>
      <c r="B96" s="51">
        <f>'C1 - Cargos e Salários'!B80</f>
        <v>0</v>
      </c>
      <c r="C96" s="51">
        <f>'C1 - Cargos e Salários'!C80</f>
        <v>0</v>
      </c>
      <c r="D96" s="51">
        <f>'C1 - Cargos e Salários'!D80</f>
        <v>0</v>
      </c>
      <c r="E96" s="118">
        <f>'C1 - Cargos e Salários'!K80</f>
        <v>0</v>
      </c>
      <c r="F96" s="119">
        <f>IF(C96="Operacional",IFERROR(VLOOKUP(D96,ReceitaPorTipo,COLUMN('A1 - Serviços e demanda'!$Z$17),0),0),100%)</f>
        <v>1</v>
      </c>
      <c r="G96" s="120">
        <f>E96*F96*'C2 - Funcionários #'!AG98*IF($C96="Operacional",IFERROR(VLOOKUP($D96,SN_UGC,28,0),0),1)</f>
        <v>0</v>
      </c>
      <c r="H96" s="120">
        <f>$E96*'C2 - Funcionários #'!AH98*IF($C96="Operacional",IFERROR(VLOOKUP($D96,SN_UGC,28,0),0),1)</f>
        <v>0</v>
      </c>
      <c r="I96" s="120">
        <f>$E96*'C2 - Funcionários #'!AI98*IF($C96="Operacional",IFERROR(VLOOKUP($D96,SN_UGC,28,0),0),1)</f>
        <v>0</v>
      </c>
      <c r="J96" s="120">
        <f>$E96*'C2 - Funcionários #'!AJ98*IF($C96="Operacional",IFERROR(VLOOKUP($D96,SN_UGC,28,0),0),1)</f>
        <v>0</v>
      </c>
      <c r="K96" s="120">
        <f>$E96*'C2 - Funcionários #'!AK98*IF($C96="Operacional",IFERROR(VLOOKUP($D96,SN_UGC,28,0),0),1)</f>
        <v>0</v>
      </c>
      <c r="L96" s="120">
        <f>$E96*'C2 - Funcionários #'!AL98*IF($C96="Operacional",IFERROR(VLOOKUP($D96,SN_UGC,28,0),0),1)</f>
        <v>0</v>
      </c>
      <c r="M96" s="120">
        <f>$E96*'C2 - Funcionários #'!AM98*IF($C96="Operacional",IFERROR(VLOOKUP($D96,SN_UGC,28,0),0),1)</f>
        <v>0</v>
      </c>
      <c r="N96" s="120">
        <f>$E96*'C2 - Funcionários #'!AN98*IF($C96="Operacional",IFERROR(VLOOKUP($D96,SN_UGC,28,0),0),1)</f>
        <v>0</v>
      </c>
      <c r="O96" s="120">
        <f>$E96*'C2 - Funcionários #'!AO98*IF($C96="Operacional",IFERROR(VLOOKUP($D96,SN_UGC,28,0),0),1)</f>
        <v>0</v>
      </c>
      <c r="P96" s="120">
        <f>$E96*'C2 - Funcionários #'!AP98*IF($C96="Operacional",IFERROR(VLOOKUP($D96,SN_UGC,28,0),0),1)</f>
        <v>0</v>
      </c>
      <c r="Q96" s="120">
        <f>$E96*'C2 - Funcionários #'!AQ98*IF($C96="Operacional",IFERROR(VLOOKUP($D96,SN_UGC,28,0),0),1)</f>
        <v>0</v>
      </c>
      <c r="R96" s="120">
        <f>$E96*'C2 - Funcionários #'!AR98*IF($C96="Operacional",IFERROR(VLOOKUP($D96,SN_UGC,28,0),0),1)</f>
        <v>0</v>
      </c>
      <c r="S96" s="120">
        <f>$E96*'C2 - Funcionários #'!AS98*IF($C96="Operacional",IFERROR(VLOOKUP($D96,SN_UGC,28,0),0),1)</f>
        <v>0</v>
      </c>
      <c r="T96" s="120">
        <f>$E96*'C2 - Funcionários #'!AT98*IF($C96="Operacional",IFERROR(VLOOKUP($D96,SN_UGC,28,0),0),1)</f>
        <v>0</v>
      </c>
      <c r="U96" s="120">
        <f>$E96*'C2 - Funcionários #'!AU98*IF($C96="Operacional",IFERROR(VLOOKUP($D96,SN_UGC,28,0),0),1)</f>
        <v>0</v>
      </c>
      <c r="V96" s="120">
        <f>$E96*'C2 - Funcionários #'!AV98*IF($C96="Operacional",IFERROR(VLOOKUP($D96,SN_UGC,28,0),0),1)</f>
        <v>0</v>
      </c>
      <c r="W96" s="120">
        <f>$E96*'C2 - Funcionários #'!AW98*IF($C96="Operacional",IFERROR(VLOOKUP($D96,SN_UGC,28,0),0),1)</f>
        <v>0</v>
      </c>
      <c r="X96" s="120">
        <f>$E96*'C2 - Funcionários #'!AX98*IF($C96="Operacional",IFERROR(VLOOKUP($D96,SN_UGC,28,0),0),1)</f>
        <v>0</v>
      </c>
      <c r="Y96" s="120">
        <f>$E96*'C2 - Funcionários #'!AY98*IF($C96="Operacional",IFERROR(VLOOKUP($D96,SN_UGC,28,0),0),1)</f>
        <v>0</v>
      </c>
      <c r="Z96" s="120">
        <f>$E96*'C2 - Funcionários #'!AZ98*IF($C96="Operacional",IFERROR(VLOOKUP($D96,SN_UGC,28,0),0),1)</f>
        <v>0</v>
      </c>
      <c r="AA96" s="120">
        <f>$E96*'C2 - Funcionários #'!BA98*IF($C96="Operacional",IFERROR(VLOOKUP($D96,SN_UGC,28,0),0),1)</f>
        <v>0</v>
      </c>
      <c r="AB96" s="120">
        <f>$E96*'C2 - Funcionários #'!BB98*IF($C96="Operacional",IFERROR(VLOOKUP($D96,SN_UGC,28,0),0),1)</f>
        <v>0</v>
      </c>
      <c r="AC96" s="120">
        <f>$E96*'C2 - Funcionários #'!BC98*IF($C96="Operacional",IFERROR(VLOOKUP($D96,SN_UGC,28,0),0),1)</f>
        <v>0</v>
      </c>
      <c r="AD96" s="120">
        <f>$E96*'C2 - Funcionários #'!BD98*IF($C96="Operacional",IFERROR(VLOOKUP($D96,SN_UGC,28,0),0),1)</f>
        <v>0</v>
      </c>
      <c r="AE96" s="120">
        <f>$E96*'C2 - Funcionários #'!BE98*IF($C96="Operacional",IFERROR(VLOOKUP($D96,SN_UGC,28,0),0),1)</f>
        <v>0</v>
      </c>
      <c r="AF96" s="120">
        <f>$E96*'C2 - Funcionários #'!BF98*IF($C96="Operacional",IFERROR(VLOOKUP($D96,SN_UGC,28,0),0),1)</f>
        <v>0</v>
      </c>
      <c r="AG96" s="120">
        <f>$E96*'C2 - Funcionários #'!BG98*IF($C96="Operacional",IFERROR(VLOOKUP($D96,SN_UGC,28,0),0),1)</f>
        <v>0</v>
      </c>
      <c r="AH96" s="120">
        <f>$E96*'C2 - Funcionários #'!BH98*IF($C96="Operacional",IFERROR(VLOOKUP($D96,SN_UGC,28,0),0),1)</f>
        <v>0</v>
      </c>
      <c r="AI96" s="120">
        <f>$E96*'C2 - Funcionários #'!BI98*IF($C96="Operacional",IFERROR(VLOOKUP($D96,SN_UGC,28,0),0),1)</f>
        <v>0</v>
      </c>
      <c r="AJ96" s="120">
        <f>$E96*'C2 - Funcionários #'!BJ98*IF($C96="Operacional",IFERROR(VLOOKUP($D96,SN_UGC,28,0),0),1)</f>
        <v>0</v>
      </c>
    </row>
    <row r="97" spans="1:36" ht="15.75" customHeight="1">
      <c r="A97" s="521"/>
      <c r="B97" s="51">
        <f>'C1 - Cargos e Salários'!B81</f>
        <v>0</v>
      </c>
      <c r="C97" s="51">
        <f>'C1 - Cargos e Salários'!C81</f>
        <v>0</v>
      </c>
      <c r="D97" s="51">
        <f>'C1 - Cargos e Salários'!D81</f>
        <v>0</v>
      </c>
      <c r="E97" s="118">
        <f>'C1 - Cargos e Salários'!K81</f>
        <v>0</v>
      </c>
      <c r="F97" s="119">
        <f>IF(C97="Operacional",IFERROR(VLOOKUP(D97,ReceitaPorTipo,COLUMN('A1 - Serviços e demanda'!$Z$17),0),0),100%)</f>
        <v>1</v>
      </c>
      <c r="G97" s="120">
        <f>E97*F97*'C2 - Funcionários #'!AG99*IF($C97="Operacional",IFERROR(VLOOKUP($D97,SN_UGC,28,0),0),1)</f>
        <v>0</v>
      </c>
      <c r="H97" s="120">
        <f>$E97*'C2 - Funcionários #'!AH99*IF($C97="Operacional",IFERROR(VLOOKUP($D97,SN_UGC,28,0),0),1)</f>
        <v>0</v>
      </c>
      <c r="I97" s="120">
        <f>$E97*'C2 - Funcionários #'!AI99*IF($C97="Operacional",IFERROR(VLOOKUP($D97,SN_UGC,28,0),0),1)</f>
        <v>0</v>
      </c>
      <c r="J97" s="120">
        <f>$E97*'C2 - Funcionários #'!AJ99*IF($C97="Operacional",IFERROR(VLOOKUP($D97,SN_UGC,28,0),0),1)</f>
        <v>0</v>
      </c>
      <c r="K97" s="120">
        <f>$E97*'C2 - Funcionários #'!AK99*IF($C97="Operacional",IFERROR(VLOOKUP($D97,SN_UGC,28,0),0),1)</f>
        <v>0</v>
      </c>
      <c r="L97" s="120">
        <f>$E97*'C2 - Funcionários #'!AL99*IF($C97="Operacional",IFERROR(VLOOKUP($D97,SN_UGC,28,0),0),1)</f>
        <v>0</v>
      </c>
      <c r="M97" s="120">
        <f>$E97*'C2 - Funcionários #'!AM99*IF($C97="Operacional",IFERROR(VLOOKUP($D97,SN_UGC,28,0),0),1)</f>
        <v>0</v>
      </c>
      <c r="N97" s="120">
        <f>$E97*'C2 - Funcionários #'!AN99*IF($C97="Operacional",IFERROR(VLOOKUP($D97,SN_UGC,28,0),0),1)</f>
        <v>0</v>
      </c>
      <c r="O97" s="120">
        <f>$E97*'C2 - Funcionários #'!AO99*IF($C97="Operacional",IFERROR(VLOOKUP($D97,SN_UGC,28,0),0),1)</f>
        <v>0</v>
      </c>
      <c r="P97" s="120">
        <f>$E97*'C2 - Funcionários #'!AP99*IF($C97="Operacional",IFERROR(VLOOKUP($D97,SN_UGC,28,0),0),1)</f>
        <v>0</v>
      </c>
      <c r="Q97" s="120">
        <f>$E97*'C2 - Funcionários #'!AQ99*IF($C97="Operacional",IFERROR(VLOOKUP($D97,SN_UGC,28,0),0),1)</f>
        <v>0</v>
      </c>
      <c r="R97" s="120">
        <f>$E97*'C2 - Funcionários #'!AR99*IF($C97="Operacional",IFERROR(VLOOKUP($D97,SN_UGC,28,0),0),1)</f>
        <v>0</v>
      </c>
      <c r="S97" s="120">
        <f>$E97*'C2 - Funcionários #'!AS99*IF($C97="Operacional",IFERROR(VLOOKUP($D97,SN_UGC,28,0),0),1)</f>
        <v>0</v>
      </c>
      <c r="T97" s="120">
        <f>$E97*'C2 - Funcionários #'!AT99*IF($C97="Operacional",IFERROR(VLOOKUP($D97,SN_UGC,28,0),0),1)</f>
        <v>0</v>
      </c>
      <c r="U97" s="120">
        <f>$E97*'C2 - Funcionários #'!AU99*IF($C97="Operacional",IFERROR(VLOOKUP($D97,SN_UGC,28,0),0),1)</f>
        <v>0</v>
      </c>
      <c r="V97" s="120">
        <f>$E97*'C2 - Funcionários #'!AV99*IF($C97="Operacional",IFERROR(VLOOKUP($D97,SN_UGC,28,0),0),1)</f>
        <v>0</v>
      </c>
      <c r="W97" s="120">
        <f>$E97*'C2 - Funcionários #'!AW99*IF($C97="Operacional",IFERROR(VLOOKUP($D97,SN_UGC,28,0),0),1)</f>
        <v>0</v>
      </c>
      <c r="X97" s="120">
        <f>$E97*'C2 - Funcionários #'!AX99*IF($C97="Operacional",IFERROR(VLOOKUP($D97,SN_UGC,28,0),0),1)</f>
        <v>0</v>
      </c>
      <c r="Y97" s="120">
        <f>$E97*'C2 - Funcionários #'!AY99*IF($C97="Operacional",IFERROR(VLOOKUP($D97,SN_UGC,28,0),0),1)</f>
        <v>0</v>
      </c>
      <c r="Z97" s="120">
        <f>$E97*'C2 - Funcionários #'!AZ99*IF($C97="Operacional",IFERROR(VLOOKUP($D97,SN_UGC,28,0),0),1)</f>
        <v>0</v>
      </c>
      <c r="AA97" s="120">
        <f>$E97*'C2 - Funcionários #'!BA99*IF($C97="Operacional",IFERROR(VLOOKUP($D97,SN_UGC,28,0),0),1)</f>
        <v>0</v>
      </c>
      <c r="AB97" s="120">
        <f>$E97*'C2 - Funcionários #'!BB99*IF($C97="Operacional",IFERROR(VLOOKUP($D97,SN_UGC,28,0),0),1)</f>
        <v>0</v>
      </c>
      <c r="AC97" s="120">
        <f>$E97*'C2 - Funcionários #'!BC99*IF($C97="Operacional",IFERROR(VLOOKUP($D97,SN_UGC,28,0),0),1)</f>
        <v>0</v>
      </c>
      <c r="AD97" s="120">
        <f>$E97*'C2 - Funcionários #'!BD99*IF($C97="Operacional",IFERROR(VLOOKUP($D97,SN_UGC,28,0),0),1)</f>
        <v>0</v>
      </c>
      <c r="AE97" s="120">
        <f>$E97*'C2 - Funcionários #'!BE99*IF($C97="Operacional",IFERROR(VLOOKUP($D97,SN_UGC,28,0),0),1)</f>
        <v>0</v>
      </c>
      <c r="AF97" s="120">
        <f>$E97*'C2 - Funcionários #'!BF99*IF($C97="Operacional",IFERROR(VLOOKUP($D97,SN_UGC,28,0),0),1)</f>
        <v>0</v>
      </c>
      <c r="AG97" s="120">
        <f>$E97*'C2 - Funcionários #'!BG99*IF($C97="Operacional",IFERROR(VLOOKUP($D97,SN_UGC,28,0),0),1)</f>
        <v>0</v>
      </c>
      <c r="AH97" s="120">
        <f>$E97*'C2 - Funcionários #'!BH99*IF($C97="Operacional",IFERROR(VLOOKUP($D97,SN_UGC,28,0),0),1)</f>
        <v>0</v>
      </c>
      <c r="AI97" s="120">
        <f>$E97*'C2 - Funcionários #'!BI99*IF($C97="Operacional",IFERROR(VLOOKUP($D97,SN_UGC,28,0),0),1)</f>
        <v>0</v>
      </c>
      <c r="AJ97" s="120">
        <f>$E97*'C2 - Funcionários #'!BJ99*IF($C97="Operacional",IFERROR(VLOOKUP($D97,SN_UGC,28,0),0),1)</f>
        <v>0</v>
      </c>
    </row>
    <row r="98" spans="1:36" ht="15.75" customHeight="1">
      <c r="A98" s="521"/>
      <c r="B98" s="51">
        <f>'C1 - Cargos e Salários'!B82</f>
        <v>0</v>
      </c>
      <c r="C98" s="51">
        <f>'C1 - Cargos e Salários'!C82</f>
        <v>0</v>
      </c>
      <c r="D98" s="51">
        <f>'C1 - Cargos e Salários'!D82</f>
        <v>0</v>
      </c>
      <c r="E98" s="118">
        <f>'C1 - Cargos e Salários'!K82</f>
        <v>0</v>
      </c>
      <c r="F98" s="119">
        <f>IF(C98="Operacional",IFERROR(VLOOKUP(D98,ReceitaPorTipo,COLUMN('A1 - Serviços e demanda'!$Z$17),0),0),100%)</f>
        <v>1</v>
      </c>
      <c r="G98" s="120">
        <f>E98*F98*'C2 - Funcionários #'!AG100*IF($C98="Operacional",IFERROR(VLOOKUP($D98,SN_UGC,28,0),0),1)</f>
        <v>0</v>
      </c>
      <c r="H98" s="120">
        <f>$E98*'C2 - Funcionários #'!AH100*IF($C98="Operacional",IFERROR(VLOOKUP($D98,SN_UGC,28,0),0),1)</f>
        <v>0</v>
      </c>
      <c r="I98" s="120">
        <f>$E98*'C2 - Funcionários #'!AI100*IF($C98="Operacional",IFERROR(VLOOKUP($D98,SN_UGC,28,0),0),1)</f>
        <v>0</v>
      </c>
      <c r="J98" s="120">
        <f>$E98*'C2 - Funcionários #'!AJ100*IF($C98="Operacional",IFERROR(VLOOKUP($D98,SN_UGC,28,0),0),1)</f>
        <v>0</v>
      </c>
      <c r="K98" s="120">
        <f>$E98*'C2 - Funcionários #'!AK100*IF($C98="Operacional",IFERROR(VLOOKUP($D98,SN_UGC,28,0),0),1)</f>
        <v>0</v>
      </c>
      <c r="L98" s="120">
        <f>$E98*'C2 - Funcionários #'!AL100*IF($C98="Operacional",IFERROR(VLOOKUP($D98,SN_UGC,28,0),0),1)</f>
        <v>0</v>
      </c>
      <c r="M98" s="120">
        <f>$E98*'C2 - Funcionários #'!AM100*IF($C98="Operacional",IFERROR(VLOOKUP($D98,SN_UGC,28,0),0),1)</f>
        <v>0</v>
      </c>
      <c r="N98" s="120">
        <f>$E98*'C2 - Funcionários #'!AN100*IF($C98="Operacional",IFERROR(VLOOKUP($D98,SN_UGC,28,0),0),1)</f>
        <v>0</v>
      </c>
      <c r="O98" s="120">
        <f>$E98*'C2 - Funcionários #'!AO100*IF($C98="Operacional",IFERROR(VLOOKUP($D98,SN_UGC,28,0),0),1)</f>
        <v>0</v>
      </c>
      <c r="P98" s="120">
        <f>$E98*'C2 - Funcionários #'!AP100*IF($C98="Operacional",IFERROR(VLOOKUP($D98,SN_UGC,28,0),0),1)</f>
        <v>0</v>
      </c>
      <c r="Q98" s="120">
        <f>$E98*'C2 - Funcionários #'!AQ100*IF($C98="Operacional",IFERROR(VLOOKUP($D98,SN_UGC,28,0),0),1)</f>
        <v>0</v>
      </c>
      <c r="R98" s="120">
        <f>$E98*'C2 - Funcionários #'!AR100*IF($C98="Operacional",IFERROR(VLOOKUP($D98,SN_UGC,28,0),0),1)</f>
        <v>0</v>
      </c>
      <c r="S98" s="120">
        <f>$E98*'C2 - Funcionários #'!AS100*IF($C98="Operacional",IFERROR(VLOOKUP($D98,SN_UGC,28,0),0),1)</f>
        <v>0</v>
      </c>
      <c r="T98" s="120">
        <f>$E98*'C2 - Funcionários #'!AT100*IF($C98="Operacional",IFERROR(VLOOKUP($D98,SN_UGC,28,0),0),1)</f>
        <v>0</v>
      </c>
      <c r="U98" s="120">
        <f>$E98*'C2 - Funcionários #'!AU100*IF($C98="Operacional",IFERROR(VLOOKUP($D98,SN_UGC,28,0),0),1)</f>
        <v>0</v>
      </c>
      <c r="V98" s="120">
        <f>$E98*'C2 - Funcionários #'!AV100*IF($C98="Operacional",IFERROR(VLOOKUP($D98,SN_UGC,28,0),0),1)</f>
        <v>0</v>
      </c>
      <c r="W98" s="120">
        <f>$E98*'C2 - Funcionários #'!AW100*IF($C98="Operacional",IFERROR(VLOOKUP($D98,SN_UGC,28,0),0),1)</f>
        <v>0</v>
      </c>
      <c r="X98" s="120">
        <f>$E98*'C2 - Funcionários #'!AX100*IF($C98="Operacional",IFERROR(VLOOKUP($D98,SN_UGC,28,0),0),1)</f>
        <v>0</v>
      </c>
      <c r="Y98" s="120">
        <f>$E98*'C2 - Funcionários #'!AY100*IF($C98="Operacional",IFERROR(VLOOKUP($D98,SN_UGC,28,0),0),1)</f>
        <v>0</v>
      </c>
      <c r="Z98" s="120">
        <f>$E98*'C2 - Funcionários #'!AZ100*IF($C98="Operacional",IFERROR(VLOOKUP($D98,SN_UGC,28,0),0),1)</f>
        <v>0</v>
      </c>
      <c r="AA98" s="120">
        <f>$E98*'C2 - Funcionários #'!BA100*IF($C98="Operacional",IFERROR(VLOOKUP($D98,SN_UGC,28,0),0),1)</f>
        <v>0</v>
      </c>
      <c r="AB98" s="120">
        <f>$E98*'C2 - Funcionários #'!BB100*IF($C98="Operacional",IFERROR(VLOOKUP($D98,SN_UGC,28,0),0),1)</f>
        <v>0</v>
      </c>
      <c r="AC98" s="120">
        <f>$E98*'C2 - Funcionários #'!BC100*IF($C98="Operacional",IFERROR(VLOOKUP($D98,SN_UGC,28,0),0),1)</f>
        <v>0</v>
      </c>
      <c r="AD98" s="120">
        <f>$E98*'C2 - Funcionários #'!BD100*IF($C98="Operacional",IFERROR(VLOOKUP($D98,SN_UGC,28,0),0),1)</f>
        <v>0</v>
      </c>
      <c r="AE98" s="120">
        <f>$E98*'C2 - Funcionários #'!BE100*IF($C98="Operacional",IFERROR(VLOOKUP($D98,SN_UGC,28,0),0),1)</f>
        <v>0</v>
      </c>
      <c r="AF98" s="120">
        <f>$E98*'C2 - Funcionários #'!BF100*IF($C98="Operacional",IFERROR(VLOOKUP($D98,SN_UGC,28,0),0),1)</f>
        <v>0</v>
      </c>
      <c r="AG98" s="120">
        <f>$E98*'C2 - Funcionários #'!BG100*IF($C98="Operacional",IFERROR(VLOOKUP($D98,SN_UGC,28,0),0),1)</f>
        <v>0</v>
      </c>
      <c r="AH98" s="120">
        <f>$E98*'C2 - Funcionários #'!BH100*IF($C98="Operacional",IFERROR(VLOOKUP($D98,SN_UGC,28,0),0),1)</f>
        <v>0</v>
      </c>
      <c r="AI98" s="120">
        <f>$E98*'C2 - Funcionários #'!BI100*IF($C98="Operacional",IFERROR(VLOOKUP($D98,SN_UGC,28,0),0),1)</f>
        <v>0</v>
      </c>
      <c r="AJ98" s="120">
        <f>$E98*'C2 - Funcionários #'!BJ100*IF($C98="Operacional",IFERROR(VLOOKUP($D98,SN_UGC,28,0),0),1)</f>
        <v>0</v>
      </c>
    </row>
    <row r="99" spans="1:36" ht="15.75" customHeight="1">
      <c r="A99" s="521"/>
      <c r="B99" s="51">
        <f>'C1 - Cargos e Salários'!B83</f>
        <v>0</v>
      </c>
      <c r="C99" s="51">
        <f>'C1 - Cargos e Salários'!C83</f>
        <v>0</v>
      </c>
      <c r="D99" s="51">
        <f>'C1 - Cargos e Salários'!D83</f>
        <v>0</v>
      </c>
      <c r="E99" s="118">
        <f>'C1 - Cargos e Salários'!K83</f>
        <v>0</v>
      </c>
      <c r="F99" s="119">
        <f>IF(C99="Operacional",IFERROR(VLOOKUP(D99,ReceitaPorTipo,COLUMN('A1 - Serviços e demanda'!$Z$17),0),0),100%)</f>
        <v>1</v>
      </c>
      <c r="G99" s="120">
        <f>E99*F99*'C2 - Funcionários #'!AG101*IF($C99="Operacional",IFERROR(VLOOKUP($D99,SN_UGC,28,0),0),1)</f>
        <v>0</v>
      </c>
      <c r="H99" s="120">
        <f>$E99*'C2 - Funcionários #'!AH101*IF($C99="Operacional",IFERROR(VLOOKUP($D99,SN_UGC,28,0),0),1)</f>
        <v>0</v>
      </c>
      <c r="I99" s="120">
        <f>$E99*'C2 - Funcionários #'!AI101*IF($C99="Operacional",IFERROR(VLOOKUP($D99,SN_UGC,28,0),0),1)</f>
        <v>0</v>
      </c>
      <c r="J99" s="120">
        <f>$E99*'C2 - Funcionários #'!AJ101*IF($C99="Operacional",IFERROR(VLOOKUP($D99,SN_UGC,28,0),0),1)</f>
        <v>0</v>
      </c>
      <c r="K99" s="120">
        <f>$E99*'C2 - Funcionários #'!AK101*IF($C99="Operacional",IFERROR(VLOOKUP($D99,SN_UGC,28,0),0),1)</f>
        <v>0</v>
      </c>
      <c r="L99" s="120">
        <f>$E99*'C2 - Funcionários #'!AL101*IF($C99="Operacional",IFERROR(VLOOKUP($D99,SN_UGC,28,0),0),1)</f>
        <v>0</v>
      </c>
      <c r="M99" s="120">
        <f>$E99*'C2 - Funcionários #'!AM101*IF($C99="Operacional",IFERROR(VLOOKUP($D99,SN_UGC,28,0),0),1)</f>
        <v>0</v>
      </c>
      <c r="N99" s="120">
        <f>$E99*'C2 - Funcionários #'!AN101*IF($C99="Operacional",IFERROR(VLOOKUP($D99,SN_UGC,28,0),0),1)</f>
        <v>0</v>
      </c>
      <c r="O99" s="120">
        <f>$E99*'C2 - Funcionários #'!AO101*IF($C99="Operacional",IFERROR(VLOOKUP($D99,SN_UGC,28,0),0),1)</f>
        <v>0</v>
      </c>
      <c r="P99" s="120">
        <f>$E99*'C2 - Funcionários #'!AP101*IF($C99="Operacional",IFERROR(VLOOKUP($D99,SN_UGC,28,0),0),1)</f>
        <v>0</v>
      </c>
      <c r="Q99" s="120">
        <f>$E99*'C2 - Funcionários #'!AQ101*IF($C99="Operacional",IFERROR(VLOOKUP($D99,SN_UGC,28,0),0),1)</f>
        <v>0</v>
      </c>
      <c r="R99" s="120">
        <f>$E99*'C2 - Funcionários #'!AR101*IF($C99="Operacional",IFERROR(VLOOKUP($D99,SN_UGC,28,0),0),1)</f>
        <v>0</v>
      </c>
      <c r="S99" s="120">
        <f>$E99*'C2 - Funcionários #'!AS101*IF($C99="Operacional",IFERROR(VLOOKUP($D99,SN_UGC,28,0),0),1)</f>
        <v>0</v>
      </c>
      <c r="T99" s="120">
        <f>$E99*'C2 - Funcionários #'!AT101*IF($C99="Operacional",IFERROR(VLOOKUP($D99,SN_UGC,28,0),0),1)</f>
        <v>0</v>
      </c>
      <c r="U99" s="120">
        <f>$E99*'C2 - Funcionários #'!AU101*IF($C99="Operacional",IFERROR(VLOOKUP($D99,SN_UGC,28,0),0),1)</f>
        <v>0</v>
      </c>
      <c r="V99" s="120">
        <f>$E99*'C2 - Funcionários #'!AV101*IF($C99="Operacional",IFERROR(VLOOKUP($D99,SN_UGC,28,0),0),1)</f>
        <v>0</v>
      </c>
      <c r="W99" s="120">
        <f>$E99*'C2 - Funcionários #'!AW101*IF($C99="Operacional",IFERROR(VLOOKUP($D99,SN_UGC,28,0),0),1)</f>
        <v>0</v>
      </c>
      <c r="X99" s="120">
        <f>$E99*'C2 - Funcionários #'!AX101*IF($C99="Operacional",IFERROR(VLOOKUP($D99,SN_UGC,28,0),0),1)</f>
        <v>0</v>
      </c>
      <c r="Y99" s="120">
        <f>$E99*'C2 - Funcionários #'!AY101*IF($C99="Operacional",IFERROR(VLOOKUP($D99,SN_UGC,28,0),0),1)</f>
        <v>0</v>
      </c>
      <c r="Z99" s="120">
        <f>$E99*'C2 - Funcionários #'!AZ101*IF($C99="Operacional",IFERROR(VLOOKUP($D99,SN_UGC,28,0),0),1)</f>
        <v>0</v>
      </c>
      <c r="AA99" s="120">
        <f>$E99*'C2 - Funcionários #'!BA101*IF($C99="Operacional",IFERROR(VLOOKUP($D99,SN_UGC,28,0),0),1)</f>
        <v>0</v>
      </c>
      <c r="AB99" s="120">
        <f>$E99*'C2 - Funcionários #'!BB101*IF($C99="Operacional",IFERROR(VLOOKUP($D99,SN_UGC,28,0),0),1)</f>
        <v>0</v>
      </c>
      <c r="AC99" s="120">
        <f>$E99*'C2 - Funcionários #'!BC101*IF($C99="Operacional",IFERROR(VLOOKUP($D99,SN_UGC,28,0),0),1)</f>
        <v>0</v>
      </c>
      <c r="AD99" s="120">
        <f>$E99*'C2 - Funcionários #'!BD101*IF($C99="Operacional",IFERROR(VLOOKUP($D99,SN_UGC,28,0),0),1)</f>
        <v>0</v>
      </c>
      <c r="AE99" s="120">
        <f>$E99*'C2 - Funcionários #'!BE101*IF($C99="Operacional",IFERROR(VLOOKUP($D99,SN_UGC,28,0),0),1)</f>
        <v>0</v>
      </c>
      <c r="AF99" s="120">
        <f>$E99*'C2 - Funcionários #'!BF101*IF($C99="Operacional",IFERROR(VLOOKUP($D99,SN_UGC,28,0),0),1)</f>
        <v>0</v>
      </c>
      <c r="AG99" s="120">
        <f>$E99*'C2 - Funcionários #'!BG101*IF($C99="Operacional",IFERROR(VLOOKUP($D99,SN_UGC,28,0),0),1)</f>
        <v>0</v>
      </c>
      <c r="AH99" s="120">
        <f>$E99*'C2 - Funcionários #'!BH101*IF($C99="Operacional",IFERROR(VLOOKUP($D99,SN_UGC,28,0),0),1)</f>
        <v>0</v>
      </c>
      <c r="AI99" s="120">
        <f>$E99*'C2 - Funcionários #'!BI101*IF($C99="Operacional",IFERROR(VLOOKUP($D99,SN_UGC,28,0),0),1)</f>
        <v>0</v>
      </c>
      <c r="AJ99" s="120">
        <f>$E99*'C2 - Funcionários #'!BJ101*IF($C99="Operacional",IFERROR(VLOOKUP($D99,SN_UGC,28,0),0),1)</f>
        <v>0</v>
      </c>
    </row>
    <row r="100" spans="1:36" ht="15.75" customHeight="1">
      <c r="A100" s="521"/>
      <c r="B100" s="51">
        <f>'C1 - Cargos e Salários'!B84</f>
        <v>0</v>
      </c>
      <c r="C100" s="51">
        <f>'C1 - Cargos e Salários'!C84</f>
        <v>0</v>
      </c>
      <c r="D100" s="51">
        <f>'C1 - Cargos e Salários'!D84</f>
        <v>0</v>
      </c>
      <c r="E100" s="118">
        <f>'C1 - Cargos e Salários'!K84</f>
        <v>0</v>
      </c>
      <c r="F100" s="119">
        <f>IF(C100="Operacional",IFERROR(VLOOKUP(D100,ReceitaPorTipo,COLUMN('A1 - Serviços e demanda'!$Z$17),0),0),100%)</f>
        <v>1</v>
      </c>
      <c r="G100" s="120">
        <f>E100*F100*'C2 - Funcionários #'!AG102*IF($C100="Operacional",IFERROR(VLOOKUP($D100,SN_UGC,28,0),0),1)</f>
        <v>0</v>
      </c>
      <c r="H100" s="120">
        <f>$E100*'C2 - Funcionários #'!AH102*IF($C100="Operacional",IFERROR(VLOOKUP($D100,SN_UGC,28,0),0),1)</f>
        <v>0</v>
      </c>
      <c r="I100" s="120">
        <f>$E100*'C2 - Funcionários #'!AI102*IF($C100="Operacional",IFERROR(VLOOKUP($D100,SN_UGC,28,0),0),1)</f>
        <v>0</v>
      </c>
      <c r="J100" s="120">
        <f>$E100*'C2 - Funcionários #'!AJ102*IF($C100="Operacional",IFERROR(VLOOKUP($D100,SN_UGC,28,0),0),1)</f>
        <v>0</v>
      </c>
      <c r="K100" s="120">
        <f>$E100*'C2 - Funcionários #'!AK102*IF($C100="Operacional",IFERROR(VLOOKUP($D100,SN_UGC,28,0),0),1)</f>
        <v>0</v>
      </c>
      <c r="L100" s="120">
        <f>$E100*'C2 - Funcionários #'!AL102*IF($C100="Operacional",IFERROR(VLOOKUP($D100,SN_UGC,28,0),0),1)</f>
        <v>0</v>
      </c>
      <c r="M100" s="120">
        <f>$E100*'C2 - Funcionários #'!AM102*IF($C100="Operacional",IFERROR(VLOOKUP($D100,SN_UGC,28,0),0),1)</f>
        <v>0</v>
      </c>
      <c r="N100" s="120">
        <f>$E100*'C2 - Funcionários #'!AN102*IF($C100="Operacional",IFERROR(VLOOKUP($D100,SN_UGC,28,0),0),1)</f>
        <v>0</v>
      </c>
      <c r="O100" s="120">
        <f>$E100*'C2 - Funcionários #'!AO102*IF($C100="Operacional",IFERROR(VLOOKUP($D100,SN_UGC,28,0),0),1)</f>
        <v>0</v>
      </c>
      <c r="P100" s="120">
        <f>$E100*'C2 - Funcionários #'!AP102*IF($C100="Operacional",IFERROR(VLOOKUP($D100,SN_UGC,28,0),0),1)</f>
        <v>0</v>
      </c>
      <c r="Q100" s="120">
        <f>$E100*'C2 - Funcionários #'!AQ102*IF($C100="Operacional",IFERROR(VLOOKUP($D100,SN_UGC,28,0),0),1)</f>
        <v>0</v>
      </c>
      <c r="R100" s="120">
        <f>$E100*'C2 - Funcionários #'!AR102*IF($C100="Operacional",IFERROR(VLOOKUP($D100,SN_UGC,28,0),0),1)</f>
        <v>0</v>
      </c>
      <c r="S100" s="120">
        <f>$E100*'C2 - Funcionários #'!AS102*IF($C100="Operacional",IFERROR(VLOOKUP($D100,SN_UGC,28,0),0),1)</f>
        <v>0</v>
      </c>
      <c r="T100" s="120">
        <f>$E100*'C2 - Funcionários #'!AT102*IF($C100="Operacional",IFERROR(VLOOKUP($D100,SN_UGC,28,0),0),1)</f>
        <v>0</v>
      </c>
      <c r="U100" s="120">
        <f>$E100*'C2 - Funcionários #'!AU102*IF($C100="Operacional",IFERROR(VLOOKUP($D100,SN_UGC,28,0),0),1)</f>
        <v>0</v>
      </c>
      <c r="V100" s="120">
        <f>$E100*'C2 - Funcionários #'!AV102*IF($C100="Operacional",IFERROR(VLOOKUP($D100,SN_UGC,28,0),0),1)</f>
        <v>0</v>
      </c>
      <c r="W100" s="120">
        <f>$E100*'C2 - Funcionários #'!AW102*IF($C100="Operacional",IFERROR(VLOOKUP($D100,SN_UGC,28,0),0),1)</f>
        <v>0</v>
      </c>
      <c r="X100" s="120">
        <f>$E100*'C2 - Funcionários #'!AX102*IF($C100="Operacional",IFERROR(VLOOKUP($D100,SN_UGC,28,0),0),1)</f>
        <v>0</v>
      </c>
      <c r="Y100" s="120">
        <f>$E100*'C2 - Funcionários #'!AY102*IF($C100="Operacional",IFERROR(VLOOKUP($D100,SN_UGC,28,0),0),1)</f>
        <v>0</v>
      </c>
      <c r="Z100" s="120">
        <f>$E100*'C2 - Funcionários #'!AZ102*IF($C100="Operacional",IFERROR(VLOOKUP($D100,SN_UGC,28,0),0),1)</f>
        <v>0</v>
      </c>
      <c r="AA100" s="120">
        <f>$E100*'C2 - Funcionários #'!BA102*IF($C100="Operacional",IFERROR(VLOOKUP($D100,SN_UGC,28,0),0),1)</f>
        <v>0</v>
      </c>
      <c r="AB100" s="120">
        <f>$E100*'C2 - Funcionários #'!BB102*IF($C100="Operacional",IFERROR(VLOOKUP($D100,SN_UGC,28,0),0),1)</f>
        <v>0</v>
      </c>
      <c r="AC100" s="120">
        <f>$E100*'C2 - Funcionários #'!BC102*IF($C100="Operacional",IFERROR(VLOOKUP($D100,SN_UGC,28,0),0),1)</f>
        <v>0</v>
      </c>
      <c r="AD100" s="120">
        <f>$E100*'C2 - Funcionários #'!BD102*IF($C100="Operacional",IFERROR(VLOOKUP($D100,SN_UGC,28,0),0),1)</f>
        <v>0</v>
      </c>
      <c r="AE100" s="120">
        <f>$E100*'C2 - Funcionários #'!BE102*IF($C100="Operacional",IFERROR(VLOOKUP($D100,SN_UGC,28,0),0),1)</f>
        <v>0</v>
      </c>
      <c r="AF100" s="120">
        <f>$E100*'C2 - Funcionários #'!BF102*IF($C100="Operacional",IFERROR(VLOOKUP($D100,SN_UGC,28,0),0),1)</f>
        <v>0</v>
      </c>
      <c r="AG100" s="120">
        <f>$E100*'C2 - Funcionários #'!BG102*IF($C100="Operacional",IFERROR(VLOOKUP($D100,SN_UGC,28,0),0),1)</f>
        <v>0</v>
      </c>
      <c r="AH100" s="120">
        <f>$E100*'C2 - Funcionários #'!BH102*IF($C100="Operacional",IFERROR(VLOOKUP($D100,SN_UGC,28,0),0),1)</f>
        <v>0</v>
      </c>
      <c r="AI100" s="120">
        <f>$E100*'C2 - Funcionários #'!BI102*IF($C100="Operacional",IFERROR(VLOOKUP($D100,SN_UGC,28,0),0),1)</f>
        <v>0</v>
      </c>
      <c r="AJ100" s="120">
        <f>$E100*'C2 - Funcionários #'!BJ102*IF($C100="Operacional",IFERROR(VLOOKUP($D100,SN_UGC,28,0),0),1)</f>
        <v>0</v>
      </c>
    </row>
    <row r="101" spans="1:36" ht="15.75" customHeight="1">
      <c r="A101" s="521"/>
      <c r="B101" s="51">
        <f>'C1 - Cargos e Salários'!B85</f>
        <v>0</v>
      </c>
      <c r="C101" s="51">
        <f>'C1 - Cargos e Salários'!C85</f>
        <v>0</v>
      </c>
      <c r="D101" s="51">
        <f>'C1 - Cargos e Salários'!D85</f>
        <v>0</v>
      </c>
      <c r="E101" s="118">
        <f>'C1 - Cargos e Salários'!K85</f>
        <v>0</v>
      </c>
      <c r="F101" s="119">
        <f>IF(C101="Operacional",IFERROR(VLOOKUP(D101,ReceitaPorTipo,COLUMN('A1 - Serviços e demanda'!$Z$17),0),0),100%)</f>
        <v>1</v>
      </c>
      <c r="G101" s="120">
        <f>E101*F101*'C2 - Funcionários #'!AG103*IF($C101="Operacional",IFERROR(VLOOKUP($D101,SN_UGC,28,0),0),1)</f>
        <v>0</v>
      </c>
      <c r="H101" s="120">
        <f>$E101*'C2 - Funcionários #'!AH103*IF($C101="Operacional",IFERROR(VLOOKUP($D101,SN_UGC,28,0),0),1)</f>
        <v>0</v>
      </c>
      <c r="I101" s="120">
        <f>$E101*'C2 - Funcionários #'!AI103*IF($C101="Operacional",IFERROR(VLOOKUP($D101,SN_UGC,28,0),0),1)</f>
        <v>0</v>
      </c>
      <c r="J101" s="120">
        <f>$E101*'C2 - Funcionários #'!AJ103*IF($C101="Operacional",IFERROR(VLOOKUP($D101,SN_UGC,28,0),0),1)</f>
        <v>0</v>
      </c>
      <c r="K101" s="120">
        <f>$E101*'C2 - Funcionários #'!AK103*IF($C101="Operacional",IFERROR(VLOOKUP($D101,SN_UGC,28,0),0),1)</f>
        <v>0</v>
      </c>
      <c r="L101" s="120">
        <f>$E101*'C2 - Funcionários #'!AL103*IF($C101="Operacional",IFERROR(VLOOKUP($D101,SN_UGC,28,0),0),1)</f>
        <v>0</v>
      </c>
      <c r="M101" s="120">
        <f>$E101*'C2 - Funcionários #'!AM103*IF($C101="Operacional",IFERROR(VLOOKUP($D101,SN_UGC,28,0),0),1)</f>
        <v>0</v>
      </c>
      <c r="N101" s="120">
        <f>$E101*'C2 - Funcionários #'!AN103*IF($C101="Operacional",IFERROR(VLOOKUP($D101,SN_UGC,28,0),0),1)</f>
        <v>0</v>
      </c>
      <c r="O101" s="120">
        <f>$E101*'C2 - Funcionários #'!AO103*IF($C101="Operacional",IFERROR(VLOOKUP($D101,SN_UGC,28,0),0),1)</f>
        <v>0</v>
      </c>
      <c r="P101" s="120">
        <f>$E101*'C2 - Funcionários #'!AP103*IF($C101="Operacional",IFERROR(VLOOKUP($D101,SN_UGC,28,0),0),1)</f>
        <v>0</v>
      </c>
      <c r="Q101" s="120">
        <f>$E101*'C2 - Funcionários #'!AQ103*IF($C101="Operacional",IFERROR(VLOOKUP($D101,SN_UGC,28,0),0),1)</f>
        <v>0</v>
      </c>
      <c r="R101" s="120">
        <f>$E101*'C2 - Funcionários #'!AR103*IF($C101="Operacional",IFERROR(VLOOKUP($D101,SN_UGC,28,0),0),1)</f>
        <v>0</v>
      </c>
      <c r="S101" s="120">
        <f>$E101*'C2 - Funcionários #'!AS103*IF($C101="Operacional",IFERROR(VLOOKUP($D101,SN_UGC,28,0),0),1)</f>
        <v>0</v>
      </c>
      <c r="T101" s="120">
        <f>$E101*'C2 - Funcionários #'!AT103*IF($C101="Operacional",IFERROR(VLOOKUP($D101,SN_UGC,28,0),0),1)</f>
        <v>0</v>
      </c>
      <c r="U101" s="120">
        <f>$E101*'C2 - Funcionários #'!AU103*IF($C101="Operacional",IFERROR(VLOOKUP($D101,SN_UGC,28,0),0),1)</f>
        <v>0</v>
      </c>
      <c r="V101" s="120">
        <f>$E101*'C2 - Funcionários #'!AV103*IF($C101="Operacional",IFERROR(VLOOKUP($D101,SN_UGC,28,0),0),1)</f>
        <v>0</v>
      </c>
      <c r="W101" s="120">
        <f>$E101*'C2 - Funcionários #'!AW103*IF($C101="Operacional",IFERROR(VLOOKUP($D101,SN_UGC,28,0),0),1)</f>
        <v>0</v>
      </c>
      <c r="X101" s="120">
        <f>$E101*'C2 - Funcionários #'!AX103*IF($C101="Operacional",IFERROR(VLOOKUP($D101,SN_UGC,28,0),0),1)</f>
        <v>0</v>
      </c>
      <c r="Y101" s="120">
        <f>$E101*'C2 - Funcionários #'!AY103*IF($C101="Operacional",IFERROR(VLOOKUP($D101,SN_UGC,28,0),0),1)</f>
        <v>0</v>
      </c>
      <c r="Z101" s="120">
        <f>$E101*'C2 - Funcionários #'!AZ103*IF($C101="Operacional",IFERROR(VLOOKUP($D101,SN_UGC,28,0),0),1)</f>
        <v>0</v>
      </c>
      <c r="AA101" s="120">
        <f>$E101*'C2 - Funcionários #'!BA103*IF($C101="Operacional",IFERROR(VLOOKUP($D101,SN_UGC,28,0),0),1)</f>
        <v>0</v>
      </c>
      <c r="AB101" s="120">
        <f>$E101*'C2 - Funcionários #'!BB103*IF($C101="Operacional",IFERROR(VLOOKUP($D101,SN_UGC,28,0),0),1)</f>
        <v>0</v>
      </c>
      <c r="AC101" s="120">
        <f>$E101*'C2 - Funcionários #'!BC103*IF($C101="Operacional",IFERROR(VLOOKUP($D101,SN_UGC,28,0),0),1)</f>
        <v>0</v>
      </c>
      <c r="AD101" s="120">
        <f>$E101*'C2 - Funcionários #'!BD103*IF($C101="Operacional",IFERROR(VLOOKUP($D101,SN_UGC,28,0),0),1)</f>
        <v>0</v>
      </c>
      <c r="AE101" s="120">
        <f>$E101*'C2 - Funcionários #'!BE103*IF($C101="Operacional",IFERROR(VLOOKUP($D101,SN_UGC,28,0),0),1)</f>
        <v>0</v>
      </c>
      <c r="AF101" s="120">
        <f>$E101*'C2 - Funcionários #'!BF103*IF($C101="Operacional",IFERROR(VLOOKUP($D101,SN_UGC,28,0),0),1)</f>
        <v>0</v>
      </c>
      <c r="AG101" s="120">
        <f>$E101*'C2 - Funcionários #'!BG103*IF($C101="Operacional",IFERROR(VLOOKUP($D101,SN_UGC,28,0),0),1)</f>
        <v>0</v>
      </c>
      <c r="AH101" s="120">
        <f>$E101*'C2 - Funcionários #'!BH103*IF($C101="Operacional",IFERROR(VLOOKUP($D101,SN_UGC,28,0),0),1)</f>
        <v>0</v>
      </c>
      <c r="AI101" s="120">
        <f>$E101*'C2 - Funcionários #'!BI103*IF($C101="Operacional",IFERROR(VLOOKUP($D101,SN_UGC,28,0),0),1)</f>
        <v>0</v>
      </c>
      <c r="AJ101" s="120">
        <f>$E101*'C2 - Funcionários #'!BJ103*IF($C101="Operacional",IFERROR(VLOOKUP($D101,SN_UGC,28,0),0),1)</f>
        <v>0</v>
      </c>
    </row>
    <row r="102" spans="1:36" ht="15.75" customHeight="1">
      <c r="A102" s="521"/>
      <c r="B102" s="51">
        <f>'C1 - Cargos e Salários'!B86</f>
        <v>0</v>
      </c>
      <c r="C102" s="51">
        <f>'C1 - Cargos e Salários'!C86</f>
        <v>0</v>
      </c>
      <c r="D102" s="51">
        <f>'C1 - Cargos e Salários'!D86</f>
        <v>0</v>
      </c>
      <c r="E102" s="118">
        <f>'C1 - Cargos e Salários'!K86</f>
        <v>0</v>
      </c>
      <c r="F102" s="119">
        <f>IF(C102="Operacional",IFERROR(VLOOKUP(D102,ReceitaPorTipo,COLUMN('A1 - Serviços e demanda'!$Z$17),0),0),100%)</f>
        <v>1</v>
      </c>
      <c r="G102" s="120">
        <f>E102*F102*'C2 - Funcionários #'!AG104*IF($C102="Operacional",IFERROR(VLOOKUP($D102,SN_UGC,28,0),0),1)</f>
        <v>0</v>
      </c>
      <c r="H102" s="120">
        <f>$E102*'C2 - Funcionários #'!AH104*IF($C102="Operacional",IFERROR(VLOOKUP($D102,SN_UGC,28,0),0),1)</f>
        <v>0</v>
      </c>
      <c r="I102" s="120">
        <f>$E102*'C2 - Funcionários #'!AI104*IF($C102="Operacional",IFERROR(VLOOKUP($D102,SN_UGC,28,0),0),1)</f>
        <v>0</v>
      </c>
      <c r="J102" s="120">
        <f>$E102*'C2 - Funcionários #'!AJ104*IF($C102="Operacional",IFERROR(VLOOKUP($D102,SN_UGC,28,0),0),1)</f>
        <v>0</v>
      </c>
      <c r="K102" s="120">
        <f>$E102*'C2 - Funcionários #'!AK104*IF($C102="Operacional",IFERROR(VLOOKUP($D102,SN_UGC,28,0),0),1)</f>
        <v>0</v>
      </c>
      <c r="L102" s="120">
        <f>$E102*'C2 - Funcionários #'!AL104*IF($C102="Operacional",IFERROR(VLOOKUP($D102,SN_UGC,28,0),0),1)</f>
        <v>0</v>
      </c>
      <c r="M102" s="120">
        <f>$E102*'C2 - Funcionários #'!AM104*IF($C102="Operacional",IFERROR(VLOOKUP($D102,SN_UGC,28,0),0),1)</f>
        <v>0</v>
      </c>
      <c r="N102" s="120">
        <f>$E102*'C2 - Funcionários #'!AN104*IF($C102="Operacional",IFERROR(VLOOKUP($D102,SN_UGC,28,0),0),1)</f>
        <v>0</v>
      </c>
      <c r="O102" s="120">
        <f>$E102*'C2 - Funcionários #'!AO104*IF($C102="Operacional",IFERROR(VLOOKUP($D102,SN_UGC,28,0),0),1)</f>
        <v>0</v>
      </c>
      <c r="P102" s="120">
        <f>$E102*'C2 - Funcionários #'!AP104*IF($C102="Operacional",IFERROR(VLOOKUP($D102,SN_UGC,28,0),0),1)</f>
        <v>0</v>
      </c>
      <c r="Q102" s="120">
        <f>$E102*'C2 - Funcionários #'!AQ104*IF($C102="Operacional",IFERROR(VLOOKUP($D102,SN_UGC,28,0),0),1)</f>
        <v>0</v>
      </c>
      <c r="R102" s="120">
        <f>$E102*'C2 - Funcionários #'!AR104*IF($C102="Operacional",IFERROR(VLOOKUP($D102,SN_UGC,28,0),0),1)</f>
        <v>0</v>
      </c>
      <c r="S102" s="120">
        <f>$E102*'C2 - Funcionários #'!AS104*IF($C102="Operacional",IFERROR(VLOOKUP($D102,SN_UGC,28,0),0),1)</f>
        <v>0</v>
      </c>
      <c r="T102" s="120">
        <f>$E102*'C2 - Funcionários #'!AT104*IF($C102="Operacional",IFERROR(VLOOKUP($D102,SN_UGC,28,0),0),1)</f>
        <v>0</v>
      </c>
      <c r="U102" s="120">
        <f>$E102*'C2 - Funcionários #'!AU104*IF($C102="Operacional",IFERROR(VLOOKUP($D102,SN_UGC,28,0),0),1)</f>
        <v>0</v>
      </c>
      <c r="V102" s="120">
        <f>$E102*'C2 - Funcionários #'!AV104*IF($C102="Operacional",IFERROR(VLOOKUP($D102,SN_UGC,28,0),0),1)</f>
        <v>0</v>
      </c>
      <c r="W102" s="120">
        <f>$E102*'C2 - Funcionários #'!AW104*IF($C102="Operacional",IFERROR(VLOOKUP($D102,SN_UGC,28,0),0),1)</f>
        <v>0</v>
      </c>
      <c r="X102" s="120">
        <f>$E102*'C2 - Funcionários #'!AX104*IF($C102="Operacional",IFERROR(VLOOKUP($D102,SN_UGC,28,0),0),1)</f>
        <v>0</v>
      </c>
      <c r="Y102" s="120">
        <f>$E102*'C2 - Funcionários #'!AY104*IF($C102="Operacional",IFERROR(VLOOKUP($D102,SN_UGC,28,0),0),1)</f>
        <v>0</v>
      </c>
      <c r="Z102" s="120">
        <f>$E102*'C2 - Funcionários #'!AZ104*IF($C102="Operacional",IFERROR(VLOOKUP($D102,SN_UGC,28,0),0),1)</f>
        <v>0</v>
      </c>
      <c r="AA102" s="120">
        <f>$E102*'C2 - Funcionários #'!BA104*IF($C102="Operacional",IFERROR(VLOOKUP($D102,SN_UGC,28,0),0),1)</f>
        <v>0</v>
      </c>
      <c r="AB102" s="120">
        <f>$E102*'C2 - Funcionários #'!BB104*IF($C102="Operacional",IFERROR(VLOOKUP($D102,SN_UGC,28,0),0),1)</f>
        <v>0</v>
      </c>
      <c r="AC102" s="120">
        <f>$E102*'C2 - Funcionários #'!BC104*IF($C102="Operacional",IFERROR(VLOOKUP($D102,SN_UGC,28,0),0),1)</f>
        <v>0</v>
      </c>
      <c r="AD102" s="120">
        <f>$E102*'C2 - Funcionários #'!BD104*IF($C102="Operacional",IFERROR(VLOOKUP($D102,SN_UGC,28,0),0),1)</f>
        <v>0</v>
      </c>
      <c r="AE102" s="120">
        <f>$E102*'C2 - Funcionários #'!BE104*IF($C102="Operacional",IFERROR(VLOOKUP($D102,SN_UGC,28,0),0),1)</f>
        <v>0</v>
      </c>
      <c r="AF102" s="120">
        <f>$E102*'C2 - Funcionários #'!BF104*IF($C102="Operacional",IFERROR(VLOOKUP($D102,SN_UGC,28,0),0),1)</f>
        <v>0</v>
      </c>
      <c r="AG102" s="120">
        <f>$E102*'C2 - Funcionários #'!BG104*IF($C102="Operacional",IFERROR(VLOOKUP($D102,SN_UGC,28,0),0),1)</f>
        <v>0</v>
      </c>
      <c r="AH102" s="120">
        <f>$E102*'C2 - Funcionários #'!BH104*IF($C102="Operacional",IFERROR(VLOOKUP($D102,SN_UGC,28,0),0),1)</f>
        <v>0</v>
      </c>
      <c r="AI102" s="120">
        <f>$E102*'C2 - Funcionários #'!BI104*IF($C102="Operacional",IFERROR(VLOOKUP($D102,SN_UGC,28,0),0),1)</f>
        <v>0</v>
      </c>
      <c r="AJ102" s="120">
        <f>$E102*'C2 - Funcionários #'!BJ104*IF($C102="Operacional",IFERROR(VLOOKUP($D102,SN_UGC,28,0),0),1)</f>
        <v>0</v>
      </c>
    </row>
    <row r="103" spans="1:36" ht="15.75" customHeight="1">
      <c r="A103" s="521"/>
      <c r="B103" s="51">
        <f>'C1 - Cargos e Salários'!B87</f>
        <v>0</v>
      </c>
      <c r="C103" s="51">
        <f>'C1 - Cargos e Salários'!C87</f>
        <v>0</v>
      </c>
      <c r="D103" s="51">
        <f>'C1 - Cargos e Salários'!D87</f>
        <v>0</v>
      </c>
      <c r="E103" s="118">
        <f>'C1 - Cargos e Salários'!K87</f>
        <v>0</v>
      </c>
      <c r="F103" s="119">
        <f>IF(C103="Operacional",IFERROR(VLOOKUP(D103,ReceitaPorTipo,COLUMN('A1 - Serviços e demanda'!$Z$17),0),0),100%)</f>
        <v>1</v>
      </c>
      <c r="G103" s="120">
        <f>E103*F103*'C2 - Funcionários #'!AG105*IF($C103="Operacional",IFERROR(VLOOKUP($D103,SN_UGC,28,0),0),1)</f>
        <v>0</v>
      </c>
      <c r="H103" s="120">
        <f>$E103*'C2 - Funcionários #'!AH105*IF($C103="Operacional",IFERROR(VLOOKUP($D103,SN_UGC,28,0),0),1)</f>
        <v>0</v>
      </c>
      <c r="I103" s="120">
        <f>$E103*'C2 - Funcionários #'!AI105*IF($C103="Operacional",IFERROR(VLOOKUP($D103,SN_UGC,28,0),0),1)</f>
        <v>0</v>
      </c>
      <c r="J103" s="120">
        <f>$E103*'C2 - Funcionários #'!AJ105*IF($C103="Operacional",IFERROR(VLOOKUP($D103,SN_UGC,28,0),0),1)</f>
        <v>0</v>
      </c>
      <c r="K103" s="120">
        <f>$E103*'C2 - Funcionários #'!AK105*IF($C103="Operacional",IFERROR(VLOOKUP($D103,SN_UGC,28,0),0),1)</f>
        <v>0</v>
      </c>
      <c r="L103" s="120">
        <f>$E103*'C2 - Funcionários #'!AL105*IF($C103="Operacional",IFERROR(VLOOKUP($D103,SN_UGC,28,0),0),1)</f>
        <v>0</v>
      </c>
      <c r="M103" s="120">
        <f>$E103*'C2 - Funcionários #'!AM105*IF($C103="Operacional",IFERROR(VLOOKUP($D103,SN_UGC,28,0),0),1)</f>
        <v>0</v>
      </c>
      <c r="N103" s="120">
        <f>$E103*'C2 - Funcionários #'!AN105*IF($C103="Operacional",IFERROR(VLOOKUP($D103,SN_UGC,28,0),0),1)</f>
        <v>0</v>
      </c>
      <c r="O103" s="120">
        <f>$E103*'C2 - Funcionários #'!AO105*IF($C103="Operacional",IFERROR(VLOOKUP($D103,SN_UGC,28,0),0),1)</f>
        <v>0</v>
      </c>
      <c r="P103" s="120">
        <f>$E103*'C2 - Funcionários #'!AP105*IF($C103="Operacional",IFERROR(VLOOKUP($D103,SN_UGC,28,0),0),1)</f>
        <v>0</v>
      </c>
      <c r="Q103" s="120">
        <f>$E103*'C2 - Funcionários #'!AQ105*IF($C103="Operacional",IFERROR(VLOOKUP($D103,SN_UGC,28,0),0),1)</f>
        <v>0</v>
      </c>
      <c r="R103" s="120">
        <f>$E103*'C2 - Funcionários #'!AR105*IF($C103="Operacional",IFERROR(VLOOKUP($D103,SN_UGC,28,0),0),1)</f>
        <v>0</v>
      </c>
      <c r="S103" s="120">
        <f>$E103*'C2 - Funcionários #'!AS105*IF($C103="Operacional",IFERROR(VLOOKUP($D103,SN_UGC,28,0),0),1)</f>
        <v>0</v>
      </c>
      <c r="T103" s="120">
        <f>$E103*'C2 - Funcionários #'!AT105*IF($C103="Operacional",IFERROR(VLOOKUP($D103,SN_UGC,28,0),0),1)</f>
        <v>0</v>
      </c>
      <c r="U103" s="120">
        <f>$E103*'C2 - Funcionários #'!AU105*IF($C103="Operacional",IFERROR(VLOOKUP($D103,SN_UGC,28,0),0),1)</f>
        <v>0</v>
      </c>
      <c r="V103" s="120">
        <f>$E103*'C2 - Funcionários #'!AV105*IF($C103="Operacional",IFERROR(VLOOKUP($D103,SN_UGC,28,0),0),1)</f>
        <v>0</v>
      </c>
      <c r="W103" s="120">
        <f>$E103*'C2 - Funcionários #'!AW105*IF($C103="Operacional",IFERROR(VLOOKUP($D103,SN_UGC,28,0),0),1)</f>
        <v>0</v>
      </c>
      <c r="X103" s="120">
        <f>$E103*'C2 - Funcionários #'!AX105*IF($C103="Operacional",IFERROR(VLOOKUP($D103,SN_UGC,28,0),0),1)</f>
        <v>0</v>
      </c>
      <c r="Y103" s="120">
        <f>$E103*'C2 - Funcionários #'!AY105*IF($C103="Operacional",IFERROR(VLOOKUP($D103,SN_UGC,28,0),0),1)</f>
        <v>0</v>
      </c>
      <c r="Z103" s="120">
        <f>$E103*'C2 - Funcionários #'!AZ105*IF($C103="Operacional",IFERROR(VLOOKUP($D103,SN_UGC,28,0),0),1)</f>
        <v>0</v>
      </c>
      <c r="AA103" s="120">
        <f>$E103*'C2 - Funcionários #'!BA105*IF($C103="Operacional",IFERROR(VLOOKUP($D103,SN_UGC,28,0),0),1)</f>
        <v>0</v>
      </c>
      <c r="AB103" s="120">
        <f>$E103*'C2 - Funcionários #'!BB105*IF($C103="Operacional",IFERROR(VLOOKUP($D103,SN_UGC,28,0),0),1)</f>
        <v>0</v>
      </c>
      <c r="AC103" s="120">
        <f>$E103*'C2 - Funcionários #'!BC105*IF($C103="Operacional",IFERROR(VLOOKUP($D103,SN_UGC,28,0),0),1)</f>
        <v>0</v>
      </c>
      <c r="AD103" s="120">
        <f>$E103*'C2 - Funcionários #'!BD105*IF($C103="Operacional",IFERROR(VLOOKUP($D103,SN_UGC,28,0),0),1)</f>
        <v>0</v>
      </c>
      <c r="AE103" s="120">
        <f>$E103*'C2 - Funcionários #'!BE105*IF($C103="Operacional",IFERROR(VLOOKUP($D103,SN_UGC,28,0),0),1)</f>
        <v>0</v>
      </c>
      <c r="AF103" s="120">
        <f>$E103*'C2 - Funcionários #'!BF105*IF($C103="Operacional",IFERROR(VLOOKUP($D103,SN_UGC,28,0),0),1)</f>
        <v>0</v>
      </c>
      <c r="AG103" s="120">
        <f>$E103*'C2 - Funcionários #'!BG105*IF($C103="Operacional",IFERROR(VLOOKUP($D103,SN_UGC,28,0),0),1)</f>
        <v>0</v>
      </c>
      <c r="AH103" s="120">
        <f>$E103*'C2 - Funcionários #'!BH105*IF($C103="Operacional",IFERROR(VLOOKUP($D103,SN_UGC,28,0),0),1)</f>
        <v>0</v>
      </c>
      <c r="AI103" s="120">
        <f>$E103*'C2 - Funcionários #'!BI105*IF($C103="Operacional",IFERROR(VLOOKUP($D103,SN_UGC,28,0),0),1)</f>
        <v>0</v>
      </c>
      <c r="AJ103" s="120">
        <f>$E103*'C2 - Funcionários #'!BJ105*IF($C103="Operacional",IFERROR(VLOOKUP($D103,SN_UGC,28,0),0),1)</f>
        <v>0</v>
      </c>
    </row>
    <row r="104" spans="1:36" ht="15.75" customHeight="1">
      <c r="A104" s="521"/>
      <c r="B104" s="51">
        <f>'C1 - Cargos e Salários'!B88</f>
        <v>0</v>
      </c>
      <c r="C104" s="51">
        <f>'C1 - Cargos e Salários'!C88</f>
        <v>0</v>
      </c>
      <c r="D104" s="51">
        <f>'C1 - Cargos e Salários'!D88</f>
        <v>0</v>
      </c>
      <c r="E104" s="118">
        <f>'C1 - Cargos e Salários'!K88</f>
        <v>0</v>
      </c>
      <c r="F104" s="119">
        <f>IF(C104="Operacional",IFERROR(VLOOKUP(D104,ReceitaPorTipo,COLUMN('A1 - Serviços e demanda'!$Z$17),0),0),100%)</f>
        <v>1</v>
      </c>
      <c r="G104" s="120">
        <f>E104*F104*'C2 - Funcionários #'!AG106*IF($C104="Operacional",IFERROR(VLOOKUP($D104,SN_UGC,28,0),0),1)</f>
        <v>0</v>
      </c>
      <c r="H104" s="120">
        <f>$E104*'C2 - Funcionários #'!AH106*IF($C104="Operacional",IFERROR(VLOOKUP($D104,SN_UGC,28,0),0),1)</f>
        <v>0</v>
      </c>
      <c r="I104" s="120">
        <f>$E104*'C2 - Funcionários #'!AI106*IF($C104="Operacional",IFERROR(VLOOKUP($D104,SN_UGC,28,0),0),1)</f>
        <v>0</v>
      </c>
      <c r="J104" s="120">
        <f>$E104*'C2 - Funcionários #'!AJ106*IF($C104="Operacional",IFERROR(VLOOKUP($D104,SN_UGC,28,0),0),1)</f>
        <v>0</v>
      </c>
      <c r="K104" s="120">
        <f>$E104*'C2 - Funcionários #'!AK106*IF($C104="Operacional",IFERROR(VLOOKUP($D104,SN_UGC,28,0),0),1)</f>
        <v>0</v>
      </c>
      <c r="L104" s="120">
        <f>$E104*'C2 - Funcionários #'!AL106*IF($C104="Operacional",IFERROR(VLOOKUP($D104,SN_UGC,28,0),0),1)</f>
        <v>0</v>
      </c>
      <c r="M104" s="120">
        <f>$E104*'C2 - Funcionários #'!AM106*IF($C104="Operacional",IFERROR(VLOOKUP($D104,SN_UGC,28,0),0),1)</f>
        <v>0</v>
      </c>
      <c r="N104" s="120">
        <f>$E104*'C2 - Funcionários #'!AN106*IF($C104="Operacional",IFERROR(VLOOKUP($D104,SN_UGC,28,0),0),1)</f>
        <v>0</v>
      </c>
      <c r="O104" s="120">
        <f>$E104*'C2 - Funcionários #'!AO106*IF($C104="Operacional",IFERROR(VLOOKUP($D104,SN_UGC,28,0),0),1)</f>
        <v>0</v>
      </c>
      <c r="P104" s="120">
        <f>$E104*'C2 - Funcionários #'!AP106*IF($C104="Operacional",IFERROR(VLOOKUP($D104,SN_UGC,28,0),0),1)</f>
        <v>0</v>
      </c>
      <c r="Q104" s="120">
        <f>$E104*'C2 - Funcionários #'!AQ106*IF($C104="Operacional",IFERROR(VLOOKUP($D104,SN_UGC,28,0),0),1)</f>
        <v>0</v>
      </c>
      <c r="R104" s="120">
        <f>$E104*'C2 - Funcionários #'!AR106*IF($C104="Operacional",IFERROR(VLOOKUP($D104,SN_UGC,28,0),0),1)</f>
        <v>0</v>
      </c>
      <c r="S104" s="120">
        <f>$E104*'C2 - Funcionários #'!AS106*IF($C104="Operacional",IFERROR(VLOOKUP($D104,SN_UGC,28,0),0),1)</f>
        <v>0</v>
      </c>
      <c r="T104" s="120">
        <f>$E104*'C2 - Funcionários #'!AT106*IF($C104="Operacional",IFERROR(VLOOKUP($D104,SN_UGC,28,0),0),1)</f>
        <v>0</v>
      </c>
      <c r="U104" s="120">
        <f>$E104*'C2 - Funcionários #'!AU106*IF($C104="Operacional",IFERROR(VLOOKUP($D104,SN_UGC,28,0),0),1)</f>
        <v>0</v>
      </c>
      <c r="V104" s="120">
        <f>$E104*'C2 - Funcionários #'!AV106*IF($C104="Operacional",IFERROR(VLOOKUP($D104,SN_UGC,28,0),0),1)</f>
        <v>0</v>
      </c>
      <c r="W104" s="120">
        <f>$E104*'C2 - Funcionários #'!AW106*IF($C104="Operacional",IFERROR(VLOOKUP($D104,SN_UGC,28,0),0),1)</f>
        <v>0</v>
      </c>
      <c r="X104" s="120">
        <f>$E104*'C2 - Funcionários #'!AX106*IF($C104="Operacional",IFERROR(VLOOKUP($D104,SN_UGC,28,0),0),1)</f>
        <v>0</v>
      </c>
      <c r="Y104" s="120">
        <f>$E104*'C2 - Funcionários #'!AY106*IF($C104="Operacional",IFERROR(VLOOKUP($D104,SN_UGC,28,0),0),1)</f>
        <v>0</v>
      </c>
      <c r="Z104" s="120">
        <f>$E104*'C2 - Funcionários #'!AZ106*IF($C104="Operacional",IFERROR(VLOOKUP($D104,SN_UGC,28,0),0),1)</f>
        <v>0</v>
      </c>
      <c r="AA104" s="120">
        <f>$E104*'C2 - Funcionários #'!BA106*IF($C104="Operacional",IFERROR(VLOOKUP($D104,SN_UGC,28,0),0),1)</f>
        <v>0</v>
      </c>
      <c r="AB104" s="120">
        <f>$E104*'C2 - Funcionários #'!BB106*IF($C104="Operacional",IFERROR(VLOOKUP($D104,SN_UGC,28,0),0),1)</f>
        <v>0</v>
      </c>
      <c r="AC104" s="120">
        <f>$E104*'C2 - Funcionários #'!BC106*IF($C104="Operacional",IFERROR(VLOOKUP($D104,SN_UGC,28,0),0),1)</f>
        <v>0</v>
      </c>
      <c r="AD104" s="120">
        <f>$E104*'C2 - Funcionários #'!BD106*IF($C104="Operacional",IFERROR(VLOOKUP($D104,SN_UGC,28,0),0),1)</f>
        <v>0</v>
      </c>
      <c r="AE104" s="120">
        <f>$E104*'C2 - Funcionários #'!BE106*IF($C104="Operacional",IFERROR(VLOOKUP($D104,SN_UGC,28,0),0),1)</f>
        <v>0</v>
      </c>
      <c r="AF104" s="120">
        <f>$E104*'C2 - Funcionários #'!BF106*IF($C104="Operacional",IFERROR(VLOOKUP($D104,SN_UGC,28,0),0),1)</f>
        <v>0</v>
      </c>
      <c r="AG104" s="120">
        <f>$E104*'C2 - Funcionários #'!BG106*IF($C104="Operacional",IFERROR(VLOOKUP($D104,SN_UGC,28,0),0),1)</f>
        <v>0</v>
      </c>
      <c r="AH104" s="120">
        <f>$E104*'C2 - Funcionários #'!BH106*IF($C104="Operacional",IFERROR(VLOOKUP($D104,SN_UGC,28,0),0),1)</f>
        <v>0</v>
      </c>
      <c r="AI104" s="120">
        <f>$E104*'C2 - Funcionários #'!BI106*IF($C104="Operacional",IFERROR(VLOOKUP($D104,SN_UGC,28,0),0),1)</f>
        <v>0</v>
      </c>
      <c r="AJ104" s="120">
        <f>$E104*'C2 - Funcionários #'!BJ106*IF($C104="Operacional",IFERROR(VLOOKUP($D104,SN_UGC,28,0),0),1)</f>
        <v>0</v>
      </c>
    </row>
    <row r="105" spans="1:36" ht="15.75" customHeight="1">
      <c r="A105" s="521"/>
      <c r="B105" s="51">
        <f>'C1 - Cargos e Salários'!B89</f>
        <v>0</v>
      </c>
      <c r="C105" s="51">
        <f>'C1 - Cargos e Salários'!C89</f>
        <v>0</v>
      </c>
      <c r="D105" s="51">
        <f>'C1 - Cargos e Salários'!D89</f>
        <v>0</v>
      </c>
      <c r="E105" s="118">
        <f>'C1 - Cargos e Salários'!K89</f>
        <v>0</v>
      </c>
      <c r="F105" s="119">
        <f>IF(C105="Operacional",IFERROR(VLOOKUP(D105,ReceitaPorTipo,COLUMN('A1 - Serviços e demanda'!$Z$17),0),0),100%)</f>
        <v>1</v>
      </c>
      <c r="G105" s="120">
        <f>E105*F105*'C2 - Funcionários #'!AG107*IF($C105="Operacional",IFERROR(VLOOKUP($D105,SN_UGC,28,0),0),1)</f>
        <v>0</v>
      </c>
      <c r="H105" s="120">
        <f>$E105*'C2 - Funcionários #'!AH107*IF($C105="Operacional",IFERROR(VLOOKUP($D105,SN_UGC,28,0),0),1)</f>
        <v>0</v>
      </c>
      <c r="I105" s="120">
        <f>$E105*'C2 - Funcionários #'!AI107*IF($C105="Operacional",IFERROR(VLOOKUP($D105,SN_UGC,28,0),0),1)</f>
        <v>0</v>
      </c>
      <c r="J105" s="120">
        <f>$E105*'C2 - Funcionários #'!AJ107*IF($C105="Operacional",IFERROR(VLOOKUP($D105,SN_UGC,28,0),0),1)</f>
        <v>0</v>
      </c>
      <c r="K105" s="120">
        <f>$E105*'C2 - Funcionários #'!AK107*IF($C105="Operacional",IFERROR(VLOOKUP($D105,SN_UGC,28,0),0),1)</f>
        <v>0</v>
      </c>
      <c r="L105" s="120">
        <f>$E105*'C2 - Funcionários #'!AL107*IF($C105="Operacional",IFERROR(VLOOKUP($D105,SN_UGC,28,0),0),1)</f>
        <v>0</v>
      </c>
      <c r="M105" s="120">
        <f>$E105*'C2 - Funcionários #'!AM107*IF($C105="Operacional",IFERROR(VLOOKUP($D105,SN_UGC,28,0),0),1)</f>
        <v>0</v>
      </c>
      <c r="N105" s="120">
        <f>$E105*'C2 - Funcionários #'!AN107*IF($C105="Operacional",IFERROR(VLOOKUP($D105,SN_UGC,28,0),0),1)</f>
        <v>0</v>
      </c>
      <c r="O105" s="120">
        <f>$E105*'C2 - Funcionários #'!AO107*IF($C105="Operacional",IFERROR(VLOOKUP($D105,SN_UGC,28,0),0),1)</f>
        <v>0</v>
      </c>
      <c r="P105" s="120">
        <f>$E105*'C2 - Funcionários #'!AP107*IF($C105="Operacional",IFERROR(VLOOKUP($D105,SN_UGC,28,0),0),1)</f>
        <v>0</v>
      </c>
      <c r="Q105" s="120">
        <f>$E105*'C2 - Funcionários #'!AQ107*IF($C105="Operacional",IFERROR(VLOOKUP($D105,SN_UGC,28,0),0),1)</f>
        <v>0</v>
      </c>
      <c r="R105" s="120">
        <f>$E105*'C2 - Funcionários #'!AR107*IF($C105="Operacional",IFERROR(VLOOKUP($D105,SN_UGC,28,0),0),1)</f>
        <v>0</v>
      </c>
      <c r="S105" s="120">
        <f>$E105*'C2 - Funcionários #'!AS107*IF($C105="Operacional",IFERROR(VLOOKUP($D105,SN_UGC,28,0),0),1)</f>
        <v>0</v>
      </c>
      <c r="T105" s="120">
        <f>$E105*'C2 - Funcionários #'!AT107*IF($C105="Operacional",IFERROR(VLOOKUP($D105,SN_UGC,28,0),0),1)</f>
        <v>0</v>
      </c>
      <c r="U105" s="120">
        <f>$E105*'C2 - Funcionários #'!AU107*IF($C105="Operacional",IFERROR(VLOOKUP($D105,SN_UGC,28,0),0),1)</f>
        <v>0</v>
      </c>
      <c r="V105" s="120">
        <f>$E105*'C2 - Funcionários #'!AV107*IF($C105="Operacional",IFERROR(VLOOKUP($D105,SN_UGC,28,0),0),1)</f>
        <v>0</v>
      </c>
      <c r="W105" s="120">
        <f>$E105*'C2 - Funcionários #'!AW107*IF($C105="Operacional",IFERROR(VLOOKUP($D105,SN_UGC,28,0),0),1)</f>
        <v>0</v>
      </c>
      <c r="X105" s="120">
        <f>$E105*'C2 - Funcionários #'!AX107*IF($C105="Operacional",IFERROR(VLOOKUP($D105,SN_UGC,28,0),0),1)</f>
        <v>0</v>
      </c>
      <c r="Y105" s="120">
        <f>$E105*'C2 - Funcionários #'!AY107*IF($C105="Operacional",IFERROR(VLOOKUP($D105,SN_UGC,28,0),0),1)</f>
        <v>0</v>
      </c>
      <c r="Z105" s="120">
        <f>$E105*'C2 - Funcionários #'!AZ107*IF($C105="Operacional",IFERROR(VLOOKUP($D105,SN_UGC,28,0),0),1)</f>
        <v>0</v>
      </c>
      <c r="AA105" s="120">
        <f>$E105*'C2 - Funcionários #'!BA107*IF($C105="Operacional",IFERROR(VLOOKUP($D105,SN_UGC,28,0),0),1)</f>
        <v>0</v>
      </c>
      <c r="AB105" s="120">
        <f>$E105*'C2 - Funcionários #'!BB107*IF($C105="Operacional",IFERROR(VLOOKUP($D105,SN_UGC,28,0),0),1)</f>
        <v>0</v>
      </c>
      <c r="AC105" s="120">
        <f>$E105*'C2 - Funcionários #'!BC107*IF($C105="Operacional",IFERROR(VLOOKUP($D105,SN_UGC,28,0),0),1)</f>
        <v>0</v>
      </c>
      <c r="AD105" s="120">
        <f>$E105*'C2 - Funcionários #'!BD107*IF($C105="Operacional",IFERROR(VLOOKUP($D105,SN_UGC,28,0),0),1)</f>
        <v>0</v>
      </c>
      <c r="AE105" s="120">
        <f>$E105*'C2 - Funcionários #'!BE107*IF($C105="Operacional",IFERROR(VLOOKUP($D105,SN_UGC,28,0),0),1)</f>
        <v>0</v>
      </c>
      <c r="AF105" s="120">
        <f>$E105*'C2 - Funcionários #'!BF107*IF($C105="Operacional",IFERROR(VLOOKUP($D105,SN_UGC,28,0),0),1)</f>
        <v>0</v>
      </c>
      <c r="AG105" s="120">
        <f>$E105*'C2 - Funcionários #'!BG107*IF($C105="Operacional",IFERROR(VLOOKUP($D105,SN_UGC,28,0),0),1)</f>
        <v>0</v>
      </c>
      <c r="AH105" s="120">
        <f>$E105*'C2 - Funcionários #'!BH107*IF($C105="Operacional",IFERROR(VLOOKUP($D105,SN_UGC,28,0),0),1)</f>
        <v>0</v>
      </c>
      <c r="AI105" s="120">
        <f>$E105*'C2 - Funcionários #'!BI107*IF($C105="Operacional",IFERROR(VLOOKUP($D105,SN_UGC,28,0),0),1)</f>
        <v>0</v>
      </c>
      <c r="AJ105" s="120">
        <f>$E105*'C2 - Funcionários #'!BJ107*IF($C105="Operacional",IFERROR(VLOOKUP($D105,SN_UGC,28,0),0),1)</f>
        <v>0</v>
      </c>
    </row>
    <row r="106" spans="1:36" ht="15.75" customHeight="1">
      <c r="A106" s="521"/>
      <c r="B106" s="51">
        <f>'C1 - Cargos e Salários'!B90</f>
        <v>0</v>
      </c>
      <c r="C106" s="51">
        <f>'C1 - Cargos e Salários'!C90</f>
        <v>0</v>
      </c>
      <c r="D106" s="51">
        <f>'C1 - Cargos e Salários'!D90</f>
        <v>0</v>
      </c>
      <c r="E106" s="118">
        <f>'C1 - Cargos e Salários'!K90</f>
        <v>0</v>
      </c>
      <c r="F106" s="119">
        <f>IF(C106="Operacional",IFERROR(VLOOKUP(D106,ReceitaPorTipo,COLUMN('A1 - Serviços e demanda'!$Z$17),0),0),100%)</f>
        <v>1</v>
      </c>
      <c r="G106" s="120">
        <f>E106*F106*'C2 - Funcionários #'!AG108*IF($C106="Operacional",IFERROR(VLOOKUP($D106,SN_UGC,28,0),0),1)</f>
        <v>0</v>
      </c>
      <c r="H106" s="120">
        <f>$E106*'C2 - Funcionários #'!AH108*IF($C106="Operacional",IFERROR(VLOOKUP($D106,SN_UGC,28,0),0),1)</f>
        <v>0</v>
      </c>
      <c r="I106" s="120">
        <f>$E106*'C2 - Funcionários #'!AI108*IF($C106="Operacional",IFERROR(VLOOKUP($D106,SN_UGC,28,0),0),1)</f>
        <v>0</v>
      </c>
      <c r="J106" s="120">
        <f>$E106*'C2 - Funcionários #'!AJ108*IF($C106="Operacional",IFERROR(VLOOKUP($D106,SN_UGC,28,0),0),1)</f>
        <v>0</v>
      </c>
      <c r="K106" s="120">
        <f>$E106*'C2 - Funcionários #'!AK108*IF($C106="Operacional",IFERROR(VLOOKUP($D106,SN_UGC,28,0),0),1)</f>
        <v>0</v>
      </c>
      <c r="L106" s="120">
        <f>$E106*'C2 - Funcionários #'!AL108*IF($C106="Operacional",IFERROR(VLOOKUP($D106,SN_UGC,28,0),0),1)</f>
        <v>0</v>
      </c>
      <c r="M106" s="120">
        <f>$E106*'C2 - Funcionários #'!AM108*IF($C106="Operacional",IFERROR(VLOOKUP($D106,SN_UGC,28,0),0),1)</f>
        <v>0</v>
      </c>
      <c r="N106" s="120">
        <f>$E106*'C2 - Funcionários #'!AN108*IF($C106="Operacional",IFERROR(VLOOKUP($D106,SN_UGC,28,0),0),1)</f>
        <v>0</v>
      </c>
      <c r="O106" s="120">
        <f>$E106*'C2 - Funcionários #'!AO108*IF($C106="Operacional",IFERROR(VLOOKUP($D106,SN_UGC,28,0),0),1)</f>
        <v>0</v>
      </c>
      <c r="P106" s="120">
        <f>$E106*'C2 - Funcionários #'!AP108*IF($C106="Operacional",IFERROR(VLOOKUP($D106,SN_UGC,28,0),0),1)</f>
        <v>0</v>
      </c>
      <c r="Q106" s="120">
        <f>$E106*'C2 - Funcionários #'!AQ108*IF($C106="Operacional",IFERROR(VLOOKUP($D106,SN_UGC,28,0),0),1)</f>
        <v>0</v>
      </c>
      <c r="R106" s="120">
        <f>$E106*'C2 - Funcionários #'!AR108*IF($C106="Operacional",IFERROR(VLOOKUP($D106,SN_UGC,28,0),0),1)</f>
        <v>0</v>
      </c>
      <c r="S106" s="120">
        <f>$E106*'C2 - Funcionários #'!AS108*IF($C106="Operacional",IFERROR(VLOOKUP($D106,SN_UGC,28,0),0),1)</f>
        <v>0</v>
      </c>
      <c r="T106" s="120">
        <f>$E106*'C2 - Funcionários #'!AT108*IF($C106="Operacional",IFERROR(VLOOKUP($D106,SN_UGC,28,0),0),1)</f>
        <v>0</v>
      </c>
      <c r="U106" s="120">
        <f>$E106*'C2 - Funcionários #'!AU108*IF($C106="Operacional",IFERROR(VLOOKUP($D106,SN_UGC,28,0),0),1)</f>
        <v>0</v>
      </c>
      <c r="V106" s="120">
        <f>$E106*'C2 - Funcionários #'!AV108*IF($C106="Operacional",IFERROR(VLOOKUP($D106,SN_UGC,28,0),0),1)</f>
        <v>0</v>
      </c>
      <c r="W106" s="120">
        <f>$E106*'C2 - Funcionários #'!AW108*IF($C106="Operacional",IFERROR(VLOOKUP($D106,SN_UGC,28,0),0),1)</f>
        <v>0</v>
      </c>
      <c r="X106" s="120">
        <f>$E106*'C2 - Funcionários #'!AX108*IF($C106="Operacional",IFERROR(VLOOKUP($D106,SN_UGC,28,0),0),1)</f>
        <v>0</v>
      </c>
      <c r="Y106" s="120">
        <f>$E106*'C2 - Funcionários #'!AY108*IF($C106="Operacional",IFERROR(VLOOKUP($D106,SN_UGC,28,0),0),1)</f>
        <v>0</v>
      </c>
      <c r="Z106" s="120">
        <f>$E106*'C2 - Funcionários #'!AZ108*IF($C106="Operacional",IFERROR(VLOOKUP($D106,SN_UGC,28,0),0),1)</f>
        <v>0</v>
      </c>
      <c r="AA106" s="120">
        <f>$E106*'C2 - Funcionários #'!BA108*IF($C106="Operacional",IFERROR(VLOOKUP($D106,SN_UGC,28,0),0),1)</f>
        <v>0</v>
      </c>
      <c r="AB106" s="120">
        <f>$E106*'C2 - Funcionários #'!BB108*IF($C106="Operacional",IFERROR(VLOOKUP($D106,SN_UGC,28,0),0),1)</f>
        <v>0</v>
      </c>
      <c r="AC106" s="120">
        <f>$E106*'C2 - Funcionários #'!BC108*IF($C106="Operacional",IFERROR(VLOOKUP($D106,SN_UGC,28,0),0),1)</f>
        <v>0</v>
      </c>
      <c r="AD106" s="120">
        <f>$E106*'C2 - Funcionários #'!BD108*IF($C106="Operacional",IFERROR(VLOOKUP($D106,SN_UGC,28,0),0),1)</f>
        <v>0</v>
      </c>
      <c r="AE106" s="120">
        <f>$E106*'C2 - Funcionários #'!BE108*IF($C106="Operacional",IFERROR(VLOOKUP($D106,SN_UGC,28,0),0),1)</f>
        <v>0</v>
      </c>
      <c r="AF106" s="120">
        <f>$E106*'C2 - Funcionários #'!BF108*IF($C106="Operacional",IFERROR(VLOOKUP($D106,SN_UGC,28,0),0),1)</f>
        <v>0</v>
      </c>
      <c r="AG106" s="120">
        <f>$E106*'C2 - Funcionários #'!BG108*IF($C106="Operacional",IFERROR(VLOOKUP($D106,SN_UGC,28,0),0),1)</f>
        <v>0</v>
      </c>
      <c r="AH106" s="120">
        <f>$E106*'C2 - Funcionários #'!BH108*IF($C106="Operacional",IFERROR(VLOOKUP($D106,SN_UGC,28,0),0),1)</f>
        <v>0</v>
      </c>
      <c r="AI106" s="120">
        <f>$E106*'C2 - Funcionários #'!BI108*IF($C106="Operacional",IFERROR(VLOOKUP($D106,SN_UGC,28,0),0),1)</f>
        <v>0</v>
      </c>
      <c r="AJ106" s="120">
        <f>$E106*'C2 - Funcionários #'!BJ108*IF($C106="Operacional",IFERROR(VLOOKUP($D106,SN_UGC,28,0),0),1)</f>
        <v>0</v>
      </c>
    </row>
    <row r="107" spans="1:36" ht="15.75" customHeight="1">
      <c r="A107" s="521"/>
      <c r="B107" s="51">
        <f>'C1 - Cargos e Salários'!B91</f>
        <v>0</v>
      </c>
      <c r="C107" s="51">
        <f>'C1 - Cargos e Salários'!C91</f>
        <v>0</v>
      </c>
      <c r="D107" s="51">
        <f>'C1 - Cargos e Salários'!D91</f>
        <v>0</v>
      </c>
      <c r="E107" s="118">
        <f>'C1 - Cargos e Salários'!K91</f>
        <v>0</v>
      </c>
      <c r="F107" s="119">
        <f>IF(C107="Operacional",IFERROR(VLOOKUP(D107,ReceitaPorTipo,COLUMN('A1 - Serviços e demanda'!$Z$17),0),0),100%)</f>
        <v>1</v>
      </c>
      <c r="G107" s="120">
        <f>E107*F107*'C2 - Funcionários #'!AG109*IF($C107="Operacional",IFERROR(VLOOKUP($D107,SN_UGC,28,0),0),1)</f>
        <v>0</v>
      </c>
      <c r="H107" s="120">
        <f>$E107*'C2 - Funcionários #'!AH109*IF($C107="Operacional",IFERROR(VLOOKUP($D107,SN_UGC,28,0),0),1)</f>
        <v>0</v>
      </c>
      <c r="I107" s="120">
        <f>$E107*'C2 - Funcionários #'!AI109*IF($C107="Operacional",IFERROR(VLOOKUP($D107,SN_UGC,28,0),0),1)</f>
        <v>0</v>
      </c>
      <c r="J107" s="120">
        <f>$E107*'C2 - Funcionários #'!AJ109*IF($C107="Operacional",IFERROR(VLOOKUP($D107,SN_UGC,28,0),0),1)</f>
        <v>0</v>
      </c>
      <c r="K107" s="120">
        <f>$E107*'C2 - Funcionários #'!AK109*IF($C107="Operacional",IFERROR(VLOOKUP($D107,SN_UGC,28,0),0),1)</f>
        <v>0</v>
      </c>
      <c r="L107" s="120">
        <f>$E107*'C2 - Funcionários #'!AL109*IF($C107="Operacional",IFERROR(VLOOKUP($D107,SN_UGC,28,0),0),1)</f>
        <v>0</v>
      </c>
      <c r="M107" s="120">
        <f>$E107*'C2 - Funcionários #'!AM109*IF($C107="Operacional",IFERROR(VLOOKUP($D107,SN_UGC,28,0),0),1)</f>
        <v>0</v>
      </c>
      <c r="N107" s="120">
        <f>$E107*'C2 - Funcionários #'!AN109*IF($C107="Operacional",IFERROR(VLOOKUP($D107,SN_UGC,28,0),0),1)</f>
        <v>0</v>
      </c>
      <c r="O107" s="120">
        <f>$E107*'C2 - Funcionários #'!AO109*IF($C107="Operacional",IFERROR(VLOOKUP($D107,SN_UGC,28,0),0),1)</f>
        <v>0</v>
      </c>
      <c r="P107" s="120">
        <f>$E107*'C2 - Funcionários #'!AP109*IF($C107="Operacional",IFERROR(VLOOKUP($D107,SN_UGC,28,0),0),1)</f>
        <v>0</v>
      </c>
      <c r="Q107" s="120">
        <f>$E107*'C2 - Funcionários #'!AQ109*IF($C107="Operacional",IFERROR(VLOOKUP($D107,SN_UGC,28,0),0),1)</f>
        <v>0</v>
      </c>
      <c r="R107" s="120">
        <f>$E107*'C2 - Funcionários #'!AR109*IF($C107="Operacional",IFERROR(VLOOKUP($D107,SN_UGC,28,0),0),1)</f>
        <v>0</v>
      </c>
      <c r="S107" s="120">
        <f>$E107*'C2 - Funcionários #'!AS109*IF($C107="Operacional",IFERROR(VLOOKUP($D107,SN_UGC,28,0),0),1)</f>
        <v>0</v>
      </c>
      <c r="T107" s="120">
        <f>$E107*'C2 - Funcionários #'!AT109*IF($C107="Operacional",IFERROR(VLOOKUP($D107,SN_UGC,28,0),0),1)</f>
        <v>0</v>
      </c>
      <c r="U107" s="120">
        <f>$E107*'C2 - Funcionários #'!AU109*IF($C107="Operacional",IFERROR(VLOOKUP($D107,SN_UGC,28,0),0),1)</f>
        <v>0</v>
      </c>
      <c r="V107" s="120">
        <f>$E107*'C2 - Funcionários #'!AV109*IF($C107="Operacional",IFERROR(VLOOKUP($D107,SN_UGC,28,0),0),1)</f>
        <v>0</v>
      </c>
      <c r="W107" s="120">
        <f>$E107*'C2 - Funcionários #'!AW109*IF($C107="Operacional",IFERROR(VLOOKUP($D107,SN_UGC,28,0),0),1)</f>
        <v>0</v>
      </c>
      <c r="X107" s="120">
        <f>$E107*'C2 - Funcionários #'!AX109*IF($C107="Operacional",IFERROR(VLOOKUP($D107,SN_UGC,28,0),0),1)</f>
        <v>0</v>
      </c>
      <c r="Y107" s="120">
        <f>$E107*'C2 - Funcionários #'!AY109*IF($C107="Operacional",IFERROR(VLOOKUP($D107,SN_UGC,28,0),0),1)</f>
        <v>0</v>
      </c>
      <c r="Z107" s="120">
        <f>$E107*'C2 - Funcionários #'!AZ109*IF($C107="Operacional",IFERROR(VLOOKUP($D107,SN_UGC,28,0),0),1)</f>
        <v>0</v>
      </c>
      <c r="AA107" s="120">
        <f>$E107*'C2 - Funcionários #'!BA109*IF($C107="Operacional",IFERROR(VLOOKUP($D107,SN_UGC,28,0),0),1)</f>
        <v>0</v>
      </c>
      <c r="AB107" s="120">
        <f>$E107*'C2 - Funcionários #'!BB109*IF($C107="Operacional",IFERROR(VLOOKUP($D107,SN_UGC,28,0),0),1)</f>
        <v>0</v>
      </c>
      <c r="AC107" s="120">
        <f>$E107*'C2 - Funcionários #'!BC109*IF($C107="Operacional",IFERROR(VLOOKUP($D107,SN_UGC,28,0),0),1)</f>
        <v>0</v>
      </c>
      <c r="AD107" s="120">
        <f>$E107*'C2 - Funcionários #'!BD109*IF($C107="Operacional",IFERROR(VLOOKUP($D107,SN_UGC,28,0),0),1)</f>
        <v>0</v>
      </c>
      <c r="AE107" s="120">
        <f>$E107*'C2 - Funcionários #'!BE109*IF($C107="Operacional",IFERROR(VLOOKUP($D107,SN_UGC,28,0),0),1)</f>
        <v>0</v>
      </c>
      <c r="AF107" s="120">
        <f>$E107*'C2 - Funcionários #'!BF109*IF($C107="Operacional",IFERROR(VLOOKUP($D107,SN_UGC,28,0),0),1)</f>
        <v>0</v>
      </c>
      <c r="AG107" s="120">
        <f>$E107*'C2 - Funcionários #'!BG109*IF($C107="Operacional",IFERROR(VLOOKUP($D107,SN_UGC,28,0),0),1)</f>
        <v>0</v>
      </c>
      <c r="AH107" s="120">
        <f>$E107*'C2 - Funcionários #'!BH109*IF($C107="Operacional",IFERROR(VLOOKUP($D107,SN_UGC,28,0),0),1)</f>
        <v>0</v>
      </c>
      <c r="AI107" s="120">
        <f>$E107*'C2 - Funcionários #'!BI109*IF($C107="Operacional",IFERROR(VLOOKUP($D107,SN_UGC,28,0),0),1)</f>
        <v>0</v>
      </c>
      <c r="AJ107" s="120">
        <f>$E107*'C2 - Funcionários #'!BJ109*IF($C107="Operacional",IFERROR(VLOOKUP($D107,SN_UGC,28,0),0),1)</f>
        <v>0</v>
      </c>
    </row>
    <row r="108" spans="1:36" ht="15.75" customHeight="1">
      <c r="A108" s="521"/>
      <c r="B108" s="51">
        <f>'C1 - Cargos e Salários'!B92</f>
        <v>0</v>
      </c>
      <c r="C108" s="51">
        <f>'C1 - Cargos e Salários'!C92</f>
        <v>0</v>
      </c>
      <c r="D108" s="51">
        <f>'C1 - Cargos e Salários'!D92</f>
        <v>0</v>
      </c>
      <c r="E108" s="118">
        <f>'C1 - Cargos e Salários'!K92</f>
        <v>0</v>
      </c>
      <c r="F108" s="119">
        <f>IF(C108="Operacional",IFERROR(VLOOKUP(D108,ReceitaPorTipo,COLUMN('A1 - Serviços e demanda'!$Z$17),0),0),100%)</f>
        <v>1</v>
      </c>
      <c r="G108" s="120">
        <f>E108*F108*'C2 - Funcionários #'!AG110*IF($C108="Operacional",IFERROR(VLOOKUP($D108,SN_UGC,28,0),0),1)</f>
        <v>0</v>
      </c>
      <c r="H108" s="120">
        <f>$E108*'C2 - Funcionários #'!AH110*IF($C108="Operacional",IFERROR(VLOOKUP($D108,SN_UGC,28,0),0),1)</f>
        <v>0</v>
      </c>
      <c r="I108" s="120">
        <f>$E108*'C2 - Funcionários #'!AI110*IF($C108="Operacional",IFERROR(VLOOKUP($D108,SN_UGC,28,0),0),1)</f>
        <v>0</v>
      </c>
      <c r="J108" s="120">
        <f>$E108*'C2 - Funcionários #'!AJ110*IF($C108="Operacional",IFERROR(VLOOKUP($D108,SN_UGC,28,0),0),1)</f>
        <v>0</v>
      </c>
      <c r="K108" s="120">
        <f>$E108*'C2 - Funcionários #'!AK110*IF($C108="Operacional",IFERROR(VLOOKUP($D108,SN_UGC,28,0),0),1)</f>
        <v>0</v>
      </c>
      <c r="L108" s="120">
        <f>$E108*'C2 - Funcionários #'!AL110*IF($C108="Operacional",IFERROR(VLOOKUP($D108,SN_UGC,28,0),0),1)</f>
        <v>0</v>
      </c>
      <c r="M108" s="120">
        <f>$E108*'C2 - Funcionários #'!AM110*IF($C108="Operacional",IFERROR(VLOOKUP($D108,SN_UGC,28,0),0),1)</f>
        <v>0</v>
      </c>
      <c r="N108" s="120">
        <f>$E108*'C2 - Funcionários #'!AN110*IF($C108="Operacional",IFERROR(VLOOKUP($D108,SN_UGC,28,0),0),1)</f>
        <v>0</v>
      </c>
      <c r="O108" s="120">
        <f>$E108*'C2 - Funcionários #'!AO110*IF($C108="Operacional",IFERROR(VLOOKUP($D108,SN_UGC,28,0),0),1)</f>
        <v>0</v>
      </c>
      <c r="P108" s="120">
        <f>$E108*'C2 - Funcionários #'!AP110*IF($C108="Operacional",IFERROR(VLOOKUP($D108,SN_UGC,28,0),0),1)</f>
        <v>0</v>
      </c>
      <c r="Q108" s="120">
        <f>$E108*'C2 - Funcionários #'!AQ110*IF($C108="Operacional",IFERROR(VLOOKUP($D108,SN_UGC,28,0),0),1)</f>
        <v>0</v>
      </c>
      <c r="R108" s="120">
        <f>$E108*'C2 - Funcionários #'!AR110*IF($C108="Operacional",IFERROR(VLOOKUP($D108,SN_UGC,28,0),0),1)</f>
        <v>0</v>
      </c>
      <c r="S108" s="120">
        <f>$E108*'C2 - Funcionários #'!AS110*IF($C108="Operacional",IFERROR(VLOOKUP($D108,SN_UGC,28,0),0),1)</f>
        <v>0</v>
      </c>
      <c r="T108" s="120">
        <f>$E108*'C2 - Funcionários #'!AT110*IF($C108="Operacional",IFERROR(VLOOKUP($D108,SN_UGC,28,0),0),1)</f>
        <v>0</v>
      </c>
      <c r="U108" s="120">
        <f>$E108*'C2 - Funcionários #'!AU110*IF($C108="Operacional",IFERROR(VLOOKUP($D108,SN_UGC,28,0),0),1)</f>
        <v>0</v>
      </c>
      <c r="V108" s="120">
        <f>$E108*'C2 - Funcionários #'!AV110*IF($C108="Operacional",IFERROR(VLOOKUP($D108,SN_UGC,28,0),0),1)</f>
        <v>0</v>
      </c>
      <c r="W108" s="120">
        <f>$E108*'C2 - Funcionários #'!AW110*IF($C108="Operacional",IFERROR(VLOOKUP($D108,SN_UGC,28,0),0),1)</f>
        <v>0</v>
      </c>
      <c r="X108" s="120">
        <f>$E108*'C2 - Funcionários #'!AX110*IF($C108="Operacional",IFERROR(VLOOKUP($D108,SN_UGC,28,0),0),1)</f>
        <v>0</v>
      </c>
      <c r="Y108" s="120">
        <f>$E108*'C2 - Funcionários #'!AY110*IF($C108="Operacional",IFERROR(VLOOKUP($D108,SN_UGC,28,0),0),1)</f>
        <v>0</v>
      </c>
      <c r="Z108" s="120">
        <f>$E108*'C2 - Funcionários #'!AZ110*IF($C108="Operacional",IFERROR(VLOOKUP($D108,SN_UGC,28,0),0),1)</f>
        <v>0</v>
      </c>
      <c r="AA108" s="120">
        <f>$E108*'C2 - Funcionários #'!BA110*IF($C108="Operacional",IFERROR(VLOOKUP($D108,SN_UGC,28,0),0),1)</f>
        <v>0</v>
      </c>
      <c r="AB108" s="120">
        <f>$E108*'C2 - Funcionários #'!BB110*IF($C108="Operacional",IFERROR(VLOOKUP($D108,SN_UGC,28,0),0),1)</f>
        <v>0</v>
      </c>
      <c r="AC108" s="120">
        <f>$E108*'C2 - Funcionários #'!BC110*IF($C108="Operacional",IFERROR(VLOOKUP($D108,SN_UGC,28,0),0),1)</f>
        <v>0</v>
      </c>
      <c r="AD108" s="120">
        <f>$E108*'C2 - Funcionários #'!BD110*IF($C108="Operacional",IFERROR(VLOOKUP($D108,SN_UGC,28,0),0),1)</f>
        <v>0</v>
      </c>
      <c r="AE108" s="120">
        <f>$E108*'C2 - Funcionários #'!BE110*IF($C108="Operacional",IFERROR(VLOOKUP($D108,SN_UGC,28,0),0),1)</f>
        <v>0</v>
      </c>
      <c r="AF108" s="120">
        <f>$E108*'C2 - Funcionários #'!BF110*IF($C108="Operacional",IFERROR(VLOOKUP($D108,SN_UGC,28,0),0),1)</f>
        <v>0</v>
      </c>
      <c r="AG108" s="120">
        <f>$E108*'C2 - Funcionários #'!BG110*IF($C108="Operacional",IFERROR(VLOOKUP($D108,SN_UGC,28,0),0),1)</f>
        <v>0</v>
      </c>
      <c r="AH108" s="120">
        <f>$E108*'C2 - Funcionários #'!BH110*IF($C108="Operacional",IFERROR(VLOOKUP($D108,SN_UGC,28,0),0),1)</f>
        <v>0</v>
      </c>
      <c r="AI108" s="120">
        <f>$E108*'C2 - Funcionários #'!BI110*IF($C108="Operacional",IFERROR(VLOOKUP($D108,SN_UGC,28,0),0),1)</f>
        <v>0</v>
      </c>
      <c r="AJ108" s="120">
        <f>$E108*'C2 - Funcionários #'!BJ110*IF($C108="Operacional",IFERROR(VLOOKUP($D108,SN_UGC,28,0),0),1)</f>
        <v>0</v>
      </c>
    </row>
    <row r="109" spans="1:36" ht="15.75" customHeight="1">
      <c r="A109" s="521"/>
      <c r="B109" s="51">
        <f>'C1 - Cargos e Salários'!B93</f>
        <v>0</v>
      </c>
      <c r="C109" s="51">
        <f>'C1 - Cargos e Salários'!C93</f>
        <v>0</v>
      </c>
      <c r="D109" s="51">
        <f>'C1 - Cargos e Salários'!D93</f>
        <v>0</v>
      </c>
      <c r="E109" s="118">
        <f>'C1 - Cargos e Salários'!K93</f>
        <v>0</v>
      </c>
      <c r="F109" s="119">
        <f>IF(C109="Operacional",IFERROR(VLOOKUP(D109,ReceitaPorTipo,COLUMN('A1 - Serviços e demanda'!$Z$17),0),0),100%)</f>
        <v>1</v>
      </c>
      <c r="G109" s="120">
        <f>E109*F109*'C2 - Funcionários #'!AG111*IF($C109="Operacional",IFERROR(VLOOKUP($D109,SN_UGC,28,0),0),1)</f>
        <v>0</v>
      </c>
      <c r="H109" s="120">
        <f>$E109*'C2 - Funcionários #'!AH111*IF($C109="Operacional",IFERROR(VLOOKUP($D109,SN_UGC,28,0),0),1)</f>
        <v>0</v>
      </c>
      <c r="I109" s="120">
        <f>$E109*'C2 - Funcionários #'!AI111*IF($C109="Operacional",IFERROR(VLOOKUP($D109,SN_UGC,28,0),0),1)</f>
        <v>0</v>
      </c>
      <c r="J109" s="120">
        <f>$E109*'C2 - Funcionários #'!AJ111*IF($C109="Operacional",IFERROR(VLOOKUP($D109,SN_UGC,28,0),0),1)</f>
        <v>0</v>
      </c>
      <c r="K109" s="120">
        <f>$E109*'C2 - Funcionários #'!AK111*IF($C109="Operacional",IFERROR(VLOOKUP($D109,SN_UGC,28,0),0),1)</f>
        <v>0</v>
      </c>
      <c r="L109" s="120">
        <f>$E109*'C2 - Funcionários #'!AL111*IF($C109="Operacional",IFERROR(VLOOKUP($D109,SN_UGC,28,0),0),1)</f>
        <v>0</v>
      </c>
      <c r="M109" s="120">
        <f>$E109*'C2 - Funcionários #'!AM111*IF($C109="Operacional",IFERROR(VLOOKUP($D109,SN_UGC,28,0),0),1)</f>
        <v>0</v>
      </c>
      <c r="N109" s="120">
        <f>$E109*'C2 - Funcionários #'!AN111*IF($C109="Operacional",IFERROR(VLOOKUP($D109,SN_UGC,28,0),0),1)</f>
        <v>0</v>
      </c>
      <c r="O109" s="120">
        <f>$E109*'C2 - Funcionários #'!AO111*IF($C109="Operacional",IFERROR(VLOOKUP($D109,SN_UGC,28,0),0),1)</f>
        <v>0</v>
      </c>
      <c r="P109" s="120">
        <f>$E109*'C2 - Funcionários #'!AP111*IF($C109="Operacional",IFERROR(VLOOKUP($D109,SN_UGC,28,0),0),1)</f>
        <v>0</v>
      </c>
      <c r="Q109" s="120">
        <f>$E109*'C2 - Funcionários #'!AQ111*IF($C109="Operacional",IFERROR(VLOOKUP($D109,SN_UGC,28,0),0),1)</f>
        <v>0</v>
      </c>
      <c r="R109" s="120">
        <f>$E109*'C2 - Funcionários #'!AR111*IF($C109="Operacional",IFERROR(VLOOKUP($D109,SN_UGC,28,0),0),1)</f>
        <v>0</v>
      </c>
      <c r="S109" s="120">
        <f>$E109*'C2 - Funcionários #'!AS111*IF($C109="Operacional",IFERROR(VLOOKUP($D109,SN_UGC,28,0),0),1)</f>
        <v>0</v>
      </c>
      <c r="T109" s="120">
        <f>$E109*'C2 - Funcionários #'!AT111*IF($C109="Operacional",IFERROR(VLOOKUP($D109,SN_UGC,28,0),0),1)</f>
        <v>0</v>
      </c>
      <c r="U109" s="120">
        <f>$E109*'C2 - Funcionários #'!AU111*IF($C109="Operacional",IFERROR(VLOOKUP($D109,SN_UGC,28,0),0),1)</f>
        <v>0</v>
      </c>
      <c r="V109" s="120">
        <f>$E109*'C2 - Funcionários #'!AV111*IF($C109="Operacional",IFERROR(VLOOKUP($D109,SN_UGC,28,0),0),1)</f>
        <v>0</v>
      </c>
      <c r="W109" s="120">
        <f>$E109*'C2 - Funcionários #'!AW111*IF($C109="Operacional",IFERROR(VLOOKUP($D109,SN_UGC,28,0),0),1)</f>
        <v>0</v>
      </c>
      <c r="X109" s="120">
        <f>$E109*'C2 - Funcionários #'!AX111*IF($C109="Operacional",IFERROR(VLOOKUP($D109,SN_UGC,28,0),0),1)</f>
        <v>0</v>
      </c>
      <c r="Y109" s="120">
        <f>$E109*'C2 - Funcionários #'!AY111*IF($C109="Operacional",IFERROR(VLOOKUP($D109,SN_UGC,28,0),0),1)</f>
        <v>0</v>
      </c>
      <c r="Z109" s="120">
        <f>$E109*'C2 - Funcionários #'!AZ111*IF($C109="Operacional",IFERROR(VLOOKUP($D109,SN_UGC,28,0),0),1)</f>
        <v>0</v>
      </c>
      <c r="AA109" s="120">
        <f>$E109*'C2 - Funcionários #'!BA111*IF($C109="Operacional",IFERROR(VLOOKUP($D109,SN_UGC,28,0),0),1)</f>
        <v>0</v>
      </c>
      <c r="AB109" s="120">
        <f>$E109*'C2 - Funcionários #'!BB111*IF($C109="Operacional",IFERROR(VLOOKUP($D109,SN_UGC,28,0),0),1)</f>
        <v>0</v>
      </c>
      <c r="AC109" s="120">
        <f>$E109*'C2 - Funcionários #'!BC111*IF($C109="Operacional",IFERROR(VLOOKUP($D109,SN_UGC,28,0),0),1)</f>
        <v>0</v>
      </c>
      <c r="AD109" s="120">
        <f>$E109*'C2 - Funcionários #'!BD111*IF($C109="Operacional",IFERROR(VLOOKUP($D109,SN_UGC,28,0),0),1)</f>
        <v>0</v>
      </c>
      <c r="AE109" s="120">
        <f>$E109*'C2 - Funcionários #'!BE111*IF($C109="Operacional",IFERROR(VLOOKUP($D109,SN_UGC,28,0),0),1)</f>
        <v>0</v>
      </c>
      <c r="AF109" s="120">
        <f>$E109*'C2 - Funcionários #'!BF111*IF($C109="Operacional",IFERROR(VLOOKUP($D109,SN_UGC,28,0),0),1)</f>
        <v>0</v>
      </c>
      <c r="AG109" s="120">
        <f>$E109*'C2 - Funcionários #'!BG111*IF($C109="Operacional",IFERROR(VLOOKUP($D109,SN_UGC,28,0),0),1)</f>
        <v>0</v>
      </c>
      <c r="AH109" s="120">
        <f>$E109*'C2 - Funcionários #'!BH111*IF($C109="Operacional",IFERROR(VLOOKUP($D109,SN_UGC,28,0),0),1)</f>
        <v>0</v>
      </c>
      <c r="AI109" s="120">
        <f>$E109*'C2 - Funcionários #'!BI111*IF($C109="Operacional",IFERROR(VLOOKUP($D109,SN_UGC,28,0),0),1)</f>
        <v>0</v>
      </c>
      <c r="AJ109" s="120">
        <f>$E109*'C2 - Funcionários #'!BJ111*IF($C109="Operacional",IFERROR(VLOOKUP($D109,SN_UGC,28,0),0),1)</f>
        <v>0</v>
      </c>
    </row>
    <row r="110" spans="1:36" ht="15.75" customHeight="1">
      <c r="A110" s="521"/>
      <c r="B110" s="51">
        <f>'C1 - Cargos e Salários'!B94</f>
        <v>0</v>
      </c>
      <c r="C110" s="51">
        <f>'C1 - Cargos e Salários'!C94</f>
        <v>0</v>
      </c>
      <c r="D110" s="51">
        <f>'C1 - Cargos e Salários'!D94</f>
        <v>0</v>
      </c>
      <c r="E110" s="118">
        <f>'C1 - Cargos e Salários'!K94</f>
        <v>0</v>
      </c>
      <c r="F110" s="119">
        <f>IF(C110="Operacional",IFERROR(VLOOKUP(D110,ReceitaPorTipo,COLUMN('A1 - Serviços e demanda'!$Z$17),0),0),100%)</f>
        <v>1</v>
      </c>
      <c r="G110" s="120">
        <f>E110*F110*'C2 - Funcionários #'!AG112*IF($C110="Operacional",IFERROR(VLOOKUP($D110,SN_UGC,28,0),0),1)</f>
        <v>0</v>
      </c>
      <c r="H110" s="120">
        <f>$E110*'C2 - Funcionários #'!AH112*IF($C110="Operacional",IFERROR(VLOOKUP($D110,SN_UGC,28,0),0),1)</f>
        <v>0</v>
      </c>
      <c r="I110" s="120">
        <f>$E110*'C2 - Funcionários #'!AI112*IF($C110="Operacional",IFERROR(VLOOKUP($D110,SN_UGC,28,0),0),1)</f>
        <v>0</v>
      </c>
      <c r="J110" s="120">
        <f>$E110*'C2 - Funcionários #'!AJ112*IF($C110="Operacional",IFERROR(VLOOKUP($D110,SN_UGC,28,0),0),1)</f>
        <v>0</v>
      </c>
      <c r="K110" s="120">
        <f>$E110*'C2 - Funcionários #'!AK112*IF($C110="Operacional",IFERROR(VLOOKUP($D110,SN_UGC,28,0),0),1)</f>
        <v>0</v>
      </c>
      <c r="L110" s="120">
        <f>$E110*'C2 - Funcionários #'!AL112*IF($C110="Operacional",IFERROR(VLOOKUP($D110,SN_UGC,28,0),0),1)</f>
        <v>0</v>
      </c>
      <c r="M110" s="120">
        <f>$E110*'C2 - Funcionários #'!AM112*IF($C110="Operacional",IFERROR(VLOOKUP($D110,SN_UGC,28,0),0),1)</f>
        <v>0</v>
      </c>
      <c r="N110" s="120">
        <f>$E110*'C2 - Funcionários #'!AN112*IF($C110="Operacional",IFERROR(VLOOKUP($D110,SN_UGC,28,0),0),1)</f>
        <v>0</v>
      </c>
      <c r="O110" s="120">
        <f>$E110*'C2 - Funcionários #'!AO112*IF($C110="Operacional",IFERROR(VLOOKUP($D110,SN_UGC,28,0),0),1)</f>
        <v>0</v>
      </c>
      <c r="P110" s="120">
        <f>$E110*'C2 - Funcionários #'!AP112*IF($C110="Operacional",IFERROR(VLOOKUP($D110,SN_UGC,28,0),0),1)</f>
        <v>0</v>
      </c>
      <c r="Q110" s="120">
        <f>$E110*'C2 - Funcionários #'!AQ112*IF($C110="Operacional",IFERROR(VLOOKUP($D110,SN_UGC,28,0),0),1)</f>
        <v>0</v>
      </c>
      <c r="R110" s="120">
        <f>$E110*'C2 - Funcionários #'!AR112*IF($C110="Operacional",IFERROR(VLOOKUP($D110,SN_UGC,28,0),0),1)</f>
        <v>0</v>
      </c>
      <c r="S110" s="120">
        <f>$E110*'C2 - Funcionários #'!AS112*IF($C110="Operacional",IFERROR(VLOOKUP($D110,SN_UGC,28,0),0),1)</f>
        <v>0</v>
      </c>
      <c r="T110" s="120">
        <f>$E110*'C2 - Funcionários #'!AT112*IF($C110="Operacional",IFERROR(VLOOKUP($D110,SN_UGC,28,0),0),1)</f>
        <v>0</v>
      </c>
      <c r="U110" s="120">
        <f>$E110*'C2 - Funcionários #'!AU112*IF($C110="Operacional",IFERROR(VLOOKUP($D110,SN_UGC,28,0),0),1)</f>
        <v>0</v>
      </c>
      <c r="V110" s="120">
        <f>$E110*'C2 - Funcionários #'!AV112*IF($C110="Operacional",IFERROR(VLOOKUP($D110,SN_UGC,28,0),0),1)</f>
        <v>0</v>
      </c>
      <c r="W110" s="120">
        <f>$E110*'C2 - Funcionários #'!AW112*IF($C110="Operacional",IFERROR(VLOOKUP($D110,SN_UGC,28,0),0),1)</f>
        <v>0</v>
      </c>
      <c r="X110" s="120">
        <f>$E110*'C2 - Funcionários #'!AX112*IF($C110="Operacional",IFERROR(VLOOKUP($D110,SN_UGC,28,0),0),1)</f>
        <v>0</v>
      </c>
      <c r="Y110" s="120">
        <f>$E110*'C2 - Funcionários #'!AY112*IF($C110="Operacional",IFERROR(VLOOKUP($D110,SN_UGC,28,0),0),1)</f>
        <v>0</v>
      </c>
      <c r="Z110" s="120">
        <f>$E110*'C2 - Funcionários #'!AZ112*IF($C110="Operacional",IFERROR(VLOOKUP($D110,SN_UGC,28,0),0),1)</f>
        <v>0</v>
      </c>
      <c r="AA110" s="120">
        <f>$E110*'C2 - Funcionários #'!BA112*IF($C110="Operacional",IFERROR(VLOOKUP($D110,SN_UGC,28,0),0),1)</f>
        <v>0</v>
      </c>
      <c r="AB110" s="120">
        <f>$E110*'C2 - Funcionários #'!BB112*IF($C110="Operacional",IFERROR(VLOOKUP($D110,SN_UGC,28,0),0),1)</f>
        <v>0</v>
      </c>
      <c r="AC110" s="120">
        <f>$E110*'C2 - Funcionários #'!BC112*IF($C110="Operacional",IFERROR(VLOOKUP($D110,SN_UGC,28,0),0),1)</f>
        <v>0</v>
      </c>
      <c r="AD110" s="120">
        <f>$E110*'C2 - Funcionários #'!BD112*IF($C110="Operacional",IFERROR(VLOOKUP($D110,SN_UGC,28,0),0),1)</f>
        <v>0</v>
      </c>
      <c r="AE110" s="120">
        <f>$E110*'C2 - Funcionários #'!BE112*IF($C110="Operacional",IFERROR(VLOOKUP($D110,SN_UGC,28,0),0),1)</f>
        <v>0</v>
      </c>
      <c r="AF110" s="120">
        <f>$E110*'C2 - Funcionários #'!BF112*IF($C110="Operacional",IFERROR(VLOOKUP($D110,SN_UGC,28,0),0),1)</f>
        <v>0</v>
      </c>
      <c r="AG110" s="120">
        <f>$E110*'C2 - Funcionários #'!BG112*IF($C110="Operacional",IFERROR(VLOOKUP($D110,SN_UGC,28,0),0),1)</f>
        <v>0</v>
      </c>
      <c r="AH110" s="120">
        <f>$E110*'C2 - Funcionários #'!BH112*IF($C110="Operacional",IFERROR(VLOOKUP($D110,SN_UGC,28,0),0),1)</f>
        <v>0</v>
      </c>
      <c r="AI110" s="120">
        <f>$E110*'C2 - Funcionários #'!BI112*IF($C110="Operacional",IFERROR(VLOOKUP($D110,SN_UGC,28,0),0),1)</f>
        <v>0</v>
      </c>
      <c r="AJ110" s="120">
        <f>$E110*'C2 - Funcionários #'!BJ112*IF($C110="Operacional",IFERROR(VLOOKUP($D110,SN_UGC,28,0),0),1)</f>
        <v>0</v>
      </c>
    </row>
    <row r="111" spans="1:36" ht="15.75" customHeight="1">
      <c r="A111" s="521"/>
      <c r="B111" s="51">
        <f>'C1 - Cargos e Salários'!B95</f>
        <v>0</v>
      </c>
      <c r="C111" s="51">
        <f>'C1 - Cargos e Salários'!C95</f>
        <v>0</v>
      </c>
      <c r="D111" s="51">
        <f>'C1 - Cargos e Salários'!D95</f>
        <v>0</v>
      </c>
      <c r="E111" s="118">
        <f>'C1 - Cargos e Salários'!K95</f>
        <v>0</v>
      </c>
      <c r="F111" s="119">
        <f>IF(C111="Operacional",IFERROR(VLOOKUP(D111,ReceitaPorTipo,COLUMN('A1 - Serviços e demanda'!$Z$17),0),0),100%)</f>
        <v>1</v>
      </c>
      <c r="G111" s="120">
        <f>E111*F111*'C2 - Funcionários #'!AG113*IF($C111="Operacional",IFERROR(VLOOKUP($D111,SN_UGC,28,0),0),1)</f>
        <v>0</v>
      </c>
      <c r="H111" s="120">
        <f>$E111*'C2 - Funcionários #'!AH113*IF($C111="Operacional",IFERROR(VLOOKUP($D111,SN_UGC,28,0),0),1)</f>
        <v>0</v>
      </c>
      <c r="I111" s="120">
        <f>$E111*'C2 - Funcionários #'!AI113*IF($C111="Operacional",IFERROR(VLOOKUP($D111,SN_UGC,28,0),0),1)</f>
        <v>0</v>
      </c>
      <c r="J111" s="120">
        <f>$E111*'C2 - Funcionários #'!AJ113*IF($C111="Operacional",IFERROR(VLOOKUP($D111,SN_UGC,28,0),0),1)</f>
        <v>0</v>
      </c>
      <c r="K111" s="120">
        <f>$E111*'C2 - Funcionários #'!AK113*IF($C111="Operacional",IFERROR(VLOOKUP($D111,SN_UGC,28,0),0),1)</f>
        <v>0</v>
      </c>
      <c r="L111" s="120">
        <f>$E111*'C2 - Funcionários #'!AL113*IF($C111="Operacional",IFERROR(VLOOKUP($D111,SN_UGC,28,0),0),1)</f>
        <v>0</v>
      </c>
      <c r="M111" s="120">
        <f>$E111*'C2 - Funcionários #'!AM113*IF($C111="Operacional",IFERROR(VLOOKUP($D111,SN_UGC,28,0),0),1)</f>
        <v>0</v>
      </c>
      <c r="N111" s="120">
        <f>$E111*'C2 - Funcionários #'!AN113*IF($C111="Operacional",IFERROR(VLOOKUP($D111,SN_UGC,28,0),0),1)</f>
        <v>0</v>
      </c>
      <c r="O111" s="120">
        <f>$E111*'C2 - Funcionários #'!AO113*IF($C111="Operacional",IFERROR(VLOOKUP($D111,SN_UGC,28,0),0),1)</f>
        <v>0</v>
      </c>
      <c r="P111" s="120">
        <f>$E111*'C2 - Funcionários #'!AP113*IF($C111="Operacional",IFERROR(VLOOKUP($D111,SN_UGC,28,0),0),1)</f>
        <v>0</v>
      </c>
      <c r="Q111" s="120">
        <f>$E111*'C2 - Funcionários #'!AQ113*IF($C111="Operacional",IFERROR(VLOOKUP($D111,SN_UGC,28,0),0),1)</f>
        <v>0</v>
      </c>
      <c r="R111" s="120">
        <f>$E111*'C2 - Funcionários #'!AR113*IF($C111="Operacional",IFERROR(VLOOKUP($D111,SN_UGC,28,0),0),1)</f>
        <v>0</v>
      </c>
      <c r="S111" s="120">
        <f>$E111*'C2 - Funcionários #'!AS113*IF($C111="Operacional",IFERROR(VLOOKUP($D111,SN_UGC,28,0),0),1)</f>
        <v>0</v>
      </c>
      <c r="T111" s="120">
        <f>$E111*'C2 - Funcionários #'!AT113*IF($C111="Operacional",IFERROR(VLOOKUP($D111,SN_UGC,28,0),0),1)</f>
        <v>0</v>
      </c>
      <c r="U111" s="120">
        <f>$E111*'C2 - Funcionários #'!AU113*IF($C111="Operacional",IFERROR(VLOOKUP($D111,SN_UGC,28,0),0),1)</f>
        <v>0</v>
      </c>
      <c r="V111" s="120">
        <f>$E111*'C2 - Funcionários #'!AV113*IF($C111="Operacional",IFERROR(VLOOKUP($D111,SN_UGC,28,0),0),1)</f>
        <v>0</v>
      </c>
      <c r="W111" s="120">
        <f>$E111*'C2 - Funcionários #'!AW113*IF($C111="Operacional",IFERROR(VLOOKUP($D111,SN_UGC,28,0),0),1)</f>
        <v>0</v>
      </c>
      <c r="X111" s="120">
        <f>$E111*'C2 - Funcionários #'!AX113*IF($C111="Operacional",IFERROR(VLOOKUP($D111,SN_UGC,28,0),0),1)</f>
        <v>0</v>
      </c>
      <c r="Y111" s="120">
        <f>$E111*'C2 - Funcionários #'!AY113*IF($C111="Operacional",IFERROR(VLOOKUP($D111,SN_UGC,28,0),0),1)</f>
        <v>0</v>
      </c>
      <c r="Z111" s="120">
        <f>$E111*'C2 - Funcionários #'!AZ113*IF($C111="Operacional",IFERROR(VLOOKUP($D111,SN_UGC,28,0),0),1)</f>
        <v>0</v>
      </c>
      <c r="AA111" s="120">
        <f>$E111*'C2 - Funcionários #'!BA113*IF($C111="Operacional",IFERROR(VLOOKUP($D111,SN_UGC,28,0),0),1)</f>
        <v>0</v>
      </c>
      <c r="AB111" s="120">
        <f>$E111*'C2 - Funcionários #'!BB113*IF($C111="Operacional",IFERROR(VLOOKUP($D111,SN_UGC,28,0),0),1)</f>
        <v>0</v>
      </c>
      <c r="AC111" s="120">
        <f>$E111*'C2 - Funcionários #'!BC113*IF($C111="Operacional",IFERROR(VLOOKUP($D111,SN_UGC,28,0),0),1)</f>
        <v>0</v>
      </c>
      <c r="AD111" s="120">
        <f>$E111*'C2 - Funcionários #'!BD113*IF($C111="Operacional",IFERROR(VLOOKUP($D111,SN_UGC,28,0),0),1)</f>
        <v>0</v>
      </c>
      <c r="AE111" s="120">
        <f>$E111*'C2 - Funcionários #'!BE113*IF($C111="Operacional",IFERROR(VLOOKUP($D111,SN_UGC,28,0),0),1)</f>
        <v>0</v>
      </c>
      <c r="AF111" s="120">
        <f>$E111*'C2 - Funcionários #'!BF113*IF($C111="Operacional",IFERROR(VLOOKUP($D111,SN_UGC,28,0),0),1)</f>
        <v>0</v>
      </c>
      <c r="AG111" s="120">
        <f>$E111*'C2 - Funcionários #'!BG113*IF($C111="Operacional",IFERROR(VLOOKUP($D111,SN_UGC,28,0),0),1)</f>
        <v>0</v>
      </c>
      <c r="AH111" s="120">
        <f>$E111*'C2 - Funcionários #'!BH113*IF($C111="Operacional",IFERROR(VLOOKUP($D111,SN_UGC,28,0),0),1)</f>
        <v>0</v>
      </c>
      <c r="AI111" s="120">
        <f>$E111*'C2 - Funcionários #'!BI113*IF($C111="Operacional",IFERROR(VLOOKUP($D111,SN_UGC,28,0),0),1)</f>
        <v>0</v>
      </c>
      <c r="AJ111" s="120">
        <f>$E111*'C2 - Funcionários #'!BJ113*IF($C111="Operacional",IFERROR(VLOOKUP($D111,SN_UGC,28,0),0),1)</f>
        <v>0</v>
      </c>
    </row>
    <row r="112" spans="1:36" ht="15.75" customHeight="1">
      <c r="A112" s="521"/>
      <c r="B112" s="51">
        <f>'C1 - Cargos e Salários'!B96</f>
        <v>0</v>
      </c>
      <c r="C112" s="51">
        <f>'C1 - Cargos e Salários'!C96</f>
        <v>0</v>
      </c>
      <c r="D112" s="51">
        <f>'C1 - Cargos e Salários'!D96</f>
        <v>0</v>
      </c>
      <c r="E112" s="118">
        <f>'C1 - Cargos e Salários'!K96</f>
        <v>0</v>
      </c>
      <c r="F112" s="119">
        <f>IF(C112="Operacional",IFERROR(VLOOKUP(D112,ReceitaPorTipo,COLUMN('A1 - Serviços e demanda'!$Z$17),0),0),100%)</f>
        <v>1</v>
      </c>
      <c r="G112" s="120">
        <f>E112*F112*'C2 - Funcionários #'!AG114*IF($C112="Operacional",IFERROR(VLOOKUP($D112,SN_UGC,28,0),0),1)</f>
        <v>0</v>
      </c>
      <c r="H112" s="120">
        <f>$E112*'C2 - Funcionários #'!AH114*IF($C112="Operacional",IFERROR(VLOOKUP($D112,SN_UGC,28,0),0),1)</f>
        <v>0</v>
      </c>
      <c r="I112" s="120">
        <f>$E112*'C2 - Funcionários #'!AI114*IF($C112="Operacional",IFERROR(VLOOKUP($D112,SN_UGC,28,0),0),1)</f>
        <v>0</v>
      </c>
      <c r="J112" s="120">
        <f>$E112*'C2 - Funcionários #'!AJ114*IF($C112="Operacional",IFERROR(VLOOKUP($D112,SN_UGC,28,0),0),1)</f>
        <v>0</v>
      </c>
      <c r="K112" s="120">
        <f>$E112*'C2 - Funcionários #'!AK114*IF($C112="Operacional",IFERROR(VLOOKUP($D112,SN_UGC,28,0),0),1)</f>
        <v>0</v>
      </c>
      <c r="L112" s="120">
        <f>$E112*'C2 - Funcionários #'!AL114*IF($C112="Operacional",IFERROR(VLOOKUP($D112,SN_UGC,28,0),0),1)</f>
        <v>0</v>
      </c>
      <c r="M112" s="120">
        <f>$E112*'C2 - Funcionários #'!AM114*IF($C112="Operacional",IFERROR(VLOOKUP($D112,SN_UGC,28,0),0),1)</f>
        <v>0</v>
      </c>
      <c r="N112" s="120">
        <f>$E112*'C2 - Funcionários #'!AN114*IF($C112="Operacional",IFERROR(VLOOKUP($D112,SN_UGC,28,0),0),1)</f>
        <v>0</v>
      </c>
      <c r="O112" s="120">
        <f>$E112*'C2 - Funcionários #'!AO114*IF($C112="Operacional",IFERROR(VLOOKUP($D112,SN_UGC,28,0),0),1)</f>
        <v>0</v>
      </c>
      <c r="P112" s="120">
        <f>$E112*'C2 - Funcionários #'!AP114*IF($C112="Operacional",IFERROR(VLOOKUP($D112,SN_UGC,28,0),0),1)</f>
        <v>0</v>
      </c>
      <c r="Q112" s="120">
        <f>$E112*'C2 - Funcionários #'!AQ114*IF($C112="Operacional",IFERROR(VLOOKUP($D112,SN_UGC,28,0),0),1)</f>
        <v>0</v>
      </c>
      <c r="R112" s="120">
        <f>$E112*'C2 - Funcionários #'!AR114*IF($C112="Operacional",IFERROR(VLOOKUP($D112,SN_UGC,28,0),0),1)</f>
        <v>0</v>
      </c>
      <c r="S112" s="120">
        <f>$E112*'C2 - Funcionários #'!AS114*IF($C112="Operacional",IFERROR(VLOOKUP($D112,SN_UGC,28,0),0),1)</f>
        <v>0</v>
      </c>
      <c r="T112" s="120">
        <f>$E112*'C2 - Funcionários #'!AT114*IF($C112="Operacional",IFERROR(VLOOKUP($D112,SN_UGC,28,0),0),1)</f>
        <v>0</v>
      </c>
      <c r="U112" s="120">
        <f>$E112*'C2 - Funcionários #'!AU114*IF($C112="Operacional",IFERROR(VLOOKUP($D112,SN_UGC,28,0),0),1)</f>
        <v>0</v>
      </c>
      <c r="V112" s="120">
        <f>$E112*'C2 - Funcionários #'!AV114*IF($C112="Operacional",IFERROR(VLOOKUP($D112,SN_UGC,28,0),0),1)</f>
        <v>0</v>
      </c>
      <c r="W112" s="120">
        <f>$E112*'C2 - Funcionários #'!AW114*IF($C112="Operacional",IFERROR(VLOOKUP($D112,SN_UGC,28,0),0),1)</f>
        <v>0</v>
      </c>
      <c r="X112" s="120">
        <f>$E112*'C2 - Funcionários #'!AX114*IF($C112="Operacional",IFERROR(VLOOKUP($D112,SN_UGC,28,0),0),1)</f>
        <v>0</v>
      </c>
      <c r="Y112" s="120">
        <f>$E112*'C2 - Funcionários #'!AY114*IF($C112="Operacional",IFERROR(VLOOKUP($D112,SN_UGC,28,0),0),1)</f>
        <v>0</v>
      </c>
      <c r="Z112" s="120">
        <f>$E112*'C2 - Funcionários #'!AZ114*IF($C112="Operacional",IFERROR(VLOOKUP($D112,SN_UGC,28,0),0),1)</f>
        <v>0</v>
      </c>
      <c r="AA112" s="120">
        <f>$E112*'C2 - Funcionários #'!BA114*IF($C112="Operacional",IFERROR(VLOOKUP($D112,SN_UGC,28,0),0),1)</f>
        <v>0</v>
      </c>
      <c r="AB112" s="120">
        <f>$E112*'C2 - Funcionários #'!BB114*IF($C112="Operacional",IFERROR(VLOOKUP($D112,SN_UGC,28,0),0),1)</f>
        <v>0</v>
      </c>
      <c r="AC112" s="120">
        <f>$E112*'C2 - Funcionários #'!BC114*IF($C112="Operacional",IFERROR(VLOOKUP($D112,SN_UGC,28,0),0),1)</f>
        <v>0</v>
      </c>
      <c r="AD112" s="120">
        <f>$E112*'C2 - Funcionários #'!BD114*IF($C112="Operacional",IFERROR(VLOOKUP($D112,SN_UGC,28,0),0),1)</f>
        <v>0</v>
      </c>
      <c r="AE112" s="120">
        <f>$E112*'C2 - Funcionários #'!BE114*IF($C112="Operacional",IFERROR(VLOOKUP($D112,SN_UGC,28,0),0),1)</f>
        <v>0</v>
      </c>
      <c r="AF112" s="120">
        <f>$E112*'C2 - Funcionários #'!BF114*IF($C112="Operacional",IFERROR(VLOOKUP($D112,SN_UGC,28,0),0),1)</f>
        <v>0</v>
      </c>
      <c r="AG112" s="120">
        <f>$E112*'C2 - Funcionários #'!BG114*IF($C112="Operacional",IFERROR(VLOOKUP($D112,SN_UGC,28,0),0),1)</f>
        <v>0</v>
      </c>
      <c r="AH112" s="120">
        <f>$E112*'C2 - Funcionários #'!BH114*IF($C112="Operacional",IFERROR(VLOOKUP($D112,SN_UGC,28,0),0),1)</f>
        <v>0</v>
      </c>
      <c r="AI112" s="120">
        <f>$E112*'C2 - Funcionários #'!BI114*IF($C112="Operacional",IFERROR(VLOOKUP($D112,SN_UGC,28,0),0),1)</f>
        <v>0</v>
      </c>
      <c r="AJ112" s="120">
        <f>$E112*'C2 - Funcionários #'!BJ114*IF($C112="Operacional",IFERROR(VLOOKUP($D112,SN_UGC,28,0),0),1)</f>
        <v>0</v>
      </c>
    </row>
    <row r="113" spans="1:36" ht="15.75" customHeight="1">
      <c r="A113" s="521"/>
      <c r="B113" s="51">
        <f>'C1 - Cargos e Salários'!B97</f>
        <v>0</v>
      </c>
      <c r="C113" s="51">
        <f>'C1 - Cargos e Salários'!C97</f>
        <v>0</v>
      </c>
      <c r="D113" s="51">
        <f>'C1 - Cargos e Salários'!D97</f>
        <v>0</v>
      </c>
      <c r="E113" s="118">
        <f>'C1 - Cargos e Salários'!K97</f>
        <v>0</v>
      </c>
      <c r="F113" s="119">
        <f>IF(C113="Operacional",IFERROR(VLOOKUP(D113,ReceitaPorTipo,COLUMN('A1 - Serviços e demanda'!$Z$17),0),0),100%)</f>
        <v>1</v>
      </c>
      <c r="G113" s="120">
        <f>E113*F113*'C2 - Funcionários #'!AG115*IF($C113="Operacional",IFERROR(VLOOKUP($D113,SN_UGC,28,0),0),1)</f>
        <v>0</v>
      </c>
      <c r="H113" s="120">
        <f>$E113*'C2 - Funcionários #'!AH115*IF($C113="Operacional",IFERROR(VLOOKUP($D113,SN_UGC,28,0),0),1)</f>
        <v>0</v>
      </c>
      <c r="I113" s="120">
        <f>$E113*'C2 - Funcionários #'!AI115*IF($C113="Operacional",IFERROR(VLOOKUP($D113,SN_UGC,28,0),0),1)</f>
        <v>0</v>
      </c>
      <c r="J113" s="120">
        <f>$E113*'C2 - Funcionários #'!AJ115*IF($C113="Operacional",IFERROR(VLOOKUP($D113,SN_UGC,28,0),0),1)</f>
        <v>0</v>
      </c>
      <c r="K113" s="120">
        <f>$E113*'C2 - Funcionários #'!AK115*IF($C113="Operacional",IFERROR(VLOOKUP($D113,SN_UGC,28,0),0),1)</f>
        <v>0</v>
      </c>
      <c r="L113" s="120">
        <f>$E113*'C2 - Funcionários #'!AL115*IF($C113="Operacional",IFERROR(VLOOKUP($D113,SN_UGC,28,0),0),1)</f>
        <v>0</v>
      </c>
      <c r="M113" s="120">
        <f>$E113*'C2 - Funcionários #'!AM115*IF($C113="Operacional",IFERROR(VLOOKUP($D113,SN_UGC,28,0),0),1)</f>
        <v>0</v>
      </c>
      <c r="N113" s="120">
        <f>$E113*'C2 - Funcionários #'!AN115*IF($C113="Operacional",IFERROR(VLOOKUP($D113,SN_UGC,28,0),0),1)</f>
        <v>0</v>
      </c>
      <c r="O113" s="120">
        <f>$E113*'C2 - Funcionários #'!AO115*IF($C113="Operacional",IFERROR(VLOOKUP($D113,SN_UGC,28,0),0),1)</f>
        <v>0</v>
      </c>
      <c r="P113" s="120">
        <f>$E113*'C2 - Funcionários #'!AP115*IF($C113="Operacional",IFERROR(VLOOKUP($D113,SN_UGC,28,0),0),1)</f>
        <v>0</v>
      </c>
      <c r="Q113" s="120">
        <f>$E113*'C2 - Funcionários #'!AQ115*IF($C113="Operacional",IFERROR(VLOOKUP($D113,SN_UGC,28,0),0),1)</f>
        <v>0</v>
      </c>
      <c r="R113" s="120">
        <f>$E113*'C2 - Funcionários #'!AR115*IF($C113="Operacional",IFERROR(VLOOKUP($D113,SN_UGC,28,0),0),1)</f>
        <v>0</v>
      </c>
      <c r="S113" s="120">
        <f>$E113*'C2 - Funcionários #'!AS115*IF($C113="Operacional",IFERROR(VLOOKUP($D113,SN_UGC,28,0),0),1)</f>
        <v>0</v>
      </c>
      <c r="T113" s="120">
        <f>$E113*'C2 - Funcionários #'!AT115*IF($C113="Operacional",IFERROR(VLOOKUP($D113,SN_UGC,28,0),0),1)</f>
        <v>0</v>
      </c>
      <c r="U113" s="120">
        <f>$E113*'C2 - Funcionários #'!AU115*IF($C113="Operacional",IFERROR(VLOOKUP($D113,SN_UGC,28,0),0),1)</f>
        <v>0</v>
      </c>
      <c r="V113" s="120">
        <f>$E113*'C2 - Funcionários #'!AV115*IF($C113="Operacional",IFERROR(VLOOKUP($D113,SN_UGC,28,0),0),1)</f>
        <v>0</v>
      </c>
      <c r="W113" s="120">
        <f>$E113*'C2 - Funcionários #'!AW115*IF($C113="Operacional",IFERROR(VLOOKUP($D113,SN_UGC,28,0),0),1)</f>
        <v>0</v>
      </c>
      <c r="X113" s="120">
        <f>$E113*'C2 - Funcionários #'!AX115*IF($C113="Operacional",IFERROR(VLOOKUP($D113,SN_UGC,28,0),0),1)</f>
        <v>0</v>
      </c>
      <c r="Y113" s="120">
        <f>$E113*'C2 - Funcionários #'!AY115*IF($C113="Operacional",IFERROR(VLOOKUP($D113,SN_UGC,28,0),0),1)</f>
        <v>0</v>
      </c>
      <c r="Z113" s="120">
        <f>$E113*'C2 - Funcionários #'!AZ115*IF($C113="Operacional",IFERROR(VLOOKUP($D113,SN_UGC,28,0),0),1)</f>
        <v>0</v>
      </c>
      <c r="AA113" s="120">
        <f>$E113*'C2 - Funcionários #'!BA115*IF($C113="Operacional",IFERROR(VLOOKUP($D113,SN_UGC,28,0),0),1)</f>
        <v>0</v>
      </c>
      <c r="AB113" s="120">
        <f>$E113*'C2 - Funcionários #'!BB115*IF($C113="Operacional",IFERROR(VLOOKUP($D113,SN_UGC,28,0),0),1)</f>
        <v>0</v>
      </c>
      <c r="AC113" s="120">
        <f>$E113*'C2 - Funcionários #'!BC115*IF($C113="Operacional",IFERROR(VLOOKUP($D113,SN_UGC,28,0),0),1)</f>
        <v>0</v>
      </c>
      <c r="AD113" s="120">
        <f>$E113*'C2 - Funcionários #'!BD115*IF($C113="Operacional",IFERROR(VLOOKUP($D113,SN_UGC,28,0),0),1)</f>
        <v>0</v>
      </c>
      <c r="AE113" s="120">
        <f>$E113*'C2 - Funcionários #'!BE115*IF($C113="Operacional",IFERROR(VLOOKUP($D113,SN_UGC,28,0),0),1)</f>
        <v>0</v>
      </c>
      <c r="AF113" s="120">
        <f>$E113*'C2 - Funcionários #'!BF115*IF($C113="Operacional",IFERROR(VLOOKUP($D113,SN_UGC,28,0),0),1)</f>
        <v>0</v>
      </c>
      <c r="AG113" s="120">
        <f>$E113*'C2 - Funcionários #'!BG115*IF($C113="Operacional",IFERROR(VLOOKUP($D113,SN_UGC,28,0),0),1)</f>
        <v>0</v>
      </c>
      <c r="AH113" s="120">
        <f>$E113*'C2 - Funcionários #'!BH115*IF($C113="Operacional",IFERROR(VLOOKUP($D113,SN_UGC,28,0),0),1)</f>
        <v>0</v>
      </c>
      <c r="AI113" s="120">
        <f>$E113*'C2 - Funcionários #'!BI115*IF($C113="Operacional",IFERROR(VLOOKUP($D113,SN_UGC,28,0),0),1)</f>
        <v>0</v>
      </c>
      <c r="AJ113" s="120">
        <f>$E113*'C2 - Funcionários #'!BJ115*IF($C113="Operacional",IFERROR(VLOOKUP($D113,SN_UGC,28,0),0),1)</f>
        <v>0</v>
      </c>
    </row>
    <row r="114" spans="1:36" ht="15.75" customHeight="1">
      <c r="A114" s="521"/>
      <c r="B114" s="51">
        <f>'C1 - Cargos e Salários'!B98</f>
        <v>0</v>
      </c>
      <c r="C114" s="51">
        <f>'C1 - Cargos e Salários'!C98</f>
        <v>0</v>
      </c>
      <c r="D114" s="51">
        <f>'C1 - Cargos e Salários'!D98</f>
        <v>0</v>
      </c>
      <c r="E114" s="118">
        <f>'C1 - Cargos e Salários'!K98</f>
        <v>0</v>
      </c>
      <c r="F114" s="119">
        <f>IF(C114="Operacional",IFERROR(VLOOKUP(D114,ReceitaPorTipo,COLUMN('A1 - Serviços e demanda'!$Z$17),0),0),100%)</f>
        <v>1</v>
      </c>
      <c r="G114" s="120">
        <f>E114*F114*'C2 - Funcionários #'!AG116*IF($C114="Operacional",IFERROR(VLOOKUP($D114,SN_UGC,28,0),0),1)</f>
        <v>0</v>
      </c>
      <c r="H114" s="120">
        <f>$E114*'C2 - Funcionários #'!AH116*IF($C114="Operacional",IFERROR(VLOOKUP($D114,SN_UGC,28,0),0),1)</f>
        <v>0</v>
      </c>
      <c r="I114" s="120">
        <f>$E114*'C2 - Funcionários #'!AI116*IF($C114="Operacional",IFERROR(VLOOKUP($D114,SN_UGC,28,0),0),1)</f>
        <v>0</v>
      </c>
      <c r="J114" s="120">
        <f>$E114*'C2 - Funcionários #'!AJ116*IF($C114="Operacional",IFERROR(VLOOKUP($D114,SN_UGC,28,0),0),1)</f>
        <v>0</v>
      </c>
      <c r="K114" s="120">
        <f>$E114*'C2 - Funcionários #'!AK116*IF($C114="Operacional",IFERROR(VLOOKUP($D114,SN_UGC,28,0),0),1)</f>
        <v>0</v>
      </c>
      <c r="L114" s="120">
        <f>$E114*'C2 - Funcionários #'!AL116*IF($C114="Operacional",IFERROR(VLOOKUP($D114,SN_UGC,28,0),0),1)</f>
        <v>0</v>
      </c>
      <c r="M114" s="120">
        <f>$E114*'C2 - Funcionários #'!AM116*IF($C114="Operacional",IFERROR(VLOOKUP($D114,SN_UGC,28,0),0),1)</f>
        <v>0</v>
      </c>
      <c r="N114" s="120">
        <f>$E114*'C2 - Funcionários #'!AN116*IF($C114="Operacional",IFERROR(VLOOKUP($D114,SN_UGC,28,0),0),1)</f>
        <v>0</v>
      </c>
      <c r="O114" s="120">
        <f>$E114*'C2 - Funcionários #'!AO116*IF($C114="Operacional",IFERROR(VLOOKUP($D114,SN_UGC,28,0),0),1)</f>
        <v>0</v>
      </c>
      <c r="P114" s="120">
        <f>$E114*'C2 - Funcionários #'!AP116*IF($C114="Operacional",IFERROR(VLOOKUP($D114,SN_UGC,28,0),0),1)</f>
        <v>0</v>
      </c>
      <c r="Q114" s="120">
        <f>$E114*'C2 - Funcionários #'!AQ116*IF($C114="Operacional",IFERROR(VLOOKUP($D114,SN_UGC,28,0),0),1)</f>
        <v>0</v>
      </c>
      <c r="R114" s="120">
        <f>$E114*'C2 - Funcionários #'!AR116*IF($C114="Operacional",IFERROR(VLOOKUP($D114,SN_UGC,28,0),0),1)</f>
        <v>0</v>
      </c>
      <c r="S114" s="120">
        <f>$E114*'C2 - Funcionários #'!AS116*IF($C114="Operacional",IFERROR(VLOOKUP($D114,SN_UGC,28,0),0),1)</f>
        <v>0</v>
      </c>
      <c r="T114" s="120">
        <f>$E114*'C2 - Funcionários #'!AT116*IF($C114="Operacional",IFERROR(VLOOKUP($D114,SN_UGC,28,0),0),1)</f>
        <v>0</v>
      </c>
      <c r="U114" s="120">
        <f>$E114*'C2 - Funcionários #'!AU116*IF($C114="Operacional",IFERROR(VLOOKUP($D114,SN_UGC,28,0),0),1)</f>
        <v>0</v>
      </c>
      <c r="V114" s="120">
        <f>$E114*'C2 - Funcionários #'!AV116*IF($C114="Operacional",IFERROR(VLOOKUP($D114,SN_UGC,28,0),0),1)</f>
        <v>0</v>
      </c>
      <c r="W114" s="120">
        <f>$E114*'C2 - Funcionários #'!AW116*IF($C114="Operacional",IFERROR(VLOOKUP($D114,SN_UGC,28,0),0),1)</f>
        <v>0</v>
      </c>
      <c r="X114" s="120">
        <f>$E114*'C2 - Funcionários #'!AX116*IF($C114="Operacional",IFERROR(VLOOKUP($D114,SN_UGC,28,0),0),1)</f>
        <v>0</v>
      </c>
      <c r="Y114" s="120">
        <f>$E114*'C2 - Funcionários #'!AY116*IF($C114="Operacional",IFERROR(VLOOKUP($D114,SN_UGC,28,0),0),1)</f>
        <v>0</v>
      </c>
      <c r="Z114" s="120">
        <f>$E114*'C2 - Funcionários #'!AZ116*IF($C114="Operacional",IFERROR(VLOOKUP($D114,SN_UGC,28,0),0),1)</f>
        <v>0</v>
      </c>
      <c r="AA114" s="120">
        <f>$E114*'C2 - Funcionários #'!BA116*IF($C114="Operacional",IFERROR(VLOOKUP($D114,SN_UGC,28,0),0),1)</f>
        <v>0</v>
      </c>
      <c r="AB114" s="120">
        <f>$E114*'C2 - Funcionários #'!BB116*IF($C114="Operacional",IFERROR(VLOOKUP($D114,SN_UGC,28,0),0),1)</f>
        <v>0</v>
      </c>
      <c r="AC114" s="120">
        <f>$E114*'C2 - Funcionários #'!BC116*IF($C114="Operacional",IFERROR(VLOOKUP($D114,SN_UGC,28,0),0),1)</f>
        <v>0</v>
      </c>
      <c r="AD114" s="120">
        <f>$E114*'C2 - Funcionários #'!BD116*IF($C114="Operacional",IFERROR(VLOOKUP($D114,SN_UGC,28,0),0),1)</f>
        <v>0</v>
      </c>
      <c r="AE114" s="120">
        <f>$E114*'C2 - Funcionários #'!BE116*IF($C114="Operacional",IFERROR(VLOOKUP($D114,SN_UGC,28,0),0),1)</f>
        <v>0</v>
      </c>
      <c r="AF114" s="120">
        <f>$E114*'C2 - Funcionários #'!BF116*IF($C114="Operacional",IFERROR(VLOOKUP($D114,SN_UGC,28,0),0),1)</f>
        <v>0</v>
      </c>
      <c r="AG114" s="120">
        <f>$E114*'C2 - Funcionários #'!BG116*IF($C114="Operacional",IFERROR(VLOOKUP($D114,SN_UGC,28,0),0),1)</f>
        <v>0</v>
      </c>
      <c r="AH114" s="120">
        <f>$E114*'C2 - Funcionários #'!BH116*IF($C114="Operacional",IFERROR(VLOOKUP($D114,SN_UGC,28,0),0),1)</f>
        <v>0</v>
      </c>
      <c r="AI114" s="120">
        <f>$E114*'C2 - Funcionários #'!BI116*IF($C114="Operacional",IFERROR(VLOOKUP($D114,SN_UGC,28,0),0),1)</f>
        <v>0</v>
      </c>
      <c r="AJ114" s="120">
        <f>$E114*'C2 - Funcionários #'!BJ116*IF($C114="Operacional",IFERROR(VLOOKUP($D114,SN_UGC,28,0),0),1)</f>
        <v>0</v>
      </c>
    </row>
    <row r="115" spans="1:36" ht="15.75" customHeight="1">
      <c r="A115" s="521"/>
      <c r="B115" s="51">
        <f>'C1 - Cargos e Salários'!B99</f>
        <v>0</v>
      </c>
      <c r="C115" s="51">
        <f>'C1 - Cargos e Salários'!C99</f>
        <v>0</v>
      </c>
      <c r="D115" s="51">
        <f>'C1 - Cargos e Salários'!D99</f>
        <v>0</v>
      </c>
      <c r="E115" s="118">
        <f>'C1 - Cargos e Salários'!K99</f>
        <v>0</v>
      </c>
      <c r="F115" s="119">
        <f>IF(C115="Operacional",IFERROR(VLOOKUP(D115,ReceitaPorTipo,COLUMN('A1 - Serviços e demanda'!$Z$17),0),0),100%)</f>
        <v>1</v>
      </c>
      <c r="G115" s="120">
        <f>E115*F115*'C2 - Funcionários #'!AG117*IF($C115="Operacional",IFERROR(VLOOKUP($D115,SN_UGC,28,0),0),1)</f>
        <v>0</v>
      </c>
      <c r="H115" s="120">
        <f>$E115*'C2 - Funcionários #'!AH117*IF($C115="Operacional",IFERROR(VLOOKUP($D115,SN_UGC,28,0),0),1)</f>
        <v>0</v>
      </c>
      <c r="I115" s="120">
        <f>$E115*'C2 - Funcionários #'!AI117*IF($C115="Operacional",IFERROR(VLOOKUP($D115,SN_UGC,28,0),0),1)</f>
        <v>0</v>
      </c>
      <c r="J115" s="120">
        <f>$E115*'C2 - Funcionários #'!AJ117*IF($C115="Operacional",IFERROR(VLOOKUP($D115,SN_UGC,28,0),0),1)</f>
        <v>0</v>
      </c>
      <c r="K115" s="120">
        <f>$E115*'C2 - Funcionários #'!AK117*IF($C115="Operacional",IFERROR(VLOOKUP($D115,SN_UGC,28,0),0),1)</f>
        <v>0</v>
      </c>
      <c r="L115" s="120">
        <f>$E115*'C2 - Funcionários #'!AL117*IF($C115="Operacional",IFERROR(VLOOKUP($D115,SN_UGC,28,0),0),1)</f>
        <v>0</v>
      </c>
      <c r="M115" s="120">
        <f>$E115*'C2 - Funcionários #'!AM117*IF($C115="Operacional",IFERROR(VLOOKUP($D115,SN_UGC,28,0),0),1)</f>
        <v>0</v>
      </c>
      <c r="N115" s="120">
        <f>$E115*'C2 - Funcionários #'!AN117*IF($C115="Operacional",IFERROR(VLOOKUP($D115,SN_UGC,28,0),0),1)</f>
        <v>0</v>
      </c>
      <c r="O115" s="120">
        <f>$E115*'C2 - Funcionários #'!AO117*IF($C115="Operacional",IFERROR(VLOOKUP($D115,SN_UGC,28,0),0),1)</f>
        <v>0</v>
      </c>
      <c r="P115" s="120">
        <f>$E115*'C2 - Funcionários #'!AP117*IF($C115="Operacional",IFERROR(VLOOKUP($D115,SN_UGC,28,0),0),1)</f>
        <v>0</v>
      </c>
      <c r="Q115" s="120">
        <f>$E115*'C2 - Funcionários #'!AQ117*IF($C115="Operacional",IFERROR(VLOOKUP($D115,SN_UGC,28,0),0),1)</f>
        <v>0</v>
      </c>
      <c r="R115" s="120">
        <f>$E115*'C2 - Funcionários #'!AR117*IF($C115="Operacional",IFERROR(VLOOKUP($D115,SN_UGC,28,0),0),1)</f>
        <v>0</v>
      </c>
      <c r="S115" s="120">
        <f>$E115*'C2 - Funcionários #'!AS117*IF($C115="Operacional",IFERROR(VLOOKUP($D115,SN_UGC,28,0),0),1)</f>
        <v>0</v>
      </c>
      <c r="T115" s="120">
        <f>$E115*'C2 - Funcionários #'!AT117*IF($C115="Operacional",IFERROR(VLOOKUP($D115,SN_UGC,28,0),0),1)</f>
        <v>0</v>
      </c>
      <c r="U115" s="120">
        <f>$E115*'C2 - Funcionários #'!AU117*IF($C115="Operacional",IFERROR(VLOOKUP($D115,SN_UGC,28,0),0),1)</f>
        <v>0</v>
      </c>
      <c r="V115" s="120">
        <f>$E115*'C2 - Funcionários #'!AV117*IF($C115="Operacional",IFERROR(VLOOKUP($D115,SN_UGC,28,0),0),1)</f>
        <v>0</v>
      </c>
      <c r="W115" s="120">
        <f>$E115*'C2 - Funcionários #'!AW117*IF($C115="Operacional",IFERROR(VLOOKUP($D115,SN_UGC,28,0),0),1)</f>
        <v>0</v>
      </c>
      <c r="X115" s="120">
        <f>$E115*'C2 - Funcionários #'!AX117*IF($C115="Operacional",IFERROR(VLOOKUP($D115,SN_UGC,28,0),0),1)</f>
        <v>0</v>
      </c>
      <c r="Y115" s="120">
        <f>$E115*'C2 - Funcionários #'!AY117*IF($C115="Operacional",IFERROR(VLOOKUP($D115,SN_UGC,28,0),0),1)</f>
        <v>0</v>
      </c>
      <c r="Z115" s="120">
        <f>$E115*'C2 - Funcionários #'!AZ117*IF($C115="Operacional",IFERROR(VLOOKUP($D115,SN_UGC,28,0),0),1)</f>
        <v>0</v>
      </c>
      <c r="AA115" s="120">
        <f>$E115*'C2 - Funcionários #'!BA117*IF($C115="Operacional",IFERROR(VLOOKUP($D115,SN_UGC,28,0),0),1)</f>
        <v>0</v>
      </c>
      <c r="AB115" s="120">
        <f>$E115*'C2 - Funcionários #'!BB117*IF($C115="Operacional",IFERROR(VLOOKUP($D115,SN_UGC,28,0),0),1)</f>
        <v>0</v>
      </c>
      <c r="AC115" s="120">
        <f>$E115*'C2 - Funcionários #'!BC117*IF($C115="Operacional",IFERROR(VLOOKUP($D115,SN_UGC,28,0),0),1)</f>
        <v>0</v>
      </c>
      <c r="AD115" s="120">
        <f>$E115*'C2 - Funcionários #'!BD117*IF($C115="Operacional",IFERROR(VLOOKUP($D115,SN_UGC,28,0),0),1)</f>
        <v>0</v>
      </c>
      <c r="AE115" s="120">
        <f>$E115*'C2 - Funcionários #'!BE117*IF($C115="Operacional",IFERROR(VLOOKUP($D115,SN_UGC,28,0),0),1)</f>
        <v>0</v>
      </c>
      <c r="AF115" s="120">
        <f>$E115*'C2 - Funcionários #'!BF117*IF($C115="Operacional",IFERROR(VLOOKUP($D115,SN_UGC,28,0),0),1)</f>
        <v>0</v>
      </c>
      <c r="AG115" s="120">
        <f>$E115*'C2 - Funcionários #'!BG117*IF($C115="Operacional",IFERROR(VLOOKUP($D115,SN_UGC,28,0),0),1)</f>
        <v>0</v>
      </c>
      <c r="AH115" s="120">
        <f>$E115*'C2 - Funcionários #'!BH117*IF($C115="Operacional",IFERROR(VLOOKUP($D115,SN_UGC,28,0),0),1)</f>
        <v>0</v>
      </c>
      <c r="AI115" s="120">
        <f>$E115*'C2 - Funcionários #'!BI117*IF($C115="Operacional",IFERROR(VLOOKUP($D115,SN_UGC,28,0),0),1)</f>
        <v>0</v>
      </c>
      <c r="AJ115" s="120">
        <f>$E115*'C2 - Funcionários #'!BJ117*IF($C115="Operacional",IFERROR(VLOOKUP($D115,SN_UGC,28,0),0),1)</f>
        <v>0</v>
      </c>
    </row>
    <row r="116" spans="1:36" ht="15.75" customHeight="1">
      <c r="A116" s="521"/>
      <c r="B116" s="51">
        <f>'C1 - Cargos e Salários'!B100</f>
        <v>0</v>
      </c>
      <c r="C116" s="51">
        <f>'C1 - Cargos e Salários'!C100</f>
        <v>0</v>
      </c>
      <c r="D116" s="51">
        <f>'C1 - Cargos e Salários'!D100</f>
        <v>0</v>
      </c>
      <c r="E116" s="118">
        <f>'C1 - Cargos e Salários'!K100</f>
        <v>0</v>
      </c>
      <c r="F116" s="119">
        <f>IF(C116="Operacional",IFERROR(VLOOKUP(D116,ReceitaPorTipo,COLUMN('A1 - Serviços e demanda'!$Z$17),0),0),100%)</f>
        <v>1</v>
      </c>
      <c r="G116" s="120">
        <f>E116*F116*'C2 - Funcionários #'!AG118*IF($C116="Operacional",IFERROR(VLOOKUP($D116,SN_UGC,28,0),0),1)</f>
        <v>0</v>
      </c>
      <c r="H116" s="120">
        <f>$E116*'C2 - Funcionários #'!AH118*IF($C116="Operacional",IFERROR(VLOOKUP($D116,SN_UGC,28,0),0),1)</f>
        <v>0</v>
      </c>
      <c r="I116" s="120">
        <f>$E116*'C2 - Funcionários #'!AI118*IF($C116="Operacional",IFERROR(VLOOKUP($D116,SN_UGC,28,0),0),1)</f>
        <v>0</v>
      </c>
      <c r="J116" s="120">
        <f>$E116*'C2 - Funcionários #'!AJ118*IF($C116="Operacional",IFERROR(VLOOKUP($D116,SN_UGC,28,0),0),1)</f>
        <v>0</v>
      </c>
      <c r="K116" s="120">
        <f>$E116*'C2 - Funcionários #'!AK118*IF($C116="Operacional",IFERROR(VLOOKUP($D116,SN_UGC,28,0),0),1)</f>
        <v>0</v>
      </c>
      <c r="L116" s="120">
        <f>$E116*'C2 - Funcionários #'!AL118*IF($C116="Operacional",IFERROR(VLOOKUP($D116,SN_UGC,28,0),0),1)</f>
        <v>0</v>
      </c>
      <c r="M116" s="120">
        <f>$E116*'C2 - Funcionários #'!AM118*IF($C116="Operacional",IFERROR(VLOOKUP($D116,SN_UGC,28,0),0),1)</f>
        <v>0</v>
      </c>
      <c r="N116" s="120">
        <f>$E116*'C2 - Funcionários #'!AN118*IF($C116="Operacional",IFERROR(VLOOKUP($D116,SN_UGC,28,0),0),1)</f>
        <v>0</v>
      </c>
      <c r="O116" s="120">
        <f>$E116*'C2 - Funcionários #'!AO118*IF($C116="Operacional",IFERROR(VLOOKUP($D116,SN_UGC,28,0),0),1)</f>
        <v>0</v>
      </c>
      <c r="P116" s="120">
        <f>$E116*'C2 - Funcionários #'!AP118*IF($C116="Operacional",IFERROR(VLOOKUP($D116,SN_UGC,28,0),0),1)</f>
        <v>0</v>
      </c>
      <c r="Q116" s="120">
        <f>$E116*'C2 - Funcionários #'!AQ118*IF($C116="Operacional",IFERROR(VLOOKUP($D116,SN_UGC,28,0),0),1)</f>
        <v>0</v>
      </c>
      <c r="R116" s="120">
        <f>$E116*'C2 - Funcionários #'!AR118*IF($C116="Operacional",IFERROR(VLOOKUP($D116,SN_UGC,28,0),0),1)</f>
        <v>0</v>
      </c>
      <c r="S116" s="120">
        <f>$E116*'C2 - Funcionários #'!AS118*IF($C116="Operacional",IFERROR(VLOOKUP($D116,SN_UGC,28,0),0),1)</f>
        <v>0</v>
      </c>
      <c r="T116" s="120">
        <f>$E116*'C2 - Funcionários #'!AT118*IF($C116="Operacional",IFERROR(VLOOKUP($D116,SN_UGC,28,0),0),1)</f>
        <v>0</v>
      </c>
      <c r="U116" s="120">
        <f>$E116*'C2 - Funcionários #'!AU118*IF($C116="Operacional",IFERROR(VLOOKUP($D116,SN_UGC,28,0),0),1)</f>
        <v>0</v>
      </c>
      <c r="V116" s="120">
        <f>$E116*'C2 - Funcionários #'!AV118*IF($C116="Operacional",IFERROR(VLOOKUP($D116,SN_UGC,28,0),0),1)</f>
        <v>0</v>
      </c>
      <c r="W116" s="120">
        <f>$E116*'C2 - Funcionários #'!AW118*IF($C116="Operacional",IFERROR(VLOOKUP($D116,SN_UGC,28,0),0),1)</f>
        <v>0</v>
      </c>
      <c r="X116" s="120">
        <f>$E116*'C2 - Funcionários #'!AX118*IF($C116="Operacional",IFERROR(VLOOKUP($D116,SN_UGC,28,0),0),1)</f>
        <v>0</v>
      </c>
      <c r="Y116" s="120">
        <f>$E116*'C2 - Funcionários #'!AY118*IF($C116="Operacional",IFERROR(VLOOKUP($D116,SN_UGC,28,0),0),1)</f>
        <v>0</v>
      </c>
      <c r="Z116" s="120">
        <f>$E116*'C2 - Funcionários #'!AZ118*IF($C116="Operacional",IFERROR(VLOOKUP($D116,SN_UGC,28,0),0),1)</f>
        <v>0</v>
      </c>
      <c r="AA116" s="120">
        <f>$E116*'C2 - Funcionários #'!BA118*IF($C116="Operacional",IFERROR(VLOOKUP($D116,SN_UGC,28,0),0),1)</f>
        <v>0</v>
      </c>
      <c r="AB116" s="120">
        <f>$E116*'C2 - Funcionários #'!BB118*IF($C116="Operacional",IFERROR(VLOOKUP($D116,SN_UGC,28,0),0),1)</f>
        <v>0</v>
      </c>
      <c r="AC116" s="120">
        <f>$E116*'C2 - Funcionários #'!BC118*IF($C116="Operacional",IFERROR(VLOOKUP($D116,SN_UGC,28,0),0),1)</f>
        <v>0</v>
      </c>
      <c r="AD116" s="120">
        <f>$E116*'C2 - Funcionários #'!BD118*IF($C116="Operacional",IFERROR(VLOOKUP($D116,SN_UGC,28,0),0),1)</f>
        <v>0</v>
      </c>
      <c r="AE116" s="120">
        <f>$E116*'C2 - Funcionários #'!BE118*IF($C116="Operacional",IFERROR(VLOOKUP($D116,SN_UGC,28,0),0),1)</f>
        <v>0</v>
      </c>
      <c r="AF116" s="120">
        <f>$E116*'C2 - Funcionários #'!BF118*IF($C116="Operacional",IFERROR(VLOOKUP($D116,SN_UGC,28,0),0),1)</f>
        <v>0</v>
      </c>
      <c r="AG116" s="120">
        <f>$E116*'C2 - Funcionários #'!BG118*IF($C116="Operacional",IFERROR(VLOOKUP($D116,SN_UGC,28,0),0),1)</f>
        <v>0</v>
      </c>
      <c r="AH116" s="120">
        <f>$E116*'C2 - Funcionários #'!BH118*IF($C116="Operacional",IFERROR(VLOOKUP($D116,SN_UGC,28,0),0),1)</f>
        <v>0</v>
      </c>
      <c r="AI116" s="120">
        <f>$E116*'C2 - Funcionários #'!BI118*IF($C116="Operacional",IFERROR(VLOOKUP($D116,SN_UGC,28,0),0),1)</f>
        <v>0</v>
      </c>
      <c r="AJ116" s="120">
        <f>$E116*'C2 - Funcionários #'!BJ118*IF($C116="Operacional",IFERROR(VLOOKUP($D116,SN_UGC,28,0),0),1)</f>
        <v>0</v>
      </c>
    </row>
    <row r="117" spans="1:36" ht="15.75" customHeight="1">
      <c r="A117" s="521"/>
      <c r="B117" s="51">
        <f>'C1 - Cargos e Salários'!B101</f>
        <v>0</v>
      </c>
      <c r="C117" s="51">
        <f>'C1 - Cargos e Salários'!C101</f>
        <v>0</v>
      </c>
      <c r="D117" s="51">
        <f>'C1 - Cargos e Salários'!D101</f>
        <v>0</v>
      </c>
      <c r="E117" s="118">
        <f>'C1 - Cargos e Salários'!K101</f>
        <v>0</v>
      </c>
      <c r="F117" s="119">
        <f>IF(C117="Operacional",IFERROR(VLOOKUP(D117,ReceitaPorTipo,COLUMN('A1 - Serviços e demanda'!$Z$17),0),0),100%)</f>
        <v>1</v>
      </c>
      <c r="G117" s="120">
        <f>E117*F117*'C2 - Funcionários #'!AG119*IF($C117="Operacional",IFERROR(VLOOKUP($D117,SN_UGC,28,0),0),1)</f>
        <v>0</v>
      </c>
      <c r="H117" s="120">
        <f>$E117*'C2 - Funcionários #'!AH119*IF($C117="Operacional",IFERROR(VLOOKUP($D117,SN_UGC,28,0),0),1)</f>
        <v>0</v>
      </c>
      <c r="I117" s="120">
        <f>$E117*'C2 - Funcionários #'!AI119*IF($C117="Operacional",IFERROR(VLOOKUP($D117,SN_UGC,28,0),0),1)</f>
        <v>0</v>
      </c>
      <c r="J117" s="120">
        <f>$E117*'C2 - Funcionários #'!AJ119*IF($C117="Operacional",IFERROR(VLOOKUP($D117,SN_UGC,28,0),0),1)</f>
        <v>0</v>
      </c>
      <c r="K117" s="120">
        <f>$E117*'C2 - Funcionários #'!AK119*IF($C117="Operacional",IFERROR(VLOOKUP($D117,SN_UGC,28,0),0),1)</f>
        <v>0</v>
      </c>
      <c r="L117" s="120">
        <f>$E117*'C2 - Funcionários #'!AL119*IF($C117="Operacional",IFERROR(VLOOKUP($D117,SN_UGC,28,0),0),1)</f>
        <v>0</v>
      </c>
      <c r="M117" s="120">
        <f>$E117*'C2 - Funcionários #'!AM119*IF($C117="Operacional",IFERROR(VLOOKUP($D117,SN_UGC,28,0),0),1)</f>
        <v>0</v>
      </c>
      <c r="N117" s="120">
        <f>$E117*'C2 - Funcionários #'!AN119*IF($C117="Operacional",IFERROR(VLOOKUP($D117,SN_UGC,28,0),0),1)</f>
        <v>0</v>
      </c>
      <c r="O117" s="120">
        <f>$E117*'C2 - Funcionários #'!AO119*IF($C117="Operacional",IFERROR(VLOOKUP($D117,SN_UGC,28,0),0),1)</f>
        <v>0</v>
      </c>
      <c r="P117" s="120">
        <f>$E117*'C2 - Funcionários #'!AP119*IF($C117="Operacional",IFERROR(VLOOKUP($D117,SN_UGC,28,0),0),1)</f>
        <v>0</v>
      </c>
      <c r="Q117" s="120">
        <f>$E117*'C2 - Funcionários #'!AQ119*IF($C117="Operacional",IFERROR(VLOOKUP($D117,SN_UGC,28,0),0),1)</f>
        <v>0</v>
      </c>
      <c r="R117" s="120">
        <f>$E117*'C2 - Funcionários #'!AR119*IF($C117="Operacional",IFERROR(VLOOKUP($D117,SN_UGC,28,0),0),1)</f>
        <v>0</v>
      </c>
      <c r="S117" s="120">
        <f>$E117*'C2 - Funcionários #'!AS119*IF($C117="Operacional",IFERROR(VLOOKUP($D117,SN_UGC,28,0),0),1)</f>
        <v>0</v>
      </c>
      <c r="T117" s="120">
        <f>$E117*'C2 - Funcionários #'!AT119*IF($C117="Operacional",IFERROR(VLOOKUP($D117,SN_UGC,28,0),0),1)</f>
        <v>0</v>
      </c>
      <c r="U117" s="120">
        <f>$E117*'C2 - Funcionários #'!AU119*IF($C117="Operacional",IFERROR(VLOOKUP($D117,SN_UGC,28,0),0),1)</f>
        <v>0</v>
      </c>
      <c r="V117" s="120">
        <f>$E117*'C2 - Funcionários #'!AV119*IF($C117="Operacional",IFERROR(VLOOKUP($D117,SN_UGC,28,0),0),1)</f>
        <v>0</v>
      </c>
      <c r="W117" s="120">
        <f>$E117*'C2 - Funcionários #'!AW119*IF($C117="Operacional",IFERROR(VLOOKUP($D117,SN_UGC,28,0),0),1)</f>
        <v>0</v>
      </c>
      <c r="X117" s="120">
        <f>$E117*'C2 - Funcionários #'!AX119*IF($C117="Operacional",IFERROR(VLOOKUP($D117,SN_UGC,28,0),0),1)</f>
        <v>0</v>
      </c>
      <c r="Y117" s="120">
        <f>$E117*'C2 - Funcionários #'!AY119*IF($C117="Operacional",IFERROR(VLOOKUP($D117,SN_UGC,28,0),0),1)</f>
        <v>0</v>
      </c>
      <c r="Z117" s="120">
        <f>$E117*'C2 - Funcionários #'!AZ119*IF($C117="Operacional",IFERROR(VLOOKUP($D117,SN_UGC,28,0),0),1)</f>
        <v>0</v>
      </c>
      <c r="AA117" s="120">
        <f>$E117*'C2 - Funcionários #'!BA119*IF($C117="Operacional",IFERROR(VLOOKUP($D117,SN_UGC,28,0),0),1)</f>
        <v>0</v>
      </c>
      <c r="AB117" s="120">
        <f>$E117*'C2 - Funcionários #'!BB119*IF($C117="Operacional",IFERROR(VLOOKUP($D117,SN_UGC,28,0),0),1)</f>
        <v>0</v>
      </c>
      <c r="AC117" s="120">
        <f>$E117*'C2 - Funcionários #'!BC119*IF($C117="Operacional",IFERROR(VLOOKUP($D117,SN_UGC,28,0),0),1)</f>
        <v>0</v>
      </c>
      <c r="AD117" s="120">
        <f>$E117*'C2 - Funcionários #'!BD119*IF($C117="Operacional",IFERROR(VLOOKUP($D117,SN_UGC,28,0),0),1)</f>
        <v>0</v>
      </c>
      <c r="AE117" s="120">
        <f>$E117*'C2 - Funcionários #'!BE119*IF($C117="Operacional",IFERROR(VLOOKUP($D117,SN_UGC,28,0),0),1)</f>
        <v>0</v>
      </c>
      <c r="AF117" s="120">
        <f>$E117*'C2 - Funcionários #'!BF119*IF($C117="Operacional",IFERROR(VLOOKUP($D117,SN_UGC,28,0),0),1)</f>
        <v>0</v>
      </c>
      <c r="AG117" s="120">
        <f>$E117*'C2 - Funcionários #'!BG119*IF($C117="Operacional",IFERROR(VLOOKUP($D117,SN_UGC,28,0),0),1)</f>
        <v>0</v>
      </c>
      <c r="AH117" s="120">
        <f>$E117*'C2 - Funcionários #'!BH119*IF($C117="Operacional",IFERROR(VLOOKUP($D117,SN_UGC,28,0),0),1)</f>
        <v>0</v>
      </c>
      <c r="AI117" s="120">
        <f>$E117*'C2 - Funcionários #'!BI119*IF($C117="Operacional",IFERROR(VLOOKUP($D117,SN_UGC,28,0),0),1)</f>
        <v>0</v>
      </c>
      <c r="AJ117" s="120">
        <f>$E117*'C2 - Funcionários #'!BJ119*IF($C117="Operacional",IFERROR(VLOOKUP($D117,SN_UGC,28,0),0),1)</f>
        <v>0</v>
      </c>
    </row>
    <row r="118" spans="1:36" ht="15.75" customHeight="1">
      <c r="A118" s="521"/>
      <c r="B118" s="51">
        <f>'C1 - Cargos e Salários'!B102</f>
        <v>0</v>
      </c>
      <c r="C118" s="51">
        <f>'C1 - Cargos e Salários'!C102</f>
        <v>0</v>
      </c>
      <c r="D118" s="51">
        <f>'C1 - Cargos e Salários'!D102</f>
        <v>0</v>
      </c>
      <c r="E118" s="118">
        <f>'C1 - Cargos e Salários'!K102</f>
        <v>0</v>
      </c>
      <c r="F118" s="119">
        <f>IF(C118="Operacional",IFERROR(VLOOKUP(D118,ReceitaPorTipo,COLUMN('A1 - Serviços e demanda'!$Z$17),0),0),100%)</f>
        <v>1</v>
      </c>
      <c r="G118" s="120">
        <f>E118*F118*'C2 - Funcionários #'!AG120*IF($C118="Operacional",IFERROR(VLOOKUP($D118,SN_UGC,28,0),0),1)</f>
        <v>0</v>
      </c>
      <c r="H118" s="120">
        <f>$E118*'C2 - Funcionários #'!AH120*IF($C118="Operacional",IFERROR(VLOOKUP($D118,SN_UGC,28,0),0),1)</f>
        <v>0</v>
      </c>
      <c r="I118" s="120">
        <f>$E118*'C2 - Funcionários #'!AI120*IF($C118="Operacional",IFERROR(VLOOKUP($D118,SN_UGC,28,0),0),1)</f>
        <v>0</v>
      </c>
      <c r="J118" s="120">
        <f>$E118*'C2 - Funcionários #'!AJ120*IF($C118="Operacional",IFERROR(VLOOKUP($D118,SN_UGC,28,0),0),1)</f>
        <v>0</v>
      </c>
      <c r="K118" s="120">
        <f>$E118*'C2 - Funcionários #'!AK120*IF($C118="Operacional",IFERROR(VLOOKUP($D118,SN_UGC,28,0),0),1)</f>
        <v>0</v>
      </c>
      <c r="L118" s="120">
        <f>$E118*'C2 - Funcionários #'!AL120*IF($C118="Operacional",IFERROR(VLOOKUP($D118,SN_UGC,28,0),0),1)</f>
        <v>0</v>
      </c>
      <c r="M118" s="120">
        <f>$E118*'C2 - Funcionários #'!AM120*IF($C118="Operacional",IFERROR(VLOOKUP($D118,SN_UGC,28,0),0),1)</f>
        <v>0</v>
      </c>
      <c r="N118" s="120">
        <f>$E118*'C2 - Funcionários #'!AN120*IF($C118="Operacional",IFERROR(VLOOKUP($D118,SN_UGC,28,0),0),1)</f>
        <v>0</v>
      </c>
      <c r="O118" s="120">
        <f>$E118*'C2 - Funcionários #'!AO120*IF($C118="Operacional",IFERROR(VLOOKUP($D118,SN_UGC,28,0),0),1)</f>
        <v>0</v>
      </c>
      <c r="P118" s="120">
        <f>$E118*'C2 - Funcionários #'!AP120*IF($C118="Operacional",IFERROR(VLOOKUP($D118,SN_UGC,28,0),0),1)</f>
        <v>0</v>
      </c>
      <c r="Q118" s="120">
        <f>$E118*'C2 - Funcionários #'!AQ120*IF($C118="Operacional",IFERROR(VLOOKUP($D118,SN_UGC,28,0),0),1)</f>
        <v>0</v>
      </c>
      <c r="R118" s="120">
        <f>$E118*'C2 - Funcionários #'!AR120*IF($C118="Operacional",IFERROR(VLOOKUP($D118,SN_UGC,28,0),0),1)</f>
        <v>0</v>
      </c>
      <c r="S118" s="120">
        <f>$E118*'C2 - Funcionários #'!AS120*IF($C118="Operacional",IFERROR(VLOOKUP($D118,SN_UGC,28,0),0),1)</f>
        <v>0</v>
      </c>
      <c r="T118" s="120">
        <f>$E118*'C2 - Funcionários #'!AT120*IF($C118="Operacional",IFERROR(VLOOKUP($D118,SN_UGC,28,0),0),1)</f>
        <v>0</v>
      </c>
      <c r="U118" s="120">
        <f>$E118*'C2 - Funcionários #'!AU120*IF($C118="Operacional",IFERROR(VLOOKUP($D118,SN_UGC,28,0),0),1)</f>
        <v>0</v>
      </c>
      <c r="V118" s="120">
        <f>$E118*'C2 - Funcionários #'!AV120*IF($C118="Operacional",IFERROR(VLOOKUP($D118,SN_UGC,28,0),0),1)</f>
        <v>0</v>
      </c>
      <c r="W118" s="120">
        <f>$E118*'C2 - Funcionários #'!AW120*IF($C118="Operacional",IFERROR(VLOOKUP($D118,SN_UGC,28,0),0),1)</f>
        <v>0</v>
      </c>
      <c r="X118" s="120">
        <f>$E118*'C2 - Funcionários #'!AX120*IF($C118="Operacional",IFERROR(VLOOKUP($D118,SN_UGC,28,0),0),1)</f>
        <v>0</v>
      </c>
      <c r="Y118" s="120">
        <f>$E118*'C2 - Funcionários #'!AY120*IF($C118="Operacional",IFERROR(VLOOKUP($D118,SN_UGC,28,0),0),1)</f>
        <v>0</v>
      </c>
      <c r="Z118" s="120">
        <f>$E118*'C2 - Funcionários #'!AZ120*IF($C118="Operacional",IFERROR(VLOOKUP($D118,SN_UGC,28,0),0),1)</f>
        <v>0</v>
      </c>
      <c r="AA118" s="120">
        <f>$E118*'C2 - Funcionários #'!BA120*IF($C118="Operacional",IFERROR(VLOOKUP($D118,SN_UGC,28,0),0),1)</f>
        <v>0</v>
      </c>
      <c r="AB118" s="120">
        <f>$E118*'C2 - Funcionários #'!BB120*IF($C118="Operacional",IFERROR(VLOOKUP($D118,SN_UGC,28,0),0),1)</f>
        <v>0</v>
      </c>
      <c r="AC118" s="120">
        <f>$E118*'C2 - Funcionários #'!BC120*IF($C118="Operacional",IFERROR(VLOOKUP($D118,SN_UGC,28,0),0),1)</f>
        <v>0</v>
      </c>
      <c r="AD118" s="120">
        <f>$E118*'C2 - Funcionários #'!BD120*IF($C118="Operacional",IFERROR(VLOOKUP($D118,SN_UGC,28,0),0),1)</f>
        <v>0</v>
      </c>
      <c r="AE118" s="120">
        <f>$E118*'C2 - Funcionários #'!BE120*IF($C118="Operacional",IFERROR(VLOOKUP($D118,SN_UGC,28,0),0),1)</f>
        <v>0</v>
      </c>
      <c r="AF118" s="120">
        <f>$E118*'C2 - Funcionários #'!BF120*IF($C118="Operacional",IFERROR(VLOOKUP($D118,SN_UGC,28,0),0),1)</f>
        <v>0</v>
      </c>
      <c r="AG118" s="120">
        <f>$E118*'C2 - Funcionários #'!BG120*IF($C118="Operacional",IFERROR(VLOOKUP($D118,SN_UGC,28,0),0),1)</f>
        <v>0</v>
      </c>
      <c r="AH118" s="120">
        <f>$E118*'C2 - Funcionários #'!BH120*IF($C118="Operacional",IFERROR(VLOOKUP($D118,SN_UGC,28,0),0),1)</f>
        <v>0</v>
      </c>
      <c r="AI118" s="120">
        <f>$E118*'C2 - Funcionários #'!BI120*IF($C118="Operacional",IFERROR(VLOOKUP($D118,SN_UGC,28,0),0),1)</f>
        <v>0</v>
      </c>
      <c r="AJ118" s="120">
        <f>$E118*'C2 - Funcionários #'!BJ120*IF($C118="Operacional",IFERROR(VLOOKUP($D118,SN_UGC,28,0),0),1)</f>
        <v>0</v>
      </c>
    </row>
    <row r="119" spans="1:36" ht="15.75" customHeight="1">
      <c r="A119" s="521"/>
      <c r="B119" s="51">
        <f>'C1 - Cargos e Salários'!B103</f>
        <v>0</v>
      </c>
      <c r="C119" s="51">
        <f>'C1 - Cargos e Salários'!C103</f>
        <v>0</v>
      </c>
      <c r="D119" s="51">
        <f>'C1 - Cargos e Salários'!D103</f>
        <v>0</v>
      </c>
      <c r="E119" s="118">
        <f>'C1 - Cargos e Salários'!K103</f>
        <v>0</v>
      </c>
      <c r="F119" s="119">
        <f>IF(C119="Operacional",IFERROR(VLOOKUP(D119,ReceitaPorTipo,COLUMN('A1 - Serviços e demanda'!$Z$17),0),0),100%)</f>
        <v>1</v>
      </c>
      <c r="G119" s="120">
        <f>E119*F119*'C2 - Funcionários #'!AG121*IF($C119="Operacional",IFERROR(VLOOKUP($D119,SN_UGC,28,0),0),1)</f>
        <v>0</v>
      </c>
      <c r="H119" s="120">
        <f>$E119*'C2 - Funcionários #'!AH121*IF($C119="Operacional",IFERROR(VLOOKUP($D119,SN_UGC,28,0),0),1)</f>
        <v>0</v>
      </c>
      <c r="I119" s="120">
        <f>$E119*'C2 - Funcionários #'!AI121*IF($C119="Operacional",IFERROR(VLOOKUP($D119,SN_UGC,28,0),0),1)</f>
        <v>0</v>
      </c>
      <c r="J119" s="120">
        <f>$E119*'C2 - Funcionários #'!AJ121*IF($C119="Operacional",IFERROR(VLOOKUP($D119,SN_UGC,28,0),0),1)</f>
        <v>0</v>
      </c>
      <c r="K119" s="120">
        <f>$E119*'C2 - Funcionários #'!AK121*IF($C119="Operacional",IFERROR(VLOOKUP($D119,SN_UGC,28,0),0),1)</f>
        <v>0</v>
      </c>
      <c r="L119" s="120">
        <f>$E119*'C2 - Funcionários #'!AL121*IF($C119="Operacional",IFERROR(VLOOKUP($D119,SN_UGC,28,0),0),1)</f>
        <v>0</v>
      </c>
      <c r="M119" s="120">
        <f>$E119*'C2 - Funcionários #'!AM121*IF($C119="Operacional",IFERROR(VLOOKUP($D119,SN_UGC,28,0),0),1)</f>
        <v>0</v>
      </c>
      <c r="N119" s="120">
        <f>$E119*'C2 - Funcionários #'!AN121*IF($C119="Operacional",IFERROR(VLOOKUP($D119,SN_UGC,28,0),0),1)</f>
        <v>0</v>
      </c>
      <c r="O119" s="120">
        <f>$E119*'C2 - Funcionários #'!AO121*IF($C119="Operacional",IFERROR(VLOOKUP($D119,SN_UGC,28,0),0),1)</f>
        <v>0</v>
      </c>
      <c r="P119" s="120">
        <f>$E119*'C2 - Funcionários #'!AP121*IF($C119="Operacional",IFERROR(VLOOKUP($D119,SN_UGC,28,0),0),1)</f>
        <v>0</v>
      </c>
      <c r="Q119" s="120">
        <f>$E119*'C2 - Funcionários #'!AQ121*IF($C119="Operacional",IFERROR(VLOOKUP($D119,SN_UGC,28,0),0),1)</f>
        <v>0</v>
      </c>
      <c r="R119" s="120">
        <f>$E119*'C2 - Funcionários #'!AR121*IF($C119="Operacional",IFERROR(VLOOKUP($D119,SN_UGC,28,0),0),1)</f>
        <v>0</v>
      </c>
      <c r="S119" s="120">
        <f>$E119*'C2 - Funcionários #'!AS121*IF($C119="Operacional",IFERROR(VLOOKUP($D119,SN_UGC,28,0),0),1)</f>
        <v>0</v>
      </c>
      <c r="T119" s="120">
        <f>$E119*'C2 - Funcionários #'!AT121*IF($C119="Operacional",IFERROR(VLOOKUP($D119,SN_UGC,28,0),0),1)</f>
        <v>0</v>
      </c>
      <c r="U119" s="120">
        <f>$E119*'C2 - Funcionários #'!AU121*IF($C119="Operacional",IFERROR(VLOOKUP($D119,SN_UGC,28,0),0),1)</f>
        <v>0</v>
      </c>
      <c r="V119" s="120">
        <f>$E119*'C2 - Funcionários #'!AV121*IF($C119="Operacional",IFERROR(VLOOKUP($D119,SN_UGC,28,0),0),1)</f>
        <v>0</v>
      </c>
      <c r="W119" s="120">
        <f>$E119*'C2 - Funcionários #'!AW121*IF($C119="Operacional",IFERROR(VLOOKUP($D119,SN_UGC,28,0),0),1)</f>
        <v>0</v>
      </c>
      <c r="X119" s="120">
        <f>$E119*'C2 - Funcionários #'!AX121*IF($C119="Operacional",IFERROR(VLOOKUP($D119,SN_UGC,28,0),0),1)</f>
        <v>0</v>
      </c>
      <c r="Y119" s="120">
        <f>$E119*'C2 - Funcionários #'!AY121*IF($C119="Operacional",IFERROR(VLOOKUP($D119,SN_UGC,28,0),0),1)</f>
        <v>0</v>
      </c>
      <c r="Z119" s="120">
        <f>$E119*'C2 - Funcionários #'!AZ121*IF($C119="Operacional",IFERROR(VLOOKUP($D119,SN_UGC,28,0),0),1)</f>
        <v>0</v>
      </c>
      <c r="AA119" s="120">
        <f>$E119*'C2 - Funcionários #'!BA121*IF($C119="Operacional",IFERROR(VLOOKUP($D119,SN_UGC,28,0),0),1)</f>
        <v>0</v>
      </c>
      <c r="AB119" s="120">
        <f>$E119*'C2 - Funcionários #'!BB121*IF($C119="Operacional",IFERROR(VLOOKUP($D119,SN_UGC,28,0),0),1)</f>
        <v>0</v>
      </c>
      <c r="AC119" s="120">
        <f>$E119*'C2 - Funcionários #'!BC121*IF($C119="Operacional",IFERROR(VLOOKUP($D119,SN_UGC,28,0),0),1)</f>
        <v>0</v>
      </c>
      <c r="AD119" s="120">
        <f>$E119*'C2 - Funcionários #'!BD121*IF($C119="Operacional",IFERROR(VLOOKUP($D119,SN_UGC,28,0),0),1)</f>
        <v>0</v>
      </c>
      <c r="AE119" s="120">
        <f>$E119*'C2 - Funcionários #'!BE121*IF($C119="Operacional",IFERROR(VLOOKUP($D119,SN_UGC,28,0),0),1)</f>
        <v>0</v>
      </c>
      <c r="AF119" s="120">
        <f>$E119*'C2 - Funcionários #'!BF121*IF($C119="Operacional",IFERROR(VLOOKUP($D119,SN_UGC,28,0),0),1)</f>
        <v>0</v>
      </c>
      <c r="AG119" s="120">
        <f>$E119*'C2 - Funcionários #'!BG121*IF($C119="Operacional",IFERROR(VLOOKUP($D119,SN_UGC,28,0),0),1)</f>
        <v>0</v>
      </c>
      <c r="AH119" s="120">
        <f>$E119*'C2 - Funcionários #'!BH121*IF($C119="Operacional",IFERROR(VLOOKUP($D119,SN_UGC,28,0),0),1)</f>
        <v>0</v>
      </c>
      <c r="AI119" s="120">
        <f>$E119*'C2 - Funcionários #'!BI121*IF($C119="Operacional",IFERROR(VLOOKUP($D119,SN_UGC,28,0),0),1)</f>
        <v>0</v>
      </c>
      <c r="AJ119" s="120">
        <f>$E119*'C2 - Funcionários #'!BJ121*IF($C119="Operacional",IFERROR(VLOOKUP($D119,SN_UGC,28,0),0),1)</f>
        <v>0</v>
      </c>
    </row>
    <row r="120" spans="1:36" ht="15.75" customHeight="1">
      <c r="A120" s="521"/>
      <c r="B120" s="51">
        <f>'C1 - Cargos e Salários'!B104</f>
        <v>0</v>
      </c>
      <c r="C120" s="51">
        <f>'C1 - Cargos e Salários'!C104</f>
        <v>0</v>
      </c>
      <c r="D120" s="51">
        <f>'C1 - Cargos e Salários'!D104</f>
        <v>0</v>
      </c>
      <c r="E120" s="118">
        <f>'C1 - Cargos e Salários'!K104</f>
        <v>0</v>
      </c>
      <c r="F120" s="119">
        <f>IF(C120="Operacional",IFERROR(VLOOKUP(D120,ReceitaPorTipo,COLUMN('A1 - Serviços e demanda'!$Z$17),0),0),100%)</f>
        <v>1</v>
      </c>
      <c r="G120" s="120">
        <f>E120*F120*'C2 - Funcionários #'!AG122*IF($C120="Operacional",IFERROR(VLOOKUP($D120,SN_UGC,28,0),0),1)</f>
        <v>0</v>
      </c>
      <c r="H120" s="120">
        <f>$E120*'C2 - Funcionários #'!AH122*IF($C120="Operacional",IFERROR(VLOOKUP($D120,SN_UGC,28,0),0),1)</f>
        <v>0</v>
      </c>
      <c r="I120" s="120">
        <f>$E120*'C2 - Funcionários #'!AI122*IF($C120="Operacional",IFERROR(VLOOKUP($D120,SN_UGC,28,0),0),1)</f>
        <v>0</v>
      </c>
      <c r="J120" s="120">
        <f>$E120*'C2 - Funcionários #'!AJ122*IF($C120="Operacional",IFERROR(VLOOKUP($D120,SN_UGC,28,0),0),1)</f>
        <v>0</v>
      </c>
      <c r="K120" s="120">
        <f>$E120*'C2 - Funcionários #'!AK122*IF($C120="Operacional",IFERROR(VLOOKUP($D120,SN_UGC,28,0),0),1)</f>
        <v>0</v>
      </c>
      <c r="L120" s="120">
        <f>$E120*'C2 - Funcionários #'!AL122*IF($C120="Operacional",IFERROR(VLOOKUP($D120,SN_UGC,28,0),0),1)</f>
        <v>0</v>
      </c>
      <c r="M120" s="120">
        <f>$E120*'C2 - Funcionários #'!AM122*IF($C120="Operacional",IFERROR(VLOOKUP($D120,SN_UGC,28,0),0),1)</f>
        <v>0</v>
      </c>
      <c r="N120" s="120">
        <f>$E120*'C2 - Funcionários #'!AN122*IF($C120="Operacional",IFERROR(VLOOKUP($D120,SN_UGC,28,0),0),1)</f>
        <v>0</v>
      </c>
      <c r="O120" s="120">
        <f>$E120*'C2 - Funcionários #'!AO122*IF($C120="Operacional",IFERROR(VLOOKUP($D120,SN_UGC,28,0),0),1)</f>
        <v>0</v>
      </c>
      <c r="P120" s="120">
        <f>$E120*'C2 - Funcionários #'!AP122*IF($C120="Operacional",IFERROR(VLOOKUP($D120,SN_UGC,28,0),0),1)</f>
        <v>0</v>
      </c>
      <c r="Q120" s="120">
        <f>$E120*'C2 - Funcionários #'!AQ122*IF($C120="Operacional",IFERROR(VLOOKUP($D120,SN_UGC,28,0),0),1)</f>
        <v>0</v>
      </c>
      <c r="R120" s="120">
        <f>$E120*'C2 - Funcionários #'!AR122*IF($C120="Operacional",IFERROR(VLOOKUP($D120,SN_UGC,28,0),0),1)</f>
        <v>0</v>
      </c>
      <c r="S120" s="120">
        <f>$E120*'C2 - Funcionários #'!AS122*IF($C120="Operacional",IFERROR(VLOOKUP($D120,SN_UGC,28,0),0),1)</f>
        <v>0</v>
      </c>
      <c r="T120" s="120">
        <f>$E120*'C2 - Funcionários #'!AT122*IF($C120="Operacional",IFERROR(VLOOKUP($D120,SN_UGC,28,0),0),1)</f>
        <v>0</v>
      </c>
      <c r="U120" s="120">
        <f>$E120*'C2 - Funcionários #'!AU122*IF($C120="Operacional",IFERROR(VLOOKUP($D120,SN_UGC,28,0),0),1)</f>
        <v>0</v>
      </c>
      <c r="V120" s="120">
        <f>$E120*'C2 - Funcionários #'!AV122*IF($C120="Operacional",IFERROR(VLOOKUP($D120,SN_UGC,28,0),0),1)</f>
        <v>0</v>
      </c>
      <c r="W120" s="120">
        <f>$E120*'C2 - Funcionários #'!AW122*IF($C120="Operacional",IFERROR(VLOOKUP($D120,SN_UGC,28,0),0),1)</f>
        <v>0</v>
      </c>
      <c r="X120" s="120">
        <f>$E120*'C2 - Funcionários #'!AX122*IF($C120="Operacional",IFERROR(VLOOKUP($D120,SN_UGC,28,0),0),1)</f>
        <v>0</v>
      </c>
      <c r="Y120" s="120">
        <f>$E120*'C2 - Funcionários #'!AY122*IF($C120="Operacional",IFERROR(VLOOKUP($D120,SN_UGC,28,0),0),1)</f>
        <v>0</v>
      </c>
      <c r="Z120" s="120">
        <f>$E120*'C2 - Funcionários #'!AZ122*IF($C120="Operacional",IFERROR(VLOOKUP($D120,SN_UGC,28,0),0),1)</f>
        <v>0</v>
      </c>
      <c r="AA120" s="120">
        <f>$E120*'C2 - Funcionários #'!BA122*IF($C120="Operacional",IFERROR(VLOOKUP($D120,SN_UGC,28,0),0),1)</f>
        <v>0</v>
      </c>
      <c r="AB120" s="120">
        <f>$E120*'C2 - Funcionários #'!BB122*IF($C120="Operacional",IFERROR(VLOOKUP($D120,SN_UGC,28,0),0),1)</f>
        <v>0</v>
      </c>
      <c r="AC120" s="120">
        <f>$E120*'C2 - Funcionários #'!BC122*IF($C120="Operacional",IFERROR(VLOOKUP($D120,SN_UGC,28,0),0),1)</f>
        <v>0</v>
      </c>
      <c r="AD120" s="120">
        <f>$E120*'C2 - Funcionários #'!BD122*IF($C120="Operacional",IFERROR(VLOOKUP($D120,SN_UGC,28,0),0),1)</f>
        <v>0</v>
      </c>
      <c r="AE120" s="120">
        <f>$E120*'C2 - Funcionários #'!BE122*IF($C120="Operacional",IFERROR(VLOOKUP($D120,SN_UGC,28,0),0),1)</f>
        <v>0</v>
      </c>
      <c r="AF120" s="120">
        <f>$E120*'C2 - Funcionários #'!BF122*IF($C120="Operacional",IFERROR(VLOOKUP($D120,SN_UGC,28,0),0),1)</f>
        <v>0</v>
      </c>
      <c r="AG120" s="120">
        <f>$E120*'C2 - Funcionários #'!BG122*IF($C120="Operacional",IFERROR(VLOOKUP($D120,SN_UGC,28,0),0),1)</f>
        <v>0</v>
      </c>
      <c r="AH120" s="120">
        <f>$E120*'C2 - Funcionários #'!BH122*IF($C120="Operacional",IFERROR(VLOOKUP($D120,SN_UGC,28,0),0),1)</f>
        <v>0</v>
      </c>
      <c r="AI120" s="120">
        <f>$E120*'C2 - Funcionários #'!BI122*IF($C120="Operacional",IFERROR(VLOOKUP($D120,SN_UGC,28,0),0),1)</f>
        <v>0</v>
      </c>
      <c r="AJ120" s="120">
        <f>$E120*'C2 - Funcionários #'!BJ122*IF($C120="Operacional",IFERROR(VLOOKUP($D120,SN_UGC,28,0),0),1)</f>
        <v>0</v>
      </c>
    </row>
    <row r="121" spans="1:36" ht="15.75" customHeight="1">
      <c r="A121" s="521"/>
      <c r="B121" s="51">
        <f>'C1 - Cargos e Salários'!B105</f>
        <v>0</v>
      </c>
      <c r="C121" s="51">
        <f>'C1 - Cargos e Salários'!C105</f>
        <v>0</v>
      </c>
      <c r="D121" s="51">
        <f>'C1 - Cargos e Salários'!D105</f>
        <v>0</v>
      </c>
      <c r="E121" s="118">
        <f>'C1 - Cargos e Salários'!K105</f>
        <v>0</v>
      </c>
      <c r="F121" s="119">
        <f>IF(C121="Operacional",IFERROR(VLOOKUP(D121,ReceitaPorTipo,COLUMN('A1 - Serviços e demanda'!$Z$17),0),0),100%)</f>
        <v>1</v>
      </c>
      <c r="G121" s="120">
        <f>E121*F121*'C2 - Funcionários #'!AG123*IF($C121="Operacional",IFERROR(VLOOKUP($D121,SN_UGC,28,0),0),1)</f>
        <v>0</v>
      </c>
      <c r="H121" s="120">
        <f>$E121*'C2 - Funcionários #'!AH123*IF($C121="Operacional",IFERROR(VLOOKUP($D121,SN_UGC,28,0),0),1)</f>
        <v>0</v>
      </c>
      <c r="I121" s="120">
        <f>$E121*'C2 - Funcionários #'!AI123*IF($C121="Operacional",IFERROR(VLOOKUP($D121,SN_UGC,28,0),0),1)</f>
        <v>0</v>
      </c>
      <c r="J121" s="120">
        <f>$E121*'C2 - Funcionários #'!AJ123*IF($C121="Operacional",IFERROR(VLOOKUP($D121,SN_UGC,28,0),0),1)</f>
        <v>0</v>
      </c>
      <c r="K121" s="120">
        <f>$E121*'C2 - Funcionários #'!AK123*IF($C121="Operacional",IFERROR(VLOOKUP($D121,SN_UGC,28,0),0),1)</f>
        <v>0</v>
      </c>
      <c r="L121" s="120">
        <f>$E121*'C2 - Funcionários #'!AL123*IF($C121="Operacional",IFERROR(VLOOKUP($D121,SN_UGC,28,0),0),1)</f>
        <v>0</v>
      </c>
      <c r="M121" s="120">
        <f>$E121*'C2 - Funcionários #'!AM123*IF($C121="Operacional",IFERROR(VLOOKUP($D121,SN_UGC,28,0),0),1)</f>
        <v>0</v>
      </c>
      <c r="N121" s="120">
        <f>$E121*'C2 - Funcionários #'!AN123*IF($C121="Operacional",IFERROR(VLOOKUP($D121,SN_UGC,28,0),0),1)</f>
        <v>0</v>
      </c>
      <c r="O121" s="120">
        <f>$E121*'C2 - Funcionários #'!AO123*IF($C121="Operacional",IFERROR(VLOOKUP($D121,SN_UGC,28,0),0),1)</f>
        <v>0</v>
      </c>
      <c r="P121" s="120">
        <f>$E121*'C2 - Funcionários #'!AP123*IF($C121="Operacional",IFERROR(VLOOKUP($D121,SN_UGC,28,0),0),1)</f>
        <v>0</v>
      </c>
      <c r="Q121" s="120">
        <f>$E121*'C2 - Funcionários #'!AQ123*IF($C121="Operacional",IFERROR(VLOOKUP($D121,SN_UGC,28,0),0),1)</f>
        <v>0</v>
      </c>
      <c r="R121" s="120">
        <f>$E121*'C2 - Funcionários #'!AR123*IF($C121="Operacional",IFERROR(VLOOKUP($D121,SN_UGC,28,0),0),1)</f>
        <v>0</v>
      </c>
      <c r="S121" s="120">
        <f>$E121*'C2 - Funcionários #'!AS123*IF($C121="Operacional",IFERROR(VLOOKUP($D121,SN_UGC,28,0),0),1)</f>
        <v>0</v>
      </c>
      <c r="T121" s="120">
        <f>$E121*'C2 - Funcionários #'!AT123*IF($C121="Operacional",IFERROR(VLOOKUP($D121,SN_UGC,28,0),0),1)</f>
        <v>0</v>
      </c>
      <c r="U121" s="120">
        <f>$E121*'C2 - Funcionários #'!AU123*IF($C121="Operacional",IFERROR(VLOOKUP($D121,SN_UGC,28,0),0),1)</f>
        <v>0</v>
      </c>
      <c r="V121" s="120">
        <f>$E121*'C2 - Funcionários #'!AV123*IF($C121="Operacional",IFERROR(VLOOKUP($D121,SN_UGC,28,0),0),1)</f>
        <v>0</v>
      </c>
      <c r="W121" s="120">
        <f>$E121*'C2 - Funcionários #'!AW123*IF($C121="Operacional",IFERROR(VLOOKUP($D121,SN_UGC,28,0),0),1)</f>
        <v>0</v>
      </c>
      <c r="X121" s="120">
        <f>$E121*'C2 - Funcionários #'!AX123*IF($C121="Operacional",IFERROR(VLOOKUP($D121,SN_UGC,28,0),0),1)</f>
        <v>0</v>
      </c>
      <c r="Y121" s="120">
        <f>$E121*'C2 - Funcionários #'!AY123*IF($C121="Operacional",IFERROR(VLOOKUP($D121,SN_UGC,28,0),0),1)</f>
        <v>0</v>
      </c>
      <c r="Z121" s="120">
        <f>$E121*'C2 - Funcionários #'!AZ123*IF($C121="Operacional",IFERROR(VLOOKUP($D121,SN_UGC,28,0),0),1)</f>
        <v>0</v>
      </c>
      <c r="AA121" s="120">
        <f>$E121*'C2 - Funcionários #'!BA123*IF($C121="Operacional",IFERROR(VLOOKUP($D121,SN_UGC,28,0),0),1)</f>
        <v>0</v>
      </c>
      <c r="AB121" s="120">
        <f>$E121*'C2 - Funcionários #'!BB123*IF($C121="Operacional",IFERROR(VLOOKUP($D121,SN_UGC,28,0),0),1)</f>
        <v>0</v>
      </c>
      <c r="AC121" s="120">
        <f>$E121*'C2 - Funcionários #'!BC123*IF($C121="Operacional",IFERROR(VLOOKUP($D121,SN_UGC,28,0),0),1)</f>
        <v>0</v>
      </c>
      <c r="AD121" s="120">
        <f>$E121*'C2 - Funcionários #'!BD123*IF($C121="Operacional",IFERROR(VLOOKUP($D121,SN_UGC,28,0),0),1)</f>
        <v>0</v>
      </c>
      <c r="AE121" s="120">
        <f>$E121*'C2 - Funcionários #'!BE123*IF($C121="Operacional",IFERROR(VLOOKUP($D121,SN_UGC,28,0),0),1)</f>
        <v>0</v>
      </c>
      <c r="AF121" s="120">
        <f>$E121*'C2 - Funcionários #'!BF123*IF($C121="Operacional",IFERROR(VLOOKUP($D121,SN_UGC,28,0),0),1)</f>
        <v>0</v>
      </c>
      <c r="AG121" s="120">
        <f>$E121*'C2 - Funcionários #'!BG123*IF($C121="Operacional",IFERROR(VLOOKUP($D121,SN_UGC,28,0),0),1)</f>
        <v>0</v>
      </c>
      <c r="AH121" s="120">
        <f>$E121*'C2 - Funcionários #'!BH123*IF($C121="Operacional",IFERROR(VLOOKUP($D121,SN_UGC,28,0),0),1)</f>
        <v>0</v>
      </c>
      <c r="AI121" s="120">
        <f>$E121*'C2 - Funcionários #'!BI123*IF($C121="Operacional",IFERROR(VLOOKUP($D121,SN_UGC,28,0),0),1)</f>
        <v>0</v>
      </c>
      <c r="AJ121" s="120">
        <f>$E121*'C2 - Funcionários #'!BJ123*IF($C121="Operacional",IFERROR(VLOOKUP($D121,SN_UGC,28,0),0),1)</f>
        <v>0</v>
      </c>
    </row>
    <row r="122" spans="1:36" ht="14.25" customHeight="1">
      <c r="A122" s="521"/>
      <c r="B122" s="121" t="s">
        <v>341</v>
      </c>
      <c r="C122" s="587"/>
      <c r="D122" s="587"/>
      <c r="E122" s="587"/>
      <c r="F122" s="122"/>
      <c r="G122" s="123" t="e">
        <f t="shared" ref="G122:AJ122" si="0">SUM(G7:G121)</f>
        <v>#REF!</v>
      </c>
      <c r="H122" s="123" t="e">
        <f t="shared" si="0"/>
        <v>#REF!</v>
      </c>
      <c r="I122" s="123" t="e">
        <f t="shared" si="0"/>
        <v>#REF!</v>
      </c>
      <c r="J122" s="123" t="e">
        <f t="shared" si="0"/>
        <v>#REF!</v>
      </c>
      <c r="K122" s="123" t="e">
        <f t="shared" si="0"/>
        <v>#REF!</v>
      </c>
      <c r="L122" s="123" t="e">
        <f t="shared" si="0"/>
        <v>#REF!</v>
      </c>
      <c r="M122" s="123" t="e">
        <f t="shared" si="0"/>
        <v>#REF!</v>
      </c>
      <c r="N122" s="123" t="e">
        <f t="shared" si="0"/>
        <v>#REF!</v>
      </c>
      <c r="O122" s="123" t="e">
        <f t="shared" si="0"/>
        <v>#REF!</v>
      </c>
      <c r="P122" s="123" t="e">
        <f t="shared" si="0"/>
        <v>#REF!</v>
      </c>
      <c r="Q122" s="123" t="e">
        <f t="shared" si="0"/>
        <v>#REF!</v>
      </c>
      <c r="R122" s="123" t="e">
        <f t="shared" si="0"/>
        <v>#REF!</v>
      </c>
      <c r="S122" s="123" t="e">
        <f t="shared" si="0"/>
        <v>#REF!</v>
      </c>
      <c r="T122" s="123" t="e">
        <f t="shared" si="0"/>
        <v>#REF!</v>
      </c>
      <c r="U122" s="123" t="e">
        <f t="shared" si="0"/>
        <v>#REF!</v>
      </c>
      <c r="V122" s="123" t="e">
        <f t="shared" si="0"/>
        <v>#REF!</v>
      </c>
      <c r="W122" s="123" t="e">
        <f t="shared" si="0"/>
        <v>#REF!</v>
      </c>
      <c r="X122" s="123" t="e">
        <f t="shared" si="0"/>
        <v>#REF!</v>
      </c>
      <c r="Y122" s="123" t="e">
        <f t="shared" si="0"/>
        <v>#REF!</v>
      </c>
      <c r="Z122" s="123" t="e">
        <f t="shared" si="0"/>
        <v>#REF!</v>
      </c>
      <c r="AA122" s="123" t="e">
        <f t="shared" si="0"/>
        <v>#REF!</v>
      </c>
      <c r="AB122" s="123" t="e">
        <f t="shared" si="0"/>
        <v>#REF!</v>
      </c>
      <c r="AC122" s="123" t="e">
        <f t="shared" si="0"/>
        <v>#REF!</v>
      </c>
      <c r="AD122" s="123" t="e">
        <f t="shared" si="0"/>
        <v>#REF!</v>
      </c>
      <c r="AE122" s="123" t="e">
        <f t="shared" si="0"/>
        <v>#REF!</v>
      </c>
      <c r="AF122" s="123" t="e">
        <f t="shared" si="0"/>
        <v>#REF!</v>
      </c>
      <c r="AG122" s="123" t="e">
        <f t="shared" si="0"/>
        <v>#REF!</v>
      </c>
      <c r="AH122" s="123" t="e">
        <f t="shared" si="0"/>
        <v>#REF!</v>
      </c>
      <c r="AI122" s="123" t="e">
        <f t="shared" si="0"/>
        <v>#REF!</v>
      </c>
      <c r="AJ122" s="123" t="e">
        <f t="shared" si="0"/>
        <v>#REF!</v>
      </c>
    </row>
    <row r="123" spans="1:36" ht="14.25" customHeight="1">
      <c r="A123" s="521"/>
      <c r="B123" s="505"/>
      <c r="C123" s="505"/>
      <c r="D123" s="505"/>
      <c r="E123" s="776" t="s">
        <v>209</v>
      </c>
      <c r="F123" s="818"/>
      <c r="G123" s="124">
        <f t="shared" ref="G123:AJ123" si="1">SUMIF($C$7:$C$121,$E123,G$7:G$121)</f>
        <v>1478037.21946454</v>
      </c>
      <c r="H123" s="124">
        <f t="shared" si="1"/>
        <v>5707931.3902891995</v>
      </c>
      <c r="I123" s="124">
        <f t="shared" si="1"/>
        <v>5707931.3902891995</v>
      </c>
      <c r="J123" s="124">
        <f t="shared" si="1"/>
        <v>5707931.3902891995</v>
      </c>
      <c r="K123" s="124">
        <f t="shared" si="1"/>
        <v>5707931.3902891995</v>
      </c>
      <c r="L123" s="124">
        <f t="shared" si="1"/>
        <v>5707931.3902891995</v>
      </c>
      <c r="M123" s="124">
        <f t="shared" si="1"/>
        <v>5707931.3902891995</v>
      </c>
      <c r="N123" s="124">
        <f t="shared" si="1"/>
        <v>5707931.3902891995</v>
      </c>
      <c r="O123" s="124">
        <f t="shared" si="1"/>
        <v>5707931.3902891995</v>
      </c>
      <c r="P123" s="124">
        <f t="shared" si="1"/>
        <v>5707931.3902891995</v>
      </c>
      <c r="Q123" s="124">
        <f t="shared" si="1"/>
        <v>5707931.3902891995</v>
      </c>
      <c r="R123" s="124">
        <f t="shared" si="1"/>
        <v>5707931.3902891995</v>
      </c>
      <c r="S123" s="124">
        <f t="shared" si="1"/>
        <v>5707931.3902891995</v>
      </c>
      <c r="T123" s="124">
        <f t="shared" si="1"/>
        <v>5707931.3902891995</v>
      </c>
      <c r="U123" s="124">
        <f t="shared" si="1"/>
        <v>5707931.3902891995</v>
      </c>
      <c r="V123" s="124">
        <f t="shared" si="1"/>
        <v>5707931.3902891995</v>
      </c>
      <c r="W123" s="124">
        <f t="shared" si="1"/>
        <v>5707931.3902891995</v>
      </c>
      <c r="X123" s="124">
        <f t="shared" si="1"/>
        <v>5707931.3902891995</v>
      </c>
      <c r="Y123" s="124">
        <f t="shared" si="1"/>
        <v>5707931.3902891995</v>
      </c>
      <c r="Z123" s="124">
        <f t="shared" si="1"/>
        <v>5707931.3902891995</v>
      </c>
      <c r="AA123" s="124">
        <f t="shared" si="1"/>
        <v>5707931.3902891995</v>
      </c>
      <c r="AB123" s="124">
        <f t="shared" si="1"/>
        <v>5707931.3902891995</v>
      </c>
      <c r="AC123" s="124">
        <f t="shared" si="1"/>
        <v>5707931.3902891995</v>
      </c>
      <c r="AD123" s="124">
        <f t="shared" si="1"/>
        <v>5707931.3902891995</v>
      </c>
      <c r="AE123" s="124">
        <f t="shared" si="1"/>
        <v>5707931.3902891995</v>
      </c>
      <c r="AF123" s="124">
        <f t="shared" si="1"/>
        <v>5707931.3902891995</v>
      </c>
      <c r="AG123" s="124">
        <f t="shared" si="1"/>
        <v>5707931.3902891995</v>
      </c>
      <c r="AH123" s="124">
        <f t="shared" si="1"/>
        <v>5707931.3902891995</v>
      </c>
      <c r="AI123" s="124">
        <f t="shared" si="1"/>
        <v>5707931.3902891995</v>
      </c>
      <c r="AJ123" s="124">
        <f t="shared" si="1"/>
        <v>5707931.3902891995</v>
      </c>
    </row>
    <row r="124" spans="1:36" ht="14.25" customHeight="1">
      <c r="A124" s="521"/>
      <c r="B124" s="505"/>
      <c r="C124" s="505"/>
      <c r="D124" s="505"/>
      <c r="E124" s="776" t="s">
        <v>196</v>
      </c>
      <c r="F124" s="818"/>
      <c r="G124" s="124">
        <f t="shared" ref="G124:AJ124" si="2">SUMIF($C$7:$C$121,$E124,G$7:G$121)</f>
        <v>0</v>
      </c>
      <c r="H124" s="124">
        <f t="shared" si="2"/>
        <v>0</v>
      </c>
      <c r="I124" s="124">
        <f t="shared" si="2"/>
        <v>0</v>
      </c>
      <c r="J124" s="124">
        <f t="shared" si="2"/>
        <v>0</v>
      </c>
      <c r="K124" s="124">
        <f t="shared" si="2"/>
        <v>0</v>
      </c>
      <c r="L124" s="124">
        <f t="shared" si="2"/>
        <v>0</v>
      </c>
      <c r="M124" s="124">
        <f t="shared" si="2"/>
        <v>0</v>
      </c>
      <c r="N124" s="124">
        <f t="shared" si="2"/>
        <v>0</v>
      </c>
      <c r="O124" s="124">
        <f t="shared" si="2"/>
        <v>0</v>
      </c>
      <c r="P124" s="124">
        <f t="shared" si="2"/>
        <v>0</v>
      </c>
      <c r="Q124" s="124">
        <f t="shared" si="2"/>
        <v>0</v>
      </c>
      <c r="R124" s="124">
        <f t="shared" si="2"/>
        <v>0</v>
      </c>
      <c r="S124" s="124">
        <f t="shared" si="2"/>
        <v>0</v>
      </c>
      <c r="T124" s="124">
        <f t="shared" si="2"/>
        <v>0</v>
      </c>
      <c r="U124" s="124">
        <f t="shared" si="2"/>
        <v>0</v>
      </c>
      <c r="V124" s="124">
        <f t="shared" si="2"/>
        <v>0</v>
      </c>
      <c r="W124" s="124">
        <f t="shared" si="2"/>
        <v>0</v>
      </c>
      <c r="X124" s="124">
        <f t="shared" si="2"/>
        <v>0</v>
      </c>
      <c r="Y124" s="124">
        <f t="shared" si="2"/>
        <v>0</v>
      </c>
      <c r="Z124" s="124">
        <f t="shared" si="2"/>
        <v>0</v>
      </c>
      <c r="AA124" s="124">
        <f t="shared" si="2"/>
        <v>0</v>
      </c>
      <c r="AB124" s="124">
        <f t="shared" si="2"/>
        <v>0</v>
      </c>
      <c r="AC124" s="124">
        <f t="shared" si="2"/>
        <v>0</v>
      </c>
      <c r="AD124" s="124">
        <f t="shared" si="2"/>
        <v>0</v>
      </c>
      <c r="AE124" s="124">
        <f t="shared" si="2"/>
        <v>0</v>
      </c>
      <c r="AF124" s="124">
        <f t="shared" si="2"/>
        <v>0</v>
      </c>
      <c r="AG124" s="124">
        <f t="shared" si="2"/>
        <v>0</v>
      </c>
      <c r="AH124" s="124">
        <f t="shared" si="2"/>
        <v>0</v>
      </c>
      <c r="AI124" s="124">
        <f t="shared" si="2"/>
        <v>0</v>
      </c>
      <c r="AJ124" s="124">
        <f t="shared" si="2"/>
        <v>0</v>
      </c>
    </row>
    <row r="125" spans="1:36" ht="14.25" customHeight="1">
      <c r="A125" s="521"/>
      <c r="B125" s="505"/>
      <c r="C125" s="505"/>
      <c r="D125" s="505"/>
      <c r="E125" s="776" t="s">
        <v>191</v>
      </c>
      <c r="F125" s="818"/>
      <c r="G125" s="124">
        <f t="shared" ref="G125:AJ125" si="3">SUMIF($C$7:$C$121,$E125,G$7:G$121)</f>
        <v>4549090.2875609603</v>
      </c>
      <c r="H125" s="124">
        <f t="shared" si="3"/>
        <v>4549090.2875609603</v>
      </c>
      <c r="I125" s="124">
        <f t="shared" si="3"/>
        <v>4549090.2875609603</v>
      </c>
      <c r="J125" s="124">
        <f t="shared" si="3"/>
        <v>4549090.2875609603</v>
      </c>
      <c r="K125" s="124">
        <f t="shared" si="3"/>
        <v>4549090.2875609603</v>
      </c>
      <c r="L125" s="124">
        <f t="shared" si="3"/>
        <v>4549090.2875609603</v>
      </c>
      <c r="M125" s="124">
        <f t="shared" si="3"/>
        <v>4549090.2875609603</v>
      </c>
      <c r="N125" s="124">
        <f t="shared" si="3"/>
        <v>4549090.2875609603</v>
      </c>
      <c r="O125" s="124">
        <f t="shared" si="3"/>
        <v>4549090.2875609603</v>
      </c>
      <c r="P125" s="124">
        <f t="shared" si="3"/>
        <v>4549090.2875609603</v>
      </c>
      <c r="Q125" s="124">
        <f t="shared" si="3"/>
        <v>4549090.2875609603</v>
      </c>
      <c r="R125" s="124">
        <f t="shared" si="3"/>
        <v>4549090.2875609603</v>
      </c>
      <c r="S125" s="124">
        <f t="shared" si="3"/>
        <v>4549090.2875609603</v>
      </c>
      <c r="T125" s="124">
        <f t="shared" si="3"/>
        <v>4549090.2875609603</v>
      </c>
      <c r="U125" s="124">
        <f t="shared" si="3"/>
        <v>4549090.2875609603</v>
      </c>
      <c r="V125" s="124">
        <f t="shared" si="3"/>
        <v>4549090.2875609603</v>
      </c>
      <c r="W125" s="124">
        <f t="shared" si="3"/>
        <v>4549090.2875609603</v>
      </c>
      <c r="X125" s="124">
        <f t="shared" si="3"/>
        <v>4549090.2875609603</v>
      </c>
      <c r="Y125" s="124">
        <f t="shared" si="3"/>
        <v>4549090.2875609603</v>
      </c>
      <c r="Z125" s="124">
        <f t="shared" si="3"/>
        <v>4549090.2875609603</v>
      </c>
      <c r="AA125" s="124">
        <f t="shared" si="3"/>
        <v>4549090.2875609603</v>
      </c>
      <c r="AB125" s="124">
        <f t="shared" si="3"/>
        <v>4549090.2875609603</v>
      </c>
      <c r="AC125" s="124">
        <f t="shared" si="3"/>
        <v>4549090.2875609603</v>
      </c>
      <c r="AD125" s="124">
        <f t="shared" si="3"/>
        <v>4549090.2875609603</v>
      </c>
      <c r="AE125" s="124">
        <f t="shared" si="3"/>
        <v>4549090.2875609603</v>
      </c>
      <c r="AF125" s="124">
        <f t="shared" si="3"/>
        <v>4549090.2875609603</v>
      </c>
      <c r="AG125" s="124">
        <f t="shared" si="3"/>
        <v>4549090.2875609603</v>
      </c>
      <c r="AH125" s="124">
        <f t="shared" si="3"/>
        <v>4549090.2875609603</v>
      </c>
      <c r="AI125" s="124">
        <f t="shared" si="3"/>
        <v>4549090.2875609603</v>
      </c>
      <c r="AJ125" s="124">
        <f t="shared" si="3"/>
        <v>4549090.2875609603</v>
      </c>
    </row>
    <row r="126" spans="1:36" ht="15.75" customHeight="1">
      <c r="A126" s="521"/>
      <c r="B126" s="521"/>
      <c r="C126" s="521"/>
      <c r="D126" s="521"/>
      <c r="E126" s="521"/>
      <c r="F126" s="521"/>
      <c r="G126" s="588"/>
      <c r="H126" s="589"/>
      <c r="I126" s="589"/>
      <c r="J126" s="521"/>
      <c r="K126" s="589"/>
      <c r="L126" s="521"/>
      <c r="M126" s="521"/>
      <c r="N126" s="521"/>
      <c r="O126" s="521"/>
      <c r="P126" s="521"/>
      <c r="Q126" s="521"/>
      <c r="R126" s="521"/>
      <c r="S126" s="521"/>
      <c r="T126" s="521"/>
      <c r="U126" s="521"/>
      <c r="V126" s="521"/>
      <c r="W126" s="521"/>
      <c r="X126" s="521"/>
      <c r="Y126" s="521"/>
      <c r="Z126" s="521"/>
      <c r="AA126" s="521"/>
      <c r="AB126" s="521"/>
      <c r="AC126" s="521"/>
      <c r="AD126" s="521"/>
      <c r="AE126" s="521"/>
      <c r="AF126" s="521"/>
      <c r="AG126" s="521"/>
      <c r="AH126" s="521"/>
      <c r="AI126" s="521"/>
      <c r="AJ126" s="521"/>
    </row>
    <row r="127" spans="1:36" ht="21" customHeight="1">
      <c r="A127" s="505"/>
      <c r="B127" s="774" t="s">
        <v>342</v>
      </c>
      <c r="C127" s="817"/>
      <c r="D127" s="817"/>
      <c r="E127" s="817"/>
      <c r="F127" s="818"/>
      <c r="G127" s="125" t="e">
        <f t="shared" ref="G127:AJ127" si="4">G122/365</f>
        <v>#REF!</v>
      </c>
      <c r="H127" s="125" t="e">
        <f t="shared" si="4"/>
        <v>#REF!</v>
      </c>
      <c r="I127" s="125" t="e">
        <f t="shared" si="4"/>
        <v>#REF!</v>
      </c>
      <c r="J127" s="125" t="e">
        <f t="shared" si="4"/>
        <v>#REF!</v>
      </c>
      <c r="K127" s="125" t="e">
        <f t="shared" si="4"/>
        <v>#REF!</v>
      </c>
      <c r="L127" s="125" t="e">
        <f t="shared" si="4"/>
        <v>#REF!</v>
      </c>
      <c r="M127" s="125" t="e">
        <f t="shared" si="4"/>
        <v>#REF!</v>
      </c>
      <c r="N127" s="125" t="e">
        <f t="shared" si="4"/>
        <v>#REF!</v>
      </c>
      <c r="O127" s="125" t="e">
        <f t="shared" si="4"/>
        <v>#REF!</v>
      </c>
      <c r="P127" s="125" t="e">
        <f t="shared" si="4"/>
        <v>#REF!</v>
      </c>
      <c r="Q127" s="125" t="e">
        <f t="shared" si="4"/>
        <v>#REF!</v>
      </c>
      <c r="R127" s="125" t="e">
        <f t="shared" si="4"/>
        <v>#REF!</v>
      </c>
      <c r="S127" s="125" t="e">
        <f t="shared" si="4"/>
        <v>#REF!</v>
      </c>
      <c r="T127" s="125" t="e">
        <f t="shared" si="4"/>
        <v>#REF!</v>
      </c>
      <c r="U127" s="125" t="e">
        <f t="shared" si="4"/>
        <v>#REF!</v>
      </c>
      <c r="V127" s="125" t="e">
        <f t="shared" si="4"/>
        <v>#REF!</v>
      </c>
      <c r="W127" s="125" t="e">
        <f t="shared" si="4"/>
        <v>#REF!</v>
      </c>
      <c r="X127" s="125" t="e">
        <f t="shared" si="4"/>
        <v>#REF!</v>
      </c>
      <c r="Y127" s="125" t="e">
        <f t="shared" si="4"/>
        <v>#REF!</v>
      </c>
      <c r="Z127" s="125" t="e">
        <f t="shared" si="4"/>
        <v>#REF!</v>
      </c>
      <c r="AA127" s="125" t="e">
        <f t="shared" si="4"/>
        <v>#REF!</v>
      </c>
      <c r="AB127" s="125" t="e">
        <f t="shared" si="4"/>
        <v>#REF!</v>
      </c>
      <c r="AC127" s="125" t="e">
        <f t="shared" si="4"/>
        <v>#REF!</v>
      </c>
      <c r="AD127" s="125" t="e">
        <f t="shared" si="4"/>
        <v>#REF!</v>
      </c>
      <c r="AE127" s="125" t="e">
        <f t="shared" si="4"/>
        <v>#REF!</v>
      </c>
      <c r="AF127" s="125" t="e">
        <f t="shared" si="4"/>
        <v>#REF!</v>
      </c>
      <c r="AG127" s="125" t="e">
        <f t="shared" si="4"/>
        <v>#REF!</v>
      </c>
      <c r="AH127" s="125" t="e">
        <f t="shared" si="4"/>
        <v>#REF!</v>
      </c>
      <c r="AI127" s="125" t="e">
        <f t="shared" si="4"/>
        <v>#REF!</v>
      </c>
      <c r="AJ127" s="125" t="e">
        <f t="shared" si="4"/>
        <v>#REF!</v>
      </c>
    </row>
    <row r="128" spans="1:36" ht="15.75" customHeight="1">
      <c r="A128" s="521"/>
      <c r="B128" s="590"/>
      <c r="C128" s="590"/>
      <c r="D128" s="590"/>
      <c r="E128" s="521"/>
      <c r="F128" s="521"/>
      <c r="G128" s="591"/>
      <c r="H128" s="589"/>
      <c r="I128" s="589"/>
      <c r="J128" s="521"/>
      <c r="K128" s="589"/>
      <c r="L128" s="521"/>
      <c r="M128" s="521"/>
      <c r="N128" s="521"/>
      <c r="O128" s="521"/>
      <c r="P128" s="521"/>
      <c r="Q128" s="521"/>
      <c r="R128" s="521"/>
      <c r="S128" s="521"/>
      <c r="T128" s="521"/>
      <c r="U128" s="521"/>
      <c r="V128" s="521"/>
      <c r="W128" s="521"/>
      <c r="X128" s="521"/>
      <c r="Y128" s="521"/>
      <c r="Z128" s="521"/>
      <c r="AA128" s="521"/>
      <c r="AB128" s="521"/>
      <c r="AC128" s="521"/>
      <c r="AD128" s="521"/>
      <c r="AE128" s="521"/>
      <c r="AF128" s="521"/>
      <c r="AG128" s="521"/>
      <c r="AH128" s="521"/>
      <c r="AI128" s="521"/>
      <c r="AJ128" s="521"/>
    </row>
    <row r="129" spans="1:36" ht="21" customHeight="1">
      <c r="A129" s="505"/>
      <c r="B129" s="774" t="s">
        <v>343</v>
      </c>
      <c r="C129" s="817"/>
      <c r="D129" s="817"/>
      <c r="E129" s="817"/>
      <c r="F129" s="818"/>
      <c r="G129" s="125" t="e">
        <f>G122/'C2 - Funcionários #'!AG124</f>
        <v>#REF!</v>
      </c>
      <c r="H129" s="125" t="e">
        <f>H122/'C2 - Funcionários #'!AH124</f>
        <v>#REF!</v>
      </c>
      <c r="I129" s="125" t="e">
        <f>I122/'C2 - Funcionários #'!AI124</f>
        <v>#REF!</v>
      </c>
      <c r="J129" s="125" t="e">
        <f>J122/'C2 - Funcionários #'!AJ124</f>
        <v>#REF!</v>
      </c>
      <c r="K129" s="125" t="e">
        <f>K122/'C2 - Funcionários #'!AK124</f>
        <v>#REF!</v>
      </c>
      <c r="L129" s="125" t="e">
        <f>L122/'C2 - Funcionários #'!AL124</f>
        <v>#REF!</v>
      </c>
      <c r="M129" s="125" t="e">
        <f>M122/'C2 - Funcionários #'!AM124</f>
        <v>#REF!</v>
      </c>
      <c r="N129" s="125" t="e">
        <f>N122/'C2 - Funcionários #'!AN124</f>
        <v>#REF!</v>
      </c>
      <c r="O129" s="125" t="e">
        <f>O122/'C2 - Funcionários #'!AO124</f>
        <v>#REF!</v>
      </c>
      <c r="P129" s="125" t="e">
        <f>P122/'C2 - Funcionários #'!AP124</f>
        <v>#REF!</v>
      </c>
      <c r="Q129" s="125" t="e">
        <f>Q122/'C2 - Funcionários #'!AQ124</f>
        <v>#REF!</v>
      </c>
      <c r="R129" s="125" t="e">
        <f>R122/'C2 - Funcionários #'!AR124</f>
        <v>#REF!</v>
      </c>
      <c r="S129" s="125" t="e">
        <f>S122/'C2 - Funcionários #'!AS124</f>
        <v>#REF!</v>
      </c>
      <c r="T129" s="125" t="e">
        <f>T122/'C2 - Funcionários #'!AT124</f>
        <v>#REF!</v>
      </c>
      <c r="U129" s="125" t="e">
        <f>U122/'C2 - Funcionários #'!AU124</f>
        <v>#REF!</v>
      </c>
      <c r="V129" s="125" t="e">
        <f>V122/'C2 - Funcionários #'!AV124</f>
        <v>#REF!</v>
      </c>
      <c r="W129" s="125" t="e">
        <f>W122/'C2 - Funcionários #'!AW124</f>
        <v>#REF!</v>
      </c>
      <c r="X129" s="125" t="e">
        <f>X122/'C2 - Funcionários #'!AX124</f>
        <v>#REF!</v>
      </c>
      <c r="Y129" s="125" t="e">
        <f>Y122/'C2 - Funcionários #'!AY124</f>
        <v>#REF!</v>
      </c>
      <c r="Z129" s="125" t="e">
        <f>Z122/'C2 - Funcionários #'!AZ124</f>
        <v>#REF!</v>
      </c>
      <c r="AA129" s="125" t="e">
        <f>AA122/'C2 - Funcionários #'!BA124</f>
        <v>#REF!</v>
      </c>
      <c r="AB129" s="125" t="e">
        <f>AB122/'C2 - Funcionários #'!BB124</f>
        <v>#REF!</v>
      </c>
      <c r="AC129" s="125" t="e">
        <f>AC122/'C2 - Funcionários #'!BC124</f>
        <v>#REF!</v>
      </c>
      <c r="AD129" s="125" t="e">
        <f>AD122/'C2 - Funcionários #'!BD124</f>
        <v>#REF!</v>
      </c>
      <c r="AE129" s="125" t="e">
        <f>AE122/'C2 - Funcionários #'!BE124</f>
        <v>#REF!</v>
      </c>
      <c r="AF129" s="125" t="e">
        <f>AF122/'C2 - Funcionários #'!BF124</f>
        <v>#REF!</v>
      </c>
      <c r="AG129" s="125" t="e">
        <f>AG122/'C2 - Funcionários #'!BG124</f>
        <v>#REF!</v>
      </c>
      <c r="AH129" s="125" t="e">
        <f>AH122/'C2 - Funcionários #'!BH124</f>
        <v>#REF!</v>
      </c>
      <c r="AI129" s="125" t="e">
        <f>AI122/'C2 - Funcionários #'!BI124</f>
        <v>#REF!</v>
      </c>
      <c r="AJ129" s="125" t="e">
        <f>AJ122/'C2 - Funcionários #'!BJ124</f>
        <v>#REF!</v>
      </c>
    </row>
  </sheetData>
  <autoFilter ref="B5:Z125" xr:uid="{00000000-0009-0000-0000-00000B000000}"/>
  <mergeCells count="6">
    <mergeCell ref="B129:F129"/>
    <mergeCell ref="B2:AJ2"/>
    <mergeCell ref="E123:F123"/>
    <mergeCell ref="E124:F124"/>
    <mergeCell ref="E125:F125"/>
    <mergeCell ref="B127:F127"/>
  </mergeCells>
  <pageMargins left="0.70866141732283472" right="0.70866141732283472" top="0.74803149606299213" bottom="0.74803149606299213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13">
    <tabColor rgb="FFC55A11"/>
  </sheetPr>
  <dimension ref="A1:K190"/>
  <sheetViews>
    <sheetView zoomScale="130" zoomScaleNormal="130" workbookViewId="0">
      <pane xSplit="1" ySplit="3" topLeftCell="B4" activePane="bottomRight" state="frozen"/>
      <selection pane="bottomRight"/>
      <selection pane="bottomLeft" activeCell="A4" sqref="A4"/>
      <selection pane="topRight" activeCell="B1" sqref="B1"/>
    </sheetView>
  </sheetViews>
  <sheetFormatPr defaultColWidth="11.44140625" defaultRowHeight="15" customHeight="1"/>
  <cols>
    <col min="1" max="1" width="35.109375" customWidth="1"/>
    <col min="2" max="2" width="10.44140625" customWidth="1"/>
    <col min="3" max="3" width="12.6640625" customWidth="1"/>
    <col min="4" max="5" width="15.5546875" customWidth="1"/>
    <col min="6" max="6" width="24.5546875" customWidth="1"/>
    <col min="7" max="9" width="15.5546875" customWidth="1"/>
    <col min="10" max="10" width="10.5546875" hidden="1" customWidth="1"/>
    <col min="11" max="11" width="127.5546875" customWidth="1"/>
    <col min="12" max="26" width="11.44140625" customWidth="1"/>
  </cols>
  <sheetData>
    <row r="1" spans="1:11" ht="15.75" customHeight="1">
      <c r="A1" s="126">
        <v>1</v>
      </c>
      <c r="B1" s="126">
        <v>2</v>
      </c>
      <c r="C1" s="126">
        <v>3</v>
      </c>
      <c r="D1" s="126">
        <v>8</v>
      </c>
      <c r="E1" s="126">
        <v>9</v>
      </c>
      <c r="F1" s="126">
        <v>10</v>
      </c>
      <c r="G1" s="126">
        <v>11</v>
      </c>
      <c r="H1" s="126">
        <v>12</v>
      </c>
      <c r="I1" s="126">
        <v>13</v>
      </c>
      <c r="J1" s="127"/>
      <c r="K1" s="127"/>
    </row>
    <row r="2" spans="1:11" ht="15.75" customHeight="1">
      <c r="A2" s="592" t="s">
        <v>344</v>
      </c>
      <c r="B2" s="593"/>
      <c r="C2" s="486"/>
      <c r="D2" s="593"/>
      <c r="E2" s="593"/>
      <c r="F2" s="594"/>
      <c r="G2" s="594"/>
      <c r="H2" s="594"/>
      <c r="I2" s="594"/>
      <c r="J2" s="127"/>
      <c r="K2" s="127"/>
    </row>
    <row r="3" spans="1:11" ht="51" customHeight="1">
      <c r="A3" s="595" t="s">
        <v>164</v>
      </c>
      <c r="B3" s="595" t="s">
        <v>8</v>
      </c>
      <c r="C3" s="128" t="s">
        <v>345</v>
      </c>
      <c r="D3" s="595" t="s">
        <v>346</v>
      </c>
      <c r="E3" s="595" t="s">
        <v>347</v>
      </c>
      <c r="F3" s="595" t="s">
        <v>338</v>
      </c>
      <c r="G3" s="596" t="s">
        <v>348</v>
      </c>
      <c r="H3" s="596" t="s">
        <v>349</v>
      </c>
      <c r="I3" s="596" t="s">
        <v>350</v>
      </c>
      <c r="J3" s="596"/>
      <c r="K3" s="596" t="s">
        <v>351</v>
      </c>
    </row>
    <row r="4" spans="1:11" ht="15.75" customHeight="1">
      <c r="A4" s="129" t="s">
        <v>352</v>
      </c>
      <c r="B4" s="126" t="s">
        <v>353</v>
      </c>
      <c r="C4" s="597">
        <v>2156.9</v>
      </c>
      <c r="D4" s="130">
        <v>30</v>
      </c>
      <c r="E4" s="131">
        <v>0</v>
      </c>
      <c r="F4" s="127" t="s">
        <v>354</v>
      </c>
      <c r="G4" s="131">
        <v>0.05</v>
      </c>
      <c r="H4" s="126" t="s">
        <v>82</v>
      </c>
      <c r="I4" s="126" t="s">
        <v>355</v>
      </c>
      <c r="J4" s="127">
        <f t="shared" ref="J4:J190" si="0">COUNTIF(A$4:A$190,A4)</f>
        <v>1</v>
      </c>
      <c r="K4" s="127" t="s">
        <v>356</v>
      </c>
    </row>
    <row r="5" spans="1:11" ht="15.75" customHeight="1">
      <c r="A5" s="129" t="s">
        <v>357</v>
      </c>
      <c r="B5" s="126" t="s">
        <v>358</v>
      </c>
      <c r="C5" s="597">
        <v>1600</v>
      </c>
      <c r="D5" s="130">
        <v>10</v>
      </c>
      <c r="E5" s="131">
        <v>0</v>
      </c>
      <c r="F5" s="127" t="s">
        <v>359</v>
      </c>
      <c r="G5" s="131">
        <v>0.05</v>
      </c>
      <c r="H5" s="126" t="s">
        <v>82</v>
      </c>
      <c r="I5" s="126" t="s">
        <v>355</v>
      </c>
      <c r="J5" s="127">
        <f t="shared" si="0"/>
        <v>1</v>
      </c>
      <c r="K5" s="127"/>
    </row>
    <row r="6" spans="1:11" ht="15.75" customHeight="1">
      <c r="A6" s="129" t="s">
        <v>360</v>
      </c>
      <c r="B6" s="126" t="s">
        <v>358</v>
      </c>
      <c r="C6" s="597">
        <v>2753.2</v>
      </c>
      <c r="D6" s="130">
        <v>3</v>
      </c>
      <c r="E6" s="131">
        <v>0.25</v>
      </c>
      <c r="F6" s="127" t="s">
        <v>361</v>
      </c>
      <c r="G6" s="131">
        <v>0.05</v>
      </c>
      <c r="H6" s="126" t="s">
        <v>82</v>
      </c>
      <c r="I6" s="126" t="s">
        <v>82</v>
      </c>
      <c r="J6" s="127">
        <f t="shared" si="0"/>
        <v>1</v>
      </c>
      <c r="K6" s="127"/>
    </row>
    <row r="7" spans="1:11" ht="15.75" customHeight="1">
      <c r="A7" s="129" t="s">
        <v>362</v>
      </c>
      <c r="B7" s="126" t="s">
        <v>353</v>
      </c>
      <c r="C7" s="597">
        <v>43</v>
      </c>
      <c r="D7" s="130">
        <v>30</v>
      </c>
      <c r="E7" s="131">
        <v>1</v>
      </c>
      <c r="F7" s="127" t="s">
        <v>359</v>
      </c>
      <c r="G7" s="131">
        <v>0.1</v>
      </c>
      <c r="H7" s="126" t="s">
        <v>82</v>
      </c>
      <c r="I7" s="126" t="s">
        <v>355</v>
      </c>
      <c r="J7" s="127">
        <f t="shared" si="0"/>
        <v>1</v>
      </c>
      <c r="K7" s="127"/>
    </row>
    <row r="8" spans="1:11" ht="15.75" customHeight="1">
      <c r="A8" s="129" t="s">
        <v>363</v>
      </c>
      <c r="B8" s="126" t="s">
        <v>358</v>
      </c>
      <c r="C8" s="597">
        <v>846.99</v>
      </c>
      <c r="D8" s="130">
        <v>5</v>
      </c>
      <c r="E8" s="131">
        <v>0</v>
      </c>
      <c r="F8" s="127" t="s">
        <v>171</v>
      </c>
      <c r="G8" s="131">
        <v>0.05</v>
      </c>
      <c r="H8" s="126" t="s">
        <v>82</v>
      </c>
      <c r="I8" s="126" t="s">
        <v>355</v>
      </c>
      <c r="J8" s="127">
        <f t="shared" si="0"/>
        <v>1</v>
      </c>
      <c r="K8" s="127"/>
    </row>
    <row r="9" spans="1:11" ht="15.75" customHeight="1">
      <c r="A9" s="129" t="s">
        <v>364</v>
      </c>
      <c r="B9" s="126" t="s">
        <v>358</v>
      </c>
      <c r="C9" s="597">
        <v>922.9</v>
      </c>
      <c r="D9" s="130">
        <v>10</v>
      </c>
      <c r="E9" s="131">
        <v>0</v>
      </c>
      <c r="F9" s="127" t="s">
        <v>171</v>
      </c>
      <c r="G9" s="131">
        <v>0.05</v>
      </c>
      <c r="H9" s="126" t="s">
        <v>82</v>
      </c>
      <c r="I9" s="126" t="s">
        <v>355</v>
      </c>
      <c r="J9" s="127">
        <f t="shared" si="0"/>
        <v>1</v>
      </c>
      <c r="K9" s="127"/>
    </row>
    <row r="10" spans="1:11" ht="15.75" customHeight="1">
      <c r="A10" s="132" t="s">
        <v>365</v>
      </c>
      <c r="B10" s="133" t="s">
        <v>358</v>
      </c>
      <c r="C10" s="598">
        <v>1400.3</v>
      </c>
      <c r="D10" s="134">
        <v>10</v>
      </c>
      <c r="E10" s="135">
        <v>0.4</v>
      </c>
      <c r="F10" s="136" t="s">
        <v>366</v>
      </c>
      <c r="G10" s="135">
        <v>0.05</v>
      </c>
      <c r="H10" s="126" t="s">
        <v>82</v>
      </c>
      <c r="I10" s="126" t="s">
        <v>82</v>
      </c>
      <c r="J10" s="127">
        <f t="shared" si="0"/>
        <v>1</v>
      </c>
      <c r="K10" s="127"/>
    </row>
    <row r="11" spans="1:11" ht="15.75" customHeight="1">
      <c r="A11" s="129" t="s">
        <v>367</v>
      </c>
      <c r="B11" s="126" t="s">
        <v>353</v>
      </c>
      <c r="C11" s="597">
        <v>40</v>
      </c>
      <c r="D11" s="130">
        <v>30</v>
      </c>
      <c r="E11" s="131">
        <v>1</v>
      </c>
      <c r="F11" s="127" t="s">
        <v>359</v>
      </c>
      <c r="G11" s="131">
        <v>0.05</v>
      </c>
      <c r="H11" s="126" t="s">
        <v>82</v>
      </c>
      <c r="I11" s="126" t="s">
        <v>355</v>
      </c>
      <c r="J11" s="127">
        <f t="shared" si="0"/>
        <v>1</v>
      </c>
      <c r="K11" s="127"/>
    </row>
    <row r="12" spans="1:11" ht="15.75" customHeight="1">
      <c r="A12" s="129" t="s">
        <v>368</v>
      </c>
      <c r="B12" s="126" t="s">
        <v>358</v>
      </c>
      <c r="C12" s="597">
        <v>1440</v>
      </c>
      <c r="D12" s="130">
        <v>30</v>
      </c>
      <c r="E12" s="131">
        <v>0</v>
      </c>
      <c r="F12" s="127" t="s">
        <v>359</v>
      </c>
      <c r="G12" s="131">
        <v>0.05</v>
      </c>
      <c r="H12" s="126" t="s">
        <v>82</v>
      </c>
      <c r="I12" s="126" t="s">
        <v>355</v>
      </c>
      <c r="J12" s="127">
        <f t="shared" si="0"/>
        <v>1</v>
      </c>
      <c r="K12" s="127"/>
    </row>
    <row r="13" spans="1:11" ht="15.75" customHeight="1">
      <c r="A13" s="129" t="s">
        <v>369</v>
      </c>
      <c r="B13" s="126" t="s">
        <v>370</v>
      </c>
      <c r="C13" s="597">
        <v>2101.1</v>
      </c>
      <c r="D13" s="130">
        <v>10</v>
      </c>
      <c r="E13" s="131">
        <v>0.25</v>
      </c>
      <c r="F13" s="127" t="s">
        <v>371</v>
      </c>
      <c r="G13" s="131">
        <v>0.05</v>
      </c>
      <c r="H13" s="126" t="s">
        <v>82</v>
      </c>
      <c r="I13" s="126" t="s">
        <v>82</v>
      </c>
      <c r="J13" s="127">
        <f t="shared" si="0"/>
        <v>1</v>
      </c>
      <c r="K13" s="127"/>
    </row>
    <row r="14" spans="1:11" ht="15.75" customHeight="1">
      <c r="A14" s="129" t="s">
        <v>372</v>
      </c>
      <c r="B14" s="126" t="s">
        <v>358</v>
      </c>
      <c r="C14" s="597">
        <v>164.67</v>
      </c>
      <c r="D14" s="130">
        <v>10</v>
      </c>
      <c r="E14" s="131">
        <v>0.25</v>
      </c>
      <c r="F14" s="127" t="s">
        <v>371</v>
      </c>
      <c r="G14" s="131">
        <v>0.05</v>
      </c>
      <c r="H14" s="126" t="s">
        <v>82</v>
      </c>
      <c r="I14" s="126" t="s">
        <v>82</v>
      </c>
      <c r="J14" s="127">
        <f t="shared" si="0"/>
        <v>1</v>
      </c>
      <c r="K14" s="127"/>
    </row>
    <row r="15" spans="1:11" ht="15.75" customHeight="1">
      <c r="A15" s="129" t="s">
        <v>373</v>
      </c>
      <c r="B15" s="126" t="s">
        <v>358</v>
      </c>
      <c r="C15" s="597">
        <v>53.9</v>
      </c>
      <c r="D15" s="130">
        <v>5</v>
      </c>
      <c r="E15" s="131">
        <v>0</v>
      </c>
      <c r="F15" s="127" t="s">
        <v>371</v>
      </c>
      <c r="G15" s="131">
        <v>0</v>
      </c>
      <c r="H15" s="126" t="s">
        <v>82</v>
      </c>
      <c r="I15" s="126" t="s">
        <v>82</v>
      </c>
      <c r="J15" s="127">
        <f t="shared" si="0"/>
        <v>1</v>
      </c>
      <c r="K15" s="127"/>
    </row>
    <row r="16" spans="1:11" ht="15.75" customHeight="1">
      <c r="A16" s="129" t="s">
        <v>374</v>
      </c>
      <c r="B16" s="126" t="s">
        <v>358</v>
      </c>
      <c r="C16" s="597">
        <v>3329.1</v>
      </c>
      <c r="D16" s="130">
        <v>5</v>
      </c>
      <c r="E16" s="131">
        <v>0.25</v>
      </c>
      <c r="F16" s="127" t="s">
        <v>366</v>
      </c>
      <c r="G16" s="131">
        <v>0.05</v>
      </c>
      <c r="H16" s="126" t="s">
        <v>82</v>
      </c>
      <c r="I16" s="126" t="s">
        <v>82</v>
      </c>
      <c r="J16" s="127">
        <f t="shared" si="0"/>
        <v>1</v>
      </c>
      <c r="K16" s="127"/>
    </row>
    <row r="17" spans="1:11" ht="15.75" customHeight="1">
      <c r="A17" s="129" t="s">
        <v>375</v>
      </c>
      <c r="B17" s="126" t="s">
        <v>376</v>
      </c>
      <c r="C17" s="597">
        <v>2470</v>
      </c>
      <c r="D17" s="130">
        <v>10</v>
      </c>
      <c r="E17" s="131">
        <v>0</v>
      </c>
      <c r="F17" s="127" t="s">
        <v>371</v>
      </c>
      <c r="G17" s="131">
        <v>0.05</v>
      </c>
      <c r="H17" s="126" t="s">
        <v>82</v>
      </c>
      <c r="I17" s="126" t="s">
        <v>355</v>
      </c>
      <c r="J17" s="127">
        <f t="shared" si="0"/>
        <v>1</v>
      </c>
      <c r="K17" s="127"/>
    </row>
    <row r="18" spans="1:11" ht="15.75" customHeight="1">
      <c r="A18" s="129" t="s">
        <v>377</v>
      </c>
      <c r="B18" s="126" t="s">
        <v>358</v>
      </c>
      <c r="C18" s="597">
        <v>42110</v>
      </c>
      <c r="D18" s="130">
        <v>5</v>
      </c>
      <c r="E18" s="131">
        <v>0.4</v>
      </c>
      <c r="F18" s="127" t="s">
        <v>378</v>
      </c>
      <c r="G18" s="131">
        <v>0.05</v>
      </c>
      <c r="H18" s="126" t="s">
        <v>82</v>
      </c>
      <c r="I18" s="126" t="s">
        <v>82</v>
      </c>
      <c r="J18" s="127">
        <f t="shared" si="0"/>
        <v>1</v>
      </c>
      <c r="K18" s="127"/>
    </row>
    <row r="19" spans="1:11" ht="15.75" customHeight="1">
      <c r="A19" s="129" t="s">
        <v>379</v>
      </c>
      <c r="B19" s="126" t="s">
        <v>353</v>
      </c>
      <c r="C19" s="597">
        <v>500</v>
      </c>
      <c r="D19" s="130">
        <v>30</v>
      </c>
      <c r="E19" s="131">
        <v>1</v>
      </c>
      <c r="F19" s="127" t="s">
        <v>359</v>
      </c>
      <c r="G19" s="131">
        <v>0.16</v>
      </c>
      <c r="H19" s="126" t="s">
        <v>82</v>
      </c>
      <c r="I19" s="126" t="s">
        <v>355</v>
      </c>
      <c r="J19" s="127">
        <f t="shared" si="0"/>
        <v>1</v>
      </c>
      <c r="K19" s="127"/>
    </row>
    <row r="20" spans="1:11" ht="15.75" customHeight="1">
      <c r="A20" s="129" t="s">
        <v>380</v>
      </c>
      <c r="B20" s="126" t="s">
        <v>376</v>
      </c>
      <c r="C20" s="597">
        <v>10000</v>
      </c>
      <c r="D20" s="130">
        <v>5</v>
      </c>
      <c r="E20" s="131">
        <v>0</v>
      </c>
      <c r="F20" s="127" t="s">
        <v>366</v>
      </c>
      <c r="G20" s="131">
        <v>0.05</v>
      </c>
      <c r="H20" s="126" t="s">
        <v>82</v>
      </c>
      <c r="I20" s="126" t="s">
        <v>82</v>
      </c>
      <c r="J20" s="127">
        <f t="shared" si="0"/>
        <v>1</v>
      </c>
      <c r="K20" s="127"/>
    </row>
    <row r="21" spans="1:11" ht="15.75" customHeight="1">
      <c r="A21" s="129" t="s">
        <v>381</v>
      </c>
      <c r="B21" s="126" t="s">
        <v>358</v>
      </c>
      <c r="C21" s="597">
        <v>213692</v>
      </c>
      <c r="D21" s="130">
        <v>5</v>
      </c>
      <c r="E21" s="131">
        <v>0.5</v>
      </c>
      <c r="F21" s="127" t="s">
        <v>378</v>
      </c>
      <c r="G21" s="131">
        <v>0.05</v>
      </c>
      <c r="H21" s="126" t="s">
        <v>82</v>
      </c>
      <c r="I21" s="126" t="s">
        <v>82</v>
      </c>
      <c r="J21" s="127">
        <f t="shared" si="0"/>
        <v>1</v>
      </c>
      <c r="K21" s="127" t="s">
        <v>382</v>
      </c>
    </row>
    <row r="22" spans="1:11" ht="15.75" customHeight="1">
      <c r="A22" s="132" t="s">
        <v>383</v>
      </c>
      <c r="B22" s="133" t="s">
        <v>353</v>
      </c>
      <c r="C22" s="598">
        <v>6376.51</v>
      </c>
      <c r="D22" s="134">
        <v>10</v>
      </c>
      <c r="E22" s="135">
        <v>0.4</v>
      </c>
      <c r="F22" s="136" t="s">
        <v>366</v>
      </c>
      <c r="G22" s="135">
        <v>0.05</v>
      </c>
      <c r="H22" s="126" t="s">
        <v>82</v>
      </c>
      <c r="I22" s="126" t="s">
        <v>82</v>
      </c>
      <c r="J22" s="127">
        <f t="shared" si="0"/>
        <v>1</v>
      </c>
      <c r="K22" s="127" t="s">
        <v>384</v>
      </c>
    </row>
    <row r="23" spans="1:11" ht="15.75" customHeight="1">
      <c r="A23" s="129" t="s">
        <v>385</v>
      </c>
      <c r="B23" s="126" t="s">
        <v>353</v>
      </c>
      <c r="C23" s="597">
        <v>4637.46</v>
      </c>
      <c r="D23" s="130">
        <v>10</v>
      </c>
      <c r="E23" s="131">
        <v>0.4</v>
      </c>
      <c r="F23" s="127" t="s">
        <v>366</v>
      </c>
      <c r="G23" s="131">
        <v>0.05</v>
      </c>
      <c r="H23" s="126" t="s">
        <v>82</v>
      </c>
      <c r="I23" s="126" t="s">
        <v>82</v>
      </c>
      <c r="J23" s="127">
        <f t="shared" si="0"/>
        <v>1</v>
      </c>
      <c r="K23" s="127" t="s">
        <v>384</v>
      </c>
    </row>
    <row r="24" spans="1:11" ht="15.75" customHeight="1">
      <c r="A24" s="129" t="s">
        <v>386</v>
      </c>
      <c r="B24" s="126" t="s">
        <v>358</v>
      </c>
      <c r="C24" s="597">
        <v>6535</v>
      </c>
      <c r="D24" s="130">
        <v>5</v>
      </c>
      <c r="E24" s="131">
        <v>0.25</v>
      </c>
      <c r="F24" s="127" t="s">
        <v>366</v>
      </c>
      <c r="G24" s="131">
        <v>0.05</v>
      </c>
      <c r="H24" s="126" t="s">
        <v>82</v>
      </c>
      <c r="I24" s="126" t="s">
        <v>82</v>
      </c>
      <c r="J24" s="127">
        <f t="shared" si="0"/>
        <v>1</v>
      </c>
      <c r="K24" s="127" t="s">
        <v>387</v>
      </c>
    </row>
    <row r="25" spans="1:11" ht="15.75" customHeight="1">
      <c r="A25" s="129" t="s">
        <v>388</v>
      </c>
      <c r="B25" s="126" t="s">
        <v>358</v>
      </c>
      <c r="C25" s="597">
        <v>113</v>
      </c>
      <c r="D25" s="130">
        <v>5</v>
      </c>
      <c r="E25" s="131">
        <v>0</v>
      </c>
      <c r="F25" s="127" t="s">
        <v>366</v>
      </c>
      <c r="G25" s="131">
        <v>0</v>
      </c>
      <c r="H25" s="126" t="s">
        <v>82</v>
      </c>
      <c r="I25" s="126" t="s">
        <v>82</v>
      </c>
      <c r="J25" s="127">
        <f t="shared" si="0"/>
        <v>1</v>
      </c>
      <c r="K25" s="127" t="s">
        <v>389</v>
      </c>
    </row>
    <row r="26" spans="1:11" ht="15.75" customHeight="1">
      <c r="A26" s="129" t="s">
        <v>390</v>
      </c>
      <c r="B26" s="126" t="s">
        <v>358</v>
      </c>
      <c r="C26" s="597">
        <v>15205</v>
      </c>
      <c r="D26" s="130">
        <v>10</v>
      </c>
      <c r="E26" s="131">
        <v>0.25</v>
      </c>
      <c r="F26" s="127" t="s">
        <v>359</v>
      </c>
      <c r="G26" s="131">
        <v>0.05</v>
      </c>
      <c r="H26" s="126" t="s">
        <v>82</v>
      </c>
      <c r="I26" s="126" t="s">
        <v>82</v>
      </c>
      <c r="J26" s="127">
        <f t="shared" si="0"/>
        <v>1</v>
      </c>
      <c r="K26" s="127" t="s">
        <v>391</v>
      </c>
    </row>
    <row r="27" spans="1:11" ht="15.75" customHeight="1">
      <c r="A27" s="129" t="s">
        <v>392</v>
      </c>
      <c r="B27" s="126" t="s">
        <v>358</v>
      </c>
      <c r="C27" s="597">
        <v>7602.5</v>
      </c>
      <c r="D27" s="130">
        <v>10</v>
      </c>
      <c r="E27" s="131">
        <v>0.25</v>
      </c>
      <c r="F27" s="127" t="s">
        <v>371</v>
      </c>
      <c r="G27" s="131">
        <v>0.05</v>
      </c>
      <c r="H27" s="126" t="s">
        <v>82</v>
      </c>
      <c r="I27" s="126" t="s">
        <v>82</v>
      </c>
      <c r="J27" s="127">
        <f t="shared" si="0"/>
        <v>1</v>
      </c>
      <c r="K27" s="127" t="s">
        <v>393</v>
      </c>
    </row>
    <row r="28" spans="1:11" ht="15.75" customHeight="1">
      <c r="A28" s="129" t="s">
        <v>394</v>
      </c>
      <c r="B28" s="126" t="s">
        <v>358</v>
      </c>
      <c r="C28" s="597">
        <v>35000</v>
      </c>
      <c r="D28" s="130">
        <v>5</v>
      </c>
      <c r="E28" s="131">
        <v>0.25</v>
      </c>
      <c r="F28" s="127" t="s">
        <v>378</v>
      </c>
      <c r="G28" s="131">
        <v>0.05</v>
      </c>
      <c r="H28" s="133" t="s">
        <v>82</v>
      </c>
      <c r="I28" s="133" t="s">
        <v>82</v>
      </c>
      <c r="J28" s="127">
        <f t="shared" si="0"/>
        <v>1</v>
      </c>
      <c r="K28" s="127" t="s">
        <v>395</v>
      </c>
    </row>
    <row r="29" spans="1:11" ht="15.75" customHeight="1">
      <c r="A29" s="129" t="s">
        <v>396</v>
      </c>
      <c r="B29" s="126" t="s">
        <v>8</v>
      </c>
      <c r="C29" s="597">
        <v>198948</v>
      </c>
      <c r="D29" s="130">
        <v>5</v>
      </c>
      <c r="E29" s="131">
        <v>0.25</v>
      </c>
      <c r="F29" s="127" t="s">
        <v>378</v>
      </c>
      <c r="G29" s="131">
        <v>0.05</v>
      </c>
      <c r="H29" s="133" t="s">
        <v>82</v>
      </c>
      <c r="I29" s="133" t="s">
        <v>82</v>
      </c>
      <c r="J29" s="127">
        <f t="shared" si="0"/>
        <v>1</v>
      </c>
      <c r="K29" s="127" t="s">
        <v>397</v>
      </c>
    </row>
    <row r="30" spans="1:11" ht="15.75" customHeight="1">
      <c r="A30" s="129" t="s">
        <v>398</v>
      </c>
      <c r="B30" s="126" t="s">
        <v>358</v>
      </c>
      <c r="C30" s="597">
        <v>343123.20000000001</v>
      </c>
      <c r="D30" s="130">
        <v>5</v>
      </c>
      <c r="E30" s="131">
        <v>0.25</v>
      </c>
      <c r="F30" s="127" t="s">
        <v>366</v>
      </c>
      <c r="G30" s="131">
        <v>0.05</v>
      </c>
      <c r="H30" s="133" t="s">
        <v>82</v>
      </c>
      <c r="I30" s="133" t="s">
        <v>82</v>
      </c>
      <c r="J30" s="127">
        <f t="shared" si="0"/>
        <v>1</v>
      </c>
      <c r="K30" s="127" t="s">
        <v>399</v>
      </c>
    </row>
    <row r="31" spans="1:11" ht="15.75" customHeight="1">
      <c r="A31" s="129" t="s">
        <v>400</v>
      </c>
      <c r="B31" s="126" t="s">
        <v>358</v>
      </c>
      <c r="C31" s="597">
        <v>374732</v>
      </c>
      <c r="D31" s="130">
        <v>5</v>
      </c>
      <c r="E31" s="131">
        <v>0.4</v>
      </c>
      <c r="F31" s="127" t="s">
        <v>378</v>
      </c>
      <c r="G31" s="131">
        <v>0.05</v>
      </c>
      <c r="H31" s="133" t="s">
        <v>82</v>
      </c>
      <c r="I31" s="133" t="s">
        <v>82</v>
      </c>
      <c r="J31" s="127">
        <f t="shared" si="0"/>
        <v>1</v>
      </c>
      <c r="K31" s="127" t="s">
        <v>401</v>
      </c>
    </row>
    <row r="32" spans="1:11" ht="15.75" customHeight="1">
      <c r="A32" s="129" t="s">
        <v>402</v>
      </c>
      <c r="B32" s="126" t="s">
        <v>358</v>
      </c>
      <c r="C32" s="597">
        <v>3399</v>
      </c>
      <c r="D32" s="130">
        <v>3</v>
      </c>
      <c r="E32" s="131">
        <v>0.25</v>
      </c>
      <c r="F32" s="127" t="s">
        <v>171</v>
      </c>
      <c r="G32" s="131">
        <v>0.05</v>
      </c>
      <c r="H32" s="133" t="s">
        <v>82</v>
      </c>
      <c r="I32" s="133" t="s">
        <v>82</v>
      </c>
      <c r="J32" s="127">
        <f t="shared" si="0"/>
        <v>1</v>
      </c>
      <c r="K32" s="127" t="s">
        <v>403</v>
      </c>
    </row>
    <row r="33" spans="1:11" ht="15.75" customHeight="1">
      <c r="A33" s="129" t="s">
        <v>404</v>
      </c>
      <c r="B33" s="126" t="s">
        <v>353</v>
      </c>
      <c r="C33" s="597">
        <v>1000</v>
      </c>
      <c r="D33" s="130">
        <v>10</v>
      </c>
      <c r="E33" s="131">
        <v>0.25</v>
      </c>
      <c r="F33" s="127" t="s">
        <v>366</v>
      </c>
      <c r="G33" s="131">
        <v>0.05</v>
      </c>
      <c r="H33" s="133" t="s">
        <v>82</v>
      </c>
      <c r="I33" s="133" t="s">
        <v>82</v>
      </c>
      <c r="J33" s="127">
        <f t="shared" si="0"/>
        <v>1</v>
      </c>
      <c r="K33" s="127" t="s">
        <v>405</v>
      </c>
    </row>
    <row r="34" spans="1:11" ht="15.75" customHeight="1">
      <c r="A34" s="129" t="s">
        <v>406</v>
      </c>
      <c r="B34" s="126" t="s">
        <v>353</v>
      </c>
      <c r="C34" s="597">
        <v>370</v>
      </c>
      <c r="D34" s="130">
        <v>10</v>
      </c>
      <c r="E34" s="131">
        <v>0.25</v>
      </c>
      <c r="F34" s="127" t="s">
        <v>371</v>
      </c>
      <c r="G34" s="131">
        <v>0.05</v>
      </c>
      <c r="H34" s="133" t="s">
        <v>82</v>
      </c>
      <c r="I34" s="133" t="s">
        <v>82</v>
      </c>
      <c r="J34" s="127">
        <f t="shared" si="0"/>
        <v>1</v>
      </c>
      <c r="K34" s="127" t="s">
        <v>407</v>
      </c>
    </row>
    <row r="35" spans="1:11" ht="15.75" customHeight="1">
      <c r="A35" s="132" t="s">
        <v>408</v>
      </c>
      <c r="B35" s="133" t="s">
        <v>358</v>
      </c>
      <c r="C35" s="598">
        <v>66</v>
      </c>
      <c r="D35" s="134">
        <v>3</v>
      </c>
      <c r="E35" s="135">
        <v>0</v>
      </c>
      <c r="F35" s="127" t="s">
        <v>171</v>
      </c>
      <c r="G35" s="135">
        <v>0.05</v>
      </c>
      <c r="H35" s="133" t="s">
        <v>82</v>
      </c>
      <c r="I35" s="133" t="s">
        <v>82</v>
      </c>
      <c r="J35" s="127">
        <f t="shared" si="0"/>
        <v>1</v>
      </c>
      <c r="K35" s="127"/>
    </row>
    <row r="36" spans="1:11" ht="15.75" customHeight="1">
      <c r="A36" s="132" t="s">
        <v>409</v>
      </c>
      <c r="B36" s="133" t="s">
        <v>353</v>
      </c>
      <c r="C36" s="598">
        <v>2800</v>
      </c>
      <c r="D36" s="134">
        <v>10</v>
      </c>
      <c r="E36" s="135">
        <v>0</v>
      </c>
      <c r="F36" s="127" t="s">
        <v>359</v>
      </c>
      <c r="G36" s="135">
        <v>0.05</v>
      </c>
      <c r="H36" s="133" t="s">
        <v>82</v>
      </c>
      <c r="I36" s="133" t="s">
        <v>355</v>
      </c>
      <c r="J36" s="127">
        <f t="shared" si="0"/>
        <v>1</v>
      </c>
      <c r="K36" s="127"/>
    </row>
    <row r="37" spans="1:11" ht="15.75" customHeight="1">
      <c r="A37" s="129" t="s">
        <v>410</v>
      </c>
      <c r="B37" s="126" t="s">
        <v>353</v>
      </c>
      <c r="C37" s="597">
        <v>5000</v>
      </c>
      <c r="D37" s="130">
        <v>20</v>
      </c>
      <c r="E37" s="131">
        <v>0.5</v>
      </c>
      <c r="F37" s="127" t="s">
        <v>359</v>
      </c>
      <c r="G37" s="131">
        <v>0.05</v>
      </c>
      <c r="H37" s="133" t="s">
        <v>82</v>
      </c>
      <c r="I37" s="133" t="s">
        <v>355</v>
      </c>
      <c r="J37" s="127">
        <f t="shared" si="0"/>
        <v>1</v>
      </c>
      <c r="K37" s="127"/>
    </row>
    <row r="38" spans="1:11" ht="15.75" customHeight="1">
      <c r="A38" s="129" t="s">
        <v>411</v>
      </c>
      <c r="B38" s="126" t="s">
        <v>353</v>
      </c>
      <c r="C38" s="597">
        <v>370</v>
      </c>
      <c r="D38" s="130">
        <v>10</v>
      </c>
      <c r="E38" s="131">
        <v>0.25</v>
      </c>
      <c r="F38" s="127" t="s">
        <v>371</v>
      </c>
      <c r="G38" s="131">
        <v>0.05</v>
      </c>
      <c r="H38" s="133" t="s">
        <v>82</v>
      </c>
      <c r="I38" s="133" t="s">
        <v>82</v>
      </c>
      <c r="J38" s="127">
        <f t="shared" si="0"/>
        <v>1</v>
      </c>
      <c r="K38" s="127"/>
    </row>
    <row r="39" spans="1:11" ht="15.75" customHeight="1">
      <c r="A39" s="129" t="s">
        <v>412</v>
      </c>
      <c r="B39" s="126" t="s">
        <v>353</v>
      </c>
      <c r="C39" s="597">
        <v>500</v>
      </c>
      <c r="D39" s="130">
        <v>10</v>
      </c>
      <c r="E39" s="131">
        <v>0.25</v>
      </c>
      <c r="F39" s="127" t="s">
        <v>359</v>
      </c>
      <c r="G39" s="131">
        <v>0.05</v>
      </c>
      <c r="H39" s="133" t="s">
        <v>82</v>
      </c>
      <c r="I39" s="133" t="s">
        <v>355</v>
      </c>
      <c r="J39" s="127">
        <f t="shared" si="0"/>
        <v>1</v>
      </c>
      <c r="K39" s="127"/>
    </row>
    <row r="40" spans="1:11" ht="15.75" customHeight="1">
      <c r="A40" s="129" t="s">
        <v>413</v>
      </c>
      <c r="B40" s="126" t="s">
        <v>353</v>
      </c>
      <c r="C40" s="597">
        <v>95</v>
      </c>
      <c r="D40" s="130">
        <v>30</v>
      </c>
      <c r="E40" s="131">
        <v>1</v>
      </c>
      <c r="F40" s="127" t="s">
        <v>171</v>
      </c>
      <c r="G40" s="131">
        <v>0.05</v>
      </c>
      <c r="H40" s="133" t="s">
        <v>82</v>
      </c>
      <c r="I40" s="133" t="s">
        <v>82</v>
      </c>
      <c r="J40" s="127">
        <f t="shared" si="0"/>
        <v>1</v>
      </c>
      <c r="K40" s="127"/>
    </row>
    <row r="41" spans="1:11" ht="15.75" customHeight="1">
      <c r="A41" s="129" t="s">
        <v>414</v>
      </c>
      <c r="B41" s="126" t="s">
        <v>353</v>
      </c>
      <c r="C41" s="597">
        <v>2206.89</v>
      </c>
      <c r="D41" s="130">
        <v>30</v>
      </c>
      <c r="E41" s="131">
        <v>0</v>
      </c>
      <c r="F41" s="127" t="s">
        <v>354</v>
      </c>
      <c r="G41" s="131">
        <v>0.05</v>
      </c>
      <c r="H41" s="126" t="s">
        <v>82</v>
      </c>
      <c r="I41" s="126" t="s">
        <v>355</v>
      </c>
      <c r="J41" s="127">
        <f t="shared" si="0"/>
        <v>1</v>
      </c>
      <c r="K41" s="127" t="s">
        <v>415</v>
      </c>
    </row>
    <row r="42" spans="1:11" ht="15.75" customHeight="1">
      <c r="A42" s="129" t="s">
        <v>416</v>
      </c>
      <c r="B42" s="126" t="s">
        <v>417</v>
      </c>
      <c r="C42" s="597">
        <v>1932</v>
      </c>
      <c r="D42" s="130">
        <v>30</v>
      </c>
      <c r="E42" s="131">
        <v>0</v>
      </c>
      <c r="F42" s="127" t="s">
        <v>354</v>
      </c>
      <c r="G42" s="131">
        <v>0.05</v>
      </c>
      <c r="H42" s="126" t="s">
        <v>82</v>
      </c>
      <c r="I42" s="126" t="s">
        <v>355</v>
      </c>
      <c r="J42" s="127">
        <f t="shared" si="0"/>
        <v>1</v>
      </c>
      <c r="K42" s="127" t="s">
        <v>418</v>
      </c>
    </row>
    <row r="43" spans="1:11" ht="15.75" customHeight="1">
      <c r="A43" s="129" t="s">
        <v>419</v>
      </c>
      <c r="B43" s="126" t="s">
        <v>420</v>
      </c>
      <c r="C43" s="597">
        <v>7300</v>
      </c>
      <c r="D43" s="130">
        <v>30</v>
      </c>
      <c r="E43" s="131">
        <v>0</v>
      </c>
      <c r="F43" s="127" t="s">
        <v>354</v>
      </c>
      <c r="G43" s="131">
        <v>0.05</v>
      </c>
      <c r="H43" s="126" t="s">
        <v>82</v>
      </c>
      <c r="I43" s="126" t="s">
        <v>355</v>
      </c>
      <c r="J43" s="127">
        <f t="shared" si="0"/>
        <v>1</v>
      </c>
      <c r="K43" s="127" t="s">
        <v>421</v>
      </c>
    </row>
    <row r="44" spans="1:11" ht="15.75" customHeight="1">
      <c r="A44" s="129" t="s">
        <v>422</v>
      </c>
      <c r="B44" s="126" t="s">
        <v>204</v>
      </c>
      <c r="C44" s="597">
        <v>70000</v>
      </c>
      <c r="D44" s="130">
        <v>30</v>
      </c>
      <c r="E44" s="131">
        <v>0.5</v>
      </c>
      <c r="F44" s="127" t="s">
        <v>359</v>
      </c>
      <c r="G44" s="131">
        <v>0.05</v>
      </c>
      <c r="H44" s="133" t="s">
        <v>82</v>
      </c>
      <c r="I44" s="133" t="s">
        <v>355</v>
      </c>
      <c r="J44" s="127">
        <f t="shared" si="0"/>
        <v>1</v>
      </c>
      <c r="K44" s="127" t="s">
        <v>423</v>
      </c>
    </row>
    <row r="45" spans="1:11" ht="15.75" customHeight="1">
      <c r="A45" s="129" t="s">
        <v>424</v>
      </c>
      <c r="B45" s="126" t="s">
        <v>204</v>
      </c>
      <c r="C45" s="597">
        <v>308438.59999999998</v>
      </c>
      <c r="D45" s="130">
        <v>30</v>
      </c>
      <c r="E45" s="131">
        <v>0.8</v>
      </c>
      <c r="F45" s="127" t="s">
        <v>359</v>
      </c>
      <c r="G45" s="131">
        <v>0.05</v>
      </c>
      <c r="H45" s="133" t="s">
        <v>82</v>
      </c>
      <c r="I45" s="133" t="s">
        <v>355</v>
      </c>
      <c r="J45" s="127">
        <f t="shared" si="0"/>
        <v>1</v>
      </c>
      <c r="K45" s="127"/>
    </row>
    <row r="46" spans="1:11" ht="15.75" customHeight="1">
      <c r="A46" s="129" t="s">
        <v>425</v>
      </c>
      <c r="B46" s="126" t="s">
        <v>353</v>
      </c>
      <c r="C46" s="597">
        <v>500</v>
      </c>
      <c r="D46" s="130">
        <v>30</v>
      </c>
      <c r="E46" s="131">
        <v>0.8</v>
      </c>
      <c r="F46" s="127" t="s">
        <v>359</v>
      </c>
      <c r="G46" s="131">
        <v>0.05</v>
      </c>
      <c r="H46" s="133" t="s">
        <v>82</v>
      </c>
      <c r="I46" s="133" t="s">
        <v>355</v>
      </c>
      <c r="J46" s="127">
        <f t="shared" si="0"/>
        <v>1</v>
      </c>
      <c r="K46" s="127"/>
    </row>
    <row r="47" spans="1:11" ht="15.75" customHeight="1">
      <c r="A47" s="129" t="s">
        <v>426</v>
      </c>
      <c r="B47" s="126" t="s">
        <v>353</v>
      </c>
      <c r="C47" s="597">
        <v>500</v>
      </c>
      <c r="D47" s="130">
        <v>30</v>
      </c>
      <c r="E47" s="131">
        <v>0.8</v>
      </c>
      <c r="F47" s="127" t="s">
        <v>359</v>
      </c>
      <c r="G47" s="131">
        <v>0.05</v>
      </c>
      <c r="H47" s="133" t="s">
        <v>82</v>
      </c>
      <c r="I47" s="133" t="s">
        <v>355</v>
      </c>
      <c r="J47" s="127">
        <f t="shared" si="0"/>
        <v>1</v>
      </c>
      <c r="K47" s="127"/>
    </row>
    <row r="48" spans="1:11" ht="15.75" customHeight="1">
      <c r="A48" s="129" t="s">
        <v>427</v>
      </c>
      <c r="B48" s="126" t="s">
        <v>428</v>
      </c>
      <c r="C48" s="597">
        <v>450000</v>
      </c>
      <c r="D48" s="130">
        <v>30</v>
      </c>
      <c r="E48" s="131">
        <v>1</v>
      </c>
      <c r="F48" s="127" t="s">
        <v>361</v>
      </c>
      <c r="G48" s="131">
        <v>0</v>
      </c>
      <c r="H48" s="133" t="s">
        <v>82</v>
      </c>
      <c r="I48" s="133" t="s">
        <v>82</v>
      </c>
      <c r="J48" s="127">
        <f t="shared" si="0"/>
        <v>1</v>
      </c>
      <c r="K48" s="127" t="s">
        <v>429</v>
      </c>
    </row>
    <row r="49" spans="1:11" ht="15.75" customHeight="1">
      <c r="A49" s="129" t="s">
        <v>430</v>
      </c>
      <c r="B49" s="126" t="s">
        <v>204</v>
      </c>
      <c r="C49" s="597">
        <v>191000</v>
      </c>
      <c r="D49" s="130">
        <v>30</v>
      </c>
      <c r="E49" s="131">
        <v>1</v>
      </c>
      <c r="F49" s="127" t="s">
        <v>359</v>
      </c>
      <c r="G49" s="131">
        <v>0.05</v>
      </c>
      <c r="H49" s="133" t="s">
        <v>82</v>
      </c>
      <c r="I49" s="133" t="s">
        <v>355</v>
      </c>
      <c r="J49" s="127">
        <f t="shared" si="0"/>
        <v>1</v>
      </c>
      <c r="K49" s="127"/>
    </row>
    <row r="50" spans="1:11" ht="15.75" customHeight="1">
      <c r="A50" s="129"/>
      <c r="B50" s="126"/>
      <c r="C50" s="597"/>
      <c r="D50" s="130"/>
      <c r="E50" s="131"/>
      <c r="F50" s="127"/>
      <c r="G50" s="131"/>
      <c r="H50" s="133"/>
      <c r="I50" s="133"/>
      <c r="J50" s="127">
        <f t="shared" si="0"/>
        <v>0</v>
      </c>
      <c r="K50" s="127"/>
    </row>
    <row r="51" spans="1:11" ht="15.75" customHeight="1">
      <c r="A51" s="129" t="s">
        <v>431</v>
      </c>
      <c r="B51" s="126" t="s">
        <v>353</v>
      </c>
      <c r="C51" s="597">
        <v>5000</v>
      </c>
      <c r="D51" s="130">
        <v>30</v>
      </c>
      <c r="E51" s="131">
        <v>0.5</v>
      </c>
      <c r="F51" s="127" t="s">
        <v>359</v>
      </c>
      <c r="G51" s="131">
        <v>0.05</v>
      </c>
      <c r="H51" s="133" t="s">
        <v>82</v>
      </c>
      <c r="I51" s="133" t="s">
        <v>355</v>
      </c>
      <c r="J51" s="127">
        <f t="shared" si="0"/>
        <v>1</v>
      </c>
      <c r="K51" s="127"/>
    </row>
    <row r="52" spans="1:11" ht="15.75" customHeight="1">
      <c r="A52" s="129" t="s">
        <v>432</v>
      </c>
      <c r="B52" s="126" t="s">
        <v>433</v>
      </c>
      <c r="C52" s="597">
        <v>250000</v>
      </c>
      <c r="D52" s="130">
        <v>30</v>
      </c>
      <c r="E52" s="131">
        <v>0.5</v>
      </c>
      <c r="F52" s="127" t="s">
        <v>359</v>
      </c>
      <c r="G52" s="131">
        <v>0.05</v>
      </c>
      <c r="H52" s="133" t="s">
        <v>82</v>
      </c>
      <c r="I52" s="133" t="s">
        <v>355</v>
      </c>
      <c r="J52" s="127">
        <f t="shared" si="0"/>
        <v>1</v>
      </c>
      <c r="K52" s="127"/>
    </row>
    <row r="53" spans="1:11" ht="15.75" customHeight="1">
      <c r="A53" s="129" t="s">
        <v>434</v>
      </c>
      <c r="B53" s="126" t="s">
        <v>433</v>
      </c>
      <c r="C53" s="597">
        <v>300000</v>
      </c>
      <c r="D53" s="130">
        <v>1</v>
      </c>
      <c r="E53" s="131">
        <v>0</v>
      </c>
      <c r="F53" s="127" t="s">
        <v>171</v>
      </c>
      <c r="G53" s="131">
        <v>0</v>
      </c>
      <c r="H53" s="133" t="s">
        <v>355</v>
      </c>
      <c r="I53" s="133" t="s">
        <v>355</v>
      </c>
      <c r="J53" s="127">
        <f t="shared" si="0"/>
        <v>1</v>
      </c>
      <c r="K53" s="127"/>
    </row>
    <row r="54" spans="1:11" ht="15.75" customHeight="1">
      <c r="A54" s="129" t="s">
        <v>435</v>
      </c>
      <c r="B54" s="126" t="s">
        <v>353</v>
      </c>
      <c r="C54" s="597">
        <v>2156.9</v>
      </c>
      <c r="D54" s="130">
        <v>30</v>
      </c>
      <c r="E54" s="131">
        <v>0</v>
      </c>
      <c r="F54" s="127" t="s">
        <v>354</v>
      </c>
      <c r="G54" s="131">
        <v>0.05</v>
      </c>
      <c r="H54" s="126" t="s">
        <v>82</v>
      </c>
      <c r="I54" s="126" t="s">
        <v>355</v>
      </c>
      <c r="J54" s="127">
        <f t="shared" si="0"/>
        <v>1</v>
      </c>
      <c r="K54" s="127" t="s">
        <v>356</v>
      </c>
    </row>
    <row r="55" spans="1:11" ht="15.75" customHeight="1">
      <c r="A55" s="129" t="s">
        <v>436</v>
      </c>
      <c r="B55" s="126" t="s">
        <v>8</v>
      </c>
      <c r="C55" s="597">
        <v>15000</v>
      </c>
      <c r="D55" s="130">
        <v>30</v>
      </c>
      <c r="E55" s="131">
        <v>1</v>
      </c>
      <c r="F55" s="127" t="s">
        <v>359</v>
      </c>
      <c r="G55" s="131">
        <v>0.05</v>
      </c>
      <c r="H55" s="126" t="s">
        <v>82</v>
      </c>
      <c r="I55" s="126" t="s">
        <v>355</v>
      </c>
      <c r="J55" s="127">
        <f t="shared" si="0"/>
        <v>1</v>
      </c>
      <c r="K55" s="127"/>
    </row>
    <row r="56" spans="1:11" ht="15.75" customHeight="1">
      <c r="A56" s="129" t="s">
        <v>437</v>
      </c>
      <c r="B56" s="126" t="s">
        <v>438</v>
      </c>
      <c r="C56" s="597">
        <v>150</v>
      </c>
      <c r="D56" s="130">
        <v>30</v>
      </c>
      <c r="E56" s="131">
        <v>1</v>
      </c>
      <c r="F56" s="127" t="s">
        <v>359</v>
      </c>
      <c r="G56" s="131">
        <v>0.1</v>
      </c>
      <c r="H56" s="126" t="s">
        <v>82</v>
      </c>
      <c r="I56" s="126" t="s">
        <v>355</v>
      </c>
      <c r="J56" s="127">
        <f t="shared" si="0"/>
        <v>1</v>
      </c>
      <c r="K56" s="127"/>
    </row>
    <row r="57" spans="1:11" ht="15.75" customHeight="1">
      <c r="A57" s="129"/>
      <c r="B57" s="126"/>
      <c r="C57" s="597"/>
      <c r="D57" s="130"/>
      <c r="E57" s="131"/>
      <c r="F57" s="127"/>
      <c r="G57" s="131"/>
      <c r="H57" s="126" t="s">
        <v>82</v>
      </c>
      <c r="I57" s="126" t="s">
        <v>82</v>
      </c>
      <c r="J57" s="127">
        <f t="shared" si="0"/>
        <v>0</v>
      </c>
      <c r="K57" s="127"/>
    </row>
    <row r="58" spans="1:11" ht="15.75" customHeight="1">
      <c r="A58" s="129"/>
      <c r="B58" s="126"/>
      <c r="C58" s="597"/>
      <c r="D58" s="130"/>
      <c r="E58" s="131"/>
      <c r="F58" s="127"/>
      <c r="G58" s="131"/>
      <c r="H58" s="126" t="s">
        <v>82</v>
      </c>
      <c r="I58" s="126" t="s">
        <v>82</v>
      </c>
      <c r="J58" s="127">
        <f t="shared" si="0"/>
        <v>0</v>
      </c>
      <c r="K58" s="127"/>
    </row>
    <row r="59" spans="1:11" ht="15.75" customHeight="1">
      <c r="A59" s="129"/>
      <c r="B59" s="126"/>
      <c r="C59" s="597"/>
      <c r="D59" s="130"/>
      <c r="E59" s="131"/>
      <c r="F59" s="127"/>
      <c r="G59" s="131"/>
      <c r="H59" s="126" t="s">
        <v>82</v>
      </c>
      <c r="I59" s="126" t="s">
        <v>82</v>
      </c>
      <c r="J59" s="127">
        <f t="shared" si="0"/>
        <v>0</v>
      </c>
      <c r="K59" s="127"/>
    </row>
    <row r="60" spans="1:11" ht="15.75" customHeight="1">
      <c r="A60" s="129"/>
      <c r="B60" s="126"/>
      <c r="C60" s="597"/>
      <c r="D60" s="130"/>
      <c r="E60" s="131"/>
      <c r="F60" s="127"/>
      <c r="G60" s="131"/>
      <c r="H60" s="126" t="s">
        <v>82</v>
      </c>
      <c r="I60" s="126" t="s">
        <v>82</v>
      </c>
      <c r="J60" s="127">
        <f t="shared" si="0"/>
        <v>0</v>
      </c>
      <c r="K60" s="127"/>
    </row>
    <row r="61" spans="1:11" ht="15.75" customHeight="1">
      <c r="A61" s="129"/>
      <c r="B61" s="126"/>
      <c r="C61" s="597"/>
      <c r="D61" s="130"/>
      <c r="E61" s="131"/>
      <c r="F61" s="127"/>
      <c r="G61" s="131"/>
      <c r="H61" s="126" t="s">
        <v>82</v>
      </c>
      <c r="I61" s="126" t="s">
        <v>82</v>
      </c>
      <c r="J61" s="127">
        <f t="shared" si="0"/>
        <v>0</v>
      </c>
      <c r="K61" s="127"/>
    </row>
    <row r="62" spans="1:11" ht="15.75" customHeight="1">
      <c r="A62" s="129"/>
      <c r="B62" s="126"/>
      <c r="C62" s="597"/>
      <c r="D62" s="130"/>
      <c r="E62" s="131"/>
      <c r="F62" s="127"/>
      <c r="G62" s="131"/>
      <c r="H62" s="126" t="s">
        <v>82</v>
      </c>
      <c r="I62" s="126" t="s">
        <v>82</v>
      </c>
      <c r="J62" s="127">
        <f t="shared" si="0"/>
        <v>0</v>
      </c>
      <c r="K62" s="127"/>
    </row>
    <row r="63" spans="1:11" ht="15.75" customHeight="1">
      <c r="A63" s="129"/>
      <c r="B63" s="126"/>
      <c r="C63" s="597"/>
      <c r="D63" s="130"/>
      <c r="E63" s="131"/>
      <c r="F63" s="127"/>
      <c r="G63" s="131"/>
      <c r="H63" s="126" t="s">
        <v>82</v>
      </c>
      <c r="I63" s="126" t="s">
        <v>82</v>
      </c>
      <c r="J63" s="127">
        <f t="shared" si="0"/>
        <v>0</v>
      </c>
      <c r="K63" s="127"/>
    </row>
    <row r="64" spans="1:11" ht="15.75" customHeight="1">
      <c r="A64" s="129"/>
      <c r="B64" s="126"/>
      <c r="C64" s="597"/>
      <c r="D64" s="130"/>
      <c r="E64" s="131"/>
      <c r="F64" s="127"/>
      <c r="G64" s="131"/>
      <c r="H64" s="126" t="s">
        <v>82</v>
      </c>
      <c r="I64" s="126" t="s">
        <v>82</v>
      </c>
      <c r="J64" s="127">
        <f t="shared" si="0"/>
        <v>0</v>
      </c>
      <c r="K64" s="127"/>
    </row>
    <row r="65" spans="1:11" ht="15.75" customHeight="1">
      <c r="A65" s="129"/>
      <c r="B65" s="126"/>
      <c r="C65" s="597"/>
      <c r="D65" s="130"/>
      <c r="E65" s="131"/>
      <c r="F65" s="127"/>
      <c r="G65" s="131"/>
      <c r="H65" s="126" t="s">
        <v>82</v>
      </c>
      <c r="I65" s="126" t="s">
        <v>82</v>
      </c>
      <c r="J65" s="127">
        <f t="shared" si="0"/>
        <v>0</v>
      </c>
      <c r="K65" s="127"/>
    </row>
    <row r="66" spans="1:11" ht="15.75" customHeight="1">
      <c r="A66" s="129"/>
      <c r="B66" s="126"/>
      <c r="C66" s="597"/>
      <c r="D66" s="130"/>
      <c r="E66" s="131"/>
      <c r="F66" s="127"/>
      <c r="G66" s="131"/>
      <c r="H66" s="126" t="s">
        <v>82</v>
      </c>
      <c r="I66" s="126" t="s">
        <v>82</v>
      </c>
      <c r="J66" s="127">
        <f t="shared" si="0"/>
        <v>0</v>
      </c>
      <c r="K66" s="127"/>
    </row>
    <row r="67" spans="1:11" ht="15.75" customHeight="1">
      <c r="A67" s="129"/>
      <c r="B67" s="126"/>
      <c r="C67" s="597"/>
      <c r="D67" s="130"/>
      <c r="E67" s="131"/>
      <c r="F67" s="127"/>
      <c r="G67" s="131"/>
      <c r="H67" s="126" t="s">
        <v>82</v>
      </c>
      <c r="I67" s="126" t="s">
        <v>82</v>
      </c>
      <c r="J67" s="127">
        <f t="shared" si="0"/>
        <v>0</v>
      </c>
      <c r="K67" s="127"/>
    </row>
    <row r="68" spans="1:11" ht="15.75" customHeight="1">
      <c r="A68" s="129"/>
      <c r="B68" s="126"/>
      <c r="C68" s="597"/>
      <c r="D68" s="130"/>
      <c r="E68" s="131"/>
      <c r="F68" s="127"/>
      <c r="G68" s="131"/>
      <c r="H68" s="126" t="s">
        <v>82</v>
      </c>
      <c r="I68" s="126" t="s">
        <v>82</v>
      </c>
      <c r="J68" s="127">
        <f t="shared" si="0"/>
        <v>0</v>
      </c>
      <c r="K68" s="127"/>
    </row>
    <row r="69" spans="1:11" ht="15.75" customHeight="1">
      <c r="A69" s="129"/>
      <c r="B69" s="126"/>
      <c r="C69" s="597"/>
      <c r="D69" s="130"/>
      <c r="E69" s="131"/>
      <c r="F69" s="127"/>
      <c r="G69" s="131"/>
      <c r="H69" s="126" t="s">
        <v>82</v>
      </c>
      <c r="I69" s="126" t="s">
        <v>82</v>
      </c>
      <c r="J69" s="127">
        <f t="shared" si="0"/>
        <v>0</v>
      </c>
      <c r="K69" s="127"/>
    </row>
    <row r="70" spans="1:11" ht="15.75" customHeight="1">
      <c r="A70" s="129"/>
      <c r="B70" s="126"/>
      <c r="C70" s="597"/>
      <c r="D70" s="130"/>
      <c r="E70" s="131"/>
      <c r="F70" s="127"/>
      <c r="G70" s="131"/>
      <c r="H70" s="126" t="s">
        <v>82</v>
      </c>
      <c r="I70" s="126" t="s">
        <v>82</v>
      </c>
      <c r="J70" s="127">
        <f t="shared" si="0"/>
        <v>0</v>
      </c>
      <c r="K70" s="127"/>
    </row>
    <row r="71" spans="1:11" ht="15.75" customHeight="1">
      <c r="A71" s="129"/>
      <c r="B71" s="126"/>
      <c r="C71" s="597"/>
      <c r="D71" s="130"/>
      <c r="E71" s="131"/>
      <c r="F71" s="127"/>
      <c r="G71" s="131"/>
      <c r="H71" s="126" t="s">
        <v>82</v>
      </c>
      <c r="I71" s="126" t="s">
        <v>82</v>
      </c>
      <c r="J71" s="127">
        <f t="shared" si="0"/>
        <v>0</v>
      </c>
      <c r="K71" s="127"/>
    </row>
    <row r="72" spans="1:11" ht="15.75" customHeight="1">
      <c r="A72" s="129"/>
      <c r="B72" s="126"/>
      <c r="C72" s="597"/>
      <c r="D72" s="130"/>
      <c r="E72" s="131"/>
      <c r="F72" s="127"/>
      <c r="G72" s="131"/>
      <c r="H72" s="126" t="s">
        <v>82</v>
      </c>
      <c r="I72" s="126" t="s">
        <v>82</v>
      </c>
      <c r="J72" s="127">
        <f t="shared" si="0"/>
        <v>0</v>
      </c>
      <c r="K72" s="127"/>
    </row>
    <row r="73" spans="1:11" ht="15.75" customHeight="1">
      <c r="A73" s="129"/>
      <c r="B73" s="126"/>
      <c r="C73" s="597"/>
      <c r="D73" s="130"/>
      <c r="E73" s="131"/>
      <c r="F73" s="127"/>
      <c r="G73" s="131"/>
      <c r="H73" s="126" t="s">
        <v>82</v>
      </c>
      <c r="I73" s="126" t="s">
        <v>82</v>
      </c>
      <c r="J73" s="127">
        <f t="shared" si="0"/>
        <v>0</v>
      </c>
      <c r="K73" s="127"/>
    </row>
    <row r="74" spans="1:11" ht="15.75" customHeight="1">
      <c r="A74" s="129"/>
      <c r="B74" s="126"/>
      <c r="C74" s="597"/>
      <c r="D74" s="130"/>
      <c r="E74" s="131"/>
      <c r="F74" s="127"/>
      <c r="G74" s="131"/>
      <c r="H74" s="126" t="s">
        <v>82</v>
      </c>
      <c r="I74" s="126" t="s">
        <v>82</v>
      </c>
      <c r="J74" s="127">
        <f t="shared" si="0"/>
        <v>0</v>
      </c>
      <c r="K74" s="127"/>
    </row>
    <row r="75" spans="1:11" ht="15.75" customHeight="1">
      <c r="A75" s="129"/>
      <c r="B75" s="126"/>
      <c r="C75" s="597"/>
      <c r="D75" s="130"/>
      <c r="E75" s="131"/>
      <c r="F75" s="127"/>
      <c r="G75" s="131"/>
      <c r="H75" s="126" t="s">
        <v>82</v>
      </c>
      <c r="I75" s="126" t="s">
        <v>82</v>
      </c>
      <c r="J75" s="127">
        <f t="shared" si="0"/>
        <v>0</v>
      </c>
      <c r="K75" s="127"/>
    </row>
    <row r="76" spans="1:11" ht="15.75" customHeight="1">
      <c r="A76" s="129"/>
      <c r="B76" s="126"/>
      <c r="C76" s="597"/>
      <c r="D76" s="130"/>
      <c r="E76" s="131"/>
      <c r="F76" s="127"/>
      <c r="G76" s="131"/>
      <c r="H76" s="126" t="s">
        <v>82</v>
      </c>
      <c r="I76" s="126" t="s">
        <v>82</v>
      </c>
      <c r="J76" s="127">
        <f t="shared" si="0"/>
        <v>0</v>
      </c>
      <c r="K76" s="127"/>
    </row>
    <row r="77" spans="1:11" ht="15.75" customHeight="1">
      <c r="A77" s="129"/>
      <c r="B77" s="126"/>
      <c r="C77" s="597"/>
      <c r="D77" s="130"/>
      <c r="E77" s="131"/>
      <c r="F77" s="127"/>
      <c r="G77" s="131"/>
      <c r="H77" s="126" t="s">
        <v>82</v>
      </c>
      <c r="I77" s="126" t="s">
        <v>82</v>
      </c>
      <c r="J77" s="127">
        <f t="shared" si="0"/>
        <v>0</v>
      </c>
      <c r="K77" s="127"/>
    </row>
    <row r="78" spans="1:11" ht="15.75" customHeight="1">
      <c r="A78" s="129"/>
      <c r="B78" s="126"/>
      <c r="C78" s="597"/>
      <c r="D78" s="130"/>
      <c r="E78" s="131"/>
      <c r="F78" s="127"/>
      <c r="G78" s="131"/>
      <c r="H78" s="126" t="s">
        <v>82</v>
      </c>
      <c r="I78" s="126" t="s">
        <v>82</v>
      </c>
      <c r="J78" s="127">
        <f t="shared" si="0"/>
        <v>0</v>
      </c>
      <c r="K78" s="127"/>
    </row>
    <row r="79" spans="1:11" ht="15.75" customHeight="1">
      <c r="A79" s="129"/>
      <c r="B79" s="126"/>
      <c r="C79" s="597"/>
      <c r="D79" s="130"/>
      <c r="E79" s="131"/>
      <c r="F79" s="127"/>
      <c r="G79" s="131"/>
      <c r="H79" s="126" t="s">
        <v>82</v>
      </c>
      <c r="I79" s="126" t="s">
        <v>82</v>
      </c>
      <c r="J79" s="127">
        <f t="shared" si="0"/>
        <v>0</v>
      </c>
      <c r="K79" s="127"/>
    </row>
    <row r="80" spans="1:11" ht="15.75" customHeight="1">
      <c r="A80" s="129"/>
      <c r="B80" s="126"/>
      <c r="C80" s="597"/>
      <c r="D80" s="130"/>
      <c r="E80" s="131"/>
      <c r="F80" s="127"/>
      <c r="G80" s="131"/>
      <c r="H80" s="126" t="s">
        <v>82</v>
      </c>
      <c r="I80" s="126" t="s">
        <v>82</v>
      </c>
      <c r="J80" s="127">
        <f t="shared" si="0"/>
        <v>0</v>
      </c>
      <c r="K80" s="127"/>
    </row>
    <row r="81" spans="1:11" ht="15.75" customHeight="1">
      <c r="A81" s="129"/>
      <c r="B81" s="126"/>
      <c r="C81" s="597"/>
      <c r="D81" s="130"/>
      <c r="E81" s="131"/>
      <c r="F81" s="127"/>
      <c r="G81" s="131"/>
      <c r="H81" s="126" t="s">
        <v>82</v>
      </c>
      <c r="I81" s="126" t="s">
        <v>82</v>
      </c>
      <c r="J81" s="127">
        <f t="shared" si="0"/>
        <v>0</v>
      </c>
      <c r="K81" s="127"/>
    </row>
    <row r="82" spans="1:11" ht="15.75" customHeight="1">
      <c r="A82" s="129"/>
      <c r="B82" s="126"/>
      <c r="C82" s="597"/>
      <c r="D82" s="130"/>
      <c r="E82" s="131"/>
      <c r="F82" s="127"/>
      <c r="G82" s="131"/>
      <c r="H82" s="126" t="s">
        <v>82</v>
      </c>
      <c r="I82" s="126" t="s">
        <v>82</v>
      </c>
      <c r="J82" s="127">
        <f t="shared" si="0"/>
        <v>0</v>
      </c>
      <c r="K82" s="127"/>
    </row>
    <row r="83" spans="1:11" ht="15.75" customHeight="1">
      <c r="A83" s="129"/>
      <c r="B83" s="126"/>
      <c r="C83" s="597"/>
      <c r="D83" s="130"/>
      <c r="E83" s="131"/>
      <c r="F83" s="127"/>
      <c r="G83" s="131"/>
      <c r="H83" s="126" t="s">
        <v>82</v>
      </c>
      <c r="I83" s="126" t="s">
        <v>82</v>
      </c>
      <c r="J83" s="127">
        <f t="shared" si="0"/>
        <v>0</v>
      </c>
      <c r="K83" s="127"/>
    </row>
    <row r="84" spans="1:11" ht="15.75" customHeight="1">
      <c r="A84" s="129"/>
      <c r="B84" s="126"/>
      <c r="C84" s="597"/>
      <c r="D84" s="130"/>
      <c r="E84" s="131"/>
      <c r="F84" s="127"/>
      <c r="G84" s="131"/>
      <c r="H84" s="126" t="s">
        <v>82</v>
      </c>
      <c r="I84" s="126" t="s">
        <v>82</v>
      </c>
      <c r="J84" s="127">
        <f t="shared" si="0"/>
        <v>0</v>
      </c>
      <c r="K84" s="127"/>
    </row>
    <row r="85" spans="1:11" ht="15.75" customHeight="1">
      <c r="A85" s="129"/>
      <c r="B85" s="126"/>
      <c r="C85" s="597"/>
      <c r="D85" s="130"/>
      <c r="E85" s="131"/>
      <c r="F85" s="127"/>
      <c r="G85" s="131"/>
      <c r="H85" s="126" t="s">
        <v>82</v>
      </c>
      <c r="I85" s="126" t="s">
        <v>82</v>
      </c>
      <c r="J85" s="127">
        <f t="shared" si="0"/>
        <v>0</v>
      </c>
      <c r="K85" s="127"/>
    </row>
    <row r="86" spans="1:11" ht="15.75" customHeight="1">
      <c r="A86" s="129"/>
      <c r="B86" s="126"/>
      <c r="C86" s="597"/>
      <c r="D86" s="130"/>
      <c r="E86" s="131"/>
      <c r="F86" s="127"/>
      <c r="G86" s="131"/>
      <c r="H86" s="126" t="s">
        <v>82</v>
      </c>
      <c r="I86" s="126" t="s">
        <v>82</v>
      </c>
      <c r="J86" s="127">
        <f t="shared" si="0"/>
        <v>0</v>
      </c>
      <c r="K86" s="127"/>
    </row>
    <row r="87" spans="1:11" ht="15.75" customHeight="1">
      <c r="A87" s="129"/>
      <c r="B87" s="126"/>
      <c r="C87" s="597"/>
      <c r="D87" s="130"/>
      <c r="E87" s="131"/>
      <c r="F87" s="127"/>
      <c r="G87" s="131"/>
      <c r="H87" s="126" t="s">
        <v>82</v>
      </c>
      <c r="I87" s="126" t="s">
        <v>82</v>
      </c>
      <c r="J87" s="127">
        <f t="shared" si="0"/>
        <v>0</v>
      </c>
      <c r="K87" s="127"/>
    </row>
    <row r="88" spans="1:11" ht="15.75" customHeight="1">
      <c r="A88" s="129"/>
      <c r="B88" s="126"/>
      <c r="C88" s="597"/>
      <c r="D88" s="130"/>
      <c r="E88" s="131"/>
      <c r="F88" s="127"/>
      <c r="G88" s="131"/>
      <c r="H88" s="126" t="s">
        <v>82</v>
      </c>
      <c r="I88" s="126" t="s">
        <v>82</v>
      </c>
      <c r="J88" s="127">
        <f t="shared" si="0"/>
        <v>0</v>
      </c>
      <c r="K88" s="127"/>
    </row>
    <row r="89" spans="1:11" ht="15.75" customHeight="1">
      <c r="A89" s="129"/>
      <c r="B89" s="126"/>
      <c r="C89" s="597"/>
      <c r="D89" s="130"/>
      <c r="E89" s="131"/>
      <c r="F89" s="127"/>
      <c r="G89" s="131"/>
      <c r="H89" s="126" t="s">
        <v>82</v>
      </c>
      <c r="I89" s="126" t="s">
        <v>82</v>
      </c>
      <c r="J89" s="127">
        <f t="shared" si="0"/>
        <v>0</v>
      </c>
      <c r="K89" s="127"/>
    </row>
    <row r="90" spans="1:11" ht="15.75" customHeight="1">
      <c r="A90" s="129"/>
      <c r="B90" s="126"/>
      <c r="C90" s="597"/>
      <c r="D90" s="130"/>
      <c r="E90" s="131"/>
      <c r="F90" s="127"/>
      <c r="G90" s="131"/>
      <c r="H90" s="126" t="s">
        <v>82</v>
      </c>
      <c r="I90" s="126" t="s">
        <v>82</v>
      </c>
      <c r="J90" s="127">
        <f t="shared" si="0"/>
        <v>0</v>
      </c>
      <c r="K90" s="127"/>
    </row>
    <row r="91" spans="1:11" ht="15.75" customHeight="1">
      <c r="A91" s="129"/>
      <c r="B91" s="126"/>
      <c r="C91" s="597"/>
      <c r="D91" s="130"/>
      <c r="E91" s="131"/>
      <c r="F91" s="127"/>
      <c r="G91" s="131"/>
      <c r="H91" s="126" t="s">
        <v>82</v>
      </c>
      <c r="I91" s="126" t="s">
        <v>82</v>
      </c>
      <c r="J91" s="127">
        <f t="shared" si="0"/>
        <v>0</v>
      </c>
      <c r="K91" s="127"/>
    </row>
    <row r="92" spans="1:11" ht="15.75" customHeight="1">
      <c r="A92" s="129"/>
      <c r="B92" s="126"/>
      <c r="C92" s="597"/>
      <c r="D92" s="130"/>
      <c r="E92" s="131"/>
      <c r="F92" s="127"/>
      <c r="G92" s="131"/>
      <c r="H92" s="126" t="s">
        <v>82</v>
      </c>
      <c r="I92" s="126" t="s">
        <v>82</v>
      </c>
      <c r="J92" s="127">
        <f t="shared" si="0"/>
        <v>0</v>
      </c>
      <c r="K92" s="127"/>
    </row>
    <row r="93" spans="1:11" ht="15.75" customHeight="1">
      <c r="A93" s="129"/>
      <c r="B93" s="126"/>
      <c r="C93" s="597"/>
      <c r="D93" s="130"/>
      <c r="E93" s="131"/>
      <c r="F93" s="127"/>
      <c r="G93" s="131"/>
      <c r="H93" s="126" t="s">
        <v>82</v>
      </c>
      <c r="I93" s="126" t="s">
        <v>82</v>
      </c>
      <c r="J93" s="127">
        <f t="shared" si="0"/>
        <v>0</v>
      </c>
      <c r="K93" s="127"/>
    </row>
    <row r="94" spans="1:11" ht="15.75" customHeight="1">
      <c r="A94" s="129"/>
      <c r="B94" s="126"/>
      <c r="C94" s="597"/>
      <c r="D94" s="130"/>
      <c r="E94" s="131"/>
      <c r="F94" s="127"/>
      <c r="G94" s="131"/>
      <c r="H94" s="126" t="s">
        <v>82</v>
      </c>
      <c r="I94" s="126" t="s">
        <v>82</v>
      </c>
      <c r="J94" s="127">
        <f t="shared" si="0"/>
        <v>0</v>
      </c>
      <c r="K94" s="127"/>
    </row>
    <row r="95" spans="1:11" ht="15.75" customHeight="1">
      <c r="A95" s="129"/>
      <c r="B95" s="126"/>
      <c r="C95" s="597"/>
      <c r="D95" s="130"/>
      <c r="E95" s="131"/>
      <c r="F95" s="127"/>
      <c r="G95" s="131"/>
      <c r="H95" s="126" t="s">
        <v>82</v>
      </c>
      <c r="I95" s="126" t="s">
        <v>82</v>
      </c>
      <c r="J95" s="127">
        <f t="shared" si="0"/>
        <v>0</v>
      </c>
      <c r="K95" s="127"/>
    </row>
    <row r="96" spans="1:11" ht="15.75" customHeight="1">
      <c r="A96" s="129"/>
      <c r="B96" s="126"/>
      <c r="C96" s="597"/>
      <c r="D96" s="130"/>
      <c r="E96" s="131"/>
      <c r="F96" s="127"/>
      <c r="G96" s="131"/>
      <c r="H96" s="126" t="s">
        <v>82</v>
      </c>
      <c r="I96" s="126" t="s">
        <v>82</v>
      </c>
      <c r="J96" s="127">
        <f t="shared" si="0"/>
        <v>0</v>
      </c>
      <c r="K96" s="127"/>
    </row>
    <row r="97" spans="1:11" ht="15.75" customHeight="1">
      <c r="A97" s="129"/>
      <c r="B97" s="126"/>
      <c r="C97" s="597"/>
      <c r="D97" s="130"/>
      <c r="E97" s="131"/>
      <c r="F97" s="127"/>
      <c r="G97" s="131"/>
      <c r="H97" s="126" t="s">
        <v>82</v>
      </c>
      <c r="I97" s="126" t="s">
        <v>82</v>
      </c>
      <c r="J97" s="127">
        <f t="shared" si="0"/>
        <v>0</v>
      </c>
      <c r="K97" s="127"/>
    </row>
    <row r="98" spans="1:11" ht="15.75" customHeight="1">
      <c r="A98" s="129"/>
      <c r="B98" s="126"/>
      <c r="C98" s="597"/>
      <c r="D98" s="130"/>
      <c r="E98" s="131"/>
      <c r="F98" s="127"/>
      <c r="G98" s="131"/>
      <c r="H98" s="126" t="s">
        <v>82</v>
      </c>
      <c r="I98" s="126" t="s">
        <v>82</v>
      </c>
      <c r="J98" s="127">
        <f t="shared" si="0"/>
        <v>0</v>
      </c>
      <c r="K98" s="127"/>
    </row>
    <row r="99" spans="1:11" ht="15.75" customHeight="1">
      <c r="A99" s="129"/>
      <c r="B99" s="126"/>
      <c r="C99" s="597"/>
      <c r="D99" s="130"/>
      <c r="E99" s="131"/>
      <c r="F99" s="127"/>
      <c r="G99" s="131"/>
      <c r="H99" s="126" t="s">
        <v>82</v>
      </c>
      <c r="I99" s="126" t="s">
        <v>82</v>
      </c>
      <c r="J99" s="127">
        <f t="shared" si="0"/>
        <v>0</v>
      </c>
      <c r="K99" s="127"/>
    </row>
    <row r="100" spans="1:11" ht="15.75" customHeight="1">
      <c r="A100" s="129"/>
      <c r="B100" s="126"/>
      <c r="C100" s="597"/>
      <c r="D100" s="130"/>
      <c r="E100" s="131"/>
      <c r="F100" s="127"/>
      <c r="G100" s="131"/>
      <c r="H100" s="126" t="s">
        <v>82</v>
      </c>
      <c r="I100" s="126" t="s">
        <v>82</v>
      </c>
      <c r="J100" s="127">
        <f t="shared" si="0"/>
        <v>0</v>
      </c>
      <c r="K100" s="127"/>
    </row>
    <row r="101" spans="1:11" ht="15.75" customHeight="1">
      <c r="A101" s="129"/>
      <c r="B101" s="126"/>
      <c r="C101" s="597"/>
      <c r="D101" s="130"/>
      <c r="E101" s="131"/>
      <c r="F101" s="127"/>
      <c r="G101" s="131"/>
      <c r="H101" s="126" t="s">
        <v>82</v>
      </c>
      <c r="I101" s="126" t="s">
        <v>82</v>
      </c>
      <c r="J101" s="127">
        <f t="shared" si="0"/>
        <v>0</v>
      </c>
      <c r="K101" s="127"/>
    </row>
    <row r="102" spans="1:11" ht="15.75" customHeight="1">
      <c r="A102" s="129"/>
      <c r="B102" s="126"/>
      <c r="C102" s="597"/>
      <c r="D102" s="130"/>
      <c r="E102" s="131"/>
      <c r="F102" s="127"/>
      <c r="G102" s="131"/>
      <c r="H102" s="126" t="s">
        <v>82</v>
      </c>
      <c r="I102" s="126" t="s">
        <v>82</v>
      </c>
      <c r="J102" s="127">
        <f t="shared" si="0"/>
        <v>0</v>
      </c>
      <c r="K102" s="127"/>
    </row>
    <row r="103" spans="1:11" ht="15.75" customHeight="1">
      <c r="A103" s="129"/>
      <c r="B103" s="126"/>
      <c r="C103" s="597"/>
      <c r="D103" s="130"/>
      <c r="E103" s="131"/>
      <c r="F103" s="127"/>
      <c r="G103" s="131"/>
      <c r="H103" s="126" t="s">
        <v>82</v>
      </c>
      <c r="I103" s="126" t="s">
        <v>82</v>
      </c>
      <c r="J103" s="127">
        <f t="shared" si="0"/>
        <v>0</v>
      </c>
      <c r="K103" s="127"/>
    </row>
    <row r="104" spans="1:11" ht="15.75" customHeight="1">
      <c r="A104" s="129"/>
      <c r="B104" s="126"/>
      <c r="C104" s="597"/>
      <c r="D104" s="130"/>
      <c r="E104" s="131"/>
      <c r="F104" s="127"/>
      <c r="G104" s="131"/>
      <c r="H104" s="126" t="s">
        <v>82</v>
      </c>
      <c r="I104" s="126" t="s">
        <v>82</v>
      </c>
      <c r="J104" s="127">
        <f t="shared" si="0"/>
        <v>0</v>
      </c>
      <c r="K104" s="127"/>
    </row>
    <row r="105" spans="1:11" ht="15.75" customHeight="1">
      <c r="A105" s="129"/>
      <c r="B105" s="126"/>
      <c r="C105" s="597"/>
      <c r="D105" s="130"/>
      <c r="E105" s="131"/>
      <c r="F105" s="127"/>
      <c r="G105" s="131"/>
      <c r="H105" s="126" t="s">
        <v>82</v>
      </c>
      <c r="I105" s="126" t="s">
        <v>82</v>
      </c>
      <c r="J105" s="127">
        <f t="shared" si="0"/>
        <v>0</v>
      </c>
      <c r="K105" s="127"/>
    </row>
    <row r="106" spans="1:11" ht="15.75" customHeight="1">
      <c r="A106" s="129"/>
      <c r="B106" s="126"/>
      <c r="C106" s="597"/>
      <c r="D106" s="130"/>
      <c r="E106" s="131"/>
      <c r="F106" s="127"/>
      <c r="G106" s="131"/>
      <c r="H106" s="126" t="s">
        <v>82</v>
      </c>
      <c r="I106" s="126" t="s">
        <v>82</v>
      </c>
      <c r="J106" s="127">
        <f t="shared" si="0"/>
        <v>0</v>
      </c>
      <c r="K106" s="127"/>
    </row>
    <row r="107" spans="1:11" ht="15.75" customHeight="1">
      <c r="A107" s="129"/>
      <c r="B107" s="126"/>
      <c r="C107" s="597"/>
      <c r="D107" s="130"/>
      <c r="E107" s="131"/>
      <c r="F107" s="127"/>
      <c r="G107" s="131"/>
      <c r="H107" s="126" t="s">
        <v>82</v>
      </c>
      <c r="I107" s="126" t="s">
        <v>82</v>
      </c>
      <c r="J107" s="127">
        <f t="shared" si="0"/>
        <v>0</v>
      </c>
      <c r="K107" s="127"/>
    </row>
    <row r="108" spans="1:11" ht="15.75" customHeight="1">
      <c r="A108" s="129"/>
      <c r="B108" s="126"/>
      <c r="C108" s="597"/>
      <c r="D108" s="130"/>
      <c r="E108" s="131"/>
      <c r="F108" s="127"/>
      <c r="G108" s="131"/>
      <c r="H108" s="126" t="s">
        <v>82</v>
      </c>
      <c r="I108" s="126" t="s">
        <v>82</v>
      </c>
      <c r="J108" s="127">
        <f t="shared" si="0"/>
        <v>0</v>
      </c>
      <c r="K108" s="127"/>
    </row>
    <row r="109" spans="1:11" ht="15.75" customHeight="1">
      <c r="A109" s="129"/>
      <c r="B109" s="126"/>
      <c r="C109" s="597"/>
      <c r="D109" s="130"/>
      <c r="E109" s="131"/>
      <c r="F109" s="127"/>
      <c r="G109" s="131"/>
      <c r="H109" s="126" t="s">
        <v>82</v>
      </c>
      <c r="I109" s="126" t="s">
        <v>82</v>
      </c>
      <c r="J109" s="127">
        <f t="shared" si="0"/>
        <v>0</v>
      </c>
      <c r="K109" s="127"/>
    </row>
    <row r="110" spans="1:11" ht="15.75" customHeight="1">
      <c r="A110" s="129"/>
      <c r="B110" s="126"/>
      <c r="C110" s="597"/>
      <c r="D110" s="130"/>
      <c r="E110" s="131"/>
      <c r="F110" s="127"/>
      <c r="G110" s="131"/>
      <c r="H110" s="126" t="s">
        <v>82</v>
      </c>
      <c r="I110" s="126" t="s">
        <v>82</v>
      </c>
      <c r="J110" s="127">
        <f t="shared" si="0"/>
        <v>0</v>
      </c>
      <c r="K110" s="127"/>
    </row>
    <row r="111" spans="1:11" ht="15.75" customHeight="1">
      <c r="A111" s="129"/>
      <c r="B111" s="126"/>
      <c r="C111" s="597"/>
      <c r="D111" s="130"/>
      <c r="E111" s="131"/>
      <c r="F111" s="127"/>
      <c r="G111" s="131"/>
      <c r="H111" s="126" t="s">
        <v>82</v>
      </c>
      <c r="I111" s="126" t="s">
        <v>82</v>
      </c>
      <c r="J111" s="127">
        <f t="shared" si="0"/>
        <v>0</v>
      </c>
      <c r="K111" s="127"/>
    </row>
    <row r="112" spans="1:11" ht="15.75" customHeight="1">
      <c r="A112" s="129"/>
      <c r="B112" s="126"/>
      <c r="C112" s="597"/>
      <c r="D112" s="130"/>
      <c r="E112" s="131"/>
      <c r="F112" s="127"/>
      <c r="G112" s="131"/>
      <c r="H112" s="126" t="s">
        <v>82</v>
      </c>
      <c r="I112" s="126" t="s">
        <v>82</v>
      </c>
      <c r="J112" s="127">
        <f t="shared" si="0"/>
        <v>0</v>
      </c>
      <c r="K112" s="127"/>
    </row>
    <row r="113" spans="1:11" ht="15.75" customHeight="1">
      <c r="A113" s="129"/>
      <c r="B113" s="126"/>
      <c r="C113" s="597"/>
      <c r="D113" s="130"/>
      <c r="E113" s="131"/>
      <c r="F113" s="127"/>
      <c r="G113" s="131"/>
      <c r="H113" s="126" t="s">
        <v>82</v>
      </c>
      <c r="I113" s="126" t="s">
        <v>82</v>
      </c>
      <c r="J113" s="127">
        <f t="shared" si="0"/>
        <v>0</v>
      </c>
      <c r="K113" s="127"/>
    </row>
    <row r="114" spans="1:11" ht="15.75" customHeight="1">
      <c r="A114" s="129"/>
      <c r="B114" s="126"/>
      <c r="C114" s="597"/>
      <c r="D114" s="130"/>
      <c r="E114" s="131"/>
      <c r="F114" s="127"/>
      <c r="G114" s="131"/>
      <c r="H114" s="126" t="s">
        <v>82</v>
      </c>
      <c r="I114" s="126" t="s">
        <v>82</v>
      </c>
      <c r="J114" s="127">
        <f t="shared" si="0"/>
        <v>0</v>
      </c>
      <c r="K114" s="127"/>
    </row>
    <row r="115" spans="1:11" ht="15.75" customHeight="1">
      <c r="A115" s="129"/>
      <c r="B115" s="126"/>
      <c r="C115" s="597"/>
      <c r="D115" s="130"/>
      <c r="E115" s="131"/>
      <c r="F115" s="127"/>
      <c r="G115" s="131"/>
      <c r="H115" s="126" t="s">
        <v>82</v>
      </c>
      <c r="I115" s="126" t="s">
        <v>82</v>
      </c>
      <c r="J115" s="127">
        <f t="shared" si="0"/>
        <v>0</v>
      </c>
      <c r="K115" s="127"/>
    </row>
    <row r="116" spans="1:11" ht="15.75" customHeight="1">
      <c r="A116" s="129"/>
      <c r="B116" s="126"/>
      <c r="C116" s="597"/>
      <c r="D116" s="130"/>
      <c r="E116" s="131"/>
      <c r="F116" s="127"/>
      <c r="G116" s="131"/>
      <c r="H116" s="126" t="s">
        <v>82</v>
      </c>
      <c r="I116" s="126" t="s">
        <v>82</v>
      </c>
      <c r="J116" s="127">
        <f t="shared" si="0"/>
        <v>0</v>
      </c>
      <c r="K116" s="127"/>
    </row>
    <row r="117" spans="1:11" ht="15.75" customHeight="1">
      <c r="A117" s="129"/>
      <c r="B117" s="126"/>
      <c r="C117" s="597"/>
      <c r="D117" s="130"/>
      <c r="E117" s="131"/>
      <c r="F117" s="127"/>
      <c r="G117" s="131"/>
      <c r="H117" s="126" t="s">
        <v>82</v>
      </c>
      <c r="I117" s="126" t="s">
        <v>82</v>
      </c>
      <c r="J117" s="127">
        <f t="shared" si="0"/>
        <v>0</v>
      </c>
      <c r="K117" s="127"/>
    </row>
    <row r="118" spans="1:11" ht="15.75" customHeight="1">
      <c r="A118" s="129"/>
      <c r="B118" s="126"/>
      <c r="C118" s="597"/>
      <c r="D118" s="130"/>
      <c r="E118" s="131"/>
      <c r="F118" s="127"/>
      <c r="G118" s="131"/>
      <c r="H118" s="126" t="s">
        <v>82</v>
      </c>
      <c r="I118" s="126" t="s">
        <v>82</v>
      </c>
      <c r="J118" s="127">
        <f t="shared" si="0"/>
        <v>0</v>
      </c>
      <c r="K118" s="127"/>
    </row>
    <row r="119" spans="1:11" ht="15.75" customHeight="1">
      <c r="A119" s="129"/>
      <c r="B119" s="126"/>
      <c r="C119" s="597"/>
      <c r="D119" s="130"/>
      <c r="E119" s="131"/>
      <c r="F119" s="127"/>
      <c r="G119" s="131"/>
      <c r="H119" s="126" t="s">
        <v>82</v>
      </c>
      <c r="I119" s="126" t="s">
        <v>82</v>
      </c>
      <c r="J119" s="127">
        <f t="shared" si="0"/>
        <v>0</v>
      </c>
      <c r="K119" s="127"/>
    </row>
    <row r="120" spans="1:11" ht="15.75" customHeight="1">
      <c r="A120" s="129"/>
      <c r="B120" s="126"/>
      <c r="C120" s="597"/>
      <c r="D120" s="130"/>
      <c r="E120" s="131"/>
      <c r="F120" s="127"/>
      <c r="G120" s="131"/>
      <c r="H120" s="126" t="s">
        <v>82</v>
      </c>
      <c r="I120" s="126" t="s">
        <v>82</v>
      </c>
      <c r="J120" s="127">
        <f t="shared" si="0"/>
        <v>0</v>
      </c>
      <c r="K120" s="127"/>
    </row>
    <row r="121" spans="1:11" ht="15.75" customHeight="1">
      <c r="A121" s="129"/>
      <c r="B121" s="126"/>
      <c r="C121" s="597"/>
      <c r="D121" s="130"/>
      <c r="E121" s="131"/>
      <c r="F121" s="127"/>
      <c r="G121" s="131"/>
      <c r="H121" s="126" t="s">
        <v>82</v>
      </c>
      <c r="I121" s="126" t="s">
        <v>82</v>
      </c>
      <c r="J121" s="127">
        <f t="shared" si="0"/>
        <v>0</v>
      </c>
      <c r="K121" s="127"/>
    </row>
    <row r="122" spans="1:11" ht="15.75" customHeight="1">
      <c r="A122" s="129"/>
      <c r="B122" s="126"/>
      <c r="C122" s="597"/>
      <c r="D122" s="130"/>
      <c r="E122" s="131"/>
      <c r="F122" s="127"/>
      <c r="G122" s="131"/>
      <c r="H122" s="126" t="s">
        <v>82</v>
      </c>
      <c r="I122" s="126" t="s">
        <v>82</v>
      </c>
      <c r="J122" s="127">
        <f t="shared" si="0"/>
        <v>0</v>
      </c>
      <c r="K122" s="127"/>
    </row>
    <row r="123" spans="1:11" ht="15.75" customHeight="1">
      <c r="A123" s="129"/>
      <c r="B123" s="126"/>
      <c r="C123" s="597"/>
      <c r="D123" s="130"/>
      <c r="E123" s="131"/>
      <c r="F123" s="127"/>
      <c r="G123" s="131"/>
      <c r="H123" s="126" t="s">
        <v>82</v>
      </c>
      <c r="I123" s="126" t="s">
        <v>82</v>
      </c>
      <c r="J123" s="127">
        <f t="shared" si="0"/>
        <v>0</v>
      </c>
      <c r="K123" s="127"/>
    </row>
    <row r="124" spans="1:11" ht="15.75" customHeight="1">
      <c r="A124" s="129"/>
      <c r="B124" s="126"/>
      <c r="C124" s="597"/>
      <c r="D124" s="130"/>
      <c r="E124" s="131"/>
      <c r="F124" s="127"/>
      <c r="G124" s="131"/>
      <c r="H124" s="126" t="s">
        <v>82</v>
      </c>
      <c r="I124" s="126" t="s">
        <v>82</v>
      </c>
      <c r="J124" s="127">
        <f t="shared" si="0"/>
        <v>0</v>
      </c>
      <c r="K124" s="127"/>
    </row>
    <row r="125" spans="1:11" ht="15.75" customHeight="1">
      <c r="A125" s="129"/>
      <c r="B125" s="126"/>
      <c r="C125" s="597"/>
      <c r="D125" s="130"/>
      <c r="E125" s="131"/>
      <c r="F125" s="127"/>
      <c r="G125" s="131"/>
      <c r="H125" s="126" t="s">
        <v>82</v>
      </c>
      <c r="I125" s="126" t="s">
        <v>82</v>
      </c>
      <c r="J125" s="127">
        <f t="shared" si="0"/>
        <v>0</v>
      </c>
      <c r="K125" s="127"/>
    </row>
    <row r="126" spans="1:11" ht="15.75" customHeight="1">
      <c r="A126" s="129"/>
      <c r="B126" s="126"/>
      <c r="C126" s="597"/>
      <c r="D126" s="130"/>
      <c r="E126" s="131"/>
      <c r="F126" s="127"/>
      <c r="G126" s="131"/>
      <c r="H126" s="126" t="s">
        <v>82</v>
      </c>
      <c r="I126" s="126" t="s">
        <v>82</v>
      </c>
      <c r="J126" s="127">
        <f t="shared" si="0"/>
        <v>0</v>
      </c>
      <c r="K126" s="127"/>
    </row>
    <row r="127" spans="1:11" ht="15.75" customHeight="1">
      <c r="A127" s="129"/>
      <c r="B127" s="126"/>
      <c r="C127" s="597"/>
      <c r="D127" s="130"/>
      <c r="E127" s="131"/>
      <c r="F127" s="127"/>
      <c r="G127" s="131"/>
      <c r="H127" s="126" t="s">
        <v>82</v>
      </c>
      <c r="I127" s="126" t="s">
        <v>82</v>
      </c>
      <c r="J127" s="127">
        <f t="shared" si="0"/>
        <v>0</v>
      </c>
      <c r="K127" s="127"/>
    </row>
    <row r="128" spans="1:11" ht="15.75" customHeight="1">
      <c r="A128" s="129"/>
      <c r="B128" s="126"/>
      <c r="C128" s="597"/>
      <c r="D128" s="130"/>
      <c r="E128" s="131"/>
      <c r="F128" s="127"/>
      <c r="G128" s="131"/>
      <c r="H128" s="126" t="s">
        <v>82</v>
      </c>
      <c r="I128" s="126" t="s">
        <v>82</v>
      </c>
      <c r="J128" s="127">
        <f t="shared" si="0"/>
        <v>0</v>
      </c>
      <c r="K128" s="127"/>
    </row>
    <row r="129" spans="1:11" ht="15.75" customHeight="1">
      <c r="A129" s="129"/>
      <c r="B129" s="126"/>
      <c r="C129" s="597"/>
      <c r="D129" s="130"/>
      <c r="E129" s="131"/>
      <c r="F129" s="127"/>
      <c r="G129" s="131"/>
      <c r="H129" s="126" t="s">
        <v>82</v>
      </c>
      <c r="I129" s="126" t="s">
        <v>82</v>
      </c>
      <c r="J129" s="127">
        <f t="shared" si="0"/>
        <v>0</v>
      </c>
      <c r="K129" s="127"/>
    </row>
    <row r="130" spans="1:11" ht="15.75" customHeight="1">
      <c r="A130" s="129"/>
      <c r="B130" s="126"/>
      <c r="C130" s="597"/>
      <c r="D130" s="130"/>
      <c r="E130" s="131"/>
      <c r="F130" s="127"/>
      <c r="G130" s="131"/>
      <c r="H130" s="126" t="s">
        <v>82</v>
      </c>
      <c r="I130" s="126" t="s">
        <v>82</v>
      </c>
      <c r="J130" s="127">
        <f t="shared" si="0"/>
        <v>0</v>
      </c>
      <c r="K130" s="127"/>
    </row>
    <row r="131" spans="1:11" ht="15.75" customHeight="1">
      <c r="A131" s="129"/>
      <c r="B131" s="126"/>
      <c r="C131" s="597"/>
      <c r="D131" s="130"/>
      <c r="E131" s="131"/>
      <c r="F131" s="127"/>
      <c r="G131" s="131"/>
      <c r="H131" s="126" t="s">
        <v>82</v>
      </c>
      <c r="I131" s="126" t="s">
        <v>82</v>
      </c>
      <c r="J131" s="127">
        <f t="shared" si="0"/>
        <v>0</v>
      </c>
      <c r="K131" s="127"/>
    </row>
    <row r="132" spans="1:11" ht="15.75" customHeight="1">
      <c r="A132" s="129"/>
      <c r="B132" s="126"/>
      <c r="C132" s="597"/>
      <c r="D132" s="130"/>
      <c r="E132" s="131"/>
      <c r="F132" s="127"/>
      <c r="G132" s="131"/>
      <c r="H132" s="126" t="s">
        <v>82</v>
      </c>
      <c r="I132" s="126" t="s">
        <v>82</v>
      </c>
      <c r="J132" s="127">
        <f t="shared" si="0"/>
        <v>0</v>
      </c>
      <c r="K132" s="127"/>
    </row>
    <row r="133" spans="1:11" ht="15.75" customHeight="1">
      <c r="A133" s="129"/>
      <c r="B133" s="126"/>
      <c r="C133" s="597"/>
      <c r="D133" s="130"/>
      <c r="E133" s="131"/>
      <c r="F133" s="127"/>
      <c r="G133" s="131"/>
      <c r="H133" s="126" t="s">
        <v>82</v>
      </c>
      <c r="I133" s="126" t="s">
        <v>82</v>
      </c>
      <c r="J133" s="127">
        <f t="shared" si="0"/>
        <v>0</v>
      </c>
      <c r="K133" s="127"/>
    </row>
    <row r="134" spans="1:11" ht="15.75" customHeight="1">
      <c r="A134" s="129"/>
      <c r="B134" s="126"/>
      <c r="C134" s="597"/>
      <c r="D134" s="130"/>
      <c r="E134" s="131"/>
      <c r="F134" s="127"/>
      <c r="G134" s="131"/>
      <c r="H134" s="126" t="s">
        <v>82</v>
      </c>
      <c r="I134" s="126" t="s">
        <v>82</v>
      </c>
      <c r="J134" s="127">
        <f t="shared" si="0"/>
        <v>0</v>
      </c>
      <c r="K134" s="127"/>
    </row>
    <row r="135" spans="1:11" ht="15.75" customHeight="1">
      <c r="A135" s="129"/>
      <c r="B135" s="126"/>
      <c r="C135" s="597"/>
      <c r="D135" s="130"/>
      <c r="E135" s="131"/>
      <c r="F135" s="127"/>
      <c r="G135" s="131"/>
      <c r="H135" s="126" t="s">
        <v>82</v>
      </c>
      <c r="I135" s="126" t="s">
        <v>82</v>
      </c>
      <c r="J135" s="127">
        <f t="shared" si="0"/>
        <v>0</v>
      </c>
      <c r="K135" s="127"/>
    </row>
    <row r="136" spans="1:11" ht="15.75" customHeight="1">
      <c r="A136" s="129"/>
      <c r="B136" s="126"/>
      <c r="C136" s="597"/>
      <c r="D136" s="130"/>
      <c r="E136" s="131"/>
      <c r="F136" s="127"/>
      <c r="G136" s="131"/>
      <c r="H136" s="126" t="s">
        <v>82</v>
      </c>
      <c r="I136" s="126" t="s">
        <v>82</v>
      </c>
      <c r="J136" s="127">
        <f t="shared" si="0"/>
        <v>0</v>
      </c>
      <c r="K136" s="127"/>
    </row>
    <row r="137" spans="1:11" ht="15.75" customHeight="1">
      <c r="A137" s="129"/>
      <c r="B137" s="126"/>
      <c r="C137" s="597"/>
      <c r="D137" s="130"/>
      <c r="E137" s="131"/>
      <c r="F137" s="127"/>
      <c r="G137" s="131"/>
      <c r="H137" s="126" t="s">
        <v>82</v>
      </c>
      <c r="I137" s="126" t="s">
        <v>82</v>
      </c>
      <c r="J137" s="127">
        <f t="shared" si="0"/>
        <v>0</v>
      </c>
      <c r="K137" s="127"/>
    </row>
    <row r="138" spans="1:11" ht="15.75" customHeight="1">
      <c r="A138" s="129"/>
      <c r="B138" s="126"/>
      <c r="C138" s="597"/>
      <c r="D138" s="130"/>
      <c r="E138" s="131"/>
      <c r="F138" s="127"/>
      <c r="G138" s="131"/>
      <c r="H138" s="126" t="s">
        <v>82</v>
      </c>
      <c r="I138" s="126" t="s">
        <v>82</v>
      </c>
      <c r="J138" s="127">
        <f t="shared" si="0"/>
        <v>0</v>
      </c>
      <c r="K138" s="127"/>
    </row>
    <row r="139" spans="1:11" ht="15.75" customHeight="1">
      <c r="A139" s="129"/>
      <c r="B139" s="126"/>
      <c r="C139" s="597"/>
      <c r="D139" s="130"/>
      <c r="E139" s="131"/>
      <c r="F139" s="127"/>
      <c r="G139" s="131"/>
      <c r="H139" s="126" t="s">
        <v>82</v>
      </c>
      <c r="I139" s="126" t="s">
        <v>82</v>
      </c>
      <c r="J139" s="127">
        <f t="shared" si="0"/>
        <v>0</v>
      </c>
      <c r="K139" s="127"/>
    </row>
    <row r="140" spans="1:11" ht="15.75" customHeight="1">
      <c r="A140" s="129"/>
      <c r="B140" s="126"/>
      <c r="C140" s="597"/>
      <c r="D140" s="130"/>
      <c r="E140" s="131"/>
      <c r="F140" s="127"/>
      <c r="G140" s="131"/>
      <c r="H140" s="126" t="s">
        <v>82</v>
      </c>
      <c r="I140" s="126" t="s">
        <v>82</v>
      </c>
      <c r="J140" s="127">
        <f t="shared" si="0"/>
        <v>0</v>
      </c>
      <c r="K140" s="127"/>
    </row>
    <row r="141" spans="1:11" ht="15.75" customHeight="1">
      <c r="A141" s="129"/>
      <c r="B141" s="126"/>
      <c r="C141" s="597"/>
      <c r="D141" s="130"/>
      <c r="E141" s="131"/>
      <c r="F141" s="127"/>
      <c r="G141" s="131"/>
      <c r="H141" s="126" t="s">
        <v>82</v>
      </c>
      <c r="I141" s="126" t="s">
        <v>82</v>
      </c>
      <c r="J141" s="127">
        <f t="shared" si="0"/>
        <v>0</v>
      </c>
      <c r="K141" s="127"/>
    </row>
    <row r="142" spans="1:11" ht="15.75" customHeight="1">
      <c r="A142" s="129"/>
      <c r="B142" s="126"/>
      <c r="C142" s="597"/>
      <c r="D142" s="130"/>
      <c r="E142" s="131"/>
      <c r="F142" s="127"/>
      <c r="G142" s="131"/>
      <c r="H142" s="126" t="s">
        <v>82</v>
      </c>
      <c r="I142" s="126" t="s">
        <v>82</v>
      </c>
      <c r="J142" s="127">
        <f t="shared" si="0"/>
        <v>0</v>
      </c>
      <c r="K142" s="127"/>
    </row>
    <row r="143" spans="1:11" ht="15.75" customHeight="1">
      <c r="A143" s="129"/>
      <c r="B143" s="126"/>
      <c r="C143" s="597"/>
      <c r="D143" s="130"/>
      <c r="E143" s="131"/>
      <c r="F143" s="127"/>
      <c r="G143" s="131"/>
      <c r="H143" s="126" t="s">
        <v>82</v>
      </c>
      <c r="I143" s="126" t="s">
        <v>82</v>
      </c>
      <c r="J143" s="127">
        <f t="shared" si="0"/>
        <v>0</v>
      </c>
      <c r="K143" s="127"/>
    </row>
    <row r="144" spans="1:11" ht="15.75" customHeight="1">
      <c r="A144" s="129"/>
      <c r="B144" s="126"/>
      <c r="C144" s="597"/>
      <c r="D144" s="130"/>
      <c r="E144" s="131"/>
      <c r="F144" s="127"/>
      <c r="G144" s="131"/>
      <c r="H144" s="126" t="s">
        <v>82</v>
      </c>
      <c r="I144" s="126" t="s">
        <v>82</v>
      </c>
      <c r="J144" s="127">
        <f t="shared" si="0"/>
        <v>0</v>
      </c>
      <c r="K144" s="127"/>
    </row>
    <row r="145" spans="1:11" ht="15.75" customHeight="1">
      <c r="A145" s="129"/>
      <c r="B145" s="126"/>
      <c r="C145" s="597"/>
      <c r="D145" s="130"/>
      <c r="E145" s="131"/>
      <c r="F145" s="127"/>
      <c r="G145" s="131"/>
      <c r="H145" s="126" t="s">
        <v>82</v>
      </c>
      <c r="I145" s="126" t="s">
        <v>82</v>
      </c>
      <c r="J145" s="127">
        <f t="shared" si="0"/>
        <v>0</v>
      </c>
      <c r="K145" s="127"/>
    </row>
    <row r="146" spans="1:11" ht="15.75" customHeight="1">
      <c r="A146" s="129"/>
      <c r="B146" s="126"/>
      <c r="C146" s="597"/>
      <c r="D146" s="130"/>
      <c r="E146" s="131"/>
      <c r="F146" s="127"/>
      <c r="G146" s="131"/>
      <c r="H146" s="126" t="s">
        <v>82</v>
      </c>
      <c r="I146" s="126" t="s">
        <v>82</v>
      </c>
      <c r="J146" s="127">
        <f t="shared" si="0"/>
        <v>0</v>
      </c>
      <c r="K146" s="127"/>
    </row>
    <row r="147" spans="1:11" ht="15.75" customHeight="1">
      <c r="A147" s="129"/>
      <c r="B147" s="126"/>
      <c r="C147" s="597"/>
      <c r="D147" s="130"/>
      <c r="E147" s="131"/>
      <c r="F147" s="127"/>
      <c r="G147" s="131"/>
      <c r="H147" s="126" t="s">
        <v>82</v>
      </c>
      <c r="I147" s="126" t="s">
        <v>82</v>
      </c>
      <c r="J147" s="127">
        <f t="shared" si="0"/>
        <v>0</v>
      </c>
      <c r="K147" s="127"/>
    </row>
    <row r="148" spans="1:11" ht="15.75" customHeight="1">
      <c r="A148" s="129"/>
      <c r="B148" s="126"/>
      <c r="C148" s="597"/>
      <c r="D148" s="130"/>
      <c r="E148" s="131"/>
      <c r="F148" s="127"/>
      <c r="G148" s="131"/>
      <c r="H148" s="126" t="s">
        <v>82</v>
      </c>
      <c r="I148" s="126" t="s">
        <v>82</v>
      </c>
      <c r="J148" s="127">
        <f t="shared" si="0"/>
        <v>0</v>
      </c>
      <c r="K148" s="127"/>
    </row>
    <row r="149" spans="1:11" ht="15.75" customHeight="1">
      <c r="A149" s="129"/>
      <c r="B149" s="126"/>
      <c r="C149" s="597"/>
      <c r="D149" s="130"/>
      <c r="E149" s="131"/>
      <c r="F149" s="127"/>
      <c r="G149" s="131"/>
      <c r="H149" s="126" t="s">
        <v>82</v>
      </c>
      <c r="I149" s="126" t="s">
        <v>82</v>
      </c>
      <c r="J149" s="127">
        <f t="shared" si="0"/>
        <v>0</v>
      </c>
      <c r="K149" s="127"/>
    </row>
    <row r="150" spans="1:11" ht="15.75" customHeight="1">
      <c r="A150" s="129"/>
      <c r="B150" s="126"/>
      <c r="C150" s="597"/>
      <c r="D150" s="130"/>
      <c r="E150" s="131"/>
      <c r="F150" s="127"/>
      <c r="G150" s="131"/>
      <c r="H150" s="126" t="s">
        <v>82</v>
      </c>
      <c r="I150" s="126" t="s">
        <v>82</v>
      </c>
      <c r="J150" s="127">
        <f t="shared" si="0"/>
        <v>0</v>
      </c>
      <c r="K150" s="127"/>
    </row>
    <row r="151" spans="1:11" ht="15.75" customHeight="1">
      <c r="A151" s="129"/>
      <c r="B151" s="126"/>
      <c r="C151" s="597"/>
      <c r="D151" s="130"/>
      <c r="E151" s="131"/>
      <c r="F151" s="127"/>
      <c r="G151" s="131"/>
      <c r="H151" s="126" t="s">
        <v>82</v>
      </c>
      <c r="I151" s="126" t="s">
        <v>82</v>
      </c>
      <c r="J151" s="127">
        <f t="shared" si="0"/>
        <v>0</v>
      </c>
      <c r="K151" s="127"/>
    </row>
    <row r="152" spans="1:11" ht="15.75" customHeight="1">
      <c r="A152" s="129"/>
      <c r="B152" s="126"/>
      <c r="C152" s="597"/>
      <c r="D152" s="130"/>
      <c r="E152" s="131"/>
      <c r="F152" s="127"/>
      <c r="G152" s="131"/>
      <c r="H152" s="126" t="s">
        <v>82</v>
      </c>
      <c r="I152" s="126" t="s">
        <v>82</v>
      </c>
      <c r="J152" s="127">
        <f t="shared" si="0"/>
        <v>0</v>
      </c>
      <c r="K152" s="127"/>
    </row>
    <row r="153" spans="1:11" ht="15.75" customHeight="1">
      <c r="A153" s="129"/>
      <c r="B153" s="126"/>
      <c r="C153" s="597"/>
      <c r="D153" s="130"/>
      <c r="E153" s="131"/>
      <c r="F153" s="127"/>
      <c r="G153" s="131"/>
      <c r="H153" s="126" t="s">
        <v>82</v>
      </c>
      <c r="I153" s="126" t="s">
        <v>82</v>
      </c>
      <c r="J153" s="127">
        <f t="shared" si="0"/>
        <v>0</v>
      </c>
      <c r="K153" s="127"/>
    </row>
    <row r="154" spans="1:11" ht="15.75" customHeight="1">
      <c r="A154" s="129"/>
      <c r="B154" s="126"/>
      <c r="C154" s="597"/>
      <c r="D154" s="130"/>
      <c r="E154" s="131"/>
      <c r="F154" s="127"/>
      <c r="G154" s="131"/>
      <c r="H154" s="126" t="s">
        <v>82</v>
      </c>
      <c r="I154" s="126" t="s">
        <v>82</v>
      </c>
      <c r="J154" s="127">
        <f t="shared" si="0"/>
        <v>0</v>
      </c>
      <c r="K154" s="127"/>
    </row>
    <row r="155" spans="1:11" ht="15.75" customHeight="1">
      <c r="A155" s="129"/>
      <c r="B155" s="126"/>
      <c r="C155" s="597"/>
      <c r="D155" s="130"/>
      <c r="E155" s="131"/>
      <c r="F155" s="127"/>
      <c r="G155" s="131"/>
      <c r="H155" s="126" t="s">
        <v>82</v>
      </c>
      <c r="I155" s="126" t="s">
        <v>82</v>
      </c>
      <c r="J155" s="127">
        <f t="shared" si="0"/>
        <v>0</v>
      </c>
      <c r="K155" s="127"/>
    </row>
    <row r="156" spans="1:11" ht="15.75" customHeight="1">
      <c r="A156" s="129"/>
      <c r="B156" s="126"/>
      <c r="C156" s="597"/>
      <c r="D156" s="130"/>
      <c r="E156" s="131"/>
      <c r="F156" s="127"/>
      <c r="G156" s="131"/>
      <c r="H156" s="126" t="s">
        <v>82</v>
      </c>
      <c r="I156" s="126" t="s">
        <v>82</v>
      </c>
      <c r="J156" s="127">
        <f t="shared" si="0"/>
        <v>0</v>
      </c>
      <c r="K156" s="127"/>
    </row>
    <row r="157" spans="1:11" ht="15.75" customHeight="1">
      <c r="A157" s="129"/>
      <c r="B157" s="126"/>
      <c r="C157" s="597"/>
      <c r="D157" s="130"/>
      <c r="E157" s="131"/>
      <c r="F157" s="127"/>
      <c r="G157" s="131"/>
      <c r="H157" s="126" t="s">
        <v>82</v>
      </c>
      <c r="I157" s="126" t="s">
        <v>82</v>
      </c>
      <c r="J157" s="127">
        <f t="shared" si="0"/>
        <v>0</v>
      </c>
      <c r="K157" s="127"/>
    </row>
    <row r="158" spans="1:11" ht="15.75" customHeight="1">
      <c r="A158" s="129"/>
      <c r="B158" s="126"/>
      <c r="C158" s="597"/>
      <c r="D158" s="130"/>
      <c r="E158" s="131"/>
      <c r="F158" s="127"/>
      <c r="G158" s="131"/>
      <c r="H158" s="126" t="s">
        <v>82</v>
      </c>
      <c r="I158" s="126" t="s">
        <v>82</v>
      </c>
      <c r="J158" s="127">
        <f t="shared" si="0"/>
        <v>0</v>
      </c>
      <c r="K158" s="127"/>
    </row>
    <row r="159" spans="1:11" ht="15.75" customHeight="1">
      <c r="A159" s="129"/>
      <c r="B159" s="126"/>
      <c r="C159" s="597"/>
      <c r="D159" s="130"/>
      <c r="E159" s="131"/>
      <c r="F159" s="127"/>
      <c r="G159" s="131"/>
      <c r="H159" s="126" t="s">
        <v>82</v>
      </c>
      <c r="I159" s="126" t="s">
        <v>82</v>
      </c>
      <c r="J159" s="127">
        <f t="shared" si="0"/>
        <v>0</v>
      </c>
      <c r="K159" s="127"/>
    </row>
    <row r="160" spans="1:11" ht="15.75" customHeight="1">
      <c r="A160" s="129"/>
      <c r="B160" s="126"/>
      <c r="C160" s="597"/>
      <c r="D160" s="130"/>
      <c r="E160" s="131"/>
      <c r="F160" s="127"/>
      <c r="G160" s="131"/>
      <c r="H160" s="126" t="s">
        <v>82</v>
      </c>
      <c r="I160" s="126" t="s">
        <v>82</v>
      </c>
      <c r="J160" s="127">
        <f t="shared" si="0"/>
        <v>0</v>
      </c>
      <c r="K160" s="127"/>
    </row>
    <row r="161" spans="1:11" ht="15.75" customHeight="1">
      <c r="A161" s="129"/>
      <c r="B161" s="126"/>
      <c r="C161" s="597"/>
      <c r="D161" s="130"/>
      <c r="E161" s="131"/>
      <c r="F161" s="127"/>
      <c r="G161" s="131"/>
      <c r="H161" s="126" t="s">
        <v>82</v>
      </c>
      <c r="I161" s="126" t="s">
        <v>82</v>
      </c>
      <c r="J161" s="127">
        <f t="shared" si="0"/>
        <v>0</v>
      </c>
      <c r="K161" s="127"/>
    </row>
    <row r="162" spans="1:11" ht="15.75" customHeight="1">
      <c r="A162" s="129"/>
      <c r="B162" s="126"/>
      <c r="C162" s="597"/>
      <c r="D162" s="130"/>
      <c r="E162" s="131"/>
      <c r="F162" s="127"/>
      <c r="G162" s="131"/>
      <c r="H162" s="126" t="s">
        <v>82</v>
      </c>
      <c r="I162" s="126" t="s">
        <v>82</v>
      </c>
      <c r="J162" s="127">
        <f t="shared" si="0"/>
        <v>0</v>
      </c>
      <c r="K162" s="127"/>
    </row>
    <row r="163" spans="1:11" ht="15.75" customHeight="1">
      <c r="A163" s="129"/>
      <c r="B163" s="126"/>
      <c r="C163" s="597"/>
      <c r="D163" s="130"/>
      <c r="E163" s="131"/>
      <c r="F163" s="127"/>
      <c r="G163" s="131"/>
      <c r="H163" s="126" t="s">
        <v>82</v>
      </c>
      <c r="I163" s="126" t="s">
        <v>82</v>
      </c>
      <c r="J163" s="127">
        <f t="shared" si="0"/>
        <v>0</v>
      </c>
      <c r="K163" s="127"/>
    </row>
    <row r="164" spans="1:11" ht="15.75" customHeight="1">
      <c r="A164" s="129"/>
      <c r="B164" s="126"/>
      <c r="C164" s="597"/>
      <c r="D164" s="130"/>
      <c r="E164" s="131"/>
      <c r="F164" s="127"/>
      <c r="G164" s="131"/>
      <c r="H164" s="126" t="s">
        <v>82</v>
      </c>
      <c r="I164" s="126" t="s">
        <v>82</v>
      </c>
      <c r="J164" s="127">
        <f t="shared" si="0"/>
        <v>0</v>
      </c>
      <c r="K164" s="127"/>
    </row>
    <row r="165" spans="1:11" ht="15.75" customHeight="1">
      <c r="A165" s="129"/>
      <c r="B165" s="126"/>
      <c r="C165" s="597"/>
      <c r="D165" s="130"/>
      <c r="E165" s="131"/>
      <c r="F165" s="127"/>
      <c r="G165" s="131"/>
      <c r="H165" s="126" t="s">
        <v>82</v>
      </c>
      <c r="I165" s="126" t="s">
        <v>82</v>
      </c>
      <c r="J165" s="127">
        <f t="shared" si="0"/>
        <v>0</v>
      </c>
      <c r="K165" s="127"/>
    </row>
    <row r="166" spans="1:11" ht="15.75" customHeight="1">
      <c r="A166" s="129"/>
      <c r="B166" s="126"/>
      <c r="C166" s="597"/>
      <c r="D166" s="130"/>
      <c r="E166" s="131"/>
      <c r="F166" s="127"/>
      <c r="G166" s="131"/>
      <c r="H166" s="126" t="s">
        <v>82</v>
      </c>
      <c r="I166" s="126" t="s">
        <v>82</v>
      </c>
      <c r="J166" s="127">
        <f t="shared" si="0"/>
        <v>0</v>
      </c>
      <c r="K166" s="127"/>
    </row>
    <row r="167" spans="1:11" ht="15.75" customHeight="1">
      <c r="A167" s="129"/>
      <c r="B167" s="126"/>
      <c r="C167" s="597"/>
      <c r="D167" s="130"/>
      <c r="E167" s="131"/>
      <c r="F167" s="127"/>
      <c r="G167" s="131"/>
      <c r="H167" s="126" t="s">
        <v>82</v>
      </c>
      <c r="I167" s="126" t="s">
        <v>82</v>
      </c>
      <c r="J167" s="127">
        <f t="shared" si="0"/>
        <v>0</v>
      </c>
      <c r="K167" s="127"/>
    </row>
    <row r="168" spans="1:11" ht="15.75" customHeight="1">
      <c r="A168" s="129"/>
      <c r="B168" s="126"/>
      <c r="C168" s="597"/>
      <c r="D168" s="130"/>
      <c r="E168" s="131"/>
      <c r="F168" s="127"/>
      <c r="G168" s="131"/>
      <c r="H168" s="126" t="s">
        <v>82</v>
      </c>
      <c r="I168" s="126" t="s">
        <v>82</v>
      </c>
      <c r="J168" s="127">
        <f t="shared" si="0"/>
        <v>0</v>
      </c>
      <c r="K168" s="127"/>
    </row>
    <row r="169" spans="1:11" ht="15.75" customHeight="1">
      <c r="A169" s="129"/>
      <c r="B169" s="126"/>
      <c r="C169" s="597"/>
      <c r="D169" s="130"/>
      <c r="E169" s="131"/>
      <c r="F169" s="127"/>
      <c r="G169" s="131"/>
      <c r="H169" s="126" t="s">
        <v>82</v>
      </c>
      <c r="I169" s="126" t="s">
        <v>82</v>
      </c>
      <c r="J169" s="127">
        <f t="shared" si="0"/>
        <v>0</v>
      </c>
      <c r="K169" s="127"/>
    </row>
    <row r="170" spans="1:11" ht="15.75" customHeight="1">
      <c r="A170" s="129"/>
      <c r="B170" s="126"/>
      <c r="C170" s="597"/>
      <c r="D170" s="130"/>
      <c r="E170" s="131"/>
      <c r="F170" s="127"/>
      <c r="G170" s="131"/>
      <c r="H170" s="126" t="s">
        <v>82</v>
      </c>
      <c r="I170" s="126" t="s">
        <v>82</v>
      </c>
      <c r="J170" s="127">
        <f t="shared" si="0"/>
        <v>0</v>
      </c>
      <c r="K170" s="127"/>
    </row>
    <row r="171" spans="1:11" ht="15.75" customHeight="1">
      <c r="A171" s="129"/>
      <c r="B171" s="126"/>
      <c r="C171" s="597"/>
      <c r="D171" s="130"/>
      <c r="E171" s="131"/>
      <c r="F171" s="127"/>
      <c r="G171" s="131"/>
      <c r="H171" s="126" t="s">
        <v>82</v>
      </c>
      <c r="I171" s="126" t="s">
        <v>82</v>
      </c>
      <c r="J171" s="127">
        <f t="shared" si="0"/>
        <v>0</v>
      </c>
      <c r="K171" s="127"/>
    </row>
    <row r="172" spans="1:11" ht="15.75" customHeight="1">
      <c r="A172" s="129"/>
      <c r="B172" s="126"/>
      <c r="C172" s="597"/>
      <c r="D172" s="130"/>
      <c r="E172" s="131"/>
      <c r="F172" s="127"/>
      <c r="G172" s="131"/>
      <c r="H172" s="126" t="s">
        <v>82</v>
      </c>
      <c r="I172" s="126" t="s">
        <v>82</v>
      </c>
      <c r="J172" s="127">
        <f t="shared" si="0"/>
        <v>0</v>
      </c>
      <c r="K172" s="127"/>
    </row>
    <row r="173" spans="1:11" ht="15.75" customHeight="1">
      <c r="A173" s="129"/>
      <c r="B173" s="126"/>
      <c r="C173" s="597"/>
      <c r="D173" s="130"/>
      <c r="E173" s="131"/>
      <c r="F173" s="127"/>
      <c r="G173" s="131"/>
      <c r="H173" s="126" t="s">
        <v>82</v>
      </c>
      <c r="I173" s="126" t="s">
        <v>82</v>
      </c>
      <c r="J173" s="127">
        <f t="shared" si="0"/>
        <v>0</v>
      </c>
      <c r="K173" s="127"/>
    </row>
    <row r="174" spans="1:11" ht="15.75" customHeight="1">
      <c r="A174" s="129"/>
      <c r="B174" s="126"/>
      <c r="C174" s="597"/>
      <c r="D174" s="130"/>
      <c r="E174" s="131"/>
      <c r="F174" s="127"/>
      <c r="G174" s="131"/>
      <c r="H174" s="126" t="s">
        <v>82</v>
      </c>
      <c r="I174" s="126" t="s">
        <v>82</v>
      </c>
      <c r="J174" s="127">
        <f t="shared" si="0"/>
        <v>0</v>
      </c>
      <c r="K174" s="127"/>
    </row>
    <row r="175" spans="1:11" ht="15.75" customHeight="1">
      <c r="A175" s="129"/>
      <c r="B175" s="126"/>
      <c r="C175" s="597"/>
      <c r="D175" s="130"/>
      <c r="E175" s="131"/>
      <c r="F175" s="127"/>
      <c r="G175" s="131"/>
      <c r="H175" s="126" t="s">
        <v>82</v>
      </c>
      <c r="I175" s="126" t="s">
        <v>82</v>
      </c>
      <c r="J175" s="127">
        <f t="shared" si="0"/>
        <v>0</v>
      </c>
      <c r="K175" s="127"/>
    </row>
    <row r="176" spans="1:11" ht="15.75" customHeight="1">
      <c r="A176" s="129"/>
      <c r="B176" s="126"/>
      <c r="C176" s="597"/>
      <c r="D176" s="130"/>
      <c r="E176" s="131"/>
      <c r="F176" s="127"/>
      <c r="G176" s="131"/>
      <c r="H176" s="126" t="s">
        <v>82</v>
      </c>
      <c r="I176" s="126" t="s">
        <v>82</v>
      </c>
      <c r="J176" s="127">
        <f t="shared" si="0"/>
        <v>0</v>
      </c>
      <c r="K176" s="127"/>
    </row>
    <row r="177" spans="1:11" ht="15.75" customHeight="1">
      <c r="A177" s="129"/>
      <c r="B177" s="126"/>
      <c r="C177" s="597"/>
      <c r="D177" s="130"/>
      <c r="E177" s="131"/>
      <c r="F177" s="127"/>
      <c r="G177" s="131"/>
      <c r="H177" s="126" t="s">
        <v>82</v>
      </c>
      <c r="I177" s="126" t="s">
        <v>82</v>
      </c>
      <c r="J177" s="127">
        <f t="shared" si="0"/>
        <v>0</v>
      </c>
      <c r="K177" s="127"/>
    </row>
    <row r="178" spans="1:11" ht="15.75" customHeight="1">
      <c r="A178" s="129"/>
      <c r="B178" s="126"/>
      <c r="C178" s="597"/>
      <c r="D178" s="130"/>
      <c r="E178" s="131"/>
      <c r="F178" s="127"/>
      <c r="G178" s="131"/>
      <c r="H178" s="126" t="s">
        <v>82</v>
      </c>
      <c r="I178" s="126" t="s">
        <v>82</v>
      </c>
      <c r="J178" s="127">
        <f t="shared" si="0"/>
        <v>0</v>
      </c>
      <c r="K178" s="127"/>
    </row>
    <row r="179" spans="1:11" ht="15.75" customHeight="1">
      <c r="A179" s="129"/>
      <c r="B179" s="126"/>
      <c r="C179" s="597"/>
      <c r="D179" s="130"/>
      <c r="E179" s="131"/>
      <c r="F179" s="127"/>
      <c r="G179" s="131"/>
      <c r="H179" s="126" t="s">
        <v>82</v>
      </c>
      <c r="I179" s="126" t="s">
        <v>82</v>
      </c>
      <c r="J179" s="127">
        <f t="shared" si="0"/>
        <v>0</v>
      </c>
      <c r="K179" s="127"/>
    </row>
    <row r="180" spans="1:11" ht="15.75" customHeight="1">
      <c r="A180" s="129"/>
      <c r="B180" s="126"/>
      <c r="C180" s="597"/>
      <c r="D180" s="130"/>
      <c r="E180" s="131"/>
      <c r="F180" s="127"/>
      <c r="G180" s="131"/>
      <c r="H180" s="126" t="s">
        <v>82</v>
      </c>
      <c r="I180" s="126" t="s">
        <v>82</v>
      </c>
      <c r="J180" s="127">
        <f t="shared" si="0"/>
        <v>0</v>
      </c>
      <c r="K180" s="127"/>
    </row>
    <row r="181" spans="1:11" ht="15.75" customHeight="1">
      <c r="A181" s="129"/>
      <c r="B181" s="126"/>
      <c r="C181" s="597"/>
      <c r="D181" s="130"/>
      <c r="E181" s="131"/>
      <c r="F181" s="127"/>
      <c r="G181" s="131"/>
      <c r="H181" s="126" t="s">
        <v>82</v>
      </c>
      <c r="I181" s="126" t="s">
        <v>82</v>
      </c>
      <c r="J181" s="127">
        <f t="shared" si="0"/>
        <v>0</v>
      </c>
      <c r="K181" s="127"/>
    </row>
    <row r="182" spans="1:11" ht="15.75" customHeight="1">
      <c r="A182" s="129"/>
      <c r="B182" s="126"/>
      <c r="C182" s="597"/>
      <c r="D182" s="130"/>
      <c r="E182" s="131"/>
      <c r="F182" s="127"/>
      <c r="G182" s="131"/>
      <c r="H182" s="126" t="s">
        <v>82</v>
      </c>
      <c r="I182" s="126" t="s">
        <v>82</v>
      </c>
      <c r="J182" s="127">
        <f t="shared" si="0"/>
        <v>0</v>
      </c>
      <c r="K182" s="127"/>
    </row>
    <row r="183" spans="1:11" ht="15.75" customHeight="1">
      <c r="A183" s="129"/>
      <c r="B183" s="126"/>
      <c r="C183" s="597"/>
      <c r="D183" s="130"/>
      <c r="E183" s="131"/>
      <c r="F183" s="127"/>
      <c r="G183" s="131"/>
      <c r="H183" s="126" t="s">
        <v>82</v>
      </c>
      <c r="I183" s="126" t="s">
        <v>82</v>
      </c>
      <c r="J183" s="127">
        <f t="shared" si="0"/>
        <v>0</v>
      </c>
      <c r="K183" s="127"/>
    </row>
    <row r="184" spans="1:11" ht="15.75" customHeight="1">
      <c r="A184" s="129"/>
      <c r="B184" s="126"/>
      <c r="C184" s="597"/>
      <c r="D184" s="130"/>
      <c r="E184" s="131"/>
      <c r="F184" s="127"/>
      <c r="G184" s="131"/>
      <c r="H184" s="126" t="s">
        <v>82</v>
      </c>
      <c r="I184" s="126" t="s">
        <v>82</v>
      </c>
      <c r="J184" s="127">
        <f t="shared" si="0"/>
        <v>0</v>
      </c>
      <c r="K184" s="127"/>
    </row>
    <row r="185" spans="1:11" ht="15.75" customHeight="1">
      <c r="A185" s="129"/>
      <c r="B185" s="126"/>
      <c r="C185" s="597"/>
      <c r="D185" s="130"/>
      <c r="E185" s="131"/>
      <c r="F185" s="127"/>
      <c r="G185" s="131"/>
      <c r="H185" s="126" t="s">
        <v>82</v>
      </c>
      <c r="I185" s="126" t="s">
        <v>82</v>
      </c>
      <c r="J185" s="127">
        <f t="shared" si="0"/>
        <v>0</v>
      </c>
      <c r="K185" s="127"/>
    </row>
    <row r="186" spans="1:11" ht="15.75" customHeight="1">
      <c r="A186" s="129"/>
      <c r="B186" s="126"/>
      <c r="C186" s="597"/>
      <c r="D186" s="130"/>
      <c r="E186" s="131"/>
      <c r="F186" s="127"/>
      <c r="G186" s="131"/>
      <c r="H186" s="126" t="s">
        <v>82</v>
      </c>
      <c r="I186" s="126" t="s">
        <v>82</v>
      </c>
      <c r="J186" s="127">
        <f t="shared" si="0"/>
        <v>0</v>
      </c>
      <c r="K186" s="127"/>
    </row>
    <row r="187" spans="1:11" ht="15.75" customHeight="1">
      <c r="A187" s="129"/>
      <c r="B187" s="126"/>
      <c r="C187" s="597"/>
      <c r="D187" s="130"/>
      <c r="E187" s="131"/>
      <c r="F187" s="127"/>
      <c r="G187" s="131"/>
      <c r="H187" s="126" t="s">
        <v>82</v>
      </c>
      <c r="I187" s="126" t="s">
        <v>82</v>
      </c>
      <c r="J187" s="127">
        <f t="shared" si="0"/>
        <v>0</v>
      </c>
      <c r="K187" s="127"/>
    </row>
    <row r="188" spans="1:11" ht="15.75" customHeight="1">
      <c r="A188" s="129"/>
      <c r="B188" s="126"/>
      <c r="C188" s="597"/>
      <c r="D188" s="130"/>
      <c r="E188" s="131"/>
      <c r="F188" s="127"/>
      <c r="G188" s="131"/>
      <c r="H188" s="126" t="s">
        <v>82</v>
      </c>
      <c r="I188" s="126" t="s">
        <v>82</v>
      </c>
      <c r="J188" s="127">
        <f t="shared" si="0"/>
        <v>0</v>
      </c>
      <c r="K188" s="127"/>
    </row>
    <row r="189" spans="1:11" ht="15.75" customHeight="1">
      <c r="A189" s="129"/>
      <c r="B189" s="126"/>
      <c r="C189" s="597"/>
      <c r="D189" s="130"/>
      <c r="E189" s="131"/>
      <c r="F189" s="127"/>
      <c r="G189" s="131"/>
      <c r="H189" s="126" t="s">
        <v>82</v>
      </c>
      <c r="I189" s="126" t="s">
        <v>82</v>
      </c>
      <c r="J189" s="127">
        <f t="shared" si="0"/>
        <v>0</v>
      </c>
      <c r="K189" s="127"/>
    </row>
    <row r="190" spans="1:11" ht="15.75" customHeight="1">
      <c r="A190" s="599"/>
      <c r="B190" s="600"/>
      <c r="C190" s="601"/>
      <c r="D190" s="602"/>
      <c r="E190" s="603"/>
      <c r="F190" s="604"/>
      <c r="G190" s="603"/>
      <c r="H190" s="126" t="s">
        <v>82</v>
      </c>
      <c r="I190" s="126" t="s">
        <v>82</v>
      </c>
      <c r="J190" s="127">
        <f t="shared" si="0"/>
        <v>0</v>
      </c>
      <c r="K190" s="127"/>
    </row>
  </sheetData>
  <autoFilter ref="A3:K190" xr:uid="{00000000-0009-0000-0000-00000C000000}"/>
  <conditionalFormatting sqref="H4:I190">
    <cfRule type="containsText" dxfId="15" priority="1" operator="containsText" text="Não">
      <formula>NOT(ISERROR(SEARCH(("Não"),(H4))))</formula>
    </cfRule>
  </conditionalFormatting>
  <dataValidations count="3">
    <dataValidation type="custom" allowBlank="1" showInputMessage="1" prompt="Item já cadastrado! - Esse item já está cadastrado nos investimentos. Adote o registro já incluído ou utilize um nome diferente para cadastras um novo." sqref="A4:A19 A22:A34 A37:A190" xr:uid="{00000000-0002-0000-0C00-000000000000}">
      <formula1>COUNTIF($A$4:$A$190,A4)=1</formula1>
    </dataValidation>
    <dataValidation type="list" allowBlank="1" showErrorMessage="1" sqref="H4:I190" xr:uid="{00000000-0002-0000-0C00-000001000000}">
      <formula1>"Sim,Não"</formula1>
    </dataValidation>
    <dataValidation type="list" allowBlank="1" showErrorMessage="1" sqref="F4:F19 F22:F190" xr:uid="{00000000-0002-0000-0C00-000002000000}">
      <formula1>CatInvest</formula1>
    </dataValidation>
  </dataValidations>
  <pageMargins left="0.75" right="0.75" top="1" bottom="1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14">
    <tabColor rgb="FFC55A11"/>
  </sheetPr>
  <dimension ref="A1:JT179"/>
  <sheetViews>
    <sheetView workbookViewId="0">
      <pane xSplit="1" ySplit="4" topLeftCell="B5" activePane="bottomRight" state="frozen"/>
      <selection pane="bottomRight"/>
      <selection pane="bottomLeft" activeCell="A5" sqref="A5"/>
      <selection pane="topRight" activeCell="B1" sqref="B1"/>
    </sheetView>
  </sheetViews>
  <sheetFormatPr defaultColWidth="11.44140625" defaultRowHeight="15" customHeight="1"/>
  <cols>
    <col min="1" max="1" width="52.44140625" customWidth="1"/>
    <col min="2" max="2" width="27.5546875" customWidth="1"/>
    <col min="3" max="3" width="54.5546875" customWidth="1"/>
    <col min="4" max="33" width="8.44140625" customWidth="1"/>
    <col min="34" max="34" width="14.21875" customWidth="1"/>
    <col min="35" max="35" width="11.44140625" customWidth="1"/>
    <col min="36" max="36" width="15.5546875" customWidth="1"/>
    <col min="37" max="37" width="22.44140625" customWidth="1"/>
    <col min="38" max="40" width="15.5546875" customWidth="1"/>
    <col min="41" max="70" width="10.5546875" customWidth="1"/>
    <col min="71" max="71" width="11.44140625" customWidth="1"/>
    <col min="72" max="74" width="11" customWidth="1"/>
    <col min="75" max="76" width="11.44140625" customWidth="1"/>
    <col min="77" max="79" width="11" customWidth="1"/>
    <col min="80" max="80" width="11.44140625" customWidth="1"/>
    <col min="81" max="82" width="11" customWidth="1"/>
    <col min="83" max="84" width="11.44140625" customWidth="1"/>
    <col min="85" max="86" width="11" customWidth="1"/>
    <col min="87" max="88" width="11.44140625" customWidth="1"/>
    <col min="89" max="100" width="11" customWidth="1"/>
    <col min="101" max="220" width="10.5546875" customWidth="1"/>
    <col min="221" max="221" width="11.5546875" customWidth="1"/>
    <col min="222" max="280" width="10.5546875" customWidth="1"/>
  </cols>
  <sheetData>
    <row r="1" spans="1:280" ht="15.75" customHeight="1">
      <c r="A1" s="126">
        <v>1</v>
      </c>
      <c r="B1" s="126">
        <v>2</v>
      </c>
      <c r="C1" s="126">
        <v>3</v>
      </c>
      <c r="D1" s="126">
        <v>4</v>
      </c>
      <c r="E1" s="126">
        <v>5</v>
      </c>
      <c r="F1" s="126">
        <v>6</v>
      </c>
      <c r="G1" s="126">
        <v>7</v>
      </c>
      <c r="H1" s="126">
        <v>8</v>
      </c>
      <c r="I1" s="126">
        <v>9</v>
      </c>
      <c r="J1" s="126">
        <v>10</v>
      </c>
      <c r="K1" s="126">
        <v>11</v>
      </c>
      <c r="L1" s="126">
        <v>12</v>
      </c>
      <c r="M1" s="126">
        <v>13</v>
      </c>
      <c r="N1" s="126">
        <v>14</v>
      </c>
      <c r="O1" s="126">
        <v>15</v>
      </c>
      <c r="P1" s="126">
        <v>16</v>
      </c>
      <c r="Q1" s="126">
        <v>17</v>
      </c>
      <c r="R1" s="126">
        <v>18</v>
      </c>
      <c r="S1" s="126">
        <v>19</v>
      </c>
      <c r="T1" s="126">
        <v>20</v>
      </c>
      <c r="U1" s="126">
        <v>21</v>
      </c>
      <c r="V1" s="126">
        <v>22</v>
      </c>
      <c r="W1" s="126">
        <v>23</v>
      </c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>
        <v>24</v>
      </c>
      <c r="AI1" s="126">
        <v>25</v>
      </c>
      <c r="AJ1" s="126">
        <v>26</v>
      </c>
      <c r="AK1" s="126">
        <v>27</v>
      </c>
      <c r="AL1" s="126">
        <v>28</v>
      </c>
      <c r="AM1" s="126">
        <v>29</v>
      </c>
      <c r="AN1" s="126">
        <v>30</v>
      </c>
      <c r="AO1" s="126">
        <v>31</v>
      </c>
      <c r="AP1" s="126">
        <v>32</v>
      </c>
      <c r="AQ1" s="126">
        <v>33</v>
      </c>
      <c r="AR1" s="126">
        <v>34</v>
      </c>
      <c r="AS1" s="126">
        <v>35</v>
      </c>
      <c r="AT1" s="126">
        <v>36</v>
      </c>
      <c r="AU1" s="126">
        <v>37</v>
      </c>
      <c r="AV1" s="126">
        <v>38</v>
      </c>
      <c r="AW1" s="126">
        <v>39</v>
      </c>
      <c r="AX1" s="126">
        <v>40</v>
      </c>
      <c r="AY1" s="126">
        <v>41</v>
      </c>
      <c r="AZ1" s="126">
        <v>42</v>
      </c>
      <c r="BA1" s="126">
        <v>43</v>
      </c>
      <c r="BB1" s="126">
        <v>44</v>
      </c>
      <c r="BC1" s="126">
        <v>45</v>
      </c>
      <c r="BD1" s="126">
        <v>46</v>
      </c>
      <c r="BE1" s="126">
        <v>47</v>
      </c>
      <c r="BF1" s="126">
        <v>48</v>
      </c>
      <c r="BG1" s="126">
        <v>49</v>
      </c>
      <c r="BH1" s="126">
        <v>50</v>
      </c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>
        <v>51</v>
      </c>
      <c r="BT1" s="126">
        <v>52</v>
      </c>
      <c r="BU1" s="126">
        <v>53</v>
      </c>
      <c r="BV1" s="126">
        <v>54</v>
      </c>
      <c r="BW1" s="126">
        <v>55</v>
      </c>
      <c r="BX1" s="126">
        <v>56</v>
      </c>
      <c r="BY1" s="126">
        <v>57</v>
      </c>
      <c r="BZ1" s="126">
        <v>58</v>
      </c>
      <c r="CA1" s="126">
        <v>59</v>
      </c>
      <c r="CB1" s="126">
        <v>60</v>
      </c>
      <c r="CC1" s="126">
        <v>61</v>
      </c>
      <c r="CD1" s="126">
        <v>62</v>
      </c>
      <c r="CE1" s="126">
        <v>63</v>
      </c>
      <c r="CF1" s="126">
        <v>64</v>
      </c>
      <c r="CG1" s="126">
        <v>65</v>
      </c>
      <c r="CH1" s="126">
        <v>66</v>
      </c>
      <c r="CI1" s="126">
        <v>67</v>
      </c>
      <c r="CJ1" s="126">
        <v>68</v>
      </c>
      <c r="CK1" s="126">
        <v>69</v>
      </c>
      <c r="CL1" s="126">
        <v>70</v>
      </c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>
        <v>71</v>
      </c>
      <c r="CX1" s="126">
        <v>72</v>
      </c>
      <c r="CY1" s="126">
        <v>73</v>
      </c>
      <c r="CZ1" s="126">
        <v>74</v>
      </c>
      <c r="DA1" s="126">
        <v>75</v>
      </c>
      <c r="DB1" s="126">
        <v>76</v>
      </c>
      <c r="DC1" s="126">
        <v>77</v>
      </c>
      <c r="DD1" s="126">
        <v>78</v>
      </c>
      <c r="DE1" s="126">
        <v>79</v>
      </c>
      <c r="DF1" s="126">
        <v>80</v>
      </c>
      <c r="DG1" s="126">
        <v>81</v>
      </c>
      <c r="DH1" s="126">
        <v>82</v>
      </c>
      <c r="DI1" s="126">
        <v>83</v>
      </c>
      <c r="DJ1" s="126">
        <v>84</v>
      </c>
      <c r="DK1" s="126">
        <v>85</v>
      </c>
      <c r="DL1" s="126">
        <v>86</v>
      </c>
      <c r="DM1" s="126">
        <v>87</v>
      </c>
      <c r="DN1" s="126">
        <v>88</v>
      </c>
      <c r="DO1" s="126">
        <v>89</v>
      </c>
      <c r="DP1" s="126">
        <v>90</v>
      </c>
      <c r="DQ1" s="126"/>
      <c r="DR1" s="126"/>
      <c r="DS1" s="126"/>
      <c r="DT1" s="126"/>
      <c r="DU1" s="126"/>
      <c r="DV1" s="126"/>
      <c r="DW1" s="126"/>
      <c r="DX1" s="126"/>
      <c r="DY1" s="126"/>
      <c r="DZ1" s="126"/>
      <c r="EA1" s="126">
        <v>91</v>
      </c>
      <c r="EB1" s="126">
        <v>92</v>
      </c>
      <c r="EC1" s="126">
        <v>93</v>
      </c>
      <c r="ED1" s="126">
        <v>94</v>
      </c>
      <c r="EE1" s="126">
        <v>95</v>
      </c>
      <c r="EF1" s="126">
        <v>96</v>
      </c>
      <c r="EG1" s="126">
        <v>97</v>
      </c>
      <c r="EH1" s="126">
        <v>98</v>
      </c>
      <c r="EI1" s="126">
        <v>99</v>
      </c>
      <c r="EJ1" s="126">
        <v>100</v>
      </c>
      <c r="EK1" s="126">
        <v>101</v>
      </c>
      <c r="EL1" s="126">
        <v>102</v>
      </c>
      <c r="EM1" s="126">
        <v>103</v>
      </c>
      <c r="EN1" s="126">
        <v>104</v>
      </c>
      <c r="EO1" s="126">
        <v>105</v>
      </c>
      <c r="EP1" s="126">
        <v>106</v>
      </c>
      <c r="EQ1" s="126">
        <v>107</v>
      </c>
      <c r="ER1" s="126">
        <v>108</v>
      </c>
      <c r="ES1" s="126">
        <v>109</v>
      </c>
      <c r="ET1" s="126">
        <v>110</v>
      </c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>
        <v>111</v>
      </c>
      <c r="FF1" s="126">
        <v>112</v>
      </c>
      <c r="FG1" s="126">
        <v>113</v>
      </c>
      <c r="FH1" s="126">
        <v>114</v>
      </c>
      <c r="FI1" s="126">
        <v>115</v>
      </c>
      <c r="FJ1" s="126">
        <v>116</v>
      </c>
      <c r="FK1" s="126">
        <v>117</v>
      </c>
      <c r="FL1" s="126">
        <v>118</v>
      </c>
      <c r="FM1" s="126">
        <v>119</v>
      </c>
      <c r="FN1" s="126">
        <v>120</v>
      </c>
      <c r="FO1" s="126">
        <v>121</v>
      </c>
      <c r="FP1" s="126">
        <v>122</v>
      </c>
      <c r="FQ1" s="126">
        <v>123</v>
      </c>
      <c r="FR1" s="126">
        <v>124</v>
      </c>
      <c r="FS1" s="126">
        <v>125</v>
      </c>
      <c r="FT1" s="126">
        <v>126</v>
      </c>
      <c r="FU1" s="126">
        <v>127</v>
      </c>
      <c r="FV1" s="126">
        <v>128</v>
      </c>
      <c r="FW1" s="126">
        <v>129</v>
      </c>
      <c r="FX1" s="126">
        <v>130</v>
      </c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>
        <v>131</v>
      </c>
      <c r="GJ1" s="126">
        <v>132</v>
      </c>
      <c r="GK1" s="126">
        <v>133</v>
      </c>
      <c r="GL1" s="126">
        <v>134</v>
      </c>
      <c r="GM1" s="126">
        <v>135</v>
      </c>
      <c r="GN1" s="126">
        <v>136</v>
      </c>
      <c r="GO1" s="126">
        <v>137</v>
      </c>
      <c r="GP1" s="126">
        <v>138</v>
      </c>
      <c r="GQ1" s="126">
        <v>139</v>
      </c>
      <c r="GR1" s="126">
        <v>140</v>
      </c>
      <c r="GS1" s="126">
        <v>141</v>
      </c>
      <c r="GT1" s="126">
        <v>142</v>
      </c>
      <c r="GU1" s="126">
        <v>143</v>
      </c>
      <c r="GV1" s="126">
        <v>144</v>
      </c>
      <c r="GW1" s="126">
        <v>145</v>
      </c>
      <c r="GX1" s="126">
        <v>146</v>
      </c>
      <c r="GY1" s="126">
        <v>147</v>
      </c>
      <c r="GZ1" s="126">
        <v>148</v>
      </c>
      <c r="HA1" s="126">
        <v>149</v>
      </c>
      <c r="HB1" s="126">
        <v>150</v>
      </c>
      <c r="HC1" s="126"/>
      <c r="HD1" s="126"/>
      <c r="HE1" s="126"/>
      <c r="HF1" s="126"/>
      <c r="HG1" s="126"/>
      <c r="HH1" s="126"/>
      <c r="HI1" s="126"/>
      <c r="HJ1" s="126"/>
      <c r="HK1" s="126"/>
      <c r="HL1" s="126"/>
      <c r="HM1" s="126">
        <v>151</v>
      </c>
      <c r="HN1" s="126">
        <v>152</v>
      </c>
      <c r="HO1" s="126">
        <v>153</v>
      </c>
      <c r="HP1" s="126">
        <v>154</v>
      </c>
      <c r="HQ1" s="126">
        <v>155</v>
      </c>
      <c r="HR1" s="126">
        <v>156</v>
      </c>
      <c r="HS1" s="126">
        <v>157</v>
      </c>
      <c r="HT1" s="126">
        <v>158</v>
      </c>
      <c r="HU1" s="126">
        <v>159</v>
      </c>
      <c r="HV1" s="126">
        <v>160</v>
      </c>
      <c r="HW1" s="126">
        <v>161</v>
      </c>
      <c r="HX1" s="126">
        <v>162</v>
      </c>
      <c r="HY1" s="126">
        <v>163</v>
      </c>
      <c r="HZ1" s="126">
        <v>164</v>
      </c>
      <c r="IA1" s="126">
        <v>165</v>
      </c>
      <c r="IB1" s="126">
        <v>166</v>
      </c>
      <c r="IC1" s="126">
        <v>167</v>
      </c>
      <c r="ID1" s="126">
        <v>168</v>
      </c>
      <c r="IE1" s="126">
        <v>169</v>
      </c>
      <c r="IF1" s="126">
        <v>170</v>
      </c>
      <c r="IG1" s="126"/>
      <c r="IH1" s="126"/>
      <c r="II1" s="126"/>
      <c r="IJ1" s="126"/>
      <c r="IK1" s="126"/>
      <c r="IL1" s="126"/>
      <c r="IM1" s="126"/>
      <c r="IN1" s="126"/>
      <c r="IO1" s="126"/>
      <c r="IP1" s="126"/>
      <c r="IQ1" s="126">
        <v>171</v>
      </c>
      <c r="IR1" s="126">
        <v>172</v>
      </c>
      <c r="IS1" s="126">
        <v>173</v>
      </c>
      <c r="IT1" s="126">
        <v>174</v>
      </c>
      <c r="IU1" s="126">
        <v>175</v>
      </c>
      <c r="IV1" s="126">
        <v>176</v>
      </c>
      <c r="IW1" s="126">
        <v>177</v>
      </c>
      <c r="IX1" s="126">
        <v>178</v>
      </c>
      <c r="IY1" s="126">
        <v>179</v>
      </c>
      <c r="IZ1" s="126">
        <v>180</v>
      </c>
      <c r="JA1" s="126">
        <v>181</v>
      </c>
      <c r="JB1" s="126">
        <v>182</v>
      </c>
      <c r="JC1" s="126">
        <v>183</v>
      </c>
      <c r="JD1" s="126">
        <v>184</v>
      </c>
      <c r="JE1" s="126">
        <v>185</v>
      </c>
      <c r="JF1" s="126">
        <v>186</v>
      </c>
      <c r="JG1" s="126">
        <v>187</v>
      </c>
      <c r="JH1" s="126">
        <v>188</v>
      </c>
      <c r="JI1" s="126">
        <v>189</v>
      </c>
      <c r="JJ1" s="126">
        <v>190</v>
      </c>
      <c r="JK1" s="126"/>
      <c r="JL1" s="126"/>
      <c r="JM1" s="126"/>
      <c r="JN1" s="126"/>
      <c r="JO1" s="126"/>
      <c r="JP1" s="126"/>
      <c r="JQ1" s="126"/>
      <c r="JR1" s="126"/>
      <c r="JS1" s="126"/>
      <c r="JT1" s="126"/>
    </row>
    <row r="2" spans="1:280" ht="15.75" customHeight="1">
      <c r="A2" s="592" t="s">
        <v>439</v>
      </c>
      <c r="B2" s="592"/>
      <c r="C2" s="127"/>
      <c r="D2" s="594"/>
      <c r="E2" s="594"/>
      <c r="F2" s="594"/>
      <c r="G2" s="594"/>
      <c r="H2" s="594"/>
      <c r="I2" s="594"/>
      <c r="J2" s="594"/>
      <c r="K2" s="594"/>
      <c r="L2" s="594"/>
      <c r="M2" s="594"/>
      <c r="N2" s="594"/>
      <c r="O2" s="594"/>
      <c r="P2" s="594"/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94"/>
      <c r="AB2" s="594"/>
      <c r="AC2" s="594"/>
      <c r="AD2" s="594"/>
      <c r="AE2" s="594"/>
      <c r="AF2" s="594"/>
      <c r="AG2" s="594"/>
      <c r="AH2" s="486"/>
      <c r="AI2" s="593"/>
      <c r="AJ2" s="593"/>
      <c r="AK2" s="594"/>
      <c r="AL2" s="594"/>
      <c r="AM2" s="594"/>
      <c r="AN2" s="594"/>
      <c r="AO2" s="594"/>
      <c r="AP2" s="594"/>
      <c r="AQ2" s="594"/>
      <c r="AR2" s="594"/>
      <c r="AS2" s="594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  <c r="BU2" s="127"/>
      <c r="BV2" s="127"/>
      <c r="BW2" s="127"/>
      <c r="BX2" s="127"/>
      <c r="BY2" s="127"/>
      <c r="BZ2" s="127"/>
      <c r="CA2" s="127"/>
      <c r="CB2" s="127"/>
      <c r="CC2" s="127"/>
      <c r="CD2" s="127"/>
      <c r="CE2" s="127"/>
      <c r="CF2" s="127"/>
      <c r="CG2" s="127"/>
      <c r="CH2" s="127"/>
      <c r="CI2" s="127"/>
      <c r="CJ2" s="127"/>
      <c r="CK2" s="127"/>
      <c r="CL2" s="127"/>
      <c r="CM2" s="127"/>
      <c r="CN2" s="127"/>
      <c r="CO2" s="127"/>
      <c r="CP2" s="127"/>
      <c r="CQ2" s="127"/>
      <c r="CR2" s="127"/>
      <c r="CS2" s="127"/>
      <c r="CT2" s="127"/>
      <c r="CU2" s="127"/>
      <c r="CV2" s="127"/>
      <c r="CW2" s="127"/>
      <c r="CX2" s="127"/>
      <c r="CY2" s="127"/>
      <c r="CZ2" s="127"/>
      <c r="DA2" s="127"/>
      <c r="DB2" s="127"/>
      <c r="DC2" s="127"/>
      <c r="DD2" s="127"/>
      <c r="DE2" s="127"/>
      <c r="DF2" s="127"/>
      <c r="DG2" s="127"/>
      <c r="DH2" s="127"/>
      <c r="DI2" s="127"/>
      <c r="DJ2" s="127"/>
      <c r="DK2" s="127"/>
      <c r="DL2" s="127"/>
      <c r="DM2" s="127"/>
      <c r="DN2" s="127"/>
      <c r="DO2" s="127"/>
      <c r="DP2" s="127"/>
      <c r="DQ2" s="127"/>
      <c r="DR2" s="127"/>
      <c r="DS2" s="127"/>
      <c r="DT2" s="127"/>
      <c r="DU2" s="127"/>
      <c r="DV2" s="127"/>
      <c r="DW2" s="127"/>
      <c r="DX2" s="127"/>
      <c r="DY2" s="127"/>
      <c r="DZ2" s="127"/>
      <c r="EA2" s="127"/>
      <c r="EB2" s="127"/>
      <c r="EC2" s="127"/>
      <c r="ED2" s="127"/>
      <c r="EE2" s="127"/>
      <c r="EF2" s="127"/>
      <c r="EG2" s="127"/>
      <c r="EH2" s="127"/>
      <c r="EI2" s="127"/>
      <c r="EJ2" s="127"/>
      <c r="EK2" s="127"/>
      <c r="EL2" s="127"/>
      <c r="EM2" s="127"/>
      <c r="EN2" s="127"/>
      <c r="EO2" s="127"/>
      <c r="EP2" s="127"/>
      <c r="EQ2" s="127"/>
      <c r="ER2" s="127"/>
      <c r="ES2" s="127"/>
      <c r="ET2" s="127"/>
      <c r="EU2" s="127"/>
      <c r="EV2" s="127"/>
      <c r="EW2" s="127"/>
      <c r="EX2" s="127"/>
      <c r="EY2" s="127"/>
      <c r="EZ2" s="127"/>
      <c r="FA2" s="127"/>
      <c r="FB2" s="127"/>
      <c r="FC2" s="127"/>
      <c r="FD2" s="127"/>
      <c r="FE2" s="127"/>
      <c r="FF2" s="127"/>
      <c r="FG2" s="127"/>
      <c r="FH2" s="127"/>
      <c r="FI2" s="127"/>
      <c r="FJ2" s="127"/>
      <c r="FK2" s="127"/>
      <c r="FL2" s="127"/>
      <c r="FM2" s="127"/>
      <c r="FN2" s="127"/>
      <c r="FO2" s="127"/>
      <c r="FP2" s="127"/>
      <c r="FQ2" s="127"/>
      <c r="FR2" s="127"/>
      <c r="FS2" s="127"/>
      <c r="FT2" s="127"/>
      <c r="FU2" s="127"/>
      <c r="FV2" s="127"/>
      <c r="FW2" s="127"/>
      <c r="FX2" s="127"/>
      <c r="FY2" s="127"/>
      <c r="FZ2" s="127"/>
      <c r="GA2" s="127"/>
      <c r="GB2" s="127"/>
      <c r="GC2" s="127"/>
      <c r="GD2" s="127"/>
      <c r="GE2" s="127"/>
      <c r="GF2" s="127"/>
      <c r="GG2" s="127"/>
      <c r="GH2" s="127"/>
      <c r="GI2" s="127"/>
      <c r="GJ2" s="127"/>
      <c r="GK2" s="127"/>
      <c r="GL2" s="127"/>
      <c r="GM2" s="127"/>
      <c r="GN2" s="127"/>
      <c r="GO2" s="127"/>
      <c r="GP2" s="127"/>
      <c r="GQ2" s="127"/>
      <c r="GR2" s="127"/>
      <c r="GS2" s="127"/>
      <c r="GT2" s="127"/>
      <c r="GU2" s="127"/>
      <c r="GV2" s="127"/>
      <c r="GW2" s="127"/>
      <c r="GX2" s="127"/>
      <c r="GY2" s="127"/>
      <c r="GZ2" s="127"/>
      <c r="HA2" s="127"/>
      <c r="HB2" s="127"/>
      <c r="HC2" s="127"/>
      <c r="HD2" s="127"/>
      <c r="HE2" s="127"/>
      <c r="HF2" s="127"/>
      <c r="HG2" s="127"/>
      <c r="HH2" s="127"/>
      <c r="HI2" s="127"/>
      <c r="HJ2" s="127"/>
      <c r="HK2" s="127"/>
      <c r="HL2" s="127"/>
      <c r="HM2" s="127"/>
      <c r="HN2" s="127"/>
      <c r="HO2" s="127"/>
      <c r="HP2" s="127"/>
      <c r="HQ2" s="127"/>
      <c r="HR2" s="127"/>
      <c r="HS2" s="127"/>
      <c r="HT2" s="127"/>
      <c r="HU2" s="127"/>
      <c r="HV2" s="127"/>
      <c r="HW2" s="127"/>
      <c r="HX2" s="127"/>
      <c r="HY2" s="127"/>
      <c r="HZ2" s="127"/>
      <c r="IA2" s="127"/>
      <c r="IB2" s="127"/>
      <c r="IC2" s="127"/>
      <c r="ID2" s="127"/>
      <c r="IE2" s="127"/>
      <c r="IF2" s="127"/>
      <c r="IG2" s="127"/>
      <c r="IH2" s="127"/>
      <c r="II2" s="127"/>
      <c r="IJ2" s="127"/>
      <c r="IK2" s="127"/>
      <c r="IL2" s="127"/>
      <c r="IM2" s="127"/>
      <c r="IN2" s="127"/>
      <c r="IO2" s="127"/>
      <c r="IP2" s="127"/>
      <c r="IQ2" s="127"/>
      <c r="IR2" s="127"/>
      <c r="IS2" s="127"/>
      <c r="IT2" s="127"/>
      <c r="IU2" s="127"/>
      <c r="IV2" s="127"/>
      <c r="IW2" s="127"/>
      <c r="IX2" s="127"/>
      <c r="IY2" s="127"/>
      <c r="IZ2" s="127"/>
      <c r="JA2" s="127"/>
      <c r="JB2" s="127"/>
      <c r="JC2" s="127"/>
      <c r="JD2" s="127"/>
      <c r="JE2" s="127"/>
      <c r="JF2" s="127"/>
      <c r="JG2" s="127"/>
      <c r="JH2" s="127"/>
      <c r="JI2" s="127"/>
      <c r="JJ2" s="127"/>
      <c r="JK2" s="127"/>
      <c r="JL2" s="127"/>
      <c r="JM2" s="127"/>
      <c r="JN2" s="127"/>
      <c r="JO2" s="127"/>
      <c r="JP2" s="127"/>
      <c r="JQ2" s="127"/>
      <c r="JR2" s="127"/>
      <c r="JS2" s="127"/>
      <c r="JT2" s="127"/>
    </row>
    <row r="3" spans="1:280" ht="15.75" customHeight="1">
      <c r="A3" s="594"/>
      <c r="B3" s="594"/>
      <c r="C3" s="593"/>
      <c r="D3" s="594"/>
      <c r="E3" s="594"/>
      <c r="F3" s="594"/>
      <c r="G3" s="594"/>
      <c r="H3" s="594"/>
      <c r="I3" s="594"/>
      <c r="J3" s="594"/>
      <c r="K3" s="594"/>
      <c r="L3" s="594"/>
      <c r="M3" s="594"/>
      <c r="N3" s="594"/>
      <c r="O3" s="594"/>
      <c r="P3" s="594"/>
      <c r="Q3" s="594"/>
      <c r="R3" s="594"/>
      <c r="S3" s="594"/>
      <c r="T3" s="594"/>
      <c r="U3" s="594"/>
      <c r="V3" s="594"/>
      <c r="W3" s="594"/>
      <c r="X3" s="594"/>
      <c r="Y3" s="594"/>
      <c r="Z3" s="594"/>
      <c r="AA3" s="594"/>
      <c r="AB3" s="594"/>
      <c r="AC3" s="594"/>
      <c r="AD3" s="594"/>
      <c r="AE3" s="594"/>
      <c r="AF3" s="594"/>
      <c r="AG3" s="594"/>
      <c r="AH3" s="486"/>
      <c r="AI3" s="593"/>
      <c r="AJ3" s="593"/>
      <c r="AK3" s="594"/>
      <c r="AL3" s="594"/>
      <c r="AM3" s="594"/>
      <c r="AN3" s="594"/>
      <c r="AO3" s="594"/>
      <c r="AP3" s="594"/>
      <c r="AQ3" s="594"/>
      <c r="AR3" s="594"/>
      <c r="AS3" s="594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  <c r="BU3" s="127"/>
      <c r="BV3" s="127"/>
      <c r="BW3" s="127"/>
      <c r="BX3" s="127"/>
      <c r="BY3" s="127"/>
      <c r="BZ3" s="127"/>
      <c r="CA3" s="127"/>
      <c r="CB3" s="127"/>
      <c r="CC3" s="127"/>
      <c r="CD3" s="127"/>
      <c r="CE3" s="127"/>
      <c r="CF3" s="127"/>
      <c r="CG3" s="127"/>
      <c r="CH3" s="127"/>
      <c r="CI3" s="127"/>
      <c r="CJ3" s="127"/>
      <c r="CK3" s="127"/>
      <c r="CL3" s="127"/>
      <c r="CM3" s="127"/>
      <c r="CN3" s="127"/>
      <c r="CO3" s="127"/>
      <c r="CP3" s="127"/>
      <c r="CQ3" s="127"/>
      <c r="CR3" s="127"/>
      <c r="CS3" s="127"/>
      <c r="CT3" s="127"/>
      <c r="CU3" s="127"/>
      <c r="CV3" s="127"/>
      <c r="CW3" s="127"/>
      <c r="CX3" s="127"/>
      <c r="CY3" s="127"/>
      <c r="CZ3" s="127"/>
      <c r="DA3" s="127"/>
      <c r="DB3" s="127"/>
      <c r="DC3" s="127"/>
      <c r="DD3" s="127"/>
      <c r="DE3" s="127"/>
      <c r="DF3" s="127"/>
      <c r="DG3" s="127"/>
      <c r="DH3" s="127"/>
      <c r="DI3" s="127"/>
      <c r="DJ3" s="127"/>
      <c r="DK3" s="127"/>
      <c r="DL3" s="127"/>
      <c r="DM3" s="127"/>
      <c r="DN3" s="127"/>
      <c r="DO3" s="127"/>
      <c r="DP3" s="127"/>
      <c r="DQ3" s="127"/>
      <c r="DR3" s="127"/>
      <c r="DS3" s="127"/>
      <c r="DT3" s="127"/>
      <c r="DU3" s="127"/>
      <c r="DV3" s="127"/>
      <c r="DW3" s="127"/>
      <c r="DX3" s="127"/>
      <c r="DY3" s="127"/>
      <c r="DZ3" s="127"/>
      <c r="EA3" s="127"/>
      <c r="EB3" s="127"/>
      <c r="EC3" s="127"/>
      <c r="ED3" s="127"/>
      <c r="EE3" s="137"/>
      <c r="EF3" s="127"/>
      <c r="EG3" s="127"/>
      <c r="EH3" s="127"/>
      <c r="EI3" s="127"/>
      <c r="EJ3" s="127"/>
      <c r="EK3" s="127"/>
      <c r="EL3" s="127"/>
      <c r="EM3" s="127"/>
      <c r="EN3" s="127"/>
      <c r="EO3" s="127"/>
      <c r="EP3" s="127"/>
      <c r="EQ3" s="127"/>
      <c r="ER3" s="127"/>
      <c r="ES3" s="127"/>
      <c r="ET3" s="127"/>
      <c r="EU3" s="127"/>
      <c r="EV3" s="127"/>
      <c r="EW3" s="127"/>
      <c r="EX3" s="127"/>
      <c r="EY3" s="127"/>
      <c r="EZ3" s="127"/>
      <c r="FA3" s="127"/>
      <c r="FB3" s="127"/>
      <c r="FC3" s="127"/>
      <c r="FD3" s="127"/>
      <c r="FE3" s="127"/>
      <c r="FF3" s="127"/>
      <c r="FG3" s="127"/>
      <c r="FH3" s="127"/>
      <c r="FI3" s="127"/>
      <c r="FJ3" s="127"/>
      <c r="FK3" s="127"/>
      <c r="FL3" s="127"/>
      <c r="FM3" s="127"/>
      <c r="FN3" s="127"/>
      <c r="FO3" s="127"/>
      <c r="FP3" s="127"/>
      <c r="FQ3" s="127"/>
      <c r="FR3" s="127"/>
      <c r="FS3" s="127"/>
      <c r="FT3" s="127"/>
      <c r="FU3" s="127"/>
      <c r="FV3" s="127"/>
      <c r="FW3" s="127"/>
      <c r="FX3" s="127"/>
      <c r="FY3" s="127"/>
      <c r="FZ3" s="127"/>
      <c r="GA3" s="127"/>
      <c r="GB3" s="127"/>
      <c r="GC3" s="127"/>
      <c r="GD3" s="127"/>
      <c r="GE3" s="127"/>
      <c r="GF3" s="127"/>
      <c r="GG3" s="127"/>
      <c r="GH3" s="127"/>
      <c r="GI3" s="127"/>
      <c r="GJ3" s="127"/>
      <c r="GK3" s="127"/>
      <c r="GL3" s="127"/>
      <c r="GM3" s="127"/>
      <c r="GN3" s="127"/>
      <c r="GO3" s="127"/>
      <c r="GP3" s="127"/>
      <c r="GQ3" s="127"/>
      <c r="GR3" s="127"/>
      <c r="GS3" s="127"/>
      <c r="GT3" s="127"/>
      <c r="GU3" s="127"/>
      <c r="GV3" s="127"/>
      <c r="GW3" s="127"/>
      <c r="GX3" s="127"/>
      <c r="GY3" s="127"/>
      <c r="GZ3" s="127"/>
      <c r="HA3" s="127"/>
      <c r="HB3" s="127"/>
      <c r="HC3" s="127"/>
      <c r="HD3" s="127"/>
      <c r="HE3" s="127"/>
      <c r="HF3" s="127"/>
      <c r="HG3" s="127"/>
      <c r="HH3" s="127"/>
      <c r="HI3" s="127"/>
      <c r="HJ3" s="127"/>
      <c r="HK3" s="127"/>
      <c r="HL3" s="127"/>
      <c r="HM3" s="127"/>
      <c r="HN3" s="127"/>
      <c r="HO3" s="127"/>
      <c r="HP3" s="127"/>
      <c r="HQ3" s="127"/>
      <c r="HR3" s="127"/>
      <c r="HS3" s="127"/>
      <c r="HT3" s="127"/>
      <c r="HU3" s="127"/>
      <c r="HV3" s="127"/>
      <c r="HW3" s="127"/>
      <c r="HX3" s="127"/>
      <c r="HY3" s="127"/>
      <c r="HZ3" s="127"/>
      <c r="IA3" s="127"/>
      <c r="IB3" s="127"/>
      <c r="IC3" s="127"/>
      <c r="ID3" s="127"/>
      <c r="IE3" s="127"/>
      <c r="IF3" s="127"/>
      <c r="IG3" s="127"/>
      <c r="IH3" s="127"/>
      <c r="II3" s="127"/>
      <c r="IJ3" s="127"/>
      <c r="IK3" s="127"/>
      <c r="IL3" s="127"/>
      <c r="IM3" s="127"/>
      <c r="IN3" s="127"/>
      <c r="IO3" s="127"/>
      <c r="IP3" s="127"/>
      <c r="IQ3" s="127"/>
      <c r="IR3" s="127"/>
      <c r="IS3" s="127"/>
      <c r="IT3" s="127"/>
      <c r="IU3" s="127"/>
      <c r="IV3" s="127"/>
      <c r="IW3" s="127"/>
      <c r="IX3" s="127"/>
      <c r="IY3" s="127"/>
      <c r="IZ3" s="127"/>
      <c r="JA3" s="127"/>
      <c r="JB3" s="127"/>
      <c r="JC3" s="127"/>
      <c r="JD3" s="127"/>
      <c r="JE3" s="127"/>
      <c r="JF3" s="127"/>
      <c r="JG3" s="127"/>
      <c r="JH3" s="127"/>
      <c r="JI3" s="127"/>
      <c r="JJ3" s="127"/>
      <c r="JK3" s="127"/>
      <c r="JL3" s="127"/>
      <c r="JM3" s="127"/>
      <c r="JN3" s="127"/>
      <c r="JO3" s="127"/>
      <c r="JP3" s="127"/>
      <c r="JQ3" s="127"/>
      <c r="JR3" s="127"/>
      <c r="JS3" s="127"/>
      <c r="JT3" s="127"/>
    </row>
    <row r="4" spans="1:280" ht="25.5" customHeight="1">
      <c r="A4" s="594"/>
      <c r="B4" s="594"/>
      <c r="C4" s="593"/>
      <c r="D4" s="777" t="s">
        <v>440</v>
      </c>
      <c r="E4" s="813"/>
      <c r="F4" s="813"/>
      <c r="G4" s="813"/>
      <c r="H4" s="813"/>
      <c r="I4" s="813"/>
      <c r="J4" s="813"/>
      <c r="K4" s="813"/>
      <c r="L4" s="813"/>
      <c r="M4" s="813"/>
      <c r="N4" s="813"/>
      <c r="O4" s="813"/>
      <c r="P4" s="813"/>
      <c r="Q4" s="813"/>
      <c r="R4" s="813"/>
      <c r="S4" s="813"/>
      <c r="T4" s="813"/>
      <c r="U4" s="813"/>
      <c r="V4" s="813"/>
      <c r="W4" s="813"/>
      <c r="X4" s="605"/>
      <c r="Y4" s="605"/>
      <c r="Z4" s="605"/>
      <c r="AA4" s="605"/>
      <c r="AB4" s="605"/>
      <c r="AC4" s="605"/>
      <c r="AD4" s="605"/>
      <c r="AE4" s="605"/>
      <c r="AF4" s="605"/>
      <c r="AG4" s="605"/>
      <c r="AH4" s="486"/>
      <c r="AI4" s="593"/>
      <c r="AJ4" s="593"/>
      <c r="AK4" s="594"/>
      <c r="AL4" s="594"/>
      <c r="AM4" s="594"/>
      <c r="AN4" s="594"/>
      <c r="AO4" s="777" t="s">
        <v>441</v>
      </c>
      <c r="AP4" s="813"/>
      <c r="AQ4" s="813"/>
      <c r="AR4" s="813"/>
      <c r="AS4" s="813"/>
      <c r="AT4" s="813"/>
      <c r="AU4" s="813"/>
      <c r="AV4" s="813"/>
      <c r="AW4" s="813"/>
      <c r="AX4" s="813"/>
      <c r="AY4" s="813"/>
      <c r="AZ4" s="813"/>
      <c r="BA4" s="813"/>
      <c r="BB4" s="813"/>
      <c r="BC4" s="813"/>
      <c r="BD4" s="813"/>
      <c r="BE4" s="813"/>
      <c r="BF4" s="813"/>
      <c r="BG4" s="813"/>
      <c r="BH4" s="813"/>
      <c r="BI4" s="605"/>
      <c r="BJ4" s="605"/>
      <c r="BK4" s="605"/>
      <c r="BL4" s="605"/>
      <c r="BM4" s="605"/>
      <c r="BN4" s="605"/>
      <c r="BO4" s="605"/>
      <c r="BP4" s="605"/>
      <c r="BQ4" s="605"/>
      <c r="BR4" s="605"/>
      <c r="BS4" s="777" t="s">
        <v>442</v>
      </c>
      <c r="BT4" s="813"/>
      <c r="BU4" s="813"/>
      <c r="BV4" s="813"/>
      <c r="BW4" s="813"/>
      <c r="BX4" s="813"/>
      <c r="BY4" s="813"/>
      <c r="BZ4" s="813"/>
      <c r="CA4" s="813"/>
      <c r="CB4" s="813"/>
      <c r="CC4" s="813"/>
      <c r="CD4" s="813"/>
      <c r="CE4" s="813"/>
      <c r="CF4" s="813"/>
      <c r="CG4" s="813"/>
      <c r="CH4" s="813"/>
      <c r="CI4" s="813"/>
      <c r="CJ4" s="813"/>
      <c r="CK4" s="813"/>
      <c r="CL4" s="813"/>
      <c r="CM4" s="605"/>
      <c r="CN4" s="605"/>
      <c r="CO4" s="605"/>
      <c r="CP4" s="605"/>
      <c r="CQ4" s="605"/>
      <c r="CR4" s="605"/>
      <c r="CS4" s="605"/>
      <c r="CT4" s="605"/>
      <c r="CU4" s="605"/>
      <c r="CV4" s="605"/>
      <c r="CW4" s="777" t="s">
        <v>443</v>
      </c>
      <c r="CX4" s="813"/>
      <c r="CY4" s="813"/>
      <c r="CZ4" s="813"/>
      <c r="DA4" s="813"/>
      <c r="DB4" s="813"/>
      <c r="DC4" s="813"/>
      <c r="DD4" s="813"/>
      <c r="DE4" s="813"/>
      <c r="DF4" s="813"/>
      <c r="DG4" s="813"/>
      <c r="DH4" s="813"/>
      <c r="DI4" s="813"/>
      <c r="DJ4" s="813"/>
      <c r="DK4" s="813"/>
      <c r="DL4" s="813"/>
      <c r="DM4" s="813"/>
      <c r="DN4" s="813"/>
      <c r="DO4" s="813"/>
      <c r="DP4" s="813"/>
      <c r="DQ4" s="605"/>
      <c r="DR4" s="605"/>
      <c r="DS4" s="605"/>
      <c r="DT4" s="605"/>
      <c r="DU4" s="605"/>
      <c r="DV4" s="605"/>
      <c r="DW4" s="605"/>
      <c r="DX4" s="605"/>
      <c r="DY4" s="605"/>
      <c r="DZ4" s="605"/>
      <c r="EA4" s="777" t="s">
        <v>444</v>
      </c>
      <c r="EB4" s="813"/>
      <c r="EC4" s="813"/>
      <c r="ED4" s="813"/>
      <c r="EE4" s="813"/>
      <c r="EF4" s="813"/>
      <c r="EG4" s="813"/>
      <c r="EH4" s="813"/>
      <c r="EI4" s="813"/>
      <c r="EJ4" s="813"/>
      <c r="EK4" s="813"/>
      <c r="EL4" s="813"/>
      <c r="EM4" s="813"/>
      <c r="EN4" s="813"/>
      <c r="EO4" s="813"/>
      <c r="EP4" s="813"/>
      <c r="EQ4" s="813"/>
      <c r="ER4" s="813"/>
      <c r="ES4" s="813"/>
      <c r="ET4" s="813"/>
      <c r="EU4" s="605"/>
      <c r="EV4" s="605"/>
      <c r="EW4" s="605"/>
      <c r="EX4" s="605"/>
      <c r="EY4" s="605"/>
      <c r="EZ4" s="605"/>
      <c r="FA4" s="605"/>
      <c r="FB4" s="605"/>
      <c r="FC4" s="605"/>
      <c r="FD4" s="605"/>
      <c r="FE4" s="777" t="s">
        <v>445</v>
      </c>
      <c r="FF4" s="813"/>
      <c r="FG4" s="813"/>
      <c r="FH4" s="813"/>
      <c r="FI4" s="813"/>
      <c r="FJ4" s="813"/>
      <c r="FK4" s="813"/>
      <c r="FL4" s="813"/>
      <c r="FM4" s="813"/>
      <c r="FN4" s="813"/>
      <c r="FO4" s="813"/>
      <c r="FP4" s="813"/>
      <c r="FQ4" s="813"/>
      <c r="FR4" s="813"/>
      <c r="FS4" s="813"/>
      <c r="FT4" s="813"/>
      <c r="FU4" s="813"/>
      <c r="FV4" s="813"/>
      <c r="FW4" s="813"/>
      <c r="FX4" s="813"/>
      <c r="FY4" s="605"/>
      <c r="FZ4" s="605"/>
      <c r="GA4" s="605"/>
      <c r="GB4" s="605"/>
      <c r="GC4" s="605"/>
      <c r="GD4" s="605"/>
      <c r="GE4" s="605"/>
      <c r="GF4" s="605"/>
      <c r="GG4" s="605"/>
      <c r="GH4" s="605"/>
      <c r="GI4" s="777" t="s">
        <v>446</v>
      </c>
      <c r="GJ4" s="813"/>
      <c r="GK4" s="813"/>
      <c r="GL4" s="813"/>
      <c r="GM4" s="813"/>
      <c r="GN4" s="813"/>
      <c r="GO4" s="813"/>
      <c r="GP4" s="813"/>
      <c r="GQ4" s="813"/>
      <c r="GR4" s="813"/>
      <c r="GS4" s="813"/>
      <c r="GT4" s="813"/>
      <c r="GU4" s="813"/>
      <c r="GV4" s="813"/>
      <c r="GW4" s="813"/>
      <c r="GX4" s="813"/>
      <c r="GY4" s="813"/>
      <c r="GZ4" s="813"/>
      <c r="HA4" s="813"/>
      <c r="HB4" s="813"/>
      <c r="HC4" s="605"/>
      <c r="HD4" s="605"/>
      <c r="HE4" s="605"/>
      <c r="HF4" s="605"/>
      <c r="HG4" s="605"/>
      <c r="HH4" s="605"/>
      <c r="HI4" s="605"/>
      <c r="HJ4" s="605"/>
      <c r="HK4" s="605"/>
      <c r="HL4" s="605"/>
      <c r="HM4" s="777" t="s">
        <v>447</v>
      </c>
      <c r="HN4" s="813"/>
      <c r="HO4" s="813"/>
      <c r="HP4" s="813"/>
      <c r="HQ4" s="813"/>
      <c r="HR4" s="813"/>
      <c r="HS4" s="813"/>
      <c r="HT4" s="813"/>
      <c r="HU4" s="813"/>
      <c r="HV4" s="813"/>
      <c r="HW4" s="813"/>
      <c r="HX4" s="813"/>
      <c r="HY4" s="813"/>
      <c r="HZ4" s="813"/>
      <c r="IA4" s="813"/>
      <c r="IB4" s="813"/>
      <c r="IC4" s="813"/>
      <c r="ID4" s="813"/>
      <c r="IE4" s="813"/>
      <c r="IF4" s="813"/>
      <c r="IG4" s="605"/>
      <c r="IH4" s="605"/>
      <c r="II4" s="605"/>
      <c r="IJ4" s="605"/>
      <c r="IK4" s="605"/>
      <c r="IL4" s="605"/>
      <c r="IM4" s="605"/>
      <c r="IN4" s="605"/>
      <c r="IO4" s="605"/>
      <c r="IP4" s="605"/>
      <c r="IQ4" s="777" t="s">
        <v>448</v>
      </c>
      <c r="IR4" s="813"/>
      <c r="IS4" s="813"/>
      <c r="IT4" s="813"/>
      <c r="IU4" s="813"/>
      <c r="IV4" s="813"/>
      <c r="IW4" s="813"/>
      <c r="IX4" s="813"/>
      <c r="IY4" s="813"/>
      <c r="IZ4" s="813"/>
      <c r="JA4" s="813"/>
      <c r="JB4" s="813"/>
      <c r="JC4" s="813"/>
      <c r="JD4" s="813"/>
      <c r="JE4" s="813"/>
      <c r="JF4" s="813"/>
      <c r="JG4" s="813"/>
      <c r="JH4" s="813"/>
      <c r="JI4" s="813"/>
      <c r="JJ4" s="813"/>
      <c r="JK4" s="605"/>
      <c r="JL4" s="605"/>
      <c r="JM4" s="605"/>
      <c r="JN4" s="605"/>
      <c r="JO4" s="605"/>
      <c r="JP4" s="605"/>
      <c r="JQ4" s="605"/>
      <c r="JR4" s="605"/>
      <c r="JS4" s="605"/>
      <c r="JT4" s="605"/>
    </row>
    <row r="5" spans="1:280" ht="46.5">
      <c r="A5" s="595" t="s">
        <v>164</v>
      </c>
      <c r="B5" s="606" t="s">
        <v>165</v>
      </c>
      <c r="C5" s="596" t="s">
        <v>187</v>
      </c>
      <c r="D5" s="595">
        <v>1</v>
      </c>
      <c r="E5" s="595">
        <v>2</v>
      </c>
      <c r="F5" s="595">
        <v>3</v>
      </c>
      <c r="G5" s="595">
        <v>4</v>
      </c>
      <c r="H5" s="595">
        <v>5</v>
      </c>
      <c r="I5" s="595">
        <v>6</v>
      </c>
      <c r="J5" s="595">
        <v>7</v>
      </c>
      <c r="K5" s="595">
        <v>8</v>
      </c>
      <c r="L5" s="595">
        <v>9</v>
      </c>
      <c r="M5" s="595">
        <v>10</v>
      </c>
      <c r="N5" s="595">
        <v>11</v>
      </c>
      <c r="O5" s="595">
        <v>12</v>
      </c>
      <c r="P5" s="595">
        <v>13</v>
      </c>
      <c r="Q5" s="595">
        <v>14</v>
      </c>
      <c r="R5" s="595">
        <v>15</v>
      </c>
      <c r="S5" s="595">
        <v>16</v>
      </c>
      <c r="T5" s="595">
        <v>17</v>
      </c>
      <c r="U5" s="595">
        <v>18</v>
      </c>
      <c r="V5" s="595">
        <v>19</v>
      </c>
      <c r="W5" s="595">
        <v>20</v>
      </c>
      <c r="X5" s="595">
        <v>21</v>
      </c>
      <c r="Y5" s="595">
        <v>22</v>
      </c>
      <c r="Z5" s="595">
        <v>23</v>
      </c>
      <c r="AA5" s="595">
        <v>24</v>
      </c>
      <c r="AB5" s="595">
        <v>25</v>
      </c>
      <c r="AC5" s="595">
        <v>26</v>
      </c>
      <c r="AD5" s="595">
        <v>27</v>
      </c>
      <c r="AE5" s="595">
        <v>28</v>
      </c>
      <c r="AF5" s="595">
        <v>29</v>
      </c>
      <c r="AG5" s="595">
        <v>30</v>
      </c>
      <c r="AH5" s="596" t="s">
        <v>449</v>
      </c>
      <c r="AI5" s="596" t="s">
        <v>346</v>
      </c>
      <c r="AJ5" s="596" t="s">
        <v>347</v>
      </c>
      <c r="AK5" s="595" t="s">
        <v>338</v>
      </c>
      <c r="AL5" s="596" t="s">
        <v>348</v>
      </c>
      <c r="AM5" s="596" t="s">
        <v>349</v>
      </c>
      <c r="AN5" s="596" t="s">
        <v>350</v>
      </c>
      <c r="AO5" s="595">
        <v>1</v>
      </c>
      <c r="AP5" s="595">
        <v>2</v>
      </c>
      <c r="AQ5" s="595">
        <v>3</v>
      </c>
      <c r="AR5" s="595">
        <v>4</v>
      </c>
      <c r="AS5" s="595">
        <v>5</v>
      </c>
      <c r="AT5" s="595">
        <v>6</v>
      </c>
      <c r="AU5" s="595">
        <v>7</v>
      </c>
      <c r="AV5" s="595">
        <v>8</v>
      </c>
      <c r="AW5" s="595">
        <v>9</v>
      </c>
      <c r="AX5" s="595">
        <v>10</v>
      </c>
      <c r="AY5" s="595">
        <v>11</v>
      </c>
      <c r="AZ5" s="595">
        <v>12</v>
      </c>
      <c r="BA5" s="595">
        <v>13</v>
      </c>
      <c r="BB5" s="595">
        <v>14</v>
      </c>
      <c r="BC5" s="595">
        <v>15</v>
      </c>
      <c r="BD5" s="595">
        <v>16</v>
      </c>
      <c r="BE5" s="595">
        <v>17</v>
      </c>
      <c r="BF5" s="595">
        <v>18</v>
      </c>
      <c r="BG5" s="595">
        <v>19</v>
      </c>
      <c r="BH5" s="595">
        <v>20</v>
      </c>
      <c r="BI5" s="595">
        <v>21</v>
      </c>
      <c r="BJ5" s="595">
        <v>22</v>
      </c>
      <c r="BK5" s="595">
        <v>23</v>
      </c>
      <c r="BL5" s="595">
        <v>24</v>
      </c>
      <c r="BM5" s="595">
        <v>25</v>
      </c>
      <c r="BN5" s="595">
        <v>26</v>
      </c>
      <c r="BO5" s="595">
        <v>27</v>
      </c>
      <c r="BP5" s="595">
        <v>28</v>
      </c>
      <c r="BQ5" s="595">
        <v>29</v>
      </c>
      <c r="BR5" s="595">
        <v>30</v>
      </c>
      <c r="BS5" s="595">
        <v>1</v>
      </c>
      <c r="BT5" s="595">
        <v>2</v>
      </c>
      <c r="BU5" s="595">
        <v>3</v>
      </c>
      <c r="BV5" s="595">
        <v>4</v>
      </c>
      <c r="BW5" s="595">
        <v>5</v>
      </c>
      <c r="BX5" s="595">
        <v>6</v>
      </c>
      <c r="BY5" s="595">
        <v>7</v>
      </c>
      <c r="BZ5" s="595">
        <v>8</v>
      </c>
      <c r="CA5" s="595">
        <v>9</v>
      </c>
      <c r="CB5" s="595">
        <v>10</v>
      </c>
      <c r="CC5" s="595">
        <v>11</v>
      </c>
      <c r="CD5" s="595">
        <v>12</v>
      </c>
      <c r="CE5" s="595">
        <v>13</v>
      </c>
      <c r="CF5" s="595">
        <v>14</v>
      </c>
      <c r="CG5" s="595">
        <v>15</v>
      </c>
      <c r="CH5" s="595">
        <v>16</v>
      </c>
      <c r="CI5" s="595">
        <v>17</v>
      </c>
      <c r="CJ5" s="595">
        <v>18</v>
      </c>
      <c r="CK5" s="595">
        <v>19</v>
      </c>
      <c r="CL5" s="595">
        <v>20</v>
      </c>
      <c r="CM5" s="595">
        <v>21</v>
      </c>
      <c r="CN5" s="595">
        <v>22</v>
      </c>
      <c r="CO5" s="595">
        <v>23</v>
      </c>
      <c r="CP5" s="595">
        <v>24</v>
      </c>
      <c r="CQ5" s="595">
        <v>25</v>
      </c>
      <c r="CR5" s="595">
        <v>26</v>
      </c>
      <c r="CS5" s="595">
        <v>27</v>
      </c>
      <c r="CT5" s="595">
        <v>28</v>
      </c>
      <c r="CU5" s="595">
        <v>29</v>
      </c>
      <c r="CV5" s="595">
        <v>30</v>
      </c>
      <c r="CW5" s="595">
        <v>1</v>
      </c>
      <c r="CX5" s="595">
        <v>2</v>
      </c>
      <c r="CY5" s="595">
        <v>3</v>
      </c>
      <c r="CZ5" s="595">
        <v>4</v>
      </c>
      <c r="DA5" s="595">
        <v>5</v>
      </c>
      <c r="DB5" s="595">
        <v>6</v>
      </c>
      <c r="DC5" s="595">
        <v>7</v>
      </c>
      <c r="DD5" s="595">
        <v>8</v>
      </c>
      <c r="DE5" s="595">
        <v>9</v>
      </c>
      <c r="DF5" s="595">
        <v>10</v>
      </c>
      <c r="DG5" s="595">
        <v>11</v>
      </c>
      <c r="DH5" s="595">
        <v>12</v>
      </c>
      <c r="DI5" s="595">
        <v>13</v>
      </c>
      <c r="DJ5" s="595">
        <v>14</v>
      </c>
      <c r="DK5" s="595">
        <v>15</v>
      </c>
      <c r="DL5" s="595">
        <v>16</v>
      </c>
      <c r="DM5" s="595">
        <v>17</v>
      </c>
      <c r="DN5" s="595">
        <v>18</v>
      </c>
      <c r="DO5" s="595">
        <v>19</v>
      </c>
      <c r="DP5" s="595">
        <v>20</v>
      </c>
      <c r="DQ5" s="595">
        <v>21</v>
      </c>
      <c r="DR5" s="595">
        <v>22</v>
      </c>
      <c r="DS5" s="595">
        <v>23</v>
      </c>
      <c r="DT5" s="595">
        <v>24</v>
      </c>
      <c r="DU5" s="595">
        <v>25</v>
      </c>
      <c r="DV5" s="595">
        <v>26</v>
      </c>
      <c r="DW5" s="595">
        <v>27</v>
      </c>
      <c r="DX5" s="595">
        <v>28</v>
      </c>
      <c r="DY5" s="595">
        <v>29</v>
      </c>
      <c r="DZ5" s="595">
        <v>30</v>
      </c>
      <c r="EA5" s="595">
        <v>1</v>
      </c>
      <c r="EB5" s="595">
        <v>2</v>
      </c>
      <c r="EC5" s="595">
        <v>3</v>
      </c>
      <c r="ED5" s="595">
        <v>4</v>
      </c>
      <c r="EE5" s="595">
        <v>5</v>
      </c>
      <c r="EF5" s="595">
        <v>6</v>
      </c>
      <c r="EG5" s="595">
        <v>7</v>
      </c>
      <c r="EH5" s="595">
        <v>8</v>
      </c>
      <c r="EI5" s="595">
        <v>9</v>
      </c>
      <c r="EJ5" s="595">
        <v>10</v>
      </c>
      <c r="EK5" s="595">
        <v>11</v>
      </c>
      <c r="EL5" s="595">
        <v>12</v>
      </c>
      <c r="EM5" s="595">
        <v>13</v>
      </c>
      <c r="EN5" s="595">
        <v>14</v>
      </c>
      <c r="EO5" s="595">
        <v>15</v>
      </c>
      <c r="EP5" s="595">
        <v>16</v>
      </c>
      <c r="EQ5" s="595">
        <v>17</v>
      </c>
      <c r="ER5" s="595">
        <v>18</v>
      </c>
      <c r="ES5" s="595">
        <v>19</v>
      </c>
      <c r="ET5" s="595">
        <v>20</v>
      </c>
      <c r="EU5" s="595">
        <v>21</v>
      </c>
      <c r="EV5" s="595">
        <v>22</v>
      </c>
      <c r="EW5" s="595">
        <v>23</v>
      </c>
      <c r="EX5" s="595">
        <v>24</v>
      </c>
      <c r="EY5" s="595">
        <v>25</v>
      </c>
      <c r="EZ5" s="595">
        <v>26</v>
      </c>
      <c r="FA5" s="595">
        <v>27</v>
      </c>
      <c r="FB5" s="595">
        <v>28</v>
      </c>
      <c r="FC5" s="595">
        <v>29</v>
      </c>
      <c r="FD5" s="595">
        <v>30</v>
      </c>
      <c r="FE5" s="595">
        <v>1</v>
      </c>
      <c r="FF5" s="595">
        <v>2</v>
      </c>
      <c r="FG5" s="595">
        <v>3</v>
      </c>
      <c r="FH5" s="595">
        <v>4</v>
      </c>
      <c r="FI5" s="595">
        <v>5</v>
      </c>
      <c r="FJ5" s="595">
        <v>6</v>
      </c>
      <c r="FK5" s="595">
        <v>7</v>
      </c>
      <c r="FL5" s="595">
        <v>8</v>
      </c>
      <c r="FM5" s="595">
        <v>9</v>
      </c>
      <c r="FN5" s="595">
        <v>10</v>
      </c>
      <c r="FO5" s="595">
        <v>11</v>
      </c>
      <c r="FP5" s="595">
        <v>12</v>
      </c>
      <c r="FQ5" s="595">
        <v>13</v>
      </c>
      <c r="FR5" s="595">
        <v>14</v>
      </c>
      <c r="FS5" s="595">
        <v>15</v>
      </c>
      <c r="FT5" s="595">
        <v>16</v>
      </c>
      <c r="FU5" s="595">
        <v>17</v>
      </c>
      <c r="FV5" s="595">
        <v>18</v>
      </c>
      <c r="FW5" s="595">
        <v>19</v>
      </c>
      <c r="FX5" s="595">
        <v>20</v>
      </c>
      <c r="FY5" s="595">
        <v>21</v>
      </c>
      <c r="FZ5" s="595">
        <v>22</v>
      </c>
      <c r="GA5" s="595">
        <v>23</v>
      </c>
      <c r="GB5" s="595">
        <v>24</v>
      </c>
      <c r="GC5" s="595">
        <v>25</v>
      </c>
      <c r="GD5" s="595">
        <v>26</v>
      </c>
      <c r="GE5" s="595">
        <v>27</v>
      </c>
      <c r="GF5" s="595">
        <v>28</v>
      </c>
      <c r="GG5" s="595">
        <v>29</v>
      </c>
      <c r="GH5" s="595">
        <v>30</v>
      </c>
      <c r="GI5" s="595">
        <v>1</v>
      </c>
      <c r="GJ5" s="595">
        <v>2</v>
      </c>
      <c r="GK5" s="595">
        <v>3</v>
      </c>
      <c r="GL5" s="595">
        <v>4</v>
      </c>
      <c r="GM5" s="595">
        <v>5</v>
      </c>
      <c r="GN5" s="595">
        <v>6</v>
      </c>
      <c r="GO5" s="595">
        <v>7</v>
      </c>
      <c r="GP5" s="595">
        <v>8</v>
      </c>
      <c r="GQ5" s="595">
        <v>9</v>
      </c>
      <c r="GR5" s="595">
        <v>10</v>
      </c>
      <c r="GS5" s="595">
        <v>11</v>
      </c>
      <c r="GT5" s="595">
        <v>12</v>
      </c>
      <c r="GU5" s="595">
        <v>13</v>
      </c>
      <c r="GV5" s="595">
        <v>14</v>
      </c>
      <c r="GW5" s="595">
        <v>15</v>
      </c>
      <c r="GX5" s="595">
        <v>16</v>
      </c>
      <c r="GY5" s="595">
        <v>17</v>
      </c>
      <c r="GZ5" s="595">
        <v>18</v>
      </c>
      <c r="HA5" s="595">
        <v>19</v>
      </c>
      <c r="HB5" s="595">
        <v>20</v>
      </c>
      <c r="HC5" s="595">
        <v>21</v>
      </c>
      <c r="HD5" s="595">
        <v>22</v>
      </c>
      <c r="HE5" s="595">
        <v>23</v>
      </c>
      <c r="HF5" s="595">
        <v>24</v>
      </c>
      <c r="HG5" s="595">
        <v>25</v>
      </c>
      <c r="HH5" s="595">
        <v>26</v>
      </c>
      <c r="HI5" s="595">
        <v>27</v>
      </c>
      <c r="HJ5" s="595">
        <v>28</v>
      </c>
      <c r="HK5" s="595">
        <v>29</v>
      </c>
      <c r="HL5" s="595">
        <v>30</v>
      </c>
      <c r="HM5" s="595">
        <v>1</v>
      </c>
      <c r="HN5" s="595">
        <v>2</v>
      </c>
      <c r="HO5" s="595">
        <v>3</v>
      </c>
      <c r="HP5" s="595">
        <v>4</v>
      </c>
      <c r="HQ5" s="595">
        <v>5</v>
      </c>
      <c r="HR5" s="595">
        <v>6</v>
      </c>
      <c r="HS5" s="595">
        <v>7</v>
      </c>
      <c r="HT5" s="595">
        <v>8</v>
      </c>
      <c r="HU5" s="595">
        <v>9</v>
      </c>
      <c r="HV5" s="595">
        <v>10</v>
      </c>
      <c r="HW5" s="595">
        <v>11</v>
      </c>
      <c r="HX5" s="595">
        <v>12</v>
      </c>
      <c r="HY5" s="595">
        <v>13</v>
      </c>
      <c r="HZ5" s="595">
        <v>14</v>
      </c>
      <c r="IA5" s="595">
        <v>15</v>
      </c>
      <c r="IB5" s="595">
        <v>16</v>
      </c>
      <c r="IC5" s="595">
        <v>17</v>
      </c>
      <c r="ID5" s="595">
        <v>18</v>
      </c>
      <c r="IE5" s="595">
        <v>19</v>
      </c>
      <c r="IF5" s="595">
        <v>20</v>
      </c>
      <c r="IG5" s="595">
        <v>21</v>
      </c>
      <c r="IH5" s="595">
        <v>22</v>
      </c>
      <c r="II5" s="595">
        <v>23</v>
      </c>
      <c r="IJ5" s="595">
        <v>24</v>
      </c>
      <c r="IK5" s="595">
        <v>25</v>
      </c>
      <c r="IL5" s="595">
        <v>26</v>
      </c>
      <c r="IM5" s="595">
        <v>27</v>
      </c>
      <c r="IN5" s="595">
        <v>28</v>
      </c>
      <c r="IO5" s="595">
        <v>29</v>
      </c>
      <c r="IP5" s="595">
        <v>30</v>
      </c>
      <c r="IQ5" s="595">
        <v>1</v>
      </c>
      <c r="IR5" s="595">
        <v>2</v>
      </c>
      <c r="IS5" s="595">
        <v>3</v>
      </c>
      <c r="IT5" s="595">
        <v>4</v>
      </c>
      <c r="IU5" s="595">
        <v>5</v>
      </c>
      <c r="IV5" s="595">
        <v>6</v>
      </c>
      <c r="IW5" s="595">
        <v>7</v>
      </c>
      <c r="IX5" s="595">
        <v>8</v>
      </c>
      <c r="IY5" s="595">
        <v>9</v>
      </c>
      <c r="IZ5" s="595">
        <v>10</v>
      </c>
      <c r="JA5" s="595">
        <v>11</v>
      </c>
      <c r="JB5" s="595">
        <v>12</v>
      </c>
      <c r="JC5" s="595">
        <v>13</v>
      </c>
      <c r="JD5" s="595">
        <v>14</v>
      </c>
      <c r="JE5" s="595">
        <v>15</v>
      </c>
      <c r="JF5" s="595">
        <v>16</v>
      </c>
      <c r="JG5" s="595">
        <v>17</v>
      </c>
      <c r="JH5" s="595">
        <v>18</v>
      </c>
      <c r="JI5" s="595">
        <v>19</v>
      </c>
      <c r="JJ5" s="595">
        <v>20</v>
      </c>
      <c r="JK5" s="595">
        <v>21</v>
      </c>
      <c r="JL5" s="595">
        <v>22</v>
      </c>
      <c r="JM5" s="595">
        <v>23</v>
      </c>
      <c r="JN5" s="595">
        <v>24</v>
      </c>
      <c r="JO5" s="595">
        <v>25</v>
      </c>
      <c r="JP5" s="595">
        <v>26</v>
      </c>
      <c r="JQ5" s="595">
        <v>27</v>
      </c>
      <c r="JR5" s="595">
        <v>28</v>
      </c>
      <c r="JS5" s="595">
        <v>29</v>
      </c>
      <c r="JT5" s="595">
        <v>30</v>
      </c>
    </row>
    <row r="6" spans="1:280" ht="15.75" customHeight="1">
      <c r="A6" s="129" t="s">
        <v>352</v>
      </c>
      <c r="B6" s="129" t="s">
        <v>209</v>
      </c>
      <c r="C6" s="138" t="s">
        <v>88</v>
      </c>
      <c r="D6" s="139">
        <v>33</v>
      </c>
      <c r="E6" s="139"/>
      <c r="F6" s="139"/>
      <c r="G6" s="139"/>
      <c r="H6" s="139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607">
        <f t="shared" ref="AH6:AH37" si="0">IF(ISBLANK(A6),,VLOOKUP(A6,ListaInvestimentos,3,0)*(1+CorrInvest))</f>
        <v>2372.59</v>
      </c>
      <c r="AI6" s="608">
        <f t="shared" ref="AI6:AI37" si="1">IF(ISBLANK(A6),,VLOOKUP(A6,ListaInvestimentos,4,0))</f>
        <v>30</v>
      </c>
      <c r="AJ6" s="609">
        <f t="shared" ref="AJ6:AJ37" si="2">IF(ISBLANK(A6),,VLOOKUP(A6,ListaInvestimentos,5,0))</f>
        <v>0</v>
      </c>
      <c r="AK6" s="610" t="str">
        <f t="shared" ref="AK6:AK37" si="3">IF(ISBLANK(A6),"",VLOOKUP(A6,ListaInvestimentos,6,0))</f>
        <v>Edificações</v>
      </c>
      <c r="AL6" s="609">
        <f t="shared" ref="AL6:AL37" si="4">IF(ISBLANK(A6),,VLOOKUP(A6,ListaInvestimentos,7,0))</f>
        <v>0.05</v>
      </c>
      <c r="AM6" s="611" t="str">
        <f t="shared" ref="AM6:AM37" si="5">IF(ISBLANK(A6),"",VLOOKUP(A6,ListaInvestimentos,8,0))</f>
        <v>Sim</v>
      </c>
      <c r="AN6" s="611" t="str">
        <f t="shared" ref="AN6:AN37" si="6">IF(ISBLANK(A6),"",VLOOKUP(A6,ListaInvestimentos,9,0))</f>
        <v>Não</v>
      </c>
      <c r="AO6" s="140">
        <f t="array" ref="AO6">IF(ISBLANK($A6),0,IF(OR(AO$5-$AI6&lt;=0,$AM6="Não"),D6,D6+INDEX($AO$6:$BR$176,ROW()-5,COLUMN()-40-$AI6)))*IF($B6="Operacional",IFERROR(VLOOKUP($C6,SN_UGC,28,0),0),1)</f>
        <v>33</v>
      </c>
      <c r="AP6" s="140">
        <f t="array" ref="AP6">IF(ISBLANK($A6),0,IF(OR(AP$5-$AI6&lt;=0,$AM6="Não"),E6,E6+INDEX($AO$6:$BR$176,ROW()-5,COLUMN()-40-$AI6)))*IF($B6="Operacional",IFERROR(VLOOKUP($C6,SN_UGC,28,0),0),1)</f>
        <v>0</v>
      </c>
      <c r="AQ6" s="140">
        <f t="array" ref="AQ6">IF(ISBLANK($A6),0,IF(OR(AQ$5-$AI6&lt;=0,$AM6="Não"),F6,F6+INDEX($AO$6:$BR$176,ROW()-5,COLUMN()-40-$AI6)))*IF($B6="Operacional",IFERROR(VLOOKUP($C6,SN_UGC,28,0),0),1)</f>
        <v>0</v>
      </c>
      <c r="AR6" s="140">
        <f t="array" ref="AR6">IF(ISBLANK($A6),0,IF(OR(AR$5-$AI6&lt;=0,$AM6="Não"),G6,G6+INDEX($AO$6:$BR$176,ROW()-5,COLUMN()-40-$AI6)))*IF($B6="Operacional",IFERROR(VLOOKUP($C6,SN_UGC,28,0),0),1)</f>
        <v>0</v>
      </c>
      <c r="AS6" s="140">
        <f t="array" ref="AS6">IF(ISBLANK($A6),0,IF(OR(AS$5-$AI6&lt;=0,$AM6="Não"),H6,H6+INDEX($AO$6:$BR$176,ROW()-5,COLUMN()-40-$AI6)))*IF($B6="Operacional",IFERROR(VLOOKUP($C6,SN_UGC,28,0),0),1)</f>
        <v>0</v>
      </c>
      <c r="AT6" s="140">
        <f t="array" ref="AT6">IF(ISBLANK($A6),0,IF(OR(AT$5-$AI6&lt;=0,$AM6="Não"),I6,I6+INDEX($AO$6:$BR$176,ROW()-5,COLUMN()-40-$AI6)))*IF($B6="Operacional",IFERROR(VLOOKUP($C6,SN_UGC,28,0),0),1)</f>
        <v>0</v>
      </c>
      <c r="AU6" s="140">
        <f t="array" ref="AU6">IF(ISBLANK($A6),0,IF(OR(AU$5-$AI6&lt;=0,$AM6="Não"),J6,J6+INDEX($AO$6:$BR$176,ROW()-5,COLUMN()-40-$AI6)))*IF($B6="Operacional",IFERROR(VLOOKUP($C6,SN_UGC,28,0),0),1)</f>
        <v>0</v>
      </c>
      <c r="AV6" s="140">
        <f t="array" ref="AV6">IF(ISBLANK($A6),0,IF(OR(AV$5-$AI6&lt;=0,$AM6="Não"),K6,K6+INDEX($AO$6:$BR$176,ROW()-5,COLUMN()-40-$AI6)))*IF($B6="Operacional",IFERROR(VLOOKUP($C6,SN_UGC,28,0),0),1)</f>
        <v>0</v>
      </c>
      <c r="AW6" s="140">
        <f t="array" ref="AW6">IF(ISBLANK($A6),0,IF(OR(AW$5-$AI6&lt;=0,$AM6="Não"),L6,L6+INDEX($AO$6:$BR$176,ROW()-5,COLUMN()-40-$AI6)))*IF($B6="Operacional",IFERROR(VLOOKUP($C6,SN_UGC,28,0),0),1)</f>
        <v>0</v>
      </c>
      <c r="AX6" s="140">
        <f t="array" ref="AX6">IF(ISBLANK($A6),0,IF(OR(AX$5-$AI6&lt;=0,$AM6="Não"),M6,M6+INDEX($AO$6:$BR$176,ROW()-5,COLUMN()-40-$AI6)))*IF($B6="Operacional",IFERROR(VLOOKUP($C6,SN_UGC,28,0),0),1)</f>
        <v>0</v>
      </c>
      <c r="AY6" s="140">
        <f t="array" ref="AY6">IF(ISBLANK($A6),0,IF(OR(AY$5-$AI6&lt;=0,$AM6="Não"),N6,N6+INDEX($AO$6:$BR$176,ROW()-5,COLUMN()-40-$AI6)))*IF($B6="Operacional",IFERROR(VLOOKUP($C6,SN_UGC,28,0),0),1)</f>
        <v>0</v>
      </c>
      <c r="AZ6" s="140">
        <f t="array" ref="AZ6">IF(ISBLANK($A6),0,IF(OR(AZ$5-$AI6&lt;=0,$AM6="Não"),O6,O6+INDEX($AO$6:$BR$176,ROW()-5,COLUMN()-40-$AI6)))*IF($B6="Operacional",IFERROR(VLOOKUP($C6,SN_UGC,28,0),0),1)</f>
        <v>0</v>
      </c>
      <c r="BA6" s="140">
        <f t="array" ref="BA6">IF(ISBLANK($A6),0,IF(OR(BA$5-$AI6&lt;=0,$AM6="Não"),P6,P6+INDEX($AO$6:$BR$176,ROW()-5,COLUMN()-40-$AI6)))*IF($B6="Operacional",IFERROR(VLOOKUP($C6,SN_UGC,28,0),0),1)</f>
        <v>0</v>
      </c>
      <c r="BB6" s="140">
        <f t="array" ref="BB6">IF(ISBLANK($A6),0,IF(OR(BB$5-$AI6&lt;=0,$AM6="Não"),Q6,Q6+INDEX($AO$6:$BR$176,ROW()-5,COLUMN()-40-$AI6)))*IF($B6="Operacional",IFERROR(VLOOKUP($C6,SN_UGC,28,0),0),1)</f>
        <v>0</v>
      </c>
      <c r="BC6" s="140">
        <f t="array" ref="BC6">IF(ISBLANK($A6),0,IF(OR(BC$5-$AI6&lt;=0,$AM6="Não"),R6,R6+INDEX($AO$6:$BR$176,ROW()-5,COLUMN()-40-$AI6)))*IF($B6="Operacional",IFERROR(VLOOKUP($C6,SN_UGC,28,0),0),1)</f>
        <v>0</v>
      </c>
      <c r="BD6" s="140">
        <f t="array" ref="BD6">IF(ISBLANK($A6),0,IF(OR(BD$5-$AI6&lt;=0,$AM6="Não"),S6,S6+INDEX($AO$6:$BR$176,ROW()-5,COLUMN()-40-$AI6)))*IF($B6="Operacional",IFERROR(VLOOKUP($C6,SN_UGC,28,0),0),1)</f>
        <v>0</v>
      </c>
      <c r="BE6" s="140">
        <f t="array" ref="BE6">IF(ISBLANK($A6),0,IF(OR(BE$5-$AI6&lt;=0,$AM6="Não"),T6,T6+INDEX($AO$6:$BR$176,ROW()-5,COLUMN()-40-$AI6)))*IF($B6="Operacional",IFERROR(VLOOKUP($C6,SN_UGC,28,0),0),1)</f>
        <v>0</v>
      </c>
      <c r="BF6" s="140">
        <f t="array" ref="BF6">IF(ISBLANK($A6),0,IF(OR(BF$5-$AI6&lt;=0,$AM6="Não"),U6,U6+INDEX($AO$6:$BR$176,ROW()-5,COLUMN()-40-$AI6)))*IF($B6="Operacional",IFERROR(VLOOKUP($C6,SN_UGC,28,0),0),1)</f>
        <v>0</v>
      </c>
      <c r="BG6" s="140">
        <f t="array" ref="BG6">IF(ISBLANK($A6),0,IF(OR(BG$5-$AI6&lt;=0,$AM6="Não"),V6,V6+INDEX($AO$6:$BR$176,ROW()-5,COLUMN()-40-$AI6)))*IF($B6="Operacional",IFERROR(VLOOKUP($C6,SN_UGC,28,0),0),1)</f>
        <v>0</v>
      </c>
      <c r="BH6" s="140">
        <f t="array" ref="BH6">IF(ISBLANK($A6),0,IF(OR(BH$5-$AI6&lt;=0,$AM6="Não"),W6,W6+INDEX($AO$6:$BR$176,ROW()-5,COLUMN()-40-$AI6)))*IF($B6="Operacional",IFERROR(VLOOKUP($C6,SN_UGC,28,0),0),1)</f>
        <v>0</v>
      </c>
      <c r="BI6" s="140">
        <f t="array" ref="BI6">IF(ISBLANK($A6),0,IF(OR(BI$5-$AI6&lt;=0,$AM6="Não"),X6,X6+INDEX($AO$6:$BR$176,ROW()-5,COLUMN()-40-$AI6)))*IF($B6="Operacional",IFERROR(VLOOKUP($C6,SN_UGC,28,0),0),1)</f>
        <v>0</v>
      </c>
      <c r="BJ6" s="140">
        <f t="array" ref="BJ6">IF(ISBLANK($A6),0,IF(OR(BJ$5-$AI6&lt;=0,$AM6="Não"),Y6,Y6+INDEX($AO$6:$BR$176,ROW()-5,COLUMN()-40-$AI6)))*IF($B6="Operacional",IFERROR(VLOOKUP($C6,SN_UGC,28,0),0),1)</f>
        <v>0</v>
      </c>
      <c r="BK6" s="140">
        <f t="array" ref="BK6">IF(ISBLANK($A6),0,IF(OR(BK$5-$AI6&lt;=0,$AM6="Não"),Z6,Z6+INDEX($AO$6:$BR$176,ROW()-5,COLUMN()-40-$AI6)))*IF($B6="Operacional",IFERROR(VLOOKUP($C6,SN_UGC,28,0),0),1)</f>
        <v>0</v>
      </c>
      <c r="BL6" s="140">
        <f t="array" ref="BL6">IF(ISBLANK($A6),0,IF(OR(BL$5-$AI6&lt;=0,$AM6="Não"),AA6,AA6+INDEX($AO$6:$BR$176,ROW()-5,COLUMN()-40-$AI6)))*IF($B6="Operacional",IFERROR(VLOOKUP($C6,SN_UGC,28,0),0),1)</f>
        <v>0</v>
      </c>
      <c r="BM6" s="140">
        <f t="array" ref="BM6">IF(ISBLANK($A6),0,IF(OR(BM$5-$AI6&lt;=0,$AM6="Não"),AB6,AB6+INDEX($AO$6:$BR$176,ROW()-5,COLUMN()-40-$AI6)))*IF($B6="Operacional",IFERROR(VLOOKUP($C6,SN_UGC,28,0),0),1)</f>
        <v>0</v>
      </c>
      <c r="BN6" s="140">
        <f t="array" ref="BN6">IF(ISBLANK($A6),0,IF(OR(BN$5-$AI6&lt;=0,$AM6="Não"),AC6,AC6+INDEX($AO$6:$BR$176,ROW()-5,COLUMN()-40-$AI6)))*IF($B6="Operacional",IFERROR(VLOOKUP($C6,SN_UGC,28,0),0),1)</f>
        <v>0</v>
      </c>
      <c r="BO6" s="140">
        <f t="array" ref="BO6">IF(ISBLANK($A6),0,IF(OR(BO$5-$AI6&lt;=0,$AM6="Não"),AD6,AD6+INDEX($AO$6:$BR$176,ROW()-5,COLUMN()-40-$AI6)))*IF($B6="Operacional",IFERROR(VLOOKUP($C6,SN_UGC,28,0),0),1)</f>
        <v>0</v>
      </c>
      <c r="BP6" s="140">
        <f t="array" ref="BP6">IF(ISBLANK($A6),0,IF(OR(BP$5-$AI6&lt;=0,$AM6="Não"),AE6,AE6+INDEX($AO$6:$BR$176,ROW()-5,COLUMN()-40-$AI6)))*IF($B6="Operacional",IFERROR(VLOOKUP($C6,SN_UGC,28,0),0),1)</f>
        <v>0</v>
      </c>
      <c r="BQ6" s="140">
        <f t="array" ref="BQ6">IF(ISBLANK($A6),0,IF(OR(BQ$5-$AI6&lt;=0,$AM6="Não"),AF6,AF6+INDEX($AO$6:$BR$176,ROW()-5,COLUMN()-40-$AI6)))*IF($B6="Operacional",IFERROR(VLOOKUP($C6,SN_UGC,28,0),0),1)</f>
        <v>0</v>
      </c>
      <c r="BR6" s="140">
        <f t="array" ref="BR6">IF(ISBLANK($A6),0,IF(OR(BR$5-$AI6&lt;=0,$AM6="Não"),AG6,AG6+INDEX($AO$6:$BR$176,ROW()-5,COLUMN()-40-$AI6)))*IF($B6="Operacional",IFERROR(VLOOKUP($C6,SN_UGC,28,0),0),1)</f>
        <v>0</v>
      </c>
      <c r="BS6" s="141">
        <f t="shared" ref="BS6:CV6" si="7">IF(ISBLANK($A6),0,$AH6*AO6)</f>
        <v>78295.47</v>
      </c>
      <c r="BT6" s="141">
        <f t="shared" si="7"/>
        <v>0</v>
      </c>
      <c r="BU6" s="141">
        <f t="shared" si="7"/>
        <v>0</v>
      </c>
      <c r="BV6" s="141">
        <f t="shared" si="7"/>
        <v>0</v>
      </c>
      <c r="BW6" s="141">
        <f t="shared" si="7"/>
        <v>0</v>
      </c>
      <c r="BX6" s="141">
        <f t="shared" si="7"/>
        <v>0</v>
      </c>
      <c r="BY6" s="141">
        <f t="shared" si="7"/>
        <v>0</v>
      </c>
      <c r="BZ6" s="141">
        <f t="shared" si="7"/>
        <v>0</v>
      </c>
      <c r="CA6" s="141">
        <f t="shared" si="7"/>
        <v>0</v>
      </c>
      <c r="CB6" s="141">
        <f t="shared" si="7"/>
        <v>0</v>
      </c>
      <c r="CC6" s="141">
        <f t="shared" si="7"/>
        <v>0</v>
      </c>
      <c r="CD6" s="141">
        <f t="shared" si="7"/>
        <v>0</v>
      </c>
      <c r="CE6" s="141">
        <f t="shared" si="7"/>
        <v>0</v>
      </c>
      <c r="CF6" s="141">
        <f t="shared" si="7"/>
        <v>0</v>
      </c>
      <c r="CG6" s="141">
        <f t="shared" si="7"/>
        <v>0</v>
      </c>
      <c r="CH6" s="141">
        <f t="shared" si="7"/>
        <v>0</v>
      </c>
      <c r="CI6" s="141">
        <f t="shared" si="7"/>
        <v>0</v>
      </c>
      <c r="CJ6" s="141">
        <f t="shared" si="7"/>
        <v>0</v>
      </c>
      <c r="CK6" s="141">
        <f t="shared" si="7"/>
        <v>0</v>
      </c>
      <c r="CL6" s="141">
        <f t="shared" si="7"/>
        <v>0</v>
      </c>
      <c r="CM6" s="141">
        <f t="shared" si="7"/>
        <v>0</v>
      </c>
      <c r="CN6" s="141">
        <f t="shared" si="7"/>
        <v>0</v>
      </c>
      <c r="CO6" s="141">
        <f t="shared" si="7"/>
        <v>0</v>
      </c>
      <c r="CP6" s="141">
        <f t="shared" si="7"/>
        <v>0</v>
      </c>
      <c r="CQ6" s="141">
        <f t="shared" si="7"/>
        <v>0</v>
      </c>
      <c r="CR6" s="141">
        <f t="shared" si="7"/>
        <v>0</v>
      </c>
      <c r="CS6" s="141">
        <f t="shared" si="7"/>
        <v>0</v>
      </c>
      <c r="CT6" s="141">
        <f t="shared" si="7"/>
        <v>0</v>
      </c>
      <c r="CU6" s="141">
        <f t="shared" si="7"/>
        <v>0</v>
      </c>
      <c r="CV6" s="141">
        <f t="shared" si="7"/>
        <v>0</v>
      </c>
      <c r="CW6" s="142">
        <f t="shared" ref="CW6:DZ6" si="8">EA6*$AH6*$AJ6</f>
        <v>0</v>
      </c>
      <c r="CX6" s="142">
        <f t="shared" si="8"/>
        <v>0</v>
      </c>
      <c r="CY6" s="142">
        <f t="shared" si="8"/>
        <v>0</v>
      </c>
      <c r="CZ6" s="142">
        <f t="shared" si="8"/>
        <v>0</v>
      </c>
      <c r="DA6" s="142">
        <f t="shared" si="8"/>
        <v>0</v>
      </c>
      <c r="DB6" s="142">
        <f t="shared" si="8"/>
        <v>0</v>
      </c>
      <c r="DC6" s="142">
        <f t="shared" si="8"/>
        <v>0</v>
      </c>
      <c r="DD6" s="142">
        <f t="shared" si="8"/>
        <v>0</v>
      </c>
      <c r="DE6" s="142">
        <f t="shared" si="8"/>
        <v>0</v>
      </c>
      <c r="DF6" s="142">
        <f t="shared" si="8"/>
        <v>0</v>
      </c>
      <c r="DG6" s="142">
        <f t="shared" si="8"/>
        <v>0</v>
      </c>
      <c r="DH6" s="142">
        <f t="shared" si="8"/>
        <v>0</v>
      </c>
      <c r="DI6" s="142">
        <f t="shared" si="8"/>
        <v>0</v>
      </c>
      <c r="DJ6" s="142">
        <f t="shared" si="8"/>
        <v>0</v>
      </c>
      <c r="DK6" s="142">
        <f t="shared" si="8"/>
        <v>0</v>
      </c>
      <c r="DL6" s="142">
        <f t="shared" si="8"/>
        <v>0</v>
      </c>
      <c r="DM6" s="142">
        <f t="shared" si="8"/>
        <v>0</v>
      </c>
      <c r="DN6" s="142">
        <f t="shared" si="8"/>
        <v>0</v>
      </c>
      <c r="DO6" s="142">
        <f t="shared" si="8"/>
        <v>0</v>
      </c>
      <c r="DP6" s="142">
        <f t="shared" si="8"/>
        <v>0</v>
      </c>
      <c r="DQ6" s="142">
        <f t="shared" si="8"/>
        <v>0</v>
      </c>
      <c r="DR6" s="142">
        <f t="shared" si="8"/>
        <v>0</v>
      </c>
      <c r="DS6" s="142">
        <f t="shared" si="8"/>
        <v>0</v>
      </c>
      <c r="DT6" s="142">
        <f t="shared" si="8"/>
        <v>0</v>
      </c>
      <c r="DU6" s="142">
        <f t="shared" si="8"/>
        <v>0</v>
      </c>
      <c r="DV6" s="142">
        <f t="shared" si="8"/>
        <v>0</v>
      </c>
      <c r="DW6" s="142">
        <f t="shared" si="8"/>
        <v>0</v>
      </c>
      <c r="DX6" s="142">
        <f t="shared" si="8"/>
        <v>0</v>
      </c>
      <c r="DY6" s="142">
        <f t="shared" si="8"/>
        <v>0</v>
      </c>
      <c r="DZ6" s="142">
        <f t="shared" si="8"/>
        <v>0</v>
      </c>
      <c r="EA6" s="143">
        <f t="shared" ref="EA6:EA37" si="9">IF(OR(EA$5-$AI6&lt;=0,ISBLANK($A6)),0,INDEX($AO$6:$BR$176,ROW()-5,COLUMN(AP6)-41-$AI6))</f>
        <v>0</v>
      </c>
      <c r="EB6" s="143">
        <f t="shared" ref="EB6:EB37" si="10">IF(OR(EB$5-$AI6&lt;=0,ISBLANK($A6)),0,INDEX($AO$6:$BR$176,ROW()-5,COLUMN(AQ6)-41-$AI6))</f>
        <v>0</v>
      </c>
      <c r="EC6" s="143">
        <f t="shared" ref="EC6:EC37" si="11">IF(OR(EC$5-$AI6&lt;=0,ISBLANK($A6)),0,INDEX($AO$6:$BR$176,ROW()-5,COLUMN(AR6)-41-$AI6))</f>
        <v>0</v>
      </c>
      <c r="ED6" s="143">
        <f t="shared" ref="ED6:ED37" si="12">IF(OR(ED$5-$AI6&lt;=0,ISBLANK($A6)),0,INDEX($AO$6:$BR$176,ROW()-5,COLUMN(AS6)-41-$AI6))</f>
        <v>0</v>
      </c>
      <c r="EE6" s="143">
        <f t="shared" ref="EE6:EE37" si="13">IF(OR(EE$5-$AI6&lt;=0,ISBLANK($A6)),0,INDEX($AO$6:$BR$176,ROW()-5,COLUMN(AT6)-41-$AI6))</f>
        <v>0</v>
      </c>
      <c r="EF6" s="143">
        <f t="shared" ref="EF6:EF37" si="14">IF(OR(EF$5-$AI6&lt;=0,ISBLANK($A6)),0,INDEX($AO$6:$BR$176,ROW()-5,COLUMN(AU6)-41-$AI6))</f>
        <v>0</v>
      </c>
      <c r="EG6" s="143">
        <f t="shared" ref="EG6:EG37" si="15">IF(OR(EG$5-$AI6&lt;=0,ISBLANK($A6)),0,INDEX($AO$6:$BR$176,ROW()-5,COLUMN(AV6)-41-$AI6))</f>
        <v>0</v>
      </c>
      <c r="EH6" s="143">
        <f t="shared" ref="EH6:EH37" si="16">IF(OR(EH$5-$AI6&lt;=0,ISBLANK($A6)),0,INDEX($AO$6:$BR$176,ROW()-5,COLUMN(AW6)-41-$AI6))</f>
        <v>0</v>
      </c>
      <c r="EI6" s="143">
        <f t="shared" ref="EI6:EI37" si="17">IF(OR(EI$5-$AI6&lt;=0,ISBLANK($A6)),0,INDEX($AO$6:$BR$176,ROW()-5,COLUMN(AX6)-41-$AI6))</f>
        <v>0</v>
      </c>
      <c r="EJ6" s="143">
        <f t="shared" ref="EJ6:EJ37" si="18">IF(OR(EJ$5-$AI6&lt;=0,ISBLANK($A6)),0,INDEX($AO$6:$BR$176,ROW()-5,COLUMN(AY6)-41-$AI6))</f>
        <v>0</v>
      </c>
      <c r="EK6" s="143">
        <f t="shared" ref="EK6:EK37" si="19">IF(OR(EK$5-$AI6&lt;=0,ISBLANK($A6)),0,INDEX($AO$6:$BR$176,ROW()-5,COLUMN(AZ6)-41-$AI6))</f>
        <v>0</v>
      </c>
      <c r="EL6" s="143">
        <f t="shared" ref="EL6:EL37" si="20">IF(OR(EL$5-$AI6&lt;=0,ISBLANK($A6)),0,INDEX($AO$6:$BR$176,ROW()-5,COLUMN(BA6)-41-$AI6))</f>
        <v>0</v>
      </c>
      <c r="EM6" s="143">
        <f t="shared" ref="EM6:EM37" si="21">IF(OR(EM$5-$AI6&lt;=0,ISBLANK($A6)),0,INDEX($AO$6:$BR$176,ROW()-5,COLUMN(BB6)-41-$AI6))</f>
        <v>0</v>
      </c>
      <c r="EN6" s="143">
        <f t="shared" ref="EN6:EN37" si="22">IF(OR(EN$5-$AI6&lt;=0,ISBLANK($A6)),0,INDEX($AO$6:$BR$176,ROW()-5,COLUMN(BC6)-41-$AI6))</f>
        <v>0</v>
      </c>
      <c r="EO6" s="143">
        <f t="shared" ref="EO6:EO37" si="23">IF(OR(EO$5-$AI6&lt;=0,ISBLANK($A6)),0,INDEX($AO$6:$BR$176,ROW()-5,COLUMN(BD6)-41-$AI6))</f>
        <v>0</v>
      </c>
      <c r="EP6" s="143">
        <f t="shared" ref="EP6:EP37" si="24">IF(OR(EP$5-$AI6&lt;=0,ISBLANK($A6)),0,INDEX($AO$6:$BR$176,ROW()-5,COLUMN(BE6)-41-$AI6))</f>
        <v>0</v>
      </c>
      <c r="EQ6" s="143">
        <f t="shared" ref="EQ6:EQ37" si="25">IF(OR(EQ$5-$AI6&lt;=0,ISBLANK($A6)),0,INDEX($AO$6:$BR$176,ROW()-5,COLUMN(BF6)-41-$AI6))</f>
        <v>0</v>
      </c>
      <c r="ER6" s="143">
        <f t="shared" ref="ER6:ER37" si="26">IF(OR(ER$5-$AI6&lt;=0,ISBLANK($A6)),0,INDEX($AO$6:$BR$176,ROW()-5,COLUMN(BG6)-41-$AI6))</f>
        <v>0</v>
      </c>
      <c r="ES6" s="143">
        <f t="shared" ref="ES6:ES37" si="27">IF(OR(ES$5-$AI6&lt;=0,ISBLANK($A6)),0,INDEX($AO$6:$BR$176,ROW()-5,COLUMN(BH6)-41-$AI6))</f>
        <v>0</v>
      </c>
      <c r="ET6" s="143">
        <f t="shared" ref="ET6:ET37" si="28">IF(OR(ET$5-$AI6&lt;=0,ISBLANK($A6)),0,INDEX($AO$6:$BR$176,ROW()-5,COLUMN(BI6)-41-$AI6))</f>
        <v>0</v>
      </c>
      <c r="EU6" s="143">
        <f t="shared" ref="EU6:EU37" si="29">IF(OR(EU$5-$AI6&lt;=0,ISBLANK($A6)),0,INDEX($AO$6:$BR$176,ROW()-5,COLUMN(BJ6)-41-$AI6))</f>
        <v>0</v>
      </c>
      <c r="EV6" s="143">
        <f t="shared" ref="EV6:EV37" si="30">IF(OR(EV$5-$AI6&lt;=0,ISBLANK($A6)),0,INDEX($AO$6:$BR$176,ROW()-5,COLUMN(BK6)-41-$AI6))</f>
        <v>0</v>
      </c>
      <c r="EW6" s="143">
        <f t="shared" ref="EW6:EW37" si="31">IF(OR(EW$5-$AI6&lt;=0,ISBLANK($A6)),0,INDEX($AO$6:$BR$176,ROW()-5,COLUMN(BL6)-41-$AI6))</f>
        <v>0</v>
      </c>
      <c r="EX6" s="143">
        <f t="shared" ref="EX6:EX37" si="32">IF(OR(EX$5-$AI6&lt;=0,ISBLANK($A6)),0,INDEX($AO$6:$BR$176,ROW()-5,COLUMN(BM6)-41-$AI6))</f>
        <v>0</v>
      </c>
      <c r="EY6" s="143">
        <f t="shared" ref="EY6:EY37" si="33">IF(OR(EY$5-$AI6&lt;=0,ISBLANK($A6)),0,INDEX($AO$6:$BR$176,ROW()-5,COLUMN(BN6)-41-$AI6))</f>
        <v>0</v>
      </c>
      <c r="EZ6" s="143">
        <f t="shared" ref="EZ6:EZ37" si="34">IF(OR(EZ$5-$AI6&lt;=0,ISBLANK($A6)),0,INDEX($AO$6:$BR$176,ROW()-5,COLUMN(BO6)-41-$AI6))</f>
        <v>0</v>
      </c>
      <c r="FA6" s="143">
        <f t="shared" ref="FA6:FA37" si="35">IF(OR(FA$5-$AI6&lt;=0,ISBLANK($A6)),0,INDEX($AO$6:$BR$176,ROW()-5,COLUMN(BP6)-41-$AI6))</f>
        <v>0</v>
      </c>
      <c r="FB6" s="143">
        <f t="shared" ref="FB6:FB37" si="36">IF(OR(FB$5-$AI6&lt;=0,ISBLANK($A6)),0,INDEX($AO$6:$BR$176,ROW()-5,COLUMN(BQ6)-41-$AI6))</f>
        <v>0</v>
      </c>
      <c r="FC6" s="143">
        <f t="shared" ref="FC6:FC37" si="37">IF(OR(FC$5-$AI6&lt;=0,ISBLANK($A6)),0,INDEX($AO$6:$BR$176,ROW()-5,COLUMN(BR6)-41-$AI6))</f>
        <v>0</v>
      </c>
      <c r="FD6" s="143">
        <f t="shared" ref="FD6:FD37" si="38">IF(OR(FD$5-$AI6&lt;=0,ISBLANK($A6)),0,INDEX($AO$6:$BR$176,ROW()-5,COLUMN(BS6)-41-$AI6))</f>
        <v>0</v>
      </c>
      <c r="FE6" s="140">
        <f>SUM($D6:D6)*IF($B6="Operacional",IFERROR(VLOOKUP($C6,SN_UGC,28,0),0),1)</f>
        <v>33</v>
      </c>
      <c r="FF6" s="140">
        <f>SUM($D6:E6)*IF($B6="Operacional",IFERROR(VLOOKUP($C6,SN_UGC,28,0),0),1)</f>
        <v>33</v>
      </c>
      <c r="FG6" s="140">
        <f>SUM($D6:F6)*IF($B6="Operacional",IFERROR(VLOOKUP($C6,SN_UGC,28,0),0),1)</f>
        <v>33</v>
      </c>
      <c r="FH6" s="140">
        <f>SUM($D6:G6)*IF($B6="Operacional",IFERROR(VLOOKUP($C6,SN_UGC,28,0),0),1)</f>
        <v>33</v>
      </c>
      <c r="FI6" s="140">
        <f>SUM($D6:H6)*IF($B6="Operacional",IFERROR(VLOOKUP($C6,SN_UGC,28,0),0),1)</f>
        <v>33</v>
      </c>
      <c r="FJ6" s="140">
        <f>SUM($D6:I6)*IF($B6="Operacional",IFERROR(VLOOKUP($C6,SN_UGC,28,0),0),1)</f>
        <v>33</v>
      </c>
      <c r="FK6" s="140">
        <f>SUM($D6:J6)*IF($B6="Operacional",IFERROR(VLOOKUP($C6,SN_UGC,28,0),0),1)</f>
        <v>33</v>
      </c>
      <c r="FL6" s="140">
        <f>SUM($D6:K6)*IF($B6="Operacional",IFERROR(VLOOKUP($C6,SN_UGC,28,0),0),1)</f>
        <v>33</v>
      </c>
      <c r="FM6" s="140">
        <f>SUM($D6:L6)*IF($B6="Operacional",IFERROR(VLOOKUP($C6,SN_UGC,28,0),0),1)</f>
        <v>33</v>
      </c>
      <c r="FN6" s="140">
        <f>SUM($D6:M6)*IF($B6="Operacional",IFERROR(VLOOKUP($C6,SN_UGC,28,0),0),1)</f>
        <v>33</v>
      </c>
      <c r="FO6" s="140">
        <f>SUM($D6:N6)*IF($B6="Operacional",IFERROR(VLOOKUP($C6,SN_UGC,28,0),0),1)</f>
        <v>33</v>
      </c>
      <c r="FP6" s="140">
        <f>SUM($D6:O6)*IF($B6="Operacional",IFERROR(VLOOKUP($C6,SN_UGC,28,0),0),1)</f>
        <v>33</v>
      </c>
      <c r="FQ6" s="140">
        <f>SUM($D6:P6)*IF($B6="Operacional",IFERROR(VLOOKUP($C6,SN_UGC,28,0),0),1)</f>
        <v>33</v>
      </c>
      <c r="FR6" s="140">
        <f>SUM($D6:Q6)*IF($B6="Operacional",IFERROR(VLOOKUP($C6,SN_UGC,28,0),0),1)</f>
        <v>33</v>
      </c>
      <c r="FS6" s="140">
        <f>SUM($D6:R6)*IF($B6="Operacional",IFERROR(VLOOKUP($C6,SN_UGC,28,0),0),1)</f>
        <v>33</v>
      </c>
      <c r="FT6" s="140">
        <f>SUM($D6:S6)*IF($B6="Operacional",IFERROR(VLOOKUP($C6,SN_UGC,28,0),0),1)</f>
        <v>33</v>
      </c>
      <c r="FU6" s="140">
        <f>SUM($D6:T6)*IF($B6="Operacional",IFERROR(VLOOKUP($C6,SN_UGC,28,0),0),1)</f>
        <v>33</v>
      </c>
      <c r="FV6" s="140">
        <f>SUM($D6:U6)*IF($B6="Operacional",IFERROR(VLOOKUP($C6,SN_UGC,28,0),0),1)</f>
        <v>33</v>
      </c>
      <c r="FW6" s="140">
        <f>SUM($D6:V6)*IF($B6="Operacional",IFERROR(VLOOKUP($C6,SN_UGC,28,0),0),1)</f>
        <v>33</v>
      </c>
      <c r="FX6" s="140">
        <f>SUM($D6:W6)*IF($B6="Operacional",IFERROR(VLOOKUP($C6,SN_UGC,28,0),0),1)</f>
        <v>33</v>
      </c>
      <c r="FY6" s="140">
        <f>SUM($D6:X6)*IF($B6="Operacional",IFERROR(VLOOKUP($C6,SN_UGC,28,0),0),1)</f>
        <v>33</v>
      </c>
      <c r="FZ6" s="140">
        <f>SUM($D6:Y6)*IF($B6="Operacional",IFERROR(VLOOKUP($C6,SN_UGC,28,0),0),1)</f>
        <v>33</v>
      </c>
      <c r="GA6" s="140">
        <f>SUM($D6:Z6)*IF($B6="Operacional",IFERROR(VLOOKUP($C6,SN_UGC,28,0),0),1)</f>
        <v>33</v>
      </c>
      <c r="GB6" s="140">
        <f>SUM($D6:AA6)*IF($B6="Operacional",IFERROR(VLOOKUP($C6,SN_UGC,28,0),0),1)</f>
        <v>33</v>
      </c>
      <c r="GC6" s="140">
        <f>SUM($D6:AB6)*IF($B6="Operacional",IFERROR(VLOOKUP($C6,SN_UGC,28,0),0),1)</f>
        <v>33</v>
      </c>
      <c r="GD6" s="140">
        <f>SUM($D6:AC6)*IF($B6="Operacional",IFERROR(VLOOKUP($C6,SN_UGC,28,0),0),1)</f>
        <v>33</v>
      </c>
      <c r="GE6" s="140">
        <f>SUM($D6:AD6)*IF($B6="Operacional",IFERROR(VLOOKUP($C6,SN_UGC,28,0),0),1)</f>
        <v>33</v>
      </c>
      <c r="GF6" s="140">
        <f>SUM($D6:AE6)*IF($B6="Operacional",IFERROR(VLOOKUP($C6,SN_UGC,28,0),0),1)</f>
        <v>33</v>
      </c>
      <c r="GG6" s="140">
        <f>SUM($D6:AF6)*IF($B6="Operacional",IFERROR(VLOOKUP($C6,SN_UGC,28,0),0),1)</f>
        <v>33</v>
      </c>
      <c r="GH6" s="140">
        <f>SUM($D6:AG6)*IF($B6="Operacional",IFERROR(VLOOKUP($C6,SN_UGC,28,0),0),1)</f>
        <v>33</v>
      </c>
      <c r="GI6" s="141">
        <f t="shared" ref="GI6:HL6" si="39">FE6*$AH6*$AL6</f>
        <v>3914.7735000000002</v>
      </c>
      <c r="GJ6" s="141">
        <f t="shared" si="39"/>
        <v>3914.7735000000002</v>
      </c>
      <c r="GK6" s="141">
        <f t="shared" si="39"/>
        <v>3914.7735000000002</v>
      </c>
      <c r="GL6" s="141">
        <f t="shared" si="39"/>
        <v>3914.7735000000002</v>
      </c>
      <c r="GM6" s="141">
        <f t="shared" si="39"/>
        <v>3914.7735000000002</v>
      </c>
      <c r="GN6" s="141">
        <f t="shared" si="39"/>
        <v>3914.7735000000002</v>
      </c>
      <c r="GO6" s="141">
        <f t="shared" si="39"/>
        <v>3914.7735000000002</v>
      </c>
      <c r="GP6" s="141">
        <f t="shared" si="39"/>
        <v>3914.7735000000002</v>
      </c>
      <c r="GQ6" s="141">
        <f t="shared" si="39"/>
        <v>3914.7735000000002</v>
      </c>
      <c r="GR6" s="141">
        <f t="shared" si="39"/>
        <v>3914.7735000000002</v>
      </c>
      <c r="GS6" s="141">
        <f t="shared" si="39"/>
        <v>3914.7735000000002</v>
      </c>
      <c r="GT6" s="141">
        <f t="shared" si="39"/>
        <v>3914.7735000000002</v>
      </c>
      <c r="GU6" s="141">
        <f t="shared" si="39"/>
        <v>3914.7735000000002</v>
      </c>
      <c r="GV6" s="141">
        <f t="shared" si="39"/>
        <v>3914.7735000000002</v>
      </c>
      <c r="GW6" s="141">
        <f t="shared" si="39"/>
        <v>3914.7735000000002</v>
      </c>
      <c r="GX6" s="141">
        <f t="shared" si="39"/>
        <v>3914.7735000000002</v>
      </c>
      <c r="GY6" s="141">
        <f t="shared" si="39"/>
        <v>3914.7735000000002</v>
      </c>
      <c r="GZ6" s="141">
        <f t="shared" si="39"/>
        <v>3914.7735000000002</v>
      </c>
      <c r="HA6" s="141">
        <f t="shared" si="39"/>
        <v>3914.7735000000002</v>
      </c>
      <c r="HB6" s="141">
        <f t="shared" si="39"/>
        <v>3914.7735000000002</v>
      </c>
      <c r="HC6" s="141">
        <f t="shared" si="39"/>
        <v>3914.7735000000002</v>
      </c>
      <c r="HD6" s="141">
        <f t="shared" si="39"/>
        <v>3914.7735000000002</v>
      </c>
      <c r="HE6" s="141">
        <f t="shared" si="39"/>
        <v>3914.7735000000002</v>
      </c>
      <c r="HF6" s="141">
        <f t="shared" si="39"/>
        <v>3914.7735000000002</v>
      </c>
      <c r="HG6" s="141">
        <f t="shared" si="39"/>
        <v>3914.7735000000002</v>
      </c>
      <c r="HH6" s="141">
        <f t="shared" si="39"/>
        <v>3914.7735000000002</v>
      </c>
      <c r="HI6" s="141">
        <f t="shared" si="39"/>
        <v>3914.7735000000002</v>
      </c>
      <c r="HJ6" s="141">
        <f t="shared" si="39"/>
        <v>3914.7735000000002</v>
      </c>
      <c r="HK6" s="141">
        <f t="shared" si="39"/>
        <v>3914.7735000000002</v>
      </c>
      <c r="HL6" s="141">
        <f t="shared" si="39"/>
        <v>3914.7735000000002</v>
      </c>
      <c r="HM6" s="142">
        <f t="shared" ref="HM6:IP6" si="40">IF(ISBLANK($A6),,FE6*($AH6-($AH6*$AJ6))/$AI6)</f>
        <v>2609.8490000000002</v>
      </c>
      <c r="HN6" s="142">
        <f t="shared" si="40"/>
        <v>2609.8490000000002</v>
      </c>
      <c r="HO6" s="142">
        <f t="shared" si="40"/>
        <v>2609.8490000000002</v>
      </c>
      <c r="HP6" s="142">
        <f t="shared" si="40"/>
        <v>2609.8490000000002</v>
      </c>
      <c r="HQ6" s="142">
        <f t="shared" si="40"/>
        <v>2609.8490000000002</v>
      </c>
      <c r="HR6" s="142">
        <f t="shared" si="40"/>
        <v>2609.8490000000002</v>
      </c>
      <c r="HS6" s="142">
        <f t="shared" si="40"/>
        <v>2609.8490000000002</v>
      </c>
      <c r="HT6" s="142">
        <f t="shared" si="40"/>
        <v>2609.8490000000002</v>
      </c>
      <c r="HU6" s="142">
        <f t="shared" si="40"/>
        <v>2609.8490000000002</v>
      </c>
      <c r="HV6" s="142">
        <f t="shared" si="40"/>
        <v>2609.8490000000002</v>
      </c>
      <c r="HW6" s="142">
        <f t="shared" si="40"/>
        <v>2609.8490000000002</v>
      </c>
      <c r="HX6" s="142">
        <f t="shared" si="40"/>
        <v>2609.8490000000002</v>
      </c>
      <c r="HY6" s="142">
        <f t="shared" si="40"/>
        <v>2609.8490000000002</v>
      </c>
      <c r="HZ6" s="142">
        <f t="shared" si="40"/>
        <v>2609.8490000000002</v>
      </c>
      <c r="IA6" s="142">
        <f t="shared" si="40"/>
        <v>2609.8490000000002</v>
      </c>
      <c r="IB6" s="142">
        <f t="shared" si="40"/>
        <v>2609.8490000000002</v>
      </c>
      <c r="IC6" s="142">
        <f t="shared" si="40"/>
        <v>2609.8490000000002</v>
      </c>
      <c r="ID6" s="142">
        <f t="shared" si="40"/>
        <v>2609.8490000000002</v>
      </c>
      <c r="IE6" s="142">
        <f t="shared" si="40"/>
        <v>2609.8490000000002</v>
      </c>
      <c r="IF6" s="142">
        <f t="shared" si="40"/>
        <v>2609.8490000000002</v>
      </c>
      <c r="IG6" s="142">
        <f t="shared" si="40"/>
        <v>2609.8490000000002</v>
      </c>
      <c r="IH6" s="142">
        <f t="shared" si="40"/>
        <v>2609.8490000000002</v>
      </c>
      <c r="II6" s="142">
        <f t="shared" si="40"/>
        <v>2609.8490000000002</v>
      </c>
      <c r="IJ6" s="142">
        <f t="shared" si="40"/>
        <v>2609.8490000000002</v>
      </c>
      <c r="IK6" s="142">
        <f t="shared" si="40"/>
        <v>2609.8490000000002</v>
      </c>
      <c r="IL6" s="142">
        <f t="shared" si="40"/>
        <v>2609.8490000000002</v>
      </c>
      <c r="IM6" s="142">
        <f t="shared" si="40"/>
        <v>2609.8490000000002</v>
      </c>
      <c r="IN6" s="142">
        <f t="shared" si="40"/>
        <v>2609.8490000000002</v>
      </c>
      <c r="IO6" s="142">
        <f t="shared" si="40"/>
        <v>2609.8490000000002</v>
      </c>
      <c r="IP6" s="142">
        <f t="shared" si="40"/>
        <v>2609.8490000000002</v>
      </c>
      <c r="IQ6" s="141">
        <f>IF(ISBLANK($A6),,IF($AN6="Não",0,(SUM($AO6:AO6)*$AH6)-SUM($HM6:HM6)-SUM($CW6:CW6)))</f>
        <v>0</v>
      </c>
      <c r="IR6" s="141">
        <f>IF(ISBLANK($A6),,IF($AN6="Não",0,(SUM($AO6:AP6)*$AH6)-SUM($HM6:HN6)-SUM($CW6:CX6)))</f>
        <v>0</v>
      </c>
      <c r="IS6" s="141">
        <f>IF(ISBLANK($A6),,IF($AN6="Não",0,(SUM($AO6:AQ6)*$AH6)-SUM($HM6:HO6)-SUM($CW6:CY6)))</f>
        <v>0</v>
      </c>
      <c r="IT6" s="141">
        <f>IF(ISBLANK($A6),,IF($AN6="Não",0,(SUM($AO6:AR6)*$AH6)-SUM($HM6:HP6)-SUM($CW6:CZ6)))</f>
        <v>0</v>
      </c>
      <c r="IU6" s="141">
        <f>IF(ISBLANK($A6),,IF($AN6="Não",0,(SUM($AO6:AS6)*$AH6)-SUM($HM6:HQ6)-SUM($CW6:DA6)))</f>
        <v>0</v>
      </c>
      <c r="IV6" s="141">
        <f>IF(ISBLANK($A6),,IF($AN6="Não",0,(SUM($AO6:AT6)*$AH6)-SUM($HM6:HR6)-SUM($CW6:DB6)))</f>
        <v>0</v>
      </c>
      <c r="IW6" s="141">
        <f>IF(ISBLANK($A6),,IF($AN6="Não",0,(SUM($AO6:AU6)*$AH6)-SUM($HM6:HS6)-SUM($CW6:DC6)))</f>
        <v>0</v>
      </c>
      <c r="IX6" s="141">
        <f>IF(ISBLANK($A6),,IF($AN6="Não",0,(SUM($AO6:AV6)*$AH6)-SUM($HM6:HT6)-SUM($CW6:DD6)))</f>
        <v>0</v>
      </c>
      <c r="IY6" s="141">
        <f>IF(ISBLANK($A6),,IF($AN6="Não",0,(SUM($AO6:AW6)*$AH6)-SUM($HM6:HU6)-SUM($CW6:DE6)))</f>
        <v>0</v>
      </c>
      <c r="IZ6" s="141">
        <f>IF(ISBLANK($A6),,IF($AN6="Não",0,(SUM($AO6:AX6)*$AH6)-SUM($HM6:HV6)-SUM($CW6:DF6)))</f>
        <v>0</v>
      </c>
      <c r="JA6" s="141">
        <f>IF(ISBLANK($A6),,IF($AN6="Não",0,(SUM($AO6:AY6)*$AH6)-SUM($HM6:HW6)-SUM($CW6:DG6)))</f>
        <v>0</v>
      </c>
      <c r="JB6" s="141">
        <f>IF(ISBLANK($A6),,IF($AN6="Não",0,(SUM($AO6:AZ6)*$AH6)-SUM($HM6:HX6)-SUM($CW6:DH6)))</f>
        <v>0</v>
      </c>
      <c r="JC6" s="141">
        <f>IF(ISBLANK($A6),,IF($AN6="Não",0,(SUM($AO6:BA6)*$AH6)-SUM($HM6:HY6)-SUM($CW6:DI6)))</f>
        <v>0</v>
      </c>
      <c r="JD6" s="141">
        <f>IF(ISBLANK($A6),,IF($AN6="Não",0,(SUM($AO6:BB6)*$AH6)-SUM($HM6:HZ6)-SUM($CW6:DJ6)))</f>
        <v>0</v>
      </c>
      <c r="JE6" s="141">
        <f>IF(ISBLANK($A6),,IF($AN6="Não",0,(SUM($AO6:BC6)*$AH6)-SUM($HM6:IA6)-SUM($CW6:DK6)))</f>
        <v>0</v>
      </c>
      <c r="JF6" s="141">
        <f>IF(ISBLANK($A6),,IF($AN6="Não",0,(SUM($AO6:BD6)*$AH6)-SUM($HM6:IB6)-SUM($CW6:DL6)))</f>
        <v>0</v>
      </c>
      <c r="JG6" s="141">
        <f>IF(ISBLANK($A6),,IF($AN6="Não",0,(SUM($AO6:BE6)*$AH6)-SUM($HM6:IC6)-SUM($CW6:DM6)))</f>
        <v>0</v>
      </c>
      <c r="JH6" s="141">
        <f>IF(ISBLANK($A6),,IF($AN6="Não",0,(SUM($AO6:BF6)*$AH6)-SUM($HM6:ID6)-SUM($CW6:DN6)))</f>
        <v>0</v>
      </c>
      <c r="JI6" s="141">
        <f>IF(ISBLANK($A6),,IF($AN6="Não",0,(SUM($AO6:BG6)*$AH6)-SUM($HM6:IE6)-SUM($CW6:DO6)))</f>
        <v>0</v>
      </c>
      <c r="JJ6" s="141">
        <f>IF(ISBLANK($A6),,IF($AN6="Não",0,(SUM($AO6:BH6)*$AH6)-SUM($HM6:IF6)-SUM($CW6:DP6)))</f>
        <v>0</v>
      </c>
      <c r="JK6" s="141">
        <f>IF(ISBLANK($A6),,IF($AN6="Não",0,(SUM($AO6:BI6)*$AH6)-SUM($HM6:IG6)-SUM($CW6:DQ6)))</f>
        <v>0</v>
      </c>
      <c r="JL6" s="141">
        <f>IF(ISBLANK($A6),,IF($AN6="Não",0,(SUM($AO6:BJ6)*$AH6)-SUM($HM6:IH6)-SUM($CW6:DR6)))</f>
        <v>0</v>
      </c>
      <c r="JM6" s="141">
        <f>IF(ISBLANK($A6),,IF($AN6="Não",0,(SUM($AO6:BK6)*$AH6)-SUM($HM6:II6)-SUM($CW6:DS6)))</f>
        <v>0</v>
      </c>
      <c r="JN6" s="141">
        <f>IF(ISBLANK($A6),,IF($AN6="Não",0,(SUM($AO6:BL6)*$AH6)-SUM($HM6:IJ6)-SUM($CW6:DT6)))</f>
        <v>0</v>
      </c>
      <c r="JO6" s="141">
        <f>IF(ISBLANK($A6),,IF($AN6="Não",0,(SUM($AO6:BM6)*$AH6)-SUM($HM6:IK6)-SUM($CW6:DU6)))</f>
        <v>0</v>
      </c>
      <c r="JP6" s="141">
        <f>IF(ISBLANK($A6),,IF($AN6="Não",0,(SUM($AO6:BN6)*$AH6)-SUM($HM6:IL6)-SUM($CW6:DV6)))</f>
        <v>0</v>
      </c>
      <c r="JQ6" s="141">
        <f>IF(ISBLANK($A6),,IF($AN6="Não",0,(SUM($AO6:BO6)*$AH6)-SUM($HM6:IM6)-SUM($CW6:DW6)))</f>
        <v>0</v>
      </c>
      <c r="JR6" s="141">
        <f>IF(ISBLANK($A6),,IF($AN6="Não",0,(SUM($AO6:BP6)*$AH6)-SUM($HM6:IN6)-SUM($CW6:DX6)))</f>
        <v>0</v>
      </c>
      <c r="JS6" s="141">
        <f>IF(ISBLANK($A6),,IF($AN6="Não",0,(SUM($AO6:BQ6)*$AH6)-SUM($HM6:IO6)-SUM($CW6:DY6)))</f>
        <v>0</v>
      </c>
      <c r="JT6" s="141">
        <f>IF(ISBLANK($A6),,IF($AN6="Não",0,(SUM($AO6:BR6)*$AH6)-SUM($HM6:IP6)-SUM($CW6:DZ6)))</f>
        <v>0</v>
      </c>
    </row>
    <row r="7" spans="1:280" ht="15.75" customHeight="1">
      <c r="A7" s="129" t="s">
        <v>357</v>
      </c>
      <c r="B7" s="129" t="s">
        <v>209</v>
      </c>
      <c r="C7" s="138" t="s">
        <v>88</v>
      </c>
      <c r="D7" s="139">
        <v>2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607">
        <f t="shared" si="0"/>
        <v>1760.0000000000002</v>
      </c>
      <c r="AI7" s="608">
        <f t="shared" si="1"/>
        <v>10</v>
      </c>
      <c r="AJ7" s="609">
        <f t="shared" si="2"/>
        <v>0</v>
      </c>
      <c r="AK7" s="610" t="str">
        <f t="shared" si="3"/>
        <v>Infraestrutura</v>
      </c>
      <c r="AL7" s="609">
        <f t="shared" si="4"/>
        <v>0.05</v>
      </c>
      <c r="AM7" s="611" t="str">
        <f t="shared" si="5"/>
        <v>Sim</v>
      </c>
      <c r="AN7" s="611" t="str">
        <f t="shared" si="6"/>
        <v>Não</v>
      </c>
      <c r="AO7" s="140">
        <f t="array" ref="AO7">IF(ISBLANK($A7),0,IF(OR(AO$5-$AI7&lt;=0,$AM7="Não"),D7,D7+INDEX($AO$6:$BR$176,ROW()-5,COLUMN()-40-$AI7)))*IF($B7="Operacional",IFERROR(VLOOKUP($C7,SN_UGC,28,0),0),1)</f>
        <v>2</v>
      </c>
      <c r="AP7" s="140">
        <f t="array" ref="AP7">IF(ISBLANK($A7),0,IF(OR(AP$5-$AI7&lt;=0,$AM7="Não"),E7,E7+INDEX($AO$6:$BR$176,ROW()-5,COLUMN()-40-$AI7)))*IF($B7="Operacional",IFERROR(VLOOKUP($C7,SN_UGC,28,0),0),1)</f>
        <v>0</v>
      </c>
      <c r="AQ7" s="140">
        <f t="array" ref="AQ7">IF(ISBLANK($A7),0,IF(OR(AQ$5-$AI7&lt;=0,$AM7="Não"),F7,F7+INDEX($AO$6:$BR$176,ROW()-5,COLUMN()-40-$AI7)))*IF($B7="Operacional",IFERROR(VLOOKUP($C7,SN_UGC,28,0),0),1)</f>
        <v>0</v>
      </c>
      <c r="AR7" s="140">
        <f t="array" ref="AR7">IF(ISBLANK($A7),0,IF(OR(AR$5-$AI7&lt;=0,$AM7="Não"),G7,G7+INDEX($AO$6:$BR$176,ROW()-5,COLUMN()-40-$AI7)))*IF($B7="Operacional",IFERROR(VLOOKUP($C7,SN_UGC,28,0),0),1)</f>
        <v>0</v>
      </c>
      <c r="AS7" s="140">
        <f t="array" ref="AS7">IF(ISBLANK($A7),0,IF(OR(AS$5-$AI7&lt;=0,$AM7="Não"),H7,H7+INDEX($AO$6:$BR$176,ROW()-5,COLUMN()-40-$AI7)))*IF($B7="Operacional",IFERROR(VLOOKUP($C7,SN_UGC,28,0),0),1)</f>
        <v>0</v>
      </c>
      <c r="AT7" s="140">
        <f t="array" ref="AT7">IF(ISBLANK($A7),0,IF(OR(AT$5-$AI7&lt;=0,$AM7="Não"),I7,I7+INDEX($AO$6:$BR$176,ROW()-5,COLUMN()-40-$AI7)))*IF($B7="Operacional",IFERROR(VLOOKUP($C7,SN_UGC,28,0),0),1)</f>
        <v>0</v>
      </c>
      <c r="AU7" s="140">
        <f t="array" ref="AU7">IF(ISBLANK($A7),0,IF(OR(AU$5-$AI7&lt;=0,$AM7="Não"),J7,J7+INDEX($AO$6:$BR$176,ROW()-5,COLUMN()-40-$AI7)))*IF($B7="Operacional",IFERROR(VLOOKUP($C7,SN_UGC,28,0),0),1)</f>
        <v>0</v>
      </c>
      <c r="AV7" s="140">
        <f t="array" ref="AV7">IF(ISBLANK($A7),0,IF(OR(AV$5-$AI7&lt;=0,$AM7="Não"),K7,K7+INDEX($AO$6:$BR$176,ROW()-5,COLUMN()-40-$AI7)))*IF($B7="Operacional",IFERROR(VLOOKUP($C7,SN_UGC,28,0),0),1)</f>
        <v>0</v>
      </c>
      <c r="AW7" s="140">
        <f t="array" ref="AW7">IF(ISBLANK($A7),0,IF(OR(AW$5-$AI7&lt;=0,$AM7="Não"),L7,L7+INDEX($AO$6:$BR$176,ROW()-5,COLUMN()-40-$AI7)))*IF($B7="Operacional",IFERROR(VLOOKUP($C7,SN_UGC,28,0),0),1)</f>
        <v>0</v>
      </c>
      <c r="AX7" s="140">
        <f t="array" ref="AX7">IF(ISBLANK($A7),0,IF(OR(AX$5-$AI7&lt;=0,$AM7="Não"),M7,M7+INDEX($AO$6:$BR$176,ROW()-5,COLUMN()-40-$AI7)))*IF($B7="Operacional",IFERROR(VLOOKUP($C7,SN_UGC,28,0),0),1)</f>
        <v>0</v>
      </c>
      <c r="AY7" s="140">
        <f t="array" ref="AY7">IF(ISBLANK($A7),0,IF(OR(AY$5-$AI7&lt;=0,$AM7="Não"),N7,N7+INDEX($AO$6:$BR$176,ROW()-5,COLUMN()-40-$AI7)))*IF($B7="Operacional",IFERROR(VLOOKUP($C7,SN_UGC,28,0),0),1)</f>
        <v>2</v>
      </c>
      <c r="AZ7" s="140">
        <f t="array" ref="AZ7">IF(ISBLANK($A7),0,IF(OR(AZ$5-$AI7&lt;=0,$AM7="Não"),O7,O7+INDEX($AO$6:$BR$176,ROW()-5,COLUMN()-40-$AI7)))*IF($B7="Operacional",IFERROR(VLOOKUP($C7,SN_UGC,28,0),0),1)</f>
        <v>0</v>
      </c>
      <c r="BA7" s="140">
        <f t="array" ref="BA7">IF(ISBLANK($A7),0,IF(OR(BA$5-$AI7&lt;=0,$AM7="Não"),P7,P7+INDEX($AO$6:$BR$176,ROW()-5,COLUMN()-40-$AI7)))*IF($B7="Operacional",IFERROR(VLOOKUP($C7,SN_UGC,28,0),0),1)</f>
        <v>0</v>
      </c>
      <c r="BB7" s="140">
        <f t="array" ref="BB7">IF(ISBLANK($A7),0,IF(OR(BB$5-$AI7&lt;=0,$AM7="Não"),Q7,Q7+INDEX($AO$6:$BR$176,ROW()-5,COLUMN()-40-$AI7)))*IF($B7="Operacional",IFERROR(VLOOKUP($C7,SN_UGC,28,0),0),1)</f>
        <v>0</v>
      </c>
      <c r="BC7" s="140">
        <f t="array" ref="BC7">IF(ISBLANK($A7),0,IF(OR(BC$5-$AI7&lt;=0,$AM7="Não"),R7,R7+INDEX($AO$6:$BR$176,ROW()-5,COLUMN()-40-$AI7)))*IF($B7="Operacional",IFERROR(VLOOKUP($C7,SN_UGC,28,0),0),1)</f>
        <v>0</v>
      </c>
      <c r="BD7" s="140">
        <f t="array" ref="BD7">IF(ISBLANK($A7),0,IF(OR(BD$5-$AI7&lt;=0,$AM7="Não"),S7,S7+INDEX($AO$6:$BR$176,ROW()-5,COLUMN()-40-$AI7)))*IF($B7="Operacional",IFERROR(VLOOKUP($C7,SN_UGC,28,0),0),1)</f>
        <v>0</v>
      </c>
      <c r="BE7" s="140">
        <f t="array" ref="BE7">IF(ISBLANK($A7),0,IF(OR(BE$5-$AI7&lt;=0,$AM7="Não"),T7,T7+INDEX($AO$6:$BR$176,ROW()-5,COLUMN()-40-$AI7)))*IF($B7="Operacional",IFERROR(VLOOKUP($C7,SN_UGC,28,0),0),1)</f>
        <v>0</v>
      </c>
      <c r="BF7" s="140">
        <f t="array" ref="BF7">IF(ISBLANK($A7),0,IF(OR(BF$5-$AI7&lt;=0,$AM7="Não"),U7,U7+INDEX($AO$6:$BR$176,ROW()-5,COLUMN()-40-$AI7)))*IF($B7="Operacional",IFERROR(VLOOKUP($C7,SN_UGC,28,0),0),1)</f>
        <v>0</v>
      </c>
      <c r="BG7" s="140">
        <f t="array" ref="BG7">IF(ISBLANK($A7),0,IF(OR(BG$5-$AI7&lt;=0,$AM7="Não"),V7,V7+INDEX($AO$6:$BR$176,ROW()-5,COLUMN()-40-$AI7)))*IF($B7="Operacional",IFERROR(VLOOKUP($C7,SN_UGC,28,0),0),1)</f>
        <v>0</v>
      </c>
      <c r="BH7" s="140">
        <f t="array" ref="BH7">IF(ISBLANK($A7),0,IF(OR(BH$5-$AI7&lt;=0,$AM7="Não"),W7,W7+INDEX($AO$6:$BR$176,ROW()-5,COLUMN()-40-$AI7)))*IF($B7="Operacional",IFERROR(VLOOKUP($C7,SN_UGC,28,0),0),1)</f>
        <v>0</v>
      </c>
      <c r="BI7" s="140">
        <f t="array" ref="BI7">IF(ISBLANK($A7),0,IF(OR(BI$5-$AI7&lt;=0,$AM7="Não"),X7,X7+INDEX($AO$6:$BR$176,ROW()-5,COLUMN()-40-$AI7)))*IF($B7="Operacional",IFERROR(VLOOKUP($C7,SN_UGC,28,0),0),1)</f>
        <v>2</v>
      </c>
      <c r="BJ7" s="140">
        <f t="array" ref="BJ7">IF(ISBLANK($A7),0,IF(OR(BJ$5-$AI7&lt;=0,$AM7="Não"),Y7,Y7+INDEX($AO$6:$BR$176,ROW()-5,COLUMN()-40-$AI7)))*IF($B7="Operacional",IFERROR(VLOOKUP($C7,SN_UGC,28,0),0),1)</f>
        <v>0</v>
      </c>
      <c r="BK7" s="140">
        <f t="array" ref="BK7">IF(ISBLANK($A7),0,IF(OR(BK$5-$AI7&lt;=0,$AM7="Não"),Z7,Z7+INDEX($AO$6:$BR$176,ROW()-5,COLUMN()-40-$AI7)))*IF($B7="Operacional",IFERROR(VLOOKUP($C7,SN_UGC,28,0),0),1)</f>
        <v>0</v>
      </c>
      <c r="BL7" s="140">
        <f t="array" ref="BL7">IF(ISBLANK($A7),0,IF(OR(BL$5-$AI7&lt;=0,$AM7="Não"),AA7,AA7+INDEX($AO$6:$BR$176,ROW()-5,COLUMN()-40-$AI7)))*IF($B7="Operacional",IFERROR(VLOOKUP($C7,SN_UGC,28,0),0),1)</f>
        <v>0</v>
      </c>
      <c r="BM7" s="140">
        <f t="array" ref="BM7">IF(ISBLANK($A7),0,IF(OR(BM$5-$AI7&lt;=0,$AM7="Não"),AB7,AB7+INDEX($AO$6:$BR$176,ROW()-5,COLUMN()-40-$AI7)))*IF($B7="Operacional",IFERROR(VLOOKUP($C7,SN_UGC,28,0),0),1)</f>
        <v>0</v>
      </c>
      <c r="BN7" s="140">
        <f t="array" ref="BN7">IF(ISBLANK($A7),0,IF(OR(BN$5-$AI7&lt;=0,$AM7="Não"),AC7,AC7+INDEX($AO$6:$BR$176,ROW()-5,COLUMN()-40-$AI7)))*IF($B7="Operacional",IFERROR(VLOOKUP($C7,SN_UGC,28,0),0),1)</f>
        <v>0</v>
      </c>
      <c r="BO7" s="140">
        <f t="array" ref="BO7">IF(ISBLANK($A7),0,IF(OR(BO$5-$AI7&lt;=0,$AM7="Não"),AD7,AD7+INDEX($AO$6:$BR$176,ROW()-5,COLUMN()-40-$AI7)))*IF($B7="Operacional",IFERROR(VLOOKUP($C7,SN_UGC,28,0),0),1)</f>
        <v>0</v>
      </c>
      <c r="BP7" s="140">
        <f t="array" ref="BP7">IF(ISBLANK($A7),0,IF(OR(BP$5-$AI7&lt;=0,$AM7="Não"),AE7,AE7+INDEX($AO$6:$BR$176,ROW()-5,COLUMN()-40-$AI7)))*IF($B7="Operacional",IFERROR(VLOOKUP($C7,SN_UGC,28,0),0),1)</f>
        <v>0</v>
      </c>
      <c r="BQ7" s="140">
        <f t="array" ref="BQ7">IF(ISBLANK($A7),0,IF(OR(BQ$5-$AI7&lt;=0,$AM7="Não"),AF7,AF7+INDEX($AO$6:$BR$176,ROW()-5,COLUMN()-40-$AI7)))*IF($B7="Operacional",IFERROR(VLOOKUP($C7,SN_UGC,28,0),0),1)</f>
        <v>0</v>
      </c>
      <c r="BR7" s="140">
        <f t="array" ref="BR7">IF(ISBLANK($A7),0,IF(OR(BR$5-$AI7&lt;=0,$AM7="Não"),AG7,AG7+INDEX($AO$6:$BR$176,ROW()-5,COLUMN()-40-$AI7)))*IF($B7="Operacional",IFERROR(VLOOKUP($C7,SN_UGC,28,0),0),1)</f>
        <v>0</v>
      </c>
      <c r="BS7" s="141">
        <f t="shared" ref="BS7:CV7" si="41">IF(ISBLANK($A7),0,$AH7*AO7)</f>
        <v>3520.0000000000005</v>
      </c>
      <c r="BT7" s="141">
        <f t="shared" si="41"/>
        <v>0</v>
      </c>
      <c r="BU7" s="141">
        <f t="shared" si="41"/>
        <v>0</v>
      </c>
      <c r="BV7" s="141">
        <f t="shared" si="41"/>
        <v>0</v>
      </c>
      <c r="BW7" s="141">
        <f t="shared" si="41"/>
        <v>0</v>
      </c>
      <c r="BX7" s="141">
        <f t="shared" si="41"/>
        <v>0</v>
      </c>
      <c r="BY7" s="141">
        <f t="shared" si="41"/>
        <v>0</v>
      </c>
      <c r="BZ7" s="141">
        <f t="shared" si="41"/>
        <v>0</v>
      </c>
      <c r="CA7" s="141">
        <f t="shared" si="41"/>
        <v>0</v>
      </c>
      <c r="CB7" s="141">
        <f t="shared" si="41"/>
        <v>0</v>
      </c>
      <c r="CC7" s="141">
        <f t="shared" si="41"/>
        <v>3520.0000000000005</v>
      </c>
      <c r="CD7" s="141">
        <f t="shared" si="41"/>
        <v>0</v>
      </c>
      <c r="CE7" s="141">
        <f t="shared" si="41"/>
        <v>0</v>
      </c>
      <c r="CF7" s="141">
        <f t="shared" si="41"/>
        <v>0</v>
      </c>
      <c r="CG7" s="141">
        <f t="shared" si="41"/>
        <v>0</v>
      </c>
      <c r="CH7" s="141">
        <f t="shared" si="41"/>
        <v>0</v>
      </c>
      <c r="CI7" s="141">
        <f t="shared" si="41"/>
        <v>0</v>
      </c>
      <c r="CJ7" s="141">
        <f t="shared" si="41"/>
        <v>0</v>
      </c>
      <c r="CK7" s="141">
        <f t="shared" si="41"/>
        <v>0</v>
      </c>
      <c r="CL7" s="141">
        <f t="shared" si="41"/>
        <v>0</v>
      </c>
      <c r="CM7" s="141">
        <f t="shared" si="41"/>
        <v>3520.0000000000005</v>
      </c>
      <c r="CN7" s="141">
        <f t="shared" si="41"/>
        <v>0</v>
      </c>
      <c r="CO7" s="141">
        <f t="shared" si="41"/>
        <v>0</v>
      </c>
      <c r="CP7" s="141">
        <f t="shared" si="41"/>
        <v>0</v>
      </c>
      <c r="CQ7" s="141">
        <f t="shared" si="41"/>
        <v>0</v>
      </c>
      <c r="CR7" s="141">
        <f t="shared" si="41"/>
        <v>0</v>
      </c>
      <c r="CS7" s="141">
        <f t="shared" si="41"/>
        <v>0</v>
      </c>
      <c r="CT7" s="141">
        <f t="shared" si="41"/>
        <v>0</v>
      </c>
      <c r="CU7" s="141">
        <f t="shared" si="41"/>
        <v>0</v>
      </c>
      <c r="CV7" s="141">
        <f t="shared" si="41"/>
        <v>0</v>
      </c>
      <c r="CW7" s="142">
        <f t="shared" ref="CW7:DZ7" si="42">EA7*$AH7*$AJ7</f>
        <v>0</v>
      </c>
      <c r="CX7" s="142">
        <f t="shared" si="42"/>
        <v>0</v>
      </c>
      <c r="CY7" s="142">
        <f t="shared" si="42"/>
        <v>0</v>
      </c>
      <c r="CZ7" s="142">
        <f t="shared" si="42"/>
        <v>0</v>
      </c>
      <c r="DA7" s="142">
        <f t="shared" si="42"/>
        <v>0</v>
      </c>
      <c r="DB7" s="142">
        <f t="shared" si="42"/>
        <v>0</v>
      </c>
      <c r="DC7" s="142">
        <f t="shared" si="42"/>
        <v>0</v>
      </c>
      <c r="DD7" s="142">
        <f t="shared" si="42"/>
        <v>0</v>
      </c>
      <c r="DE7" s="142">
        <f t="shared" si="42"/>
        <v>0</v>
      </c>
      <c r="DF7" s="142">
        <f t="shared" si="42"/>
        <v>0</v>
      </c>
      <c r="DG7" s="142">
        <f t="shared" si="42"/>
        <v>0</v>
      </c>
      <c r="DH7" s="142">
        <f t="shared" si="42"/>
        <v>0</v>
      </c>
      <c r="DI7" s="142">
        <f t="shared" si="42"/>
        <v>0</v>
      </c>
      <c r="DJ7" s="142">
        <f t="shared" si="42"/>
        <v>0</v>
      </c>
      <c r="DK7" s="142">
        <f t="shared" si="42"/>
        <v>0</v>
      </c>
      <c r="DL7" s="142">
        <f t="shared" si="42"/>
        <v>0</v>
      </c>
      <c r="DM7" s="142">
        <f t="shared" si="42"/>
        <v>0</v>
      </c>
      <c r="DN7" s="142">
        <f t="shared" si="42"/>
        <v>0</v>
      </c>
      <c r="DO7" s="142">
        <f t="shared" si="42"/>
        <v>0</v>
      </c>
      <c r="DP7" s="142">
        <f t="shared" si="42"/>
        <v>0</v>
      </c>
      <c r="DQ7" s="142">
        <f t="shared" si="42"/>
        <v>0</v>
      </c>
      <c r="DR7" s="142">
        <f t="shared" si="42"/>
        <v>0</v>
      </c>
      <c r="DS7" s="142">
        <f t="shared" si="42"/>
        <v>0</v>
      </c>
      <c r="DT7" s="142">
        <f t="shared" si="42"/>
        <v>0</v>
      </c>
      <c r="DU7" s="142">
        <f t="shared" si="42"/>
        <v>0</v>
      </c>
      <c r="DV7" s="142">
        <f t="shared" si="42"/>
        <v>0</v>
      </c>
      <c r="DW7" s="142">
        <f t="shared" si="42"/>
        <v>0</v>
      </c>
      <c r="DX7" s="142">
        <f t="shared" si="42"/>
        <v>0</v>
      </c>
      <c r="DY7" s="142">
        <f t="shared" si="42"/>
        <v>0</v>
      </c>
      <c r="DZ7" s="142">
        <f t="shared" si="42"/>
        <v>0</v>
      </c>
      <c r="EA7" s="143">
        <f t="shared" si="9"/>
        <v>0</v>
      </c>
      <c r="EB7" s="143">
        <f t="shared" si="10"/>
        <v>0</v>
      </c>
      <c r="EC7" s="143">
        <f t="shared" si="11"/>
        <v>0</v>
      </c>
      <c r="ED7" s="143">
        <f t="shared" si="12"/>
        <v>0</v>
      </c>
      <c r="EE7" s="143">
        <f t="shared" si="13"/>
        <v>0</v>
      </c>
      <c r="EF7" s="143">
        <f t="shared" si="14"/>
        <v>0</v>
      </c>
      <c r="EG7" s="143">
        <f t="shared" si="15"/>
        <v>0</v>
      </c>
      <c r="EH7" s="143">
        <f t="shared" si="16"/>
        <v>0</v>
      </c>
      <c r="EI7" s="143">
        <f t="shared" si="17"/>
        <v>0</v>
      </c>
      <c r="EJ7" s="143">
        <f t="shared" si="18"/>
        <v>0</v>
      </c>
      <c r="EK7" s="143">
        <f t="shared" si="19"/>
        <v>2</v>
      </c>
      <c r="EL7" s="143">
        <f t="shared" si="20"/>
        <v>0</v>
      </c>
      <c r="EM7" s="143">
        <f t="shared" si="21"/>
        <v>0</v>
      </c>
      <c r="EN7" s="143">
        <f t="shared" si="22"/>
        <v>0</v>
      </c>
      <c r="EO7" s="143">
        <f t="shared" si="23"/>
        <v>0</v>
      </c>
      <c r="EP7" s="143">
        <f t="shared" si="24"/>
        <v>0</v>
      </c>
      <c r="EQ7" s="143">
        <f t="shared" si="25"/>
        <v>0</v>
      </c>
      <c r="ER7" s="143">
        <f t="shared" si="26"/>
        <v>0</v>
      </c>
      <c r="ES7" s="143">
        <f t="shared" si="27"/>
        <v>0</v>
      </c>
      <c r="ET7" s="143">
        <f t="shared" si="28"/>
        <v>0</v>
      </c>
      <c r="EU7" s="143">
        <f t="shared" si="29"/>
        <v>2</v>
      </c>
      <c r="EV7" s="143">
        <f t="shared" si="30"/>
        <v>0</v>
      </c>
      <c r="EW7" s="143">
        <f t="shared" si="31"/>
        <v>0</v>
      </c>
      <c r="EX7" s="143">
        <f t="shared" si="32"/>
        <v>0</v>
      </c>
      <c r="EY7" s="143">
        <f t="shared" si="33"/>
        <v>0</v>
      </c>
      <c r="EZ7" s="143">
        <f t="shared" si="34"/>
        <v>0</v>
      </c>
      <c r="FA7" s="143">
        <f t="shared" si="35"/>
        <v>0</v>
      </c>
      <c r="FB7" s="143">
        <f t="shared" si="36"/>
        <v>0</v>
      </c>
      <c r="FC7" s="143">
        <f t="shared" si="37"/>
        <v>0</v>
      </c>
      <c r="FD7" s="143">
        <f t="shared" si="38"/>
        <v>0</v>
      </c>
      <c r="FE7" s="140">
        <f>SUM($D7:D7)*IF($B7="Operacional",IFERROR(VLOOKUP($C7,SN_UGC,28,0),0),1)</f>
        <v>2</v>
      </c>
      <c r="FF7" s="140">
        <f>SUM($D7:E7)*IF($B7="Operacional",IFERROR(VLOOKUP($C7,SN_UGC,28,0),0),1)</f>
        <v>2</v>
      </c>
      <c r="FG7" s="140">
        <f>SUM($D7:F7)*IF($B7="Operacional",IFERROR(VLOOKUP($C7,SN_UGC,28,0),0),1)</f>
        <v>2</v>
      </c>
      <c r="FH7" s="140">
        <f>SUM($D7:G7)*IF($B7="Operacional",IFERROR(VLOOKUP($C7,SN_UGC,28,0),0),1)</f>
        <v>2</v>
      </c>
      <c r="FI7" s="140">
        <f>SUM($D7:H7)*IF($B7="Operacional",IFERROR(VLOOKUP($C7,SN_UGC,28,0),0),1)</f>
        <v>2</v>
      </c>
      <c r="FJ7" s="140">
        <f>SUM($D7:I7)*IF($B7="Operacional",IFERROR(VLOOKUP($C7,SN_UGC,28,0),0),1)</f>
        <v>2</v>
      </c>
      <c r="FK7" s="140">
        <f>SUM($D7:J7)*IF($B7="Operacional",IFERROR(VLOOKUP($C7,SN_UGC,28,0),0),1)</f>
        <v>2</v>
      </c>
      <c r="FL7" s="140">
        <f>SUM($D7:K7)*IF($B7="Operacional",IFERROR(VLOOKUP($C7,SN_UGC,28,0),0),1)</f>
        <v>2</v>
      </c>
      <c r="FM7" s="140">
        <f>SUM($D7:L7)*IF($B7="Operacional",IFERROR(VLOOKUP($C7,SN_UGC,28,0),0),1)</f>
        <v>2</v>
      </c>
      <c r="FN7" s="140">
        <f>SUM($D7:M7)*IF($B7="Operacional",IFERROR(VLOOKUP($C7,SN_UGC,28,0),0),1)</f>
        <v>2</v>
      </c>
      <c r="FO7" s="140">
        <f>SUM($D7:N7)*IF($B7="Operacional",IFERROR(VLOOKUP($C7,SN_UGC,28,0),0),1)</f>
        <v>2</v>
      </c>
      <c r="FP7" s="140">
        <f>SUM($D7:O7)*IF($B7="Operacional",IFERROR(VLOOKUP($C7,SN_UGC,28,0),0),1)</f>
        <v>2</v>
      </c>
      <c r="FQ7" s="140">
        <f>SUM($D7:P7)*IF($B7="Operacional",IFERROR(VLOOKUP($C7,SN_UGC,28,0),0),1)</f>
        <v>2</v>
      </c>
      <c r="FR7" s="140">
        <f>SUM($D7:Q7)*IF($B7="Operacional",IFERROR(VLOOKUP($C7,SN_UGC,28,0),0),1)</f>
        <v>2</v>
      </c>
      <c r="FS7" s="140">
        <f>SUM($D7:R7)*IF($B7="Operacional",IFERROR(VLOOKUP($C7,SN_UGC,28,0),0),1)</f>
        <v>2</v>
      </c>
      <c r="FT7" s="140">
        <f>SUM($D7:S7)*IF($B7="Operacional",IFERROR(VLOOKUP($C7,SN_UGC,28,0),0),1)</f>
        <v>2</v>
      </c>
      <c r="FU7" s="140">
        <f>SUM($D7:T7)*IF($B7="Operacional",IFERROR(VLOOKUP($C7,SN_UGC,28,0),0),1)</f>
        <v>2</v>
      </c>
      <c r="FV7" s="140">
        <f>SUM($D7:U7)*IF($B7="Operacional",IFERROR(VLOOKUP($C7,SN_UGC,28,0),0),1)</f>
        <v>2</v>
      </c>
      <c r="FW7" s="140">
        <f>SUM($D7:V7)*IF($B7="Operacional",IFERROR(VLOOKUP($C7,SN_UGC,28,0),0),1)</f>
        <v>2</v>
      </c>
      <c r="FX7" s="140">
        <f>SUM($D7:W7)*IF($B7="Operacional",IFERROR(VLOOKUP($C7,SN_UGC,28,0),0),1)</f>
        <v>2</v>
      </c>
      <c r="FY7" s="140">
        <f>SUM($D7:X7)*IF($B7="Operacional",IFERROR(VLOOKUP($C7,SN_UGC,28,0),0),1)</f>
        <v>2</v>
      </c>
      <c r="FZ7" s="140">
        <f>SUM($D7:Y7)*IF($B7="Operacional",IFERROR(VLOOKUP($C7,SN_UGC,28,0),0),1)</f>
        <v>2</v>
      </c>
      <c r="GA7" s="140">
        <f>SUM($D7:Z7)*IF($B7="Operacional",IFERROR(VLOOKUP($C7,SN_UGC,28,0),0),1)</f>
        <v>2</v>
      </c>
      <c r="GB7" s="140">
        <f>SUM($D7:AA7)*IF($B7="Operacional",IFERROR(VLOOKUP($C7,SN_UGC,28,0),0),1)</f>
        <v>2</v>
      </c>
      <c r="GC7" s="140">
        <f>SUM($D7:AB7)*IF($B7="Operacional",IFERROR(VLOOKUP($C7,SN_UGC,28,0),0),1)</f>
        <v>2</v>
      </c>
      <c r="GD7" s="140">
        <f>SUM($D7:AC7)*IF($B7="Operacional",IFERROR(VLOOKUP($C7,SN_UGC,28,0),0),1)</f>
        <v>2</v>
      </c>
      <c r="GE7" s="140">
        <f>SUM($D7:AD7)*IF($B7="Operacional",IFERROR(VLOOKUP($C7,SN_UGC,28,0),0),1)</f>
        <v>2</v>
      </c>
      <c r="GF7" s="140">
        <f>SUM($D7:AE7)*IF($B7="Operacional",IFERROR(VLOOKUP($C7,SN_UGC,28,0),0),1)</f>
        <v>2</v>
      </c>
      <c r="GG7" s="140">
        <f>SUM($D7:AF7)*IF($B7="Operacional",IFERROR(VLOOKUP($C7,SN_UGC,28,0),0),1)</f>
        <v>2</v>
      </c>
      <c r="GH7" s="140">
        <f>SUM($D7:AG7)*IF($B7="Operacional",IFERROR(VLOOKUP($C7,SN_UGC,28,0),0),1)</f>
        <v>2</v>
      </c>
      <c r="GI7" s="141">
        <f t="shared" ref="GI7:HL7" si="43">FE7*$AH7*$AL7</f>
        <v>176.00000000000003</v>
      </c>
      <c r="GJ7" s="141">
        <f t="shared" si="43"/>
        <v>176.00000000000003</v>
      </c>
      <c r="GK7" s="141">
        <f t="shared" si="43"/>
        <v>176.00000000000003</v>
      </c>
      <c r="GL7" s="141">
        <f t="shared" si="43"/>
        <v>176.00000000000003</v>
      </c>
      <c r="GM7" s="141">
        <f t="shared" si="43"/>
        <v>176.00000000000003</v>
      </c>
      <c r="GN7" s="141">
        <f t="shared" si="43"/>
        <v>176.00000000000003</v>
      </c>
      <c r="GO7" s="141">
        <f t="shared" si="43"/>
        <v>176.00000000000003</v>
      </c>
      <c r="GP7" s="141">
        <f t="shared" si="43"/>
        <v>176.00000000000003</v>
      </c>
      <c r="GQ7" s="141">
        <f t="shared" si="43"/>
        <v>176.00000000000003</v>
      </c>
      <c r="GR7" s="141">
        <f t="shared" si="43"/>
        <v>176.00000000000003</v>
      </c>
      <c r="GS7" s="141">
        <f t="shared" si="43"/>
        <v>176.00000000000003</v>
      </c>
      <c r="GT7" s="141">
        <f t="shared" si="43"/>
        <v>176.00000000000003</v>
      </c>
      <c r="GU7" s="141">
        <f t="shared" si="43"/>
        <v>176.00000000000003</v>
      </c>
      <c r="GV7" s="141">
        <f t="shared" si="43"/>
        <v>176.00000000000003</v>
      </c>
      <c r="GW7" s="141">
        <f t="shared" si="43"/>
        <v>176.00000000000003</v>
      </c>
      <c r="GX7" s="141">
        <f t="shared" si="43"/>
        <v>176.00000000000003</v>
      </c>
      <c r="GY7" s="141">
        <f t="shared" si="43"/>
        <v>176.00000000000003</v>
      </c>
      <c r="GZ7" s="141">
        <f t="shared" si="43"/>
        <v>176.00000000000003</v>
      </c>
      <c r="HA7" s="141">
        <f t="shared" si="43"/>
        <v>176.00000000000003</v>
      </c>
      <c r="HB7" s="141">
        <f t="shared" si="43"/>
        <v>176.00000000000003</v>
      </c>
      <c r="HC7" s="141">
        <f t="shared" si="43"/>
        <v>176.00000000000003</v>
      </c>
      <c r="HD7" s="141">
        <f t="shared" si="43"/>
        <v>176.00000000000003</v>
      </c>
      <c r="HE7" s="141">
        <f t="shared" si="43"/>
        <v>176.00000000000003</v>
      </c>
      <c r="HF7" s="141">
        <f t="shared" si="43"/>
        <v>176.00000000000003</v>
      </c>
      <c r="HG7" s="141">
        <f t="shared" si="43"/>
        <v>176.00000000000003</v>
      </c>
      <c r="HH7" s="141">
        <f t="shared" si="43"/>
        <v>176.00000000000003</v>
      </c>
      <c r="HI7" s="141">
        <f t="shared" si="43"/>
        <v>176.00000000000003</v>
      </c>
      <c r="HJ7" s="141">
        <f t="shared" si="43"/>
        <v>176.00000000000003</v>
      </c>
      <c r="HK7" s="141">
        <f t="shared" si="43"/>
        <v>176.00000000000003</v>
      </c>
      <c r="HL7" s="141">
        <f t="shared" si="43"/>
        <v>176.00000000000003</v>
      </c>
      <c r="HM7" s="142">
        <f t="shared" ref="HM7:IP7" si="44">IF(ISBLANK($A7),,FE7*($AH7-($AH7*$AJ7))/$AI7)</f>
        <v>352.00000000000006</v>
      </c>
      <c r="HN7" s="142">
        <f t="shared" si="44"/>
        <v>352.00000000000006</v>
      </c>
      <c r="HO7" s="142">
        <f t="shared" si="44"/>
        <v>352.00000000000006</v>
      </c>
      <c r="HP7" s="142">
        <f t="shared" si="44"/>
        <v>352.00000000000006</v>
      </c>
      <c r="HQ7" s="142">
        <f t="shared" si="44"/>
        <v>352.00000000000006</v>
      </c>
      <c r="HR7" s="142">
        <f t="shared" si="44"/>
        <v>352.00000000000006</v>
      </c>
      <c r="HS7" s="142">
        <f t="shared" si="44"/>
        <v>352.00000000000006</v>
      </c>
      <c r="HT7" s="142">
        <f t="shared" si="44"/>
        <v>352.00000000000006</v>
      </c>
      <c r="HU7" s="142">
        <f t="shared" si="44"/>
        <v>352.00000000000006</v>
      </c>
      <c r="HV7" s="142">
        <f t="shared" si="44"/>
        <v>352.00000000000006</v>
      </c>
      <c r="HW7" s="142">
        <f t="shared" si="44"/>
        <v>352.00000000000006</v>
      </c>
      <c r="HX7" s="142">
        <f t="shared" si="44"/>
        <v>352.00000000000006</v>
      </c>
      <c r="HY7" s="142">
        <f t="shared" si="44"/>
        <v>352.00000000000006</v>
      </c>
      <c r="HZ7" s="142">
        <f t="shared" si="44"/>
        <v>352.00000000000006</v>
      </c>
      <c r="IA7" s="142">
        <f t="shared" si="44"/>
        <v>352.00000000000006</v>
      </c>
      <c r="IB7" s="142">
        <f t="shared" si="44"/>
        <v>352.00000000000006</v>
      </c>
      <c r="IC7" s="142">
        <f t="shared" si="44"/>
        <v>352.00000000000006</v>
      </c>
      <c r="ID7" s="142">
        <f t="shared" si="44"/>
        <v>352.00000000000006</v>
      </c>
      <c r="IE7" s="142">
        <f t="shared" si="44"/>
        <v>352.00000000000006</v>
      </c>
      <c r="IF7" s="142">
        <f t="shared" si="44"/>
        <v>352.00000000000006</v>
      </c>
      <c r="IG7" s="142">
        <f t="shared" si="44"/>
        <v>352.00000000000006</v>
      </c>
      <c r="IH7" s="142">
        <f t="shared" si="44"/>
        <v>352.00000000000006</v>
      </c>
      <c r="II7" s="142">
        <f t="shared" si="44"/>
        <v>352.00000000000006</v>
      </c>
      <c r="IJ7" s="142">
        <f t="shared" si="44"/>
        <v>352.00000000000006</v>
      </c>
      <c r="IK7" s="142">
        <f t="shared" si="44"/>
        <v>352.00000000000006</v>
      </c>
      <c r="IL7" s="142">
        <f t="shared" si="44"/>
        <v>352.00000000000006</v>
      </c>
      <c r="IM7" s="142">
        <f t="shared" si="44"/>
        <v>352.00000000000006</v>
      </c>
      <c r="IN7" s="142">
        <f t="shared" si="44"/>
        <v>352.00000000000006</v>
      </c>
      <c r="IO7" s="142">
        <f t="shared" si="44"/>
        <v>352.00000000000006</v>
      </c>
      <c r="IP7" s="142">
        <f t="shared" si="44"/>
        <v>352.00000000000006</v>
      </c>
      <c r="IQ7" s="141">
        <f>IF(ISBLANK($A7),,IF($AN7="Não",0,(SUM($AO7:AO7)*$AH7)-SUM($HM7:HM7)-SUM($CW7:CW7)))</f>
        <v>0</v>
      </c>
      <c r="IR7" s="141">
        <f>IF(ISBLANK($A7),,IF($AN7="Não",0,(SUM($AO7:AP7)*$AH7)-SUM($HM7:HN7)-SUM($CW7:CX7)))</f>
        <v>0</v>
      </c>
      <c r="IS7" s="141">
        <f>IF(ISBLANK($A7),,IF($AN7="Não",0,(SUM($AO7:AQ7)*$AH7)-SUM($HM7:HO7)-SUM($CW7:CY7)))</f>
        <v>0</v>
      </c>
      <c r="IT7" s="141">
        <f>IF(ISBLANK($A7),,IF($AN7="Não",0,(SUM($AO7:AR7)*$AH7)-SUM($HM7:HP7)-SUM($CW7:CZ7)))</f>
        <v>0</v>
      </c>
      <c r="IU7" s="141">
        <f>IF(ISBLANK($A7),,IF($AN7="Não",0,(SUM($AO7:AS7)*$AH7)-SUM($HM7:HQ7)-SUM($CW7:DA7)))</f>
        <v>0</v>
      </c>
      <c r="IV7" s="141">
        <f>IF(ISBLANK($A7),,IF($AN7="Não",0,(SUM($AO7:AT7)*$AH7)-SUM($HM7:HR7)-SUM($CW7:DB7)))</f>
        <v>0</v>
      </c>
      <c r="IW7" s="141">
        <f>IF(ISBLANK($A7),,IF($AN7="Não",0,(SUM($AO7:AU7)*$AH7)-SUM($HM7:HS7)-SUM($CW7:DC7)))</f>
        <v>0</v>
      </c>
      <c r="IX7" s="141">
        <f>IF(ISBLANK($A7),,IF($AN7="Não",0,(SUM($AO7:AV7)*$AH7)-SUM($HM7:HT7)-SUM($CW7:DD7)))</f>
        <v>0</v>
      </c>
      <c r="IY7" s="141">
        <f>IF(ISBLANK($A7),,IF($AN7="Não",0,(SUM($AO7:AW7)*$AH7)-SUM($HM7:HU7)-SUM($CW7:DE7)))</f>
        <v>0</v>
      </c>
      <c r="IZ7" s="141">
        <f>IF(ISBLANK($A7),,IF($AN7="Não",0,(SUM($AO7:AX7)*$AH7)-SUM($HM7:HV7)-SUM($CW7:DF7)))</f>
        <v>0</v>
      </c>
      <c r="JA7" s="141">
        <f>IF(ISBLANK($A7),,IF($AN7="Não",0,(SUM($AO7:AY7)*$AH7)-SUM($HM7:HW7)-SUM($CW7:DG7)))</f>
        <v>0</v>
      </c>
      <c r="JB7" s="141">
        <f>IF(ISBLANK($A7),,IF($AN7="Não",0,(SUM($AO7:AZ7)*$AH7)-SUM($HM7:HX7)-SUM($CW7:DH7)))</f>
        <v>0</v>
      </c>
      <c r="JC7" s="141">
        <f>IF(ISBLANK($A7),,IF($AN7="Não",0,(SUM($AO7:BA7)*$AH7)-SUM($HM7:HY7)-SUM($CW7:DI7)))</f>
        <v>0</v>
      </c>
      <c r="JD7" s="141">
        <f>IF(ISBLANK($A7),,IF($AN7="Não",0,(SUM($AO7:BB7)*$AH7)-SUM($HM7:HZ7)-SUM($CW7:DJ7)))</f>
        <v>0</v>
      </c>
      <c r="JE7" s="141">
        <f>IF(ISBLANK($A7),,IF($AN7="Não",0,(SUM($AO7:BC7)*$AH7)-SUM($HM7:IA7)-SUM($CW7:DK7)))</f>
        <v>0</v>
      </c>
      <c r="JF7" s="141">
        <f>IF(ISBLANK($A7),,IF($AN7="Não",0,(SUM($AO7:BD7)*$AH7)-SUM($HM7:IB7)-SUM($CW7:DL7)))</f>
        <v>0</v>
      </c>
      <c r="JG7" s="141">
        <f>IF(ISBLANK($A7),,IF($AN7="Não",0,(SUM($AO7:BE7)*$AH7)-SUM($HM7:IC7)-SUM($CW7:DM7)))</f>
        <v>0</v>
      </c>
      <c r="JH7" s="141">
        <f>IF(ISBLANK($A7),,IF($AN7="Não",0,(SUM($AO7:BF7)*$AH7)-SUM($HM7:ID7)-SUM($CW7:DN7)))</f>
        <v>0</v>
      </c>
      <c r="JI7" s="141">
        <f>IF(ISBLANK($A7),,IF($AN7="Não",0,(SUM($AO7:BG7)*$AH7)-SUM($HM7:IE7)-SUM($CW7:DO7)))</f>
        <v>0</v>
      </c>
      <c r="JJ7" s="141">
        <f>IF(ISBLANK($A7),,IF($AN7="Não",0,(SUM($AO7:BH7)*$AH7)-SUM($HM7:IF7)-SUM($CW7:DP7)))</f>
        <v>0</v>
      </c>
      <c r="JK7" s="141">
        <f>IF(ISBLANK($A7),,IF($AN7="Não",0,(SUM($AO7:BI7)*$AH7)-SUM($HM7:IG7)-SUM($CW7:DQ7)))</f>
        <v>0</v>
      </c>
      <c r="JL7" s="141">
        <f>IF(ISBLANK($A7),,IF($AN7="Não",0,(SUM($AO7:BJ7)*$AH7)-SUM($HM7:IH7)-SUM($CW7:DR7)))</f>
        <v>0</v>
      </c>
      <c r="JM7" s="141">
        <f>IF(ISBLANK($A7),,IF($AN7="Não",0,(SUM($AO7:BK7)*$AH7)-SUM($HM7:II7)-SUM($CW7:DS7)))</f>
        <v>0</v>
      </c>
      <c r="JN7" s="141">
        <f>IF(ISBLANK($A7),,IF($AN7="Não",0,(SUM($AO7:BL7)*$AH7)-SUM($HM7:IJ7)-SUM($CW7:DT7)))</f>
        <v>0</v>
      </c>
      <c r="JO7" s="141">
        <f>IF(ISBLANK($A7),,IF($AN7="Não",0,(SUM($AO7:BM7)*$AH7)-SUM($HM7:IK7)-SUM($CW7:DU7)))</f>
        <v>0</v>
      </c>
      <c r="JP7" s="141">
        <f>IF(ISBLANK($A7),,IF($AN7="Não",0,(SUM($AO7:BN7)*$AH7)-SUM($HM7:IL7)-SUM($CW7:DV7)))</f>
        <v>0</v>
      </c>
      <c r="JQ7" s="141">
        <f>IF(ISBLANK($A7),,IF($AN7="Não",0,(SUM($AO7:BO7)*$AH7)-SUM($HM7:IM7)-SUM($CW7:DW7)))</f>
        <v>0</v>
      </c>
      <c r="JR7" s="141">
        <f>IF(ISBLANK($A7),,IF($AN7="Não",0,(SUM($AO7:BP7)*$AH7)-SUM($HM7:IN7)-SUM($CW7:DX7)))</f>
        <v>0</v>
      </c>
      <c r="JS7" s="141">
        <f>IF(ISBLANK($A7),,IF($AN7="Não",0,(SUM($AO7:BQ7)*$AH7)-SUM($HM7:IO7)-SUM($CW7:DY7)))</f>
        <v>0</v>
      </c>
      <c r="JT7" s="141">
        <f>IF(ISBLANK($A7),,IF($AN7="Não",0,(SUM($AO7:BR7)*$AH7)-SUM($HM7:IP7)-SUM($CW7:DZ7)))</f>
        <v>0</v>
      </c>
    </row>
    <row r="8" spans="1:280" ht="15.75" customHeight="1">
      <c r="A8" s="129" t="s">
        <v>385</v>
      </c>
      <c r="B8" s="129" t="s">
        <v>209</v>
      </c>
      <c r="C8" s="138" t="s">
        <v>88</v>
      </c>
      <c r="D8" s="139">
        <v>33</v>
      </c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  <c r="AH8" s="607">
        <f t="shared" si="0"/>
        <v>5101.2060000000001</v>
      </c>
      <c r="AI8" s="608">
        <f t="shared" si="1"/>
        <v>10</v>
      </c>
      <c r="AJ8" s="609">
        <f t="shared" si="2"/>
        <v>0.4</v>
      </c>
      <c r="AK8" s="610" t="str">
        <f t="shared" si="3"/>
        <v>Equipamentos e instalações</v>
      </c>
      <c r="AL8" s="609">
        <f t="shared" si="4"/>
        <v>0.05</v>
      </c>
      <c r="AM8" s="611" t="str">
        <f t="shared" si="5"/>
        <v>Sim</v>
      </c>
      <c r="AN8" s="611" t="str">
        <f t="shared" si="6"/>
        <v>Sim</v>
      </c>
      <c r="AO8" s="140">
        <f t="array" ref="AO8">IF(ISBLANK($A8),0,IF(OR(AO$5-$AI8&lt;=0,$AM8="Não"),D8,D8+INDEX($AO$6:$BR$176,ROW()-5,COLUMN()-40-$AI8)))*IF($B8="Operacional",IFERROR(VLOOKUP($C8,SN_UGC,28,0),0),1)</f>
        <v>33</v>
      </c>
      <c r="AP8" s="140">
        <f t="array" ref="AP8">IF(ISBLANK($A8),0,IF(OR(AP$5-$AI8&lt;=0,$AM8="Não"),E8,E8+INDEX($AO$6:$BR$176,ROW()-5,COLUMN()-40-$AI8)))*IF($B8="Operacional",IFERROR(VLOOKUP($C8,SN_UGC,28,0),0),1)</f>
        <v>0</v>
      </c>
      <c r="AQ8" s="140">
        <f t="array" ref="AQ8">IF(ISBLANK($A8),0,IF(OR(AQ$5-$AI8&lt;=0,$AM8="Não"),F8,F8+INDEX($AO$6:$BR$176,ROW()-5,COLUMN()-40-$AI8)))*IF($B8="Operacional",IFERROR(VLOOKUP($C8,SN_UGC,28,0),0),1)</f>
        <v>0</v>
      </c>
      <c r="AR8" s="140">
        <f t="array" ref="AR8">IF(ISBLANK($A8),0,IF(OR(AR$5-$AI8&lt;=0,$AM8="Não"),G8,G8+INDEX($AO$6:$BR$176,ROW()-5,COLUMN()-40-$AI8)))*IF($B8="Operacional",IFERROR(VLOOKUP($C8,SN_UGC,28,0),0),1)</f>
        <v>0</v>
      </c>
      <c r="AS8" s="140">
        <f t="array" ref="AS8">IF(ISBLANK($A8),0,IF(OR(AS$5-$AI8&lt;=0,$AM8="Não"),H8,H8+INDEX($AO$6:$BR$176,ROW()-5,COLUMN()-40-$AI8)))*IF($B8="Operacional",IFERROR(VLOOKUP($C8,SN_UGC,28,0),0),1)</f>
        <v>0</v>
      </c>
      <c r="AT8" s="140">
        <f t="array" ref="AT8">IF(ISBLANK($A8),0,IF(OR(AT$5-$AI8&lt;=0,$AM8="Não"),I8,I8+INDEX($AO$6:$BR$176,ROW()-5,COLUMN()-40-$AI8)))*IF($B8="Operacional",IFERROR(VLOOKUP($C8,SN_UGC,28,0),0),1)</f>
        <v>0</v>
      </c>
      <c r="AU8" s="140">
        <f t="array" ref="AU8">IF(ISBLANK($A8),0,IF(OR(AU$5-$AI8&lt;=0,$AM8="Não"),J8,J8+INDEX($AO$6:$BR$176,ROW()-5,COLUMN()-40-$AI8)))*IF($B8="Operacional",IFERROR(VLOOKUP($C8,SN_UGC,28,0),0),1)</f>
        <v>0</v>
      </c>
      <c r="AV8" s="140">
        <f t="array" ref="AV8">IF(ISBLANK($A8),0,IF(OR(AV$5-$AI8&lt;=0,$AM8="Não"),K8,K8+INDEX($AO$6:$BR$176,ROW()-5,COLUMN()-40-$AI8)))*IF($B8="Operacional",IFERROR(VLOOKUP($C8,SN_UGC,28,0),0),1)</f>
        <v>0</v>
      </c>
      <c r="AW8" s="140">
        <f t="array" ref="AW8">IF(ISBLANK($A8),0,IF(OR(AW$5-$AI8&lt;=0,$AM8="Não"),L8,L8+INDEX($AO$6:$BR$176,ROW()-5,COLUMN()-40-$AI8)))*IF($B8="Operacional",IFERROR(VLOOKUP($C8,SN_UGC,28,0),0),1)</f>
        <v>0</v>
      </c>
      <c r="AX8" s="140">
        <f t="array" ref="AX8">IF(ISBLANK($A8),0,IF(OR(AX$5-$AI8&lt;=0,$AM8="Não"),M8,M8+INDEX($AO$6:$BR$176,ROW()-5,COLUMN()-40-$AI8)))*IF($B8="Operacional",IFERROR(VLOOKUP($C8,SN_UGC,28,0),0),1)</f>
        <v>0</v>
      </c>
      <c r="AY8" s="140">
        <f t="array" ref="AY8">IF(ISBLANK($A8),0,IF(OR(AY$5-$AI8&lt;=0,$AM8="Não"),N8,N8+INDEX($AO$6:$BR$176,ROW()-5,COLUMN()-40-$AI8)))*IF($B8="Operacional",IFERROR(VLOOKUP($C8,SN_UGC,28,0),0),1)</f>
        <v>33</v>
      </c>
      <c r="AZ8" s="140">
        <f t="array" ref="AZ8">IF(ISBLANK($A8),0,IF(OR(AZ$5-$AI8&lt;=0,$AM8="Não"),O8,O8+INDEX($AO$6:$BR$176,ROW()-5,COLUMN()-40-$AI8)))*IF($B8="Operacional",IFERROR(VLOOKUP($C8,SN_UGC,28,0),0),1)</f>
        <v>0</v>
      </c>
      <c r="BA8" s="140">
        <f t="array" ref="BA8">IF(ISBLANK($A8),0,IF(OR(BA$5-$AI8&lt;=0,$AM8="Não"),P8,P8+INDEX($AO$6:$BR$176,ROW()-5,COLUMN()-40-$AI8)))*IF($B8="Operacional",IFERROR(VLOOKUP($C8,SN_UGC,28,0),0),1)</f>
        <v>0</v>
      </c>
      <c r="BB8" s="140">
        <f t="array" ref="BB8">IF(ISBLANK($A8),0,IF(OR(BB$5-$AI8&lt;=0,$AM8="Não"),Q8,Q8+INDEX($AO$6:$BR$176,ROW()-5,COLUMN()-40-$AI8)))*IF($B8="Operacional",IFERROR(VLOOKUP($C8,SN_UGC,28,0),0),1)</f>
        <v>0</v>
      </c>
      <c r="BC8" s="140">
        <f t="array" ref="BC8">IF(ISBLANK($A8),0,IF(OR(BC$5-$AI8&lt;=0,$AM8="Não"),R8,R8+INDEX($AO$6:$BR$176,ROW()-5,COLUMN()-40-$AI8)))*IF($B8="Operacional",IFERROR(VLOOKUP($C8,SN_UGC,28,0),0),1)</f>
        <v>0</v>
      </c>
      <c r="BD8" s="140">
        <f t="array" ref="BD8">IF(ISBLANK($A8),0,IF(OR(BD$5-$AI8&lt;=0,$AM8="Não"),S8,S8+INDEX($AO$6:$BR$176,ROW()-5,COLUMN()-40-$AI8)))*IF($B8="Operacional",IFERROR(VLOOKUP($C8,SN_UGC,28,0),0),1)</f>
        <v>0</v>
      </c>
      <c r="BE8" s="140">
        <f t="array" ref="BE8">IF(ISBLANK($A8),0,IF(OR(BE$5-$AI8&lt;=0,$AM8="Não"),T8,T8+INDEX($AO$6:$BR$176,ROW()-5,COLUMN()-40-$AI8)))*IF($B8="Operacional",IFERROR(VLOOKUP($C8,SN_UGC,28,0),0),1)</f>
        <v>0</v>
      </c>
      <c r="BF8" s="140">
        <f t="array" ref="BF8">IF(ISBLANK($A8),0,IF(OR(BF$5-$AI8&lt;=0,$AM8="Não"),U8,U8+INDEX($AO$6:$BR$176,ROW()-5,COLUMN()-40-$AI8)))*IF($B8="Operacional",IFERROR(VLOOKUP($C8,SN_UGC,28,0),0),1)</f>
        <v>0</v>
      </c>
      <c r="BG8" s="140">
        <f t="array" ref="BG8">IF(ISBLANK($A8),0,IF(OR(BG$5-$AI8&lt;=0,$AM8="Não"),V8,V8+INDEX($AO$6:$BR$176,ROW()-5,COLUMN()-40-$AI8)))*IF($B8="Operacional",IFERROR(VLOOKUP($C8,SN_UGC,28,0),0),1)</f>
        <v>0</v>
      </c>
      <c r="BH8" s="140">
        <f t="array" ref="BH8">IF(ISBLANK($A8),0,IF(OR(BH$5-$AI8&lt;=0,$AM8="Não"),W8,W8+INDEX($AO$6:$BR$176,ROW()-5,COLUMN()-40-$AI8)))*IF($B8="Operacional",IFERROR(VLOOKUP($C8,SN_UGC,28,0),0),1)</f>
        <v>0</v>
      </c>
      <c r="BI8" s="140">
        <f t="array" ref="BI8">IF(ISBLANK($A8),0,IF(OR(BI$5-$AI8&lt;=0,$AM8="Não"),X8,X8+INDEX($AO$6:$BR$176,ROW()-5,COLUMN()-40-$AI8)))*IF($B8="Operacional",IFERROR(VLOOKUP($C8,SN_UGC,28,0),0),1)</f>
        <v>33</v>
      </c>
      <c r="BJ8" s="140">
        <f t="array" ref="BJ8">IF(ISBLANK($A8),0,IF(OR(BJ$5-$AI8&lt;=0,$AM8="Não"),Y8,Y8+INDEX($AO$6:$BR$176,ROW()-5,COLUMN()-40-$AI8)))*IF($B8="Operacional",IFERROR(VLOOKUP($C8,SN_UGC,28,0),0),1)</f>
        <v>0</v>
      </c>
      <c r="BK8" s="140">
        <f t="array" ref="BK8">IF(ISBLANK($A8),0,IF(OR(BK$5-$AI8&lt;=0,$AM8="Não"),Z8,Z8+INDEX($AO$6:$BR$176,ROW()-5,COLUMN()-40-$AI8)))*IF($B8="Operacional",IFERROR(VLOOKUP($C8,SN_UGC,28,0),0),1)</f>
        <v>0</v>
      </c>
      <c r="BL8" s="140">
        <f t="array" ref="BL8">IF(ISBLANK($A8),0,IF(OR(BL$5-$AI8&lt;=0,$AM8="Não"),AA8,AA8+INDEX($AO$6:$BR$176,ROW()-5,COLUMN()-40-$AI8)))*IF($B8="Operacional",IFERROR(VLOOKUP($C8,SN_UGC,28,0),0),1)</f>
        <v>0</v>
      </c>
      <c r="BM8" s="140">
        <f t="array" ref="BM8">IF(ISBLANK($A8),0,IF(OR(BM$5-$AI8&lt;=0,$AM8="Não"),AB8,AB8+INDEX($AO$6:$BR$176,ROW()-5,COLUMN()-40-$AI8)))*IF($B8="Operacional",IFERROR(VLOOKUP($C8,SN_UGC,28,0),0),1)</f>
        <v>0</v>
      </c>
      <c r="BN8" s="140">
        <f t="array" ref="BN8">IF(ISBLANK($A8),0,IF(OR(BN$5-$AI8&lt;=0,$AM8="Não"),AC8,AC8+INDEX($AO$6:$BR$176,ROW()-5,COLUMN()-40-$AI8)))*IF($B8="Operacional",IFERROR(VLOOKUP($C8,SN_UGC,28,0),0),1)</f>
        <v>0</v>
      </c>
      <c r="BO8" s="140">
        <f t="array" ref="BO8">IF(ISBLANK($A8),0,IF(OR(BO$5-$AI8&lt;=0,$AM8="Não"),AD8,AD8+INDEX($AO$6:$BR$176,ROW()-5,COLUMN()-40-$AI8)))*IF($B8="Operacional",IFERROR(VLOOKUP($C8,SN_UGC,28,0),0),1)</f>
        <v>0</v>
      </c>
      <c r="BP8" s="140">
        <f t="array" ref="BP8">IF(ISBLANK($A8),0,IF(OR(BP$5-$AI8&lt;=0,$AM8="Não"),AE8,AE8+INDEX($AO$6:$BR$176,ROW()-5,COLUMN()-40-$AI8)))*IF($B8="Operacional",IFERROR(VLOOKUP($C8,SN_UGC,28,0),0),1)</f>
        <v>0</v>
      </c>
      <c r="BQ8" s="140">
        <f t="array" ref="BQ8">IF(ISBLANK($A8),0,IF(OR(BQ$5-$AI8&lt;=0,$AM8="Não"),AF8,AF8+INDEX($AO$6:$BR$176,ROW()-5,COLUMN()-40-$AI8)))*IF($B8="Operacional",IFERROR(VLOOKUP($C8,SN_UGC,28,0),0),1)</f>
        <v>0</v>
      </c>
      <c r="BR8" s="140">
        <f t="array" ref="BR8">IF(ISBLANK($A8),0,IF(OR(BR$5-$AI8&lt;=0,$AM8="Não"),AG8,AG8+INDEX($AO$6:$BR$176,ROW()-5,COLUMN()-40-$AI8)))*IF($B8="Operacional",IFERROR(VLOOKUP($C8,SN_UGC,28,0),0),1)</f>
        <v>0</v>
      </c>
      <c r="BS8" s="141">
        <f t="shared" ref="BS8:CV8" si="45">IF(ISBLANK($A8),0,$AH8*AO8)</f>
        <v>168339.79800000001</v>
      </c>
      <c r="BT8" s="141">
        <f t="shared" si="45"/>
        <v>0</v>
      </c>
      <c r="BU8" s="141">
        <f t="shared" si="45"/>
        <v>0</v>
      </c>
      <c r="BV8" s="141">
        <f t="shared" si="45"/>
        <v>0</v>
      </c>
      <c r="BW8" s="141">
        <f t="shared" si="45"/>
        <v>0</v>
      </c>
      <c r="BX8" s="141">
        <f t="shared" si="45"/>
        <v>0</v>
      </c>
      <c r="BY8" s="141">
        <f t="shared" si="45"/>
        <v>0</v>
      </c>
      <c r="BZ8" s="141">
        <f t="shared" si="45"/>
        <v>0</v>
      </c>
      <c r="CA8" s="141">
        <f t="shared" si="45"/>
        <v>0</v>
      </c>
      <c r="CB8" s="141">
        <f t="shared" si="45"/>
        <v>0</v>
      </c>
      <c r="CC8" s="141">
        <f t="shared" si="45"/>
        <v>168339.79800000001</v>
      </c>
      <c r="CD8" s="141">
        <f t="shared" si="45"/>
        <v>0</v>
      </c>
      <c r="CE8" s="141">
        <f t="shared" si="45"/>
        <v>0</v>
      </c>
      <c r="CF8" s="141">
        <f t="shared" si="45"/>
        <v>0</v>
      </c>
      <c r="CG8" s="141">
        <f t="shared" si="45"/>
        <v>0</v>
      </c>
      <c r="CH8" s="141">
        <f t="shared" si="45"/>
        <v>0</v>
      </c>
      <c r="CI8" s="141">
        <f t="shared" si="45"/>
        <v>0</v>
      </c>
      <c r="CJ8" s="141">
        <f t="shared" si="45"/>
        <v>0</v>
      </c>
      <c r="CK8" s="141">
        <f t="shared" si="45"/>
        <v>0</v>
      </c>
      <c r="CL8" s="141">
        <f t="shared" si="45"/>
        <v>0</v>
      </c>
      <c r="CM8" s="141">
        <f t="shared" si="45"/>
        <v>168339.79800000001</v>
      </c>
      <c r="CN8" s="141">
        <f t="shared" si="45"/>
        <v>0</v>
      </c>
      <c r="CO8" s="141">
        <f t="shared" si="45"/>
        <v>0</v>
      </c>
      <c r="CP8" s="141">
        <f t="shared" si="45"/>
        <v>0</v>
      </c>
      <c r="CQ8" s="141">
        <f t="shared" si="45"/>
        <v>0</v>
      </c>
      <c r="CR8" s="141">
        <f t="shared" si="45"/>
        <v>0</v>
      </c>
      <c r="CS8" s="141">
        <f t="shared" si="45"/>
        <v>0</v>
      </c>
      <c r="CT8" s="141">
        <f t="shared" si="45"/>
        <v>0</v>
      </c>
      <c r="CU8" s="141">
        <f t="shared" si="45"/>
        <v>0</v>
      </c>
      <c r="CV8" s="141">
        <f t="shared" si="45"/>
        <v>0</v>
      </c>
      <c r="CW8" s="142">
        <f t="shared" ref="CW8:DZ8" si="46">EA8*$AH8*$AJ8</f>
        <v>0</v>
      </c>
      <c r="CX8" s="142">
        <f t="shared" si="46"/>
        <v>0</v>
      </c>
      <c r="CY8" s="142">
        <f t="shared" si="46"/>
        <v>0</v>
      </c>
      <c r="CZ8" s="142">
        <f t="shared" si="46"/>
        <v>0</v>
      </c>
      <c r="DA8" s="142">
        <f t="shared" si="46"/>
        <v>0</v>
      </c>
      <c r="DB8" s="142">
        <f t="shared" si="46"/>
        <v>0</v>
      </c>
      <c r="DC8" s="142">
        <f t="shared" si="46"/>
        <v>0</v>
      </c>
      <c r="DD8" s="142">
        <f t="shared" si="46"/>
        <v>0</v>
      </c>
      <c r="DE8" s="142">
        <f t="shared" si="46"/>
        <v>0</v>
      </c>
      <c r="DF8" s="142">
        <f t="shared" si="46"/>
        <v>0</v>
      </c>
      <c r="DG8" s="142">
        <f t="shared" si="46"/>
        <v>67335.919200000004</v>
      </c>
      <c r="DH8" s="142">
        <f t="shared" si="46"/>
        <v>0</v>
      </c>
      <c r="DI8" s="142">
        <f t="shared" si="46"/>
        <v>0</v>
      </c>
      <c r="DJ8" s="142">
        <f t="shared" si="46"/>
        <v>0</v>
      </c>
      <c r="DK8" s="142">
        <f t="shared" si="46"/>
        <v>0</v>
      </c>
      <c r="DL8" s="142">
        <f t="shared" si="46"/>
        <v>0</v>
      </c>
      <c r="DM8" s="142">
        <f t="shared" si="46"/>
        <v>0</v>
      </c>
      <c r="DN8" s="142">
        <f t="shared" si="46"/>
        <v>0</v>
      </c>
      <c r="DO8" s="142">
        <f t="shared" si="46"/>
        <v>0</v>
      </c>
      <c r="DP8" s="142">
        <f t="shared" si="46"/>
        <v>0</v>
      </c>
      <c r="DQ8" s="142">
        <f t="shared" si="46"/>
        <v>67335.919200000004</v>
      </c>
      <c r="DR8" s="142">
        <f t="shared" si="46"/>
        <v>0</v>
      </c>
      <c r="DS8" s="142">
        <f t="shared" si="46"/>
        <v>0</v>
      </c>
      <c r="DT8" s="142">
        <f t="shared" si="46"/>
        <v>0</v>
      </c>
      <c r="DU8" s="142">
        <f t="shared" si="46"/>
        <v>0</v>
      </c>
      <c r="DV8" s="142">
        <f t="shared" si="46"/>
        <v>0</v>
      </c>
      <c r="DW8" s="142">
        <f t="shared" si="46"/>
        <v>0</v>
      </c>
      <c r="DX8" s="142">
        <f t="shared" si="46"/>
        <v>0</v>
      </c>
      <c r="DY8" s="142">
        <f t="shared" si="46"/>
        <v>0</v>
      </c>
      <c r="DZ8" s="142">
        <f t="shared" si="46"/>
        <v>0</v>
      </c>
      <c r="EA8" s="143">
        <f t="shared" si="9"/>
        <v>0</v>
      </c>
      <c r="EB8" s="143">
        <f t="shared" si="10"/>
        <v>0</v>
      </c>
      <c r="EC8" s="143">
        <f t="shared" si="11"/>
        <v>0</v>
      </c>
      <c r="ED8" s="143">
        <f t="shared" si="12"/>
        <v>0</v>
      </c>
      <c r="EE8" s="143">
        <f t="shared" si="13"/>
        <v>0</v>
      </c>
      <c r="EF8" s="143">
        <f t="shared" si="14"/>
        <v>0</v>
      </c>
      <c r="EG8" s="143">
        <f t="shared" si="15"/>
        <v>0</v>
      </c>
      <c r="EH8" s="143">
        <f t="shared" si="16"/>
        <v>0</v>
      </c>
      <c r="EI8" s="143">
        <f t="shared" si="17"/>
        <v>0</v>
      </c>
      <c r="EJ8" s="143">
        <f t="shared" si="18"/>
        <v>0</v>
      </c>
      <c r="EK8" s="143">
        <f t="shared" si="19"/>
        <v>33</v>
      </c>
      <c r="EL8" s="143">
        <f t="shared" si="20"/>
        <v>0</v>
      </c>
      <c r="EM8" s="143">
        <f t="shared" si="21"/>
        <v>0</v>
      </c>
      <c r="EN8" s="143">
        <f t="shared" si="22"/>
        <v>0</v>
      </c>
      <c r="EO8" s="143">
        <f t="shared" si="23"/>
        <v>0</v>
      </c>
      <c r="EP8" s="143">
        <f t="shared" si="24"/>
        <v>0</v>
      </c>
      <c r="EQ8" s="143">
        <f t="shared" si="25"/>
        <v>0</v>
      </c>
      <c r="ER8" s="143">
        <f t="shared" si="26"/>
        <v>0</v>
      </c>
      <c r="ES8" s="143">
        <f t="shared" si="27"/>
        <v>0</v>
      </c>
      <c r="ET8" s="143">
        <f t="shared" si="28"/>
        <v>0</v>
      </c>
      <c r="EU8" s="143">
        <f t="shared" si="29"/>
        <v>33</v>
      </c>
      <c r="EV8" s="143">
        <f t="shared" si="30"/>
        <v>0</v>
      </c>
      <c r="EW8" s="143">
        <f t="shared" si="31"/>
        <v>0</v>
      </c>
      <c r="EX8" s="143">
        <f t="shared" si="32"/>
        <v>0</v>
      </c>
      <c r="EY8" s="143">
        <f t="shared" si="33"/>
        <v>0</v>
      </c>
      <c r="EZ8" s="143">
        <f t="shared" si="34"/>
        <v>0</v>
      </c>
      <c r="FA8" s="143">
        <f t="shared" si="35"/>
        <v>0</v>
      </c>
      <c r="FB8" s="143">
        <f t="shared" si="36"/>
        <v>0</v>
      </c>
      <c r="FC8" s="143">
        <f t="shared" si="37"/>
        <v>0</v>
      </c>
      <c r="FD8" s="143">
        <f t="shared" si="38"/>
        <v>0</v>
      </c>
      <c r="FE8" s="140">
        <f>SUM($D8:D8)*IF($B8="Operacional",IFERROR(VLOOKUP($C8,SN_UGC,28,0),0),1)</f>
        <v>33</v>
      </c>
      <c r="FF8" s="140">
        <f>SUM($D8:E8)*IF($B8="Operacional",IFERROR(VLOOKUP($C8,SN_UGC,28,0),0),1)</f>
        <v>33</v>
      </c>
      <c r="FG8" s="140">
        <f>SUM($D8:F8)*IF($B8="Operacional",IFERROR(VLOOKUP($C8,SN_UGC,28,0),0),1)</f>
        <v>33</v>
      </c>
      <c r="FH8" s="140">
        <f>SUM($D8:G8)*IF($B8="Operacional",IFERROR(VLOOKUP($C8,SN_UGC,28,0),0),1)</f>
        <v>33</v>
      </c>
      <c r="FI8" s="140">
        <f>SUM($D8:H8)*IF($B8="Operacional",IFERROR(VLOOKUP($C8,SN_UGC,28,0),0),1)</f>
        <v>33</v>
      </c>
      <c r="FJ8" s="140">
        <f>SUM($D8:I8)*IF($B8="Operacional",IFERROR(VLOOKUP($C8,SN_UGC,28,0),0),1)</f>
        <v>33</v>
      </c>
      <c r="FK8" s="140">
        <f>SUM($D8:J8)*IF($B8="Operacional",IFERROR(VLOOKUP($C8,SN_UGC,28,0),0),1)</f>
        <v>33</v>
      </c>
      <c r="FL8" s="140">
        <f>SUM($D8:K8)*IF($B8="Operacional",IFERROR(VLOOKUP($C8,SN_UGC,28,0),0),1)</f>
        <v>33</v>
      </c>
      <c r="FM8" s="140">
        <f>SUM($D8:L8)*IF($B8="Operacional",IFERROR(VLOOKUP($C8,SN_UGC,28,0),0),1)</f>
        <v>33</v>
      </c>
      <c r="FN8" s="140">
        <f>SUM($D8:M8)*IF($B8="Operacional",IFERROR(VLOOKUP($C8,SN_UGC,28,0),0),1)</f>
        <v>33</v>
      </c>
      <c r="FO8" s="140">
        <f>SUM($D8:N8)*IF($B8="Operacional",IFERROR(VLOOKUP($C8,SN_UGC,28,0),0),1)</f>
        <v>33</v>
      </c>
      <c r="FP8" s="140">
        <f>SUM($D8:O8)*IF($B8="Operacional",IFERROR(VLOOKUP($C8,SN_UGC,28,0),0),1)</f>
        <v>33</v>
      </c>
      <c r="FQ8" s="140">
        <f>SUM($D8:P8)*IF($B8="Operacional",IFERROR(VLOOKUP($C8,SN_UGC,28,0),0),1)</f>
        <v>33</v>
      </c>
      <c r="FR8" s="140">
        <f>SUM($D8:Q8)*IF($B8="Operacional",IFERROR(VLOOKUP($C8,SN_UGC,28,0),0),1)</f>
        <v>33</v>
      </c>
      <c r="FS8" s="140">
        <f>SUM($D8:R8)*IF($B8="Operacional",IFERROR(VLOOKUP($C8,SN_UGC,28,0),0),1)</f>
        <v>33</v>
      </c>
      <c r="FT8" s="140">
        <f>SUM($D8:S8)*IF($B8="Operacional",IFERROR(VLOOKUP($C8,SN_UGC,28,0),0),1)</f>
        <v>33</v>
      </c>
      <c r="FU8" s="140">
        <f>SUM($D8:T8)*IF($B8="Operacional",IFERROR(VLOOKUP($C8,SN_UGC,28,0),0),1)</f>
        <v>33</v>
      </c>
      <c r="FV8" s="140">
        <f>SUM($D8:U8)*IF($B8="Operacional",IFERROR(VLOOKUP($C8,SN_UGC,28,0),0),1)</f>
        <v>33</v>
      </c>
      <c r="FW8" s="140">
        <f>SUM($D8:V8)*IF($B8="Operacional",IFERROR(VLOOKUP($C8,SN_UGC,28,0),0),1)</f>
        <v>33</v>
      </c>
      <c r="FX8" s="140">
        <f>SUM($D8:W8)*IF($B8="Operacional",IFERROR(VLOOKUP($C8,SN_UGC,28,0),0),1)</f>
        <v>33</v>
      </c>
      <c r="FY8" s="140">
        <f>SUM($D8:X8)*IF($B8="Operacional",IFERROR(VLOOKUP($C8,SN_UGC,28,0),0),1)</f>
        <v>33</v>
      </c>
      <c r="FZ8" s="140">
        <f>SUM($D8:Y8)*IF($B8="Operacional",IFERROR(VLOOKUP($C8,SN_UGC,28,0),0),1)</f>
        <v>33</v>
      </c>
      <c r="GA8" s="140">
        <f>SUM($D8:Z8)*IF($B8="Operacional",IFERROR(VLOOKUP($C8,SN_UGC,28,0),0),1)</f>
        <v>33</v>
      </c>
      <c r="GB8" s="140">
        <f>SUM($D8:AA8)*IF($B8="Operacional",IFERROR(VLOOKUP($C8,SN_UGC,28,0),0),1)</f>
        <v>33</v>
      </c>
      <c r="GC8" s="140">
        <f>SUM($D8:AB8)*IF($B8="Operacional",IFERROR(VLOOKUP($C8,SN_UGC,28,0),0),1)</f>
        <v>33</v>
      </c>
      <c r="GD8" s="140">
        <f>SUM($D8:AC8)*IF($B8="Operacional",IFERROR(VLOOKUP($C8,SN_UGC,28,0),0),1)</f>
        <v>33</v>
      </c>
      <c r="GE8" s="140">
        <f>SUM($D8:AD8)*IF($B8="Operacional",IFERROR(VLOOKUP($C8,SN_UGC,28,0),0),1)</f>
        <v>33</v>
      </c>
      <c r="GF8" s="140">
        <f>SUM($D8:AE8)*IF($B8="Operacional",IFERROR(VLOOKUP($C8,SN_UGC,28,0),0),1)</f>
        <v>33</v>
      </c>
      <c r="GG8" s="140">
        <f>SUM($D8:AF8)*IF($B8="Operacional",IFERROR(VLOOKUP($C8,SN_UGC,28,0),0),1)</f>
        <v>33</v>
      </c>
      <c r="GH8" s="140">
        <f>SUM($D8:AG8)*IF($B8="Operacional",IFERROR(VLOOKUP($C8,SN_UGC,28,0),0),1)</f>
        <v>33</v>
      </c>
      <c r="GI8" s="141">
        <f t="shared" ref="GI8:HL8" si="47">FE8*$AH8*$AL8</f>
        <v>8416.9899000000005</v>
      </c>
      <c r="GJ8" s="141">
        <f t="shared" si="47"/>
        <v>8416.9899000000005</v>
      </c>
      <c r="GK8" s="141">
        <f t="shared" si="47"/>
        <v>8416.9899000000005</v>
      </c>
      <c r="GL8" s="141">
        <f t="shared" si="47"/>
        <v>8416.9899000000005</v>
      </c>
      <c r="GM8" s="141">
        <f t="shared" si="47"/>
        <v>8416.9899000000005</v>
      </c>
      <c r="GN8" s="141">
        <f t="shared" si="47"/>
        <v>8416.9899000000005</v>
      </c>
      <c r="GO8" s="141">
        <f t="shared" si="47"/>
        <v>8416.9899000000005</v>
      </c>
      <c r="GP8" s="141">
        <f t="shared" si="47"/>
        <v>8416.9899000000005</v>
      </c>
      <c r="GQ8" s="141">
        <f t="shared" si="47"/>
        <v>8416.9899000000005</v>
      </c>
      <c r="GR8" s="141">
        <f t="shared" si="47"/>
        <v>8416.9899000000005</v>
      </c>
      <c r="GS8" s="141">
        <f t="shared" si="47"/>
        <v>8416.9899000000005</v>
      </c>
      <c r="GT8" s="141">
        <f t="shared" si="47"/>
        <v>8416.9899000000005</v>
      </c>
      <c r="GU8" s="141">
        <f t="shared" si="47"/>
        <v>8416.9899000000005</v>
      </c>
      <c r="GV8" s="141">
        <f t="shared" si="47"/>
        <v>8416.9899000000005</v>
      </c>
      <c r="GW8" s="141">
        <f t="shared" si="47"/>
        <v>8416.9899000000005</v>
      </c>
      <c r="GX8" s="141">
        <f t="shared" si="47"/>
        <v>8416.9899000000005</v>
      </c>
      <c r="GY8" s="141">
        <f t="shared" si="47"/>
        <v>8416.9899000000005</v>
      </c>
      <c r="GZ8" s="141">
        <f t="shared" si="47"/>
        <v>8416.9899000000005</v>
      </c>
      <c r="HA8" s="141">
        <f t="shared" si="47"/>
        <v>8416.9899000000005</v>
      </c>
      <c r="HB8" s="141">
        <f t="shared" si="47"/>
        <v>8416.9899000000005</v>
      </c>
      <c r="HC8" s="141">
        <f t="shared" si="47"/>
        <v>8416.9899000000005</v>
      </c>
      <c r="HD8" s="141">
        <f t="shared" si="47"/>
        <v>8416.9899000000005</v>
      </c>
      <c r="HE8" s="141">
        <f t="shared" si="47"/>
        <v>8416.9899000000005</v>
      </c>
      <c r="HF8" s="141">
        <f t="shared" si="47"/>
        <v>8416.9899000000005</v>
      </c>
      <c r="HG8" s="141">
        <f t="shared" si="47"/>
        <v>8416.9899000000005</v>
      </c>
      <c r="HH8" s="141">
        <f t="shared" si="47"/>
        <v>8416.9899000000005</v>
      </c>
      <c r="HI8" s="141">
        <f t="shared" si="47"/>
        <v>8416.9899000000005</v>
      </c>
      <c r="HJ8" s="141">
        <f t="shared" si="47"/>
        <v>8416.9899000000005</v>
      </c>
      <c r="HK8" s="141">
        <f t="shared" si="47"/>
        <v>8416.9899000000005</v>
      </c>
      <c r="HL8" s="141">
        <f t="shared" si="47"/>
        <v>8416.9899000000005</v>
      </c>
      <c r="HM8" s="142">
        <f t="shared" ref="HM8:IP8" si="48">IF(ISBLANK($A8),,FE8*($AH8-($AH8*$AJ8))/$AI8)</f>
        <v>10100.38788</v>
      </c>
      <c r="HN8" s="142">
        <f t="shared" si="48"/>
        <v>10100.38788</v>
      </c>
      <c r="HO8" s="142">
        <f t="shared" si="48"/>
        <v>10100.38788</v>
      </c>
      <c r="HP8" s="142">
        <f t="shared" si="48"/>
        <v>10100.38788</v>
      </c>
      <c r="HQ8" s="142">
        <f t="shared" si="48"/>
        <v>10100.38788</v>
      </c>
      <c r="HR8" s="142">
        <f t="shared" si="48"/>
        <v>10100.38788</v>
      </c>
      <c r="HS8" s="142">
        <f t="shared" si="48"/>
        <v>10100.38788</v>
      </c>
      <c r="HT8" s="142">
        <f t="shared" si="48"/>
        <v>10100.38788</v>
      </c>
      <c r="HU8" s="142">
        <f t="shared" si="48"/>
        <v>10100.38788</v>
      </c>
      <c r="HV8" s="142">
        <f t="shared" si="48"/>
        <v>10100.38788</v>
      </c>
      <c r="HW8" s="142">
        <f t="shared" si="48"/>
        <v>10100.38788</v>
      </c>
      <c r="HX8" s="142">
        <f t="shared" si="48"/>
        <v>10100.38788</v>
      </c>
      <c r="HY8" s="142">
        <f t="shared" si="48"/>
        <v>10100.38788</v>
      </c>
      <c r="HZ8" s="142">
        <f t="shared" si="48"/>
        <v>10100.38788</v>
      </c>
      <c r="IA8" s="142">
        <f t="shared" si="48"/>
        <v>10100.38788</v>
      </c>
      <c r="IB8" s="142">
        <f t="shared" si="48"/>
        <v>10100.38788</v>
      </c>
      <c r="IC8" s="142">
        <f t="shared" si="48"/>
        <v>10100.38788</v>
      </c>
      <c r="ID8" s="142">
        <f t="shared" si="48"/>
        <v>10100.38788</v>
      </c>
      <c r="IE8" s="142">
        <f t="shared" si="48"/>
        <v>10100.38788</v>
      </c>
      <c r="IF8" s="142">
        <f t="shared" si="48"/>
        <v>10100.38788</v>
      </c>
      <c r="IG8" s="142">
        <f t="shared" si="48"/>
        <v>10100.38788</v>
      </c>
      <c r="IH8" s="142">
        <f t="shared" si="48"/>
        <v>10100.38788</v>
      </c>
      <c r="II8" s="142">
        <f t="shared" si="48"/>
        <v>10100.38788</v>
      </c>
      <c r="IJ8" s="142">
        <f t="shared" si="48"/>
        <v>10100.38788</v>
      </c>
      <c r="IK8" s="142">
        <f t="shared" si="48"/>
        <v>10100.38788</v>
      </c>
      <c r="IL8" s="142">
        <f t="shared" si="48"/>
        <v>10100.38788</v>
      </c>
      <c r="IM8" s="142">
        <f t="shared" si="48"/>
        <v>10100.38788</v>
      </c>
      <c r="IN8" s="142">
        <f t="shared" si="48"/>
        <v>10100.38788</v>
      </c>
      <c r="IO8" s="142">
        <f t="shared" si="48"/>
        <v>10100.38788</v>
      </c>
      <c r="IP8" s="142">
        <f t="shared" si="48"/>
        <v>10100.38788</v>
      </c>
      <c r="IQ8" s="141">
        <f>IF(ISBLANK($A8),,IF($AN8="Não",0,(SUM($AO8:AO8)*$AH8)-SUM($HM8:HM8)-SUM($CW8:CW8)))</f>
        <v>158239.41012000002</v>
      </c>
      <c r="IR8" s="141">
        <f>IF(ISBLANK($A8),,IF($AN8="Não",0,(SUM($AO8:AP8)*$AH8)-SUM($HM8:HN8)-SUM($CW8:CX8)))</f>
        <v>148139.02224000002</v>
      </c>
      <c r="IS8" s="141">
        <f>IF(ISBLANK($A8),,IF($AN8="Não",0,(SUM($AO8:AQ8)*$AH8)-SUM($HM8:HO8)-SUM($CW8:CY8)))</f>
        <v>138038.63436000003</v>
      </c>
      <c r="IT8" s="141">
        <f>IF(ISBLANK($A8),,IF($AN8="Não",0,(SUM($AO8:AR8)*$AH8)-SUM($HM8:HP8)-SUM($CW8:CZ8)))</f>
        <v>127938.24648</v>
      </c>
      <c r="IU8" s="141">
        <f>IF(ISBLANK($A8),,IF($AN8="Não",0,(SUM($AO8:AS8)*$AH8)-SUM($HM8:HQ8)-SUM($CW8:DA8)))</f>
        <v>117837.85860000001</v>
      </c>
      <c r="IV8" s="141">
        <f>IF(ISBLANK($A8),,IF($AN8="Não",0,(SUM($AO8:AT8)*$AH8)-SUM($HM8:HR8)-SUM($CW8:DB8)))</f>
        <v>107737.47072000001</v>
      </c>
      <c r="IW8" s="141">
        <f>IF(ISBLANK($A8),,IF($AN8="Não",0,(SUM($AO8:AU8)*$AH8)-SUM($HM8:HS8)-SUM($CW8:DC8)))</f>
        <v>97637.082840000003</v>
      </c>
      <c r="IX8" s="141">
        <f>IF(ISBLANK($A8),,IF($AN8="Não",0,(SUM($AO8:AV8)*$AH8)-SUM($HM8:HT8)-SUM($CW8:DD8)))</f>
        <v>87536.694960000008</v>
      </c>
      <c r="IY8" s="141">
        <f>IF(ISBLANK($A8),,IF($AN8="Não",0,(SUM($AO8:AW8)*$AH8)-SUM($HM8:HU8)-SUM($CW8:DE8)))</f>
        <v>77436.307080000013</v>
      </c>
      <c r="IZ8" s="141">
        <f>IF(ISBLANK($A8),,IF($AN8="Não",0,(SUM($AO8:AX8)*$AH8)-SUM($HM8:HV8)-SUM($CW8:DF8)))</f>
        <v>67335.919200000018</v>
      </c>
      <c r="JA8" s="141">
        <f>IF(ISBLANK($A8),,IF($AN8="Não",0,(SUM($AO8:AY8)*$AH8)-SUM($HM8:HW8)-SUM($CW8:DG8)))</f>
        <v>158239.41012000002</v>
      </c>
      <c r="JB8" s="141">
        <f>IF(ISBLANK($A8),,IF($AN8="Não",0,(SUM($AO8:AZ8)*$AH8)-SUM($HM8:HX8)-SUM($CW8:DH8)))</f>
        <v>148139.02224000002</v>
      </c>
      <c r="JC8" s="141">
        <f>IF(ISBLANK($A8),,IF($AN8="Não",0,(SUM($AO8:BA8)*$AH8)-SUM($HM8:HY8)-SUM($CW8:DI8)))</f>
        <v>138038.63436000003</v>
      </c>
      <c r="JD8" s="141">
        <f>IF(ISBLANK($A8),,IF($AN8="Não",0,(SUM($AO8:BB8)*$AH8)-SUM($HM8:HZ8)-SUM($CW8:DJ8)))</f>
        <v>127938.24648000003</v>
      </c>
      <c r="JE8" s="141">
        <f>IF(ISBLANK($A8),,IF($AN8="Não",0,(SUM($AO8:BC8)*$AH8)-SUM($HM8:IA8)-SUM($CW8:DK8)))</f>
        <v>117837.85860000004</v>
      </c>
      <c r="JF8" s="141">
        <f>IF(ISBLANK($A8),,IF($AN8="Não",0,(SUM($AO8:BD8)*$AH8)-SUM($HM8:IB8)-SUM($CW8:DL8)))</f>
        <v>107737.47072000004</v>
      </c>
      <c r="JG8" s="141">
        <f>IF(ISBLANK($A8),,IF($AN8="Não",0,(SUM($AO8:BE8)*$AH8)-SUM($HM8:IC8)-SUM($CW8:DM8)))</f>
        <v>97637.082840000046</v>
      </c>
      <c r="JH8" s="141">
        <f>IF(ISBLANK($A8),,IF($AN8="Não",0,(SUM($AO8:BF8)*$AH8)-SUM($HM8:ID8)-SUM($CW8:DN8)))</f>
        <v>87536.694960000052</v>
      </c>
      <c r="JI8" s="141">
        <f>IF(ISBLANK($A8),,IF($AN8="Não",0,(SUM($AO8:BG8)*$AH8)-SUM($HM8:IE8)-SUM($CW8:DO8)))</f>
        <v>77436.307080000057</v>
      </c>
      <c r="JJ8" s="141">
        <f>IF(ISBLANK($A8),,IF($AN8="Não",0,(SUM($AO8:BH8)*$AH8)-SUM($HM8:IF8)-SUM($CW8:DP8)))</f>
        <v>67335.919200000062</v>
      </c>
      <c r="JK8" s="141">
        <f>IF(ISBLANK($A8),,IF($AN8="Não",0,(SUM($AO8:BI8)*$AH8)-SUM($HM8:IG8)-SUM($CW8:DQ8)))</f>
        <v>158239.41012000007</v>
      </c>
      <c r="JL8" s="141">
        <f>IF(ISBLANK($A8),,IF($AN8="Não",0,(SUM($AO8:BJ8)*$AH8)-SUM($HM8:IH8)-SUM($CW8:DR8)))</f>
        <v>148139.02224000008</v>
      </c>
      <c r="JM8" s="141">
        <f>IF(ISBLANK($A8),,IF($AN8="Não",0,(SUM($AO8:BK8)*$AH8)-SUM($HM8:II8)-SUM($CW8:DS8)))</f>
        <v>138038.63436000008</v>
      </c>
      <c r="JN8" s="141">
        <f>IF(ISBLANK($A8),,IF($AN8="Não",0,(SUM($AO8:BL8)*$AH8)-SUM($HM8:IJ8)-SUM($CW8:DT8)))</f>
        <v>127938.24648000009</v>
      </c>
      <c r="JO8" s="141">
        <f>IF(ISBLANK($A8),,IF($AN8="Não",0,(SUM($AO8:BM8)*$AH8)-SUM($HM8:IK8)-SUM($CW8:DU8)))</f>
        <v>117837.85860000009</v>
      </c>
      <c r="JP8" s="141">
        <f>IF(ISBLANK($A8),,IF($AN8="Não",0,(SUM($AO8:BN8)*$AH8)-SUM($HM8:IL8)-SUM($CW8:DV8)))</f>
        <v>107737.4707200001</v>
      </c>
      <c r="JQ8" s="141">
        <f>IF(ISBLANK($A8),,IF($AN8="Não",0,(SUM($AO8:BO8)*$AH8)-SUM($HM8:IM8)-SUM($CW8:DW8)))</f>
        <v>97637.082840000105</v>
      </c>
      <c r="JR8" s="141">
        <f>IF(ISBLANK($A8),,IF($AN8="Não",0,(SUM($AO8:BP8)*$AH8)-SUM($HM8:IN8)-SUM($CW8:DX8)))</f>
        <v>87536.69496000011</v>
      </c>
      <c r="JS8" s="141">
        <f>IF(ISBLANK($A8),,IF($AN8="Não",0,(SUM($AO8:BQ8)*$AH8)-SUM($HM8:IO8)-SUM($CW8:DY8)))</f>
        <v>77436.307080000115</v>
      </c>
      <c r="JT8" s="141">
        <f>IF(ISBLANK($A8),,IF($AN8="Não",0,(SUM($AO8:BR8)*$AH8)-SUM($HM8:IP8)-SUM($CW8:DZ8)))</f>
        <v>67335.91920000012</v>
      </c>
    </row>
    <row r="9" spans="1:280" ht="15.75" customHeight="1">
      <c r="A9" s="129" t="s">
        <v>385</v>
      </c>
      <c r="B9" s="129" t="s">
        <v>209</v>
      </c>
      <c r="C9" s="138" t="s">
        <v>88</v>
      </c>
      <c r="D9" s="139">
        <v>2</v>
      </c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  <c r="AA9" s="139"/>
      <c r="AB9" s="139"/>
      <c r="AC9" s="139"/>
      <c r="AD9" s="139"/>
      <c r="AE9" s="139"/>
      <c r="AF9" s="139"/>
      <c r="AG9" s="139"/>
      <c r="AH9" s="607">
        <f t="shared" si="0"/>
        <v>5101.2060000000001</v>
      </c>
      <c r="AI9" s="608">
        <f t="shared" si="1"/>
        <v>10</v>
      </c>
      <c r="AJ9" s="609">
        <f t="shared" si="2"/>
        <v>0.4</v>
      </c>
      <c r="AK9" s="610" t="str">
        <f t="shared" si="3"/>
        <v>Equipamentos e instalações</v>
      </c>
      <c r="AL9" s="609">
        <f t="shared" si="4"/>
        <v>0.05</v>
      </c>
      <c r="AM9" s="611" t="str">
        <f t="shared" si="5"/>
        <v>Sim</v>
      </c>
      <c r="AN9" s="611" t="str">
        <f t="shared" si="6"/>
        <v>Sim</v>
      </c>
      <c r="AO9" s="140">
        <f t="array" ref="AO9">IF(ISBLANK($A9),0,IF(OR(AO$5-$AI9&lt;=0,$AM9="Não"),D9,D9+INDEX($AO$6:$BR$176,ROW()-5,COLUMN()-40-$AI9)))*IF($B9="Operacional",IFERROR(VLOOKUP($C9,SN_UGC,28,0),0),1)</f>
        <v>2</v>
      </c>
      <c r="AP9" s="140">
        <f t="array" ref="AP9">IF(ISBLANK($A9),0,IF(OR(AP$5-$AI9&lt;=0,$AM9="Não"),E9,E9+INDEX($AO$6:$BR$176,ROW()-5,COLUMN()-40-$AI9)))*IF($B9="Operacional",IFERROR(VLOOKUP($C9,SN_UGC,28,0),0),1)</f>
        <v>0</v>
      </c>
      <c r="AQ9" s="140">
        <f t="array" ref="AQ9">IF(ISBLANK($A9),0,IF(OR(AQ$5-$AI9&lt;=0,$AM9="Não"),F9,F9+INDEX($AO$6:$BR$176,ROW()-5,COLUMN()-40-$AI9)))*IF($B9="Operacional",IFERROR(VLOOKUP($C9,SN_UGC,28,0),0),1)</f>
        <v>0</v>
      </c>
      <c r="AR9" s="140">
        <f t="array" ref="AR9">IF(ISBLANK($A9),0,IF(OR(AR$5-$AI9&lt;=0,$AM9="Não"),G9,G9+INDEX($AO$6:$BR$176,ROW()-5,COLUMN()-40-$AI9)))*IF($B9="Operacional",IFERROR(VLOOKUP($C9,SN_UGC,28,0),0),1)</f>
        <v>0</v>
      </c>
      <c r="AS9" s="140">
        <f t="array" ref="AS9">IF(ISBLANK($A9),0,IF(OR(AS$5-$AI9&lt;=0,$AM9="Não"),H9,H9+INDEX($AO$6:$BR$176,ROW()-5,COLUMN()-40-$AI9)))*IF($B9="Operacional",IFERROR(VLOOKUP($C9,SN_UGC,28,0),0),1)</f>
        <v>0</v>
      </c>
      <c r="AT9" s="140">
        <f t="array" ref="AT9">IF(ISBLANK($A9),0,IF(OR(AT$5-$AI9&lt;=0,$AM9="Não"),I9,I9+INDEX($AO$6:$BR$176,ROW()-5,COLUMN()-40-$AI9)))*IF($B9="Operacional",IFERROR(VLOOKUP($C9,SN_UGC,28,0),0),1)</f>
        <v>0</v>
      </c>
      <c r="AU9" s="140">
        <f t="array" ref="AU9">IF(ISBLANK($A9),0,IF(OR(AU$5-$AI9&lt;=0,$AM9="Não"),J9,J9+INDEX($AO$6:$BR$176,ROW()-5,COLUMN()-40-$AI9)))*IF($B9="Operacional",IFERROR(VLOOKUP($C9,SN_UGC,28,0),0),1)</f>
        <v>0</v>
      </c>
      <c r="AV9" s="140">
        <f t="array" ref="AV9">IF(ISBLANK($A9),0,IF(OR(AV$5-$AI9&lt;=0,$AM9="Não"),K9,K9+INDEX($AO$6:$BR$176,ROW()-5,COLUMN()-40-$AI9)))*IF($B9="Operacional",IFERROR(VLOOKUP($C9,SN_UGC,28,0),0),1)</f>
        <v>0</v>
      </c>
      <c r="AW9" s="140">
        <f t="array" ref="AW9">IF(ISBLANK($A9),0,IF(OR(AW$5-$AI9&lt;=0,$AM9="Não"),L9,L9+INDEX($AO$6:$BR$176,ROW()-5,COLUMN()-40-$AI9)))*IF($B9="Operacional",IFERROR(VLOOKUP($C9,SN_UGC,28,0),0),1)</f>
        <v>0</v>
      </c>
      <c r="AX9" s="140">
        <f t="array" ref="AX9">IF(ISBLANK($A9),0,IF(OR(AX$5-$AI9&lt;=0,$AM9="Não"),M9,M9+INDEX($AO$6:$BR$176,ROW()-5,COLUMN()-40-$AI9)))*IF($B9="Operacional",IFERROR(VLOOKUP($C9,SN_UGC,28,0),0),1)</f>
        <v>0</v>
      </c>
      <c r="AY9" s="140">
        <f t="array" ref="AY9">IF(ISBLANK($A9),0,IF(OR(AY$5-$AI9&lt;=0,$AM9="Não"),N9,N9+INDEX($AO$6:$BR$176,ROW()-5,COLUMN()-40-$AI9)))*IF($B9="Operacional",IFERROR(VLOOKUP($C9,SN_UGC,28,0),0),1)</f>
        <v>2</v>
      </c>
      <c r="AZ9" s="140">
        <f t="array" ref="AZ9">IF(ISBLANK($A9),0,IF(OR(AZ$5-$AI9&lt;=0,$AM9="Não"),O9,O9+INDEX($AO$6:$BR$176,ROW()-5,COLUMN()-40-$AI9)))*IF($B9="Operacional",IFERROR(VLOOKUP($C9,SN_UGC,28,0),0),1)</f>
        <v>0</v>
      </c>
      <c r="BA9" s="140">
        <f t="array" ref="BA9">IF(ISBLANK($A9),0,IF(OR(BA$5-$AI9&lt;=0,$AM9="Não"),P9,P9+INDEX($AO$6:$BR$176,ROW()-5,COLUMN()-40-$AI9)))*IF($B9="Operacional",IFERROR(VLOOKUP($C9,SN_UGC,28,0),0),1)</f>
        <v>0</v>
      </c>
      <c r="BB9" s="140">
        <f t="array" ref="BB9">IF(ISBLANK($A9),0,IF(OR(BB$5-$AI9&lt;=0,$AM9="Não"),Q9,Q9+INDEX($AO$6:$BR$176,ROW()-5,COLUMN()-40-$AI9)))*IF($B9="Operacional",IFERROR(VLOOKUP($C9,SN_UGC,28,0),0),1)</f>
        <v>0</v>
      </c>
      <c r="BC9" s="140">
        <f t="array" ref="BC9">IF(ISBLANK($A9),0,IF(OR(BC$5-$AI9&lt;=0,$AM9="Não"),R9,R9+INDEX($AO$6:$BR$176,ROW()-5,COLUMN()-40-$AI9)))*IF($B9="Operacional",IFERROR(VLOOKUP($C9,SN_UGC,28,0),0),1)</f>
        <v>0</v>
      </c>
      <c r="BD9" s="140">
        <f t="array" ref="BD9">IF(ISBLANK($A9),0,IF(OR(BD$5-$AI9&lt;=0,$AM9="Não"),S9,S9+INDEX($AO$6:$BR$176,ROW()-5,COLUMN()-40-$AI9)))*IF($B9="Operacional",IFERROR(VLOOKUP($C9,SN_UGC,28,0),0),1)</f>
        <v>0</v>
      </c>
      <c r="BE9" s="140">
        <f t="array" ref="BE9">IF(ISBLANK($A9),0,IF(OR(BE$5-$AI9&lt;=0,$AM9="Não"),T9,T9+INDEX($AO$6:$BR$176,ROW()-5,COLUMN()-40-$AI9)))*IF($B9="Operacional",IFERROR(VLOOKUP($C9,SN_UGC,28,0),0),1)</f>
        <v>0</v>
      </c>
      <c r="BF9" s="140">
        <f t="array" ref="BF9">IF(ISBLANK($A9),0,IF(OR(BF$5-$AI9&lt;=0,$AM9="Não"),U9,U9+INDEX($AO$6:$BR$176,ROW()-5,COLUMN()-40-$AI9)))*IF($B9="Operacional",IFERROR(VLOOKUP($C9,SN_UGC,28,0),0),1)</f>
        <v>0</v>
      </c>
      <c r="BG9" s="140">
        <f t="array" ref="BG9">IF(ISBLANK($A9),0,IF(OR(BG$5-$AI9&lt;=0,$AM9="Não"),V9,V9+INDEX($AO$6:$BR$176,ROW()-5,COLUMN()-40-$AI9)))*IF($B9="Operacional",IFERROR(VLOOKUP($C9,SN_UGC,28,0),0),1)</f>
        <v>0</v>
      </c>
      <c r="BH9" s="140">
        <f t="array" ref="BH9">IF(ISBLANK($A9),0,IF(OR(BH$5-$AI9&lt;=0,$AM9="Não"),W9,W9+INDEX($AO$6:$BR$176,ROW()-5,COLUMN()-40-$AI9)))*IF($B9="Operacional",IFERROR(VLOOKUP($C9,SN_UGC,28,0),0),1)</f>
        <v>0</v>
      </c>
      <c r="BI9" s="140">
        <f t="array" ref="BI9">IF(ISBLANK($A9),0,IF(OR(BI$5-$AI9&lt;=0,$AM9="Não"),X9,X9+INDEX($AO$6:$BR$176,ROW()-5,COLUMN()-40-$AI9)))*IF($B9="Operacional",IFERROR(VLOOKUP($C9,SN_UGC,28,0),0),1)</f>
        <v>2</v>
      </c>
      <c r="BJ9" s="140">
        <f t="array" ref="BJ9">IF(ISBLANK($A9),0,IF(OR(BJ$5-$AI9&lt;=0,$AM9="Não"),Y9,Y9+INDEX($AO$6:$BR$176,ROW()-5,COLUMN()-40-$AI9)))*IF($B9="Operacional",IFERROR(VLOOKUP($C9,SN_UGC,28,0),0),1)</f>
        <v>0</v>
      </c>
      <c r="BK9" s="140">
        <f t="array" ref="BK9">IF(ISBLANK($A9),0,IF(OR(BK$5-$AI9&lt;=0,$AM9="Não"),Z9,Z9+INDEX($AO$6:$BR$176,ROW()-5,COLUMN()-40-$AI9)))*IF($B9="Operacional",IFERROR(VLOOKUP($C9,SN_UGC,28,0),0),1)</f>
        <v>0</v>
      </c>
      <c r="BL9" s="140">
        <f t="array" ref="BL9">IF(ISBLANK($A9),0,IF(OR(BL$5-$AI9&lt;=0,$AM9="Não"),AA9,AA9+INDEX($AO$6:$BR$176,ROW()-5,COLUMN()-40-$AI9)))*IF($B9="Operacional",IFERROR(VLOOKUP($C9,SN_UGC,28,0),0),1)</f>
        <v>0</v>
      </c>
      <c r="BM9" s="140">
        <f t="array" ref="BM9">IF(ISBLANK($A9),0,IF(OR(BM$5-$AI9&lt;=0,$AM9="Não"),AB9,AB9+INDEX($AO$6:$BR$176,ROW()-5,COLUMN()-40-$AI9)))*IF($B9="Operacional",IFERROR(VLOOKUP($C9,SN_UGC,28,0),0),1)</f>
        <v>0</v>
      </c>
      <c r="BN9" s="140">
        <f t="array" ref="BN9">IF(ISBLANK($A9),0,IF(OR(BN$5-$AI9&lt;=0,$AM9="Não"),AC9,AC9+INDEX($AO$6:$BR$176,ROW()-5,COLUMN()-40-$AI9)))*IF($B9="Operacional",IFERROR(VLOOKUP($C9,SN_UGC,28,0),0),1)</f>
        <v>0</v>
      </c>
      <c r="BO9" s="140">
        <f t="array" ref="BO9">IF(ISBLANK($A9),0,IF(OR(BO$5-$AI9&lt;=0,$AM9="Não"),AD9,AD9+INDEX($AO$6:$BR$176,ROW()-5,COLUMN()-40-$AI9)))*IF($B9="Operacional",IFERROR(VLOOKUP($C9,SN_UGC,28,0),0),1)</f>
        <v>0</v>
      </c>
      <c r="BP9" s="140">
        <f t="array" ref="BP9">IF(ISBLANK($A9),0,IF(OR(BP$5-$AI9&lt;=0,$AM9="Não"),AE9,AE9+INDEX($AO$6:$BR$176,ROW()-5,COLUMN()-40-$AI9)))*IF($B9="Operacional",IFERROR(VLOOKUP($C9,SN_UGC,28,0),0),1)</f>
        <v>0</v>
      </c>
      <c r="BQ9" s="140">
        <f t="array" ref="BQ9">IF(ISBLANK($A9),0,IF(OR(BQ$5-$AI9&lt;=0,$AM9="Não"),AF9,AF9+INDEX($AO$6:$BR$176,ROW()-5,COLUMN()-40-$AI9)))*IF($B9="Operacional",IFERROR(VLOOKUP($C9,SN_UGC,28,0),0),1)</f>
        <v>0</v>
      </c>
      <c r="BR9" s="140">
        <f t="array" ref="BR9">IF(ISBLANK($A9),0,IF(OR(BR$5-$AI9&lt;=0,$AM9="Não"),AG9,AG9+INDEX($AO$6:$BR$176,ROW()-5,COLUMN()-40-$AI9)))*IF($B9="Operacional",IFERROR(VLOOKUP($C9,SN_UGC,28,0),0),1)</f>
        <v>0</v>
      </c>
      <c r="BS9" s="141">
        <f t="shared" ref="BS9:CV9" si="49">IF(ISBLANK($A9),0,$AH9*AO9)</f>
        <v>10202.412</v>
      </c>
      <c r="BT9" s="141">
        <f t="shared" si="49"/>
        <v>0</v>
      </c>
      <c r="BU9" s="141">
        <f t="shared" si="49"/>
        <v>0</v>
      </c>
      <c r="BV9" s="141">
        <f t="shared" si="49"/>
        <v>0</v>
      </c>
      <c r="BW9" s="141">
        <f t="shared" si="49"/>
        <v>0</v>
      </c>
      <c r="BX9" s="141">
        <f t="shared" si="49"/>
        <v>0</v>
      </c>
      <c r="BY9" s="141">
        <f t="shared" si="49"/>
        <v>0</v>
      </c>
      <c r="BZ9" s="141">
        <f t="shared" si="49"/>
        <v>0</v>
      </c>
      <c r="CA9" s="141">
        <f t="shared" si="49"/>
        <v>0</v>
      </c>
      <c r="CB9" s="141">
        <f t="shared" si="49"/>
        <v>0</v>
      </c>
      <c r="CC9" s="141">
        <f t="shared" si="49"/>
        <v>10202.412</v>
      </c>
      <c r="CD9" s="141">
        <f t="shared" si="49"/>
        <v>0</v>
      </c>
      <c r="CE9" s="141">
        <f t="shared" si="49"/>
        <v>0</v>
      </c>
      <c r="CF9" s="141">
        <f t="shared" si="49"/>
        <v>0</v>
      </c>
      <c r="CG9" s="141">
        <f t="shared" si="49"/>
        <v>0</v>
      </c>
      <c r="CH9" s="141">
        <f t="shared" si="49"/>
        <v>0</v>
      </c>
      <c r="CI9" s="141">
        <f t="shared" si="49"/>
        <v>0</v>
      </c>
      <c r="CJ9" s="141">
        <f t="shared" si="49"/>
        <v>0</v>
      </c>
      <c r="CK9" s="141">
        <f t="shared" si="49"/>
        <v>0</v>
      </c>
      <c r="CL9" s="141">
        <f t="shared" si="49"/>
        <v>0</v>
      </c>
      <c r="CM9" s="141">
        <f t="shared" si="49"/>
        <v>10202.412</v>
      </c>
      <c r="CN9" s="141">
        <f t="shared" si="49"/>
        <v>0</v>
      </c>
      <c r="CO9" s="141">
        <f t="shared" si="49"/>
        <v>0</v>
      </c>
      <c r="CP9" s="141">
        <f t="shared" si="49"/>
        <v>0</v>
      </c>
      <c r="CQ9" s="141">
        <f t="shared" si="49"/>
        <v>0</v>
      </c>
      <c r="CR9" s="141">
        <f t="shared" si="49"/>
        <v>0</v>
      </c>
      <c r="CS9" s="141">
        <f t="shared" si="49"/>
        <v>0</v>
      </c>
      <c r="CT9" s="141">
        <f t="shared" si="49"/>
        <v>0</v>
      </c>
      <c r="CU9" s="141">
        <f t="shared" si="49"/>
        <v>0</v>
      </c>
      <c r="CV9" s="141">
        <f t="shared" si="49"/>
        <v>0</v>
      </c>
      <c r="CW9" s="142">
        <f t="shared" ref="CW9:DZ9" si="50">EA9*$AH9*$AJ9</f>
        <v>0</v>
      </c>
      <c r="CX9" s="142">
        <f t="shared" si="50"/>
        <v>0</v>
      </c>
      <c r="CY9" s="142">
        <f t="shared" si="50"/>
        <v>0</v>
      </c>
      <c r="CZ9" s="142">
        <f t="shared" si="50"/>
        <v>0</v>
      </c>
      <c r="DA9" s="142">
        <f t="shared" si="50"/>
        <v>0</v>
      </c>
      <c r="DB9" s="142">
        <f t="shared" si="50"/>
        <v>0</v>
      </c>
      <c r="DC9" s="142">
        <f t="shared" si="50"/>
        <v>0</v>
      </c>
      <c r="DD9" s="142">
        <f t="shared" si="50"/>
        <v>0</v>
      </c>
      <c r="DE9" s="142">
        <f t="shared" si="50"/>
        <v>0</v>
      </c>
      <c r="DF9" s="142">
        <f t="shared" si="50"/>
        <v>0</v>
      </c>
      <c r="DG9" s="142">
        <f t="shared" si="50"/>
        <v>4080.9648000000002</v>
      </c>
      <c r="DH9" s="142">
        <f t="shared" si="50"/>
        <v>0</v>
      </c>
      <c r="DI9" s="142">
        <f t="shared" si="50"/>
        <v>0</v>
      </c>
      <c r="DJ9" s="142">
        <f t="shared" si="50"/>
        <v>0</v>
      </c>
      <c r="DK9" s="142">
        <f t="shared" si="50"/>
        <v>0</v>
      </c>
      <c r="DL9" s="142">
        <f t="shared" si="50"/>
        <v>0</v>
      </c>
      <c r="DM9" s="142">
        <f t="shared" si="50"/>
        <v>0</v>
      </c>
      <c r="DN9" s="142">
        <f t="shared" si="50"/>
        <v>0</v>
      </c>
      <c r="DO9" s="142">
        <f t="shared" si="50"/>
        <v>0</v>
      </c>
      <c r="DP9" s="142">
        <f t="shared" si="50"/>
        <v>0</v>
      </c>
      <c r="DQ9" s="142">
        <f t="shared" si="50"/>
        <v>4080.9648000000002</v>
      </c>
      <c r="DR9" s="142">
        <f t="shared" si="50"/>
        <v>0</v>
      </c>
      <c r="DS9" s="142">
        <f t="shared" si="50"/>
        <v>0</v>
      </c>
      <c r="DT9" s="142">
        <f t="shared" si="50"/>
        <v>0</v>
      </c>
      <c r="DU9" s="142">
        <f t="shared" si="50"/>
        <v>0</v>
      </c>
      <c r="DV9" s="142">
        <f t="shared" si="50"/>
        <v>0</v>
      </c>
      <c r="DW9" s="142">
        <f t="shared" si="50"/>
        <v>0</v>
      </c>
      <c r="DX9" s="142">
        <f t="shared" si="50"/>
        <v>0</v>
      </c>
      <c r="DY9" s="142">
        <f t="shared" si="50"/>
        <v>0</v>
      </c>
      <c r="DZ9" s="142">
        <f t="shared" si="50"/>
        <v>0</v>
      </c>
      <c r="EA9" s="143">
        <f t="shared" si="9"/>
        <v>0</v>
      </c>
      <c r="EB9" s="143">
        <f t="shared" si="10"/>
        <v>0</v>
      </c>
      <c r="EC9" s="143">
        <f t="shared" si="11"/>
        <v>0</v>
      </c>
      <c r="ED9" s="143">
        <f t="shared" si="12"/>
        <v>0</v>
      </c>
      <c r="EE9" s="143">
        <f t="shared" si="13"/>
        <v>0</v>
      </c>
      <c r="EF9" s="143">
        <f t="shared" si="14"/>
        <v>0</v>
      </c>
      <c r="EG9" s="143">
        <f t="shared" si="15"/>
        <v>0</v>
      </c>
      <c r="EH9" s="143">
        <f t="shared" si="16"/>
        <v>0</v>
      </c>
      <c r="EI9" s="143">
        <f t="shared" si="17"/>
        <v>0</v>
      </c>
      <c r="EJ9" s="143">
        <f t="shared" si="18"/>
        <v>0</v>
      </c>
      <c r="EK9" s="143">
        <f t="shared" si="19"/>
        <v>2</v>
      </c>
      <c r="EL9" s="143">
        <f t="shared" si="20"/>
        <v>0</v>
      </c>
      <c r="EM9" s="143">
        <f t="shared" si="21"/>
        <v>0</v>
      </c>
      <c r="EN9" s="143">
        <f t="shared" si="22"/>
        <v>0</v>
      </c>
      <c r="EO9" s="143">
        <f t="shared" si="23"/>
        <v>0</v>
      </c>
      <c r="EP9" s="143">
        <f t="shared" si="24"/>
        <v>0</v>
      </c>
      <c r="EQ9" s="143">
        <f t="shared" si="25"/>
        <v>0</v>
      </c>
      <c r="ER9" s="143">
        <f t="shared" si="26"/>
        <v>0</v>
      </c>
      <c r="ES9" s="143">
        <f t="shared" si="27"/>
        <v>0</v>
      </c>
      <c r="ET9" s="143">
        <f t="shared" si="28"/>
        <v>0</v>
      </c>
      <c r="EU9" s="143">
        <f t="shared" si="29"/>
        <v>2</v>
      </c>
      <c r="EV9" s="143">
        <f t="shared" si="30"/>
        <v>0</v>
      </c>
      <c r="EW9" s="143">
        <f t="shared" si="31"/>
        <v>0</v>
      </c>
      <c r="EX9" s="143">
        <f t="shared" si="32"/>
        <v>0</v>
      </c>
      <c r="EY9" s="143">
        <f t="shared" si="33"/>
        <v>0</v>
      </c>
      <c r="EZ9" s="143">
        <f t="shared" si="34"/>
        <v>0</v>
      </c>
      <c r="FA9" s="143">
        <f t="shared" si="35"/>
        <v>0</v>
      </c>
      <c r="FB9" s="143">
        <f t="shared" si="36"/>
        <v>0</v>
      </c>
      <c r="FC9" s="143">
        <f t="shared" si="37"/>
        <v>0</v>
      </c>
      <c r="FD9" s="143">
        <f t="shared" si="38"/>
        <v>0</v>
      </c>
      <c r="FE9" s="140">
        <f>SUM($D9:D9)*IF($B9="Operacional",IFERROR(VLOOKUP($C9,SN_UGC,28,0),0),1)</f>
        <v>2</v>
      </c>
      <c r="FF9" s="140">
        <f>SUM($D9:E9)*IF($B9="Operacional",IFERROR(VLOOKUP($C9,SN_UGC,28,0),0),1)</f>
        <v>2</v>
      </c>
      <c r="FG9" s="140">
        <f>SUM($D9:F9)*IF($B9="Operacional",IFERROR(VLOOKUP($C9,SN_UGC,28,0),0),1)</f>
        <v>2</v>
      </c>
      <c r="FH9" s="140">
        <f>SUM($D9:G9)*IF($B9="Operacional",IFERROR(VLOOKUP($C9,SN_UGC,28,0),0),1)</f>
        <v>2</v>
      </c>
      <c r="FI9" s="140">
        <f>SUM($D9:H9)*IF($B9="Operacional",IFERROR(VLOOKUP($C9,SN_UGC,28,0),0),1)</f>
        <v>2</v>
      </c>
      <c r="FJ9" s="140">
        <f>SUM($D9:I9)*IF($B9="Operacional",IFERROR(VLOOKUP($C9,SN_UGC,28,0),0),1)</f>
        <v>2</v>
      </c>
      <c r="FK9" s="140">
        <f>SUM($D9:J9)*IF($B9="Operacional",IFERROR(VLOOKUP($C9,SN_UGC,28,0),0),1)</f>
        <v>2</v>
      </c>
      <c r="FL9" s="140">
        <f>SUM($D9:K9)*IF($B9="Operacional",IFERROR(VLOOKUP($C9,SN_UGC,28,0),0),1)</f>
        <v>2</v>
      </c>
      <c r="FM9" s="140">
        <f>SUM($D9:L9)*IF($B9="Operacional",IFERROR(VLOOKUP($C9,SN_UGC,28,0),0),1)</f>
        <v>2</v>
      </c>
      <c r="FN9" s="140">
        <f>SUM($D9:M9)*IF($B9="Operacional",IFERROR(VLOOKUP($C9,SN_UGC,28,0),0),1)</f>
        <v>2</v>
      </c>
      <c r="FO9" s="140">
        <f>SUM($D9:N9)*IF($B9="Operacional",IFERROR(VLOOKUP($C9,SN_UGC,28,0),0),1)</f>
        <v>2</v>
      </c>
      <c r="FP9" s="140">
        <f>SUM($D9:O9)*IF($B9="Operacional",IFERROR(VLOOKUP($C9,SN_UGC,28,0),0),1)</f>
        <v>2</v>
      </c>
      <c r="FQ9" s="140">
        <f>SUM($D9:P9)*IF($B9="Operacional",IFERROR(VLOOKUP($C9,SN_UGC,28,0),0),1)</f>
        <v>2</v>
      </c>
      <c r="FR9" s="140">
        <f>SUM($D9:Q9)*IF($B9="Operacional",IFERROR(VLOOKUP($C9,SN_UGC,28,0),0),1)</f>
        <v>2</v>
      </c>
      <c r="FS9" s="140">
        <f>SUM($D9:R9)*IF($B9="Operacional",IFERROR(VLOOKUP($C9,SN_UGC,28,0),0),1)</f>
        <v>2</v>
      </c>
      <c r="FT9" s="140">
        <f>SUM($D9:S9)*IF($B9="Operacional",IFERROR(VLOOKUP($C9,SN_UGC,28,0),0),1)</f>
        <v>2</v>
      </c>
      <c r="FU9" s="140">
        <f>SUM($D9:T9)*IF($B9="Operacional",IFERROR(VLOOKUP($C9,SN_UGC,28,0),0),1)</f>
        <v>2</v>
      </c>
      <c r="FV9" s="140">
        <f>SUM($D9:U9)*IF($B9="Operacional",IFERROR(VLOOKUP($C9,SN_UGC,28,0),0),1)</f>
        <v>2</v>
      </c>
      <c r="FW9" s="140">
        <f>SUM($D9:V9)*IF($B9="Operacional",IFERROR(VLOOKUP($C9,SN_UGC,28,0),0),1)</f>
        <v>2</v>
      </c>
      <c r="FX9" s="140">
        <f>SUM($D9:W9)*IF($B9="Operacional",IFERROR(VLOOKUP($C9,SN_UGC,28,0),0),1)</f>
        <v>2</v>
      </c>
      <c r="FY9" s="140">
        <f>SUM($D9:X9)*IF($B9="Operacional",IFERROR(VLOOKUP($C9,SN_UGC,28,0),0),1)</f>
        <v>2</v>
      </c>
      <c r="FZ9" s="140">
        <f>SUM($D9:Y9)*IF($B9="Operacional",IFERROR(VLOOKUP($C9,SN_UGC,28,0),0),1)</f>
        <v>2</v>
      </c>
      <c r="GA9" s="140">
        <f>SUM($D9:Z9)*IF($B9="Operacional",IFERROR(VLOOKUP($C9,SN_UGC,28,0),0),1)</f>
        <v>2</v>
      </c>
      <c r="GB9" s="140">
        <f>SUM($D9:AA9)*IF($B9="Operacional",IFERROR(VLOOKUP($C9,SN_UGC,28,0),0),1)</f>
        <v>2</v>
      </c>
      <c r="GC9" s="140">
        <f>SUM($D9:AB9)*IF($B9="Operacional",IFERROR(VLOOKUP($C9,SN_UGC,28,0),0),1)</f>
        <v>2</v>
      </c>
      <c r="GD9" s="140">
        <f>SUM($D9:AC9)*IF($B9="Operacional",IFERROR(VLOOKUP($C9,SN_UGC,28,0),0),1)</f>
        <v>2</v>
      </c>
      <c r="GE9" s="140">
        <f>SUM($D9:AD9)*IF($B9="Operacional",IFERROR(VLOOKUP($C9,SN_UGC,28,0),0),1)</f>
        <v>2</v>
      </c>
      <c r="GF9" s="140">
        <f>SUM($D9:AE9)*IF($B9="Operacional",IFERROR(VLOOKUP($C9,SN_UGC,28,0),0),1)</f>
        <v>2</v>
      </c>
      <c r="GG9" s="140">
        <f>SUM($D9:AF9)*IF($B9="Operacional",IFERROR(VLOOKUP($C9,SN_UGC,28,0),0),1)</f>
        <v>2</v>
      </c>
      <c r="GH9" s="140">
        <f>SUM($D9:AG9)*IF($B9="Operacional",IFERROR(VLOOKUP($C9,SN_UGC,28,0),0),1)</f>
        <v>2</v>
      </c>
      <c r="GI9" s="141">
        <f t="shared" ref="GI9:HL9" si="51">FE9*$AH9*$AL9</f>
        <v>510.12060000000002</v>
      </c>
      <c r="GJ9" s="141">
        <f t="shared" si="51"/>
        <v>510.12060000000002</v>
      </c>
      <c r="GK9" s="141">
        <f t="shared" si="51"/>
        <v>510.12060000000002</v>
      </c>
      <c r="GL9" s="141">
        <f t="shared" si="51"/>
        <v>510.12060000000002</v>
      </c>
      <c r="GM9" s="141">
        <f t="shared" si="51"/>
        <v>510.12060000000002</v>
      </c>
      <c r="GN9" s="141">
        <f t="shared" si="51"/>
        <v>510.12060000000002</v>
      </c>
      <c r="GO9" s="141">
        <f t="shared" si="51"/>
        <v>510.12060000000002</v>
      </c>
      <c r="GP9" s="141">
        <f t="shared" si="51"/>
        <v>510.12060000000002</v>
      </c>
      <c r="GQ9" s="141">
        <f t="shared" si="51"/>
        <v>510.12060000000002</v>
      </c>
      <c r="GR9" s="141">
        <f t="shared" si="51"/>
        <v>510.12060000000002</v>
      </c>
      <c r="GS9" s="141">
        <f t="shared" si="51"/>
        <v>510.12060000000002</v>
      </c>
      <c r="GT9" s="141">
        <f t="shared" si="51"/>
        <v>510.12060000000002</v>
      </c>
      <c r="GU9" s="141">
        <f t="shared" si="51"/>
        <v>510.12060000000002</v>
      </c>
      <c r="GV9" s="141">
        <f t="shared" si="51"/>
        <v>510.12060000000002</v>
      </c>
      <c r="GW9" s="141">
        <f t="shared" si="51"/>
        <v>510.12060000000002</v>
      </c>
      <c r="GX9" s="141">
        <f t="shared" si="51"/>
        <v>510.12060000000002</v>
      </c>
      <c r="GY9" s="141">
        <f t="shared" si="51"/>
        <v>510.12060000000002</v>
      </c>
      <c r="GZ9" s="141">
        <f t="shared" si="51"/>
        <v>510.12060000000002</v>
      </c>
      <c r="HA9" s="141">
        <f t="shared" si="51"/>
        <v>510.12060000000002</v>
      </c>
      <c r="HB9" s="141">
        <f t="shared" si="51"/>
        <v>510.12060000000002</v>
      </c>
      <c r="HC9" s="141">
        <f t="shared" si="51"/>
        <v>510.12060000000002</v>
      </c>
      <c r="HD9" s="141">
        <f t="shared" si="51"/>
        <v>510.12060000000002</v>
      </c>
      <c r="HE9" s="141">
        <f t="shared" si="51"/>
        <v>510.12060000000002</v>
      </c>
      <c r="HF9" s="141">
        <f t="shared" si="51"/>
        <v>510.12060000000002</v>
      </c>
      <c r="HG9" s="141">
        <f t="shared" si="51"/>
        <v>510.12060000000002</v>
      </c>
      <c r="HH9" s="141">
        <f t="shared" si="51"/>
        <v>510.12060000000002</v>
      </c>
      <c r="HI9" s="141">
        <f t="shared" si="51"/>
        <v>510.12060000000002</v>
      </c>
      <c r="HJ9" s="141">
        <f t="shared" si="51"/>
        <v>510.12060000000002</v>
      </c>
      <c r="HK9" s="141">
        <f t="shared" si="51"/>
        <v>510.12060000000002</v>
      </c>
      <c r="HL9" s="141">
        <f t="shared" si="51"/>
        <v>510.12060000000002</v>
      </c>
      <c r="HM9" s="142">
        <f t="shared" ref="HM9:IP9" si="52">IF(ISBLANK($A9),,FE9*($AH9-($AH9*$AJ9))/$AI9)</f>
        <v>612.14472000000001</v>
      </c>
      <c r="HN9" s="142">
        <f t="shared" si="52"/>
        <v>612.14472000000001</v>
      </c>
      <c r="HO9" s="142">
        <f t="shared" si="52"/>
        <v>612.14472000000001</v>
      </c>
      <c r="HP9" s="142">
        <f t="shared" si="52"/>
        <v>612.14472000000001</v>
      </c>
      <c r="HQ9" s="142">
        <f t="shared" si="52"/>
        <v>612.14472000000001</v>
      </c>
      <c r="HR9" s="142">
        <f t="shared" si="52"/>
        <v>612.14472000000001</v>
      </c>
      <c r="HS9" s="142">
        <f t="shared" si="52"/>
        <v>612.14472000000001</v>
      </c>
      <c r="HT9" s="142">
        <f t="shared" si="52"/>
        <v>612.14472000000001</v>
      </c>
      <c r="HU9" s="142">
        <f t="shared" si="52"/>
        <v>612.14472000000001</v>
      </c>
      <c r="HV9" s="142">
        <f t="shared" si="52"/>
        <v>612.14472000000001</v>
      </c>
      <c r="HW9" s="142">
        <f t="shared" si="52"/>
        <v>612.14472000000001</v>
      </c>
      <c r="HX9" s="142">
        <f t="shared" si="52"/>
        <v>612.14472000000001</v>
      </c>
      <c r="HY9" s="142">
        <f t="shared" si="52"/>
        <v>612.14472000000001</v>
      </c>
      <c r="HZ9" s="142">
        <f t="shared" si="52"/>
        <v>612.14472000000001</v>
      </c>
      <c r="IA9" s="142">
        <f t="shared" si="52"/>
        <v>612.14472000000001</v>
      </c>
      <c r="IB9" s="142">
        <f t="shared" si="52"/>
        <v>612.14472000000001</v>
      </c>
      <c r="IC9" s="142">
        <f t="shared" si="52"/>
        <v>612.14472000000001</v>
      </c>
      <c r="ID9" s="142">
        <f t="shared" si="52"/>
        <v>612.14472000000001</v>
      </c>
      <c r="IE9" s="142">
        <f t="shared" si="52"/>
        <v>612.14472000000001</v>
      </c>
      <c r="IF9" s="142">
        <f t="shared" si="52"/>
        <v>612.14472000000001</v>
      </c>
      <c r="IG9" s="142">
        <f t="shared" si="52"/>
        <v>612.14472000000001</v>
      </c>
      <c r="IH9" s="142">
        <f t="shared" si="52"/>
        <v>612.14472000000001</v>
      </c>
      <c r="II9" s="142">
        <f t="shared" si="52"/>
        <v>612.14472000000001</v>
      </c>
      <c r="IJ9" s="142">
        <f t="shared" si="52"/>
        <v>612.14472000000001</v>
      </c>
      <c r="IK9" s="142">
        <f t="shared" si="52"/>
        <v>612.14472000000001</v>
      </c>
      <c r="IL9" s="142">
        <f t="shared" si="52"/>
        <v>612.14472000000001</v>
      </c>
      <c r="IM9" s="142">
        <f t="shared" si="52"/>
        <v>612.14472000000001</v>
      </c>
      <c r="IN9" s="142">
        <f t="shared" si="52"/>
        <v>612.14472000000001</v>
      </c>
      <c r="IO9" s="142">
        <f t="shared" si="52"/>
        <v>612.14472000000001</v>
      </c>
      <c r="IP9" s="142">
        <f t="shared" si="52"/>
        <v>612.14472000000001</v>
      </c>
      <c r="IQ9" s="141">
        <f>IF(ISBLANK($A9),,IF($AN9="Não",0,(SUM($AO9:AO9)*$AH9)-SUM($HM9:HM9)-SUM($CW9:CW9)))</f>
        <v>9590.26728</v>
      </c>
      <c r="IR9" s="141">
        <f>IF(ISBLANK($A9),,IF($AN9="Não",0,(SUM($AO9:AP9)*$AH9)-SUM($HM9:HN9)-SUM($CW9:CX9)))</f>
        <v>8978.1225599999998</v>
      </c>
      <c r="IS9" s="141">
        <f>IF(ISBLANK($A9),,IF($AN9="Não",0,(SUM($AO9:AQ9)*$AH9)-SUM($HM9:HO9)-SUM($CW9:CY9)))</f>
        <v>8365.9778399999996</v>
      </c>
      <c r="IT9" s="141">
        <f>IF(ISBLANK($A9),,IF($AN9="Não",0,(SUM($AO9:AR9)*$AH9)-SUM($HM9:HP9)-SUM($CW9:CZ9)))</f>
        <v>7753.8331200000002</v>
      </c>
      <c r="IU9" s="141">
        <f>IF(ISBLANK($A9),,IF($AN9="Não",0,(SUM($AO9:AS9)*$AH9)-SUM($HM9:HQ9)-SUM($CW9:DA9)))</f>
        <v>7141.6884</v>
      </c>
      <c r="IV9" s="141">
        <f>IF(ISBLANK($A9),,IF($AN9="Não",0,(SUM($AO9:AT9)*$AH9)-SUM($HM9:HR9)-SUM($CW9:DB9)))</f>
        <v>6529.5436799999998</v>
      </c>
      <c r="IW9" s="141">
        <f>IF(ISBLANK($A9),,IF($AN9="Não",0,(SUM($AO9:AU9)*$AH9)-SUM($HM9:HS9)-SUM($CW9:DC9)))</f>
        <v>5917.3989599999995</v>
      </c>
      <c r="IX9" s="141">
        <f>IF(ISBLANK($A9),,IF($AN9="Não",0,(SUM($AO9:AV9)*$AH9)-SUM($HM9:HT9)-SUM($CW9:DD9)))</f>
        <v>5305.2542399999993</v>
      </c>
      <c r="IY9" s="141">
        <f>IF(ISBLANK($A9),,IF($AN9="Não",0,(SUM($AO9:AW9)*$AH9)-SUM($HM9:HU9)-SUM($CW9:DE9)))</f>
        <v>4693.1095199999991</v>
      </c>
      <c r="IZ9" s="141">
        <f>IF(ISBLANK($A9),,IF($AN9="Não",0,(SUM($AO9:AX9)*$AH9)-SUM($HM9:HV9)-SUM($CW9:DF9)))</f>
        <v>4080.9647999999988</v>
      </c>
      <c r="JA9" s="141">
        <f>IF(ISBLANK($A9),,IF($AN9="Não",0,(SUM($AO9:AY9)*$AH9)-SUM($HM9:HW9)-SUM($CW9:DG9)))</f>
        <v>9590.2672799999982</v>
      </c>
      <c r="JB9" s="141">
        <f>IF(ISBLANK($A9),,IF($AN9="Não",0,(SUM($AO9:AZ9)*$AH9)-SUM($HM9:HX9)-SUM($CW9:DH9)))</f>
        <v>8978.122559999998</v>
      </c>
      <c r="JC9" s="141">
        <f>IF(ISBLANK($A9),,IF($AN9="Não",0,(SUM($AO9:BA9)*$AH9)-SUM($HM9:HY9)-SUM($CW9:DI9)))</f>
        <v>8365.9778399999977</v>
      </c>
      <c r="JD9" s="141">
        <f>IF(ISBLANK($A9),,IF($AN9="Não",0,(SUM($AO9:BB9)*$AH9)-SUM($HM9:HZ9)-SUM($CW9:DJ9)))</f>
        <v>7753.8331199999993</v>
      </c>
      <c r="JE9" s="141">
        <f>IF(ISBLANK($A9),,IF($AN9="Não",0,(SUM($AO9:BC9)*$AH9)-SUM($HM9:IA9)-SUM($CW9:DK9)))</f>
        <v>7141.6883999999991</v>
      </c>
      <c r="JF9" s="141">
        <f>IF(ISBLANK($A9),,IF($AN9="Não",0,(SUM($AO9:BD9)*$AH9)-SUM($HM9:IB9)-SUM($CW9:DL9)))</f>
        <v>6529.5436799999989</v>
      </c>
      <c r="JG9" s="141">
        <f>IF(ISBLANK($A9),,IF($AN9="Não",0,(SUM($AO9:BE9)*$AH9)-SUM($HM9:IC9)-SUM($CW9:DM9)))</f>
        <v>5917.3989599999986</v>
      </c>
      <c r="JH9" s="141">
        <f>IF(ISBLANK($A9),,IF($AN9="Não",0,(SUM($AO9:BF9)*$AH9)-SUM($HM9:ID9)-SUM($CW9:DN9)))</f>
        <v>5305.2542399999984</v>
      </c>
      <c r="JI9" s="141">
        <f>IF(ISBLANK($A9),,IF($AN9="Não",0,(SUM($AO9:BG9)*$AH9)-SUM($HM9:IE9)-SUM($CW9:DO9)))</f>
        <v>4693.1095199999982</v>
      </c>
      <c r="JJ9" s="141">
        <f>IF(ISBLANK($A9),,IF($AN9="Não",0,(SUM($AO9:BH9)*$AH9)-SUM($HM9:IF9)-SUM($CW9:DP9)))</f>
        <v>4080.9647999999975</v>
      </c>
      <c r="JK9" s="141">
        <f>IF(ISBLANK($A9),,IF($AN9="Não",0,(SUM($AO9:BI9)*$AH9)-SUM($HM9:IG9)-SUM($CW9:DQ9)))</f>
        <v>9590.2672799999964</v>
      </c>
      <c r="JL9" s="141">
        <f>IF(ISBLANK($A9),,IF($AN9="Não",0,(SUM($AO9:BJ9)*$AH9)-SUM($HM9:IH9)-SUM($CW9:DR9)))</f>
        <v>8978.1225599999998</v>
      </c>
      <c r="JM9" s="141">
        <f>IF(ISBLANK($A9),,IF($AN9="Não",0,(SUM($AO9:BK9)*$AH9)-SUM($HM9:II9)-SUM($CW9:DS9)))</f>
        <v>8365.9778399999959</v>
      </c>
      <c r="JN9" s="141">
        <f>IF(ISBLANK($A9),,IF($AN9="Não",0,(SUM($AO9:BL9)*$AH9)-SUM($HM9:IJ9)-SUM($CW9:DT9)))</f>
        <v>7753.8331199999966</v>
      </c>
      <c r="JO9" s="141">
        <f>IF(ISBLANK($A9),,IF($AN9="Não",0,(SUM($AO9:BM9)*$AH9)-SUM($HM9:IK9)-SUM($CW9:DU9)))</f>
        <v>7141.6883999999964</v>
      </c>
      <c r="JP9" s="141">
        <f>IF(ISBLANK($A9),,IF($AN9="Não",0,(SUM($AO9:BN9)*$AH9)-SUM($HM9:IL9)-SUM($CW9:DV9)))</f>
        <v>6529.5436799999961</v>
      </c>
      <c r="JQ9" s="141">
        <f>IF(ISBLANK($A9),,IF($AN9="Não",0,(SUM($AO9:BO9)*$AH9)-SUM($HM9:IM9)-SUM($CW9:DW9)))</f>
        <v>5917.3989599999977</v>
      </c>
      <c r="JR9" s="141">
        <f>IF(ISBLANK($A9),,IF($AN9="Não",0,(SUM($AO9:BP9)*$AH9)-SUM($HM9:IN9)-SUM($CW9:DX9)))</f>
        <v>5305.2542399999975</v>
      </c>
      <c r="JS9" s="141">
        <f>IF(ISBLANK($A9),,IF($AN9="Não",0,(SUM($AO9:BQ9)*$AH9)-SUM($HM9:IO9)-SUM($CW9:DY9)))</f>
        <v>4693.1095199999972</v>
      </c>
      <c r="JT9" s="141">
        <f>IF(ISBLANK($A9),,IF($AN9="Não",0,(SUM($AO9:BR9)*$AH9)-SUM($HM9:IP9)-SUM($CW9:DZ9)))</f>
        <v>4080.964799999997</v>
      </c>
    </row>
    <row r="10" spans="1:280" ht="15.75" customHeight="1">
      <c r="A10" s="129" t="s">
        <v>396</v>
      </c>
      <c r="B10" s="129" t="s">
        <v>209</v>
      </c>
      <c r="C10" s="138" t="s">
        <v>100</v>
      </c>
      <c r="D10" s="139">
        <v>3</v>
      </c>
      <c r="E10" s="139"/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607">
        <f t="shared" si="0"/>
        <v>218842.80000000002</v>
      </c>
      <c r="AI10" s="608">
        <f t="shared" si="1"/>
        <v>5</v>
      </c>
      <c r="AJ10" s="609">
        <f t="shared" si="2"/>
        <v>0.25</v>
      </c>
      <c r="AK10" s="610" t="str">
        <f t="shared" si="3"/>
        <v>Veículos e embarcações</v>
      </c>
      <c r="AL10" s="609">
        <f t="shared" si="4"/>
        <v>0.05</v>
      </c>
      <c r="AM10" s="611" t="str">
        <f t="shared" si="5"/>
        <v>Sim</v>
      </c>
      <c r="AN10" s="611" t="str">
        <f t="shared" si="6"/>
        <v>Sim</v>
      </c>
      <c r="AO10" s="140">
        <f t="array" ref="AO10">IF(ISBLANK($A10),0,IF(OR(AO$5-$AI10&lt;=0,$AM10="Não"),D10,D10+INDEX($AO$6:$BR$176,ROW()-5,COLUMN()-40-$AI10)))*IF($B10="Operacional",IFERROR(VLOOKUP($C10,SN_UGC,28,0),0),1)</f>
        <v>3</v>
      </c>
      <c r="AP10" s="140">
        <f t="array" ref="AP10">IF(ISBLANK($A10),0,IF(OR(AP$5-$AI10&lt;=0,$AM10="Não"),E10,E10+INDEX($AO$6:$BR$176,ROW()-5,COLUMN()-40-$AI10)))*IF($B10="Operacional",IFERROR(VLOOKUP($C10,SN_UGC,28,0),0),1)</f>
        <v>0</v>
      </c>
      <c r="AQ10" s="140">
        <f t="array" ref="AQ10">IF(ISBLANK($A10),0,IF(OR(AQ$5-$AI10&lt;=0,$AM10="Não"),F10,F10+INDEX($AO$6:$BR$176,ROW()-5,COLUMN()-40-$AI10)))*IF($B10="Operacional",IFERROR(VLOOKUP($C10,SN_UGC,28,0),0),1)</f>
        <v>0</v>
      </c>
      <c r="AR10" s="140">
        <f t="array" ref="AR10">IF(ISBLANK($A10),0,IF(OR(AR$5-$AI10&lt;=0,$AM10="Não"),G10,G10+INDEX($AO$6:$BR$176,ROW()-5,COLUMN()-40-$AI10)))*IF($B10="Operacional",IFERROR(VLOOKUP($C10,SN_UGC,28,0),0),1)</f>
        <v>0</v>
      </c>
      <c r="AS10" s="140">
        <f t="array" ref="AS10">IF(ISBLANK($A10),0,IF(OR(AS$5-$AI10&lt;=0,$AM10="Não"),H10,H10+INDEX($AO$6:$BR$176,ROW()-5,COLUMN()-40-$AI10)))*IF($B10="Operacional",IFERROR(VLOOKUP($C10,SN_UGC,28,0),0),1)</f>
        <v>0</v>
      </c>
      <c r="AT10" s="140">
        <f t="array" ref="AT10">IF(ISBLANK($A10),0,IF(OR(AT$5-$AI10&lt;=0,$AM10="Não"),I10,I10+INDEX($AO$6:$BR$176,ROW()-5,COLUMN()-40-$AI10)))*IF($B10="Operacional",IFERROR(VLOOKUP($C10,SN_UGC,28,0),0),1)</f>
        <v>3</v>
      </c>
      <c r="AU10" s="140">
        <f t="array" ref="AU10">IF(ISBLANK($A10),0,IF(OR(AU$5-$AI10&lt;=0,$AM10="Não"),J10,J10+INDEX($AO$6:$BR$176,ROW()-5,COLUMN()-40-$AI10)))*IF($B10="Operacional",IFERROR(VLOOKUP($C10,SN_UGC,28,0),0),1)</f>
        <v>0</v>
      </c>
      <c r="AV10" s="140">
        <f t="array" ref="AV10">IF(ISBLANK($A10),0,IF(OR(AV$5-$AI10&lt;=0,$AM10="Não"),K10,K10+INDEX($AO$6:$BR$176,ROW()-5,COLUMN()-40-$AI10)))*IF($B10="Operacional",IFERROR(VLOOKUP($C10,SN_UGC,28,0),0),1)</f>
        <v>0</v>
      </c>
      <c r="AW10" s="140">
        <f t="array" ref="AW10">IF(ISBLANK($A10),0,IF(OR(AW$5-$AI10&lt;=0,$AM10="Não"),L10,L10+INDEX($AO$6:$BR$176,ROW()-5,COLUMN()-40-$AI10)))*IF($B10="Operacional",IFERROR(VLOOKUP($C10,SN_UGC,28,0),0),1)</f>
        <v>0</v>
      </c>
      <c r="AX10" s="140">
        <f t="array" ref="AX10">IF(ISBLANK($A10),0,IF(OR(AX$5-$AI10&lt;=0,$AM10="Não"),M10,M10+INDEX($AO$6:$BR$176,ROW()-5,COLUMN()-40-$AI10)))*IF($B10="Operacional",IFERROR(VLOOKUP($C10,SN_UGC,28,0),0),1)</f>
        <v>0</v>
      </c>
      <c r="AY10" s="140">
        <f t="array" ref="AY10">IF(ISBLANK($A10),0,IF(OR(AY$5-$AI10&lt;=0,$AM10="Não"),N10,N10+INDEX($AO$6:$BR$176,ROW()-5,COLUMN()-40-$AI10)))*IF($B10="Operacional",IFERROR(VLOOKUP($C10,SN_UGC,28,0),0),1)</f>
        <v>3</v>
      </c>
      <c r="AZ10" s="140">
        <f t="array" ref="AZ10">IF(ISBLANK($A10),0,IF(OR(AZ$5-$AI10&lt;=0,$AM10="Não"),O10,O10+INDEX($AO$6:$BR$176,ROW()-5,COLUMN()-40-$AI10)))*IF($B10="Operacional",IFERROR(VLOOKUP($C10,SN_UGC,28,0),0),1)</f>
        <v>0</v>
      </c>
      <c r="BA10" s="140">
        <f t="array" ref="BA10">IF(ISBLANK($A10),0,IF(OR(BA$5-$AI10&lt;=0,$AM10="Não"),P10,P10+INDEX($AO$6:$BR$176,ROW()-5,COLUMN()-40-$AI10)))*IF($B10="Operacional",IFERROR(VLOOKUP($C10,SN_UGC,28,0),0),1)</f>
        <v>0</v>
      </c>
      <c r="BB10" s="140">
        <f t="array" ref="BB10">IF(ISBLANK($A10),0,IF(OR(BB$5-$AI10&lt;=0,$AM10="Não"),Q10,Q10+INDEX($AO$6:$BR$176,ROW()-5,COLUMN()-40-$AI10)))*IF($B10="Operacional",IFERROR(VLOOKUP($C10,SN_UGC,28,0),0),1)</f>
        <v>0</v>
      </c>
      <c r="BC10" s="140">
        <f t="array" ref="BC10">IF(ISBLANK($A10),0,IF(OR(BC$5-$AI10&lt;=0,$AM10="Não"),R10,R10+INDEX($AO$6:$BR$176,ROW()-5,COLUMN()-40-$AI10)))*IF($B10="Operacional",IFERROR(VLOOKUP($C10,SN_UGC,28,0),0),1)</f>
        <v>0</v>
      </c>
      <c r="BD10" s="140">
        <f t="array" ref="BD10">IF(ISBLANK($A10),0,IF(OR(BD$5-$AI10&lt;=0,$AM10="Não"),S10,S10+INDEX($AO$6:$BR$176,ROW()-5,COLUMN()-40-$AI10)))*IF($B10="Operacional",IFERROR(VLOOKUP($C10,SN_UGC,28,0),0),1)</f>
        <v>3</v>
      </c>
      <c r="BE10" s="140">
        <f t="array" ref="BE10">IF(ISBLANK($A10),0,IF(OR(BE$5-$AI10&lt;=0,$AM10="Não"),T10,T10+INDEX($AO$6:$BR$176,ROW()-5,COLUMN()-40-$AI10)))*IF($B10="Operacional",IFERROR(VLOOKUP($C10,SN_UGC,28,0),0),1)</f>
        <v>0</v>
      </c>
      <c r="BF10" s="140">
        <f t="array" ref="BF10">IF(ISBLANK($A10),0,IF(OR(BF$5-$AI10&lt;=0,$AM10="Não"),U10,U10+INDEX($AO$6:$BR$176,ROW()-5,COLUMN()-40-$AI10)))*IF($B10="Operacional",IFERROR(VLOOKUP($C10,SN_UGC,28,0),0),1)</f>
        <v>0</v>
      </c>
      <c r="BG10" s="140">
        <f t="array" ref="BG10">IF(ISBLANK($A10),0,IF(OR(BG$5-$AI10&lt;=0,$AM10="Não"),V10,V10+INDEX($AO$6:$BR$176,ROW()-5,COLUMN()-40-$AI10)))*IF($B10="Operacional",IFERROR(VLOOKUP($C10,SN_UGC,28,0),0),1)</f>
        <v>0</v>
      </c>
      <c r="BH10" s="140">
        <f t="array" ref="BH10">IF(ISBLANK($A10),0,IF(OR(BH$5-$AI10&lt;=0,$AM10="Não"),W10,W10+INDEX($AO$6:$BR$176,ROW()-5,COLUMN()-40-$AI10)))*IF($B10="Operacional",IFERROR(VLOOKUP($C10,SN_UGC,28,0),0),1)</f>
        <v>0</v>
      </c>
      <c r="BI10" s="140">
        <f t="array" ref="BI10">IF(ISBLANK($A10),0,IF(OR(BI$5-$AI10&lt;=0,$AM10="Não"),X10,X10+INDEX($AO$6:$BR$176,ROW()-5,COLUMN()-40-$AI10)))*IF($B10="Operacional",IFERROR(VLOOKUP($C10,SN_UGC,28,0),0),1)</f>
        <v>3</v>
      </c>
      <c r="BJ10" s="140">
        <f t="array" ref="BJ10">IF(ISBLANK($A10),0,IF(OR(BJ$5-$AI10&lt;=0,$AM10="Não"),Y10,Y10+INDEX($AO$6:$BR$176,ROW()-5,COLUMN()-40-$AI10)))*IF($B10="Operacional",IFERROR(VLOOKUP($C10,SN_UGC,28,0),0),1)</f>
        <v>0</v>
      </c>
      <c r="BK10" s="140">
        <f t="array" ref="BK10">IF(ISBLANK($A10),0,IF(OR(BK$5-$AI10&lt;=0,$AM10="Não"),Z10,Z10+INDEX($AO$6:$BR$176,ROW()-5,COLUMN()-40-$AI10)))*IF($B10="Operacional",IFERROR(VLOOKUP($C10,SN_UGC,28,0),0),1)</f>
        <v>0</v>
      </c>
      <c r="BL10" s="140">
        <f t="array" ref="BL10">IF(ISBLANK($A10),0,IF(OR(BL$5-$AI10&lt;=0,$AM10="Não"),AA10,AA10+INDEX($AO$6:$BR$176,ROW()-5,COLUMN()-40-$AI10)))*IF($B10="Operacional",IFERROR(VLOOKUP($C10,SN_UGC,28,0),0),1)</f>
        <v>0</v>
      </c>
      <c r="BM10" s="140">
        <f t="array" ref="BM10">IF(ISBLANK($A10),0,IF(OR(BM$5-$AI10&lt;=0,$AM10="Não"),AB10,AB10+INDEX($AO$6:$BR$176,ROW()-5,COLUMN()-40-$AI10)))*IF($B10="Operacional",IFERROR(VLOOKUP($C10,SN_UGC,28,0),0),1)</f>
        <v>0</v>
      </c>
      <c r="BN10" s="140">
        <f t="array" ref="BN10">IF(ISBLANK($A10),0,IF(OR(BN$5-$AI10&lt;=0,$AM10="Não"),AC10,AC10+INDEX($AO$6:$BR$176,ROW()-5,COLUMN()-40-$AI10)))*IF($B10="Operacional",IFERROR(VLOOKUP($C10,SN_UGC,28,0),0),1)</f>
        <v>3</v>
      </c>
      <c r="BO10" s="140">
        <f t="array" ref="BO10">IF(ISBLANK($A10),0,IF(OR(BO$5-$AI10&lt;=0,$AM10="Não"),AD10,AD10+INDEX($AO$6:$BR$176,ROW()-5,COLUMN()-40-$AI10)))*IF($B10="Operacional",IFERROR(VLOOKUP($C10,SN_UGC,28,0),0),1)</f>
        <v>0</v>
      </c>
      <c r="BP10" s="140">
        <f t="array" ref="BP10">IF(ISBLANK($A10),0,IF(OR(BP$5-$AI10&lt;=0,$AM10="Não"),AE10,AE10+INDEX($AO$6:$BR$176,ROW()-5,COLUMN()-40-$AI10)))*IF($B10="Operacional",IFERROR(VLOOKUP($C10,SN_UGC,28,0),0),1)</f>
        <v>0</v>
      </c>
      <c r="BQ10" s="140">
        <f t="array" ref="BQ10">IF(ISBLANK($A10),0,IF(OR(BQ$5-$AI10&lt;=0,$AM10="Não"),AF10,AF10+INDEX($AO$6:$BR$176,ROW()-5,COLUMN()-40-$AI10)))*IF($B10="Operacional",IFERROR(VLOOKUP($C10,SN_UGC,28,0),0),1)</f>
        <v>0</v>
      </c>
      <c r="BR10" s="140">
        <f t="array" ref="BR10">IF(ISBLANK($A10),0,IF(OR(BR$5-$AI10&lt;=0,$AM10="Não"),AG10,AG10+INDEX($AO$6:$BR$176,ROW()-5,COLUMN()-40-$AI10)))*IF($B10="Operacional",IFERROR(VLOOKUP($C10,SN_UGC,28,0),0),1)</f>
        <v>0</v>
      </c>
      <c r="BS10" s="141">
        <f t="shared" ref="BS10:CV10" si="53">IF(ISBLANK($A10),0,$AH10*AO10)</f>
        <v>656528.4</v>
      </c>
      <c r="BT10" s="141">
        <f t="shared" si="53"/>
        <v>0</v>
      </c>
      <c r="BU10" s="141">
        <f t="shared" si="53"/>
        <v>0</v>
      </c>
      <c r="BV10" s="141">
        <f t="shared" si="53"/>
        <v>0</v>
      </c>
      <c r="BW10" s="141">
        <f t="shared" si="53"/>
        <v>0</v>
      </c>
      <c r="BX10" s="141">
        <f t="shared" si="53"/>
        <v>656528.4</v>
      </c>
      <c r="BY10" s="141">
        <f t="shared" si="53"/>
        <v>0</v>
      </c>
      <c r="BZ10" s="141">
        <f t="shared" si="53"/>
        <v>0</v>
      </c>
      <c r="CA10" s="141">
        <f t="shared" si="53"/>
        <v>0</v>
      </c>
      <c r="CB10" s="141">
        <f t="shared" si="53"/>
        <v>0</v>
      </c>
      <c r="CC10" s="141">
        <f t="shared" si="53"/>
        <v>656528.4</v>
      </c>
      <c r="CD10" s="141">
        <f t="shared" si="53"/>
        <v>0</v>
      </c>
      <c r="CE10" s="141">
        <f t="shared" si="53"/>
        <v>0</v>
      </c>
      <c r="CF10" s="141">
        <f t="shared" si="53"/>
        <v>0</v>
      </c>
      <c r="CG10" s="141">
        <f t="shared" si="53"/>
        <v>0</v>
      </c>
      <c r="CH10" s="141">
        <f t="shared" si="53"/>
        <v>656528.4</v>
      </c>
      <c r="CI10" s="141">
        <f t="shared" si="53"/>
        <v>0</v>
      </c>
      <c r="CJ10" s="141">
        <f t="shared" si="53"/>
        <v>0</v>
      </c>
      <c r="CK10" s="141">
        <f t="shared" si="53"/>
        <v>0</v>
      </c>
      <c r="CL10" s="141">
        <f t="shared" si="53"/>
        <v>0</v>
      </c>
      <c r="CM10" s="141">
        <f t="shared" si="53"/>
        <v>656528.4</v>
      </c>
      <c r="CN10" s="141">
        <f t="shared" si="53"/>
        <v>0</v>
      </c>
      <c r="CO10" s="141">
        <f t="shared" si="53"/>
        <v>0</v>
      </c>
      <c r="CP10" s="141">
        <f t="shared" si="53"/>
        <v>0</v>
      </c>
      <c r="CQ10" s="141">
        <f t="shared" si="53"/>
        <v>0</v>
      </c>
      <c r="CR10" s="141">
        <f t="shared" si="53"/>
        <v>656528.4</v>
      </c>
      <c r="CS10" s="141">
        <f t="shared" si="53"/>
        <v>0</v>
      </c>
      <c r="CT10" s="141">
        <f t="shared" si="53"/>
        <v>0</v>
      </c>
      <c r="CU10" s="141">
        <f t="shared" si="53"/>
        <v>0</v>
      </c>
      <c r="CV10" s="141">
        <f t="shared" si="53"/>
        <v>0</v>
      </c>
      <c r="CW10" s="142">
        <f t="shared" ref="CW10:DZ10" si="54">EA10*$AH10*$AJ10</f>
        <v>0</v>
      </c>
      <c r="CX10" s="142">
        <f t="shared" si="54"/>
        <v>0</v>
      </c>
      <c r="CY10" s="142">
        <f t="shared" si="54"/>
        <v>0</v>
      </c>
      <c r="CZ10" s="142">
        <f t="shared" si="54"/>
        <v>0</v>
      </c>
      <c r="DA10" s="142">
        <f t="shared" si="54"/>
        <v>0</v>
      </c>
      <c r="DB10" s="142">
        <f t="shared" si="54"/>
        <v>164132.1</v>
      </c>
      <c r="DC10" s="142">
        <f t="shared" si="54"/>
        <v>0</v>
      </c>
      <c r="DD10" s="142">
        <f t="shared" si="54"/>
        <v>0</v>
      </c>
      <c r="DE10" s="142">
        <f t="shared" si="54"/>
        <v>0</v>
      </c>
      <c r="DF10" s="142">
        <f t="shared" si="54"/>
        <v>0</v>
      </c>
      <c r="DG10" s="142">
        <f t="shared" si="54"/>
        <v>164132.1</v>
      </c>
      <c r="DH10" s="142">
        <f t="shared" si="54"/>
        <v>0</v>
      </c>
      <c r="DI10" s="142">
        <f t="shared" si="54"/>
        <v>0</v>
      </c>
      <c r="DJ10" s="142">
        <f t="shared" si="54"/>
        <v>0</v>
      </c>
      <c r="DK10" s="142">
        <f t="shared" si="54"/>
        <v>0</v>
      </c>
      <c r="DL10" s="142">
        <f t="shared" si="54"/>
        <v>164132.1</v>
      </c>
      <c r="DM10" s="142">
        <f t="shared" si="54"/>
        <v>0</v>
      </c>
      <c r="DN10" s="142">
        <f t="shared" si="54"/>
        <v>0</v>
      </c>
      <c r="DO10" s="142">
        <f t="shared" si="54"/>
        <v>0</v>
      </c>
      <c r="DP10" s="142">
        <f t="shared" si="54"/>
        <v>0</v>
      </c>
      <c r="DQ10" s="142">
        <f t="shared" si="54"/>
        <v>164132.1</v>
      </c>
      <c r="DR10" s="142">
        <f t="shared" si="54"/>
        <v>0</v>
      </c>
      <c r="DS10" s="142">
        <f t="shared" si="54"/>
        <v>0</v>
      </c>
      <c r="DT10" s="142">
        <f t="shared" si="54"/>
        <v>0</v>
      </c>
      <c r="DU10" s="142">
        <f t="shared" si="54"/>
        <v>0</v>
      </c>
      <c r="DV10" s="142">
        <f t="shared" si="54"/>
        <v>164132.1</v>
      </c>
      <c r="DW10" s="142">
        <f t="shared" si="54"/>
        <v>0</v>
      </c>
      <c r="DX10" s="142">
        <f t="shared" si="54"/>
        <v>0</v>
      </c>
      <c r="DY10" s="142">
        <f t="shared" si="54"/>
        <v>0</v>
      </c>
      <c r="DZ10" s="142">
        <f t="shared" si="54"/>
        <v>0</v>
      </c>
      <c r="EA10" s="143">
        <f t="shared" si="9"/>
        <v>0</v>
      </c>
      <c r="EB10" s="143">
        <f t="shared" si="10"/>
        <v>0</v>
      </c>
      <c r="EC10" s="143">
        <f t="shared" si="11"/>
        <v>0</v>
      </c>
      <c r="ED10" s="143">
        <f t="shared" si="12"/>
        <v>0</v>
      </c>
      <c r="EE10" s="143">
        <f t="shared" si="13"/>
        <v>0</v>
      </c>
      <c r="EF10" s="143">
        <f t="shared" si="14"/>
        <v>3</v>
      </c>
      <c r="EG10" s="143">
        <f t="shared" si="15"/>
        <v>0</v>
      </c>
      <c r="EH10" s="143">
        <f t="shared" si="16"/>
        <v>0</v>
      </c>
      <c r="EI10" s="143">
        <f t="shared" si="17"/>
        <v>0</v>
      </c>
      <c r="EJ10" s="143">
        <f t="shared" si="18"/>
        <v>0</v>
      </c>
      <c r="EK10" s="143">
        <f t="shared" si="19"/>
        <v>3</v>
      </c>
      <c r="EL10" s="143">
        <f t="shared" si="20"/>
        <v>0</v>
      </c>
      <c r="EM10" s="143">
        <f t="shared" si="21"/>
        <v>0</v>
      </c>
      <c r="EN10" s="143">
        <f t="shared" si="22"/>
        <v>0</v>
      </c>
      <c r="EO10" s="143">
        <f t="shared" si="23"/>
        <v>0</v>
      </c>
      <c r="EP10" s="143">
        <f t="shared" si="24"/>
        <v>3</v>
      </c>
      <c r="EQ10" s="143">
        <f t="shared" si="25"/>
        <v>0</v>
      </c>
      <c r="ER10" s="143">
        <f t="shared" si="26"/>
        <v>0</v>
      </c>
      <c r="ES10" s="143">
        <f t="shared" si="27"/>
        <v>0</v>
      </c>
      <c r="ET10" s="143">
        <f t="shared" si="28"/>
        <v>0</v>
      </c>
      <c r="EU10" s="143">
        <f t="shared" si="29"/>
        <v>3</v>
      </c>
      <c r="EV10" s="143">
        <f t="shared" si="30"/>
        <v>0</v>
      </c>
      <c r="EW10" s="143">
        <f t="shared" si="31"/>
        <v>0</v>
      </c>
      <c r="EX10" s="143">
        <f t="shared" si="32"/>
        <v>0</v>
      </c>
      <c r="EY10" s="143">
        <f t="shared" si="33"/>
        <v>0</v>
      </c>
      <c r="EZ10" s="143">
        <f t="shared" si="34"/>
        <v>3</v>
      </c>
      <c r="FA10" s="143">
        <f t="shared" si="35"/>
        <v>0</v>
      </c>
      <c r="FB10" s="143">
        <f t="shared" si="36"/>
        <v>0</v>
      </c>
      <c r="FC10" s="143">
        <f t="shared" si="37"/>
        <v>0</v>
      </c>
      <c r="FD10" s="143">
        <f t="shared" si="38"/>
        <v>0</v>
      </c>
      <c r="FE10" s="140">
        <f>SUM($D10:D10)*IF($B10="Operacional",IFERROR(VLOOKUP($C10,SN_UGC,28,0),0),1)</f>
        <v>3</v>
      </c>
      <c r="FF10" s="140">
        <f>SUM($D10:E10)*IF($B10="Operacional",IFERROR(VLOOKUP($C10,SN_UGC,28,0),0),1)</f>
        <v>3</v>
      </c>
      <c r="FG10" s="140">
        <f>SUM($D10:F10)*IF($B10="Operacional",IFERROR(VLOOKUP($C10,SN_UGC,28,0),0),1)</f>
        <v>3</v>
      </c>
      <c r="FH10" s="140">
        <f>SUM($D10:G10)*IF($B10="Operacional",IFERROR(VLOOKUP($C10,SN_UGC,28,0),0),1)</f>
        <v>3</v>
      </c>
      <c r="FI10" s="140">
        <f>SUM($D10:H10)*IF($B10="Operacional",IFERROR(VLOOKUP($C10,SN_UGC,28,0),0),1)</f>
        <v>3</v>
      </c>
      <c r="FJ10" s="140">
        <f>SUM($D10:I10)*IF($B10="Operacional",IFERROR(VLOOKUP($C10,SN_UGC,28,0),0),1)</f>
        <v>3</v>
      </c>
      <c r="FK10" s="140">
        <f>SUM($D10:J10)*IF($B10="Operacional",IFERROR(VLOOKUP($C10,SN_UGC,28,0),0),1)</f>
        <v>3</v>
      </c>
      <c r="FL10" s="140">
        <f>SUM($D10:K10)*IF($B10="Operacional",IFERROR(VLOOKUP($C10,SN_UGC,28,0),0),1)</f>
        <v>3</v>
      </c>
      <c r="FM10" s="140">
        <f>SUM($D10:L10)*IF($B10="Operacional",IFERROR(VLOOKUP($C10,SN_UGC,28,0),0),1)</f>
        <v>3</v>
      </c>
      <c r="FN10" s="140">
        <f>SUM($D10:M10)*IF($B10="Operacional",IFERROR(VLOOKUP($C10,SN_UGC,28,0),0),1)</f>
        <v>3</v>
      </c>
      <c r="FO10" s="140">
        <f>SUM($D10:N10)*IF($B10="Operacional",IFERROR(VLOOKUP($C10,SN_UGC,28,0),0),1)</f>
        <v>3</v>
      </c>
      <c r="FP10" s="140">
        <f>SUM($D10:O10)*IF($B10="Operacional",IFERROR(VLOOKUP($C10,SN_UGC,28,0),0),1)</f>
        <v>3</v>
      </c>
      <c r="FQ10" s="140">
        <f>SUM($D10:P10)*IF($B10="Operacional",IFERROR(VLOOKUP($C10,SN_UGC,28,0),0),1)</f>
        <v>3</v>
      </c>
      <c r="FR10" s="140">
        <f>SUM($D10:Q10)*IF($B10="Operacional",IFERROR(VLOOKUP($C10,SN_UGC,28,0),0),1)</f>
        <v>3</v>
      </c>
      <c r="FS10" s="140">
        <f>SUM($D10:R10)*IF($B10="Operacional",IFERROR(VLOOKUP($C10,SN_UGC,28,0),0),1)</f>
        <v>3</v>
      </c>
      <c r="FT10" s="140">
        <f>SUM($D10:S10)*IF($B10="Operacional",IFERROR(VLOOKUP($C10,SN_UGC,28,0),0),1)</f>
        <v>3</v>
      </c>
      <c r="FU10" s="140">
        <f>SUM($D10:T10)*IF($B10="Operacional",IFERROR(VLOOKUP($C10,SN_UGC,28,0),0),1)</f>
        <v>3</v>
      </c>
      <c r="FV10" s="140">
        <f>SUM($D10:U10)*IF($B10="Operacional",IFERROR(VLOOKUP($C10,SN_UGC,28,0),0),1)</f>
        <v>3</v>
      </c>
      <c r="FW10" s="140">
        <f>SUM($D10:V10)*IF($B10="Operacional",IFERROR(VLOOKUP($C10,SN_UGC,28,0),0),1)</f>
        <v>3</v>
      </c>
      <c r="FX10" s="140">
        <f>SUM($D10:W10)*IF($B10="Operacional",IFERROR(VLOOKUP($C10,SN_UGC,28,0),0),1)</f>
        <v>3</v>
      </c>
      <c r="FY10" s="140">
        <f>SUM($D10:X10)*IF($B10="Operacional",IFERROR(VLOOKUP($C10,SN_UGC,28,0),0),1)</f>
        <v>3</v>
      </c>
      <c r="FZ10" s="140">
        <f>SUM($D10:Y10)*IF($B10="Operacional",IFERROR(VLOOKUP($C10,SN_UGC,28,0),0),1)</f>
        <v>3</v>
      </c>
      <c r="GA10" s="140">
        <f>SUM($D10:Z10)*IF($B10="Operacional",IFERROR(VLOOKUP($C10,SN_UGC,28,0),0),1)</f>
        <v>3</v>
      </c>
      <c r="GB10" s="140">
        <f>SUM($D10:AA10)*IF($B10="Operacional",IFERROR(VLOOKUP($C10,SN_UGC,28,0),0),1)</f>
        <v>3</v>
      </c>
      <c r="GC10" s="140">
        <f>SUM($D10:AB10)*IF($B10="Operacional",IFERROR(VLOOKUP($C10,SN_UGC,28,0),0),1)</f>
        <v>3</v>
      </c>
      <c r="GD10" s="140">
        <f>SUM($D10:AC10)*IF($B10="Operacional",IFERROR(VLOOKUP($C10,SN_UGC,28,0),0),1)</f>
        <v>3</v>
      </c>
      <c r="GE10" s="140">
        <f>SUM($D10:AD10)*IF($B10="Operacional",IFERROR(VLOOKUP($C10,SN_UGC,28,0),0),1)</f>
        <v>3</v>
      </c>
      <c r="GF10" s="140">
        <f>SUM($D10:AE10)*IF($B10="Operacional",IFERROR(VLOOKUP($C10,SN_UGC,28,0),0),1)</f>
        <v>3</v>
      </c>
      <c r="GG10" s="140">
        <f>SUM($D10:AF10)*IF($B10="Operacional",IFERROR(VLOOKUP($C10,SN_UGC,28,0),0),1)</f>
        <v>3</v>
      </c>
      <c r="GH10" s="140">
        <f>SUM($D10:AG10)*IF($B10="Operacional",IFERROR(VLOOKUP($C10,SN_UGC,28,0),0),1)</f>
        <v>3</v>
      </c>
      <c r="GI10" s="141">
        <f t="shared" ref="GI10:HL10" si="55">FE10*$AH10*$AL10</f>
        <v>32826.420000000006</v>
      </c>
      <c r="GJ10" s="141">
        <f t="shared" si="55"/>
        <v>32826.420000000006</v>
      </c>
      <c r="GK10" s="141">
        <f t="shared" si="55"/>
        <v>32826.420000000006</v>
      </c>
      <c r="GL10" s="141">
        <f t="shared" si="55"/>
        <v>32826.420000000006</v>
      </c>
      <c r="GM10" s="141">
        <f t="shared" si="55"/>
        <v>32826.420000000006</v>
      </c>
      <c r="GN10" s="141">
        <f t="shared" si="55"/>
        <v>32826.420000000006</v>
      </c>
      <c r="GO10" s="141">
        <f t="shared" si="55"/>
        <v>32826.420000000006</v>
      </c>
      <c r="GP10" s="141">
        <f t="shared" si="55"/>
        <v>32826.420000000006</v>
      </c>
      <c r="GQ10" s="141">
        <f t="shared" si="55"/>
        <v>32826.420000000006</v>
      </c>
      <c r="GR10" s="141">
        <f t="shared" si="55"/>
        <v>32826.420000000006</v>
      </c>
      <c r="GS10" s="141">
        <f t="shared" si="55"/>
        <v>32826.420000000006</v>
      </c>
      <c r="GT10" s="141">
        <f t="shared" si="55"/>
        <v>32826.420000000006</v>
      </c>
      <c r="GU10" s="141">
        <f t="shared" si="55"/>
        <v>32826.420000000006</v>
      </c>
      <c r="GV10" s="141">
        <f t="shared" si="55"/>
        <v>32826.420000000006</v>
      </c>
      <c r="GW10" s="141">
        <f t="shared" si="55"/>
        <v>32826.420000000006</v>
      </c>
      <c r="GX10" s="141">
        <f t="shared" si="55"/>
        <v>32826.420000000006</v>
      </c>
      <c r="GY10" s="141">
        <f t="shared" si="55"/>
        <v>32826.420000000006</v>
      </c>
      <c r="GZ10" s="141">
        <f t="shared" si="55"/>
        <v>32826.420000000006</v>
      </c>
      <c r="HA10" s="141">
        <f t="shared" si="55"/>
        <v>32826.420000000006</v>
      </c>
      <c r="HB10" s="141">
        <f t="shared" si="55"/>
        <v>32826.420000000006</v>
      </c>
      <c r="HC10" s="141">
        <f t="shared" si="55"/>
        <v>32826.420000000006</v>
      </c>
      <c r="HD10" s="141">
        <f t="shared" si="55"/>
        <v>32826.420000000006</v>
      </c>
      <c r="HE10" s="141">
        <f t="shared" si="55"/>
        <v>32826.420000000006</v>
      </c>
      <c r="HF10" s="141">
        <f t="shared" si="55"/>
        <v>32826.420000000006</v>
      </c>
      <c r="HG10" s="141">
        <f t="shared" si="55"/>
        <v>32826.420000000006</v>
      </c>
      <c r="HH10" s="141">
        <f t="shared" si="55"/>
        <v>32826.420000000006</v>
      </c>
      <c r="HI10" s="141">
        <f t="shared" si="55"/>
        <v>32826.420000000006</v>
      </c>
      <c r="HJ10" s="141">
        <f t="shared" si="55"/>
        <v>32826.420000000006</v>
      </c>
      <c r="HK10" s="141">
        <f t="shared" si="55"/>
        <v>32826.420000000006</v>
      </c>
      <c r="HL10" s="141">
        <f t="shared" si="55"/>
        <v>32826.420000000006</v>
      </c>
      <c r="HM10" s="142">
        <f t="shared" ref="HM10:IP10" si="56">IF(ISBLANK($A10),,FE10*($AH10-($AH10*$AJ10))/$AI10)</f>
        <v>98479.260000000009</v>
      </c>
      <c r="HN10" s="142">
        <f t="shared" si="56"/>
        <v>98479.260000000009</v>
      </c>
      <c r="HO10" s="142">
        <f t="shared" si="56"/>
        <v>98479.260000000009</v>
      </c>
      <c r="HP10" s="142">
        <f t="shared" si="56"/>
        <v>98479.260000000009</v>
      </c>
      <c r="HQ10" s="142">
        <f t="shared" si="56"/>
        <v>98479.260000000009</v>
      </c>
      <c r="HR10" s="142">
        <f t="shared" si="56"/>
        <v>98479.260000000009</v>
      </c>
      <c r="HS10" s="142">
        <f t="shared" si="56"/>
        <v>98479.260000000009</v>
      </c>
      <c r="HT10" s="142">
        <f t="shared" si="56"/>
        <v>98479.260000000009</v>
      </c>
      <c r="HU10" s="142">
        <f t="shared" si="56"/>
        <v>98479.260000000009</v>
      </c>
      <c r="HV10" s="142">
        <f t="shared" si="56"/>
        <v>98479.260000000009</v>
      </c>
      <c r="HW10" s="142">
        <f t="shared" si="56"/>
        <v>98479.260000000009</v>
      </c>
      <c r="HX10" s="142">
        <f t="shared" si="56"/>
        <v>98479.260000000009</v>
      </c>
      <c r="HY10" s="142">
        <f t="shared" si="56"/>
        <v>98479.260000000009</v>
      </c>
      <c r="HZ10" s="142">
        <f t="shared" si="56"/>
        <v>98479.260000000009</v>
      </c>
      <c r="IA10" s="142">
        <f t="shared" si="56"/>
        <v>98479.260000000009</v>
      </c>
      <c r="IB10" s="142">
        <f t="shared" si="56"/>
        <v>98479.260000000009</v>
      </c>
      <c r="IC10" s="142">
        <f t="shared" si="56"/>
        <v>98479.260000000009</v>
      </c>
      <c r="ID10" s="142">
        <f t="shared" si="56"/>
        <v>98479.260000000009</v>
      </c>
      <c r="IE10" s="142">
        <f t="shared" si="56"/>
        <v>98479.260000000009</v>
      </c>
      <c r="IF10" s="142">
        <f t="shared" si="56"/>
        <v>98479.260000000009</v>
      </c>
      <c r="IG10" s="142">
        <f t="shared" si="56"/>
        <v>98479.260000000009</v>
      </c>
      <c r="IH10" s="142">
        <f t="shared" si="56"/>
        <v>98479.260000000009</v>
      </c>
      <c r="II10" s="142">
        <f t="shared" si="56"/>
        <v>98479.260000000009</v>
      </c>
      <c r="IJ10" s="142">
        <f t="shared" si="56"/>
        <v>98479.260000000009</v>
      </c>
      <c r="IK10" s="142">
        <f t="shared" si="56"/>
        <v>98479.260000000009</v>
      </c>
      <c r="IL10" s="142">
        <f t="shared" si="56"/>
        <v>98479.260000000009</v>
      </c>
      <c r="IM10" s="142">
        <f t="shared" si="56"/>
        <v>98479.260000000009</v>
      </c>
      <c r="IN10" s="142">
        <f t="shared" si="56"/>
        <v>98479.260000000009</v>
      </c>
      <c r="IO10" s="142">
        <f t="shared" si="56"/>
        <v>98479.260000000009</v>
      </c>
      <c r="IP10" s="142">
        <f t="shared" si="56"/>
        <v>98479.260000000009</v>
      </c>
      <c r="IQ10" s="141">
        <f>IF(ISBLANK($A10),,IF($AN10="Não",0,(SUM($AO10:AO10)*$AH10)-SUM($HM10:HM10)-SUM($CW10:CW10)))</f>
        <v>558049.14</v>
      </c>
      <c r="IR10" s="141">
        <f>IF(ISBLANK($A10),,IF($AN10="Não",0,(SUM($AO10:AP10)*$AH10)-SUM($HM10:HN10)-SUM($CW10:CX10)))</f>
        <v>459569.88</v>
      </c>
      <c r="IS10" s="141">
        <f>IF(ISBLANK($A10),,IF($AN10="Não",0,(SUM($AO10:AQ10)*$AH10)-SUM($HM10:HO10)-SUM($CW10:CY10)))</f>
        <v>361090.62</v>
      </c>
      <c r="IT10" s="141">
        <f>IF(ISBLANK($A10),,IF($AN10="Não",0,(SUM($AO10:AR10)*$AH10)-SUM($HM10:HP10)-SUM($CW10:CZ10)))</f>
        <v>262611.36</v>
      </c>
      <c r="IU10" s="141">
        <f>IF(ISBLANK($A10),,IF($AN10="Não",0,(SUM($AO10:AS10)*$AH10)-SUM($HM10:HQ10)-SUM($CW10:DA10)))</f>
        <v>164132.09999999998</v>
      </c>
      <c r="IV10" s="141">
        <f>IF(ISBLANK($A10),,IF($AN10="Não",0,(SUM($AO10:AT10)*$AH10)-SUM($HM10:HR10)-SUM($CW10:DB10)))</f>
        <v>558049.14</v>
      </c>
      <c r="IW10" s="141">
        <f>IF(ISBLANK($A10),,IF($AN10="Não",0,(SUM($AO10:AU10)*$AH10)-SUM($HM10:HS10)-SUM($CW10:DC10)))</f>
        <v>459569.88</v>
      </c>
      <c r="IX10" s="141">
        <f>IF(ISBLANK($A10),,IF($AN10="Não",0,(SUM($AO10:AV10)*$AH10)-SUM($HM10:HT10)-SUM($CW10:DD10)))</f>
        <v>361090.62</v>
      </c>
      <c r="IY10" s="141">
        <f>IF(ISBLANK($A10),,IF($AN10="Não",0,(SUM($AO10:AW10)*$AH10)-SUM($HM10:HU10)-SUM($CW10:DE10)))</f>
        <v>262611.36</v>
      </c>
      <c r="IZ10" s="141">
        <f>IF(ISBLANK($A10),,IF($AN10="Não",0,(SUM($AO10:AX10)*$AH10)-SUM($HM10:HV10)-SUM($CW10:DF10)))</f>
        <v>164132.09999999995</v>
      </c>
      <c r="JA10" s="141">
        <f>IF(ISBLANK($A10),,IF($AN10="Não",0,(SUM($AO10:AY10)*$AH10)-SUM($HM10:HW10)-SUM($CW10:DG10)))</f>
        <v>558049.14000000013</v>
      </c>
      <c r="JB10" s="141">
        <f>IF(ISBLANK($A10),,IF($AN10="Não",0,(SUM($AO10:AZ10)*$AH10)-SUM($HM10:HX10)-SUM($CW10:DH10)))</f>
        <v>459569.88000000006</v>
      </c>
      <c r="JC10" s="141">
        <f>IF(ISBLANK($A10),,IF($AN10="Não",0,(SUM($AO10:BA10)*$AH10)-SUM($HM10:HY10)-SUM($CW10:DI10)))</f>
        <v>361090.62000000005</v>
      </c>
      <c r="JD10" s="141">
        <f>IF(ISBLANK($A10),,IF($AN10="Não",0,(SUM($AO10:BB10)*$AH10)-SUM($HM10:HZ10)-SUM($CW10:DJ10)))</f>
        <v>262611.36000000004</v>
      </c>
      <c r="JE10" s="141">
        <f>IF(ISBLANK($A10),,IF($AN10="Não",0,(SUM($AO10:BC10)*$AH10)-SUM($HM10:IA10)-SUM($CW10:DK10)))</f>
        <v>164132.10000000003</v>
      </c>
      <c r="JF10" s="141">
        <f>IF(ISBLANK($A10),,IF($AN10="Não",0,(SUM($AO10:BD10)*$AH10)-SUM($HM10:IB10)-SUM($CW10:DL10)))</f>
        <v>558049.1399999999</v>
      </c>
      <c r="JG10" s="141">
        <f>IF(ISBLANK($A10),,IF($AN10="Não",0,(SUM($AO10:BE10)*$AH10)-SUM($HM10:IC10)-SUM($CW10:DM10)))</f>
        <v>459569.87999999989</v>
      </c>
      <c r="JH10" s="141">
        <f>IF(ISBLANK($A10),,IF($AN10="Não",0,(SUM($AO10:BF10)*$AH10)-SUM($HM10:ID10)-SUM($CW10:DN10)))</f>
        <v>361090.61999999988</v>
      </c>
      <c r="JI10" s="141">
        <f>IF(ISBLANK($A10),,IF($AN10="Não",0,(SUM($AO10:BG10)*$AH10)-SUM($HM10:IE10)-SUM($CW10:DO10)))</f>
        <v>262611.35999999987</v>
      </c>
      <c r="JJ10" s="141">
        <f>IF(ISBLANK($A10),,IF($AN10="Não",0,(SUM($AO10:BH10)*$AH10)-SUM($HM10:IF10)-SUM($CW10:DP10)))</f>
        <v>164132.09999999986</v>
      </c>
      <c r="JK10" s="141">
        <f>IF(ISBLANK($A10),,IF($AN10="Não",0,(SUM($AO10:BI10)*$AH10)-SUM($HM10:IG10)-SUM($CW10:DQ10)))</f>
        <v>558049.14000000025</v>
      </c>
      <c r="JL10" s="141">
        <f>IF(ISBLANK($A10),,IF($AN10="Não",0,(SUM($AO10:BJ10)*$AH10)-SUM($HM10:IH10)-SUM($CW10:DR10)))</f>
        <v>459569.88000000024</v>
      </c>
      <c r="JM10" s="141">
        <f>IF(ISBLANK($A10),,IF($AN10="Não",0,(SUM($AO10:BK10)*$AH10)-SUM($HM10:II10)-SUM($CW10:DS10)))</f>
        <v>361090.62</v>
      </c>
      <c r="JN10" s="141">
        <f>IF(ISBLANK($A10),,IF($AN10="Não",0,(SUM($AO10:BL10)*$AH10)-SUM($HM10:IJ10)-SUM($CW10:DT10)))</f>
        <v>262611.36000000022</v>
      </c>
      <c r="JO10" s="141">
        <f>IF(ISBLANK($A10),,IF($AN10="Não",0,(SUM($AO10:BM10)*$AH10)-SUM($HM10:IK10)-SUM($CW10:DU10)))</f>
        <v>164132.10000000044</v>
      </c>
      <c r="JP10" s="141">
        <f>IF(ISBLANK($A10),,IF($AN10="Não",0,(SUM($AO10:BN10)*$AH10)-SUM($HM10:IL10)-SUM($CW10:DV10)))</f>
        <v>558049.1400000006</v>
      </c>
      <c r="JQ10" s="141">
        <f>IF(ISBLANK($A10),,IF($AN10="Não",0,(SUM($AO10:BO10)*$AH10)-SUM($HM10:IM10)-SUM($CW10:DW10)))</f>
        <v>459569.88000000082</v>
      </c>
      <c r="JR10" s="141">
        <f>IF(ISBLANK($A10),,IF($AN10="Não",0,(SUM($AO10:BP10)*$AH10)-SUM($HM10:IN10)-SUM($CW10:DX10)))</f>
        <v>361090.62000000104</v>
      </c>
      <c r="JS10" s="141">
        <f>IF(ISBLANK($A10),,IF($AN10="Não",0,(SUM($AO10:BQ10)*$AH10)-SUM($HM10:IO10)-SUM($CW10:DY10)))</f>
        <v>262611.36000000127</v>
      </c>
      <c r="JT10" s="141">
        <f>IF(ISBLANK($A10),,IF($AN10="Não",0,(SUM($AO10:BR10)*$AH10)-SUM($HM10:IP10)-SUM($CW10:DZ10)))</f>
        <v>164132.10000000149</v>
      </c>
    </row>
    <row r="11" spans="1:280" ht="15.75" customHeight="1">
      <c r="A11" s="129" t="s">
        <v>394</v>
      </c>
      <c r="B11" s="129" t="s">
        <v>209</v>
      </c>
      <c r="C11" s="138" t="s">
        <v>100</v>
      </c>
      <c r="D11" s="139">
        <v>3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607">
        <f t="shared" si="0"/>
        <v>38500</v>
      </c>
      <c r="AI11" s="608">
        <f t="shared" si="1"/>
        <v>5</v>
      </c>
      <c r="AJ11" s="609">
        <f t="shared" si="2"/>
        <v>0.25</v>
      </c>
      <c r="AK11" s="610" t="str">
        <f t="shared" si="3"/>
        <v>Veículos e embarcações</v>
      </c>
      <c r="AL11" s="609">
        <f t="shared" si="4"/>
        <v>0.05</v>
      </c>
      <c r="AM11" s="611" t="str">
        <f t="shared" si="5"/>
        <v>Sim</v>
      </c>
      <c r="AN11" s="611" t="str">
        <f t="shared" si="6"/>
        <v>Sim</v>
      </c>
      <c r="AO11" s="140">
        <f t="array" ref="AO11">IF(ISBLANK($A11),0,IF(OR(AO$5-$AI11&lt;=0,$AM11="Não"),D11,D11+INDEX($AO$6:$BR$176,ROW()-5,COLUMN()-40-$AI11)))*IF($B11="Operacional",IFERROR(VLOOKUP($C11,SN_UGC,28,0),0),1)</f>
        <v>3</v>
      </c>
      <c r="AP11" s="140">
        <f t="array" ref="AP11">IF(ISBLANK($A11),0,IF(OR(AP$5-$AI11&lt;=0,$AM11="Não"),E11,E11+INDEX($AO$6:$BR$176,ROW()-5,COLUMN()-40-$AI11)))*IF($B11="Operacional",IFERROR(VLOOKUP($C11,SN_UGC,28,0),0),1)</f>
        <v>0</v>
      </c>
      <c r="AQ11" s="140">
        <f t="array" ref="AQ11">IF(ISBLANK($A11),0,IF(OR(AQ$5-$AI11&lt;=0,$AM11="Não"),F11,F11+INDEX($AO$6:$BR$176,ROW()-5,COLUMN()-40-$AI11)))*IF($B11="Operacional",IFERROR(VLOOKUP($C11,SN_UGC,28,0),0),1)</f>
        <v>0</v>
      </c>
      <c r="AR11" s="140">
        <f t="array" ref="AR11">IF(ISBLANK($A11),0,IF(OR(AR$5-$AI11&lt;=0,$AM11="Não"),G11,G11+INDEX($AO$6:$BR$176,ROW()-5,COLUMN()-40-$AI11)))*IF($B11="Operacional",IFERROR(VLOOKUP($C11,SN_UGC,28,0),0),1)</f>
        <v>0</v>
      </c>
      <c r="AS11" s="140">
        <f t="array" ref="AS11">IF(ISBLANK($A11),0,IF(OR(AS$5-$AI11&lt;=0,$AM11="Não"),H11,H11+INDEX($AO$6:$BR$176,ROW()-5,COLUMN()-40-$AI11)))*IF($B11="Operacional",IFERROR(VLOOKUP($C11,SN_UGC,28,0),0),1)</f>
        <v>0</v>
      </c>
      <c r="AT11" s="140">
        <f t="array" ref="AT11">IF(ISBLANK($A11),0,IF(OR(AT$5-$AI11&lt;=0,$AM11="Não"),I11,I11+INDEX($AO$6:$BR$176,ROW()-5,COLUMN()-40-$AI11)))*IF($B11="Operacional",IFERROR(VLOOKUP($C11,SN_UGC,28,0),0),1)</f>
        <v>3</v>
      </c>
      <c r="AU11" s="140">
        <f t="array" ref="AU11">IF(ISBLANK($A11),0,IF(OR(AU$5-$AI11&lt;=0,$AM11="Não"),J11,J11+INDEX($AO$6:$BR$176,ROW()-5,COLUMN()-40-$AI11)))*IF($B11="Operacional",IFERROR(VLOOKUP($C11,SN_UGC,28,0),0),1)</f>
        <v>0</v>
      </c>
      <c r="AV11" s="140">
        <f t="array" ref="AV11">IF(ISBLANK($A11),0,IF(OR(AV$5-$AI11&lt;=0,$AM11="Não"),K11,K11+INDEX($AO$6:$BR$176,ROW()-5,COLUMN()-40-$AI11)))*IF($B11="Operacional",IFERROR(VLOOKUP($C11,SN_UGC,28,0),0),1)</f>
        <v>0</v>
      </c>
      <c r="AW11" s="140">
        <f t="array" ref="AW11">IF(ISBLANK($A11),0,IF(OR(AW$5-$AI11&lt;=0,$AM11="Não"),L11,L11+INDEX($AO$6:$BR$176,ROW()-5,COLUMN()-40-$AI11)))*IF($B11="Operacional",IFERROR(VLOOKUP($C11,SN_UGC,28,0),0),1)</f>
        <v>0</v>
      </c>
      <c r="AX11" s="140">
        <f t="array" ref="AX11">IF(ISBLANK($A11),0,IF(OR(AX$5-$AI11&lt;=0,$AM11="Não"),M11,M11+INDEX($AO$6:$BR$176,ROW()-5,COLUMN()-40-$AI11)))*IF($B11="Operacional",IFERROR(VLOOKUP($C11,SN_UGC,28,0),0),1)</f>
        <v>0</v>
      </c>
      <c r="AY11" s="140">
        <f t="array" ref="AY11">IF(ISBLANK($A11),0,IF(OR(AY$5-$AI11&lt;=0,$AM11="Não"),N11,N11+INDEX($AO$6:$BR$176,ROW()-5,COLUMN()-40-$AI11)))*IF($B11="Operacional",IFERROR(VLOOKUP($C11,SN_UGC,28,0),0),1)</f>
        <v>3</v>
      </c>
      <c r="AZ11" s="140">
        <f t="array" ref="AZ11">IF(ISBLANK($A11),0,IF(OR(AZ$5-$AI11&lt;=0,$AM11="Não"),O11,O11+INDEX($AO$6:$BR$176,ROW()-5,COLUMN()-40-$AI11)))*IF($B11="Operacional",IFERROR(VLOOKUP($C11,SN_UGC,28,0),0),1)</f>
        <v>0</v>
      </c>
      <c r="BA11" s="140">
        <f t="array" ref="BA11">IF(ISBLANK($A11),0,IF(OR(BA$5-$AI11&lt;=0,$AM11="Não"),P11,P11+INDEX($AO$6:$BR$176,ROW()-5,COLUMN()-40-$AI11)))*IF($B11="Operacional",IFERROR(VLOOKUP($C11,SN_UGC,28,0),0),1)</f>
        <v>0</v>
      </c>
      <c r="BB11" s="140">
        <f t="array" ref="BB11">IF(ISBLANK($A11),0,IF(OR(BB$5-$AI11&lt;=0,$AM11="Não"),Q11,Q11+INDEX($AO$6:$BR$176,ROW()-5,COLUMN()-40-$AI11)))*IF($B11="Operacional",IFERROR(VLOOKUP($C11,SN_UGC,28,0),0),1)</f>
        <v>0</v>
      </c>
      <c r="BC11" s="140">
        <f t="array" ref="BC11">IF(ISBLANK($A11),0,IF(OR(BC$5-$AI11&lt;=0,$AM11="Não"),R11,R11+INDEX($AO$6:$BR$176,ROW()-5,COLUMN()-40-$AI11)))*IF($B11="Operacional",IFERROR(VLOOKUP($C11,SN_UGC,28,0),0),1)</f>
        <v>0</v>
      </c>
      <c r="BD11" s="140">
        <f t="array" ref="BD11">IF(ISBLANK($A11),0,IF(OR(BD$5-$AI11&lt;=0,$AM11="Não"),S11,S11+INDEX($AO$6:$BR$176,ROW()-5,COLUMN()-40-$AI11)))*IF($B11="Operacional",IFERROR(VLOOKUP($C11,SN_UGC,28,0),0),1)</f>
        <v>3</v>
      </c>
      <c r="BE11" s="140">
        <f t="array" ref="BE11">IF(ISBLANK($A11),0,IF(OR(BE$5-$AI11&lt;=0,$AM11="Não"),T11,T11+INDEX($AO$6:$BR$176,ROW()-5,COLUMN()-40-$AI11)))*IF($B11="Operacional",IFERROR(VLOOKUP($C11,SN_UGC,28,0),0),1)</f>
        <v>0</v>
      </c>
      <c r="BF11" s="140">
        <f t="array" ref="BF11">IF(ISBLANK($A11),0,IF(OR(BF$5-$AI11&lt;=0,$AM11="Não"),U11,U11+INDEX($AO$6:$BR$176,ROW()-5,COLUMN()-40-$AI11)))*IF($B11="Operacional",IFERROR(VLOOKUP($C11,SN_UGC,28,0),0),1)</f>
        <v>0</v>
      </c>
      <c r="BG11" s="140">
        <f t="array" ref="BG11">IF(ISBLANK($A11),0,IF(OR(BG$5-$AI11&lt;=0,$AM11="Não"),V11,V11+INDEX($AO$6:$BR$176,ROW()-5,COLUMN()-40-$AI11)))*IF($B11="Operacional",IFERROR(VLOOKUP($C11,SN_UGC,28,0),0),1)</f>
        <v>0</v>
      </c>
      <c r="BH11" s="140">
        <f t="array" ref="BH11">IF(ISBLANK($A11),0,IF(OR(BH$5-$AI11&lt;=0,$AM11="Não"),W11,W11+INDEX($AO$6:$BR$176,ROW()-5,COLUMN()-40-$AI11)))*IF($B11="Operacional",IFERROR(VLOOKUP($C11,SN_UGC,28,0),0),1)</f>
        <v>0</v>
      </c>
      <c r="BI11" s="140">
        <f t="array" ref="BI11">IF(ISBLANK($A11),0,IF(OR(BI$5-$AI11&lt;=0,$AM11="Não"),X11,X11+INDEX($AO$6:$BR$176,ROW()-5,COLUMN()-40-$AI11)))*IF($B11="Operacional",IFERROR(VLOOKUP($C11,SN_UGC,28,0),0),1)</f>
        <v>3</v>
      </c>
      <c r="BJ11" s="140">
        <f t="array" ref="BJ11">IF(ISBLANK($A11),0,IF(OR(BJ$5-$AI11&lt;=0,$AM11="Não"),Y11,Y11+INDEX($AO$6:$BR$176,ROW()-5,COLUMN()-40-$AI11)))*IF($B11="Operacional",IFERROR(VLOOKUP($C11,SN_UGC,28,0),0),1)</f>
        <v>0</v>
      </c>
      <c r="BK11" s="140">
        <f t="array" ref="BK11">IF(ISBLANK($A11),0,IF(OR(BK$5-$AI11&lt;=0,$AM11="Não"),Z11,Z11+INDEX($AO$6:$BR$176,ROW()-5,COLUMN()-40-$AI11)))*IF($B11="Operacional",IFERROR(VLOOKUP($C11,SN_UGC,28,0),0),1)</f>
        <v>0</v>
      </c>
      <c r="BL11" s="140">
        <f t="array" ref="BL11">IF(ISBLANK($A11),0,IF(OR(BL$5-$AI11&lt;=0,$AM11="Não"),AA11,AA11+INDEX($AO$6:$BR$176,ROW()-5,COLUMN()-40-$AI11)))*IF($B11="Operacional",IFERROR(VLOOKUP($C11,SN_UGC,28,0),0),1)</f>
        <v>0</v>
      </c>
      <c r="BM11" s="140">
        <f t="array" ref="BM11">IF(ISBLANK($A11),0,IF(OR(BM$5-$AI11&lt;=0,$AM11="Não"),AB11,AB11+INDEX($AO$6:$BR$176,ROW()-5,COLUMN()-40-$AI11)))*IF($B11="Operacional",IFERROR(VLOOKUP($C11,SN_UGC,28,0),0),1)</f>
        <v>0</v>
      </c>
      <c r="BN11" s="140">
        <f t="array" ref="BN11">IF(ISBLANK($A11),0,IF(OR(BN$5-$AI11&lt;=0,$AM11="Não"),AC11,AC11+INDEX($AO$6:$BR$176,ROW()-5,COLUMN()-40-$AI11)))*IF($B11="Operacional",IFERROR(VLOOKUP($C11,SN_UGC,28,0),0),1)</f>
        <v>3</v>
      </c>
      <c r="BO11" s="140">
        <f t="array" ref="BO11">IF(ISBLANK($A11),0,IF(OR(BO$5-$AI11&lt;=0,$AM11="Não"),AD11,AD11+INDEX($AO$6:$BR$176,ROW()-5,COLUMN()-40-$AI11)))*IF($B11="Operacional",IFERROR(VLOOKUP($C11,SN_UGC,28,0),0),1)</f>
        <v>0</v>
      </c>
      <c r="BP11" s="140">
        <f t="array" ref="BP11">IF(ISBLANK($A11),0,IF(OR(BP$5-$AI11&lt;=0,$AM11="Não"),AE11,AE11+INDEX($AO$6:$BR$176,ROW()-5,COLUMN()-40-$AI11)))*IF($B11="Operacional",IFERROR(VLOOKUP($C11,SN_UGC,28,0),0),1)</f>
        <v>0</v>
      </c>
      <c r="BQ11" s="140">
        <f t="array" ref="BQ11">IF(ISBLANK($A11),0,IF(OR(BQ$5-$AI11&lt;=0,$AM11="Não"),AF11,AF11+INDEX($AO$6:$BR$176,ROW()-5,COLUMN()-40-$AI11)))*IF($B11="Operacional",IFERROR(VLOOKUP($C11,SN_UGC,28,0),0),1)</f>
        <v>0</v>
      </c>
      <c r="BR11" s="140">
        <f t="array" ref="BR11">IF(ISBLANK($A11),0,IF(OR(BR$5-$AI11&lt;=0,$AM11="Não"),AG11,AG11+INDEX($AO$6:$BR$176,ROW()-5,COLUMN()-40-$AI11)))*IF($B11="Operacional",IFERROR(VLOOKUP($C11,SN_UGC,28,0),0),1)</f>
        <v>0</v>
      </c>
      <c r="BS11" s="141">
        <f t="shared" ref="BS11:CV11" si="57">IF(ISBLANK($A11),0,$AH11*AO11)</f>
        <v>115500</v>
      </c>
      <c r="BT11" s="141">
        <f t="shared" si="57"/>
        <v>0</v>
      </c>
      <c r="BU11" s="141">
        <f t="shared" si="57"/>
        <v>0</v>
      </c>
      <c r="BV11" s="141">
        <f t="shared" si="57"/>
        <v>0</v>
      </c>
      <c r="BW11" s="141">
        <f t="shared" si="57"/>
        <v>0</v>
      </c>
      <c r="BX11" s="141">
        <f t="shared" si="57"/>
        <v>115500</v>
      </c>
      <c r="BY11" s="141">
        <f t="shared" si="57"/>
        <v>0</v>
      </c>
      <c r="BZ11" s="141">
        <f t="shared" si="57"/>
        <v>0</v>
      </c>
      <c r="CA11" s="141">
        <f t="shared" si="57"/>
        <v>0</v>
      </c>
      <c r="CB11" s="141">
        <f t="shared" si="57"/>
        <v>0</v>
      </c>
      <c r="CC11" s="141">
        <f t="shared" si="57"/>
        <v>115500</v>
      </c>
      <c r="CD11" s="141">
        <f t="shared" si="57"/>
        <v>0</v>
      </c>
      <c r="CE11" s="141">
        <f t="shared" si="57"/>
        <v>0</v>
      </c>
      <c r="CF11" s="141">
        <f t="shared" si="57"/>
        <v>0</v>
      </c>
      <c r="CG11" s="141">
        <f t="shared" si="57"/>
        <v>0</v>
      </c>
      <c r="CH11" s="141">
        <f t="shared" si="57"/>
        <v>115500</v>
      </c>
      <c r="CI11" s="141">
        <f t="shared" si="57"/>
        <v>0</v>
      </c>
      <c r="CJ11" s="141">
        <f t="shared" si="57"/>
        <v>0</v>
      </c>
      <c r="CK11" s="141">
        <f t="shared" si="57"/>
        <v>0</v>
      </c>
      <c r="CL11" s="141">
        <f t="shared" si="57"/>
        <v>0</v>
      </c>
      <c r="CM11" s="141">
        <f t="shared" si="57"/>
        <v>115500</v>
      </c>
      <c r="CN11" s="141">
        <f t="shared" si="57"/>
        <v>0</v>
      </c>
      <c r="CO11" s="141">
        <f t="shared" si="57"/>
        <v>0</v>
      </c>
      <c r="CP11" s="141">
        <f t="shared" si="57"/>
        <v>0</v>
      </c>
      <c r="CQ11" s="141">
        <f t="shared" si="57"/>
        <v>0</v>
      </c>
      <c r="CR11" s="141">
        <f t="shared" si="57"/>
        <v>115500</v>
      </c>
      <c r="CS11" s="141">
        <f t="shared" si="57"/>
        <v>0</v>
      </c>
      <c r="CT11" s="141">
        <f t="shared" si="57"/>
        <v>0</v>
      </c>
      <c r="CU11" s="141">
        <f t="shared" si="57"/>
        <v>0</v>
      </c>
      <c r="CV11" s="141">
        <f t="shared" si="57"/>
        <v>0</v>
      </c>
      <c r="CW11" s="142">
        <f t="shared" ref="CW11:DZ11" si="58">EA11*$AH11*$AJ11</f>
        <v>0</v>
      </c>
      <c r="CX11" s="142">
        <f t="shared" si="58"/>
        <v>0</v>
      </c>
      <c r="CY11" s="142">
        <f t="shared" si="58"/>
        <v>0</v>
      </c>
      <c r="CZ11" s="142">
        <f t="shared" si="58"/>
        <v>0</v>
      </c>
      <c r="DA11" s="142">
        <f t="shared" si="58"/>
        <v>0</v>
      </c>
      <c r="DB11" s="142">
        <f t="shared" si="58"/>
        <v>28875</v>
      </c>
      <c r="DC11" s="142">
        <f t="shared" si="58"/>
        <v>0</v>
      </c>
      <c r="DD11" s="142">
        <f t="shared" si="58"/>
        <v>0</v>
      </c>
      <c r="DE11" s="142">
        <f t="shared" si="58"/>
        <v>0</v>
      </c>
      <c r="DF11" s="142">
        <f t="shared" si="58"/>
        <v>0</v>
      </c>
      <c r="DG11" s="142">
        <f t="shared" si="58"/>
        <v>28875</v>
      </c>
      <c r="DH11" s="142">
        <f t="shared" si="58"/>
        <v>0</v>
      </c>
      <c r="DI11" s="142">
        <f t="shared" si="58"/>
        <v>0</v>
      </c>
      <c r="DJ11" s="142">
        <f t="shared" si="58"/>
        <v>0</v>
      </c>
      <c r="DK11" s="142">
        <f t="shared" si="58"/>
        <v>0</v>
      </c>
      <c r="DL11" s="142">
        <f t="shared" si="58"/>
        <v>28875</v>
      </c>
      <c r="DM11" s="142">
        <f t="shared" si="58"/>
        <v>0</v>
      </c>
      <c r="DN11" s="142">
        <f t="shared" si="58"/>
        <v>0</v>
      </c>
      <c r="DO11" s="142">
        <f t="shared" si="58"/>
        <v>0</v>
      </c>
      <c r="DP11" s="142">
        <f t="shared" si="58"/>
        <v>0</v>
      </c>
      <c r="DQ11" s="142">
        <f t="shared" si="58"/>
        <v>28875</v>
      </c>
      <c r="DR11" s="142">
        <f t="shared" si="58"/>
        <v>0</v>
      </c>
      <c r="DS11" s="142">
        <f t="shared" si="58"/>
        <v>0</v>
      </c>
      <c r="DT11" s="142">
        <f t="shared" si="58"/>
        <v>0</v>
      </c>
      <c r="DU11" s="142">
        <f t="shared" si="58"/>
        <v>0</v>
      </c>
      <c r="DV11" s="142">
        <f t="shared" si="58"/>
        <v>28875</v>
      </c>
      <c r="DW11" s="142">
        <f t="shared" si="58"/>
        <v>0</v>
      </c>
      <c r="DX11" s="142">
        <f t="shared" si="58"/>
        <v>0</v>
      </c>
      <c r="DY11" s="142">
        <f t="shared" si="58"/>
        <v>0</v>
      </c>
      <c r="DZ11" s="142">
        <f t="shared" si="58"/>
        <v>0</v>
      </c>
      <c r="EA11" s="143">
        <f t="shared" si="9"/>
        <v>0</v>
      </c>
      <c r="EB11" s="143">
        <f t="shared" si="10"/>
        <v>0</v>
      </c>
      <c r="EC11" s="143">
        <f t="shared" si="11"/>
        <v>0</v>
      </c>
      <c r="ED11" s="143">
        <f t="shared" si="12"/>
        <v>0</v>
      </c>
      <c r="EE11" s="143">
        <f t="shared" si="13"/>
        <v>0</v>
      </c>
      <c r="EF11" s="143">
        <f t="shared" si="14"/>
        <v>3</v>
      </c>
      <c r="EG11" s="143">
        <f t="shared" si="15"/>
        <v>0</v>
      </c>
      <c r="EH11" s="143">
        <f t="shared" si="16"/>
        <v>0</v>
      </c>
      <c r="EI11" s="143">
        <f t="shared" si="17"/>
        <v>0</v>
      </c>
      <c r="EJ11" s="143">
        <f t="shared" si="18"/>
        <v>0</v>
      </c>
      <c r="EK11" s="143">
        <f t="shared" si="19"/>
        <v>3</v>
      </c>
      <c r="EL11" s="143">
        <f t="shared" si="20"/>
        <v>0</v>
      </c>
      <c r="EM11" s="143">
        <f t="shared" si="21"/>
        <v>0</v>
      </c>
      <c r="EN11" s="143">
        <f t="shared" si="22"/>
        <v>0</v>
      </c>
      <c r="EO11" s="143">
        <f t="shared" si="23"/>
        <v>0</v>
      </c>
      <c r="EP11" s="143">
        <f t="shared" si="24"/>
        <v>3</v>
      </c>
      <c r="EQ11" s="143">
        <f t="shared" si="25"/>
        <v>0</v>
      </c>
      <c r="ER11" s="143">
        <f t="shared" si="26"/>
        <v>0</v>
      </c>
      <c r="ES11" s="143">
        <f t="shared" si="27"/>
        <v>0</v>
      </c>
      <c r="ET11" s="143">
        <f t="shared" si="28"/>
        <v>0</v>
      </c>
      <c r="EU11" s="143">
        <f t="shared" si="29"/>
        <v>3</v>
      </c>
      <c r="EV11" s="143">
        <f t="shared" si="30"/>
        <v>0</v>
      </c>
      <c r="EW11" s="143">
        <f t="shared" si="31"/>
        <v>0</v>
      </c>
      <c r="EX11" s="143">
        <f t="shared" si="32"/>
        <v>0</v>
      </c>
      <c r="EY11" s="143">
        <f t="shared" si="33"/>
        <v>0</v>
      </c>
      <c r="EZ11" s="143">
        <f t="shared" si="34"/>
        <v>3</v>
      </c>
      <c r="FA11" s="143">
        <f t="shared" si="35"/>
        <v>0</v>
      </c>
      <c r="FB11" s="143">
        <f t="shared" si="36"/>
        <v>0</v>
      </c>
      <c r="FC11" s="143">
        <f t="shared" si="37"/>
        <v>0</v>
      </c>
      <c r="FD11" s="143">
        <f t="shared" si="38"/>
        <v>0</v>
      </c>
      <c r="FE11" s="140">
        <f>SUM($D11:D11)*IF($B11="Operacional",IFERROR(VLOOKUP($C11,SN_UGC,28,0),0),1)</f>
        <v>3</v>
      </c>
      <c r="FF11" s="140">
        <f>SUM($D11:E11)*IF($B11="Operacional",IFERROR(VLOOKUP($C11,SN_UGC,28,0),0),1)</f>
        <v>3</v>
      </c>
      <c r="FG11" s="140">
        <f>SUM($D11:F11)*IF($B11="Operacional",IFERROR(VLOOKUP($C11,SN_UGC,28,0),0),1)</f>
        <v>3</v>
      </c>
      <c r="FH11" s="140">
        <f>SUM($D11:G11)*IF($B11="Operacional",IFERROR(VLOOKUP($C11,SN_UGC,28,0),0),1)</f>
        <v>3</v>
      </c>
      <c r="FI11" s="140">
        <f>SUM($D11:H11)*IF($B11="Operacional",IFERROR(VLOOKUP($C11,SN_UGC,28,0),0),1)</f>
        <v>3</v>
      </c>
      <c r="FJ11" s="140">
        <f>SUM($D11:I11)*IF($B11="Operacional",IFERROR(VLOOKUP($C11,SN_UGC,28,0),0),1)</f>
        <v>3</v>
      </c>
      <c r="FK11" s="140">
        <f>SUM($D11:J11)*IF($B11="Operacional",IFERROR(VLOOKUP($C11,SN_UGC,28,0),0),1)</f>
        <v>3</v>
      </c>
      <c r="FL11" s="140">
        <f>SUM($D11:K11)*IF($B11="Operacional",IFERROR(VLOOKUP($C11,SN_UGC,28,0),0),1)</f>
        <v>3</v>
      </c>
      <c r="FM11" s="140">
        <f>SUM($D11:L11)*IF($B11="Operacional",IFERROR(VLOOKUP($C11,SN_UGC,28,0),0),1)</f>
        <v>3</v>
      </c>
      <c r="FN11" s="140">
        <f>SUM($D11:M11)*IF($B11="Operacional",IFERROR(VLOOKUP($C11,SN_UGC,28,0),0),1)</f>
        <v>3</v>
      </c>
      <c r="FO11" s="140">
        <f>SUM($D11:N11)*IF($B11="Operacional",IFERROR(VLOOKUP($C11,SN_UGC,28,0),0),1)</f>
        <v>3</v>
      </c>
      <c r="FP11" s="140">
        <f>SUM($D11:O11)*IF($B11="Operacional",IFERROR(VLOOKUP($C11,SN_UGC,28,0),0),1)</f>
        <v>3</v>
      </c>
      <c r="FQ11" s="140">
        <f>SUM($D11:P11)*IF($B11="Operacional",IFERROR(VLOOKUP($C11,SN_UGC,28,0),0),1)</f>
        <v>3</v>
      </c>
      <c r="FR11" s="140">
        <f>SUM($D11:Q11)*IF($B11="Operacional",IFERROR(VLOOKUP($C11,SN_UGC,28,0),0),1)</f>
        <v>3</v>
      </c>
      <c r="FS11" s="140">
        <f>SUM($D11:R11)*IF($B11="Operacional",IFERROR(VLOOKUP($C11,SN_UGC,28,0),0),1)</f>
        <v>3</v>
      </c>
      <c r="FT11" s="140">
        <f>SUM($D11:S11)*IF($B11="Operacional",IFERROR(VLOOKUP($C11,SN_UGC,28,0),0),1)</f>
        <v>3</v>
      </c>
      <c r="FU11" s="140">
        <f>SUM($D11:T11)*IF($B11="Operacional",IFERROR(VLOOKUP($C11,SN_UGC,28,0),0),1)</f>
        <v>3</v>
      </c>
      <c r="FV11" s="140">
        <f>SUM($D11:U11)*IF($B11="Operacional",IFERROR(VLOOKUP($C11,SN_UGC,28,0),0),1)</f>
        <v>3</v>
      </c>
      <c r="FW11" s="140">
        <f>SUM($D11:V11)*IF($B11="Operacional",IFERROR(VLOOKUP($C11,SN_UGC,28,0),0),1)</f>
        <v>3</v>
      </c>
      <c r="FX11" s="140">
        <f>SUM($D11:W11)*IF($B11="Operacional",IFERROR(VLOOKUP($C11,SN_UGC,28,0),0),1)</f>
        <v>3</v>
      </c>
      <c r="FY11" s="140">
        <f>SUM($D11:X11)*IF($B11="Operacional",IFERROR(VLOOKUP($C11,SN_UGC,28,0),0),1)</f>
        <v>3</v>
      </c>
      <c r="FZ11" s="140">
        <f>SUM($D11:Y11)*IF($B11="Operacional",IFERROR(VLOOKUP($C11,SN_UGC,28,0),0),1)</f>
        <v>3</v>
      </c>
      <c r="GA11" s="140">
        <f>SUM($D11:Z11)*IF($B11="Operacional",IFERROR(VLOOKUP($C11,SN_UGC,28,0),0),1)</f>
        <v>3</v>
      </c>
      <c r="GB11" s="140">
        <f>SUM($D11:AA11)*IF($B11="Operacional",IFERROR(VLOOKUP($C11,SN_UGC,28,0),0),1)</f>
        <v>3</v>
      </c>
      <c r="GC11" s="140">
        <f>SUM($D11:AB11)*IF($B11="Operacional",IFERROR(VLOOKUP($C11,SN_UGC,28,0),0),1)</f>
        <v>3</v>
      </c>
      <c r="GD11" s="140">
        <f>SUM($D11:AC11)*IF($B11="Operacional",IFERROR(VLOOKUP($C11,SN_UGC,28,0),0),1)</f>
        <v>3</v>
      </c>
      <c r="GE11" s="140">
        <f>SUM($D11:AD11)*IF($B11="Operacional",IFERROR(VLOOKUP($C11,SN_UGC,28,0),0),1)</f>
        <v>3</v>
      </c>
      <c r="GF11" s="140">
        <f>SUM($D11:AE11)*IF($B11="Operacional",IFERROR(VLOOKUP($C11,SN_UGC,28,0),0),1)</f>
        <v>3</v>
      </c>
      <c r="GG11" s="140">
        <f>SUM($D11:AF11)*IF($B11="Operacional",IFERROR(VLOOKUP($C11,SN_UGC,28,0),0),1)</f>
        <v>3</v>
      </c>
      <c r="GH11" s="140">
        <f>SUM($D11:AG11)*IF($B11="Operacional",IFERROR(VLOOKUP($C11,SN_UGC,28,0),0),1)</f>
        <v>3</v>
      </c>
      <c r="GI11" s="141">
        <f t="shared" ref="GI11:HL11" si="59">FE11*$AH11*$AL11</f>
        <v>5775</v>
      </c>
      <c r="GJ11" s="141">
        <f t="shared" si="59"/>
        <v>5775</v>
      </c>
      <c r="GK11" s="141">
        <f t="shared" si="59"/>
        <v>5775</v>
      </c>
      <c r="GL11" s="141">
        <f t="shared" si="59"/>
        <v>5775</v>
      </c>
      <c r="GM11" s="141">
        <f t="shared" si="59"/>
        <v>5775</v>
      </c>
      <c r="GN11" s="141">
        <f t="shared" si="59"/>
        <v>5775</v>
      </c>
      <c r="GO11" s="141">
        <f t="shared" si="59"/>
        <v>5775</v>
      </c>
      <c r="GP11" s="141">
        <f t="shared" si="59"/>
        <v>5775</v>
      </c>
      <c r="GQ11" s="141">
        <f t="shared" si="59"/>
        <v>5775</v>
      </c>
      <c r="GR11" s="141">
        <f t="shared" si="59"/>
        <v>5775</v>
      </c>
      <c r="GS11" s="141">
        <f t="shared" si="59"/>
        <v>5775</v>
      </c>
      <c r="GT11" s="141">
        <f t="shared" si="59"/>
        <v>5775</v>
      </c>
      <c r="GU11" s="141">
        <f t="shared" si="59"/>
        <v>5775</v>
      </c>
      <c r="GV11" s="141">
        <f t="shared" si="59"/>
        <v>5775</v>
      </c>
      <c r="GW11" s="141">
        <f t="shared" si="59"/>
        <v>5775</v>
      </c>
      <c r="GX11" s="141">
        <f t="shared" si="59"/>
        <v>5775</v>
      </c>
      <c r="GY11" s="141">
        <f t="shared" si="59"/>
        <v>5775</v>
      </c>
      <c r="GZ11" s="141">
        <f t="shared" si="59"/>
        <v>5775</v>
      </c>
      <c r="HA11" s="141">
        <f t="shared" si="59"/>
        <v>5775</v>
      </c>
      <c r="HB11" s="141">
        <f t="shared" si="59"/>
        <v>5775</v>
      </c>
      <c r="HC11" s="141">
        <f t="shared" si="59"/>
        <v>5775</v>
      </c>
      <c r="HD11" s="141">
        <f t="shared" si="59"/>
        <v>5775</v>
      </c>
      <c r="HE11" s="141">
        <f t="shared" si="59"/>
        <v>5775</v>
      </c>
      <c r="HF11" s="141">
        <f t="shared" si="59"/>
        <v>5775</v>
      </c>
      <c r="HG11" s="141">
        <f t="shared" si="59"/>
        <v>5775</v>
      </c>
      <c r="HH11" s="141">
        <f t="shared" si="59"/>
        <v>5775</v>
      </c>
      <c r="HI11" s="141">
        <f t="shared" si="59"/>
        <v>5775</v>
      </c>
      <c r="HJ11" s="141">
        <f t="shared" si="59"/>
        <v>5775</v>
      </c>
      <c r="HK11" s="141">
        <f t="shared" si="59"/>
        <v>5775</v>
      </c>
      <c r="HL11" s="141">
        <f t="shared" si="59"/>
        <v>5775</v>
      </c>
      <c r="HM11" s="142">
        <f t="shared" ref="HM11:IP11" si="60">IF(ISBLANK($A11),,FE11*($AH11-($AH11*$AJ11))/$AI11)</f>
        <v>17325</v>
      </c>
      <c r="HN11" s="142">
        <f t="shared" si="60"/>
        <v>17325</v>
      </c>
      <c r="HO11" s="142">
        <f t="shared" si="60"/>
        <v>17325</v>
      </c>
      <c r="HP11" s="142">
        <f t="shared" si="60"/>
        <v>17325</v>
      </c>
      <c r="HQ11" s="142">
        <f t="shared" si="60"/>
        <v>17325</v>
      </c>
      <c r="HR11" s="142">
        <f t="shared" si="60"/>
        <v>17325</v>
      </c>
      <c r="HS11" s="142">
        <f t="shared" si="60"/>
        <v>17325</v>
      </c>
      <c r="HT11" s="142">
        <f t="shared" si="60"/>
        <v>17325</v>
      </c>
      <c r="HU11" s="142">
        <f t="shared" si="60"/>
        <v>17325</v>
      </c>
      <c r="HV11" s="142">
        <f t="shared" si="60"/>
        <v>17325</v>
      </c>
      <c r="HW11" s="142">
        <f t="shared" si="60"/>
        <v>17325</v>
      </c>
      <c r="HX11" s="142">
        <f t="shared" si="60"/>
        <v>17325</v>
      </c>
      <c r="HY11" s="142">
        <f t="shared" si="60"/>
        <v>17325</v>
      </c>
      <c r="HZ11" s="142">
        <f t="shared" si="60"/>
        <v>17325</v>
      </c>
      <c r="IA11" s="142">
        <f t="shared" si="60"/>
        <v>17325</v>
      </c>
      <c r="IB11" s="142">
        <f t="shared" si="60"/>
        <v>17325</v>
      </c>
      <c r="IC11" s="142">
        <f t="shared" si="60"/>
        <v>17325</v>
      </c>
      <c r="ID11" s="142">
        <f t="shared" si="60"/>
        <v>17325</v>
      </c>
      <c r="IE11" s="142">
        <f t="shared" si="60"/>
        <v>17325</v>
      </c>
      <c r="IF11" s="142">
        <f t="shared" si="60"/>
        <v>17325</v>
      </c>
      <c r="IG11" s="142">
        <f t="shared" si="60"/>
        <v>17325</v>
      </c>
      <c r="IH11" s="142">
        <f t="shared" si="60"/>
        <v>17325</v>
      </c>
      <c r="II11" s="142">
        <f t="shared" si="60"/>
        <v>17325</v>
      </c>
      <c r="IJ11" s="142">
        <f t="shared" si="60"/>
        <v>17325</v>
      </c>
      <c r="IK11" s="142">
        <f t="shared" si="60"/>
        <v>17325</v>
      </c>
      <c r="IL11" s="142">
        <f t="shared" si="60"/>
        <v>17325</v>
      </c>
      <c r="IM11" s="142">
        <f t="shared" si="60"/>
        <v>17325</v>
      </c>
      <c r="IN11" s="142">
        <f t="shared" si="60"/>
        <v>17325</v>
      </c>
      <c r="IO11" s="142">
        <f t="shared" si="60"/>
        <v>17325</v>
      </c>
      <c r="IP11" s="142">
        <f t="shared" si="60"/>
        <v>17325</v>
      </c>
      <c r="IQ11" s="141">
        <f>IF(ISBLANK($A11),,IF($AN11="Não",0,(SUM($AO11:AO11)*$AH11)-SUM($HM11:HM11)-SUM($CW11:CW11)))</f>
        <v>98175</v>
      </c>
      <c r="IR11" s="141">
        <f>IF(ISBLANK($A11),,IF($AN11="Não",0,(SUM($AO11:AP11)*$AH11)-SUM($HM11:HN11)-SUM($CW11:CX11)))</f>
        <v>80850</v>
      </c>
      <c r="IS11" s="141">
        <f>IF(ISBLANK($A11),,IF($AN11="Não",0,(SUM($AO11:AQ11)*$AH11)-SUM($HM11:HO11)-SUM($CW11:CY11)))</f>
        <v>63525</v>
      </c>
      <c r="IT11" s="141">
        <f>IF(ISBLANK($A11),,IF($AN11="Não",0,(SUM($AO11:AR11)*$AH11)-SUM($HM11:HP11)-SUM($CW11:CZ11)))</f>
        <v>46200</v>
      </c>
      <c r="IU11" s="141">
        <f>IF(ISBLANK($A11),,IF($AN11="Não",0,(SUM($AO11:AS11)*$AH11)-SUM($HM11:HQ11)-SUM($CW11:DA11)))</f>
        <v>28875</v>
      </c>
      <c r="IV11" s="141">
        <f>IF(ISBLANK($A11),,IF($AN11="Não",0,(SUM($AO11:AT11)*$AH11)-SUM($HM11:HR11)-SUM($CW11:DB11)))</f>
        <v>98175</v>
      </c>
      <c r="IW11" s="141">
        <f>IF(ISBLANK($A11),,IF($AN11="Não",0,(SUM($AO11:AU11)*$AH11)-SUM($HM11:HS11)-SUM($CW11:DC11)))</f>
        <v>80850</v>
      </c>
      <c r="IX11" s="141">
        <f>IF(ISBLANK($A11),,IF($AN11="Não",0,(SUM($AO11:AV11)*$AH11)-SUM($HM11:HT11)-SUM($CW11:DD11)))</f>
        <v>63525</v>
      </c>
      <c r="IY11" s="141">
        <f>IF(ISBLANK($A11),,IF($AN11="Não",0,(SUM($AO11:AW11)*$AH11)-SUM($HM11:HU11)-SUM($CW11:DE11)))</f>
        <v>46200</v>
      </c>
      <c r="IZ11" s="141">
        <f>IF(ISBLANK($A11),,IF($AN11="Não",0,(SUM($AO11:AX11)*$AH11)-SUM($HM11:HV11)-SUM($CW11:DF11)))</f>
        <v>28875</v>
      </c>
      <c r="JA11" s="141">
        <f>IF(ISBLANK($A11),,IF($AN11="Não",0,(SUM($AO11:AY11)*$AH11)-SUM($HM11:HW11)-SUM($CW11:DG11)))</f>
        <v>98175</v>
      </c>
      <c r="JB11" s="141">
        <f>IF(ISBLANK($A11),,IF($AN11="Não",0,(SUM($AO11:AZ11)*$AH11)-SUM($HM11:HX11)-SUM($CW11:DH11)))</f>
        <v>80850</v>
      </c>
      <c r="JC11" s="141">
        <f>IF(ISBLANK($A11),,IF($AN11="Não",0,(SUM($AO11:BA11)*$AH11)-SUM($HM11:HY11)-SUM($CW11:DI11)))</f>
        <v>63525</v>
      </c>
      <c r="JD11" s="141">
        <f>IF(ISBLANK($A11),,IF($AN11="Não",0,(SUM($AO11:BB11)*$AH11)-SUM($HM11:HZ11)-SUM($CW11:DJ11)))</f>
        <v>46200</v>
      </c>
      <c r="JE11" s="141">
        <f>IF(ISBLANK($A11),,IF($AN11="Não",0,(SUM($AO11:BC11)*$AH11)-SUM($HM11:IA11)-SUM($CW11:DK11)))</f>
        <v>28875</v>
      </c>
      <c r="JF11" s="141">
        <f>IF(ISBLANK($A11),,IF($AN11="Não",0,(SUM($AO11:BD11)*$AH11)-SUM($HM11:IB11)-SUM($CW11:DL11)))</f>
        <v>98175</v>
      </c>
      <c r="JG11" s="141">
        <f>IF(ISBLANK($A11),,IF($AN11="Não",0,(SUM($AO11:BE11)*$AH11)-SUM($HM11:IC11)-SUM($CW11:DM11)))</f>
        <v>80850</v>
      </c>
      <c r="JH11" s="141">
        <f>IF(ISBLANK($A11),,IF($AN11="Não",0,(SUM($AO11:BF11)*$AH11)-SUM($HM11:ID11)-SUM($CW11:DN11)))</f>
        <v>63525</v>
      </c>
      <c r="JI11" s="141">
        <f>IF(ISBLANK($A11),,IF($AN11="Não",0,(SUM($AO11:BG11)*$AH11)-SUM($HM11:IE11)-SUM($CW11:DO11)))</f>
        <v>46200</v>
      </c>
      <c r="JJ11" s="141">
        <f>IF(ISBLANK($A11),,IF($AN11="Não",0,(SUM($AO11:BH11)*$AH11)-SUM($HM11:IF11)-SUM($CW11:DP11)))</f>
        <v>28875</v>
      </c>
      <c r="JK11" s="141">
        <f>IF(ISBLANK($A11),,IF($AN11="Não",0,(SUM($AO11:BI11)*$AH11)-SUM($HM11:IG11)-SUM($CW11:DQ11)))</f>
        <v>98175</v>
      </c>
      <c r="JL11" s="141">
        <f>IF(ISBLANK($A11),,IF($AN11="Não",0,(SUM($AO11:BJ11)*$AH11)-SUM($HM11:IH11)-SUM($CW11:DR11)))</f>
        <v>80850</v>
      </c>
      <c r="JM11" s="141">
        <f>IF(ISBLANK($A11),,IF($AN11="Não",0,(SUM($AO11:BK11)*$AH11)-SUM($HM11:II11)-SUM($CW11:DS11)))</f>
        <v>63525</v>
      </c>
      <c r="JN11" s="141">
        <f>IF(ISBLANK($A11),,IF($AN11="Não",0,(SUM($AO11:BL11)*$AH11)-SUM($HM11:IJ11)-SUM($CW11:DT11)))</f>
        <v>46200</v>
      </c>
      <c r="JO11" s="141">
        <f>IF(ISBLANK($A11),,IF($AN11="Não",0,(SUM($AO11:BM11)*$AH11)-SUM($HM11:IK11)-SUM($CW11:DU11)))</f>
        <v>28875</v>
      </c>
      <c r="JP11" s="141">
        <f>IF(ISBLANK($A11),,IF($AN11="Não",0,(SUM($AO11:BN11)*$AH11)-SUM($HM11:IL11)-SUM($CW11:DV11)))</f>
        <v>98175</v>
      </c>
      <c r="JQ11" s="141">
        <f>IF(ISBLANK($A11),,IF($AN11="Não",0,(SUM($AO11:BO11)*$AH11)-SUM($HM11:IM11)-SUM($CW11:DW11)))</f>
        <v>80850</v>
      </c>
      <c r="JR11" s="141">
        <f>IF(ISBLANK($A11),,IF($AN11="Não",0,(SUM($AO11:BP11)*$AH11)-SUM($HM11:IN11)-SUM($CW11:DX11)))</f>
        <v>63525</v>
      </c>
      <c r="JS11" s="141">
        <f>IF(ISBLANK($A11),,IF($AN11="Não",0,(SUM($AO11:BQ11)*$AH11)-SUM($HM11:IO11)-SUM($CW11:DY11)))</f>
        <v>46200</v>
      </c>
      <c r="JT11" s="141">
        <f>IF(ISBLANK($A11),,IF($AN11="Não",0,(SUM($AO11:BR11)*$AH11)-SUM($HM11:IP11)-SUM($CW11:DZ11)))</f>
        <v>28875</v>
      </c>
    </row>
    <row r="12" spans="1:280" ht="15.75" customHeight="1">
      <c r="A12" s="129" t="s">
        <v>352</v>
      </c>
      <c r="B12" s="129" t="s">
        <v>209</v>
      </c>
      <c r="C12" s="138" t="s">
        <v>79</v>
      </c>
      <c r="D12" s="139">
        <v>64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607">
        <f t="shared" si="0"/>
        <v>2372.59</v>
      </c>
      <c r="AI12" s="608">
        <f t="shared" si="1"/>
        <v>30</v>
      </c>
      <c r="AJ12" s="609">
        <f t="shared" si="2"/>
        <v>0</v>
      </c>
      <c r="AK12" s="610" t="str">
        <f t="shared" si="3"/>
        <v>Edificações</v>
      </c>
      <c r="AL12" s="609">
        <f t="shared" si="4"/>
        <v>0.05</v>
      </c>
      <c r="AM12" s="611" t="str">
        <f t="shared" si="5"/>
        <v>Sim</v>
      </c>
      <c r="AN12" s="611" t="str">
        <f t="shared" si="6"/>
        <v>Não</v>
      </c>
      <c r="AO12" s="140">
        <f t="array" ref="AO12">IF(ISBLANK($A12),0,IF(OR(AO$5-$AI12&lt;=0,$AM12="Não"),D12,D12+INDEX($AO$6:$BR$176,ROW()-5,COLUMN()-40-$AI12)))*IF($B12="Operacional",IFERROR(VLOOKUP($C12,SN_UGC,28,0),0),1)</f>
        <v>64</v>
      </c>
      <c r="AP12" s="140">
        <f t="array" ref="AP12">IF(ISBLANK($A12),0,IF(OR(AP$5-$AI12&lt;=0,$AM12="Não"),E12,E12+INDEX($AO$6:$BR$176,ROW()-5,COLUMN()-40-$AI12)))*IF($B12="Operacional",IFERROR(VLOOKUP($C12,SN_UGC,28,0),0),1)</f>
        <v>0</v>
      </c>
      <c r="AQ12" s="140">
        <f t="array" ref="AQ12">IF(ISBLANK($A12),0,IF(OR(AQ$5-$AI12&lt;=0,$AM12="Não"),F12,F12+INDEX($AO$6:$BR$176,ROW()-5,COLUMN()-40-$AI12)))*IF($B12="Operacional",IFERROR(VLOOKUP($C12,SN_UGC,28,0),0),1)</f>
        <v>0</v>
      </c>
      <c r="AR12" s="140">
        <f t="array" ref="AR12">IF(ISBLANK($A12),0,IF(OR(AR$5-$AI12&lt;=0,$AM12="Não"),G12,G12+INDEX($AO$6:$BR$176,ROW()-5,COLUMN()-40-$AI12)))*IF($B12="Operacional",IFERROR(VLOOKUP($C12,SN_UGC,28,0),0),1)</f>
        <v>0</v>
      </c>
      <c r="AS12" s="140">
        <f t="array" ref="AS12">IF(ISBLANK($A12),0,IF(OR(AS$5-$AI12&lt;=0,$AM12="Não"),H12,H12+INDEX($AO$6:$BR$176,ROW()-5,COLUMN()-40-$AI12)))*IF($B12="Operacional",IFERROR(VLOOKUP($C12,SN_UGC,28,0),0),1)</f>
        <v>0</v>
      </c>
      <c r="AT12" s="140">
        <f t="array" ref="AT12">IF(ISBLANK($A12),0,IF(OR(AT$5-$AI12&lt;=0,$AM12="Não"),I12,I12+INDEX($AO$6:$BR$176,ROW()-5,COLUMN()-40-$AI12)))*IF($B12="Operacional",IFERROR(VLOOKUP($C12,SN_UGC,28,0),0),1)</f>
        <v>0</v>
      </c>
      <c r="AU12" s="140">
        <f t="array" ref="AU12">IF(ISBLANK($A12),0,IF(OR(AU$5-$AI12&lt;=0,$AM12="Não"),J12,J12+INDEX($AO$6:$BR$176,ROW()-5,COLUMN()-40-$AI12)))*IF($B12="Operacional",IFERROR(VLOOKUP($C12,SN_UGC,28,0),0),1)</f>
        <v>0</v>
      </c>
      <c r="AV12" s="140">
        <f t="array" ref="AV12">IF(ISBLANK($A12),0,IF(OR(AV$5-$AI12&lt;=0,$AM12="Não"),K12,K12+INDEX($AO$6:$BR$176,ROW()-5,COLUMN()-40-$AI12)))*IF($B12="Operacional",IFERROR(VLOOKUP($C12,SN_UGC,28,0),0),1)</f>
        <v>0</v>
      </c>
      <c r="AW12" s="140">
        <f t="array" ref="AW12">IF(ISBLANK($A12),0,IF(OR(AW$5-$AI12&lt;=0,$AM12="Não"),L12,L12+INDEX($AO$6:$BR$176,ROW()-5,COLUMN()-40-$AI12)))*IF($B12="Operacional",IFERROR(VLOOKUP($C12,SN_UGC,28,0),0),1)</f>
        <v>0</v>
      </c>
      <c r="AX12" s="140">
        <f t="array" ref="AX12">IF(ISBLANK($A12),0,IF(OR(AX$5-$AI12&lt;=0,$AM12="Não"),M12,M12+INDEX($AO$6:$BR$176,ROW()-5,COLUMN()-40-$AI12)))*IF($B12="Operacional",IFERROR(VLOOKUP($C12,SN_UGC,28,0),0),1)</f>
        <v>0</v>
      </c>
      <c r="AY12" s="140">
        <f t="array" ref="AY12">IF(ISBLANK($A12),0,IF(OR(AY$5-$AI12&lt;=0,$AM12="Não"),N12,N12+INDEX($AO$6:$BR$176,ROW()-5,COLUMN()-40-$AI12)))*IF($B12="Operacional",IFERROR(VLOOKUP($C12,SN_UGC,28,0),0),1)</f>
        <v>0</v>
      </c>
      <c r="AZ12" s="140">
        <f t="array" ref="AZ12">IF(ISBLANK($A12),0,IF(OR(AZ$5-$AI12&lt;=0,$AM12="Não"),O12,O12+INDEX($AO$6:$BR$176,ROW()-5,COLUMN()-40-$AI12)))*IF($B12="Operacional",IFERROR(VLOOKUP($C12,SN_UGC,28,0),0),1)</f>
        <v>0</v>
      </c>
      <c r="BA12" s="140">
        <f t="array" ref="BA12">IF(ISBLANK($A12),0,IF(OR(BA$5-$AI12&lt;=0,$AM12="Não"),P12,P12+INDEX($AO$6:$BR$176,ROW()-5,COLUMN()-40-$AI12)))*IF($B12="Operacional",IFERROR(VLOOKUP($C12,SN_UGC,28,0),0),1)</f>
        <v>0</v>
      </c>
      <c r="BB12" s="140">
        <f t="array" ref="BB12">IF(ISBLANK($A12),0,IF(OR(BB$5-$AI12&lt;=0,$AM12="Não"),Q12,Q12+INDEX($AO$6:$BR$176,ROW()-5,COLUMN()-40-$AI12)))*IF($B12="Operacional",IFERROR(VLOOKUP($C12,SN_UGC,28,0),0),1)</f>
        <v>0</v>
      </c>
      <c r="BC12" s="140">
        <f t="array" ref="BC12">IF(ISBLANK($A12),0,IF(OR(BC$5-$AI12&lt;=0,$AM12="Não"),R12,R12+INDEX($AO$6:$BR$176,ROW()-5,COLUMN()-40-$AI12)))*IF($B12="Operacional",IFERROR(VLOOKUP($C12,SN_UGC,28,0),0),1)</f>
        <v>0</v>
      </c>
      <c r="BD12" s="140">
        <f t="array" ref="BD12">IF(ISBLANK($A12),0,IF(OR(BD$5-$AI12&lt;=0,$AM12="Não"),S12,S12+INDEX($AO$6:$BR$176,ROW()-5,COLUMN()-40-$AI12)))*IF($B12="Operacional",IFERROR(VLOOKUP($C12,SN_UGC,28,0),0),1)</f>
        <v>0</v>
      </c>
      <c r="BE12" s="140">
        <f t="array" ref="BE12">IF(ISBLANK($A12),0,IF(OR(BE$5-$AI12&lt;=0,$AM12="Não"),T12,T12+INDEX($AO$6:$BR$176,ROW()-5,COLUMN()-40-$AI12)))*IF($B12="Operacional",IFERROR(VLOOKUP($C12,SN_UGC,28,0),0),1)</f>
        <v>0</v>
      </c>
      <c r="BF12" s="140">
        <f t="array" ref="BF12">IF(ISBLANK($A12),0,IF(OR(BF$5-$AI12&lt;=0,$AM12="Não"),U12,U12+INDEX($AO$6:$BR$176,ROW()-5,COLUMN()-40-$AI12)))*IF($B12="Operacional",IFERROR(VLOOKUP($C12,SN_UGC,28,0),0),1)</f>
        <v>0</v>
      </c>
      <c r="BG12" s="140">
        <f t="array" ref="BG12">IF(ISBLANK($A12),0,IF(OR(BG$5-$AI12&lt;=0,$AM12="Não"),V12,V12+INDEX($AO$6:$BR$176,ROW()-5,COLUMN()-40-$AI12)))*IF($B12="Operacional",IFERROR(VLOOKUP($C12,SN_UGC,28,0),0),1)</f>
        <v>0</v>
      </c>
      <c r="BH12" s="140">
        <f t="array" ref="BH12">IF(ISBLANK($A12),0,IF(OR(BH$5-$AI12&lt;=0,$AM12="Não"),W12,W12+INDEX($AO$6:$BR$176,ROW()-5,COLUMN()-40-$AI12)))*IF($B12="Operacional",IFERROR(VLOOKUP($C12,SN_UGC,28,0),0),1)</f>
        <v>0</v>
      </c>
      <c r="BI12" s="140">
        <f t="array" ref="BI12">IF(ISBLANK($A12),0,IF(OR(BI$5-$AI12&lt;=0,$AM12="Não"),X12,X12+INDEX($AO$6:$BR$176,ROW()-5,COLUMN()-40-$AI12)))*IF($B12="Operacional",IFERROR(VLOOKUP($C12,SN_UGC,28,0),0),1)</f>
        <v>0</v>
      </c>
      <c r="BJ12" s="140">
        <f t="array" ref="BJ12">IF(ISBLANK($A12),0,IF(OR(BJ$5-$AI12&lt;=0,$AM12="Não"),Y12,Y12+INDEX($AO$6:$BR$176,ROW()-5,COLUMN()-40-$AI12)))*IF($B12="Operacional",IFERROR(VLOOKUP($C12,SN_UGC,28,0),0),1)</f>
        <v>0</v>
      </c>
      <c r="BK12" s="140">
        <f t="array" ref="BK12">IF(ISBLANK($A12),0,IF(OR(BK$5-$AI12&lt;=0,$AM12="Não"),Z12,Z12+INDEX($AO$6:$BR$176,ROW()-5,COLUMN()-40-$AI12)))*IF($B12="Operacional",IFERROR(VLOOKUP($C12,SN_UGC,28,0),0),1)</f>
        <v>0</v>
      </c>
      <c r="BL12" s="140">
        <f t="array" ref="BL12">IF(ISBLANK($A12),0,IF(OR(BL$5-$AI12&lt;=0,$AM12="Não"),AA12,AA12+INDEX($AO$6:$BR$176,ROW()-5,COLUMN()-40-$AI12)))*IF($B12="Operacional",IFERROR(VLOOKUP($C12,SN_UGC,28,0),0),1)</f>
        <v>0</v>
      </c>
      <c r="BM12" s="140">
        <f t="array" ref="BM12">IF(ISBLANK($A12),0,IF(OR(BM$5-$AI12&lt;=0,$AM12="Não"),AB12,AB12+INDEX($AO$6:$BR$176,ROW()-5,COLUMN()-40-$AI12)))*IF($B12="Operacional",IFERROR(VLOOKUP($C12,SN_UGC,28,0),0),1)</f>
        <v>0</v>
      </c>
      <c r="BN12" s="140">
        <f t="array" ref="BN12">IF(ISBLANK($A12),0,IF(OR(BN$5-$AI12&lt;=0,$AM12="Não"),AC12,AC12+INDEX($AO$6:$BR$176,ROW()-5,COLUMN()-40-$AI12)))*IF($B12="Operacional",IFERROR(VLOOKUP($C12,SN_UGC,28,0),0),1)</f>
        <v>0</v>
      </c>
      <c r="BO12" s="140">
        <f t="array" ref="BO12">IF(ISBLANK($A12),0,IF(OR(BO$5-$AI12&lt;=0,$AM12="Não"),AD12,AD12+INDEX($AO$6:$BR$176,ROW()-5,COLUMN()-40-$AI12)))*IF($B12="Operacional",IFERROR(VLOOKUP($C12,SN_UGC,28,0),0),1)</f>
        <v>0</v>
      </c>
      <c r="BP12" s="140">
        <f t="array" ref="BP12">IF(ISBLANK($A12),0,IF(OR(BP$5-$AI12&lt;=0,$AM12="Não"),AE12,AE12+INDEX($AO$6:$BR$176,ROW()-5,COLUMN()-40-$AI12)))*IF($B12="Operacional",IFERROR(VLOOKUP($C12,SN_UGC,28,0),0),1)</f>
        <v>0</v>
      </c>
      <c r="BQ12" s="140">
        <f t="array" ref="BQ12">IF(ISBLANK($A12),0,IF(OR(BQ$5-$AI12&lt;=0,$AM12="Não"),AF12,AF12+INDEX($AO$6:$BR$176,ROW()-5,COLUMN()-40-$AI12)))*IF($B12="Operacional",IFERROR(VLOOKUP($C12,SN_UGC,28,0),0),1)</f>
        <v>0</v>
      </c>
      <c r="BR12" s="140">
        <f t="array" ref="BR12">IF(ISBLANK($A12),0,IF(OR(BR$5-$AI12&lt;=0,$AM12="Não"),AG12,AG12+INDEX($AO$6:$BR$176,ROW()-5,COLUMN()-40-$AI12)))*IF($B12="Operacional",IFERROR(VLOOKUP($C12,SN_UGC,28,0),0),1)</f>
        <v>0</v>
      </c>
      <c r="BS12" s="141">
        <f t="shared" ref="BS12:CV12" si="61">IF(ISBLANK($A12),0,$AH12*AO12)</f>
        <v>151845.76000000001</v>
      </c>
      <c r="BT12" s="141">
        <f t="shared" si="61"/>
        <v>0</v>
      </c>
      <c r="BU12" s="141">
        <f t="shared" si="61"/>
        <v>0</v>
      </c>
      <c r="BV12" s="141">
        <f t="shared" si="61"/>
        <v>0</v>
      </c>
      <c r="BW12" s="141">
        <f t="shared" si="61"/>
        <v>0</v>
      </c>
      <c r="BX12" s="141">
        <f t="shared" si="61"/>
        <v>0</v>
      </c>
      <c r="BY12" s="141">
        <f t="shared" si="61"/>
        <v>0</v>
      </c>
      <c r="BZ12" s="141">
        <f t="shared" si="61"/>
        <v>0</v>
      </c>
      <c r="CA12" s="141">
        <f t="shared" si="61"/>
        <v>0</v>
      </c>
      <c r="CB12" s="141">
        <f t="shared" si="61"/>
        <v>0</v>
      </c>
      <c r="CC12" s="141">
        <f t="shared" si="61"/>
        <v>0</v>
      </c>
      <c r="CD12" s="141">
        <f t="shared" si="61"/>
        <v>0</v>
      </c>
      <c r="CE12" s="141">
        <f t="shared" si="61"/>
        <v>0</v>
      </c>
      <c r="CF12" s="141">
        <f t="shared" si="61"/>
        <v>0</v>
      </c>
      <c r="CG12" s="141">
        <f t="shared" si="61"/>
        <v>0</v>
      </c>
      <c r="CH12" s="141">
        <f t="shared" si="61"/>
        <v>0</v>
      </c>
      <c r="CI12" s="141">
        <f t="shared" si="61"/>
        <v>0</v>
      </c>
      <c r="CJ12" s="141">
        <f t="shared" si="61"/>
        <v>0</v>
      </c>
      <c r="CK12" s="141">
        <f t="shared" si="61"/>
        <v>0</v>
      </c>
      <c r="CL12" s="141">
        <f t="shared" si="61"/>
        <v>0</v>
      </c>
      <c r="CM12" s="141">
        <f t="shared" si="61"/>
        <v>0</v>
      </c>
      <c r="CN12" s="141">
        <f t="shared" si="61"/>
        <v>0</v>
      </c>
      <c r="CO12" s="141">
        <f t="shared" si="61"/>
        <v>0</v>
      </c>
      <c r="CP12" s="141">
        <f t="shared" si="61"/>
        <v>0</v>
      </c>
      <c r="CQ12" s="141">
        <f t="shared" si="61"/>
        <v>0</v>
      </c>
      <c r="CR12" s="141">
        <f t="shared" si="61"/>
        <v>0</v>
      </c>
      <c r="CS12" s="141">
        <f t="shared" si="61"/>
        <v>0</v>
      </c>
      <c r="CT12" s="141">
        <f t="shared" si="61"/>
        <v>0</v>
      </c>
      <c r="CU12" s="141">
        <f t="shared" si="61"/>
        <v>0</v>
      </c>
      <c r="CV12" s="141">
        <f t="shared" si="61"/>
        <v>0</v>
      </c>
      <c r="CW12" s="142">
        <f t="shared" ref="CW12:DZ12" si="62">EA12*$AH12*$AJ12</f>
        <v>0</v>
      </c>
      <c r="CX12" s="142">
        <f t="shared" si="62"/>
        <v>0</v>
      </c>
      <c r="CY12" s="142">
        <f t="shared" si="62"/>
        <v>0</v>
      </c>
      <c r="CZ12" s="142">
        <f t="shared" si="62"/>
        <v>0</v>
      </c>
      <c r="DA12" s="142">
        <f t="shared" si="62"/>
        <v>0</v>
      </c>
      <c r="DB12" s="142">
        <f t="shared" si="62"/>
        <v>0</v>
      </c>
      <c r="DC12" s="142">
        <f t="shared" si="62"/>
        <v>0</v>
      </c>
      <c r="DD12" s="142">
        <f t="shared" si="62"/>
        <v>0</v>
      </c>
      <c r="DE12" s="142">
        <f t="shared" si="62"/>
        <v>0</v>
      </c>
      <c r="DF12" s="142">
        <f t="shared" si="62"/>
        <v>0</v>
      </c>
      <c r="DG12" s="142">
        <f t="shared" si="62"/>
        <v>0</v>
      </c>
      <c r="DH12" s="142">
        <f t="shared" si="62"/>
        <v>0</v>
      </c>
      <c r="DI12" s="142">
        <f t="shared" si="62"/>
        <v>0</v>
      </c>
      <c r="DJ12" s="142">
        <f t="shared" si="62"/>
        <v>0</v>
      </c>
      <c r="DK12" s="142">
        <f t="shared" si="62"/>
        <v>0</v>
      </c>
      <c r="DL12" s="142">
        <f t="shared" si="62"/>
        <v>0</v>
      </c>
      <c r="DM12" s="142">
        <f t="shared" si="62"/>
        <v>0</v>
      </c>
      <c r="DN12" s="142">
        <f t="shared" si="62"/>
        <v>0</v>
      </c>
      <c r="DO12" s="142">
        <f t="shared" si="62"/>
        <v>0</v>
      </c>
      <c r="DP12" s="142">
        <f t="shared" si="62"/>
        <v>0</v>
      </c>
      <c r="DQ12" s="142">
        <f t="shared" si="62"/>
        <v>0</v>
      </c>
      <c r="DR12" s="142">
        <f t="shared" si="62"/>
        <v>0</v>
      </c>
      <c r="DS12" s="142">
        <f t="shared" si="62"/>
        <v>0</v>
      </c>
      <c r="DT12" s="142">
        <f t="shared" si="62"/>
        <v>0</v>
      </c>
      <c r="DU12" s="142">
        <f t="shared" si="62"/>
        <v>0</v>
      </c>
      <c r="DV12" s="142">
        <f t="shared" si="62"/>
        <v>0</v>
      </c>
      <c r="DW12" s="142">
        <f t="shared" si="62"/>
        <v>0</v>
      </c>
      <c r="DX12" s="142">
        <f t="shared" si="62"/>
        <v>0</v>
      </c>
      <c r="DY12" s="142">
        <f t="shared" si="62"/>
        <v>0</v>
      </c>
      <c r="DZ12" s="142">
        <f t="shared" si="62"/>
        <v>0</v>
      </c>
      <c r="EA12" s="143">
        <f t="shared" si="9"/>
        <v>0</v>
      </c>
      <c r="EB12" s="143">
        <f t="shared" si="10"/>
        <v>0</v>
      </c>
      <c r="EC12" s="143">
        <f t="shared" si="11"/>
        <v>0</v>
      </c>
      <c r="ED12" s="143">
        <f t="shared" si="12"/>
        <v>0</v>
      </c>
      <c r="EE12" s="143">
        <f t="shared" si="13"/>
        <v>0</v>
      </c>
      <c r="EF12" s="143">
        <f t="shared" si="14"/>
        <v>0</v>
      </c>
      <c r="EG12" s="143">
        <f t="shared" si="15"/>
        <v>0</v>
      </c>
      <c r="EH12" s="143">
        <f t="shared" si="16"/>
        <v>0</v>
      </c>
      <c r="EI12" s="143">
        <f t="shared" si="17"/>
        <v>0</v>
      </c>
      <c r="EJ12" s="143">
        <f t="shared" si="18"/>
        <v>0</v>
      </c>
      <c r="EK12" s="143">
        <f t="shared" si="19"/>
        <v>0</v>
      </c>
      <c r="EL12" s="143">
        <f t="shared" si="20"/>
        <v>0</v>
      </c>
      <c r="EM12" s="143">
        <f t="shared" si="21"/>
        <v>0</v>
      </c>
      <c r="EN12" s="143">
        <f t="shared" si="22"/>
        <v>0</v>
      </c>
      <c r="EO12" s="143">
        <f t="shared" si="23"/>
        <v>0</v>
      </c>
      <c r="EP12" s="143">
        <f t="shared" si="24"/>
        <v>0</v>
      </c>
      <c r="EQ12" s="143">
        <f t="shared" si="25"/>
        <v>0</v>
      </c>
      <c r="ER12" s="143">
        <f t="shared" si="26"/>
        <v>0</v>
      </c>
      <c r="ES12" s="143">
        <f t="shared" si="27"/>
        <v>0</v>
      </c>
      <c r="ET12" s="143">
        <f t="shared" si="28"/>
        <v>0</v>
      </c>
      <c r="EU12" s="143">
        <f t="shared" si="29"/>
        <v>0</v>
      </c>
      <c r="EV12" s="143">
        <f t="shared" si="30"/>
        <v>0</v>
      </c>
      <c r="EW12" s="143">
        <f t="shared" si="31"/>
        <v>0</v>
      </c>
      <c r="EX12" s="143">
        <f t="shared" si="32"/>
        <v>0</v>
      </c>
      <c r="EY12" s="143">
        <f t="shared" si="33"/>
        <v>0</v>
      </c>
      <c r="EZ12" s="143">
        <f t="shared" si="34"/>
        <v>0</v>
      </c>
      <c r="FA12" s="143">
        <f t="shared" si="35"/>
        <v>0</v>
      </c>
      <c r="FB12" s="143">
        <f t="shared" si="36"/>
        <v>0</v>
      </c>
      <c r="FC12" s="143">
        <f t="shared" si="37"/>
        <v>0</v>
      </c>
      <c r="FD12" s="143">
        <f t="shared" si="38"/>
        <v>0</v>
      </c>
      <c r="FE12" s="140">
        <f>SUM($D12:D12)*IF($B12="Operacional",IFERROR(VLOOKUP($C12,SN_UGC,28,0),0),1)</f>
        <v>64</v>
      </c>
      <c r="FF12" s="140">
        <f>SUM($D12:E12)*IF($B12="Operacional",IFERROR(VLOOKUP($C12,SN_UGC,28,0),0),1)</f>
        <v>64</v>
      </c>
      <c r="FG12" s="140">
        <f>SUM($D12:F12)*IF($B12="Operacional",IFERROR(VLOOKUP($C12,SN_UGC,28,0),0),1)</f>
        <v>64</v>
      </c>
      <c r="FH12" s="140">
        <f>SUM($D12:G12)*IF($B12="Operacional",IFERROR(VLOOKUP($C12,SN_UGC,28,0),0),1)</f>
        <v>64</v>
      </c>
      <c r="FI12" s="140">
        <f>SUM($D12:H12)*IF($B12="Operacional",IFERROR(VLOOKUP($C12,SN_UGC,28,0),0),1)</f>
        <v>64</v>
      </c>
      <c r="FJ12" s="140">
        <f>SUM($D12:I12)*IF($B12="Operacional",IFERROR(VLOOKUP($C12,SN_UGC,28,0),0),1)</f>
        <v>64</v>
      </c>
      <c r="FK12" s="140">
        <f>SUM($D12:J12)*IF($B12="Operacional",IFERROR(VLOOKUP($C12,SN_UGC,28,0),0),1)</f>
        <v>64</v>
      </c>
      <c r="FL12" s="140">
        <f>SUM($D12:K12)*IF($B12="Operacional",IFERROR(VLOOKUP($C12,SN_UGC,28,0),0),1)</f>
        <v>64</v>
      </c>
      <c r="FM12" s="140">
        <f>SUM($D12:L12)*IF($B12="Operacional",IFERROR(VLOOKUP($C12,SN_UGC,28,0),0),1)</f>
        <v>64</v>
      </c>
      <c r="FN12" s="140">
        <f>SUM($D12:M12)*IF($B12="Operacional",IFERROR(VLOOKUP($C12,SN_UGC,28,0),0),1)</f>
        <v>64</v>
      </c>
      <c r="FO12" s="140">
        <f>SUM($D12:N12)*IF($B12="Operacional",IFERROR(VLOOKUP($C12,SN_UGC,28,0),0),1)</f>
        <v>64</v>
      </c>
      <c r="FP12" s="140">
        <f>SUM($D12:O12)*IF($B12="Operacional",IFERROR(VLOOKUP($C12,SN_UGC,28,0),0),1)</f>
        <v>64</v>
      </c>
      <c r="FQ12" s="140">
        <f>SUM($D12:P12)*IF($B12="Operacional",IFERROR(VLOOKUP($C12,SN_UGC,28,0),0),1)</f>
        <v>64</v>
      </c>
      <c r="FR12" s="140">
        <f>SUM($D12:Q12)*IF($B12="Operacional",IFERROR(VLOOKUP($C12,SN_UGC,28,0),0),1)</f>
        <v>64</v>
      </c>
      <c r="FS12" s="140">
        <f>SUM($D12:R12)*IF($B12="Operacional",IFERROR(VLOOKUP($C12,SN_UGC,28,0),0),1)</f>
        <v>64</v>
      </c>
      <c r="FT12" s="140">
        <f>SUM($D12:S12)*IF($B12="Operacional",IFERROR(VLOOKUP($C12,SN_UGC,28,0),0),1)</f>
        <v>64</v>
      </c>
      <c r="FU12" s="140">
        <f>SUM($D12:T12)*IF($B12="Operacional",IFERROR(VLOOKUP($C12,SN_UGC,28,0),0),1)</f>
        <v>64</v>
      </c>
      <c r="FV12" s="140">
        <f>SUM($D12:U12)*IF($B12="Operacional",IFERROR(VLOOKUP($C12,SN_UGC,28,0),0),1)</f>
        <v>64</v>
      </c>
      <c r="FW12" s="140">
        <f>SUM($D12:V12)*IF($B12="Operacional",IFERROR(VLOOKUP($C12,SN_UGC,28,0),0),1)</f>
        <v>64</v>
      </c>
      <c r="FX12" s="140">
        <f>SUM($D12:W12)*IF($B12="Operacional",IFERROR(VLOOKUP($C12,SN_UGC,28,0),0),1)</f>
        <v>64</v>
      </c>
      <c r="FY12" s="140">
        <f>SUM($D12:X12)*IF($B12="Operacional",IFERROR(VLOOKUP($C12,SN_UGC,28,0),0),1)</f>
        <v>64</v>
      </c>
      <c r="FZ12" s="140">
        <f>SUM($D12:Y12)*IF($B12="Operacional",IFERROR(VLOOKUP($C12,SN_UGC,28,0),0),1)</f>
        <v>64</v>
      </c>
      <c r="GA12" s="140">
        <f>SUM($D12:Z12)*IF($B12="Operacional",IFERROR(VLOOKUP($C12,SN_UGC,28,0),0),1)</f>
        <v>64</v>
      </c>
      <c r="GB12" s="140">
        <f>SUM($D12:AA12)*IF($B12="Operacional",IFERROR(VLOOKUP($C12,SN_UGC,28,0),0),1)</f>
        <v>64</v>
      </c>
      <c r="GC12" s="140">
        <f>SUM($D12:AB12)*IF($B12="Operacional",IFERROR(VLOOKUP($C12,SN_UGC,28,0),0),1)</f>
        <v>64</v>
      </c>
      <c r="GD12" s="140">
        <f>SUM($D12:AC12)*IF($B12="Operacional",IFERROR(VLOOKUP($C12,SN_UGC,28,0),0),1)</f>
        <v>64</v>
      </c>
      <c r="GE12" s="140">
        <f>SUM($D12:AD12)*IF($B12="Operacional",IFERROR(VLOOKUP($C12,SN_UGC,28,0),0),1)</f>
        <v>64</v>
      </c>
      <c r="GF12" s="140">
        <f>SUM($D12:AE12)*IF($B12="Operacional",IFERROR(VLOOKUP($C12,SN_UGC,28,0),0),1)</f>
        <v>64</v>
      </c>
      <c r="GG12" s="140">
        <f>SUM($D12:AF12)*IF($B12="Operacional",IFERROR(VLOOKUP($C12,SN_UGC,28,0),0),1)</f>
        <v>64</v>
      </c>
      <c r="GH12" s="140">
        <f>SUM($D12:AG12)*IF($B12="Operacional",IFERROR(VLOOKUP($C12,SN_UGC,28,0),0),1)</f>
        <v>64</v>
      </c>
      <c r="GI12" s="141">
        <f t="shared" ref="GI12:HL12" si="63">FE12*$AH12*$AL12</f>
        <v>7592.2880000000005</v>
      </c>
      <c r="GJ12" s="141">
        <f t="shared" si="63"/>
        <v>7592.2880000000005</v>
      </c>
      <c r="GK12" s="141">
        <f t="shared" si="63"/>
        <v>7592.2880000000005</v>
      </c>
      <c r="GL12" s="141">
        <f t="shared" si="63"/>
        <v>7592.2880000000005</v>
      </c>
      <c r="GM12" s="141">
        <f t="shared" si="63"/>
        <v>7592.2880000000005</v>
      </c>
      <c r="GN12" s="141">
        <f t="shared" si="63"/>
        <v>7592.2880000000005</v>
      </c>
      <c r="GO12" s="141">
        <f t="shared" si="63"/>
        <v>7592.2880000000005</v>
      </c>
      <c r="GP12" s="141">
        <f t="shared" si="63"/>
        <v>7592.2880000000005</v>
      </c>
      <c r="GQ12" s="141">
        <f t="shared" si="63"/>
        <v>7592.2880000000005</v>
      </c>
      <c r="GR12" s="141">
        <f t="shared" si="63"/>
        <v>7592.2880000000005</v>
      </c>
      <c r="GS12" s="141">
        <f t="shared" si="63"/>
        <v>7592.2880000000005</v>
      </c>
      <c r="GT12" s="141">
        <f t="shared" si="63"/>
        <v>7592.2880000000005</v>
      </c>
      <c r="GU12" s="141">
        <f t="shared" si="63"/>
        <v>7592.2880000000005</v>
      </c>
      <c r="GV12" s="141">
        <f t="shared" si="63"/>
        <v>7592.2880000000005</v>
      </c>
      <c r="GW12" s="141">
        <f t="shared" si="63"/>
        <v>7592.2880000000005</v>
      </c>
      <c r="GX12" s="141">
        <f t="shared" si="63"/>
        <v>7592.2880000000005</v>
      </c>
      <c r="GY12" s="141">
        <f t="shared" si="63"/>
        <v>7592.2880000000005</v>
      </c>
      <c r="GZ12" s="141">
        <f t="shared" si="63"/>
        <v>7592.2880000000005</v>
      </c>
      <c r="HA12" s="141">
        <f t="shared" si="63"/>
        <v>7592.2880000000005</v>
      </c>
      <c r="HB12" s="141">
        <f t="shared" si="63"/>
        <v>7592.2880000000005</v>
      </c>
      <c r="HC12" s="141">
        <f t="shared" si="63"/>
        <v>7592.2880000000005</v>
      </c>
      <c r="HD12" s="141">
        <f t="shared" si="63"/>
        <v>7592.2880000000005</v>
      </c>
      <c r="HE12" s="141">
        <f t="shared" si="63"/>
        <v>7592.2880000000005</v>
      </c>
      <c r="HF12" s="141">
        <f t="shared" si="63"/>
        <v>7592.2880000000005</v>
      </c>
      <c r="HG12" s="141">
        <f t="shared" si="63"/>
        <v>7592.2880000000005</v>
      </c>
      <c r="HH12" s="141">
        <f t="shared" si="63"/>
        <v>7592.2880000000005</v>
      </c>
      <c r="HI12" s="141">
        <f t="shared" si="63"/>
        <v>7592.2880000000005</v>
      </c>
      <c r="HJ12" s="141">
        <f t="shared" si="63"/>
        <v>7592.2880000000005</v>
      </c>
      <c r="HK12" s="141">
        <f t="shared" si="63"/>
        <v>7592.2880000000005</v>
      </c>
      <c r="HL12" s="141">
        <f t="shared" si="63"/>
        <v>7592.2880000000005</v>
      </c>
      <c r="HM12" s="142">
        <f t="shared" ref="HM12:IP12" si="64">IF(ISBLANK($A12),,FE12*($AH12-($AH12*$AJ12))/$AI12)</f>
        <v>5061.5253333333339</v>
      </c>
      <c r="HN12" s="142">
        <f t="shared" si="64"/>
        <v>5061.5253333333339</v>
      </c>
      <c r="HO12" s="142">
        <f t="shared" si="64"/>
        <v>5061.5253333333339</v>
      </c>
      <c r="HP12" s="142">
        <f t="shared" si="64"/>
        <v>5061.5253333333339</v>
      </c>
      <c r="HQ12" s="142">
        <f t="shared" si="64"/>
        <v>5061.5253333333339</v>
      </c>
      <c r="HR12" s="142">
        <f t="shared" si="64"/>
        <v>5061.5253333333339</v>
      </c>
      <c r="HS12" s="142">
        <f t="shared" si="64"/>
        <v>5061.5253333333339</v>
      </c>
      <c r="HT12" s="142">
        <f t="shared" si="64"/>
        <v>5061.5253333333339</v>
      </c>
      <c r="HU12" s="142">
        <f t="shared" si="64"/>
        <v>5061.5253333333339</v>
      </c>
      <c r="HV12" s="142">
        <f t="shared" si="64"/>
        <v>5061.5253333333339</v>
      </c>
      <c r="HW12" s="142">
        <f t="shared" si="64"/>
        <v>5061.5253333333339</v>
      </c>
      <c r="HX12" s="142">
        <f t="shared" si="64"/>
        <v>5061.5253333333339</v>
      </c>
      <c r="HY12" s="142">
        <f t="shared" si="64"/>
        <v>5061.5253333333339</v>
      </c>
      <c r="HZ12" s="142">
        <f t="shared" si="64"/>
        <v>5061.5253333333339</v>
      </c>
      <c r="IA12" s="142">
        <f t="shared" si="64"/>
        <v>5061.5253333333339</v>
      </c>
      <c r="IB12" s="142">
        <f t="shared" si="64"/>
        <v>5061.5253333333339</v>
      </c>
      <c r="IC12" s="142">
        <f t="shared" si="64"/>
        <v>5061.5253333333339</v>
      </c>
      <c r="ID12" s="142">
        <f t="shared" si="64"/>
        <v>5061.5253333333339</v>
      </c>
      <c r="IE12" s="142">
        <f t="shared" si="64"/>
        <v>5061.5253333333339</v>
      </c>
      <c r="IF12" s="142">
        <f t="shared" si="64"/>
        <v>5061.5253333333339</v>
      </c>
      <c r="IG12" s="142">
        <f t="shared" si="64"/>
        <v>5061.5253333333339</v>
      </c>
      <c r="IH12" s="142">
        <f t="shared" si="64"/>
        <v>5061.5253333333339</v>
      </c>
      <c r="II12" s="142">
        <f t="shared" si="64"/>
        <v>5061.5253333333339</v>
      </c>
      <c r="IJ12" s="142">
        <f t="shared" si="64"/>
        <v>5061.5253333333339</v>
      </c>
      <c r="IK12" s="142">
        <f t="shared" si="64"/>
        <v>5061.5253333333339</v>
      </c>
      <c r="IL12" s="142">
        <f t="shared" si="64"/>
        <v>5061.5253333333339</v>
      </c>
      <c r="IM12" s="142">
        <f t="shared" si="64"/>
        <v>5061.5253333333339</v>
      </c>
      <c r="IN12" s="142">
        <f t="shared" si="64"/>
        <v>5061.5253333333339</v>
      </c>
      <c r="IO12" s="142">
        <f t="shared" si="64"/>
        <v>5061.5253333333339</v>
      </c>
      <c r="IP12" s="142">
        <f t="shared" si="64"/>
        <v>5061.5253333333339</v>
      </c>
      <c r="IQ12" s="141">
        <f>IF(ISBLANK($A12),,IF($AN12="Não",0,(SUM($AO12:AO12)*$AH12)-SUM($HM12:HM12)-SUM($CW12:CW12)))</f>
        <v>0</v>
      </c>
      <c r="IR12" s="141">
        <f>IF(ISBLANK($A12),,IF($AN12="Não",0,(SUM($AO12:AP12)*$AH12)-SUM($HM12:HN12)-SUM($CW12:CX12)))</f>
        <v>0</v>
      </c>
      <c r="IS12" s="141">
        <f>IF(ISBLANK($A12),,IF($AN12="Não",0,(SUM($AO12:AQ12)*$AH12)-SUM($HM12:HO12)-SUM($CW12:CY12)))</f>
        <v>0</v>
      </c>
      <c r="IT12" s="141">
        <f>IF(ISBLANK($A12),,IF($AN12="Não",0,(SUM($AO12:AR12)*$AH12)-SUM($HM12:HP12)-SUM($CW12:CZ12)))</f>
        <v>0</v>
      </c>
      <c r="IU12" s="141">
        <f>IF(ISBLANK($A12),,IF($AN12="Não",0,(SUM($AO12:AS12)*$AH12)-SUM($HM12:HQ12)-SUM($CW12:DA12)))</f>
        <v>0</v>
      </c>
      <c r="IV12" s="141">
        <f>IF(ISBLANK($A12),,IF($AN12="Não",0,(SUM($AO12:AT12)*$AH12)-SUM($HM12:HR12)-SUM($CW12:DB12)))</f>
        <v>0</v>
      </c>
      <c r="IW12" s="141">
        <f>IF(ISBLANK($A12),,IF($AN12="Não",0,(SUM($AO12:AU12)*$AH12)-SUM($HM12:HS12)-SUM($CW12:DC12)))</f>
        <v>0</v>
      </c>
      <c r="IX12" s="141">
        <f>IF(ISBLANK($A12),,IF($AN12="Não",0,(SUM($AO12:AV12)*$AH12)-SUM($HM12:HT12)-SUM($CW12:DD12)))</f>
        <v>0</v>
      </c>
      <c r="IY12" s="141">
        <f>IF(ISBLANK($A12),,IF($AN12="Não",0,(SUM($AO12:AW12)*$AH12)-SUM($HM12:HU12)-SUM($CW12:DE12)))</f>
        <v>0</v>
      </c>
      <c r="IZ12" s="141">
        <f>IF(ISBLANK($A12),,IF($AN12="Não",0,(SUM($AO12:AX12)*$AH12)-SUM($HM12:HV12)-SUM($CW12:DF12)))</f>
        <v>0</v>
      </c>
      <c r="JA12" s="141">
        <f>IF(ISBLANK($A12),,IF($AN12="Não",0,(SUM($AO12:AY12)*$AH12)-SUM($HM12:HW12)-SUM($CW12:DG12)))</f>
        <v>0</v>
      </c>
      <c r="JB12" s="141">
        <f>IF(ISBLANK($A12),,IF($AN12="Não",0,(SUM($AO12:AZ12)*$AH12)-SUM($HM12:HX12)-SUM($CW12:DH12)))</f>
        <v>0</v>
      </c>
      <c r="JC12" s="141">
        <f>IF(ISBLANK($A12),,IF($AN12="Não",0,(SUM($AO12:BA12)*$AH12)-SUM($HM12:HY12)-SUM($CW12:DI12)))</f>
        <v>0</v>
      </c>
      <c r="JD12" s="141">
        <f>IF(ISBLANK($A12),,IF($AN12="Não",0,(SUM($AO12:BB12)*$AH12)-SUM($HM12:HZ12)-SUM($CW12:DJ12)))</f>
        <v>0</v>
      </c>
      <c r="JE12" s="141">
        <f>IF(ISBLANK($A12),,IF($AN12="Não",0,(SUM($AO12:BC12)*$AH12)-SUM($HM12:IA12)-SUM($CW12:DK12)))</f>
        <v>0</v>
      </c>
      <c r="JF12" s="141">
        <f>IF(ISBLANK($A12),,IF($AN12="Não",0,(SUM($AO12:BD12)*$AH12)-SUM($HM12:IB12)-SUM($CW12:DL12)))</f>
        <v>0</v>
      </c>
      <c r="JG12" s="141">
        <f>IF(ISBLANK($A12),,IF($AN12="Não",0,(SUM($AO12:BE12)*$AH12)-SUM($HM12:IC12)-SUM($CW12:DM12)))</f>
        <v>0</v>
      </c>
      <c r="JH12" s="141">
        <f>IF(ISBLANK($A12),,IF($AN12="Não",0,(SUM($AO12:BF12)*$AH12)-SUM($HM12:ID12)-SUM($CW12:DN12)))</f>
        <v>0</v>
      </c>
      <c r="JI12" s="141">
        <f>IF(ISBLANK($A12),,IF($AN12="Não",0,(SUM($AO12:BG12)*$AH12)-SUM($HM12:IE12)-SUM($CW12:DO12)))</f>
        <v>0</v>
      </c>
      <c r="JJ12" s="141">
        <f>IF(ISBLANK($A12),,IF($AN12="Não",0,(SUM($AO12:BH12)*$AH12)-SUM($HM12:IF12)-SUM($CW12:DP12)))</f>
        <v>0</v>
      </c>
      <c r="JK12" s="141">
        <f>IF(ISBLANK($A12),,IF($AN12="Não",0,(SUM($AO12:BI12)*$AH12)-SUM($HM12:IG12)-SUM($CW12:DQ12)))</f>
        <v>0</v>
      </c>
      <c r="JL12" s="141">
        <f>IF(ISBLANK($A12),,IF($AN12="Não",0,(SUM($AO12:BJ12)*$AH12)-SUM($HM12:IH12)-SUM($CW12:DR12)))</f>
        <v>0</v>
      </c>
      <c r="JM12" s="141">
        <f>IF(ISBLANK($A12),,IF($AN12="Não",0,(SUM($AO12:BK12)*$AH12)-SUM($HM12:II12)-SUM($CW12:DS12)))</f>
        <v>0</v>
      </c>
      <c r="JN12" s="141">
        <f>IF(ISBLANK($A12),,IF($AN12="Não",0,(SUM($AO12:BL12)*$AH12)-SUM($HM12:IJ12)-SUM($CW12:DT12)))</f>
        <v>0</v>
      </c>
      <c r="JO12" s="141">
        <f>IF(ISBLANK($A12),,IF($AN12="Não",0,(SUM($AO12:BM12)*$AH12)-SUM($HM12:IK12)-SUM($CW12:DU12)))</f>
        <v>0</v>
      </c>
      <c r="JP12" s="141">
        <f>IF(ISBLANK($A12),,IF($AN12="Não",0,(SUM($AO12:BN12)*$AH12)-SUM($HM12:IL12)-SUM($CW12:DV12)))</f>
        <v>0</v>
      </c>
      <c r="JQ12" s="141">
        <f>IF(ISBLANK($A12),,IF($AN12="Não",0,(SUM($AO12:BO12)*$AH12)-SUM($HM12:IM12)-SUM($CW12:DW12)))</f>
        <v>0</v>
      </c>
      <c r="JR12" s="141">
        <f>IF(ISBLANK($A12),,IF($AN12="Não",0,(SUM($AO12:BP12)*$AH12)-SUM($HM12:IN12)-SUM($CW12:DX12)))</f>
        <v>0</v>
      </c>
      <c r="JS12" s="141">
        <f>IF(ISBLANK($A12),,IF($AN12="Não",0,(SUM($AO12:BQ12)*$AH12)-SUM($HM12:IO12)-SUM($CW12:DY12)))</f>
        <v>0</v>
      </c>
      <c r="JT12" s="141">
        <f>IF(ISBLANK($A12),,IF($AN12="Não",0,(SUM($AO12:BR12)*$AH12)-SUM($HM12:IP12)-SUM($CW12:DZ12)))</f>
        <v>0</v>
      </c>
    </row>
    <row r="13" spans="1:280" ht="15.75" customHeight="1">
      <c r="A13" s="129" t="s">
        <v>352</v>
      </c>
      <c r="B13" s="129" t="s">
        <v>209</v>
      </c>
      <c r="C13" s="138" t="s">
        <v>79</v>
      </c>
      <c r="D13" s="139">
        <v>704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607">
        <f t="shared" si="0"/>
        <v>2372.59</v>
      </c>
      <c r="AI13" s="608">
        <f t="shared" si="1"/>
        <v>30</v>
      </c>
      <c r="AJ13" s="609">
        <f t="shared" si="2"/>
        <v>0</v>
      </c>
      <c r="AK13" s="610" t="str">
        <f t="shared" si="3"/>
        <v>Edificações</v>
      </c>
      <c r="AL13" s="609">
        <f t="shared" si="4"/>
        <v>0.05</v>
      </c>
      <c r="AM13" s="611" t="str">
        <f t="shared" si="5"/>
        <v>Sim</v>
      </c>
      <c r="AN13" s="611" t="str">
        <f t="shared" si="6"/>
        <v>Não</v>
      </c>
      <c r="AO13" s="140">
        <f t="array" ref="AO13">IF(ISBLANK($A13),0,IF(OR(AO$5-$AI13&lt;=0,$AM13="Não"),D13,D13+INDEX($AO$6:$BR$176,ROW()-5,COLUMN()-40-$AI13)))*IF($B13="Operacional",IFERROR(VLOOKUP($C13,SN_UGC,28,0),0),1)</f>
        <v>704</v>
      </c>
      <c r="AP13" s="140">
        <f t="array" ref="AP13">IF(ISBLANK($A13),0,IF(OR(AP$5-$AI13&lt;=0,$AM13="Não"),E13,E13+INDEX($AO$6:$BR$176,ROW()-5,COLUMN()-40-$AI13)))*IF($B13="Operacional",IFERROR(VLOOKUP($C13,SN_UGC,28,0),0),1)</f>
        <v>0</v>
      </c>
      <c r="AQ13" s="140">
        <f t="array" ref="AQ13">IF(ISBLANK($A13),0,IF(OR(AQ$5-$AI13&lt;=0,$AM13="Não"),F13,F13+INDEX($AO$6:$BR$176,ROW()-5,COLUMN()-40-$AI13)))*IF($B13="Operacional",IFERROR(VLOOKUP($C13,SN_UGC,28,0),0),1)</f>
        <v>0</v>
      </c>
      <c r="AR13" s="140">
        <f t="array" ref="AR13">IF(ISBLANK($A13),0,IF(OR(AR$5-$AI13&lt;=0,$AM13="Não"),G13,G13+INDEX($AO$6:$BR$176,ROW()-5,COLUMN()-40-$AI13)))*IF($B13="Operacional",IFERROR(VLOOKUP($C13,SN_UGC,28,0),0),1)</f>
        <v>0</v>
      </c>
      <c r="AS13" s="140">
        <f t="array" ref="AS13">IF(ISBLANK($A13),0,IF(OR(AS$5-$AI13&lt;=0,$AM13="Não"),H13,H13+INDEX($AO$6:$BR$176,ROW()-5,COLUMN()-40-$AI13)))*IF($B13="Operacional",IFERROR(VLOOKUP($C13,SN_UGC,28,0),0),1)</f>
        <v>0</v>
      </c>
      <c r="AT13" s="140">
        <f t="array" ref="AT13">IF(ISBLANK($A13),0,IF(OR(AT$5-$AI13&lt;=0,$AM13="Não"),I13,I13+INDEX($AO$6:$BR$176,ROW()-5,COLUMN()-40-$AI13)))*IF($B13="Operacional",IFERROR(VLOOKUP($C13,SN_UGC,28,0),0),1)</f>
        <v>0</v>
      </c>
      <c r="AU13" s="140">
        <f t="array" ref="AU13">IF(ISBLANK($A13),0,IF(OR(AU$5-$AI13&lt;=0,$AM13="Não"),J13,J13+INDEX($AO$6:$BR$176,ROW()-5,COLUMN()-40-$AI13)))*IF($B13="Operacional",IFERROR(VLOOKUP($C13,SN_UGC,28,0),0),1)</f>
        <v>0</v>
      </c>
      <c r="AV13" s="140">
        <f t="array" ref="AV13">IF(ISBLANK($A13),0,IF(OR(AV$5-$AI13&lt;=0,$AM13="Não"),K13,K13+INDEX($AO$6:$BR$176,ROW()-5,COLUMN()-40-$AI13)))*IF($B13="Operacional",IFERROR(VLOOKUP($C13,SN_UGC,28,0),0),1)</f>
        <v>0</v>
      </c>
      <c r="AW13" s="140">
        <f t="array" ref="AW13">IF(ISBLANK($A13),0,IF(OR(AW$5-$AI13&lt;=0,$AM13="Não"),L13,L13+INDEX($AO$6:$BR$176,ROW()-5,COLUMN()-40-$AI13)))*IF($B13="Operacional",IFERROR(VLOOKUP($C13,SN_UGC,28,0),0),1)</f>
        <v>0</v>
      </c>
      <c r="AX13" s="140">
        <f t="array" ref="AX13">IF(ISBLANK($A13),0,IF(OR(AX$5-$AI13&lt;=0,$AM13="Não"),M13,M13+INDEX($AO$6:$BR$176,ROW()-5,COLUMN()-40-$AI13)))*IF($B13="Operacional",IFERROR(VLOOKUP($C13,SN_UGC,28,0),0),1)</f>
        <v>0</v>
      </c>
      <c r="AY13" s="140">
        <f t="array" ref="AY13">IF(ISBLANK($A13),0,IF(OR(AY$5-$AI13&lt;=0,$AM13="Não"),N13,N13+INDEX($AO$6:$BR$176,ROW()-5,COLUMN()-40-$AI13)))*IF($B13="Operacional",IFERROR(VLOOKUP($C13,SN_UGC,28,0),0),1)</f>
        <v>0</v>
      </c>
      <c r="AZ13" s="140">
        <f t="array" ref="AZ13">IF(ISBLANK($A13),0,IF(OR(AZ$5-$AI13&lt;=0,$AM13="Não"),O13,O13+INDEX($AO$6:$BR$176,ROW()-5,COLUMN()-40-$AI13)))*IF($B13="Operacional",IFERROR(VLOOKUP($C13,SN_UGC,28,0),0),1)</f>
        <v>0</v>
      </c>
      <c r="BA13" s="140">
        <f t="array" ref="BA13">IF(ISBLANK($A13),0,IF(OR(BA$5-$AI13&lt;=0,$AM13="Não"),P13,P13+INDEX($AO$6:$BR$176,ROW()-5,COLUMN()-40-$AI13)))*IF($B13="Operacional",IFERROR(VLOOKUP($C13,SN_UGC,28,0),0),1)</f>
        <v>0</v>
      </c>
      <c r="BB13" s="140">
        <f t="array" ref="BB13">IF(ISBLANK($A13),0,IF(OR(BB$5-$AI13&lt;=0,$AM13="Não"),Q13,Q13+INDEX($AO$6:$BR$176,ROW()-5,COLUMN()-40-$AI13)))*IF($B13="Operacional",IFERROR(VLOOKUP($C13,SN_UGC,28,0),0),1)</f>
        <v>0</v>
      </c>
      <c r="BC13" s="140">
        <f t="array" ref="BC13">IF(ISBLANK($A13),0,IF(OR(BC$5-$AI13&lt;=0,$AM13="Não"),R13,R13+INDEX($AO$6:$BR$176,ROW()-5,COLUMN()-40-$AI13)))*IF($B13="Operacional",IFERROR(VLOOKUP($C13,SN_UGC,28,0),0),1)</f>
        <v>0</v>
      </c>
      <c r="BD13" s="140">
        <f t="array" ref="BD13">IF(ISBLANK($A13),0,IF(OR(BD$5-$AI13&lt;=0,$AM13="Não"),S13,S13+INDEX($AO$6:$BR$176,ROW()-5,COLUMN()-40-$AI13)))*IF($B13="Operacional",IFERROR(VLOOKUP($C13,SN_UGC,28,0),0),1)</f>
        <v>0</v>
      </c>
      <c r="BE13" s="140">
        <f t="array" ref="BE13">IF(ISBLANK($A13),0,IF(OR(BE$5-$AI13&lt;=0,$AM13="Não"),T13,T13+INDEX($AO$6:$BR$176,ROW()-5,COLUMN()-40-$AI13)))*IF($B13="Operacional",IFERROR(VLOOKUP($C13,SN_UGC,28,0),0),1)</f>
        <v>0</v>
      </c>
      <c r="BF13" s="140">
        <f t="array" ref="BF13">IF(ISBLANK($A13),0,IF(OR(BF$5-$AI13&lt;=0,$AM13="Não"),U13,U13+INDEX($AO$6:$BR$176,ROW()-5,COLUMN()-40-$AI13)))*IF($B13="Operacional",IFERROR(VLOOKUP($C13,SN_UGC,28,0),0),1)</f>
        <v>0</v>
      </c>
      <c r="BG13" s="140">
        <f t="array" ref="BG13">IF(ISBLANK($A13),0,IF(OR(BG$5-$AI13&lt;=0,$AM13="Não"),V13,V13+INDEX($AO$6:$BR$176,ROW()-5,COLUMN()-40-$AI13)))*IF($B13="Operacional",IFERROR(VLOOKUP($C13,SN_UGC,28,0),0),1)</f>
        <v>0</v>
      </c>
      <c r="BH13" s="140">
        <f t="array" ref="BH13">IF(ISBLANK($A13),0,IF(OR(BH$5-$AI13&lt;=0,$AM13="Não"),W13,W13+INDEX($AO$6:$BR$176,ROW()-5,COLUMN()-40-$AI13)))*IF($B13="Operacional",IFERROR(VLOOKUP($C13,SN_UGC,28,0),0),1)</f>
        <v>0</v>
      </c>
      <c r="BI13" s="140">
        <f t="array" ref="BI13">IF(ISBLANK($A13),0,IF(OR(BI$5-$AI13&lt;=0,$AM13="Não"),X13,X13+INDEX($AO$6:$BR$176,ROW()-5,COLUMN()-40-$AI13)))*IF($B13="Operacional",IFERROR(VLOOKUP($C13,SN_UGC,28,0),0),1)</f>
        <v>0</v>
      </c>
      <c r="BJ13" s="140">
        <f t="array" ref="BJ13">IF(ISBLANK($A13),0,IF(OR(BJ$5-$AI13&lt;=0,$AM13="Não"),Y13,Y13+INDEX($AO$6:$BR$176,ROW()-5,COLUMN()-40-$AI13)))*IF($B13="Operacional",IFERROR(VLOOKUP($C13,SN_UGC,28,0),0),1)</f>
        <v>0</v>
      </c>
      <c r="BK13" s="140">
        <f t="array" ref="BK13">IF(ISBLANK($A13),0,IF(OR(BK$5-$AI13&lt;=0,$AM13="Não"),Z13,Z13+INDEX($AO$6:$BR$176,ROW()-5,COLUMN()-40-$AI13)))*IF($B13="Operacional",IFERROR(VLOOKUP($C13,SN_UGC,28,0),0),1)</f>
        <v>0</v>
      </c>
      <c r="BL13" s="140">
        <f t="array" ref="BL13">IF(ISBLANK($A13),0,IF(OR(BL$5-$AI13&lt;=0,$AM13="Não"),AA13,AA13+INDEX($AO$6:$BR$176,ROW()-5,COLUMN()-40-$AI13)))*IF($B13="Operacional",IFERROR(VLOOKUP($C13,SN_UGC,28,0),0),1)</f>
        <v>0</v>
      </c>
      <c r="BM13" s="140">
        <f t="array" ref="BM13">IF(ISBLANK($A13),0,IF(OR(BM$5-$AI13&lt;=0,$AM13="Não"),AB13,AB13+INDEX($AO$6:$BR$176,ROW()-5,COLUMN()-40-$AI13)))*IF($B13="Operacional",IFERROR(VLOOKUP($C13,SN_UGC,28,0),0),1)</f>
        <v>0</v>
      </c>
      <c r="BN13" s="140">
        <f t="array" ref="BN13">IF(ISBLANK($A13),0,IF(OR(BN$5-$AI13&lt;=0,$AM13="Não"),AC13,AC13+INDEX($AO$6:$BR$176,ROW()-5,COLUMN()-40-$AI13)))*IF($B13="Operacional",IFERROR(VLOOKUP($C13,SN_UGC,28,0),0),1)</f>
        <v>0</v>
      </c>
      <c r="BO13" s="140">
        <f t="array" ref="BO13">IF(ISBLANK($A13),0,IF(OR(BO$5-$AI13&lt;=0,$AM13="Não"),AD13,AD13+INDEX($AO$6:$BR$176,ROW()-5,COLUMN()-40-$AI13)))*IF($B13="Operacional",IFERROR(VLOOKUP($C13,SN_UGC,28,0),0),1)</f>
        <v>0</v>
      </c>
      <c r="BP13" s="140">
        <f t="array" ref="BP13">IF(ISBLANK($A13),0,IF(OR(BP$5-$AI13&lt;=0,$AM13="Não"),AE13,AE13+INDEX($AO$6:$BR$176,ROW()-5,COLUMN()-40-$AI13)))*IF($B13="Operacional",IFERROR(VLOOKUP($C13,SN_UGC,28,0),0),1)</f>
        <v>0</v>
      </c>
      <c r="BQ13" s="140">
        <f t="array" ref="BQ13">IF(ISBLANK($A13),0,IF(OR(BQ$5-$AI13&lt;=0,$AM13="Não"),AF13,AF13+INDEX($AO$6:$BR$176,ROW()-5,COLUMN()-40-$AI13)))*IF($B13="Operacional",IFERROR(VLOOKUP($C13,SN_UGC,28,0),0),1)</f>
        <v>0</v>
      </c>
      <c r="BR13" s="140">
        <f t="array" ref="BR13">IF(ISBLANK($A13),0,IF(OR(BR$5-$AI13&lt;=0,$AM13="Não"),AG13,AG13+INDEX($AO$6:$BR$176,ROW()-5,COLUMN()-40-$AI13)))*IF($B13="Operacional",IFERROR(VLOOKUP($C13,SN_UGC,28,0),0),1)</f>
        <v>0</v>
      </c>
      <c r="BS13" s="141">
        <f t="shared" ref="BS13:CV13" si="65">IF(ISBLANK($A13),0,$AH13*AO13)</f>
        <v>1670303.36</v>
      </c>
      <c r="BT13" s="141">
        <f t="shared" si="65"/>
        <v>0</v>
      </c>
      <c r="BU13" s="141">
        <f t="shared" si="65"/>
        <v>0</v>
      </c>
      <c r="BV13" s="141">
        <f t="shared" si="65"/>
        <v>0</v>
      </c>
      <c r="BW13" s="141">
        <f t="shared" si="65"/>
        <v>0</v>
      </c>
      <c r="BX13" s="141">
        <f t="shared" si="65"/>
        <v>0</v>
      </c>
      <c r="BY13" s="141">
        <f t="shared" si="65"/>
        <v>0</v>
      </c>
      <c r="BZ13" s="141">
        <f t="shared" si="65"/>
        <v>0</v>
      </c>
      <c r="CA13" s="141">
        <f t="shared" si="65"/>
        <v>0</v>
      </c>
      <c r="CB13" s="141">
        <f t="shared" si="65"/>
        <v>0</v>
      </c>
      <c r="CC13" s="141">
        <f t="shared" si="65"/>
        <v>0</v>
      </c>
      <c r="CD13" s="141">
        <f t="shared" si="65"/>
        <v>0</v>
      </c>
      <c r="CE13" s="141">
        <f t="shared" si="65"/>
        <v>0</v>
      </c>
      <c r="CF13" s="141">
        <f t="shared" si="65"/>
        <v>0</v>
      </c>
      <c r="CG13" s="141">
        <f t="shared" si="65"/>
        <v>0</v>
      </c>
      <c r="CH13" s="141">
        <f t="shared" si="65"/>
        <v>0</v>
      </c>
      <c r="CI13" s="141">
        <f t="shared" si="65"/>
        <v>0</v>
      </c>
      <c r="CJ13" s="141">
        <f t="shared" si="65"/>
        <v>0</v>
      </c>
      <c r="CK13" s="141">
        <f t="shared" si="65"/>
        <v>0</v>
      </c>
      <c r="CL13" s="141">
        <f t="shared" si="65"/>
        <v>0</v>
      </c>
      <c r="CM13" s="141">
        <f t="shared" si="65"/>
        <v>0</v>
      </c>
      <c r="CN13" s="141">
        <f t="shared" si="65"/>
        <v>0</v>
      </c>
      <c r="CO13" s="141">
        <f t="shared" si="65"/>
        <v>0</v>
      </c>
      <c r="CP13" s="141">
        <f t="shared" si="65"/>
        <v>0</v>
      </c>
      <c r="CQ13" s="141">
        <f t="shared" si="65"/>
        <v>0</v>
      </c>
      <c r="CR13" s="141">
        <f t="shared" si="65"/>
        <v>0</v>
      </c>
      <c r="CS13" s="141">
        <f t="shared" si="65"/>
        <v>0</v>
      </c>
      <c r="CT13" s="141">
        <f t="shared" si="65"/>
        <v>0</v>
      </c>
      <c r="CU13" s="141">
        <f t="shared" si="65"/>
        <v>0</v>
      </c>
      <c r="CV13" s="141">
        <f t="shared" si="65"/>
        <v>0</v>
      </c>
      <c r="CW13" s="142">
        <f t="shared" ref="CW13:DZ13" si="66">EA13*$AH13*$AJ13</f>
        <v>0</v>
      </c>
      <c r="CX13" s="142">
        <f t="shared" si="66"/>
        <v>0</v>
      </c>
      <c r="CY13" s="142">
        <f t="shared" si="66"/>
        <v>0</v>
      </c>
      <c r="CZ13" s="142">
        <f t="shared" si="66"/>
        <v>0</v>
      </c>
      <c r="DA13" s="142">
        <f t="shared" si="66"/>
        <v>0</v>
      </c>
      <c r="DB13" s="142">
        <f t="shared" si="66"/>
        <v>0</v>
      </c>
      <c r="DC13" s="142">
        <f t="shared" si="66"/>
        <v>0</v>
      </c>
      <c r="DD13" s="142">
        <f t="shared" si="66"/>
        <v>0</v>
      </c>
      <c r="DE13" s="142">
        <f t="shared" si="66"/>
        <v>0</v>
      </c>
      <c r="DF13" s="142">
        <f t="shared" si="66"/>
        <v>0</v>
      </c>
      <c r="DG13" s="142">
        <f t="shared" si="66"/>
        <v>0</v>
      </c>
      <c r="DH13" s="142">
        <f t="shared" si="66"/>
        <v>0</v>
      </c>
      <c r="DI13" s="142">
        <f t="shared" si="66"/>
        <v>0</v>
      </c>
      <c r="DJ13" s="142">
        <f t="shared" si="66"/>
        <v>0</v>
      </c>
      <c r="DK13" s="142">
        <f t="shared" si="66"/>
        <v>0</v>
      </c>
      <c r="DL13" s="142">
        <f t="shared" si="66"/>
        <v>0</v>
      </c>
      <c r="DM13" s="142">
        <f t="shared" si="66"/>
        <v>0</v>
      </c>
      <c r="DN13" s="142">
        <f t="shared" si="66"/>
        <v>0</v>
      </c>
      <c r="DO13" s="142">
        <f t="shared" si="66"/>
        <v>0</v>
      </c>
      <c r="DP13" s="142">
        <f t="shared" si="66"/>
        <v>0</v>
      </c>
      <c r="DQ13" s="142">
        <f t="shared" si="66"/>
        <v>0</v>
      </c>
      <c r="DR13" s="142">
        <f t="shared" si="66"/>
        <v>0</v>
      </c>
      <c r="DS13" s="142">
        <f t="shared" si="66"/>
        <v>0</v>
      </c>
      <c r="DT13" s="142">
        <f t="shared" si="66"/>
        <v>0</v>
      </c>
      <c r="DU13" s="142">
        <f t="shared" si="66"/>
        <v>0</v>
      </c>
      <c r="DV13" s="142">
        <f t="shared" si="66"/>
        <v>0</v>
      </c>
      <c r="DW13" s="142">
        <f t="shared" si="66"/>
        <v>0</v>
      </c>
      <c r="DX13" s="142">
        <f t="shared" si="66"/>
        <v>0</v>
      </c>
      <c r="DY13" s="142">
        <f t="shared" si="66"/>
        <v>0</v>
      </c>
      <c r="DZ13" s="142">
        <f t="shared" si="66"/>
        <v>0</v>
      </c>
      <c r="EA13" s="143">
        <f t="shared" si="9"/>
        <v>0</v>
      </c>
      <c r="EB13" s="143">
        <f t="shared" si="10"/>
        <v>0</v>
      </c>
      <c r="EC13" s="143">
        <f t="shared" si="11"/>
        <v>0</v>
      </c>
      <c r="ED13" s="143">
        <f t="shared" si="12"/>
        <v>0</v>
      </c>
      <c r="EE13" s="143">
        <f t="shared" si="13"/>
        <v>0</v>
      </c>
      <c r="EF13" s="143">
        <f t="shared" si="14"/>
        <v>0</v>
      </c>
      <c r="EG13" s="143">
        <f t="shared" si="15"/>
        <v>0</v>
      </c>
      <c r="EH13" s="143">
        <f t="shared" si="16"/>
        <v>0</v>
      </c>
      <c r="EI13" s="143">
        <f t="shared" si="17"/>
        <v>0</v>
      </c>
      <c r="EJ13" s="143">
        <f t="shared" si="18"/>
        <v>0</v>
      </c>
      <c r="EK13" s="143">
        <f t="shared" si="19"/>
        <v>0</v>
      </c>
      <c r="EL13" s="143">
        <f t="shared" si="20"/>
        <v>0</v>
      </c>
      <c r="EM13" s="143">
        <f t="shared" si="21"/>
        <v>0</v>
      </c>
      <c r="EN13" s="143">
        <f t="shared" si="22"/>
        <v>0</v>
      </c>
      <c r="EO13" s="143">
        <f t="shared" si="23"/>
        <v>0</v>
      </c>
      <c r="EP13" s="143">
        <f t="shared" si="24"/>
        <v>0</v>
      </c>
      <c r="EQ13" s="143">
        <f t="shared" si="25"/>
        <v>0</v>
      </c>
      <c r="ER13" s="143">
        <f t="shared" si="26"/>
        <v>0</v>
      </c>
      <c r="ES13" s="143">
        <f t="shared" si="27"/>
        <v>0</v>
      </c>
      <c r="ET13" s="143">
        <f t="shared" si="28"/>
        <v>0</v>
      </c>
      <c r="EU13" s="143">
        <f t="shared" si="29"/>
        <v>0</v>
      </c>
      <c r="EV13" s="143">
        <f t="shared" si="30"/>
        <v>0</v>
      </c>
      <c r="EW13" s="143">
        <f t="shared" si="31"/>
        <v>0</v>
      </c>
      <c r="EX13" s="143">
        <f t="shared" si="32"/>
        <v>0</v>
      </c>
      <c r="EY13" s="143">
        <f t="shared" si="33"/>
        <v>0</v>
      </c>
      <c r="EZ13" s="143">
        <f t="shared" si="34"/>
        <v>0</v>
      </c>
      <c r="FA13" s="143">
        <f t="shared" si="35"/>
        <v>0</v>
      </c>
      <c r="FB13" s="143">
        <f t="shared" si="36"/>
        <v>0</v>
      </c>
      <c r="FC13" s="143">
        <f t="shared" si="37"/>
        <v>0</v>
      </c>
      <c r="FD13" s="143">
        <f t="shared" si="38"/>
        <v>0</v>
      </c>
      <c r="FE13" s="140">
        <f>SUM($D13:D13)*IF($B13="Operacional",IFERROR(VLOOKUP($C13,SN_UGC,28,0),0),1)</f>
        <v>704</v>
      </c>
      <c r="FF13" s="140">
        <f>SUM($D13:E13)*IF($B13="Operacional",IFERROR(VLOOKUP($C13,SN_UGC,28,0),0),1)</f>
        <v>704</v>
      </c>
      <c r="FG13" s="140">
        <f>SUM($D13:F13)*IF($B13="Operacional",IFERROR(VLOOKUP($C13,SN_UGC,28,0),0),1)</f>
        <v>704</v>
      </c>
      <c r="FH13" s="140">
        <f>SUM($D13:G13)*IF($B13="Operacional",IFERROR(VLOOKUP($C13,SN_UGC,28,0),0),1)</f>
        <v>704</v>
      </c>
      <c r="FI13" s="140">
        <f>SUM($D13:H13)*IF($B13="Operacional",IFERROR(VLOOKUP($C13,SN_UGC,28,0),0),1)</f>
        <v>704</v>
      </c>
      <c r="FJ13" s="140">
        <f>SUM($D13:I13)*IF($B13="Operacional",IFERROR(VLOOKUP($C13,SN_UGC,28,0),0),1)</f>
        <v>704</v>
      </c>
      <c r="FK13" s="140">
        <f>SUM($D13:J13)*IF($B13="Operacional",IFERROR(VLOOKUP($C13,SN_UGC,28,0),0),1)</f>
        <v>704</v>
      </c>
      <c r="FL13" s="140">
        <f>SUM($D13:K13)*IF($B13="Operacional",IFERROR(VLOOKUP($C13,SN_UGC,28,0),0),1)</f>
        <v>704</v>
      </c>
      <c r="FM13" s="140">
        <f>SUM($D13:L13)*IF($B13="Operacional",IFERROR(VLOOKUP($C13,SN_UGC,28,0),0),1)</f>
        <v>704</v>
      </c>
      <c r="FN13" s="140">
        <f>SUM($D13:M13)*IF($B13="Operacional",IFERROR(VLOOKUP($C13,SN_UGC,28,0),0),1)</f>
        <v>704</v>
      </c>
      <c r="FO13" s="140">
        <f>SUM($D13:N13)*IF($B13="Operacional",IFERROR(VLOOKUP($C13,SN_UGC,28,0),0),1)</f>
        <v>704</v>
      </c>
      <c r="FP13" s="140">
        <f>SUM($D13:O13)*IF($B13="Operacional",IFERROR(VLOOKUP($C13,SN_UGC,28,0),0),1)</f>
        <v>704</v>
      </c>
      <c r="FQ13" s="140">
        <f>SUM($D13:P13)*IF($B13="Operacional",IFERROR(VLOOKUP($C13,SN_UGC,28,0),0),1)</f>
        <v>704</v>
      </c>
      <c r="FR13" s="140">
        <f>SUM($D13:Q13)*IF($B13="Operacional",IFERROR(VLOOKUP($C13,SN_UGC,28,0),0),1)</f>
        <v>704</v>
      </c>
      <c r="FS13" s="140">
        <f>SUM($D13:R13)*IF($B13="Operacional",IFERROR(VLOOKUP($C13,SN_UGC,28,0),0),1)</f>
        <v>704</v>
      </c>
      <c r="FT13" s="140">
        <f>SUM($D13:S13)*IF($B13="Operacional",IFERROR(VLOOKUP($C13,SN_UGC,28,0),0),1)</f>
        <v>704</v>
      </c>
      <c r="FU13" s="140">
        <f>SUM($D13:T13)*IF($B13="Operacional",IFERROR(VLOOKUP($C13,SN_UGC,28,0),0),1)</f>
        <v>704</v>
      </c>
      <c r="FV13" s="140">
        <f>SUM($D13:U13)*IF($B13="Operacional",IFERROR(VLOOKUP($C13,SN_UGC,28,0),0),1)</f>
        <v>704</v>
      </c>
      <c r="FW13" s="140">
        <f>SUM($D13:V13)*IF($B13="Operacional",IFERROR(VLOOKUP($C13,SN_UGC,28,0),0),1)</f>
        <v>704</v>
      </c>
      <c r="FX13" s="140">
        <f>SUM($D13:W13)*IF($B13="Operacional",IFERROR(VLOOKUP($C13,SN_UGC,28,0),0),1)</f>
        <v>704</v>
      </c>
      <c r="FY13" s="140">
        <f>SUM($D13:X13)*IF($B13="Operacional",IFERROR(VLOOKUP($C13,SN_UGC,28,0),0),1)</f>
        <v>704</v>
      </c>
      <c r="FZ13" s="140">
        <f>SUM($D13:Y13)*IF($B13="Operacional",IFERROR(VLOOKUP($C13,SN_UGC,28,0),0),1)</f>
        <v>704</v>
      </c>
      <c r="GA13" s="140">
        <f>SUM($D13:Z13)*IF($B13="Operacional",IFERROR(VLOOKUP($C13,SN_UGC,28,0),0),1)</f>
        <v>704</v>
      </c>
      <c r="GB13" s="140">
        <f>SUM($D13:AA13)*IF($B13="Operacional",IFERROR(VLOOKUP($C13,SN_UGC,28,0),0),1)</f>
        <v>704</v>
      </c>
      <c r="GC13" s="140">
        <f>SUM($D13:AB13)*IF($B13="Operacional",IFERROR(VLOOKUP($C13,SN_UGC,28,0),0),1)</f>
        <v>704</v>
      </c>
      <c r="GD13" s="140">
        <f>SUM($D13:AC13)*IF($B13="Operacional",IFERROR(VLOOKUP($C13,SN_UGC,28,0),0),1)</f>
        <v>704</v>
      </c>
      <c r="GE13" s="140">
        <f>SUM($D13:AD13)*IF($B13="Operacional",IFERROR(VLOOKUP($C13,SN_UGC,28,0),0),1)</f>
        <v>704</v>
      </c>
      <c r="GF13" s="140">
        <f>SUM($D13:AE13)*IF($B13="Operacional",IFERROR(VLOOKUP($C13,SN_UGC,28,0),0),1)</f>
        <v>704</v>
      </c>
      <c r="GG13" s="140">
        <f>SUM($D13:AF13)*IF($B13="Operacional",IFERROR(VLOOKUP($C13,SN_UGC,28,0),0),1)</f>
        <v>704</v>
      </c>
      <c r="GH13" s="140">
        <f>SUM($D13:AG13)*IF($B13="Operacional",IFERROR(VLOOKUP($C13,SN_UGC,28,0),0),1)</f>
        <v>704</v>
      </c>
      <c r="GI13" s="141">
        <f t="shared" ref="GI13:HL13" si="67">FE13*$AH13*$AL13</f>
        <v>83515.168000000005</v>
      </c>
      <c r="GJ13" s="141">
        <f t="shared" si="67"/>
        <v>83515.168000000005</v>
      </c>
      <c r="GK13" s="141">
        <f t="shared" si="67"/>
        <v>83515.168000000005</v>
      </c>
      <c r="GL13" s="141">
        <f t="shared" si="67"/>
        <v>83515.168000000005</v>
      </c>
      <c r="GM13" s="141">
        <f t="shared" si="67"/>
        <v>83515.168000000005</v>
      </c>
      <c r="GN13" s="141">
        <f t="shared" si="67"/>
        <v>83515.168000000005</v>
      </c>
      <c r="GO13" s="141">
        <f t="shared" si="67"/>
        <v>83515.168000000005</v>
      </c>
      <c r="GP13" s="141">
        <f t="shared" si="67"/>
        <v>83515.168000000005</v>
      </c>
      <c r="GQ13" s="141">
        <f t="shared" si="67"/>
        <v>83515.168000000005</v>
      </c>
      <c r="GR13" s="141">
        <f t="shared" si="67"/>
        <v>83515.168000000005</v>
      </c>
      <c r="GS13" s="141">
        <f t="shared" si="67"/>
        <v>83515.168000000005</v>
      </c>
      <c r="GT13" s="141">
        <f t="shared" si="67"/>
        <v>83515.168000000005</v>
      </c>
      <c r="GU13" s="141">
        <f t="shared" si="67"/>
        <v>83515.168000000005</v>
      </c>
      <c r="GV13" s="141">
        <f t="shared" si="67"/>
        <v>83515.168000000005</v>
      </c>
      <c r="GW13" s="141">
        <f t="shared" si="67"/>
        <v>83515.168000000005</v>
      </c>
      <c r="GX13" s="141">
        <f t="shared" si="67"/>
        <v>83515.168000000005</v>
      </c>
      <c r="GY13" s="141">
        <f t="shared" si="67"/>
        <v>83515.168000000005</v>
      </c>
      <c r="GZ13" s="141">
        <f t="shared" si="67"/>
        <v>83515.168000000005</v>
      </c>
      <c r="HA13" s="141">
        <f t="shared" si="67"/>
        <v>83515.168000000005</v>
      </c>
      <c r="HB13" s="141">
        <f t="shared" si="67"/>
        <v>83515.168000000005</v>
      </c>
      <c r="HC13" s="141">
        <f t="shared" si="67"/>
        <v>83515.168000000005</v>
      </c>
      <c r="HD13" s="141">
        <f t="shared" si="67"/>
        <v>83515.168000000005</v>
      </c>
      <c r="HE13" s="141">
        <f t="shared" si="67"/>
        <v>83515.168000000005</v>
      </c>
      <c r="HF13" s="141">
        <f t="shared" si="67"/>
        <v>83515.168000000005</v>
      </c>
      <c r="HG13" s="141">
        <f t="shared" si="67"/>
        <v>83515.168000000005</v>
      </c>
      <c r="HH13" s="141">
        <f t="shared" si="67"/>
        <v>83515.168000000005</v>
      </c>
      <c r="HI13" s="141">
        <f t="shared" si="67"/>
        <v>83515.168000000005</v>
      </c>
      <c r="HJ13" s="141">
        <f t="shared" si="67"/>
        <v>83515.168000000005</v>
      </c>
      <c r="HK13" s="141">
        <f t="shared" si="67"/>
        <v>83515.168000000005</v>
      </c>
      <c r="HL13" s="141">
        <f t="shared" si="67"/>
        <v>83515.168000000005</v>
      </c>
      <c r="HM13" s="142">
        <f t="shared" ref="HM13:IP13" si="68">IF(ISBLANK($A13),,FE13*($AH13-($AH13*$AJ13))/$AI13)</f>
        <v>55676.778666666673</v>
      </c>
      <c r="HN13" s="142">
        <f t="shared" si="68"/>
        <v>55676.778666666673</v>
      </c>
      <c r="HO13" s="142">
        <f t="shared" si="68"/>
        <v>55676.778666666673</v>
      </c>
      <c r="HP13" s="142">
        <f t="shared" si="68"/>
        <v>55676.778666666673</v>
      </c>
      <c r="HQ13" s="142">
        <f t="shared" si="68"/>
        <v>55676.778666666673</v>
      </c>
      <c r="HR13" s="142">
        <f t="shared" si="68"/>
        <v>55676.778666666673</v>
      </c>
      <c r="HS13" s="142">
        <f t="shared" si="68"/>
        <v>55676.778666666673</v>
      </c>
      <c r="HT13" s="142">
        <f t="shared" si="68"/>
        <v>55676.778666666673</v>
      </c>
      <c r="HU13" s="142">
        <f t="shared" si="68"/>
        <v>55676.778666666673</v>
      </c>
      <c r="HV13" s="142">
        <f t="shared" si="68"/>
        <v>55676.778666666673</v>
      </c>
      <c r="HW13" s="142">
        <f t="shared" si="68"/>
        <v>55676.778666666673</v>
      </c>
      <c r="HX13" s="142">
        <f t="shared" si="68"/>
        <v>55676.778666666673</v>
      </c>
      <c r="HY13" s="142">
        <f t="shared" si="68"/>
        <v>55676.778666666673</v>
      </c>
      <c r="HZ13" s="142">
        <f t="shared" si="68"/>
        <v>55676.778666666673</v>
      </c>
      <c r="IA13" s="142">
        <f t="shared" si="68"/>
        <v>55676.778666666673</v>
      </c>
      <c r="IB13" s="142">
        <f t="shared" si="68"/>
        <v>55676.778666666673</v>
      </c>
      <c r="IC13" s="142">
        <f t="shared" si="68"/>
        <v>55676.778666666673</v>
      </c>
      <c r="ID13" s="142">
        <f t="shared" si="68"/>
        <v>55676.778666666673</v>
      </c>
      <c r="IE13" s="142">
        <f t="shared" si="68"/>
        <v>55676.778666666673</v>
      </c>
      <c r="IF13" s="142">
        <f t="shared" si="68"/>
        <v>55676.778666666673</v>
      </c>
      <c r="IG13" s="142">
        <f t="shared" si="68"/>
        <v>55676.778666666673</v>
      </c>
      <c r="IH13" s="142">
        <f t="shared" si="68"/>
        <v>55676.778666666673</v>
      </c>
      <c r="II13" s="142">
        <f t="shared" si="68"/>
        <v>55676.778666666673</v>
      </c>
      <c r="IJ13" s="142">
        <f t="shared" si="68"/>
        <v>55676.778666666673</v>
      </c>
      <c r="IK13" s="142">
        <f t="shared" si="68"/>
        <v>55676.778666666673</v>
      </c>
      <c r="IL13" s="142">
        <f t="shared" si="68"/>
        <v>55676.778666666673</v>
      </c>
      <c r="IM13" s="142">
        <f t="shared" si="68"/>
        <v>55676.778666666673</v>
      </c>
      <c r="IN13" s="142">
        <f t="shared" si="68"/>
        <v>55676.778666666673</v>
      </c>
      <c r="IO13" s="142">
        <f t="shared" si="68"/>
        <v>55676.778666666673</v>
      </c>
      <c r="IP13" s="142">
        <f t="shared" si="68"/>
        <v>55676.778666666673</v>
      </c>
      <c r="IQ13" s="141">
        <f>IF(ISBLANK($A13),,IF($AN13="Não",0,(SUM($AO13:AO13)*$AH13)-SUM($HM13:HM13)-SUM($CW13:CW13)))</f>
        <v>0</v>
      </c>
      <c r="IR13" s="141">
        <f>IF(ISBLANK($A13),,IF($AN13="Não",0,(SUM($AO13:AP13)*$AH13)-SUM($HM13:HN13)-SUM($CW13:CX13)))</f>
        <v>0</v>
      </c>
      <c r="IS13" s="141">
        <f>IF(ISBLANK($A13),,IF($AN13="Não",0,(SUM($AO13:AQ13)*$AH13)-SUM($HM13:HO13)-SUM($CW13:CY13)))</f>
        <v>0</v>
      </c>
      <c r="IT13" s="141">
        <f>IF(ISBLANK($A13),,IF($AN13="Não",0,(SUM($AO13:AR13)*$AH13)-SUM($HM13:HP13)-SUM($CW13:CZ13)))</f>
        <v>0</v>
      </c>
      <c r="IU13" s="141">
        <f>IF(ISBLANK($A13),,IF($AN13="Não",0,(SUM($AO13:AS13)*$AH13)-SUM($HM13:HQ13)-SUM($CW13:DA13)))</f>
        <v>0</v>
      </c>
      <c r="IV13" s="141">
        <f>IF(ISBLANK($A13),,IF($AN13="Não",0,(SUM($AO13:AT13)*$AH13)-SUM($HM13:HR13)-SUM($CW13:DB13)))</f>
        <v>0</v>
      </c>
      <c r="IW13" s="141">
        <f>IF(ISBLANK($A13),,IF($AN13="Não",0,(SUM($AO13:AU13)*$AH13)-SUM($HM13:HS13)-SUM($CW13:DC13)))</f>
        <v>0</v>
      </c>
      <c r="IX13" s="141">
        <f>IF(ISBLANK($A13),,IF($AN13="Não",0,(SUM($AO13:AV13)*$AH13)-SUM($HM13:HT13)-SUM($CW13:DD13)))</f>
        <v>0</v>
      </c>
      <c r="IY13" s="141">
        <f>IF(ISBLANK($A13),,IF($AN13="Não",0,(SUM($AO13:AW13)*$AH13)-SUM($HM13:HU13)-SUM($CW13:DE13)))</f>
        <v>0</v>
      </c>
      <c r="IZ13" s="141">
        <f>IF(ISBLANK($A13),,IF($AN13="Não",0,(SUM($AO13:AX13)*$AH13)-SUM($HM13:HV13)-SUM($CW13:DF13)))</f>
        <v>0</v>
      </c>
      <c r="JA13" s="141">
        <f>IF(ISBLANK($A13),,IF($AN13="Não",0,(SUM($AO13:AY13)*$AH13)-SUM($HM13:HW13)-SUM($CW13:DG13)))</f>
        <v>0</v>
      </c>
      <c r="JB13" s="141">
        <f>IF(ISBLANK($A13),,IF($AN13="Não",0,(SUM($AO13:AZ13)*$AH13)-SUM($HM13:HX13)-SUM($CW13:DH13)))</f>
        <v>0</v>
      </c>
      <c r="JC13" s="141">
        <f>IF(ISBLANK($A13),,IF($AN13="Não",0,(SUM($AO13:BA13)*$AH13)-SUM($HM13:HY13)-SUM($CW13:DI13)))</f>
        <v>0</v>
      </c>
      <c r="JD13" s="141">
        <f>IF(ISBLANK($A13),,IF($AN13="Não",0,(SUM($AO13:BB13)*$AH13)-SUM($HM13:HZ13)-SUM($CW13:DJ13)))</f>
        <v>0</v>
      </c>
      <c r="JE13" s="141">
        <f>IF(ISBLANK($A13),,IF($AN13="Não",0,(SUM($AO13:BC13)*$AH13)-SUM($HM13:IA13)-SUM($CW13:DK13)))</f>
        <v>0</v>
      </c>
      <c r="JF13" s="141">
        <f>IF(ISBLANK($A13),,IF($AN13="Não",0,(SUM($AO13:BD13)*$AH13)-SUM($HM13:IB13)-SUM($CW13:DL13)))</f>
        <v>0</v>
      </c>
      <c r="JG13" s="141">
        <f>IF(ISBLANK($A13),,IF($AN13="Não",0,(SUM($AO13:BE13)*$AH13)-SUM($HM13:IC13)-SUM($CW13:DM13)))</f>
        <v>0</v>
      </c>
      <c r="JH13" s="141">
        <f>IF(ISBLANK($A13),,IF($AN13="Não",0,(SUM($AO13:BF13)*$AH13)-SUM($HM13:ID13)-SUM($CW13:DN13)))</f>
        <v>0</v>
      </c>
      <c r="JI13" s="141">
        <f>IF(ISBLANK($A13),,IF($AN13="Não",0,(SUM($AO13:BG13)*$AH13)-SUM($HM13:IE13)-SUM($CW13:DO13)))</f>
        <v>0</v>
      </c>
      <c r="JJ13" s="141">
        <f>IF(ISBLANK($A13),,IF($AN13="Não",0,(SUM($AO13:BH13)*$AH13)-SUM($HM13:IF13)-SUM($CW13:DP13)))</f>
        <v>0</v>
      </c>
      <c r="JK13" s="141">
        <f>IF(ISBLANK($A13),,IF($AN13="Não",0,(SUM($AO13:BI13)*$AH13)-SUM($HM13:IG13)-SUM($CW13:DQ13)))</f>
        <v>0</v>
      </c>
      <c r="JL13" s="141">
        <f>IF(ISBLANK($A13),,IF($AN13="Não",0,(SUM($AO13:BJ13)*$AH13)-SUM($HM13:IH13)-SUM($CW13:DR13)))</f>
        <v>0</v>
      </c>
      <c r="JM13" s="141">
        <f>IF(ISBLANK($A13),,IF($AN13="Não",0,(SUM($AO13:BK13)*$AH13)-SUM($HM13:II13)-SUM($CW13:DS13)))</f>
        <v>0</v>
      </c>
      <c r="JN13" s="141">
        <f>IF(ISBLANK($A13),,IF($AN13="Não",0,(SUM($AO13:BL13)*$AH13)-SUM($HM13:IJ13)-SUM($CW13:DT13)))</f>
        <v>0</v>
      </c>
      <c r="JO13" s="141">
        <f>IF(ISBLANK($A13),,IF($AN13="Não",0,(SUM($AO13:BM13)*$AH13)-SUM($HM13:IK13)-SUM($CW13:DU13)))</f>
        <v>0</v>
      </c>
      <c r="JP13" s="141">
        <f>IF(ISBLANK($A13),,IF($AN13="Não",0,(SUM($AO13:BN13)*$AH13)-SUM($HM13:IL13)-SUM($CW13:DV13)))</f>
        <v>0</v>
      </c>
      <c r="JQ13" s="141">
        <f>IF(ISBLANK($A13),,IF($AN13="Não",0,(SUM($AO13:BO13)*$AH13)-SUM($HM13:IM13)-SUM($CW13:DW13)))</f>
        <v>0</v>
      </c>
      <c r="JR13" s="141">
        <f>IF(ISBLANK($A13),,IF($AN13="Não",0,(SUM($AO13:BP13)*$AH13)-SUM($HM13:IN13)-SUM($CW13:DX13)))</f>
        <v>0</v>
      </c>
      <c r="JS13" s="141">
        <f>IF(ISBLANK($A13),,IF($AN13="Não",0,(SUM($AO13:BQ13)*$AH13)-SUM($HM13:IO13)-SUM($CW13:DY13)))</f>
        <v>0</v>
      </c>
      <c r="JT13" s="141">
        <f>IF(ISBLANK($A13),,IF($AN13="Não",0,(SUM($AO13:BR13)*$AH13)-SUM($HM13:IP13)-SUM($CW13:DZ13)))</f>
        <v>0</v>
      </c>
    </row>
    <row r="14" spans="1:280" ht="15.75" customHeight="1">
      <c r="A14" s="129" t="s">
        <v>352</v>
      </c>
      <c r="B14" s="129" t="s">
        <v>209</v>
      </c>
      <c r="C14" s="138" t="s">
        <v>79</v>
      </c>
      <c r="D14" s="139">
        <v>24.22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607">
        <f t="shared" si="0"/>
        <v>2372.59</v>
      </c>
      <c r="AI14" s="608">
        <f t="shared" si="1"/>
        <v>30</v>
      </c>
      <c r="AJ14" s="609">
        <f t="shared" si="2"/>
        <v>0</v>
      </c>
      <c r="AK14" s="610" t="str">
        <f t="shared" si="3"/>
        <v>Edificações</v>
      </c>
      <c r="AL14" s="609">
        <f t="shared" si="4"/>
        <v>0.05</v>
      </c>
      <c r="AM14" s="611" t="str">
        <f t="shared" si="5"/>
        <v>Sim</v>
      </c>
      <c r="AN14" s="611" t="str">
        <f t="shared" si="6"/>
        <v>Não</v>
      </c>
      <c r="AO14" s="140">
        <f t="array" ref="AO14">IF(ISBLANK($A14),0,IF(OR(AO$5-$AI14&lt;=0,$AM14="Não"),D14,D14+INDEX($AO$6:$BR$176,ROW()-5,COLUMN()-40-$AI14)))*IF($B14="Operacional",IFERROR(VLOOKUP($C14,SN_UGC,28,0),0),1)</f>
        <v>24.22</v>
      </c>
      <c r="AP14" s="140">
        <f t="array" ref="AP14">IF(ISBLANK($A14),0,IF(OR(AP$5-$AI14&lt;=0,$AM14="Não"),E14,E14+INDEX($AO$6:$BR$176,ROW()-5,COLUMN()-40-$AI14)))*IF($B14="Operacional",IFERROR(VLOOKUP($C14,SN_UGC,28,0),0),1)</f>
        <v>0</v>
      </c>
      <c r="AQ14" s="140">
        <f t="array" ref="AQ14">IF(ISBLANK($A14),0,IF(OR(AQ$5-$AI14&lt;=0,$AM14="Não"),F14,F14+INDEX($AO$6:$BR$176,ROW()-5,COLUMN()-40-$AI14)))*IF($B14="Operacional",IFERROR(VLOOKUP($C14,SN_UGC,28,0),0),1)</f>
        <v>0</v>
      </c>
      <c r="AR14" s="140">
        <f t="array" ref="AR14">IF(ISBLANK($A14),0,IF(OR(AR$5-$AI14&lt;=0,$AM14="Não"),G14,G14+INDEX($AO$6:$BR$176,ROW()-5,COLUMN()-40-$AI14)))*IF($B14="Operacional",IFERROR(VLOOKUP($C14,SN_UGC,28,0),0),1)</f>
        <v>0</v>
      </c>
      <c r="AS14" s="140">
        <f t="array" ref="AS14">IF(ISBLANK($A14),0,IF(OR(AS$5-$AI14&lt;=0,$AM14="Não"),H14,H14+INDEX($AO$6:$BR$176,ROW()-5,COLUMN()-40-$AI14)))*IF($B14="Operacional",IFERROR(VLOOKUP($C14,SN_UGC,28,0),0),1)</f>
        <v>0</v>
      </c>
      <c r="AT14" s="140">
        <f t="array" ref="AT14">IF(ISBLANK($A14),0,IF(OR(AT$5-$AI14&lt;=0,$AM14="Não"),I14,I14+INDEX($AO$6:$BR$176,ROW()-5,COLUMN()-40-$AI14)))*IF($B14="Operacional",IFERROR(VLOOKUP($C14,SN_UGC,28,0),0),1)</f>
        <v>0</v>
      </c>
      <c r="AU14" s="140">
        <f t="array" ref="AU14">IF(ISBLANK($A14),0,IF(OR(AU$5-$AI14&lt;=0,$AM14="Não"),J14,J14+INDEX($AO$6:$BR$176,ROW()-5,COLUMN()-40-$AI14)))*IF($B14="Operacional",IFERROR(VLOOKUP($C14,SN_UGC,28,0),0),1)</f>
        <v>0</v>
      </c>
      <c r="AV14" s="140">
        <f t="array" ref="AV14">IF(ISBLANK($A14),0,IF(OR(AV$5-$AI14&lt;=0,$AM14="Não"),K14,K14+INDEX($AO$6:$BR$176,ROW()-5,COLUMN()-40-$AI14)))*IF($B14="Operacional",IFERROR(VLOOKUP($C14,SN_UGC,28,0),0),1)</f>
        <v>0</v>
      </c>
      <c r="AW14" s="140">
        <f t="array" ref="AW14">IF(ISBLANK($A14),0,IF(OR(AW$5-$AI14&lt;=0,$AM14="Não"),L14,L14+INDEX($AO$6:$BR$176,ROW()-5,COLUMN()-40-$AI14)))*IF($B14="Operacional",IFERROR(VLOOKUP($C14,SN_UGC,28,0),0),1)</f>
        <v>0</v>
      </c>
      <c r="AX14" s="140">
        <f t="array" ref="AX14">IF(ISBLANK($A14),0,IF(OR(AX$5-$AI14&lt;=0,$AM14="Não"),M14,M14+INDEX($AO$6:$BR$176,ROW()-5,COLUMN()-40-$AI14)))*IF($B14="Operacional",IFERROR(VLOOKUP($C14,SN_UGC,28,0),0),1)</f>
        <v>0</v>
      </c>
      <c r="AY14" s="140">
        <f t="array" ref="AY14">IF(ISBLANK($A14),0,IF(OR(AY$5-$AI14&lt;=0,$AM14="Não"),N14,N14+INDEX($AO$6:$BR$176,ROW()-5,COLUMN()-40-$AI14)))*IF($B14="Operacional",IFERROR(VLOOKUP($C14,SN_UGC,28,0),0),1)</f>
        <v>0</v>
      </c>
      <c r="AZ14" s="140">
        <f t="array" ref="AZ14">IF(ISBLANK($A14),0,IF(OR(AZ$5-$AI14&lt;=0,$AM14="Não"),O14,O14+INDEX($AO$6:$BR$176,ROW()-5,COLUMN()-40-$AI14)))*IF($B14="Operacional",IFERROR(VLOOKUP($C14,SN_UGC,28,0),0),1)</f>
        <v>0</v>
      </c>
      <c r="BA14" s="140">
        <f t="array" ref="BA14">IF(ISBLANK($A14),0,IF(OR(BA$5-$AI14&lt;=0,$AM14="Não"),P14,P14+INDEX($AO$6:$BR$176,ROW()-5,COLUMN()-40-$AI14)))*IF($B14="Operacional",IFERROR(VLOOKUP($C14,SN_UGC,28,0),0),1)</f>
        <v>0</v>
      </c>
      <c r="BB14" s="140">
        <f t="array" ref="BB14">IF(ISBLANK($A14),0,IF(OR(BB$5-$AI14&lt;=0,$AM14="Não"),Q14,Q14+INDEX($AO$6:$BR$176,ROW()-5,COLUMN()-40-$AI14)))*IF($B14="Operacional",IFERROR(VLOOKUP($C14,SN_UGC,28,0),0),1)</f>
        <v>0</v>
      </c>
      <c r="BC14" s="140">
        <f t="array" ref="BC14">IF(ISBLANK($A14),0,IF(OR(BC$5-$AI14&lt;=0,$AM14="Não"),R14,R14+INDEX($AO$6:$BR$176,ROW()-5,COLUMN()-40-$AI14)))*IF($B14="Operacional",IFERROR(VLOOKUP($C14,SN_UGC,28,0),0),1)</f>
        <v>0</v>
      </c>
      <c r="BD14" s="140">
        <f t="array" ref="BD14">IF(ISBLANK($A14),0,IF(OR(BD$5-$AI14&lt;=0,$AM14="Não"),S14,S14+INDEX($AO$6:$BR$176,ROW()-5,COLUMN()-40-$AI14)))*IF($B14="Operacional",IFERROR(VLOOKUP($C14,SN_UGC,28,0),0),1)</f>
        <v>0</v>
      </c>
      <c r="BE14" s="140">
        <f t="array" ref="BE14">IF(ISBLANK($A14),0,IF(OR(BE$5-$AI14&lt;=0,$AM14="Não"),T14,T14+INDEX($AO$6:$BR$176,ROW()-5,COLUMN()-40-$AI14)))*IF($B14="Operacional",IFERROR(VLOOKUP($C14,SN_UGC,28,0),0),1)</f>
        <v>0</v>
      </c>
      <c r="BF14" s="140">
        <f t="array" ref="BF14">IF(ISBLANK($A14),0,IF(OR(BF$5-$AI14&lt;=0,$AM14="Não"),U14,U14+INDEX($AO$6:$BR$176,ROW()-5,COLUMN()-40-$AI14)))*IF($B14="Operacional",IFERROR(VLOOKUP($C14,SN_UGC,28,0),0),1)</f>
        <v>0</v>
      </c>
      <c r="BG14" s="140">
        <f t="array" ref="BG14">IF(ISBLANK($A14),0,IF(OR(BG$5-$AI14&lt;=0,$AM14="Não"),V14,V14+INDEX($AO$6:$BR$176,ROW()-5,COLUMN()-40-$AI14)))*IF($B14="Operacional",IFERROR(VLOOKUP($C14,SN_UGC,28,0),0),1)</f>
        <v>0</v>
      </c>
      <c r="BH14" s="140">
        <f t="array" ref="BH14">IF(ISBLANK($A14),0,IF(OR(BH$5-$AI14&lt;=0,$AM14="Não"),W14,W14+INDEX($AO$6:$BR$176,ROW()-5,COLUMN()-40-$AI14)))*IF($B14="Operacional",IFERROR(VLOOKUP($C14,SN_UGC,28,0),0),1)</f>
        <v>0</v>
      </c>
      <c r="BI14" s="140">
        <f t="array" ref="BI14">IF(ISBLANK($A14),0,IF(OR(BI$5-$AI14&lt;=0,$AM14="Não"),X14,X14+INDEX($AO$6:$BR$176,ROW()-5,COLUMN()-40-$AI14)))*IF($B14="Operacional",IFERROR(VLOOKUP($C14,SN_UGC,28,0),0),1)</f>
        <v>0</v>
      </c>
      <c r="BJ14" s="140">
        <f t="array" ref="BJ14">IF(ISBLANK($A14),0,IF(OR(BJ$5-$AI14&lt;=0,$AM14="Não"),Y14,Y14+INDEX($AO$6:$BR$176,ROW()-5,COLUMN()-40-$AI14)))*IF($B14="Operacional",IFERROR(VLOOKUP($C14,SN_UGC,28,0),0),1)</f>
        <v>0</v>
      </c>
      <c r="BK14" s="140">
        <f t="array" ref="BK14">IF(ISBLANK($A14),0,IF(OR(BK$5-$AI14&lt;=0,$AM14="Não"),Z14,Z14+INDEX($AO$6:$BR$176,ROW()-5,COLUMN()-40-$AI14)))*IF($B14="Operacional",IFERROR(VLOOKUP($C14,SN_UGC,28,0),0),1)</f>
        <v>0</v>
      </c>
      <c r="BL14" s="140">
        <f t="array" ref="BL14">IF(ISBLANK($A14),0,IF(OR(BL$5-$AI14&lt;=0,$AM14="Não"),AA14,AA14+INDEX($AO$6:$BR$176,ROW()-5,COLUMN()-40-$AI14)))*IF($B14="Operacional",IFERROR(VLOOKUP($C14,SN_UGC,28,0),0),1)</f>
        <v>0</v>
      </c>
      <c r="BM14" s="140">
        <f t="array" ref="BM14">IF(ISBLANK($A14),0,IF(OR(BM$5-$AI14&lt;=0,$AM14="Não"),AB14,AB14+INDEX($AO$6:$BR$176,ROW()-5,COLUMN()-40-$AI14)))*IF($B14="Operacional",IFERROR(VLOOKUP($C14,SN_UGC,28,0),0),1)</f>
        <v>0</v>
      </c>
      <c r="BN14" s="140">
        <f t="array" ref="BN14">IF(ISBLANK($A14),0,IF(OR(BN$5-$AI14&lt;=0,$AM14="Não"),AC14,AC14+INDEX($AO$6:$BR$176,ROW()-5,COLUMN()-40-$AI14)))*IF($B14="Operacional",IFERROR(VLOOKUP($C14,SN_UGC,28,0),0),1)</f>
        <v>0</v>
      </c>
      <c r="BO14" s="140">
        <f t="array" ref="BO14">IF(ISBLANK($A14),0,IF(OR(BO$5-$AI14&lt;=0,$AM14="Não"),AD14,AD14+INDEX($AO$6:$BR$176,ROW()-5,COLUMN()-40-$AI14)))*IF($B14="Operacional",IFERROR(VLOOKUP($C14,SN_UGC,28,0),0),1)</f>
        <v>0</v>
      </c>
      <c r="BP14" s="140">
        <f t="array" ref="BP14">IF(ISBLANK($A14),0,IF(OR(BP$5-$AI14&lt;=0,$AM14="Não"),AE14,AE14+INDEX($AO$6:$BR$176,ROW()-5,COLUMN()-40-$AI14)))*IF($B14="Operacional",IFERROR(VLOOKUP($C14,SN_UGC,28,0),0),1)</f>
        <v>0</v>
      </c>
      <c r="BQ14" s="140">
        <f t="array" ref="BQ14">IF(ISBLANK($A14),0,IF(OR(BQ$5-$AI14&lt;=0,$AM14="Não"),AF14,AF14+INDEX($AO$6:$BR$176,ROW()-5,COLUMN()-40-$AI14)))*IF($B14="Operacional",IFERROR(VLOOKUP($C14,SN_UGC,28,0),0),1)</f>
        <v>0</v>
      </c>
      <c r="BR14" s="140">
        <f t="array" ref="BR14">IF(ISBLANK($A14),0,IF(OR(BR$5-$AI14&lt;=0,$AM14="Não"),AG14,AG14+INDEX($AO$6:$BR$176,ROW()-5,COLUMN()-40-$AI14)))*IF($B14="Operacional",IFERROR(VLOOKUP($C14,SN_UGC,28,0),0),1)</f>
        <v>0</v>
      </c>
      <c r="BS14" s="141">
        <f t="shared" ref="BS14:CV14" si="69">IF(ISBLANK($A14),0,$AH14*AO14)</f>
        <v>57464.129800000002</v>
      </c>
      <c r="BT14" s="141">
        <f t="shared" si="69"/>
        <v>0</v>
      </c>
      <c r="BU14" s="141">
        <f t="shared" si="69"/>
        <v>0</v>
      </c>
      <c r="BV14" s="141">
        <f t="shared" si="69"/>
        <v>0</v>
      </c>
      <c r="BW14" s="141">
        <f t="shared" si="69"/>
        <v>0</v>
      </c>
      <c r="BX14" s="141">
        <f t="shared" si="69"/>
        <v>0</v>
      </c>
      <c r="BY14" s="141">
        <f t="shared" si="69"/>
        <v>0</v>
      </c>
      <c r="BZ14" s="141">
        <f t="shared" si="69"/>
        <v>0</v>
      </c>
      <c r="CA14" s="141">
        <f t="shared" si="69"/>
        <v>0</v>
      </c>
      <c r="CB14" s="141">
        <f t="shared" si="69"/>
        <v>0</v>
      </c>
      <c r="CC14" s="141">
        <f t="shared" si="69"/>
        <v>0</v>
      </c>
      <c r="CD14" s="141">
        <f t="shared" si="69"/>
        <v>0</v>
      </c>
      <c r="CE14" s="141">
        <f t="shared" si="69"/>
        <v>0</v>
      </c>
      <c r="CF14" s="141">
        <f t="shared" si="69"/>
        <v>0</v>
      </c>
      <c r="CG14" s="141">
        <f t="shared" si="69"/>
        <v>0</v>
      </c>
      <c r="CH14" s="141">
        <f t="shared" si="69"/>
        <v>0</v>
      </c>
      <c r="CI14" s="141">
        <f t="shared" si="69"/>
        <v>0</v>
      </c>
      <c r="CJ14" s="141">
        <f t="shared" si="69"/>
        <v>0</v>
      </c>
      <c r="CK14" s="141">
        <f t="shared" si="69"/>
        <v>0</v>
      </c>
      <c r="CL14" s="141">
        <f t="shared" si="69"/>
        <v>0</v>
      </c>
      <c r="CM14" s="141">
        <f t="shared" si="69"/>
        <v>0</v>
      </c>
      <c r="CN14" s="141">
        <f t="shared" si="69"/>
        <v>0</v>
      </c>
      <c r="CO14" s="141">
        <f t="shared" si="69"/>
        <v>0</v>
      </c>
      <c r="CP14" s="141">
        <f t="shared" si="69"/>
        <v>0</v>
      </c>
      <c r="CQ14" s="141">
        <f t="shared" si="69"/>
        <v>0</v>
      </c>
      <c r="CR14" s="141">
        <f t="shared" si="69"/>
        <v>0</v>
      </c>
      <c r="CS14" s="141">
        <f t="shared" si="69"/>
        <v>0</v>
      </c>
      <c r="CT14" s="141">
        <f t="shared" si="69"/>
        <v>0</v>
      </c>
      <c r="CU14" s="141">
        <f t="shared" si="69"/>
        <v>0</v>
      </c>
      <c r="CV14" s="141">
        <f t="shared" si="69"/>
        <v>0</v>
      </c>
      <c r="CW14" s="142">
        <f t="shared" ref="CW14:DZ14" si="70">EA14*$AH14*$AJ14</f>
        <v>0</v>
      </c>
      <c r="CX14" s="142">
        <f t="shared" si="70"/>
        <v>0</v>
      </c>
      <c r="CY14" s="142">
        <f t="shared" si="70"/>
        <v>0</v>
      </c>
      <c r="CZ14" s="142">
        <f t="shared" si="70"/>
        <v>0</v>
      </c>
      <c r="DA14" s="142">
        <f t="shared" si="70"/>
        <v>0</v>
      </c>
      <c r="DB14" s="142">
        <f t="shared" si="70"/>
        <v>0</v>
      </c>
      <c r="DC14" s="142">
        <f t="shared" si="70"/>
        <v>0</v>
      </c>
      <c r="DD14" s="142">
        <f t="shared" si="70"/>
        <v>0</v>
      </c>
      <c r="DE14" s="142">
        <f t="shared" si="70"/>
        <v>0</v>
      </c>
      <c r="DF14" s="142">
        <f t="shared" si="70"/>
        <v>0</v>
      </c>
      <c r="DG14" s="142">
        <f t="shared" si="70"/>
        <v>0</v>
      </c>
      <c r="DH14" s="142">
        <f t="shared" si="70"/>
        <v>0</v>
      </c>
      <c r="DI14" s="142">
        <f t="shared" si="70"/>
        <v>0</v>
      </c>
      <c r="DJ14" s="142">
        <f t="shared" si="70"/>
        <v>0</v>
      </c>
      <c r="DK14" s="142">
        <f t="shared" si="70"/>
        <v>0</v>
      </c>
      <c r="DL14" s="142">
        <f t="shared" si="70"/>
        <v>0</v>
      </c>
      <c r="DM14" s="142">
        <f t="shared" si="70"/>
        <v>0</v>
      </c>
      <c r="DN14" s="142">
        <f t="shared" si="70"/>
        <v>0</v>
      </c>
      <c r="DO14" s="142">
        <f t="shared" si="70"/>
        <v>0</v>
      </c>
      <c r="DP14" s="142">
        <f t="shared" si="70"/>
        <v>0</v>
      </c>
      <c r="DQ14" s="142">
        <f t="shared" si="70"/>
        <v>0</v>
      </c>
      <c r="DR14" s="142">
        <f t="shared" si="70"/>
        <v>0</v>
      </c>
      <c r="DS14" s="142">
        <f t="shared" si="70"/>
        <v>0</v>
      </c>
      <c r="DT14" s="142">
        <f t="shared" si="70"/>
        <v>0</v>
      </c>
      <c r="DU14" s="142">
        <f t="shared" si="70"/>
        <v>0</v>
      </c>
      <c r="DV14" s="142">
        <f t="shared" si="70"/>
        <v>0</v>
      </c>
      <c r="DW14" s="142">
        <f t="shared" si="70"/>
        <v>0</v>
      </c>
      <c r="DX14" s="142">
        <f t="shared" si="70"/>
        <v>0</v>
      </c>
      <c r="DY14" s="142">
        <f t="shared" si="70"/>
        <v>0</v>
      </c>
      <c r="DZ14" s="142">
        <f t="shared" si="70"/>
        <v>0</v>
      </c>
      <c r="EA14" s="143">
        <f t="shared" si="9"/>
        <v>0</v>
      </c>
      <c r="EB14" s="143">
        <f t="shared" si="10"/>
        <v>0</v>
      </c>
      <c r="EC14" s="143">
        <f t="shared" si="11"/>
        <v>0</v>
      </c>
      <c r="ED14" s="143">
        <f t="shared" si="12"/>
        <v>0</v>
      </c>
      <c r="EE14" s="143">
        <f t="shared" si="13"/>
        <v>0</v>
      </c>
      <c r="EF14" s="143">
        <f t="shared" si="14"/>
        <v>0</v>
      </c>
      <c r="EG14" s="143">
        <f t="shared" si="15"/>
        <v>0</v>
      </c>
      <c r="EH14" s="143">
        <f t="shared" si="16"/>
        <v>0</v>
      </c>
      <c r="EI14" s="143">
        <f t="shared" si="17"/>
        <v>0</v>
      </c>
      <c r="EJ14" s="143">
        <f t="shared" si="18"/>
        <v>0</v>
      </c>
      <c r="EK14" s="143">
        <f t="shared" si="19"/>
        <v>0</v>
      </c>
      <c r="EL14" s="143">
        <f t="shared" si="20"/>
        <v>0</v>
      </c>
      <c r="EM14" s="143">
        <f t="shared" si="21"/>
        <v>0</v>
      </c>
      <c r="EN14" s="143">
        <f t="shared" si="22"/>
        <v>0</v>
      </c>
      <c r="EO14" s="143">
        <f t="shared" si="23"/>
        <v>0</v>
      </c>
      <c r="EP14" s="143">
        <f t="shared" si="24"/>
        <v>0</v>
      </c>
      <c r="EQ14" s="143">
        <f t="shared" si="25"/>
        <v>0</v>
      </c>
      <c r="ER14" s="143">
        <f t="shared" si="26"/>
        <v>0</v>
      </c>
      <c r="ES14" s="143">
        <f t="shared" si="27"/>
        <v>0</v>
      </c>
      <c r="ET14" s="143">
        <f t="shared" si="28"/>
        <v>0</v>
      </c>
      <c r="EU14" s="143">
        <f t="shared" si="29"/>
        <v>0</v>
      </c>
      <c r="EV14" s="143">
        <f t="shared" si="30"/>
        <v>0</v>
      </c>
      <c r="EW14" s="143">
        <f t="shared" si="31"/>
        <v>0</v>
      </c>
      <c r="EX14" s="143">
        <f t="shared" si="32"/>
        <v>0</v>
      </c>
      <c r="EY14" s="143">
        <f t="shared" si="33"/>
        <v>0</v>
      </c>
      <c r="EZ14" s="143">
        <f t="shared" si="34"/>
        <v>0</v>
      </c>
      <c r="FA14" s="143">
        <f t="shared" si="35"/>
        <v>0</v>
      </c>
      <c r="FB14" s="143">
        <f t="shared" si="36"/>
        <v>0</v>
      </c>
      <c r="FC14" s="143">
        <f t="shared" si="37"/>
        <v>0</v>
      </c>
      <c r="FD14" s="143">
        <f t="shared" si="38"/>
        <v>0</v>
      </c>
      <c r="FE14" s="140">
        <f>SUM($D14:D14)*IF($B14="Operacional",IFERROR(VLOOKUP($C14,SN_UGC,28,0),0),1)</f>
        <v>24.22</v>
      </c>
      <c r="FF14" s="140">
        <f>SUM($D14:E14)*IF($B14="Operacional",IFERROR(VLOOKUP($C14,SN_UGC,28,0),0),1)</f>
        <v>24.22</v>
      </c>
      <c r="FG14" s="140">
        <f>SUM($D14:F14)*IF($B14="Operacional",IFERROR(VLOOKUP($C14,SN_UGC,28,0),0),1)</f>
        <v>24.22</v>
      </c>
      <c r="FH14" s="140">
        <f>SUM($D14:G14)*IF($B14="Operacional",IFERROR(VLOOKUP($C14,SN_UGC,28,0),0),1)</f>
        <v>24.22</v>
      </c>
      <c r="FI14" s="140">
        <f>SUM($D14:H14)*IF($B14="Operacional",IFERROR(VLOOKUP($C14,SN_UGC,28,0),0),1)</f>
        <v>24.22</v>
      </c>
      <c r="FJ14" s="140">
        <f>SUM($D14:I14)*IF($B14="Operacional",IFERROR(VLOOKUP($C14,SN_UGC,28,0),0),1)</f>
        <v>24.22</v>
      </c>
      <c r="FK14" s="140">
        <f>SUM($D14:J14)*IF($B14="Operacional",IFERROR(VLOOKUP($C14,SN_UGC,28,0),0),1)</f>
        <v>24.22</v>
      </c>
      <c r="FL14" s="140">
        <f>SUM($D14:K14)*IF($B14="Operacional",IFERROR(VLOOKUP($C14,SN_UGC,28,0),0),1)</f>
        <v>24.22</v>
      </c>
      <c r="FM14" s="140">
        <f>SUM($D14:L14)*IF($B14="Operacional",IFERROR(VLOOKUP($C14,SN_UGC,28,0),0),1)</f>
        <v>24.22</v>
      </c>
      <c r="FN14" s="140">
        <f>SUM($D14:M14)*IF($B14="Operacional",IFERROR(VLOOKUP($C14,SN_UGC,28,0),0),1)</f>
        <v>24.22</v>
      </c>
      <c r="FO14" s="140">
        <f>SUM($D14:N14)*IF($B14="Operacional",IFERROR(VLOOKUP($C14,SN_UGC,28,0),0),1)</f>
        <v>24.22</v>
      </c>
      <c r="FP14" s="140">
        <f>SUM($D14:O14)*IF($B14="Operacional",IFERROR(VLOOKUP($C14,SN_UGC,28,0),0),1)</f>
        <v>24.22</v>
      </c>
      <c r="FQ14" s="140">
        <f>SUM($D14:P14)*IF($B14="Operacional",IFERROR(VLOOKUP($C14,SN_UGC,28,0),0),1)</f>
        <v>24.22</v>
      </c>
      <c r="FR14" s="140">
        <f>SUM($D14:Q14)*IF($B14="Operacional",IFERROR(VLOOKUP($C14,SN_UGC,28,0),0),1)</f>
        <v>24.22</v>
      </c>
      <c r="FS14" s="140">
        <f>SUM($D14:R14)*IF($B14="Operacional",IFERROR(VLOOKUP($C14,SN_UGC,28,0),0),1)</f>
        <v>24.22</v>
      </c>
      <c r="FT14" s="140">
        <f>SUM($D14:S14)*IF($B14="Operacional",IFERROR(VLOOKUP($C14,SN_UGC,28,0),0),1)</f>
        <v>24.22</v>
      </c>
      <c r="FU14" s="140">
        <f>SUM($D14:T14)*IF($B14="Operacional",IFERROR(VLOOKUP($C14,SN_UGC,28,0),0),1)</f>
        <v>24.22</v>
      </c>
      <c r="FV14" s="140">
        <f>SUM($D14:U14)*IF($B14="Operacional",IFERROR(VLOOKUP($C14,SN_UGC,28,0),0),1)</f>
        <v>24.22</v>
      </c>
      <c r="FW14" s="140">
        <f>SUM($D14:V14)*IF($B14="Operacional",IFERROR(VLOOKUP($C14,SN_UGC,28,0),0),1)</f>
        <v>24.22</v>
      </c>
      <c r="FX14" s="140">
        <f>SUM($D14:W14)*IF($B14="Operacional",IFERROR(VLOOKUP($C14,SN_UGC,28,0),0),1)</f>
        <v>24.22</v>
      </c>
      <c r="FY14" s="140">
        <f>SUM($D14:X14)*IF($B14="Operacional",IFERROR(VLOOKUP($C14,SN_UGC,28,0),0),1)</f>
        <v>24.22</v>
      </c>
      <c r="FZ14" s="140">
        <f>SUM($D14:Y14)*IF($B14="Operacional",IFERROR(VLOOKUP($C14,SN_UGC,28,0),0),1)</f>
        <v>24.22</v>
      </c>
      <c r="GA14" s="140">
        <f>SUM($D14:Z14)*IF($B14="Operacional",IFERROR(VLOOKUP($C14,SN_UGC,28,0),0),1)</f>
        <v>24.22</v>
      </c>
      <c r="GB14" s="140">
        <f>SUM($D14:AA14)*IF($B14="Operacional",IFERROR(VLOOKUP($C14,SN_UGC,28,0),0),1)</f>
        <v>24.22</v>
      </c>
      <c r="GC14" s="140">
        <f>SUM($D14:AB14)*IF($B14="Operacional",IFERROR(VLOOKUP($C14,SN_UGC,28,0),0),1)</f>
        <v>24.22</v>
      </c>
      <c r="GD14" s="140">
        <f>SUM($D14:AC14)*IF($B14="Operacional",IFERROR(VLOOKUP($C14,SN_UGC,28,0),0),1)</f>
        <v>24.22</v>
      </c>
      <c r="GE14" s="140">
        <f>SUM($D14:AD14)*IF($B14="Operacional",IFERROR(VLOOKUP($C14,SN_UGC,28,0),0),1)</f>
        <v>24.22</v>
      </c>
      <c r="GF14" s="140">
        <f>SUM($D14:AE14)*IF($B14="Operacional",IFERROR(VLOOKUP($C14,SN_UGC,28,0),0),1)</f>
        <v>24.22</v>
      </c>
      <c r="GG14" s="140">
        <f>SUM($D14:AF14)*IF($B14="Operacional",IFERROR(VLOOKUP($C14,SN_UGC,28,0),0),1)</f>
        <v>24.22</v>
      </c>
      <c r="GH14" s="140">
        <f>SUM($D14:AG14)*IF($B14="Operacional",IFERROR(VLOOKUP($C14,SN_UGC,28,0),0),1)</f>
        <v>24.22</v>
      </c>
      <c r="GI14" s="141">
        <f t="shared" ref="GI14:HL14" si="71">FE14*$AH14*$AL14</f>
        <v>2873.2064900000005</v>
      </c>
      <c r="GJ14" s="141">
        <f t="shared" si="71"/>
        <v>2873.2064900000005</v>
      </c>
      <c r="GK14" s="141">
        <f t="shared" si="71"/>
        <v>2873.2064900000005</v>
      </c>
      <c r="GL14" s="141">
        <f t="shared" si="71"/>
        <v>2873.2064900000005</v>
      </c>
      <c r="GM14" s="141">
        <f t="shared" si="71"/>
        <v>2873.2064900000005</v>
      </c>
      <c r="GN14" s="141">
        <f t="shared" si="71"/>
        <v>2873.2064900000005</v>
      </c>
      <c r="GO14" s="141">
        <f t="shared" si="71"/>
        <v>2873.2064900000005</v>
      </c>
      <c r="GP14" s="141">
        <f t="shared" si="71"/>
        <v>2873.2064900000005</v>
      </c>
      <c r="GQ14" s="141">
        <f t="shared" si="71"/>
        <v>2873.2064900000005</v>
      </c>
      <c r="GR14" s="141">
        <f t="shared" si="71"/>
        <v>2873.2064900000005</v>
      </c>
      <c r="GS14" s="141">
        <f t="shared" si="71"/>
        <v>2873.2064900000005</v>
      </c>
      <c r="GT14" s="141">
        <f t="shared" si="71"/>
        <v>2873.2064900000005</v>
      </c>
      <c r="GU14" s="141">
        <f t="shared" si="71"/>
        <v>2873.2064900000005</v>
      </c>
      <c r="GV14" s="141">
        <f t="shared" si="71"/>
        <v>2873.2064900000005</v>
      </c>
      <c r="GW14" s="141">
        <f t="shared" si="71"/>
        <v>2873.2064900000005</v>
      </c>
      <c r="GX14" s="141">
        <f t="shared" si="71"/>
        <v>2873.2064900000005</v>
      </c>
      <c r="GY14" s="141">
        <f t="shared" si="71"/>
        <v>2873.2064900000005</v>
      </c>
      <c r="GZ14" s="141">
        <f t="shared" si="71"/>
        <v>2873.2064900000005</v>
      </c>
      <c r="HA14" s="141">
        <f t="shared" si="71"/>
        <v>2873.2064900000005</v>
      </c>
      <c r="HB14" s="141">
        <f t="shared" si="71"/>
        <v>2873.2064900000005</v>
      </c>
      <c r="HC14" s="141">
        <f t="shared" si="71"/>
        <v>2873.2064900000005</v>
      </c>
      <c r="HD14" s="141">
        <f t="shared" si="71"/>
        <v>2873.2064900000005</v>
      </c>
      <c r="HE14" s="141">
        <f t="shared" si="71"/>
        <v>2873.2064900000005</v>
      </c>
      <c r="HF14" s="141">
        <f t="shared" si="71"/>
        <v>2873.2064900000005</v>
      </c>
      <c r="HG14" s="141">
        <f t="shared" si="71"/>
        <v>2873.2064900000005</v>
      </c>
      <c r="HH14" s="141">
        <f t="shared" si="71"/>
        <v>2873.2064900000005</v>
      </c>
      <c r="HI14" s="141">
        <f t="shared" si="71"/>
        <v>2873.2064900000005</v>
      </c>
      <c r="HJ14" s="141">
        <f t="shared" si="71"/>
        <v>2873.2064900000005</v>
      </c>
      <c r="HK14" s="141">
        <f t="shared" si="71"/>
        <v>2873.2064900000005</v>
      </c>
      <c r="HL14" s="141">
        <f t="shared" si="71"/>
        <v>2873.2064900000005</v>
      </c>
      <c r="HM14" s="142">
        <f t="shared" ref="HM14:IP14" si="72">IF(ISBLANK($A14),,FE14*($AH14-($AH14*$AJ14))/$AI14)</f>
        <v>1915.4709933333334</v>
      </c>
      <c r="HN14" s="142">
        <f t="shared" si="72"/>
        <v>1915.4709933333334</v>
      </c>
      <c r="HO14" s="142">
        <f t="shared" si="72"/>
        <v>1915.4709933333334</v>
      </c>
      <c r="HP14" s="142">
        <f t="shared" si="72"/>
        <v>1915.4709933333334</v>
      </c>
      <c r="HQ14" s="142">
        <f t="shared" si="72"/>
        <v>1915.4709933333334</v>
      </c>
      <c r="HR14" s="142">
        <f t="shared" si="72"/>
        <v>1915.4709933333334</v>
      </c>
      <c r="HS14" s="142">
        <f t="shared" si="72"/>
        <v>1915.4709933333334</v>
      </c>
      <c r="HT14" s="142">
        <f t="shared" si="72"/>
        <v>1915.4709933333334</v>
      </c>
      <c r="HU14" s="142">
        <f t="shared" si="72"/>
        <v>1915.4709933333334</v>
      </c>
      <c r="HV14" s="142">
        <f t="shared" si="72"/>
        <v>1915.4709933333334</v>
      </c>
      <c r="HW14" s="142">
        <f t="shared" si="72"/>
        <v>1915.4709933333334</v>
      </c>
      <c r="HX14" s="142">
        <f t="shared" si="72"/>
        <v>1915.4709933333334</v>
      </c>
      <c r="HY14" s="142">
        <f t="shared" si="72"/>
        <v>1915.4709933333334</v>
      </c>
      <c r="HZ14" s="142">
        <f t="shared" si="72"/>
        <v>1915.4709933333334</v>
      </c>
      <c r="IA14" s="142">
        <f t="shared" si="72"/>
        <v>1915.4709933333334</v>
      </c>
      <c r="IB14" s="142">
        <f t="shared" si="72"/>
        <v>1915.4709933333334</v>
      </c>
      <c r="IC14" s="142">
        <f t="shared" si="72"/>
        <v>1915.4709933333334</v>
      </c>
      <c r="ID14" s="142">
        <f t="shared" si="72"/>
        <v>1915.4709933333334</v>
      </c>
      <c r="IE14" s="142">
        <f t="shared" si="72"/>
        <v>1915.4709933333334</v>
      </c>
      <c r="IF14" s="142">
        <f t="shared" si="72"/>
        <v>1915.4709933333334</v>
      </c>
      <c r="IG14" s="142">
        <f t="shared" si="72"/>
        <v>1915.4709933333334</v>
      </c>
      <c r="IH14" s="142">
        <f t="shared" si="72"/>
        <v>1915.4709933333334</v>
      </c>
      <c r="II14" s="142">
        <f t="shared" si="72"/>
        <v>1915.4709933333334</v>
      </c>
      <c r="IJ14" s="142">
        <f t="shared" si="72"/>
        <v>1915.4709933333334</v>
      </c>
      <c r="IK14" s="142">
        <f t="shared" si="72"/>
        <v>1915.4709933333334</v>
      </c>
      <c r="IL14" s="142">
        <f t="shared" si="72"/>
        <v>1915.4709933333334</v>
      </c>
      <c r="IM14" s="142">
        <f t="shared" si="72"/>
        <v>1915.4709933333334</v>
      </c>
      <c r="IN14" s="142">
        <f t="shared" si="72"/>
        <v>1915.4709933333334</v>
      </c>
      <c r="IO14" s="142">
        <f t="shared" si="72"/>
        <v>1915.4709933333334</v>
      </c>
      <c r="IP14" s="142">
        <f t="shared" si="72"/>
        <v>1915.4709933333334</v>
      </c>
      <c r="IQ14" s="141">
        <f>IF(ISBLANK($A14),,IF($AN14="Não",0,(SUM($AO14:AO14)*$AH14)-SUM($HM14:HM14)-SUM($CW14:CW14)))</f>
        <v>0</v>
      </c>
      <c r="IR14" s="141">
        <f>IF(ISBLANK($A14),,IF($AN14="Não",0,(SUM($AO14:AP14)*$AH14)-SUM($HM14:HN14)-SUM($CW14:CX14)))</f>
        <v>0</v>
      </c>
      <c r="IS14" s="141">
        <f>IF(ISBLANK($A14),,IF($AN14="Não",0,(SUM($AO14:AQ14)*$AH14)-SUM($HM14:HO14)-SUM($CW14:CY14)))</f>
        <v>0</v>
      </c>
      <c r="IT14" s="141">
        <f>IF(ISBLANK($A14),,IF($AN14="Não",0,(SUM($AO14:AR14)*$AH14)-SUM($HM14:HP14)-SUM($CW14:CZ14)))</f>
        <v>0</v>
      </c>
      <c r="IU14" s="141">
        <f>IF(ISBLANK($A14),,IF($AN14="Não",0,(SUM($AO14:AS14)*$AH14)-SUM($HM14:HQ14)-SUM($CW14:DA14)))</f>
        <v>0</v>
      </c>
      <c r="IV14" s="141">
        <f>IF(ISBLANK($A14),,IF($AN14="Não",0,(SUM($AO14:AT14)*$AH14)-SUM($HM14:HR14)-SUM($CW14:DB14)))</f>
        <v>0</v>
      </c>
      <c r="IW14" s="141">
        <f>IF(ISBLANK($A14),,IF($AN14="Não",0,(SUM($AO14:AU14)*$AH14)-SUM($HM14:HS14)-SUM($CW14:DC14)))</f>
        <v>0</v>
      </c>
      <c r="IX14" s="141">
        <f>IF(ISBLANK($A14),,IF($AN14="Não",0,(SUM($AO14:AV14)*$AH14)-SUM($HM14:HT14)-SUM($CW14:DD14)))</f>
        <v>0</v>
      </c>
      <c r="IY14" s="141">
        <f>IF(ISBLANK($A14),,IF($AN14="Não",0,(SUM($AO14:AW14)*$AH14)-SUM($HM14:HU14)-SUM($CW14:DE14)))</f>
        <v>0</v>
      </c>
      <c r="IZ14" s="141">
        <f>IF(ISBLANK($A14),,IF($AN14="Não",0,(SUM($AO14:AX14)*$AH14)-SUM($HM14:HV14)-SUM($CW14:DF14)))</f>
        <v>0</v>
      </c>
      <c r="JA14" s="141">
        <f>IF(ISBLANK($A14),,IF($AN14="Não",0,(SUM($AO14:AY14)*$AH14)-SUM($HM14:HW14)-SUM($CW14:DG14)))</f>
        <v>0</v>
      </c>
      <c r="JB14" s="141">
        <f>IF(ISBLANK($A14),,IF($AN14="Não",0,(SUM($AO14:AZ14)*$AH14)-SUM($HM14:HX14)-SUM($CW14:DH14)))</f>
        <v>0</v>
      </c>
      <c r="JC14" s="141">
        <f>IF(ISBLANK($A14),,IF($AN14="Não",0,(SUM($AO14:BA14)*$AH14)-SUM($HM14:HY14)-SUM($CW14:DI14)))</f>
        <v>0</v>
      </c>
      <c r="JD14" s="141">
        <f>IF(ISBLANK($A14),,IF($AN14="Não",0,(SUM($AO14:BB14)*$AH14)-SUM($HM14:HZ14)-SUM($CW14:DJ14)))</f>
        <v>0</v>
      </c>
      <c r="JE14" s="141">
        <f>IF(ISBLANK($A14),,IF($AN14="Não",0,(SUM($AO14:BC14)*$AH14)-SUM($HM14:IA14)-SUM($CW14:DK14)))</f>
        <v>0</v>
      </c>
      <c r="JF14" s="141">
        <f>IF(ISBLANK($A14),,IF($AN14="Não",0,(SUM($AO14:BD14)*$AH14)-SUM($HM14:IB14)-SUM($CW14:DL14)))</f>
        <v>0</v>
      </c>
      <c r="JG14" s="141">
        <f>IF(ISBLANK($A14),,IF($AN14="Não",0,(SUM($AO14:BE14)*$AH14)-SUM($HM14:IC14)-SUM($CW14:DM14)))</f>
        <v>0</v>
      </c>
      <c r="JH14" s="141">
        <f>IF(ISBLANK($A14),,IF($AN14="Não",0,(SUM($AO14:BF14)*$AH14)-SUM($HM14:ID14)-SUM($CW14:DN14)))</f>
        <v>0</v>
      </c>
      <c r="JI14" s="141">
        <f>IF(ISBLANK($A14),,IF($AN14="Não",0,(SUM($AO14:BG14)*$AH14)-SUM($HM14:IE14)-SUM($CW14:DO14)))</f>
        <v>0</v>
      </c>
      <c r="JJ14" s="141">
        <f>IF(ISBLANK($A14),,IF($AN14="Não",0,(SUM($AO14:BH14)*$AH14)-SUM($HM14:IF14)-SUM($CW14:DP14)))</f>
        <v>0</v>
      </c>
      <c r="JK14" s="141">
        <f>IF(ISBLANK($A14),,IF($AN14="Não",0,(SUM($AO14:BI14)*$AH14)-SUM($HM14:IG14)-SUM($CW14:DQ14)))</f>
        <v>0</v>
      </c>
      <c r="JL14" s="141">
        <f>IF(ISBLANK($A14),,IF($AN14="Não",0,(SUM($AO14:BJ14)*$AH14)-SUM($HM14:IH14)-SUM($CW14:DR14)))</f>
        <v>0</v>
      </c>
      <c r="JM14" s="141">
        <f>IF(ISBLANK($A14),,IF($AN14="Não",0,(SUM($AO14:BK14)*$AH14)-SUM($HM14:II14)-SUM($CW14:DS14)))</f>
        <v>0</v>
      </c>
      <c r="JN14" s="141">
        <f>IF(ISBLANK($A14),,IF($AN14="Não",0,(SUM($AO14:BL14)*$AH14)-SUM($HM14:IJ14)-SUM($CW14:DT14)))</f>
        <v>0</v>
      </c>
      <c r="JO14" s="141">
        <f>IF(ISBLANK($A14),,IF($AN14="Não",0,(SUM($AO14:BM14)*$AH14)-SUM($HM14:IK14)-SUM($CW14:DU14)))</f>
        <v>0</v>
      </c>
      <c r="JP14" s="141">
        <f>IF(ISBLANK($A14),,IF($AN14="Não",0,(SUM($AO14:BN14)*$AH14)-SUM($HM14:IL14)-SUM($CW14:DV14)))</f>
        <v>0</v>
      </c>
      <c r="JQ14" s="141">
        <f>IF(ISBLANK($A14),,IF($AN14="Não",0,(SUM($AO14:BO14)*$AH14)-SUM($HM14:IM14)-SUM($CW14:DW14)))</f>
        <v>0</v>
      </c>
      <c r="JR14" s="141">
        <f>IF(ISBLANK($A14),,IF($AN14="Não",0,(SUM($AO14:BP14)*$AH14)-SUM($HM14:IN14)-SUM($CW14:DX14)))</f>
        <v>0</v>
      </c>
      <c r="JS14" s="141">
        <f>IF(ISBLANK($A14),,IF($AN14="Não",0,(SUM($AO14:BQ14)*$AH14)-SUM($HM14:IO14)-SUM($CW14:DY14)))</f>
        <v>0</v>
      </c>
      <c r="JT14" s="141">
        <f>IF(ISBLANK($A14),,IF($AN14="Não",0,(SUM($AO14:BR14)*$AH14)-SUM($HM14:IP14)-SUM($CW14:DZ14)))</f>
        <v>0</v>
      </c>
    </row>
    <row r="15" spans="1:280" ht="15.75" customHeight="1">
      <c r="A15" s="129" t="s">
        <v>352</v>
      </c>
      <c r="B15" s="129" t="s">
        <v>209</v>
      </c>
      <c r="C15" s="138" t="s">
        <v>79</v>
      </c>
      <c r="D15" s="139">
        <v>100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607">
        <f t="shared" si="0"/>
        <v>2372.59</v>
      </c>
      <c r="AI15" s="608">
        <f t="shared" si="1"/>
        <v>30</v>
      </c>
      <c r="AJ15" s="609">
        <f t="shared" si="2"/>
        <v>0</v>
      </c>
      <c r="AK15" s="610" t="str">
        <f t="shared" si="3"/>
        <v>Edificações</v>
      </c>
      <c r="AL15" s="609">
        <f t="shared" si="4"/>
        <v>0.05</v>
      </c>
      <c r="AM15" s="611" t="str">
        <f t="shared" si="5"/>
        <v>Sim</v>
      </c>
      <c r="AN15" s="611" t="str">
        <f t="shared" si="6"/>
        <v>Não</v>
      </c>
      <c r="AO15" s="140">
        <f t="array" ref="AO15">IF(ISBLANK($A15),0,IF(OR(AO$5-$AI15&lt;=0,$AM15="Não"),D15,D15+INDEX($AO$6:$BR$176,ROW()-5,COLUMN()-40-$AI15)))*IF($B15="Operacional",IFERROR(VLOOKUP($C15,SN_UGC,28,0),0),1)</f>
        <v>100</v>
      </c>
      <c r="AP15" s="140">
        <f t="array" ref="AP15">IF(ISBLANK($A15),0,IF(OR(AP$5-$AI15&lt;=0,$AM15="Não"),E15,E15+INDEX($AO$6:$BR$176,ROW()-5,COLUMN()-40-$AI15)))*IF($B15="Operacional",IFERROR(VLOOKUP($C15,SN_UGC,28,0),0),1)</f>
        <v>0</v>
      </c>
      <c r="AQ15" s="140">
        <f t="array" ref="AQ15">IF(ISBLANK($A15),0,IF(OR(AQ$5-$AI15&lt;=0,$AM15="Não"),F15,F15+INDEX($AO$6:$BR$176,ROW()-5,COLUMN()-40-$AI15)))*IF($B15="Operacional",IFERROR(VLOOKUP($C15,SN_UGC,28,0),0),1)</f>
        <v>0</v>
      </c>
      <c r="AR15" s="140">
        <f t="array" ref="AR15">IF(ISBLANK($A15),0,IF(OR(AR$5-$AI15&lt;=0,$AM15="Não"),G15,G15+INDEX($AO$6:$BR$176,ROW()-5,COLUMN()-40-$AI15)))*IF($B15="Operacional",IFERROR(VLOOKUP($C15,SN_UGC,28,0),0),1)</f>
        <v>0</v>
      </c>
      <c r="AS15" s="140">
        <f t="array" ref="AS15">IF(ISBLANK($A15),0,IF(OR(AS$5-$AI15&lt;=0,$AM15="Não"),H15,H15+INDEX($AO$6:$BR$176,ROW()-5,COLUMN()-40-$AI15)))*IF($B15="Operacional",IFERROR(VLOOKUP($C15,SN_UGC,28,0),0),1)</f>
        <v>0</v>
      </c>
      <c r="AT15" s="140">
        <f t="array" ref="AT15">IF(ISBLANK($A15),0,IF(OR(AT$5-$AI15&lt;=0,$AM15="Não"),I15,I15+INDEX($AO$6:$BR$176,ROW()-5,COLUMN()-40-$AI15)))*IF($B15="Operacional",IFERROR(VLOOKUP($C15,SN_UGC,28,0),0),1)</f>
        <v>0</v>
      </c>
      <c r="AU15" s="140">
        <f t="array" ref="AU15">IF(ISBLANK($A15),0,IF(OR(AU$5-$AI15&lt;=0,$AM15="Não"),J15,J15+INDEX($AO$6:$BR$176,ROW()-5,COLUMN()-40-$AI15)))*IF($B15="Operacional",IFERROR(VLOOKUP($C15,SN_UGC,28,0),0),1)</f>
        <v>0</v>
      </c>
      <c r="AV15" s="140">
        <f t="array" ref="AV15">IF(ISBLANK($A15),0,IF(OR(AV$5-$AI15&lt;=0,$AM15="Não"),K15,K15+INDEX($AO$6:$BR$176,ROW()-5,COLUMN()-40-$AI15)))*IF($B15="Operacional",IFERROR(VLOOKUP($C15,SN_UGC,28,0),0),1)</f>
        <v>0</v>
      </c>
      <c r="AW15" s="140">
        <f t="array" ref="AW15">IF(ISBLANK($A15),0,IF(OR(AW$5-$AI15&lt;=0,$AM15="Não"),L15,L15+INDEX($AO$6:$BR$176,ROW()-5,COLUMN()-40-$AI15)))*IF($B15="Operacional",IFERROR(VLOOKUP($C15,SN_UGC,28,0),0),1)</f>
        <v>0</v>
      </c>
      <c r="AX15" s="140">
        <f t="array" ref="AX15">IF(ISBLANK($A15),0,IF(OR(AX$5-$AI15&lt;=0,$AM15="Não"),M15,M15+INDEX($AO$6:$BR$176,ROW()-5,COLUMN()-40-$AI15)))*IF($B15="Operacional",IFERROR(VLOOKUP($C15,SN_UGC,28,0),0),1)</f>
        <v>0</v>
      </c>
      <c r="AY15" s="140">
        <f t="array" ref="AY15">IF(ISBLANK($A15),0,IF(OR(AY$5-$AI15&lt;=0,$AM15="Não"),N15,N15+INDEX($AO$6:$BR$176,ROW()-5,COLUMN()-40-$AI15)))*IF($B15="Operacional",IFERROR(VLOOKUP($C15,SN_UGC,28,0),0),1)</f>
        <v>0</v>
      </c>
      <c r="AZ15" s="140">
        <f t="array" ref="AZ15">IF(ISBLANK($A15),0,IF(OR(AZ$5-$AI15&lt;=0,$AM15="Não"),O15,O15+INDEX($AO$6:$BR$176,ROW()-5,COLUMN()-40-$AI15)))*IF($B15="Operacional",IFERROR(VLOOKUP($C15,SN_UGC,28,0),0),1)</f>
        <v>0</v>
      </c>
      <c r="BA15" s="140">
        <f t="array" ref="BA15">IF(ISBLANK($A15),0,IF(OR(BA$5-$AI15&lt;=0,$AM15="Não"),P15,P15+INDEX($AO$6:$BR$176,ROW()-5,COLUMN()-40-$AI15)))*IF($B15="Operacional",IFERROR(VLOOKUP($C15,SN_UGC,28,0),0),1)</f>
        <v>0</v>
      </c>
      <c r="BB15" s="140">
        <f t="array" ref="BB15">IF(ISBLANK($A15),0,IF(OR(BB$5-$AI15&lt;=0,$AM15="Não"),Q15,Q15+INDEX($AO$6:$BR$176,ROW()-5,COLUMN()-40-$AI15)))*IF($B15="Operacional",IFERROR(VLOOKUP($C15,SN_UGC,28,0),0),1)</f>
        <v>0</v>
      </c>
      <c r="BC15" s="140">
        <f t="array" ref="BC15">IF(ISBLANK($A15),0,IF(OR(BC$5-$AI15&lt;=0,$AM15="Não"),R15,R15+INDEX($AO$6:$BR$176,ROW()-5,COLUMN()-40-$AI15)))*IF($B15="Operacional",IFERROR(VLOOKUP($C15,SN_UGC,28,0),0),1)</f>
        <v>0</v>
      </c>
      <c r="BD15" s="140">
        <f t="array" ref="BD15">IF(ISBLANK($A15),0,IF(OR(BD$5-$AI15&lt;=0,$AM15="Não"),S15,S15+INDEX($AO$6:$BR$176,ROW()-5,COLUMN()-40-$AI15)))*IF($B15="Operacional",IFERROR(VLOOKUP($C15,SN_UGC,28,0),0),1)</f>
        <v>0</v>
      </c>
      <c r="BE15" s="140">
        <f t="array" ref="BE15">IF(ISBLANK($A15),0,IF(OR(BE$5-$AI15&lt;=0,$AM15="Não"),T15,T15+INDEX($AO$6:$BR$176,ROW()-5,COLUMN()-40-$AI15)))*IF($B15="Operacional",IFERROR(VLOOKUP($C15,SN_UGC,28,0),0),1)</f>
        <v>0</v>
      </c>
      <c r="BF15" s="140">
        <f t="array" ref="BF15">IF(ISBLANK($A15),0,IF(OR(BF$5-$AI15&lt;=0,$AM15="Não"),U15,U15+INDEX($AO$6:$BR$176,ROW()-5,COLUMN()-40-$AI15)))*IF($B15="Operacional",IFERROR(VLOOKUP($C15,SN_UGC,28,0),0),1)</f>
        <v>0</v>
      </c>
      <c r="BG15" s="140">
        <f t="array" ref="BG15">IF(ISBLANK($A15),0,IF(OR(BG$5-$AI15&lt;=0,$AM15="Não"),V15,V15+INDEX($AO$6:$BR$176,ROW()-5,COLUMN()-40-$AI15)))*IF($B15="Operacional",IFERROR(VLOOKUP($C15,SN_UGC,28,0),0),1)</f>
        <v>0</v>
      </c>
      <c r="BH15" s="140">
        <f t="array" ref="BH15">IF(ISBLANK($A15),0,IF(OR(BH$5-$AI15&lt;=0,$AM15="Não"),W15,W15+INDEX($AO$6:$BR$176,ROW()-5,COLUMN()-40-$AI15)))*IF($B15="Operacional",IFERROR(VLOOKUP($C15,SN_UGC,28,0),0),1)</f>
        <v>0</v>
      </c>
      <c r="BI15" s="140">
        <f t="array" ref="BI15">IF(ISBLANK($A15),0,IF(OR(BI$5-$AI15&lt;=0,$AM15="Não"),X15,X15+INDEX($AO$6:$BR$176,ROW()-5,COLUMN()-40-$AI15)))*IF($B15="Operacional",IFERROR(VLOOKUP($C15,SN_UGC,28,0),0),1)</f>
        <v>0</v>
      </c>
      <c r="BJ15" s="140">
        <f t="array" ref="BJ15">IF(ISBLANK($A15),0,IF(OR(BJ$5-$AI15&lt;=0,$AM15="Não"),Y15,Y15+INDEX($AO$6:$BR$176,ROW()-5,COLUMN()-40-$AI15)))*IF($B15="Operacional",IFERROR(VLOOKUP($C15,SN_UGC,28,0),0),1)</f>
        <v>0</v>
      </c>
      <c r="BK15" s="140">
        <f t="array" ref="BK15">IF(ISBLANK($A15),0,IF(OR(BK$5-$AI15&lt;=0,$AM15="Não"),Z15,Z15+INDEX($AO$6:$BR$176,ROW()-5,COLUMN()-40-$AI15)))*IF($B15="Operacional",IFERROR(VLOOKUP($C15,SN_UGC,28,0),0),1)</f>
        <v>0</v>
      </c>
      <c r="BL15" s="140">
        <f t="array" ref="BL15">IF(ISBLANK($A15),0,IF(OR(BL$5-$AI15&lt;=0,$AM15="Não"),AA15,AA15+INDEX($AO$6:$BR$176,ROW()-5,COLUMN()-40-$AI15)))*IF($B15="Operacional",IFERROR(VLOOKUP($C15,SN_UGC,28,0),0),1)</f>
        <v>0</v>
      </c>
      <c r="BM15" s="140">
        <f t="array" ref="BM15">IF(ISBLANK($A15),0,IF(OR(BM$5-$AI15&lt;=0,$AM15="Não"),AB15,AB15+INDEX($AO$6:$BR$176,ROW()-5,COLUMN()-40-$AI15)))*IF($B15="Operacional",IFERROR(VLOOKUP($C15,SN_UGC,28,0),0),1)</f>
        <v>0</v>
      </c>
      <c r="BN15" s="140">
        <f t="array" ref="BN15">IF(ISBLANK($A15),0,IF(OR(BN$5-$AI15&lt;=0,$AM15="Não"),AC15,AC15+INDEX($AO$6:$BR$176,ROW()-5,COLUMN()-40-$AI15)))*IF($B15="Operacional",IFERROR(VLOOKUP($C15,SN_UGC,28,0),0),1)</f>
        <v>0</v>
      </c>
      <c r="BO15" s="140">
        <f t="array" ref="BO15">IF(ISBLANK($A15),0,IF(OR(BO$5-$AI15&lt;=0,$AM15="Não"),AD15,AD15+INDEX($AO$6:$BR$176,ROW()-5,COLUMN()-40-$AI15)))*IF($B15="Operacional",IFERROR(VLOOKUP($C15,SN_UGC,28,0),0),1)</f>
        <v>0</v>
      </c>
      <c r="BP15" s="140">
        <f t="array" ref="BP15">IF(ISBLANK($A15),0,IF(OR(BP$5-$AI15&lt;=0,$AM15="Não"),AE15,AE15+INDEX($AO$6:$BR$176,ROW()-5,COLUMN()-40-$AI15)))*IF($B15="Operacional",IFERROR(VLOOKUP($C15,SN_UGC,28,0),0),1)</f>
        <v>0</v>
      </c>
      <c r="BQ15" s="140">
        <f t="array" ref="BQ15">IF(ISBLANK($A15),0,IF(OR(BQ$5-$AI15&lt;=0,$AM15="Não"),AF15,AF15+INDEX($AO$6:$BR$176,ROW()-5,COLUMN()-40-$AI15)))*IF($B15="Operacional",IFERROR(VLOOKUP($C15,SN_UGC,28,0),0),1)</f>
        <v>0</v>
      </c>
      <c r="BR15" s="140">
        <f t="array" ref="BR15">IF(ISBLANK($A15),0,IF(OR(BR$5-$AI15&lt;=0,$AM15="Não"),AG15,AG15+INDEX($AO$6:$BR$176,ROW()-5,COLUMN()-40-$AI15)))*IF($B15="Operacional",IFERROR(VLOOKUP($C15,SN_UGC,28,0),0),1)</f>
        <v>0</v>
      </c>
      <c r="BS15" s="141">
        <f t="shared" ref="BS15:CV15" si="73">IF(ISBLANK($A15),0,$AH15*AO15)</f>
        <v>237259</v>
      </c>
      <c r="BT15" s="141">
        <f t="shared" si="73"/>
        <v>0</v>
      </c>
      <c r="BU15" s="141">
        <f t="shared" si="73"/>
        <v>0</v>
      </c>
      <c r="BV15" s="141">
        <f t="shared" si="73"/>
        <v>0</v>
      </c>
      <c r="BW15" s="141">
        <f t="shared" si="73"/>
        <v>0</v>
      </c>
      <c r="BX15" s="141">
        <f t="shared" si="73"/>
        <v>0</v>
      </c>
      <c r="BY15" s="141">
        <f t="shared" si="73"/>
        <v>0</v>
      </c>
      <c r="BZ15" s="141">
        <f t="shared" si="73"/>
        <v>0</v>
      </c>
      <c r="CA15" s="141">
        <f t="shared" si="73"/>
        <v>0</v>
      </c>
      <c r="CB15" s="141">
        <f t="shared" si="73"/>
        <v>0</v>
      </c>
      <c r="CC15" s="141">
        <f t="shared" si="73"/>
        <v>0</v>
      </c>
      <c r="CD15" s="141">
        <f t="shared" si="73"/>
        <v>0</v>
      </c>
      <c r="CE15" s="141">
        <f t="shared" si="73"/>
        <v>0</v>
      </c>
      <c r="CF15" s="141">
        <f t="shared" si="73"/>
        <v>0</v>
      </c>
      <c r="CG15" s="141">
        <f t="shared" si="73"/>
        <v>0</v>
      </c>
      <c r="CH15" s="141">
        <f t="shared" si="73"/>
        <v>0</v>
      </c>
      <c r="CI15" s="141">
        <f t="shared" si="73"/>
        <v>0</v>
      </c>
      <c r="CJ15" s="141">
        <f t="shared" si="73"/>
        <v>0</v>
      </c>
      <c r="CK15" s="141">
        <f t="shared" si="73"/>
        <v>0</v>
      </c>
      <c r="CL15" s="141">
        <f t="shared" si="73"/>
        <v>0</v>
      </c>
      <c r="CM15" s="141">
        <f t="shared" si="73"/>
        <v>0</v>
      </c>
      <c r="CN15" s="141">
        <f t="shared" si="73"/>
        <v>0</v>
      </c>
      <c r="CO15" s="141">
        <f t="shared" si="73"/>
        <v>0</v>
      </c>
      <c r="CP15" s="141">
        <f t="shared" si="73"/>
        <v>0</v>
      </c>
      <c r="CQ15" s="141">
        <f t="shared" si="73"/>
        <v>0</v>
      </c>
      <c r="CR15" s="141">
        <f t="shared" si="73"/>
        <v>0</v>
      </c>
      <c r="CS15" s="141">
        <f t="shared" si="73"/>
        <v>0</v>
      </c>
      <c r="CT15" s="141">
        <f t="shared" si="73"/>
        <v>0</v>
      </c>
      <c r="CU15" s="141">
        <f t="shared" si="73"/>
        <v>0</v>
      </c>
      <c r="CV15" s="141">
        <f t="shared" si="73"/>
        <v>0</v>
      </c>
      <c r="CW15" s="142">
        <f t="shared" ref="CW15:DZ15" si="74">EA15*$AH15*$AJ15</f>
        <v>0</v>
      </c>
      <c r="CX15" s="142">
        <f t="shared" si="74"/>
        <v>0</v>
      </c>
      <c r="CY15" s="142">
        <f t="shared" si="74"/>
        <v>0</v>
      </c>
      <c r="CZ15" s="142">
        <f t="shared" si="74"/>
        <v>0</v>
      </c>
      <c r="DA15" s="142">
        <f t="shared" si="74"/>
        <v>0</v>
      </c>
      <c r="DB15" s="142">
        <f t="shared" si="74"/>
        <v>0</v>
      </c>
      <c r="DC15" s="142">
        <f t="shared" si="74"/>
        <v>0</v>
      </c>
      <c r="DD15" s="142">
        <f t="shared" si="74"/>
        <v>0</v>
      </c>
      <c r="DE15" s="142">
        <f t="shared" si="74"/>
        <v>0</v>
      </c>
      <c r="DF15" s="142">
        <f t="shared" si="74"/>
        <v>0</v>
      </c>
      <c r="DG15" s="142">
        <f t="shared" si="74"/>
        <v>0</v>
      </c>
      <c r="DH15" s="142">
        <f t="shared" si="74"/>
        <v>0</v>
      </c>
      <c r="DI15" s="142">
        <f t="shared" si="74"/>
        <v>0</v>
      </c>
      <c r="DJ15" s="142">
        <f t="shared" si="74"/>
        <v>0</v>
      </c>
      <c r="DK15" s="142">
        <f t="shared" si="74"/>
        <v>0</v>
      </c>
      <c r="DL15" s="142">
        <f t="shared" si="74"/>
        <v>0</v>
      </c>
      <c r="DM15" s="142">
        <f t="shared" si="74"/>
        <v>0</v>
      </c>
      <c r="DN15" s="142">
        <f t="shared" si="74"/>
        <v>0</v>
      </c>
      <c r="DO15" s="142">
        <f t="shared" si="74"/>
        <v>0</v>
      </c>
      <c r="DP15" s="142">
        <f t="shared" si="74"/>
        <v>0</v>
      </c>
      <c r="DQ15" s="142">
        <f t="shared" si="74"/>
        <v>0</v>
      </c>
      <c r="DR15" s="142">
        <f t="shared" si="74"/>
        <v>0</v>
      </c>
      <c r="DS15" s="142">
        <f t="shared" si="74"/>
        <v>0</v>
      </c>
      <c r="DT15" s="142">
        <f t="shared" si="74"/>
        <v>0</v>
      </c>
      <c r="DU15" s="142">
        <f t="shared" si="74"/>
        <v>0</v>
      </c>
      <c r="DV15" s="142">
        <f t="shared" si="74"/>
        <v>0</v>
      </c>
      <c r="DW15" s="142">
        <f t="shared" si="74"/>
        <v>0</v>
      </c>
      <c r="DX15" s="142">
        <f t="shared" si="74"/>
        <v>0</v>
      </c>
      <c r="DY15" s="142">
        <f t="shared" si="74"/>
        <v>0</v>
      </c>
      <c r="DZ15" s="142">
        <f t="shared" si="74"/>
        <v>0</v>
      </c>
      <c r="EA15" s="143">
        <f t="shared" si="9"/>
        <v>0</v>
      </c>
      <c r="EB15" s="143">
        <f t="shared" si="10"/>
        <v>0</v>
      </c>
      <c r="EC15" s="143">
        <f t="shared" si="11"/>
        <v>0</v>
      </c>
      <c r="ED15" s="143">
        <f t="shared" si="12"/>
        <v>0</v>
      </c>
      <c r="EE15" s="143">
        <f t="shared" si="13"/>
        <v>0</v>
      </c>
      <c r="EF15" s="143">
        <f t="shared" si="14"/>
        <v>0</v>
      </c>
      <c r="EG15" s="143">
        <f t="shared" si="15"/>
        <v>0</v>
      </c>
      <c r="EH15" s="143">
        <f t="shared" si="16"/>
        <v>0</v>
      </c>
      <c r="EI15" s="143">
        <f t="shared" si="17"/>
        <v>0</v>
      </c>
      <c r="EJ15" s="143">
        <f t="shared" si="18"/>
        <v>0</v>
      </c>
      <c r="EK15" s="143">
        <f t="shared" si="19"/>
        <v>0</v>
      </c>
      <c r="EL15" s="143">
        <f t="shared" si="20"/>
        <v>0</v>
      </c>
      <c r="EM15" s="143">
        <f t="shared" si="21"/>
        <v>0</v>
      </c>
      <c r="EN15" s="143">
        <f t="shared" si="22"/>
        <v>0</v>
      </c>
      <c r="EO15" s="143">
        <f t="shared" si="23"/>
        <v>0</v>
      </c>
      <c r="EP15" s="143">
        <f t="shared" si="24"/>
        <v>0</v>
      </c>
      <c r="EQ15" s="143">
        <f t="shared" si="25"/>
        <v>0</v>
      </c>
      <c r="ER15" s="143">
        <f t="shared" si="26"/>
        <v>0</v>
      </c>
      <c r="ES15" s="143">
        <f t="shared" si="27"/>
        <v>0</v>
      </c>
      <c r="ET15" s="143">
        <f t="shared" si="28"/>
        <v>0</v>
      </c>
      <c r="EU15" s="143">
        <f t="shared" si="29"/>
        <v>0</v>
      </c>
      <c r="EV15" s="143">
        <f t="shared" si="30"/>
        <v>0</v>
      </c>
      <c r="EW15" s="143">
        <f t="shared" si="31"/>
        <v>0</v>
      </c>
      <c r="EX15" s="143">
        <f t="shared" si="32"/>
        <v>0</v>
      </c>
      <c r="EY15" s="143">
        <f t="shared" si="33"/>
        <v>0</v>
      </c>
      <c r="EZ15" s="143">
        <f t="shared" si="34"/>
        <v>0</v>
      </c>
      <c r="FA15" s="143">
        <f t="shared" si="35"/>
        <v>0</v>
      </c>
      <c r="FB15" s="143">
        <f t="shared" si="36"/>
        <v>0</v>
      </c>
      <c r="FC15" s="143">
        <f t="shared" si="37"/>
        <v>0</v>
      </c>
      <c r="FD15" s="143">
        <f t="shared" si="38"/>
        <v>0</v>
      </c>
      <c r="FE15" s="140">
        <f>SUM($D15:D15)*IF($B15="Operacional",IFERROR(VLOOKUP($C15,SN_UGC,28,0),0),1)</f>
        <v>100</v>
      </c>
      <c r="FF15" s="140">
        <f>SUM($D15:E15)*IF($B15="Operacional",IFERROR(VLOOKUP($C15,SN_UGC,28,0),0),1)</f>
        <v>100</v>
      </c>
      <c r="FG15" s="140">
        <f>SUM($D15:F15)*IF($B15="Operacional",IFERROR(VLOOKUP($C15,SN_UGC,28,0),0),1)</f>
        <v>100</v>
      </c>
      <c r="FH15" s="140">
        <f>SUM($D15:G15)*IF($B15="Operacional",IFERROR(VLOOKUP($C15,SN_UGC,28,0),0),1)</f>
        <v>100</v>
      </c>
      <c r="FI15" s="140">
        <f>SUM($D15:H15)*IF($B15="Operacional",IFERROR(VLOOKUP($C15,SN_UGC,28,0),0),1)</f>
        <v>100</v>
      </c>
      <c r="FJ15" s="140">
        <f>SUM($D15:I15)*IF($B15="Operacional",IFERROR(VLOOKUP($C15,SN_UGC,28,0),0),1)</f>
        <v>100</v>
      </c>
      <c r="FK15" s="140">
        <f>SUM($D15:J15)*IF($B15="Operacional",IFERROR(VLOOKUP($C15,SN_UGC,28,0),0),1)</f>
        <v>100</v>
      </c>
      <c r="FL15" s="140">
        <f>SUM($D15:K15)*IF($B15="Operacional",IFERROR(VLOOKUP($C15,SN_UGC,28,0),0),1)</f>
        <v>100</v>
      </c>
      <c r="FM15" s="140">
        <f>SUM($D15:L15)*IF($B15="Operacional",IFERROR(VLOOKUP($C15,SN_UGC,28,0),0),1)</f>
        <v>100</v>
      </c>
      <c r="FN15" s="140">
        <f>SUM($D15:M15)*IF($B15="Operacional",IFERROR(VLOOKUP($C15,SN_UGC,28,0),0),1)</f>
        <v>100</v>
      </c>
      <c r="FO15" s="140">
        <f>SUM($D15:N15)*IF($B15="Operacional",IFERROR(VLOOKUP($C15,SN_UGC,28,0),0),1)</f>
        <v>100</v>
      </c>
      <c r="FP15" s="140">
        <f>SUM($D15:O15)*IF($B15="Operacional",IFERROR(VLOOKUP($C15,SN_UGC,28,0),0),1)</f>
        <v>100</v>
      </c>
      <c r="FQ15" s="140">
        <f>SUM($D15:P15)*IF($B15="Operacional",IFERROR(VLOOKUP($C15,SN_UGC,28,0),0),1)</f>
        <v>100</v>
      </c>
      <c r="FR15" s="140">
        <f>SUM($D15:Q15)*IF($B15="Operacional",IFERROR(VLOOKUP($C15,SN_UGC,28,0),0),1)</f>
        <v>100</v>
      </c>
      <c r="FS15" s="140">
        <f>SUM($D15:R15)*IF($B15="Operacional",IFERROR(VLOOKUP($C15,SN_UGC,28,0),0),1)</f>
        <v>100</v>
      </c>
      <c r="FT15" s="140">
        <f>SUM($D15:S15)*IF($B15="Operacional",IFERROR(VLOOKUP($C15,SN_UGC,28,0),0),1)</f>
        <v>100</v>
      </c>
      <c r="FU15" s="140">
        <f>SUM($D15:T15)*IF($B15="Operacional",IFERROR(VLOOKUP($C15,SN_UGC,28,0),0),1)</f>
        <v>100</v>
      </c>
      <c r="FV15" s="140">
        <f>SUM($D15:U15)*IF($B15="Operacional",IFERROR(VLOOKUP($C15,SN_UGC,28,0),0),1)</f>
        <v>100</v>
      </c>
      <c r="FW15" s="140">
        <f>SUM($D15:V15)*IF($B15="Operacional",IFERROR(VLOOKUP($C15,SN_UGC,28,0),0),1)</f>
        <v>100</v>
      </c>
      <c r="FX15" s="140">
        <f>SUM($D15:W15)*IF($B15="Operacional",IFERROR(VLOOKUP($C15,SN_UGC,28,0),0),1)</f>
        <v>100</v>
      </c>
      <c r="FY15" s="140">
        <f>SUM($D15:X15)*IF($B15="Operacional",IFERROR(VLOOKUP($C15,SN_UGC,28,0),0),1)</f>
        <v>100</v>
      </c>
      <c r="FZ15" s="140">
        <f>SUM($D15:Y15)*IF($B15="Operacional",IFERROR(VLOOKUP($C15,SN_UGC,28,0),0),1)</f>
        <v>100</v>
      </c>
      <c r="GA15" s="140">
        <f>SUM($D15:Z15)*IF($B15="Operacional",IFERROR(VLOOKUP($C15,SN_UGC,28,0),0),1)</f>
        <v>100</v>
      </c>
      <c r="GB15" s="140">
        <f>SUM($D15:AA15)*IF($B15="Operacional",IFERROR(VLOOKUP($C15,SN_UGC,28,0),0),1)</f>
        <v>100</v>
      </c>
      <c r="GC15" s="140">
        <f>SUM($D15:AB15)*IF($B15="Operacional",IFERROR(VLOOKUP($C15,SN_UGC,28,0),0),1)</f>
        <v>100</v>
      </c>
      <c r="GD15" s="140">
        <f>SUM($D15:AC15)*IF($B15="Operacional",IFERROR(VLOOKUP($C15,SN_UGC,28,0),0),1)</f>
        <v>100</v>
      </c>
      <c r="GE15" s="140">
        <f>SUM($D15:AD15)*IF($B15="Operacional",IFERROR(VLOOKUP($C15,SN_UGC,28,0),0),1)</f>
        <v>100</v>
      </c>
      <c r="GF15" s="140">
        <f>SUM($D15:AE15)*IF($B15="Operacional",IFERROR(VLOOKUP($C15,SN_UGC,28,0),0),1)</f>
        <v>100</v>
      </c>
      <c r="GG15" s="140">
        <f>SUM($D15:AF15)*IF($B15="Operacional",IFERROR(VLOOKUP($C15,SN_UGC,28,0),0),1)</f>
        <v>100</v>
      </c>
      <c r="GH15" s="140">
        <f>SUM($D15:AG15)*IF($B15="Operacional",IFERROR(VLOOKUP($C15,SN_UGC,28,0),0),1)</f>
        <v>100</v>
      </c>
      <c r="GI15" s="141">
        <f t="shared" ref="GI15:HL15" si="75">FE15*$AH15*$AL15</f>
        <v>11862.95</v>
      </c>
      <c r="GJ15" s="141">
        <f t="shared" si="75"/>
        <v>11862.95</v>
      </c>
      <c r="GK15" s="141">
        <f t="shared" si="75"/>
        <v>11862.95</v>
      </c>
      <c r="GL15" s="141">
        <f t="shared" si="75"/>
        <v>11862.95</v>
      </c>
      <c r="GM15" s="141">
        <f t="shared" si="75"/>
        <v>11862.95</v>
      </c>
      <c r="GN15" s="141">
        <f t="shared" si="75"/>
        <v>11862.95</v>
      </c>
      <c r="GO15" s="141">
        <f t="shared" si="75"/>
        <v>11862.95</v>
      </c>
      <c r="GP15" s="141">
        <f t="shared" si="75"/>
        <v>11862.95</v>
      </c>
      <c r="GQ15" s="141">
        <f t="shared" si="75"/>
        <v>11862.95</v>
      </c>
      <c r="GR15" s="141">
        <f t="shared" si="75"/>
        <v>11862.95</v>
      </c>
      <c r="GS15" s="141">
        <f t="shared" si="75"/>
        <v>11862.95</v>
      </c>
      <c r="GT15" s="141">
        <f t="shared" si="75"/>
        <v>11862.95</v>
      </c>
      <c r="GU15" s="141">
        <f t="shared" si="75"/>
        <v>11862.95</v>
      </c>
      <c r="GV15" s="141">
        <f t="shared" si="75"/>
        <v>11862.95</v>
      </c>
      <c r="GW15" s="141">
        <f t="shared" si="75"/>
        <v>11862.95</v>
      </c>
      <c r="GX15" s="141">
        <f t="shared" si="75"/>
        <v>11862.95</v>
      </c>
      <c r="GY15" s="141">
        <f t="shared" si="75"/>
        <v>11862.95</v>
      </c>
      <c r="GZ15" s="141">
        <f t="shared" si="75"/>
        <v>11862.95</v>
      </c>
      <c r="HA15" s="141">
        <f t="shared" si="75"/>
        <v>11862.95</v>
      </c>
      <c r="HB15" s="141">
        <f t="shared" si="75"/>
        <v>11862.95</v>
      </c>
      <c r="HC15" s="141">
        <f t="shared" si="75"/>
        <v>11862.95</v>
      </c>
      <c r="HD15" s="141">
        <f t="shared" si="75"/>
        <v>11862.95</v>
      </c>
      <c r="HE15" s="141">
        <f t="shared" si="75"/>
        <v>11862.95</v>
      </c>
      <c r="HF15" s="141">
        <f t="shared" si="75"/>
        <v>11862.95</v>
      </c>
      <c r="HG15" s="141">
        <f t="shared" si="75"/>
        <v>11862.95</v>
      </c>
      <c r="HH15" s="141">
        <f t="shared" si="75"/>
        <v>11862.95</v>
      </c>
      <c r="HI15" s="141">
        <f t="shared" si="75"/>
        <v>11862.95</v>
      </c>
      <c r="HJ15" s="141">
        <f t="shared" si="75"/>
        <v>11862.95</v>
      </c>
      <c r="HK15" s="141">
        <f t="shared" si="75"/>
        <v>11862.95</v>
      </c>
      <c r="HL15" s="141">
        <f t="shared" si="75"/>
        <v>11862.95</v>
      </c>
      <c r="HM15" s="142">
        <f t="shared" ref="HM15:IP15" si="76">IF(ISBLANK($A15),,FE15*($AH15-($AH15*$AJ15))/$AI15)</f>
        <v>7908.6333333333332</v>
      </c>
      <c r="HN15" s="142">
        <f t="shared" si="76"/>
        <v>7908.6333333333332</v>
      </c>
      <c r="HO15" s="142">
        <f t="shared" si="76"/>
        <v>7908.6333333333332</v>
      </c>
      <c r="HP15" s="142">
        <f t="shared" si="76"/>
        <v>7908.6333333333332</v>
      </c>
      <c r="HQ15" s="142">
        <f t="shared" si="76"/>
        <v>7908.6333333333332</v>
      </c>
      <c r="HR15" s="142">
        <f t="shared" si="76"/>
        <v>7908.6333333333332</v>
      </c>
      <c r="HS15" s="142">
        <f t="shared" si="76"/>
        <v>7908.6333333333332</v>
      </c>
      <c r="HT15" s="142">
        <f t="shared" si="76"/>
        <v>7908.6333333333332</v>
      </c>
      <c r="HU15" s="142">
        <f t="shared" si="76"/>
        <v>7908.6333333333332</v>
      </c>
      <c r="HV15" s="142">
        <f t="shared" si="76"/>
        <v>7908.6333333333332</v>
      </c>
      <c r="HW15" s="142">
        <f t="shared" si="76"/>
        <v>7908.6333333333332</v>
      </c>
      <c r="HX15" s="142">
        <f t="shared" si="76"/>
        <v>7908.6333333333332</v>
      </c>
      <c r="HY15" s="142">
        <f t="shared" si="76"/>
        <v>7908.6333333333332</v>
      </c>
      <c r="HZ15" s="142">
        <f t="shared" si="76"/>
        <v>7908.6333333333332</v>
      </c>
      <c r="IA15" s="142">
        <f t="shared" si="76"/>
        <v>7908.6333333333332</v>
      </c>
      <c r="IB15" s="142">
        <f t="shared" si="76"/>
        <v>7908.6333333333332</v>
      </c>
      <c r="IC15" s="142">
        <f t="shared" si="76"/>
        <v>7908.6333333333332</v>
      </c>
      <c r="ID15" s="142">
        <f t="shared" si="76"/>
        <v>7908.6333333333332</v>
      </c>
      <c r="IE15" s="142">
        <f t="shared" si="76"/>
        <v>7908.6333333333332</v>
      </c>
      <c r="IF15" s="142">
        <f t="shared" si="76"/>
        <v>7908.6333333333332</v>
      </c>
      <c r="IG15" s="142">
        <f t="shared" si="76"/>
        <v>7908.6333333333332</v>
      </c>
      <c r="IH15" s="142">
        <f t="shared" si="76"/>
        <v>7908.6333333333332</v>
      </c>
      <c r="II15" s="142">
        <f t="shared" si="76"/>
        <v>7908.6333333333332</v>
      </c>
      <c r="IJ15" s="142">
        <f t="shared" si="76"/>
        <v>7908.6333333333332</v>
      </c>
      <c r="IK15" s="142">
        <f t="shared" si="76"/>
        <v>7908.6333333333332</v>
      </c>
      <c r="IL15" s="142">
        <f t="shared" si="76"/>
        <v>7908.6333333333332</v>
      </c>
      <c r="IM15" s="142">
        <f t="shared" si="76"/>
        <v>7908.6333333333332</v>
      </c>
      <c r="IN15" s="142">
        <f t="shared" si="76"/>
        <v>7908.6333333333332</v>
      </c>
      <c r="IO15" s="142">
        <f t="shared" si="76"/>
        <v>7908.6333333333332</v>
      </c>
      <c r="IP15" s="142">
        <f t="shared" si="76"/>
        <v>7908.6333333333332</v>
      </c>
      <c r="IQ15" s="141">
        <f>IF(ISBLANK($A15),,IF($AN15="Não",0,(SUM($AO15:AO15)*$AH15)-SUM($HM15:HM15)-SUM($CW15:CW15)))</f>
        <v>0</v>
      </c>
      <c r="IR15" s="141">
        <f>IF(ISBLANK($A15),,IF($AN15="Não",0,(SUM($AO15:AP15)*$AH15)-SUM($HM15:HN15)-SUM($CW15:CX15)))</f>
        <v>0</v>
      </c>
      <c r="IS15" s="141">
        <f>IF(ISBLANK($A15),,IF($AN15="Não",0,(SUM($AO15:AQ15)*$AH15)-SUM($HM15:HO15)-SUM($CW15:CY15)))</f>
        <v>0</v>
      </c>
      <c r="IT15" s="141">
        <f>IF(ISBLANK($A15),,IF($AN15="Não",0,(SUM($AO15:AR15)*$AH15)-SUM($HM15:HP15)-SUM($CW15:CZ15)))</f>
        <v>0</v>
      </c>
      <c r="IU15" s="141">
        <f>IF(ISBLANK($A15),,IF($AN15="Não",0,(SUM($AO15:AS15)*$AH15)-SUM($HM15:HQ15)-SUM($CW15:DA15)))</f>
        <v>0</v>
      </c>
      <c r="IV15" s="141">
        <f>IF(ISBLANK($A15),,IF($AN15="Não",0,(SUM($AO15:AT15)*$AH15)-SUM($HM15:HR15)-SUM($CW15:DB15)))</f>
        <v>0</v>
      </c>
      <c r="IW15" s="141">
        <f>IF(ISBLANK($A15),,IF($AN15="Não",0,(SUM($AO15:AU15)*$AH15)-SUM($HM15:HS15)-SUM($CW15:DC15)))</f>
        <v>0</v>
      </c>
      <c r="IX15" s="141">
        <f>IF(ISBLANK($A15),,IF($AN15="Não",0,(SUM($AO15:AV15)*$AH15)-SUM($HM15:HT15)-SUM($CW15:DD15)))</f>
        <v>0</v>
      </c>
      <c r="IY15" s="141">
        <f>IF(ISBLANK($A15),,IF($AN15="Não",0,(SUM($AO15:AW15)*$AH15)-SUM($HM15:HU15)-SUM($CW15:DE15)))</f>
        <v>0</v>
      </c>
      <c r="IZ15" s="141">
        <f>IF(ISBLANK($A15),,IF($AN15="Não",0,(SUM($AO15:AX15)*$AH15)-SUM($HM15:HV15)-SUM($CW15:DF15)))</f>
        <v>0</v>
      </c>
      <c r="JA15" s="141">
        <f>IF(ISBLANK($A15),,IF($AN15="Não",0,(SUM($AO15:AY15)*$AH15)-SUM($HM15:HW15)-SUM($CW15:DG15)))</f>
        <v>0</v>
      </c>
      <c r="JB15" s="141">
        <f>IF(ISBLANK($A15),,IF($AN15="Não",0,(SUM($AO15:AZ15)*$AH15)-SUM($HM15:HX15)-SUM($CW15:DH15)))</f>
        <v>0</v>
      </c>
      <c r="JC15" s="141">
        <f>IF(ISBLANK($A15),,IF($AN15="Não",0,(SUM($AO15:BA15)*$AH15)-SUM($HM15:HY15)-SUM($CW15:DI15)))</f>
        <v>0</v>
      </c>
      <c r="JD15" s="141">
        <f>IF(ISBLANK($A15),,IF($AN15="Não",0,(SUM($AO15:BB15)*$AH15)-SUM($HM15:HZ15)-SUM($CW15:DJ15)))</f>
        <v>0</v>
      </c>
      <c r="JE15" s="141">
        <f>IF(ISBLANK($A15),,IF($AN15="Não",0,(SUM($AO15:BC15)*$AH15)-SUM($HM15:IA15)-SUM($CW15:DK15)))</f>
        <v>0</v>
      </c>
      <c r="JF15" s="141">
        <f>IF(ISBLANK($A15),,IF($AN15="Não",0,(SUM($AO15:BD15)*$AH15)-SUM($HM15:IB15)-SUM($CW15:DL15)))</f>
        <v>0</v>
      </c>
      <c r="JG15" s="141">
        <f>IF(ISBLANK($A15),,IF($AN15="Não",0,(SUM($AO15:BE15)*$AH15)-SUM($HM15:IC15)-SUM($CW15:DM15)))</f>
        <v>0</v>
      </c>
      <c r="JH15" s="141">
        <f>IF(ISBLANK($A15),,IF($AN15="Não",0,(SUM($AO15:BF15)*$AH15)-SUM($HM15:ID15)-SUM($CW15:DN15)))</f>
        <v>0</v>
      </c>
      <c r="JI15" s="141">
        <f>IF(ISBLANK($A15),,IF($AN15="Não",0,(SUM($AO15:BG15)*$AH15)-SUM($HM15:IE15)-SUM($CW15:DO15)))</f>
        <v>0</v>
      </c>
      <c r="JJ15" s="141">
        <f>IF(ISBLANK($A15),,IF($AN15="Não",0,(SUM($AO15:BH15)*$AH15)-SUM($HM15:IF15)-SUM($CW15:DP15)))</f>
        <v>0</v>
      </c>
      <c r="JK15" s="141">
        <f>IF(ISBLANK($A15),,IF($AN15="Não",0,(SUM($AO15:BI15)*$AH15)-SUM($HM15:IG15)-SUM($CW15:DQ15)))</f>
        <v>0</v>
      </c>
      <c r="JL15" s="141">
        <f>IF(ISBLANK($A15),,IF($AN15="Não",0,(SUM($AO15:BJ15)*$AH15)-SUM($HM15:IH15)-SUM($CW15:DR15)))</f>
        <v>0</v>
      </c>
      <c r="JM15" s="141">
        <f>IF(ISBLANK($A15),,IF($AN15="Não",0,(SUM($AO15:BK15)*$AH15)-SUM($HM15:II15)-SUM($CW15:DS15)))</f>
        <v>0</v>
      </c>
      <c r="JN15" s="141">
        <f>IF(ISBLANK($A15),,IF($AN15="Não",0,(SUM($AO15:BL15)*$AH15)-SUM($HM15:IJ15)-SUM($CW15:DT15)))</f>
        <v>0</v>
      </c>
      <c r="JO15" s="141">
        <f>IF(ISBLANK($A15),,IF($AN15="Não",0,(SUM($AO15:BM15)*$AH15)-SUM($HM15:IK15)-SUM($CW15:DU15)))</f>
        <v>0</v>
      </c>
      <c r="JP15" s="141">
        <f>IF(ISBLANK($A15),,IF($AN15="Não",0,(SUM($AO15:BN15)*$AH15)-SUM($HM15:IL15)-SUM($CW15:DV15)))</f>
        <v>0</v>
      </c>
      <c r="JQ15" s="141">
        <f>IF(ISBLANK($A15),,IF($AN15="Não",0,(SUM($AO15:BO15)*$AH15)-SUM($HM15:IM15)-SUM($CW15:DW15)))</f>
        <v>0</v>
      </c>
      <c r="JR15" s="141">
        <f>IF(ISBLANK($A15),,IF($AN15="Não",0,(SUM($AO15:BP15)*$AH15)-SUM($HM15:IN15)-SUM($CW15:DX15)))</f>
        <v>0</v>
      </c>
      <c r="JS15" s="141">
        <f>IF(ISBLANK($A15),,IF($AN15="Não",0,(SUM($AO15:BQ15)*$AH15)-SUM($HM15:IO15)-SUM($CW15:DY15)))</f>
        <v>0</v>
      </c>
      <c r="JT15" s="141">
        <f>IF(ISBLANK($A15),,IF($AN15="Não",0,(SUM($AO15:BR15)*$AH15)-SUM($HM15:IP15)-SUM($CW15:DZ15)))</f>
        <v>0</v>
      </c>
    </row>
    <row r="16" spans="1:280" ht="15.75" customHeight="1">
      <c r="A16" s="129" t="s">
        <v>352</v>
      </c>
      <c r="B16" s="129" t="s">
        <v>209</v>
      </c>
      <c r="C16" s="138" t="s">
        <v>79</v>
      </c>
      <c r="D16" s="139">
        <v>212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607">
        <f t="shared" si="0"/>
        <v>2372.59</v>
      </c>
      <c r="AI16" s="608">
        <f t="shared" si="1"/>
        <v>30</v>
      </c>
      <c r="AJ16" s="609">
        <f t="shared" si="2"/>
        <v>0</v>
      </c>
      <c r="AK16" s="610" t="str">
        <f t="shared" si="3"/>
        <v>Edificações</v>
      </c>
      <c r="AL16" s="609">
        <f t="shared" si="4"/>
        <v>0.05</v>
      </c>
      <c r="AM16" s="611" t="str">
        <f t="shared" si="5"/>
        <v>Sim</v>
      </c>
      <c r="AN16" s="611" t="str">
        <f t="shared" si="6"/>
        <v>Não</v>
      </c>
      <c r="AO16" s="140">
        <f t="array" ref="AO16">IF(ISBLANK($A16),0,IF(OR(AO$5-$AI16&lt;=0,$AM16="Não"),D16,D16+INDEX($AO$6:$BR$176,ROW()-5,COLUMN()-40-$AI16)))*IF($B16="Operacional",IFERROR(VLOOKUP($C16,SN_UGC,28,0),0),1)</f>
        <v>212</v>
      </c>
      <c r="AP16" s="140">
        <f t="array" ref="AP16">IF(ISBLANK($A16),0,IF(OR(AP$5-$AI16&lt;=0,$AM16="Não"),E16,E16+INDEX($AO$6:$BR$176,ROW()-5,COLUMN()-40-$AI16)))*IF($B16="Operacional",IFERROR(VLOOKUP($C16,SN_UGC,28,0),0),1)</f>
        <v>0</v>
      </c>
      <c r="AQ16" s="140">
        <f t="array" ref="AQ16">IF(ISBLANK($A16),0,IF(OR(AQ$5-$AI16&lt;=0,$AM16="Não"),F16,F16+INDEX($AO$6:$BR$176,ROW()-5,COLUMN()-40-$AI16)))*IF($B16="Operacional",IFERROR(VLOOKUP($C16,SN_UGC,28,0),0),1)</f>
        <v>0</v>
      </c>
      <c r="AR16" s="140">
        <f t="array" ref="AR16">IF(ISBLANK($A16),0,IF(OR(AR$5-$AI16&lt;=0,$AM16="Não"),G16,G16+INDEX($AO$6:$BR$176,ROW()-5,COLUMN()-40-$AI16)))*IF($B16="Operacional",IFERROR(VLOOKUP($C16,SN_UGC,28,0),0),1)</f>
        <v>0</v>
      </c>
      <c r="AS16" s="140">
        <f t="array" ref="AS16">IF(ISBLANK($A16),0,IF(OR(AS$5-$AI16&lt;=0,$AM16="Não"),H16,H16+INDEX($AO$6:$BR$176,ROW()-5,COLUMN()-40-$AI16)))*IF($B16="Operacional",IFERROR(VLOOKUP($C16,SN_UGC,28,0),0),1)</f>
        <v>0</v>
      </c>
      <c r="AT16" s="140">
        <f t="array" ref="AT16">IF(ISBLANK($A16),0,IF(OR(AT$5-$AI16&lt;=0,$AM16="Não"),I16,I16+INDEX($AO$6:$BR$176,ROW()-5,COLUMN()-40-$AI16)))*IF($B16="Operacional",IFERROR(VLOOKUP($C16,SN_UGC,28,0),0),1)</f>
        <v>0</v>
      </c>
      <c r="AU16" s="140">
        <f t="array" ref="AU16">IF(ISBLANK($A16),0,IF(OR(AU$5-$AI16&lt;=0,$AM16="Não"),J16,J16+INDEX($AO$6:$BR$176,ROW()-5,COLUMN()-40-$AI16)))*IF($B16="Operacional",IFERROR(VLOOKUP($C16,SN_UGC,28,0),0),1)</f>
        <v>0</v>
      </c>
      <c r="AV16" s="140">
        <f t="array" ref="AV16">IF(ISBLANK($A16),0,IF(OR(AV$5-$AI16&lt;=0,$AM16="Não"),K16,K16+INDEX($AO$6:$BR$176,ROW()-5,COLUMN()-40-$AI16)))*IF($B16="Operacional",IFERROR(VLOOKUP($C16,SN_UGC,28,0),0),1)</f>
        <v>0</v>
      </c>
      <c r="AW16" s="140">
        <f t="array" ref="AW16">IF(ISBLANK($A16),0,IF(OR(AW$5-$AI16&lt;=0,$AM16="Não"),L16,L16+INDEX($AO$6:$BR$176,ROW()-5,COLUMN()-40-$AI16)))*IF($B16="Operacional",IFERROR(VLOOKUP($C16,SN_UGC,28,0),0),1)</f>
        <v>0</v>
      </c>
      <c r="AX16" s="140">
        <f t="array" ref="AX16">IF(ISBLANK($A16),0,IF(OR(AX$5-$AI16&lt;=0,$AM16="Não"),M16,M16+INDEX($AO$6:$BR$176,ROW()-5,COLUMN()-40-$AI16)))*IF($B16="Operacional",IFERROR(VLOOKUP($C16,SN_UGC,28,0),0),1)</f>
        <v>0</v>
      </c>
      <c r="AY16" s="140">
        <f t="array" ref="AY16">IF(ISBLANK($A16),0,IF(OR(AY$5-$AI16&lt;=0,$AM16="Não"),N16,N16+INDEX($AO$6:$BR$176,ROW()-5,COLUMN()-40-$AI16)))*IF($B16="Operacional",IFERROR(VLOOKUP($C16,SN_UGC,28,0),0),1)</f>
        <v>0</v>
      </c>
      <c r="AZ16" s="140">
        <f t="array" ref="AZ16">IF(ISBLANK($A16),0,IF(OR(AZ$5-$AI16&lt;=0,$AM16="Não"),O16,O16+INDEX($AO$6:$BR$176,ROW()-5,COLUMN()-40-$AI16)))*IF($B16="Operacional",IFERROR(VLOOKUP($C16,SN_UGC,28,0),0),1)</f>
        <v>0</v>
      </c>
      <c r="BA16" s="140">
        <f t="array" ref="BA16">IF(ISBLANK($A16),0,IF(OR(BA$5-$AI16&lt;=0,$AM16="Não"),P16,P16+INDEX($AO$6:$BR$176,ROW()-5,COLUMN()-40-$AI16)))*IF($B16="Operacional",IFERROR(VLOOKUP($C16,SN_UGC,28,0),0),1)</f>
        <v>0</v>
      </c>
      <c r="BB16" s="140">
        <f t="array" ref="BB16">IF(ISBLANK($A16),0,IF(OR(BB$5-$AI16&lt;=0,$AM16="Não"),Q16,Q16+INDEX($AO$6:$BR$176,ROW()-5,COLUMN()-40-$AI16)))*IF($B16="Operacional",IFERROR(VLOOKUP($C16,SN_UGC,28,0),0),1)</f>
        <v>0</v>
      </c>
      <c r="BC16" s="140">
        <f t="array" ref="BC16">IF(ISBLANK($A16),0,IF(OR(BC$5-$AI16&lt;=0,$AM16="Não"),R16,R16+INDEX($AO$6:$BR$176,ROW()-5,COLUMN()-40-$AI16)))*IF($B16="Operacional",IFERROR(VLOOKUP($C16,SN_UGC,28,0),0),1)</f>
        <v>0</v>
      </c>
      <c r="BD16" s="140">
        <f t="array" ref="BD16">IF(ISBLANK($A16),0,IF(OR(BD$5-$AI16&lt;=0,$AM16="Não"),S16,S16+INDEX($AO$6:$BR$176,ROW()-5,COLUMN()-40-$AI16)))*IF($B16="Operacional",IFERROR(VLOOKUP($C16,SN_UGC,28,0),0),1)</f>
        <v>0</v>
      </c>
      <c r="BE16" s="140">
        <f t="array" ref="BE16">IF(ISBLANK($A16),0,IF(OR(BE$5-$AI16&lt;=0,$AM16="Não"),T16,T16+INDEX($AO$6:$BR$176,ROW()-5,COLUMN()-40-$AI16)))*IF($B16="Operacional",IFERROR(VLOOKUP($C16,SN_UGC,28,0),0),1)</f>
        <v>0</v>
      </c>
      <c r="BF16" s="140">
        <f t="array" ref="BF16">IF(ISBLANK($A16),0,IF(OR(BF$5-$AI16&lt;=0,$AM16="Não"),U16,U16+INDEX($AO$6:$BR$176,ROW()-5,COLUMN()-40-$AI16)))*IF($B16="Operacional",IFERROR(VLOOKUP($C16,SN_UGC,28,0),0),1)</f>
        <v>0</v>
      </c>
      <c r="BG16" s="140">
        <f t="array" ref="BG16">IF(ISBLANK($A16),0,IF(OR(BG$5-$AI16&lt;=0,$AM16="Não"),V16,V16+INDEX($AO$6:$BR$176,ROW()-5,COLUMN()-40-$AI16)))*IF($B16="Operacional",IFERROR(VLOOKUP($C16,SN_UGC,28,0),0),1)</f>
        <v>0</v>
      </c>
      <c r="BH16" s="140">
        <f t="array" ref="BH16">IF(ISBLANK($A16),0,IF(OR(BH$5-$AI16&lt;=0,$AM16="Não"),W16,W16+INDEX($AO$6:$BR$176,ROW()-5,COLUMN()-40-$AI16)))*IF($B16="Operacional",IFERROR(VLOOKUP($C16,SN_UGC,28,0),0),1)</f>
        <v>0</v>
      </c>
      <c r="BI16" s="140">
        <f t="array" ref="BI16">IF(ISBLANK($A16),0,IF(OR(BI$5-$AI16&lt;=0,$AM16="Não"),X16,X16+INDEX($AO$6:$BR$176,ROW()-5,COLUMN()-40-$AI16)))*IF($B16="Operacional",IFERROR(VLOOKUP($C16,SN_UGC,28,0),0),1)</f>
        <v>0</v>
      </c>
      <c r="BJ16" s="140">
        <f t="array" ref="BJ16">IF(ISBLANK($A16),0,IF(OR(BJ$5-$AI16&lt;=0,$AM16="Não"),Y16,Y16+INDEX($AO$6:$BR$176,ROW()-5,COLUMN()-40-$AI16)))*IF($B16="Operacional",IFERROR(VLOOKUP($C16,SN_UGC,28,0),0),1)</f>
        <v>0</v>
      </c>
      <c r="BK16" s="140">
        <f t="array" ref="BK16">IF(ISBLANK($A16),0,IF(OR(BK$5-$AI16&lt;=0,$AM16="Não"),Z16,Z16+INDEX($AO$6:$BR$176,ROW()-5,COLUMN()-40-$AI16)))*IF($B16="Operacional",IFERROR(VLOOKUP($C16,SN_UGC,28,0),0),1)</f>
        <v>0</v>
      </c>
      <c r="BL16" s="140">
        <f t="array" ref="BL16">IF(ISBLANK($A16),0,IF(OR(BL$5-$AI16&lt;=0,$AM16="Não"),AA16,AA16+INDEX($AO$6:$BR$176,ROW()-5,COLUMN()-40-$AI16)))*IF($B16="Operacional",IFERROR(VLOOKUP($C16,SN_UGC,28,0),0),1)</f>
        <v>0</v>
      </c>
      <c r="BM16" s="140">
        <f t="array" ref="BM16">IF(ISBLANK($A16),0,IF(OR(BM$5-$AI16&lt;=0,$AM16="Não"),AB16,AB16+INDEX($AO$6:$BR$176,ROW()-5,COLUMN()-40-$AI16)))*IF($B16="Operacional",IFERROR(VLOOKUP($C16,SN_UGC,28,0),0),1)</f>
        <v>0</v>
      </c>
      <c r="BN16" s="140">
        <f t="array" ref="BN16">IF(ISBLANK($A16),0,IF(OR(BN$5-$AI16&lt;=0,$AM16="Não"),AC16,AC16+INDEX($AO$6:$BR$176,ROW()-5,COLUMN()-40-$AI16)))*IF($B16="Operacional",IFERROR(VLOOKUP($C16,SN_UGC,28,0),0),1)</f>
        <v>0</v>
      </c>
      <c r="BO16" s="140">
        <f t="array" ref="BO16">IF(ISBLANK($A16),0,IF(OR(BO$5-$AI16&lt;=0,$AM16="Não"),AD16,AD16+INDEX($AO$6:$BR$176,ROW()-5,COLUMN()-40-$AI16)))*IF($B16="Operacional",IFERROR(VLOOKUP($C16,SN_UGC,28,0),0),1)</f>
        <v>0</v>
      </c>
      <c r="BP16" s="140">
        <f t="array" ref="BP16">IF(ISBLANK($A16),0,IF(OR(BP$5-$AI16&lt;=0,$AM16="Não"),AE16,AE16+INDEX($AO$6:$BR$176,ROW()-5,COLUMN()-40-$AI16)))*IF($B16="Operacional",IFERROR(VLOOKUP($C16,SN_UGC,28,0),0),1)</f>
        <v>0</v>
      </c>
      <c r="BQ16" s="140">
        <f t="array" ref="BQ16">IF(ISBLANK($A16),0,IF(OR(BQ$5-$AI16&lt;=0,$AM16="Não"),AF16,AF16+INDEX($AO$6:$BR$176,ROW()-5,COLUMN()-40-$AI16)))*IF($B16="Operacional",IFERROR(VLOOKUP($C16,SN_UGC,28,0),0),1)</f>
        <v>0</v>
      </c>
      <c r="BR16" s="140">
        <f t="array" ref="BR16">IF(ISBLANK($A16),0,IF(OR(BR$5-$AI16&lt;=0,$AM16="Não"),AG16,AG16+INDEX($AO$6:$BR$176,ROW()-5,COLUMN()-40-$AI16)))*IF($B16="Operacional",IFERROR(VLOOKUP($C16,SN_UGC,28,0),0),1)</f>
        <v>0</v>
      </c>
      <c r="BS16" s="141">
        <f t="shared" ref="BS16:CV16" si="77">IF(ISBLANK($A16),0,$AH16*AO16)</f>
        <v>502989.08</v>
      </c>
      <c r="BT16" s="141">
        <f t="shared" si="77"/>
        <v>0</v>
      </c>
      <c r="BU16" s="141">
        <f t="shared" si="77"/>
        <v>0</v>
      </c>
      <c r="BV16" s="141">
        <f t="shared" si="77"/>
        <v>0</v>
      </c>
      <c r="BW16" s="141">
        <f t="shared" si="77"/>
        <v>0</v>
      </c>
      <c r="BX16" s="141">
        <f t="shared" si="77"/>
        <v>0</v>
      </c>
      <c r="BY16" s="141">
        <f t="shared" si="77"/>
        <v>0</v>
      </c>
      <c r="BZ16" s="141">
        <f t="shared" si="77"/>
        <v>0</v>
      </c>
      <c r="CA16" s="141">
        <f t="shared" si="77"/>
        <v>0</v>
      </c>
      <c r="CB16" s="141">
        <f t="shared" si="77"/>
        <v>0</v>
      </c>
      <c r="CC16" s="141">
        <f t="shared" si="77"/>
        <v>0</v>
      </c>
      <c r="CD16" s="141">
        <f t="shared" si="77"/>
        <v>0</v>
      </c>
      <c r="CE16" s="141">
        <f t="shared" si="77"/>
        <v>0</v>
      </c>
      <c r="CF16" s="141">
        <f t="shared" si="77"/>
        <v>0</v>
      </c>
      <c r="CG16" s="141">
        <f t="shared" si="77"/>
        <v>0</v>
      </c>
      <c r="CH16" s="141">
        <f t="shared" si="77"/>
        <v>0</v>
      </c>
      <c r="CI16" s="141">
        <f t="shared" si="77"/>
        <v>0</v>
      </c>
      <c r="CJ16" s="141">
        <f t="shared" si="77"/>
        <v>0</v>
      </c>
      <c r="CK16" s="141">
        <f t="shared" si="77"/>
        <v>0</v>
      </c>
      <c r="CL16" s="141">
        <f t="shared" si="77"/>
        <v>0</v>
      </c>
      <c r="CM16" s="141">
        <f t="shared" si="77"/>
        <v>0</v>
      </c>
      <c r="CN16" s="141">
        <f t="shared" si="77"/>
        <v>0</v>
      </c>
      <c r="CO16" s="141">
        <f t="shared" si="77"/>
        <v>0</v>
      </c>
      <c r="CP16" s="141">
        <f t="shared" si="77"/>
        <v>0</v>
      </c>
      <c r="CQ16" s="141">
        <f t="shared" si="77"/>
        <v>0</v>
      </c>
      <c r="CR16" s="141">
        <f t="shared" si="77"/>
        <v>0</v>
      </c>
      <c r="CS16" s="141">
        <f t="shared" si="77"/>
        <v>0</v>
      </c>
      <c r="CT16" s="141">
        <f t="shared" si="77"/>
        <v>0</v>
      </c>
      <c r="CU16" s="141">
        <f t="shared" si="77"/>
        <v>0</v>
      </c>
      <c r="CV16" s="141">
        <f t="shared" si="77"/>
        <v>0</v>
      </c>
      <c r="CW16" s="142">
        <f t="shared" ref="CW16:DZ16" si="78">EA16*$AH16*$AJ16</f>
        <v>0</v>
      </c>
      <c r="CX16" s="142">
        <f t="shared" si="78"/>
        <v>0</v>
      </c>
      <c r="CY16" s="142">
        <f t="shared" si="78"/>
        <v>0</v>
      </c>
      <c r="CZ16" s="142">
        <f t="shared" si="78"/>
        <v>0</v>
      </c>
      <c r="DA16" s="142">
        <f t="shared" si="78"/>
        <v>0</v>
      </c>
      <c r="DB16" s="142">
        <f t="shared" si="78"/>
        <v>0</v>
      </c>
      <c r="DC16" s="142">
        <f t="shared" si="78"/>
        <v>0</v>
      </c>
      <c r="DD16" s="142">
        <f t="shared" si="78"/>
        <v>0</v>
      </c>
      <c r="DE16" s="142">
        <f t="shared" si="78"/>
        <v>0</v>
      </c>
      <c r="DF16" s="142">
        <f t="shared" si="78"/>
        <v>0</v>
      </c>
      <c r="DG16" s="142">
        <f t="shared" si="78"/>
        <v>0</v>
      </c>
      <c r="DH16" s="142">
        <f t="shared" si="78"/>
        <v>0</v>
      </c>
      <c r="DI16" s="142">
        <f t="shared" si="78"/>
        <v>0</v>
      </c>
      <c r="DJ16" s="142">
        <f t="shared" si="78"/>
        <v>0</v>
      </c>
      <c r="DK16" s="142">
        <f t="shared" si="78"/>
        <v>0</v>
      </c>
      <c r="DL16" s="142">
        <f t="shared" si="78"/>
        <v>0</v>
      </c>
      <c r="DM16" s="142">
        <f t="shared" si="78"/>
        <v>0</v>
      </c>
      <c r="DN16" s="142">
        <f t="shared" si="78"/>
        <v>0</v>
      </c>
      <c r="DO16" s="142">
        <f t="shared" si="78"/>
        <v>0</v>
      </c>
      <c r="DP16" s="142">
        <f t="shared" si="78"/>
        <v>0</v>
      </c>
      <c r="DQ16" s="142">
        <f t="shared" si="78"/>
        <v>0</v>
      </c>
      <c r="DR16" s="142">
        <f t="shared" si="78"/>
        <v>0</v>
      </c>
      <c r="DS16" s="142">
        <f t="shared" si="78"/>
        <v>0</v>
      </c>
      <c r="DT16" s="142">
        <f t="shared" si="78"/>
        <v>0</v>
      </c>
      <c r="DU16" s="142">
        <f t="shared" si="78"/>
        <v>0</v>
      </c>
      <c r="DV16" s="142">
        <f t="shared" si="78"/>
        <v>0</v>
      </c>
      <c r="DW16" s="142">
        <f t="shared" si="78"/>
        <v>0</v>
      </c>
      <c r="DX16" s="142">
        <f t="shared" si="78"/>
        <v>0</v>
      </c>
      <c r="DY16" s="142">
        <f t="shared" si="78"/>
        <v>0</v>
      </c>
      <c r="DZ16" s="142">
        <f t="shared" si="78"/>
        <v>0</v>
      </c>
      <c r="EA16" s="143">
        <f t="shared" si="9"/>
        <v>0</v>
      </c>
      <c r="EB16" s="143">
        <f t="shared" si="10"/>
        <v>0</v>
      </c>
      <c r="EC16" s="143">
        <f t="shared" si="11"/>
        <v>0</v>
      </c>
      <c r="ED16" s="143">
        <f t="shared" si="12"/>
        <v>0</v>
      </c>
      <c r="EE16" s="143">
        <f t="shared" si="13"/>
        <v>0</v>
      </c>
      <c r="EF16" s="143">
        <f t="shared" si="14"/>
        <v>0</v>
      </c>
      <c r="EG16" s="143">
        <f t="shared" si="15"/>
        <v>0</v>
      </c>
      <c r="EH16" s="143">
        <f t="shared" si="16"/>
        <v>0</v>
      </c>
      <c r="EI16" s="143">
        <f t="shared" si="17"/>
        <v>0</v>
      </c>
      <c r="EJ16" s="143">
        <f t="shared" si="18"/>
        <v>0</v>
      </c>
      <c r="EK16" s="143">
        <f t="shared" si="19"/>
        <v>0</v>
      </c>
      <c r="EL16" s="143">
        <f t="shared" si="20"/>
        <v>0</v>
      </c>
      <c r="EM16" s="143">
        <f t="shared" si="21"/>
        <v>0</v>
      </c>
      <c r="EN16" s="143">
        <f t="shared" si="22"/>
        <v>0</v>
      </c>
      <c r="EO16" s="143">
        <f t="shared" si="23"/>
        <v>0</v>
      </c>
      <c r="EP16" s="143">
        <f t="shared" si="24"/>
        <v>0</v>
      </c>
      <c r="EQ16" s="143">
        <f t="shared" si="25"/>
        <v>0</v>
      </c>
      <c r="ER16" s="143">
        <f t="shared" si="26"/>
        <v>0</v>
      </c>
      <c r="ES16" s="143">
        <f t="shared" si="27"/>
        <v>0</v>
      </c>
      <c r="ET16" s="143">
        <f t="shared" si="28"/>
        <v>0</v>
      </c>
      <c r="EU16" s="143">
        <f t="shared" si="29"/>
        <v>0</v>
      </c>
      <c r="EV16" s="143">
        <f t="shared" si="30"/>
        <v>0</v>
      </c>
      <c r="EW16" s="143">
        <f t="shared" si="31"/>
        <v>0</v>
      </c>
      <c r="EX16" s="143">
        <f t="shared" si="32"/>
        <v>0</v>
      </c>
      <c r="EY16" s="143">
        <f t="shared" si="33"/>
        <v>0</v>
      </c>
      <c r="EZ16" s="143">
        <f t="shared" si="34"/>
        <v>0</v>
      </c>
      <c r="FA16" s="143">
        <f t="shared" si="35"/>
        <v>0</v>
      </c>
      <c r="FB16" s="143">
        <f t="shared" si="36"/>
        <v>0</v>
      </c>
      <c r="FC16" s="143">
        <f t="shared" si="37"/>
        <v>0</v>
      </c>
      <c r="FD16" s="143">
        <f t="shared" si="38"/>
        <v>0</v>
      </c>
      <c r="FE16" s="140">
        <f>SUM($D16:D16)*IF($B16="Operacional",IFERROR(VLOOKUP($C16,SN_UGC,28,0),0),1)</f>
        <v>212</v>
      </c>
      <c r="FF16" s="140">
        <f>SUM($D16:E16)*IF($B16="Operacional",IFERROR(VLOOKUP($C16,SN_UGC,28,0),0),1)</f>
        <v>212</v>
      </c>
      <c r="FG16" s="140">
        <f>SUM($D16:F16)*IF($B16="Operacional",IFERROR(VLOOKUP($C16,SN_UGC,28,0),0),1)</f>
        <v>212</v>
      </c>
      <c r="FH16" s="140">
        <f>SUM($D16:G16)*IF($B16="Operacional",IFERROR(VLOOKUP($C16,SN_UGC,28,0),0),1)</f>
        <v>212</v>
      </c>
      <c r="FI16" s="140">
        <f>SUM($D16:H16)*IF($B16="Operacional",IFERROR(VLOOKUP($C16,SN_UGC,28,0),0),1)</f>
        <v>212</v>
      </c>
      <c r="FJ16" s="140">
        <f>SUM($D16:I16)*IF($B16="Operacional",IFERROR(VLOOKUP($C16,SN_UGC,28,0),0),1)</f>
        <v>212</v>
      </c>
      <c r="FK16" s="140">
        <f>SUM($D16:J16)*IF($B16="Operacional",IFERROR(VLOOKUP($C16,SN_UGC,28,0),0),1)</f>
        <v>212</v>
      </c>
      <c r="FL16" s="140">
        <f>SUM($D16:K16)*IF($B16="Operacional",IFERROR(VLOOKUP($C16,SN_UGC,28,0),0),1)</f>
        <v>212</v>
      </c>
      <c r="FM16" s="140">
        <f>SUM($D16:L16)*IF($B16="Operacional",IFERROR(VLOOKUP($C16,SN_UGC,28,0),0),1)</f>
        <v>212</v>
      </c>
      <c r="FN16" s="140">
        <f>SUM($D16:M16)*IF($B16="Operacional",IFERROR(VLOOKUP($C16,SN_UGC,28,0),0),1)</f>
        <v>212</v>
      </c>
      <c r="FO16" s="140">
        <f>SUM($D16:N16)*IF($B16="Operacional",IFERROR(VLOOKUP($C16,SN_UGC,28,0),0),1)</f>
        <v>212</v>
      </c>
      <c r="FP16" s="140">
        <f>SUM($D16:O16)*IF($B16="Operacional",IFERROR(VLOOKUP($C16,SN_UGC,28,0),0),1)</f>
        <v>212</v>
      </c>
      <c r="FQ16" s="140">
        <f>SUM($D16:P16)*IF($B16="Operacional",IFERROR(VLOOKUP($C16,SN_UGC,28,0),0),1)</f>
        <v>212</v>
      </c>
      <c r="FR16" s="140">
        <f>SUM($D16:Q16)*IF($B16="Operacional",IFERROR(VLOOKUP($C16,SN_UGC,28,0),0),1)</f>
        <v>212</v>
      </c>
      <c r="FS16" s="140">
        <f>SUM($D16:R16)*IF($B16="Operacional",IFERROR(VLOOKUP($C16,SN_UGC,28,0),0),1)</f>
        <v>212</v>
      </c>
      <c r="FT16" s="140">
        <f>SUM($D16:S16)*IF($B16="Operacional",IFERROR(VLOOKUP($C16,SN_UGC,28,0),0),1)</f>
        <v>212</v>
      </c>
      <c r="FU16" s="140">
        <f>SUM($D16:T16)*IF($B16="Operacional",IFERROR(VLOOKUP($C16,SN_UGC,28,0),0),1)</f>
        <v>212</v>
      </c>
      <c r="FV16" s="140">
        <f>SUM($D16:U16)*IF($B16="Operacional",IFERROR(VLOOKUP($C16,SN_UGC,28,0),0),1)</f>
        <v>212</v>
      </c>
      <c r="FW16" s="140">
        <f>SUM($D16:V16)*IF($B16="Operacional",IFERROR(VLOOKUP($C16,SN_UGC,28,0),0),1)</f>
        <v>212</v>
      </c>
      <c r="FX16" s="140">
        <f>SUM($D16:W16)*IF($B16="Operacional",IFERROR(VLOOKUP($C16,SN_UGC,28,0),0),1)</f>
        <v>212</v>
      </c>
      <c r="FY16" s="140">
        <f>SUM($D16:X16)*IF($B16="Operacional",IFERROR(VLOOKUP($C16,SN_UGC,28,0),0),1)</f>
        <v>212</v>
      </c>
      <c r="FZ16" s="140">
        <f>SUM($D16:Y16)*IF($B16="Operacional",IFERROR(VLOOKUP($C16,SN_UGC,28,0),0),1)</f>
        <v>212</v>
      </c>
      <c r="GA16" s="140">
        <f>SUM($D16:Z16)*IF($B16="Operacional",IFERROR(VLOOKUP($C16,SN_UGC,28,0),0),1)</f>
        <v>212</v>
      </c>
      <c r="GB16" s="140">
        <f>SUM($D16:AA16)*IF($B16="Operacional",IFERROR(VLOOKUP($C16,SN_UGC,28,0),0),1)</f>
        <v>212</v>
      </c>
      <c r="GC16" s="140">
        <f>SUM($D16:AB16)*IF($B16="Operacional",IFERROR(VLOOKUP($C16,SN_UGC,28,0),0),1)</f>
        <v>212</v>
      </c>
      <c r="GD16" s="140">
        <f>SUM($D16:AC16)*IF($B16="Operacional",IFERROR(VLOOKUP($C16,SN_UGC,28,0),0),1)</f>
        <v>212</v>
      </c>
      <c r="GE16" s="140">
        <f>SUM($D16:AD16)*IF($B16="Operacional",IFERROR(VLOOKUP($C16,SN_UGC,28,0),0),1)</f>
        <v>212</v>
      </c>
      <c r="GF16" s="140">
        <f>SUM($D16:AE16)*IF($B16="Operacional",IFERROR(VLOOKUP($C16,SN_UGC,28,0),0),1)</f>
        <v>212</v>
      </c>
      <c r="GG16" s="140">
        <f>SUM($D16:AF16)*IF($B16="Operacional",IFERROR(VLOOKUP($C16,SN_UGC,28,0),0),1)</f>
        <v>212</v>
      </c>
      <c r="GH16" s="140">
        <f>SUM($D16:AG16)*IF($B16="Operacional",IFERROR(VLOOKUP($C16,SN_UGC,28,0),0),1)</f>
        <v>212</v>
      </c>
      <c r="GI16" s="141">
        <f t="shared" ref="GI16:HL16" si="79">FE16*$AH16*$AL16</f>
        <v>25149.454000000002</v>
      </c>
      <c r="GJ16" s="141">
        <f t="shared" si="79"/>
        <v>25149.454000000002</v>
      </c>
      <c r="GK16" s="141">
        <f t="shared" si="79"/>
        <v>25149.454000000002</v>
      </c>
      <c r="GL16" s="141">
        <f t="shared" si="79"/>
        <v>25149.454000000002</v>
      </c>
      <c r="GM16" s="141">
        <f t="shared" si="79"/>
        <v>25149.454000000002</v>
      </c>
      <c r="GN16" s="141">
        <f t="shared" si="79"/>
        <v>25149.454000000002</v>
      </c>
      <c r="GO16" s="141">
        <f t="shared" si="79"/>
        <v>25149.454000000002</v>
      </c>
      <c r="GP16" s="141">
        <f t="shared" si="79"/>
        <v>25149.454000000002</v>
      </c>
      <c r="GQ16" s="141">
        <f t="shared" si="79"/>
        <v>25149.454000000002</v>
      </c>
      <c r="GR16" s="141">
        <f t="shared" si="79"/>
        <v>25149.454000000002</v>
      </c>
      <c r="GS16" s="141">
        <f t="shared" si="79"/>
        <v>25149.454000000002</v>
      </c>
      <c r="GT16" s="141">
        <f t="shared" si="79"/>
        <v>25149.454000000002</v>
      </c>
      <c r="GU16" s="141">
        <f t="shared" si="79"/>
        <v>25149.454000000002</v>
      </c>
      <c r="GV16" s="141">
        <f t="shared" si="79"/>
        <v>25149.454000000002</v>
      </c>
      <c r="GW16" s="141">
        <f t="shared" si="79"/>
        <v>25149.454000000002</v>
      </c>
      <c r="GX16" s="141">
        <f t="shared" si="79"/>
        <v>25149.454000000002</v>
      </c>
      <c r="GY16" s="141">
        <f t="shared" si="79"/>
        <v>25149.454000000002</v>
      </c>
      <c r="GZ16" s="141">
        <f t="shared" si="79"/>
        <v>25149.454000000002</v>
      </c>
      <c r="HA16" s="141">
        <f t="shared" si="79"/>
        <v>25149.454000000002</v>
      </c>
      <c r="HB16" s="141">
        <f t="shared" si="79"/>
        <v>25149.454000000002</v>
      </c>
      <c r="HC16" s="141">
        <f t="shared" si="79"/>
        <v>25149.454000000002</v>
      </c>
      <c r="HD16" s="141">
        <f t="shared" si="79"/>
        <v>25149.454000000002</v>
      </c>
      <c r="HE16" s="141">
        <f t="shared" si="79"/>
        <v>25149.454000000002</v>
      </c>
      <c r="HF16" s="141">
        <f t="shared" si="79"/>
        <v>25149.454000000002</v>
      </c>
      <c r="HG16" s="141">
        <f t="shared" si="79"/>
        <v>25149.454000000002</v>
      </c>
      <c r="HH16" s="141">
        <f t="shared" si="79"/>
        <v>25149.454000000002</v>
      </c>
      <c r="HI16" s="141">
        <f t="shared" si="79"/>
        <v>25149.454000000002</v>
      </c>
      <c r="HJ16" s="141">
        <f t="shared" si="79"/>
        <v>25149.454000000002</v>
      </c>
      <c r="HK16" s="141">
        <f t="shared" si="79"/>
        <v>25149.454000000002</v>
      </c>
      <c r="HL16" s="141">
        <f t="shared" si="79"/>
        <v>25149.454000000002</v>
      </c>
      <c r="HM16" s="142">
        <f t="shared" ref="HM16:IP16" si="80">IF(ISBLANK($A16),,FE16*($AH16-($AH16*$AJ16))/$AI16)</f>
        <v>16766.302666666666</v>
      </c>
      <c r="HN16" s="142">
        <f t="shared" si="80"/>
        <v>16766.302666666666</v>
      </c>
      <c r="HO16" s="142">
        <f t="shared" si="80"/>
        <v>16766.302666666666</v>
      </c>
      <c r="HP16" s="142">
        <f t="shared" si="80"/>
        <v>16766.302666666666</v>
      </c>
      <c r="HQ16" s="142">
        <f t="shared" si="80"/>
        <v>16766.302666666666</v>
      </c>
      <c r="HR16" s="142">
        <f t="shared" si="80"/>
        <v>16766.302666666666</v>
      </c>
      <c r="HS16" s="142">
        <f t="shared" si="80"/>
        <v>16766.302666666666</v>
      </c>
      <c r="HT16" s="142">
        <f t="shared" si="80"/>
        <v>16766.302666666666</v>
      </c>
      <c r="HU16" s="142">
        <f t="shared" si="80"/>
        <v>16766.302666666666</v>
      </c>
      <c r="HV16" s="142">
        <f t="shared" si="80"/>
        <v>16766.302666666666</v>
      </c>
      <c r="HW16" s="142">
        <f t="shared" si="80"/>
        <v>16766.302666666666</v>
      </c>
      <c r="HX16" s="142">
        <f t="shared" si="80"/>
        <v>16766.302666666666</v>
      </c>
      <c r="HY16" s="142">
        <f t="shared" si="80"/>
        <v>16766.302666666666</v>
      </c>
      <c r="HZ16" s="142">
        <f t="shared" si="80"/>
        <v>16766.302666666666</v>
      </c>
      <c r="IA16" s="142">
        <f t="shared" si="80"/>
        <v>16766.302666666666</v>
      </c>
      <c r="IB16" s="142">
        <f t="shared" si="80"/>
        <v>16766.302666666666</v>
      </c>
      <c r="IC16" s="142">
        <f t="shared" si="80"/>
        <v>16766.302666666666</v>
      </c>
      <c r="ID16" s="142">
        <f t="shared" si="80"/>
        <v>16766.302666666666</v>
      </c>
      <c r="IE16" s="142">
        <f t="shared" si="80"/>
        <v>16766.302666666666</v>
      </c>
      <c r="IF16" s="142">
        <f t="shared" si="80"/>
        <v>16766.302666666666</v>
      </c>
      <c r="IG16" s="142">
        <f t="shared" si="80"/>
        <v>16766.302666666666</v>
      </c>
      <c r="IH16" s="142">
        <f t="shared" si="80"/>
        <v>16766.302666666666</v>
      </c>
      <c r="II16" s="142">
        <f t="shared" si="80"/>
        <v>16766.302666666666</v>
      </c>
      <c r="IJ16" s="142">
        <f t="shared" si="80"/>
        <v>16766.302666666666</v>
      </c>
      <c r="IK16" s="142">
        <f t="shared" si="80"/>
        <v>16766.302666666666</v>
      </c>
      <c r="IL16" s="142">
        <f t="shared" si="80"/>
        <v>16766.302666666666</v>
      </c>
      <c r="IM16" s="142">
        <f t="shared" si="80"/>
        <v>16766.302666666666</v>
      </c>
      <c r="IN16" s="142">
        <f t="shared" si="80"/>
        <v>16766.302666666666</v>
      </c>
      <c r="IO16" s="142">
        <f t="shared" si="80"/>
        <v>16766.302666666666</v>
      </c>
      <c r="IP16" s="142">
        <f t="shared" si="80"/>
        <v>16766.302666666666</v>
      </c>
      <c r="IQ16" s="141">
        <f>IF(ISBLANK($A16),,IF($AN16="Não",0,(SUM($AO16:AO16)*$AH16)-SUM($HM16:HM16)-SUM($CW16:CW16)))</f>
        <v>0</v>
      </c>
      <c r="IR16" s="141">
        <f>IF(ISBLANK($A16),,IF($AN16="Não",0,(SUM($AO16:AP16)*$AH16)-SUM($HM16:HN16)-SUM($CW16:CX16)))</f>
        <v>0</v>
      </c>
      <c r="IS16" s="141">
        <f>IF(ISBLANK($A16),,IF($AN16="Não",0,(SUM($AO16:AQ16)*$AH16)-SUM($HM16:HO16)-SUM($CW16:CY16)))</f>
        <v>0</v>
      </c>
      <c r="IT16" s="141">
        <f>IF(ISBLANK($A16),,IF($AN16="Não",0,(SUM($AO16:AR16)*$AH16)-SUM($HM16:HP16)-SUM($CW16:CZ16)))</f>
        <v>0</v>
      </c>
      <c r="IU16" s="141">
        <f>IF(ISBLANK($A16),,IF($AN16="Não",0,(SUM($AO16:AS16)*$AH16)-SUM($HM16:HQ16)-SUM($CW16:DA16)))</f>
        <v>0</v>
      </c>
      <c r="IV16" s="141">
        <f>IF(ISBLANK($A16),,IF($AN16="Não",0,(SUM($AO16:AT16)*$AH16)-SUM($HM16:HR16)-SUM($CW16:DB16)))</f>
        <v>0</v>
      </c>
      <c r="IW16" s="141">
        <f>IF(ISBLANK($A16),,IF($AN16="Não",0,(SUM($AO16:AU16)*$AH16)-SUM($HM16:HS16)-SUM($CW16:DC16)))</f>
        <v>0</v>
      </c>
      <c r="IX16" s="141">
        <f>IF(ISBLANK($A16),,IF($AN16="Não",0,(SUM($AO16:AV16)*$AH16)-SUM($HM16:HT16)-SUM($CW16:DD16)))</f>
        <v>0</v>
      </c>
      <c r="IY16" s="141">
        <f>IF(ISBLANK($A16),,IF($AN16="Não",0,(SUM($AO16:AW16)*$AH16)-SUM($HM16:HU16)-SUM($CW16:DE16)))</f>
        <v>0</v>
      </c>
      <c r="IZ16" s="141">
        <f>IF(ISBLANK($A16),,IF($AN16="Não",0,(SUM($AO16:AX16)*$AH16)-SUM($HM16:HV16)-SUM($CW16:DF16)))</f>
        <v>0</v>
      </c>
      <c r="JA16" s="141">
        <f>IF(ISBLANK($A16),,IF($AN16="Não",0,(SUM($AO16:AY16)*$AH16)-SUM($HM16:HW16)-SUM($CW16:DG16)))</f>
        <v>0</v>
      </c>
      <c r="JB16" s="141">
        <f>IF(ISBLANK($A16),,IF($AN16="Não",0,(SUM($AO16:AZ16)*$AH16)-SUM($HM16:HX16)-SUM($CW16:DH16)))</f>
        <v>0</v>
      </c>
      <c r="JC16" s="141">
        <f>IF(ISBLANK($A16),,IF($AN16="Não",0,(SUM($AO16:BA16)*$AH16)-SUM($HM16:HY16)-SUM($CW16:DI16)))</f>
        <v>0</v>
      </c>
      <c r="JD16" s="141">
        <f>IF(ISBLANK($A16),,IF($AN16="Não",0,(SUM($AO16:BB16)*$AH16)-SUM($HM16:HZ16)-SUM($CW16:DJ16)))</f>
        <v>0</v>
      </c>
      <c r="JE16" s="141">
        <f>IF(ISBLANK($A16),,IF($AN16="Não",0,(SUM($AO16:BC16)*$AH16)-SUM($HM16:IA16)-SUM($CW16:DK16)))</f>
        <v>0</v>
      </c>
      <c r="JF16" s="141">
        <f>IF(ISBLANK($A16),,IF($AN16="Não",0,(SUM($AO16:BD16)*$AH16)-SUM($HM16:IB16)-SUM($CW16:DL16)))</f>
        <v>0</v>
      </c>
      <c r="JG16" s="141">
        <f>IF(ISBLANK($A16),,IF($AN16="Não",0,(SUM($AO16:BE16)*$AH16)-SUM($HM16:IC16)-SUM($CW16:DM16)))</f>
        <v>0</v>
      </c>
      <c r="JH16" s="141">
        <f>IF(ISBLANK($A16),,IF($AN16="Não",0,(SUM($AO16:BF16)*$AH16)-SUM($HM16:ID16)-SUM($CW16:DN16)))</f>
        <v>0</v>
      </c>
      <c r="JI16" s="141">
        <f>IF(ISBLANK($A16),,IF($AN16="Não",0,(SUM($AO16:BG16)*$AH16)-SUM($HM16:IE16)-SUM($CW16:DO16)))</f>
        <v>0</v>
      </c>
      <c r="JJ16" s="141">
        <f>IF(ISBLANK($A16),,IF($AN16="Não",0,(SUM($AO16:BH16)*$AH16)-SUM($HM16:IF16)-SUM($CW16:DP16)))</f>
        <v>0</v>
      </c>
      <c r="JK16" s="141">
        <f>IF(ISBLANK($A16),,IF($AN16="Não",0,(SUM($AO16:BI16)*$AH16)-SUM($HM16:IG16)-SUM($CW16:DQ16)))</f>
        <v>0</v>
      </c>
      <c r="JL16" s="141">
        <f>IF(ISBLANK($A16),,IF($AN16="Não",0,(SUM($AO16:BJ16)*$AH16)-SUM($HM16:IH16)-SUM($CW16:DR16)))</f>
        <v>0</v>
      </c>
      <c r="JM16" s="141">
        <f>IF(ISBLANK($A16),,IF($AN16="Não",0,(SUM($AO16:BK16)*$AH16)-SUM($HM16:II16)-SUM($CW16:DS16)))</f>
        <v>0</v>
      </c>
      <c r="JN16" s="141">
        <f>IF(ISBLANK($A16),,IF($AN16="Não",0,(SUM($AO16:BL16)*$AH16)-SUM($HM16:IJ16)-SUM($CW16:DT16)))</f>
        <v>0</v>
      </c>
      <c r="JO16" s="141">
        <f>IF(ISBLANK($A16),,IF($AN16="Não",0,(SUM($AO16:BM16)*$AH16)-SUM($HM16:IK16)-SUM($CW16:DU16)))</f>
        <v>0</v>
      </c>
      <c r="JP16" s="141">
        <f>IF(ISBLANK($A16),,IF($AN16="Não",0,(SUM($AO16:BN16)*$AH16)-SUM($HM16:IL16)-SUM($CW16:DV16)))</f>
        <v>0</v>
      </c>
      <c r="JQ16" s="141">
        <f>IF(ISBLANK($A16),,IF($AN16="Não",0,(SUM($AO16:BO16)*$AH16)-SUM($HM16:IM16)-SUM($CW16:DW16)))</f>
        <v>0</v>
      </c>
      <c r="JR16" s="141">
        <f>IF(ISBLANK($A16),,IF($AN16="Não",0,(SUM($AO16:BP16)*$AH16)-SUM($HM16:IN16)-SUM($CW16:DX16)))</f>
        <v>0</v>
      </c>
      <c r="JS16" s="141">
        <f>IF(ISBLANK($A16),,IF($AN16="Não",0,(SUM($AO16:BQ16)*$AH16)-SUM($HM16:IO16)-SUM($CW16:DY16)))</f>
        <v>0</v>
      </c>
      <c r="JT16" s="141">
        <f>IF(ISBLANK($A16),,IF($AN16="Não",0,(SUM($AO16:BR16)*$AH16)-SUM($HM16:IP16)-SUM($CW16:DZ16)))</f>
        <v>0</v>
      </c>
    </row>
    <row r="17" spans="1:280" ht="15.75" customHeight="1">
      <c r="A17" s="129" t="s">
        <v>352</v>
      </c>
      <c r="B17" s="129" t="s">
        <v>209</v>
      </c>
      <c r="C17" s="138" t="s">
        <v>79</v>
      </c>
      <c r="D17" s="139">
        <v>502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607">
        <f t="shared" si="0"/>
        <v>2372.59</v>
      </c>
      <c r="AI17" s="608">
        <f t="shared" si="1"/>
        <v>30</v>
      </c>
      <c r="AJ17" s="609">
        <f t="shared" si="2"/>
        <v>0</v>
      </c>
      <c r="AK17" s="610" t="str">
        <f t="shared" si="3"/>
        <v>Edificações</v>
      </c>
      <c r="AL17" s="609">
        <f t="shared" si="4"/>
        <v>0.05</v>
      </c>
      <c r="AM17" s="611" t="str">
        <f t="shared" si="5"/>
        <v>Sim</v>
      </c>
      <c r="AN17" s="611" t="str">
        <f t="shared" si="6"/>
        <v>Não</v>
      </c>
      <c r="AO17" s="140">
        <f t="array" ref="AO17">IF(ISBLANK($A17),0,IF(OR(AO$5-$AI17&lt;=0,$AM17="Não"),D17,D17+INDEX($AO$6:$BR$176,ROW()-5,COLUMN()-40-$AI17)))*IF($B17="Operacional",IFERROR(VLOOKUP($C17,SN_UGC,28,0),0),1)</f>
        <v>502</v>
      </c>
      <c r="AP17" s="140">
        <f t="array" ref="AP17">IF(ISBLANK($A17),0,IF(OR(AP$5-$AI17&lt;=0,$AM17="Não"),E17,E17+INDEX($AO$6:$BR$176,ROW()-5,COLUMN()-40-$AI17)))*IF($B17="Operacional",IFERROR(VLOOKUP($C17,SN_UGC,28,0),0),1)</f>
        <v>0</v>
      </c>
      <c r="AQ17" s="140">
        <f t="array" ref="AQ17">IF(ISBLANK($A17),0,IF(OR(AQ$5-$AI17&lt;=0,$AM17="Não"),F17,F17+INDEX($AO$6:$BR$176,ROW()-5,COLUMN()-40-$AI17)))*IF($B17="Operacional",IFERROR(VLOOKUP($C17,SN_UGC,28,0),0),1)</f>
        <v>0</v>
      </c>
      <c r="AR17" s="140">
        <f t="array" ref="AR17">IF(ISBLANK($A17),0,IF(OR(AR$5-$AI17&lt;=0,$AM17="Não"),G17,G17+INDEX($AO$6:$BR$176,ROW()-5,COLUMN()-40-$AI17)))*IF($B17="Operacional",IFERROR(VLOOKUP($C17,SN_UGC,28,0),0),1)</f>
        <v>0</v>
      </c>
      <c r="AS17" s="140">
        <f t="array" ref="AS17">IF(ISBLANK($A17),0,IF(OR(AS$5-$AI17&lt;=0,$AM17="Não"),H17,H17+INDEX($AO$6:$BR$176,ROW()-5,COLUMN()-40-$AI17)))*IF($B17="Operacional",IFERROR(VLOOKUP($C17,SN_UGC,28,0),0),1)</f>
        <v>0</v>
      </c>
      <c r="AT17" s="140">
        <f t="array" ref="AT17">IF(ISBLANK($A17),0,IF(OR(AT$5-$AI17&lt;=0,$AM17="Não"),I17,I17+INDEX($AO$6:$BR$176,ROW()-5,COLUMN()-40-$AI17)))*IF($B17="Operacional",IFERROR(VLOOKUP($C17,SN_UGC,28,0),0),1)</f>
        <v>0</v>
      </c>
      <c r="AU17" s="140">
        <f t="array" ref="AU17">IF(ISBLANK($A17),0,IF(OR(AU$5-$AI17&lt;=0,$AM17="Não"),J17,J17+INDEX($AO$6:$BR$176,ROW()-5,COLUMN()-40-$AI17)))*IF($B17="Operacional",IFERROR(VLOOKUP($C17,SN_UGC,28,0),0),1)</f>
        <v>0</v>
      </c>
      <c r="AV17" s="140">
        <f t="array" ref="AV17">IF(ISBLANK($A17),0,IF(OR(AV$5-$AI17&lt;=0,$AM17="Não"),K17,K17+INDEX($AO$6:$BR$176,ROW()-5,COLUMN()-40-$AI17)))*IF($B17="Operacional",IFERROR(VLOOKUP($C17,SN_UGC,28,0),0),1)</f>
        <v>0</v>
      </c>
      <c r="AW17" s="140">
        <f t="array" ref="AW17">IF(ISBLANK($A17),0,IF(OR(AW$5-$AI17&lt;=0,$AM17="Não"),L17,L17+INDEX($AO$6:$BR$176,ROW()-5,COLUMN()-40-$AI17)))*IF($B17="Operacional",IFERROR(VLOOKUP($C17,SN_UGC,28,0),0),1)</f>
        <v>0</v>
      </c>
      <c r="AX17" s="140">
        <f t="array" ref="AX17">IF(ISBLANK($A17),0,IF(OR(AX$5-$AI17&lt;=0,$AM17="Não"),M17,M17+INDEX($AO$6:$BR$176,ROW()-5,COLUMN()-40-$AI17)))*IF($B17="Operacional",IFERROR(VLOOKUP($C17,SN_UGC,28,0),0),1)</f>
        <v>0</v>
      </c>
      <c r="AY17" s="140">
        <f t="array" ref="AY17">IF(ISBLANK($A17),0,IF(OR(AY$5-$AI17&lt;=0,$AM17="Não"),N17,N17+INDEX($AO$6:$BR$176,ROW()-5,COLUMN()-40-$AI17)))*IF($B17="Operacional",IFERROR(VLOOKUP($C17,SN_UGC,28,0),0),1)</f>
        <v>0</v>
      </c>
      <c r="AZ17" s="140">
        <f t="array" ref="AZ17">IF(ISBLANK($A17),0,IF(OR(AZ$5-$AI17&lt;=0,$AM17="Não"),O17,O17+INDEX($AO$6:$BR$176,ROW()-5,COLUMN()-40-$AI17)))*IF($B17="Operacional",IFERROR(VLOOKUP($C17,SN_UGC,28,0),0),1)</f>
        <v>0</v>
      </c>
      <c r="BA17" s="140">
        <f t="array" ref="BA17">IF(ISBLANK($A17),0,IF(OR(BA$5-$AI17&lt;=0,$AM17="Não"),P17,P17+INDEX($AO$6:$BR$176,ROW()-5,COLUMN()-40-$AI17)))*IF($B17="Operacional",IFERROR(VLOOKUP($C17,SN_UGC,28,0),0),1)</f>
        <v>0</v>
      </c>
      <c r="BB17" s="140">
        <f t="array" ref="BB17">IF(ISBLANK($A17),0,IF(OR(BB$5-$AI17&lt;=0,$AM17="Não"),Q17,Q17+INDEX($AO$6:$BR$176,ROW()-5,COLUMN()-40-$AI17)))*IF($B17="Operacional",IFERROR(VLOOKUP($C17,SN_UGC,28,0),0),1)</f>
        <v>0</v>
      </c>
      <c r="BC17" s="140">
        <f t="array" ref="BC17">IF(ISBLANK($A17),0,IF(OR(BC$5-$AI17&lt;=0,$AM17="Não"),R17,R17+INDEX($AO$6:$BR$176,ROW()-5,COLUMN()-40-$AI17)))*IF($B17="Operacional",IFERROR(VLOOKUP($C17,SN_UGC,28,0),0),1)</f>
        <v>0</v>
      </c>
      <c r="BD17" s="140">
        <f t="array" ref="BD17">IF(ISBLANK($A17),0,IF(OR(BD$5-$AI17&lt;=0,$AM17="Não"),S17,S17+INDEX($AO$6:$BR$176,ROW()-5,COLUMN()-40-$AI17)))*IF($B17="Operacional",IFERROR(VLOOKUP($C17,SN_UGC,28,0),0),1)</f>
        <v>0</v>
      </c>
      <c r="BE17" s="140">
        <f t="array" ref="BE17">IF(ISBLANK($A17),0,IF(OR(BE$5-$AI17&lt;=0,$AM17="Não"),T17,T17+INDEX($AO$6:$BR$176,ROW()-5,COLUMN()-40-$AI17)))*IF($B17="Operacional",IFERROR(VLOOKUP($C17,SN_UGC,28,0),0),1)</f>
        <v>0</v>
      </c>
      <c r="BF17" s="140">
        <f t="array" ref="BF17">IF(ISBLANK($A17),0,IF(OR(BF$5-$AI17&lt;=0,$AM17="Não"),U17,U17+INDEX($AO$6:$BR$176,ROW()-5,COLUMN()-40-$AI17)))*IF($B17="Operacional",IFERROR(VLOOKUP($C17,SN_UGC,28,0),0),1)</f>
        <v>0</v>
      </c>
      <c r="BG17" s="140">
        <f t="array" ref="BG17">IF(ISBLANK($A17),0,IF(OR(BG$5-$AI17&lt;=0,$AM17="Não"),V17,V17+INDEX($AO$6:$BR$176,ROW()-5,COLUMN()-40-$AI17)))*IF($B17="Operacional",IFERROR(VLOOKUP($C17,SN_UGC,28,0),0),1)</f>
        <v>0</v>
      </c>
      <c r="BH17" s="140">
        <f t="array" ref="BH17">IF(ISBLANK($A17),0,IF(OR(BH$5-$AI17&lt;=0,$AM17="Não"),W17,W17+INDEX($AO$6:$BR$176,ROW()-5,COLUMN()-40-$AI17)))*IF($B17="Operacional",IFERROR(VLOOKUP($C17,SN_UGC,28,0),0),1)</f>
        <v>0</v>
      </c>
      <c r="BI17" s="140">
        <f t="array" ref="BI17">IF(ISBLANK($A17),0,IF(OR(BI$5-$AI17&lt;=0,$AM17="Não"),X17,X17+INDEX($AO$6:$BR$176,ROW()-5,COLUMN()-40-$AI17)))*IF($B17="Operacional",IFERROR(VLOOKUP($C17,SN_UGC,28,0),0),1)</f>
        <v>0</v>
      </c>
      <c r="BJ17" s="140">
        <f t="array" ref="BJ17">IF(ISBLANK($A17),0,IF(OR(BJ$5-$AI17&lt;=0,$AM17="Não"),Y17,Y17+INDEX($AO$6:$BR$176,ROW()-5,COLUMN()-40-$AI17)))*IF($B17="Operacional",IFERROR(VLOOKUP($C17,SN_UGC,28,0),0),1)</f>
        <v>0</v>
      </c>
      <c r="BK17" s="140">
        <f t="array" ref="BK17">IF(ISBLANK($A17),0,IF(OR(BK$5-$AI17&lt;=0,$AM17="Não"),Z17,Z17+INDEX($AO$6:$BR$176,ROW()-5,COLUMN()-40-$AI17)))*IF($B17="Operacional",IFERROR(VLOOKUP($C17,SN_UGC,28,0),0),1)</f>
        <v>0</v>
      </c>
      <c r="BL17" s="140">
        <f t="array" ref="BL17">IF(ISBLANK($A17),0,IF(OR(BL$5-$AI17&lt;=0,$AM17="Não"),AA17,AA17+INDEX($AO$6:$BR$176,ROW()-5,COLUMN()-40-$AI17)))*IF($B17="Operacional",IFERROR(VLOOKUP($C17,SN_UGC,28,0),0),1)</f>
        <v>0</v>
      </c>
      <c r="BM17" s="140">
        <f t="array" ref="BM17">IF(ISBLANK($A17),0,IF(OR(BM$5-$AI17&lt;=0,$AM17="Não"),AB17,AB17+INDEX($AO$6:$BR$176,ROW()-5,COLUMN()-40-$AI17)))*IF($B17="Operacional",IFERROR(VLOOKUP($C17,SN_UGC,28,0),0),1)</f>
        <v>0</v>
      </c>
      <c r="BN17" s="140">
        <f t="array" ref="BN17">IF(ISBLANK($A17),0,IF(OR(BN$5-$AI17&lt;=0,$AM17="Não"),AC17,AC17+INDEX($AO$6:$BR$176,ROW()-5,COLUMN()-40-$AI17)))*IF($B17="Operacional",IFERROR(VLOOKUP($C17,SN_UGC,28,0),0),1)</f>
        <v>0</v>
      </c>
      <c r="BO17" s="140">
        <f t="array" ref="BO17">IF(ISBLANK($A17),0,IF(OR(BO$5-$AI17&lt;=0,$AM17="Não"),AD17,AD17+INDEX($AO$6:$BR$176,ROW()-5,COLUMN()-40-$AI17)))*IF($B17="Operacional",IFERROR(VLOOKUP($C17,SN_UGC,28,0),0),1)</f>
        <v>0</v>
      </c>
      <c r="BP17" s="140">
        <f t="array" ref="BP17">IF(ISBLANK($A17),0,IF(OR(BP$5-$AI17&lt;=0,$AM17="Não"),AE17,AE17+INDEX($AO$6:$BR$176,ROW()-5,COLUMN()-40-$AI17)))*IF($B17="Operacional",IFERROR(VLOOKUP($C17,SN_UGC,28,0),0),1)</f>
        <v>0</v>
      </c>
      <c r="BQ17" s="140">
        <f t="array" ref="BQ17">IF(ISBLANK($A17),0,IF(OR(BQ$5-$AI17&lt;=0,$AM17="Não"),AF17,AF17+INDEX($AO$6:$BR$176,ROW()-5,COLUMN()-40-$AI17)))*IF($B17="Operacional",IFERROR(VLOOKUP($C17,SN_UGC,28,0),0),1)</f>
        <v>0</v>
      </c>
      <c r="BR17" s="140">
        <f t="array" ref="BR17">IF(ISBLANK($A17),0,IF(OR(BR$5-$AI17&lt;=0,$AM17="Não"),AG17,AG17+INDEX($AO$6:$BR$176,ROW()-5,COLUMN()-40-$AI17)))*IF($B17="Operacional",IFERROR(VLOOKUP($C17,SN_UGC,28,0),0),1)</f>
        <v>0</v>
      </c>
      <c r="BS17" s="141">
        <f t="shared" ref="BS17:CV17" si="81">IF(ISBLANK($A17),0,$AH17*AO17)</f>
        <v>1191040.1800000002</v>
      </c>
      <c r="BT17" s="141">
        <f t="shared" si="81"/>
        <v>0</v>
      </c>
      <c r="BU17" s="141">
        <f t="shared" si="81"/>
        <v>0</v>
      </c>
      <c r="BV17" s="141">
        <f t="shared" si="81"/>
        <v>0</v>
      </c>
      <c r="BW17" s="141">
        <f t="shared" si="81"/>
        <v>0</v>
      </c>
      <c r="BX17" s="141">
        <f t="shared" si="81"/>
        <v>0</v>
      </c>
      <c r="BY17" s="141">
        <f t="shared" si="81"/>
        <v>0</v>
      </c>
      <c r="BZ17" s="141">
        <f t="shared" si="81"/>
        <v>0</v>
      </c>
      <c r="CA17" s="141">
        <f t="shared" si="81"/>
        <v>0</v>
      </c>
      <c r="CB17" s="141">
        <f t="shared" si="81"/>
        <v>0</v>
      </c>
      <c r="CC17" s="141">
        <f t="shared" si="81"/>
        <v>0</v>
      </c>
      <c r="CD17" s="141">
        <f t="shared" si="81"/>
        <v>0</v>
      </c>
      <c r="CE17" s="141">
        <f t="shared" si="81"/>
        <v>0</v>
      </c>
      <c r="CF17" s="141">
        <f t="shared" si="81"/>
        <v>0</v>
      </c>
      <c r="CG17" s="141">
        <f t="shared" si="81"/>
        <v>0</v>
      </c>
      <c r="CH17" s="141">
        <f t="shared" si="81"/>
        <v>0</v>
      </c>
      <c r="CI17" s="141">
        <f t="shared" si="81"/>
        <v>0</v>
      </c>
      <c r="CJ17" s="141">
        <f t="shared" si="81"/>
        <v>0</v>
      </c>
      <c r="CK17" s="141">
        <f t="shared" si="81"/>
        <v>0</v>
      </c>
      <c r="CL17" s="141">
        <f t="shared" si="81"/>
        <v>0</v>
      </c>
      <c r="CM17" s="141">
        <f t="shared" si="81"/>
        <v>0</v>
      </c>
      <c r="CN17" s="141">
        <f t="shared" si="81"/>
        <v>0</v>
      </c>
      <c r="CO17" s="141">
        <f t="shared" si="81"/>
        <v>0</v>
      </c>
      <c r="CP17" s="141">
        <f t="shared" si="81"/>
        <v>0</v>
      </c>
      <c r="CQ17" s="141">
        <f t="shared" si="81"/>
        <v>0</v>
      </c>
      <c r="CR17" s="141">
        <f t="shared" si="81"/>
        <v>0</v>
      </c>
      <c r="CS17" s="141">
        <f t="shared" si="81"/>
        <v>0</v>
      </c>
      <c r="CT17" s="141">
        <f t="shared" si="81"/>
        <v>0</v>
      </c>
      <c r="CU17" s="141">
        <f t="shared" si="81"/>
        <v>0</v>
      </c>
      <c r="CV17" s="141">
        <f t="shared" si="81"/>
        <v>0</v>
      </c>
      <c r="CW17" s="142">
        <f t="shared" ref="CW17:DZ17" si="82">EA17*$AH17*$AJ17</f>
        <v>0</v>
      </c>
      <c r="CX17" s="142">
        <f t="shared" si="82"/>
        <v>0</v>
      </c>
      <c r="CY17" s="142">
        <f t="shared" si="82"/>
        <v>0</v>
      </c>
      <c r="CZ17" s="142">
        <f t="shared" si="82"/>
        <v>0</v>
      </c>
      <c r="DA17" s="142">
        <f t="shared" si="82"/>
        <v>0</v>
      </c>
      <c r="DB17" s="142">
        <f t="shared" si="82"/>
        <v>0</v>
      </c>
      <c r="DC17" s="142">
        <f t="shared" si="82"/>
        <v>0</v>
      </c>
      <c r="DD17" s="142">
        <f t="shared" si="82"/>
        <v>0</v>
      </c>
      <c r="DE17" s="142">
        <f t="shared" si="82"/>
        <v>0</v>
      </c>
      <c r="DF17" s="142">
        <f t="shared" si="82"/>
        <v>0</v>
      </c>
      <c r="DG17" s="142">
        <f t="shared" si="82"/>
        <v>0</v>
      </c>
      <c r="DH17" s="142">
        <f t="shared" si="82"/>
        <v>0</v>
      </c>
      <c r="DI17" s="142">
        <f t="shared" si="82"/>
        <v>0</v>
      </c>
      <c r="DJ17" s="142">
        <f t="shared" si="82"/>
        <v>0</v>
      </c>
      <c r="DK17" s="142">
        <f t="shared" si="82"/>
        <v>0</v>
      </c>
      <c r="DL17" s="142">
        <f t="shared" si="82"/>
        <v>0</v>
      </c>
      <c r="DM17" s="142">
        <f t="shared" si="82"/>
        <v>0</v>
      </c>
      <c r="DN17" s="142">
        <f t="shared" si="82"/>
        <v>0</v>
      </c>
      <c r="DO17" s="142">
        <f t="shared" si="82"/>
        <v>0</v>
      </c>
      <c r="DP17" s="142">
        <f t="shared" si="82"/>
        <v>0</v>
      </c>
      <c r="DQ17" s="142">
        <f t="shared" si="82"/>
        <v>0</v>
      </c>
      <c r="DR17" s="142">
        <f t="shared" si="82"/>
        <v>0</v>
      </c>
      <c r="DS17" s="142">
        <f t="shared" si="82"/>
        <v>0</v>
      </c>
      <c r="DT17" s="142">
        <f t="shared" si="82"/>
        <v>0</v>
      </c>
      <c r="DU17" s="142">
        <f t="shared" si="82"/>
        <v>0</v>
      </c>
      <c r="DV17" s="142">
        <f t="shared" si="82"/>
        <v>0</v>
      </c>
      <c r="DW17" s="142">
        <f t="shared" si="82"/>
        <v>0</v>
      </c>
      <c r="DX17" s="142">
        <f t="shared" si="82"/>
        <v>0</v>
      </c>
      <c r="DY17" s="142">
        <f t="shared" si="82"/>
        <v>0</v>
      </c>
      <c r="DZ17" s="142">
        <f t="shared" si="82"/>
        <v>0</v>
      </c>
      <c r="EA17" s="143">
        <f t="shared" si="9"/>
        <v>0</v>
      </c>
      <c r="EB17" s="143">
        <f t="shared" si="10"/>
        <v>0</v>
      </c>
      <c r="EC17" s="143">
        <f t="shared" si="11"/>
        <v>0</v>
      </c>
      <c r="ED17" s="143">
        <f t="shared" si="12"/>
        <v>0</v>
      </c>
      <c r="EE17" s="143">
        <f t="shared" si="13"/>
        <v>0</v>
      </c>
      <c r="EF17" s="143">
        <f t="shared" si="14"/>
        <v>0</v>
      </c>
      <c r="EG17" s="143">
        <f t="shared" si="15"/>
        <v>0</v>
      </c>
      <c r="EH17" s="143">
        <f t="shared" si="16"/>
        <v>0</v>
      </c>
      <c r="EI17" s="143">
        <f t="shared" si="17"/>
        <v>0</v>
      </c>
      <c r="EJ17" s="143">
        <f t="shared" si="18"/>
        <v>0</v>
      </c>
      <c r="EK17" s="143">
        <f t="shared" si="19"/>
        <v>0</v>
      </c>
      <c r="EL17" s="143">
        <f t="shared" si="20"/>
        <v>0</v>
      </c>
      <c r="EM17" s="143">
        <f t="shared" si="21"/>
        <v>0</v>
      </c>
      <c r="EN17" s="143">
        <f t="shared" si="22"/>
        <v>0</v>
      </c>
      <c r="EO17" s="143">
        <f t="shared" si="23"/>
        <v>0</v>
      </c>
      <c r="EP17" s="143">
        <f t="shared" si="24"/>
        <v>0</v>
      </c>
      <c r="EQ17" s="143">
        <f t="shared" si="25"/>
        <v>0</v>
      </c>
      <c r="ER17" s="143">
        <f t="shared" si="26"/>
        <v>0</v>
      </c>
      <c r="ES17" s="143">
        <f t="shared" si="27"/>
        <v>0</v>
      </c>
      <c r="ET17" s="143">
        <f t="shared" si="28"/>
        <v>0</v>
      </c>
      <c r="EU17" s="143">
        <f t="shared" si="29"/>
        <v>0</v>
      </c>
      <c r="EV17" s="143">
        <f t="shared" si="30"/>
        <v>0</v>
      </c>
      <c r="EW17" s="143">
        <f t="shared" si="31"/>
        <v>0</v>
      </c>
      <c r="EX17" s="143">
        <f t="shared" si="32"/>
        <v>0</v>
      </c>
      <c r="EY17" s="143">
        <f t="shared" si="33"/>
        <v>0</v>
      </c>
      <c r="EZ17" s="143">
        <f t="shared" si="34"/>
        <v>0</v>
      </c>
      <c r="FA17" s="143">
        <f t="shared" si="35"/>
        <v>0</v>
      </c>
      <c r="FB17" s="143">
        <f t="shared" si="36"/>
        <v>0</v>
      </c>
      <c r="FC17" s="143">
        <f t="shared" si="37"/>
        <v>0</v>
      </c>
      <c r="FD17" s="143">
        <f t="shared" si="38"/>
        <v>0</v>
      </c>
      <c r="FE17" s="140">
        <f>SUM($D17:D17)*IF($B17="Operacional",IFERROR(VLOOKUP($C17,SN_UGC,28,0),0),1)</f>
        <v>502</v>
      </c>
      <c r="FF17" s="140">
        <f>SUM($D17:E17)*IF($B17="Operacional",IFERROR(VLOOKUP($C17,SN_UGC,28,0),0),1)</f>
        <v>502</v>
      </c>
      <c r="FG17" s="140">
        <f>SUM($D17:F17)*IF($B17="Operacional",IFERROR(VLOOKUP($C17,SN_UGC,28,0),0),1)</f>
        <v>502</v>
      </c>
      <c r="FH17" s="140">
        <f>SUM($D17:G17)*IF($B17="Operacional",IFERROR(VLOOKUP($C17,SN_UGC,28,0),0),1)</f>
        <v>502</v>
      </c>
      <c r="FI17" s="140">
        <f>SUM($D17:H17)*IF($B17="Operacional",IFERROR(VLOOKUP($C17,SN_UGC,28,0),0),1)</f>
        <v>502</v>
      </c>
      <c r="FJ17" s="140">
        <f>SUM($D17:I17)*IF($B17="Operacional",IFERROR(VLOOKUP($C17,SN_UGC,28,0),0),1)</f>
        <v>502</v>
      </c>
      <c r="FK17" s="140">
        <f>SUM($D17:J17)*IF($B17="Operacional",IFERROR(VLOOKUP($C17,SN_UGC,28,0),0),1)</f>
        <v>502</v>
      </c>
      <c r="FL17" s="140">
        <f>SUM($D17:K17)*IF($B17="Operacional",IFERROR(VLOOKUP($C17,SN_UGC,28,0),0),1)</f>
        <v>502</v>
      </c>
      <c r="FM17" s="140">
        <f>SUM($D17:L17)*IF($B17="Operacional",IFERROR(VLOOKUP($C17,SN_UGC,28,0),0),1)</f>
        <v>502</v>
      </c>
      <c r="FN17" s="140">
        <f>SUM($D17:M17)*IF($B17="Operacional",IFERROR(VLOOKUP($C17,SN_UGC,28,0),0),1)</f>
        <v>502</v>
      </c>
      <c r="FO17" s="140">
        <f>SUM($D17:N17)*IF($B17="Operacional",IFERROR(VLOOKUP($C17,SN_UGC,28,0),0),1)</f>
        <v>502</v>
      </c>
      <c r="FP17" s="140">
        <f>SUM($D17:O17)*IF($B17="Operacional",IFERROR(VLOOKUP($C17,SN_UGC,28,0),0),1)</f>
        <v>502</v>
      </c>
      <c r="FQ17" s="140">
        <f>SUM($D17:P17)*IF($B17="Operacional",IFERROR(VLOOKUP($C17,SN_UGC,28,0),0),1)</f>
        <v>502</v>
      </c>
      <c r="FR17" s="140">
        <f>SUM($D17:Q17)*IF($B17="Operacional",IFERROR(VLOOKUP($C17,SN_UGC,28,0),0),1)</f>
        <v>502</v>
      </c>
      <c r="FS17" s="140">
        <f>SUM($D17:R17)*IF($B17="Operacional",IFERROR(VLOOKUP($C17,SN_UGC,28,0),0),1)</f>
        <v>502</v>
      </c>
      <c r="FT17" s="140">
        <f>SUM($D17:S17)*IF($B17="Operacional",IFERROR(VLOOKUP($C17,SN_UGC,28,0),0),1)</f>
        <v>502</v>
      </c>
      <c r="FU17" s="140">
        <f>SUM($D17:T17)*IF($B17="Operacional",IFERROR(VLOOKUP($C17,SN_UGC,28,0),0),1)</f>
        <v>502</v>
      </c>
      <c r="FV17" s="140">
        <f>SUM($D17:U17)*IF($B17="Operacional",IFERROR(VLOOKUP($C17,SN_UGC,28,0),0),1)</f>
        <v>502</v>
      </c>
      <c r="FW17" s="140">
        <f>SUM($D17:V17)*IF($B17="Operacional",IFERROR(VLOOKUP($C17,SN_UGC,28,0),0),1)</f>
        <v>502</v>
      </c>
      <c r="FX17" s="140">
        <f>SUM($D17:W17)*IF($B17="Operacional",IFERROR(VLOOKUP($C17,SN_UGC,28,0),0),1)</f>
        <v>502</v>
      </c>
      <c r="FY17" s="140">
        <f>SUM($D17:X17)*IF($B17="Operacional",IFERROR(VLOOKUP($C17,SN_UGC,28,0),0),1)</f>
        <v>502</v>
      </c>
      <c r="FZ17" s="140">
        <f>SUM($D17:Y17)*IF($B17="Operacional",IFERROR(VLOOKUP($C17,SN_UGC,28,0),0),1)</f>
        <v>502</v>
      </c>
      <c r="GA17" s="140">
        <f>SUM($D17:Z17)*IF($B17="Operacional",IFERROR(VLOOKUP($C17,SN_UGC,28,0),0),1)</f>
        <v>502</v>
      </c>
      <c r="GB17" s="140">
        <f>SUM($D17:AA17)*IF($B17="Operacional",IFERROR(VLOOKUP($C17,SN_UGC,28,0),0),1)</f>
        <v>502</v>
      </c>
      <c r="GC17" s="140">
        <f>SUM($D17:AB17)*IF($B17="Operacional",IFERROR(VLOOKUP($C17,SN_UGC,28,0),0),1)</f>
        <v>502</v>
      </c>
      <c r="GD17" s="140">
        <f>SUM($D17:AC17)*IF($B17="Operacional",IFERROR(VLOOKUP($C17,SN_UGC,28,0),0),1)</f>
        <v>502</v>
      </c>
      <c r="GE17" s="140">
        <f>SUM($D17:AD17)*IF($B17="Operacional",IFERROR(VLOOKUP($C17,SN_UGC,28,0),0),1)</f>
        <v>502</v>
      </c>
      <c r="GF17" s="140">
        <f>SUM($D17:AE17)*IF($B17="Operacional",IFERROR(VLOOKUP($C17,SN_UGC,28,0),0),1)</f>
        <v>502</v>
      </c>
      <c r="GG17" s="140">
        <f>SUM($D17:AF17)*IF($B17="Operacional",IFERROR(VLOOKUP($C17,SN_UGC,28,0),0),1)</f>
        <v>502</v>
      </c>
      <c r="GH17" s="140">
        <f>SUM($D17:AG17)*IF($B17="Operacional",IFERROR(VLOOKUP($C17,SN_UGC,28,0),0),1)</f>
        <v>502</v>
      </c>
      <c r="GI17" s="141">
        <f t="shared" ref="GI17:HL17" si="83">FE17*$AH17*$AL17</f>
        <v>59552.009000000013</v>
      </c>
      <c r="GJ17" s="141">
        <f t="shared" si="83"/>
        <v>59552.009000000013</v>
      </c>
      <c r="GK17" s="141">
        <f t="shared" si="83"/>
        <v>59552.009000000013</v>
      </c>
      <c r="GL17" s="141">
        <f t="shared" si="83"/>
        <v>59552.009000000013</v>
      </c>
      <c r="GM17" s="141">
        <f t="shared" si="83"/>
        <v>59552.009000000013</v>
      </c>
      <c r="GN17" s="141">
        <f t="shared" si="83"/>
        <v>59552.009000000013</v>
      </c>
      <c r="GO17" s="141">
        <f t="shared" si="83"/>
        <v>59552.009000000013</v>
      </c>
      <c r="GP17" s="141">
        <f t="shared" si="83"/>
        <v>59552.009000000013</v>
      </c>
      <c r="GQ17" s="141">
        <f t="shared" si="83"/>
        <v>59552.009000000013</v>
      </c>
      <c r="GR17" s="141">
        <f t="shared" si="83"/>
        <v>59552.009000000013</v>
      </c>
      <c r="GS17" s="141">
        <f t="shared" si="83"/>
        <v>59552.009000000013</v>
      </c>
      <c r="GT17" s="141">
        <f t="shared" si="83"/>
        <v>59552.009000000013</v>
      </c>
      <c r="GU17" s="141">
        <f t="shared" si="83"/>
        <v>59552.009000000013</v>
      </c>
      <c r="GV17" s="141">
        <f t="shared" si="83"/>
        <v>59552.009000000013</v>
      </c>
      <c r="GW17" s="141">
        <f t="shared" si="83"/>
        <v>59552.009000000013</v>
      </c>
      <c r="GX17" s="141">
        <f t="shared" si="83"/>
        <v>59552.009000000013</v>
      </c>
      <c r="GY17" s="141">
        <f t="shared" si="83"/>
        <v>59552.009000000013</v>
      </c>
      <c r="GZ17" s="141">
        <f t="shared" si="83"/>
        <v>59552.009000000013</v>
      </c>
      <c r="HA17" s="141">
        <f t="shared" si="83"/>
        <v>59552.009000000013</v>
      </c>
      <c r="HB17" s="141">
        <f t="shared" si="83"/>
        <v>59552.009000000013</v>
      </c>
      <c r="HC17" s="141">
        <f t="shared" si="83"/>
        <v>59552.009000000013</v>
      </c>
      <c r="HD17" s="141">
        <f t="shared" si="83"/>
        <v>59552.009000000013</v>
      </c>
      <c r="HE17" s="141">
        <f t="shared" si="83"/>
        <v>59552.009000000013</v>
      </c>
      <c r="HF17" s="141">
        <f t="shared" si="83"/>
        <v>59552.009000000013</v>
      </c>
      <c r="HG17" s="141">
        <f t="shared" si="83"/>
        <v>59552.009000000013</v>
      </c>
      <c r="HH17" s="141">
        <f t="shared" si="83"/>
        <v>59552.009000000013</v>
      </c>
      <c r="HI17" s="141">
        <f t="shared" si="83"/>
        <v>59552.009000000013</v>
      </c>
      <c r="HJ17" s="141">
        <f t="shared" si="83"/>
        <v>59552.009000000013</v>
      </c>
      <c r="HK17" s="141">
        <f t="shared" si="83"/>
        <v>59552.009000000013</v>
      </c>
      <c r="HL17" s="141">
        <f t="shared" si="83"/>
        <v>59552.009000000013</v>
      </c>
      <c r="HM17" s="142">
        <f t="shared" ref="HM17:IP17" si="84">IF(ISBLANK($A17),,FE17*($AH17-($AH17*$AJ17))/$AI17)</f>
        <v>39701.339333333337</v>
      </c>
      <c r="HN17" s="142">
        <f t="shared" si="84"/>
        <v>39701.339333333337</v>
      </c>
      <c r="HO17" s="142">
        <f t="shared" si="84"/>
        <v>39701.339333333337</v>
      </c>
      <c r="HP17" s="142">
        <f t="shared" si="84"/>
        <v>39701.339333333337</v>
      </c>
      <c r="HQ17" s="142">
        <f t="shared" si="84"/>
        <v>39701.339333333337</v>
      </c>
      <c r="HR17" s="142">
        <f t="shared" si="84"/>
        <v>39701.339333333337</v>
      </c>
      <c r="HS17" s="142">
        <f t="shared" si="84"/>
        <v>39701.339333333337</v>
      </c>
      <c r="HT17" s="142">
        <f t="shared" si="84"/>
        <v>39701.339333333337</v>
      </c>
      <c r="HU17" s="142">
        <f t="shared" si="84"/>
        <v>39701.339333333337</v>
      </c>
      <c r="HV17" s="142">
        <f t="shared" si="84"/>
        <v>39701.339333333337</v>
      </c>
      <c r="HW17" s="142">
        <f t="shared" si="84"/>
        <v>39701.339333333337</v>
      </c>
      <c r="HX17" s="142">
        <f t="shared" si="84"/>
        <v>39701.339333333337</v>
      </c>
      <c r="HY17" s="142">
        <f t="shared" si="84"/>
        <v>39701.339333333337</v>
      </c>
      <c r="HZ17" s="142">
        <f t="shared" si="84"/>
        <v>39701.339333333337</v>
      </c>
      <c r="IA17" s="142">
        <f t="shared" si="84"/>
        <v>39701.339333333337</v>
      </c>
      <c r="IB17" s="142">
        <f t="shared" si="84"/>
        <v>39701.339333333337</v>
      </c>
      <c r="IC17" s="142">
        <f t="shared" si="84"/>
        <v>39701.339333333337</v>
      </c>
      <c r="ID17" s="142">
        <f t="shared" si="84"/>
        <v>39701.339333333337</v>
      </c>
      <c r="IE17" s="142">
        <f t="shared" si="84"/>
        <v>39701.339333333337</v>
      </c>
      <c r="IF17" s="142">
        <f t="shared" si="84"/>
        <v>39701.339333333337</v>
      </c>
      <c r="IG17" s="142">
        <f t="shared" si="84"/>
        <v>39701.339333333337</v>
      </c>
      <c r="IH17" s="142">
        <f t="shared" si="84"/>
        <v>39701.339333333337</v>
      </c>
      <c r="II17" s="142">
        <f t="shared" si="84"/>
        <v>39701.339333333337</v>
      </c>
      <c r="IJ17" s="142">
        <f t="shared" si="84"/>
        <v>39701.339333333337</v>
      </c>
      <c r="IK17" s="142">
        <f t="shared" si="84"/>
        <v>39701.339333333337</v>
      </c>
      <c r="IL17" s="142">
        <f t="shared" si="84"/>
        <v>39701.339333333337</v>
      </c>
      <c r="IM17" s="142">
        <f t="shared" si="84"/>
        <v>39701.339333333337</v>
      </c>
      <c r="IN17" s="142">
        <f t="shared" si="84"/>
        <v>39701.339333333337</v>
      </c>
      <c r="IO17" s="142">
        <f t="shared" si="84"/>
        <v>39701.339333333337</v>
      </c>
      <c r="IP17" s="142">
        <f t="shared" si="84"/>
        <v>39701.339333333337</v>
      </c>
      <c r="IQ17" s="141">
        <f>IF(ISBLANK($A17),,IF($AN17="Não",0,(SUM($AO17:AO17)*$AH17)-SUM($HM17:HM17)-SUM($CW17:CW17)))</f>
        <v>0</v>
      </c>
      <c r="IR17" s="141">
        <f>IF(ISBLANK($A17),,IF($AN17="Não",0,(SUM($AO17:AP17)*$AH17)-SUM($HM17:HN17)-SUM($CW17:CX17)))</f>
        <v>0</v>
      </c>
      <c r="IS17" s="141">
        <f>IF(ISBLANK($A17),,IF($AN17="Não",0,(SUM($AO17:AQ17)*$AH17)-SUM($HM17:HO17)-SUM($CW17:CY17)))</f>
        <v>0</v>
      </c>
      <c r="IT17" s="141">
        <f>IF(ISBLANK($A17),,IF($AN17="Não",0,(SUM($AO17:AR17)*$AH17)-SUM($HM17:HP17)-SUM($CW17:CZ17)))</f>
        <v>0</v>
      </c>
      <c r="IU17" s="141">
        <f>IF(ISBLANK($A17),,IF($AN17="Não",0,(SUM($AO17:AS17)*$AH17)-SUM($HM17:HQ17)-SUM($CW17:DA17)))</f>
        <v>0</v>
      </c>
      <c r="IV17" s="141">
        <f>IF(ISBLANK($A17),,IF($AN17="Não",0,(SUM($AO17:AT17)*$AH17)-SUM($HM17:HR17)-SUM($CW17:DB17)))</f>
        <v>0</v>
      </c>
      <c r="IW17" s="141">
        <f>IF(ISBLANK($A17),,IF($AN17="Não",0,(SUM($AO17:AU17)*$AH17)-SUM($HM17:HS17)-SUM($CW17:DC17)))</f>
        <v>0</v>
      </c>
      <c r="IX17" s="141">
        <f>IF(ISBLANK($A17),,IF($AN17="Não",0,(SUM($AO17:AV17)*$AH17)-SUM($HM17:HT17)-SUM($CW17:DD17)))</f>
        <v>0</v>
      </c>
      <c r="IY17" s="141">
        <f>IF(ISBLANK($A17),,IF($AN17="Não",0,(SUM($AO17:AW17)*$AH17)-SUM($HM17:HU17)-SUM($CW17:DE17)))</f>
        <v>0</v>
      </c>
      <c r="IZ17" s="141">
        <f>IF(ISBLANK($A17),,IF($AN17="Não",0,(SUM($AO17:AX17)*$AH17)-SUM($HM17:HV17)-SUM($CW17:DF17)))</f>
        <v>0</v>
      </c>
      <c r="JA17" s="141">
        <f>IF(ISBLANK($A17),,IF($AN17="Não",0,(SUM($AO17:AY17)*$AH17)-SUM($HM17:HW17)-SUM($CW17:DG17)))</f>
        <v>0</v>
      </c>
      <c r="JB17" s="141">
        <f>IF(ISBLANK($A17),,IF($AN17="Não",0,(SUM($AO17:AZ17)*$AH17)-SUM($HM17:HX17)-SUM($CW17:DH17)))</f>
        <v>0</v>
      </c>
      <c r="JC17" s="141">
        <f>IF(ISBLANK($A17),,IF($AN17="Não",0,(SUM($AO17:BA17)*$AH17)-SUM($HM17:HY17)-SUM($CW17:DI17)))</f>
        <v>0</v>
      </c>
      <c r="JD17" s="141">
        <f>IF(ISBLANK($A17),,IF($AN17="Não",0,(SUM($AO17:BB17)*$AH17)-SUM($HM17:HZ17)-SUM($CW17:DJ17)))</f>
        <v>0</v>
      </c>
      <c r="JE17" s="141">
        <f>IF(ISBLANK($A17),,IF($AN17="Não",0,(SUM($AO17:BC17)*$AH17)-SUM($HM17:IA17)-SUM($CW17:DK17)))</f>
        <v>0</v>
      </c>
      <c r="JF17" s="141">
        <f>IF(ISBLANK($A17),,IF($AN17="Não",0,(SUM($AO17:BD17)*$AH17)-SUM($HM17:IB17)-SUM($CW17:DL17)))</f>
        <v>0</v>
      </c>
      <c r="JG17" s="141">
        <f>IF(ISBLANK($A17),,IF($AN17="Não",0,(SUM($AO17:BE17)*$AH17)-SUM($HM17:IC17)-SUM($CW17:DM17)))</f>
        <v>0</v>
      </c>
      <c r="JH17" s="141">
        <f>IF(ISBLANK($A17),,IF($AN17="Não",0,(SUM($AO17:BF17)*$AH17)-SUM($HM17:ID17)-SUM($CW17:DN17)))</f>
        <v>0</v>
      </c>
      <c r="JI17" s="141">
        <f>IF(ISBLANK($A17),,IF($AN17="Não",0,(SUM($AO17:BG17)*$AH17)-SUM($HM17:IE17)-SUM($CW17:DO17)))</f>
        <v>0</v>
      </c>
      <c r="JJ17" s="141">
        <f>IF(ISBLANK($A17),,IF($AN17="Não",0,(SUM($AO17:BH17)*$AH17)-SUM($HM17:IF17)-SUM($CW17:DP17)))</f>
        <v>0</v>
      </c>
      <c r="JK17" s="141">
        <f>IF(ISBLANK($A17),,IF($AN17="Não",0,(SUM($AO17:BI17)*$AH17)-SUM($HM17:IG17)-SUM($CW17:DQ17)))</f>
        <v>0</v>
      </c>
      <c r="JL17" s="141">
        <f>IF(ISBLANK($A17),,IF($AN17="Não",0,(SUM($AO17:BJ17)*$AH17)-SUM($HM17:IH17)-SUM($CW17:DR17)))</f>
        <v>0</v>
      </c>
      <c r="JM17" s="141">
        <f>IF(ISBLANK($A17),,IF($AN17="Não",0,(SUM($AO17:BK17)*$AH17)-SUM($HM17:II17)-SUM($CW17:DS17)))</f>
        <v>0</v>
      </c>
      <c r="JN17" s="141">
        <f>IF(ISBLANK($A17),,IF($AN17="Não",0,(SUM($AO17:BL17)*$AH17)-SUM($HM17:IJ17)-SUM($CW17:DT17)))</f>
        <v>0</v>
      </c>
      <c r="JO17" s="141">
        <f>IF(ISBLANK($A17),,IF($AN17="Não",0,(SUM($AO17:BM17)*$AH17)-SUM($HM17:IK17)-SUM($CW17:DU17)))</f>
        <v>0</v>
      </c>
      <c r="JP17" s="141">
        <f>IF(ISBLANK($A17),,IF($AN17="Não",0,(SUM($AO17:BN17)*$AH17)-SUM($HM17:IL17)-SUM($CW17:DV17)))</f>
        <v>0</v>
      </c>
      <c r="JQ17" s="141">
        <f>IF(ISBLANK($A17),,IF($AN17="Não",0,(SUM($AO17:BO17)*$AH17)-SUM($HM17:IM17)-SUM($CW17:DW17)))</f>
        <v>0</v>
      </c>
      <c r="JR17" s="141">
        <f>IF(ISBLANK($A17),,IF($AN17="Não",0,(SUM($AO17:BP17)*$AH17)-SUM($HM17:IN17)-SUM($CW17:DX17)))</f>
        <v>0</v>
      </c>
      <c r="JS17" s="141">
        <f>IF(ISBLANK($A17),,IF($AN17="Não",0,(SUM($AO17:BQ17)*$AH17)-SUM($HM17:IO17)-SUM($CW17:DY17)))</f>
        <v>0</v>
      </c>
      <c r="JT17" s="141">
        <f>IF(ISBLANK($A17),,IF($AN17="Não",0,(SUM($AO17:BR17)*$AH17)-SUM($HM17:IP17)-SUM($CW17:DZ17)))</f>
        <v>0</v>
      </c>
    </row>
    <row r="18" spans="1:280" ht="15.75" customHeight="1">
      <c r="A18" s="129" t="s">
        <v>352</v>
      </c>
      <c r="B18" s="129" t="s">
        <v>209</v>
      </c>
      <c r="C18" s="138" t="s">
        <v>79</v>
      </c>
      <c r="D18" s="139">
        <v>0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607">
        <f t="shared" si="0"/>
        <v>2372.59</v>
      </c>
      <c r="AI18" s="608">
        <f t="shared" si="1"/>
        <v>30</v>
      </c>
      <c r="AJ18" s="609">
        <f t="shared" si="2"/>
        <v>0</v>
      </c>
      <c r="AK18" s="610" t="str">
        <f t="shared" si="3"/>
        <v>Edificações</v>
      </c>
      <c r="AL18" s="609">
        <f t="shared" si="4"/>
        <v>0.05</v>
      </c>
      <c r="AM18" s="611" t="str">
        <f t="shared" si="5"/>
        <v>Sim</v>
      </c>
      <c r="AN18" s="611" t="str">
        <f t="shared" si="6"/>
        <v>Não</v>
      </c>
      <c r="AO18" s="140">
        <f t="array" ref="AO18">IF(ISBLANK($A18),0,IF(OR(AO$5-$AI18&lt;=0,$AM18="Não"),D18,D18+INDEX($AO$6:$BR$176,ROW()-5,COLUMN()-40-$AI18)))*IF($B18="Operacional",IFERROR(VLOOKUP($C18,SN_UGC,28,0),0),1)</f>
        <v>0</v>
      </c>
      <c r="AP18" s="140">
        <f t="array" ref="AP18">IF(ISBLANK($A18),0,IF(OR(AP$5-$AI18&lt;=0,$AM18="Não"),E18,E18+INDEX($AO$6:$BR$176,ROW()-5,COLUMN()-40-$AI18)))*IF($B18="Operacional",IFERROR(VLOOKUP($C18,SN_UGC,28,0),0),1)</f>
        <v>0</v>
      </c>
      <c r="AQ18" s="140">
        <f t="array" ref="AQ18">IF(ISBLANK($A18),0,IF(OR(AQ$5-$AI18&lt;=0,$AM18="Não"),F18,F18+INDEX($AO$6:$BR$176,ROW()-5,COLUMN()-40-$AI18)))*IF($B18="Operacional",IFERROR(VLOOKUP($C18,SN_UGC,28,0),0),1)</f>
        <v>0</v>
      </c>
      <c r="AR18" s="140">
        <f t="array" ref="AR18">IF(ISBLANK($A18),0,IF(OR(AR$5-$AI18&lt;=0,$AM18="Não"),G18,G18+INDEX($AO$6:$BR$176,ROW()-5,COLUMN()-40-$AI18)))*IF($B18="Operacional",IFERROR(VLOOKUP($C18,SN_UGC,28,0),0),1)</f>
        <v>0</v>
      </c>
      <c r="AS18" s="140">
        <f t="array" ref="AS18">IF(ISBLANK($A18),0,IF(OR(AS$5-$AI18&lt;=0,$AM18="Não"),H18,H18+INDEX($AO$6:$BR$176,ROW()-5,COLUMN()-40-$AI18)))*IF($B18="Operacional",IFERROR(VLOOKUP($C18,SN_UGC,28,0),0),1)</f>
        <v>0</v>
      </c>
      <c r="AT18" s="140">
        <f t="array" ref="AT18">IF(ISBLANK($A18),0,IF(OR(AT$5-$AI18&lt;=0,$AM18="Não"),I18,I18+INDEX($AO$6:$BR$176,ROW()-5,COLUMN()-40-$AI18)))*IF($B18="Operacional",IFERROR(VLOOKUP($C18,SN_UGC,28,0),0),1)</f>
        <v>0</v>
      </c>
      <c r="AU18" s="140">
        <f t="array" ref="AU18">IF(ISBLANK($A18),0,IF(OR(AU$5-$AI18&lt;=0,$AM18="Não"),J18,J18+INDEX($AO$6:$BR$176,ROW()-5,COLUMN()-40-$AI18)))*IF($B18="Operacional",IFERROR(VLOOKUP($C18,SN_UGC,28,0),0),1)</f>
        <v>0</v>
      </c>
      <c r="AV18" s="140">
        <f t="array" ref="AV18">IF(ISBLANK($A18),0,IF(OR(AV$5-$AI18&lt;=0,$AM18="Não"),K18,K18+INDEX($AO$6:$BR$176,ROW()-5,COLUMN()-40-$AI18)))*IF($B18="Operacional",IFERROR(VLOOKUP($C18,SN_UGC,28,0),0),1)</f>
        <v>0</v>
      </c>
      <c r="AW18" s="140">
        <f t="array" ref="AW18">IF(ISBLANK($A18),0,IF(OR(AW$5-$AI18&lt;=0,$AM18="Não"),L18,L18+INDEX($AO$6:$BR$176,ROW()-5,COLUMN()-40-$AI18)))*IF($B18="Operacional",IFERROR(VLOOKUP($C18,SN_UGC,28,0),0),1)</f>
        <v>0</v>
      </c>
      <c r="AX18" s="140">
        <f t="array" ref="AX18">IF(ISBLANK($A18),0,IF(OR(AX$5-$AI18&lt;=0,$AM18="Não"),M18,M18+INDEX($AO$6:$BR$176,ROW()-5,COLUMN()-40-$AI18)))*IF($B18="Operacional",IFERROR(VLOOKUP($C18,SN_UGC,28,0),0),1)</f>
        <v>0</v>
      </c>
      <c r="AY18" s="140">
        <f t="array" ref="AY18">IF(ISBLANK($A18),0,IF(OR(AY$5-$AI18&lt;=0,$AM18="Não"),N18,N18+INDEX($AO$6:$BR$176,ROW()-5,COLUMN()-40-$AI18)))*IF($B18="Operacional",IFERROR(VLOOKUP($C18,SN_UGC,28,0),0),1)</f>
        <v>0</v>
      </c>
      <c r="AZ18" s="140">
        <f t="array" ref="AZ18">IF(ISBLANK($A18),0,IF(OR(AZ$5-$AI18&lt;=0,$AM18="Não"),O18,O18+INDEX($AO$6:$BR$176,ROW()-5,COLUMN()-40-$AI18)))*IF($B18="Operacional",IFERROR(VLOOKUP($C18,SN_UGC,28,0),0),1)</f>
        <v>0</v>
      </c>
      <c r="BA18" s="140">
        <f t="array" ref="BA18">IF(ISBLANK($A18),0,IF(OR(BA$5-$AI18&lt;=0,$AM18="Não"),P18,P18+INDEX($AO$6:$BR$176,ROW()-5,COLUMN()-40-$AI18)))*IF($B18="Operacional",IFERROR(VLOOKUP($C18,SN_UGC,28,0),0),1)</f>
        <v>0</v>
      </c>
      <c r="BB18" s="140">
        <f t="array" ref="BB18">IF(ISBLANK($A18),0,IF(OR(BB$5-$AI18&lt;=0,$AM18="Não"),Q18,Q18+INDEX($AO$6:$BR$176,ROW()-5,COLUMN()-40-$AI18)))*IF($B18="Operacional",IFERROR(VLOOKUP($C18,SN_UGC,28,0),0),1)</f>
        <v>0</v>
      </c>
      <c r="BC18" s="140">
        <f t="array" ref="BC18">IF(ISBLANK($A18),0,IF(OR(BC$5-$AI18&lt;=0,$AM18="Não"),R18,R18+INDEX($AO$6:$BR$176,ROW()-5,COLUMN()-40-$AI18)))*IF($B18="Operacional",IFERROR(VLOOKUP($C18,SN_UGC,28,0),0),1)</f>
        <v>0</v>
      </c>
      <c r="BD18" s="140">
        <f t="array" ref="BD18">IF(ISBLANK($A18),0,IF(OR(BD$5-$AI18&lt;=0,$AM18="Não"),S18,S18+INDEX($AO$6:$BR$176,ROW()-5,COLUMN()-40-$AI18)))*IF($B18="Operacional",IFERROR(VLOOKUP($C18,SN_UGC,28,0),0),1)</f>
        <v>0</v>
      </c>
      <c r="BE18" s="140">
        <f t="array" ref="BE18">IF(ISBLANK($A18),0,IF(OR(BE$5-$AI18&lt;=0,$AM18="Não"),T18,T18+INDEX($AO$6:$BR$176,ROW()-5,COLUMN()-40-$AI18)))*IF($B18="Operacional",IFERROR(VLOOKUP($C18,SN_UGC,28,0),0),1)</f>
        <v>0</v>
      </c>
      <c r="BF18" s="140">
        <f t="array" ref="BF18">IF(ISBLANK($A18),0,IF(OR(BF$5-$AI18&lt;=0,$AM18="Não"),U18,U18+INDEX($AO$6:$BR$176,ROW()-5,COLUMN()-40-$AI18)))*IF($B18="Operacional",IFERROR(VLOOKUP($C18,SN_UGC,28,0),0),1)</f>
        <v>0</v>
      </c>
      <c r="BG18" s="140">
        <f t="array" ref="BG18">IF(ISBLANK($A18),0,IF(OR(BG$5-$AI18&lt;=0,$AM18="Não"),V18,V18+INDEX($AO$6:$BR$176,ROW()-5,COLUMN()-40-$AI18)))*IF($B18="Operacional",IFERROR(VLOOKUP($C18,SN_UGC,28,0),0),1)</f>
        <v>0</v>
      </c>
      <c r="BH18" s="140">
        <f t="array" ref="BH18">IF(ISBLANK($A18),0,IF(OR(BH$5-$AI18&lt;=0,$AM18="Não"),W18,W18+INDEX($AO$6:$BR$176,ROW()-5,COLUMN()-40-$AI18)))*IF($B18="Operacional",IFERROR(VLOOKUP($C18,SN_UGC,28,0),0),1)</f>
        <v>0</v>
      </c>
      <c r="BI18" s="140">
        <f t="array" ref="BI18">IF(ISBLANK($A18),0,IF(OR(BI$5-$AI18&lt;=0,$AM18="Não"),X18,X18+INDEX($AO$6:$BR$176,ROW()-5,COLUMN()-40-$AI18)))*IF($B18="Operacional",IFERROR(VLOOKUP($C18,SN_UGC,28,0),0),1)</f>
        <v>0</v>
      </c>
      <c r="BJ18" s="140">
        <f t="array" ref="BJ18">IF(ISBLANK($A18),0,IF(OR(BJ$5-$AI18&lt;=0,$AM18="Não"),Y18,Y18+INDEX($AO$6:$BR$176,ROW()-5,COLUMN()-40-$AI18)))*IF($B18="Operacional",IFERROR(VLOOKUP($C18,SN_UGC,28,0),0),1)</f>
        <v>0</v>
      </c>
      <c r="BK18" s="140">
        <f t="array" ref="BK18">IF(ISBLANK($A18),0,IF(OR(BK$5-$AI18&lt;=0,$AM18="Não"),Z18,Z18+INDEX($AO$6:$BR$176,ROW()-5,COLUMN()-40-$AI18)))*IF($B18="Operacional",IFERROR(VLOOKUP($C18,SN_UGC,28,0),0),1)</f>
        <v>0</v>
      </c>
      <c r="BL18" s="140">
        <f t="array" ref="BL18">IF(ISBLANK($A18),0,IF(OR(BL$5-$AI18&lt;=0,$AM18="Não"),AA18,AA18+INDEX($AO$6:$BR$176,ROW()-5,COLUMN()-40-$AI18)))*IF($B18="Operacional",IFERROR(VLOOKUP($C18,SN_UGC,28,0),0),1)</f>
        <v>0</v>
      </c>
      <c r="BM18" s="140">
        <f t="array" ref="BM18">IF(ISBLANK($A18),0,IF(OR(BM$5-$AI18&lt;=0,$AM18="Não"),AB18,AB18+INDEX($AO$6:$BR$176,ROW()-5,COLUMN()-40-$AI18)))*IF($B18="Operacional",IFERROR(VLOOKUP($C18,SN_UGC,28,0),0),1)</f>
        <v>0</v>
      </c>
      <c r="BN18" s="140">
        <f t="array" ref="BN18">IF(ISBLANK($A18),0,IF(OR(BN$5-$AI18&lt;=0,$AM18="Não"),AC18,AC18+INDEX($AO$6:$BR$176,ROW()-5,COLUMN()-40-$AI18)))*IF($B18="Operacional",IFERROR(VLOOKUP($C18,SN_UGC,28,0),0),1)</f>
        <v>0</v>
      </c>
      <c r="BO18" s="140">
        <f t="array" ref="BO18">IF(ISBLANK($A18),0,IF(OR(BO$5-$AI18&lt;=0,$AM18="Não"),AD18,AD18+INDEX($AO$6:$BR$176,ROW()-5,COLUMN()-40-$AI18)))*IF($B18="Operacional",IFERROR(VLOOKUP($C18,SN_UGC,28,0),0),1)</f>
        <v>0</v>
      </c>
      <c r="BP18" s="140">
        <f t="array" ref="BP18">IF(ISBLANK($A18),0,IF(OR(BP$5-$AI18&lt;=0,$AM18="Não"),AE18,AE18+INDEX($AO$6:$BR$176,ROW()-5,COLUMN()-40-$AI18)))*IF($B18="Operacional",IFERROR(VLOOKUP($C18,SN_UGC,28,0),0),1)</f>
        <v>0</v>
      </c>
      <c r="BQ18" s="140">
        <f t="array" ref="BQ18">IF(ISBLANK($A18),0,IF(OR(BQ$5-$AI18&lt;=0,$AM18="Não"),AF18,AF18+INDEX($AO$6:$BR$176,ROW()-5,COLUMN()-40-$AI18)))*IF($B18="Operacional",IFERROR(VLOOKUP($C18,SN_UGC,28,0),0),1)</f>
        <v>0</v>
      </c>
      <c r="BR18" s="140">
        <f t="array" ref="BR18">IF(ISBLANK($A18),0,IF(OR(BR$5-$AI18&lt;=0,$AM18="Não"),AG18,AG18+INDEX($AO$6:$BR$176,ROW()-5,COLUMN()-40-$AI18)))*IF($B18="Operacional",IFERROR(VLOOKUP($C18,SN_UGC,28,0),0),1)</f>
        <v>0</v>
      </c>
      <c r="BS18" s="141">
        <f t="shared" ref="BS18:CV18" si="85">IF(ISBLANK($A18),0,$AH18*AO18)</f>
        <v>0</v>
      </c>
      <c r="BT18" s="141">
        <f t="shared" si="85"/>
        <v>0</v>
      </c>
      <c r="BU18" s="141">
        <f t="shared" si="85"/>
        <v>0</v>
      </c>
      <c r="BV18" s="141">
        <f t="shared" si="85"/>
        <v>0</v>
      </c>
      <c r="BW18" s="141">
        <f t="shared" si="85"/>
        <v>0</v>
      </c>
      <c r="BX18" s="141">
        <f t="shared" si="85"/>
        <v>0</v>
      </c>
      <c r="BY18" s="141">
        <f t="shared" si="85"/>
        <v>0</v>
      </c>
      <c r="BZ18" s="141">
        <f t="shared" si="85"/>
        <v>0</v>
      </c>
      <c r="CA18" s="141">
        <f t="shared" si="85"/>
        <v>0</v>
      </c>
      <c r="CB18" s="141">
        <f t="shared" si="85"/>
        <v>0</v>
      </c>
      <c r="CC18" s="141">
        <f t="shared" si="85"/>
        <v>0</v>
      </c>
      <c r="CD18" s="141">
        <f t="shared" si="85"/>
        <v>0</v>
      </c>
      <c r="CE18" s="141">
        <f t="shared" si="85"/>
        <v>0</v>
      </c>
      <c r="CF18" s="141">
        <f t="shared" si="85"/>
        <v>0</v>
      </c>
      <c r="CG18" s="141">
        <f t="shared" si="85"/>
        <v>0</v>
      </c>
      <c r="CH18" s="141">
        <f t="shared" si="85"/>
        <v>0</v>
      </c>
      <c r="CI18" s="141">
        <f t="shared" si="85"/>
        <v>0</v>
      </c>
      <c r="CJ18" s="141">
        <f t="shared" si="85"/>
        <v>0</v>
      </c>
      <c r="CK18" s="141">
        <f t="shared" si="85"/>
        <v>0</v>
      </c>
      <c r="CL18" s="141">
        <f t="shared" si="85"/>
        <v>0</v>
      </c>
      <c r="CM18" s="141">
        <f t="shared" si="85"/>
        <v>0</v>
      </c>
      <c r="CN18" s="141">
        <f t="shared" si="85"/>
        <v>0</v>
      </c>
      <c r="CO18" s="141">
        <f t="shared" si="85"/>
        <v>0</v>
      </c>
      <c r="CP18" s="141">
        <f t="shared" si="85"/>
        <v>0</v>
      </c>
      <c r="CQ18" s="141">
        <f t="shared" si="85"/>
        <v>0</v>
      </c>
      <c r="CR18" s="141">
        <f t="shared" si="85"/>
        <v>0</v>
      </c>
      <c r="CS18" s="141">
        <f t="shared" si="85"/>
        <v>0</v>
      </c>
      <c r="CT18" s="141">
        <f t="shared" si="85"/>
        <v>0</v>
      </c>
      <c r="CU18" s="141">
        <f t="shared" si="85"/>
        <v>0</v>
      </c>
      <c r="CV18" s="141">
        <f t="shared" si="85"/>
        <v>0</v>
      </c>
      <c r="CW18" s="142">
        <f t="shared" ref="CW18:DZ18" si="86">EA18*$AH18*$AJ18</f>
        <v>0</v>
      </c>
      <c r="CX18" s="142">
        <f t="shared" si="86"/>
        <v>0</v>
      </c>
      <c r="CY18" s="142">
        <f t="shared" si="86"/>
        <v>0</v>
      </c>
      <c r="CZ18" s="142">
        <f t="shared" si="86"/>
        <v>0</v>
      </c>
      <c r="DA18" s="142">
        <f t="shared" si="86"/>
        <v>0</v>
      </c>
      <c r="DB18" s="142">
        <f t="shared" si="86"/>
        <v>0</v>
      </c>
      <c r="DC18" s="142">
        <f t="shared" si="86"/>
        <v>0</v>
      </c>
      <c r="DD18" s="142">
        <f t="shared" si="86"/>
        <v>0</v>
      </c>
      <c r="DE18" s="142">
        <f t="shared" si="86"/>
        <v>0</v>
      </c>
      <c r="DF18" s="142">
        <f t="shared" si="86"/>
        <v>0</v>
      </c>
      <c r="DG18" s="142">
        <f t="shared" si="86"/>
        <v>0</v>
      </c>
      <c r="DH18" s="142">
        <f t="shared" si="86"/>
        <v>0</v>
      </c>
      <c r="DI18" s="142">
        <f t="shared" si="86"/>
        <v>0</v>
      </c>
      <c r="DJ18" s="142">
        <f t="shared" si="86"/>
        <v>0</v>
      </c>
      <c r="DK18" s="142">
        <f t="shared" si="86"/>
        <v>0</v>
      </c>
      <c r="DL18" s="142">
        <f t="shared" si="86"/>
        <v>0</v>
      </c>
      <c r="DM18" s="142">
        <f t="shared" si="86"/>
        <v>0</v>
      </c>
      <c r="DN18" s="142">
        <f t="shared" si="86"/>
        <v>0</v>
      </c>
      <c r="DO18" s="142">
        <f t="shared" si="86"/>
        <v>0</v>
      </c>
      <c r="DP18" s="142">
        <f t="shared" si="86"/>
        <v>0</v>
      </c>
      <c r="DQ18" s="142">
        <f t="shared" si="86"/>
        <v>0</v>
      </c>
      <c r="DR18" s="142">
        <f t="shared" si="86"/>
        <v>0</v>
      </c>
      <c r="DS18" s="142">
        <f t="shared" si="86"/>
        <v>0</v>
      </c>
      <c r="DT18" s="142">
        <f t="shared" si="86"/>
        <v>0</v>
      </c>
      <c r="DU18" s="142">
        <f t="shared" si="86"/>
        <v>0</v>
      </c>
      <c r="DV18" s="142">
        <f t="shared" si="86"/>
        <v>0</v>
      </c>
      <c r="DW18" s="142">
        <f t="shared" si="86"/>
        <v>0</v>
      </c>
      <c r="DX18" s="142">
        <f t="shared" si="86"/>
        <v>0</v>
      </c>
      <c r="DY18" s="142">
        <f t="shared" si="86"/>
        <v>0</v>
      </c>
      <c r="DZ18" s="142">
        <f t="shared" si="86"/>
        <v>0</v>
      </c>
      <c r="EA18" s="143">
        <f t="shared" si="9"/>
        <v>0</v>
      </c>
      <c r="EB18" s="143">
        <f t="shared" si="10"/>
        <v>0</v>
      </c>
      <c r="EC18" s="143">
        <f t="shared" si="11"/>
        <v>0</v>
      </c>
      <c r="ED18" s="143">
        <f t="shared" si="12"/>
        <v>0</v>
      </c>
      <c r="EE18" s="143">
        <f t="shared" si="13"/>
        <v>0</v>
      </c>
      <c r="EF18" s="143">
        <f t="shared" si="14"/>
        <v>0</v>
      </c>
      <c r="EG18" s="143">
        <f t="shared" si="15"/>
        <v>0</v>
      </c>
      <c r="EH18" s="143">
        <f t="shared" si="16"/>
        <v>0</v>
      </c>
      <c r="EI18" s="143">
        <f t="shared" si="17"/>
        <v>0</v>
      </c>
      <c r="EJ18" s="143">
        <f t="shared" si="18"/>
        <v>0</v>
      </c>
      <c r="EK18" s="143">
        <f t="shared" si="19"/>
        <v>0</v>
      </c>
      <c r="EL18" s="143">
        <f t="shared" si="20"/>
        <v>0</v>
      </c>
      <c r="EM18" s="143">
        <f t="shared" si="21"/>
        <v>0</v>
      </c>
      <c r="EN18" s="143">
        <f t="shared" si="22"/>
        <v>0</v>
      </c>
      <c r="EO18" s="143">
        <f t="shared" si="23"/>
        <v>0</v>
      </c>
      <c r="EP18" s="143">
        <f t="shared" si="24"/>
        <v>0</v>
      </c>
      <c r="EQ18" s="143">
        <f t="shared" si="25"/>
        <v>0</v>
      </c>
      <c r="ER18" s="143">
        <f t="shared" si="26"/>
        <v>0</v>
      </c>
      <c r="ES18" s="143">
        <f t="shared" si="27"/>
        <v>0</v>
      </c>
      <c r="ET18" s="143">
        <f t="shared" si="28"/>
        <v>0</v>
      </c>
      <c r="EU18" s="143">
        <f t="shared" si="29"/>
        <v>0</v>
      </c>
      <c r="EV18" s="143">
        <f t="shared" si="30"/>
        <v>0</v>
      </c>
      <c r="EW18" s="143">
        <f t="shared" si="31"/>
        <v>0</v>
      </c>
      <c r="EX18" s="143">
        <f t="shared" si="32"/>
        <v>0</v>
      </c>
      <c r="EY18" s="143">
        <f t="shared" si="33"/>
        <v>0</v>
      </c>
      <c r="EZ18" s="143">
        <f t="shared" si="34"/>
        <v>0</v>
      </c>
      <c r="FA18" s="143">
        <f t="shared" si="35"/>
        <v>0</v>
      </c>
      <c r="FB18" s="143">
        <f t="shared" si="36"/>
        <v>0</v>
      </c>
      <c r="FC18" s="143">
        <f t="shared" si="37"/>
        <v>0</v>
      </c>
      <c r="FD18" s="143">
        <f t="shared" si="38"/>
        <v>0</v>
      </c>
      <c r="FE18" s="140">
        <f>SUM($D18:D18)*IF($B18="Operacional",IFERROR(VLOOKUP($C18,SN_UGC,28,0),0),1)</f>
        <v>0</v>
      </c>
      <c r="FF18" s="140">
        <f>SUM($D18:E18)*IF($B18="Operacional",IFERROR(VLOOKUP($C18,SN_UGC,28,0),0),1)</f>
        <v>0</v>
      </c>
      <c r="FG18" s="140">
        <f>SUM($D18:F18)*IF($B18="Operacional",IFERROR(VLOOKUP($C18,SN_UGC,28,0),0),1)</f>
        <v>0</v>
      </c>
      <c r="FH18" s="140">
        <f>SUM($D18:G18)*IF($B18="Operacional",IFERROR(VLOOKUP($C18,SN_UGC,28,0),0),1)</f>
        <v>0</v>
      </c>
      <c r="FI18" s="140">
        <f>SUM($D18:H18)*IF($B18="Operacional",IFERROR(VLOOKUP($C18,SN_UGC,28,0),0),1)</f>
        <v>0</v>
      </c>
      <c r="FJ18" s="140">
        <f>SUM($D18:I18)*IF($B18="Operacional",IFERROR(VLOOKUP($C18,SN_UGC,28,0),0),1)</f>
        <v>0</v>
      </c>
      <c r="FK18" s="140">
        <f>SUM($D18:J18)*IF($B18="Operacional",IFERROR(VLOOKUP($C18,SN_UGC,28,0),0),1)</f>
        <v>0</v>
      </c>
      <c r="FL18" s="140">
        <f>SUM($D18:K18)*IF($B18="Operacional",IFERROR(VLOOKUP($C18,SN_UGC,28,0),0),1)</f>
        <v>0</v>
      </c>
      <c r="FM18" s="140">
        <f>SUM($D18:L18)*IF($B18="Operacional",IFERROR(VLOOKUP($C18,SN_UGC,28,0),0),1)</f>
        <v>0</v>
      </c>
      <c r="FN18" s="140">
        <f>SUM($D18:M18)*IF($B18="Operacional",IFERROR(VLOOKUP($C18,SN_UGC,28,0),0),1)</f>
        <v>0</v>
      </c>
      <c r="FO18" s="140">
        <f>SUM($D18:N18)*IF($B18="Operacional",IFERROR(VLOOKUP($C18,SN_UGC,28,0),0),1)</f>
        <v>0</v>
      </c>
      <c r="FP18" s="140">
        <f>SUM($D18:O18)*IF($B18="Operacional",IFERROR(VLOOKUP($C18,SN_UGC,28,0),0),1)</f>
        <v>0</v>
      </c>
      <c r="FQ18" s="140">
        <f>SUM($D18:P18)*IF($B18="Operacional",IFERROR(VLOOKUP($C18,SN_UGC,28,0),0),1)</f>
        <v>0</v>
      </c>
      <c r="FR18" s="140">
        <f>SUM($D18:Q18)*IF($B18="Operacional",IFERROR(VLOOKUP($C18,SN_UGC,28,0),0),1)</f>
        <v>0</v>
      </c>
      <c r="FS18" s="140">
        <f>SUM($D18:R18)*IF($B18="Operacional",IFERROR(VLOOKUP($C18,SN_UGC,28,0),0),1)</f>
        <v>0</v>
      </c>
      <c r="FT18" s="140">
        <f>SUM($D18:S18)*IF($B18="Operacional",IFERROR(VLOOKUP($C18,SN_UGC,28,0),0),1)</f>
        <v>0</v>
      </c>
      <c r="FU18" s="140">
        <f>SUM($D18:T18)*IF($B18="Operacional",IFERROR(VLOOKUP($C18,SN_UGC,28,0),0),1)</f>
        <v>0</v>
      </c>
      <c r="FV18" s="140">
        <f>SUM($D18:U18)*IF($B18="Operacional",IFERROR(VLOOKUP($C18,SN_UGC,28,0),0),1)</f>
        <v>0</v>
      </c>
      <c r="FW18" s="140">
        <f>SUM($D18:V18)*IF($B18="Operacional",IFERROR(VLOOKUP($C18,SN_UGC,28,0),0),1)</f>
        <v>0</v>
      </c>
      <c r="FX18" s="140">
        <f>SUM($D18:W18)*IF($B18="Operacional",IFERROR(VLOOKUP($C18,SN_UGC,28,0),0),1)</f>
        <v>0</v>
      </c>
      <c r="FY18" s="140">
        <f>SUM($D18:X18)*IF($B18="Operacional",IFERROR(VLOOKUP($C18,SN_UGC,28,0),0),1)</f>
        <v>0</v>
      </c>
      <c r="FZ18" s="140">
        <f>SUM($D18:Y18)*IF($B18="Operacional",IFERROR(VLOOKUP($C18,SN_UGC,28,0),0),1)</f>
        <v>0</v>
      </c>
      <c r="GA18" s="140">
        <f>SUM($D18:Z18)*IF($B18="Operacional",IFERROR(VLOOKUP($C18,SN_UGC,28,0),0),1)</f>
        <v>0</v>
      </c>
      <c r="GB18" s="140">
        <f>SUM($D18:AA18)*IF($B18="Operacional",IFERROR(VLOOKUP($C18,SN_UGC,28,0),0),1)</f>
        <v>0</v>
      </c>
      <c r="GC18" s="140">
        <f>SUM($D18:AB18)*IF($B18="Operacional",IFERROR(VLOOKUP($C18,SN_UGC,28,0),0),1)</f>
        <v>0</v>
      </c>
      <c r="GD18" s="140">
        <f>SUM($D18:AC18)*IF($B18="Operacional",IFERROR(VLOOKUP($C18,SN_UGC,28,0),0),1)</f>
        <v>0</v>
      </c>
      <c r="GE18" s="140">
        <f>SUM($D18:AD18)*IF($B18="Operacional",IFERROR(VLOOKUP($C18,SN_UGC,28,0),0),1)</f>
        <v>0</v>
      </c>
      <c r="GF18" s="140">
        <f>SUM($D18:AE18)*IF($B18="Operacional",IFERROR(VLOOKUP($C18,SN_UGC,28,0),0),1)</f>
        <v>0</v>
      </c>
      <c r="GG18" s="140">
        <f>SUM($D18:AF18)*IF($B18="Operacional",IFERROR(VLOOKUP($C18,SN_UGC,28,0),0),1)</f>
        <v>0</v>
      </c>
      <c r="GH18" s="140">
        <f>SUM($D18:AG18)*IF($B18="Operacional",IFERROR(VLOOKUP($C18,SN_UGC,28,0),0),1)</f>
        <v>0</v>
      </c>
      <c r="GI18" s="141">
        <f t="shared" ref="GI18:HL18" si="87">FE18*$AH18*$AL18</f>
        <v>0</v>
      </c>
      <c r="GJ18" s="141">
        <f t="shared" si="87"/>
        <v>0</v>
      </c>
      <c r="GK18" s="141">
        <f t="shared" si="87"/>
        <v>0</v>
      </c>
      <c r="GL18" s="141">
        <f t="shared" si="87"/>
        <v>0</v>
      </c>
      <c r="GM18" s="141">
        <f t="shared" si="87"/>
        <v>0</v>
      </c>
      <c r="GN18" s="141">
        <f t="shared" si="87"/>
        <v>0</v>
      </c>
      <c r="GO18" s="141">
        <f t="shared" si="87"/>
        <v>0</v>
      </c>
      <c r="GP18" s="141">
        <f t="shared" si="87"/>
        <v>0</v>
      </c>
      <c r="GQ18" s="141">
        <f t="shared" si="87"/>
        <v>0</v>
      </c>
      <c r="GR18" s="141">
        <f t="shared" si="87"/>
        <v>0</v>
      </c>
      <c r="GS18" s="141">
        <f t="shared" si="87"/>
        <v>0</v>
      </c>
      <c r="GT18" s="141">
        <f t="shared" si="87"/>
        <v>0</v>
      </c>
      <c r="GU18" s="141">
        <f t="shared" si="87"/>
        <v>0</v>
      </c>
      <c r="GV18" s="141">
        <f t="shared" si="87"/>
        <v>0</v>
      </c>
      <c r="GW18" s="141">
        <f t="shared" si="87"/>
        <v>0</v>
      </c>
      <c r="GX18" s="141">
        <f t="shared" si="87"/>
        <v>0</v>
      </c>
      <c r="GY18" s="141">
        <f t="shared" si="87"/>
        <v>0</v>
      </c>
      <c r="GZ18" s="141">
        <f t="shared" si="87"/>
        <v>0</v>
      </c>
      <c r="HA18" s="141">
        <f t="shared" si="87"/>
        <v>0</v>
      </c>
      <c r="HB18" s="141">
        <f t="shared" si="87"/>
        <v>0</v>
      </c>
      <c r="HC18" s="141">
        <f t="shared" si="87"/>
        <v>0</v>
      </c>
      <c r="HD18" s="141">
        <f t="shared" si="87"/>
        <v>0</v>
      </c>
      <c r="HE18" s="141">
        <f t="shared" si="87"/>
        <v>0</v>
      </c>
      <c r="HF18" s="141">
        <f t="shared" si="87"/>
        <v>0</v>
      </c>
      <c r="HG18" s="141">
        <f t="shared" si="87"/>
        <v>0</v>
      </c>
      <c r="HH18" s="141">
        <f t="shared" si="87"/>
        <v>0</v>
      </c>
      <c r="HI18" s="141">
        <f t="shared" si="87"/>
        <v>0</v>
      </c>
      <c r="HJ18" s="141">
        <f t="shared" si="87"/>
        <v>0</v>
      </c>
      <c r="HK18" s="141">
        <f t="shared" si="87"/>
        <v>0</v>
      </c>
      <c r="HL18" s="141">
        <f t="shared" si="87"/>
        <v>0</v>
      </c>
      <c r="HM18" s="142">
        <f t="shared" ref="HM18:IP18" si="88">IF(ISBLANK($A18),,FE18*($AH18-($AH18*$AJ18))/$AI18)</f>
        <v>0</v>
      </c>
      <c r="HN18" s="142">
        <f t="shared" si="88"/>
        <v>0</v>
      </c>
      <c r="HO18" s="142">
        <f t="shared" si="88"/>
        <v>0</v>
      </c>
      <c r="HP18" s="142">
        <f t="shared" si="88"/>
        <v>0</v>
      </c>
      <c r="HQ18" s="142">
        <f t="shared" si="88"/>
        <v>0</v>
      </c>
      <c r="HR18" s="142">
        <f t="shared" si="88"/>
        <v>0</v>
      </c>
      <c r="HS18" s="142">
        <f t="shared" si="88"/>
        <v>0</v>
      </c>
      <c r="HT18" s="142">
        <f t="shared" si="88"/>
        <v>0</v>
      </c>
      <c r="HU18" s="142">
        <f t="shared" si="88"/>
        <v>0</v>
      </c>
      <c r="HV18" s="142">
        <f t="shared" si="88"/>
        <v>0</v>
      </c>
      <c r="HW18" s="142">
        <f t="shared" si="88"/>
        <v>0</v>
      </c>
      <c r="HX18" s="142">
        <f t="shared" si="88"/>
        <v>0</v>
      </c>
      <c r="HY18" s="142">
        <f t="shared" si="88"/>
        <v>0</v>
      </c>
      <c r="HZ18" s="142">
        <f t="shared" si="88"/>
        <v>0</v>
      </c>
      <c r="IA18" s="142">
        <f t="shared" si="88"/>
        <v>0</v>
      </c>
      <c r="IB18" s="142">
        <f t="shared" si="88"/>
        <v>0</v>
      </c>
      <c r="IC18" s="142">
        <f t="shared" si="88"/>
        <v>0</v>
      </c>
      <c r="ID18" s="142">
        <f t="shared" si="88"/>
        <v>0</v>
      </c>
      <c r="IE18" s="142">
        <f t="shared" si="88"/>
        <v>0</v>
      </c>
      <c r="IF18" s="142">
        <f t="shared" si="88"/>
        <v>0</v>
      </c>
      <c r="IG18" s="142">
        <f t="shared" si="88"/>
        <v>0</v>
      </c>
      <c r="IH18" s="142">
        <f t="shared" si="88"/>
        <v>0</v>
      </c>
      <c r="II18" s="142">
        <f t="shared" si="88"/>
        <v>0</v>
      </c>
      <c r="IJ18" s="142">
        <f t="shared" si="88"/>
        <v>0</v>
      </c>
      <c r="IK18" s="142">
        <f t="shared" si="88"/>
        <v>0</v>
      </c>
      <c r="IL18" s="142">
        <f t="shared" si="88"/>
        <v>0</v>
      </c>
      <c r="IM18" s="142">
        <f t="shared" si="88"/>
        <v>0</v>
      </c>
      <c r="IN18" s="142">
        <f t="shared" si="88"/>
        <v>0</v>
      </c>
      <c r="IO18" s="142">
        <f t="shared" si="88"/>
        <v>0</v>
      </c>
      <c r="IP18" s="142">
        <f t="shared" si="88"/>
        <v>0</v>
      </c>
      <c r="IQ18" s="141">
        <f>IF(ISBLANK($A18),,IF($AN18="Não",0,(SUM($AO18:AO18)*$AH18)-SUM($HM18:HM18)-SUM($CW18:CW18)))</f>
        <v>0</v>
      </c>
      <c r="IR18" s="141">
        <f>IF(ISBLANK($A18),,IF($AN18="Não",0,(SUM($AO18:AP18)*$AH18)-SUM($HM18:HN18)-SUM($CW18:CX18)))</f>
        <v>0</v>
      </c>
      <c r="IS18" s="141">
        <f>IF(ISBLANK($A18),,IF($AN18="Não",0,(SUM($AO18:AQ18)*$AH18)-SUM($HM18:HO18)-SUM($CW18:CY18)))</f>
        <v>0</v>
      </c>
      <c r="IT18" s="141">
        <f>IF(ISBLANK($A18),,IF($AN18="Não",0,(SUM($AO18:AR18)*$AH18)-SUM($HM18:HP18)-SUM($CW18:CZ18)))</f>
        <v>0</v>
      </c>
      <c r="IU18" s="141">
        <f>IF(ISBLANK($A18),,IF($AN18="Não",0,(SUM($AO18:AS18)*$AH18)-SUM($HM18:HQ18)-SUM($CW18:DA18)))</f>
        <v>0</v>
      </c>
      <c r="IV18" s="141">
        <f>IF(ISBLANK($A18),,IF($AN18="Não",0,(SUM($AO18:AT18)*$AH18)-SUM($HM18:HR18)-SUM($CW18:DB18)))</f>
        <v>0</v>
      </c>
      <c r="IW18" s="141">
        <f>IF(ISBLANK($A18),,IF($AN18="Não",0,(SUM($AO18:AU18)*$AH18)-SUM($HM18:HS18)-SUM($CW18:DC18)))</f>
        <v>0</v>
      </c>
      <c r="IX18" s="141">
        <f>IF(ISBLANK($A18),,IF($AN18="Não",0,(SUM($AO18:AV18)*$AH18)-SUM($HM18:HT18)-SUM($CW18:DD18)))</f>
        <v>0</v>
      </c>
      <c r="IY18" s="141">
        <f>IF(ISBLANK($A18),,IF($AN18="Não",0,(SUM($AO18:AW18)*$AH18)-SUM($HM18:HU18)-SUM($CW18:DE18)))</f>
        <v>0</v>
      </c>
      <c r="IZ18" s="141">
        <f>IF(ISBLANK($A18),,IF($AN18="Não",0,(SUM($AO18:AX18)*$AH18)-SUM($HM18:HV18)-SUM($CW18:DF18)))</f>
        <v>0</v>
      </c>
      <c r="JA18" s="141">
        <f>IF(ISBLANK($A18),,IF($AN18="Não",0,(SUM($AO18:AY18)*$AH18)-SUM($HM18:HW18)-SUM($CW18:DG18)))</f>
        <v>0</v>
      </c>
      <c r="JB18" s="141">
        <f>IF(ISBLANK($A18),,IF($AN18="Não",0,(SUM($AO18:AZ18)*$AH18)-SUM($HM18:HX18)-SUM($CW18:DH18)))</f>
        <v>0</v>
      </c>
      <c r="JC18" s="141">
        <f>IF(ISBLANK($A18),,IF($AN18="Não",0,(SUM($AO18:BA18)*$AH18)-SUM($HM18:HY18)-SUM($CW18:DI18)))</f>
        <v>0</v>
      </c>
      <c r="JD18" s="141">
        <f>IF(ISBLANK($A18),,IF($AN18="Não",0,(SUM($AO18:BB18)*$AH18)-SUM($HM18:HZ18)-SUM($CW18:DJ18)))</f>
        <v>0</v>
      </c>
      <c r="JE18" s="141">
        <f>IF(ISBLANK($A18),,IF($AN18="Não",0,(SUM($AO18:BC18)*$AH18)-SUM($HM18:IA18)-SUM($CW18:DK18)))</f>
        <v>0</v>
      </c>
      <c r="JF18" s="141">
        <f>IF(ISBLANK($A18),,IF($AN18="Não",0,(SUM($AO18:BD18)*$AH18)-SUM($HM18:IB18)-SUM($CW18:DL18)))</f>
        <v>0</v>
      </c>
      <c r="JG18" s="141">
        <f>IF(ISBLANK($A18),,IF($AN18="Não",0,(SUM($AO18:BE18)*$AH18)-SUM($HM18:IC18)-SUM($CW18:DM18)))</f>
        <v>0</v>
      </c>
      <c r="JH18" s="141">
        <f>IF(ISBLANK($A18),,IF($AN18="Não",0,(SUM($AO18:BF18)*$AH18)-SUM($HM18:ID18)-SUM($CW18:DN18)))</f>
        <v>0</v>
      </c>
      <c r="JI18" s="141">
        <f>IF(ISBLANK($A18),,IF($AN18="Não",0,(SUM($AO18:BG18)*$AH18)-SUM($HM18:IE18)-SUM($CW18:DO18)))</f>
        <v>0</v>
      </c>
      <c r="JJ18" s="141">
        <f>IF(ISBLANK($A18),,IF($AN18="Não",0,(SUM($AO18:BH18)*$AH18)-SUM($HM18:IF18)-SUM($CW18:DP18)))</f>
        <v>0</v>
      </c>
      <c r="JK18" s="141">
        <f>IF(ISBLANK($A18),,IF($AN18="Não",0,(SUM($AO18:BI18)*$AH18)-SUM($HM18:IG18)-SUM($CW18:DQ18)))</f>
        <v>0</v>
      </c>
      <c r="JL18" s="141">
        <f>IF(ISBLANK($A18),,IF($AN18="Não",0,(SUM($AO18:BJ18)*$AH18)-SUM($HM18:IH18)-SUM($CW18:DR18)))</f>
        <v>0</v>
      </c>
      <c r="JM18" s="141">
        <f>IF(ISBLANK($A18),,IF($AN18="Não",0,(SUM($AO18:BK18)*$AH18)-SUM($HM18:II18)-SUM($CW18:DS18)))</f>
        <v>0</v>
      </c>
      <c r="JN18" s="141">
        <f>IF(ISBLANK($A18),,IF($AN18="Não",0,(SUM($AO18:BL18)*$AH18)-SUM($HM18:IJ18)-SUM($CW18:DT18)))</f>
        <v>0</v>
      </c>
      <c r="JO18" s="141">
        <f>IF(ISBLANK($A18),,IF($AN18="Não",0,(SUM($AO18:BM18)*$AH18)-SUM($HM18:IK18)-SUM($CW18:DU18)))</f>
        <v>0</v>
      </c>
      <c r="JP18" s="141">
        <f>IF(ISBLANK($A18),,IF($AN18="Não",0,(SUM($AO18:BN18)*$AH18)-SUM($HM18:IL18)-SUM($CW18:DV18)))</f>
        <v>0</v>
      </c>
      <c r="JQ18" s="141">
        <f>IF(ISBLANK($A18),,IF($AN18="Não",0,(SUM($AO18:BO18)*$AH18)-SUM($HM18:IM18)-SUM($CW18:DW18)))</f>
        <v>0</v>
      </c>
      <c r="JR18" s="141">
        <f>IF(ISBLANK($A18),,IF($AN18="Não",0,(SUM($AO18:BP18)*$AH18)-SUM($HM18:IN18)-SUM($CW18:DX18)))</f>
        <v>0</v>
      </c>
      <c r="JS18" s="141">
        <f>IF(ISBLANK($A18),,IF($AN18="Não",0,(SUM($AO18:BQ18)*$AH18)-SUM($HM18:IO18)-SUM($CW18:DY18)))</f>
        <v>0</v>
      </c>
      <c r="JT18" s="141">
        <f>IF(ISBLANK($A18),,IF($AN18="Não",0,(SUM($AO18:BR18)*$AH18)-SUM($HM18:IP18)-SUM($CW18:DZ18)))</f>
        <v>0</v>
      </c>
    </row>
    <row r="19" spans="1:280" ht="15.75" customHeight="1">
      <c r="A19" s="129" t="s">
        <v>352</v>
      </c>
      <c r="B19" s="129" t="s">
        <v>209</v>
      </c>
      <c r="C19" s="138" t="s">
        <v>79</v>
      </c>
      <c r="D19" s="139">
        <v>46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607">
        <f t="shared" si="0"/>
        <v>2372.59</v>
      </c>
      <c r="AI19" s="608">
        <f t="shared" si="1"/>
        <v>30</v>
      </c>
      <c r="AJ19" s="609">
        <f t="shared" si="2"/>
        <v>0</v>
      </c>
      <c r="AK19" s="610" t="str">
        <f t="shared" si="3"/>
        <v>Edificações</v>
      </c>
      <c r="AL19" s="609">
        <f t="shared" si="4"/>
        <v>0.05</v>
      </c>
      <c r="AM19" s="611" t="str">
        <f t="shared" si="5"/>
        <v>Sim</v>
      </c>
      <c r="AN19" s="611" t="str">
        <f t="shared" si="6"/>
        <v>Não</v>
      </c>
      <c r="AO19" s="140">
        <f t="array" ref="AO19">IF(ISBLANK($A19),0,IF(OR(AO$5-$AI19&lt;=0,$AM19="Não"),D19,D19+INDEX($AO$6:$BR$176,ROW()-5,COLUMN()-40-$AI19)))*IF($B19="Operacional",IFERROR(VLOOKUP($C19,SN_UGC,28,0),0),1)</f>
        <v>46</v>
      </c>
      <c r="AP19" s="140">
        <f t="array" ref="AP19">IF(ISBLANK($A19),0,IF(OR(AP$5-$AI19&lt;=0,$AM19="Não"),E19,E19+INDEX($AO$6:$BR$176,ROW()-5,COLUMN()-40-$AI19)))*IF($B19="Operacional",IFERROR(VLOOKUP($C19,SN_UGC,28,0),0),1)</f>
        <v>0</v>
      </c>
      <c r="AQ19" s="140">
        <f t="array" ref="AQ19">IF(ISBLANK($A19),0,IF(OR(AQ$5-$AI19&lt;=0,$AM19="Não"),F19,F19+INDEX($AO$6:$BR$176,ROW()-5,COLUMN()-40-$AI19)))*IF($B19="Operacional",IFERROR(VLOOKUP($C19,SN_UGC,28,0),0),1)</f>
        <v>0</v>
      </c>
      <c r="AR19" s="140">
        <f t="array" ref="AR19">IF(ISBLANK($A19),0,IF(OR(AR$5-$AI19&lt;=0,$AM19="Não"),G19,G19+INDEX($AO$6:$BR$176,ROW()-5,COLUMN()-40-$AI19)))*IF($B19="Operacional",IFERROR(VLOOKUP($C19,SN_UGC,28,0),0),1)</f>
        <v>0</v>
      </c>
      <c r="AS19" s="140">
        <f t="array" ref="AS19">IF(ISBLANK($A19),0,IF(OR(AS$5-$AI19&lt;=0,$AM19="Não"),H19,H19+INDEX($AO$6:$BR$176,ROW()-5,COLUMN()-40-$AI19)))*IF($B19="Operacional",IFERROR(VLOOKUP($C19,SN_UGC,28,0),0),1)</f>
        <v>0</v>
      </c>
      <c r="AT19" s="140">
        <f t="array" ref="AT19">IF(ISBLANK($A19),0,IF(OR(AT$5-$AI19&lt;=0,$AM19="Não"),I19,I19+INDEX($AO$6:$BR$176,ROW()-5,COLUMN()-40-$AI19)))*IF($B19="Operacional",IFERROR(VLOOKUP($C19,SN_UGC,28,0),0),1)</f>
        <v>0</v>
      </c>
      <c r="AU19" s="140">
        <f t="array" ref="AU19">IF(ISBLANK($A19),0,IF(OR(AU$5-$AI19&lt;=0,$AM19="Não"),J19,J19+INDEX($AO$6:$BR$176,ROW()-5,COLUMN()-40-$AI19)))*IF($B19="Operacional",IFERROR(VLOOKUP($C19,SN_UGC,28,0),0),1)</f>
        <v>0</v>
      </c>
      <c r="AV19" s="140">
        <f t="array" ref="AV19">IF(ISBLANK($A19),0,IF(OR(AV$5-$AI19&lt;=0,$AM19="Não"),K19,K19+INDEX($AO$6:$BR$176,ROW()-5,COLUMN()-40-$AI19)))*IF($B19="Operacional",IFERROR(VLOOKUP($C19,SN_UGC,28,0),0),1)</f>
        <v>0</v>
      </c>
      <c r="AW19" s="140">
        <f t="array" ref="AW19">IF(ISBLANK($A19),0,IF(OR(AW$5-$AI19&lt;=0,$AM19="Não"),L19,L19+INDEX($AO$6:$BR$176,ROW()-5,COLUMN()-40-$AI19)))*IF($B19="Operacional",IFERROR(VLOOKUP($C19,SN_UGC,28,0),0),1)</f>
        <v>0</v>
      </c>
      <c r="AX19" s="140">
        <f t="array" ref="AX19">IF(ISBLANK($A19),0,IF(OR(AX$5-$AI19&lt;=0,$AM19="Não"),M19,M19+INDEX($AO$6:$BR$176,ROW()-5,COLUMN()-40-$AI19)))*IF($B19="Operacional",IFERROR(VLOOKUP($C19,SN_UGC,28,0),0),1)</f>
        <v>0</v>
      </c>
      <c r="AY19" s="140">
        <f t="array" ref="AY19">IF(ISBLANK($A19),0,IF(OR(AY$5-$AI19&lt;=0,$AM19="Não"),N19,N19+INDEX($AO$6:$BR$176,ROW()-5,COLUMN()-40-$AI19)))*IF($B19="Operacional",IFERROR(VLOOKUP($C19,SN_UGC,28,0),0),1)</f>
        <v>0</v>
      </c>
      <c r="AZ19" s="140">
        <f t="array" ref="AZ19">IF(ISBLANK($A19),0,IF(OR(AZ$5-$AI19&lt;=0,$AM19="Não"),O19,O19+INDEX($AO$6:$BR$176,ROW()-5,COLUMN()-40-$AI19)))*IF($B19="Operacional",IFERROR(VLOOKUP($C19,SN_UGC,28,0),0),1)</f>
        <v>0</v>
      </c>
      <c r="BA19" s="140">
        <f t="array" ref="BA19">IF(ISBLANK($A19),0,IF(OR(BA$5-$AI19&lt;=0,$AM19="Não"),P19,P19+INDEX($AO$6:$BR$176,ROW()-5,COLUMN()-40-$AI19)))*IF($B19="Operacional",IFERROR(VLOOKUP($C19,SN_UGC,28,0),0),1)</f>
        <v>0</v>
      </c>
      <c r="BB19" s="140">
        <f t="array" ref="BB19">IF(ISBLANK($A19),0,IF(OR(BB$5-$AI19&lt;=0,$AM19="Não"),Q19,Q19+INDEX($AO$6:$BR$176,ROW()-5,COLUMN()-40-$AI19)))*IF($B19="Operacional",IFERROR(VLOOKUP($C19,SN_UGC,28,0),0),1)</f>
        <v>0</v>
      </c>
      <c r="BC19" s="140">
        <f t="array" ref="BC19">IF(ISBLANK($A19),0,IF(OR(BC$5-$AI19&lt;=0,$AM19="Não"),R19,R19+INDEX($AO$6:$BR$176,ROW()-5,COLUMN()-40-$AI19)))*IF($B19="Operacional",IFERROR(VLOOKUP($C19,SN_UGC,28,0),0),1)</f>
        <v>0</v>
      </c>
      <c r="BD19" s="140">
        <f t="array" ref="BD19">IF(ISBLANK($A19),0,IF(OR(BD$5-$AI19&lt;=0,$AM19="Não"),S19,S19+INDEX($AO$6:$BR$176,ROW()-5,COLUMN()-40-$AI19)))*IF($B19="Operacional",IFERROR(VLOOKUP($C19,SN_UGC,28,0),0),1)</f>
        <v>0</v>
      </c>
      <c r="BE19" s="140">
        <f t="array" ref="BE19">IF(ISBLANK($A19),0,IF(OR(BE$5-$AI19&lt;=0,$AM19="Não"),T19,T19+INDEX($AO$6:$BR$176,ROW()-5,COLUMN()-40-$AI19)))*IF($B19="Operacional",IFERROR(VLOOKUP($C19,SN_UGC,28,0),0),1)</f>
        <v>0</v>
      </c>
      <c r="BF19" s="140">
        <f t="array" ref="BF19">IF(ISBLANK($A19),0,IF(OR(BF$5-$AI19&lt;=0,$AM19="Não"),U19,U19+INDEX($AO$6:$BR$176,ROW()-5,COLUMN()-40-$AI19)))*IF($B19="Operacional",IFERROR(VLOOKUP($C19,SN_UGC,28,0),0),1)</f>
        <v>0</v>
      </c>
      <c r="BG19" s="140">
        <f t="array" ref="BG19">IF(ISBLANK($A19),0,IF(OR(BG$5-$AI19&lt;=0,$AM19="Não"),V19,V19+INDEX($AO$6:$BR$176,ROW()-5,COLUMN()-40-$AI19)))*IF($B19="Operacional",IFERROR(VLOOKUP($C19,SN_UGC,28,0),0),1)</f>
        <v>0</v>
      </c>
      <c r="BH19" s="140">
        <f t="array" ref="BH19">IF(ISBLANK($A19),0,IF(OR(BH$5-$AI19&lt;=0,$AM19="Não"),W19,W19+INDEX($AO$6:$BR$176,ROW()-5,COLUMN()-40-$AI19)))*IF($B19="Operacional",IFERROR(VLOOKUP($C19,SN_UGC,28,0),0),1)</f>
        <v>0</v>
      </c>
      <c r="BI19" s="140">
        <f t="array" ref="BI19">IF(ISBLANK($A19),0,IF(OR(BI$5-$AI19&lt;=0,$AM19="Não"),X19,X19+INDEX($AO$6:$BR$176,ROW()-5,COLUMN()-40-$AI19)))*IF($B19="Operacional",IFERROR(VLOOKUP($C19,SN_UGC,28,0),0),1)</f>
        <v>0</v>
      </c>
      <c r="BJ19" s="140">
        <f t="array" ref="BJ19">IF(ISBLANK($A19),0,IF(OR(BJ$5-$AI19&lt;=0,$AM19="Não"),Y19,Y19+INDEX($AO$6:$BR$176,ROW()-5,COLUMN()-40-$AI19)))*IF($B19="Operacional",IFERROR(VLOOKUP($C19,SN_UGC,28,0),0),1)</f>
        <v>0</v>
      </c>
      <c r="BK19" s="140">
        <f t="array" ref="BK19">IF(ISBLANK($A19),0,IF(OR(BK$5-$AI19&lt;=0,$AM19="Não"),Z19,Z19+INDEX($AO$6:$BR$176,ROW()-5,COLUMN()-40-$AI19)))*IF($B19="Operacional",IFERROR(VLOOKUP($C19,SN_UGC,28,0),0),1)</f>
        <v>0</v>
      </c>
      <c r="BL19" s="140">
        <f t="array" ref="BL19">IF(ISBLANK($A19),0,IF(OR(BL$5-$AI19&lt;=0,$AM19="Não"),AA19,AA19+INDEX($AO$6:$BR$176,ROW()-5,COLUMN()-40-$AI19)))*IF($B19="Operacional",IFERROR(VLOOKUP($C19,SN_UGC,28,0),0),1)</f>
        <v>0</v>
      </c>
      <c r="BM19" s="140">
        <f t="array" ref="BM19">IF(ISBLANK($A19),0,IF(OR(BM$5-$AI19&lt;=0,$AM19="Não"),AB19,AB19+INDEX($AO$6:$BR$176,ROW()-5,COLUMN()-40-$AI19)))*IF($B19="Operacional",IFERROR(VLOOKUP($C19,SN_UGC,28,0),0),1)</f>
        <v>0</v>
      </c>
      <c r="BN19" s="140">
        <f t="array" ref="BN19">IF(ISBLANK($A19),0,IF(OR(BN$5-$AI19&lt;=0,$AM19="Não"),AC19,AC19+INDEX($AO$6:$BR$176,ROW()-5,COLUMN()-40-$AI19)))*IF($B19="Operacional",IFERROR(VLOOKUP($C19,SN_UGC,28,0),0),1)</f>
        <v>0</v>
      </c>
      <c r="BO19" s="140">
        <f t="array" ref="BO19">IF(ISBLANK($A19),0,IF(OR(BO$5-$AI19&lt;=0,$AM19="Não"),AD19,AD19+INDEX($AO$6:$BR$176,ROW()-5,COLUMN()-40-$AI19)))*IF($B19="Operacional",IFERROR(VLOOKUP($C19,SN_UGC,28,0),0),1)</f>
        <v>0</v>
      </c>
      <c r="BP19" s="140">
        <f t="array" ref="BP19">IF(ISBLANK($A19),0,IF(OR(BP$5-$AI19&lt;=0,$AM19="Não"),AE19,AE19+INDEX($AO$6:$BR$176,ROW()-5,COLUMN()-40-$AI19)))*IF($B19="Operacional",IFERROR(VLOOKUP($C19,SN_UGC,28,0),0),1)</f>
        <v>0</v>
      </c>
      <c r="BQ19" s="140">
        <f t="array" ref="BQ19">IF(ISBLANK($A19),0,IF(OR(BQ$5-$AI19&lt;=0,$AM19="Não"),AF19,AF19+INDEX($AO$6:$BR$176,ROW()-5,COLUMN()-40-$AI19)))*IF($B19="Operacional",IFERROR(VLOOKUP($C19,SN_UGC,28,0),0),1)</f>
        <v>0</v>
      </c>
      <c r="BR19" s="140">
        <f t="array" ref="BR19">IF(ISBLANK($A19),0,IF(OR(BR$5-$AI19&lt;=0,$AM19="Não"),AG19,AG19+INDEX($AO$6:$BR$176,ROW()-5,COLUMN()-40-$AI19)))*IF($B19="Operacional",IFERROR(VLOOKUP($C19,SN_UGC,28,0),0),1)</f>
        <v>0</v>
      </c>
      <c r="BS19" s="141">
        <f t="shared" ref="BS19:CV19" si="89">IF(ISBLANK($A19),0,$AH19*AO19)</f>
        <v>109139.14000000001</v>
      </c>
      <c r="BT19" s="141">
        <f t="shared" si="89"/>
        <v>0</v>
      </c>
      <c r="BU19" s="141">
        <f t="shared" si="89"/>
        <v>0</v>
      </c>
      <c r="BV19" s="141">
        <f t="shared" si="89"/>
        <v>0</v>
      </c>
      <c r="BW19" s="141">
        <f t="shared" si="89"/>
        <v>0</v>
      </c>
      <c r="BX19" s="141">
        <f t="shared" si="89"/>
        <v>0</v>
      </c>
      <c r="BY19" s="141">
        <f t="shared" si="89"/>
        <v>0</v>
      </c>
      <c r="BZ19" s="141">
        <f t="shared" si="89"/>
        <v>0</v>
      </c>
      <c r="CA19" s="141">
        <f t="shared" si="89"/>
        <v>0</v>
      </c>
      <c r="CB19" s="141">
        <f t="shared" si="89"/>
        <v>0</v>
      </c>
      <c r="CC19" s="141">
        <f t="shared" si="89"/>
        <v>0</v>
      </c>
      <c r="CD19" s="141">
        <f t="shared" si="89"/>
        <v>0</v>
      </c>
      <c r="CE19" s="141">
        <f t="shared" si="89"/>
        <v>0</v>
      </c>
      <c r="CF19" s="141">
        <f t="shared" si="89"/>
        <v>0</v>
      </c>
      <c r="CG19" s="141">
        <f t="shared" si="89"/>
        <v>0</v>
      </c>
      <c r="CH19" s="141">
        <f t="shared" si="89"/>
        <v>0</v>
      </c>
      <c r="CI19" s="141">
        <f t="shared" si="89"/>
        <v>0</v>
      </c>
      <c r="CJ19" s="141">
        <f t="shared" si="89"/>
        <v>0</v>
      </c>
      <c r="CK19" s="141">
        <f t="shared" si="89"/>
        <v>0</v>
      </c>
      <c r="CL19" s="141">
        <f t="shared" si="89"/>
        <v>0</v>
      </c>
      <c r="CM19" s="141">
        <f t="shared" si="89"/>
        <v>0</v>
      </c>
      <c r="CN19" s="141">
        <f t="shared" si="89"/>
        <v>0</v>
      </c>
      <c r="CO19" s="141">
        <f t="shared" si="89"/>
        <v>0</v>
      </c>
      <c r="CP19" s="141">
        <f t="shared" si="89"/>
        <v>0</v>
      </c>
      <c r="CQ19" s="141">
        <f t="shared" si="89"/>
        <v>0</v>
      </c>
      <c r="CR19" s="141">
        <f t="shared" si="89"/>
        <v>0</v>
      </c>
      <c r="CS19" s="141">
        <f t="shared" si="89"/>
        <v>0</v>
      </c>
      <c r="CT19" s="141">
        <f t="shared" si="89"/>
        <v>0</v>
      </c>
      <c r="CU19" s="141">
        <f t="shared" si="89"/>
        <v>0</v>
      </c>
      <c r="CV19" s="141">
        <f t="shared" si="89"/>
        <v>0</v>
      </c>
      <c r="CW19" s="142">
        <f t="shared" ref="CW19:DZ19" si="90">EA19*$AH19*$AJ19</f>
        <v>0</v>
      </c>
      <c r="CX19" s="142">
        <f t="shared" si="90"/>
        <v>0</v>
      </c>
      <c r="CY19" s="142">
        <f t="shared" si="90"/>
        <v>0</v>
      </c>
      <c r="CZ19" s="142">
        <f t="shared" si="90"/>
        <v>0</v>
      </c>
      <c r="DA19" s="142">
        <f t="shared" si="90"/>
        <v>0</v>
      </c>
      <c r="DB19" s="142">
        <f t="shared" si="90"/>
        <v>0</v>
      </c>
      <c r="DC19" s="142">
        <f t="shared" si="90"/>
        <v>0</v>
      </c>
      <c r="DD19" s="142">
        <f t="shared" si="90"/>
        <v>0</v>
      </c>
      <c r="DE19" s="142">
        <f t="shared" si="90"/>
        <v>0</v>
      </c>
      <c r="DF19" s="142">
        <f t="shared" si="90"/>
        <v>0</v>
      </c>
      <c r="DG19" s="142">
        <f t="shared" si="90"/>
        <v>0</v>
      </c>
      <c r="DH19" s="142">
        <f t="shared" si="90"/>
        <v>0</v>
      </c>
      <c r="DI19" s="142">
        <f t="shared" si="90"/>
        <v>0</v>
      </c>
      <c r="DJ19" s="142">
        <f t="shared" si="90"/>
        <v>0</v>
      </c>
      <c r="DK19" s="142">
        <f t="shared" si="90"/>
        <v>0</v>
      </c>
      <c r="DL19" s="142">
        <f t="shared" si="90"/>
        <v>0</v>
      </c>
      <c r="DM19" s="142">
        <f t="shared" si="90"/>
        <v>0</v>
      </c>
      <c r="DN19" s="142">
        <f t="shared" si="90"/>
        <v>0</v>
      </c>
      <c r="DO19" s="142">
        <f t="shared" si="90"/>
        <v>0</v>
      </c>
      <c r="DP19" s="142">
        <f t="shared" si="90"/>
        <v>0</v>
      </c>
      <c r="DQ19" s="142">
        <f t="shared" si="90"/>
        <v>0</v>
      </c>
      <c r="DR19" s="142">
        <f t="shared" si="90"/>
        <v>0</v>
      </c>
      <c r="DS19" s="142">
        <f t="shared" si="90"/>
        <v>0</v>
      </c>
      <c r="DT19" s="142">
        <f t="shared" si="90"/>
        <v>0</v>
      </c>
      <c r="DU19" s="142">
        <f t="shared" si="90"/>
        <v>0</v>
      </c>
      <c r="DV19" s="142">
        <f t="shared" si="90"/>
        <v>0</v>
      </c>
      <c r="DW19" s="142">
        <f t="shared" si="90"/>
        <v>0</v>
      </c>
      <c r="DX19" s="142">
        <f t="shared" si="90"/>
        <v>0</v>
      </c>
      <c r="DY19" s="142">
        <f t="shared" si="90"/>
        <v>0</v>
      </c>
      <c r="DZ19" s="142">
        <f t="shared" si="90"/>
        <v>0</v>
      </c>
      <c r="EA19" s="143">
        <f t="shared" si="9"/>
        <v>0</v>
      </c>
      <c r="EB19" s="143">
        <f t="shared" si="10"/>
        <v>0</v>
      </c>
      <c r="EC19" s="143">
        <f t="shared" si="11"/>
        <v>0</v>
      </c>
      <c r="ED19" s="143">
        <f t="shared" si="12"/>
        <v>0</v>
      </c>
      <c r="EE19" s="143">
        <f t="shared" si="13"/>
        <v>0</v>
      </c>
      <c r="EF19" s="143">
        <f t="shared" si="14"/>
        <v>0</v>
      </c>
      <c r="EG19" s="143">
        <f t="shared" si="15"/>
        <v>0</v>
      </c>
      <c r="EH19" s="143">
        <f t="shared" si="16"/>
        <v>0</v>
      </c>
      <c r="EI19" s="143">
        <f t="shared" si="17"/>
        <v>0</v>
      </c>
      <c r="EJ19" s="143">
        <f t="shared" si="18"/>
        <v>0</v>
      </c>
      <c r="EK19" s="143">
        <f t="shared" si="19"/>
        <v>0</v>
      </c>
      <c r="EL19" s="143">
        <f t="shared" si="20"/>
        <v>0</v>
      </c>
      <c r="EM19" s="143">
        <f t="shared" si="21"/>
        <v>0</v>
      </c>
      <c r="EN19" s="143">
        <f t="shared" si="22"/>
        <v>0</v>
      </c>
      <c r="EO19" s="143">
        <f t="shared" si="23"/>
        <v>0</v>
      </c>
      <c r="EP19" s="143">
        <f t="shared" si="24"/>
        <v>0</v>
      </c>
      <c r="EQ19" s="143">
        <f t="shared" si="25"/>
        <v>0</v>
      </c>
      <c r="ER19" s="143">
        <f t="shared" si="26"/>
        <v>0</v>
      </c>
      <c r="ES19" s="143">
        <f t="shared" si="27"/>
        <v>0</v>
      </c>
      <c r="ET19" s="143">
        <f t="shared" si="28"/>
        <v>0</v>
      </c>
      <c r="EU19" s="143">
        <f t="shared" si="29"/>
        <v>0</v>
      </c>
      <c r="EV19" s="143">
        <f t="shared" si="30"/>
        <v>0</v>
      </c>
      <c r="EW19" s="143">
        <f t="shared" si="31"/>
        <v>0</v>
      </c>
      <c r="EX19" s="143">
        <f t="shared" si="32"/>
        <v>0</v>
      </c>
      <c r="EY19" s="143">
        <f t="shared" si="33"/>
        <v>0</v>
      </c>
      <c r="EZ19" s="143">
        <f t="shared" si="34"/>
        <v>0</v>
      </c>
      <c r="FA19" s="143">
        <f t="shared" si="35"/>
        <v>0</v>
      </c>
      <c r="FB19" s="143">
        <f t="shared" si="36"/>
        <v>0</v>
      </c>
      <c r="FC19" s="143">
        <f t="shared" si="37"/>
        <v>0</v>
      </c>
      <c r="FD19" s="143">
        <f t="shared" si="38"/>
        <v>0</v>
      </c>
      <c r="FE19" s="140">
        <f>SUM($D19:D19)*IF($B19="Operacional",IFERROR(VLOOKUP($C19,SN_UGC,28,0),0),1)</f>
        <v>46</v>
      </c>
      <c r="FF19" s="140">
        <f>SUM($D19:E19)*IF($B19="Operacional",IFERROR(VLOOKUP($C19,SN_UGC,28,0),0),1)</f>
        <v>46</v>
      </c>
      <c r="FG19" s="140">
        <f>SUM($D19:F19)*IF($B19="Operacional",IFERROR(VLOOKUP($C19,SN_UGC,28,0),0),1)</f>
        <v>46</v>
      </c>
      <c r="FH19" s="140">
        <f>SUM($D19:G19)*IF($B19="Operacional",IFERROR(VLOOKUP($C19,SN_UGC,28,0),0),1)</f>
        <v>46</v>
      </c>
      <c r="FI19" s="140">
        <f>SUM($D19:H19)*IF($B19="Operacional",IFERROR(VLOOKUP($C19,SN_UGC,28,0),0),1)</f>
        <v>46</v>
      </c>
      <c r="FJ19" s="140">
        <f>SUM($D19:I19)*IF($B19="Operacional",IFERROR(VLOOKUP($C19,SN_UGC,28,0),0),1)</f>
        <v>46</v>
      </c>
      <c r="FK19" s="140">
        <f>SUM($D19:J19)*IF($B19="Operacional",IFERROR(VLOOKUP($C19,SN_UGC,28,0),0),1)</f>
        <v>46</v>
      </c>
      <c r="FL19" s="140">
        <f>SUM($D19:K19)*IF($B19="Operacional",IFERROR(VLOOKUP($C19,SN_UGC,28,0),0),1)</f>
        <v>46</v>
      </c>
      <c r="FM19" s="140">
        <f>SUM($D19:L19)*IF($B19="Operacional",IFERROR(VLOOKUP($C19,SN_UGC,28,0),0),1)</f>
        <v>46</v>
      </c>
      <c r="FN19" s="140">
        <f>SUM($D19:M19)*IF($B19="Operacional",IFERROR(VLOOKUP($C19,SN_UGC,28,0),0),1)</f>
        <v>46</v>
      </c>
      <c r="FO19" s="140">
        <f>SUM($D19:N19)*IF($B19="Operacional",IFERROR(VLOOKUP($C19,SN_UGC,28,0),0),1)</f>
        <v>46</v>
      </c>
      <c r="FP19" s="140">
        <f>SUM($D19:O19)*IF($B19="Operacional",IFERROR(VLOOKUP($C19,SN_UGC,28,0),0),1)</f>
        <v>46</v>
      </c>
      <c r="FQ19" s="140">
        <f>SUM($D19:P19)*IF($B19="Operacional",IFERROR(VLOOKUP($C19,SN_UGC,28,0),0),1)</f>
        <v>46</v>
      </c>
      <c r="FR19" s="140">
        <f>SUM($D19:Q19)*IF($B19="Operacional",IFERROR(VLOOKUP($C19,SN_UGC,28,0),0),1)</f>
        <v>46</v>
      </c>
      <c r="FS19" s="140">
        <f>SUM($D19:R19)*IF($B19="Operacional",IFERROR(VLOOKUP($C19,SN_UGC,28,0),0),1)</f>
        <v>46</v>
      </c>
      <c r="FT19" s="140">
        <f>SUM($D19:S19)*IF($B19="Operacional",IFERROR(VLOOKUP($C19,SN_UGC,28,0),0),1)</f>
        <v>46</v>
      </c>
      <c r="FU19" s="140">
        <f>SUM($D19:T19)*IF($B19="Operacional",IFERROR(VLOOKUP($C19,SN_UGC,28,0),0),1)</f>
        <v>46</v>
      </c>
      <c r="FV19" s="140">
        <f>SUM($D19:U19)*IF($B19="Operacional",IFERROR(VLOOKUP($C19,SN_UGC,28,0),0),1)</f>
        <v>46</v>
      </c>
      <c r="FW19" s="140">
        <f>SUM($D19:V19)*IF($B19="Operacional",IFERROR(VLOOKUP($C19,SN_UGC,28,0),0),1)</f>
        <v>46</v>
      </c>
      <c r="FX19" s="140">
        <f>SUM($D19:W19)*IF($B19="Operacional",IFERROR(VLOOKUP($C19,SN_UGC,28,0),0),1)</f>
        <v>46</v>
      </c>
      <c r="FY19" s="140">
        <f>SUM($D19:X19)*IF($B19="Operacional",IFERROR(VLOOKUP($C19,SN_UGC,28,0),0),1)</f>
        <v>46</v>
      </c>
      <c r="FZ19" s="140">
        <f>SUM($D19:Y19)*IF($B19="Operacional",IFERROR(VLOOKUP($C19,SN_UGC,28,0),0),1)</f>
        <v>46</v>
      </c>
      <c r="GA19" s="140">
        <f>SUM($D19:Z19)*IF($B19="Operacional",IFERROR(VLOOKUP($C19,SN_UGC,28,0),0),1)</f>
        <v>46</v>
      </c>
      <c r="GB19" s="140">
        <f>SUM($D19:AA19)*IF($B19="Operacional",IFERROR(VLOOKUP($C19,SN_UGC,28,0),0),1)</f>
        <v>46</v>
      </c>
      <c r="GC19" s="140">
        <f>SUM($D19:AB19)*IF($B19="Operacional",IFERROR(VLOOKUP($C19,SN_UGC,28,0),0),1)</f>
        <v>46</v>
      </c>
      <c r="GD19" s="140">
        <f>SUM($D19:AC19)*IF($B19="Operacional",IFERROR(VLOOKUP($C19,SN_UGC,28,0),0),1)</f>
        <v>46</v>
      </c>
      <c r="GE19" s="140">
        <f>SUM($D19:AD19)*IF($B19="Operacional",IFERROR(VLOOKUP($C19,SN_UGC,28,0),0),1)</f>
        <v>46</v>
      </c>
      <c r="GF19" s="140">
        <f>SUM($D19:AE19)*IF($B19="Operacional",IFERROR(VLOOKUP($C19,SN_UGC,28,0),0),1)</f>
        <v>46</v>
      </c>
      <c r="GG19" s="140">
        <f>SUM($D19:AF19)*IF($B19="Operacional",IFERROR(VLOOKUP($C19,SN_UGC,28,0),0),1)</f>
        <v>46</v>
      </c>
      <c r="GH19" s="140">
        <f>SUM($D19:AG19)*IF($B19="Operacional",IFERROR(VLOOKUP($C19,SN_UGC,28,0),0),1)</f>
        <v>46</v>
      </c>
      <c r="GI19" s="141">
        <f t="shared" ref="GI19:HL19" si="91">FE19*$AH19*$AL19</f>
        <v>5456.9570000000012</v>
      </c>
      <c r="GJ19" s="141">
        <f t="shared" si="91"/>
        <v>5456.9570000000012</v>
      </c>
      <c r="GK19" s="141">
        <f t="shared" si="91"/>
        <v>5456.9570000000012</v>
      </c>
      <c r="GL19" s="141">
        <f t="shared" si="91"/>
        <v>5456.9570000000012</v>
      </c>
      <c r="GM19" s="141">
        <f t="shared" si="91"/>
        <v>5456.9570000000012</v>
      </c>
      <c r="GN19" s="141">
        <f t="shared" si="91"/>
        <v>5456.9570000000012</v>
      </c>
      <c r="GO19" s="141">
        <f t="shared" si="91"/>
        <v>5456.9570000000012</v>
      </c>
      <c r="GP19" s="141">
        <f t="shared" si="91"/>
        <v>5456.9570000000012</v>
      </c>
      <c r="GQ19" s="141">
        <f t="shared" si="91"/>
        <v>5456.9570000000012</v>
      </c>
      <c r="GR19" s="141">
        <f t="shared" si="91"/>
        <v>5456.9570000000012</v>
      </c>
      <c r="GS19" s="141">
        <f t="shared" si="91"/>
        <v>5456.9570000000012</v>
      </c>
      <c r="GT19" s="141">
        <f t="shared" si="91"/>
        <v>5456.9570000000012</v>
      </c>
      <c r="GU19" s="141">
        <f t="shared" si="91"/>
        <v>5456.9570000000012</v>
      </c>
      <c r="GV19" s="141">
        <f t="shared" si="91"/>
        <v>5456.9570000000012</v>
      </c>
      <c r="GW19" s="141">
        <f t="shared" si="91"/>
        <v>5456.9570000000012</v>
      </c>
      <c r="GX19" s="141">
        <f t="shared" si="91"/>
        <v>5456.9570000000012</v>
      </c>
      <c r="GY19" s="141">
        <f t="shared" si="91"/>
        <v>5456.9570000000012</v>
      </c>
      <c r="GZ19" s="141">
        <f t="shared" si="91"/>
        <v>5456.9570000000012</v>
      </c>
      <c r="HA19" s="141">
        <f t="shared" si="91"/>
        <v>5456.9570000000012</v>
      </c>
      <c r="HB19" s="141">
        <f t="shared" si="91"/>
        <v>5456.9570000000012</v>
      </c>
      <c r="HC19" s="141">
        <f t="shared" si="91"/>
        <v>5456.9570000000012</v>
      </c>
      <c r="HD19" s="141">
        <f t="shared" si="91"/>
        <v>5456.9570000000012</v>
      </c>
      <c r="HE19" s="141">
        <f t="shared" si="91"/>
        <v>5456.9570000000012</v>
      </c>
      <c r="HF19" s="141">
        <f t="shared" si="91"/>
        <v>5456.9570000000012</v>
      </c>
      <c r="HG19" s="141">
        <f t="shared" si="91"/>
        <v>5456.9570000000012</v>
      </c>
      <c r="HH19" s="141">
        <f t="shared" si="91"/>
        <v>5456.9570000000012</v>
      </c>
      <c r="HI19" s="141">
        <f t="shared" si="91"/>
        <v>5456.9570000000012</v>
      </c>
      <c r="HJ19" s="141">
        <f t="shared" si="91"/>
        <v>5456.9570000000012</v>
      </c>
      <c r="HK19" s="141">
        <f t="shared" si="91"/>
        <v>5456.9570000000012</v>
      </c>
      <c r="HL19" s="141">
        <f t="shared" si="91"/>
        <v>5456.9570000000012</v>
      </c>
      <c r="HM19" s="142">
        <f t="shared" ref="HM19:IP19" si="92">IF(ISBLANK($A19),,FE19*($AH19-($AH19*$AJ19))/$AI19)</f>
        <v>3637.9713333333339</v>
      </c>
      <c r="HN19" s="142">
        <f t="shared" si="92"/>
        <v>3637.9713333333339</v>
      </c>
      <c r="HO19" s="142">
        <f t="shared" si="92"/>
        <v>3637.9713333333339</v>
      </c>
      <c r="HP19" s="142">
        <f t="shared" si="92"/>
        <v>3637.9713333333339</v>
      </c>
      <c r="HQ19" s="142">
        <f t="shared" si="92"/>
        <v>3637.9713333333339</v>
      </c>
      <c r="HR19" s="142">
        <f t="shared" si="92"/>
        <v>3637.9713333333339</v>
      </c>
      <c r="HS19" s="142">
        <f t="shared" si="92"/>
        <v>3637.9713333333339</v>
      </c>
      <c r="HT19" s="142">
        <f t="shared" si="92"/>
        <v>3637.9713333333339</v>
      </c>
      <c r="HU19" s="142">
        <f t="shared" si="92"/>
        <v>3637.9713333333339</v>
      </c>
      <c r="HV19" s="142">
        <f t="shared" si="92"/>
        <v>3637.9713333333339</v>
      </c>
      <c r="HW19" s="142">
        <f t="shared" si="92"/>
        <v>3637.9713333333339</v>
      </c>
      <c r="HX19" s="142">
        <f t="shared" si="92"/>
        <v>3637.9713333333339</v>
      </c>
      <c r="HY19" s="142">
        <f t="shared" si="92"/>
        <v>3637.9713333333339</v>
      </c>
      <c r="HZ19" s="142">
        <f t="shared" si="92"/>
        <v>3637.9713333333339</v>
      </c>
      <c r="IA19" s="142">
        <f t="shared" si="92"/>
        <v>3637.9713333333339</v>
      </c>
      <c r="IB19" s="142">
        <f t="shared" si="92"/>
        <v>3637.9713333333339</v>
      </c>
      <c r="IC19" s="142">
        <f t="shared" si="92"/>
        <v>3637.9713333333339</v>
      </c>
      <c r="ID19" s="142">
        <f t="shared" si="92"/>
        <v>3637.9713333333339</v>
      </c>
      <c r="IE19" s="142">
        <f t="shared" si="92"/>
        <v>3637.9713333333339</v>
      </c>
      <c r="IF19" s="142">
        <f t="shared" si="92"/>
        <v>3637.9713333333339</v>
      </c>
      <c r="IG19" s="142">
        <f t="shared" si="92"/>
        <v>3637.9713333333339</v>
      </c>
      <c r="IH19" s="142">
        <f t="shared" si="92"/>
        <v>3637.9713333333339</v>
      </c>
      <c r="II19" s="142">
        <f t="shared" si="92"/>
        <v>3637.9713333333339</v>
      </c>
      <c r="IJ19" s="142">
        <f t="shared" si="92"/>
        <v>3637.9713333333339</v>
      </c>
      <c r="IK19" s="142">
        <f t="shared" si="92"/>
        <v>3637.9713333333339</v>
      </c>
      <c r="IL19" s="142">
        <f t="shared" si="92"/>
        <v>3637.9713333333339</v>
      </c>
      <c r="IM19" s="142">
        <f t="shared" si="92"/>
        <v>3637.9713333333339</v>
      </c>
      <c r="IN19" s="142">
        <f t="shared" si="92"/>
        <v>3637.9713333333339</v>
      </c>
      <c r="IO19" s="142">
        <f t="shared" si="92"/>
        <v>3637.9713333333339</v>
      </c>
      <c r="IP19" s="142">
        <f t="shared" si="92"/>
        <v>3637.9713333333339</v>
      </c>
      <c r="IQ19" s="141">
        <f>IF(ISBLANK($A19),,IF($AN19="Não",0,(SUM($AO19:AO19)*$AH19)-SUM($HM19:HM19)-SUM($CW19:CW19)))</f>
        <v>0</v>
      </c>
      <c r="IR19" s="141">
        <f>IF(ISBLANK($A19),,IF($AN19="Não",0,(SUM($AO19:AP19)*$AH19)-SUM($HM19:HN19)-SUM($CW19:CX19)))</f>
        <v>0</v>
      </c>
      <c r="IS19" s="141">
        <f>IF(ISBLANK($A19),,IF($AN19="Não",0,(SUM($AO19:AQ19)*$AH19)-SUM($HM19:HO19)-SUM($CW19:CY19)))</f>
        <v>0</v>
      </c>
      <c r="IT19" s="141">
        <f>IF(ISBLANK($A19),,IF($AN19="Não",0,(SUM($AO19:AR19)*$AH19)-SUM($HM19:HP19)-SUM($CW19:CZ19)))</f>
        <v>0</v>
      </c>
      <c r="IU19" s="141">
        <f>IF(ISBLANK($A19),,IF($AN19="Não",0,(SUM($AO19:AS19)*$AH19)-SUM($HM19:HQ19)-SUM($CW19:DA19)))</f>
        <v>0</v>
      </c>
      <c r="IV19" s="141">
        <f>IF(ISBLANK($A19),,IF($AN19="Não",0,(SUM($AO19:AT19)*$AH19)-SUM($HM19:HR19)-SUM($CW19:DB19)))</f>
        <v>0</v>
      </c>
      <c r="IW19" s="141">
        <f>IF(ISBLANK($A19),,IF($AN19="Não",0,(SUM($AO19:AU19)*$AH19)-SUM($HM19:HS19)-SUM($CW19:DC19)))</f>
        <v>0</v>
      </c>
      <c r="IX19" s="141">
        <f>IF(ISBLANK($A19),,IF($AN19="Não",0,(SUM($AO19:AV19)*$AH19)-SUM($HM19:HT19)-SUM($CW19:DD19)))</f>
        <v>0</v>
      </c>
      <c r="IY19" s="141">
        <f>IF(ISBLANK($A19),,IF($AN19="Não",0,(SUM($AO19:AW19)*$AH19)-SUM($HM19:HU19)-SUM($CW19:DE19)))</f>
        <v>0</v>
      </c>
      <c r="IZ19" s="141">
        <f>IF(ISBLANK($A19),,IF($AN19="Não",0,(SUM($AO19:AX19)*$AH19)-SUM($HM19:HV19)-SUM($CW19:DF19)))</f>
        <v>0</v>
      </c>
      <c r="JA19" s="141">
        <f>IF(ISBLANK($A19),,IF($AN19="Não",0,(SUM($AO19:AY19)*$AH19)-SUM($HM19:HW19)-SUM($CW19:DG19)))</f>
        <v>0</v>
      </c>
      <c r="JB19" s="141">
        <f>IF(ISBLANK($A19),,IF($AN19="Não",0,(SUM($AO19:AZ19)*$AH19)-SUM($HM19:HX19)-SUM($CW19:DH19)))</f>
        <v>0</v>
      </c>
      <c r="JC19" s="141">
        <f>IF(ISBLANK($A19),,IF($AN19="Não",0,(SUM($AO19:BA19)*$AH19)-SUM($HM19:HY19)-SUM($CW19:DI19)))</f>
        <v>0</v>
      </c>
      <c r="JD19" s="141">
        <f>IF(ISBLANK($A19),,IF($AN19="Não",0,(SUM($AO19:BB19)*$AH19)-SUM($HM19:HZ19)-SUM($CW19:DJ19)))</f>
        <v>0</v>
      </c>
      <c r="JE19" s="141">
        <f>IF(ISBLANK($A19),,IF($AN19="Não",0,(SUM($AO19:BC19)*$AH19)-SUM($HM19:IA19)-SUM($CW19:DK19)))</f>
        <v>0</v>
      </c>
      <c r="JF19" s="141">
        <f>IF(ISBLANK($A19),,IF($AN19="Não",0,(SUM($AO19:BD19)*$AH19)-SUM($HM19:IB19)-SUM($CW19:DL19)))</f>
        <v>0</v>
      </c>
      <c r="JG19" s="141">
        <f>IF(ISBLANK($A19),,IF($AN19="Não",0,(SUM($AO19:BE19)*$AH19)-SUM($HM19:IC19)-SUM($CW19:DM19)))</f>
        <v>0</v>
      </c>
      <c r="JH19" s="141">
        <f>IF(ISBLANK($A19),,IF($AN19="Não",0,(SUM($AO19:BF19)*$AH19)-SUM($HM19:ID19)-SUM($CW19:DN19)))</f>
        <v>0</v>
      </c>
      <c r="JI19" s="141">
        <f>IF(ISBLANK($A19),,IF($AN19="Não",0,(SUM($AO19:BG19)*$AH19)-SUM($HM19:IE19)-SUM($CW19:DO19)))</f>
        <v>0</v>
      </c>
      <c r="JJ19" s="141">
        <f>IF(ISBLANK($A19),,IF($AN19="Não",0,(SUM($AO19:BH19)*$AH19)-SUM($HM19:IF19)-SUM($CW19:DP19)))</f>
        <v>0</v>
      </c>
      <c r="JK19" s="141">
        <f>IF(ISBLANK($A19),,IF($AN19="Não",0,(SUM($AO19:BI19)*$AH19)-SUM($HM19:IG19)-SUM($CW19:DQ19)))</f>
        <v>0</v>
      </c>
      <c r="JL19" s="141">
        <f>IF(ISBLANK($A19),,IF($AN19="Não",0,(SUM($AO19:BJ19)*$AH19)-SUM($HM19:IH19)-SUM($CW19:DR19)))</f>
        <v>0</v>
      </c>
      <c r="JM19" s="141">
        <f>IF(ISBLANK($A19),,IF($AN19="Não",0,(SUM($AO19:BK19)*$AH19)-SUM($HM19:II19)-SUM($CW19:DS19)))</f>
        <v>0</v>
      </c>
      <c r="JN19" s="141">
        <f>IF(ISBLANK($A19),,IF($AN19="Não",0,(SUM($AO19:BL19)*$AH19)-SUM($HM19:IJ19)-SUM($CW19:DT19)))</f>
        <v>0</v>
      </c>
      <c r="JO19" s="141">
        <f>IF(ISBLANK($A19),,IF($AN19="Não",0,(SUM($AO19:BM19)*$AH19)-SUM($HM19:IK19)-SUM($CW19:DU19)))</f>
        <v>0</v>
      </c>
      <c r="JP19" s="141">
        <f>IF(ISBLANK($A19),,IF($AN19="Não",0,(SUM($AO19:BN19)*$AH19)-SUM($HM19:IL19)-SUM($CW19:DV19)))</f>
        <v>0</v>
      </c>
      <c r="JQ19" s="141">
        <f>IF(ISBLANK($A19),,IF($AN19="Não",0,(SUM($AO19:BO19)*$AH19)-SUM($HM19:IM19)-SUM($CW19:DW19)))</f>
        <v>0</v>
      </c>
      <c r="JR19" s="141">
        <f>IF(ISBLANK($A19),,IF($AN19="Não",0,(SUM($AO19:BP19)*$AH19)-SUM($HM19:IN19)-SUM($CW19:DX19)))</f>
        <v>0</v>
      </c>
      <c r="JS19" s="141">
        <f>IF(ISBLANK($A19),,IF($AN19="Não",0,(SUM($AO19:BQ19)*$AH19)-SUM($HM19:IO19)-SUM($CW19:DY19)))</f>
        <v>0</v>
      </c>
      <c r="JT19" s="141">
        <f>IF(ISBLANK($A19),,IF($AN19="Não",0,(SUM($AO19:BR19)*$AH19)-SUM($HM19:IP19)-SUM($CW19:DZ19)))</f>
        <v>0</v>
      </c>
    </row>
    <row r="20" spans="1:280" ht="15.75" customHeight="1">
      <c r="A20" s="129" t="s">
        <v>357</v>
      </c>
      <c r="B20" s="129" t="s">
        <v>209</v>
      </c>
      <c r="C20" s="138" t="s">
        <v>79</v>
      </c>
      <c r="D20" s="139">
        <v>1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607">
        <f t="shared" si="0"/>
        <v>1760.0000000000002</v>
      </c>
      <c r="AI20" s="608">
        <f t="shared" si="1"/>
        <v>10</v>
      </c>
      <c r="AJ20" s="609">
        <f t="shared" si="2"/>
        <v>0</v>
      </c>
      <c r="AK20" s="610" t="str">
        <f t="shared" si="3"/>
        <v>Infraestrutura</v>
      </c>
      <c r="AL20" s="609">
        <f t="shared" si="4"/>
        <v>0.05</v>
      </c>
      <c r="AM20" s="611" t="str">
        <f t="shared" si="5"/>
        <v>Sim</v>
      </c>
      <c r="AN20" s="611" t="str">
        <f t="shared" si="6"/>
        <v>Não</v>
      </c>
      <c r="AO20" s="140">
        <f t="array" ref="AO20">IF(ISBLANK($A20),0,IF(OR(AO$5-$AI20&lt;=0,$AM20="Não"),D20,D20+INDEX($AO$6:$BR$176,ROW()-5,COLUMN()-40-$AI20)))*IF($B20="Operacional",IFERROR(VLOOKUP($C20,SN_UGC,28,0),0),1)</f>
        <v>1</v>
      </c>
      <c r="AP20" s="140">
        <f t="array" ref="AP20">IF(ISBLANK($A20),0,IF(OR(AP$5-$AI20&lt;=0,$AM20="Não"),E20,E20+INDEX($AO$6:$BR$176,ROW()-5,COLUMN()-40-$AI20)))*IF($B20="Operacional",IFERROR(VLOOKUP($C20,SN_UGC,28,0),0),1)</f>
        <v>0</v>
      </c>
      <c r="AQ20" s="140">
        <f t="array" ref="AQ20">IF(ISBLANK($A20),0,IF(OR(AQ$5-$AI20&lt;=0,$AM20="Não"),F20,F20+INDEX($AO$6:$BR$176,ROW()-5,COLUMN()-40-$AI20)))*IF($B20="Operacional",IFERROR(VLOOKUP($C20,SN_UGC,28,0),0),1)</f>
        <v>0</v>
      </c>
      <c r="AR20" s="140">
        <f t="array" ref="AR20">IF(ISBLANK($A20),0,IF(OR(AR$5-$AI20&lt;=0,$AM20="Não"),G20,G20+INDEX($AO$6:$BR$176,ROW()-5,COLUMN()-40-$AI20)))*IF($B20="Operacional",IFERROR(VLOOKUP($C20,SN_UGC,28,0),0),1)</f>
        <v>0</v>
      </c>
      <c r="AS20" s="140">
        <f t="array" ref="AS20">IF(ISBLANK($A20),0,IF(OR(AS$5-$AI20&lt;=0,$AM20="Não"),H20,H20+INDEX($AO$6:$BR$176,ROW()-5,COLUMN()-40-$AI20)))*IF($B20="Operacional",IFERROR(VLOOKUP($C20,SN_UGC,28,0),0),1)</f>
        <v>0</v>
      </c>
      <c r="AT20" s="140">
        <f t="array" ref="AT20">IF(ISBLANK($A20),0,IF(OR(AT$5-$AI20&lt;=0,$AM20="Não"),I20,I20+INDEX($AO$6:$BR$176,ROW()-5,COLUMN()-40-$AI20)))*IF($B20="Operacional",IFERROR(VLOOKUP($C20,SN_UGC,28,0),0),1)</f>
        <v>0</v>
      </c>
      <c r="AU20" s="140">
        <f t="array" ref="AU20">IF(ISBLANK($A20),0,IF(OR(AU$5-$AI20&lt;=0,$AM20="Não"),J20,J20+INDEX($AO$6:$BR$176,ROW()-5,COLUMN()-40-$AI20)))*IF($B20="Operacional",IFERROR(VLOOKUP($C20,SN_UGC,28,0),0),1)</f>
        <v>0</v>
      </c>
      <c r="AV20" s="140">
        <f t="array" ref="AV20">IF(ISBLANK($A20),0,IF(OR(AV$5-$AI20&lt;=0,$AM20="Não"),K20,K20+INDEX($AO$6:$BR$176,ROW()-5,COLUMN()-40-$AI20)))*IF($B20="Operacional",IFERROR(VLOOKUP($C20,SN_UGC,28,0),0),1)</f>
        <v>0</v>
      </c>
      <c r="AW20" s="140">
        <f t="array" ref="AW20">IF(ISBLANK($A20),0,IF(OR(AW$5-$AI20&lt;=0,$AM20="Não"),L20,L20+INDEX($AO$6:$BR$176,ROW()-5,COLUMN()-40-$AI20)))*IF($B20="Operacional",IFERROR(VLOOKUP($C20,SN_UGC,28,0),0),1)</f>
        <v>0</v>
      </c>
      <c r="AX20" s="140">
        <f t="array" ref="AX20">IF(ISBLANK($A20),0,IF(OR(AX$5-$AI20&lt;=0,$AM20="Não"),M20,M20+INDEX($AO$6:$BR$176,ROW()-5,COLUMN()-40-$AI20)))*IF($B20="Operacional",IFERROR(VLOOKUP($C20,SN_UGC,28,0),0),1)</f>
        <v>0</v>
      </c>
      <c r="AY20" s="140">
        <f t="array" ref="AY20">IF(ISBLANK($A20),0,IF(OR(AY$5-$AI20&lt;=0,$AM20="Não"),N20,N20+INDEX($AO$6:$BR$176,ROW()-5,COLUMN()-40-$AI20)))*IF($B20="Operacional",IFERROR(VLOOKUP($C20,SN_UGC,28,0),0),1)</f>
        <v>1</v>
      </c>
      <c r="AZ20" s="140">
        <f t="array" ref="AZ20">IF(ISBLANK($A20),0,IF(OR(AZ$5-$AI20&lt;=0,$AM20="Não"),O20,O20+INDEX($AO$6:$BR$176,ROW()-5,COLUMN()-40-$AI20)))*IF($B20="Operacional",IFERROR(VLOOKUP($C20,SN_UGC,28,0),0),1)</f>
        <v>0</v>
      </c>
      <c r="BA20" s="140">
        <f t="array" ref="BA20">IF(ISBLANK($A20),0,IF(OR(BA$5-$AI20&lt;=0,$AM20="Não"),P20,P20+INDEX($AO$6:$BR$176,ROW()-5,COLUMN()-40-$AI20)))*IF($B20="Operacional",IFERROR(VLOOKUP($C20,SN_UGC,28,0),0),1)</f>
        <v>0</v>
      </c>
      <c r="BB20" s="140">
        <f t="array" ref="BB20">IF(ISBLANK($A20),0,IF(OR(BB$5-$AI20&lt;=0,$AM20="Não"),Q20,Q20+INDEX($AO$6:$BR$176,ROW()-5,COLUMN()-40-$AI20)))*IF($B20="Operacional",IFERROR(VLOOKUP($C20,SN_UGC,28,0),0),1)</f>
        <v>0</v>
      </c>
      <c r="BC20" s="140">
        <f t="array" ref="BC20">IF(ISBLANK($A20),0,IF(OR(BC$5-$AI20&lt;=0,$AM20="Não"),R20,R20+INDEX($AO$6:$BR$176,ROW()-5,COLUMN()-40-$AI20)))*IF($B20="Operacional",IFERROR(VLOOKUP($C20,SN_UGC,28,0),0),1)</f>
        <v>0</v>
      </c>
      <c r="BD20" s="140">
        <f t="array" ref="BD20">IF(ISBLANK($A20),0,IF(OR(BD$5-$AI20&lt;=0,$AM20="Não"),S20,S20+INDEX($AO$6:$BR$176,ROW()-5,COLUMN()-40-$AI20)))*IF($B20="Operacional",IFERROR(VLOOKUP($C20,SN_UGC,28,0),0),1)</f>
        <v>0</v>
      </c>
      <c r="BE20" s="140">
        <f t="array" ref="BE20">IF(ISBLANK($A20),0,IF(OR(BE$5-$AI20&lt;=0,$AM20="Não"),T20,T20+INDEX($AO$6:$BR$176,ROW()-5,COLUMN()-40-$AI20)))*IF($B20="Operacional",IFERROR(VLOOKUP($C20,SN_UGC,28,0),0),1)</f>
        <v>0</v>
      </c>
      <c r="BF20" s="140">
        <f t="array" ref="BF20">IF(ISBLANK($A20),0,IF(OR(BF$5-$AI20&lt;=0,$AM20="Não"),U20,U20+INDEX($AO$6:$BR$176,ROW()-5,COLUMN()-40-$AI20)))*IF($B20="Operacional",IFERROR(VLOOKUP($C20,SN_UGC,28,0),0),1)</f>
        <v>0</v>
      </c>
      <c r="BG20" s="140">
        <f t="array" ref="BG20">IF(ISBLANK($A20),0,IF(OR(BG$5-$AI20&lt;=0,$AM20="Não"),V20,V20+INDEX($AO$6:$BR$176,ROW()-5,COLUMN()-40-$AI20)))*IF($B20="Operacional",IFERROR(VLOOKUP($C20,SN_UGC,28,0),0),1)</f>
        <v>0</v>
      </c>
      <c r="BH20" s="140">
        <f t="array" ref="BH20">IF(ISBLANK($A20),0,IF(OR(BH$5-$AI20&lt;=0,$AM20="Não"),W20,W20+INDEX($AO$6:$BR$176,ROW()-5,COLUMN()-40-$AI20)))*IF($B20="Operacional",IFERROR(VLOOKUP($C20,SN_UGC,28,0),0),1)</f>
        <v>0</v>
      </c>
      <c r="BI20" s="140">
        <f t="array" ref="BI20">IF(ISBLANK($A20),0,IF(OR(BI$5-$AI20&lt;=0,$AM20="Não"),X20,X20+INDEX($AO$6:$BR$176,ROW()-5,COLUMN()-40-$AI20)))*IF($B20="Operacional",IFERROR(VLOOKUP($C20,SN_UGC,28,0),0),1)</f>
        <v>1</v>
      </c>
      <c r="BJ20" s="140">
        <f t="array" ref="BJ20">IF(ISBLANK($A20),0,IF(OR(BJ$5-$AI20&lt;=0,$AM20="Não"),Y20,Y20+INDEX($AO$6:$BR$176,ROW()-5,COLUMN()-40-$AI20)))*IF($B20="Operacional",IFERROR(VLOOKUP($C20,SN_UGC,28,0),0),1)</f>
        <v>0</v>
      </c>
      <c r="BK20" s="140">
        <f t="array" ref="BK20">IF(ISBLANK($A20),0,IF(OR(BK$5-$AI20&lt;=0,$AM20="Não"),Z20,Z20+INDEX($AO$6:$BR$176,ROW()-5,COLUMN()-40-$AI20)))*IF($B20="Operacional",IFERROR(VLOOKUP($C20,SN_UGC,28,0),0),1)</f>
        <v>0</v>
      </c>
      <c r="BL20" s="140">
        <f t="array" ref="BL20">IF(ISBLANK($A20),0,IF(OR(BL$5-$AI20&lt;=0,$AM20="Não"),AA20,AA20+INDEX($AO$6:$BR$176,ROW()-5,COLUMN()-40-$AI20)))*IF($B20="Operacional",IFERROR(VLOOKUP($C20,SN_UGC,28,0),0),1)</f>
        <v>0</v>
      </c>
      <c r="BM20" s="140">
        <f t="array" ref="BM20">IF(ISBLANK($A20),0,IF(OR(BM$5-$AI20&lt;=0,$AM20="Não"),AB20,AB20+INDEX($AO$6:$BR$176,ROW()-5,COLUMN()-40-$AI20)))*IF($B20="Operacional",IFERROR(VLOOKUP($C20,SN_UGC,28,0),0),1)</f>
        <v>0</v>
      </c>
      <c r="BN20" s="140">
        <f t="array" ref="BN20">IF(ISBLANK($A20),0,IF(OR(BN$5-$AI20&lt;=0,$AM20="Não"),AC20,AC20+INDEX($AO$6:$BR$176,ROW()-5,COLUMN()-40-$AI20)))*IF($B20="Operacional",IFERROR(VLOOKUP($C20,SN_UGC,28,0),0),1)</f>
        <v>0</v>
      </c>
      <c r="BO20" s="140">
        <f t="array" ref="BO20">IF(ISBLANK($A20),0,IF(OR(BO$5-$AI20&lt;=0,$AM20="Não"),AD20,AD20+INDEX($AO$6:$BR$176,ROW()-5,COLUMN()-40-$AI20)))*IF($B20="Operacional",IFERROR(VLOOKUP($C20,SN_UGC,28,0),0),1)</f>
        <v>0</v>
      </c>
      <c r="BP20" s="140">
        <f t="array" ref="BP20">IF(ISBLANK($A20),0,IF(OR(BP$5-$AI20&lt;=0,$AM20="Não"),AE20,AE20+INDEX($AO$6:$BR$176,ROW()-5,COLUMN()-40-$AI20)))*IF($B20="Operacional",IFERROR(VLOOKUP($C20,SN_UGC,28,0),0),1)</f>
        <v>0</v>
      </c>
      <c r="BQ20" s="140">
        <f t="array" ref="BQ20">IF(ISBLANK($A20),0,IF(OR(BQ$5-$AI20&lt;=0,$AM20="Não"),AF20,AF20+INDEX($AO$6:$BR$176,ROW()-5,COLUMN()-40-$AI20)))*IF($B20="Operacional",IFERROR(VLOOKUP($C20,SN_UGC,28,0),0),1)</f>
        <v>0</v>
      </c>
      <c r="BR20" s="140">
        <f t="array" ref="BR20">IF(ISBLANK($A20),0,IF(OR(BR$5-$AI20&lt;=0,$AM20="Não"),AG20,AG20+INDEX($AO$6:$BR$176,ROW()-5,COLUMN()-40-$AI20)))*IF($B20="Operacional",IFERROR(VLOOKUP($C20,SN_UGC,28,0),0),1)</f>
        <v>0</v>
      </c>
      <c r="BS20" s="141">
        <f t="shared" ref="BS20:CV20" si="93">IF(ISBLANK($A20),0,$AH20*AO20)</f>
        <v>1760.0000000000002</v>
      </c>
      <c r="BT20" s="141">
        <f t="shared" si="93"/>
        <v>0</v>
      </c>
      <c r="BU20" s="141">
        <f t="shared" si="93"/>
        <v>0</v>
      </c>
      <c r="BV20" s="141">
        <f t="shared" si="93"/>
        <v>0</v>
      </c>
      <c r="BW20" s="141">
        <f t="shared" si="93"/>
        <v>0</v>
      </c>
      <c r="BX20" s="141">
        <f t="shared" si="93"/>
        <v>0</v>
      </c>
      <c r="BY20" s="141">
        <f t="shared" si="93"/>
        <v>0</v>
      </c>
      <c r="BZ20" s="141">
        <f t="shared" si="93"/>
        <v>0</v>
      </c>
      <c r="CA20" s="141">
        <f t="shared" si="93"/>
        <v>0</v>
      </c>
      <c r="CB20" s="141">
        <f t="shared" si="93"/>
        <v>0</v>
      </c>
      <c r="CC20" s="141">
        <f t="shared" si="93"/>
        <v>1760.0000000000002</v>
      </c>
      <c r="CD20" s="141">
        <f t="shared" si="93"/>
        <v>0</v>
      </c>
      <c r="CE20" s="141">
        <f t="shared" si="93"/>
        <v>0</v>
      </c>
      <c r="CF20" s="141">
        <f t="shared" si="93"/>
        <v>0</v>
      </c>
      <c r="CG20" s="141">
        <f t="shared" si="93"/>
        <v>0</v>
      </c>
      <c r="CH20" s="141">
        <f t="shared" si="93"/>
        <v>0</v>
      </c>
      <c r="CI20" s="141">
        <f t="shared" si="93"/>
        <v>0</v>
      </c>
      <c r="CJ20" s="141">
        <f t="shared" si="93"/>
        <v>0</v>
      </c>
      <c r="CK20" s="141">
        <f t="shared" si="93"/>
        <v>0</v>
      </c>
      <c r="CL20" s="141">
        <f t="shared" si="93"/>
        <v>0</v>
      </c>
      <c r="CM20" s="141">
        <f t="shared" si="93"/>
        <v>1760.0000000000002</v>
      </c>
      <c r="CN20" s="141">
        <f t="shared" si="93"/>
        <v>0</v>
      </c>
      <c r="CO20" s="141">
        <f t="shared" si="93"/>
        <v>0</v>
      </c>
      <c r="CP20" s="141">
        <f t="shared" si="93"/>
        <v>0</v>
      </c>
      <c r="CQ20" s="141">
        <f t="shared" si="93"/>
        <v>0</v>
      </c>
      <c r="CR20" s="141">
        <f t="shared" si="93"/>
        <v>0</v>
      </c>
      <c r="CS20" s="141">
        <f t="shared" si="93"/>
        <v>0</v>
      </c>
      <c r="CT20" s="141">
        <f t="shared" si="93"/>
        <v>0</v>
      </c>
      <c r="CU20" s="141">
        <f t="shared" si="93"/>
        <v>0</v>
      </c>
      <c r="CV20" s="141">
        <f t="shared" si="93"/>
        <v>0</v>
      </c>
      <c r="CW20" s="142">
        <f t="shared" ref="CW20:DZ20" si="94">EA20*$AH20*$AJ20</f>
        <v>0</v>
      </c>
      <c r="CX20" s="142">
        <f t="shared" si="94"/>
        <v>0</v>
      </c>
      <c r="CY20" s="142">
        <f t="shared" si="94"/>
        <v>0</v>
      </c>
      <c r="CZ20" s="142">
        <f t="shared" si="94"/>
        <v>0</v>
      </c>
      <c r="DA20" s="142">
        <f t="shared" si="94"/>
        <v>0</v>
      </c>
      <c r="DB20" s="142">
        <f t="shared" si="94"/>
        <v>0</v>
      </c>
      <c r="DC20" s="142">
        <f t="shared" si="94"/>
        <v>0</v>
      </c>
      <c r="DD20" s="142">
        <f t="shared" si="94"/>
        <v>0</v>
      </c>
      <c r="DE20" s="142">
        <f t="shared" si="94"/>
        <v>0</v>
      </c>
      <c r="DF20" s="142">
        <f t="shared" si="94"/>
        <v>0</v>
      </c>
      <c r="DG20" s="142">
        <f t="shared" si="94"/>
        <v>0</v>
      </c>
      <c r="DH20" s="142">
        <f t="shared" si="94"/>
        <v>0</v>
      </c>
      <c r="DI20" s="142">
        <f t="shared" si="94"/>
        <v>0</v>
      </c>
      <c r="DJ20" s="142">
        <f t="shared" si="94"/>
        <v>0</v>
      </c>
      <c r="DK20" s="142">
        <f t="shared" si="94"/>
        <v>0</v>
      </c>
      <c r="DL20" s="142">
        <f t="shared" si="94"/>
        <v>0</v>
      </c>
      <c r="DM20" s="142">
        <f t="shared" si="94"/>
        <v>0</v>
      </c>
      <c r="DN20" s="142">
        <f t="shared" si="94"/>
        <v>0</v>
      </c>
      <c r="DO20" s="142">
        <f t="shared" si="94"/>
        <v>0</v>
      </c>
      <c r="DP20" s="142">
        <f t="shared" si="94"/>
        <v>0</v>
      </c>
      <c r="DQ20" s="142">
        <f t="shared" si="94"/>
        <v>0</v>
      </c>
      <c r="DR20" s="142">
        <f t="shared" si="94"/>
        <v>0</v>
      </c>
      <c r="DS20" s="142">
        <f t="shared" si="94"/>
        <v>0</v>
      </c>
      <c r="DT20" s="142">
        <f t="shared" si="94"/>
        <v>0</v>
      </c>
      <c r="DU20" s="142">
        <f t="shared" si="94"/>
        <v>0</v>
      </c>
      <c r="DV20" s="142">
        <f t="shared" si="94"/>
        <v>0</v>
      </c>
      <c r="DW20" s="142">
        <f t="shared" si="94"/>
        <v>0</v>
      </c>
      <c r="DX20" s="142">
        <f t="shared" si="94"/>
        <v>0</v>
      </c>
      <c r="DY20" s="142">
        <f t="shared" si="94"/>
        <v>0</v>
      </c>
      <c r="DZ20" s="142">
        <f t="shared" si="94"/>
        <v>0</v>
      </c>
      <c r="EA20" s="143">
        <f t="shared" si="9"/>
        <v>0</v>
      </c>
      <c r="EB20" s="143">
        <f t="shared" si="10"/>
        <v>0</v>
      </c>
      <c r="EC20" s="143">
        <f t="shared" si="11"/>
        <v>0</v>
      </c>
      <c r="ED20" s="143">
        <f t="shared" si="12"/>
        <v>0</v>
      </c>
      <c r="EE20" s="143">
        <f t="shared" si="13"/>
        <v>0</v>
      </c>
      <c r="EF20" s="143">
        <f t="shared" si="14"/>
        <v>0</v>
      </c>
      <c r="EG20" s="143">
        <f t="shared" si="15"/>
        <v>0</v>
      </c>
      <c r="EH20" s="143">
        <f t="shared" si="16"/>
        <v>0</v>
      </c>
      <c r="EI20" s="143">
        <f t="shared" si="17"/>
        <v>0</v>
      </c>
      <c r="EJ20" s="143">
        <f t="shared" si="18"/>
        <v>0</v>
      </c>
      <c r="EK20" s="143">
        <f t="shared" si="19"/>
        <v>1</v>
      </c>
      <c r="EL20" s="143">
        <f t="shared" si="20"/>
        <v>0</v>
      </c>
      <c r="EM20" s="143">
        <f t="shared" si="21"/>
        <v>0</v>
      </c>
      <c r="EN20" s="143">
        <f t="shared" si="22"/>
        <v>0</v>
      </c>
      <c r="EO20" s="143">
        <f t="shared" si="23"/>
        <v>0</v>
      </c>
      <c r="EP20" s="143">
        <f t="shared" si="24"/>
        <v>0</v>
      </c>
      <c r="EQ20" s="143">
        <f t="shared" si="25"/>
        <v>0</v>
      </c>
      <c r="ER20" s="143">
        <f t="shared" si="26"/>
        <v>0</v>
      </c>
      <c r="ES20" s="143">
        <f t="shared" si="27"/>
        <v>0</v>
      </c>
      <c r="ET20" s="143">
        <f t="shared" si="28"/>
        <v>0</v>
      </c>
      <c r="EU20" s="143">
        <f t="shared" si="29"/>
        <v>1</v>
      </c>
      <c r="EV20" s="143">
        <f t="shared" si="30"/>
        <v>0</v>
      </c>
      <c r="EW20" s="143">
        <f t="shared" si="31"/>
        <v>0</v>
      </c>
      <c r="EX20" s="143">
        <f t="shared" si="32"/>
        <v>0</v>
      </c>
      <c r="EY20" s="143">
        <f t="shared" si="33"/>
        <v>0</v>
      </c>
      <c r="EZ20" s="143">
        <f t="shared" si="34"/>
        <v>0</v>
      </c>
      <c r="FA20" s="143">
        <f t="shared" si="35"/>
        <v>0</v>
      </c>
      <c r="FB20" s="143">
        <f t="shared" si="36"/>
        <v>0</v>
      </c>
      <c r="FC20" s="143">
        <f t="shared" si="37"/>
        <v>0</v>
      </c>
      <c r="FD20" s="143">
        <f t="shared" si="38"/>
        <v>0</v>
      </c>
      <c r="FE20" s="140">
        <f>SUM($D20:D20)*IF($B20="Operacional",IFERROR(VLOOKUP($C20,SN_UGC,28,0),0),1)</f>
        <v>1</v>
      </c>
      <c r="FF20" s="140">
        <f>SUM($D20:E20)*IF($B20="Operacional",IFERROR(VLOOKUP($C20,SN_UGC,28,0),0),1)</f>
        <v>1</v>
      </c>
      <c r="FG20" s="140">
        <f>SUM($D20:F20)*IF($B20="Operacional",IFERROR(VLOOKUP($C20,SN_UGC,28,0),0),1)</f>
        <v>1</v>
      </c>
      <c r="FH20" s="140">
        <f>SUM($D20:G20)*IF($B20="Operacional",IFERROR(VLOOKUP($C20,SN_UGC,28,0),0),1)</f>
        <v>1</v>
      </c>
      <c r="FI20" s="140">
        <f>SUM($D20:H20)*IF($B20="Operacional",IFERROR(VLOOKUP($C20,SN_UGC,28,0),0),1)</f>
        <v>1</v>
      </c>
      <c r="FJ20" s="140">
        <f>SUM($D20:I20)*IF($B20="Operacional",IFERROR(VLOOKUP($C20,SN_UGC,28,0),0),1)</f>
        <v>1</v>
      </c>
      <c r="FK20" s="140">
        <f>SUM($D20:J20)*IF($B20="Operacional",IFERROR(VLOOKUP($C20,SN_UGC,28,0),0),1)</f>
        <v>1</v>
      </c>
      <c r="FL20" s="140">
        <f>SUM($D20:K20)*IF($B20="Operacional",IFERROR(VLOOKUP($C20,SN_UGC,28,0),0),1)</f>
        <v>1</v>
      </c>
      <c r="FM20" s="140">
        <f>SUM($D20:L20)*IF($B20="Operacional",IFERROR(VLOOKUP($C20,SN_UGC,28,0),0),1)</f>
        <v>1</v>
      </c>
      <c r="FN20" s="140">
        <f>SUM($D20:M20)*IF($B20="Operacional",IFERROR(VLOOKUP($C20,SN_UGC,28,0),0),1)</f>
        <v>1</v>
      </c>
      <c r="FO20" s="140">
        <f>SUM($D20:N20)*IF($B20="Operacional",IFERROR(VLOOKUP($C20,SN_UGC,28,0),0),1)</f>
        <v>1</v>
      </c>
      <c r="FP20" s="140">
        <f>SUM($D20:O20)*IF($B20="Operacional",IFERROR(VLOOKUP($C20,SN_UGC,28,0),0),1)</f>
        <v>1</v>
      </c>
      <c r="FQ20" s="140">
        <f>SUM($D20:P20)*IF($B20="Operacional",IFERROR(VLOOKUP($C20,SN_UGC,28,0),0),1)</f>
        <v>1</v>
      </c>
      <c r="FR20" s="140">
        <f>SUM($D20:Q20)*IF($B20="Operacional",IFERROR(VLOOKUP($C20,SN_UGC,28,0),0),1)</f>
        <v>1</v>
      </c>
      <c r="FS20" s="140">
        <f>SUM($D20:R20)*IF($B20="Operacional",IFERROR(VLOOKUP($C20,SN_UGC,28,0),0),1)</f>
        <v>1</v>
      </c>
      <c r="FT20" s="140">
        <f>SUM($D20:S20)*IF($B20="Operacional",IFERROR(VLOOKUP($C20,SN_UGC,28,0),0),1)</f>
        <v>1</v>
      </c>
      <c r="FU20" s="140">
        <f>SUM($D20:T20)*IF($B20="Operacional",IFERROR(VLOOKUP($C20,SN_UGC,28,0),0),1)</f>
        <v>1</v>
      </c>
      <c r="FV20" s="140">
        <f>SUM($D20:U20)*IF($B20="Operacional",IFERROR(VLOOKUP($C20,SN_UGC,28,0),0),1)</f>
        <v>1</v>
      </c>
      <c r="FW20" s="140">
        <f>SUM($D20:V20)*IF($B20="Operacional",IFERROR(VLOOKUP($C20,SN_UGC,28,0),0),1)</f>
        <v>1</v>
      </c>
      <c r="FX20" s="140">
        <f>SUM($D20:W20)*IF($B20="Operacional",IFERROR(VLOOKUP($C20,SN_UGC,28,0),0),1)</f>
        <v>1</v>
      </c>
      <c r="FY20" s="140">
        <f>SUM($D20:X20)*IF($B20="Operacional",IFERROR(VLOOKUP($C20,SN_UGC,28,0),0),1)</f>
        <v>1</v>
      </c>
      <c r="FZ20" s="140">
        <f>SUM($D20:Y20)*IF($B20="Operacional",IFERROR(VLOOKUP($C20,SN_UGC,28,0),0),1)</f>
        <v>1</v>
      </c>
      <c r="GA20" s="140">
        <f>SUM($D20:Z20)*IF($B20="Operacional",IFERROR(VLOOKUP($C20,SN_UGC,28,0),0),1)</f>
        <v>1</v>
      </c>
      <c r="GB20" s="140">
        <f>SUM($D20:AA20)*IF($B20="Operacional",IFERROR(VLOOKUP($C20,SN_UGC,28,0),0),1)</f>
        <v>1</v>
      </c>
      <c r="GC20" s="140">
        <f>SUM($D20:AB20)*IF($B20="Operacional",IFERROR(VLOOKUP($C20,SN_UGC,28,0),0),1)</f>
        <v>1</v>
      </c>
      <c r="GD20" s="140">
        <f>SUM($D20:AC20)*IF($B20="Operacional",IFERROR(VLOOKUP($C20,SN_UGC,28,0),0),1)</f>
        <v>1</v>
      </c>
      <c r="GE20" s="140">
        <f>SUM($D20:AD20)*IF($B20="Operacional",IFERROR(VLOOKUP($C20,SN_UGC,28,0),0),1)</f>
        <v>1</v>
      </c>
      <c r="GF20" s="140">
        <f>SUM($D20:AE20)*IF($B20="Operacional",IFERROR(VLOOKUP($C20,SN_UGC,28,0),0),1)</f>
        <v>1</v>
      </c>
      <c r="GG20" s="140">
        <f>SUM($D20:AF20)*IF($B20="Operacional",IFERROR(VLOOKUP($C20,SN_UGC,28,0),0),1)</f>
        <v>1</v>
      </c>
      <c r="GH20" s="140">
        <f>SUM($D20:AG20)*IF($B20="Operacional",IFERROR(VLOOKUP($C20,SN_UGC,28,0),0),1)</f>
        <v>1</v>
      </c>
      <c r="GI20" s="141">
        <f t="shared" ref="GI20:HL20" si="95">FE20*$AH20*$AL20</f>
        <v>88.000000000000014</v>
      </c>
      <c r="GJ20" s="141">
        <f t="shared" si="95"/>
        <v>88.000000000000014</v>
      </c>
      <c r="GK20" s="141">
        <f t="shared" si="95"/>
        <v>88.000000000000014</v>
      </c>
      <c r="GL20" s="141">
        <f t="shared" si="95"/>
        <v>88.000000000000014</v>
      </c>
      <c r="GM20" s="141">
        <f t="shared" si="95"/>
        <v>88.000000000000014</v>
      </c>
      <c r="GN20" s="141">
        <f t="shared" si="95"/>
        <v>88.000000000000014</v>
      </c>
      <c r="GO20" s="141">
        <f t="shared" si="95"/>
        <v>88.000000000000014</v>
      </c>
      <c r="GP20" s="141">
        <f t="shared" si="95"/>
        <v>88.000000000000014</v>
      </c>
      <c r="GQ20" s="141">
        <f t="shared" si="95"/>
        <v>88.000000000000014</v>
      </c>
      <c r="GR20" s="141">
        <f t="shared" si="95"/>
        <v>88.000000000000014</v>
      </c>
      <c r="GS20" s="141">
        <f t="shared" si="95"/>
        <v>88.000000000000014</v>
      </c>
      <c r="GT20" s="141">
        <f t="shared" si="95"/>
        <v>88.000000000000014</v>
      </c>
      <c r="GU20" s="141">
        <f t="shared" si="95"/>
        <v>88.000000000000014</v>
      </c>
      <c r="GV20" s="141">
        <f t="shared" si="95"/>
        <v>88.000000000000014</v>
      </c>
      <c r="GW20" s="141">
        <f t="shared" si="95"/>
        <v>88.000000000000014</v>
      </c>
      <c r="GX20" s="141">
        <f t="shared" si="95"/>
        <v>88.000000000000014</v>
      </c>
      <c r="GY20" s="141">
        <f t="shared" si="95"/>
        <v>88.000000000000014</v>
      </c>
      <c r="GZ20" s="141">
        <f t="shared" si="95"/>
        <v>88.000000000000014</v>
      </c>
      <c r="HA20" s="141">
        <f t="shared" si="95"/>
        <v>88.000000000000014</v>
      </c>
      <c r="HB20" s="141">
        <f t="shared" si="95"/>
        <v>88.000000000000014</v>
      </c>
      <c r="HC20" s="141">
        <f t="shared" si="95"/>
        <v>88.000000000000014</v>
      </c>
      <c r="HD20" s="141">
        <f t="shared" si="95"/>
        <v>88.000000000000014</v>
      </c>
      <c r="HE20" s="141">
        <f t="shared" si="95"/>
        <v>88.000000000000014</v>
      </c>
      <c r="HF20" s="141">
        <f t="shared" si="95"/>
        <v>88.000000000000014</v>
      </c>
      <c r="HG20" s="141">
        <f t="shared" si="95"/>
        <v>88.000000000000014</v>
      </c>
      <c r="HH20" s="141">
        <f t="shared" si="95"/>
        <v>88.000000000000014</v>
      </c>
      <c r="HI20" s="141">
        <f t="shared" si="95"/>
        <v>88.000000000000014</v>
      </c>
      <c r="HJ20" s="141">
        <f t="shared" si="95"/>
        <v>88.000000000000014</v>
      </c>
      <c r="HK20" s="141">
        <f t="shared" si="95"/>
        <v>88.000000000000014</v>
      </c>
      <c r="HL20" s="141">
        <f t="shared" si="95"/>
        <v>88.000000000000014</v>
      </c>
      <c r="HM20" s="142">
        <f t="shared" ref="HM20:IP20" si="96">IF(ISBLANK($A20),,FE20*($AH20-($AH20*$AJ20))/$AI20)</f>
        <v>176.00000000000003</v>
      </c>
      <c r="HN20" s="142">
        <f t="shared" si="96"/>
        <v>176.00000000000003</v>
      </c>
      <c r="HO20" s="142">
        <f t="shared" si="96"/>
        <v>176.00000000000003</v>
      </c>
      <c r="HP20" s="142">
        <f t="shared" si="96"/>
        <v>176.00000000000003</v>
      </c>
      <c r="HQ20" s="142">
        <f t="shared" si="96"/>
        <v>176.00000000000003</v>
      </c>
      <c r="HR20" s="142">
        <f t="shared" si="96"/>
        <v>176.00000000000003</v>
      </c>
      <c r="HS20" s="142">
        <f t="shared" si="96"/>
        <v>176.00000000000003</v>
      </c>
      <c r="HT20" s="142">
        <f t="shared" si="96"/>
        <v>176.00000000000003</v>
      </c>
      <c r="HU20" s="142">
        <f t="shared" si="96"/>
        <v>176.00000000000003</v>
      </c>
      <c r="HV20" s="142">
        <f t="shared" si="96"/>
        <v>176.00000000000003</v>
      </c>
      <c r="HW20" s="142">
        <f t="shared" si="96"/>
        <v>176.00000000000003</v>
      </c>
      <c r="HX20" s="142">
        <f t="shared" si="96"/>
        <v>176.00000000000003</v>
      </c>
      <c r="HY20" s="142">
        <f t="shared" si="96"/>
        <v>176.00000000000003</v>
      </c>
      <c r="HZ20" s="142">
        <f t="shared" si="96"/>
        <v>176.00000000000003</v>
      </c>
      <c r="IA20" s="142">
        <f t="shared" si="96"/>
        <v>176.00000000000003</v>
      </c>
      <c r="IB20" s="142">
        <f t="shared" si="96"/>
        <v>176.00000000000003</v>
      </c>
      <c r="IC20" s="142">
        <f t="shared" si="96"/>
        <v>176.00000000000003</v>
      </c>
      <c r="ID20" s="142">
        <f t="shared" si="96"/>
        <v>176.00000000000003</v>
      </c>
      <c r="IE20" s="142">
        <f t="shared" si="96"/>
        <v>176.00000000000003</v>
      </c>
      <c r="IF20" s="142">
        <f t="shared" si="96"/>
        <v>176.00000000000003</v>
      </c>
      <c r="IG20" s="142">
        <f t="shared" si="96"/>
        <v>176.00000000000003</v>
      </c>
      <c r="IH20" s="142">
        <f t="shared" si="96"/>
        <v>176.00000000000003</v>
      </c>
      <c r="II20" s="142">
        <f t="shared" si="96"/>
        <v>176.00000000000003</v>
      </c>
      <c r="IJ20" s="142">
        <f t="shared" si="96"/>
        <v>176.00000000000003</v>
      </c>
      <c r="IK20" s="142">
        <f t="shared" si="96"/>
        <v>176.00000000000003</v>
      </c>
      <c r="IL20" s="142">
        <f t="shared" si="96"/>
        <v>176.00000000000003</v>
      </c>
      <c r="IM20" s="142">
        <f t="shared" si="96"/>
        <v>176.00000000000003</v>
      </c>
      <c r="IN20" s="142">
        <f t="shared" si="96"/>
        <v>176.00000000000003</v>
      </c>
      <c r="IO20" s="142">
        <f t="shared" si="96"/>
        <v>176.00000000000003</v>
      </c>
      <c r="IP20" s="142">
        <f t="shared" si="96"/>
        <v>176.00000000000003</v>
      </c>
      <c r="IQ20" s="141">
        <f>IF(ISBLANK($A20),,IF($AN20="Não",0,(SUM($AO20:AO20)*$AH20)-SUM($HM20:HM20)-SUM($CW20:CW20)))</f>
        <v>0</v>
      </c>
      <c r="IR20" s="141">
        <f>IF(ISBLANK($A20),,IF($AN20="Não",0,(SUM($AO20:AP20)*$AH20)-SUM($HM20:HN20)-SUM($CW20:CX20)))</f>
        <v>0</v>
      </c>
      <c r="IS20" s="141">
        <f>IF(ISBLANK($A20),,IF($AN20="Não",0,(SUM($AO20:AQ20)*$AH20)-SUM($HM20:HO20)-SUM($CW20:CY20)))</f>
        <v>0</v>
      </c>
      <c r="IT20" s="141">
        <f>IF(ISBLANK($A20),,IF($AN20="Não",0,(SUM($AO20:AR20)*$AH20)-SUM($HM20:HP20)-SUM($CW20:CZ20)))</f>
        <v>0</v>
      </c>
      <c r="IU20" s="141">
        <f>IF(ISBLANK($A20),,IF($AN20="Não",0,(SUM($AO20:AS20)*$AH20)-SUM($HM20:HQ20)-SUM($CW20:DA20)))</f>
        <v>0</v>
      </c>
      <c r="IV20" s="141">
        <f>IF(ISBLANK($A20),,IF($AN20="Não",0,(SUM($AO20:AT20)*$AH20)-SUM($HM20:HR20)-SUM($CW20:DB20)))</f>
        <v>0</v>
      </c>
      <c r="IW20" s="141">
        <f>IF(ISBLANK($A20),,IF($AN20="Não",0,(SUM($AO20:AU20)*$AH20)-SUM($HM20:HS20)-SUM($CW20:DC20)))</f>
        <v>0</v>
      </c>
      <c r="IX20" s="141">
        <f>IF(ISBLANK($A20),,IF($AN20="Não",0,(SUM($AO20:AV20)*$AH20)-SUM($HM20:HT20)-SUM($CW20:DD20)))</f>
        <v>0</v>
      </c>
      <c r="IY20" s="141">
        <f>IF(ISBLANK($A20),,IF($AN20="Não",0,(SUM($AO20:AW20)*$AH20)-SUM($HM20:HU20)-SUM($CW20:DE20)))</f>
        <v>0</v>
      </c>
      <c r="IZ20" s="141">
        <f>IF(ISBLANK($A20),,IF($AN20="Não",0,(SUM($AO20:AX20)*$AH20)-SUM($HM20:HV20)-SUM($CW20:DF20)))</f>
        <v>0</v>
      </c>
      <c r="JA20" s="141">
        <f>IF(ISBLANK($A20),,IF($AN20="Não",0,(SUM($AO20:AY20)*$AH20)-SUM($HM20:HW20)-SUM($CW20:DG20)))</f>
        <v>0</v>
      </c>
      <c r="JB20" s="141">
        <f>IF(ISBLANK($A20),,IF($AN20="Não",0,(SUM($AO20:AZ20)*$AH20)-SUM($HM20:HX20)-SUM($CW20:DH20)))</f>
        <v>0</v>
      </c>
      <c r="JC20" s="141">
        <f>IF(ISBLANK($A20),,IF($AN20="Não",0,(SUM($AO20:BA20)*$AH20)-SUM($HM20:HY20)-SUM($CW20:DI20)))</f>
        <v>0</v>
      </c>
      <c r="JD20" s="141">
        <f>IF(ISBLANK($A20),,IF($AN20="Não",0,(SUM($AO20:BB20)*$AH20)-SUM($HM20:HZ20)-SUM($CW20:DJ20)))</f>
        <v>0</v>
      </c>
      <c r="JE20" s="141">
        <f>IF(ISBLANK($A20),,IF($AN20="Não",0,(SUM($AO20:BC20)*$AH20)-SUM($HM20:IA20)-SUM($CW20:DK20)))</f>
        <v>0</v>
      </c>
      <c r="JF20" s="141">
        <f>IF(ISBLANK($A20),,IF($AN20="Não",0,(SUM($AO20:BD20)*$AH20)-SUM($HM20:IB20)-SUM($CW20:DL20)))</f>
        <v>0</v>
      </c>
      <c r="JG20" s="141">
        <f>IF(ISBLANK($A20),,IF($AN20="Não",0,(SUM($AO20:BE20)*$AH20)-SUM($HM20:IC20)-SUM($CW20:DM20)))</f>
        <v>0</v>
      </c>
      <c r="JH20" s="141">
        <f>IF(ISBLANK($A20),,IF($AN20="Não",0,(SUM($AO20:BF20)*$AH20)-SUM($HM20:ID20)-SUM($CW20:DN20)))</f>
        <v>0</v>
      </c>
      <c r="JI20" s="141">
        <f>IF(ISBLANK($A20),,IF($AN20="Não",0,(SUM($AO20:BG20)*$AH20)-SUM($HM20:IE20)-SUM($CW20:DO20)))</f>
        <v>0</v>
      </c>
      <c r="JJ20" s="141">
        <f>IF(ISBLANK($A20),,IF($AN20="Não",0,(SUM($AO20:BH20)*$AH20)-SUM($HM20:IF20)-SUM($CW20:DP20)))</f>
        <v>0</v>
      </c>
      <c r="JK20" s="141">
        <f>IF(ISBLANK($A20),,IF($AN20="Não",0,(SUM($AO20:BI20)*$AH20)-SUM($HM20:IG20)-SUM($CW20:DQ20)))</f>
        <v>0</v>
      </c>
      <c r="JL20" s="141">
        <f>IF(ISBLANK($A20),,IF($AN20="Não",0,(SUM($AO20:BJ20)*$AH20)-SUM($HM20:IH20)-SUM($CW20:DR20)))</f>
        <v>0</v>
      </c>
      <c r="JM20" s="141">
        <f>IF(ISBLANK($A20),,IF($AN20="Não",0,(SUM($AO20:BK20)*$AH20)-SUM($HM20:II20)-SUM($CW20:DS20)))</f>
        <v>0</v>
      </c>
      <c r="JN20" s="141">
        <f>IF(ISBLANK($A20),,IF($AN20="Não",0,(SUM($AO20:BL20)*$AH20)-SUM($HM20:IJ20)-SUM($CW20:DT20)))</f>
        <v>0</v>
      </c>
      <c r="JO20" s="141">
        <f>IF(ISBLANK($A20),,IF($AN20="Não",0,(SUM($AO20:BM20)*$AH20)-SUM($HM20:IK20)-SUM($CW20:DU20)))</f>
        <v>0</v>
      </c>
      <c r="JP20" s="141">
        <f>IF(ISBLANK($A20),,IF($AN20="Não",0,(SUM($AO20:BN20)*$AH20)-SUM($HM20:IL20)-SUM($CW20:DV20)))</f>
        <v>0</v>
      </c>
      <c r="JQ20" s="141">
        <f>IF(ISBLANK($A20),,IF($AN20="Não",0,(SUM($AO20:BO20)*$AH20)-SUM($HM20:IM20)-SUM($CW20:DW20)))</f>
        <v>0</v>
      </c>
      <c r="JR20" s="141">
        <f>IF(ISBLANK($A20),,IF($AN20="Não",0,(SUM($AO20:BP20)*$AH20)-SUM($HM20:IN20)-SUM($CW20:DX20)))</f>
        <v>0</v>
      </c>
      <c r="JS20" s="141">
        <f>IF(ISBLANK($A20),,IF($AN20="Não",0,(SUM($AO20:BQ20)*$AH20)-SUM($HM20:IO20)-SUM($CW20:DY20)))</f>
        <v>0</v>
      </c>
      <c r="JT20" s="141">
        <f>IF(ISBLANK($A20),,IF($AN20="Não",0,(SUM($AO20:BR20)*$AH20)-SUM($HM20:IP20)-SUM($CW20:DZ20)))</f>
        <v>0</v>
      </c>
    </row>
    <row r="21" spans="1:280" ht="15.75" customHeight="1">
      <c r="A21" s="129" t="s">
        <v>357</v>
      </c>
      <c r="B21" s="129" t="s">
        <v>209</v>
      </c>
      <c r="C21" s="138" t="s">
        <v>79</v>
      </c>
      <c r="D21" s="139">
        <v>2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607">
        <f t="shared" si="0"/>
        <v>1760.0000000000002</v>
      </c>
      <c r="AI21" s="608">
        <f t="shared" si="1"/>
        <v>10</v>
      </c>
      <c r="AJ21" s="609">
        <f t="shared" si="2"/>
        <v>0</v>
      </c>
      <c r="AK21" s="610" t="str">
        <f t="shared" si="3"/>
        <v>Infraestrutura</v>
      </c>
      <c r="AL21" s="609">
        <f t="shared" si="4"/>
        <v>0.05</v>
      </c>
      <c r="AM21" s="611" t="str">
        <f t="shared" si="5"/>
        <v>Sim</v>
      </c>
      <c r="AN21" s="611" t="str">
        <f t="shared" si="6"/>
        <v>Não</v>
      </c>
      <c r="AO21" s="140">
        <f t="array" ref="AO21">IF(ISBLANK($A21),0,IF(OR(AO$5-$AI21&lt;=0,$AM21="Não"),D21,D21+INDEX($AO$6:$BR$176,ROW()-5,COLUMN()-40-$AI21)))*IF($B21="Operacional",IFERROR(VLOOKUP($C21,SN_UGC,28,0),0),1)</f>
        <v>2</v>
      </c>
      <c r="AP21" s="140">
        <f t="array" ref="AP21">IF(ISBLANK($A21),0,IF(OR(AP$5-$AI21&lt;=0,$AM21="Não"),E21,E21+INDEX($AO$6:$BR$176,ROW()-5,COLUMN()-40-$AI21)))*IF($B21="Operacional",IFERROR(VLOOKUP($C21,SN_UGC,28,0),0),1)</f>
        <v>0</v>
      </c>
      <c r="AQ21" s="140">
        <f t="array" ref="AQ21">IF(ISBLANK($A21),0,IF(OR(AQ$5-$AI21&lt;=0,$AM21="Não"),F21,F21+INDEX($AO$6:$BR$176,ROW()-5,COLUMN()-40-$AI21)))*IF($B21="Operacional",IFERROR(VLOOKUP($C21,SN_UGC,28,0),0),1)</f>
        <v>0</v>
      </c>
      <c r="AR21" s="140">
        <f t="array" ref="AR21">IF(ISBLANK($A21),0,IF(OR(AR$5-$AI21&lt;=0,$AM21="Não"),G21,G21+INDEX($AO$6:$BR$176,ROW()-5,COLUMN()-40-$AI21)))*IF($B21="Operacional",IFERROR(VLOOKUP($C21,SN_UGC,28,0),0),1)</f>
        <v>0</v>
      </c>
      <c r="AS21" s="140">
        <f t="array" ref="AS21">IF(ISBLANK($A21),0,IF(OR(AS$5-$AI21&lt;=0,$AM21="Não"),H21,H21+INDEX($AO$6:$BR$176,ROW()-5,COLUMN()-40-$AI21)))*IF($B21="Operacional",IFERROR(VLOOKUP($C21,SN_UGC,28,0),0),1)</f>
        <v>0</v>
      </c>
      <c r="AT21" s="140">
        <f t="array" ref="AT21">IF(ISBLANK($A21),0,IF(OR(AT$5-$AI21&lt;=0,$AM21="Não"),I21,I21+INDEX($AO$6:$BR$176,ROW()-5,COLUMN()-40-$AI21)))*IF($B21="Operacional",IFERROR(VLOOKUP($C21,SN_UGC,28,0),0),1)</f>
        <v>0</v>
      </c>
      <c r="AU21" s="140">
        <f t="array" ref="AU21">IF(ISBLANK($A21),0,IF(OR(AU$5-$AI21&lt;=0,$AM21="Não"),J21,J21+INDEX($AO$6:$BR$176,ROW()-5,COLUMN()-40-$AI21)))*IF($B21="Operacional",IFERROR(VLOOKUP($C21,SN_UGC,28,0),0),1)</f>
        <v>0</v>
      </c>
      <c r="AV21" s="140">
        <f t="array" ref="AV21">IF(ISBLANK($A21),0,IF(OR(AV$5-$AI21&lt;=0,$AM21="Não"),K21,K21+INDEX($AO$6:$BR$176,ROW()-5,COLUMN()-40-$AI21)))*IF($B21="Operacional",IFERROR(VLOOKUP($C21,SN_UGC,28,0),0),1)</f>
        <v>0</v>
      </c>
      <c r="AW21" s="140">
        <f t="array" ref="AW21">IF(ISBLANK($A21),0,IF(OR(AW$5-$AI21&lt;=0,$AM21="Não"),L21,L21+INDEX($AO$6:$BR$176,ROW()-5,COLUMN()-40-$AI21)))*IF($B21="Operacional",IFERROR(VLOOKUP($C21,SN_UGC,28,0),0),1)</f>
        <v>0</v>
      </c>
      <c r="AX21" s="140">
        <f t="array" ref="AX21">IF(ISBLANK($A21),0,IF(OR(AX$5-$AI21&lt;=0,$AM21="Não"),M21,M21+INDEX($AO$6:$BR$176,ROW()-5,COLUMN()-40-$AI21)))*IF($B21="Operacional",IFERROR(VLOOKUP($C21,SN_UGC,28,0),0),1)</f>
        <v>0</v>
      </c>
      <c r="AY21" s="140">
        <f t="array" ref="AY21">IF(ISBLANK($A21),0,IF(OR(AY$5-$AI21&lt;=0,$AM21="Não"),N21,N21+INDEX($AO$6:$BR$176,ROW()-5,COLUMN()-40-$AI21)))*IF($B21="Operacional",IFERROR(VLOOKUP($C21,SN_UGC,28,0),0),1)</f>
        <v>2</v>
      </c>
      <c r="AZ21" s="140">
        <f t="array" ref="AZ21">IF(ISBLANK($A21),0,IF(OR(AZ$5-$AI21&lt;=0,$AM21="Não"),O21,O21+INDEX($AO$6:$BR$176,ROW()-5,COLUMN()-40-$AI21)))*IF($B21="Operacional",IFERROR(VLOOKUP($C21,SN_UGC,28,0),0),1)</f>
        <v>0</v>
      </c>
      <c r="BA21" s="140">
        <f t="array" ref="BA21">IF(ISBLANK($A21),0,IF(OR(BA$5-$AI21&lt;=0,$AM21="Não"),P21,P21+INDEX($AO$6:$BR$176,ROW()-5,COLUMN()-40-$AI21)))*IF($B21="Operacional",IFERROR(VLOOKUP($C21,SN_UGC,28,0),0),1)</f>
        <v>0</v>
      </c>
      <c r="BB21" s="140">
        <f t="array" ref="BB21">IF(ISBLANK($A21),0,IF(OR(BB$5-$AI21&lt;=0,$AM21="Não"),Q21,Q21+INDEX($AO$6:$BR$176,ROW()-5,COLUMN()-40-$AI21)))*IF($B21="Operacional",IFERROR(VLOOKUP($C21,SN_UGC,28,0),0),1)</f>
        <v>0</v>
      </c>
      <c r="BC21" s="140">
        <f t="array" ref="BC21">IF(ISBLANK($A21),0,IF(OR(BC$5-$AI21&lt;=0,$AM21="Não"),R21,R21+INDEX($AO$6:$BR$176,ROW()-5,COLUMN()-40-$AI21)))*IF($B21="Operacional",IFERROR(VLOOKUP($C21,SN_UGC,28,0),0),1)</f>
        <v>0</v>
      </c>
      <c r="BD21" s="140">
        <f t="array" ref="BD21">IF(ISBLANK($A21),0,IF(OR(BD$5-$AI21&lt;=0,$AM21="Não"),S21,S21+INDEX($AO$6:$BR$176,ROW()-5,COLUMN()-40-$AI21)))*IF($B21="Operacional",IFERROR(VLOOKUP($C21,SN_UGC,28,0),0),1)</f>
        <v>0</v>
      </c>
      <c r="BE21" s="140">
        <f t="array" ref="BE21">IF(ISBLANK($A21),0,IF(OR(BE$5-$AI21&lt;=0,$AM21="Não"),T21,T21+INDEX($AO$6:$BR$176,ROW()-5,COLUMN()-40-$AI21)))*IF($B21="Operacional",IFERROR(VLOOKUP($C21,SN_UGC,28,0),0),1)</f>
        <v>0</v>
      </c>
      <c r="BF21" s="140">
        <f t="array" ref="BF21">IF(ISBLANK($A21),0,IF(OR(BF$5-$AI21&lt;=0,$AM21="Não"),U21,U21+INDEX($AO$6:$BR$176,ROW()-5,COLUMN()-40-$AI21)))*IF($B21="Operacional",IFERROR(VLOOKUP($C21,SN_UGC,28,0),0),1)</f>
        <v>0</v>
      </c>
      <c r="BG21" s="140">
        <f t="array" ref="BG21">IF(ISBLANK($A21),0,IF(OR(BG$5-$AI21&lt;=0,$AM21="Não"),V21,V21+INDEX($AO$6:$BR$176,ROW()-5,COLUMN()-40-$AI21)))*IF($B21="Operacional",IFERROR(VLOOKUP($C21,SN_UGC,28,0),0),1)</f>
        <v>0</v>
      </c>
      <c r="BH21" s="140">
        <f t="array" ref="BH21">IF(ISBLANK($A21),0,IF(OR(BH$5-$AI21&lt;=0,$AM21="Não"),W21,W21+INDEX($AO$6:$BR$176,ROW()-5,COLUMN()-40-$AI21)))*IF($B21="Operacional",IFERROR(VLOOKUP($C21,SN_UGC,28,0),0),1)</f>
        <v>0</v>
      </c>
      <c r="BI21" s="140">
        <f t="array" ref="BI21">IF(ISBLANK($A21),0,IF(OR(BI$5-$AI21&lt;=0,$AM21="Não"),X21,X21+INDEX($AO$6:$BR$176,ROW()-5,COLUMN()-40-$AI21)))*IF($B21="Operacional",IFERROR(VLOOKUP($C21,SN_UGC,28,0),0),1)</f>
        <v>2</v>
      </c>
      <c r="BJ21" s="140">
        <f t="array" ref="BJ21">IF(ISBLANK($A21),0,IF(OR(BJ$5-$AI21&lt;=0,$AM21="Não"),Y21,Y21+INDEX($AO$6:$BR$176,ROW()-5,COLUMN()-40-$AI21)))*IF($B21="Operacional",IFERROR(VLOOKUP($C21,SN_UGC,28,0),0),1)</f>
        <v>0</v>
      </c>
      <c r="BK21" s="140">
        <f t="array" ref="BK21">IF(ISBLANK($A21),0,IF(OR(BK$5-$AI21&lt;=0,$AM21="Não"),Z21,Z21+INDEX($AO$6:$BR$176,ROW()-5,COLUMN()-40-$AI21)))*IF($B21="Operacional",IFERROR(VLOOKUP($C21,SN_UGC,28,0),0),1)</f>
        <v>0</v>
      </c>
      <c r="BL21" s="140">
        <f t="array" ref="BL21">IF(ISBLANK($A21),0,IF(OR(BL$5-$AI21&lt;=0,$AM21="Não"),AA21,AA21+INDEX($AO$6:$BR$176,ROW()-5,COLUMN()-40-$AI21)))*IF($B21="Operacional",IFERROR(VLOOKUP($C21,SN_UGC,28,0),0),1)</f>
        <v>0</v>
      </c>
      <c r="BM21" s="140">
        <f t="array" ref="BM21">IF(ISBLANK($A21),0,IF(OR(BM$5-$AI21&lt;=0,$AM21="Não"),AB21,AB21+INDEX($AO$6:$BR$176,ROW()-5,COLUMN()-40-$AI21)))*IF($B21="Operacional",IFERROR(VLOOKUP($C21,SN_UGC,28,0),0),1)</f>
        <v>0</v>
      </c>
      <c r="BN21" s="140">
        <f t="array" ref="BN21">IF(ISBLANK($A21),0,IF(OR(BN$5-$AI21&lt;=0,$AM21="Não"),AC21,AC21+INDEX($AO$6:$BR$176,ROW()-5,COLUMN()-40-$AI21)))*IF($B21="Operacional",IFERROR(VLOOKUP($C21,SN_UGC,28,0),0),1)</f>
        <v>0</v>
      </c>
      <c r="BO21" s="140">
        <f t="array" ref="BO21">IF(ISBLANK($A21),0,IF(OR(BO$5-$AI21&lt;=0,$AM21="Não"),AD21,AD21+INDEX($AO$6:$BR$176,ROW()-5,COLUMN()-40-$AI21)))*IF($B21="Operacional",IFERROR(VLOOKUP($C21,SN_UGC,28,0),0),1)</f>
        <v>0</v>
      </c>
      <c r="BP21" s="140">
        <f t="array" ref="BP21">IF(ISBLANK($A21),0,IF(OR(BP$5-$AI21&lt;=0,$AM21="Não"),AE21,AE21+INDEX($AO$6:$BR$176,ROW()-5,COLUMN()-40-$AI21)))*IF($B21="Operacional",IFERROR(VLOOKUP($C21,SN_UGC,28,0),0),1)</f>
        <v>0</v>
      </c>
      <c r="BQ21" s="140">
        <f t="array" ref="BQ21">IF(ISBLANK($A21),0,IF(OR(BQ$5-$AI21&lt;=0,$AM21="Não"),AF21,AF21+INDEX($AO$6:$BR$176,ROW()-5,COLUMN()-40-$AI21)))*IF($B21="Operacional",IFERROR(VLOOKUP($C21,SN_UGC,28,0),0),1)</f>
        <v>0</v>
      </c>
      <c r="BR21" s="140">
        <f t="array" ref="BR21">IF(ISBLANK($A21),0,IF(OR(BR$5-$AI21&lt;=0,$AM21="Não"),AG21,AG21+INDEX($AO$6:$BR$176,ROW()-5,COLUMN()-40-$AI21)))*IF($B21="Operacional",IFERROR(VLOOKUP($C21,SN_UGC,28,0),0),1)</f>
        <v>0</v>
      </c>
      <c r="BS21" s="141">
        <f t="shared" ref="BS21:CV21" si="97">IF(ISBLANK($A21),0,$AH21*AO21)</f>
        <v>3520.0000000000005</v>
      </c>
      <c r="BT21" s="141">
        <f t="shared" si="97"/>
        <v>0</v>
      </c>
      <c r="BU21" s="141">
        <f t="shared" si="97"/>
        <v>0</v>
      </c>
      <c r="BV21" s="141">
        <f t="shared" si="97"/>
        <v>0</v>
      </c>
      <c r="BW21" s="141">
        <f t="shared" si="97"/>
        <v>0</v>
      </c>
      <c r="BX21" s="141">
        <f t="shared" si="97"/>
        <v>0</v>
      </c>
      <c r="BY21" s="141">
        <f t="shared" si="97"/>
        <v>0</v>
      </c>
      <c r="BZ21" s="141">
        <f t="shared" si="97"/>
        <v>0</v>
      </c>
      <c r="CA21" s="141">
        <f t="shared" si="97"/>
        <v>0</v>
      </c>
      <c r="CB21" s="141">
        <f t="shared" si="97"/>
        <v>0</v>
      </c>
      <c r="CC21" s="141">
        <f t="shared" si="97"/>
        <v>3520.0000000000005</v>
      </c>
      <c r="CD21" s="141">
        <f t="shared" si="97"/>
        <v>0</v>
      </c>
      <c r="CE21" s="141">
        <f t="shared" si="97"/>
        <v>0</v>
      </c>
      <c r="CF21" s="141">
        <f t="shared" si="97"/>
        <v>0</v>
      </c>
      <c r="CG21" s="141">
        <f t="shared" si="97"/>
        <v>0</v>
      </c>
      <c r="CH21" s="141">
        <f t="shared" si="97"/>
        <v>0</v>
      </c>
      <c r="CI21" s="141">
        <f t="shared" si="97"/>
        <v>0</v>
      </c>
      <c r="CJ21" s="141">
        <f t="shared" si="97"/>
        <v>0</v>
      </c>
      <c r="CK21" s="141">
        <f t="shared" si="97"/>
        <v>0</v>
      </c>
      <c r="CL21" s="141">
        <f t="shared" si="97"/>
        <v>0</v>
      </c>
      <c r="CM21" s="141">
        <f t="shared" si="97"/>
        <v>3520.0000000000005</v>
      </c>
      <c r="CN21" s="141">
        <f t="shared" si="97"/>
        <v>0</v>
      </c>
      <c r="CO21" s="141">
        <f t="shared" si="97"/>
        <v>0</v>
      </c>
      <c r="CP21" s="141">
        <f t="shared" si="97"/>
        <v>0</v>
      </c>
      <c r="CQ21" s="141">
        <f t="shared" si="97"/>
        <v>0</v>
      </c>
      <c r="CR21" s="141">
        <f t="shared" si="97"/>
        <v>0</v>
      </c>
      <c r="CS21" s="141">
        <f t="shared" si="97"/>
        <v>0</v>
      </c>
      <c r="CT21" s="141">
        <f t="shared" si="97"/>
        <v>0</v>
      </c>
      <c r="CU21" s="141">
        <f t="shared" si="97"/>
        <v>0</v>
      </c>
      <c r="CV21" s="141">
        <f t="shared" si="97"/>
        <v>0</v>
      </c>
      <c r="CW21" s="142">
        <f t="shared" ref="CW21:DZ21" si="98">EA21*$AH21*$AJ21</f>
        <v>0</v>
      </c>
      <c r="CX21" s="142">
        <f t="shared" si="98"/>
        <v>0</v>
      </c>
      <c r="CY21" s="142">
        <f t="shared" si="98"/>
        <v>0</v>
      </c>
      <c r="CZ21" s="142">
        <f t="shared" si="98"/>
        <v>0</v>
      </c>
      <c r="DA21" s="142">
        <f t="shared" si="98"/>
        <v>0</v>
      </c>
      <c r="DB21" s="142">
        <f t="shared" si="98"/>
        <v>0</v>
      </c>
      <c r="DC21" s="142">
        <f t="shared" si="98"/>
        <v>0</v>
      </c>
      <c r="DD21" s="142">
        <f t="shared" si="98"/>
        <v>0</v>
      </c>
      <c r="DE21" s="142">
        <f t="shared" si="98"/>
        <v>0</v>
      </c>
      <c r="DF21" s="142">
        <f t="shared" si="98"/>
        <v>0</v>
      </c>
      <c r="DG21" s="142">
        <f t="shared" si="98"/>
        <v>0</v>
      </c>
      <c r="DH21" s="142">
        <f t="shared" si="98"/>
        <v>0</v>
      </c>
      <c r="DI21" s="142">
        <f t="shared" si="98"/>
        <v>0</v>
      </c>
      <c r="DJ21" s="142">
        <f t="shared" si="98"/>
        <v>0</v>
      </c>
      <c r="DK21" s="142">
        <f t="shared" si="98"/>
        <v>0</v>
      </c>
      <c r="DL21" s="142">
        <f t="shared" si="98"/>
        <v>0</v>
      </c>
      <c r="DM21" s="142">
        <f t="shared" si="98"/>
        <v>0</v>
      </c>
      <c r="DN21" s="142">
        <f t="shared" si="98"/>
        <v>0</v>
      </c>
      <c r="DO21" s="142">
        <f t="shared" si="98"/>
        <v>0</v>
      </c>
      <c r="DP21" s="142">
        <f t="shared" si="98"/>
        <v>0</v>
      </c>
      <c r="DQ21" s="142">
        <f t="shared" si="98"/>
        <v>0</v>
      </c>
      <c r="DR21" s="142">
        <f t="shared" si="98"/>
        <v>0</v>
      </c>
      <c r="DS21" s="142">
        <f t="shared" si="98"/>
        <v>0</v>
      </c>
      <c r="DT21" s="142">
        <f t="shared" si="98"/>
        <v>0</v>
      </c>
      <c r="DU21" s="142">
        <f t="shared" si="98"/>
        <v>0</v>
      </c>
      <c r="DV21" s="142">
        <f t="shared" si="98"/>
        <v>0</v>
      </c>
      <c r="DW21" s="142">
        <f t="shared" si="98"/>
        <v>0</v>
      </c>
      <c r="DX21" s="142">
        <f t="shared" si="98"/>
        <v>0</v>
      </c>
      <c r="DY21" s="142">
        <f t="shared" si="98"/>
        <v>0</v>
      </c>
      <c r="DZ21" s="142">
        <f t="shared" si="98"/>
        <v>0</v>
      </c>
      <c r="EA21" s="143">
        <f t="shared" si="9"/>
        <v>0</v>
      </c>
      <c r="EB21" s="143">
        <f t="shared" si="10"/>
        <v>0</v>
      </c>
      <c r="EC21" s="143">
        <f t="shared" si="11"/>
        <v>0</v>
      </c>
      <c r="ED21" s="143">
        <f t="shared" si="12"/>
        <v>0</v>
      </c>
      <c r="EE21" s="143">
        <f t="shared" si="13"/>
        <v>0</v>
      </c>
      <c r="EF21" s="143">
        <f t="shared" si="14"/>
        <v>0</v>
      </c>
      <c r="EG21" s="143">
        <f t="shared" si="15"/>
        <v>0</v>
      </c>
      <c r="EH21" s="143">
        <f t="shared" si="16"/>
        <v>0</v>
      </c>
      <c r="EI21" s="143">
        <f t="shared" si="17"/>
        <v>0</v>
      </c>
      <c r="EJ21" s="143">
        <f t="shared" si="18"/>
        <v>0</v>
      </c>
      <c r="EK21" s="143">
        <f t="shared" si="19"/>
        <v>2</v>
      </c>
      <c r="EL21" s="143">
        <f t="shared" si="20"/>
        <v>0</v>
      </c>
      <c r="EM21" s="143">
        <f t="shared" si="21"/>
        <v>0</v>
      </c>
      <c r="EN21" s="143">
        <f t="shared" si="22"/>
        <v>0</v>
      </c>
      <c r="EO21" s="143">
        <f t="shared" si="23"/>
        <v>0</v>
      </c>
      <c r="EP21" s="143">
        <f t="shared" si="24"/>
        <v>0</v>
      </c>
      <c r="EQ21" s="143">
        <f t="shared" si="25"/>
        <v>0</v>
      </c>
      <c r="ER21" s="143">
        <f t="shared" si="26"/>
        <v>0</v>
      </c>
      <c r="ES21" s="143">
        <f t="shared" si="27"/>
        <v>0</v>
      </c>
      <c r="ET21" s="143">
        <f t="shared" si="28"/>
        <v>0</v>
      </c>
      <c r="EU21" s="143">
        <f t="shared" si="29"/>
        <v>2</v>
      </c>
      <c r="EV21" s="143">
        <f t="shared" si="30"/>
        <v>0</v>
      </c>
      <c r="EW21" s="143">
        <f t="shared" si="31"/>
        <v>0</v>
      </c>
      <c r="EX21" s="143">
        <f t="shared" si="32"/>
        <v>0</v>
      </c>
      <c r="EY21" s="143">
        <f t="shared" si="33"/>
        <v>0</v>
      </c>
      <c r="EZ21" s="143">
        <f t="shared" si="34"/>
        <v>0</v>
      </c>
      <c r="FA21" s="143">
        <f t="shared" si="35"/>
        <v>0</v>
      </c>
      <c r="FB21" s="143">
        <f t="shared" si="36"/>
        <v>0</v>
      </c>
      <c r="FC21" s="143">
        <f t="shared" si="37"/>
        <v>0</v>
      </c>
      <c r="FD21" s="143">
        <f t="shared" si="38"/>
        <v>0</v>
      </c>
      <c r="FE21" s="140">
        <f>SUM($D21:D21)*IF($B21="Operacional",IFERROR(VLOOKUP($C21,SN_UGC,28,0),0),1)</f>
        <v>2</v>
      </c>
      <c r="FF21" s="140">
        <f>SUM($D21:E21)*IF($B21="Operacional",IFERROR(VLOOKUP($C21,SN_UGC,28,0),0),1)</f>
        <v>2</v>
      </c>
      <c r="FG21" s="140">
        <f>SUM($D21:F21)*IF($B21="Operacional",IFERROR(VLOOKUP($C21,SN_UGC,28,0),0),1)</f>
        <v>2</v>
      </c>
      <c r="FH21" s="140">
        <f>SUM($D21:G21)*IF($B21="Operacional",IFERROR(VLOOKUP($C21,SN_UGC,28,0),0),1)</f>
        <v>2</v>
      </c>
      <c r="FI21" s="140">
        <f>SUM($D21:H21)*IF($B21="Operacional",IFERROR(VLOOKUP($C21,SN_UGC,28,0),0),1)</f>
        <v>2</v>
      </c>
      <c r="FJ21" s="140">
        <f>SUM($D21:I21)*IF($B21="Operacional",IFERROR(VLOOKUP($C21,SN_UGC,28,0),0),1)</f>
        <v>2</v>
      </c>
      <c r="FK21" s="140">
        <f>SUM($D21:J21)*IF($B21="Operacional",IFERROR(VLOOKUP($C21,SN_UGC,28,0),0),1)</f>
        <v>2</v>
      </c>
      <c r="FL21" s="140">
        <f>SUM($D21:K21)*IF($B21="Operacional",IFERROR(VLOOKUP($C21,SN_UGC,28,0),0),1)</f>
        <v>2</v>
      </c>
      <c r="FM21" s="140">
        <f>SUM($D21:L21)*IF($B21="Operacional",IFERROR(VLOOKUP($C21,SN_UGC,28,0),0),1)</f>
        <v>2</v>
      </c>
      <c r="FN21" s="140">
        <f>SUM($D21:M21)*IF($B21="Operacional",IFERROR(VLOOKUP($C21,SN_UGC,28,0),0),1)</f>
        <v>2</v>
      </c>
      <c r="FO21" s="140">
        <f>SUM($D21:N21)*IF($B21="Operacional",IFERROR(VLOOKUP($C21,SN_UGC,28,0),0),1)</f>
        <v>2</v>
      </c>
      <c r="FP21" s="140">
        <f>SUM($D21:O21)*IF($B21="Operacional",IFERROR(VLOOKUP($C21,SN_UGC,28,0),0),1)</f>
        <v>2</v>
      </c>
      <c r="FQ21" s="140">
        <f>SUM($D21:P21)*IF($B21="Operacional",IFERROR(VLOOKUP($C21,SN_UGC,28,0),0),1)</f>
        <v>2</v>
      </c>
      <c r="FR21" s="140">
        <f>SUM($D21:Q21)*IF($B21="Operacional",IFERROR(VLOOKUP($C21,SN_UGC,28,0),0),1)</f>
        <v>2</v>
      </c>
      <c r="FS21" s="140">
        <f>SUM($D21:R21)*IF($B21="Operacional",IFERROR(VLOOKUP($C21,SN_UGC,28,0),0),1)</f>
        <v>2</v>
      </c>
      <c r="FT21" s="140">
        <f>SUM($D21:S21)*IF($B21="Operacional",IFERROR(VLOOKUP($C21,SN_UGC,28,0),0),1)</f>
        <v>2</v>
      </c>
      <c r="FU21" s="140">
        <f>SUM($D21:T21)*IF($B21="Operacional",IFERROR(VLOOKUP($C21,SN_UGC,28,0),0),1)</f>
        <v>2</v>
      </c>
      <c r="FV21" s="140">
        <f>SUM($D21:U21)*IF($B21="Operacional",IFERROR(VLOOKUP($C21,SN_UGC,28,0),0),1)</f>
        <v>2</v>
      </c>
      <c r="FW21" s="140">
        <f>SUM($D21:V21)*IF($B21="Operacional",IFERROR(VLOOKUP($C21,SN_UGC,28,0),0),1)</f>
        <v>2</v>
      </c>
      <c r="FX21" s="140">
        <f>SUM($D21:W21)*IF($B21="Operacional",IFERROR(VLOOKUP($C21,SN_UGC,28,0),0),1)</f>
        <v>2</v>
      </c>
      <c r="FY21" s="140">
        <f>SUM($D21:X21)*IF($B21="Operacional",IFERROR(VLOOKUP($C21,SN_UGC,28,0),0),1)</f>
        <v>2</v>
      </c>
      <c r="FZ21" s="140">
        <f>SUM($D21:Y21)*IF($B21="Operacional",IFERROR(VLOOKUP($C21,SN_UGC,28,0),0),1)</f>
        <v>2</v>
      </c>
      <c r="GA21" s="140">
        <f>SUM($D21:Z21)*IF($B21="Operacional",IFERROR(VLOOKUP($C21,SN_UGC,28,0),0),1)</f>
        <v>2</v>
      </c>
      <c r="GB21" s="140">
        <f>SUM($D21:AA21)*IF($B21="Operacional",IFERROR(VLOOKUP($C21,SN_UGC,28,0),0),1)</f>
        <v>2</v>
      </c>
      <c r="GC21" s="140">
        <f>SUM($D21:AB21)*IF($B21="Operacional",IFERROR(VLOOKUP($C21,SN_UGC,28,0),0),1)</f>
        <v>2</v>
      </c>
      <c r="GD21" s="140">
        <f>SUM($D21:AC21)*IF($B21="Operacional",IFERROR(VLOOKUP($C21,SN_UGC,28,0),0),1)</f>
        <v>2</v>
      </c>
      <c r="GE21" s="140">
        <f>SUM($D21:AD21)*IF($B21="Operacional",IFERROR(VLOOKUP($C21,SN_UGC,28,0),0),1)</f>
        <v>2</v>
      </c>
      <c r="GF21" s="140">
        <f>SUM($D21:AE21)*IF($B21="Operacional",IFERROR(VLOOKUP($C21,SN_UGC,28,0),0),1)</f>
        <v>2</v>
      </c>
      <c r="GG21" s="140">
        <f>SUM($D21:AF21)*IF($B21="Operacional",IFERROR(VLOOKUP($C21,SN_UGC,28,0),0),1)</f>
        <v>2</v>
      </c>
      <c r="GH21" s="140">
        <f>SUM($D21:AG21)*IF($B21="Operacional",IFERROR(VLOOKUP($C21,SN_UGC,28,0),0),1)</f>
        <v>2</v>
      </c>
      <c r="GI21" s="141">
        <f t="shared" ref="GI21:HL21" si="99">FE21*$AH21*$AL21</f>
        <v>176.00000000000003</v>
      </c>
      <c r="GJ21" s="141">
        <f t="shared" si="99"/>
        <v>176.00000000000003</v>
      </c>
      <c r="GK21" s="141">
        <f t="shared" si="99"/>
        <v>176.00000000000003</v>
      </c>
      <c r="GL21" s="141">
        <f t="shared" si="99"/>
        <v>176.00000000000003</v>
      </c>
      <c r="GM21" s="141">
        <f t="shared" si="99"/>
        <v>176.00000000000003</v>
      </c>
      <c r="GN21" s="141">
        <f t="shared" si="99"/>
        <v>176.00000000000003</v>
      </c>
      <c r="GO21" s="141">
        <f t="shared" si="99"/>
        <v>176.00000000000003</v>
      </c>
      <c r="GP21" s="141">
        <f t="shared" si="99"/>
        <v>176.00000000000003</v>
      </c>
      <c r="GQ21" s="141">
        <f t="shared" si="99"/>
        <v>176.00000000000003</v>
      </c>
      <c r="GR21" s="141">
        <f t="shared" si="99"/>
        <v>176.00000000000003</v>
      </c>
      <c r="GS21" s="141">
        <f t="shared" si="99"/>
        <v>176.00000000000003</v>
      </c>
      <c r="GT21" s="141">
        <f t="shared" si="99"/>
        <v>176.00000000000003</v>
      </c>
      <c r="GU21" s="141">
        <f t="shared" si="99"/>
        <v>176.00000000000003</v>
      </c>
      <c r="GV21" s="141">
        <f t="shared" si="99"/>
        <v>176.00000000000003</v>
      </c>
      <c r="GW21" s="141">
        <f t="shared" si="99"/>
        <v>176.00000000000003</v>
      </c>
      <c r="GX21" s="141">
        <f t="shared" si="99"/>
        <v>176.00000000000003</v>
      </c>
      <c r="GY21" s="141">
        <f t="shared" si="99"/>
        <v>176.00000000000003</v>
      </c>
      <c r="GZ21" s="141">
        <f t="shared" si="99"/>
        <v>176.00000000000003</v>
      </c>
      <c r="HA21" s="141">
        <f t="shared" si="99"/>
        <v>176.00000000000003</v>
      </c>
      <c r="HB21" s="141">
        <f t="shared" si="99"/>
        <v>176.00000000000003</v>
      </c>
      <c r="HC21" s="141">
        <f t="shared" si="99"/>
        <v>176.00000000000003</v>
      </c>
      <c r="HD21" s="141">
        <f t="shared" si="99"/>
        <v>176.00000000000003</v>
      </c>
      <c r="HE21" s="141">
        <f t="shared" si="99"/>
        <v>176.00000000000003</v>
      </c>
      <c r="HF21" s="141">
        <f t="shared" si="99"/>
        <v>176.00000000000003</v>
      </c>
      <c r="HG21" s="141">
        <f t="shared" si="99"/>
        <v>176.00000000000003</v>
      </c>
      <c r="HH21" s="141">
        <f t="shared" si="99"/>
        <v>176.00000000000003</v>
      </c>
      <c r="HI21" s="141">
        <f t="shared" si="99"/>
        <v>176.00000000000003</v>
      </c>
      <c r="HJ21" s="141">
        <f t="shared" si="99"/>
        <v>176.00000000000003</v>
      </c>
      <c r="HK21" s="141">
        <f t="shared" si="99"/>
        <v>176.00000000000003</v>
      </c>
      <c r="HL21" s="141">
        <f t="shared" si="99"/>
        <v>176.00000000000003</v>
      </c>
      <c r="HM21" s="142">
        <f t="shared" ref="HM21:IP21" si="100">IF(ISBLANK($A21),,FE21*($AH21-($AH21*$AJ21))/$AI21)</f>
        <v>352.00000000000006</v>
      </c>
      <c r="HN21" s="142">
        <f t="shared" si="100"/>
        <v>352.00000000000006</v>
      </c>
      <c r="HO21" s="142">
        <f t="shared" si="100"/>
        <v>352.00000000000006</v>
      </c>
      <c r="HP21" s="142">
        <f t="shared" si="100"/>
        <v>352.00000000000006</v>
      </c>
      <c r="HQ21" s="142">
        <f t="shared" si="100"/>
        <v>352.00000000000006</v>
      </c>
      <c r="HR21" s="142">
        <f t="shared" si="100"/>
        <v>352.00000000000006</v>
      </c>
      <c r="HS21" s="142">
        <f t="shared" si="100"/>
        <v>352.00000000000006</v>
      </c>
      <c r="HT21" s="142">
        <f t="shared" si="100"/>
        <v>352.00000000000006</v>
      </c>
      <c r="HU21" s="142">
        <f t="shared" si="100"/>
        <v>352.00000000000006</v>
      </c>
      <c r="HV21" s="142">
        <f t="shared" si="100"/>
        <v>352.00000000000006</v>
      </c>
      <c r="HW21" s="142">
        <f t="shared" si="100"/>
        <v>352.00000000000006</v>
      </c>
      <c r="HX21" s="142">
        <f t="shared" si="100"/>
        <v>352.00000000000006</v>
      </c>
      <c r="HY21" s="142">
        <f t="shared" si="100"/>
        <v>352.00000000000006</v>
      </c>
      <c r="HZ21" s="142">
        <f t="shared" si="100"/>
        <v>352.00000000000006</v>
      </c>
      <c r="IA21" s="142">
        <f t="shared" si="100"/>
        <v>352.00000000000006</v>
      </c>
      <c r="IB21" s="142">
        <f t="shared" si="100"/>
        <v>352.00000000000006</v>
      </c>
      <c r="IC21" s="142">
        <f t="shared" si="100"/>
        <v>352.00000000000006</v>
      </c>
      <c r="ID21" s="142">
        <f t="shared" si="100"/>
        <v>352.00000000000006</v>
      </c>
      <c r="IE21" s="142">
        <f t="shared" si="100"/>
        <v>352.00000000000006</v>
      </c>
      <c r="IF21" s="142">
        <f t="shared" si="100"/>
        <v>352.00000000000006</v>
      </c>
      <c r="IG21" s="142">
        <f t="shared" si="100"/>
        <v>352.00000000000006</v>
      </c>
      <c r="IH21" s="142">
        <f t="shared" si="100"/>
        <v>352.00000000000006</v>
      </c>
      <c r="II21" s="142">
        <f t="shared" si="100"/>
        <v>352.00000000000006</v>
      </c>
      <c r="IJ21" s="142">
        <f t="shared" si="100"/>
        <v>352.00000000000006</v>
      </c>
      <c r="IK21" s="142">
        <f t="shared" si="100"/>
        <v>352.00000000000006</v>
      </c>
      <c r="IL21" s="142">
        <f t="shared" si="100"/>
        <v>352.00000000000006</v>
      </c>
      <c r="IM21" s="142">
        <f t="shared" si="100"/>
        <v>352.00000000000006</v>
      </c>
      <c r="IN21" s="142">
        <f t="shared" si="100"/>
        <v>352.00000000000006</v>
      </c>
      <c r="IO21" s="142">
        <f t="shared" si="100"/>
        <v>352.00000000000006</v>
      </c>
      <c r="IP21" s="142">
        <f t="shared" si="100"/>
        <v>352.00000000000006</v>
      </c>
      <c r="IQ21" s="141">
        <f>IF(ISBLANK($A21),,IF($AN21="Não",0,(SUM($AO21:AO21)*$AH21)-SUM($HM21:HM21)-SUM($CW21:CW21)))</f>
        <v>0</v>
      </c>
      <c r="IR21" s="141">
        <f>IF(ISBLANK($A21),,IF($AN21="Não",0,(SUM($AO21:AP21)*$AH21)-SUM($HM21:HN21)-SUM($CW21:CX21)))</f>
        <v>0</v>
      </c>
      <c r="IS21" s="141">
        <f>IF(ISBLANK($A21),,IF($AN21="Não",0,(SUM($AO21:AQ21)*$AH21)-SUM($HM21:HO21)-SUM($CW21:CY21)))</f>
        <v>0</v>
      </c>
      <c r="IT21" s="141">
        <f>IF(ISBLANK($A21),,IF($AN21="Não",0,(SUM($AO21:AR21)*$AH21)-SUM($HM21:HP21)-SUM($CW21:CZ21)))</f>
        <v>0</v>
      </c>
      <c r="IU21" s="141">
        <f>IF(ISBLANK($A21),,IF($AN21="Não",0,(SUM($AO21:AS21)*$AH21)-SUM($HM21:HQ21)-SUM($CW21:DA21)))</f>
        <v>0</v>
      </c>
      <c r="IV21" s="141">
        <f>IF(ISBLANK($A21),,IF($AN21="Não",0,(SUM($AO21:AT21)*$AH21)-SUM($HM21:HR21)-SUM($CW21:DB21)))</f>
        <v>0</v>
      </c>
      <c r="IW21" s="141">
        <f>IF(ISBLANK($A21),,IF($AN21="Não",0,(SUM($AO21:AU21)*$AH21)-SUM($HM21:HS21)-SUM($CW21:DC21)))</f>
        <v>0</v>
      </c>
      <c r="IX21" s="141">
        <f>IF(ISBLANK($A21),,IF($AN21="Não",0,(SUM($AO21:AV21)*$AH21)-SUM($HM21:HT21)-SUM($CW21:DD21)))</f>
        <v>0</v>
      </c>
      <c r="IY21" s="141">
        <f>IF(ISBLANK($A21),,IF($AN21="Não",0,(SUM($AO21:AW21)*$AH21)-SUM($HM21:HU21)-SUM($CW21:DE21)))</f>
        <v>0</v>
      </c>
      <c r="IZ21" s="141">
        <f>IF(ISBLANK($A21),,IF($AN21="Não",0,(SUM($AO21:AX21)*$AH21)-SUM($HM21:HV21)-SUM($CW21:DF21)))</f>
        <v>0</v>
      </c>
      <c r="JA21" s="141">
        <f>IF(ISBLANK($A21),,IF($AN21="Não",0,(SUM($AO21:AY21)*$AH21)-SUM($HM21:HW21)-SUM($CW21:DG21)))</f>
        <v>0</v>
      </c>
      <c r="JB21" s="141">
        <f>IF(ISBLANK($A21),,IF($AN21="Não",0,(SUM($AO21:AZ21)*$AH21)-SUM($HM21:HX21)-SUM($CW21:DH21)))</f>
        <v>0</v>
      </c>
      <c r="JC21" s="141">
        <f>IF(ISBLANK($A21),,IF($AN21="Não",0,(SUM($AO21:BA21)*$AH21)-SUM($HM21:HY21)-SUM($CW21:DI21)))</f>
        <v>0</v>
      </c>
      <c r="JD21" s="141">
        <f>IF(ISBLANK($A21),,IF($AN21="Não",0,(SUM($AO21:BB21)*$AH21)-SUM($HM21:HZ21)-SUM($CW21:DJ21)))</f>
        <v>0</v>
      </c>
      <c r="JE21" s="141">
        <f>IF(ISBLANK($A21),,IF($AN21="Não",0,(SUM($AO21:BC21)*$AH21)-SUM($HM21:IA21)-SUM($CW21:DK21)))</f>
        <v>0</v>
      </c>
      <c r="JF21" s="141">
        <f>IF(ISBLANK($A21),,IF($AN21="Não",0,(SUM($AO21:BD21)*$AH21)-SUM($HM21:IB21)-SUM($CW21:DL21)))</f>
        <v>0</v>
      </c>
      <c r="JG21" s="141">
        <f>IF(ISBLANK($A21),,IF($AN21="Não",0,(SUM($AO21:BE21)*$AH21)-SUM($HM21:IC21)-SUM($CW21:DM21)))</f>
        <v>0</v>
      </c>
      <c r="JH21" s="141">
        <f>IF(ISBLANK($A21),,IF($AN21="Não",0,(SUM($AO21:BF21)*$AH21)-SUM($HM21:ID21)-SUM($CW21:DN21)))</f>
        <v>0</v>
      </c>
      <c r="JI21" s="141">
        <f>IF(ISBLANK($A21),,IF($AN21="Não",0,(SUM($AO21:BG21)*$AH21)-SUM($HM21:IE21)-SUM($CW21:DO21)))</f>
        <v>0</v>
      </c>
      <c r="JJ21" s="141">
        <f>IF(ISBLANK($A21),,IF($AN21="Não",0,(SUM($AO21:BH21)*$AH21)-SUM($HM21:IF21)-SUM($CW21:DP21)))</f>
        <v>0</v>
      </c>
      <c r="JK21" s="141">
        <f>IF(ISBLANK($A21),,IF($AN21="Não",0,(SUM($AO21:BI21)*$AH21)-SUM($HM21:IG21)-SUM($CW21:DQ21)))</f>
        <v>0</v>
      </c>
      <c r="JL21" s="141">
        <f>IF(ISBLANK($A21),,IF($AN21="Não",0,(SUM($AO21:BJ21)*$AH21)-SUM($HM21:IH21)-SUM($CW21:DR21)))</f>
        <v>0</v>
      </c>
      <c r="JM21" s="141">
        <f>IF(ISBLANK($A21),,IF($AN21="Não",0,(SUM($AO21:BK21)*$AH21)-SUM($HM21:II21)-SUM($CW21:DS21)))</f>
        <v>0</v>
      </c>
      <c r="JN21" s="141">
        <f>IF(ISBLANK($A21),,IF($AN21="Não",0,(SUM($AO21:BL21)*$AH21)-SUM($HM21:IJ21)-SUM($CW21:DT21)))</f>
        <v>0</v>
      </c>
      <c r="JO21" s="141">
        <f>IF(ISBLANK($A21),,IF($AN21="Não",0,(SUM($AO21:BM21)*$AH21)-SUM($HM21:IK21)-SUM($CW21:DU21)))</f>
        <v>0</v>
      </c>
      <c r="JP21" s="141">
        <f>IF(ISBLANK($A21),,IF($AN21="Não",0,(SUM($AO21:BN21)*$AH21)-SUM($HM21:IL21)-SUM($CW21:DV21)))</f>
        <v>0</v>
      </c>
      <c r="JQ21" s="141">
        <f>IF(ISBLANK($A21),,IF($AN21="Não",0,(SUM($AO21:BO21)*$AH21)-SUM($HM21:IM21)-SUM($CW21:DW21)))</f>
        <v>0</v>
      </c>
      <c r="JR21" s="141">
        <f>IF(ISBLANK($A21),,IF($AN21="Não",0,(SUM($AO21:BP21)*$AH21)-SUM($HM21:IN21)-SUM($CW21:DX21)))</f>
        <v>0</v>
      </c>
      <c r="JS21" s="141">
        <f>IF(ISBLANK($A21),,IF($AN21="Não",0,(SUM($AO21:BQ21)*$AH21)-SUM($HM21:IO21)-SUM($CW21:DY21)))</f>
        <v>0</v>
      </c>
      <c r="JT21" s="141">
        <f>IF(ISBLANK($A21),,IF($AN21="Não",0,(SUM($AO21:BR21)*$AH21)-SUM($HM21:IP21)-SUM($CW21:DZ21)))</f>
        <v>0</v>
      </c>
    </row>
    <row r="22" spans="1:280" ht="15.75" customHeight="1">
      <c r="A22" s="129" t="s">
        <v>357</v>
      </c>
      <c r="B22" s="129" t="s">
        <v>209</v>
      </c>
      <c r="C22" s="138" t="s">
        <v>79</v>
      </c>
      <c r="D22" s="139">
        <v>2</v>
      </c>
      <c r="E22" s="139"/>
      <c r="F22" s="139"/>
      <c r="G22" s="139"/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607">
        <f t="shared" si="0"/>
        <v>1760.0000000000002</v>
      </c>
      <c r="AI22" s="608">
        <f t="shared" si="1"/>
        <v>10</v>
      </c>
      <c r="AJ22" s="609">
        <f t="shared" si="2"/>
        <v>0</v>
      </c>
      <c r="AK22" s="610" t="str">
        <f t="shared" si="3"/>
        <v>Infraestrutura</v>
      </c>
      <c r="AL22" s="609">
        <f t="shared" si="4"/>
        <v>0.05</v>
      </c>
      <c r="AM22" s="611" t="str">
        <f t="shared" si="5"/>
        <v>Sim</v>
      </c>
      <c r="AN22" s="611" t="str">
        <f t="shared" si="6"/>
        <v>Não</v>
      </c>
      <c r="AO22" s="140">
        <f t="array" ref="AO22">IF(ISBLANK($A22),0,IF(OR(AO$5-$AI22&lt;=0,$AM22="Não"),D22,D22+INDEX($AO$6:$BR$176,ROW()-5,COLUMN()-40-$AI22)))*IF($B22="Operacional",IFERROR(VLOOKUP($C22,SN_UGC,28,0),0),1)</f>
        <v>2</v>
      </c>
      <c r="AP22" s="140">
        <f t="array" ref="AP22">IF(ISBLANK($A22),0,IF(OR(AP$5-$AI22&lt;=0,$AM22="Não"),E22,E22+INDEX($AO$6:$BR$176,ROW()-5,COLUMN()-40-$AI22)))*IF($B22="Operacional",IFERROR(VLOOKUP($C22,SN_UGC,28,0),0),1)</f>
        <v>0</v>
      </c>
      <c r="AQ22" s="140">
        <f t="array" ref="AQ22">IF(ISBLANK($A22),0,IF(OR(AQ$5-$AI22&lt;=0,$AM22="Não"),F22,F22+INDEX($AO$6:$BR$176,ROW()-5,COLUMN()-40-$AI22)))*IF($B22="Operacional",IFERROR(VLOOKUP($C22,SN_UGC,28,0),0),1)</f>
        <v>0</v>
      </c>
      <c r="AR22" s="140">
        <f t="array" ref="AR22">IF(ISBLANK($A22),0,IF(OR(AR$5-$AI22&lt;=0,$AM22="Não"),G22,G22+INDEX($AO$6:$BR$176,ROW()-5,COLUMN()-40-$AI22)))*IF($B22="Operacional",IFERROR(VLOOKUP($C22,SN_UGC,28,0),0),1)</f>
        <v>0</v>
      </c>
      <c r="AS22" s="140">
        <f t="array" ref="AS22">IF(ISBLANK($A22),0,IF(OR(AS$5-$AI22&lt;=0,$AM22="Não"),H22,H22+INDEX($AO$6:$BR$176,ROW()-5,COLUMN()-40-$AI22)))*IF($B22="Operacional",IFERROR(VLOOKUP($C22,SN_UGC,28,0),0),1)</f>
        <v>0</v>
      </c>
      <c r="AT22" s="140">
        <f t="array" ref="AT22">IF(ISBLANK($A22),0,IF(OR(AT$5-$AI22&lt;=0,$AM22="Não"),I22,I22+INDEX($AO$6:$BR$176,ROW()-5,COLUMN()-40-$AI22)))*IF($B22="Operacional",IFERROR(VLOOKUP($C22,SN_UGC,28,0),0),1)</f>
        <v>0</v>
      </c>
      <c r="AU22" s="140">
        <f t="array" ref="AU22">IF(ISBLANK($A22),0,IF(OR(AU$5-$AI22&lt;=0,$AM22="Não"),J22,J22+INDEX($AO$6:$BR$176,ROW()-5,COLUMN()-40-$AI22)))*IF($B22="Operacional",IFERROR(VLOOKUP($C22,SN_UGC,28,0),0),1)</f>
        <v>0</v>
      </c>
      <c r="AV22" s="140">
        <f t="array" ref="AV22">IF(ISBLANK($A22),0,IF(OR(AV$5-$AI22&lt;=0,$AM22="Não"),K22,K22+INDEX($AO$6:$BR$176,ROW()-5,COLUMN()-40-$AI22)))*IF($B22="Operacional",IFERROR(VLOOKUP($C22,SN_UGC,28,0),0),1)</f>
        <v>0</v>
      </c>
      <c r="AW22" s="140">
        <f t="array" ref="AW22">IF(ISBLANK($A22),0,IF(OR(AW$5-$AI22&lt;=0,$AM22="Não"),L22,L22+INDEX($AO$6:$BR$176,ROW()-5,COLUMN()-40-$AI22)))*IF($B22="Operacional",IFERROR(VLOOKUP($C22,SN_UGC,28,0),0),1)</f>
        <v>0</v>
      </c>
      <c r="AX22" s="140">
        <f t="array" ref="AX22">IF(ISBLANK($A22),0,IF(OR(AX$5-$AI22&lt;=0,$AM22="Não"),M22,M22+INDEX($AO$6:$BR$176,ROW()-5,COLUMN()-40-$AI22)))*IF($B22="Operacional",IFERROR(VLOOKUP($C22,SN_UGC,28,0),0),1)</f>
        <v>0</v>
      </c>
      <c r="AY22" s="140">
        <f t="array" ref="AY22">IF(ISBLANK($A22),0,IF(OR(AY$5-$AI22&lt;=0,$AM22="Não"),N22,N22+INDEX($AO$6:$BR$176,ROW()-5,COLUMN()-40-$AI22)))*IF($B22="Operacional",IFERROR(VLOOKUP($C22,SN_UGC,28,0),0),1)</f>
        <v>2</v>
      </c>
      <c r="AZ22" s="140">
        <f t="array" ref="AZ22">IF(ISBLANK($A22),0,IF(OR(AZ$5-$AI22&lt;=0,$AM22="Não"),O22,O22+INDEX($AO$6:$BR$176,ROW()-5,COLUMN()-40-$AI22)))*IF($B22="Operacional",IFERROR(VLOOKUP($C22,SN_UGC,28,0),0),1)</f>
        <v>0</v>
      </c>
      <c r="BA22" s="140">
        <f t="array" ref="BA22">IF(ISBLANK($A22),0,IF(OR(BA$5-$AI22&lt;=0,$AM22="Não"),P22,P22+INDEX($AO$6:$BR$176,ROW()-5,COLUMN()-40-$AI22)))*IF($B22="Operacional",IFERROR(VLOOKUP($C22,SN_UGC,28,0),0),1)</f>
        <v>0</v>
      </c>
      <c r="BB22" s="140">
        <f t="array" ref="BB22">IF(ISBLANK($A22),0,IF(OR(BB$5-$AI22&lt;=0,$AM22="Não"),Q22,Q22+INDEX($AO$6:$BR$176,ROW()-5,COLUMN()-40-$AI22)))*IF($B22="Operacional",IFERROR(VLOOKUP($C22,SN_UGC,28,0),0),1)</f>
        <v>0</v>
      </c>
      <c r="BC22" s="140">
        <f t="array" ref="BC22">IF(ISBLANK($A22),0,IF(OR(BC$5-$AI22&lt;=0,$AM22="Não"),R22,R22+INDEX($AO$6:$BR$176,ROW()-5,COLUMN()-40-$AI22)))*IF($B22="Operacional",IFERROR(VLOOKUP($C22,SN_UGC,28,0),0),1)</f>
        <v>0</v>
      </c>
      <c r="BD22" s="140">
        <f t="array" ref="BD22">IF(ISBLANK($A22),0,IF(OR(BD$5-$AI22&lt;=0,$AM22="Não"),S22,S22+INDEX($AO$6:$BR$176,ROW()-5,COLUMN()-40-$AI22)))*IF($B22="Operacional",IFERROR(VLOOKUP($C22,SN_UGC,28,0),0),1)</f>
        <v>0</v>
      </c>
      <c r="BE22" s="140">
        <f t="array" ref="BE22">IF(ISBLANK($A22),0,IF(OR(BE$5-$AI22&lt;=0,$AM22="Não"),T22,T22+INDEX($AO$6:$BR$176,ROW()-5,COLUMN()-40-$AI22)))*IF($B22="Operacional",IFERROR(VLOOKUP($C22,SN_UGC,28,0),0),1)</f>
        <v>0</v>
      </c>
      <c r="BF22" s="140">
        <f t="array" ref="BF22">IF(ISBLANK($A22),0,IF(OR(BF$5-$AI22&lt;=0,$AM22="Não"),U22,U22+INDEX($AO$6:$BR$176,ROW()-5,COLUMN()-40-$AI22)))*IF($B22="Operacional",IFERROR(VLOOKUP($C22,SN_UGC,28,0),0),1)</f>
        <v>0</v>
      </c>
      <c r="BG22" s="140">
        <f t="array" ref="BG22">IF(ISBLANK($A22),0,IF(OR(BG$5-$AI22&lt;=0,$AM22="Não"),V22,V22+INDEX($AO$6:$BR$176,ROW()-5,COLUMN()-40-$AI22)))*IF($B22="Operacional",IFERROR(VLOOKUP($C22,SN_UGC,28,0),0),1)</f>
        <v>0</v>
      </c>
      <c r="BH22" s="140">
        <f t="array" ref="BH22">IF(ISBLANK($A22),0,IF(OR(BH$5-$AI22&lt;=0,$AM22="Não"),W22,W22+INDEX($AO$6:$BR$176,ROW()-5,COLUMN()-40-$AI22)))*IF($B22="Operacional",IFERROR(VLOOKUP($C22,SN_UGC,28,0),0),1)</f>
        <v>0</v>
      </c>
      <c r="BI22" s="140">
        <f t="array" ref="BI22">IF(ISBLANK($A22),0,IF(OR(BI$5-$AI22&lt;=0,$AM22="Não"),X22,X22+INDEX($AO$6:$BR$176,ROW()-5,COLUMN()-40-$AI22)))*IF($B22="Operacional",IFERROR(VLOOKUP($C22,SN_UGC,28,0),0),1)</f>
        <v>2</v>
      </c>
      <c r="BJ22" s="140">
        <f t="array" ref="BJ22">IF(ISBLANK($A22),0,IF(OR(BJ$5-$AI22&lt;=0,$AM22="Não"),Y22,Y22+INDEX($AO$6:$BR$176,ROW()-5,COLUMN()-40-$AI22)))*IF($B22="Operacional",IFERROR(VLOOKUP($C22,SN_UGC,28,0),0),1)</f>
        <v>0</v>
      </c>
      <c r="BK22" s="140">
        <f t="array" ref="BK22">IF(ISBLANK($A22),0,IF(OR(BK$5-$AI22&lt;=0,$AM22="Não"),Z22,Z22+INDEX($AO$6:$BR$176,ROW()-5,COLUMN()-40-$AI22)))*IF($B22="Operacional",IFERROR(VLOOKUP($C22,SN_UGC,28,0),0),1)</f>
        <v>0</v>
      </c>
      <c r="BL22" s="140">
        <f t="array" ref="BL22">IF(ISBLANK($A22),0,IF(OR(BL$5-$AI22&lt;=0,$AM22="Não"),AA22,AA22+INDEX($AO$6:$BR$176,ROW()-5,COLUMN()-40-$AI22)))*IF($B22="Operacional",IFERROR(VLOOKUP($C22,SN_UGC,28,0),0),1)</f>
        <v>0</v>
      </c>
      <c r="BM22" s="140">
        <f t="array" ref="BM22">IF(ISBLANK($A22),0,IF(OR(BM$5-$AI22&lt;=0,$AM22="Não"),AB22,AB22+INDEX($AO$6:$BR$176,ROW()-5,COLUMN()-40-$AI22)))*IF($B22="Operacional",IFERROR(VLOOKUP($C22,SN_UGC,28,0),0),1)</f>
        <v>0</v>
      </c>
      <c r="BN22" s="140">
        <f t="array" ref="BN22">IF(ISBLANK($A22),0,IF(OR(BN$5-$AI22&lt;=0,$AM22="Não"),AC22,AC22+INDEX($AO$6:$BR$176,ROW()-5,COLUMN()-40-$AI22)))*IF($B22="Operacional",IFERROR(VLOOKUP($C22,SN_UGC,28,0),0),1)</f>
        <v>0</v>
      </c>
      <c r="BO22" s="140">
        <f t="array" ref="BO22">IF(ISBLANK($A22),0,IF(OR(BO$5-$AI22&lt;=0,$AM22="Não"),AD22,AD22+INDEX($AO$6:$BR$176,ROW()-5,COLUMN()-40-$AI22)))*IF($B22="Operacional",IFERROR(VLOOKUP($C22,SN_UGC,28,0),0),1)</f>
        <v>0</v>
      </c>
      <c r="BP22" s="140">
        <f t="array" ref="BP22">IF(ISBLANK($A22),0,IF(OR(BP$5-$AI22&lt;=0,$AM22="Não"),AE22,AE22+INDEX($AO$6:$BR$176,ROW()-5,COLUMN()-40-$AI22)))*IF($B22="Operacional",IFERROR(VLOOKUP($C22,SN_UGC,28,0),0),1)</f>
        <v>0</v>
      </c>
      <c r="BQ22" s="140">
        <f t="array" ref="BQ22">IF(ISBLANK($A22),0,IF(OR(BQ$5-$AI22&lt;=0,$AM22="Não"),AF22,AF22+INDEX($AO$6:$BR$176,ROW()-5,COLUMN()-40-$AI22)))*IF($B22="Operacional",IFERROR(VLOOKUP($C22,SN_UGC,28,0),0),1)</f>
        <v>0</v>
      </c>
      <c r="BR22" s="140">
        <f t="array" ref="BR22">IF(ISBLANK($A22),0,IF(OR(BR$5-$AI22&lt;=0,$AM22="Não"),AG22,AG22+INDEX($AO$6:$BR$176,ROW()-5,COLUMN()-40-$AI22)))*IF($B22="Operacional",IFERROR(VLOOKUP($C22,SN_UGC,28,0),0),1)</f>
        <v>0</v>
      </c>
      <c r="BS22" s="141">
        <f t="shared" ref="BS22:CV22" si="101">IF(ISBLANK($A22),0,$AH22*AO22)</f>
        <v>3520.0000000000005</v>
      </c>
      <c r="BT22" s="141">
        <f t="shared" si="101"/>
        <v>0</v>
      </c>
      <c r="BU22" s="141">
        <f t="shared" si="101"/>
        <v>0</v>
      </c>
      <c r="BV22" s="141">
        <f t="shared" si="101"/>
        <v>0</v>
      </c>
      <c r="BW22" s="141">
        <f t="shared" si="101"/>
        <v>0</v>
      </c>
      <c r="BX22" s="141">
        <f t="shared" si="101"/>
        <v>0</v>
      </c>
      <c r="BY22" s="141">
        <f t="shared" si="101"/>
        <v>0</v>
      </c>
      <c r="BZ22" s="141">
        <f t="shared" si="101"/>
        <v>0</v>
      </c>
      <c r="CA22" s="141">
        <f t="shared" si="101"/>
        <v>0</v>
      </c>
      <c r="CB22" s="141">
        <f t="shared" si="101"/>
        <v>0</v>
      </c>
      <c r="CC22" s="141">
        <f t="shared" si="101"/>
        <v>3520.0000000000005</v>
      </c>
      <c r="CD22" s="141">
        <f t="shared" si="101"/>
        <v>0</v>
      </c>
      <c r="CE22" s="141">
        <f t="shared" si="101"/>
        <v>0</v>
      </c>
      <c r="CF22" s="141">
        <f t="shared" si="101"/>
        <v>0</v>
      </c>
      <c r="CG22" s="141">
        <f t="shared" si="101"/>
        <v>0</v>
      </c>
      <c r="CH22" s="141">
        <f t="shared" si="101"/>
        <v>0</v>
      </c>
      <c r="CI22" s="141">
        <f t="shared" si="101"/>
        <v>0</v>
      </c>
      <c r="CJ22" s="141">
        <f t="shared" si="101"/>
        <v>0</v>
      </c>
      <c r="CK22" s="141">
        <f t="shared" si="101"/>
        <v>0</v>
      </c>
      <c r="CL22" s="141">
        <f t="shared" si="101"/>
        <v>0</v>
      </c>
      <c r="CM22" s="141">
        <f t="shared" si="101"/>
        <v>3520.0000000000005</v>
      </c>
      <c r="CN22" s="141">
        <f t="shared" si="101"/>
        <v>0</v>
      </c>
      <c r="CO22" s="141">
        <f t="shared" si="101"/>
        <v>0</v>
      </c>
      <c r="CP22" s="141">
        <f t="shared" si="101"/>
        <v>0</v>
      </c>
      <c r="CQ22" s="141">
        <f t="shared" si="101"/>
        <v>0</v>
      </c>
      <c r="CR22" s="141">
        <f t="shared" si="101"/>
        <v>0</v>
      </c>
      <c r="CS22" s="141">
        <f t="shared" si="101"/>
        <v>0</v>
      </c>
      <c r="CT22" s="141">
        <f t="shared" si="101"/>
        <v>0</v>
      </c>
      <c r="CU22" s="141">
        <f t="shared" si="101"/>
        <v>0</v>
      </c>
      <c r="CV22" s="141">
        <f t="shared" si="101"/>
        <v>0</v>
      </c>
      <c r="CW22" s="142">
        <f t="shared" ref="CW22:DZ22" si="102">EA22*$AH22*$AJ22</f>
        <v>0</v>
      </c>
      <c r="CX22" s="142">
        <f t="shared" si="102"/>
        <v>0</v>
      </c>
      <c r="CY22" s="142">
        <f t="shared" si="102"/>
        <v>0</v>
      </c>
      <c r="CZ22" s="142">
        <f t="shared" si="102"/>
        <v>0</v>
      </c>
      <c r="DA22" s="142">
        <f t="shared" si="102"/>
        <v>0</v>
      </c>
      <c r="DB22" s="142">
        <f t="shared" si="102"/>
        <v>0</v>
      </c>
      <c r="DC22" s="142">
        <f t="shared" si="102"/>
        <v>0</v>
      </c>
      <c r="DD22" s="142">
        <f t="shared" si="102"/>
        <v>0</v>
      </c>
      <c r="DE22" s="142">
        <f t="shared" si="102"/>
        <v>0</v>
      </c>
      <c r="DF22" s="142">
        <f t="shared" si="102"/>
        <v>0</v>
      </c>
      <c r="DG22" s="142">
        <f t="shared" si="102"/>
        <v>0</v>
      </c>
      <c r="DH22" s="142">
        <f t="shared" si="102"/>
        <v>0</v>
      </c>
      <c r="DI22" s="142">
        <f t="shared" si="102"/>
        <v>0</v>
      </c>
      <c r="DJ22" s="142">
        <f t="shared" si="102"/>
        <v>0</v>
      </c>
      <c r="DK22" s="142">
        <f t="shared" si="102"/>
        <v>0</v>
      </c>
      <c r="DL22" s="142">
        <f t="shared" si="102"/>
        <v>0</v>
      </c>
      <c r="DM22" s="142">
        <f t="shared" si="102"/>
        <v>0</v>
      </c>
      <c r="DN22" s="142">
        <f t="shared" si="102"/>
        <v>0</v>
      </c>
      <c r="DO22" s="142">
        <f t="shared" si="102"/>
        <v>0</v>
      </c>
      <c r="DP22" s="142">
        <f t="shared" si="102"/>
        <v>0</v>
      </c>
      <c r="DQ22" s="142">
        <f t="shared" si="102"/>
        <v>0</v>
      </c>
      <c r="DR22" s="142">
        <f t="shared" si="102"/>
        <v>0</v>
      </c>
      <c r="DS22" s="142">
        <f t="shared" si="102"/>
        <v>0</v>
      </c>
      <c r="DT22" s="142">
        <f t="shared" si="102"/>
        <v>0</v>
      </c>
      <c r="DU22" s="142">
        <f t="shared" si="102"/>
        <v>0</v>
      </c>
      <c r="DV22" s="142">
        <f t="shared" si="102"/>
        <v>0</v>
      </c>
      <c r="DW22" s="142">
        <f t="shared" si="102"/>
        <v>0</v>
      </c>
      <c r="DX22" s="142">
        <f t="shared" si="102"/>
        <v>0</v>
      </c>
      <c r="DY22" s="142">
        <f t="shared" si="102"/>
        <v>0</v>
      </c>
      <c r="DZ22" s="142">
        <f t="shared" si="102"/>
        <v>0</v>
      </c>
      <c r="EA22" s="143">
        <f t="shared" si="9"/>
        <v>0</v>
      </c>
      <c r="EB22" s="143">
        <f t="shared" si="10"/>
        <v>0</v>
      </c>
      <c r="EC22" s="143">
        <f t="shared" si="11"/>
        <v>0</v>
      </c>
      <c r="ED22" s="143">
        <f t="shared" si="12"/>
        <v>0</v>
      </c>
      <c r="EE22" s="143">
        <f t="shared" si="13"/>
        <v>0</v>
      </c>
      <c r="EF22" s="143">
        <f t="shared" si="14"/>
        <v>0</v>
      </c>
      <c r="EG22" s="143">
        <f t="shared" si="15"/>
        <v>0</v>
      </c>
      <c r="EH22" s="143">
        <f t="shared" si="16"/>
        <v>0</v>
      </c>
      <c r="EI22" s="143">
        <f t="shared" si="17"/>
        <v>0</v>
      </c>
      <c r="EJ22" s="143">
        <f t="shared" si="18"/>
        <v>0</v>
      </c>
      <c r="EK22" s="143">
        <f t="shared" si="19"/>
        <v>2</v>
      </c>
      <c r="EL22" s="143">
        <f t="shared" si="20"/>
        <v>0</v>
      </c>
      <c r="EM22" s="143">
        <f t="shared" si="21"/>
        <v>0</v>
      </c>
      <c r="EN22" s="143">
        <f t="shared" si="22"/>
        <v>0</v>
      </c>
      <c r="EO22" s="143">
        <f t="shared" si="23"/>
        <v>0</v>
      </c>
      <c r="EP22" s="143">
        <f t="shared" si="24"/>
        <v>0</v>
      </c>
      <c r="EQ22" s="143">
        <f t="shared" si="25"/>
        <v>0</v>
      </c>
      <c r="ER22" s="143">
        <f t="shared" si="26"/>
        <v>0</v>
      </c>
      <c r="ES22" s="143">
        <f t="shared" si="27"/>
        <v>0</v>
      </c>
      <c r="ET22" s="143">
        <f t="shared" si="28"/>
        <v>0</v>
      </c>
      <c r="EU22" s="143">
        <f t="shared" si="29"/>
        <v>2</v>
      </c>
      <c r="EV22" s="143">
        <f t="shared" si="30"/>
        <v>0</v>
      </c>
      <c r="EW22" s="143">
        <f t="shared" si="31"/>
        <v>0</v>
      </c>
      <c r="EX22" s="143">
        <f t="shared" si="32"/>
        <v>0</v>
      </c>
      <c r="EY22" s="143">
        <f t="shared" si="33"/>
        <v>0</v>
      </c>
      <c r="EZ22" s="143">
        <f t="shared" si="34"/>
        <v>0</v>
      </c>
      <c r="FA22" s="143">
        <f t="shared" si="35"/>
        <v>0</v>
      </c>
      <c r="FB22" s="143">
        <f t="shared" si="36"/>
        <v>0</v>
      </c>
      <c r="FC22" s="143">
        <f t="shared" si="37"/>
        <v>0</v>
      </c>
      <c r="FD22" s="143">
        <f t="shared" si="38"/>
        <v>0</v>
      </c>
      <c r="FE22" s="140">
        <f>SUM($D22:D22)*IF($B22="Operacional",IFERROR(VLOOKUP($C22,SN_UGC,28,0),0),1)</f>
        <v>2</v>
      </c>
      <c r="FF22" s="140">
        <f>SUM($D22:E22)*IF($B22="Operacional",IFERROR(VLOOKUP($C22,SN_UGC,28,0),0),1)</f>
        <v>2</v>
      </c>
      <c r="FG22" s="140">
        <f>SUM($D22:F22)*IF($B22="Operacional",IFERROR(VLOOKUP($C22,SN_UGC,28,0),0),1)</f>
        <v>2</v>
      </c>
      <c r="FH22" s="140">
        <f>SUM($D22:G22)*IF($B22="Operacional",IFERROR(VLOOKUP($C22,SN_UGC,28,0),0),1)</f>
        <v>2</v>
      </c>
      <c r="FI22" s="140">
        <f>SUM($D22:H22)*IF($B22="Operacional",IFERROR(VLOOKUP($C22,SN_UGC,28,0),0),1)</f>
        <v>2</v>
      </c>
      <c r="FJ22" s="140">
        <f>SUM($D22:I22)*IF($B22="Operacional",IFERROR(VLOOKUP($C22,SN_UGC,28,0),0),1)</f>
        <v>2</v>
      </c>
      <c r="FK22" s="140">
        <f>SUM($D22:J22)*IF($B22="Operacional",IFERROR(VLOOKUP($C22,SN_UGC,28,0),0),1)</f>
        <v>2</v>
      </c>
      <c r="FL22" s="140">
        <f>SUM($D22:K22)*IF($B22="Operacional",IFERROR(VLOOKUP($C22,SN_UGC,28,0),0),1)</f>
        <v>2</v>
      </c>
      <c r="FM22" s="140">
        <f>SUM($D22:L22)*IF($B22="Operacional",IFERROR(VLOOKUP($C22,SN_UGC,28,0),0),1)</f>
        <v>2</v>
      </c>
      <c r="FN22" s="140">
        <f>SUM($D22:M22)*IF($B22="Operacional",IFERROR(VLOOKUP($C22,SN_UGC,28,0),0),1)</f>
        <v>2</v>
      </c>
      <c r="FO22" s="140">
        <f>SUM($D22:N22)*IF($B22="Operacional",IFERROR(VLOOKUP($C22,SN_UGC,28,0),0),1)</f>
        <v>2</v>
      </c>
      <c r="FP22" s="140">
        <f>SUM($D22:O22)*IF($B22="Operacional",IFERROR(VLOOKUP($C22,SN_UGC,28,0),0),1)</f>
        <v>2</v>
      </c>
      <c r="FQ22" s="140">
        <f>SUM($D22:P22)*IF($B22="Operacional",IFERROR(VLOOKUP($C22,SN_UGC,28,0),0),1)</f>
        <v>2</v>
      </c>
      <c r="FR22" s="140">
        <f>SUM($D22:Q22)*IF($B22="Operacional",IFERROR(VLOOKUP($C22,SN_UGC,28,0),0),1)</f>
        <v>2</v>
      </c>
      <c r="FS22" s="140">
        <f>SUM($D22:R22)*IF($B22="Operacional",IFERROR(VLOOKUP($C22,SN_UGC,28,0),0),1)</f>
        <v>2</v>
      </c>
      <c r="FT22" s="140">
        <f>SUM($D22:S22)*IF($B22="Operacional",IFERROR(VLOOKUP($C22,SN_UGC,28,0),0),1)</f>
        <v>2</v>
      </c>
      <c r="FU22" s="140">
        <f>SUM($D22:T22)*IF($B22="Operacional",IFERROR(VLOOKUP($C22,SN_UGC,28,0),0),1)</f>
        <v>2</v>
      </c>
      <c r="FV22" s="140">
        <f>SUM($D22:U22)*IF($B22="Operacional",IFERROR(VLOOKUP($C22,SN_UGC,28,0),0),1)</f>
        <v>2</v>
      </c>
      <c r="FW22" s="140">
        <f>SUM($D22:V22)*IF($B22="Operacional",IFERROR(VLOOKUP($C22,SN_UGC,28,0),0),1)</f>
        <v>2</v>
      </c>
      <c r="FX22" s="140">
        <f>SUM($D22:W22)*IF($B22="Operacional",IFERROR(VLOOKUP($C22,SN_UGC,28,0),0),1)</f>
        <v>2</v>
      </c>
      <c r="FY22" s="140">
        <f>SUM($D22:X22)*IF($B22="Operacional",IFERROR(VLOOKUP($C22,SN_UGC,28,0),0),1)</f>
        <v>2</v>
      </c>
      <c r="FZ22" s="140">
        <f>SUM($D22:Y22)*IF($B22="Operacional",IFERROR(VLOOKUP($C22,SN_UGC,28,0),0),1)</f>
        <v>2</v>
      </c>
      <c r="GA22" s="140">
        <f>SUM($D22:Z22)*IF($B22="Operacional",IFERROR(VLOOKUP($C22,SN_UGC,28,0),0),1)</f>
        <v>2</v>
      </c>
      <c r="GB22" s="140">
        <f>SUM($D22:AA22)*IF($B22="Operacional",IFERROR(VLOOKUP($C22,SN_UGC,28,0),0),1)</f>
        <v>2</v>
      </c>
      <c r="GC22" s="140">
        <f>SUM($D22:AB22)*IF($B22="Operacional",IFERROR(VLOOKUP($C22,SN_UGC,28,0),0),1)</f>
        <v>2</v>
      </c>
      <c r="GD22" s="140">
        <f>SUM($D22:AC22)*IF($B22="Operacional",IFERROR(VLOOKUP($C22,SN_UGC,28,0),0),1)</f>
        <v>2</v>
      </c>
      <c r="GE22" s="140">
        <f>SUM($D22:AD22)*IF($B22="Operacional",IFERROR(VLOOKUP($C22,SN_UGC,28,0),0),1)</f>
        <v>2</v>
      </c>
      <c r="GF22" s="140">
        <f>SUM($D22:AE22)*IF($B22="Operacional",IFERROR(VLOOKUP($C22,SN_UGC,28,0),0),1)</f>
        <v>2</v>
      </c>
      <c r="GG22" s="140">
        <f>SUM($D22:AF22)*IF($B22="Operacional",IFERROR(VLOOKUP($C22,SN_UGC,28,0),0),1)</f>
        <v>2</v>
      </c>
      <c r="GH22" s="140">
        <f>SUM($D22:AG22)*IF($B22="Operacional",IFERROR(VLOOKUP($C22,SN_UGC,28,0),0),1)</f>
        <v>2</v>
      </c>
      <c r="GI22" s="141">
        <f t="shared" ref="GI22:HL22" si="103">FE22*$AH22*$AL22</f>
        <v>176.00000000000003</v>
      </c>
      <c r="GJ22" s="141">
        <f t="shared" si="103"/>
        <v>176.00000000000003</v>
      </c>
      <c r="GK22" s="141">
        <f t="shared" si="103"/>
        <v>176.00000000000003</v>
      </c>
      <c r="GL22" s="141">
        <f t="shared" si="103"/>
        <v>176.00000000000003</v>
      </c>
      <c r="GM22" s="141">
        <f t="shared" si="103"/>
        <v>176.00000000000003</v>
      </c>
      <c r="GN22" s="141">
        <f t="shared" si="103"/>
        <v>176.00000000000003</v>
      </c>
      <c r="GO22" s="141">
        <f t="shared" si="103"/>
        <v>176.00000000000003</v>
      </c>
      <c r="GP22" s="141">
        <f t="shared" si="103"/>
        <v>176.00000000000003</v>
      </c>
      <c r="GQ22" s="141">
        <f t="shared" si="103"/>
        <v>176.00000000000003</v>
      </c>
      <c r="GR22" s="141">
        <f t="shared" si="103"/>
        <v>176.00000000000003</v>
      </c>
      <c r="GS22" s="141">
        <f t="shared" si="103"/>
        <v>176.00000000000003</v>
      </c>
      <c r="GT22" s="141">
        <f t="shared" si="103"/>
        <v>176.00000000000003</v>
      </c>
      <c r="GU22" s="141">
        <f t="shared" si="103"/>
        <v>176.00000000000003</v>
      </c>
      <c r="GV22" s="141">
        <f t="shared" si="103"/>
        <v>176.00000000000003</v>
      </c>
      <c r="GW22" s="141">
        <f t="shared" si="103"/>
        <v>176.00000000000003</v>
      </c>
      <c r="GX22" s="141">
        <f t="shared" si="103"/>
        <v>176.00000000000003</v>
      </c>
      <c r="GY22" s="141">
        <f t="shared" si="103"/>
        <v>176.00000000000003</v>
      </c>
      <c r="GZ22" s="141">
        <f t="shared" si="103"/>
        <v>176.00000000000003</v>
      </c>
      <c r="HA22" s="141">
        <f t="shared" si="103"/>
        <v>176.00000000000003</v>
      </c>
      <c r="HB22" s="141">
        <f t="shared" si="103"/>
        <v>176.00000000000003</v>
      </c>
      <c r="HC22" s="141">
        <f t="shared" si="103"/>
        <v>176.00000000000003</v>
      </c>
      <c r="HD22" s="141">
        <f t="shared" si="103"/>
        <v>176.00000000000003</v>
      </c>
      <c r="HE22" s="141">
        <f t="shared" si="103"/>
        <v>176.00000000000003</v>
      </c>
      <c r="HF22" s="141">
        <f t="shared" si="103"/>
        <v>176.00000000000003</v>
      </c>
      <c r="HG22" s="141">
        <f t="shared" si="103"/>
        <v>176.00000000000003</v>
      </c>
      <c r="HH22" s="141">
        <f t="shared" si="103"/>
        <v>176.00000000000003</v>
      </c>
      <c r="HI22" s="141">
        <f t="shared" si="103"/>
        <v>176.00000000000003</v>
      </c>
      <c r="HJ22" s="141">
        <f t="shared" si="103"/>
        <v>176.00000000000003</v>
      </c>
      <c r="HK22" s="141">
        <f t="shared" si="103"/>
        <v>176.00000000000003</v>
      </c>
      <c r="HL22" s="141">
        <f t="shared" si="103"/>
        <v>176.00000000000003</v>
      </c>
      <c r="HM22" s="142">
        <f t="shared" ref="HM22:IP22" si="104">IF(ISBLANK($A22),,FE22*($AH22-($AH22*$AJ22))/$AI22)</f>
        <v>352.00000000000006</v>
      </c>
      <c r="HN22" s="142">
        <f t="shared" si="104"/>
        <v>352.00000000000006</v>
      </c>
      <c r="HO22" s="142">
        <f t="shared" si="104"/>
        <v>352.00000000000006</v>
      </c>
      <c r="HP22" s="142">
        <f t="shared" si="104"/>
        <v>352.00000000000006</v>
      </c>
      <c r="HQ22" s="142">
        <f t="shared" si="104"/>
        <v>352.00000000000006</v>
      </c>
      <c r="HR22" s="142">
        <f t="shared" si="104"/>
        <v>352.00000000000006</v>
      </c>
      <c r="HS22" s="142">
        <f t="shared" si="104"/>
        <v>352.00000000000006</v>
      </c>
      <c r="HT22" s="142">
        <f t="shared" si="104"/>
        <v>352.00000000000006</v>
      </c>
      <c r="HU22" s="142">
        <f t="shared" si="104"/>
        <v>352.00000000000006</v>
      </c>
      <c r="HV22" s="142">
        <f t="shared" si="104"/>
        <v>352.00000000000006</v>
      </c>
      <c r="HW22" s="142">
        <f t="shared" si="104"/>
        <v>352.00000000000006</v>
      </c>
      <c r="HX22" s="142">
        <f t="shared" si="104"/>
        <v>352.00000000000006</v>
      </c>
      <c r="HY22" s="142">
        <f t="shared" si="104"/>
        <v>352.00000000000006</v>
      </c>
      <c r="HZ22" s="142">
        <f t="shared" si="104"/>
        <v>352.00000000000006</v>
      </c>
      <c r="IA22" s="142">
        <f t="shared" si="104"/>
        <v>352.00000000000006</v>
      </c>
      <c r="IB22" s="142">
        <f t="shared" si="104"/>
        <v>352.00000000000006</v>
      </c>
      <c r="IC22" s="142">
        <f t="shared" si="104"/>
        <v>352.00000000000006</v>
      </c>
      <c r="ID22" s="142">
        <f t="shared" si="104"/>
        <v>352.00000000000006</v>
      </c>
      <c r="IE22" s="142">
        <f t="shared" si="104"/>
        <v>352.00000000000006</v>
      </c>
      <c r="IF22" s="142">
        <f t="shared" si="104"/>
        <v>352.00000000000006</v>
      </c>
      <c r="IG22" s="142">
        <f t="shared" si="104"/>
        <v>352.00000000000006</v>
      </c>
      <c r="IH22" s="142">
        <f t="shared" si="104"/>
        <v>352.00000000000006</v>
      </c>
      <c r="II22" s="142">
        <f t="shared" si="104"/>
        <v>352.00000000000006</v>
      </c>
      <c r="IJ22" s="142">
        <f t="shared" si="104"/>
        <v>352.00000000000006</v>
      </c>
      <c r="IK22" s="142">
        <f t="shared" si="104"/>
        <v>352.00000000000006</v>
      </c>
      <c r="IL22" s="142">
        <f t="shared" si="104"/>
        <v>352.00000000000006</v>
      </c>
      <c r="IM22" s="142">
        <f t="shared" si="104"/>
        <v>352.00000000000006</v>
      </c>
      <c r="IN22" s="142">
        <f t="shared" si="104"/>
        <v>352.00000000000006</v>
      </c>
      <c r="IO22" s="142">
        <f t="shared" si="104"/>
        <v>352.00000000000006</v>
      </c>
      <c r="IP22" s="142">
        <f t="shared" si="104"/>
        <v>352.00000000000006</v>
      </c>
      <c r="IQ22" s="141">
        <f>IF(ISBLANK($A22),,IF($AN22="Não",0,(SUM($AO22:AO22)*$AH22)-SUM($HM22:HM22)-SUM($CW22:CW22)))</f>
        <v>0</v>
      </c>
      <c r="IR22" s="141">
        <f>IF(ISBLANK($A22),,IF($AN22="Não",0,(SUM($AO22:AP22)*$AH22)-SUM($HM22:HN22)-SUM($CW22:CX22)))</f>
        <v>0</v>
      </c>
      <c r="IS22" s="141">
        <f>IF(ISBLANK($A22),,IF($AN22="Não",0,(SUM($AO22:AQ22)*$AH22)-SUM($HM22:HO22)-SUM($CW22:CY22)))</f>
        <v>0</v>
      </c>
      <c r="IT22" s="141">
        <f>IF(ISBLANK($A22),,IF($AN22="Não",0,(SUM($AO22:AR22)*$AH22)-SUM($HM22:HP22)-SUM($CW22:CZ22)))</f>
        <v>0</v>
      </c>
      <c r="IU22" s="141">
        <f>IF(ISBLANK($A22),,IF($AN22="Não",0,(SUM($AO22:AS22)*$AH22)-SUM($HM22:HQ22)-SUM($CW22:DA22)))</f>
        <v>0</v>
      </c>
      <c r="IV22" s="141">
        <f>IF(ISBLANK($A22),,IF($AN22="Não",0,(SUM($AO22:AT22)*$AH22)-SUM($HM22:HR22)-SUM($CW22:DB22)))</f>
        <v>0</v>
      </c>
      <c r="IW22" s="141">
        <f>IF(ISBLANK($A22),,IF($AN22="Não",0,(SUM($AO22:AU22)*$AH22)-SUM($HM22:HS22)-SUM($CW22:DC22)))</f>
        <v>0</v>
      </c>
      <c r="IX22" s="141">
        <f>IF(ISBLANK($A22),,IF($AN22="Não",0,(SUM($AO22:AV22)*$AH22)-SUM($HM22:HT22)-SUM($CW22:DD22)))</f>
        <v>0</v>
      </c>
      <c r="IY22" s="141">
        <f>IF(ISBLANK($A22),,IF($AN22="Não",0,(SUM($AO22:AW22)*$AH22)-SUM($HM22:HU22)-SUM($CW22:DE22)))</f>
        <v>0</v>
      </c>
      <c r="IZ22" s="141">
        <f>IF(ISBLANK($A22),,IF($AN22="Não",0,(SUM($AO22:AX22)*$AH22)-SUM($HM22:HV22)-SUM($CW22:DF22)))</f>
        <v>0</v>
      </c>
      <c r="JA22" s="141">
        <f>IF(ISBLANK($A22),,IF($AN22="Não",0,(SUM($AO22:AY22)*$AH22)-SUM($HM22:HW22)-SUM($CW22:DG22)))</f>
        <v>0</v>
      </c>
      <c r="JB22" s="141">
        <f>IF(ISBLANK($A22),,IF($AN22="Não",0,(SUM($AO22:AZ22)*$AH22)-SUM($HM22:HX22)-SUM($CW22:DH22)))</f>
        <v>0</v>
      </c>
      <c r="JC22" s="141">
        <f>IF(ISBLANK($A22),,IF($AN22="Não",0,(SUM($AO22:BA22)*$AH22)-SUM($HM22:HY22)-SUM($CW22:DI22)))</f>
        <v>0</v>
      </c>
      <c r="JD22" s="141">
        <f>IF(ISBLANK($A22),,IF($AN22="Não",0,(SUM($AO22:BB22)*$AH22)-SUM($HM22:HZ22)-SUM($CW22:DJ22)))</f>
        <v>0</v>
      </c>
      <c r="JE22" s="141">
        <f>IF(ISBLANK($A22),,IF($AN22="Não",0,(SUM($AO22:BC22)*$AH22)-SUM($HM22:IA22)-SUM($CW22:DK22)))</f>
        <v>0</v>
      </c>
      <c r="JF22" s="141">
        <f>IF(ISBLANK($A22),,IF($AN22="Não",0,(SUM($AO22:BD22)*$AH22)-SUM($HM22:IB22)-SUM($CW22:DL22)))</f>
        <v>0</v>
      </c>
      <c r="JG22" s="141">
        <f>IF(ISBLANK($A22),,IF($AN22="Não",0,(SUM($AO22:BE22)*$AH22)-SUM($HM22:IC22)-SUM($CW22:DM22)))</f>
        <v>0</v>
      </c>
      <c r="JH22" s="141">
        <f>IF(ISBLANK($A22),,IF($AN22="Não",0,(SUM($AO22:BF22)*$AH22)-SUM($HM22:ID22)-SUM($CW22:DN22)))</f>
        <v>0</v>
      </c>
      <c r="JI22" s="141">
        <f>IF(ISBLANK($A22),,IF($AN22="Não",0,(SUM($AO22:BG22)*$AH22)-SUM($HM22:IE22)-SUM($CW22:DO22)))</f>
        <v>0</v>
      </c>
      <c r="JJ22" s="141">
        <f>IF(ISBLANK($A22),,IF($AN22="Não",0,(SUM($AO22:BH22)*$AH22)-SUM($HM22:IF22)-SUM($CW22:DP22)))</f>
        <v>0</v>
      </c>
      <c r="JK22" s="141">
        <f>IF(ISBLANK($A22),,IF($AN22="Não",0,(SUM($AO22:BI22)*$AH22)-SUM($HM22:IG22)-SUM($CW22:DQ22)))</f>
        <v>0</v>
      </c>
      <c r="JL22" s="141">
        <f>IF(ISBLANK($A22),,IF($AN22="Não",0,(SUM($AO22:BJ22)*$AH22)-SUM($HM22:IH22)-SUM($CW22:DR22)))</f>
        <v>0</v>
      </c>
      <c r="JM22" s="141">
        <f>IF(ISBLANK($A22),,IF($AN22="Não",0,(SUM($AO22:BK22)*$AH22)-SUM($HM22:II22)-SUM($CW22:DS22)))</f>
        <v>0</v>
      </c>
      <c r="JN22" s="141">
        <f>IF(ISBLANK($A22),,IF($AN22="Não",0,(SUM($AO22:BL22)*$AH22)-SUM($HM22:IJ22)-SUM($CW22:DT22)))</f>
        <v>0</v>
      </c>
      <c r="JO22" s="141">
        <f>IF(ISBLANK($A22),,IF($AN22="Não",0,(SUM($AO22:BM22)*$AH22)-SUM($HM22:IK22)-SUM($CW22:DU22)))</f>
        <v>0</v>
      </c>
      <c r="JP22" s="141">
        <f>IF(ISBLANK($A22),,IF($AN22="Não",0,(SUM($AO22:BN22)*$AH22)-SUM($HM22:IL22)-SUM($CW22:DV22)))</f>
        <v>0</v>
      </c>
      <c r="JQ22" s="141">
        <f>IF(ISBLANK($A22),,IF($AN22="Não",0,(SUM($AO22:BO22)*$AH22)-SUM($HM22:IM22)-SUM($CW22:DW22)))</f>
        <v>0</v>
      </c>
      <c r="JR22" s="141">
        <f>IF(ISBLANK($A22),,IF($AN22="Não",0,(SUM($AO22:BP22)*$AH22)-SUM($HM22:IN22)-SUM($CW22:DX22)))</f>
        <v>0</v>
      </c>
      <c r="JS22" s="141">
        <f>IF(ISBLANK($A22),,IF($AN22="Não",0,(SUM($AO22:BQ22)*$AH22)-SUM($HM22:IO22)-SUM($CW22:DY22)))</f>
        <v>0</v>
      </c>
      <c r="JT22" s="141">
        <f>IF(ISBLANK($A22),,IF($AN22="Não",0,(SUM($AO22:BR22)*$AH22)-SUM($HM22:IP22)-SUM($CW22:DZ22)))</f>
        <v>0</v>
      </c>
    </row>
    <row r="23" spans="1:280" ht="15.75" customHeight="1">
      <c r="A23" s="129" t="s">
        <v>357</v>
      </c>
      <c r="B23" s="129" t="s">
        <v>209</v>
      </c>
      <c r="C23" s="138" t="s">
        <v>79</v>
      </c>
      <c r="D23" s="139">
        <v>2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607">
        <f t="shared" si="0"/>
        <v>1760.0000000000002</v>
      </c>
      <c r="AI23" s="608">
        <f t="shared" si="1"/>
        <v>10</v>
      </c>
      <c r="AJ23" s="609">
        <f t="shared" si="2"/>
        <v>0</v>
      </c>
      <c r="AK23" s="610" t="str">
        <f t="shared" si="3"/>
        <v>Infraestrutura</v>
      </c>
      <c r="AL23" s="609">
        <f t="shared" si="4"/>
        <v>0.05</v>
      </c>
      <c r="AM23" s="611" t="str">
        <f t="shared" si="5"/>
        <v>Sim</v>
      </c>
      <c r="AN23" s="611" t="str">
        <f t="shared" si="6"/>
        <v>Não</v>
      </c>
      <c r="AO23" s="140">
        <f t="array" ref="AO23">IF(ISBLANK($A23),0,IF(OR(AO$5-$AI23&lt;=0,$AM23="Não"),D23,D23+INDEX($AO$6:$BR$176,ROW()-5,COLUMN()-40-$AI23)))*IF($B23="Operacional",IFERROR(VLOOKUP($C23,SN_UGC,28,0),0),1)</f>
        <v>2</v>
      </c>
      <c r="AP23" s="140">
        <f t="array" ref="AP23">IF(ISBLANK($A23),0,IF(OR(AP$5-$AI23&lt;=0,$AM23="Não"),E23,E23+INDEX($AO$6:$BR$176,ROW()-5,COLUMN()-40-$AI23)))*IF($B23="Operacional",IFERROR(VLOOKUP($C23,SN_UGC,28,0),0),1)</f>
        <v>0</v>
      </c>
      <c r="AQ23" s="140">
        <f t="array" ref="AQ23">IF(ISBLANK($A23),0,IF(OR(AQ$5-$AI23&lt;=0,$AM23="Não"),F23,F23+INDEX($AO$6:$BR$176,ROW()-5,COLUMN()-40-$AI23)))*IF($B23="Operacional",IFERROR(VLOOKUP($C23,SN_UGC,28,0),0),1)</f>
        <v>0</v>
      </c>
      <c r="AR23" s="140">
        <f t="array" ref="AR23">IF(ISBLANK($A23),0,IF(OR(AR$5-$AI23&lt;=0,$AM23="Não"),G23,G23+INDEX($AO$6:$BR$176,ROW()-5,COLUMN()-40-$AI23)))*IF($B23="Operacional",IFERROR(VLOOKUP($C23,SN_UGC,28,0),0),1)</f>
        <v>0</v>
      </c>
      <c r="AS23" s="140">
        <f t="array" ref="AS23">IF(ISBLANK($A23),0,IF(OR(AS$5-$AI23&lt;=0,$AM23="Não"),H23,H23+INDEX($AO$6:$BR$176,ROW()-5,COLUMN()-40-$AI23)))*IF($B23="Operacional",IFERROR(VLOOKUP($C23,SN_UGC,28,0),0),1)</f>
        <v>0</v>
      </c>
      <c r="AT23" s="140">
        <f t="array" ref="AT23">IF(ISBLANK($A23),0,IF(OR(AT$5-$AI23&lt;=0,$AM23="Não"),I23,I23+INDEX($AO$6:$BR$176,ROW()-5,COLUMN()-40-$AI23)))*IF($B23="Operacional",IFERROR(VLOOKUP($C23,SN_UGC,28,0),0),1)</f>
        <v>0</v>
      </c>
      <c r="AU23" s="140">
        <f t="array" ref="AU23">IF(ISBLANK($A23),0,IF(OR(AU$5-$AI23&lt;=0,$AM23="Não"),J23,J23+INDEX($AO$6:$BR$176,ROW()-5,COLUMN()-40-$AI23)))*IF($B23="Operacional",IFERROR(VLOOKUP($C23,SN_UGC,28,0),0),1)</f>
        <v>0</v>
      </c>
      <c r="AV23" s="140">
        <f t="array" ref="AV23">IF(ISBLANK($A23),0,IF(OR(AV$5-$AI23&lt;=0,$AM23="Não"),K23,K23+INDEX($AO$6:$BR$176,ROW()-5,COLUMN()-40-$AI23)))*IF($B23="Operacional",IFERROR(VLOOKUP($C23,SN_UGC,28,0),0),1)</f>
        <v>0</v>
      </c>
      <c r="AW23" s="140">
        <f t="array" ref="AW23">IF(ISBLANK($A23),0,IF(OR(AW$5-$AI23&lt;=0,$AM23="Não"),L23,L23+INDEX($AO$6:$BR$176,ROW()-5,COLUMN()-40-$AI23)))*IF($B23="Operacional",IFERROR(VLOOKUP($C23,SN_UGC,28,0),0),1)</f>
        <v>0</v>
      </c>
      <c r="AX23" s="140">
        <f t="array" ref="AX23">IF(ISBLANK($A23),0,IF(OR(AX$5-$AI23&lt;=0,$AM23="Não"),M23,M23+INDEX($AO$6:$BR$176,ROW()-5,COLUMN()-40-$AI23)))*IF($B23="Operacional",IFERROR(VLOOKUP($C23,SN_UGC,28,0),0),1)</f>
        <v>0</v>
      </c>
      <c r="AY23" s="140">
        <f t="array" ref="AY23">IF(ISBLANK($A23),0,IF(OR(AY$5-$AI23&lt;=0,$AM23="Não"),N23,N23+INDEX($AO$6:$BR$176,ROW()-5,COLUMN()-40-$AI23)))*IF($B23="Operacional",IFERROR(VLOOKUP($C23,SN_UGC,28,0),0),1)</f>
        <v>2</v>
      </c>
      <c r="AZ23" s="140">
        <f t="array" ref="AZ23">IF(ISBLANK($A23),0,IF(OR(AZ$5-$AI23&lt;=0,$AM23="Não"),O23,O23+INDEX($AO$6:$BR$176,ROW()-5,COLUMN()-40-$AI23)))*IF($B23="Operacional",IFERROR(VLOOKUP($C23,SN_UGC,28,0),0),1)</f>
        <v>0</v>
      </c>
      <c r="BA23" s="140">
        <f t="array" ref="BA23">IF(ISBLANK($A23),0,IF(OR(BA$5-$AI23&lt;=0,$AM23="Não"),P23,P23+INDEX($AO$6:$BR$176,ROW()-5,COLUMN()-40-$AI23)))*IF($B23="Operacional",IFERROR(VLOOKUP($C23,SN_UGC,28,0),0),1)</f>
        <v>0</v>
      </c>
      <c r="BB23" s="140">
        <f t="array" ref="BB23">IF(ISBLANK($A23),0,IF(OR(BB$5-$AI23&lt;=0,$AM23="Não"),Q23,Q23+INDEX($AO$6:$BR$176,ROW()-5,COLUMN()-40-$AI23)))*IF($B23="Operacional",IFERROR(VLOOKUP($C23,SN_UGC,28,0),0),1)</f>
        <v>0</v>
      </c>
      <c r="BC23" s="140">
        <f t="array" ref="BC23">IF(ISBLANK($A23),0,IF(OR(BC$5-$AI23&lt;=0,$AM23="Não"),R23,R23+INDEX($AO$6:$BR$176,ROW()-5,COLUMN()-40-$AI23)))*IF($B23="Operacional",IFERROR(VLOOKUP($C23,SN_UGC,28,0),0),1)</f>
        <v>0</v>
      </c>
      <c r="BD23" s="140">
        <f t="array" ref="BD23">IF(ISBLANK($A23),0,IF(OR(BD$5-$AI23&lt;=0,$AM23="Não"),S23,S23+INDEX($AO$6:$BR$176,ROW()-5,COLUMN()-40-$AI23)))*IF($B23="Operacional",IFERROR(VLOOKUP($C23,SN_UGC,28,0),0),1)</f>
        <v>0</v>
      </c>
      <c r="BE23" s="140">
        <f t="array" ref="BE23">IF(ISBLANK($A23),0,IF(OR(BE$5-$AI23&lt;=0,$AM23="Não"),T23,T23+INDEX($AO$6:$BR$176,ROW()-5,COLUMN()-40-$AI23)))*IF($B23="Operacional",IFERROR(VLOOKUP($C23,SN_UGC,28,0),0),1)</f>
        <v>0</v>
      </c>
      <c r="BF23" s="140">
        <f t="array" ref="BF23">IF(ISBLANK($A23),0,IF(OR(BF$5-$AI23&lt;=0,$AM23="Não"),U23,U23+INDEX($AO$6:$BR$176,ROW()-5,COLUMN()-40-$AI23)))*IF($B23="Operacional",IFERROR(VLOOKUP($C23,SN_UGC,28,0),0),1)</f>
        <v>0</v>
      </c>
      <c r="BG23" s="140">
        <f t="array" ref="BG23">IF(ISBLANK($A23),0,IF(OR(BG$5-$AI23&lt;=0,$AM23="Não"),V23,V23+INDEX($AO$6:$BR$176,ROW()-5,COLUMN()-40-$AI23)))*IF($B23="Operacional",IFERROR(VLOOKUP($C23,SN_UGC,28,0),0),1)</f>
        <v>0</v>
      </c>
      <c r="BH23" s="140">
        <f t="array" ref="BH23">IF(ISBLANK($A23),0,IF(OR(BH$5-$AI23&lt;=0,$AM23="Não"),W23,W23+INDEX($AO$6:$BR$176,ROW()-5,COLUMN()-40-$AI23)))*IF($B23="Operacional",IFERROR(VLOOKUP($C23,SN_UGC,28,0),0),1)</f>
        <v>0</v>
      </c>
      <c r="BI23" s="140">
        <f t="array" ref="BI23">IF(ISBLANK($A23),0,IF(OR(BI$5-$AI23&lt;=0,$AM23="Não"),X23,X23+INDEX($AO$6:$BR$176,ROW()-5,COLUMN()-40-$AI23)))*IF($B23="Operacional",IFERROR(VLOOKUP($C23,SN_UGC,28,0),0),1)</f>
        <v>2</v>
      </c>
      <c r="BJ23" s="140">
        <f t="array" ref="BJ23">IF(ISBLANK($A23),0,IF(OR(BJ$5-$AI23&lt;=0,$AM23="Não"),Y23,Y23+INDEX($AO$6:$BR$176,ROW()-5,COLUMN()-40-$AI23)))*IF($B23="Operacional",IFERROR(VLOOKUP($C23,SN_UGC,28,0),0),1)</f>
        <v>0</v>
      </c>
      <c r="BK23" s="140">
        <f t="array" ref="BK23">IF(ISBLANK($A23),0,IF(OR(BK$5-$AI23&lt;=0,$AM23="Não"),Z23,Z23+INDEX($AO$6:$BR$176,ROW()-5,COLUMN()-40-$AI23)))*IF($B23="Operacional",IFERROR(VLOOKUP($C23,SN_UGC,28,0),0),1)</f>
        <v>0</v>
      </c>
      <c r="BL23" s="140">
        <f t="array" ref="BL23">IF(ISBLANK($A23),0,IF(OR(BL$5-$AI23&lt;=0,$AM23="Não"),AA23,AA23+INDEX($AO$6:$BR$176,ROW()-5,COLUMN()-40-$AI23)))*IF($B23="Operacional",IFERROR(VLOOKUP($C23,SN_UGC,28,0),0),1)</f>
        <v>0</v>
      </c>
      <c r="BM23" s="140">
        <f t="array" ref="BM23">IF(ISBLANK($A23),0,IF(OR(BM$5-$AI23&lt;=0,$AM23="Não"),AB23,AB23+INDEX($AO$6:$BR$176,ROW()-5,COLUMN()-40-$AI23)))*IF($B23="Operacional",IFERROR(VLOOKUP($C23,SN_UGC,28,0),0),1)</f>
        <v>0</v>
      </c>
      <c r="BN23" s="140">
        <f t="array" ref="BN23">IF(ISBLANK($A23),0,IF(OR(BN$5-$AI23&lt;=0,$AM23="Não"),AC23,AC23+INDEX($AO$6:$BR$176,ROW()-5,COLUMN()-40-$AI23)))*IF($B23="Operacional",IFERROR(VLOOKUP($C23,SN_UGC,28,0),0),1)</f>
        <v>0</v>
      </c>
      <c r="BO23" s="140">
        <f t="array" ref="BO23">IF(ISBLANK($A23),0,IF(OR(BO$5-$AI23&lt;=0,$AM23="Não"),AD23,AD23+INDEX($AO$6:$BR$176,ROW()-5,COLUMN()-40-$AI23)))*IF($B23="Operacional",IFERROR(VLOOKUP($C23,SN_UGC,28,0),0),1)</f>
        <v>0</v>
      </c>
      <c r="BP23" s="140">
        <f t="array" ref="BP23">IF(ISBLANK($A23),0,IF(OR(BP$5-$AI23&lt;=0,$AM23="Não"),AE23,AE23+INDEX($AO$6:$BR$176,ROW()-5,COLUMN()-40-$AI23)))*IF($B23="Operacional",IFERROR(VLOOKUP($C23,SN_UGC,28,0),0),1)</f>
        <v>0</v>
      </c>
      <c r="BQ23" s="140">
        <f t="array" ref="BQ23">IF(ISBLANK($A23),0,IF(OR(BQ$5-$AI23&lt;=0,$AM23="Não"),AF23,AF23+INDEX($AO$6:$BR$176,ROW()-5,COLUMN()-40-$AI23)))*IF($B23="Operacional",IFERROR(VLOOKUP($C23,SN_UGC,28,0),0),1)</f>
        <v>0</v>
      </c>
      <c r="BR23" s="140">
        <f t="array" ref="BR23">IF(ISBLANK($A23),0,IF(OR(BR$5-$AI23&lt;=0,$AM23="Não"),AG23,AG23+INDEX($AO$6:$BR$176,ROW()-5,COLUMN()-40-$AI23)))*IF($B23="Operacional",IFERROR(VLOOKUP($C23,SN_UGC,28,0),0),1)</f>
        <v>0</v>
      </c>
      <c r="BS23" s="141">
        <f t="shared" ref="BS23:CV23" si="105">IF(ISBLANK($A23),0,$AH23*AO23)</f>
        <v>3520.0000000000005</v>
      </c>
      <c r="BT23" s="141">
        <f t="shared" si="105"/>
        <v>0</v>
      </c>
      <c r="BU23" s="141">
        <f t="shared" si="105"/>
        <v>0</v>
      </c>
      <c r="BV23" s="141">
        <f t="shared" si="105"/>
        <v>0</v>
      </c>
      <c r="BW23" s="141">
        <f t="shared" si="105"/>
        <v>0</v>
      </c>
      <c r="BX23" s="141">
        <f t="shared" si="105"/>
        <v>0</v>
      </c>
      <c r="BY23" s="141">
        <f t="shared" si="105"/>
        <v>0</v>
      </c>
      <c r="BZ23" s="141">
        <f t="shared" si="105"/>
        <v>0</v>
      </c>
      <c r="CA23" s="141">
        <f t="shared" si="105"/>
        <v>0</v>
      </c>
      <c r="CB23" s="141">
        <f t="shared" si="105"/>
        <v>0</v>
      </c>
      <c r="CC23" s="141">
        <f t="shared" si="105"/>
        <v>3520.0000000000005</v>
      </c>
      <c r="CD23" s="141">
        <f t="shared" si="105"/>
        <v>0</v>
      </c>
      <c r="CE23" s="141">
        <f t="shared" si="105"/>
        <v>0</v>
      </c>
      <c r="CF23" s="141">
        <f t="shared" si="105"/>
        <v>0</v>
      </c>
      <c r="CG23" s="141">
        <f t="shared" si="105"/>
        <v>0</v>
      </c>
      <c r="CH23" s="141">
        <f t="shared" si="105"/>
        <v>0</v>
      </c>
      <c r="CI23" s="141">
        <f t="shared" si="105"/>
        <v>0</v>
      </c>
      <c r="CJ23" s="141">
        <f t="shared" si="105"/>
        <v>0</v>
      </c>
      <c r="CK23" s="141">
        <f t="shared" si="105"/>
        <v>0</v>
      </c>
      <c r="CL23" s="141">
        <f t="shared" si="105"/>
        <v>0</v>
      </c>
      <c r="CM23" s="141">
        <f t="shared" si="105"/>
        <v>3520.0000000000005</v>
      </c>
      <c r="CN23" s="141">
        <f t="shared" si="105"/>
        <v>0</v>
      </c>
      <c r="CO23" s="141">
        <f t="shared" si="105"/>
        <v>0</v>
      </c>
      <c r="CP23" s="141">
        <f t="shared" si="105"/>
        <v>0</v>
      </c>
      <c r="CQ23" s="141">
        <f t="shared" si="105"/>
        <v>0</v>
      </c>
      <c r="CR23" s="141">
        <f t="shared" si="105"/>
        <v>0</v>
      </c>
      <c r="CS23" s="141">
        <f t="shared" si="105"/>
        <v>0</v>
      </c>
      <c r="CT23" s="141">
        <f t="shared" si="105"/>
        <v>0</v>
      </c>
      <c r="CU23" s="141">
        <f t="shared" si="105"/>
        <v>0</v>
      </c>
      <c r="CV23" s="141">
        <f t="shared" si="105"/>
        <v>0</v>
      </c>
      <c r="CW23" s="142">
        <f t="shared" ref="CW23:DZ23" si="106">EA23*$AH23*$AJ23</f>
        <v>0</v>
      </c>
      <c r="CX23" s="142">
        <f t="shared" si="106"/>
        <v>0</v>
      </c>
      <c r="CY23" s="142">
        <f t="shared" si="106"/>
        <v>0</v>
      </c>
      <c r="CZ23" s="142">
        <f t="shared" si="106"/>
        <v>0</v>
      </c>
      <c r="DA23" s="142">
        <f t="shared" si="106"/>
        <v>0</v>
      </c>
      <c r="DB23" s="142">
        <f t="shared" si="106"/>
        <v>0</v>
      </c>
      <c r="DC23" s="142">
        <f t="shared" si="106"/>
        <v>0</v>
      </c>
      <c r="DD23" s="142">
        <f t="shared" si="106"/>
        <v>0</v>
      </c>
      <c r="DE23" s="142">
        <f t="shared" si="106"/>
        <v>0</v>
      </c>
      <c r="DF23" s="142">
        <f t="shared" si="106"/>
        <v>0</v>
      </c>
      <c r="DG23" s="142">
        <f t="shared" si="106"/>
        <v>0</v>
      </c>
      <c r="DH23" s="142">
        <f t="shared" si="106"/>
        <v>0</v>
      </c>
      <c r="DI23" s="142">
        <f t="shared" si="106"/>
        <v>0</v>
      </c>
      <c r="DJ23" s="142">
        <f t="shared" si="106"/>
        <v>0</v>
      </c>
      <c r="DK23" s="142">
        <f t="shared" si="106"/>
        <v>0</v>
      </c>
      <c r="DL23" s="142">
        <f t="shared" si="106"/>
        <v>0</v>
      </c>
      <c r="DM23" s="142">
        <f t="shared" si="106"/>
        <v>0</v>
      </c>
      <c r="DN23" s="142">
        <f t="shared" si="106"/>
        <v>0</v>
      </c>
      <c r="DO23" s="142">
        <f t="shared" si="106"/>
        <v>0</v>
      </c>
      <c r="DP23" s="142">
        <f t="shared" si="106"/>
        <v>0</v>
      </c>
      <c r="DQ23" s="142">
        <f t="shared" si="106"/>
        <v>0</v>
      </c>
      <c r="DR23" s="142">
        <f t="shared" si="106"/>
        <v>0</v>
      </c>
      <c r="DS23" s="142">
        <f t="shared" si="106"/>
        <v>0</v>
      </c>
      <c r="DT23" s="142">
        <f t="shared" si="106"/>
        <v>0</v>
      </c>
      <c r="DU23" s="142">
        <f t="shared" si="106"/>
        <v>0</v>
      </c>
      <c r="DV23" s="142">
        <f t="shared" si="106"/>
        <v>0</v>
      </c>
      <c r="DW23" s="142">
        <f t="shared" si="106"/>
        <v>0</v>
      </c>
      <c r="DX23" s="142">
        <f t="shared" si="106"/>
        <v>0</v>
      </c>
      <c r="DY23" s="142">
        <f t="shared" si="106"/>
        <v>0</v>
      </c>
      <c r="DZ23" s="142">
        <f t="shared" si="106"/>
        <v>0</v>
      </c>
      <c r="EA23" s="143">
        <f t="shared" si="9"/>
        <v>0</v>
      </c>
      <c r="EB23" s="143">
        <f t="shared" si="10"/>
        <v>0</v>
      </c>
      <c r="EC23" s="143">
        <f t="shared" si="11"/>
        <v>0</v>
      </c>
      <c r="ED23" s="143">
        <f t="shared" si="12"/>
        <v>0</v>
      </c>
      <c r="EE23" s="143">
        <f t="shared" si="13"/>
        <v>0</v>
      </c>
      <c r="EF23" s="143">
        <f t="shared" si="14"/>
        <v>0</v>
      </c>
      <c r="EG23" s="143">
        <f t="shared" si="15"/>
        <v>0</v>
      </c>
      <c r="EH23" s="143">
        <f t="shared" si="16"/>
        <v>0</v>
      </c>
      <c r="EI23" s="143">
        <f t="shared" si="17"/>
        <v>0</v>
      </c>
      <c r="EJ23" s="143">
        <f t="shared" si="18"/>
        <v>0</v>
      </c>
      <c r="EK23" s="143">
        <f t="shared" si="19"/>
        <v>2</v>
      </c>
      <c r="EL23" s="143">
        <f t="shared" si="20"/>
        <v>0</v>
      </c>
      <c r="EM23" s="143">
        <f t="shared" si="21"/>
        <v>0</v>
      </c>
      <c r="EN23" s="143">
        <f t="shared" si="22"/>
        <v>0</v>
      </c>
      <c r="EO23" s="143">
        <f t="shared" si="23"/>
        <v>0</v>
      </c>
      <c r="EP23" s="143">
        <f t="shared" si="24"/>
        <v>0</v>
      </c>
      <c r="EQ23" s="143">
        <f t="shared" si="25"/>
        <v>0</v>
      </c>
      <c r="ER23" s="143">
        <f t="shared" si="26"/>
        <v>0</v>
      </c>
      <c r="ES23" s="143">
        <f t="shared" si="27"/>
        <v>0</v>
      </c>
      <c r="ET23" s="143">
        <f t="shared" si="28"/>
        <v>0</v>
      </c>
      <c r="EU23" s="143">
        <f t="shared" si="29"/>
        <v>2</v>
      </c>
      <c r="EV23" s="143">
        <f t="shared" si="30"/>
        <v>0</v>
      </c>
      <c r="EW23" s="143">
        <f t="shared" si="31"/>
        <v>0</v>
      </c>
      <c r="EX23" s="143">
        <f t="shared" si="32"/>
        <v>0</v>
      </c>
      <c r="EY23" s="143">
        <f t="shared" si="33"/>
        <v>0</v>
      </c>
      <c r="EZ23" s="143">
        <f t="shared" si="34"/>
        <v>0</v>
      </c>
      <c r="FA23" s="143">
        <f t="shared" si="35"/>
        <v>0</v>
      </c>
      <c r="FB23" s="143">
        <f t="shared" si="36"/>
        <v>0</v>
      </c>
      <c r="FC23" s="143">
        <f t="shared" si="37"/>
        <v>0</v>
      </c>
      <c r="FD23" s="143">
        <f t="shared" si="38"/>
        <v>0</v>
      </c>
      <c r="FE23" s="140">
        <f>SUM($D23:D23)*IF($B23="Operacional",IFERROR(VLOOKUP($C23,SN_UGC,28,0),0),1)</f>
        <v>2</v>
      </c>
      <c r="FF23" s="140">
        <f>SUM($D23:E23)*IF($B23="Operacional",IFERROR(VLOOKUP($C23,SN_UGC,28,0),0),1)</f>
        <v>2</v>
      </c>
      <c r="FG23" s="140">
        <f>SUM($D23:F23)*IF($B23="Operacional",IFERROR(VLOOKUP($C23,SN_UGC,28,0),0),1)</f>
        <v>2</v>
      </c>
      <c r="FH23" s="140">
        <f>SUM($D23:G23)*IF($B23="Operacional",IFERROR(VLOOKUP($C23,SN_UGC,28,0),0),1)</f>
        <v>2</v>
      </c>
      <c r="FI23" s="140">
        <f>SUM($D23:H23)*IF($B23="Operacional",IFERROR(VLOOKUP($C23,SN_UGC,28,0),0),1)</f>
        <v>2</v>
      </c>
      <c r="FJ23" s="140">
        <f>SUM($D23:I23)*IF($B23="Operacional",IFERROR(VLOOKUP($C23,SN_UGC,28,0),0),1)</f>
        <v>2</v>
      </c>
      <c r="FK23" s="140">
        <f>SUM($D23:J23)*IF($B23="Operacional",IFERROR(VLOOKUP($C23,SN_UGC,28,0),0),1)</f>
        <v>2</v>
      </c>
      <c r="FL23" s="140">
        <f>SUM($D23:K23)*IF($B23="Operacional",IFERROR(VLOOKUP($C23,SN_UGC,28,0),0),1)</f>
        <v>2</v>
      </c>
      <c r="FM23" s="140">
        <f>SUM($D23:L23)*IF($B23="Operacional",IFERROR(VLOOKUP($C23,SN_UGC,28,0),0),1)</f>
        <v>2</v>
      </c>
      <c r="FN23" s="140">
        <f>SUM($D23:M23)*IF($B23="Operacional",IFERROR(VLOOKUP($C23,SN_UGC,28,0),0),1)</f>
        <v>2</v>
      </c>
      <c r="FO23" s="140">
        <f>SUM($D23:N23)*IF($B23="Operacional",IFERROR(VLOOKUP($C23,SN_UGC,28,0),0),1)</f>
        <v>2</v>
      </c>
      <c r="FP23" s="140">
        <f>SUM($D23:O23)*IF($B23="Operacional",IFERROR(VLOOKUP($C23,SN_UGC,28,0),0),1)</f>
        <v>2</v>
      </c>
      <c r="FQ23" s="140">
        <f>SUM($D23:P23)*IF($B23="Operacional",IFERROR(VLOOKUP($C23,SN_UGC,28,0),0),1)</f>
        <v>2</v>
      </c>
      <c r="FR23" s="140">
        <f>SUM($D23:Q23)*IF($B23="Operacional",IFERROR(VLOOKUP($C23,SN_UGC,28,0),0),1)</f>
        <v>2</v>
      </c>
      <c r="FS23" s="140">
        <f>SUM($D23:R23)*IF($B23="Operacional",IFERROR(VLOOKUP($C23,SN_UGC,28,0),0),1)</f>
        <v>2</v>
      </c>
      <c r="FT23" s="140">
        <f>SUM($D23:S23)*IF($B23="Operacional",IFERROR(VLOOKUP($C23,SN_UGC,28,0),0),1)</f>
        <v>2</v>
      </c>
      <c r="FU23" s="140">
        <f>SUM($D23:T23)*IF($B23="Operacional",IFERROR(VLOOKUP($C23,SN_UGC,28,0),0),1)</f>
        <v>2</v>
      </c>
      <c r="FV23" s="140">
        <f>SUM($D23:U23)*IF($B23="Operacional",IFERROR(VLOOKUP($C23,SN_UGC,28,0),0),1)</f>
        <v>2</v>
      </c>
      <c r="FW23" s="140">
        <f>SUM($D23:V23)*IF($B23="Operacional",IFERROR(VLOOKUP($C23,SN_UGC,28,0),0),1)</f>
        <v>2</v>
      </c>
      <c r="FX23" s="140">
        <f>SUM($D23:W23)*IF($B23="Operacional",IFERROR(VLOOKUP($C23,SN_UGC,28,0),0),1)</f>
        <v>2</v>
      </c>
      <c r="FY23" s="140">
        <f>SUM($D23:X23)*IF($B23="Operacional",IFERROR(VLOOKUP($C23,SN_UGC,28,0),0),1)</f>
        <v>2</v>
      </c>
      <c r="FZ23" s="140">
        <f>SUM($D23:Y23)*IF($B23="Operacional",IFERROR(VLOOKUP($C23,SN_UGC,28,0),0),1)</f>
        <v>2</v>
      </c>
      <c r="GA23" s="140">
        <f>SUM($D23:Z23)*IF($B23="Operacional",IFERROR(VLOOKUP($C23,SN_UGC,28,0),0),1)</f>
        <v>2</v>
      </c>
      <c r="GB23" s="140">
        <f>SUM($D23:AA23)*IF($B23="Operacional",IFERROR(VLOOKUP($C23,SN_UGC,28,0),0),1)</f>
        <v>2</v>
      </c>
      <c r="GC23" s="140">
        <f>SUM($D23:AB23)*IF($B23="Operacional",IFERROR(VLOOKUP($C23,SN_UGC,28,0),0),1)</f>
        <v>2</v>
      </c>
      <c r="GD23" s="140">
        <f>SUM($D23:AC23)*IF($B23="Operacional",IFERROR(VLOOKUP($C23,SN_UGC,28,0),0),1)</f>
        <v>2</v>
      </c>
      <c r="GE23" s="140">
        <f>SUM($D23:AD23)*IF($B23="Operacional",IFERROR(VLOOKUP($C23,SN_UGC,28,0),0),1)</f>
        <v>2</v>
      </c>
      <c r="GF23" s="140">
        <f>SUM($D23:AE23)*IF($B23="Operacional",IFERROR(VLOOKUP($C23,SN_UGC,28,0),0),1)</f>
        <v>2</v>
      </c>
      <c r="GG23" s="140">
        <f>SUM($D23:AF23)*IF($B23="Operacional",IFERROR(VLOOKUP($C23,SN_UGC,28,0),0),1)</f>
        <v>2</v>
      </c>
      <c r="GH23" s="140">
        <f>SUM($D23:AG23)*IF($B23="Operacional",IFERROR(VLOOKUP($C23,SN_UGC,28,0),0),1)</f>
        <v>2</v>
      </c>
      <c r="GI23" s="141">
        <f t="shared" ref="GI23:HL23" si="107">FE23*$AH23*$AL23</f>
        <v>176.00000000000003</v>
      </c>
      <c r="GJ23" s="141">
        <f t="shared" si="107"/>
        <v>176.00000000000003</v>
      </c>
      <c r="GK23" s="141">
        <f t="shared" si="107"/>
        <v>176.00000000000003</v>
      </c>
      <c r="GL23" s="141">
        <f t="shared" si="107"/>
        <v>176.00000000000003</v>
      </c>
      <c r="GM23" s="141">
        <f t="shared" si="107"/>
        <v>176.00000000000003</v>
      </c>
      <c r="GN23" s="141">
        <f t="shared" si="107"/>
        <v>176.00000000000003</v>
      </c>
      <c r="GO23" s="141">
        <f t="shared" si="107"/>
        <v>176.00000000000003</v>
      </c>
      <c r="GP23" s="141">
        <f t="shared" si="107"/>
        <v>176.00000000000003</v>
      </c>
      <c r="GQ23" s="141">
        <f t="shared" si="107"/>
        <v>176.00000000000003</v>
      </c>
      <c r="GR23" s="141">
        <f t="shared" si="107"/>
        <v>176.00000000000003</v>
      </c>
      <c r="GS23" s="141">
        <f t="shared" si="107"/>
        <v>176.00000000000003</v>
      </c>
      <c r="GT23" s="141">
        <f t="shared" si="107"/>
        <v>176.00000000000003</v>
      </c>
      <c r="GU23" s="141">
        <f t="shared" si="107"/>
        <v>176.00000000000003</v>
      </c>
      <c r="GV23" s="141">
        <f t="shared" si="107"/>
        <v>176.00000000000003</v>
      </c>
      <c r="GW23" s="141">
        <f t="shared" si="107"/>
        <v>176.00000000000003</v>
      </c>
      <c r="GX23" s="141">
        <f t="shared" si="107"/>
        <v>176.00000000000003</v>
      </c>
      <c r="GY23" s="141">
        <f t="shared" si="107"/>
        <v>176.00000000000003</v>
      </c>
      <c r="GZ23" s="141">
        <f t="shared" si="107"/>
        <v>176.00000000000003</v>
      </c>
      <c r="HA23" s="141">
        <f t="shared" si="107"/>
        <v>176.00000000000003</v>
      </c>
      <c r="HB23" s="141">
        <f t="shared" si="107"/>
        <v>176.00000000000003</v>
      </c>
      <c r="HC23" s="141">
        <f t="shared" si="107"/>
        <v>176.00000000000003</v>
      </c>
      <c r="HD23" s="141">
        <f t="shared" si="107"/>
        <v>176.00000000000003</v>
      </c>
      <c r="HE23" s="141">
        <f t="shared" si="107"/>
        <v>176.00000000000003</v>
      </c>
      <c r="HF23" s="141">
        <f t="shared" si="107"/>
        <v>176.00000000000003</v>
      </c>
      <c r="HG23" s="141">
        <f t="shared" si="107"/>
        <v>176.00000000000003</v>
      </c>
      <c r="HH23" s="141">
        <f t="shared" si="107"/>
        <v>176.00000000000003</v>
      </c>
      <c r="HI23" s="141">
        <f t="shared" si="107"/>
        <v>176.00000000000003</v>
      </c>
      <c r="HJ23" s="141">
        <f t="shared" si="107"/>
        <v>176.00000000000003</v>
      </c>
      <c r="HK23" s="141">
        <f t="shared" si="107"/>
        <v>176.00000000000003</v>
      </c>
      <c r="HL23" s="141">
        <f t="shared" si="107"/>
        <v>176.00000000000003</v>
      </c>
      <c r="HM23" s="142">
        <f t="shared" ref="HM23:IP23" si="108">IF(ISBLANK($A23),,FE23*($AH23-($AH23*$AJ23))/$AI23)</f>
        <v>352.00000000000006</v>
      </c>
      <c r="HN23" s="142">
        <f t="shared" si="108"/>
        <v>352.00000000000006</v>
      </c>
      <c r="HO23" s="142">
        <f t="shared" si="108"/>
        <v>352.00000000000006</v>
      </c>
      <c r="HP23" s="142">
        <f t="shared" si="108"/>
        <v>352.00000000000006</v>
      </c>
      <c r="HQ23" s="142">
        <f t="shared" si="108"/>
        <v>352.00000000000006</v>
      </c>
      <c r="HR23" s="142">
        <f t="shared" si="108"/>
        <v>352.00000000000006</v>
      </c>
      <c r="HS23" s="142">
        <f t="shared" si="108"/>
        <v>352.00000000000006</v>
      </c>
      <c r="HT23" s="142">
        <f t="shared" si="108"/>
        <v>352.00000000000006</v>
      </c>
      <c r="HU23" s="142">
        <f t="shared" si="108"/>
        <v>352.00000000000006</v>
      </c>
      <c r="HV23" s="142">
        <f t="shared" si="108"/>
        <v>352.00000000000006</v>
      </c>
      <c r="HW23" s="142">
        <f t="shared" si="108"/>
        <v>352.00000000000006</v>
      </c>
      <c r="HX23" s="142">
        <f t="shared" si="108"/>
        <v>352.00000000000006</v>
      </c>
      <c r="HY23" s="142">
        <f t="shared" si="108"/>
        <v>352.00000000000006</v>
      </c>
      <c r="HZ23" s="142">
        <f t="shared" si="108"/>
        <v>352.00000000000006</v>
      </c>
      <c r="IA23" s="142">
        <f t="shared" si="108"/>
        <v>352.00000000000006</v>
      </c>
      <c r="IB23" s="142">
        <f t="shared" si="108"/>
        <v>352.00000000000006</v>
      </c>
      <c r="IC23" s="142">
        <f t="shared" si="108"/>
        <v>352.00000000000006</v>
      </c>
      <c r="ID23" s="142">
        <f t="shared" si="108"/>
        <v>352.00000000000006</v>
      </c>
      <c r="IE23" s="142">
        <f t="shared" si="108"/>
        <v>352.00000000000006</v>
      </c>
      <c r="IF23" s="142">
        <f t="shared" si="108"/>
        <v>352.00000000000006</v>
      </c>
      <c r="IG23" s="142">
        <f t="shared" si="108"/>
        <v>352.00000000000006</v>
      </c>
      <c r="IH23" s="142">
        <f t="shared" si="108"/>
        <v>352.00000000000006</v>
      </c>
      <c r="II23" s="142">
        <f t="shared" si="108"/>
        <v>352.00000000000006</v>
      </c>
      <c r="IJ23" s="142">
        <f t="shared" si="108"/>
        <v>352.00000000000006</v>
      </c>
      <c r="IK23" s="142">
        <f t="shared" si="108"/>
        <v>352.00000000000006</v>
      </c>
      <c r="IL23" s="142">
        <f t="shared" si="108"/>
        <v>352.00000000000006</v>
      </c>
      <c r="IM23" s="142">
        <f t="shared" si="108"/>
        <v>352.00000000000006</v>
      </c>
      <c r="IN23" s="142">
        <f t="shared" si="108"/>
        <v>352.00000000000006</v>
      </c>
      <c r="IO23" s="142">
        <f t="shared" si="108"/>
        <v>352.00000000000006</v>
      </c>
      <c r="IP23" s="142">
        <f t="shared" si="108"/>
        <v>352.00000000000006</v>
      </c>
      <c r="IQ23" s="141">
        <f>IF(ISBLANK($A23),,IF($AN23="Não",0,(SUM($AO23:AO23)*$AH23)-SUM($HM23:HM23)-SUM($CW23:CW23)))</f>
        <v>0</v>
      </c>
      <c r="IR23" s="141">
        <f>IF(ISBLANK($A23),,IF($AN23="Não",0,(SUM($AO23:AP23)*$AH23)-SUM($HM23:HN23)-SUM($CW23:CX23)))</f>
        <v>0</v>
      </c>
      <c r="IS23" s="141">
        <f>IF(ISBLANK($A23),,IF($AN23="Não",0,(SUM($AO23:AQ23)*$AH23)-SUM($HM23:HO23)-SUM($CW23:CY23)))</f>
        <v>0</v>
      </c>
      <c r="IT23" s="141">
        <f>IF(ISBLANK($A23),,IF($AN23="Não",0,(SUM($AO23:AR23)*$AH23)-SUM($HM23:HP23)-SUM($CW23:CZ23)))</f>
        <v>0</v>
      </c>
      <c r="IU23" s="141">
        <f>IF(ISBLANK($A23),,IF($AN23="Não",0,(SUM($AO23:AS23)*$AH23)-SUM($HM23:HQ23)-SUM($CW23:DA23)))</f>
        <v>0</v>
      </c>
      <c r="IV23" s="141">
        <f>IF(ISBLANK($A23),,IF($AN23="Não",0,(SUM($AO23:AT23)*$AH23)-SUM($HM23:HR23)-SUM($CW23:DB23)))</f>
        <v>0</v>
      </c>
      <c r="IW23" s="141">
        <f>IF(ISBLANK($A23),,IF($AN23="Não",0,(SUM($AO23:AU23)*$AH23)-SUM($HM23:HS23)-SUM($CW23:DC23)))</f>
        <v>0</v>
      </c>
      <c r="IX23" s="141">
        <f>IF(ISBLANK($A23),,IF($AN23="Não",0,(SUM($AO23:AV23)*$AH23)-SUM($HM23:HT23)-SUM($CW23:DD23)))</f>
        <v>0</v>
      </c>
      <c r="IY23" s="141">
        <f>IF(ISBLANK($A23),,IF($AN23="Não",0,(SUM($AO23:AW23)*$AH23)-SUM($HM23:HU23)-SUM($CW23:DE23)))</f>
        <v>0</v>
      </c>
      <c r="IZ23" s="141">
        <f>IF(ISBLANK($A23),,IF($AN23="Não",0,(SUM($AO23:AX23)*$AH23)-SUM($HM23:HV23)-SUM($CW23:DF23)))</f>
        <v>0</v>
      </c>
      <c r="JA23" s="141">
        <f>IF(ISBLANK($A23),,IF($AN23="Não",0,(SUM($AO23:AY23)*$AH23)-SUM($HM23:HW23)-SUM($CW23:DG23)))</f>
        <v>0</v>
      </c>
      <c r="JB23" s="141">
        <f>IF(ISBLANK($A23),,IF($AN23="Não",0,(SUM($AO23:AZ23)*$AH23)-SUM($HM23:HX23)-SUM($CW23:DH23)))</f>
        <v>0</v>
      </c>
      <c r="JC23" s="141">
        <f>IF(ISBLANK($A23),,IF($AN23="Não",0,(SUM($AO23:BA23)*$AH23)-SUM($HM23:HY23)-SUM($CW23:DI23)))</f>
        <v>0</v>
      </c>
      <c r="JD23" s="141">
        <f>IF(ISBLANK($A23),,IF($AN23="Não",0,(SUM($AO23:BB23)*$AH23)-SUM($HM23:HZ23)-SUM($CW23:DJ23)))</f>
        <v>0</v>
      </c>
      <c r="JE23" s="141">
        <f>IF(ISBLANK($A23),,IF($AN23="Não",0,(SUM($AO23:BC23)*$AH23)-SUM($HM23:IA23)-SUM($CW23:DK23)))</f>
        <v>0</v>
      </c>
      <c r="JF23" s="141">
        <f>IF(ISBLANK($A23),,IF($AN23="Não",0,(SUM($AO23:BD23)*$AH23)-SUM($HM23:IB23)-SUM($CW23:DL23)))</f>
        <v>0</v>
      </c>
      <c r="JG23" s="141">
        <f>IF(ISBLANK($A23),,IF($AN23="Não",0,(SUM($AO23:BE23)*$AH23)-SUM($HM23:IC23)-SUM($CW23:DM23)))</f>
        <v>0</v>
      </c>
      <c r="JH23" s="141">
        <f>IF(ISBLANK($A23),,IF($AN23="Não",0,(SUM($AO23:BF23)*$AH23)-SUM($HM23:ID23)-SUM($CW23:DN23)))</f>
        <v>0</v>
      </c>
      <c r="JI23" s="141">
        <f>IF(ISBLANK($A23),,IF($AN23="Não",0,(SUM($AO23:BG23)*$AH23)-SUM($HM23:IE23)-SUM($CW23:DO23)))</f>
        <v>0</v>
      </c>
      <c r="JJ23" s="141">
        <f>IF(ISBLANK($A23),,IF($AN23="Não",0,(SUM($AO23:BH23)*$AH23)-SUM($HM23:IF23)-SUM($CW23:DP23)))</f>
        <v>0</v>
      </c>
      <c r="JK23" s="141">
        <f>IF(ISBLANK($A23),,IF($AN23="Não",0,(SUM($AO23:BI23)*$AH23)-SUM($HM23:IG23)-SUM($CW23:DQ23)))</f>
        <v>0</v>
      </c>
      <c r="JL23" s="141">
        <f>IF(ISBLANK($A23),,IF($AN23="Não",0,(SUM($AO23:BJ23)*$AH23)-SUM($HM23:IH23)-SUM($CW23:DR23)))</f>
        <v>0</v>
      </c>
      <c r="JM23" s="141">
        <f>IF(ISBLANK($A23),,IF($AN23="Não",0,(SUM($AO23:BK23)*$AH23)-SUM($HM23:II23)-SUM($CW23:DS23)))</f>
        <v>0</v>
      </c>
      <c r="JN23" s="141">
        <f>IF(ISBLANK($A23),,IF($AN23="Não",0,(SUM($AO23:BL23)*$AH23)-SUM($HM23:IJ23)-SUM($CW23:DT23)))</f>
        <v>0</v>
      </c>
      <c r="JO23" s="141">
        <f>IF(ISBLANK($A23),,IF($AN23="Não",0,(SUM($AO23:BM23)*$AH23)-SUM($HM23:IK23)-SUM($CW23:DU23)))</f>
        <v>0</v>
      </c>
      <c r="JP23" s="141">
        <f>IF(ISBLANK($A23),,IF($AN23="Não",0,(SUM($AO23:BN23)*$AH23)-SUM($HM23:IL23)-SUM($CW23:DV23)))</f>
        <v>0</v>
      </c>
      <c r="JQ23" s="141">
        <f>IF(ISBLANK($A23),,IF($AN23="Não",0,(SUM($AO23:BO23)*$AH23)-SUM($HM23:IM23)-SUM($CW23:DW23)))</f>
        <v>0</v>
      </c>
      <c r="JR23" s="141">
        <f>IF(ISBLANK($A23),,IF($AN23="Não",0,(SUM($AO23:BP23)*$AH23)-SUM($HM23:IN23)-SUM($CW23:DX23)))</f>
        <v>0</v>
      </c>
      <c r="JS23" s="141">
        <f>IF(ISBLANK($A23),,IF($AN23="Não",0,(SUM($AO23:BQ23)*$AH23)-SUM($HM23:IO23)-SUM($CW23:DY23)))</f>
        <v>0</v>
      </c>
      <c r="JT23" s="141">
        <f>IF(ISBLANK($A23),,IF($AN23="Não",0,(SUM($AO23:BR23)*$AH23)-SUM($HM23:IP23)-SUM($CW23:DZ23)))</f>
        <v>0</v>
      </c>
    </row>
    <row r="24" spans="1:280" ht="15.75" customHeight="1">
      <c r="A24" s="129" t="s">
        <v>357</v>
      </c>
      <c r="B24" s="129" t="s">
        <v>209</v>
      </c>
      <c r="C24" s="138" t="s">
        <v>79</v>
      </c>
      <c r="D24" s="139">
        <v>2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607">
        <f t="shared" si="0"/>
        <v>1760.0000000000002</v>
      </c>
      <c r="AI24" s="608">
        <f t="shared" si="1"/>
        <v>10</v>
      </c>
      <c r="AJ24" s="609">
        <f t="shared" si="2"/>
        <v>0</v>
      </c>
      <c r="AK24" s="610" t="str">
        <f t="shared" si="3"/>
        <v>Infraestrutura</v>
      </c>
      <c r="AL24" s="609">
        <f t="shared" si="4"/>
        <v>0.05</v>
      </c>
      <c r="AM24" s="611" t="str">
        <f t="shared" si="5"/>
        <v>Sim</v>
      </c>
      <c r="AN24" s="611" t="str">
        <f t="shared" si="6"/>
        <v>Não</v>
      </c>
      <c r="AO24" s="140">
        <f t="array" ref="AO24">IF(ISBLANK($A24),0,IF(OR(AO$5-$AI24&lt;=0,$AM24="Não"),D24,D24+INDEX($AO$6:$BR$176,ROW()-5,COLUMN()-40-$AI24)))*IF($B24="Operacional",IFERROR(VLOOKUP($C24,SN_UGC,28,0),0),1)</f>
        <v>2</v>
      </c>
      <c r="AP24" s="140">
        <f t="array" ref="AP24">IF(ISBLANK($A24),0,IF(OR(AP$5-$AI24&lt;=0,$AM24="Não"),E24,E24+INDEX($AO$6:$BR$176,ROW()-5,COLUMN()-40-$AI24)))*IF($B24="Operacional",IFERROR(VLOOKUP($C24,SN_UGC,28,0),0),1)</f>
        <v>0</v>
      </c>
      <c r="AQ24" s="140">
        <f t="array" ref="AQ24">IF(ISBLANK($A24),0,IF(OR(AQ$5-$AI24&lt;=0,$AM24="Não"),F24,F24+INDEX($AO$6:$BR$176,ROW()-5,COLUMN()-40-$AI24)))*IF($B24="Operacional",IFERROR(VLOOKUP($C24,SN_UGC,28,0),0),1)</f>
        <v>0</v>
      </c>
      <c r="AR24" s="140">
        <f t="array" ref="AR24">IF(ISBLANK($A24),0,IF(OR(AR$5-$AI24&lt;=0,$AM24="Não"),G24,G24+INDEX($AO$6:$BR$176,ROW()-5,COLUMN()-40-$AI24)))*IF($B24="Operacional",IFERROR(VLOOKUP($C24,SN_UGC,28,0),0),1)</f>
        <v>0</v>
      </c>
      <c r="AS24" s="140">
        <f t="array" ref="AS24">IF(ISBLANK($A24),0,IF(OR(AS$5-$AI24&lt;=0,$AM24="Não"),H24,H24+INDEX($AO$6:$BR$176,ROW()-5,COLUMN()-40-$AI24)))*IF($B24="Operacional",IFERROR(VLOOKUP($C24,SN_UGC,28,0),0),1)</f>
        <v>0</v>
      </c>
      <c r="AT24" s="140">
        <f t="array" ref="AT24">IF(ISBLANK($A24),0,IF(OR(AT$5-$AI24&lt;=0,$AM24="Não"),I24,I24+INDEX($AO$6:$BR$176,ROW()-5,COLUMN()-40-$AI24)))*IF($B24="Operacional",IFERROR(VLOOKUP($C24,SN_UGC,28,0),0),1)</f>
        <v>0</v>
      </c>
      <c r="AU24" s="140">
        <f t="array" ref="AU24">IF(ISBLANK($A24),0,IF(OR(AU$5-$AI24&lt;=0,$AM24="Não"),J24,J24+INDEX($AO$6:$BR$176,ROW()-5,COLUMN()-40-$AI24)))*IF($B24="Operacional",IFERROR(VLOOKUP($C24,SN_UGC,28,0),0),1)</f>
        <v>0</v>
      </c>
      <c r="AV24" s="140">
        <f t="array" ref="AV24">IF(ISBLANK($A24),0,IF(OR(AV$5-$AI24&lt;=0,$AM24="Não"),K24,K24+INDEX($AO$6:$BR$176,ROW()-5,COLUMN()-40-$AI24)))*IF($B24="Operacional",IFERROR(VLOOKUP($C24,SN_UGC,28,0),0),1)</f>
        <v>0</v>
      </c>
      <c r="AW24" s="140">
        <f t="array" ref="AW24">IF(ISBLANK($A24),0,IF(OR(AW$5-$AI24&lt;=0,$AM24="Não"),L24,L24+INDEX($AO$6:$BR$176,ROW()-5,COLUMN()-40-$AI24)))*IF($B24="Operacional",IFERROR(VLOOKUP($C24,SN_UGC,28,0),0),1)</f>
        <v>0</v>
      </c>
      <c r="AX24" s="140">
        <f t="array" ref="AX24">IF(ISBLANK($A24),0,IF(OR(AX$5-$AI24&lt;=0,$AM24="Não"),M24,M24+INDEX($AO$6:$BR$176,ROW()-5,COLUMN()-40-$AI24)))*IF($B24="Operacional",IFERROR(VLOOKUP($C24,SN_UGC,28,0),0),1)</f>
        <v>0</v>
      </c>
      <c r="AY24" s="140">
        <f t="array" ref="AY24">IF(ISBLANK($A24),0,IF(OR(AY$5-$AI24&lt;=0,$AM24="Não"),N24,N24+INDEX($AO$6:$BR$176,ROW()-5,COLUMN()-40-$AI24)))*IF($B24="Operacional",IFERROR(VLOOKUP($C24,SN_UGC,28,0),0),1)</f>
        <v>2</v>
      </c>
      <c r="AZ24" s="140">
        <f t="array" ref="AZ24">IF(ISBLANK($A24),0,IF(OR(AZ$5-$AI24&lt;=0,$AM24="Não"),O24,O24+INDEX($AO$6:$BR$176,ROW()-5,COLUMN()-40-$AI24)))*IF($B24="Operacional",IFERROR(VLOOKUP($C24,SN_UGC,28,0),0),1)</f>
        <v>0</v>
      </c>
      <c r="BA24" s="140">
        <f t="array" ref="BA24">IF(ISBLANK($A24),0,IF(OR(BA$5-$AI24&lt;=0,$AM24="Não"),P24,P24+INDEX($AO$6:$BR$176,ROW()-5,COLUMN()-40-$AI24)))*IF($B24="Operacional",IFERROR(VLOOKUP($C24,SN_UGC,28,0),0),1)</f>
        <v>0</v>
      </c>
      <c r="BB24" s="140">
        <f t="array" ref="BB24">IF(ISBLANK($A24),0,IF(OR(BB$5-$AI24&lt;=0,$AM24="Não"),Q24,Q24+INDEX($AO$6:$BR$176,ROW()-5,COLUMN()-40-$AI24)))*IF($B24="Operacional",IFERROR(VLOOKUP($C24,SN_UGC,28,0),0),1)</f>
        <v>0</v>
      </c>
      <c r="BC24" s="140">
        <f t="array" ref="BC24">IF(ISBLANK($A24),0,IF(OR(BC$5-$AI24&lt;=0,$AM24="Não"),R24,R24+INDEX($AO$6:$BR$176,ROW()-5,COLUMN()-40-$AI24)))*IF($B24="Operacional",IFERROR(VLOOKUP($C24,SN_UGC,28,0),0),1)</f>
        <v>0</v>
      </c>
      <c r="BD24" s="140">
        <f t="array" ref="BD24">IF(ISBLANK($A24),0,IF(OR(BD$5-$AI24&lt;=0,$AM24="Não"),S24,S24+INDEX($AO$6:$BR$176,ROW()-5,COLUMN()-40-$AI24)))*IF($B24="Operacional",IFERROR(VLOOKUP($C24,SN_UGC,28,0),0),1)</f>
        <v>0</v>
      </c>
      <c r="BE24" s="140">
        <f t="array" ref="BE24">IF(ISBLANK($A24),0,IF(OR(BE$5-$AI24&lt;=0,$AM24="Não"),T24,T24+INDEX($AO$6:$BR$176,ROW()-5,COLUMN()-40-$AI24)))*IF($B24="Operacional",IFERROR(VLOOKUP($C24,SN_UGC,28,0),0),1)</f>
        <v>0</v>
      </c>
      <c r="BF24" s="140">
        <f t="array" ref="BF24">IF(ISBLANK($A24),0,IF(OR(BF$5-$AI24&lt;=0,$AM24="Não"),U24,U24+INDEX($AO$6:$BR$176,ROW()-5,COLUMN()-40-$AI24)))*IF($B24="Operacional",IFERROR(VLOOKUP($C24,SN_UGC,28,0),0),1)</f>
        <v>0</v>
      </c>
      <c r="BG24" s="140">
        <f t="array" ref="BG24">IF(ISBLANK($A24),0,IF(OR(BG$5-$AI24&lt;=0,$AM24="Não"),V24,V24+INDEX($AO$6:$BR$176,ROW()-5,COLUMN()-40-$AI24)))*IF($B24="Operacional",IFERROR(VLOOKUP($C24,SN_UGC,28,0),0),1)</f>
        <v>0</v>
      </c>
      <c r="BH24" s="140">
        <f t="array" ref="BH24">IF(ISBLANK($A24),0,IF(OR(BH$5-$AI24&lt;=0,$AM24="Não"),W24,W24+INDEX($AO$6:$BR$176,ROW()-5,COLUMN()-40-$AI24)))*IF($B24="Operacional",IFERROR(VLOOKUP($C24,SN_UGC,28,0),0),1)</f>
        <v>0</v>
      </c>
      <c r="BI24" s="140">
        <f t="array" ref="BI24">IF(ISBLANK($A24),0,IF(OR(BI$5-$AI24&lt;=0,$AM24="Não"),X24,X24+INDEX($AO$6:$BR$176,ROW()-5,COLUMN()-40-$AI24)))*IF($B24="Operacional",IFERROR(VLOOKUP($C24,SN_UGC,28,0),0),1)</f>
        <v>2</v>
      </c>
      <c r="BJ24" s="140">
        <f t="array" ref="BJ24">IF(ISBLANK($A24),0,IF(OR(BJ$5-$AI24&lt;=0,$AM24="Não"),Y24,Y24+INDEX($AO$6:$BR$176,ROW()-5,COLUMN()-40-$AI24)))*IF($B24="Operacional",IFERROR(VLOOKUP($C24,SN_UGC,28,0),0),1)</f>
        <v>0</v>
      </c>
      <c r="BK24" s="140">
        <f t="array" ref="BK24">IF(ISBLANK($A24),0,IF(OR(BK$5-$AI24&lt;=0,$AM24="Não"),Z24,Z24+INDEX($AO$6:$BR$176,ROW()-5,COLUMN()-40-$AI24)))*IF($B24="Operacional",IFERROR(VLOOKUP($C24,SN_UGC,28,0),0),1)</f>
        <v>0</v>
      </c>
      <c r="BL24" s="140">
        <f t="array" ref="BL24">IF(ISBLANK($A24),0,IF(OR(BL$5-$AI24&lt;=0,$AM24="Não"),AA24,AA24+INDEX($AO$6:$BR$176,ROW()-5,COLUMN()-40-$AI24)))*IF($B24="Operacional",IFERROR(VLOOKUP($C24,SN_UGC,28,0),0),1)</f>
        <v>0</v>
      </c>
      <c r="BM24" s="140">
        <f t="array" ref="BM24">IF(ISBLANK($A24),0,IF(OR(BM$5-$AI24&lt;=0,$AM24="Não"),AB24,AB24+INDEX($AO$6:$BR$176,ROW()-5,COLUMN()-40-$AI24)))*IF($B24="Operacional",IFERROR(VLOOKUP($C24,SN_UGC,28,0),0),1)</f>
        <v>0</v>
      </c>
      <c r="BN24" s="140">
        <f t="array" ref="BN24">IF(ISBLANK($A24),0,IF(OR(BN$5-$AI24&lt;=0,$AM24="Não"),AC24,AC24+INDEX($AO$6:$BR$176,ROW()-5,COLUMN()-40-$AI24)))*IF($B24="Operacional",IFERROR(VLOOKUP($C24,SN_UGC,28,0),0),1)</f>
        <v>0</v>
      </c>
      <c r="BO24" s="140">
        <f t="array" ref="BO24">IF(ISBLANK($A24),0,IF(OR(BO$5-$AI24&lt;=0,$AM24="Não"),AD24,AD24+INDEX($AO$6:$BR$176,ROW()-5,COLUMN()-40-$AI24)))*IF($B24="Operacional",IFERROR(VLOOKUP($C24,SN_UGC,28,0),0),1)</f>
        <v>0</v>
      </c>
      <c r="BP24" s="140">
        <f t="array" ref="BP24">IF(ISBLANK($A24),0,IF(OR(BP$5-$AI24&lt;=0,$AM24="Não"),AE24,AE24+INDEX($AO$6:$BR$176,ROW()-5,COLUMN()-40-$AI24)))*IF($B24="Operacional",IFERROR(VLOOKUP($C24,SN_UGC,28,0),0),1)</f>
        <v>0</v>
      </c>
      <c r="BQ24" s="140">
        <f t="array" ref="BQ24">IF(ISBLANK($A24),0,IF(OR(BQ$5-$AI24&lt;=0,$AM24="Não"),AF24,AF24+INDEX($AO$6:$BR$176,ROW()-5,COLUMN()-40-$AI24)))*IF($B24="Operacional",IFERROR(VLOOKUP($C24,SN_UGC,28,0),0),1)</f>
        <v>0</v>
      </c>
      <c r="BR24" s="140">
        <f t="array" ref="BR24">IF(ISBLANK($A24),0,IF(OR(BR$5-$AI24&lt;=0,$AM24="Não"),AG24,AG24+INDEX($AO$6:$BR$176,ROW()-5,COLUMN()-40-$AI24)))*IF($B24="Operacional",IFERROR(VLOOKUP($C24,SN_UGC,28,0),0),1)</f>
        <v>0</v>
      </c>
      <c r="BS24" s="141">
        <f t="shared" ref="BS24:CV24" si="109">IF(ISBLANK($A24),0,$AH24*AO24)</f>
        <v>3520.0000000000005</v>
      </c>
      <c r="BT24" s="141">
        <f t="shared" si="109"/>
        <v>0</v>
      </c>
      <c r="BU24" s="141">
        <f t="shared" si="109"/>
        <v>0</v>
      </c>
      <c r="BV24" s="141">
        <f t="shared" si="109"/>
        <v>0</v>
      </c>
      <c r="BW24" s="141">
        <f t="shared" si="109"/>
        <v>0</v>
      </c>
      <c r="BX24" s="141">
        <f t="shared" si="109"/>
        <v>0</v>
      </c>
      <c r="BY24" s="141">
        <f t="shared" si="109"/>
        <v>0</v>
      </c>
      <c r="BZ24" s="141">
        <f t="shared" si="109"/>
        <v>0</v>
      </c>
      <c r="CA24" s="141">
        <f t="shared" si="109"/>
        <v>0</v>
      </c>
      <c r="CB24" s="141">
        <f t="shared" si="109"/>
        <v>0</v>
      </c>
      <c r="CC24" s="141">
        <f t="shared" si="109"/>
        <v>3520.0000000000005</v>
      </c>
      <c r="CD24" s="141">
        <f t="shared" si="109"/>
        <v>0</v>
      </c>
      <c r="CE24" s="141">
        <f t="shared" si="109"/>
        <v>0</v>
      </c>
      <c r="CF24" s="141">
        <f t="shared" si="109"/>
        <v>0</v>
      </c>
      <c r="CG24" s="141">
        <f t="shared" si="109"/>
        <v>0</v>
      </c>
      <c r="CH24" s="141">
        <f t="shared" si="109"/>
        <v>0</v>
      </c>
      <c r="CI24" s="141">
        <f t="shared" si="109"/>
        <v>0</v>
      </c>
      <c r="CJ24" s="141">
        <f t="shared" si="109"/>
        <v>0</v>
      </c>
      <c r="CK24" s="141">
        <f t="shared" si="109"/>
        <v>0</v>
      </c>
      <c r="CL24" s="141">
        <f t="shared" si="109"/>
        <v>0</v>
      </c>
      <c r="CM24" s="141">
        <f t="shared" si="109"/>
        <v>3520.0000000000005</v>
      </c>
      <c r="CN24" s="141">
        <f t="shared" si="109"/>
        <v>0</v>
      </c>
      <c r="CO24" s="141">
        <f t="shared" si="109"/>
        <v>0</v>
      </c>
      <c r="CP24" s="141">
        <f t="shared" si="109"/>
        <v>0</v>
      </c>
      <c r="CQ24" s="141">
        <f t="shared" si="109"/>
        <v>0</v>
      </c>
      <c r="CR24" s="141">
        <f t="shared" si="109"/>
        <v>0</v>
      </c>
      <c r="CS24" s="141">
        <f t="shared" si="109"/>
        <v>0</v>
      </c>
      <c r="CT24" s="141">
        <f t="shared" si="109"/>
        <v>0</v>
      </c>
      <c r="CU24" s="141">
        <f t="shared" si="109"/>
        <v>0</v>
      </c>
      <c r="CV24" s="141">
        <f t="shared" si="109"/>
        <v>0</v>
      </c>
      <c r="CW24" s="142">
        <f t="shared" ref="CW24:DZ24" si="110">EA24*$AH24*$AJ24</f>
        <v>0</v>
      </c>
      <c r="CX24" s="142">
        <f t="shared" si="110"/>
        <v>0</v>
      </c>
      <c r="CY24" s="142">
        <f t="shared" si="110"/>
        <v>0</v>
      </c>
      <c r="CZ24" s="142">
        <f t="shared" si="110"/>
        <v>0</v>
      </c>
      <c r="DA24" s="142">
        <f t="shared" si="110"/>
        <v>0</v>
      </c>
      <c r="DB24" s="142">
        <f t="shared" si="110"/>
        <v>0</v>
      </c>
      <c r="DC24" s="142">
        <f t="shared" si="110"/>
        <v>0</v>
      </c>
      <c r="DD24" s="142">
        <f t="shared" si="110"/>
        <v>0</v>
      </c>
      <c r="DE24" s="142">
        <f t="shared" si="110"/>
        <v>0</v>
      </c>
      <c r="DF24" s="142">
        <f t="shared" si="110"/>
        <v>0</v>
      </c>
      <c r="DG24" s="142">
        <f t="shared" si="110"/>
        <v>0</v>
      </c>
      <c r="DH24" s="142">
        <f t="shared" si="110"/>
        <v>0</v>
      </c>
      <c r="DI24" s="142">
        <f t="shared" si="110"/>
        <v>0</v>
      </c>
      <c r="DJ24" s="142">
        <f t="shared" si="110"/>
        <v>0</v>
      </c>
      <c r="DK24" s="142">
        <f t="shared" si="110"/>
        <v>0</v>
      </c>
      <c r="DL24" s="142">
        <f t="shared" si="110"/>
        <v>0</v>
      </c>
      <c r="DM24" s="142">
        <f t="shared" si="110"/>
        <v>0</v>
      </c>
      <c r="DN24" s="142">
        <f t="shared" si="110"/>
        <v>0</v>
      </c>
      <c r="DO24" s="142">
        <f t="shared" si="110"/>
        <v>0</v>
      </c>
      <c r="DP24" s="142">
        <f t="shared" si="110"/>
        <v>0</v>
      </c>
      <c r="DQ24" s="142">
        <f t="shared" si="110"/>
        <v>0</v>
      </c>
      <c r="DR24" s="142">
        <f t="shared" si="110"/>
        <v>0</v>
      </c>
      <c r="DS24" s="142">
        <f t="shared" si="110"/>
        <v>0</v>
      </c>
      <c r="DT24" s="142">
        <f t="shared" si="110"/>
        <v>0</v>
      </c>
      <c r="DU24" s="142">
        <f t="shared" si="110"/>
        <v>0</v>
      </c>
      <c r="DV24" s="142">
        <f t="shared" si="110"/>
        <v>0</v>
      </c>
      <c r="DW24" s="142">
        <f t="shared" si="110"/>
        <v>0</v>
      </c>
      <c r="DX24" s="142">
        <f t="shared" si="110"/>
        <v>0</v>
      </c>
      <c r="DY24" s="142">
        <f t="shared" si="110"/>
        <v>0</v>
      </c>
      <c r="DZ24" s="142">
        <f t="shared" si="110"/>
        <v>0</v>
      </c>
      <c r="EA24" s="143">
        <f t="shared" si="9"/>
        <v>0</v>
      </c>
      <c r="EB24" s="143">
        <f t="shared" si="10"/>
        <v>0</v>
      </c>
      <c r="EC24" s="143">
        <f t="shared" si="11"/>
        <v>0</v>
      </c>
      <c r="ED24" s="143">
        <f t="shared" si="12"/>
        <v>0</v>
      </c>
      <c r="EE24" s="143">
        <f t="shared" si="13"/>
        <v>0</v>
      </c>
      <c r="EF24" s="143">
        <f t="shared" si="14"/>
        <v>0</v>
      </c>
      <c r="EG24" s="143">
        <f t="shared" si="15"/>
        <v>0</v>
      </c>
      <c r="EH24" s="143">
        <f t="shared" si="16"/>
        <v>0</v>
      </c>
      <c r="EI24" s="143">
        <f t="shared" si="17"/>
        <v>0</v>
      </c>
      <c r="EJ24" s="143">
        <f t="shared" si="18"/>
        <v>0</v>
      </c>
      <c r="EK24" s="143">
        <f t="shared" si="19"/>
        <v>2</v>
      </c>
      <c r="EL24" s="143">
        <f t="shared" si="20"/>
        <v>0</v>
      </c>
      <c r="EM24" s="143">
        <f t="shared" si="21"/>
        <v>0</v>
      </c>
      <c r="EN24" s="143">
        <f t="shared" si="22"/>
        <v>0</v>
      </c>
      <c r="EO24" s="143">
        <f t="shared" si="23"/>
        <v>0</v>
      </c>
      <c r="EP24" s="143">
        <f t="shared" si="24"/>
        <v>0</v>
      </c>
      <c r="EQ24" s="143">
        <f t="shared" si="25"/>
        <v>0</v>
      </c>
      <c r="ER24" s="143">
        <f t="shared" si="26"/>
        <v>0</v>
      </c>
      <c r="ES24" s="143">
        <f t="shared" si="27"/>
        <v>0</v>
      </c>
      <c r="ET24" s="143">
        <f t="shared" si="28"/>
        <v>0</v>
      </c>
      <c r="EU24" s="143">
        <f t="shared" si="29"/>
        <v>2</v>
      </c>
      <c r="EV24" s="143">
        <f t="shared" si="30"/>
        <v>0</v>
      </c>
      <c r="EW24" s="143">
        <f t="shared" si="31"/>
        <v>0</v>
      </c>
      <c r="EX24" s="143">
        <f t="shared" si="32"/>
        <v>0</v>
      </c>
      <c r="EY24" s="143">
        <f t="shared" si="33"/>
        <v>0</v>
      </c>
      <c r="EZ24" s="143">
        <f t="shared" si="34"/>
        <v>0</v>
      </c>
      <c r="FA24" s="143">
        <f t="shared" si="35"/>
        <v>0</v>
      </c>
      <c r="FB24" s="143">
        <f t="shared" si="36"/>
        <v>0</v>
      </c>
      <c r="FC24" s="143">
        <f t="shared" si="37"/>
        <v>0</v>
      </c>
      <c r="FD24" s="143">
        <f t="shared" si="38"/>
        <v>0</v>
      </c>
      <c r="FE24" s="140">
        <f>SUM($D24:D24)*IF($B24="Operacional",IFERROR(VLOOKUP($C24,SN_UGC,28,0),0),1)</f>
        <v>2</v>
      </c>
      <c r="FF24" s="140">
        <f>SUM($D24:E24)*IF($B24="Operacional",IFERROR(VLOOKUP($C24,SN_UGC,28,0),0),1)</f>
        <v>2</v>
      </c>
      <c r="FG24" s="140">
        <f>SUM($D24:F24)*IF($B24="Operacional",IFERROR(VLOOKUP($C24,SN_UGC,28,0),0),1)</f>
        <v>2</v>
      </c>
      <c r="FH24" s="140">
        <f>SUM($D24:G24)*IF($B24="Operacional",IFERROR(VLOOKUP($C24,SN_UGC,28,0),0),1)</f>
        <v>2</v>
      </c>
      <c r="FI24" s="140">
        <f>SUM($D24:H24)*IF($B24="Operacional",IFERROR(VLOOKUP($C24,SN_UGC,28,0),0),1)</f>
        <v>2</v>
      </c>
      <c r="FJ24" s="140">
        <f>SUM($D24:I24)*IF($B24="Operacional",IFERROR(VLOOKUP($C24,SN_UGC,28,0),0),1)</f>
        <v>2</v>
      </c>
      <c r="FK24" s="140">
        <f>SUM($D24:J24)*IF($B24="Operacional",IFERROR(VLOOKUP($C24,SN_UGC,28,0),0),1)</f>
        <v>2</v>
      </c>
      <c r="FL24" s="140">
        <f>SUM($D24:K24)*IF($B24="Operacional",IFERROR(VLOOKUP($C24,SN_UGC,28,0),0),1)</f>
        <v>2</v>
      </c>
      <c r="FM24" s="140">
        <f>SUM($D24:L24)*IF($B24="Operacional",IFERROR(VLOOKUP($C24,SN_UGC,28,0),0),1)</f>
        <v>2</v>
      </c>
      <c r="FN24" s="140">
        <f>SUM($D24:M24)*IF($B24="Operacional",IFERROR(VLOOKUP($C24,SN_UGC,28,0),0),1)</f>
        <v>2</v>
      </c>
      <c r="FO24" s="140">
        <f>SUM($D24:N24)*IF($B24="Operacional",IFERROR(VLOOKUP($C24,SN_UGC,28,0),0),1)</f>
        <v>2</v>
      </c>
      <c r="FP24" s="140">
        <f>SUM($D24:O24)*IF($B24="Operacional",IFERROR(VLOOKUP($C24,SN_UGC,28,0),0),1)</f>
        <v>2</v>
      </c>
      <c r="FQ24" s="140">
        <f>SUM($D24:P24)*IF($B24="Operacional",IFERROR(VLOOKUP($C24,SN_UGC,28,0),0),1)</f>
        <v>2</v>
      </c>
      <c r="FR24" s="140">
        <f>SUM($D24:Q24)*IF($B24="Operacional",IFERROR(VLOOKUP($C24,SN_UGC,28,0),0),1)</f>
        <v>2</v>
      </c>
      <c r="FS24" s="140">
        <f>SUM($D24:R24)*IF($B24="Operacional",IFERROR(VLOOKUP($C24,SN_UGC,28,0),0),1)</f>
        <v>2</v>
      </c>
      <c r="FT24" s="140">
        <f>SUM($D24:S24)*IF($B24="Operacional",IFERROR(VLOOKUP($C24,SN_UGC,28,0),0),1)</f>
        <v>2</v>
      </c>
      <c r="FU24" s="140">
        <f>SUM($D24:T24)*IF($B24="Operacional",IFERROR(VLOOKUP($C24,SN_UGC,28,0),0),1)</f>
        <v>2</v>
      </c>
      <c r="FV24" s="140">
        <f>SUM($D24:U24)*IF($B24="Operacional",IFERROR(VLOOKUP($C24,SN_UGC,28,0),0),1)</f>
        <v>2</v>
      </c>
      <c r="FW24" s="140">
        <f>SUM($D24:V24)*IF($B24="Operacional",IFERROR(VLOOKUP($C24,SN_UGC,28,0),0),1)</f>
        <v>2</v>
      </c>
      <c r="FX24" s="140">
        <f>SUM($D24:W24)*IF($B24="Operacional",IFERROR(VLOOKUP($C24,SN_UGC,28,0),0),1)</f>
        <v>2</v>
      </c>
      <c r="FY24" s="140">
        <f>SUM($D24:X24)*IF($B24="Operacional",IFERROR(VLOOKUP($C24,SN_UGC,28,0),0),1)</f>
        <v>2</v>
      </c>
      <c r="FZ24" s="140">
        <f>SUM($D24:Y24)*IF($B24="Operacional",IFERROR(VLOOKUP($C24,SN_UGC,28,0),0),1)</f>
        <v>2</v>
      </c>
      <c r="GA24" s="140">
        <f>SUM($D24:Z24)*IF($B24="Operacional",IFERROR(VLOOKUP($C24,SN_UGC,28,0),0),1)</f>
        <v>2</v>
      </c>
      <c r="GB24" s="140">
        <f>SUM($D24:AA24)*IF($B24="Operacional",IFERROR(VLOOKUP($C24,SN_UGC,28,0),0),1)</f>
        <v>2</v>
      </c>
      <c r="GC24" s="140">
        <f>SUM($D24:AB24)*IF($B24="Operacional",IFERROR(VLOOKUP($C24,SN_UGC,28,0),0),1)</f>
        <v>2</v>
      </c>
      <c r="GD24" s="140">
        <f>SUM($D24:AC24)*IF($B24="Operacional",IFERROR(VLOOKUP($C24,SN_UGC,28,0),0),1)</f>
        <v>2</v>
      </c>
      <c r="GE24" s="140">
        <f>SUM($D24:AD24)*IF($B24="Operacional",IFERROR(VLOOKUP($C24,SN_UGC,28,0),0),1)</f>
        <v>2</v>
      </c>
      <c r="GF24" s="140">
        <f>SUM($D24:AE24)*IF($B24="Operacional",IFERROR(VLOOKUP($C24,SN_UGC,28,0),0),1)</f>
        <v>2</v>
      </c>
      <c r="GG24" s="140">
        <f>SUM($D24:AF24)*IF($B24="Operacional",IFERROR(VLOOKUP($C24,SN_UGC,28,0),0),1)</f>
        <v>2</v>
      </c>
      <c r="GH24" s="140">
        <f>SUM($D24:AG24)*IF($B24="Operacional",IFERROR(VLOOKUP($C24,SN_UGC,28,0),0),1)</f>
        <v>2</v>
      </c>
      <c r="GI24" s="141">
        <f t="shared" ref="GI24:HL24" si="111">FE24*$AH24*$AL24</f>
        <v>176.00000000000003</v>
      </c>
      <c r="GJ24" s="141">
        <f t="shared" si="111"/>
        <v>176.00000000000003</v>
      </c>
      <c r="GK24" s="141">
        <f t="shared" si="111"/>
        <v>176.00000000000003</v>
      </c>
      <c r="GL24" s="141">
        <f t="shared" si="111"/>
        <v>176.00000000000003</v>
      </c>
      <c r="GM24" s="141">
        <f t="shared" si="111"/>
        <v>176.00000000000003</v>
      </c>
      <c r="GN24" s="141">
        <f t="shared" si="111"/>
        <v>176.00000000000003</v>
      </c>
      <c r="GO24" s="141">
        <f t="shared" si="111"/>
        <v>176.00000000000003</v>
      </c>
      <c r="GP24" s="141">
        <f t="shared" si="111"/>
        <v>176.00000000000003</v>
      </c>
      <c r="GQ24" s="141">
        <f t="shared" si="111"/>
        <v>176.00000000000003</v>
      </c>
      <c r="GR24" s="141">
        <f t="shared" si="111"/>
        <v>176.00000000000003</v>
      </c>
      <c r="GS24" s="141">
        <f t="shared" si="111"/>
        <v>176.00000000000003</v>
      </c>
      <c r="GT24" s="141">
        <f t="shared" si="111"/>
        <v>176.00000000000003</v>
      </c>
      <c r="GU24" s="141">
        <f t="shared" si="111"/>
        <v>176.00000000000003</v>
      </c>
      <c r="GV24" s="141">
        <f t="shared" si="111"/>
        <v>176.00000000000003</v>
      </c>
      <c r="GW24" s="141">
        <f t="shared" si="111"/>
        <v>176.00000000000003</v>
      </c>
      <c r="GX24" s="141">
        <f t="shared" si="111"/>
        <v>176.00000000000003</v>
      </c>
      <c r="GY24" s="141">
        <f t="shared" si="111"/>
        <v>176.00000000000003</v>
      </c>
      <c r="GZ24" s="141">
        <f t="shared" si="111"/>
        <v>176.00000000000003</v>
      </c>
      <c r="HA24" s="141">
        <f t="shared" si="111"/>
        <v>176.00000000000003</v>
      </c>
      <c r="HB24" s="141">
        <f t="shared" si="111"/>
        <v>176.00000000000003</v>
      </c>
      <c r="HC24" s="141">
        <f t="shared" si="111"/>
        <v>176.00000000000003</v>
      </c>
      <c r="HD24" s="141">
        <f t="shared" si="111"/>
        <v>176.00000000000003</v>
      </c>
      <c r="HE24" s="141">
        <f t="shared" si="111"/>
        <v>176.00000000000003</v>
      </c>
      <c r="HF24" s="141">
        <f t="shared" si="111"/>
        <v>176.00000000000003</v>
      </c>
      <c r="HG24" s="141">
        <f t="shared" si="111"/>
        <v>176.00000000000003</v>
      </c>
      <c r="HH24" s="141">
        <f t="shared" si="111"/>
        <v>176.00000000000003</v>
      </c>
      <c r="HI24" s="141">
        <f t="shared" si="111"/>
        <v>176.00000000000003</v>
      </c>
      <c r="HJ24" s="141">
        <f t="shared" si="111"/>
        <v>176.00000000000003</v>
      </c>
      <c r="HK24" s="141">
        <f t="shared" si="111"/>
        <v>176.00000000000003</v>
      </c>
      <c r="HL24" s="141">
        <f t="shared" si="111"/>
        <v>176.00000000000003</v>
      </c>
      <c r="HM24" s="142">
        <f t="shared" ref="HM24:IP24" si="112">IF(ISBLANK($A24),,FE24*($AH24-($AH24*$AJ24))/$AI24)</f>
        <v>352.00000000000006</v>
      </c>
      <c r="HN24" s="142">
        <f t="shared" si="112"/>
        <v>352.00000000000006</v>
      </c>
      <c r="HO24" s="142">
        <f t="shared" si="112"/>
        <v>352.00000000000006</v>
      </c>
      <c r="HP24" s="142">
        <f t="shared" si="112"/>
        <v>352.00000000000006</v>
      </c>
      <c r="HQ24" s="142">
        <f t="shared" si="112"/>
        <v>352.00000000000006</v>
      </c>
      <c r="HR24" s="142">
        <f t="shared" si="112"/>
        <v>352.00000000000006</v>
      </c>
      <c r="HS24" s="142">
        <f t="shared" si="112"/>
        <v>352.00000000000006</v>
      </c>
      <c r="HT24" s="142">
        <f t="shared" si="112"/>
        <v>352.00000000000006</v>
      </c>
      <c r="HU24" s="142">
        <f t="shared" si="112"/>
        <v>352.00000000000006</v>
      </c>
      <c r="HV24" s="142">
        <f t="shared" si="112"/>
        <v>352.00000000000006</v>
      </c>
      <c r="HW24" s="142">
        <f t="shared" si="112"/>
        <v>352.00000000000006</v>
      </c>
      <c r="HX24" s="142">
        <f t="shared" si="112"/>
        <v>352.00000000000006</v>
      </c>
      <c r="HY24" s="142">
        <f t="shared" si="112"/>
        <v>352.00000000000006</v>
      </c>
      <c r="HZ24" s="142">
        <f t="shared" si="112"/>
        <v>352.00000000000006</v>
      </c>
      <c r="IA24" s="142">
        <f t="shared" si="112"/>
        <v>352.00000000000006</v>
      </c>
      <c r="IB24" s="142">
        <f t="shared" si="112"/>
        <v>352.00000000000006</v>
      </c>
      <c r="IC24" s="142">
        <f t="shared" si="112"/>
        <v>352.00000000000006</v>
      </c>
      <c r="ID24" s="142">
        <f t="shared" si="112"/>
        <v>352.00000000000006</v>
      </c>
      <c r="IE24" s="142">
        <f t="shared" si="112"/>
        <v>352.00000000000006</v>
      </c>
      <c r="IF24" s="142">
        <f t="shared" si="112"/>
        <v>352.00000000000006</v>
      </c>
      <c r="IG24" s="142">
        <f t="shared" si="112"/>
        <v>352.00000000000006</v>
      </c>
      <c r="IH24" s="142">
        <f t="shared" si="112"/>
        <v>352.00000000000006</v>
      </c>
      <c r="II24" s="142">
        <f t="shared" si="112"/>
        <v>352.00000000000006</v>
      </c>
      <c r="IJ24" s="142">
        <f t="shared" si="112"/>
        <v>352.00000000000006</v>
      </c>
      <c r="IK24" s="142">
        <f t="shared" si="112"/>
        <v>352.00000000000006</v>
      </c>
      <c r="IL24" s="142">
        <f t="shared" si="112"/>
        <v>352.00000000000006</v>
      </c>
      <c r="IM24" s="142">
        <f t="shared" si="112"/>
        <v>352.00000000000006</v>
      </c>
      <c r="IN24" s="142">
        <f t="shared" si="112"/>
        <v>352.00000000000006</v>
      </c>
      <c r="IO24" s="142">
        <f t="shared" si="112"/>
        <v>352.00000000000006</v>
      </c>
      <c r="IP24" s="142">
        <f t="shared" si="112"/>
        <v>352.00000000000006</v>
      </c>
      <c r="IQ24" s="141">
        <f>IF(ISBLANK($A24),,IF($AN24="Não",0,(SUM($AO24:AO24)*$AH24)-SUM($HM24:HM24)-SUM($CW24:CW24)))</f>
        <v>0</v>
      </c>
      <c r="IR24" s="141">
        <f>IF(ISBLANK($A24),,IF($AN24="Não",0,(SUM($AO24:AP24)*$AH24)-SUM($HM24:HN24)-SUM($CW24:CX24)))</f>
        <v>0</v>
      </c>
      <c r="IS24" s="141">
        <f>IF(ISBLANK($A24),,IF($AN24="Não",0,(SUM($AO24:AQ24)*$AH24)-SUM($HM24:HO24)-SUM($CW24:CY24)))</f>
        <v>0</v>
      </c>
      <c r="IT24" s="141">
        <f>IF(ISBLANK($A24),,IF($AN24="Não",0,(SUM($AO24:AR24)*$AH24)-SUM($HM24:HP24)-SUM($CW24:CZ24)))</f>
        <v>0</v>
      </c>
      <c r="IU24" s="141">
        <f>IF(ISBLANK($A24),,IF($AN24="Não",0,(SUM($AO24:AS24)*$AH24)-SUM($HM24:HQ24)-SUM($CW24:DA24)))</f>
        <v>0</v>
      </c>
      <c r="IV24" s="141">
        <f>IF(ISBLANK($A24),,IF($AN24="Não",0,(SUM($AO24:AT24)*$AH24)-SUM($HM24:HR24)-SUM($CW24:DB24)))</f>
        <v>0</v>
      </c>
      <c r="IW24" s="141">
        <f>IF(ISBLANK($A24),,IF($AN24="Não",0,(SUM($AO24:AU24)*$AH24)-SUM($HM24:HS24)-SUM($CW24:DC24)))</f>
        <v>0</v>
      </c>
      <c r="IX24" s="141">
        <f>IF(ISBLANK($A24),,IF($AN24="Não",0,(SUM($AO24:AV24)*$AH24)-SUM($HM24:HT24)-SUM($CW24:DD24)))</f>
        <v>0</v>
      </c>
      <c r="IY24" s="141">
        <f>IF(ISBLANK($A24),,IF($AN24="Não",0,(SUM($AO24:AW24)*$AH24)-SUM($HM24:HU24)-SUM($CW24:DE24)))</f>
        <v>0</v>
      </c>
      <c r="IZ24" s="141">
        <f>IF(ISBLANK($A24),,IF($AN24="Não",0,(SUM($AO24:AX24)*$AH24)-SUM($HM24:HV24)-SUM($CW24:DF24)))</f>
        <v>0</v>
      </c>
      <c r="JA24" s="141">
        <f>IF(ISBLANK($A24),,IF($AN24="Não",0,(SUM($AO24:AY24)*$AH24)-SUM($HM24:HW24)-SUM($CW24:DG24)))</f>
        <v>0</v>
      </c>
      <c r="JB24" s="141">
        <f>IF(ISBLANK($A24),,IF($AN24="Não",0,(SUM($AO24:AZ24)*$AH24)-SUM($HM24:HX24)-SUM($CW24:DH24)))</f>
        <v>0</v>
      </c>
      <c r="JC24" s="141">
        <f>IF(ISBLANK($A24),,IF($AN24="Não",0,(SUM($AO24:BA24)*$AH24)-SUM($HM24:HY24)-SUM($CW24:DI24)))</f>
        <v>0</v>
      </c>
      <c r="JD24" s="141">
        <f>IF(ISBLANK($A24),,IF($AN24="Não",0,(SUM($AO24:BB24)*$AH24)-SUM($HM24:HZ24)-SUM($CW24:DJ24)))</f>
        <v>0</v>
      </c>
      <c r="JE24" s="141">
        <f>IF(ISBLANK($A24),,IF($AN24="Não",0,(SUM($AO24:BC24)*$AH24)-SUM($HM24:IA24)-SUM($CW24:DK24)))</f>
        <v>0</v>
      </c>
      <c r="JF24" s="141">
        <f>IF(ISBLANK($A24),,IF($AN24="Não",0,(SUM($AO24:BD24)*$AH24)-SUM($HM24:IB24)-SUM($CW24:DL24)))</f>
        <v>0</v>
      </c>
      <c r="JG24" s="141">
        <f>IF(ISBLANK($A24),,IF($AN24="Não",0,(SUM($AO24:BE24)*$AH24)-SUM($HM24:IC24)-SUM($CW24:DM24)))</f>
        <v>0</v>
      </c>
      <c r="JH24" s="141">
        <f>IF(ISBLANK($A24),,IF($AN24="Não",0,(SUM($AO24:BF24)*$AH24)-SUM($HM24:ID24)-SUM($CW24:DN24)))</f>
        <v>0</v>
      </c>
      <c r="JI24" s="141">
        <f>IF(ISBLANK($A24),,IF($AN24="Não",0,(SUM($AO24:BG24)*$AH24)-SUM($HM24:IE24)-SUM($CW24:DO24)))</f>
        <v>0</v>
      </c>
      <c r="JJ24" s="141">
        <f>IF(ISBLANK($A24),,IF($AN24="Não",0,(SUM($AO24:BH24)*$AH24)-SUM($HM24:IF24)-SUM($CW24:DP24)))</f>
        <v>0</v>
      </c>
      <c r="JK24" s="141">
        <f>IF(ISBLANK($A24),,IF($AN24="Não",0,(SUM($AO24:BI24)*$AH24)-SUM($HM24:IG24)-SUM($CW24:DQ24)))</f>
        <v>0</v>
      </c>
      <c r="JL24" s="141">
        <f>IF(ISBLANK($A24),,IF($AN24="Não",0,(SUM($AO24:BJ24)*$AH24)-SUM($HM24:IH24)-SUM($CW24:DR24)))</f>
        <v>0</v>
      </c>
      <c r="JM24" s="141">
        <f>IF(ISBLANK($A24),,IF($AN24="Não",0,(SUM($AO24:BK24)*$AH24)-SUM($HM24:II24)-SUM($CW24:DS24)))</f>
        <v>0</v>
      </c>
      <c r="JN24" s="141">
        <f>IF(ISBLANK($A24),,IF($AN24="Não",0,(SUM($AO24:BL24)*$AH24)-SUM($HM24:IJ24)-SUM($CW24:DT24)))</f>
        <v>0</v>
      </c>
      <c r="JO24" s="141">
        <f>IF(ISBLANK($A24),,IF($AN24="Não",0,(SUM($AO24:BM24)*$AH24)-SUM($HM24:IK24)-SUM($CW24:DU24)))</f>
        <v>0</v>
      </c>
      <c r="JP24" s="141">
        <f>IF(ISBLANK($A24),,IF($AN24="Não",0,(SUM($AO24:BN24)*$AH24)-SUM($HM24:IL24)-SUM($CW24:DV24)))</f>
        <v>0</v>
      </c>
      <c r="JQ24" s="141">
        <f>IF(ISBLANK($A24),,IF($AN24="Não",0,(SUM($AO24:BO24)*$AH24)-SUM($HM24:IM24)-SUM($CW24:DW24)))</f>
        <v>0</v>
      </c>
      <c r="JR24" s="141">
        <f>IF(ISBLANK($A24),,IF($AN24="Não",0,(SUM($AO24:BP24)*$AH24)-SUM($HM24:IN24)-SUM($CW24:DX24)))</f>
        <v>0</v>
      </c>
      <c r="JS24" s="141">
        <f>IF(ISBLANK($A24),,IF($AN24="Não",0,(SUM($AO24:BQ24)*$AH24)-SUM($HM24:IO24)-SUM($CW24:DY24)))</f>
        <v>0</v>
      </c>
      <c r="JT24" s="141">
        <f>IF(ISBLANK($A24),,IF($AN24="Não",0,(SUM($AO24:BR24)*$AH24)-SUM($HM24:IP24)-SUM($CW24:DZ24)))</f>
        <v>0</v>
      </c>
    </row>
    <row r="25" spans="1:280" ht="15.75" customHeight="1">
      <c r="A25" s="129" t="s">
        <v>357</v>
      </c>
      <c r="B25" s="129" t="s">
        <v>209</v>
      </c>
      <c r="C25" s="138" t="s">
        <v>79</v>
      </c>
      <c r="D25" s="139">
        <v>3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607">
        <f t="shared" si="0"/>
        <v>1760.0000000000002</v>
      </c>
      <c r="AI25" s="608">
        <f t="shared" si="1"/>
        <v>10</v>
      </c>
      <c r="AJ25" s="609">
        <f t="shared" si="2"/>
        <v>0</v>
      </c>
      <c r="AK25" s="610" t="str">
        <f t="shared" si="3"/>
        <v>Infraestrutura</v>
      </c>
      <c r="AL25" s="609">
        <f t="shared" si="4"/>
        <v>0.05</v>
      </c>
      <c r="AM25" s="611" t="str">
        <f t="shared" si="5"/>
        <v>Sim</v>
      </c>
      <c r="AN25" s="611" t="str">
        <f t="shared" si="6"/>
        <v>Não</v>
      </c>
      <c r="AO25" s="140">
        <f t="array" ref="AO25">IF(ISBLANK($A25),0,IF(OR(AO$5-$AI25&lt;=0,$AM25="Não"),D25,D25+INDEX($AO$6:$BR$176,ROW()-5,COLUMN()-40-$AI25)))*IF($B25="Operacional",IFERROR(VLOOKUP($C25,SN_UGC,28,0),0),1)</f>
        <v>3</v>
      </c>
      <c r="AP25" s="140">
        <f t="array" ref="AP25">IF(ISBLANK($A25),0,IF(OR(AP$5-$AI25&lt;=0,$AM25="Não"),E25,E25+INDEX($AO$6:$BR$176,ROW()-5,COLUMN()-40-$AI25)))*IF($B25="Operacional",IFERROR(VLOOKUP($C25,SN_UGC,28,0),0),1)</f>
        <v>0</v>
      </c>
      <c r="AQ25" s="140">
        <f t="array" ref="AQ25">IF(ISBLANK($A25),0,IF(OR(AQ$5-$AI25&lt;=0,$AM25="Não"),F25,F25+INDEX($AO$6:$BR$176,ROW()-5,COLUMN()-40-$AI25)))*IF($B25="Operacional",IFERROR(VLOOKUP($C25,SN_UGC,28,0),0),1)</f>
        <v>0</v>
      </c>
      <c r="AR25" s="140">
        <f t="array" ref="AR25">IF(ISBLANK($A25),0,IF(OR(AR$5-$AI25&lt;=0,$AM25="Não"),G25,G25+INDEX($AO$6:$BR$176,ROW()-5,COLUMN()-40-$AI25)))*IF($B25="Operacional",IFERROR(VLOOKUP($C25,SN_UGC,28,0),0),1)</f>
        <v>0</v>
      </c>
      <c r="AS25" s="140">
        <f t="array" ref="AS25">IF(ISBLANK($A25),0,IF(OR(AS$5-$AI25&lt;=0,$AM25="Não"),H25,H25+INDEX($AO$6:$BR$176,ROW()-5,COLUMN()-40-$AI25)))*IF($B25="Operacional",IFERROR(VLOOKUP($C25,SN_UGC,28,0),0),1)</f>
        <v>0</v>
      </c>
      <c r="AT25" s="140">
        <f t="array" ref="AT25">IF(ISBLANK($A25),0,IF(OR(AT$5-$AI25&lt;=0,$AM25="Não"),I25,I25+INDEX($AO$6:$BR$176,ROW()-5,COLUMN()-40-$AI25)))*IF($B25="Operacional",IFERROR(VLOOKUP($C25,SN_UGC,28,0),0),1)</f>
        <v>0</v>
      </c>
      <c r="AU25" s="140">
        <f t="array" ref="AU25">IF(ISBLANK($A25),0,IF(OR(AU$5-$AI25&lt;=0,$AM25="Não"),J25,J25+INDEX($AO$6:$BR$176,ROW()-5,COLUMN()-40-$AI25)))*IF($B25="Operacional",IFERROR(VLOOKUP($C25,SN_UGC,28,0),0),1)</f>
        <v>0</v>
      </c>
      <c r="AV25" s="140">
        <f t="array" ref="AV25">IF(ISBLANK($A25),0,IF(OR(AV$5-$AI25&lt;=0,$AM25="Não"),K25,K25+INDEX($AO$6:$BR$176,ROW()-5,COLUMN()-40-$AI25)))*IF($B25="Operacional",IFERROR(VLOOKUP($C25,SN_UGC,28,0),0),1)</f>
        <v>0</v>
      </c>
      <c r="AW25" s="140">
        <f t="array" ref="AW25">IF(ISBLANK($A25),0,IF(OR(AW$5-$AI25&lt;=0,$AM25="Não"),L25,L25+INDEX($AO$6:$BR$176,ROW()-5,COLUMN()-40-$AI25)))*IF($B25="Operacional",IFERROR(VLOOKUP($C25,SN_UGC,28,0),0),1)</f>
        <v>0</v>
      </c>
      <c r="AX25" s="140">
        <f t="array" ref="AX25">IF(ISBLANK($A25),0,IF(OR(AX$5-$AI25&lt;=0,$AM25="Não"),M25,M25+INDEX($AO$6:$BR$176,ROW()-5,COLUMN()-40-$AI25)))*IF($B25="Operacional",IFERROR(VLOOKUP($C25,SN_UGC,28,0),0),1)</f>
        <v>0</v>
      </c>
      <c r="AY25" s="140">
        <f t="array" ref="AY25">IF(ISBLANK($A25),0,IF(OR(AY$5-$AI25&lt;=0,$AM25="Não"),N25,N25+INDEX($AO$6:$BR$176,ROW()-5,COLUMN()-40-$AI25)))*IF($B25="Operacional",IFERROR(VLOOKUP($C25,SN_UGC,28,0),0),1)</f>
        <v>3</v>
      </c>
      <c r="AZ25" s="140">
        <f t="array" ref="AZ25">IF(ISBLANK($A25),0,IF(OR(AZ$5-$AI25&lt;=0,$AM25="Não"),O25,O25+INDEX($AO$6:$BR$176,ROW()-5,COLUMN()-40-$AI25)))*IF($B25="Operacional",IFERROR(VLOOKUP($C25,SN_UGC,28,0),0),1)</f>
        <v>0</v>
      </c>
      <c r="BA25" s="140">
        <f t="array" ref="BA25">IF(ISBLANK($A25),0,IF(OR(BA$5-$AI25&lt;=0,$AM25="Não"),P25,P25+INDEX($AO$6:$BR$176,ROW()-5,COLUMN()-40-$AI25)))*IF($B25="Operacional",IFERROR(VLOOKUP($C25,SN_UGC,28,0),0),1)</f>
        <v>0</v>
      </c>
      <c r="BB25" s="140">
        <f t="array" ref="BB25">IF(ISBLANK($A25),0,IF(OR(BB$5-$AI25&lt;=0,$AM25="Não"),Q25,Q25+INDEX($AO$6:$BR$176,ROW()-5,COLUMN()-40-$AI25)))*IF($B25="Operacional",IFERROR(VLOOKUP($C25,SN_UGC,28,0),0),1)</f>
        <v>0</v>
      </c>
      <c r="BC25" s="140">
        <f t="array" ref="BC25">IF(ISBLANK($A25),0,IF(OR(BC$5-$AI25&lt;=0,$AM25="Não"),R25,R25+INDEX($AO$6:$BR$176,ROW()-5,COLUMN()-40-$AI25)))*IF($B25="Operacional",IFERROR(VLOOKUP($C25,SN_UGC,28,0),0),1)</f>
        <v>0</v>
      </c>
      <c r="BD25" s="140">
        <f t="array" ref="BD25">IF(ISBLANK($A25),0,IF(OR(BD$5-$AI25&lt;=0,$AM25="Não"),S25,S25+INDEX($AO$6:$BR$176,ROW()-5,COLUMN()-40-$AI25)))*IF($B25="Operacional",IFERROR(VLOOKUP($C25,SN_UGC,28,0),0),1)</f>
        <v>0</v>
      </c>
      <c r="BE25" s="140">
        <f t="array" ref="BE25">IF(ISBLANK($A25),0,IF(OR(BE$5-$AI25&lt;=0,$AM25="Não"),T25,T25+INDEX($AO$6:$BR$176,ROW()-5,COLUMN()-40-$AI25)))*IF($B25="Operacional",IFERROR(VLOOKUP($C25,SN_UGC,28,0),0),1)</f>
        <v>0</v>
      </c>
      <c r="BF25" s="140">
        <f t="array" ref="BF25">IF(ISBLANK($A25),0,IF(OR(BF$5-$AI25&lt;=0,$AM25="Não"),U25,U25+INDEX($AO$6:$BR$176,ROW()-5,COLUMN()-40-$AI25)))*IF($B25="Operacional",IFERROR(VLOOKUP($C25,SN_UGC,28,0),0),1)</f>
        <v>0</v>
      </c>
      <c r="BG25" s="140">
        <f t="array" ref="BG25">IF(ISBLANK($A25),0,IF(OR(BG$5-$AI25&lt;=0,$AM25="Não"),V25,V25+INDEX($AO$6:$BR$176,ROW()-5,COLUMN()-40-$AI25)))*IF($B25="Operacional",IFERROR(VLOOKUP($C25,SN_UGC,28,0),0),1)</f>
        <v>0</v>
      </c>
      <c r="BH25" s="140">
        <f t="array" ref="BH25">IF(ISBLANK($A25),0,IF(OR(BH$5-$AI25&lt;=0,$AM25="Não"),W25,W25+INDEX($AO$6:$BR$176,ROW()-5,COLUMN()-40-$AI25)))*IF($B25="Operacional",IFERROR(VLOOKUP($C25,SN_UGC,28,0),0),1)</f>
        <v>0</v>
      </c>
      <c r="BI25" s="140">
        <f t="array" ref="BI25">IF(ISBLANK($A25),0,IF(OR(BI$5-$AI25&lt;=0,$AM25="Não"),X25,X25+INDEX($AO$6:$BR$176,ROW()-5,COLUMN()-40-$AI25)))*IF($B25="Operacional",IFERROR(VLOOKUP($C25,SN_UGC,28,0),0),1)</f>
        <v>3</v>
      </c>
      <c r="BJ25" s="140">
        <f t="array" ref="BJ25">IF(ISBLANK($A25),0,IF(OR(BJ$5-$AI25&lt;=0,$AM25="Não"),Y25,Y25+INDEX($AO$6:$BR$176,ROW()-5,COLUMN()-40-$AI25)))*IF($B25="Operacional",IFERROR(VLOOKUP($C25,SN_UGC,28,0),0),1)</f>
        <v>0</v>
      </c>
      <c r="BK25" s="140">
        <f t="array" ref="BK25">IF(ISBLANK($A25),0,IF(OR(BK$5-$AI25&lt;=0,$AM25="Não"),Z25,Z25+INDEX($AO$6:$BR$176,ROW()-5,COLUMN()-40-$AI25)))*IF($B25="Operacional",IFERROR(VLOOKUP($C25,SN_UGC,28,0),0),1)</f>
        <v>0</v>
      </c>
      <c r="BL25" s="140">
        <f t="array" ref="BL25">IF(ISBLANK($A25),0,IF(OR(BL$5-$AI25&lt;=0,$AM25="Não"),AA25,AA25+INDEX($AO$6:$BR$176,ROW()-5,COLUMN()-40-$AI25)))*IF($B25="Operacional",IFERROR(VLOOKUP($C25,SN_UGC,28,0),0),1)</f>
        <v>0</v>
      </c>
      <c r="BM25" s="140">
        <f t="array" ref="BM25">IF(ISBLANK($A25),0,IF(OR(BM$5-$AI25&lt;=0,$AM25="Não"),AB25,AB25+INDEX($AO$6:$BR$176,ROW()-5,COLUMN()-40-$AI25)))*IF($B25="Operacional",IFERROR(VLOOKUP($C25,SN_UGC,28,0),0),1)</f>
        <v>0</v>
      </c>
      <c r="BN25" s="140">
        <f t="array" ref="BN25">IF(ISBLANK($A25),0,IF(OR(BN$5-$AI25&lt;=0,$AM25="Não"),AC25,AC25+INDEX($AO$6:$BR$176,ROW()-5,COLUMN()-40-$AI25)))*IF($B25="Operacional",IFERROR(VLOOKUP($C25,SN_UGC,28,0),0),1)</f>
        <v>0</v>
      </c>
      <c r="BO25" s="140">
        <f t="array" ref="BO25">IF(ISBLANK($A25),0,IF(OR(BO$5-$AI25&lt;=0,$AM25="Não"),AD25,AD25+INDEX($AO$6:$BR$176,ROW()-5,COLUMN()-40-$AI25)))*IF($B25="Operacional",IFERROR(VLOOKUP($C25,SN_UGC,28,0),0),1)</f>
        <v>0</v>
      </c>
      <c r="BP25" s="140">
        <f t="array" ref="BP25">IF(ISBLANK($A25),0,IF(OR(BP$5-$AI25&lt;=0,$AM25="Não"),AE25,AE25+INDEX($AO$6:$BR$176,ROW()-5,COLUMN()-40-$AI25)))*IF($B25="Operacional",IFERROR(VLOOKUP($C25,SN_UGC,28,0),0),1)</f>
        <v>0</v>
      </c>
      <c r="BQ25" s="140">
        <f t="array" ref="BQ25">IF(ISBLANK($A25),0,IF(OR(BQ$5-$AI25&lt;=0,$AM25="Não"),AF25,AF25+INDEX($AO$6:$BR$176,ROW()-5,COLUMN()-40-$AI25)))*IF($B25="Operacional",IFERROR(VLOOKUP($C25,SN_UGC,28,0),0),1)</f>
        <v>0</v>
      </c>
      <c r="BR25" s="140">
        <f t="array" ref="BR25">IF(ISBLANK($A25),0,IF(OR(BR$5-$AI25&lt;=0,$AM25="Não"),AG25,AG25+INDEX($AO$6:$BR$176,ROW()-5,COLUMN()-40-$AI25)))*IF($B25="Operacional",IFERROR(VLOOKUP($C25,SN_UGC,28,0),0),1)</f>
        <v>0</v>
      </c>
      <c r="BS25" s="141">
        <f t="shared" ref="BS25:CV25" si="113">IF(ISBLANK($A25),0,$AH25*AO25)</f>
        <v>5280.0000000000009</v>
      </c>
      <c r="BT25" s="141">
        <f t="shared" si="113"/>
        <v>0</v>
      </c>
      <c r="BU25" s="141">
        <f t="shared" si="113"/>
        <v>0</v>
      </c>
      <c r="BV25" s="141">
        <f t="shared" si="113"/>
        <v>0</v>
      </c>
      <c r="BW25" s="141">
        <f t="shared" si="113"/>
        <v>0</v>
      </c>
      <c r="BX25" s="141">
        <f t="shared" si="113"/>
        <v>0</v>
      </c>
      <c r="BY25" s="141">
        <f t="shared" si="113"/>
        <v>0</v>
      </c>
      <c r="BZ25" s="141">
        <f t="shared" si="113"/>
        <v>0</v>
      </c>
      <c r="CA25" s="141">
        <f t="shared" si="113"/>
        <v>0</v>
      </c>
      <c r="CB25" s="141">
        <f t="shared" si="113"/>
        <v>0</v>
      </c>
      <c r="CC25" s="141">
        <f t="shared" si="113"/>
        <v>5280.0000000000009</v>
      </c>
      <c r="CD25" s="141">
        <f t="shared" si="113"/>
        <v>0</v>
      </c>
      <c r="CE25" s="141">
        <f t="shared" si="113"/>
        <v>0</v>
      </c>
      <c r="CF25" s="141">
        <f t="shared" si="113"/>
        <v>0</v>
      </c>
      <c r="CG25" s="141">
        <f t="shared" si="113"/>
        <v>0</v>
      </c>
      <c r="CH25" s="141">
        <f t="shared" si="113"/>
        <v>0</v>
      </c>
      <c r="CI25" s="141">
        <f t="shared" si="113"/>
        <v>0</v>
      </c>
      <c r="CJ25" s="141">
        <f t="shared" si="113"/>
        <v>0</v>
      </c>
      <c r="CK25" s="141">
        <f t="shared" si="113"/>
        <v>0</v>
      </c>
      <c r="CL25" s="141">
        <f t="shared" si="113"/>
        <v>0</v>
      </c>
      <c r="CM25" s="141">
        <f t="shared" si="113"/>
        <v>5280.0000000000009</v>
      </c>
      <c r="CN25" s="141">
        <f t="shared" si="113"/>
        <v>0</v>
      </c>
      <c r="CO25" s="141">
        <f t="shared" si="113"/>
        <v>0</v>
      </c>
      <c r="CP25" s="141">
        <f t="shared" si="113"/>
        <v>0</v>
      </c>
      <c r="CQ25" s="141">
        <f t="shared" si="113"/>
        <v>0</v>
      </c>
      <c r="CR25" s="141">
        <f t="shared" si="113"/>
        <v>0</v>
      </c>
      <c r="CS25" s="141">
        <f t="shared" si="113"/>
        <v>0</v>
      </c>
      <c r="CT25" s="141">
        <f t="shared" si="113"/>
        <v>0</v>
      </c>
      <c r="CU25" s="141">
        <f t="shared" si="113"/>
        <v>0</v>
      </c>
      <c r="CV25" s="141">
        <f t="shared" si="113"/>
        <v>0</v>
      </c>
      <c r="CW25" s="142">
        <f t="shared" ref="CW25:DZ25" si="114">EA25*$AH25*$AJ25</f>
        <v>0</v>
      </c>
      <c r="CX25" s="142">
        <f t="shared" si="114"/>
        <v>0</v>
      </c>
      <c r="CY25" s="142">
        <f t="shared" si="114"/>
        <v>0</v>
      </c>
      <c r="CZ25" s="142">
        <f t="shared" si="114"/>
        <v>0</v>
      </c>
      <c r="DA25" s="142">
        <f t="shared" si="114"/>
        <v>0</v>
      </c>
      <c r="DB25" s="142">
        <f t="shared" si="114"/>
        <v>0</v>
      </c>
      <c r="DC25" s="142">
        <f t="shared" si="114"/>
        <v>0</v>
      </c>
      <c r="DD25" s="142">
        <f t="shared" si="114"/>
        <v>0</v>
      </c>
      <c r="DE25" s="142">
        <f t="shared" si="114"/>
        <v>0</v>
      </c>
      <c r="DF25" s="142">
        <f t="shared" si="114"/>
        <v>0</v>
      </c>
      <c r="DG25" s="142">
        <f t="shared" si="114"/>
        <v>0</v>
      </c>
      <c r="DH25" s="142">
        <f t="shared" si="114"/>
        <v>0</v>
      </c>
      <c r="DI25" s="142">
        <f t="shared" si="114"/>
        <v>0</v>
      </c>
      <c r="DJ25" s="142">
        <f t="shared" si="114"/>
        <v>0</v>
      </c>
      <c r="DK25" s="142">
        <f t="shared" si="114"/>
        <v>0</v>
      </c>
      <c r="DL25" s="142">
        <f t="shared" si="114"/>
        <v>0</v>
      </c>
      <c r="DM25" s="142">
        <f t="shared" si="114"/>
        <v>0</v>
      </c>
      <c r="DN25" s="142">
        <f t="shared" si="114"/>
        <v>0</v>
      </c>
      <c r="DO25" s="142">
        <f t="shared" si="114"/>
        <v>0</v>
      </c>
      <c r="DP25" s="142">
        <f t="shared" si="114"/>
        <v>0</v>
      </c>
      <c r="DQ25" s="142">
        <f t="shared" si="114"/>
        <v>0</v>
      </c>
      <c r="DR25" s="142">
        <f t="shared" si="114"/>
        <v>0</v>
      </c>
      <c r="DS25" s="142">
        <f t="shared" si="114"/>
        <v>0</v>
      </c>
      <c r="DT25" s="142">
        <f t="shared" si="114"/>
        <v>0</v>
      </c>
      <c r="DU25" s="142">
        <f t="shared" si="114"/>
        <v>0</v>
      </c>
      <c r="DV25" s="142">
        <f t="shared" si="114"/>
        <v>0</v>
      </c>
      <c r="DW25" s="142">
        <f t="shared" si="114"/>
        <v>0</v>
      </c>
      <c r="DX25" s="142">
        <f t="shared" si="114"/>
        <v>0</v>
      </c>
      <c r="DY25" s="142">
        <f t="shared" si="114"/>
        <v>0</v>
      </c>
      <c r="DZ25" s="142">
        <f t="shared" si="114"/>
        <v>0</v>
      </c>
      <c r="EA25" s="143">
        <f t="shared" si="9"/>
        <v>0</v>
      </c>
      <c r="EB25" s="143">
        <f t="shared" si="10"/>
        <v>0</v>
      </c>
      <c r="EC25" s="143">
        <f t="shared" si="11"/>
        <v>0</v>
      </c>
      <c r="ED25" s="143">
        <f t="shared" si="12"/>
        <v>0</v>
      </c>
      <c r="EE25" s="143">
        <f t="shared" si="13"/>
        <v>0</v>
      </c>
      <c r="EF25" s="143">
        <f t="shared" si="14"/>
        <v>0</v>
      </c>
      <c r="EG25" s="143">
        <f t="shared" si="15"/>
        <v>0</v>
      </c>
      <c r="EH25" s="143">
        <f t="shared" si="16"/>
        <v>0</v>
      </c>
      <c r="EI25" s="143">
        <f t="shared" si="17"/>
        <v>0</v>
      </c>
      <c r="EJ25" s="143">
        <f t="shared" si="18"/>
        <v>0</v>
      </c>
      <c r="EK25" s="143">
        <f t="shared" si="19"/>
        <v>3</v>
      </c>
      <c r="EL25" s="143">
        <f t="shared" si="20"/>
        <v>0</v>
      </c>
      <c r="EM25" s="143">
        <f t="shared" si="21"/>
        <v>0</v>
      </c>
      <c r="EN25" s="143">
        <f t="shared" si="22"/>
        <v>0</v>
      </c>
      <c r="EO25" s="143">
        <f t="shared" si="23"/>
        <v>0</v>
      </c>
      <c r="EP25" s="143">
        <f t="shared" si="24"/>
        <v>0</v>
      </c>
      <c r="EQ25" s="143">
        <f t="shared" si="25"/>
        <v>0</v>
      </c>
      <c r="ER25" s="143">
        <f t="shared" si="26"/>
        <v>0</v>
      </c>
      <c r="ES25" s="143">
        <f t="shared" si="27"/>
        <v>0</v>
      </c>
      <c r="ET25" s="143">
        <f t="shared" si="28"/>
        <v>0</v>
      </c>
      <c r="EU25" s="143">
        <f t="shared" si="29"/>
        <v>3</v>
      </c>
      <c r="EV25" s="143">
        <f t="shared" si="30"/>
        <v>0</v>
      </c>
      <c r="EW25" s="143">
        <f t="shared" si="31"/>
        <v>0</v>
      </c>
      <c r="EX25" s="143">
        <f t="shared" si="32"/>
        <v>0</v>
      </c>
      <c r="EY25" s="143">
        <f t="shared" si="33"/>
        <v>0</v>
      </c>
      <c r="EZ25" s="143">
        <f t="shared" si="34"/>
        <v>0</v>
      </c>
      <c r="FA25" s="143">
        <f t="shared" si="35"/>
        <v>0</v>
      </c>
      <c r="FB25" s="143">
        <f t="shared" si="36"/>
        <v>0</v>
      </c>
      <c r="FC25" s="143">
        <f t="shared" si="37"/>
        <v>0</v>
      </c>
      <c r="FD25" s="143">
        <f t="shared" si="38"/>
        <v>0</v>
      </c>
      <c r="FE25" s="140">
        <f>SUM($D25:D25)*IF($B25="Operacional",IFERROR(VLOOKUP($C25,SN_UGC,28,0),0),1)</f>
        <v>3</v>
      </c>
      <c r="FF25" s="140">
        <f>SUM($D25:E25)*IF($B25="Operacional",IFERROR(VLOOKUP($C25,SN_UGC,28,0),0),1)</f>
        <v>3</v>
      </c>
      <c r="FG25" s="140">
        <f>SUM($D25:F25)*IF($B25="Operacional",IFERROR(VLOOKUP($C25,SN_UGC,28,0),0),1)</f>
        <v>3</v>
      </c>
      <c r="FH25" s="140">
        <f>SUM($D25:G25)*IF($B25="Operacional",IFERROR(VLOOKUP($C25,SN_UGC,28,0),0),1)</f>
        <v>3</v>
      </c>
      <c r="FI25" s="140">
        <f>SUM($D25:H25)*IF($B25="Operacional",IFERROR(VLOOKUP($C25,SN_UGC,28,0),0),1)</f>
        <v>3</v>
      </c>
      <c r="FJ25" s="140">
        <f>SUM($D25:I25)*IF($B25="Operacional",IFERROR(VLOOKUP($C25,SN_UGC,28,0),0),1)</f>
        <v>3</v>
      </c>
      <c r="FK25" s="140">
        <f>SUM($D25:J25)*IF($B25="Operacional",IFERROR(VLOOKUP($C25,SN_UGC,28,0),0),1)</f>
        <v>3</v>
      </c>
      <c r="FL25" s="140">
        <f>SUM($D25:K25)*IF($B25="Operacional",IFERROR(VLOOKUP($C25,SN_UGC,28,0),0),1)</f>
        <v>3</v>
      </c>
      <c r="FM25" s="140">
        <f>SUM($D25:L25)*IF($B25="Operacional",IFERROR(VLOOKUP($C25,SN_UGC,28,0),0),1)</f>
        <v>3</v>
      </c>
      <c r="FN25" s="140">
        <f>SUM($D25:M25)*IF($B25="Operacional",IFERROR(VLOOKUP($C25,SN_UGC,28,0),0),1)</f>
        <v>3</v>
      </c>
      <c r="FO25" s="140">
        <f>SUM($D25:N25)*IF($B25="Operacional",IFERROR(VLOOKUP($C25,SN_UGC,28,0),0),1)</f>
        <v>3</v>
      </c>
      <c r="FP25" s="140">
        <f>SUM($D25:O25)*IF($B25="Operacional",IFERROR(VLOOKUP($C25,SN_UGC,28,0),0),1)</f>
        <v>3</v>
      </c>
      <c r="FQ25" s="140">
        <f>SUM($D25:P25)*IF($B25="Operacional",IFERROR(VLOOKUP($C25,SN_UGC,28,0),0),1)</f>
        <v>3</v>
      </c>
      <c r="FR25" s="140">
        <f>SUM($D25:Q25)*IF($B25="Operacional",IFERROR(VLOOKUP($C25,SN_UGC,28,0),0),1)</f>
        <v>3</v>
      </c>
      <c r="FS25" s="140">
        <f>SUM($D25:R25)*IF($B25="Operacional",IFERROR(VLOOKUP($C25,SN_UGC,28,0),0),1)</f>
        <v>3</v>
      </c>
      <c r="FT25" s="140">
        <f>SUM($D25:S25)*IF($B25="Operacional",IFERROR(VLOOKUP($C25,SN_UGC,28,0),0),1)</f>
        <v>3</v>
      </c>
      <c r="FU25" s="140">
        <f>SUM($D25:T25)*IF($B25="Operacional",IFERROR(VLOOKUP($C25,SN_UGC,28,0),0),1)</f>
        <v>3</v>
      </c>
      <c r="FV25" s="140">
        <f>SUM($D25:U25)*IF($B25="Operacional",IFERROR(VLOOKUP($C25,SN_UGC,28,0),0),1)</f>
        <v>3</v>
      </c>
      <c r="FW25" s="140">
        <f>SUM($D25:V25)*IF($B25="Operacional",IFERROR(VLOOKUP($C25,SN_UGC,28,0),0),1)</f>
        <v>3</v>
      </c>
      <c r="FX25" s="140">
        <f>SUM($D25:W25)*IF($B25="Operacional",IFERROR(VLOOKUP($C25,SN_UGC,28,0),0),1)</f>
        <v>3</v>
      </c>
      <c r="FY25" s="140">
        <f>SUM($D25:X25)*IF($B25="Operacional",IFERROR(VLOOKUP($C25,SN_UGC,28,0),0),1)</f>
        <v>3</v>
      </c>
      <c r="FZ25" s="140">
        <f>SUM($D25:Y25)*IF($B25="Operacional",IFERROR(VLOOKUP($C25,SN_UGC,28,0),0),1)</f>
        <v>3</v>
      </c>
      <c r="GA25" s="140">
        <f>SUM($D25:Z25)*IF($B25="Operacional",IFERROR(VLOOKUP($C25,SN_UGC,28,0),0),1)</f>
        <v>3</v>
      </c>
      <c r="GB25" s="140">
        <f>SUM($D25:AA25)*IF($B25="Operacional",IFERROR(VLOOKUP($C25,SN_UGC,28,0),0),1)</f>
        <v>3</v>
      </c>
      <c r="GC25" s="140">
        <f>SUM($D25:AB25)*IF($B25="Operacional",IFERROR(VLOOKUP($C25,SN_UGC,28,0),0),1)</f>
        <v>3</v>
      </c>
      <c r="GD25" s="140">
        <f>SUM($D25:AC25)*IF($B25="Operacional",IFERROR(VLOOKUP($C25,SN_UGC,28,0),0),1)</f>
        <v>3</v>
      </c>
      <c r="GE25" s="140">
        <f>SUM($D25:AD25)*IF($B25="Operacional",IFERROR(VLOOKUP($C25,SN_UGC,28,0),0),1)</f>
        <v>3</v>
      </c>
      <c r="GF25" s="140">
        <f>SUM($D25:AE25)*IF($B25="Operacional",IFERROR(VLOOKUP($C25,SN_UGC,28,0),0),1)</f>
        <v>3</v>
      </c>
      <c r="GG25" s="140">
        <f>SUM($D25:AF25)*IF($B25="Operacional",IFERROR(VLOOKUP($C25,SN_UGC,28,0),0),1)</f>
        <v>3</v>
      </c>
      <c r="GH25" s="140">
        <f>SUM($D25:AG25)*IF($B25="Operacional",IFERROR(VLOOKUP($C25,SN_UGC,28,0),0),1)</f>
        <v>3</v>
      </c>
      <c r="GI25" s="141">
        <f t="shared" ref="GI25:HL25" si="115">FE25*$AH25*$AL25</f>
        <v>264.00000000000006</v>
      </c>
      <c r="GJ25" s="141">
        <f t="shared" si="115"/>
        <v>264.00000000000006</v>
      </c>
      <c r="GK25" s="141">
        <f t="shared" si="115"/>
        <v>264.00000000000006</v>
      </c>
      <c r="GL25" s="141">
        <f t="shared" si="115"/>
        <v>264.00000000000006</v>
      </c>
      <c r="GM25" s="141">
        <f t="shared" si="115"/>
        <v>264.00000000000006</v>
      </c>
      <c r="GN25" s="141">
        <f t="shared" si="115"/>
        <v>264.00000000000006</v>
      </c>
      <c r="GO25" s="141">
        <f t="shared" si="115"/>
        <v>264.00000000000006</v>
      </c>
      <c r="GP25" s="141">
        <f t="shared" si="115"/>
        <v>264.00000000000006</v>
      </c>
      <c r="GQ25" s="141">
        <f t="shared" si="115"/>
        <v>264.00000000000006</v>
      </c>
      <c r="GR25" s="141">
        <f t="shared" si="115"/>
        <v>264.00000000000006</v>
      </c>
      <c r="GS25" s="141">
        <f t="shared" si="115"/>
        <v>264.00000000000006</v>
      </c>
      <c r="GT25" s="141">
        <f t="shared" si="115"/>
        <v>264.00000000000006</v>
      </c>
      <c r="GU25" s="141">
        <f t="shared" si="115"/>
        <v>264.00000000000006</v>
      </c>
      <c r="GV25" s="141">
        <f t="shared" si="115"/>
        <v>264.00000000000006</v>
      </c>
      <c r="GW25" s="141">
        <f t="shared" si="115"/>
        <v>264.00000000000006</v>
      </c>
      <c r="GX25" s="141">
        <f t="shared" si="115"/>
        <v>264.00000000000006</v>
      </c>
      <c r="GY25" s="141">
        <f t="shared" si="115"/>
        <v>264.00000000000006</v>
      </c>
      <c r="GZ25" s="141">
        <f t="shared" si="115"/>
        <v>264.00000000000006</v>
      </c>
      <c r="HA25" s="141">
        <f t="shared" si="115"/>
        <v>264.00000000000006</v>
      </c>
      <c r="HB25" s="141">
        <f t="shared" si="115"/>
        <v>264.00000000000006</v>
      </c>
      <c r="HC25" s="141">
        <f t="shared" si="115"/>
        <v>264.00000000000006</v>
      </c>
      <c r="HD25" s="141">
        <f t="shared" si="115"/>
        <v>264.00000000000006</v>
      </c>
      <c r="HE25" s="141">
        <f t="shared" si="115"/>
        <v>264.00000000000006</v>
      </c>
      <c r="HF25" s="141">
        <f t="shared" si="115"/>
        <v>264.00000000000006</v>
      </c>
      <c r="HG25" s="141">
        <f t="shared" si="115"/>
        <v>264.00000000000006</v>
      </c>
      <c r="HH25" s="141">
        <f t="shared" si="115"/>
        <v>264.00000000000006</v>
      </c>
      <c r="HI25" s="141">
        <f t="shared" si="115"/>
        <v>264.00000000000006</v>
      </c>
      <c r="HJ25" s="141">
        <f t="shared" si="115"/>
        <v>264.00000000000006</v>
      </c>
      <c r="HK25" s="141">
        <f t="shared" si="115"/>
        <v>264.00000000000006</v>
      </c>
      <c r="HL25" s="141">
        <f t="shared" si="115"/>
        <v>264.00000000000006</v>
      </c>
      <c r="HM25" s="142">
        <f t="shared" ref="HM25:IP25" si="116">IF(ISBLANK($A25),,FE25*($AH25-($AH25*$AJ25))/$AI25)</f>
        <v>528.00000000000011</v>
      </c>
      <c r="HN25" s="142">
        <f t="shared" si="116"/>
        <v>528.00000000000011</v>
      </c>
      <c r="HO25" s="142">
        <f t="shared" si="116"/>
        <v>528.00000000000011</v>
      </c>
      <c r="HP25" s="142">
        <f t="shared" si="116"/>
        <v>528.00000000000011</v>
      </c>
      <c r="HQ25" s="142">
        <f t="shared" si="116"/>
        <v>528.00000000000011</v>
      </c>
      <c r="HR25" s="142">
        <f t="shared" si="116"/>
        <v>528.00000000000011</v>
      </c>
      <c r="HS25" s="142">
        <f t="shared" si="116"/>
        <v>528.00000000000011</v>
      </c>
      <c r="HT25" s="142">
        <f t="shared" si="116"/>
        <v>528.00000000000011</v>
      </c>
      <c r="HU25" s="142">
        <f t="shared" si="116"/>
        <v>528.00000000000011</v>
      </c>
      <c r="HV25" s="142">
        <f t="shared" si="116"/>
        <v>528.00000000000011</v>
      </c>
      <c r="HW25" s="142">
        <f t="shared" si="116"/>
        <v>528.00000000000011</v>
      </c>
      <c r="HX25" s="142">
        <f t="shared" si="116"/>
        <v>528.00000000000011</v>
      </c>
      <c r="HY25" s="142">
        <f t="shared" si="116"/>
        <v>528.00000000000011</v>
      </c>
      <c r="HZ25" s="142">
        <f t="shared" si="116"/>
        <v>528.00000000000011</v>
      </c>
      <c r="IA25" s="142">
        <f t="shared" si="116"/>
        <v>528.00000000000011</v>
      </c>
      <c r="IB25" s="142">
        <f t="shared" si="116"/>
        <v>528.00000000000011</v>
      </c>
      <c r="IC25" s="142">
        <f t="shared" si="116"/>
        <v>528.00000000000011</v>
      </c>
      <c r="ID25" s="142">
        <f t="shared" si="116"/>
        <v>528.00000000000011</v>
      </c>
      <c r="IE25" s="142">
        <f t="shared" si="116"/>
        <v>528.00000000000011</v>
      </c>
      <c r="IF25" s="142">
        <f t="shared" si="116"/>
        <v>528.00000000000011</v>
      </c>
      <c r="IG25" s="142">
        <f t="shared" si="116"/>
        <v>528.00000000000011</v>
      </c>
      <c r="IH25" s="142">
        <f t="shared" si="116"/>
        <v>528.00000000000011</v>
      </c>
      <c r="II25" s="142">
        <f t="shared" si="116"/>
        <v>528.00000000000011</v>
      </c>
      <c r="IJ25" s="142">
        <f t="shared" si="116"/>
        <v>528.00000000000011</v>
      </c>
      <c r="IK25" s="142">
        <f t="shared" si="116"/>
        <v>528.00000000000011</v>
      </c>
      <c r="IL25" s="142">
        <f t="shared" si="116"/>
        <v>528.00000000000011</v>
      </c>
      <c r="IM25" s="142">
        <f t="shared" si="116"/>
        <v>528.00000000000011</v>
      </c>
      <c r="IN25" s="142">
        <f t="shared" si="116"/>
        <v>528.00000000000011</v>
      </c>
      <c r="IO25" s="142">
        <f t="shared" si="116"/>
        <v>528.00000000000011</v>
      </c>
      <c r="IP25" s="142">
        <f t="shared" si="116"/>
        <v>528.00000000000011</v>
      </c>
      <c r="IQ25" s="141">
        <f>IF(ISBLANK($A25),,IF($AN25="Não",0,(SUM($AO25:AO25)*$AH25)-SUM($HM25:HM25)-SUM($CW25:CW25)))</f>
        <v>0</v>
      </c>
      <c r="IR25" s="141">
        <f>IF(ISBLANK($A25),,IF($AN25="Não",0,(SUM($AO25:AP25)*$AH25)-SUM($HM25:HN25)-SUM($CW25:CX25)))</f>
        <v>0</v>
      </c>
      <c r="IS25" s="141">
        <f>IF(ISBLANK($A25),,IF($AN25="Não",0,(SUM($AO25:AQ25)*$AH25)-SUM($HM25:HO25)-SUM($CW25:CY25)))</f>
        <v>0</v>
      </c>
      <c r="IT25" s="141">
        <f>IF(ISBLANK($A25),,IF($AN25="Não",0,(SUM($AO25:AR25)*$AH25)-SUM($HM25:HP25)-SUM($CW25:CZ25)))</f>
        <v>0</v>
      </c>
      <c r="IU25" s="141">
        <f>IF(ISBLANK($A25),,IF($AN25="Não",0,(SUM($AO25:AS25)*$AH25)-SUM($HM25:HQ25)-SUM($CW25:DA25)))</f>
        <v>0</v>
      </c>
      <c r="IV25" s="141">
        <f>IF(ISBLANK($A25),,IF($AN25="Não",0,(SUM($AO25:AT25)*$AH25)-SUM($HM25:HR25)-SUM($CW25:DB25)))</f>
        <v>0</v>
      </c>
      <c r="IW25" s="141">
        <f>IF(ISBLANK($A25),,IF($AN25="Não",0,(SUM($AO25:AU25)*$AH25)-SUM($HM25:HS25)-SUM($CW25:DC25)))</f>
        <v>0</v>
      </c>
      <c r="IX25" s="141">
        <f>IF(ISBLANK($A25),,IF($AN25="Não",0,(SUM($AO25:AV25)*$AH25)-SUM($HM25:HT25)-SUM($CW25:DD25)))</f>
        <v>0</v>
      </c>
      <c r="IY25" s="141">
        <f>IF(ISBLANK($A25),,IF($AN25="Não",0,(SUM($AO25:AW25)*$AH25)-SUM($HM25:HU25)-SUM($CW25:DE25)))</f>
        <v>0</v>
      </c>
      <c r="IZ25" s="141">
        <f>IF(ISBLANK($A25),,IF($AN25="Não",0,(SUM($AO25:AX25)*$AH25)-SUM($HM25:HV25)-SUM($CW25:DF25)))</f>
        <v>0</v>
      </c>
      <c r="JA25" s="141">
        <f>IF(ISBLANK($A25),,IF($AN25="Não",0,(SUM($AO25:AY25)*$AH25)-SUM($HM25:HW25)-SUM($CW25:DG25)))</f>
        <v>0</v>
      </c>
      <c r="JB25" s="141">
        <f>IF(ISBLANK($A25),,IF($AN25="Não",0,(SUM($AO25:AZ25)*$AH25)-SUM($HM25:HX25)-SUM($CW25:DH25)))</f>
        <v>0</v>
      </c>
      <c r="JC25" s="141">
        <f>IF(ISBLANK($A25),,IF($AN25="Não",0,(SUM($AO25:BA25)*$AH25)-SUM($HM25:HY25)-SUM($CW25:DI25)))</f>
        <v>0</v>
      </c>
      <c r="JD25" s="141">
        <f>IF(ISBLANK($A25),,IF($AN25="Não",0,(SUM($AO25:BB25)*$AH25)-SUM($HM25:HZ25)-SUM($CW25:DJ25)))</f>
        <v>0</v>
      </c>
      <c r="JE25" s="141">
        <f>IF(ISBLANK($A25),,IF($AN25="Não",0,(SUM($AO25:BC25)*$AH25)-SUM($HM25:IA25)-SUM($CW25:DK25)))</f>
        <v>0</v>
      </c>
      <c r="JF25" s="141">
        <f>IF(ISBLANK($A25),,IF($AN25="Não",0,(SUM($AO25:BD25)*$AH25)-SUM($HM25:IB25)-SUM($CW25:DL25)))</f>
        <v>0</v>
      </c>
      <c r="JG25" s="141">
        <f>IF(ISBLANK($A25),,IF($AN25="Não",0,(SUM($AO25:BE25)*$AH25)-SUM($HM25:IC25)-SUM($CW25:DM25)))</f>
        <v>0</v>
      </c>
      <c r="JH25" s="141">
        <f>IF(ISBLANK($A25),,IF($AN25="Não",0,(SUM($AO25:BF25)*$AH25)-SUM($HM25:ID25)-SUM($CW25:DN25)))</f>
        <v>0</v>
      </c>
      <c r="JI25" s="141">
        <f>IF(ISBLANK($A25),,IF($AN25="Não",0,(SUM($AO25:BG25)*$AH25)-SUM($HM25:IE25)-SUM($CW25:DO25)))</f>
        <v>0</v>
      </c>
      <c r="JJ25" s="141">
        <f>IF(ISBLANK($A25),,IF($AN25="Não",0,(SUM($AO25:BH25)*$AH25)-SUM($HM25:IF25)-SUM($CW25:DP25)))</f>
        <v>0</v>
      </c>
      <c r="JK25" s="141">
        <f>IF(ISBLANK($A25),,IF($AN25="Não",0,(SUM($AO25:BI25)*$AH25)-SUM($HM25:IG25)-SUM($CW25:DQ25)))</f>
        <v>0</v>
      </c>
      <c r="JL25" s="141">
        <f>IF(ISBLANK($A25),,IF($AN25="Não",0,(SUM($AO25:BJ25)*$AH25)-SUM($HM25:IH25)-SUM($CW25:DR25)))</f>
        <v>0</v>
      </c>
      <c r="JM25" s="141">
        <f>IF(ISBLANK($A25),,IF($AN25="Não",0,(SUM($AO25:BK25)*$AH25)-SUM($HM25:II25)-SUM($CW25:DS25)))</f>
        <v>0</v>
      </c>
      <c r="JN25" s="141">
        <f>IF(ISBLANK($A25),,IF($AN25="Não",0,(SUM($AO25:BL25)*$AH25)-SUM($HM25:IJ25)-SUM($CW25:DT25)))</f>
        <v>0</v>
      </c>
      <c r="JO25" s="141">
        <f>IF(ISBLANK($A25),,IF($AN25="Não",0,(SUM($AO25:BM25)*$AH25)-SUM($HM25:IK25)-SUM($CW25:DU25)))</f>
        <v>0</v>
      </c>
      <c r="JP25" s="141">
        <f>IF(ISBLANK($A25),,IF($AN25="Não",0,(SUM($AO25:BN25)*$AH25)-SUM($HM25:IL25)-SUM($CW25:DV25)))</f>
        <v>0</v>
      </c>
      <c r="JQ25" s="141">
        <f>IF(ISBLANK($A25),,IF($AN25="Não",0,(SUM($AO25:BO25)*$AH25)-SUM($HM25:IM25)-SUM($CW25:DW25)))</f>
        <v>0</v>
      </c>
      <c r="JR25" s="141">
        <f>IF(ISBLANK($A25),,IF($AN25="Não",0,(SUM($AO25:BP25)*$AH25)-SUM($HM25:IN25)-SUM($CW25:DX25)))</f>
        <v>0</v>
      </c>
      <c r="JS25" s="141">
        <f>IF(ISBLANK($A25),,IF($AN25="Não",0,(SUM($AO25:BQ25)*$AH25)-SUM($HM25:IO25)-SUM($CW25:DY25)))</f>
        <v>0</v>
      </c>
      <c r="JT25" s="141">
        <f>IF(ISBLANK($A25),,IF($AN25="Não",0,(SUM($AO25:BR25)*$AH25)-SUM($HM25:IP25)-SUM($CW25:DZ25)))</f>
        <v>0</v>
      </c>
    </row>
    <row r="26" spans="1:280" ht="15.75" customHeight="1">
      <c r="A26" s="129" t="s">
        <v>357</v>
      </c>
      <c r="B26" s="129" t="s">
        <v>209</v>
      </c>
      <c r="C26" s="138" t="s">
        <v>79</v>
      </c>
      <c r="D26" s="139">
        <v>2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607">
        <f t="shared" si="0"/>
        <v>1760.0000000000002</v>
      </c>
      <c r="AI26" s="608">
        <f t="shared" si="1"/>
        <v>10</v>
      </c>
      <c r="AJ26" s="609">
        <f t="shared" si="2"/>
        <v>0</v>
      </c>
      <c r="AK26" s="610" t="str">
        <f t="shared" si="3"/>
        <v>Infraestrutura</v>
      </c>
      <c r="AL26" s="609">
        <f t="shared" si="4"/>
        <v>0.05</v>
      </c>
      <c r="AM26" s="611" t="str">
        <f t="shared" si="5"/>
        <v>Sim</v>
      </c>
      <c r="AN26" s="611" t="str">
        <f t="shared" si="6"/>
        <v>Não</v>
      </c>
      <c r="AO26" s="140">
        <f t="array" ref="AO26">IF(ISBLANK($A26),0,IF(OR(AO$5-$AI26&lt;=0,$AM26="Não"),D26,D26+INDEX($AO$6:$BR$176,ROW()-5,COLUMN()-40-$AI26)))*IF($B26="Operacional",IFERROR(VLOOKUP($C26,SN_UGC,28,0),0),1)</f>
        <v>2</v>
      </c>
      <c r="AP26" s="140">
        <f t="array" ref="AP26">IF(ISBLANK($A26),0,IF(OR(AP$5-$AI26&lt;=0,$AM26="Não"),E26,E26+INDEX($AO$6:$BR$176,ROW()-5,COLUMN()-40-$AI26)))*IF($B26="Operacional",IFERROR(VLOOKUP($C26,SN_UGC,28,0),0),1)</f>
        <v>0</v>
      </c>
      <c r="AQ26" s="140">
        <f t="array" ref="AQ26">IF(ISBLANK($A26),0,IF(OR(AQ$5-$AI26&lt;=0,$AM26="Não"),F26,F26+INDEX($AO$6:$BR$176,ROW()-5,COLUMN()-40-$AI26)))*IF($B26="Operacional",IFERROR(VLOOKUP($C26,SN_UGC,28,0),0),1)</f>
        <v>0</v>
      </c>
      <c r="AR26" s="140">
        <f t="array" ref="AR26">IF(ISBLANK($A26),0,IF(OR(AR$5-$AI26&lt;=0,$AM26="Não"),G26,G26+INDEX($AO$6:$BR$176,ROW()-5,COLUMN()-40-$AI26)))*IF($B26="Operacional",IFERROR(VLOOKUP($C26,SN_UGC,28,0),0),1)</f>
        <v>0</v>
      </c>
      <c r="AS26" s="140">
        <f t="array" ref="AS26">IF(ISBLANK($A26),0,IF(OR(AS$5-$AI26&lt;=0,$AM26="Não"),H26,H26+INDEX($AO$6:$BR$176,ROW()-5,COLUMN()-40-$AI26)))*IF($B26="Operacional",IFERROR(VLOOKUP($C26,SN_UGC,28,0),0),1)</f>
        <v>0</v>
      </c>
      <c r="AT26" s="140">
        <f t="array" ref="AT26">IF(ISBLANK($A26),0,IF(OR(AT$5-$AI26&lt;=0,$AM26="Não"),I26,I26+INDEX($AO$6:$BR$176,ROW()-5,COLUMN()-40-$AI26)))*IF($B26="Operacional",IFERROR(VLOOKUP($C26,SN_UGC,28,0),0),1)</f>
        <v>0</v>
      </c>
      <c r="AU26" s="140">
        <f t="array" ref="AU26">IF(ISBLANK($A26),0,IF(OR(AU$5-$AI26&lt;=0,$AM26="Não"),J26,J26+INDEX($AO$6:$BR$176,ROW()-5,COLUMN()-40-$AI26)))*IF($B26="Operacional",IFERROR(VLOOKUP($C26,SN_UGC,28,0),0),1)</f>
        <v>0</v>
      </c>
      <c r="AV26" s="140">
        <f t="array" ref="AV26">IF(ISBLANK($A26),0,IF(OR(AV$5-$AI26&lt;=0,$AM26="Não"),K26,K26+INDEX($AO$6:$BR$176,ROW()-5,COLUMN()-40-$AI26)))*IF($B26="Operacional",IFERROR(VLOOKUP($C26,SN_UGC,28,0),0),1)</f>
        <v>0</v>
      </c>
      <c r="AW26" s="140">
        <f t="array" ref="AW26">IF(ISBLANK($A26),0,IF(OR(AW$5-$AI26&lt;=0,$AM26="Não"),L26,L26+INDEX($AO$6:$BR$176,ROW()-5,COLUMN()-40-$AI26)))*IF($B26="Operacional",IFERROR(VLOOKUP($C26,SN_UGC,28,0),0),1)</f>
        <v>0</v>
      </c>
      <c r="AX26" s="140">
        <f t="array" ref="AX26">IF(ISBLANK($A26),0,IF(OR(AX$5-$AI26&lt;=0,$AM26="Não"),M26,M26+INDEX($AO$6:$BR$176,ROW()-5,COLUMN()-40-$AI26)))*IF($B26="Operacional",IFERROR(VLOOKUP($C26,SN_UGC,28,0),0),1)</f>
        <v>0</v>
      </c>
      <c r="AY26" s="140">
        <f t="array" ref="AY26">IF(ISBLANK($A26),0,IF(OR(AY$5-$AI26&lt;=0,$AM26="Não"),N26,N26+INDEX($AO$6:$BR$176,ROW()-5,COLUMN()-40-$AI26)))*IF($B26="Operacional",IFERROR(VLOOKUP($C26,SN_UGC,28,0),0),1)</f>
        <v>2</v>
      </c>
      <c r="AZ26" s="140">
        <f t="array" ref="AZ26">IF(ISBLANK($A26),0,IF(OR(AZ$5-$AI26&lt;=0,$AM26="Não"),O26,O26+INDEX($AO$6:$BR$176,ROW()-5,COLUMN()-40-$AI26)))*IF($B26="Operacional",IFERROR(VLOOKUP($C26,SN_UGC,28,0),0),1)</f>
        <v>0</v>
      </c>
      <c r="BA26" s="140">
        <f t="array" ref="BA26">IF(ISBLANK($A26),0,IF(OR(BA$5-$AI26&lt;=0,$AM26="Não"),P26,P26+INDEX($AO$6:$BR$176,ROW()-5,COLUMN()-40-$AI26)))*IF($B26="Operacional",IFERROR(VLOOKUP($C26,SN_UGC,28,0),0),1)</f>
        <v>0</v>
      </c>
      <c r="BB26" s="140">
        <f t="array" ref="BB26">IF(ISBLANK($A26),0,IF(OR(BB$5-$AI26&lt;=0,$AM26="Não"),Q26,Q26+INDEX($AO$6:$BR$176,ROW()-5,COLUMN()-40-$AI26)))*IF($B26="Operacional",IFERROR(VLOOKUP($C26,SN_UGC,28,0),0),1)</f>
        <v>0</v>
      </c>
      <c r="BC26" s="140">
        <f t="array" ref="BC26">IF(ISBLANK($A26),0,IF(OR(BC$5-$AI26&lt;=0,$AM26="Não"),R26,R26+INDEX($AO$6:$BR$176,ROW()-5,COLUMN()-40-$AI26)))*IF($B26="Operacional",IFERROR(VLOOKUP($C26,SN_UGC,28,0),0),1)</f>
        <v>0</v>
      </c>
      <c r="BD26" s="140">
        <f t="array" ref="BD26">IF(ISBLANK($A26),0,IF(OR(BD$5-$AI26&lt;=0,$AM26="Não"),S26,S26+INDEX($AO$6:$BR$176,ROW()-5,COLUMN()-40-$AI26)))*IF($B26="Operacional",IFERROR(VLOOKUP($C26,SN_UGC,28,0),0),1)</f>
        <v>0</v>
      </c>
      <c r="BE26" s="140">
        <f t="array" ref="BE26">IF(ISBLANK($A26),0,IF(OR(BE$5-$AI26&lt;=0,$AM26="Não"),T26,T26+INDEX($AO$6:$BR$176,ROW()-5,COLUMN()-40-$AI26)))*IF($B26="Operacional",IFERROR(VLOOKUP($C26,SN_UGC,28,0),0),1)</f>
        <v>0</v>
      </c>
      <c r="BF26" s="140">
        <f t="array" ref="BF26">IF(ISBLANK($A26),0,IF(OR(BF$5-$AI26&lt;=0,$AM26="Não"),U26,U26+INDEX($AO$6:$BR$176,ROW()-5,COLUMN()-40-$AI26)))*IF($B26="Operacional",IFERROR(VLOOKUP($C26,SN_UGC,28,0),0),1)</f>
        <v>0</v>
      </c>
      <c r="BG26" s="140">
        <f t="array" ref="BG26">IF(ISBLANK($A26),0,IF(OR(BG$5-$AI26&lt;=0,$AM26="Não"),V26,V26+INDEX($AO$6:$BR$176,ROW()-5,COLUMN()-40-$AI26)))*IF($B26="Operacional",IFERROR(VLOOKUP($C26,SN_UGC,28,0),0),1)</f>
        <v>0</v>
      </c>
      <c r="BH26" s="140">
        <f t="array" ref="BH26">IF(ISBLANK($A26),0,IF(OR(BH$5-$AI26&lt;=0,$AM26="Não"),W26,W26+INDEX($AO$6:$BR$176,ROW()-5,COLUMN()-40-$AI26)))*IF($B26="Operacional",IFERROR(VLOOKUP($C26,SN_UGC,28,0),0),1)</f>
        <v>0</v>
      </c>
      <c r="BI26" s="140">
        <f t="array" ref="BI26">IF(ISBLANK($A26),0,IF(OR(BI$5-$AI26&lt;=0,$AM26="Não"),X26,X26+INDEX($AO$6:$BR$176,ROW()-5,COLUMN()-40-$AI26)))*IF($B26="Operacional",IFERROR(VLOOKUP($C26,SN_UGC,28,0),0),1)</f>
        <v>2</v>
      </c>
      <c r="BJ26" s="140">
        <f t="array" ref="BJ26">IF(ISBLANK($A26),0,IF(OR(BJ$5-$AI26&lt;=0,$AM26="Não"),Y26,Y26+INDEX($AO$6:$BR$176,ROW()-5,COLUMN()-40-$AI26)))*IF($B26="Operacional",IFERROR(VLOOKUP($C26,SN_UGC,28,0),0),1)</f>
        <v>0</v>
      </c>
      <c r="BK26" s="140">
        <f t="array" ref="BK26">IF(ISBLANK($A26),0,IF(OR(BK$5-$AI26&lt;=0,$AM26="Não"),Z26,Z26+INDEX($AO$6:$BR$176,ROW()-5,COLUMN()-40-$AI26)))*IF($B26="Operacional",IFERROR(VLOOKUP($C26,SN_UGC,28,0),0),1)</f>
        <v>0</v>
      </c>
      <c r="BL26" s="140">
        <f t="array" ref="BL26">IF(ISBLANK($A26),0,IF(OR(BL$5-$AI26&lt;=0,$AM26="Não"),AA26,AA26+INDEX($AO$6:$BR$176,ROW()-5,COLUMN()-40-$AI26)))*IF($B26="Operacional",IFERROR(VLOOKUP($C26,SN_UGC,28,0),0),1)</f>
        <v>0</v>
      </c>
      <c r="BM26" s="140">
        <f t="array" ref="BM26">IF(ISBLANK($A26),0,IF(OR(BM$5-$AI26&lt;=0,$AM26="Não"),AB26,AB26+INDEX($AO$6:$BR$176,ROW()-5,COLUMN()-40-$AI26)))*IF($B26="Operacional",IFERROR(VLOOKUP($C26,SN_UGC,28,0),0),1)</f>
        <v>0</v>
      </c>
      <c r="BN26" s="140">
        <f t="array" ref="BN26">IF(ISBLANK($A26),0,IF(OR(BN$5-$AI26&lt;=0,$AM26="Não"),AC26,AC26+INDEX($AO$6:$BR$176,ROW()-5,COLUMN()-40-$AI26)))*IF($B26="Operacional",IFERROR(VLOOKUP($C26,SN_UGC,28,0),0),1)</f>
        <v>0</v>
      </c>
      <c r="BO26" s="140">
        <f t="array" ref="BO26">IF(ISBLANK($A26),0,IF(OR(BO$5-$AI26&lt;=0,$AM26="Não"),AD26,AD26+INDEX($AO$6:$BR$176,ROW()-5,COLUMN()-40-$AI26)))*IF($B26="Operacional",IFERROR(VLOOKUP($C26,SN_UGC,28,0),0),1)</f>
        <v>0</v>
      </c>
      <c r="BP26" s="140">
        <f t="array" ref="BP26">IF(ISBLANK($A26),0,IF(OR(BP$5-$AI26&lt;=0,$AM26="Não"),AE26,AE26+INDEX($AO$6:$BR$176,ROW()-5,COLUMN()-40-$AI26)))*IF($B26="Operacional",IFERROR(VLOOKUP($C26,SN_UGC,28,0),0),1)</f>
        <v>0</v>
      </c>
      <c r="BQ26" s="140">
        <f t="array" ref="BQ26">IF(ISBLANK($A26),0,IF(OR(BQ$5-$AI26&lt;=0,$AM26="Não"),AF26,AF26+INDEX($AO$6:$BR$176,ROW()-5,COLUMN()-40-$AI26)))*IF($B26="Operacional",IFERROR(VLOOKUP($C26,SN_UGC,28,0),0),1)</f>
        <v>0</v>
      </c>
      <c r="BR26" s="140">
        <f t="array" ref="BR26">IF(ISBLANK($A26),0,IF(OR(BR$5-$AI26&lt;=0,$AM26="Não"),AG26,AG26+INDEX($AO$6:$BR$176,ROW()-5,COLUMN()-40-$AI26)))*IF($B26="Operacional",IFERROR(VLOOKUP($C26,SN_UGC,28,0),0),1)</f>
        <v>0</v>
      </c>
      <c r="BS26" s="141">
        <f t="shared" ref="BS26:CV26" si="117">IF(ISBLANK($A26),0,$AH26*AO26)</f>
        <v>3520.0000000000005</v>
      </c>
      <c r="BT26" s="141">
        <f t="shared" si="117"/>
        <v>0</v>
      </c>
      <c r="BU26" s="141">
        <f t="shared" si="117"/>
        <v>0</v>
      </c>
      <c r="BV26" s="141">
        <f t="shared" si="117"/>
        <v>0</v>
      </c>
      <c r="BW26" s="141">
        <f t="shared" si="117"/>
        <v>0</v>
      </c>
      <c r="BX26" s="141">
        <f t="shared" si="117"/>
        <v>0</v>
      </c>
      <c r="BY26" s="141">
        <f t="shared" si="117"/>
        <v>0</v>
      </c>
      <c r="BZ26" s="141">
        <f t="shared" si="117"/>
        <v>0</v>
      </c>
      <c r="CA26" s="141">
        <f t="shared" si="117"/>
        <v>0</v>
      </c>
      <c r="CB26" s="141">
        <f t="shared" si="117"/>
        <v>0</v>
      </c>
      <c r="CC26" s="141">
        <f t="shared" si="117"/>
        <v>3520.0000000000005</v>
      </c>
      <c r="CD26" s="141">
        <f t="shared" si="117"/>
        <v>0</v>
      </c>
      <c r="CE26" s="141">
        <f t="shared" si="117"/>
        <v>0</v>
      </c>
      <c r="CF26" s="141">
        <f t="shared" si="117"/>
        <v>0</v>
      </c>
      <c r="CG26" s="141">
        <f t="shared" si="117"/>
        <v>0</v>
      </c>
      <c r="CH26" s="141">
        <f t="shared" si="117"/>
        <v>0</v>
      </c>
      <c r="CI26" s="141">
        <f t="shared" si="117"/>
        <v>0</v>
      </c>
      <c r="CJ26" s="141">
        <f t="shared" si="117"/>
        <v>0</v>
      </c>
      <c r="CK26" s="141">
        <f t="shared" si="117"/>
        <v>0</v>
      </c>
      <c r="CL26" s="141">
        <f t="shared" si="117"/>
        <v>0</v>
      </c>
      <c r="CM26" s="141">
        <f t="shared" si="117"/>
        <v>3520.0000000000005</v>
      </c>
      <c r="CN26" s="141">
        <f t="shared" si="117"/>
        <v>0</v>
      </c>
      <c r="CO26" s="141">
        <f t="shared" si="117"/>
        <v>0</v>
      </c>
      <c r="CP26" s="141">
        <f t="shared" si="117"/>
        <v>0</v>
      </c>
      <c r="CQ26" s="141">
        <f t="shared" si="117"/>
        <v>0</v>
      </c>
      <c r="CR26" s="141">
        <f t="shared" si="117"/>
        <v>0</v>
      </c>
      <c r="CS26" s="141">
        <f t="shared" si="117"/>
        <v>0</v>
      </c>
      <c r="CT26" s="141">
        <f t="shared" si="117"/>
        <v>0</v>
      </c>
      <c r="CU26" s="141">
        <f t="shared" si="117"/>
        <v>0</v>
      </c>
      <c r="CV26" s="141">
        <f t="shared" si="117"/>
        <v>0</v>
      </c>
      <c r="CW26" s="142">
        <f t="shared" ref="CW26:DZ26" si="118">EA26*$AH26*$AJ26</f>
        <v>0</v>
      </c>
      <c r="CX26" s="142">
        <f t="shared" si="118"/>
        <v>0</v>
      </c>
      <c r="CY26" s="142">
        <f t="shared" si="118"/>
        <v>0</v>
      </c>
      <c r="CZ26" s="142">
        <f t="shared" si="118"/>
        <v>0</v>
      </c>
      <c r="DA26" s="142">
        <f t="shared" si="118"/>
        <v>0</v>
      </c>
      <c r="DB26" s="142">
        <f t="shared" si="118"/>
        <v>0</v>
      </c>
      <c r="DC26" s="142">
        <f t="shared" si="118"/>
        <v>0</v>
      </c>
      <c r="DD26" s="142">
        <f t="shared" si="118"/>
        <v>0</v>
      </c>
      <c r="DE26" s="142">
        <f t="shared" si="118"/>
        <v>0</v>
      </c>
      <c r="DF26" s="142">
        <f t="shared" si="118"/>
        <v>0</v>
      </c>
      <c r="DG26" s="142">
        <f t="shared" si="118"/>
        <v>0</v>
      </c>
      <c r="DH26" s="142">
        <f t="shared" si="118"/>
        <v>0</v>
      </c>
      <c r="DI26" s="142">
        <f t="shared" si="118"/>
        <v>0</v>
      </c>
      <c r="DJ26" s="142">
        <f t="shared" si="118"/>
        <v>0</v>
      </c>
      <c r="DK26" s="142">
        <f t="shared" si="118"/>
        <v>0</v>
      </c>
      <c r="DL26" s="142">
        <f t="shared" si="118"/>
        <v>0</v>
      </c>
      <c r="DM26" s="142">
        <f t="shared" si="118"/>
        <v>0</v>
      </c>
      <c r="DN26" s="142">
        <f t="shared" si="118"/>
        <v>0</v>
      </c>
      <c r="DO26" s="142">
        <f t="shared" si="118"/>
        <v>0</v>
      </c>
      <c r="DP26" s="142">
        <f t="shared" si="118"/>
        <v>0</v>
      </c>
      <c r="DQ26" s="142">
        <f t="shared" si="118"/>
        <v>0</v>
      </c>
      <c r="DR26" s="142">
        <f t="shared" si="118"/>
        <v>0</v>
      </c>
      <c r="DS26" s="142">
        <f t="shared" si="118"/>
        <v>0</v>
      </c>
      <c r="DT26" s="142">
        <f t="shared" si="118"/>
        <v>0</v>
      </c>
      <c r="DU26" s="142">
        <f t="shared" si="118"/>
        <v>0</v>
      </c>
      <c r="DV26" s="142">
        <f t="shared" si="118"/>
        <v>0</v>
      </c>
      <c r="DW26" s="142">
        <f t="shared" si="118"/>
        <v>0</v>
      </c>
      <c r="DX26" s="142">
        <f t="shared" si="118"/>
        <v>0</v>
      </c>
      <c r="DY26" s="142">
        <f t="shared" si="118"/>
        <v>0</v>
      </c>
      <c r="DZ26" s="142">
        <f t="shared" si="118"/>
        <v>0</v>
      </c>
      <c r="EA26" s="143">
        <f t="shared" si="9"/>
        <v>0</v>
      </c>
      <c r="EB26" s="143">
        <f t="shared" si="10"/>
        <v>0</v>
      </c>
      <c r="EC26" s="143">
        <f t="shared" si="11"/>
        <v>0</v>
      </c>
      <c r="ED26" s="143">
        <f t="shared" si="12"/>
        <v>0</v>
      </c>
      <c r="EE26" s="143">
        <f t="shared" si="13"/>
        <v>0</v>
      </c>
      <c r="EF26" s="143">
        <f t="shared" si="14"/>
        <v>0</v>
      </c>
      <c r="EG26" s="143">
        <f t="shared" si="15"/>
        <v>0</v>
      </c>
      <c r="EH26" s="143">
        <f t="shared" si="16"/>
        <v>0</v>
      </c>
      <c r="EI26" s="143">
        <f t="shared" si="17"/>
        <v>0</v>
      </c>
      <c r="EJ26" s="143">
        <f t="shared" si="18"/>
        <v>0</v>
      </c>
      <c r="EK26" s="143">
        <f t="shared" si="19"/>
        <v>2</v>
      </c>
      <c r="EL26" s="143">
        <f t="shared" si="20"/>
        <v>0</v>
      </c>
      <c r="EM26" s="143">
        <f t="shared" si="21"/>
        <v>0</v>
      </c>
      <c r="EN26" s="143">
        <f t="shared" si="22"/>
        <v>0</v>
      </c>
      <c r="EO26" s="143">
        <f t="shared" si="23"/>
        <v>0</v>
      </c>
      <c r="EP26" s="143">
        <f t="shared" si="24"/>
        <v>0</v>
      </c>
      <c r="EQ26" s="143">
        <f t="shared" si="25"/>
        <v>0</v>
      </c>
      <c r="ER26" s="143">
        <f t="shared" si="26"/>
        <v>0</v>
      </c>
      <c r="ES26" s="143">
        <f t="shared" si="27"/>
        <v>0</v>
      </c>
      <c r="ET26" s="143">
        <f t="shared" si="28"/>
        <v>0</v>
      </c>
      <c r="EU26" s="143">
        <f t="shared" si="29"/>
        <v>2</v>
      </c>
      <c r="EV26" s="143">
        <f t="shared" si="30"/>
        <v>0</v>
      </c>
      <c r="EW26" s="143">
        <f t="shared" si="31"/>
        <v>0</v>
      </c>
      <c r="EX26" s="143">
        <f t="shared" si="32"/>
        <v>0</v>
      </c>
      <c r="EY26" s="143">
        <f t="shared" si="33"/>
        <v>0</v>
      </c>
      <c r="EZ26" s="143">
        <f t="shared" si="34"/>
        <v>0</v>
      </c>
      <c r="FA26" s="143">
        <f t="shared" si="35"/>
        <v>0</v>
      </c>
      <c r="FB26" s="143">
        <f t="shared" si="36"/>
        <v>0</v>
      </c>
      <c r="FC26" s="143">
        <f t="shared" si="37"/>
        <v>0</v>
      </c>
      <c r="FD26" s="143">
        <f t="shared" si="38"/>
        <v>0</v>
      </c>
      <c r="FE26" s="140">
        <f>SUM($D26:D26)*IF($B26="Operacional",IFERROR(VLOOKUP($C26,SN_UGC,28,0),0),1)</f>
        <v>2</v>
      </c>
      <c r="FF26" s="140">
        <f>SUM($D26:E26)*IF($B26="Operacional",IFERROR(VLOOKUP($C26,SN_UGC,28,0),0),1)</f>
        <v>2</v>
      </c>
      <c r="FG26" s="140">
        <f>SUM($D26:F26)*IF($B26="Operacional",IFERROR(VLOOKUP($C26,SN_UGC,28,0),0),1)</f>
        <v>2</v>
      </c>
      <c r="FH26" s="140">
        <f>SUM($D26:G26)*IF($B26="Operacional",IFERROR(VLOOKUP($C26,SN_UGC,28,0),0),1)</f>
        <v>2</v>
      </c>
      <c r="FI26" s="140">
        <f>SUM($D26:H26)*IF($B26="Operacional",IFERROR(VLOOKUP($C26,SN_UGC,28,0),0),1)</f>
        <v>2</v>
      </c>
      <c r="FJ26" s="140">
        <f>SUM($D26:I26)*IF($B26="Operacional",IFERROR(VLOOKUP($C26,SN_UGC,28,0),0),1)</f>
        <v>2</v>
      </c>
      <c r="FK26" s="140">
        <f>SUM($D26:J26)*IF($B26="Operacional",IFERROR(VLOOKUP($C26,SN_UGC,28,0),0),1)</f>
        <v>2</v>
      </c>
      <c r="FL26" s="140">
        <f>SUM($D26:K26)*IF($B26="Operacional",IFERROR(VLOOKUP($C26,SN_UGC,28,0),0),1)</f>
        <v>2</v>
      </c>
      <c r="FM26" s="140">
        <f>SUM($D26:L26)*IF($B26="Operacional",IFERROR(VLOOKUP($C26,SN_UGC,28,0),0),1)</f>
        <v>2</v>
      </c>
      <c r="FN26" s="140">
        <f>SUM($D26:M26)*IF($B26="Operacional",IFERROR(VLOOKUP($C26,SN_UGC,28,0),0),1)</f>
        <v>2</v>
      </c>
      <c r="FO26" s="140">
        <f>SUM($D26:N26)*IF($B26="Operacional",IFERROR(VLOOKUP($C26,SN_UGC,28,0),0),1)</f>
        <v>2</v>
      </c>
      <c r="FP26" s="140">
        <f>SUM($D26:O26)*IF($B26="Operacional",IFERROR(VLOOKUP($C26,SN_UGC,28,0),0),1)</f>
        <v>2</v>
      </c>
      <c r="FQ26" s="140">
        <f>SUM($D26:P26)*IF($B26="Operacional",IFERROR(VLOOKUP($C26,SN_UGC,28,0),0),1)</f>
        <v>2</v>
      </c>
      <c r="FR26" s="140">
        <f>SUM($D26:Q26)*IF($B26="Operacional",IFERROR(VLOOKUP($C26,SN_UGC,28,0),0),1)</f>
        <v>2</v>
      </c>
      <c r="FS26" s="140">
        <f>SUM($D26:R26)*IF($B26="Operacional",IFERROR(VLOOKUP($C26,SN_UGC,28,0),0),1)</f>
        <v>2</v>
      </c>
      <c r="FT26" s="140">
        <f>SUM($D26:S26)*IF($B26="Operacional",IFERROR(VLOOKUP($C26,SN_UGC,28,0),0),1)</f>
        <v>2</v>
      </c>
      <c r="FU26" s="140">
        <f>SUM($D26:T26)*IF($B26="Operacional",IFERROR(VLOOKUP($C26,SN_UGC,28,0),0),1)</f>
        <v>2</v>
      </c>
      <c r="FV26" s="140">
        <f>SUM($D26:U26)*IF($B26="Operacional",IFERROR(VLOOKUP($C26,SN_UGC,28,0),0),1)</f>
        <v>2</v>
      </c>
      <c r="FW26" s="140">
        <f>SUM($D26:V26)*IF($B26="Operacional",IFERROR(VLOOKUP($C26,SN_UGC,28,0),0),1)</f>
        <v>2</v>
      </c>
      <c r="FX26" s="140">
        <f>SUM($D26:W26)*IF($B26="Operacional",IFERROR(VLOOKUP($C26,SN_UGC,28,0),0),1)</f>
        <v>2</v>
      </c>
      <c r="FY26" s="140">
        <f>SUM($D26:X26)*IF($B26="Operacional",IFERROR(VLOOKUP($C26,SN_UGC,28,0),0),1)</f>
        <v>2</v>
      </c>
      <c r="FZ26" s="140">
        <f>SUM($D26:Y26)*IF($B26="Operacional",IFERROR(VLOOKUP($C26,SN_UGC,28,0),0),1)</f>
        <v>2</v>
      </c>
      <c r="GA26" s="140">
        <f>SUM($D26:Z26)*IF($B26="Operacional",IFERROR(VLOOKUP($C26,SN_UGC,28,0),0),1)</f>
        <v>2</v>
      </c>
      <c r="GB26" s="140">
        <f>SUM($D26:AA26)*IF($B26="Operacional",IFERROR(VLOOKUP($C26,SN_UGC,28,0),0),1)</f>
        <v>2</v>
      </c>
      <c r="GC26" s="140">
        <f>SUM($D26:AB26)*IF($B26="Operacional",IFERROR(VLOOKUP($C26,SN_UGC,28,0),0),1)</f>
        <v>2</v>
      </c>
      <c r="GD26" s="140">
        <f>SUM($D26:AC26)*IF($B26="Operacional",IFERROR(VLOOKUP($C26,SN_UGC,28,0),0),1)</f>
        <v>2</v>
      </c>
      <c r="GE26" s="140">
        <f>SUM($D26:AD26)*IF($B26="Operacional",IFERROR(VLOOKUP($C26,SN_UGC,28,0),0),1)</f>
        <v>2</v>
      </c>
      <c r="GF26" s="140">
        <f>SUM($D26:AE26)*IF($B26="Operacional",IFERROR(VLOOKUP($C26,SN_UGC,28,0),0),1)</f>
        <v>2</v>
      </c>
      <c r="GG26" s="140">
        <f>SUM($D26:AF26)*IF($B26="Operacional",IFERROR(VLOOKUP($C26,SN_UGC,28,0),0),1)</f>
        <v>2</v>
      </c>
      <c r="GH26" s="140">
        <f>SUM($D26:AG26)*IF($B26="Operacional",IFERROR(VLOOKUP($C26,SN_UGC,28,0),0),1)</f>
        <v>2</v>
      </c>
      <c r="GI26" s="141">
        <f t="shared" ref="GI26:HL26" si="119">FE26*$AH26*$AL26</f>
        <v>176.00000000000003</v>
      </c>
      <c r="GJ26" s="141">
        <f t="shared" si="119"/>
        <v>176.00000000000003</v>
      </c>
      <c r="GK26" s="141">
        <f t="shared" si="119"/>
        <v>176.00000000000003</v>
      </c>
      <c r="GL26" s="141">
        <f t="shared" si="119"/>
        <v>176.00000000000003</v>
      </c>
      <c r="GM26" s="141">
        <f t="shared" si="119"/>
        <v>176.00000000000003</v>
      </c>
      <c r="GN26" s="141">
        <f t="shared" si="119"/>
        <v>176.00000000000003</v>
      </c>
      <c r="GO26" s="141">
        <f t="shared" si="119"/>
        <v>176.00000000000003</v>
      </c>
      <c r="GP26" s="141">
        <f t="shared" si="119"/>
        <v>176.00000000000003</v>
      </c>
      <c r="GQ26" s="141">
        <f t="shared" si="119"/>
        <v>176.00000000000003</v>
      </c>
      <c r="GR26" s="141">
        <f t="shared" si="119"/>
        <v>176.00000000000003</v>
      </c>
      <c r="GS26" s="141">
        <f t="shared" si="119"/>
        <v>176.00000000000003</v>
      </c>
      <c r="GT26" s="141">
        <f t="shared" si="119"/>
        <v>176.00000000000003</v>
      </c>
      <c r="GU26" s="141">
        <f t="shared" si="119"/>
        <v>176.00000000000003</v>
      </c>
      <c r="GV26" s="141">
        <f t="shared" si="119"/>
        <v>176.00000000000003</v>
      </c>
      <c r="GW26" s="141">
        <f t="shared" si="119"/>
        <v>176.00000000000003</v>
      </c>
      <c r="GX26" s="141">
        <f t="shared" si="119"/>
        <v>176.00000000000003</v>
      </c>
      <c r="GY26" s="141">
        <f t="shared" si="119"/>
        <v>176.00000000000003</v>
      </c>
      <c r="GZ26" s="141">
        <f t="shared" si="119"/>
        <v>176.00000000000003</v>
      </c>
      <c r="HA26" s="141">
        <f t="shared" si="119"/>
        <v>176.00000000000003</v>
      </c>
      <c r="HB26" s="141">
        <f t="shared" si="119"/>
        <v>176.00000000000003</v>
      </c>
      <c r="HC26" s="141">
        <f t="shared" si="119"/>
        <v>176.00000000000003</v>
      </c>
      <c r="HD26" s="141">
        <f t="shared" si="119"/>
        <v>176.00000000000003</v>
      </c>
      <c r="HE26" s="141">
        <f t="shared" si="119"/>
        <v>176.00000000000003</v>
      </c>
      <c r="HF26" s="141">
        <f t="shared" si="119"/>
        <v>176.00000000000003</v>
      </c>
      <c r="HG26" s="141">
        <f t="shared" si="119"/>
        <v>176.00000000000003</v>
      </c>
      <c r="HH26" s="141">
        <f t="shared" si="119"/>
        <v>176.00000000000003</v>
      </c>
      <c r="HI26" s="141">
        <f t="shared" si="119"/>
        <v>176.00000000000003</v>
      </c>
      <c r="HJ26" s="141">
        <f t="shared" si="119"/>
        <v>176.00000000000003</v>
      </c>
      <c r="HK26" s="141">
        <f t="shared" si="119"/>
        <v>176.00000000000003</v>
      </c>
      <c r="HL26" s="141">
        <f t="shared" si="119"/>
        <v>176.00000000000003</v>
      </c>
      <c r="HM26" s="142">
        <f t="shared" ref="HM26:IP26" si="120">IF(ISBLANK($A26),,FE26*($AH26-($AH26*$AJ26))/$AI26)</f>
        <v>352.00000000000006</v>
      </c>
      <c r="HN26" s="142">
        <f t="shared" si="120"/>
        <v>352.00000000000006</v>
      </c>
      <c r="HO26" s="142">
        <f t="shared" si="120"/>
        <v>352.00000000000006</v>
      </c>
      <c r="HP26" s="142">
        <f t="shared" si="120"/>
        <v>352.00000000000006</v>
      </c>
      <c r="HQ26" s="142">
        <f t="shared" si="120"/>
        <v>352.00000000000006</v>
      </c>
      <c r="HR26" s="142">
        <f t="shared" si="120"/>
        <v>352.00000000000006</v>
      </c>
      <c r="HS26" s="142">
        <f t="shared" si="120"/>
        <v>352.00000000000006</v>
      </c>
      <c r="HT26" s="142">
        <f t="shared" si="120"/>
        <v>352.00000000000006</v>
      </c>
      <c r="HU26" s="142">
        <f t="shared" si="120"/>
        <v>352.00000000000006</v>
      </c>
      <c r="HV26" s="142">
        <f t="shared" si="120"/>
        <v>352.00000000000006</v>
      </c>
      <c r="HW26" s="142">
        <f t="shared" si="120"/>
        <v>352.00000000000006</v>
      </c>
      <c r="HX26" s="142">
        <f t="shared" si="120"/>
        <v>352.00000000000006</v>
      </c>
      <c r="HY26" s="142">
        <f t="shared" si="120"/>
        <v>352.00000000000006</v>
      </c>
      <c r="HZ26" s="142">
        <f t="shared" si="120"/>
        <v>352.00000000000006</v>
      </c>
      <c r="IA26" s="142">
        <f t="shared" si="120"/>
        <v>352.00000000000006</v>
      </c>
      <c r="IB26" s="142">
        <f t="shared" si="120"/>
        <v>352.00000000000006</v>
      </c>
      <c r="IC26" s="142">
        <f t="shared" si="120"/>
        <v>352.00000000000006</v>
      </c>
      <c r="ID26" s="142">
        <f t="shared" si="120"/>
        <v>352.00000000000006</v>
      </c>
      <c r="IE26" s="142">
        <f t="shared" si="120"/>
        <v>352.00000000000006</v>
      </c>
      <c r="IF26" s="142">
        <f t="shared" si="120"/>
        <v>352.00000000000006</v>
      </c>
      <c r="IG26" s="142">
        <f t="shared" si="120"/>
        <v>352.00000000000006</v>
      </c>
      <c r="IH26" s="142">
        <f t="shared" si="120"/>
        <v>352.00000000000006</v>
      </c>
      <c r="II26" s="142">
        <f t="shared" si="120"/>
        <v>352.00000000000006</v>
      </c>
      <c r="IJ26" s="142">
        <f t="shared" si="120"/>
        <v>352.00000000000006</v>
      </c>
      <c r="IK26" s="142">
        <f t="shared" si="120"/>
        <v>352.00000000000006</v>
      </c>
      <c r="IL26" s="142">
        <f t="shared" si="120"/>
        <v>352.00000000000006</v>
      </c>
      <c r="IM26" s="142">
        <f t="shared" si="120"/>
        <v>352.00000000000006</v>
      </c>
      <c r="IN26" s="142">
        <f t="shared" si="120"/>
        <v>352.00000000000006</v>
      </c>
      <c r="IO26" s="142">
        <f t="shared" si="120"/>
        <v>352.00000000000006</v>
      </c>
      <c r="IP26" s="142">
        <f t="shared" si="120"/>
        <v>352.00000000000006</v>
      </c>
      <c r="IQ26" s="141">
        <f>IF(ISBLANK($A26),,IF($AN26="Não",0,(SUM($AO26:AO26)*$AH26)-SUM($HM26:HM26)-SUM($CW26:CW26)))</f>
        <v>0</v>
      </c>
      <c r="IR26" s="141">
        <f>IF(ISBLANK($A26),,IF($AN26="Não",0,(SUM($AO26:AP26)*$AH26)-SUM($HM26:HN26)-SUM($CW26:CX26)))</f>
        <v>0</v>
      </c>
      <c r="IS26" s="141">
        <f>IF(ISBLANK($A26),,IF($AN26="Não",0,(SUM($AO26:AQ26)*$AH26)-SUM($HM26:HO26)-SUM($CW26:CY26)))</f>
        <v>0</v>
      </c>
      <c r="IT26" s="141">
        <f>IF(ISBLANK($A26),,IF($AN26="Não",0,(SUM($AO26:AR26)*$AH26)-SUM($HM26:HP26)-SUM($CW26:CZ26)))</f>
        <v>0</v>
      </c>
      <c r="IU26" s="141">
        <f>IF(ISBLANK($A26),,IF($AN26="Não",0,(SUM($AO26:AS26)*$AH26)-SUM($HM26:HQ26)-SUM($CW26:DA26)))</f>
        <v>0</v>
      </c>
      <c r="IV26" s="141">
        <f>IF(ISBLANK($A26),,IF($AN26="Não",0,(SUM($AO26:AT26)*$AH26)-SUM($HM26:HR26)-SUM($CW26:DB26)))</f>
        <v>0</v>
      </c>
      <c r="IW26" s="141">
        <f>IF(ISBLANK($A26),,IF($AN26="Não",0,(SUM($AO26:AU26)*$AH26)-SUM($HM26:HS26)-SUM($CW26:DC26)))</f>
        <v>0</v>
      </c>
      <c r="IX26" s="141">
        <f>IF(ISBLANK($A26),,IF($AN26="Não",0,(SUM($AO26:AV26)*$AH26)-SUM($HM26:HT26)-SUM($CW26:DD26)))</f>
        <v>0</v>
      </c>
      <c r="IY26" s="141">
        <f>IF(ISBLANK($A26),,IF($AN26="Não",0,(SUM($AO26:AW26)*$AH26)-SUM($HM26:HU26)-SUM($CW26:DE26)))</f>
        <v>0</v>
      </c>
      <c r="IZ26" s="141">
        <f>IF(ISBLANK($A26),,IF($AN26="Não",0,(SUM($AO26:AX26)*$AH26)-SUM($HM26:HV26)-SUM($CW26:DF26)))</f>
        <v>0</v>
      </c>
      <c r="JA26" s="141">
        <f>IF(ISBLANK($A26),,IF($AN26="Não",0,(SUM($AO26:AY26)*$AH26)-SUM($HM26:HW26)-SUM($CW26:DG26)))</f>
        <v>0</v>
      </c>
      <c r="JB26" s="141">
        <f>IF(ISBLANK($A26),,IF($AN26="Não",0,(SUM($AO26:AZ26)*$AH26)-SUM($HM26:HX26)-SUM($CW26:DH26)))</f>
        <v>0</v>
      </c>
      <c r="JC26" s="141">
        <f>IF(ISBLANK($A26),,IF($AN26="Não",0,(SUM($AO26:BA26)*$AH26)-SUM($HM26:HY26)-SUM($CW26:DI26)))</f>
        <v>0</v>
      </c>
      <c r="JD26" s="141">
        <f>IF(ISBLANK($A26),,IF($AN26="Não",0,(SUM($AO26:BB26)*$AH26)-SUM($HM26:HZ26)-SUM($CW26:DJ26)))</f>
        <v>0</v>
      </c>
      <c r="JE26" s="141">
        <f>IF(ISBLANK($A26),,IF($AN26="Não",0,(SUM($AO26:BC26)*$AH26)-SUM($HM26:IA26)-SUM($CW26:DK26)))</f>
        <v>0</v>
      </c>
      <c r="JF26" s="141">
        <f>IF(ISBLANK($A26),,IF($AN26="Não",0,(SUM($AO26:BD26)*$AH26)-SUM($HM26:IB26)-SUM($CW26:DL26)))</f>
        <v>0</v>
      </c>
      <c r="JG26" s="141">
        <f>IF(ISBLANK($A26),,IF($AN26="Não",0,(SUM($AO26:BE26)*$AH26)-SUM($HM26:IC26)-SUM($CW26:DM26)))</f>
        <v>0</v>
      </c>
      <c r="JH26" s="141">
        <f>IF(ISBLANK($A26),,IF($AN26="Não",0,(SUM($AO26:BF26)*$AH26)-SUM($HM26:ID26)-SUM($CW26:DN26)))</f>
        <v>0</v>
      </c>
      <c r="JI26" s="141">
        <f>IF(ISBLANK($A26),,IF($AN26="Não",0,(SUM($AO26:BG26)*$AH26)-SUM($HM26:IE26)-SUM($CW26:DO26)))</f>
        <v>0</v>
      </c>
      <c r="JJ26" s="141">
        <f>IF(ISBLANK($A26),,IF($AN26="Não",0,(SUM($AO26:BH26)*$AH26)-SUM($HM26:IF26)-SUM($CW26:DP26)))</f>
        <v>0</v>
      </c>
      <c r="JK26" s="141">
        <f>IF(ISBLANK($A26),,IF($AN26="Não",0,(SUM($AO26:BI26)*$AH26)-SUM($HM26:IG26)-SUM($CW26:DQ26)))</f>
        <v>0</v>
      </c>
      <c r="JL26" s="141">
        <f>IF(ISBLANK($A26),,IF($AN26="Não",0,(SUM($AO26:BJ26)*$AH26)-SUM($HM26:IH26)-SUM($CW26:DR26)))</f>
        <v>0</v>
      </c>
      <c r="JM26" s="141">
        <f>IF(ISBLANK($A26),,IF($AN26="Não",0,(SUM($AO26:BK26)*$AH26)-SUM($HM26:II26)-SUM($CW26:DS26)))</f>
        <v>0</v>
      </c>
      <c r="JN26" s="141">
        <f>IF(ISBLANK($A26),,IF($AN26="Não",0,(SUM($AO26:BL26)*$AH26)-SUM($HM26:IJ26)-SUM($CW26:DT26)))</f>
        <v>0</v>
      </c>
      <c r="JO26" s="141">
        <f>IF(ISBLANK($A26),,IF($AN26="Não",0,(SUM($AO26:BM26)*$AH26)-SUM($HM26:IK26)-SUM($CW26:DU26)))</f>
        <v>0</v>
      </c>
      <c r="JP26" s="141">
        <f>IF(ISBLANK($A26),,IF($AN26="Não",0,(SUM($AO26:BN26)*$AH26)-SUM($HM26:IL26)-SUM($CW26:DV26)))</f>
        <v>0</v>
      </c>
      <c r="JQ26" s="141">
        <f>IF(ISBLANK($A26),,IF($AN26="Não",0,(SUM($AO26:BO26)*$AH26)-SUM($HM26:IM26)-SUM($CW26:DW26)))</f>
        <v>0</v>
      </c>
      <c r="JR26" s="141">
        <f>IF(ISBLANK($A26),,IF($AN26="Não",0,(SUM($AO26:BP26)*$AH26)-SUM($HM26:IN26)-SUM($CW26:DX26)))</f>
        <v>0</v>
      </c>
      <c r="JS26" s="141">
        <f>IF(ISBLANK($A26),,IF($AN26="Não",0,(SUM($AO26:BQ26)*$AH26)-SUM($HM26:IO26)-SUM($CW26:DY26)))</f>
        <v>0</v>
      </c>
      <c r="JT26" s="141">
        <f>IF(ISBLANK($A26),,IF($AN26="Não",0,(SUM($AO26:BR26)*$AH26)-SUM($HM26:IP26)-SUM($CW26:DZ26)))</f>
        <v>0</v>
      </c>
    </row>
    <row r="27" spans="1:280" ht="15.75" customHeight="1">
      <c r="A27" s="129" t="s">
        <v>357</v>
      </c>
      <c r="B27" s="129" t="s">
        <v>209</v>
      </c>
      <c r="C27" s="138" t="s">
        <v>79</v>
      </c>
      <c r="D27" s="139">
        <v>3</v>
      </c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607">
        <f t="shared" si="0"/>
        <v>1760.0000000000002</v>
      </c>
      <c r="AI27" s="608">
        <f t="shared" si="1"/>
        <v>10</v>
      </c>
      <c r="AJ27" s="609">
        <f t="shared" si="2"/>
        <v>0</v>
      </c>
      <c r="AK27" s="610" t="str">
        <f t="shared" si="3"/>
        <v>Infraestrutura</v>
      </c>
      <c r="AL27" s="609">
        <f t="shared" si="4"/>
        <v>0.05</v>
      </c>
      <c r="AM27" s="611" t="str">
        <f t="shared" si="5"/>
        <v>Sim</v>
      </c>
      <c r="AN27" s="611" t="str">
        <f t="shared" si="6"/>
        <v>Não</v>
      </c>
      <c r="AO27" s="140">
        <f t="array" ref="AO27">IF(ISBLANK($A27),0,IF(OR(AO$5-$AI27&lt;=0,$AM27="Não"),D27,D27+INDEX($AO$6:$BR$176,ROW()-5,COLUMN()-40-$AI27)))*IF($B27="Operacional",IFERROR(VLOOKUP($C27,SN_UGC,28,0),0),1)</f>
        <v>3</v>
      </c>
      <c r="AP27" s="140">
        <f t="array" ref="AP27">IF(ISBLANK($A27),0,IF(OR(AP$5-$AI27&lt;=0,$AM27="Não"),E27,E27+INDEX($AO$6:$BR$176,ROW()-5,COLUMN()-40-$AI27)))*IF($B27="Operacional",IFERROR(VLOOKUP($C27,SN_UGC,28,0),0),1)</f>
        <v>0</v>
      </c>
      <c r="AQ27" s="140">
        <f t="array" ref="AQ27">IF(ISBLANK($A27),0,IF(OR(AQ$5-$AI27&lt;=0,$AM27="Não"),F27,F27+INDEX($AO$6:$BR$176,ROW()-5,COLUMN()-40-$AI27)))*IF($B27="Operacional",IFERROR(VLOOKUP($C27,SN_UGC,28,0),0),1)</f>
        <v>0</v>
      </c>
      <c r="AR27" s="140">
        <f t="array" ref="AR27">IF(ISBLANK($A27),0,IF(OR(AR$5-$AI27&lt;=0,$AM27="Não"),G27,G27+INDEX($AO$6:$BR$176,ROW()-5,COLUMN()-40-$AI27)))*IF($B27="Operacional",IFERROR(VLOOKUP($C27,SN_UGC,28,0),0),1)</f>
        <v>0</v>
      </c>
      <c r="AS27" s="140">
        <f t="array" ref="AS27">IF(ISBLANK($A27),0,IF(OR(AS$5-$AI27&lt;=0,$AM27="Não"),H27,H27+INDEX($AO$6:$BR$176,ROW()-5,COLUMN()-40-$AI27)))*IF($B27="Operacional",IFERROR(VLOOKUP($C27,SN_UGC,28,0),0),1)</f>
        <v>0</v>
      </c>
      <c r="AT27" s="140">
        <f t="array" ref="AT27">IF(ISBLANK($A27),0,IF(OR(AT$5-$AI27&lt;=0,$AM27="Não"),I27,I27+INDEX($AO$6:$BR$176,ROW()-5,COLUMN()-40-$AI27)))*IF($B27="Operacional",IFERROR(VLOOKUP($C27,SN_UGC,28,0),0),1)</f>
        <v>0</v>
      </c>
      <c r="AU27" s="140">
        <f t="array" ref="AU27">IF(ISBLANK($A27),0,IF(OR(AU$5-$AI27&lt;=0,$AM27="Não"),J27,J27+INDEX($AO$6:$BR$176,ROW()-5,COLUMN()-40-$AI27)))*IF($B27="Operacional",IFERROR(VLOOKUP($C27,SN_UGC,28,0),0),1)</f>
        <v>0</v>
      </c>
      <c r="AV27" s="140">
        <f t="array" ref="AV27">IF(ISBLANK($A27),0,IF(OR(AV$5-$AI27&lt;=0,$AM27="Não"),K27,K27+INDEX($AO$6:$BR$176,ROW()-5,COLUMN()-40-$AI27)))*IF($B27="Operacional",IFERROR(VLOOKUP($C27,SN_UGC,28,0),0),1)</f>
        <v>0</v>
      </c>
      <c r="AW27" s="140">
        <f t="array" ref="AW27">IF(ISBLANK($A27),0,IF(OR(AW$5-$AI27&lt;=0,$AM27="Não"),L27,L27+INDEX($AO$6:$BR$176,ROW()-5,COLUMN()-40-$AI27)))*IF($B27="Operacional",IFERROR(VLOOKUP($C27,SN_UGC,28,0),0),1)</f>
        <v>0</v>
      </c>
      <c r="AX27" s="140">
        <f t="array" ref="AX27">IF(ISBLANK($A27),0,IF(OR(AX$5-$AI27&lt;=0,$AM27="Não"),M27,M27+INDEX($AO$6:$BR$176,ROW()-5,COLUMN()-40-$AI27)))*IF($B27="Operacional",IFERROR(VLOOKUP($C27,SN_UGC,28,0),0),1)</f>
        <v>0</v>
      </c>
      <c r="AY27" s="140">
        <f t="array" ref="AY27">IF(ISBLANK($A27),0,IF(OR(AY$5-$AI27&lt;=0,$AM27="Não"),N27,N27+INDEX($AO$6:$BR$176,ROW()-5,COLUMN()-40-$AI27)))*IF($B27="Operacional",IFERROR(VLOOKUP($C27,SN_UGC,28,0),0),1)</f>
        <v>3</v>
      </c>
      <c r="AZ27" s="140">
        <f t="array" ref="AZ27">IF(ISBLANK($A27),0,IF(OR(AZ$5-$AI27&lt;=0,$AM27="Não"),O27,O27+INDEX($AO$6:$BR$176,ROW()-5,COLUMN()-40-$AI27)))*IF($B27="Operacional",IFERROR(VLOOKUP($C27,SN_UGC,28,0),0),1)</f>
        <v>0</v>
      </c>
      <c r="BA27" s="140">
        <f t="array" ref="BA27">IF(ISBLANK($A27),0,IF(OR(BA$5-$AI27&lt;=0,$AM27="Não"),P27,P27+INDEX($AO$6:$BR$176,ROW()-5,COLUMN()-40-$AI27)))*IF($B27="Operacional",IFERROR(VLOOKUP($C27,SN_UGC,28,0),0),1)</f>
        <v>0</v>
      </c>
      <c r="BB27" s="140">
        <f t="array" ref="BB27">IF(ISBLANK($A27),0,IF(OR(BB$5-$AI27&lt;=0,$AM27="Não"),Q27,Q27+INDEX($AO$6:$BR$176,ROW()-5,COLUMN()-40-$AI27)))*IF($B27="Operacional",IFERROR(VLOOKUP($C27,SN_UGC,28,0),0),1)</f>
        <v>0</v>
      </c>
      <c r="BC27" s="140">
        <f t="array" ref="BC27">IF(ISBLANK($A27),0,IF(OR(BC$5-$AI27&lt;=0,$AM27="Não"),R27,R27+INDEX($AO$6:$BR$176,ROW()-5,COLUMN()-40-$AI27)))*IF($B27="Operacional",IFERROR(VLOOKUP($C27,SN_UGC,28,0),0),1)</f>
        <v>0</v>
      </c>
      <c r="BD27" s="140">
        <f t="array" ref="BD27">IF(ISBLANK($A27),0,IF(OR(BD$5-$AI27&lt;=0,$AM27="Não"),S27,S27+INDEX($AO$6:$BR$176,ROW()-5,COLUMN()-40-$AI27)))*IF($B27="Operacional",IFERROR(VLOOKUP($C27,SN_UGC,28,0),0),1)</f>
        <v>0</v>
      </c>
      <c r="BE27" s="140">
        <f t="array" ref="BE27">IF(ISBLANK($A27),0,IF(OR(BE$5-$AI27&lt;=0,$AM27="Não"),T27,T27+INDEX($AO$6:$BR$176,ROW()-5,COLUMN()-40-$AI27)))*IF($B27="Operacional",IFERROR(VLOOKUP($C27,SN_UGC,28,0),0),1)</f>
        <v>0</v>
      </c>
      <c r="BF27" s="140">
        <f t="array" ref="BF27">IF(ISBLANK($A27),0,IF(OR(BF$5-$AI27&lt;=0,$AM27="Não"),U27,U27+INDEX($AO$6:$BR$176,ROW()-5,COLUMN()-40-$AI27)))*IF($B27="Operacional",IFERROR(VLOOKUP($C27,SN_UGC,28,0),0),1)</f>
        <v>0</v>
      </c>
      <c r="BG27" s="140">
        <f t="array" ref="BG27">IF(ISBLANK($A27),0,IF(OR(BG$5-$AI27&lt;=0,$AM27="Não"),V27,V27+INDEX($AO$6:$BR$176,ROW()-5,COLUMN()-40-$AI27)))*IF($B27="Operacional",IFERROR(VLOOKUP($C27,SN_UGC,28,0),0),1)</f>
        <v>0</v>
      </c>
      <c r="BH27" s="140">
        <f t="array" ref="BH27">IF(ISBLANK($A27),0,IF(OR(BH$5-$AI27&lt;=0,$AM27="Não"),W27,W27+INDEX($AO$6:$BR$176,ROW()-5,COLUMN()-40-$AI27)))*IF($B27="Operacional",IFERROR(VLOOKUP($C27,SN_UGC,28,0),0),1)</f>
        <v>0</v>
      </c>
      <c r="BI27" s="140">
        <f t="array" ref="BI27">IF(ISBLANK($A27),0,IF(OR(BI$5-$AI27&lt;=0,$AM27="Não"),X27,X27+INDEX($AO$6:$BR$176,ROW()-5,COLUMN()-40-$AI27)))*IF($B27="Operacional",IFERROR(VLOOKUP($C27,SN_UGC,28,0),0),1)</f>
        <v>3</v>
      </c>
      <c r="BJ27" s="140">
        <f t="array" ref="BJ27">IF(ISBLANK($A27),0,IF(OR(BJ$5-$AI27&lt;=0,$AM27="Não"),Y27,Y27+INDEX($AO$6:$BR$176,ROW()-5,COLUMN()-40-$AI27)))*IF($B27="Operacional",IFERROR(VLOOKUP($C27,SN_UGC,28,0),0),1)</f>
        <v>0</v>
      </c>
      <c r="BK27" s="140">
        <f t="array" ref="BK27">IF(ISBLANK($A27),0,IF(OR(BK$5-$AI27&lt;=0,$AM27="Não"),Z27,Z27+INDEX($AO$6:$BR$176,ROW()-5,COLUMN()-40-$AI27)))*IF($B27="Operacional",IFERROR(VLOOKUP($C27,SN_UGC,28,0),0),1)</f>
        <v>0</v>
      </c>
      <c r="BL27" s="140">
        <f t="array" ref="BL27">IF(ISBLANK($A27),0,IF(OR(BL$5-$AI27&lt;=0,$AM27="Não"),AA27,AA27+INDEX($AO$6:$BR$176,ROW()-5,COLUMN()-40-$AI27)))*IF($B27="Operacional",IFERROR(VLOOKUP($C27,SN_UGC,28,0),0),1)</f>
        <v>0</v>
      </c>
      <c r="BM27" s="140">
        <f t="array" ref="BM27">IF(ISBLANK($A27),0,IF(OR(BM$5-$AI27&lt;=0,$AM27="Não"),AB27,AB27+INDEX($AO$6:$BR$176,ROW()-5,COLUMN()-40-$AI27)))*IF($B27="Operacional",IFERROR(VLOOKUP($C27,SN_UGC,28,0),0),1)</f>
        <v>0</v>
      </c>
      <c r="BN27" s="140">
        <f t="array" ref="BN27">IF(ISBLANK($A27),0,IF(OR(BN$5-$AI27&lt;=0,$AM27="Não"),AC27,AC27+INDEX($AO$6:$BR$176,ROW()-5,COLUMN()-40-$AI27)))*IF($B27="Operacional",IFERROR(VLOOKUP($C27,SN_UGC,28,0),0),1)</f>
        <v>0</v>
      </c>
      <c r="BO27" s="140">
        <f t="array" ref="BO27">IF(ISBLANK($A27),0,IF(OR(BO$5-$AI27&lt;=0,$AM27="Não"),AD27,AD27+INDEX($AO$6:$BR$176,ROW()-5,COLUMN()-40-$AI27)))*IF($B27="Operacional",IFERROR(VLOOKUP($C27,SN_UGC,28,0),0),1)</f>
        <v>0</v>
      </c>
      <c r="BP27" s="140">
        <f t="array" ref="BP27">IF(ISBLANK($A27),0,IF(OR(BP$5-$AI27&lt;=0,$AM27="Não"),AE27,AE27+INDEX($AO$6:$BR$176,ROW()-5,COLUMN()-40-$AI27)))*IF($B27="Operacional",IFERROR(VLOOKUP($C27,SN_UGC,28,0),0),1)</f>
        <v>0</v>
      </c>
      <c r="BQ27" s="140">
        <f t="array" ref="BQ27">IF(ISBLANK($A27),0,IF(OR(BQ$5-$AI27&lt;=0,$AM27="Não"),AF27,AF27+INDEX($AO$6:$BR$176,ROW()-5,COLUMN()-40-$AI27)))*IF($B27="Operacional",IFERROR(VLOOKUP($C27,SN_UGC,28,0),0),1)</f>
        <v>0</v>
      </c>
      <c r="BR27" s="140">
        <f t="array" ref="BR27">IF(ISBLANK($A27),0,IF(OR(BR$5-$AI27&lt;=0,$AM27="Não"),AG27,AG27+INDEX($AO$6:$BR$176,ROW()-5,COLUMN()-40-$AI27)))*IF($B27="Operacional",IFERROR(VLOOKUP($C27,SN_UGC,28,0),0),1)</f>
        <v>0</v>
      </c>
      <c r="BS27" s="141">
        <f t="shared" ref="BS27:CV27" si="121">IF(ISBLANK($A27),0,$AH27*AO27)</f>
        <v>5280.0000000000009</v>
      </c>
      <c r="BT27" s="141">
        <f t="shared" si="121"/>
        <v>0</v>
      </c>
      <c r="BU27" s="141">
        <f t="shared" si="121"/>
        <v>0</v>
      </c>
      <c r="BV27" s="141">
        <f t="shared" si="121"/>
        <v>0</v>
      </c>
      <c r="BW27" s="141">
        <f t="shared" si="121"/>
        <v>0</v>
      </c>
      <c r="BX27" s="141">
        <f t="shared" si="121"/>
        <v>0</v>
      </c>
      <c r="BY27" s="141">
        <f t="shared" si="121"/>
        <v>0</v>
      </c>
      <c r="BZ27" s="141">
        <f t="shared" si="121"/>
        <v>0</v>
      </c>
      <c r="CA27" s="141">
        <f t="shared" si="121"/>
        <v>0</v>
      </c>
      <c r="CB27" s="141">
        <f t="shared" si="121"/>
        <v>0</v>
      </c>
      <c r="CC27" s="141">
        <f t="shared" si="121"/>
        <v>5280.0000000000009</v>
      </c>
      <c r="CD27" s="141">
        <f t="shared" si="121"/>
        <v>0</v>
      </c>
      <c r="CE27" s="141">
        <f t="shared" si="121"/>
        <v>0</v>
      </c>
      <c r="CF27" s="141">
        <f t="shared" si="121"/>
        <v>0</v>
      </c>
      <c r="CG27" s="141">
        <f t="shared" si="121"/>
        <v>0</v>
      </c>
      <c r="CH27" s="141">
        <f t="shared" si="121"/>
        <v>0</v>
      </c>
      <c r="CI27" s="141">
        <f t="shared" si="121"/>
        <v>0</v>
      </c>
      <c r="CJ27" s="141">
        <f t="shared" si="121"/>
        <v>0</v>
      </c>
      <c r="CK27" s="141">
        <f t="shared" si="121"/>
        <v>0</v>
      </c>
      <c r="CL27" s="141">
        <f t="shared" si="121"/>
        <v>0</v>
      </c>
      <c r="CM27" s="141">
        <f t="shared" si="121"/>
        <v>5280.0000000000009</v>
      </c>
      <c r="CN27" s="141">
        <f t="shared" si="121"/>
        <v>0</v>
      </c>
      <c r="CO27" s="141">
        <f t="shared" si="121"/>
        <v>0</v>
      </c>
      <c r="CP27" s="141">
        <f t="shared" si="121"/>
        <v>0</v>
      </c>
      <c r="CQ27" s="141">
        <f t="shared" si="121"/>
        <v>0</v>
      </c>
      <c r="CR27" s="141">
        <f t="shared" si="121"/>
        <v>0</v>
      </c>
      <c r="CS27" s="141">
        <f t="shared" si="121"/>
        <v>0</v>
      </c>
      <c r="CT27" s="141">
        <f t="shared" si="121"/>
        <v>0</v>
      </c>
      <c r="CU27" s="141">
        <f t="shared" si="121"/>
        <v>0</v>
      </c>
      <c r="CV27" s="141">
        <f t="shared" si="121"/>
        <v>0</v>
      </c>
      <c r="CW27" s="142">
        <f t="shared" ref="CW27:DZ27" si="122">EA27*$AH27*$AJ27</f>
        <v>0</v>
      </c>
      <c r="CX27" s="142">
        <f t="shared" si="122"/>
        <v>0</v>
      </c>
      <c r="CY27" s="142">
        <f t="shared" si="122"/>
        <v>0</v>
      </c>
      <c r="CZ27" s="142">
        <f t="shared" si="122"/>
        <v>0</v>
      </c>
      <c r="DA27" s="142">
        <f t="shared" si="122"/>
        <v>0</v>
      </c>
      <c r="DB27" s="142">
        <f t="shared" si="122"/>
        <v>0</v>
      </c>
      <c r="DC27" s="142">
        <f t="shared" si="122"/>
        <v>0</v>
      </c>
      <c r="DD27" s="142">
        <f t="shared" si="122"/>
        <v>0</v>
      </c>
      <c r="DE27" s="142">
        <f t="shared" si="122"/>
        <v>0</v>
      </c>
      <c r="DF27" s="142">
        <f t="shared" si="122"/>
        <v>0</v>
      </c>
      <c r="DG27" s="142">
        <f t="shared" si="122"/>
        <v>0</v>
      </c>
      <c r="DH27" s="142">
        <f t="shared" si="122"/>
        <v>0</v>
      </c>
      <c r="DI27" s="142">
        <f t="shared" si="122"/>
        <v>0</v>
      </c>
      <c r="DJ27" s="142">
        <f t="shared" si="122"/>
        <v>0</v>
      </c>
      <c r="DK27" s="142">
        <f t="shared" si="122"/>
        <v>0</v>
      </c>
      <c r="DL27" s="142">
        <f t="shared" si="122"/>
        <v>0</v>
      </c>
      <c r="DM27" s="142">
        <f t="shared" si="122"/>
        <v>0</v>
      </c>
      <c r="DN27" s="142">
        <f t="shared" si="122"/>
        <v>0</v>
      </c>
      <c r="DO27" s="142">
        <f t="shared" si="122"/>
        <v>0</v>
      </c>
      <c r="DP27" s="142">
        <f t="shared" si="122"/>
        <v>0</v>
      </c>
      <c r="DQ27" s="142">
        <f t="shared" si="122"/>
        <v>0</v>
      </c>
      <c r="DR27" s="142">
        <f t="shared" si="122"/>
        <v>0</v>
      </c>
      <c r="DS27" s="142">
        <f t="shared" si="122"/>
        <v>0</v>
      </c>
      <c r="DT27" s="142">
        <f t="shared" si="122"/>
        <v>0</v>
      </c>
      <c r="DU27" s="142">
        <f t="shared" si="122"/>
        <v>0</v>
      </c>
      <c r="DV27" s="142">
        <f t="shared" si="122"/>
        <v>0</v>
      </c>
      <c r="DW27" s="142">
        <f t="shared" si="122"/>
        <v>0</v>
      </c>
      <c r="DX27" s="142">
        <f t="shared" si="122"/>
        <v>0</v>
      </c>
      <c r="DY27" s="142">
        <f t="shared" si="122"/>
        <v>0</v>
      </c>
      <c r="DZ27" s="142">
        <f t="shared" si="122"/>
        <v>0</v>
      </c>
      <c r="EA27" s="143">
        <f t="shared" si="9"/>
        <v>0</v>
      </c>
      <c r="EB27" s="143">
        <f t="shared" si="10"/>
        <v>0</v>
      </c>
      <c r="EC27" s="143">
        <f t="shared" si="11"/>
        <v>0</v>
      </c>
      <c r="ED27" s="143">
        <f t="shared" si="12"/>
        <v>0</v>
      </c>
      <c r="EE27" s="143">
        <f t="shared" si="13"/>
        <v>0</v>
      </c>
      <c r="EF27" s="143">
        <f t="shared" si="14"/>
        <v>0</v>
      </c>
      <c r="EG27" s="143">
        <f t="shared" si="15"/>
        <v>0</v>
      </c>
      <c r="EH27" s="143">
        <f t="shared" si="16"/>
        <v>0</v>
      </c>
      <c r="EI27" s="143">
        <f t="shared" si="17"/>
        <v>0</v>
      </c>
      <c r="EJ27" s="143">
        <f t="shared" si="18"/>
        <v>0</v>
      </c>
      <c r="EK27" s="143">
        <f t="shared" si="19"/>
        <v>3</v>
      </c>
      <c r="EL27" s="143">
        <f t="shared" si="20"/>
        <v>0</v>
      </c>
      <c r="EM27" s="143">
        <f t="shared" si="21"/>
        <v>0</v>
      </c>
      <c r="EN27" s="143">
        <f t="shared" si="22"/>
        <v>0</v>
      </c>
      <c r="EO27" s="143">
        <f t="shared" si="23"/>
        <v>0</v>
      </c>
      <c r="EP27" s="143">
        <f t="shared" si="24"/>
        <v>0</v>
      </c>
      <c r="EQ27" s="143">
        <f t="shared" si="25"/>
        <v>0</v>
      </c>
      <c r="ER27" s="143">
        <f t="shared" si="26"/>
        <v>0</v>
      </c>
      <c r="ES27" s="143">
        <f t="shared" si="27"/>
        <v>0</v>
      </c>
      <c r="ET27" s="143">
        <f t="shared" si="28"/>
        <v>0</v>
      </c>
      <c r="EU27" s="143">
        <f t="shared" si="29"/>
        <v>3</v>
      </c>
      <c r="EV27" s="143">
        <f t="shared" si="30"/>
        <v>0</v>
      </c>
      <c r="EW27" s="143">
        <f t="shared" si="31"/>
        <v>0</v>
      </c>
      <c r="EX27" s="143">
        <f t="shared" si="32"/>
        <v>0</v>
      </c>
      <c r="EY27" s="143">
        <f t="shared" si="33"/>
        <v>0</v>
      </c>
      <c r="EZ27" s="143">
        <f t="shared" si="34"/>
        <v>0</v>
      </c>
      <c r="FA27" s="143">
        <f t="shared" si="35"/>
        <v>0</v>
      </c>
      <c r="FB27" s="143">
        <f t="shared" si="36"/>
        <v>0</v>
      </c>
      <c r="FC27" s="143">
        <f t="shared" si="37"/>
        <v>0</v>
      </c>
      <c r="FD27" s="143">
        <f t="shared" si="38"/>
        <v>0</v>
      </c>
      <c r="FE27" s="140">
        <f>SUM($D27:D27)*IF($B27="Operacional",IFERROR(VLOOKUP($C27,SN_UGC,28,0),0),1)</f>
        <v>3</v>
      </c>
      <c r="FF27" s="140">
        <f>SUM($D27:E27)*IF($B27="Operacional",IFERROR(VLOOKUP($C27,SN_UGC,28,0),0),1)</f>
        <v>3</v>
      </c>
      <c r="FG27" s="140">
        <f>SUM($D27:F27)*IF($B27="Operacional",IFERROR(VLOOKUP($C27,SN_UGC,28,0),0),1)</f>
        <v>3</v>
      </c>
      <c r="FH27" s="140">
        <f>SUM($D27:G27)*IF($B27="Operacional",IFERROR(VLOOKUP($C27,SN_UGC,28,0),0),1)</f>
        <v>3</v>
      </c>
      <c r="FI27" s="140">
        <f>SUM($D27:H27)*IF($B27="Operacional",IFERROR(VLOOKUP($C27,SN_UGC,28,0),0),1)</f>
        <v>3</v>
      </c>
      <c r="FJ27" s="140">
        <f>SUM($D27:I27)*IF($B27="Operacional",IFERROR(VLOOKUP($C27,SN_UGC,28,0),0),1)</f>
        <v>3</v>
      </c>
      <c r="FK27" s="140">
        <f>SUM($D27:J27)*IF($B27="Operacional",IFERROR(VLOOKUP($C27,SN_UGC,28,0),0),1)</f>
        <v>3</v>
      </c>
      <c r="FL27" s="140">
        <f>SUM($D27:K27)*IF($B27="Operacional",IFERROR(VLOOKUP($C27,SN_UGC,28,0),0),1)</f>
        <v>3</v>
      </c>
      <c r="FM27" s="140">
        <f>SUM($D27:L27)*IF($B27="Operacional",IFERROR(VLOOKUP($C27,SN_UGC,28,0),0),1)</f>
        <v>3</v>
      </c>
      <c r="FN27" s="140">
        <f>SUM($D27:M27)*IF($B27="Operacional",IFERROR(VLOOKUP($C27,SN_UGC,28,0),0),1)</f>
        <v>3</v>
      </c>
      <c r="FO27" s="140">
        <f>SUM($D27:N27)*IF($B27="Operacional",IFERROR(VLOOKUP($C27,SN_UGC,28,0),0),1)</f>
        <v>3</v>
      </c>
      <c r="FP27" s="140">
        <f>SUM($D27:O27)*IF($B27="Operacional",IFERROR(VLOOKUP($C27,SN_UGC,28,0),0),1)</f>
        <v>3</v>
      </c>
      <c r="FQ27" s="140">
        <f>SUM($D27:P27)*IF($B27="Operacional",IFERROR(VLOOKUP($C27,SN_UGC,28,0),0),1)</f>
        <v>3</v>
      </c>
      <c r="FR27" s="140">
        <f>SUM($D27:Q27)*IF($B27="Operacional",IFERROR(VLOOKUP($C27,SN_UGC,28,0),0),1)</f>
        <v>3</v>
      </c>
      <c r="FS27" s="140">
        <f>SUM($D27:R27)*IF($B27="Operacional",IFERROR(VLOOKUP($C27,SN_UGC,28,0),0),1)</f>
        <v>3</v>
      </c>
      <c r="FT27" s="140">
        <f>SUM($D27:S27)*IF($B27="Operacional",IFERROR(VLOOKUP($C27,SN_UGC,28,0),0),1)</f>
        <v>3</v>
      </c>
      <c r="FU27" s="140">
        <f>SUM($D27:T27)*IF($B27="Operacional",IFERROR(VLOOKUP($C27,SN_UGC,28,0),0),1)</f>
        <v>3</v>
      </c>
      <c r="FV27" s="140">
        <f>SUM($D27:U27)*IF($B27="Operacional",IFERROR(VLOOKUP($C27,SN_UGC,28,0),0),1)</f>
        <v>3</v>
      </c>
      <c r="FW27" s="140">
        <f>SUM($D27:V27)*IF($B27="Operacional",IFERROR(VLOOKUP($C27,SN_UGC,28,0),0),1)</f>
        <v>3</v>
      </c>
      <c r="FX27" s="140">
        <f>SUM($D27:W27)*IF($B27="Operacional",IFERROR(VLOOKUP($C27,SN_UGC,28,0),0),1)</f>
        <v>3</v>
      </c>
      <c r="FY27" s="140">
        <f>SUM($D27:X27)*IF($B27="Operacional",IFERROR(VLOOKUP($C27,SN_UGC,28,0),0),1)</f>
        <v>3</v>
      </c>
      <c r="FZ27" s="140">
        <f>SUM($D27:Y27)*IF($B27="Operacional",IFERROR(VLOOKUP($C27,SN_UGC,28,0),0),1)</f>
        <v>3</v>
      </c>
      <c r="GA27" s="140">
        <f>SUM($D27:Z27)*IF($B27="Operacional",IFERROR(VLOOKUP($C27,SN_UGC,28,0),0),1)</f>
        <v>3</v>
      </c>
      <c r="GB27" s="140">
        <f>SUM($D27:AA27)*IF($B27="Operacional",IFERROR(VLOOKUP($C27,SN_UGC,28,0),0),1)</f>
        <v>3</v>
      </c>
      <c r="GC27" s="140">
        <f>SUM($D27:AB27)*IF($B27="Operacional",IFERROR(VLOOKUP($C27,SN_UGC,28,0),0),1)</f>
        <v>3</v>
      </c>
      <c r="GD27" s="140">
        <f>SUM($D27:AC27)*IF($B27="Operacional",IFERROR(VLOOKUP($C27,SN_UGC,28,0),0),1)</f>
        <v>3</v>
      </c>
      <c r="GE27" s="140">
        <f>SUM($D27:AD27)*IF($B27="Operacional",IFERROR(VLOOKUP($C27,SN_UGC,28,0),0),1)</f>
        <v>3</v>
      </c>
      <c r="GF27" s="140">
        <f>SUM($D27:AE27)*IF($B27="Operacional",IFERROR(VLOOKUP($C27,SN_UGC,28,0),0),1)</f>
        <v>3</v>
      </c>
      <c r="GG27" s="140">
        <f>SUM($D27:AF27)*IF($B27="Operacional",IFERROR(VLOOKUP($C27,SN_UGC,28,0),0),1)</f>
        <v>3</v>
      </c>
      <c r="GH27" s="140">
        <f>SUM($D27:AG27)*IF($B27="Operacional",IFERROR(VLOOKUP($C27,SN_UGC,28,0),0),1)</f>
        <v>3</v>
      </c>
      <c r="GI27" s="141">
        <f t="shared" ref="GI27:HL27" si="123">FE27*$AH27*$AL27</f>
        <v>264.00000000000006</v>
      </c>
      <c r="GJ27" s="141">
        <f t="shared" si="123"/>
        <v>264.00000000000006</v>
      </c>
      <c r="GK27" s="141">
        <f t="shared" si="123"/>
        <v>264.00000000000006</v>
      </c>
      <c r="GL27" s="141">
        <f t="shared" si="123"/>
        <v>264.00000000000006</v>
      </c>
      <c r="GM27" s="141">
        <f t="shared" si="123"/>
        <v>264.00000000000006</v>
      </c>
      <c r="GN27" s="141">
        <f t="shared" si="123"/>
        <v>264.00000000000006</v>
      </c>
      <c r="GO27" s="141">
        <f t="shared" si="123"/>
        <v>264.00000000000006</v>
      </c>
      <c r="GP27" s="141">
        <f t="shared" si="123"/>
        <v>264.00000000000006</v>
      </c>
      <c r="GQ27" s="141">
        <f t="shared" si="123"/>
        <v>264.00000000000006</v>
      </c>
      <c r="GR27" s="141">
        <f t="shared" si="123"/>
        <v>264.00000000000006</v>
      </c>
      <c r="GS27" s="141">
        <f t="shared" si="123"/>
        <v>264.00000000000006</v>
      </c>
      <c r="GT27" s="141">
        <f t="shared" si="123"/>
        <v>264.00000000000006</v>
      </c>
      <c r="GU27" s="141">
        <f t="shared" si="123"/>
        <v>264.00000000000006</v>
      </c>
      <c r="GV27" s="141">
        <f t="shared" si="123"/>
        <v>264.00000000000006</v>
      </c>
      <c r="GW27" s="141">
        <f t="shared" si="123"/>
        <v>264.00000000000006</v>
      </c>
      <c r="GX27" s="141">
        <f t="shared" si="123"/>
        <v>264.00000000000006</v>
      </c>
      <c r="GY27" s="141">
        <f t="shared" si="123"/>
        <v>264.00000000000006</v>
      </c>
      <c r="GZ27" s="141">
        <f t="shared" si="123"/>
        <v>264.00000000000006</v>
      </c>
      <c r="HA27" s="141">
        <f t="shared" si="123"/>
        <v>264.00000000000006</v>
      </c>
      <c r="HB27" s="141">
        <f t="shared" si="123"/>
        <v>264.00000000000006</v>
      </c>
      <c r="HC27" s="141">
        <f t="shared" si="123"/>
        <v>264.00000000000006</v>
      </c>
      <c r="HD27" s="141">
        <f t="shared" si="123"/>
        <v>264.00000000000006</v>
      </c>
      <c r="HE27" s="141">
        <f t="shared" si="123"/>
        <v>264.00000000000006</v>
      </c>
      <c r="HF27" s="141">
        <f t="shared" si="123"/>
        <v>264.00000000000006</v>
      </c>
      <c r="HG27" s="141">
        <f t="shared" si="123"/>
        <v>264.00000000000006</v>
      </c>
      <c r="HH27" s="141">
        <f t="shared" si="123"/>
        <v>264.00000000000006</v>
      </c>
      <c r="HI27" s="141">
        <f t="shared" si="123"/>
        <v>264.00000000000006</v>
      </c>
      <c r="HJ27" s="141">
        <f t="shared" si="123"/>
        <v>264.00000000000006</v>
      </c>
      <c r="HK27" s="141">
        <f t="shared" si="123"/>
        <v>264.00000000000006</v>
      </c>
      <c r="HL27" s="141">
        <f t="shared" si="123"/>
        <v>264.00000000000006</v>
      </c>
      <c r="HM27" s="142">
        <f t="shared" ref="HM27:IP27" si="124">IF(ISBLANK($A27),,FE27*($AH27-($AH27*$AJ27))/$AI27)</f>
        <v>528.00000000000011</v>
      </c>
      <c r="HN27" s="142">
        <f t="shared" si="124"/>
        <v>528.00000000000011</v>
      </c>
      <c r="HO27" s="142">
        <f t="shared" si="124"/>
        <v>528.00000000000011</v>
      </c>
      <c r="HP27" s="142">
        <f t="shared" si="124"/>
        <v>528.00000000000011</v>
      </c>
      <c r="HQ27" s="142">
        <f t="shared" si="124"/>
        <v>528.00000000000011</v>
      </c>
      <c r="HR27" s="142">
        <f t="shared" si="124"/>
        <v>528.00000000000011</v>
      </c>
      <c r="HS27" s="142">
        <f t="shared" si="124"/>
        <v>528.00000000000011</v>
      </c>
      <c r="HT27" s="142">
        <f t="shared" si="124"/>
        <v>528.00000000000011</v>
      </c>
      <c r="HU27" s="142">
        <f t="shared" si="124"/>
        <v>528.00000000000011</v>
      </c>
      <c r="HV27" s="142">
        <f t="shared" si="124"/>
        <v>528.00000000000011</v>
      </c>
      <c r="HW27" s="142">
        <f t="shared" si="124"/>
        <v>528.00000000000011</v>
      </c>
      <c r="HX27" s="142">
        <f t="shared" si="124"/>
        <v>528.00000000000011</v>
      </c>
      <c r="HY27" s="142">
        <f t="shared" si="124"/>
        <v>528.00000000000011</v>
      </c>
      <c r="HZ27" s="142">
        <f t="shared" si="124"/>
        <v>528.00000000000011</v>
      </c>
      <c r="IA27" s="142">
        <f t="shared" si="124"/>
        <v>528.00000000000011</v>
      </c>
      <c r="IB27" s="142">
        <f t="shared" si="124"/>
        <v>528.00000000000011</v>
      </c>
      <c r="IC27" s="142">
        <f t="shared" si="124"/>
        <v>528.00000000000011</v>
      </c>
      <c r="ID27" s="142">
        <f t="shared" si="124"/>
        <v>528.00000000000011</v>
      </c>
      <c r="IE27" s="142">
        <f t="shared" si="124"/>
        <v>528.00000000000011</v>
      </c>
      <c r="IF27" s="142">
        <f t="shared" si="124"/>
        <v>528.00000000000011</v>
      </c>
      <c r="IG27" s="142">
        <f t="shared" si="124"/>
        <v>528.00000000000011</v>
      </c>
      <c r="IH27" s="142">
        <f t="shared" si="124"/>
        <v>528.00000000000011</v>
      </c>
      <c r="II27" s="142">
        <f t="shared" si="124"/>
        <v>528.00000000000011</v>
      </c>
      <c r="IJ27" s="142">
        <f t="shared" si="124"/>
        <v>528.00000000000011</v>
      </c>
      <c r="IK27" s="142">
        <f t="shared" si="124"/>
        <v>528.00000000000011</v>
      </c>
      <c r="IL27" s="142">
        <f t="shared" si="124"/>
        <v>528.00000000000011</v>
      </c>
      <c r="IM27" s="142">
        <f t="shared" si="124"/>
        <v>528.00000000000011</v>
      </c>
      <c r="IN27" s="142">
        <f t="shared" si="124"/>
        <v>528.00000000000011</v>
      </c>
      <c r="IO27" s="142">
        <f t="shared" si="124"/>
        <v>528.00000000000011</v>
      </c>
      <c r="IP27" s="142">
        <f t="shared" si="124"/>
        <v>528.00000000000011</v>
      </c>
      <c r="IQ27" s="141">
        <f>IF(ISBLANK($A27),,IF($AN27="Não",0,(SUM($AO27:AO27)*$AH27)-SUM($HM27:HM27)-SUM($CW27:CW27)))</f>
        <v>0</v>
      </c>
      <c r="IR27" s="141">
        <f>IF(ISBLANK($A27),,IF($AN27="Não",0,(SUM($AO27:AP27)*$AH27)-SUM($HM27:HN27)-SUM($CW27:CX27)))</f>
        <v>0</v>
      </c>
      <c r="IS27" s="141">
        <f>IF(ISBLANK($A27),,IF($AN27="Não",0,(SUM($AO27:AQ27)*$AH27)-SUM($HM27:HO27)-SUM($CW27:CY27)))</f>
        <v>0</v>
      </c>
      <c r="IT27" s="141">
        <f>IF(ISBLANK($A27),,IF($AN27="Não",0,(SUM($AO27:AR27)*$AH27)-SUM($HM27:HP27)-SUM($CW27:CZ27)))</f>
        <v>0</v>
      </c>
      <c r="IU27" s="141">
        <f>IF(ISBLANK($A27),,IF($AN27="Não",0,(SUM($AO27:AS27)*$AH27)-SUM($HM27:HQ27)-SUM($CW27:DA27)))</f>
        <v>0</v>
      </c>
      <c r="IV27" s="141">
        <f>IF(ISBLANK($A27),,IF($AN27="Não",0,(SUM($AO27:AT27)*$AH27)-SUM($HM27:HR27)-SUM($CW27:DB27)))</f>
        <v>0</v>
      </c>
      <c r="IW27" s="141">
        <f>IF(ISBLANK($A27),,IF($AN27="Não",0,(SUM($AO27:AU27)*$AH27)-SUM($HM27:HS27)-SUM($CW27:DC27)))</f>
        <v>0</v>
      </c>
      <c r="IX27" s="141">
        <f>IF(ISBLANK($A27),,IF($AN27="Não",0,(SUM($AO27:AV27)*$AH27)-SUM($HM27:HT27)-SUM($CW27:DD27)))</f>
        <v>0</v>
      </c>
      <c r="IY27" s="141">
        <f>IF(ISBLANK($A27),,IF($AN27="Não",0,(SUM($AO27:AW27)*$AH27)-SUM($HM27:HU27)-SUM($CW27:DE27)))</f>
        <v>0</v>
      </c>
      <c r="IZ27" s="141">
        <f>IF(ISBLANK($A27),,IF($AN27="Não",0,(SUM($AO27:AX27)*$AH27)-SUM($HM27:HV27)-SUM($CW27:DF27)))</f>
        <v>0</v>
      </c>
      <c r="JA27" s="141">
        <f>IF(ISBLANK($A27),,IF($AN27="Não",0,(SUM($AO27:AY27)*$AH27)-SUM($HM27:HW27)-SUM($CW27:DG27)))</f>
        <v>0</v>
      </c>
      <c r="JB27" s="141">
        <f>IF(ISBLANK($A27),,IF($AN27="Não",0,(SUM($AO27:AZ27)*$AH27)-SUM($HM27:HX27)-SUM($CW27:DH27)))</f>
        <v>0</v>
      </c>
      <c r="JC27" s="141">
        <f>IF(ISBLANK($A27),,IF($AN27="Não",0,(SUM($AO27:BA27)*$AH27)-SUM($HM27:HY27)-SUM($CW27:DI27)))</f>
        <v>0</v>
      </c>
      <c r="JD27" s="141">
        <f>IF(ISBLANK($A27),,IF($AN27="Não",0,(SUM($AO27:BB27)*$AH27)-SUM($HM27:HZ27)-SUM($CW27:DJ27)))</f>
        <v>0</v>
      </c>
      <c r="JE27" s="141">
        <f>IF(ISBLANK($A27),,IF($AN27="Não",0,(SUM($AO27:BC27)*$AH27)-SUM($HM27:IA27)-SUM($CW27:DK27)))</f>
        <v>0</v>
      </c>
      <c r="JF27" s="141">
        <f>IF(ISBLANK($A27),,IF($AN27="Não",0,(SUM($AO27:BD27)*$AH27)-SUM($HM27:IB27)-SUM($CW27:DL27)))</f>
        <v>0</v>
      </c>
      <c r="JG27" s="141">
        <f>IF(ISBLANK($A27),,IF($AN27="Não",0,(SUM($AO27:BE27)*$AH27)-SUM($HM27:IC27)-SUM($CW27:DM27)))</f>
        <v>0</v>
      </c>
      <c r="JH27" s="141">
        <f>IF(ISBLANK($A27),,IF($AN27="Não",0,(SUM($AO27:BF27)*$AH27)-SUM($HM27:ID27)-SUM($CW27:DN27)))</f>
        <v>0</v>
      </c>
      <c r="JI27" s="141">
        <f>IF(ISBLANK($A27),,IF($AN27="Não",0,(SUM($AO27:BG27)*$AH27)-SUM($HM27:IE27)-SUM($CW27:DO27)))</f>
        <v>0</v>
      </c>
      <c r="JJ27" s="141">
        <f>IF(ISBLANK($A27),,IF($AN27="Não",0,(SUM($AO27:BH27)*$AH27)-SUM($HM27:IF27)-SUM($CW27:DP27)))</f>
        <v>0</v>
      </c>
      <c r="JK27" s="141">
        <f>IF(ISBLANK($A27),,IF($AN27="Não",0,(SUM($AO27:BI27)*$AH27)-SUM($HM27:IG27)-SUM($CW27:DQ27)))</f>
        <v>0</v>
      </c>
      <c r="JL27" s="141">
        <f>IF(ISBLANK($A27),,IF($AN27="Não",0,(SUM($AO27:BJ27)*$AH27)-SUM($HM27:IH27)-SUM($CW27:DR27)))</f>
        <v>0</v>
      </c>
      <c r="JM27" s="141">
        <f>IF(ISBLANK($A27),,IF($AN27="Não",0,(SUM($AO27:BK27)*$AH27)-SUM($HM27:II27)-SUM($CW27:DS27)))</f>
        <v>0</v>
      </c>
      <c r="JN27" s="141">
        <f>IF(ISBLANK($A27),,IF($AN27="Não",0,(SUM($AO27:BL27)*$AH27)-SUM($HM27:IJ27)-SUM($CW27:DT27)))</f>
        <v>0</v>
      </c>
      <c r="JO27" s="141">
        <f>IF(ISBLANK($A27),,IF($AN27="Não",0,(SUM($AO27:BM27)*$AH27)-SUM($HM27:IK27)-SUM($CW27:DU27)))</f>
        <v>0</v>
      </c>
      <c r="JP27" s="141">
        <f>IF(ISBLANK($A27),,IF($AN27="Não",0,(SUM($AO27:BN27)*$AH27)-SUM($HM27:IL27)-SUM($CW27:DV27)))</f>
        <v>0</v>
      </c>
      <c r="JQ27" s="141">
        <f>IF(ISBLANK($A27),,IF($AN27="Não",0,(SUM($AO27:BO27)*$AH27)-SUM($HM27:IM27)-SUM($CW27:DW27)))</f>
        <v>0</v>
      </c>
      <c r="JR27" s="141">
        <f>IF(ISBLANK($A27),,IF($AN27="Não",0,(SUM($AO27:BP27)*$AH27)-SUM($HM27:IN27)-SUM($CW27:DX27)))</f>
        <v>0</v>
      </c>
      <c r="JS27" s="141">
        <f>IF(ISBLANK($A27),,IF($AN27="Não",0,(SUM($AO27:BQ27)*$AH27)-SUM($HM27:IO27)-SUM($CW27:DY27)))</f>
        <v>0</v>
      </c>
      <c r="JT27" s="141">
        <f>IF(ISBLANK($A27),,IF($AN27="Não",0,(SUM($AO27:BR27)*$AH27)-SUM($HM27:IP27)-SUM($CW27:DZ27)))</f>
        <v>0</v>
      </c>
    </row>
    <row r="28" spans="1:280" ht="15.75" customHeight="1">
      <c r="A28" s="129" t="s">
        <v>379</v>
      </c>
      <c r="B28" s="129" t="s">
        <v>209</v>
      </c>
      <c r="C28" s="138" t="s">
        <v>79</v>
      </c>
      <c r="D28" s="139">
        <v>50</v>
      </c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607">
        <f t="shared" si="0"/>
        <v>550</v>
      </c>
      <c r="AI28" s="608">
        <f t="shared" si="1"/>
        <v>30</v>
      </c>
      <c r="AJ28" s="609">
        <f t="shared" si="2"/>
        <v>1</v>
      </c>
      <c r="AK28" s="610" t="str">
        <f t="shared" si="3"/>
        <v>Infraestrutura</v>
      </c>
      <c r="AL28" s="609">
        <f t="shared" si="4"/>
        <v>0.16</v>
      </c>
      <c r="AM28" s="611" t="str">
        <f t="shared" si="5"/>
        <v>Sim</v>
      </c>
      <c r="AN28" s="611" t="str">
        <f t="shared" si="6"/>
        <v>Não</v>
      </c>
      <c r="AO28" s="140">
        <f t="array" ref="AO28">IF(ISBLANK($A28),0,IF(OR(AO$5-$AI28&lt;=0,$AM28="Não"),D28,D28+INDEX($AO$6:$BR$176,ROW()-5,COLUMN()-40-$AI28)))*IF($B28="Operacional",IFERROR(VLOOKUP($C28,SN_UGC,28,0),0),1)</f>
        <v>50</v>
      </c>
      <c r="AP28" s="140">
        <f t="array" ref="AP28">IF(ISBLANK($A28),0,IF(OR(AP$5-$AI28&lt;=0,$AM28="Não"),E28,E28+INDEX($AO$6:$BR$176,ROW()-5,COLUMN()-40-$AI28)))*IF($B28="Operacional",IFERROR(VLOOKUP($C28,SN_UGC,28,0),0),1)</f>
        <v>0</v>
      </c>
      <c r="AQ28" s="140">
        <f t="array" ref="AQ28">IF(ISBLANK($A28),0,IF(OR(AQ$5-$AI28&lt;=0,$AM28="Não"),F28,F28+INDEX($AO$6:$BR$176,ROW()-5,COLUMN()-40-$AI28)))*IF($B28="Operacional",IFERROR(VLOOKUP($C28,SN_UGC,28,0),0),1)</f>
        <v>0</v>
      </c>
      <c r="AR28" s="140">
        <f t="array" ref="AR28">IF(ISBLANK($A28),0,IF(OR(AR$5-$AI28&lt;=0,$AM28="Não"),G28,G28+INDEX($AO$6:$BR$176,ROW()-5,COLUMN()-40-$AI28)))*IF($B28="Operacional",IFERROR(VLOOKUP($C28,SN_UGC,28,0),0),1)</f>
        <v>0</v>
      </c>
      <c r="AS28" s="140">
        <f t="array" ref="AS28">IF(ISBLANK($A28),0,IF(OR(AS$5-$AI28&lt;=0,$AM28="Não"),H28,H28+INDEX($AO$6:$BR$176,ROW()-5,COLUMN()-40-$AI28)))*IF($B28="Operacional",IFERROR(VLOOKUP($C28,SN_UGC,28,0),0),1)</f>
        <v>0</v>
      </c>
      <c r="AT28" s="140">
        <f t="array" ref="AT28">IF(ISBLANK($A28),0,IF(OR(AT$5-$AI28&lt;=0,$AM28="Não"),I28,I28+INDEX($AO$6:$BR$176,ROW()-5,COLUMN()-40-$AI28)))*IF($B28="Operacional",IFERROR(VLOOKUP($C28,SN_UGC,28,0),0),1)</f>
        <v>0</v>
      </c>
      <c r="AU28" s="140">
        <f t="array" ref="AU28">IF(ISBLANK($A28),0,IF(OR(AU$5-$AI28&lt;=0,$AM28="Não"),J28,J28+INDEX($AO$6:$BR$176,ROW()-5,COLUMN()-40-$AI28)))*IF($B28="Operacional",IFERROR(VLOOKUP($C28,SN_UGC,28,0),0),1)</f>
        <v>0</v>
      </c>
      <c r="AV28" s="140">
        <f t="array" ref="AV28">IF(ISBLANK($A28),0,IF(OR(AV$5-$AI28&lt;=0,$AM28="Não"),K28,K28+INDEX($AO$6:$BR$176,ROW()-5,COLUMN()-40-$AI28)))*IF($B28="Operacional",IFERROR(VLOOKUP($C28,SN_UGC,28,0),0),1)</f>
        <v>0</v>
      </c>
      <c r="AW28" s="140">
        <f t="array" ref="AW28">IF(ISBLANK($A28),0,IF(OR(AW$5-$AI28&lt;=0,$AM28="Não"),L28,L28+INDEX($AO$6:$BR$176,ROW()-5,COLUMN()-40-$AI28)))*IF($B28="Operacional",IFERROR(VLOOKUP($C28,SN_UGC,28,0),0),1)</f>
        <v>0</v>
      </c>
      <c r="AX28" s="140">
        <f t="array" ref="AX28">IF(ISBLANK($A28),0,IF(OR(AX$5-$AI28&lt;=0,$AM28="Não"),M28,M28+INDEX($AO$6:$BR$176,ROW()-5,COLUMN()-40-$AI28)))*IF($B28="Operacional",IFERROR(VLOOKUP($C28,SN_UGC,28,0),0),1)</f>
        <v>0</v>
      </c>
      <c r="AY28" s="140">
        <f t="array" ref="AY28">IF(ISBLANK($A28),0,IF(OR(AY$5-$AI28&lt;=0,$AM28="Não"),N28,N28+INDEX($AO$6:$BR$176,ROW()-5,COLUMN()-40-$AI28)))*IF($B28="Operacional",IFERROR(VLOOKUP($C28,SN_UGC,28,0),0),1)</f>
        <v>0</v>
      </c>
      <c r="AZ28" s="140">
        <f t="array" ref="AZ28">IF(ISBLANK($A28),0,IF(OR(AZ$5-$AI28&lt;=0,$AM28="Não"),O28,O28+INDEX($AO$6:$BR$176,ROW()-5,COLUMN()-40-$AI28)))*IF($B28="Operacional",IFERROR(VLOOKUP($C28,SN_UGC,28,0),0),1)</f>
        <v>0</v>
      </c>
      <c r="BA28" s="140">
        <f t="array" ref="BA28">IF(ISBLANK($A28),0,IF(OR(BA$5-$AI28&lt;=0,$AM28="Não"),P28,P28+INDEX($AO$6:$BR$176,ROW()-5,COLUMN()-40-$AI28)))*IF($B28="Operacional",IFERROR(VLOOKUP($C28,SN_UGC,28,0),0),1)</f>
        <v>0</v>
      </c>
      <c r="BB28" s="140">
        <f t="array" ref="BB28">IF(ISBLANK($A28),0,IF(OR(BB$5-$AI28&lt;=0,$AM28="Não"),Q28,Q28+INDEX($AO$6:$BR$176,ROW()-5,COLUMN()-40-$AI28)))*IF($B28="Operacional",IFERROR(VLOOKUP($C28,SN_UGC,28,0),0),1)</f>
        <v>0</v>
      </c>
      <c r="BC28" s="140">
        <f t="array" ref="BC28">IF(ISBLANK($A28),0,IF(OR(BC$5-$AI28&lt;=0,$AM28="Não"),R28,R28+INDEX($AO$6:$BR$176,ROW()-5,COLUMN()-40-$AI28)))*IF($B28="Operacional",IFERROR(VLOOKUP($C28,SN_UGC,28,0),0),1)</f>
        <v>0</v>
      </c>
      <c r="BD28" s="140">
        <f t="array" ref="BD28">IF(ISBLANK($A28),0,IF(OR(BD$5-$AI28&lt;=0,$AM28="Não"),S28,S28+INDEX($AO$6:$BR$176,ROW()-5,COLUMN()-40-$AI28)))*IF($B28="Operacional",IFERROR(VLOOKUP($C28,SN_UGC,28,0),0),1)</f>
        <v>0</v>
      </c>
      <c r="BE28" s="140">
        <f t="array" ref="BE28">IF(ISBLANK($A28),0,IF(OR(BE$5-$AI28&lt;=0,$AM28="Não"),T28,T28+INDEX($AO$6:$BR$176,ROW()-5,COLUMN()-40-$AI28)))*IF($B28="Operacional",IFERROR(VLOOKUP($C28,SN_UGC,28,0),0),1)</f>
        <v>0</v>
      </c>
      <c r="BF28" s="140">
        <f t="array" ref="BF28">IF(ISBLANK($A28),0,IF(OR(BF$5-$AI28&lt;=0,$AM28="Não"),U28,U28+INDEX($AO$6:$BR$176,ROW()-5,COLUMN()-40-$AI28)))*IF($B28="Operacional",IFERROR(VLOOKUP($C28,SN_UGC,28,0),0),1)</f>
        <v>0</v>
      </c>
      <c r="BG28" s="140">
        <f t="array" ref="BG28">IF(ISBLANK($A28),0,IF(OR(BG$5-$AI28&lt;=0,$AM28="Não"),V28,V28+INDEX($AO$6:$BR$176,ROW()-5,COLUMN()-40-$AI28)))*IF($B28="Operacional",IFERROR(VLOOKUP($C28,SN_UGC,28,0),0),1)</f>
        <v>0</v>
      </c>
      <c r="BH28" s="140">
        <f t="array" ref="BH28">IF(ISBLANK($A28),0,IF(OR(BH$5-$AI28&lt;=0,$AM28="Não"),W28,W28+INDEX($AO$6:$BR$176,ROW()-5,COLUMN()-40-$AI28)))*IF($B28="Operacional",IFERROR(VLOOKUP($C28,SN_UGC,28,0),0),1)</f>
        <v>0</v>
      </c>
      <c r="BI28" s="140">
        <f t="array" ref="BI28">IF(ISBLANK($A28),0,IF(OR(BI$5-$AI28&lt;=0,$AM28="Não"),X28,X28+INDEX($AO$6:$BR$176,ROW()-5,COLUMN()-40-$AI28)))*IF($B28="Operacional",IFERROR(VLOOKUP($C28,SN_UGC,28,0),0),1)</f>
        <v>0</v>
      </c>
      <c r="BJ28" s="140">
        <f t="array" ref="BJ28">IF(ISBLANK($A28),0,IF(OR(BJ$5-$AI28&lt;=0,$AM28="Não"),Y28,Y28+INDEX($AO$6:$BR$176,ROW()-5,COLUMN()-40-$AI28)))*IF($B28="Operacional",IFERROR(VLOOKUP($C28,SN_UGC,28,0),0),1)</f>
        <v>0</v>
      </c>
      <c r="BK28" s="140">
        <f t="array" ref="BK28">IF(ISBLANK($A28),0,IF(OR(BK$5-$AI28&lt;=0,$AM28="Não"),Z28,Z28+INDEX($AO$6:$BR$176,ROW()-5,COLUMN()-40-$AI28)))*IF($B28="Operacional",IFERROR(VLOOKUP($C28,SN_UGC,28,0),0),1)</f>
        <v>0</v>
      </c>
      <c r="BL28" s="140">
        <f t="array" ref="BL28">IF(ISBLANK($A28),0,IF(OR(BL$5-$AI28&lt;=0,$AM28="Não"),AA28,AA28+INDEX($AO$6:$BR$176,ROW()-5,COLUMN()-40-$AI28)))*IF($B28="Operacional",IFERROR(VLOOKUP($C28,SN_UGC,28,0),0),1)</f>
        <v>0</v>
      </c>
      <c r="BM28" s="140">
        <f t="array" ref="BM28">IF(ISBLANK($A28),0,IF(OR(BM$5-$AI28&lt;=0,$AM28="Não"),AB28,AB28+INDEX($AO$6:$BR$176,ROW()-5,COLUMN()-40-$AI28)))*IF($B28="Operacional",IFERROR(VLOOKUP($C28,SN_UGC,28,0),0),1)</f>
        <v>0</v>
      </c>
      <c r="BN28" s="140">
        <f t="array" ref="BN28">IF(ISBLANK($A28),0,IF(OR(BN$5-$AI28&lt;=0,$AM28="Não"),AC28,AC28+INDEX($AO$6:$BR$176,ROW()-5,COLUMN()-40-$AI28)))*IF($B28="Operacional",IFERROR(VLOOKUP($C28,SN_UGC,28,0),0),1)</f>
        <v>0</v>
      </c>
      <c r="BO28" s="140">
        <f t="array" ref="BO28">IF(ISBLANK($A28),0,IF(OR(BO$5-$AI28&lt;=0,$AM28="Não"),AD28,AD28+INDEX($AO$6:$BR$176,ROW()-5,COLUMN()-40-$AI28)))*IF($B28="Operacional",IFERROR(VLOOKUP($C28,SN_UGC,28,0),0),1)</f>
        <v>0</v>
      </c>
      <c r="BP28" s="140">
        <f t="array" ref="BP28">IF(ISBLANK($A28),0,IF(OR(BP$5-$AI28&lt;=0,$AM28="Não"),AE28,AE28+INDEX($AO$6:$BR$176,ROW()-5,COLUMN()-40-$AI28)))*IF($B28="Operacional",IFERROR(VLOOKUP($C28,SN_UGC,28,0),0),1)</f>
        <v>0</v>
      </c>
      <c r="BQ28" s="140">
        <f t="array" ref="BQ28">IF(ISBLANK($A28),0,IF(OR(BQ$5-$AI28&lt;=0,$AM28="Não"),AF28,AF28+INDEX($AO$6:$BR$176,ROW()-5,COLUMN()-40-$AI28)))*IF($B28="Operacional",IFERROR(VLOOKUP($C28,SN_UGC,28,0),0),1)</f>
        <v>0</v>
      </c>
      <c r="BR28" s="140">
        <f t="array" ref="BR28">IF(ISBLANK($A28),0,IF(OR(BR$5-$AI28&lt;=0,$AM28="Não"),AG28,AG28+INDEX($AO$6:$BR$176,ROW()-5,COLUMN()-40-$AI28)))*IF($B28="Operacional",IFERROR(VLOOKUP($C28,SN_UGC,28,0),0),1)</f>
        <v>0</v>
      </c>
      <c r="BS28" s="141">
        <f t="shared" ref="BS28:CV28" si="125">IF(ISBLANK($A28),0,$AH28*AO28)</f>
        <v>27500</v>
      </c>
      <c r="BT28" s="141">
        <f t="shared" si="125"/>
        <v>0</v>
      </c>
      <c r="BU28" s="141">
        <f t="shared" si="125"/>
        <v>0</v>
      </c>
      <c r="BV28" s="141">
        <f t="shared" si="125"/>
        <v>0</v>
      </c>
      <c r="BW28" s="141">
        <f t="shared" si="125"/>
        <v>0</v>
      </c>
      <c r="BX28" s="141">
        <f t="shared" si="125"/>
        <v>0</v>
      </c>
      <c r="BY28" s="141">
        <f t="shared" si="125"/>
        <v>0</v>
      </c>
      <c r="BZ28" s="141">
        <f t="shared" si="125"/>
        <v>0</v>
      </c>
      <c r="CA28" s="141">
        <f t="shared" si="125"/>
        <v>0</v>
      </c>
      <c r="CB28" s="141">
        <f t="shared" si="125"/>
        <v>0</v>
      </c>
      <c r="CC28" s="141">
        <f t="shared" si="125"/>
        <v>0</v>
      </c>
      <c r="CD28" s="141">
        <f t="shared" si="125"/>
        <v>0</v>
      </c>
      <c r="CE28" s="141">
        <f t="shared" si="125"/>
        <v>0</v>
      </c>
      <c r="CF28" s="141">
        <f t="shared" si="125"/>
        <v>0</v>
      </c>
      <c r="CG28" s="141">
        <f t="shared" si="125"/>
        <v>0</v>
      </c>
      <c r="CH28" s="141">
        <f t="shared" si="125"/>
        <v>0</v>
      </c>
      <c r="CI28" s="141">
        <f t="shared" si="125"/>
        <v>0</v>
      </c>
      <c r="CJ28" s="141">
        <f t="shared" si="125"/>
        <v>0</v>
      </c>
      <c r="CK28" s="141">
        <f t="shared" si="125"/>
        <v>0</v>
      </c>
      <c r="CL28" s="141">
        <f t="shared" si="125"/>
        <v>0</v>
      </c>
      <c r="CM28" s="141">
        <f t="shared" si="125"/>
        <v>0</v>
      </c>
      <c r="CN28" s="141">
        <f t="shared" si="125"/>
        <v>0</v>
      </c>
      <c r="CO28" s="141">
        <f t="shared" si="125"/>
        <v>0</v>
      </c>
      <c r="CP28" s="141">
        <f t="shared" si="125"/>
        <v>0</v>
      </c>
      <c r="CQ28" s="141">
        <f t="shared" si="125"/>
        <v>0</v>
      </c>
      <c r="CR28" s="141">
        <f t="shared" si="125"/>
        <v>0</v>
      </c>
      <c r="CS28" s="141">
        <f t="shared" si="125"/>
        <v>0</v>
      </c>
      <c r="CT28" s="141">
        <f t="shared" si="125"/>
        <v>0</v>
      </c>
      <c r="CU28" s="141">
        <f t="shared" si="125"/>
        <v>0</v>
      </c>
      <c r="CV28" s="141">
        <f t="shared" si="125"/>
        <v>0</v>
      </c>
      <c r="CW28" s="142">
        <f t="shared" ref="CW28:DZ28" si="126">EA28*$AH28*$AJ28</f>
        <v>0</v>
      </c>
      <c r="CX28" s="142">
        <f t="shared" si="126"/>
        <v>0</v>
      </c>
      <c r="CY28" s="142">
        <f t="shared" si="126"/>
        <v>0</v>
      </c>
      <c r="CZ28" s="142">
        <f t="shared" si="126"/>
        <v>0</v>
      </c>
      <c r="DA28" s="142">
        <f t="shared" si="126"/>
        <v>0</v>
      </c>
      <c r="DB28" s="142">
        <f t="shared" si="126"/>
        <v>0</v>
      </c>
      <c r="DC28" s="142">
        <f t="shared" si="126"/>
        <v>0</v>
      </c>
      <c r="DD28" s="142">
        <f t="shared" si="126"/>
        <v>0</v>
      </c>
      <c r="DE28" s="142">
        <f t="shared" si="126"/>
        <v>0</v>
      </c>
      <c r="DF28" s="142">
        <f t="shared" si="126"/>
        <v>0</v>
      </c>
      <c r="DG28" s="142">
        <f t="shared" si="126"/>
        <v>0</v>
      </c>
      <c r="DH28" s="142">
        <f t="shared" si="126"/>
        <v>0</v>
      </c>
      <c r="DI28" s="142">
        <f t="shared" si="126"/>
        <v>0</v>
      </c>
      <c r="DJ28" s="142">
        <f t="shared" si="126"/>
        <v>0</v>
      </c>
      <c r="DK28" s="142">
        <f t="shared" si="126"/>
        <v>0</v>
      </c>
      <c r="DL28" s="142">
        <f t="shared" si="126"/>
        <v>0</v>
      </c>
      <c r="DM28" s="142">
        <f t="shared" si="126"/>
        <v>0</v>
      </c>
      <c r="DN28" s="142">
        <f t="shared" si="126"/>
        <v>0</v>
      </c>
      <c r="DO28" s="142">
        <f t="shared" si="126"/>
        <v>0</v>
      </c>
      <c r="DP28" s="142">
        <f t="shared" si="126"/>
        <v>0</v>
      </c>
      <c r="DQ28" s="142">
        <f t="shared" si="126"/>
        <v>0</v>
      </c>
      <c r="DR28" s="142">
        <f t="shared" si="126"/>
        <v>0</v>
      </c>
      <c r="DS28" s="142">
        <f t="shared" si="126"/>
        <v>0</v>
      </c>
      <c r="DT28" s="142">
        <f t="shared" si="126"/>
        <v>0</v>
      </c>
      <c r="DU28" s="142">
        <f t="shared" si="126"/>
        <v>0</v>
      </c>
      <c r="DV28" s="142">
        <f t="shared" si="126"/>
        <v>0</v>
      </c>
      <c r="DW28" s="142">
        <f t="shared" si="126"/>
        <v>0</v>
      </c>
      <c r="DX28" s="142">
        <f t="shared" si="126"/>
        <v>0</v>
      </c>
      <c r="DY28" s="142">
        <f t="shared" si="126"/>
        <v>0</v>
      </c>
      <c r="DZ28" s="142">
        <f t="shared" si="126"/>
        <v>0</v>
      </c>
      <c r="EA28" s="143">
        <f t="shared" si="9"/>
        <v>0</v>
      </c>
      <c r="EB28" s="143">
        <f t="shared" si="10"/>
        <v>0</v>
      </c>
      <c r="EC28" s="143">
        <f t="shared" si="11"/>
        <v>0</v>
      </c>
      <c r="ED28" s="143">
        <f t="shared" si="12"/>
        <v>0</v>
      </c>
      <c r="EE28" s="143">
        <f t="shared" si="13"/>
        <v>0</v>
      </c>
      <c r="EF28" s="143">
        <f t="shared" si="14"/>
        <v>0</v>
      </c>
      <c r="EG28" s="143">
        <f t="shared" si="15"/>
        <v>0</v>
      </c>
      <c r="EH28" s="143">
        <f t="shared" si="16"/>
        <v>0</v>
      </c>
      <c r="EI28" s="143">
        <f t="shared" si="17"/>
        <v>0</v>
      </c>
      <c r="EJ28" s="143">
        <f t="shared" si="18"/>
        <v>0</v>
      </c>
      <c r="EK28" s="143">
        <f t="shared" si="19"/>
        <v>0</v>
      </c>
      <c r="EL28" s="143">
        <f t="shared" si="20"/>
        <v>0</v>
      </c>
      <c r="EM28" s="143">
        <f t="shared" si="21"/>
        <v>0</v>
      </c>
      <c r="EN28" s="143">
        <f t="shared" si="22"/>
        <v>0</v>
      </c>
      <c r="EO28" s="143">
        <f t="shared" si="23"/>
        <v>0</v>
      </c>
      <c r="EP28" s="143">
        <f t="shared" si="24"/>
        <v>0</v>
      </c>
      <c r="EQ28" s="143">
        <f t="shared" si="25"/>
        <v>0</v>
      </c>
      <c r="ER28" s="143">
        <f t="shared" si="26"/>
        <v>0</v>
      </c>
      <c r="ES28" s="143">
        <f t="shared" si="27"/>
        <v>0</v>
      </c>
      <c r="ET28" s="143">
        <f t="shared" si="28"/>
        <v>0</v>
      </c>
      <c r="EU28" s="143">
        <f t="shared" si="29"/>
        <v>0</v>
      </c>
      <c r="EV28" s="143">
        <f t="shared" si="30"/>
        <v>0</v>
      </c>
      <c r="EW28" s="143">
        <f t="shared" si="31"/>
        <v>0</v>
      </c>
      <c r="EX28" s="143">
        <f t="shared" si="32"/>
        <v>0</v>
      </c>
      <c r="EY28" s="143">
        <f t="shared" si="33"/>
        <v>0</v>
      </c>
      <c r="EZ28" s="143">
        <f t="shared" si="34"/>
        <v>0</v>
      </c>
      <c r="FA28" s="143">
        <f t="shared" si="35"/>
        <v>0</v>
      </c>
      <c r="FB28" s="143">
        <f t="shared" si="36"/>
        <v>0</v>
      </c>
      <c r="FC28" s="143">
        <f t="shared" si="37"/>
        <v>0</v>
      </c>
      <c r="FD28" s="143">
        <f t="shared" si="38"/>
        <v>0</v>
      </c>
      <c r="FE28" s="140">
        <f>SUM($D28:D28)*IF($B28="Operacional",IFERROR(VLOOKUP($C28,SN_UGC,28,0),0),1)</f>
        <v>50</v>
      </c>
      <c r="FF28" s="140">
        <f>SUM($D28:E28)*IF($B28="Operacional",IFERROR(VLOOKUP($C28,SN_UGC,28,0),0),1)</f>
        <v>50</v>
      </c>
      <c r="FG28" s="140">
        <f>SUM($D28:F28)*IF($B28="Operacional",IFERROR(VLOOKUP($C28,SN_UGC,28,0),0),1)</f>
        <v>50</v>
      </c>
      <c r="FH28" s="140">
        <f>SUM($D28:G28)*IF($B28="Operacional",IFERROR(VLOOKUP($C28,SN_UGC,28,0),0),1)</f>
        <v>50</v>
      </c>
      <c r="FI28" s="140">
        <f>SUM($D28:H28)*IF($B28="Operacional",IFERROR(VLOOKUP($C28,SN_UGC,28,0),0),1)</f>
        <v>50</v>
      </c>
      <c r="FJ28" s="140">
        <f>SUM($D28:I28)*IF($B28="Operacional",IFERROR(VLOOKUP($C28,SN_UGC,28,0),0),1)</f>
        <v>50</v>
      </c>
      <c r="FK28" s="140">
        <f>SUM($D28:J28)*IF($B28="Operacional",IFERROR(VLOOKUP($C28,SN_UGC,28,0),0),1)</f>
        <v>50</v>
      </c>
      <c r="FL28" s="140">
        <f>SUM($D28:K28)*IF($B28="Operacional",IFERROR(VLOOKUP($C28,SN_UGC,28,0),0),1)</f>
        <v>50</v>
      </c>
      <c r="FM28" s="140">
        <f>SUM($D28:L28)*IF($B28="Operacional",IFERROR(VLOOKUP($C28,SN_UGC,28,0),0),1)</f>
        <v>50</v>
      </c>
      <c r="FN28" s="140">
        <f>SUM($D28:M28)*IF($B28="Operacional",IFERROR(VLOOKUP($C28,SN_UGC,28,0),0),1)</f>
        <v>50</v>
      </c>
      <c r="FO28" s="140">
        <f>SUM($D28:N28)*IF($B28="Operacional",IFERROR(VLOOKUP($C28,SN_UGC,28,0),0),1)</f>
        <v>50</v>
      </c>
      <c r="FP28" s="140">
        <f>SUM($D28:O28)*IF($B28="Operacional",IFERROR(VLOOKUP($C28,SN_UGC,28,0),0),1)</f>
        <v>50</v>
      </c>
      <c r="FQ28" s="140">
        <f>SUM($D28:P28)*IF($B28="Operacional",IFERROR(VLOOKUP($C28,SN_UGC,28,0),0),1)</f>
        <v>50</v>
      </c>
      <c r="FR28" s="140">
        <f>SUM($D28:Q28)*IF($B28="Operacional",IFERROR(VLOOKUP($C28,SN_UGC,28,0),0),1)</f>
        <v>50</v>
      </c>
      <c r="FS28" s="140">
        <f>SUM($D28:R28)*IF($B28="Operacional",IFERROR(VLOOKUP($C28,SN_UGC,28,0),0),1)</f>
        <v>50</v>
      </c>
      <c r="FT28" s="140">
        <f>SUM($D28:S28)*IF($B28="Operacional",IFERROR(VLOOKUP($C28,SN_UGC,28,0),0),1)</f>
        <v>50</v>
      </c>
      <c r="FU28" s="140">
        <f>SUM($D28:T28)*IF($B28="Operacional",IFERROR(VLOOKUP($C28,SN_UGC,28,0),0),1)</f>
        <v>50</v>
      </c>
      <c r="FV28" s="140">
        <f>SUM($D28:U28)*IF($B28="Operacional",IFERROR(VLOOKUP($C28,SN_UGC,28,0),0),1)</f>
        <v>50</v>
      </c>
      <c r="FW28" s="140">
        <f>SUM($D28:V28)*IF($B28="Operacional",IFERROR(VLOOKUP($C28,SN_UGC,28,0),0),1)</f>
        <v>50</v>
      </c>
      <c r="FX28" s="140">
        <f>SUM($D28:W28)*IF($B28="Operacional",IFERROR(VLOOKUP($C28,SN_UGC,28,0),0),1)</f>
        <v>50</v>
      </c>
      <c r="FY28" s="140">
        <f>SUM($D28:X28)*IF($B28="Operacional",IFERROR(VLOOKUP($C28,SN_UGC,28,0),0),1)</f>
        <v>50</v>
      </c>
      <c r="FZ28" s="140">
        <f>SUM($D28:Y28)*IF($B28="Operacional",IFERROR(VLOOKUP($C28,SN_UGC,28,0),0),1)</f>
        <v>50</v>
      </c>
      <c r="GA28" s="140">
        <f>SUM($D28:Z28)*IF($B28="Operacional",IFERROR(VLOOKUP($C28,SN_UGC,28,0),0),1)</f>
        <v>50</v>
      </c>
      <c r="GB28" s="140">
        <f>SUM($D28:AA28)*IF($B28="Operacional",IFERROR(VLOOKUP($C28,SN_UGC,28,0),0),1)</f>
        <v>50</v>
      </c>
      <c r="GC28" s="140">
        <f>SUM($D28:AB28)*IF($B28="Operacional",IFERROR(VLOOKUP($C28,SN_UGC,28,0),0),1)</f>
        <v>50</v>
      </c>
      <c r="GD28" s="140">
        <f>SUM($D28:AC28)*IF($B28="Operacional",IFERROR(VLOOKUP($C28,SN_UGC,28,0),0),1)</f>
        <v>50</v>
      </c>
      <c r="GE28" s="140">
        <f>SUM($D28:AD28)*IF($B28="Operacional",IFERROR(VLOOKUP($C28,SN_UGC,28,0),0),1)</f>
        <v>50</v>
      </c>
      <c r="GF28" s="140">
        <f>SUM($D28:AE28)*IF($B28="Operacional",IFERROR(VLOOKUP($C28,SN_UGC,28,0),0),1)</f>
        <v>50</v>
      </c>
      <c r="GG28" s="140">
        <f>SUM($D28:AF28)*IF($B28="Operacional",IFERROR(VLOOKUP($C28,SN_UGC,28,0),0),1)</f>
        <v>50</v>
      </c>
      <c r="GH28" s="140">
        <f>SUM($D28:AG28)*IF($B28="Operacional",IFERROR(VLOOKUP($C28,SN_UGC,28,0),0),1)</f>
        <v>50</v>
      </c>
      <c r="GI28" s="141">
        <f t="shared" ref="GI28:HL28" si="127">FE28*$AH28*$AL28</f>
        <v>4400</v>
      </c>
      <c r="GJ28" s="141">
        <f t="shared" si="127"/>
        <v>4400</v>
      </c>
      <c r="GK28" s="141">
        <f t="shared" si="127"/>
        <v>4400</v>
      </c>
      <c r="GL28" s="141">
        <f t="shared" si="127"/>
        <v>4400</v>
      </c>
      <c r="GM28" s="141">
        <f t="shared" si="127"/>
        <v>4400</v>
      </c>
      <c r="GN28" s="141">
        <f t="shared" si="127"/>
        <v>4400</v>
      </c>
      <c r="GO28" s="141">
        <f t="shared" si="127"/>
        <v>4400</v>
      </c>
      <c r="GP28" s="141">
        <f t="shared" si="127"/>
        <v>4400</v>
      </c>
      <c r="GQ28" s="141">
        <f t="shared" si="127"/>
        <v>4400</v>
      </c>
      <c r="GR28" s="141">
        <f t="shared" si="127"/>
        <v>4400</v>
      </c>
      <c r="GS28" s="141">
        <f t="shared" si="127"/>
        <v>4400</v>
      </c>
      <c r="GT28" s="141">
        <f t="shared" si="127"/>
        <v>4400</v>
      </c>
      <c r="GU28" s="141">
        <f t="shared" si="127"/>
        <v>4400</v>
      </c>
      <c r="GV28" s="141">
        <f t="shared" si="127"/>
        <v>4400</v>
      </c>
      <c r="GW28" s="141">
        <f t="shared" si="127"/>
        <v>4400</v>
      </c>
      <c r="GX28" s="141">
        <f t="shared" si="127"/>
        <v>4400</v>
      </c>
      <c r="GY28" s="141">
        <f t="shared" si="127"/>
        <v>4400</v>
      </c>
      <c r="GZ28" s="141">
        <f t="shared" si="127"/>
        <v>4400</v>
      </c>
      <c r="HA28" s="141">
        <f t="shared" si="127"/>
        <v>4400</v>
      </c>
      <c r="HB28" s="141">
        <f t="shared" si="127"/>
        <v>4400</v>
      </c>
      <c r="HC28" s="141">
        <f t="shared" si="127"/>
        <v>4400</v>
      </c>
      <c r="HD28" s="141">
        <f t="shared" si="127"/>
        <v>4400</v>
      </c>
      <c r="HE28" s="141">
        <f t="shared" si="127"/>
        <v>4400</v>
      </c>
      <c r="HF28" s="141">
        <f t="shared" si="127"/>
        <v>4400</v>
      </c>
      <c r="HG28" s="141">
        <f t="shared" si="127"/>
        <v>4400</v>
      </c>
      <c r="HH28" s="141">
        <f t="shared" si="127"/>
        <v>4400</v>
      </c>
      <c r="HI28" s="141">
        <f t="shared" si="127"/>
        <v>4400</v>
      </c>
      <c r="HJ28" s="141">
        <f t="shared" si="127"/>
        <v>4400</v>
      </c>
      <c r="HK28" s="141">
        <f t="shared" si="127"/>
        <v>4400</v>
      </c>
      <c r="HL28" s="141">
        <f t="shared" si="127"/>
        <v>4400</v>
      </c>
      <c r="HM28" s="142">
        <f t="shared" ref="HM28:IP28" si="128">IF(ISBLANK($A28),,FE28*($AH28-($AH28*$AJ28))/$AI28)</f>
        <v>0</v>
      </c>
      <c r="HN28" s="142">
        <f t="shared" si="128"/>
        <v>0</v>
      </c>
      <c r="HO28" s="142">
        <f t="shared" si="128"/>
        <v>0</v>
      </c>
      <c r="HP28" s="142">
        <f t="shared" si="128"/>
        <v>0</v>
      </c>
      <c r="HQ28" s="142">
        <f t="shared" si="128"/>
        <v>0</v>
      </c>
      <c r="HR28" s="142">
        <f t="shared" si="128"/>
        <v>0</v>
      </c>
      <c r="HS28" s="142">
        <f t="shared" si="128"/>
        <v>0</v>
      </c>
      <c r="HT28" s="142">
        <f t="shared" si="128"/>
        <v>0</v>
      </c>
      <c r="HU28" s="142">
        <f t="shared" si="128"/>
        <v>0</v>
      </c>
      <c r="HV28" s="142">
        <f t="shared" si="128"/>
        <v>0</v>
      </c>
      <c r="HW28" s="142">
        <f t="shared" si="128"/>
        <v>0</v>
      </c>
      <c r="HX28" s="142">
        <f t="shared" si="128"/>
        <v>0</v>
      </c>
      <c r="HY28" s="142">
        <f t="shared" si="128"/>
        <v>0</v>
      </c>
      <c r="HZ28" s="142">
        <f t="shared" si="128"/>
        <v>0</v>
      </c>
      <c r="IA28" s="142">
        <f t="shared" si="128"/>
        <v>0</v>
      </c>
      <c r="IB28" s="142">
        <f t="shared" si="128"/>
        <v>0</v>
      </c>
      <c r="IC28" s="142">
        <f t="shared" si="128"/>
        <v>0</v>
      </c>
      <c r="ID28" s="142">
        <f t="shared" si="128"/>
        <v>0</v>
      </c>
      <c r="IE28" s="142">
        <f t="shared" si="128"/>
        <v>0</v>
      </c>
      <c r="IF28" s="142">
        <f t="shared" si="128"/>
        <v>0</v>
      </c>
      <c r="IG28" s="142">
        <f t="shared" si="128"/>
        <v>0</v>
      </c>
      <c r="IH28" s="142">
        <f t="shared" si="128"/>
        <v>0</v>
      </c>
      <c r="II28" s="142">
        <f t="shared" si="128"/>
        <v>0</v>
      </c>
      <c r="IJ28" s="142">
        <f t="shared" si="128"/>
        <v>0</v>
      </c>
      <c r="IK28" s="142">
        <f t="shared" si="128"/>
        <v>0</v>
      </c>
      <c r="IL28" s="142">
        <f t="shared" si="128"/>
        <v>0</v>
      </c>
      <c r="IM28" s="142">
        <f t="shared" si="128"/>
        <v>0</v>
      </c>
      <c r="IN28" s="142">
        <f t="shared" si="128"/>
        <v>0</v>
      </c>
      <c r="IO28" s="142">
        <f t="shared" si="128"/>
        <v>0</v>
      </c>
      <c r="IP28" s="142">
        <f t="shared" si="128"/>
        <v>0</v>
      </c>
      <c r="IQ28" s="141">
        <f>IF(ISBLANK($A28),,IF($AN28="Não",0,(SUM($AO28:AO28)*$AH28)-SUM($HM28:HM28)-SUM($CW28:CW28)))</f>
        <v>0</v>
      </c>
      <c r="IR28" s="141">
        <f>IF(ISBLANK($A28),,IF($AN28="Não",0,(SUM($AO28:AP28)*$AH28)-SUM($HM28:HN28)-SUM($CW28:CX28)))</f>
        <v>0</v>
      </c>
      <c r="IS28" s="141">
        <f>IF(ISBLANK($A28),,IF($AN28="Não",0,(SUM($AO28:AQ28)*$AH28)-SUM($HM28:HO28)-SUM($CW28:CY28)))</f>
        <v>0</v>
      </c>
      <c r="IT28" s="141">
        <f>IF(ISBLANK($A28),,IF($AN28="Não",0,(SUM($AO28:AR28)*$AH28)-SUM($HM28:HP28)-SUM($CW28:CZ28)))</f>
        <v>0</v>
      </c>
      <c r="IU28" s="141">
        <f>IF(ISBLANK($A28),,IF($AN28="Não",0,(SUM($AO28:AS28)*$AH28)-SUM($HM28:HQ28)-SUM($CW28:DA28)))</f>
        <v>0</v>
      </c>
      <c r="IV28" s="141">
        <f>IF(ISBLANK($A28),,IF($AN28="Não",0,(SUM($AO28:AT28)*$AH28)-SUM($HM28:HR28)-SUM($CW28:DB28)))</f>
        <v>0</v>
      </c>
      <c r="IW28" s="141">
        <f>IF(ISBLANK($A28),,IF($AN28="Não",0,(SUM($AO28:AU28)*$AH28)-SUM($HM28:HS28)-SUM($CW28:DC28)))</f>
        <v>0</v>
      </c>
      <c r="IX28" s="141">
        <f>IF(ISBLANK($A28),,IF($AN28="Não",0,(SUM($AO28:AV28)*$AH28)-SUM($HM28:HT28)-SUM($CW28:DD28)))</f>
        <v>0</v>
      </c>
      <c r="IY28" s="141">
        <f>IF(ISBLANK($A28),,IF($AN28="Não",0,(SUM($AO28:AW28)*$AH28)-SUM($HM28:HU28)-SUM($CW28:DE28)))</f>
        <v>0</v>
      </c>
      <c r="IZ28" s="141">
        <f>IF(ISBLANK($A28),,IF($AN28="Não",0,(SUM($AO28:AX28)*$AH28)-SUM($HM28:HV28)-SUM($CW28:DF28)))</f>
        <v>0</v>
      </c>
      <c r="JA28" s="141">
        <f>IF(ISBLANK($A28),,IF($AN28="Não",0,(SUM($AO28:AY28)*$AH28)-SUM($HM28:HW28)-SUM($CW28:DG28)))</f>
        <v>0</v>
      </c>
      <c r="JB28" s="141">
        <f>IF(ISBLANK($A28),,IF($AN28="Não",0,(SUM($AO28:AZ28)*$AH28)-SUM($HM28:HX28)-SUM($CW28:DH28)))</f>
        <v>0</v>
      </c>
      <c r="JC28" s="141">
        <f>IF(ISBLANK($A28),,IF($AN28="Não",0,(SUM($AO28:BA28)*$AH28)-SUM($HM28:HY28)-SUM($CW28:DI28)))</f>
        <v>0</v>
      </c>
      <c r="JD28" s="141">
        <f>IF(ISBLANK($A28),,IF($AN28="Não",0,(SUM($AO28:BB28)*$AH28)-SUM($HM28:HZ28)-SUM($CW28:DJ28)))</f>
        <v>0</v>
      </c>
      <c r="JE28" s="141">
        <f>IF(ISBLANK($A28),,IF($AN28="Não",0,(SUM($AO28:BC28)*$AH28)-SUM($HM28:IA28)-SUM($CW28:DK28)))</f>
        <v>0</v>
      </c>
      <c r="JF28" s="141">
        <f>IF(ISBLANK($A28),,IF($AN28="Não",0,(SUM($AO28:BD28)*$AH28)-SUM($HM28:IB28)-SUM($CW28:DL28)))</f>
        <v>0</v>
      </c>
      <c r="JG28" s="141">
        <f>IF(ISBLANK($A28),,IF($AN28="Não",0,(SUM($AO28:BE28)*$AH28)-SUM($HM28:IC28)-SUM($CW28:DM28)))</f>
        <v>0</v>
      </c>
      <c r="JH28" s="141">
        <f>IF(ISBLANK($A28),,IF($AN28="Não",0,(SUM($AO28:BF28)*$AH28)-SUM($HM28:ID28)-SUM($CW28:DN28)))</f>
        <v>0</v>
      </c>
      <c r="JI28" s="141">
        <f>IF(ISBLANK($A28),,IF($AN28="Não",0,(SUM($AO28:BG28)*$AH28)-SUM($HM28:IE28)-SUM($CW28:DO28)))</f>
        <v>0</v>
      </c>
      <c r="JJ28" s="141">
        <f>IF(ISBLANK($A28),,IF($AN28="Não",0,(SUM($AO28:BH28)*$AH28)-SUM($HM28:IF28)-SUM($CW28:DP28)))</f>
        <v>0</v>
      </c>
      <c r="JK28" s="141">
        <f>IF(ISBLANK($A28),,IF($AN28="Não",0,(SUM($AO28:BI28)*$AH28)-SUM($HM28:IG28)-SUM($CW28:DQ28)))</f>
        <v>0</v>
      </c>
      <c r="JL28" s="141">
        <f>IF(ISBLANK($A28),,IF($AN28="Não",0,(SUM($AO28:BJ28)*$AH28)-SUM($HM28:IH28)-SUM($CW28:DR28)))</f>
        <v>0</v>
      </c>
      <c r="JM28" s="141">
        <f>IF(ISBLANK($A28),,IF($AN28="Não",0,(SUM($AO28:BK28)*$AH28)-SUM($HM28:II28)-SUM($CW28:DS28)))</f>
        <v>0</v>
      </c>
      <c r="JN28" s="141">
        <f>IF(ISBLANK($A28),,IF($AN28="Não",0,(SUM($AO28:BL28)*$AH28)-SUM($HM28:IJ28)-SUM($CW28:DT28)))</f>
        <v>0</v>
      </c>
      <c r="JO28" s="141">
        <f>IF(ISBLANK($A28),,IF($AN28="Não",0,(SUM($AO28:BM28)*$AH28)-SUM($HM28:IK28)-SUM($CW28:DU28)))</f>
        <v>0</v>
      </c>
      <c r="JP28" s="141">
        <f>IF(ISBLANK($A28),,IF($AN28="Não",0,(SUM($AO28:BN28)*$AH28)-SUM($HM28:IL28)-SUM($CW28:DV28)))</f>
        <v>0</v>
      </c>
      <c r="JQ28" s="141">
        <f>IF(ISBLANK($A28),,IF($AN28="Não",0,(SUM($AO28:BO28)*$AH28)-SUM($HM28:IM28)-SUM($CW28:DW28)))</f>
        <v>0</v>
      </c>
      <c r="JR28" s="141">
        <f>IF(ISBLANK($A28),,IF($AN28="Não",0,(SUM($AO28:BP28)*$AH28)-SUM($HM28:IN28)-SUM($CW28:DX28)))</f>
        <v>0</v>
      </c>
      <c r="JS28" s="141">
        <f>IF(ISBLANK($A28),,IF($AN28="Não",0,(SUM($AO28:BQ28)*$AH28)-SUM($HM28:IO28)-SUM($CW28:DY28)))</f>
        <v>0</v>
      </c>
      <c r="JT28" s="141">
        <f>IF(ISBLANK($A28),,IF($AN28="Não",0,(SUM($AO28:BR28)*$AH28)-SUM($HM28:IP28)-SUM($CW28:DZ28)))</f>
        <v>0</v>
      </c>
    </row>
    <row r="29" spans="1:280" ht="15.75" customHeight="1">
      <c r="A29" s="129" t="s">
        <v>367</v>
      </c>
      <c r="B29" s="129" t="s">
        <v>209</v>
      </c>
      <c r="C29" s="138" t="s">
        <v>79</v>
      </c>
      <c r="D29" s="139">
        <v>16</v>
      </c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607">
        <f t="shared" si="0"/>
        <v>44</v>
      </c>
      <c r="AI29" s="608">
        <f t="shared" si="1"/>
        <v>30</v>
      </c>
      <c r="AJ29" s="609">
        <f t="shared" si="2"/>
        <v>1</v>
      </c>
      <c r="AK29" s="610" t="str">
        <f t="shared" si="3"/>
        <v>Infraestrutura</v>
      </c>
      <c r="AL29" s="609">
        <f t="shared" si="4"/>
        <v>0.05</v>
      </c>
      <c r="AM29" s="611" t="str">
        <f t="shared" si="5"/>
        <v>Sim</v>
      </c>
      <c r="AN29" s="611" t="str">
        <f t="shared" si="6"/>
        <v>Não</v>
      </c>
      <c r="AO29" s="140">
        <f t="array" ref="AO29">IF(ISBLANK($A29),0,IF(OR(AO$5-$AI29&lt;=0,$AM29="Não"),D29,D29+INDEX($AO$6:$BR$176,ROW()-5,COLUMN()-40-$AI29)))*IF($B29="Operacional",IFERROR(VLOOKUP($C29,SN_UGC,28,0),0),1)</f>
        <v>16</v>
      </c>
      <c r="AP29" s="140">
        <f t="array" ref="AP29">IF(ISBLANK($A29),0,IF(OR(AP$5-$AI29&lt;=0,$AM29="Não"),E29,E29+INDEX($AO$6:$BR$176,ROW()-5,COLUMN()-40-$AI29)))*IF($B29="Operacional",IFERROR(VLOOKUP($C29,SN_UGC,28,0),0),1)</f>
        <v>0</v>
      </c>
      <c r="AQ29" s="140">
        <f t="array" ref="AQ29">IF(ISBLANK($A29),0,IF(OR(AQ$5-$AI29&lt;=0,$AM29="Não"),F29,F29+INDEX($AO$6:$BR$176,ROW()-5,COLUMN()-40-$AI29)))*IF($B29="Operacional",IFERROR(VLOOKUP($C29,SN_UGC,28,0),0),1)</f>
        <v>0</v>
      </c>
      <c r="AR29" s="140">
        <f t="array" ref="AR29">IF(ISBLANK($A29),0,IF(OR(AR$5-$AI29&lt;=0,$AM29="Não"),G29,G29+INDEX($AO$6:$BR$176,ROW()-5,COLUMN()-40-$AI29)))*IF($B29="Operacional",IFERROR(VLOOKUP($C29,SN_UGC,28,0),0),1)</f>
        <v>0</v>
      </c>
      <c r="AS29" s="140">
        <f t="array" ref="AS29">IF(ISBLANK($A29),0,IF(OR(AS$5-$AI29&lt;=0,$AM29="Não"),H29,H29+INDEX($AO$6:$BR$176,ROW()-5,COLUMN()-40-$AI29)))*IF($B29="Operacional",IFERROR(VLOOKUP($C29,SN_UGC,28,0),0),1)</f>
        <v>0</v>
      </c>
      <c r="AT29" s="140">
        <f t="array" ref="AT29">IF(ISBLANK($A29),0,IF(OR(AT$5-$AI29&lt;=0,$AM29="Não"),I29,I29+INDEX($AO$6:$BR$176,ROW()-5,COLUMN()-40-$AI29)))*IF($B29="Operacional",IFERROR(VLOOKUP($C29,SN_UGC,28,0),0),1)</f>
        <v>0</v>
      </c>
      <c r="AU29" s="140">
        <f t="array" ref="AU29">IF(ISBLANK($A29),0,IF(OR(AU$5-$AI29&lt;=0,$AM29="Não"),J29,J29+INDEX($AO$6:$BR$176,ROW()-5,COLUMN()-40-$AI29)))*IF($B29="Operacional",IFERROR(VLOOKUP($C29,SN_UGC,28,0),0),1)</f>
        <v>0</v>
      </c>
      <c r="AV29" s="140">
        <f t="array" ref="AV29">IF(ISBLANK($A29),0,IF(OR(AV$5-$AI29&lt;=0,$AM29="Não"),K29,K29+INDEX($AO$6:$BR$176,ROW()-5,COLUMN()-40-$AI29)))*IF($B29="Operacional",IFERROR(VLOOKUP($C29,SN_UGC,28,0),0),1)</f>
        <v>0</v>
      </c>
      <c r="AW29" s="140">
        <f t="array" ref="AW29">IF(ISBLANK($A29),0,IF(OR(AW$5-$AI29&lt;=0,$AM29="Não"),L29,L29+INDEX($AO$6:$BR$176,ROW()-5,COLUMN()-40-$AI29)))*IF($B29="Operacional",IFERROR(VLOOKUP($C29,SN_UGC,28,0),0),1)</f>
        <v>0</v>
      </c>
      <c r="AX29" s="140">
        <f t="array" ref="AX29">IF(ISBLANK($A29),0,IF(OR(AX$5-$AI29&lt;=0,$AM29="Não"),M29,M29+INDEX($AO$6:$BR$176,ROW()-5,COLUMN()-40-$AI29)))*IF($B29="Operacional",IFERROR(VLOOKUP($C29,SN_UGC,28,0),0),1)</f>
        <v>0</v>
      </c>
      <c r="AY29" s="140">
        <f t="array" ref="AY29">IF(ISBLANK($A29),0,IF(OR(AY$5-$AI29&lt;=0,$AM29="Não"),N29,N29+INDEX($AO$6:$BR$176,ROW()-5,COLUMN()-40-$AI29)))*IF($B29="Operacional",IFERROR(VLOOKUP($C29,SN_UGC,28,0),0),1)</f>
        <v>0</v>
      </c>
      <c r="AZ29" s="140">
        <f t="array" ref="AZ29">IF(ISBLANK($A29),0,IF(OR(AZ$5-$AI29&lt;=0,$AM29="Não"),O29,O29+INDEX($AO$6:$BR$176,ROW()-5,COLUMN()-40-$AI29)))*IF($B29="Operacional",IFERROR(VLOOKUP($C29,SN_UGC,28,0),0),1)</f>
        <v>0</v>
      </c>
      <c r="BA29" s="140">
        <f t="array" ref="BA29">IF(ISBLANK($A29),0,IF(OR(BA$5-$AI29&lt;=0,$AM29="Não"),P29,P29+INDEX($AO$6:$BR$176,ROW()-5,COLUMN()-40-$AI29)))*IF($B29="Operacional",IFERROR(VLOOKUP($C29,SN_UGC,28,0),0),1)</f>
        <v>0</v>
      </c>
      <c r="BB29" s="140">
        <f t="array" ref="BB29">IF(ISBLANK($A29),0,IF(OR(BB$5-$AI29&lt;=0,$AM29="Não"),Q29,Q29+INDEX($AO$6:$BR$176,ROW()-5,COLUMN()-40-$AI29)))*IF($B29="Operacional",IFERROR(VLOOKUP($C29,SN_UGC,28,0),0),1)</f>
        <v>0</v>
      </c>
      <c r="BC29" s="140">
        <f t="array" ref="BC29">IF(ISBLANK($A29),0,IF(OR(BC$5-$AI29&lt;=0,$AM29="Não"),R29,R29+INDEX($AO$6:$BR$176,ROW()-5,COLUMN()-40-$AI29)))*IF($B29="Operacional",IFERROR(VLOOKUP($C29,SN_UGC,28,0),0),1)</f>
        <v>0</v>
      </c>
      <c r="BD29" s="140">
        <f t="array" ref="BD29">IF(ISBLANK($A29),0,IF(OR(BD$5-$AI29&lt;=0,$AM29="Não"),S29,S29+INDEX($AO$6:$BR$176,ROW()-5,COLUMN()-40-$AI29)))*IF($B29="Operacional",IFERROR(VLOOKUP($C29,SN_UGC,28,0),0),1)</f>
        <v>0</v>
      </c>
      <c r="BE29" s="140">
        <f t="array" ref="BE29">IF(ISBLANK($A29),0,IF(OR(BE$5-$AI29&lt;=0,$AM29="Não"),T29,T29+INDEX($AO$6:$BR$176,ROW()-5,COLUMN()-40-$AI29)))*IF($B29="Operacional",IFERROR(VLOOKUP($C29,SN_UGC,28,0),0),1)</f>
        <v>0</v>
      </c>
      <c r="BF29" s="140">
        <f t="array" ref="BF29">IF(ISBLANK($A29),0,IF(OR(BF$5-$AI29&lt;=0,$AM29="Não"),U29,U29+INDEX($AO$6:$BR$176,ROW()-5,COLUMN()-40-$AI29)))*IF($B29="Operacional",IFERROR(VLOOKUP($C29,SN_UGC,28,0),0),1)</f>
        <v>0</v>
      </c>
      <c r="BG29" s="140">
        <f t="array" ref="BG29">IF(ISBLANK($A29),0,IF(OR(BG$5-$AI29&lt;=0,$AM29="Não"),V29,V29+INDEX($AO$6:$BR$176,ROW()-5,COLUMN()-40-$AI29)))*IF($B29="Operacional",IFERROR(VLOOKUP($C29,SN_UGC,28,0),0),1)</f>
        <v>0</v>
      </c>
      <c r="BH29" s="140">
        <f t="array" ref="BH29">IF(ISBLANK($A29),0,IF(OR(BH$5-$AI29&lt;=0,$AM29="Não"),W29,W29+INDEX($AO$6:$BR$176,ROW()-5,COLUMN()-40-$AI29)))*IF($B29="Operacional",IFERROR(VLOOKUP($C29,SN_UGC,28,0),0),1)</f>
        <v>0</v>
      </c>
      <c r="BI29" s="140">
        <f t="array" ref="BI29">IF(ISBLANK($A29),0,IF(OR(BI$5-$AI29&lt;=0,$AM29="Não"),X29,X29+INDEX($AO$6:$BR$176,ROW()-5,COLUMN()-40-$AI29)))*IF($B29="Operacional",IFERROR(VLOOKUP($C29,SN_UGC,28,0),0),1)</f>
        <v>0</v>
      </c>
      <c r="BJ29" s="140">
        <f t="array" ref="BJ29">IF(ISBLANK($A29),0,IF(OR(BJ$5-$AI29&lt;=0,$AM29="Não"),Y29,Y29+INDEX($AO$6:$BR$176,ROW()-5,COLUMN()-40-$AI29)))*IF($B29="Operacional",IFERROR(VLOOKUP($C29,SN_UGC,28,0),0),1)</f>
        <v>0</v>
      </c>
      <c r="BK29" s="140">
        <f t="array" ref="BK29">IF(ISBLANK($A29),0,IF(OR(BK$5-$AI29&lt;=0,$AM29="Não"),Z29,Z29+INDEX($AO$6:$BR$176,ROW()-5,COLUMN()-40-$AI29)))*IF($B29="Operacional",IFERROR(VLOOKUP($C29,SN_UGC,28,0),0),1)</f>
        <v>0</v>
      </c>
      <c r="BL29" s="140">
        <f t="array" ref="BL29">IF(ISBLANK($A29),0,IF(OR(BL$5-$AI29&lt;=0,$AM29="Não"),AA29,AA29+INDEX($AO$6:$BR$176,ROW()-5,COLUMN()-40-$AI29)))*IF($B29="Operacional",IFERROR(VLOOKUP($C29,SN_UGC,28,0),0),1)</f>
        <v>0</v>
      </c>
      <c r="BM29" s="140">
        <f t="array" ref="BM29">IF(ISBLANK($A29),0,IF(OR(BM$5-$AI29&lt;=0,$AM29="Não"),AB29,AB29+INDEX($AO$6:$BR$176,ROW()-5,COLUMN()-40-$AI29)))*IF($B29="Operacional",IFERROR(VLOOKUP($C29,SN_UGC,28,0),0),1)</f>
        <v>0</v>
      </c>
      <c r="BN29" s="140">
        <f t="array" ref="BN29">IF(ISBLANK($A29),0,IF(OR(BN$5-$AI29&lt;=0,$AM29="Não"),AC29,AC29+INDEX($AO$6:$BR$176,ROW()-5,COLUMN()-40-$AI29)))*IF($B29="Operacional",IFERROR(VLOOKUP($C29,SN_UGC,28,0),0),1)</f>
        <v>0</v>
      </c>
      <c r="BO29" s="140">
        <f t="array" ref="BO29">IF(ISBLANK($A29),0,IF(OR(BO$5-$AI29&lt;=0,$AM29="Não"),AD29,AD29+INDEX($AO$6:$BR$176,ROW()-5,COLUMN()-40-$AI29)))*IF($B29="Operacional",IFERROR(VLOOKUP($C29,SN_UGC,28,0),0),1)</f>
        <v>0</v>
      </c>
      <c r="BP29" s="140">
        <f t="array" ref="BP29">IF(ISBLANK($A29),0,IF(OR(BP$5-$AI29&lt;=0,$AM29="Não"),AE29,AE29+INDEX($AO$6:$BR$176,ROW()-5,COLUMN()-40-$AI29)))*IF($B29="Operacional",IFERROR(VLOOKUP($C29,SN_UGC,28,0),0),1)</f>
        <v>0</v>
      </c>
      <c r="BQ29" s="140">
        <f t="array" ref="BQ29">IF(ISBLANK($A29),0,IF(OR(BQ$5-$AI29&lt;=0,$AM29="Não"),AF29,AF29+INDEX($AO$6:$BR$176,ROW()-5,COLUMN()-40-$AI29)))*IF($B29="Operacional",IFERROR(VLOOKUP($C29,SN_UGC,28,0),0),1)</f>
        <v>0</v>
      </c>
      <c r="BR29" s="140">
        <f t="array" ref="BR29">IF(ISBLANK($A29),0,IF(OR(BR$5-$AI29&lt;=0,$AM29="Não"),AG29,AG29+INDEX($AO$6:$BR$176,ROW()-5,COLUMN()-40-$AI29)))*IF($B29="Operacional",IFERROR(VLOOKUP($C29,SN_UGC,28,0),0),1)</f>
        <v>0</v>
      </c>
      <c r="BS29" s="141">
        <f t="shared" ref="BS29:CV29" si="129">IF(ISBLANK($A29),0,$AH29*AO29)</f>
        <v>704</v>
      </c>
      <c r="BT29" s="141">
        <f t="shared" si="129"/>
        <v>0</v>
      </c>
      <c r="BU29" s="141">
        <f t="shared" si="129"/>
        <v>0</v>
      </c>
      <c r="BV29" s="141">
        <f t="shared" si="129"/>
        <v>0</v>
      </c>
      <c r="BW29" s="141">
        <f t="shared" si="129"/>
        <v>0</v>
      </c>
      <c r="BX29" s="141">
        <f t="shared" si="129"/>
        <v>0</v>
      </c>
      <c r="BY29" s="141">
        <f t="shared" si="129"/>
        <v>0</v>
      </c>
      <c r="BZ29" s="141">
        <f t="shared" si="129"/>
        <v>0</v>
      </c>
      <c r="CA29" s="141">
        <f t="shared" si="129"/>
        <v>0</v>
      </c>
      <c r="CB29" s="141">
        <f t="shared" si="129"/>
        <v>0</v>
      </c>
      <c r="CC29" s="141">
        <f t="shared" si="129"/>
        <v>0</v>
      </c>
      <c r="CD29" s="141">
        <f t="shared" si="129"/>
        <v>0</v>
      </c>
      <c r="CE29" s="141">
        <f t="shared" si="129"/>
        <v>0</v>
      </c>
      <c r="CF29" s="141">
        <f t="shared" si="129"/>
        <v>0</v>
      </c>
      <c r="CG29" s="141">
        <f t="shared" si="129"/>
        <v>0</v>
      </c>
      <c r="CH29" s="141">
        <f t="shared" si="129"/>
        <v>0</v>
      </c>
      <c r="CI29" s="141">
        <f t="shared" si="129"/>
        <v>0</v>
      </c>
      <c r="CJ29" s="141">
        <f t="shared" si="129"/>
        <v>0</v>
      </c>
      <c r="CK29" s="141">
        <f t="shared" si="129"/>
        <v>0</v>
      </c>
      <c r="CL29" s="141">
        <f t="shared" si="129"/>
        <v>0</v>
      </c>
      <c r="CM29" s="141">
        <f t="shared" si="129"/>
        <v>0</v>
      </c>
      <c r="CN29" s="141">
        <f t="shared" si="129"/>
        <v>0</v>
      </c>
      <c r="CO29" s="141">
        <f t="shared" si="129"/>
        <v>0</v>
      </c>
      <c r="CP29" s="141">
        <f t="shared" si="129"/>
        <v>0</v>
      </c>
      <c r="CQ29" s="141">
        <f t="shared" si="129"/>
        <v>0</v>
      </c>
      <c r="CR29" s="141">
        <f t="shared" si="129"/>
        <v>0</v>
      </c>
      <c r="CS29" s="141">
        <f t="shared" si="129"/>
        <v>0</v>
      </c>
      <c r="CT29" s="141">
        <f t="shared" si="129"/>
        <v>0</v>
      </c>
      <c r="CU29" s="141">
        <f t="shared" si="129"/>
        <v>0</v>
      </c>
      <c r="CV29" s="141">
        <f t="shared" si="129"/>
        <v>0</v>
      </c>
      <c r="CW29" s="142">
        <f t="shared" ref="CW29:DZ29" si="130">EA29*$AH29*$AJ29</f>
        <v>0</v>
      </c>
      <c r="CX29" s="142">
        <f t="shared" si="130"/>
        <v>0</v>
      </c>
      <c r="CY29" s="142">
        <f t="shared" si="130"/>
        <v>0</v>
      </c>
      <c r="CZ29" s="142">
        <f t="shared" si="130"/>
        <v>0</v>
      </c>
      <c r="DA29" s="142">
        <f t="shared" si="130"/>
        <v>0</v>
      </c>
      <c r="DB29" s="142">
        <f t="shared" si="130"/>
        <v>0</v>
      </c>
      <c r="DC29" s="142">
        <f t="shared" si="130"/>
        <v>0</v>
      </c>
      <c r="DD29" s="142">
        <f t="shared" si="130"/>
        <v>0</v>
      </c>
      <c r="DE29" s="142">
        <f t="shared" si="130"/>
        <v>0</v>
      </c>
      <c r="DF29" s="142">
        <f t="shared" si="130"/>
        <v>0</v>
      </c>
      <c r="DG29" s="142">
        <f t="shared" si="130"/>
        <v>0</v>
      </c>
      <c r="DH29" s="142">
        <f t="shared" si="130"/>
        <v>0</v>
      </c>
      <c r="DI29" s="142">
        <f t="shared" si="130"/>
        <v>0</v>
      </c>
      <c r="DJ29" s="142">
        <f t="shared" si="130"/>
        <v>0</v>
      </c>
      <c r="DK29" s="142">
        <f t="shared" si="130"/>
        <v>0</v>
      </c>
      <c r="DL29" s="142">
        <f t="shared" si="130"/>
        <v>0</v>
      </c>
      <c r="DM29" s="142">
        <f t="shared" si="130"/>
        <v>0</v>
      </c>
      <c r="DN29" s="142">
        <f t="shared" si="130"/>
        <v>0</v>
      </c>
      <c r="DO29" s="142">
        <f t="shared" si="130"/>
        <v>0</v>
      </c>
      <c r="DP29" s="142">
        <f t="shared" si="130"/>
        <v>0</v>
      </c>
      <c r="DQ29" s="142">
        <f t="shared" si="130"/>
        <v>0</v>
      </c>
      <c r="DR29" s="142">
        <f t="shared" si="130"/>
        <v>0</v>
      </c>
      <c r="DS29" s="142">
        <f t="shared" si="130"/>
        <v>0</v>
      </c>
      <c r="DT29" s="142">
        <f t="shared" si="130"/>
        <v>0</v>
      </c>
      <c r="DU29" s="142">
        <f t="shared" si="130"/>
        <v>0</v>
      </c>
      <c r="DV29" s="142">
        <f t="shared" si="130"/>
        <v>0</v>
      </c>
      <c r="DW29" s="142">
        <f t="shared" si="130"/>
        <v>0</v>
      </c>
      <c r="DX29" s="142">
        <f t="shared" si="130"/>
        <v>0</v>
      </c>
      <c r="DY29" s="142">
        <f t="shared" si="130"/>
        <v>0</v>
      </c>
      <c r="DZ29" s="142">
        <f t="shared" si="130"/>
        <v>0</v>
      </c>
      <c r="EA29" s="143">
        <f t="shared" si="9"/>
        <v>0</v>
      </c>
      <c r="EB29" s="143">
        <f t="shared" si="10"/>
        <v>0</v>
      </c>
      <c r="EC29" s="143">
        <f t="shared" si="11"/>
        <v>0</v>
      </c>
      <c r="ED29" s="143">
        <f t="shared" si="12"/>
        <v>0</v>
      </c>
      <c r="EE29" s="143">
        <f t="shared" si="13"/>
        <v>0</v>
      </c>
      <c r="EF29" s="143">
        <f t="shared" si="14"/>
        <v>0</v>
      </c>
      <c r="EG29" s="143">
        <f t="shared" si="15"/>
        <v>0</v>
      </c>
      <c r="EH29" s="143">
        <f t="shared" si="16"/>
        <v>0</v>
      </c>
      <c r="EI29" s="143">
        <f t="shared" si="17"/>
        <v>0</v>
      </c>
      <c r="EJ29" s="143">
        <f t="shared" si="18"/>
        <v>0</v>
      </c>
      <c r="EK29" s="143">
        <f t="shared" si="19"/>
        <v>0</v>
      </c>
      <c r="EL29" s="143">
        <f t="shared" si="20"/>
        <v>0</v>
      </c>
      <c r="EM29" s="143">
        <f t="shared" si="21"/>
        <v>0</v>
      </c>
      <c r="EN29" s="143">
        <f t="shared" si="22"/>
        <v>0</v>
      </c>
      <c r="EO29" s="143">
        <f t="shared" si="23"/>
        <v>0</v>
      </c>
      <c r="EP29" s="143">
        <f t="shared" si="24"/>
        <v>0</v>
      </c>
      <c r="EQ29" s="143">
        <f t="shared" si="25"/>
        <v>0</v>
      </c>
      <c r="ER29" s="143">
        <f t="shared" si="26"/>
        <v>0</v>
      </c>
      <c r="ES29" s="143">
        <f t="shared" si="27"/>
        <v>0</v>
      </c>
      <c r="ET29" s="143">
        <f t="shared" si="28"/>
        <v>0</v>
      </c>
      <c r="EU29" s="143">
        <f t="shared" si="29"/>
        <v>0</v>
      </c>
      <c r="EV29" s="143">
        <f t="shared" si="30"/>
        <v>0</v>
      </c>
      <c r="EW29" s="143">
        <f t="shared" si="31"/>
        <v>0</v>
      </c>
      <c r="EX29" s="143">
        <f t="shared" si="32"/>
        <v>0</v>
      </c>
      <c r="EY29" s="143">
        <f t="shared" si="33"/>
        <v>0</v>
      </c>
      <c r="EZ29" s="143">
        <f t="shared" si="34"/>
        <v>0</v>
      </c>
      <c r="FA29" s="143">
        <f t="shared" si="35"/>
        <v>0</v>
      </c>
      <c r="FB29" s="143">
        <f t="shared" si="36"/>
        <v>0</v>
      </c>
      <c r="FC29" s="143">
        <f t="shared" si="37"/>
        <v>0</v>
      </c>
      <c r="FD29" s="143">
        <f t="shared" si="38"/>
        <v>0</v>
      </c>
      <c r="FE29" s="140">
        <f>SUM($D29:D29)*IF($B29="Operacional",IFERROR(VLOOKUP($C29,SN_UGC,28,0),0),1)</f>
        <v>16</v>
      </c>
      <c r="FF29" s="140">
        <f>SUM($D29:E29)*IF($B29="Operacional",IFERROR(VLOOKUP($C29,SN_UGC,28,0),0),1)</f>
        <v>16</v>
      </c>
      <c r="FG29" s="140">
        <f>SUM($D29:F29)*IF($B29="Operacional",IFERROR(VLOOKUP($C29,SN_UGC,28,0),0),1)</f>
        <v>16</v>
      </c>
      <c r="FH29" s="140">
        <f>SUM($D29:G29)*IF($B29="Operacional",IFERROR(VLOOKUP($C29,SN_UGC,28,0),0),1)</f>
        <v>16</v>
      </c>
      <c r="FI29" s="140">
        <f>SUM($D29:H29)*IF($B29="Operacional",IFERROR(VLOOKUP($C29,SN_UGC,28,0),0),1)</f>
        <v>16</v>
      </c>
      <c r="FJ29" s="140">
        <f>SUM($D29:I29)*IF($B29="Operacional",IFERROR(VLOOKUP($C29,SN_UGC,28,0),0),1)</f>
        <v>16</v>
      </c>
      <c r="FK29" s="140">
        <f>SUM($D29:J29)*IF($B29="Operacional",IFERROR(VLOOKUP($C29,SN_UGC,28,0),0),1)</f>
        <v>16</v>
      </c>
      <c r="FL29" s="140">
        <f>SUM($D29:K29)*IF($B29="Operacional",IFERROR(VLOOKUP($C29,SN_UGC,28,0),0),1)</f>
        <v>16</v>
      </c>
      <c r="FM29" s="140">
        <f>SUM($D29:L29)*IF($B29="Operacional",IFERROR(VLOOKUP($C29,SN_UGC,28,0),0),1)</f>
        <v>16</v>
      </c>
      <c r="FN29" s="140">
        <f>SUM($D29:M29)*IF($B29="Operacional",IFERROR(VLOOKUP($C29,SN_UGC,28,0),0),1)</f>
        <v>16</v>
      </c>
      <c r="FO29" s="140">
        <f>SUM($D29:N29)*IF($B29="Operacional",IFERROR(VLOOKUP($C29,SN_UGC,28,0),0),1)</f>
        <v>16</v>
      </c>
      <c r="FP29" s="140">
        <f>SUM($D29:O29)*IF($B29="Operacional",IFERROR(VLOOKUP($C29,SN_UGC,28,0),0),1)</f>
        <v>16</v>
      </c>
      <c r="FQ29" s="140">
        <f>SUM($D29:P29)*IF($B29="Operacional",IFERROR(VLOOKUP($C29,SN_UGC,28,0),0),1)</f>
        <v>16</v>
      </c>
      <c r="FR29" s="140">
        <f>SUM($D29:Q29)*IF($B29="Operacional",IFERROR(VLOOKUP($C29,SN_UGC,28,0),0),1)</f>
        <v>16</v>
      </c>
      <c r="FS29" s="140">
        <f>SUM($D29:R29)*IF($B29="Operacional",IFERROR(VLOOKUP($C29,SN_UGC,28,0),0),1)</f>
        <v>16</v>
      </c>
      <c r="FT29" s="140">
        <f>SUM($D29:S29)*IF($B29="Operacional",IFERROR(VLOOKUP($C29,SN_UGC,28,0),0),1)</f>
        <v>16</v>
      </c>
      <c r="FU29" s="140">
        <f>SUM($D29:T29)*IF($B29="Operacional",IFERROR(VLOOKUP($C29,SN_UGC,28,0),0),1)</f>
        <v>16</v>
      </c>
      <c r="FV29" s="140">
        <f>SUM($D29:U29)*IF($B29="Operacional",IFERROR(VLOOKUP($C29,SN_UGC,28,0),0),1)</f>
        <v>16</v>
      </c>
      <c r="FW29" s="140">
        <f>SUM($D29:V29)*IF($B29="Operacional",IFERROR(VLOOKUP($C29,SN_UGC,28,0),0),1)</f>
        <v>16</v>
      </c>
      <c r="FX29" s="140">
        <f>SUM($D29:W29)*IF($B29="Operacional",IFERROR(VLOOKUP($C29,SN_UGC,28,0),0),1)</f>
        <v>16</v>
      </c>
      <c r="FY29" s="140">
        <f>SUM($D29:X29)*IF($B29="Operacional",IFERROR(VLOOKUP($C29,SN_UGC,28,0),0),1)</f>
        <v>16</v>
      </c>
      <c r="FZ29" s="140">
        <f>SUM($D29:Y29)*IF($B29="Operacional",IFERROR(VLOOKUP($C29,SN_UGC,28,0),0),1)</f>
        <v>16</v>
      </c>
      <c r="GA29" s="140">
        <f>SUM($D29:Z29)*IF($B29="Operacional",IFERROR(VLOOKUP($C29,SN_UGC,28,0),0),1)</f>
        <v>16</v>
      </c>
      <c r="GB29" s="140">
        <f>SUM($D29:AA29)*IF($B29="Operacional",IFERROR(VLOOKUP($C29,SN_UGC,28,0),0),1)</f>
        <v>16</v>
      </c>
      <c r="GC29" s="140">
        <f>SUM($D29:AB29)*IF($B29="Operacional",IFERROR(VLOOKUP($C29,SN_UGC,28,0),0),1)</f>
        <v>16</v>
      </c>
      <c r="GD29" s="140">
        <f>SUM($D29:AC29)*IF($B29="Operacional",IFERROR(VLOOKUP($C29,SN_UGC,28,0),0),1)</f>
        <v>16</v>
      </c>
      <c r="GE29" s="140">
        <f>SUM($D29:AD29)*IF($B29="Operacional",IFERROR(VLOOKUP($C29,SN_UGC,28,0),0),1)</f>
        <v>16</v>
      </c>
      <c r="GF29" s="140">
        <f>SUM($D29:AE29)*IF($B29="Operacional",IFERROR(VLOOKUP($C29,SN_UGC,28,0),0),1)</f>
        <v>16</v>
      </c>
      <c r="GG29" s="140">
        <f>SUM($D29:AF29)*IF($B29="Operacional",IFERROR(VLOOKUP($C29,SN_UGC,28,0),0),1)</f>
        <v>16</v>
      </c>
      <c r="GH29" s="140">
        <f>SUM($D29:AG29)*IF($B29="Operacional",IFERROR(VLOOKUP($C29,SN_UGC,28,0),0),1)</f>
        <v>16</v>
      </c>
      <c r="GI29" s="141">
        <f t="shared" ref="GI29:HL29" si="131">FE29*$AH29*$AL29</f>
        <v>35.200000000000003</v>
      </c>
      <c r="GJ29" s="141">
        <f t="shared" si="131"/>
        <v>35.200000000000003</v>
      </c>
      <c r="GK29" s="141">
        <f t="shared" si="131"/>
        <v>35.200000000000003</v>
      </c>
      <c r="GL29" s="141">
        <f t="shared" si="131"/>
        <v>35.200000000000003</v>
      </c>
      <c r="GM29" s="141">
        <f t="shared" si="131"/>
        <v>35.200000000000003</v>
      </c>
      <c r="GN29" s="141">
        <f t="shared" si="131"/>
        <v>35.200000000000003</v>
      </c>
      <c r="GO29" s="141">
        <f t="shared" si="131"/>
        <v>35.200000000000003</v>
      </c>
      <c r="GP29" s="141">
        <f t="shared" si="131"/>
        <v>35.200000000000003</v>
      </c>
      <c r="GQ29" s="141">
        <f t="shared" si="131"/>
        <v>35.200000000000003</v>
      </c>
      <c r="GR29" s="141">
        <f t="shared" si="131"/>
        <v>35.200000000000003</v>
      </c>
      <c r="GS29" s="141">
        <f t="shared" si="131"/>
        <v>35.200000000000003</v>
      </c>
      <c r="GT29" s="141">
        <f t="shared" si="131"/>
        <v>35.200000000000003</v>
      </c>
      <c r="GU29" s="141">
        <f t="shared" si="131"/>
        <v>35.200000000000003</v>
      </c>
      <c r="GV29" s="141">
        <f t="shared" si="131"/>
        <v>35.200000000000003</v>
      </c>
      <c r="GW29" s="141">
        <f t="shared" si="131"/>
        <v>35.200000000000003</v>
      </c>
      <c r="GX29" s="141">
        <f t="shared" si="131"/>
        <v>35.200000000000003</v>
      </c>
      <c r="GY29" s="141">
        <f t="shared" si="131"/>
        <v>35.200000000000003</v>
      </c>
      <c r="GZ29" s="141">
        <f t="shared" si="131"/>
        <v>35.200000000000003</v>
      </c>
      <c r="HA29" s="141">
        <f t="shared" si="131"/>
        <v>35.200000000000003</v>
      </c>
      <c r="HB29" s="141">
        <f t="shared" si="131"/>
        <v>35.200000000000003</v>
      </c>
      <c r="HC29" s="141">
        <f t="shared" si="131"/>
        <v>35.200000000000003</v>
      </c>
      <c r="HD29" s="141">
        <f t="shared" si="131"/>
        <v>35.200000000000003</v>
      </c>
      <c r="HE29" s="141">
        <f t="shared" si="131"/>
        <v>35.200000000000003</v>
      </c>
      <c r="HF29" s="141">
        <f t="shared" si="131"/>
        <v>35.200000000000003</v>
      </c>
      <c r="HG29" s="141">
        <f t="shared" si="131"/>
        <v>35.200000000000003</v>
      </c>
      <c r="HH29" s="141">
        <f t="shared" si="131"/>
        <v>35.200000000000003</v>
      </c>
      <c r="HI29" s="141">
        <f t="shared" si="131"/>
        <v>35.200000000000003</v>
      </c>
      <c r="HJ29" s="141">
        <f t="shared" si="131"/>
        <v>35.200000000000003</v>
      </c>
      <c r="HK29" s="141">
        <f t="shared" si="131"/>
        <v>35.200000000000003</v>
      </c>
      <c r="HL29" s="141">
        <f t="shared" si="131"/>
        <v>35.200000000000003</v>
      </c>
      <c r="HM29" s="142">
        <f t="shared" ref="HM29:IP29" si="132">IF(ISBLANK($A29),,FE29*($AH29-($AH29*$AJ29))/$AI29)</f>
        <v>0</v>
      </c>
      <c r="HN29" s="142">
        <f t="shared" si="132"/>
        <v>0</v>
      </c>
      <c r="HO29" s="142">
        <f t="shared" si="132"/>
        <v>0</v>
      </c>
      <c r="HP29" s="142">
        <f t="shared" si="132"/>
        <v>0</v>
      </c>
      <c r="HQ29" s="142">
        <f t="shared" si="132"/>
        <v>0</v>
      </c>
      <c r="HR29" s="142">
        <f t="shared" si="132"/>
        <v>0</v>
      </c>
      <c r="HS29" s="142">
        <f t="shared" si="132"/>
        <v>0</v>
      </c>
      <c r="HT29" s="142">
        <f t="shared" si="132"/>
        <v>0</v>
      </c>
      <c r="HU29" s="142">
        <f t="shared" si="132"/>
        <v>0</v>
      </c>
      <c r="HV29" s="142">
        <f t="shared" si="132"/>
        <v>0</v>
      </c>
      <c r="HW29" s="142">
        <f t="shared" si="132"/>
        <v>0</v>
      </c>
      <c r="HX29" s="142">
        <f t="shared" si="132"/>
        <v>0</v>
      </c>
      <c r="HY29" s="142">
        <f t="shared" si="132"/>
        <v>0</v>
      </c>
      <c r="HZ29" s="142">
        <f t="shared" si="132"/>
        <v>0</v>
      </c>
      <c r="IA29" s="142">
        <f t="shared" si="132"/>
        <v>0</v>
      </c>
      <c r="IB29" s="142">
        <f t="shared" si="132"/>
        <v>0</v>
      </c>
      <c r="IC29" s="142">
        <f t="shared" si="132"/>
        <v>0</v>
      </c>
      <c r="ID29" s="142">
        <f t="shared" si="132"/>
        <v>0</v>
      </c>
      <c r="IE29" s="142">
        <f t="shared" si="132"/>
        <v>0</v>
      </c>
      <c r="IF29" s="142">
        <f t="shared" si="132"/>
        <v>0</v>
      </c>
      <c r="IG29" s="142">
        <f t="shared" si="132"/>
        <v>0</v>
      </c>
      <c r="IH29" s="142">
        <f t="shared" si="132"/>
        <v>0</v>
      </c>
      <c r="II29" s="142">
        <f t="shared" si="132"/>
        <v>0</v>
      </c>
      <c r="IJ29" s="142">
        <f t="shared" si="132"/>
        <v>0</v>
      </c>
      <c r="IK29" s="142">
        <f t="shared" si="132"/>
        <v>0</v>
      </c>
      <c r="IL29" s="142">
        <f t="shared" si="132"/>
        <v>0</v>
      </c>
      <c r="IM29" s="142">
        <f t="shared" si="132"/>
        <v>0</v>
      </c>
      <c r="IN29" s="142">
        <f t="shared" si="132"/>
        <v>0</v>
      </c>
      <c r="IO29" s="142">
        <f t="shared" si="132"/>
        <v>0</v>
      </c>
      <c r="IP29" s="142">
        <f t="shared" si="132"/>
        <v>0</v>
      </c>
      <c r="IQ29" s="141">
        <f>IF(ISBLANK($A29),,IF($AN29="Não",0,(SUM($AO29:AO29)*$AH29)-SUM($HM29:HM29)-SUM($CW29:CW29)))</f>
        <v>0</v>
      </c>
      <c r="IR29" s="141">
        <f>IF(ISBLANK($A29),,IF($AN29="Não",0,(SUM($AO29:AP29)*$AH29)-SUM($HM29:HN29)-SUM($CW29:CX29)))</f>
        <v>0</v>
      </c>
      <c r="IS29" s="141">
        <f>IF(ISBLANK($A29),,IF($AN29="Não",0,(SUM($AO29:AQ29)*$AH29)-SUM($HM29:HO29)-SUM($CW29:CY29)))</f>
        <v>0</v>
      </c>
      <c r="IT29" s="141">
        <f>IF(ISBLANK($A29),,IF($AN29="Não",0,(SUM($AO29:AR29)*$AH29)-SUM($HM29:HP29)-SUM($CW29:CZ29)))</f>
        <v>0</v>
      </c>
      <c r="IU29" s="141">
        <f>IF(ISBLANK($A29),,IF($AN29="Não",0,(SUM($AO29:AS29)*$AH29)-SUM($HM29:HQ29)-SUM($CW29:DA29)))</f>
        <v>0</v>
      </c>
      <c r="IV29" s="141">
        <f>IF(ISBLANK($A29),,IF($AN29="Não",0,(SUM($AO29:AT29)*$AH29)-SUM($HM29:HR29)-SUM($CW29:DB29)))</f>
        <v>0</v>
      </c>
      <c r="IW29" s="141">
        <f>IF(ISBLANK($A29),,IF($AN29="Não",0,(SUM($AO29:AU29)*$AH29)-SUM($HM29:HS29)-SUM($CW29:DC29)))</f>
        <v>0</v>
      </c>
      <c r="IX29" s="141">
        <f>IF(ISBLANK($A29),,IF($AN29="Não",0,(SUM($AO29:AV29)*$AH29)-SUM($HM29:HT29)-SUM($CW29:DD29)))</f>
        <v>0</v>
      </c>
      <c r="IY29" s="141">
        <f>IF(ISBLANK($A29),,IF($AN29="Não",0,(SUM($AO29:AW29)*$AH29)-SUM($HM29:HU29)-SUM($CW29:DE29)))</f>
        <v>0</v>
      </c>
      <c r="IZ29" s="141">
        <f>IF(ISBLANK($A29),,IF($AN29="Não",0,(SUM($AO29:AX29)*$AH29)-SUM($HM29:HV29)-SUM($CW29:DF29)))</f>
        <v>0</v>
      </c>
      <c r="JA29" s="141">
        <f>IF(ISBLANK($A29),,IF($AN29="Não",0,(SUM($AO29:AY29)*$AH29)-SUM($HM29:HW29)-SUM($CW29:DG29)))</f>
        <v>0</v>
      </c>
      <c r="JB29" s="141">
        <f>IF(ISBLANK($A29),,IF($AN29="Não",0,(SUM($AO29:AZ29)*$AH29)-SUM($HM29:HX29)-SUM($CW29:DH29)))</f>
        <v>0</v>
      </c>
      <c r="JC29" s="141">
        <f>IF(ISBLANK($A29),,IF($AN29="Não",0,(SUM($AO29:BA29)*$AH29)-SUM($HM29:HY29)-SUM($CW29:DI29)))</f>
        <v>0</v>
      </c>
      <c r="JD29" s="141">
        <f>IF(ISBLANK($A29),,IF($AN29="Não",0,(SUM($AO29:BB29)*$AH29)-SUM($HM29:HZ29)-SUM($CW29:DJ29)))</f>
        <v>0</v>
      </c>
      <c r="JE29" s="141">
        <f>IF(ISBLANK($A29),,IF($AN29="Não",0,(SUM($AO29:BC29)*$AH29)-SUM($HM29:IA29)-SUM($CW29:DK29)))</f>
        <v>0</v>
      </c>
      <c r="JF29" s="141">
        <f>IF(ISBLANK($A29),,IF($AN29="Não",0,(SUM($AO29:BD29)*$AH29)-SUM($HM29:IB29)-SUM($CW29:DL29)))</f>
        <v>0</v>
      </c>
      <c r="JG29" s="141">
        <f>IF(ISBLANK($A29),,IF($AN29="Não",0,(SUM($AO29:BE29)*$AH29)-SUM($HM29:IC29)-SUM($CW29:DM29)))</f>
        <v>0</v>
      </c>
      <c r="JH29" s="141">
        <f>IF(ISBLANK($A29),,IF($AN29="Não",0,(SUM($AO29:BF29)*$AH29)-SUM($HM29:ID29)-SUM($CW29:DN29)))</f>
        <v>0</v>
      </c>
      <c r="JI29" s="141">
        <f>IF(ISBLANK($A29),,IF($AN29="Não",0,(SUM($AO29:BG29)*$AH29)-SUM($HM29:IE29)-SUM($CW29:DO29)))</f>
        <v>0</v>
      </c>
      <c r="JJ29" s="141">
        <f>IF(ISBLANK($A29),,IF($AN29="Não",0,(SUM($AO29:BH29)*$AH29)-SUM($HM29:IF29)-SUM($CW29:DP29)))</f>
        <v>0</v>
      </c>
      <c r="JK29" s="141">
        <f>IF(ISBLANK($A29),,IF($AN29="Não",0,(SUM($AO29:BI29)*$AH29)-SUM($HM29:IG29)-SUM($CW29:DQ29)))</f>
        <v>0</v>
      </c>
      <c r="JL29" s="141">
        <f>IF(ISBLANK($A29),,IF($AN29="Não",0,(SUM($AO29:BJ29)*$AH29)-SUM($HM29:IH29)-SUM($CW29:DR29)))</f>
        <v>0</v>
      </c>
      <c r="JM29" s="141">
        <f>IF(ISBLANK($A29),,IF($AN29="Não",0,(SUM($AO29:BK29)*$AH29)-SUM($HM29:II29)-SUM($CW29:DS29)))</f>
        <v>0</v>
      </c>
      <c r="JN29" s="141">
        <f>IF(ISBLANK($A29),,IF($AN29="Não",0,(SUM($AO29:BL29)*$AH29)-SUM($HM29:IJ29)-SUM($CW29:DT29)))</f>
        <v>0</v>
      </c>
      <c r="JO29" s="141">
        <f>IF(ISBLANK($A29),,IF($AN29="Não",0,(SUM($AO29:BM29)*$AH29)-SUM($HM29:IK29)-SUM($CW29:DU29)))</f>
        <v>0</v>
      </c>
      <c r="JP29" s="141">
        <f>IF(ISBLANK($A29),,IF($AN29="Não",0,(SUM($AO29:BN29)*$AH29)-SUM($HM29:IL29)-SUM($CW29:DV29)))</f>
        <v>0</v>
      </c>
      <c r="JQ29" s="141">
        <f>IF(ISBLANK($A29),,IF($AN29="Não",0,(SUM($AO29:BO29)*$AH29)-SUM($HM29:IM29)-SUM($CW29:DW29)))</f>
        <v>0</v>
      </c>
      <c r="JR29" s="141">
        <f>IF(ISBLANK($A29),,IF($AN29="Não",0,(SUM($AO29:BP29)*$AH29)-SUM($HM29:IN29)-SUM($CW29:DX29)))</f>
        <v>0</v>
      </c>
      <c r="JS29" s="141">
        <f>IF(ISBLANK($A29),,IF($AN29="Não",0,(SUM($AO29:BQ29)*$AH29)-SUM($HM29:IO29)-SUM($CW29:DY29)))</f>
        <v>0</v>
      </c>
      <c r="JT29" s="141">
        <f>IF(ISBLANK($A29),,IF($AN29="Não",0,(SUM($AO29:BR29)*$AH29)-SUM($HM29:IP29)-SUM($CW29:DZ29)))</f>
        <v>0</v>
      </c>
    </row>
    <row r="30" spans="1:280" ht="15.75" customHeight="1">
      <c r="A30" s="129" t="s">
        <v>367</v>
      </c>
      <c r="B30" s="129" t="s">
        <v>209</v>
      </c>
      <c r="C30" s="138" t="s">
        <v>79</v>
      </c>
      <c r="D30" s="139">
        <v>160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607">
        <f t="shared" si="0"/>
        <v>44</v>
      </c>
      <c r="AI30" s="608">
        <f t="shared" si="1"/>
        <v>30</v>
      </c>
      <c r="AJ30" s="609">
        <f t="shared" si="2"/>
        <v>1</v>
      </c>
      <c r="AK30" s="610" t="str">
        <f t="shared" si="3"/>
        <v>Infraestrutura</v>
      </c>
      <c r="AL30" s="609">
        <f t="shared" si="4"/>
        <v>0.05</v>
      </c>
      <c r="AM30" s="611" t="str">
        <f t="shared" si="5"/>
        <v>Sim</v>
      </c>
      <c r="AN30" s="611" t="str">
        <f t="shared" si="6"/>
        <v>Não</v>
      </c>
      <c r="AO30" s="140">
        <f t="array" ref="AO30">IF(ISBLANK($A30),0,IF(OR(AO$5-$AI30&lt;=0,$AM30="Não"),D30,D30+INDEX($AO$6:$BR$176,ROW()-5,COLUMN()-40-$AI30)))*IF($B30="Operacional",IFERROR(VLOOKUP($C30,SN_UGC,28,0),0),1)</f>
        <v>160</v>
      </c>
      <c r="AP30" s="140">
        <f t="array" ref="AP30">IF(ISBLANK($A30),0,IF(OR(AP$5-$AI30&lt;=0,$AM30="Não"),E30,E30+INDEX($AO$6:$BR$176,ROW()-5,COLUMN()-40-$AI30)))*IF($B30="Operacional",IFERROR(VLOOKUP($C30,SN_UGC,28,0),0),1)</f>
        <v>0</v>
      </c>
      <c r="AQ30" s="140">
        <f t="array" ref="AQ30">IF(ISBLANK($A30),0,IF(OR(AQ$5-$AI30&lt;=0,$AM30="Não"),F30,F30+INDEX($AO$6:$BR$176,ROW()-5,COLUMN()-40-$AI30)))*IF($B30="Operacional",IFERROR(VLOOKUP($C30,SN_UGC,28,0),0),1)</f>
        <v>0</v>
      </c>
      <c r="AR30" s="140">
        <f t="array" ref="AR30">IF(ISBLANK($A30),0,IF(OR(AR$5-$AI30&lt;=0,$AM30="Não"),G30,G30+INDEX($AO$6:$BR$176,ROW()-5,COLUMN()-40-$AI30)))*IF($B30="Operacional",IFERROR(VLOOKUP($C30,SN_UGC,28,0),0),1)</f>
        <v>0</v>
      </c>
      <c r="AS30" s="140">
        <f t="array" ref="AS30">IF(ISBLANK($A30),0,IF(OR(AS$5-$AI30&lt;=0,$AM30="Não"),H30,H30+INDEX($AO$6:$BR$176,ROW()-5,COLUMN()-40-$AI30)))*IF($B30="Operacional",IFERROR(VLOOKUP($C30,SN_UGC,28,0),0),1)</f>
        <v>0</v>
      </c>
      <c r="AT30" s="140">
        <f t="array" ref="AT30">IF(ISBLANK($A30),0,IF(OR(AT$5-$AI30&lt;=0,$AM30="Não"),I30,I30+INDEX($AO$6:$BR$176,ROW()-5,COLUMN()-40-$AI30)))*IF($B30="Operacional",IFERROR(VLOOKUP($C30,SN_UGC,28,0),0),1)</f>
        <v>0</v>
      </c>
      <c r="AU30" s="140">
        <f t="array" ref="AU30">IF(ISBLANK($A30),0,IF(OR(AU$5-$AI30&lt;=0,$AM30="Não"),J30,J30+INDEX($AO$6:$BR$176,ROW()-5,COLUMN()-40-$AI30)))*IF($B30="Operacional",IFERROR(VLOOKUP($C30,SN_UGC,28,0),0),1)</f>
        <v>0</v>
      </c>
      <c r="AV30" s="140">
        <f t="array" ref="AV30">IF(ISBLANK($A30),0,IF(OR(AV$5-$AI30&lt;=0,$AM30="Não"),K30,K30+INDEX($AO$6:$BR$176,ROW()-5,COLUMN()-40-$AI30)))*IF($B30="Operacional",IFERROR(VLOOKUP($C30,SN_UGC,28,0),0),1)</f>
        <v>0</v>
      </c>
      <c r="AW30" s="140">
        <f t="array" ref="AW30">IF(ISBLANK($A30),0,IF(OR(AW$5-$AI30&lt;=0,$AM30="Não"),L30,L30+INDEX($AO$6:$BR$176,ROW()-5,COLUMN()-40-$AI30)))*IF($B30="Operacional",IFERROR(VLOOKUP($C30,SN_UGC,28,0),0),1)</f>
        <v>0</v>
      </c>
      <c r="AX30" s="140">
        <f t="array" ref="AX30">IF(ISBLANK($A30),0,IF(OR(AX$5-$AI30&lt;=0,$AM30="Não"),M30,M30+INDEX($AO$6:$BR$176,ROW()-5,COLUMN()-40-$AI30)))*IF($B30="Operacional",IFERROR(VLOOKUP($C30,SN_UGC,28,0),0),1)</f>
        <v>0</v>
      </c>
      <c r="AY30" s="140">
        <f t="array" ref="AY30">IF(ISBLANK($A30),0,IF(OR(AY$5-$AI30&lt;=0,$AM30="Não"),N30,N30+INDEX($AO$6:$BR$176,ROW()-5,COLUMN()-40-$AI30)))*IF($B30="Operacional",IFERROR(VLOOKUP($C30,SN_UGC,28,0),0),1)</f>
        <v>0</v>
      </c>
      <c r="AZ30" s="140">
        <f t="array" ref="AZ30">IF(ISBLANK($A30),0,IF(OR(AZ$5-$AI30&lt;=0,$AM30="Não"),O30,O30+INDEX($AO$6:$BR$176,ROW()-5,COLUMN()-40-$AI30)))*IF($B30="Operacional",IFERROR(VLOOKUP($C30,SN_UGC,28,0),0),1)</f>
        <v>0</v>
      </c>
      <c r="BA30" s="140">
        <f t="array" ref="BA30">IF(ISBLANK($A30),0,IF(OR(BA$5-$AI30&lt;=0,$AM30="Não"),P30,P30+INDEX($AO$6:$BR$176,ROW()-5,COLUMN()-40-$AI30)))*IF($B30="Operacional",IFERROR(VLOOKUP($C30,SN_UGC,28,0),0),1)</f>
        <v>0</v>
      </c>
      <c r="BB30" s="140">
        <f t="array" ref="BB30">IF(ISBLANK($A30),0,IF(OR(BB$5-$AI30&lt;=0,$AM30="Não"),Q30,Q30+INDEX($AO$6:$BR$176,ROW()-5,COLUMN()-40-$AI30)))*IF($B30="Operacional",IFERROR(VLOOKUP($C30,SN_UGC,28,0),0),1)</f>
        <v>0</v>
      </c>
      <c r="BC30" s="140">
        <f t="array" ref="BC30">IF(ISBLANK($A30),0,IF(OR(BC$5-$AI30&lt;=0,$AM30="Não"),R30,R30+INDEX($AO$6:$BR$176,ROW()-5,COLUMN()-40-$AI30)))*IF($B30="Operacional",IFERROR(VLOOKUP($C30,SN_UGC,28,0),0),1)</f>
        <v>0</v>
      </c>
      <c r="BD30" s="140">
        <f t="array" ref="BD30">IF(ISBLANK($A30),0,IF(OR(BD$5-$AI30&lt;=0,$AM30="Não"),S30,S30+INDEX($AO$6:$BR$176,ROW()-5,COLUMN()-40-$AI30)))*IF($B30="Operacional",IFERROR(VLOOKUP($C30,SN_UGC,28,0),0),1)</f>
        <v>0</v>
      </c>
      <c r="BE30" s="140">
        <f t="array" ref="BE30">IF(ISBLANK($A30),0,IF(OR(BE$5-$AI30&lt;=0,$AM30="Não"),T30,T30+INDEX($AO$6:$BR$176,ROW()-5,COLUMN()-40-$AI30)))*IF($B30="Operacional",IFERROR(VLOOKUP($C30,SN_UGC,28,0),0),1)</f>
        <v>0</v>
      </c>
      <c r="BF30" s="140">
        <f t="array" ref="BF30">IF(ISBLANK($A30),0,IF(OR(BF$5-$AI30&lt;=0,$AM30="Não"),U30,U30+INDEX($AO$6:$BR$176,ROW()-5,COLUMN()-40-$AI30)))*IF($B30="Operacional",IFERROR(VLOOKUP($C30,SN_UGC,28,0),0),1)</f>
        <v>0</v>
      </c>
      <c r="BG30" s="140">
        <f t="array" ref="BG30">IF(ISBLANK($A30),0,IF(OR(BG$5-$AI30&lt;=0,$AM30="Não"),V30,V30+INDEX($AO$6:$BR$176,ROW()-5,COLUMN()-40-$AI30)))*IF($B30="Operacional",IFERROR(VLOOKUP($C30,SN_UGC,28,0),0),1)</f>
        <v>0</v>
      </c>
      <c r="BH30" s="140">
        <f t="array" ref="BH30">IF(ISBLANK($A30),0,IF(OR(BH$5-$AI30&lt;=0,$AM30="Não"),W30,W30+INDEX($AO$6:$BR$176,ROW()-5,COLUMN()-40-$AI30)))*IF($B30="Operacional",IFERROR(VLOOKUP($C30,SN_UGC,28,0),0),1)</f>
        <v>0</v>
      </c>
      <c r="BI30" s="140">
        <f t="array" ref="BI30">IF(ISBLANK($A30),0,IF(OR(BI$5-$AI30&lt;=0,$AM30="Não"),X30,X30+INDEX($AO$6:$BR$176,ROW()-5,COLUMN()-40-$AI30)))*IF($B30="Operacional",IFERROR(VLOOKUP($C30,SN_UGC,28,0),0),1)</f>
        <v>0</v>
      </c>
      <c r="BJ30" s="140">
        <f t="array" ref="BJ30">IF(ISBLANK($A30),0,IF(OR(BJ$5-$AI30&lt;=0,$AM30="Não"),Y30,Y30+INDEX($AO$6:$BR$176,ROW()-5,COLUMN()-40-$AI30)))*IF($B30="Operacional",IFERROR(VLOOKUP($C30,SN_UGC,28,0),0),1)</f>
        <v>0</v>
      </c>
      <c r="BK30" s="140">
        <f t="array" ref="BK30">IF(ISBLANK($A30),0,IF(OR(BK$5-$AI30&lt;=0,$AM30="Não"),Z30,Z30+INDEX($AO$6:$BR$176,ROW()-5,COLUMN()-40-$AI30)))*IF($B30="Operacional",IFERROR(VLOOKUP($C30,SN_UGC,28,0),0),1)</f>
        <v>0</v>
      </c>
      <c r="BL30" s="140">
        <f t="array" ref="BL30">IF(ISBLANK($A30),0,IF(OR(BL$5-$AI30&lt;=0,$AM30="Não"),AA30,AA30+INDEX($AO$6:$BR$176,ROW()-5,COLUMN()-40-$AI30)))*IF($B30="Operacional",IFERROR(VLOOKUP($C30,SN_UGC,28,0),0),1)</f>
        <v>0</v>
      </c>
      <c r="BM30" s="140">
        <f t="array" ref="BM30">IF(ISBLANK($A30),0,IF(OR(BM$5-$AI30&lt;=0,$AM30="Não"),AB30,AB30+INDEX($AO$6:$BR$176,ROW()-5,COLUMN()-40-$AI30)))*IF($B30="Operacional",IFERROR(VLOOKUP($C30,SN_UGC,28,0),0),1)</f>
        <v>0</v>
      </c>
      <c r="BN30" s="140">
        <f t="array" ref="BN30">IF(ISBLANK($A30),0,IF(OR(BN$5-$AI30&lt;=0,$AM30="Não"),AC30,AC30+INDEX($AO$6:$BR$176,ROW()-5,COLUMN()-40-$AI30)))*IF($B30="Operacional",IFERROR(VLOOKUP($C30,SN_UGC,28,0),0),1)</f>
        <v>0</v>
      </c>
      <c r="BO30" s="140">
        <f t="array" ref="BO30">IF(ISBLANK($A30),0,IF(OR(BO$5-$AI30&lt;=0,$AM30="Não"),AD30,AD30+INDEX($AO$6:$BR$176,ROW()-5,COLUMN()-40-$AI30)))*IF($B30="Operacional",IFERROR(VLOOKUP($C30,SN_UGC,28,0),0),1)</f>
        <v>0</v>
      </c>
      <c r="BP30" s="140">
        <f t="array" ref="BP30">IF(ISBLANK($A30),0,IF(OR(BP$5-$AI30&lt;=0,$AM30="Não"),AE30,AE30+INDEX($AO$6:$BR$176,ROW()-5,COLUMN()-40-$AI30)))*IF($B30="Operacional",IFERROR(VLOOKUP($C30,SN_UGC,28,0),0),1)</f>
        <v>0</v>
      </c>
      <c r="BQ30" s="140">
        <f t="array" ref="BQ30">IF(ISBLANK($A30),0,IF(OR(BQ$5-$AI30&lt;=0,$AM30="Não"),AF30,AF30+INDEX($AO$6:$BR$176,ROW()-5,COLUMN()-40-$AI30)))*IF($B30="Operacional",IFERROR(VLOOKUP($C30,SN_UGC,28,0),0),1)</f>
        <v>0</v>
      </c>
      <c r="BR30" s="140">
        <f t="array" ref="BR30">IF(ISBLANK($A30),0,IF(OR(BR$5-$AI30&lt;=0,$AM30="Não"),AG30,AG30+INDEX($AO$6:$BR$176,ROW()-5,COLUMN()-40-$AI30)))*IF($B30="Operacional",IFERROR(VLOOKUP($C30,SN_UGC,28,0),0),1)</f>
        <v>0</v>
      </c>
      <c r="BS30" s="141">
        <f t="shared" ref="BS30:CV30" si="133">IF(ISBLANK($A30),0,$AH30*AO30)</f>
        <v>7040</v>
      </c>
      <c r="BT30" s="141">
        <f t="shared" si="133"/>
        <v>0</v>
      </c>
      <c r="BU30" s="141">
        <f t="shared" si="133"/>
        <v>0</v>
      </c>
      <c r="BV30" s="141">
        <f t="shared" si="133"/>
        <v>0</v>
      </c>
      <c r="BW30" s="141">
        <f t="shared" si="133"/>
        <v>0</v>
      </c>
      <c r="BX30" s="141">
        <f t="shared" si="133"/>
        <v>0</v>
      </c>
      <c r="BY30" s="141">
        <f t="shared" si="133"/>
        <v>0</v>
      </c>
      <c r="BZ30" s="141">
        <f t="shared" si="133"/>
        <v>0</v>
      </c>
      <c r="CA30" s="141">
        <f t="shared" si="133"/>
        <v>0</v>
      </c>
      <c r="CB30" s="141">
        <f t="shared" si="133"/>
        <v>0</v>
      </c>
      <c r="CC30" s="141">
        <f t="shared" si="133"/>
        <v>0</v>
      </c>
      <c r="CD30" s="141">
        <f t="shared" si="133"/>
        <v>0</v>
      </c>
      <c r="CE30" s="141">
        <f t="shared" si="133"/>
        <v>0</v>
      </c>
      <c r="CF30" s="141">
        <f t="shared" si="133"/>
        <v>0</v>
      </c>
      <c r="CG30" s="141">
        <f t="shared" si="133"/>
        <v>0</v>
      </c>
      <c r="CH30" s="141">
        <f t="shared" si="133"/>
        <v>0</v>
      </c>
      <c r="CI30" s="141">
        <f t="shared" si="133"/>
        <v>0</v>
      </c>
      <c r="CJ30" s="141">
        <f t="shared" si="133"/>
        <v>0</v>
      </c>
      <c r="CK30" s="141">
        <f t="shared" si="133"/>
        <v>0</v>
      </c>
      <c r="CL30" s="141">
        <f t="shared" si="133"/>
        <v>0</v>
      </c>
      <c r="CM30" s="141">
        <f t="shared" si="133"/>
        <v>0</v>
      </c>
      <c r="CN30" s="141">
        <f t="shared" si="133"/>
        <v>0</v>
      </c>
      <c r="CO30" s="141">
        <f t="shared" si="133"/>
        <v>0</v>
      </c>
      <c r="CP30" s="141">
        <f t="shared" si="133"/>
        <v>0</v>
      </c>
      <c r="CQ30" s="141">
        <f t="shared" si="133"/>
        <v>0</v>
      </c>
      <c r="CR30" s="141">
        <f t="shared" si="133"/>
        <v>0</v>
      </c>
      <c r="CS30" s="141">
        <f t="shared" si="133"/>
        <v>0</v>
      </c>
      <c r="CT30" s="141">
        <f t="shared" si="133"/>
        <v>0</v>
      </c>
      <c r="CU30" s="141">
        <f t="shared" si="133"/>
        <v>0</v>
      </c>
      <c r="CV30" s="141">
        <f t="shared" si="133"/>
        <v>0</v>
      </c>
      <c r="CW30" s="142">
        <f t="shared" ref="CW30:DZ30" si="134">EA30*$AH30*$AJ30</f>
        <v>0</v>
      </c>
      <c r="CX30" s="142">
        <f t="shared" si="134"/>
        <v>0</v>
      </c>
      <c r="CY30" s="142">
        <f t="shared" si="134"/>
        <v>0</v>
      </c>
      <c r="CZ30" s="142">
        <f t="shared" si="134"/>
        <v>0</v>
      </c>
      <c r="DA30" s="142">
        <f t="shared" si="134"/>
        <v>0</v>
      </c>
      <c r="DB30" s="142">
        <f t="shared" si="134"/>
        <v>0</v>
      </c>
      <c r="DC30" s="142">
        <f t="shared" si="134"/>
        <v>0</v>
      </c>
      <c r="DD30" s="142">
        <f t="shared" si="134"/>
        <v>0</v>
      </c>
      <c r="DE30" s="142">
        <f t="shared" si="134"/>
        <v>0</v>
      </c>
      <c r="DF30" s="142">
        <f t="shared" si="134"/>
        <v>0</v>
      </c>
      <c r="DG30" s="142">
        <f t="shared" si="134"/>
        <v>0</v>
      </c>
      <c r="DH30" s="142">
        <f t="shared" si="134"/>
        <v>0</v>
      </c>
      <c r="DI30" s="142">
        <f t="shared" si="134"/>
        <v>0</v>
      </c>
      <c r="DJ30" s="142">
        <f t="shared" si="134"/>
        <v>0</v>
      </c>
      <c r="DK30" s="142">
        <f t="shared" si="134"/>
        <v>0</v>
      </c>
      <c r="DL30" s="142">
        <f t="shared" si="134"/>
        <v>0</v>
      </c>
      <c r="DM30" s="142">
        <f t="shared" si="134"/>
        <v>0</v>
      </c>
      <c r="DN30" s="142">
        <f t="shared" si="134"/>
        <v>0</v>
      </c>
      <c r="DO30" s="142">
        <f t="shared" si="134"/>
        <v>0</v>
      </c>
      <c r="DP30" s="142">
        <f t="shared" si="134"/>
        <v>0</v>
      </c>
      <c r="DQ30" s="142">
        <f t="shared" si="134"/>
        <v>0</v>
      </c>
      <c r="DR30" s="142">
        <f t="shared" si="134"/>
        <v>0</v>
      </c>
      <c r="DS30" s="142">
        <f t="shared" si="134"/>
        <v>0</v>
      </c>
      <c r="DT30" s="142">
        <f t="shared" si="134"/>
        <v>0</v>
      </c>
      <c r="DU30" s="142">
        <f t="shared" si="134"/>
        <v>0</v>
      </c>
      <c r="DV30" s="142">
        <f t="shared" si="134"/>
        <v>0</v>
      </c>
      <c r="DW30" s="142">
        <f t="shared" si="134"/>
        <v>0</v>
      </c>
      <c r="DX30" s="142">
        <f t="shared" si="134"/>
        <v>0</v>
      </c>
      <c r="DY30" s="142">
        <f t="shared" si="134"/>
        <v>0</v>
      </c>
      <c r="DZ30" s="142">
        <f t="shared" si="134"/>
        <v>0</v>
      </c>
      <c r="EA30" s="143">
        <f t="shared" si="9"/>
        <v>0</v>
      </c>
      <c r="EB30" s="143">
        <f t="shared" si="10"/>
        <v>0</v>
      </c>
      <c r="EC30" s="143">
        <f t="shared" si="11"/>
        <v>0</v>
      </c>
      <c r="ED30" s="143">
        <f t="shared" si="12"/>
        <v>0</v>
      </c>
      <c r="EE30" s="143">
        <f t="shared" si="13"/>
        <v>0</v>
      </c>
      <c r="EF30" s="143">
        <f t="shared" si="14"/>
        <v>0</v>
      </c>
      <c r="EG30" s="143">
        <f t="shared" si="15"/>
        <v>0</v>
      </c>
      <c r="EH30" s="143">
        <f t="shared" si="16"/>
        <v>0</v>
      </c>
      <c r="EI30" s="143">
        <f t="shared" si="17"/>
        <v>0</v>
      </c>
      <c r="EJ30" s="143">
        <f t="shared" si="18"/>
        <v>0</v>
      </c>
      <c r="EK30" s="143">
        <f t="shared" si="19"/>
        <v>0</v>
      </c>
      <c r="EL30" s="143">
        <f t="shared" si="20"/>
        <v>0</v>
      </c>
      <c r="EM30" s="143">
        <f t="shared" si="21"/>
        <v>0</v>
      </c>
      <c r="EN30" s="143">
        <f t="shared" si="22"/>
        <v>0</v>
      </c>
      <c r="EO30" s="143">
        <f t="shared" si="23"/>
        <v>0</v>
      </c>
      <c r="EP30" s="143">
        <f t="shared" si="24"/>
        <v>0</v>
      </c>
      <c r="EQ30" s="143">
        <f t="shared" si="25"/>
        <v>0</v>
      </c>
      <c r="ER30" s="143">
        <f t="shared" si="26"/>
        <v>0</v>
      </c>
      <c r="ES30" s="143">
        <f t="shared" si="27"/>
        <v>0</v>
      </c>
      <c r="ET30" s="143">
        <f t="shared" si="28"/>
        <v>0</v>
      </c>
      <c r="EU30" s="143">
        <f t="shared" si="29"/>
        <v>0</v>
      </c>
      <c r="EV30" s="143">
        <f t="shared" si="30"/>
        <v>0</v>
      </c>
      <c r="EW30" s="143">
        <f t="shared" si="31"/>
        <v>0</v>
      </c>
      <c r="EX30" s="143">
        <f t="shared" si="32"/>
        <v>0</v>
      </c>
      <c r="EY30" s="143">
        <f t="shared" si="33"/>
        <v>0</v>
      </c>
      <c r="EZ30" s="143">
        <f t="shared" si="34"/>
        <v>0</v>
      </c>
      <c r="FA30" s="143">
        <f t="shared" si="35"/>
        <v>0</v>
      </c>
      <c r="FB30" s="143">
        <f t="shared" si="36"/>
        <v>0</v>
      </c>
      <c r="FC30" s="143">
        <f t="shared" si="37"/>
        <v>0</v>
      </c>
      <c r="FD30" s="143">
        <f t="shared" si="38"/>
        <v>0</v>
      </c>
      <c r="FE30" s="140">
        <f>SUM($D30:D30)*IF($B30="Operacional",IFERROR(VLOOKUP($C30,SN_UGC,28,0),0),1)</f>
        <v>160</v>
      </c>
      <c r="FF30" s="140">
        <f>SUM($D30:E30)*IF($B30="Operacional",IFERROR(VLOOKUP($C30,SN_UGC,28,0),0),1)</f>
        <v>160</v>
      </c>
      <c r="FG30" s="140">
        <f>SUM($D30:F30)*IF($B30="Operacional",IFERROR(VLOOKUP($C30,SN_UGC,28,0),0),1)</f>
        <v>160</v>
      </c>
      <c r="FH30" s="140">
        <f>SUM($D30:G30)*IF($B30="Operacional",IFERROR(VLOOKUP($C30,SN_UGC,28,0),0),1)</f>
        <v>160</v>
      </c>
      <c r="FI30" s="140">
        <f>SUM($D30:H30)*IF($B30="Operacional",IFERROR(VLOOKUP($C30,SN_UGC,28,0),0),1)</f>
        <v>160</v>
      </c>
      <c r="FJ30" s="140">
        <f>SUM($D30:I30)*IF($B30="Operacional",IFERROR(VLOOKUP($C30,SN_UGC,28,0),0),1)</f>
        <v>160</v>
      </c>
      <c r="FK30" s="140">
        <f>SUM($D30:J30)*IF($B30="Operacional",IFERROR(VLOOKUP($C30,SN_UGC,28,0),0),1)</f>
        <v>160</v>
      </c>
      <c r="FL30" s="140">
        <f>SUM($D30:K30)*IF($B30="Operacional",IFERROR(VLOOKUP($C30,SN_UGC,28,0),0),1)</f>
        <v>160</v>
      </c>
      <c r="FM30" s="140">
        <f>SUM($D30:L30)*IF($B30="Operacional",IFERROR(VLOOKUP($C30,SN_UGC,28,0),0),1)</f>
        <v>160</v>
      </c>
      <c r="FN30" s="140">
        <f>SUM($D30:M30)*IF($B30="Operacional",IFERROR(VLOOKUP($C30,SN_UGC,28,0),0),1)</f>
        <v>160</v>
      </c>
      <c r="FO30" s="140">
        <f>SUM($D30:N30)*IF($B30="Operacional",IFERROR(VLOOKUP($C30,SN_UGC,28,0),0),1)</f>
        <v>160</v>
      </c>
      <c r="FP30" s="140">
        <f>SUM($D30:O30)*IF($B30="Operacional",IFERROR(VLOOKUP($C30,SN_UGC,28,0),0),1)</f>
        <v>160</v>
      </c>
      <c r="FQ30" s="140">
        <f>SUM($D30:P30)*IF($B30="Operacional",IFERROR(VLOOKUP($C30,SN_UGC,28,0),0),1)</f>
        <v>160</v>
      </c>
      <c r="FR30" s="140">
        <f>SUM($D30:Q30)*IF($B30="Operacional",IFERROR(VLOOKUP($C30,SN_UGC,28,0),0),1)</f>
        <v>160</v>
      </c>
      <c r="FS30" s="140">
        <f>SUM($D30:R30)*IF($B30="Operacional",IFERROR(VLOOKUP($C30,SN_UGC,28,0),0),1)</f>
        <v>160</v>
      </c>
      <c r="FT30" s="140">
        <f>SUM($D30:S30)*IF($B30="Operacional",IFERROR(VLOOKUP($C30,SN_UGC,28,0),0),1)</f>
        <v>160</v>
      </c>
      <c r="FU30" s="140">
        <f>SUM($D30:T30)*IF($B30="Operacional",IFERROR(VLOOKUP($C30,SN_UGC,28,0),0),1)</f>
        <v>160</v>
      </c>
      <c r="FV30" s="140">
        <f>SUM($D30:U30)*IF($B30="Operacional",IFERROR(VLOOKUP($C30,SN_UGC,28,0),0),1)</f>
        <v>160</v>
      </c>
      <c r="FW30" s="140">
        <f>SUM($D30:V30)*IF($B30="Operacional",IFERROR(VLOOKUP($C30,SN_UGC,28,0),0),1)</f>
        <v>160</v>
      </c>
      <c r="FX30" s="140">
        <f>SUM($D30:W30)*IF($B30="Operacional",IFERROR(VLOOKUP($C30,SN_UGC,28,0),0),1)</f>
        <v>160</v>
      </c>
      <c r="FY30" s="140">
        <f>SUM($D30:X30)*IF($B30="Operacional",IFERROR(VLOOKUP($C30,SN_UGC,28,0),0),1)</f>
        <v>160</v>
      </c>
      <c r="FZ30" s="140">
        <f>SUM($D30:Y30)*IF($B30="Operacional",IFERROR(VLOOKUP($C30,SN_UGC,28,0),0),1)</f>
        <v>160</v>
      </c>
      <c r="GA30" s="140">
        <f>SUM($D30:Z30)*IF($B30="Operacional",IFERROR(VLOOKUP($C30,SN_UGC,28,0),0),1)</f>
        <v>160</v>
      </c>
      <c r="GB30" s="140">
        <f>SUM($D30:AA30)*IF($B30="Operacional",IFERROR(VLOOKUP($C30,SN_UGC,28,0),0),1)</f>
        <v>160</v>
      </c>
      <c r="GC30" s="140">
        <f>SUM($D30:AB30)*IF($B30="Operacional",IFERROR(VLOOKUP($C30,SN_UGC,28,0),0),1)</f>
        <v>160</v>
      </c>
      <c r="GD30" s="140">
        <f>SUM($D30:AC30)*IF($B30="Operacional",IFERROR(VLOOKUP($C30,SN_UGC,28,0),0),1)</f>
        <v>160</v>
      </c>
      <c r="GE30" s="140">
        <f>SUM($D30:AD30)*IF($B30="Operacional",IFERROR(VLOOKUP($C30,SN_UGC,28,0),0),1)</f>
        <v>160</v>
      </c>
      <c r="GF30" s="140">
        <f>SUM($D30:AE30)*IF($B30="Operacional",IFERROR(VLOOKUP($C30,SN_UGC,28,0),0),1)</f>
        <v>160</v>
      </c>
      <c r="GG30" s="140">
        <f>SUM($D30:AF30)*IF($B30="Operacional",IFERROR(VLOOKUP($C30,SN_UGC,28,0),0),1)</f>
        <v>160</v>
      </c>
      <c r="GH30" s="140">
        <f>SUM($D30:AG30)*IF($B30="Operacional",IFERROR(VLOOKUP($C30,SN_UGC,28,0),0),1)</f>
        <v>160</v>
      </c>
      <c r="GI30" s="141">
        <f t="shared" ref="GI30:HL30" si="135">FE30*$AH30*$AL30</f>
        <v>352</v>
      </c>
      <c r="GJ30" s="141">
        <f t="shared" si="135"/>
        <v>352</v>
      </c>
      <c r="GK30" s="141">
        <f t="shared" si="135"/>
        <v>352</v>
      </c>
      <c r="GL30" s="141">
        <f t="shared" si="135"/>
        <v>352</v>
      </c>
      <c r="GM30" s="141">
        <f t="shared" si="135"/>
        <v>352</v>
      </c>
      <c r="GN30" s="141">
        <f t="shared" si="135"/>
        <v>352</v>
      </c>
      <c r="GO30" s="141">
        <f t="shared" si="135"/>
        <v>352</v>
      </c>
      <c r="GP30" s="141">
        <f t="shared" si="135"/>
        <v>352</v>
      </c>
      <c r="GQ30" s="141">
        <f t="shared" si="135"/>
        <v>352</v>
      </c>
      <c r="GR30" s="141">
        <f t="shared" si="135"/>
        <v>352</v>
      </c>
      <c r="GS30" s="141">
        <f t="shared" si="135"/>
        <v>352</v>
      </c>
      <c r="GT30" s="141">
        <f t="shared" si="135"/>
        <v>352</v>
      </c>
      <c r="GU30" s="141">
        <f t="shared" si="135"/>
        <v>352</v>
      </c>
      <c r="GV30" s="141">
        <f t="shared" si="135"/>
        <v>352</v>
      </c>
      <c r="GW30" s="141">
        <f t="shared" si="135"/>
        <v>352</v>
      </c>
      <c r="GX30" s="141">
        <f t="shared" si="135"/>
        <v>352</v>
      </c>
      <c r="GY30" s="141">
        <f t="shared" si="135"/>
        <v>352</v>
      </c>
      <c r="GZ30" s="141">
        <f t="shared" si="135"/>
        <v>352</v>
      </c>
      <c r="HA30" s="141">
        <f t="shared" si="135"/>
        <v>352</v>
      </c>
      <c r="HB30" s="141">
        <f t="shared" si="135"/>
        <v>352</v>
      </c>
      <c r="HC30" s="141">
        <f t="shared" si="135"/>
        <v>352</v>
      </c>
      <c r="HD30" s="141">
        <f t="shared" si="135"/>
        <v>352</v>
      </c>
      <c r="HE30" s="141">
        <f t="shared" si="135"/>
        <v>352</v>
      </c>
      <c r="HF30" s="141">
        <f t="shared" si="135"/>
        <v>352</v>
      </c>
      <c r="HG30" s="141">
        <f t="shared" si="135"/>
        <v>352</v>
      </c>
      <c r="HH30" s="141">
        <f t="shared" si="135"/>
        <v>352</v>
      </c>
      <c r="HI30" s="141">
        <f t="shared" si="135"/>
        <v>352</v>
      </c>
      <c r="HJ30" s="141">
        <f t="shared" si="135"/>
        <v>352</v>
      </c>
      <c r="HK30" s="141">
        <f t="shared" si="135"/>
        <v>352</v>
      </c>
      <c r="HL30" s="141">
        <f t="shared" si="135"/>
        <v>352</v>
      </c>
      <c r="HM30" s="142">
        <f t="shared" ref="HM30:IP30" si="136">IF(ISBLANK($A30),,FE30*($AH30-($AH30*$AJ30))/$AI30)</f>
        <v>0</v>
      </c>
      <c r="HN30" s="142">
        <f t="shared" si="136"/>
        <v>0</v>
      </c>
      <c r="HO30" s="142">
        <f t="shared" si="136"/>
        <v>0</v>
      </c>
      <c r="HP30" s="142">
        <f t="shared" si="136"/>
        <v>0</v>
      </c>
      <c r="HQ30" s="142">
        <f t="shared" si="136"/>
        <v>0</v>
      </c>
      <c r="HR30" s="142">
        <f t="shared" si="136"/>
        <v>0</v>
      </c>
      <c r="HS30" s="142">
        <f t="shared" si="136"/>
        <v>0</v>
      </c>
      <c r="HT30" s="142">
        <f t="shared" si="136"/>
        <v>0</v>
      </c>
      <c r="HU30" s="142">
        <f t="shared" si="136"/>
        <v>0</v>
      </c>
      <c r="HV30" s="142">
        <f t="shared" si="136"/>
        <v>0</v>
      </c>
      <c r="HW30" s="142">
        <f t="shared" si="136"/>
        <v>0</v>
      </c>
      <c r="HX30" s="142">
        <f t="shared" si="136"/>
        <v>0</v>
      </c>
      <c r="HY30" s="142">
        <f t="shared" si="136"/>
        <v>0</v>
      </c>
      <c r="HZ30" s="142">
        <f t="shared" si="136"/>
        <v>0</v>
      </c>
      <c r="IA30" s="142">
        <f t="shared" si="136"/>
        <v>0</v>
      </c>
      <c r="IB30" s="142">
        <f t="shared" si="136"/>
        <v>0</v>
      </c>
      <c r="IC30" s="142">
        <f t="shared" si="136"/>
        <v>0</v>
      </c>
      <c r="ID30" s="142">
        <f t="shared" si="136"/>
        <v>0</v>
      </c>
      <c r="IE30" s="142">
        <f t="shared" si="136"/>
        <v>0</v>
      </c>
      <c r="IF30" s="142">
        <f t="shared" si="136"/>
        <v>0</v>
      </c>
      <c r="IG30" s="142">
        <f t="shared" si="136"/>
        <v>0</v>
      </c>
      <c r="IH30" s="142">
        <f t="shared" si="136"/>
        <v>0</v>
      </c>
      <c r="II30" s="142">
        <f t="shared" si="136"/>
        <v>0</v>
      </c>
      <c r="IJ30" s="142">
        <f t="shared" si="136"/>
        <v>0</v>
      </c>
      <c r="IK30" s="142">
        <f t="shared" si="136"/>
        <v>0</v>
      </c>
      <c r="IL30" s="142">
        <f t="shared" si="136"/>
        <v>0</v>
      </c>
      <c r="IM30" s="142">
        <f t="shared" si="136"/>
        <v>0</v>
      </c>
      <c r="IN30" s="142">
        <f t="shared" si="136"/>
        <v>0</v>
      </c>
      <c r="IO30" s="142">
        <f t="shared" si="136"/>
        <v>0</v>
      </c>
      <c r="IP30" s="142">
        <f t="shared" si="136"/>
        <v>0</v>
      </c>
      <c r="IQ30" s="141">
        <f>IF(ISBLANK($A30),,IF($AN30="Não",0,(SUM($AO30:AO30)*$AH30)-SUM($HM30:HM30)-SUM($CW30:CW30)))</f>
        <v>0</v>
      </c>
      <c r="IR30" s="141">
        <f>IF(ISBLANK($A30),,IF($AN30="Não",0,(SUM($AO30:AP30)*$AH30)-SUM($HM30:HN30)-SUM($CW30:CX30)))</f>
        <v>0</v>
      </c>
      <c r="IS30" s="141">
        <f>IF(ISBLANK($A30),,IF($AN30="Não",0,(SUM($AO30:AQ30)*$AH30)-SUM($HM30:HO30)-SUM($CW30:CY30)))</f>
        <v>0</v>
      </c>
      <c r="IT30" s="141">
        <f>IF(ISBLANK($A30),,IF($AN30="Não",0,(SUM($AO30:AR30)*$AH30)-SUM($HM30:HP30)-SUM($CW30:CZ30)))</f>
        <v>0</v>
      </c>
      <c r="IU30" s="141">
        <f>IF(ISBLANK($A30),,IF($AN30="Não",0,(SUM($AO30:AS30)*$AH30)-SUM($HM30:HQ30)-SUM($CW30:DA30)))</f>
        <v>0</v>
      </c>
      <c r="IV30" s="141">
        <f>IF(ISBLANK($A30),,IF($AN30="Não",0,(SUM($AO30:AT30)*$AH30)-SUM($HM30:HR30)-SUM($CW30:DB30)))</f>
        <v>0</v>
      </c>
      <c r="IW30" s="141">
        <f>IF(ISBLANK($A30),,IF($AN30="Não",0,(SUM($AO30:AU30)*$AH30)-SUM($HM30:HS30)-SUM($CW30:DC30)))</f>
        <v>0</v>
      </c>
      <c r="IX30" s="141">
        <f>IF(ISBLANK($A30),,IF($AN30="Não",0,(SUM($AO30:AV30)*$AH30)-SUM($HM30:HT30)-SUM($CW30:DD30)))</f>
        <v>0</v>
      </c>
      <c r="IY30" s="141">
        <f>IF(ISBLANK($A30),,IF($AN30="Não",0,(SUM($AO30:AW30)*$AH30)-SUM($HM30:HU30)-SUM($CW30:DE30)))</f>
        <v>0</v>
      </c>
      <c r="IZ30" s="141">
        <f>IF(ISBLANK($A30),,IF($AN30="Não",0,(SUM($AO30:AX30)*$AH30)-SUM($HM30:HV30)-SUM($CW30:DF30)))</f>
        <v>0</v>
      </c>
      <c r="JA30" s="141">
        <f>IF(ISBLANK($A30),,IF($AN30="Não",0,(SUM($AO30:AY30)*$AH30)-SUM($HM30:HW30)-SUM($CW30:DG30)))</f>
        <v>0</v>
      </c>
      <c r="JB30" s="141">
        <f>IF(ISBLANK($A30),,IF($AN30="Não",0,(SUM($AO30:AZ30)*$AH30)-SUM($HM30:HX30)-SUM($CW30:DH30)))</f>
        <v>0</v>
      </c>
      <c r="JC30" s="141">
        <f>IF(ISBLANK($A30),,IF($AN30="Não",0,(SUM($AO30:BA30)*$AH30)-SUM($HM30:HY30)-SUM($CW30:DI30)))</f>
        <v>0</v>
      </c>
      <c r="JD30" s="141">
        <f>IF(ISBLANK($A30),,IF($AN30="Não",0,(SUM($AO30:BB30)*$AH30)-SUM($HM30:HZ30)-SUM($CW30:DJ30)))</f>
        <v>0</v>
      </c>
      <c r="JE30" s="141">
        <f>IF(ISBLANK($A30),,IF($AN30="Não",0,(SUM($AO30:BC30)*$AH30)-SUM($HM30:IA30)-SUM($CW30:DK30)))</f>
        <v>0</v>
      </c>
      <c r="JF30" s="141">
        <f>IF(ISBLANK($A30),,IF($AN30="Não",0,(SUM($AO30:BD30)*$AH30)-SUM($HM30:IB30)-SUM($CW30:DL30)))</f>
        <v>0</v>
      </c>
      <c r="JG30" s="141">
        <f>IF(ISBLANK($A30),,IF($AN30="Não",0,(SUM($AO30:BE30)*$AH30)-SUM($HM30:IC30)-SUM($CW30:DM30)))</f>
        <v>0</v>
      </c>
      <c r="JH30" s="141">
        <f>IF(ISBLANK($A30),,IF($AN30="Não",0,(SUM($AO30:BF30)*$AH30)-SUM($HM30:ID30)-SUM($CW30:DN30)))</f>
        <v>0</v>
      </c>
      <c r="JI30" s="141">
        <f>IF(ISBLANK($A30),,IF($AN30="Não",0,(SUM($AO30:BG30)*$AH30)-SUM($HM30:IE30)-SUM($CW30:DO30)))</f>
        <v>0</v>
      </c>
      <c r="JJ30" s="141">
        <f>IF(ISBLANK($A30),,IF($AN30="Não",0,(SUM($AO30:BH30)*$AH30)-SUM($HM30:IF30)-SUM($CW30:DP30)))</f>
        <v>0</v>
      </c>
      <c r="JK30" s="141">
        <f>IF(ISBLANK($A30),,IF($AN30="Não",0,(SUM($AO30:BI30)*$AH30)-SUM($HM30:IG30)-SUM($CW30:DQ30)))</f>
        <v>0</v>
      </c>
      <c r="JL30" s="141">
        <f>IF(ISBLANK($A30),,IF($AN30="Não",0,(SUM($AO30:BJ30)*$AH30)-SUM($HM30:IH30)-SUM($CW30:DR30)))</f>
        <v>0</v>
      </c>
      <c r="JM30" s="141">
        <f>IF(ISBLANK($A30),,IF($AN30="Não",0,(SUM($AO30:BK30)*$AH30)-SUM($HM30:II30)-SUM($CW30:DS30)))</f>
        <v>0</v>
      </c>
      <c r="JN30" s="141">
        <f>IF(ISBLANK($A30),,IF($AN30="Não",0,(SUM($AO30:BL30)*$AH30)-SUM($HM30:IJ30)-SUM($CW30:DT30)))</f>
        <v>0</v>
      </c>
      <c r="JO30" s="141">
        <f>IF(ISBLANK($A30),,IF($AN30="Não",0,(SUM($AO30:BM30)*$AH30)-SUM($HM30:IK30)-SUM($CW30:DU30)))</f>
        <v>0</v>
      </c>
      <c r="JP30" s="141">
        <f>IF(ISBLANK($A30),,IF($AN30="Não",0,(SUM($AO30:BN30)*$AH30)-SUM($HM30:IL30)-SUM($CW30:DV30)))</f>
        <v>0</v>
      </c>
      <c r="JQ30" s="141">
        <f>IF(ISBLANK($A30),,IF($AN30="Não",0,(SUM($AO30:BO30)*$AH30)-SUM($HM30:IM30)-SUM($CW30:DW30)))</f>
        <v>0</v>
      </c>
      <c r="JR30" s="141">
        <f>IF(ISBLANK($A30),,IF($AN30="Não",0,(SUM($AO30:BP30)*$AH30)-SUM($HM30:IN30)-SUM($CW30:DX30)))</f>
        <v>0</v>
      </c>
      <c r="JS30" s="141">
        <f>IF(ISBLANK($A30),,IF($AN30="Não",0,(SUM($AO30:BQ30)*$AH30)-SUM($HM30:IO30)-SUM($CW30:DY30)))</f>
        <v>0</v>
      </c>
      <c r="JT30" s="141">
        <f>IF(ISBLANK($A30),,IF($AN30="Não",0,(SUM($AO30:BR30)*$AH30)-SUM($HM30:IP30)-SUM($CW30:DZ30)))</f>
        <v>0</v>
      </c>
    </row>
    <row r="31" spans="1:280" ht="15.75" customHeight="1">
      <c r="A31" s="129" t="s">
        <v>367</v>
      </c>
      <c r="B31" s="129" t="s">
        <v>209</v>
      </c>
      <c r="C31" s="138" t="s">
        <v>79</v>
      </c>
      <c r="D31" s="139">
        <v>533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607">
        <f t="shared" si="0"/>
        <v>44</v>
      </c>
      <c r="AI31" s="608">
        <f t="shared" si="1"/>
        <v>30</v>
      </c>
      <c r="AJ31" s="609">
        <f t="shared" si="2"/>
        <v>1</v>
      </c>
      <c r="AK31" s="610" t="str">
        <f t="shared" si="3"/>
        <v>Infraestrutura</v>
      </c>
      <c r="AL31" s="609">
        <f t="shared" si="4"/>
        <v>0.05</v>
      </c>
      <c r="AM31" s="611" t="str">
        <f t="shared" si="5"/>
        <v>Sim</v>
      </c>
      <c r="AN31" s="611" t="str">
        <f t="shared" si="6"/>
        <v>Não</v>
      </c>
      <c r="AO31" s="140">
        <f t="array" ref="AO31">IF(ISBLANK($A31),0,IF(OR(AO$5-$AI31&lt;=0,$AM31="Não"),D31,D31+INDEX($AO$6:$BR$176,ROW()-5,COLUMN()-40-$AI31)))*IF($B31="Operacional",IFERROR(VLOOKUP($C31,SN_UGC,28,0),0),1)</f>
        <v>533</v>
      </c>
      <c r="AP31" s="140">
        <f t="array" ref="AP31">IF(ISBLANK($A31),0,IF(OR(AP$5-$AI31&lt;=0,$AM31="Não"),E31,E31+INDEX($AO$6:$BR$176,ROW()-5,COLUMN()-40-$AI31)))*IF($B31="Operacional",IFERROR(VLOOKUP($C31,SN_UGC,28,0),0),1)</f>
        <v>0</v>
      </c>
      <c r="AQ31" s="140">
        <f t="array" ref="AQ31">IF(ISBLANK($A31),0,IF(OR(AQ$5-$AI31&lt;=0,$AM31="Não"),F31,F31+INDEX($AO$6:$BR$176,ROW()-5,COLUMN()-40-$AI31)))*IF($B31="Operacional",IFERROR(VLOOKUP($C31,SN_UGC,28,0),0),1)</f>
        <v>0</v>
      </c>
      <c r="AR31" s="140">
        <f t="array" ref="AR31">IF(ISBLANK($A31),0,IF(OR(AR$5-$AI31&lt;=0,$AM31="Não"),G31,G31+INDEX($AO$6:$BR$176,ROW()-5,COLUMN()-40-$AI31)))*IF($B31="Operacional",IFERROR(VLOOKUP($C31,SN_UGC,28,0),0),1)</f>
        <v>0</v>
      </c>
      <c r="AS31" s="140">
        <f t="array" ref="AS31">IF(ISBLANK($A31),0,IF(OR(AS$5-$AI31&lt;=0,$AM31="Não"),H31,H31+INDEX($AO$6:$BR$176,ROW()-5,COLUMN()-40-$AI31)))*IF($B31="Operacional",IFERROR(VLOOKUP($C31,SN_UGC,28,0),0),1)</f>
        <v>0</v>
      </c>
      <c r="AT31" s="140">
        <f t="array" ref="AT31">IF(ISBLANK($A31),0,IF(OR(AT$5-$AI31&lt;=0,$AM31="Não"),I31,I31+INDEX($AO$6:$BR$176,ROW()-5,COLUMN()-40-$AI31)))*IF($B31="Operacional",IFERROR(VLOOKUP($C31,SN_UGC,28,0),0),1)</f>
        <v>0</v>
      </c>
      <c r="AU31" s="140">
        <f t="array" ref="AU31">IF(ISBLANK($A31),0,IF(OR(AU$5-$AI31&lt;=0,$AM31="Não"),J31,J31+INDEX($AO$6:$BR$176,ROW()-5,COLUMN()-40-$AI31)))*IF($B31="Operacional",IFERROR(VLOOKUP($C31,SN_UGC,28,0),0),1)</f>
        <v>0</v>
      </c>
      <c r="AV31" s="140">
        <f t="array" ref="AV31">IF(ISBLANK($A31),0,IF(OR(AV$5-$AI31&lt;=0,$AM31="Não"),K31,K31+INDEX($AO$6:$BR$176,ROW()-5,COLUMN()-40-$AI31)))*IF($B31="Operacional",IFERROR(VLOOKUP($C31,SN_UGC,28,0),0),1)</f>
        <v>0</v>
      </c>
      <c r="AW31" s="140">
        <f t="array" ref="AW31">IF(ISBLANK($A31),0,IF(OR(AW$5-$AI31&lt;=0,$AM31="Não"),L31,L31+INDEX($AO$6:$BR$176,ROW()-5,COLUMN()-40-$AI31)))*IF($B31="Operacional",IFERROR(VLOOKUP($C31,SN_UGC,28,0),0),1)</f>
        <v>0</v>
      </c>
      <c r="AX31" s="140">
        <f t="array" ref="AX31">IF(ISBLANK($A31),0,IF(OR(AX$5-$AI31&lt;=0,$AM31="Não"),M31,M31+INDEX($AO$6:$BR$176,ROW()-5,COLUMN()-40-$AI31)))*IF($B31="Operacional",IFERROR(VLOOKUP($C31,SN_UGC,28,0),0),1)</f>
        <v>0</v>
      </c>
      <c r="AY31" s="140">
        <f t="array" ref="AY31">IF(ISBLANK($A31),0,IF(OR(AY$5-$AI31&lt;=0,$AM31="Não"),N31,N31+INDEX($AO$6:$BR$176,ROW()-5,COLUMN()-40-$AI31)))*IF($B31="Operacional",IFERROR(VLOOKUP($C31,SN_UGC,28,0),0),1)</f>
        <v>0</v>
      </c>
      <c r="AZ31" s="140">
        <f t="array" ref="AZ31">IF(ISBLANK($A31),0,IF(OR(AZ$5-$AI31&lt;=0,$AM31="Não"),O31,O31+INDEX($AO$6:$BR$176,ROW()-5,COLUMN()-40-$AI31)))*IF($B31="Operacional",IFERROR(VLOOKUP($C31,SN_UGC,28,0),0),1)</f>
        <v>0</v>
      </c>
      <c r="BA31" s="140">
        <f t="array" ref="BA31">IF(ISBLANK($A31),0,IF(OR(BA$5-$AI31&lt;=0,$AM31="Não"),P31,P31+INDEX($AO$6:$BR$176,ROW()-5,COLUMN()-40-$AI31)))*IF($B31="Operacional",IFERROR(VLOOKUP($C31,SN_UGC,28,0),0),1)</f>
        <v>0</v>
      </c>
      <c r="BB31" s="140">
        <f t="array" ref="BB31">IF(ISBLANK($A31),0,IF(OR(BB$5-$AI31&lt;=0,$AM31="Não"),Q31,Q31+INDEX($AO$6:$BR$176,ROW()-5,COLUMN()-40-$AI31)))*IF($B31="Operacional",IFERROR(VLOOKUP($C31,SN_UGC,28,0),0),1)</f>
        <v>0</v>
      </c>
      <c r="BC31" s="140">
        <f t="array" ref="BC31">IF(ISBLANK($A31),0,IF(OR(BC$5-$AI31&lt;=0,$AM31="Não"),R31,R31+INDEX($AO$6:$BR$176,ROW()-5,COLUMN()-40-$AI31)))*IF($B31="Operacional",IFERROR(VLOOKUP($C31,SN_UGC,28,0),0),1)</f>
        <v>0</v>
      </c>
      <c r="BD31" s="140">
        <f t="array" ref="BD31">IF(ISBLANK($A31),0,IF(OR(BD$5-$AI31&lt;=0,$AM31="Não"),S31,S31+INDEX($AO$6:$BR$176,ROW()-5,COLUMN()-40-$AI31)))*IF($B31="Operacional",IFERROR(VLOOKUP($C31,SN_UGC,28,0),0),1)</f>
        <v>0</v>
      </c>
      <c r="BE31" s="140">
        <f t="array" ref="BE31">IF(ISBLANK($A31),0,IF(OR(BE$5-$AI31&lt;=0,$AM31="Não"),T31,T31+INDEX($AO$6:$BR$176,ROW()-5,COLUMN()-40-$AI31)))*IF($B31="Operacional",IFERROR(VLOOKUP($C31,SN_UGC,28,0),0),1)</f>
        <v>0</v>
      </c>
      <c r="BF31" s="140">
        <f t="array" ref="BF31">IF(ISBLANK($A31),0,IF(OR(BF$5-$AI31&lt;=0,$AM31="Não"),U31,U31+INDEX($AO$6:$BR$176,ROW()-5,COLUMN()-40-$AI31)))*IF($B31="Operacional",IFERROR(VLOOKUP($C31,SN_UGC,28,0),0),1)</f>
        <v>0</v>
      </c>
      <c r="BG31" s="140">
        <f t="array" ref="BG31">IF(ISBLANK($A31),0,IF(OR(BG$5-$AI31&lt;=0,$AM31="Não"),V31,V31+INDEX($AO$6:$BR$176,ROW()-5,COLUMN()-40-$AI31)))*IF($B31="Operacional",IFERROR(VLOOKUP($C31,SN_UGC,28,0),0),1)</f>
        <v>0</v>
      </c>
      <c r="BH31" s="140">
        <f t="array" ref="BH31">IF(ISBLANK($A31),0,IF(OR(BH$5-$AI31&lt;=0,$AM31="Não"),W31,W31+INDEX($AO$6:$BR$176,ROW()-5,COLUMN()-40-$AI31)))*IF($B31="Operacional",IFERROR(VLOOKUP($C31,SN_UGC,28,0),0),1)</f>
        <v>0</v>
      </c>
      <c r="BI31" s="140">
        <f t="array" ref="BI31">IF(ISBLANK($A31),0,IF(OR(BI$5-$AI31&lt;=0,$AM31="Não"),X31,X31+INDEX($AO$6:$BR$176,ROW()-5,COLUMN()-40-$AI31)))*IF($B31="Operacional",IFERROR(VLOOKUP($C31,SN_UGC,28,0),0),1)</f>
        <v>0</v>
      </c>
      <c r="BJ31" s="140">
        <f t="array" ref="BJ31">IF(ISBLANK($A31),0,IF(OR(BJ$5-$AI31&lt;=0,$AM31="Não"),Y31,Y31+INDEX($AO$6:$BR$176,ROW()-5,COLUMN()-40-$AI31)))*IF($B31="Operacional",IFERROR(VLOOKUP($C31,SN_UGC,28,0),0),1)</f>
        <v>0</v>
      </c>
      <c r="BK31" s="140">
        <f t="array" ref="BK31">IF(ISBLANK($A31),0,IF(OR(BK$5-$AI31&lt;=0,$AM31="Não"),Z31,Z31+INDEX($AO$6:$BR$176,ROW()-5,COLUMN()-40-$AI31)))*IF($B31="Operacional",IFERROR(VLOOKUP($C31,SN_UGC,28,0),0),1)</f>
        <v>0</v>
      </c>
      <c r="BL31" s="140">
        <f t="array" ref="BL31">IF(ISBLANK($A31),0,IF(OR(BL$5-$AI31&lt;=0,$AM31="Não"),AA31,AA31+INDEX($AO$6:$BR$176,ROW()-5,COLUMN()-40-$AI31)))*IF($B31="Operacional",IFERROR(VLOOKUP($C31,SN_UGC,28,0),0),1)</f>
        <v>0</v>
      </c>
      <c r="BM31" s="140">
        <f t="array" ref="BM31">IF(ISBLANK($A31),0,IF(OR(BM$5-$AI31&lt;=0,$AM31="Não"),AB31,AB31+INDEX($AO$6:$BR$176,ROW()-5,COLUMN()-40-$AI31)))*IF($B31="Operacional",IFERROR(VLOOKUP($C31,SN_UGC,28,0),0),1)</f>
        <v>0</v>
      </c>
      <c r="BN31" s="140">
        <f t="array" ref="BN31">IF(ISBLANK($A31),0,IF(OR(BN$5-$AI31&lt;=0,$AM31="Não"),AC31,AC31+INDEX($AO$6:$BR$176,ROW()-5,COLUMN()-40-$AI31)))*IF($B31="Operacional",IFERROR(VLOOKUP($C31,SN_UGC,28,0),0),1)</f>
        <v>0</v>
      </c>
      <c r="BO31" s="140">
        <f t="array" ref="BO31">IF(ISBLANK($A31),0,IF(OR(BO$5-$AI31&lt;=0,$AM31="Não"),AD31,AD31+INDEX($AO$6:$BR$176,ROW()-5,COLUMN()-40-$AI31)))*IF($B31="Operacional",IFERROR(VLOOKUP($C31,SN_UGC,28,0),0),1)</f>
        <v>0</v>
      </c>
      <c r="BP31" s="140">
        <f t="array" ref="BP31">IF(ISBLANK($A31),0,IF(OR(BP$5-$AI31&lt;=0,$AM31="Não"),AE31,AE31+INDEX($AO$6:$BR$176,ROW()-5,COLUMN()-40-$AI31)))*IF($B31="Operacional",IFERROR(VLOOKUP($C31,SN_UGC,28,0),0),1)</f>
        <v>0</v>
      </c>
      <c r="BQ31" s="140">
        <f t="array" ref="BQ31">IF(ISBLANK($A31),0,IF(OR(BQ$5-$AI31&lt;=0,$AM31="Não"),AF31,AF31+INDEX($AO$6:$BR$176,ROW()-5,COLUMN()-40-$AI31)))*IF($B31="Operacional",IFERROR(VLOOKUP($C31,SN_UGC,28,0),0),1)</f>
        <v>0</v>
      </c>
      <c r="BR31" s="140">
        <f t="array" ref="BR31">IF(ISBLANK($A31),0,IF(OR(BR$5-$AI31&lt;=0,$AM31="Não"),AG31,AG31+INDEX($AO$6:$BR$176,ROW()-5,COLUMN()-40-$AI31)))*IF($B31="Operacional",IFERROR(VLOOKUP($C31,SN_UGC,28,0),0),1)</f>
        <v>0</v>
      </c>
      <c r="BS31" s="141">
        <f t="shared" ref="BS31:CV31" si="137">IF(ISBLANK($A31),0,$AH31*AO31)</f>
        <v>23452</v>
      </c>
      <c r="BT31" s="141">
        <f t="shared" si="137"/>
        <v>0</v>
      </c>
      <c r="BU31" s="141">
        <f t="shared" si="137"/>
        <v>0</v>
      </c>
      <c r="BV31" s="141">
        <f t="shared" si="137"/>
        <v>0</v>
      </c>
      <c r="BW31" s="141">
        <f t="shared" si="137"/>
        <v>0</v>
      </c>
      <c r="BX31" s="141">
        <f t="shared" si="137"/>
        <v>0</v>
      </c>
      <c r="BY31" s="141">
        <f t="shared" si="137"/>
        <v>0</v>
      </c>
      <c r="BZ31" s="141">
        <f t="shared" si="137"/>
        <v>0</v>
      </c>
      <c r="CA31" s="141">
        <f t="shared" si="137"/>
        <v>0</v>
      </c>
      <c r="CB31" s="141">
        <f t="shared" si="137"/>
        <v>0</v>
      </c>
      <c r="CC31" s="141">
        <f t="shared" si="137"/>
        <v>0</v>
      </c>
      <c r="CD31" s="141">
        <f t="shared" si="137"/>
        <v>0</v>
      </c>
      <c r="CE31" s="141">
        <f t="shared" si="137"/>
        <v>0</v>
      </c>
      <c r="CF31" s="141">
        <f t="shared" si="137"/>
        <v>0</v>
      </c>
      <c r="CG31" s="141">
        <f t="shared" si="137"/>
        <v>0</v>
      </c>
      <c r="CH31" s="141">
        <f t="shared" si="137"/>
        <v>0</v>
      </c>
      <c r="CI31" s="141">
        <f t="shared" si="137"/>
        <v>0</v>
      </c>
      <c r="CJ31" s="141">
        <f t="shared" si="137"/>
        <v>0</v>
      </c>
      <c r="CK31" s="141">
        <f t="shared" si="137"/>
        <v>0</v>
      </c>
      <c r="CL31" s="141">
        <f t="shared" si="137"/>
        <v>0</v>
      </c>
      <c r="CM31" s="141">
        <f t="shared" si="137"/>
        <v>0</v>
      </c>
      <c r="CN31" s="141">
        <f t="shared" si="137"/>
        <v>0</v>
      </c>
      <c r="CO31" s="141">
        <f t="shared" si="137"/>
        <v>0</v>
      </c>
      <c r="CP31" s="141">
        <f t="shared" si="137"/>
        <v>0</v>
      </c>
      <c r="CQ31" s="141">
        <f t="shared" si="137"/>
        <v>0</v>
      </c>
      <c r="CR31" s="141">
        <f t="shared" si="137"/>
        <v>0</v>
      </c>
      <c r="CS31" s="141">
        <f t="shared" si="137"/>
        <v>0</v>
      </c>
      <c r="CT31" s="141">
        <f t="shared" si="137"/>
        <v>0</v>
      </c>
      <c r="CU31" s="141">
        <f t="shared" si="137"/>
        <v>0</v>
      </c>
      <c r="CV31" s="141">
        <f t="shared" si="137"/>
        <v>0</v>
      </c>
      <c r="CW31" s="142">
        <f t="shared" ref="CW31:DZ31" si="138">EA31*$AH31*$AJ31</f>
        <v>0</v>
      </c>
      <c r="CX31" s="142">
        <f t="shared" si="138"/>
        <v>0</v>
      </c>
      <c r="CY31" s="142">
        <f t="shared" si="138"/>
        <v>0</v>
      </c>
      <c r="CZ31" s="142">
        <f t="shared" si="138"/>
        <v>0</v>
      </c>
      <c r="DA31" s="142">
        <f t="shared" si="138"/>
        <v>0</v>
      </c>
      <c r="DB31" s="142">
        <f t="shared" si="138"/>
        <v>0</v>
      </c>
      <c r="DC31" s="142">
        <f t="shared" si="138"/>
        <v>0</v>
      </c>
      <c r="DD31" s="142">
        <f t="shared" si="138"/>
        <v>0</v>
      </c>
      <c r="DE31" s="142">
        <f t="shared" si="138"/>
        <v>0</v>
      </c>
      <c r="DF31" s="142">
        <f t="shared" si="138"/>
        <v>0</v>
      </c>
      <c r="DG31" s="142">
        <f t="shared" si="138"/>
        <v>0</v>
      </c>
      <c r="DH31" s="142">
        <f t="shared" si="138"/>
        <v>0</v>
      </c>
      <c r="DI31" s="142">
        <f t="shared" si="138"/>
        <v>0</v>
      </c>
      <c r="DJ31" s="142">
        <f t="shared" si="138"/>
        <v>0</v>
      </c>
      <c r="DK31" s="142">
        <f t="shared" si="138"/>
        <v>0</v>
      </c>
      <c r="DL31" s="142">
        <f t="shared" si="138"/>
        <v>0</v>
      </c>
      <c r="DM31" s="142">
        <f t="shared" si="138"/>
        <v>0</v>
      </c>
      <c r="DN31" s="142">
        <f t="shared" si="138"/>
        <v>0</v>
      </c>
      <c r="DO31" s="142">
        <f t="shared" si="138"/>
        <v>0</v>
      </c>
      <c r="DP31" s="142">
        <f t="shared" si="138"/>
        <v>0</v>
      </c>
      <c r="DQ31" s="142">
        <f t="shared" si="138"/>
        <v>0</v>
      </c>
      <c r="DR31" s="142">
        <f t="shared" si="138"/>
        <v>0</v>
      </c>
      <c r="DS31" s="142">
        <f t="shared" si="138"/>
        <v>0</v>
      </c>
      <c r="DT31" s="142">
        <f t="shared" si="138"/>
        <v>0</v>
      </c>
      <c r="DU31" s="142">
        <f t="shared" si="138"/>
        <v>0</v>
      </c>
      <c r="DV31" s="142">
        <f t="shared" si="138"/>
        <v>0</v>
      </c>
      <c r="DW31" s="142">
        <f t="shared" si="138"/>
        <v>0</v>
      </c>
      <c r="DX31" s="142">
        <f t="shared" si="138"/>
        <v>0</v>
      </c>
      <c r="DY31" s="142">
        <f t="shared" si="138"/>
        <v>0</v>
      </c>
      <c r="DZ31" s="142">
        <f t="shared" si="138"/>
        <v>0</v>
      </c>
      <c r="EA31" s="143">
        <f t="shared" si="9"/>
        <v>0</v>
      </c>
      <c r="EB31" s="143">
        <f t="shared" si="10"/>
        <v>0</v>
      </c>
      <c r="EC31" s="143">
        <f t="shared" si="11"/>
        <v>0</v>
      </c>
      <c r="ED31" s="143">
        <f t="shared" si="12"/>
        <v>0</v>
      </c>
      <c r="EE31" s="143">
        <f t="shared" si="13"/>
        <v>0</v>
      </c>
      <c r="EF31" s="143">
        <f t="shared" si="14"/>
        <v>0</v>
      </c>
      <c r="EG31" s="143">
        <f t="shared" si="15"/>
        <v>0</v>
      </c>
      <c r="EH31" s="143">
        <f t="shared" si="16"/>
        <v>0</v>
      </c>
      <c r="EI31" s="143">
        <f t="shared" si="17"/>
        <v>0</v>
      </c>
      <c r="EJ31" s="143">
        <f t="shared" si="18"/>
        <v>0</v>
      </c>
      <c r="EK31" s="143">
        <f t="shared" si="19"/>
        <v>0</v>
      </c>
      <c r="EL31" s="143">
        <f t="shared" si="20"/>
        <v>0</v>
      </c>
      <c r="EM31" s="143">
        <f t="shared" si="21"/>
        <v>0</v>
      </c>
      <c r="EN31" s="143">
        <f t="shared" si="22"/>
        <v>0</v>
      </c>
      <c r="EO31" s="143">
        <f t="shared" si="23"/>
        <v>0</v>
      </c>
      <c r="EP31" s="143">
        <f t="shared" si="24"/>
        <v>0</v>
      </c>
      <c r="EQ31" s="143">
        <f t="shared" si="25"/>
        <v>0</v>
      </c>
      <c r="ER31" s="143">
        <f t="shared" si="26"/>
        <v>0</v>
      </c>
      <c r="ES31" s="143">
        <f t="shared" si="27"/>
        <v>0</v>
      </c>
      <c r="ET31" s="143">
        <f t="shared" si="28"/>
        <v>0</v>
      </c>
      <c r="EU31" s="143">
        <f t="shared" si="29"/>
        <v>0</v>
      </c>
      <c r="EV31" s="143">
        <f t="shared" si="30"/>
        <v>0</v>
      </c>
      <c r="EW31" s="143">
        <f t="shared" si="31"/>
        <v>0</v>
      </c>
      <c r="EX31" s="143">
        <f t="shared" si="32"/>
        <v>0</v>
      </c>
      <c r="EY31" s="143">
        <f t="shared" si="33"/>
        <v>0</v>
      </c>
      <c r="EZ31" s="143">
        <f t="shared" si="34"/>
        <v>0</v>
      </c>
      <c r="FA31" s="143">
        <f t="shared" si="35"/>
        <v>0</v>
      </c>
      <c r="FB31" s="143">
        <f t="shared" si="36"/>
        <v>0</v>
      </c>
      <c r="FC31" s="143">
        <f t="shared" si="37"/>
        <v>0</v>
      </c>
      <c r="FD31" s="143">
        <f t="shared" si="38"/>
        <v>0</v>
      </c>
      <c r="FE31" s="140">
        <f>SUM($D31:D31)*IF($B31="Operacional",IFERROR(VLOOKUP($C31,SN_UGC,28,0),0),1)</f>
        <v>533</v>
      </c>
      <c r="FF31" s="140">
        <f>SUM($D31:E31)*IF($B31="Operacional",IFERROR(VLOOKUP($C31,SN_UGC,28,0),0),1)</f>
        <v>533</v>
      </c>
      <c r="FG31" s="140">
        <f>SUM($D31:F31)*IF($B31="Operacional",IFERROR(VLOOKUP($C31,SN_UGC,28,0),0),1)</f>
        <v>533</v>
      </c>
      <c r="FH31" s="140">
        <f>SUM($D31:G31)*IF($B31="Operacional",IFERROR(VLOOKUP($C31,SN_UGC,28,0),0),1)</f>
        <v>533</v>
      </c>
      <c r="FI31" s="140">
        <f>SUM($D31:H31)*IF($B31="Operacional",IFERROR(VLOOKUP($C31,SN_UGC,28,0),0),1)</f>
        <v>533</v>
      </c>
      <c r="FJ31" s="140">
        <f>SUM($D31:I31)*IF($B31="Operacional",IFERROR(VLOOKUP($C31,SN_UGC,28,0),0),1)</f>
        <v>533</v>
      </c>
      <c r="FK31" s="140">
        <f>SUM($D31:J31)*IF($B31="Operacional",IFERROR(VLOOKUP($C31,SN_UGC,28,0),0),1)</f>
        <v>533</v>
      </c>
      <c r="FL31" s="140">
        <f>SUM($D31:K31)*IF($B31="Operacional",IFERROR(VLOOKUP($C31,SN_UGC,28,0),0),1)</f>
        <v>533</v>
      </c>
      <c r="FM31" s="140">
        <f>SUM($D31:L31)*IF($B31="Operacional",IFERROR(VLOOKUP($C31,SN_UGC,28,0),0),1)</f>
        <v>533</v>
      </c>
      <c r="FN31" s="140">
        <f>SUM($D31:M31)*IF($B31="Operacional",IFERROR(VLOOKUP($C31,SN_UGC,28,0),0),1)</f>
        <v>533</v>
      </c>
      <c r="FO31" s="140">
        <f>SUM($D31:N31)*IF($B31="Operacional",IFERROR(VLOOKUP($C31,SN_UGC,28,0),0),1)</f>
        <v>533</v>
      </c>
      <c r="FP31" s="140">
        <f>SUM($D31:O31)*IF($B31="Operacional",IFERROR(VLOOKUP($C31,SN_UGC,28,0),0),1)</f>
        <v>533</v>
      </c>
      <c r="FQ31" s="140">
        <f>SUM($D31:P31)*IF($B31="Operacional",IFERROR(VLOOKUP($C31,SN_UGC,28,0),0),1)</f>
        <v>533</v>
      </c>
      <c r="FR31" s="140">
        <f>SUM($D31:Q31)*IF($B31="Operacional",IFERROR(VLOOKUP($C31,SN_UGC,28,0),0),1)</f>
        <v>533</v>
      </c>
      <c r="FS31" s="140">
        <f>SUM($D31:R31)*IF($B31="Operacional",IFERROR(VLOOKUP($C31,SN_UGC,28,0),0),1)</f>
        <v>533</v>
      </c>
      <c r="FT31" s="140">
        <f>SUM($D31:S31)*IF($B31="Operacional",IFERROR(VLOOKUP($C31,SN_UGC,28,0),0),1)</f>
        <v>533</v>
      </c>
      <c r="FU31" s="140">
        <f>SUM($D31:T31)*IF($B31="Operacional",IFERROR(VLOOKUP($C31,SN_UGC,28,0),0),1)</f>
        <v>533</v>
      </c>
      <c r="FV31" s="140">
        <f>SUM($D31:U31)*IF($B31="Operacional",IFERROR(VLOOKUP($C31,SN_UGC,28,0),0),1)</f>
        <v>533</v>
      </c>
      <c r="FW31" s="140">
        <f>SUM($D31:V31)*IF($B31="Operacional",IFERROR(VLOOKUP($C31,SN_UGC,28,0),0),1)</f>
        <v>533</v>
      </c>
      <c r="FX31" s="140">
        <f>SUM($D31:W31)*IF($B31="Operacional",IFERROR(VLOOKUP($C31,SN_UGC,28,0),0),1)</f>
        <v>533</v>
      </c>
      <c r="FY31" s="140">
        <f>SUM($D31:X31)*IF($B31="Operacional",IFERROR(VLOOKUP($C31,SN_UGC,28,0),0),1)</f>
        <v>533</v>
      </c>
      <c r="FZ31" s="140">
        <f>SUM($D31:Y31)*IF($B31="Operacional",IFERROR(VLOOKUP($C31,SN_UGC,28,0),0),1)</f>
        <v>533</v>
      </c>
      <c r="GA31" s="140">
        <f>SUM($D31:Z31)*IF($B31="Operacional",IFERROR(VLOOKUP($C31,SN_UGC,28,0),0),1)</f>
        <v>533</v>
      </c>
      <c r="GB31" s="140">
        <f>SUM($D31:AA31)*IF($B31="Operacional",IFERROR(VLOOKUP($C31,SN_UGC,28,0),0),1)</f>
        <v>533</v>
      </c>
      <c r="GC31" s="140">
        <f>SUM($D31:AB31)*IF($B31="Operacional",IFERROR(VLOOKUP($C31,SN_UGC,28,0),0),1)</f>
        <v>533</v>
      </c>
      <c r="GD31" s="140">
        <f>SUM($D31:AC31)*IF($B31="Operacional",IFERROR(VLOOKUP($C31,SN_UGC,28,0),0),1)</f>
        <v>533</v>
      </c>
      <c r="GE31" s="140">
        <f>SUM($D31:AD31)*IF($B31="Operacional",IFERROR(VLOOKUP($C31,SN_UGC,28,0),0),1)</f>
        <v>533</v>
      </c>
      <c r="GF31" s="140">
        <f>SUM($D31:AE31)*IF($B31="Operacional",IFERROR(VLOOKUP($C31,SN_UGC,28,0),0),1)</f>
        <v>533</v>
      </c>
      <c r="GG31" s="140">
        <f>SUM($D31:AF31)*IF($B31="Operacional",IFERROR(VLOOKUP($C31,SN_UGC,28,0),0),1)</f>
        <v>533</v>
      </c>
      <c r="GH31" s="140">
        <f>SUM($D31:AG31)*IF($B31="Operacional",IFERROR(VLOOKUP($C31,SN_UGC,28,0),0),1)</f>
        <v>533</v>
      </c>
      <c r="GI31" s="141">
        <f t="shared" ref="GI31:HL31" si="139">FE31*$AH31*$AL31</f>
        <v>1172.6000000000001</v>
      </c>
      <c r="GJ31" s="141">
        <f t="shared" si="139"/>
        <v>1172.6000000000001</v>
      </c>
      <c r="GK31" s="141">
        <f t="shared" si="139"/>
        <v>1172.6000000000001</v>
      </c>
      <c r="GL31" s="141">
        <f t="shared" si="139"/>
        <v>1172.6000000000001</v>
      </c>
      <c r="GM31" s="141">
        <f t="shared" si="139"/>
        <v>1172.6000000000001</v>
      </c>
      <c r="GN31" s="141">
        <f t="shared" si="139"/>
        <v>1172.6000000000001</v>
      </c>
      <c r="GO31" s="141">
        <f t="shared" si="139"/>
        <v>1172.6000000000001</v>
      </c>
      <c r="GP31" s="141">
        <f t="shared" si="139"/>
        <v>1172.6000000000001</v>
      </c>
      <c r="GQ31" s="141">
        <f t="shared" si="139"/>
        <v>1172.6000000000001</v>
      </c>
      <c r="GR31" s="141">
        <f t="shared" si="139"/>
        <v>1172.6000000000001</v>
      </c>
      <c r="GS31" s="141">
        <f t="shared" si="139"/>
        <v>1172.6000000000001</v>
      </c>
      <c r="GT31" s="141">
        <f t="shared" si="139"/>
        <v>1172.6000000000001</v>
      </c>
      <c r="GU31" s="141">
        <f t="shared" si="139"/>
        <v>1172.6000000000001</v>
      </c>
      <c r="GV31" s="141">
        <f t="shared" si="139"/>
        <v>1172.6000000000001</v>
      </c>
      <c r="GW31" s="141">
        <f t="shared" si="139"/>
        <v>1172.6000000000001</v>
      </c>
      <c r="GX31" s="141">
        <f t="shared" si="139"/>
        <v>1172.6000000000001</v>
      </c>
      <c r="GY31" s="141">
        <f t="shared" si="139"/>
        <v>1172.6000000000001</v>
      </c>
      <c r="GZ31" s="141">
        <f t="shared" si="139"/>
        <v>1172.6000000000001</v>
      </c>
      <c r="HA31" s="141">
        <f t="shared" si="139"/>
        <v>1172.6000000000001</v>
      </c>
      <c r="HB31" s="141">
        <f t="shared" si="139"/>
        <v>1172.6000000000001</v>
      </c>
      <c r="HC31" s="141">
        <f t="shared" si="139"/>
        <v>1172.6000000000001</v>
      </c>
      <c r="HD31" s="141">
        <f t="shared" si="139"/>
        <v>1172.6000000000001</v>
      </c>
      <c r="HE31" s="141">
        <f t="shared" si="139"/>
        <v>1172.6000000000001</v>
      </c>
      <c r="HF31" s="141">
        <f t="shared" si="139"/>
        <v>1172.6000000000001</v>
      </c>
      <c r="HG31" s="141">
        <f t="shared" si="139"/>
        <v>1172.6000000000001</v>
      </c>
      <c r="HH31" s="141">
        <f t="shared" si="139"/>
        <v>1172.6000000000001</v>
      </c>
      <c r="HI31" s="141">
        <f t="shared" si="139"/>
        <v>1172.6000000000001</v>
      </c>
      <c r="HJ31" s="141">
        <f t="shared" si="139"/>
        <v>1172.6000000000001</v>
      </c>
      <c r="HK31" s="141">
        <f t="shared" si="139"/>
        <v>1172.6000000000001</v>
      </c>
      <c r="HL31" s="141">
        <f t="shared" si="139"/>
        <v>1172.6000000000001</v>
      </c>
      <c r="HM31" s="142">
        <f t="shared" ref="HM31:IP31" si="140">IF(ISBLANK($A31),,FE31*($AH31-($AH31*$AJ31))/$AI31)</f>
        <v>0</v>
      </c>
      <c r="HN31" s="142">
        <f t="shared" si="140"/>
        <v>0</v>
      </c>
      <c r="HO31" s="142">
        <f t="shared" si="140"/>
        <v>0</v>
      </c>
      <c r="HP31" s="142">
        <f t="shared" si="140"/>
        <v>0</v>
      </c>
      <c r="HQ31" s="142">
        <f t="shared" si="140"/>
        <v>0</v>
      </c>
      <c r="HR31" s="142">
        <f t="shared" si="140"/>
        <v>0</v>
      </c>
      <c r="HS31" s="142">
        <f t="shared" si="140"/>
        <v>0</v>
      </c>
      <c r="HT31" s="142">
        <f t="shared" si="140"/>
        <v>0</v>
      </c>
      <c r="HU31" s="142">
        <f t="shared" si="140"/>
        <v>0</v>
      </c>
      <c r="HV31" s="142">
        <f t="shared" si="140"/>
        <v>0</v>
      </c>
      <c r="HW31" s="142">
        <f t="shared" si="140"/>
        <v>0</v>
      </c>
      <c r="HX31" s="142">
        <f t="shared" si="140"/>
        <v>0</v>
      </c>
      <c r="HY31" s="142">
        <f t="shared" si="140"/>
        <v>0</v>
      </c>
      <c r="HZ31" s="142">
        <f t="shared" si="140"/>
        <v>0</v>
      </c>
      <c r="IA31" s="142">
        <f t="shared" si="140"/>
        <v>0</v>
      </c>
      <c r="IB31" s="142">
        <f t="shared" si="140"/>
        <v>0</v>
      </c>
      <c r="IC31" s="142">
        <f t="shared" si="140"/>
        <v>0</v>
      </c>
      <c r="ID31" s="142">
        <f t="shared" si="140"/>
        <v>0</v>
      </c>
      <c r="IE31" s="142">
        <f t="shared" si="140"/>
        <v>0</v>
      </c>
      <c r="IF31" s="142">
        <f t="shared" si="140"/>
        <v>0</v>
      </c>
      <c r="IG31" s="142">
        <f t="shared" si="140"/>
        <v>0</v>
      </c>
      <c r="IH31" s="142">
        <f t="shared" si="140"/>
        <v>0</v>
      </c>
      <c r="II31" s="142">
        <f t="shared" si="140"/>
        <v>0</v>
      </c>
      <c r="IJ31" s="142">
        <f t="shared" si="140"/>
        <v>0</v>
      </c>
      <c r="IK31" s="142">
        <f t="shared" si="140"/>
        <v>0</v>
      </c>
      <c r="IL31" s="142">
        <f t="shared" si="140"/>
        <v>0</v>
      </c>
      <c r="IM31" s="142">
        <f t="shared" si="140"/>
        <v>0</v>
      </c>
      <c r="IN31" s="142">
        <f t="shared" si="140"/>
        <v>0</v>
      </c>
      <c r="IO31" s="142">
        <f t="shared" si="140"/>
        <v>0</v>
      </c>
      <c r="IP31" s="142">
        <f t="shared" si="140"/>
        <v>0</v>
      </c>
      <c r="IQ31" s="141">
        <f>IF(ISBLANK($A31),,IF($AN31="Não",0,(SUM($AO31:AO31)*$AH31)-SUM($HM31:HM31)-SUM($CW31:CW31)))</f>
        <v>0</v>
      </c>
      <c r="IR31" s="141">
        <f>IF(ISBLANK($A31),,IF($AN31="Não",0,(SUM($AO31:AP31)*$AH31)-SUM($HM31:HN31)-SUM($CW31:CX31)))</f>
        <v>0</v>
      </c>
      <c r="IS31" s="141">
        <f>IF(ISBLANK($A31),,IF($AN31="Não",0,(SUM($AO31:AQ31)*$AH31)-SUM($HM31:HO31)-SUM($CW31:CY31)))</f>
        <v>0</v>
      </c>
      <c r="IT31" s="141">
        <f>IF(ISBLANK($A31),,IF($AN31="Não",0,(SUM($AO31:AR31)*$AH31)-SUM($HM31:HP31)-SUM($CW31:CZ31)))</f>
        <v>0</v>
      </c>
      <c r="IU31" s="141">
        <f>IF(ISBLANK($A31),,IF($AN31="Não",0,(SUM($AO31:AS31)*$AH31)-SUM($HM31:HQ31)-SUM($CW31:DA31)))</f>
        <v>0</v>
      </c>
      <c r="IV31" s="141">
        <f>IF(ISBLANK($A31),,IF($AN31="Não",0,(SUM($AO31:AT31)*$AH31)-SUM($HM31:HR31)-SUM($CW31:DB31)))</f>
        <v>0</v>
      </c>
      <c r="IW31" s="141">
        <f>IF(ISBLANK($A31),,IF($AN31="Não",0,(SUM($AO31:AU31)*$AH31)-SUM($HM31:HS31)-SUM($CW31:DC31)))</f>
        <v>0</v>
      </c>
      <c r="IX31" s="141">
        <f>IF(ISBLANK($A31),,IF($AN31="Não",0,(SUM($AO31:AV31)*$AH31)-SUM($HM31:HT31)-SUM($CW31:DD31)))</f>
        <v>0</v>
      </c>
      <c r="IY31" s="141">
        <f>IF(ISBLANK($A31),,IF($AN31="Não",0,(SUM($AO31:AW31)*$AH31)-SUM($HM31:HU31)-SUM($CW31:DE31)))</f>
        <v>0</v>
      </c>
      <c r="IZ31" s="141">
        <f>IF(ISBLANK($A31),,IF($AN31="Não",0,(SUM($AO31:AX31)*$AH31)-SUM($HM31:HV31)-SUM($CW31:DF31)))</f>
        <v>0</v>
      </c>
      <c r="JA31" s="141">
        <f>IF(ISBLANK($A31),,IF($AN31="Não",0,(SUM($AO31:AY31)*$AH31)-SUM($HM31:HW31)-SUM($CW31:DG31)))</f>
        <v>0</v>
      </c>
      <c r="JB31" s="141">
        <f>IF(ISBLANK($A31),,IF($AN31="Não",0,(SUM($AO31:AZ31)*$AH31)-SUM($HM31:HX31)-SUM($CW31:DH31)))</f>
        <v>0</v>
      </c>
      <c r="JC31" s="141">
        <f>IF(ISBLANK($A31),,IF($AN31="Não",0,(SUM($AO31:BA31)*$AH31)-SUM($HM31:HY31)-SUM($CW31:DI31)))</f>
        <v>0</v>
      </c>
      <c r="JD31" s="141">
        <f>IF(ISBLANK($A31),,IF($AN31="Não",0,(SUM($AO31:BB31)*$AH31)-SUM($HM31:HZ31)-SUM($CW31:DJ31)))</f>
        <v>0</v>
      </c>
      <c r="JE31" s="141">
        <f>IF(ISBLANK($A31),,IF($AN31="Não",0,(SUM($AO31:BC31)*$AH31)-SUM($HM31:IA31)-SUM($CW31:DK31)))</f>
        <v>0</v>
      </c>
      <c r="JF31" s="141">
        <f>IF(ISBLANK($A31),,IF($AN31="Não",0,(SUM($AO31:BD31)*$AH31)-SUM($HM31:IB31)-SUM($CW31:DL31)))</f>
        <v>0</v>
      </c>
      <c r="JG31" s="141">
        <f>IF(ISBLANK($A31),,IF($AN31="Não",0,(SUM($AO31:BE31)*$AH31)-SUM($HM31:IC31)-SUM($CW31:DM31)))</f>
        <v>0</v>
      </c>
      <c r="JH31" s="141">
        <f>IF(ISBLANK($A31),,IF($AN31="Não",0,(SUM($AO31:BF31)*$AH31)-SUM($HM31:ID31)-SUM($CW31:DN31)))</f>
        <v>0</v>
      </c>
      <c r="JI31" s="141">
        <f>IF(ISBLANK($A31),,IF($AN31="Não",0,(SUM($AO31:BG31)*$AH31)-SUM($HM31:IE31)-SUM($CW31:DO31)))</f>
        <v>0</v>
      </c>
      <c r="JJ31" s="141">
        <f>IF(ISBLANK($A31),,IF($AN31="Não",0,(SUM($AO31:BH31)*$AH31)-SUM($HM31:IF31)-SUM($CW31:DP31)))</f>
        <v>0</v>
      </c>
      <c r="JK31" s="141">
        <f>IF(ISBLANK($A31),,IF($AN31="Não",0,(SUM($AO31:BI31)*$AH31)-SUM($HM31:IG31)-SUM($CW31:DQ31)))</f>
        <v>0</v>
      </c>
      <c r="JL31" s="141">
        <f>IF(ISBLANK($A31),,IF($AN31="Não",0,(SUM($AO31:BJ31)*$AH31)-SUM($HM31:IH31)-SUM($CW31:DR31)))</f>
        <v>0</v>
      </c>
      <c r="JM31" s="141">
        <f>IF(ISBLANK($A31),,IF($AN31="Não",0,(SUM($AO31:BK31)*$AH31)-SUM($HM31:II31)-SUM($CW31:DS31)))</f>
        <v>0</v>
      </c>
      <c r="JN31" s="141">
        <f>IF(ISBLANK($A31),,IF($AN31="Não",0,(SUM($AO31:BL31)*$AH31)-SUM($HM31:IJ31)-SUM($CW31:DT31)))</f>
        <v>0</v>
      </c>
      <c r="JO31" s="141">
        <f>IF(ISBLANK($A31),,IF($AN31="Não",0,(SUM($AO31:BM31)*$AH31)-SUM($HM31:IK31)-SUM($CW31:DU31)))</f>
        <v>0</v>
      </c>
      <c r="JP31" s="141">
        <f>IF(ISBLANK($A31),,IF($AN31="Não",0,(SUM($AO31:BN31)*$AH31)-SUM($HM31:IL31)-SUM($CW31:DV31)))</f>
        <v>0</v>
      </c>
      <c r="JQ31" s="141">
        <f>IF(ISBLANK($A31),,IF($AN31="Não",0,(SUM($AO31:BO31)*$AH31)-SUM($HM31:IM31)-SUM($CW31:DW31)))</f>
        <v>0</v>
      </c>
      <c r="JR31" s="141">
        <f>IF(ISBLANK($A31),,IF($AN31="Não",0,(SUM($AO31:BP31)*$AH31)-SUM($HM31:IN31)-SUM($CW31:DX31)))</f>
        <v>0</v>
      </c>
      <c r="JS31" s="141">
        <f>IF(ISBLANK($A31),,IF($AN31="Não",0,(SUM($AO31:BQ31)*$AH31)-SUM($HM31:IO31)-SUM($CW31:DY31)))</f>
        <v>0</v>
      </c>
      <c r="JT31" s="141">
        <f>IF(ISBLANK($A31),,IF($AN31="Não",0,(SUM($AO31:BR31)*$AH31)-SUM($HM31:IP31)-SUM($CW31:DZ31)))</f>
        <v>0</v>
      </c>
    </row>
    <row r="32" spans="1:280" ht="15.75" customHeight="1">
      <c r="A32" s="129" t="s">
        <v>367</v>
      </c>
      <c r="B32" s="129" t="s">
        <v>209</v>
      </c>
      <c r="C32" s="138" t="s">
        <v>79</v>
      </c>
      <c r="D32" s="139">
        <v>519.79999999999995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607">
        <f t="shared" si="0"/>
        <v>44</v>
      </c>
      <c r="AI32" s="608">
        <f t="shared" si="1"/>
        <v>30</v>
      </c>
      <c r="AJ32" s="609">
        <f t="shared" si="2"/>
        <v>1</v>
      </c>
      <c r="AK32" s="610" t="str">
        <f t="shared" si="3"/>
        <v>Infraestrutura</v>
      </c>
      <c r="AL32" s="609">
        <f t="shared" si="4"/>
        <v>0.05</v>
      </c>
      <c r="AM32" s="611" t="str">
        <f t="shared" si="5"/>
        <v>Sim</v>
      </c>
      <c r="AN32" s="611" t="str">
        <f t="shared" si="6"/>
        <v>Não</v>
      </c>
      <c r="AO32" s="140">
        <f t="array" ref="AO32">IF(ISBLANK($A32),0,IF(OR(AO$5-$AI32&lt;=0,$AM32="Não"),D32,D32+INDEX($AO$6:$BR$176,ROW()-5,COLUMN()-40-$AI32)))*IF($B32="Operacional",IFERROR(VLOOKUP($C32,SN_UGC,28,0),0),1)</f>
        <v>519.79999999999995</v>
      </c>
      <c r="AP32" s="140">
        <f t="array" ref="AP32">IF(ISBLANK($A32),0,IF(OR(AP$5-$AI32&lt;=0,$AM32="Não"),E32,E32+INDEX($AO$6:$BR$176,ROW()-5,COLUMN()-40-$AI32)))*IF($B32="Operacional",IFERROR(VLOOKUP($C32,SN_UGC,28,0),0),1)</f>
        <v>0</v>
      </c>
      <c r="AQ32" s="140">
        <f t="array" ref="AQ32">IF(ISBLANK($A32),0,IF(OR(AQ$5-$AI32&lt;=0,$AM32="Não"),F32,F32+INDEX($AO$6:$BR$176,ROW()-5,COLUMN()-40-$AI32)))*IF($B32="Operacional",IFERROR(VLOOKUP($C32,SN_UGC,28,0),0),1)</f>
        <v>0</v>
      </c>
      <c r="AR32" s="140">
        <f t="array" ref="AR32">IF(ISBLANK($A32),0,IF(OR(AR$5-$AI32&lt;=0,$AM32="Não"),G32,G32+INDEX($AO$6:$BR$176,ROW()-5,COLUMN()-40-$AI32)))*IF($B32="Operacional",IFERROR(VLOOKUP($C32,SN_UGC,28,0),0),1)</f>
        <v>0</v>
      </c>
      <c r="AS32" s="140">
        <f t="array" ref="AS32">IF(ISBLANK($A32),0,IF(OR(AS$5-$AI32&lt;=0,$AM32="Não"),H32,H32+INDEX($AO$6:$BR$176,ROW()-5,COLUMN()-40-$AI32)))*IF($B32="Operacional",IFERROR(VLOOKUP($C32,SN_UGC,28,0),0),1)</f>
        <v>0</v>
      </c>
      <c r="AT32" s="140">
        <f t="array" ref="AT32">IF(ISBLANK($A32),0,IF(OR(AT$5-$AI32&lt;=0,$AM32="Não"),I32,I32+INDEX($AO$6:$BR$176,ROW()-5,COLUMN()-40-$AI32)))*IF($B32="Operacional",IFERROR(VLOOKUP($C32,SN_UGC,28,0),0),1)</f>
        <v>0</v>
      </c>
      <c r="AU32" s="140">
        <f t="array" ref="AU32">IF(ISBLANK($A32),0,IF(OR(AU$5-$AI32&lt;=0,$AM32="Não"),J32,J32+INDEX($AO$6:$BR$176,ROW()-5,COLUMN()-40-$AI32)))*IF($B32="Operacional",IFERROR(VLOOKUP($C32,SN_UGC,28,0),0),1)</f>
        <v>0</v>
      </c>
      <c r="AV32" s="140">
        <f t="array" ref="AV32">IF(ISBLANK($A32),0,IF(OR(AV$5-$AI32&lt;=0,$AM32="Não"),K32,K32+INDEX($AO$6:$BR$176,ROW()-5,COLUMN()-40-$AI32)))*IF($B32="Operacional",IFERROR(VLOOKUP($C32,SN_UGC,28,0),0),1)</f>
        <v>0</v>
      </c>
      <c r="AW32" s="140">
        <f t="array" ref="AW32">IF(ISBLANK($A32),0,IF(OR(AW$5-$AI32&lt;=0,$AM32="Não"),L32,L32+INDEX($AO$6:$BR$176,ROW()-5,COLUMN()-40-$AI32)))*IF($B32="Operacional",IFERROR(VLOOKUP($C32,SN_UGC,28,0),0),1)</f>
        <v>0</v>
      </c>
      <c r="AX32" s="140">
        <f t="array" ref="AX32">IF(ISBLANK($A32),0,IF(OR(AX$5-$AI32&lt;=0,$AM32="Não"),M32,M32+INDEX($AO$6:$BR$176,ROW()-5,COLUMN()-40-$AI32)))*IF($B32="Operacional",IFERROR(VLOOKUP($C32,SN_UGC,28,0),0),1)</f>
        <v>0</v>
      </c>
      <c r="AY32" s="140">
        <f t="array" ref="AY32">IF(ISBLANK($A32),0,IF(OR(AY$5-$AI32&lt;=0,$AM32="Não"),N32,N32+INDEX($AO$6:$BR$176,ROW()-5,COLUMN()-40-$AI32)))*IF($B32="Operacional",IFERROR(VLOOKUP($C32,SN_UGC,28,0),0),1)</f>
        <v>0</v>
      </c>
      <c r="AZ32" s="140">
        <f t="array" ref="AZ32">IF(ISBLANK($A32),0,IF(OR(AZ$5-$AI32&lt;=0,$AM32="Não"),O32,O32+INDEX($AO$6:$BR$176,ROW()-5,COLUMN()-40-$AI32)))*IF($B32="Operacional",IFERROR(VLOOKUP($C32,SN_UGC,28,0),0),1)</f>
        <v>0</v>
      </c>
      <c r="BA32" s="140">
        <f t="array" ref="BA32">IF(ISBLANK($A32),0,IF(OR(BA$5-$AI32&lt;=0,$AM32="Não"),P32,P32+INDEX($AO$6:$BR$176,ROW()-5,COLUMN()-40-$AI32)))*IF($B32="Operacional",IFERROR(VLOOKUP($C32,SN_UGC,28,0),0),1)</f>
        <v>0</v>
      </c>
      <c r="BB32" s="140">
        <f t="array" ref="BB32">IF(ISBLANK($A32),0,IF(OR(BB$5-$AI32&lt;=0,$AM32="Não"),Q32,Q32+INDEX($AO$6:$BR$176,ROW()-5,COLUMN()-40-$AI32)))*IF($B32="Operacional",IFERROR(VLOOKUP($C32,SN_UGC,28,0),0),1)</f>
        <v>0</v>
      </c>
      <c r="BC32" s="140">
        <f t="array" ref="BC32">IF(ISBLANK($A32),0,IF(OR(BC$5-$AI32&lt;=0,$AM32="Não"),R32,R32+INDEX($AO$6:$BR$176,ROW()-5,COLUMN()-40-$AI32)))*IF($B32="Operacional",IFERROR(VLOOKUP($C32,SN_UGC,28,0),0),1)</f>
        <v>0</v>
      </c>
      <c r="BD32" s="140">
        <f t="array" ref="BD32">IF(ISBLANK($A32),0,IF(OR(BD$5-$AI32&lt;=0,$AM32="Não"),S32,S32+INDEX($AO$6:$BR$176,ROW()-5,COLUMN()-40-$AI32)))*IF($B32="Operacional",IFERROR(VLOOKUP($C32,SN_UGC,28,0),0),1)</f>
        <v>0</v>
      </c>
      <c r="BE32" s="140">
        <f t="array" ref="BE32">IF(ISBLANK($A32),0,IF(OR(BE$5-$AI32&lt;=0,$AM32="Não"),T32,T32+INDEX($AO$6:$BR$176,ROW()-5,COLUMN()-40-$AI32)))*IF($B32="Operacional",IFERROR(VLOOKUP($C32,SN_UGC,28,0),0),1)</f>
        <v>0</v>
      </c>
      <c r="BF32" s="140">
        <f t="array" ref="BF32">IF(ISBLANK($A32),0,IF(OR(BF$5-$AI32&lt;=0,$AM32="Não"),U32,U32+INDEX($AO$6:$BR$176,ROW()-5,COLUMN()-40-$AI32)))*IF($B32="Operacional",IFERROR(VLOOKUP($C32,SN_UGC,28,0),0),1)</f>
        <v>0</v>
      </c>
      <c r="BG32" s="140">
        <f t="array" ref="BG32">IF(ISBLANK($A32),0,IF(OR(BG$5-$AI32&lt;=0,$AM32="Não"),V32,V32+INDEX($AO$6:$BR$176,ROW()-5,COLUMN()-40-$AI32)))*IF($B32="Operacional",IFERROR(VLOOKUP($C32,SN_UGC,28,0),0),1)</f>
        <v>0</v>
      </c>
      <c r="BH32" s="140">
        <f t="array" ref="BH32">IF(ISBLANK($A32),0,IF(OR(BH$5-$AI32&lt;=0,$AM32="Não"),W32,W32+INDEX($AO$6:$BR$176,ROW()-5,COLUMN()-40-$AI32)))*IF($B32="Operacional",IFERROR(VLOOKUP($C32,SN_UGC,28,0),0),1)</f>
        <v>0</v>
      </c>
      <c r="BI32" s="140">
        <f t="array" ref="BI32">IF(ISBLANK($A32),0,IF(OR(BI$5-$AI32&lt;=0,$AM32="Não"),X32,X32+INDEX($AO$6:$BR$176,ROW()-5,COLUMN()-40-$AI32)))*IF($B32="Operacional",IFERROR(VLOOKUP($C32,SN_UGC,28,0),0),1)</f>
        <v>0</v>
      </c>
      <c r="BJ32" s="140">
        <f t="array" ref="BJ32">IF(ISBLANK($A32),0,IF(OR(BJ$5-$AI32&lt;=0,$AM32="Não"),Y32,Y32+INDEX($AO$6:$BR$176,ROW()-5,COLUMN()-40-$AI32)))*IF($B32="Operacional",IFERROR(VLOOKUP($C32,SN_UGC,28,0),0),1)</f>
        <v>0</v>
      </c>
      <c r="BK32" s="140">
        <f t="array" ref="BK32">IF(ISBLANK($A32),0,IF(OR(BK$5-$AI32&lt;=0,$AM32="Não"),Z32,Z32+INDEX($AO$6:$BR$176,ROW()-5,COLUMN()-40-$AI32)))*IF($B32="Operacional",IFERROR(VLOOKUP($C32,SN_UGC,28,0),0),1)</f>
        <v>0</v>
      </c>
      <c r="BL32" s="140">
        <f t="array" ref="BL32">IF(ISBLANK($A32),0,IF(OR(BL$5-$AI32&lt;=0,$AM32="Não"),AA32,AA32+INDEX($AO$6:$BR$176,ROW()-5,COLUMN()-40-$AI32)))*IF($B32="Operacional",IFERROR(VLOOKUP($C32,SN_UGC,28,0),0),1)</f>
        <v>0</v>
      </c>
      <c r="BM32" s="140">
        <f t="array" ref="BM32">IF(ISBLANK($A32),0,IF(OR(BM$5-$AI32&lt;=0,$AM32="Não"),AB32,AB32+INDEX($AO$6:$BR$176,ROW()-5,COLUMN()-40-$AI32)))*IF($B32="Operacional",IFERROR(VLOOKUP($C32,SN_UGC,28,0),0),1)</f>
        <v>0</v>
      </c>
      <c r="BN32" s="140">
        <f t="array" ref="BN32">IF(ISBLANK($A32),0,IF(OR(BN$5-$AI32&lt;=0,$AM32="Não"),AC32,AC32+INDEX($AO$6:$BR$176,ROW()-5,COLUMN()-40-$AI32)))*IF($B32="Operacional",IFERROR(VLOOKUP($C32,SN_UGC,28,0),0),1)</f>
        <v>0</v>
      </c>
      <c r="BO32" s="140">
        <f t="array" ref="BO32">IF(ISBLANK($A32),0,IF(OR(BO$5-$AI32&lt;=0,$AM32="Não"),AD32,AD32+INDEX($AO$6:$BR$176,ROW()-5,COLUMN()-40-$AI32)))*IF($B32="Operacional",IFERROR(VLOOKUP($C32,SN_UGC,28,0),0),1)</f>
        <v>0</v>
      </c>
      <c r="BP32" s="140">
        <f t="array" ref="BP32">IF(ISBLANK($A32),0,IF(OR(BP$5-$AI32&lt;=0,$AM32="Não"),AE32,AE32+INDEX($AO$6:$BR$176,ROW()-5,COLUMN()-40-$AI32)))*IF($B32="Operacional",IFERROR(VLOOKUP($C32,SN_UGC,28,0),0),1)</f>
        <v>0</v>
      </c>
      <c r="BQ32" s="140">
        <f t="array" ref="BQ32">IF(ISBLANK($A32),0,IF(OR(BQ$5-$AI32&lt;=0,$AM32="Não"),AF32,AF32+INDEX($AO$6:$BR$176,ROW()-5,COLUMN()-40-$AI32)))*IF($B32="Operacional",IFERROR(VLOOKUP($C32,SN_UGC,28,0),0),1)</f>
        <v>0</v>
      </c>
      <c r="BR32" s="140">
        <f t="array" ref="BR32">IF(ISBLANK($A32),0,IF(OR(BR$5-$AI32&lt;=0,$AM32="Não"),AG32,AG32+INDEX($AO$6:$BR$176,ROW()-5,COLUMN()-40-$AI32)))*IF($B32="Operacional",IFERROR(VLOOKUP($C32,SN_UGC,28,0),0),1)</f>
        <v>0</v>
      </c>
      <c r="BS32" s="141">
        <f t="shared" ref="BS32:CV32" si="141">IF(ISBLANK($A32),0,$AH32*AO32)</f>
        <v>22871.199999999997</v>
      </c>
      <c r="BT32" s="141">
        <f t="shared" si="141"/>
        <v>0</v>
      </c>
      <c r="BU32" s="141">
        <f t="shared" si="141"/>
        <v>0</v>
      </c>
      <c r="BV32" s="141">
        <f t="shared" si="141"/>
        <v>0</v>
      </c>
      <c r="BW32" s="141">
        <f t="shared" si="141"/>
        <v>0</v>
      </c>
      <c r="BX32" s="141">
        <f t="shared" si="141"/>
        <v>0</v>
      </c>
      <c r="BY32" s="141">
        <f t="shared" si="141"/>
        <v>0</v>
      </c>
      <c r="BZ32" s="141">
        <f t="shared" si="141"/>
        <v>0</v>
      </c>
      <c r="CA32" s="141">
        <f t="shared" si="141"/>
        <v>0</v>
      </c>
      <c r="CB32" s="141">
        <f t="shared" si="141"/>
        <v>0</v>
      </c>
      <c r="CC32" s="141">
        <f t="shared" si="141"/>
        <v>0</v>
      </c>
      <c r="CD32" s="141">
        <f t="shared" si="141"/>
        <v>0</v>
      </c>
      <c r="CE32" s="141">
        <f t="shared" si="141"/>
        <v>0</v>
      </c>
      <c r="CF32" s="141">
        <f t="shared" si="141"/>
        <v>0</v>
      </c>
      <c r="CG32" s="141">
        <f t="shared" si="141"/>
        <v>0</v>
      </c>
      <c r="CH32" s="141">
        <f t="shared" si="141"/>
        <v>0</v>
      </c>
      <c r="CI32" s="141">
        <f t="shared" si="141"/>
        <v>0</v>
      </c>
      <c r="CJ32" s="141">
        <f t="shared" si="141"/>
        <v>0</v>
      </c>
      <c r="CK32" s="141">
        <f t="shared" si="141"/>
        <v>0</v>
      </c>
      <c r="CL32" s="141">
        <f t="shared" si="141"/>
        <v>0</v>
      </c>
      <c r="CM32" s="141">
        <f t="shared" si="141"/>
        <v>0</v>
      </c>
      <c r="CN32" s="141">
        <f t="shared" si="141"/>
        <v>0</v>
      </c>
      <c r="CO32" s="141">
        <f t="shared" si="141"/>
        <v>0</v>
      </c>
      <c r="CP32" s="141">
        <f t="shared" si="141"/>
        <v>0</v>
      </c>
      <c r="CQ32" s="141">
        <f t="shared" si="141"/>
        <v>0</v>
      </c>
      <c r="CR32" s="141">
        <f t="shared" si="141"/>
        <v>0</v>
      </c>
      <c r="CS32" s="141">
        <f t="shared" si="141"/>
        <v>0</v>
      </c>
      <c r="CT32" s="141">
        <f t="shared" si="141"/>
        <v>0</v>
      </c>
      <c r="CU32" s="141">
        <f t="shared" si="141"/>
        <v>0</v>
      </c>
      <c r="CV32" s="141">
        <f t="shared" si="141"/>
        <v>0</v>
      </c>
      <c r="CW32" s="142">
        <f t="shared" ref="CW32:DZ32" si="142">EA32*$AH32*$AJ32</f>
        <v>0</v>
      </c>
      <c r="CX32" s="142">
        <f t="shared" si="142"/>
        <v>0</v>
      </c>
      <c r="CY32" s="142">
        <f t="shared" si="142"/>
        <v>0</v>
      </c>
      <c r="CZ32" s="142">
        <f t="shared" si="142"/>
        <v>0</v>
      </c>
      <c r="DA32" s="142">
        <f t="shared" si="142"/>
        <v>0</v>
      </c>
      <c r="DB32" s="142">
        <f t="shared" si="142"/>
        <v>0</v>
      </c>
      <c r="DC32" s="142">
        <f t="shared" si="142"/>
        <v>0</v>
      </c>
      <c r="DD32" s="142">
        <f t="shared" si="142"/>
        <v>0</v>
      </c>
      <c r="DE32" s="142">
        <f t="shared" si="142"/>
        <v>0</v>
      </c>
      <c r="DF32" s="142">
        <f t="shared" si="142"/>
        <v>0</v>
      </c>
      <c r="DG32" s="142">
        <f t="shared" si="142"/>
        <v>0</v>
      </c>
      <c r="DH32" s="142">
        <f t="shared" si="142"/>
        <v>0</v>
      </c>
      <c r="DI32" s="142">
        <f t="shared" si="142"/>
        <v>0</v>
      </c>
      <c r="DJ32" s="142">
        <f t="shared" si="142"/>
        <v>0</v>
      </c>
      <c r="DK32" s="142">
        <f t="shared" si="142"/>
        <v>0</v>
      </c>
      <c r="DL32" s="142">
        <f t="shared" si="142"/>
        <v>0</v>
      </c>
      <c r="DM32" s="142">
        <f t="shared" si="142"/>
        <v>0</v>
      </c>
      <c r="DN32" s="142">
        <f t="shared" si="142"/>
        <v>0</v>
      </c>
      <c r="DO32" s="142">
        <f t="shared" si="142"/>
        <v>0</v>
      </c>
      <c r="DP32" s="142">
        <f t="shared" si="142"/>
        <v>0</v>
      </c>
      <c r="DQ32" s="142">
        <f t="shared" si="142"/>
        <v>0</v>
      </c>
      <c r="DR32" s="142">
        <f t="shared" si="142"/>
        <v>0</v>
      </c>
      <c r="DS32" s="142">
        <f t="shared" si="142"/>
        <v>0</v>
      </c>
      <c r="DT32" s="142">
        <f t="shared" si="142"/>
        <v>0</v>
      </c>
      <c r="DU32" s="142">
        <f t="shared" si="142"/>
        <v>0</v>
      </c>
      <c r="DV32" s="142">
        <f t="shared" si="142"/>
        <v>0</v>
      </c>
      <c r="DW32" s="142">
        <f t="shared" si="142"/>
        <v>0</v>
      </c>
      <c r="DX32" s="142">
        <f t="shared" si="142"/>
        <v>0</v>
      </c>
      <c r="DY32" s="142">
        <f t="shared" si="142"/>
        <v>0</v>
      </c>
      <c r="DZ32" s="142">
        <f t="shared" si="142"/>
        <v>0</v>
      </c>
      <c r="EA32" s="143">
        <f t="shared" si="9"/>
        <v>0</v>
      </c>
      <c r="EB32" s="143">
        <f t="shared" si="10"/>
        <v>0</v>
      </c>
      <c r="EC32" s="143">
        <f t="shared" si="11"/>
        <v>0</v>
      </c>
      <c r="ED32" s="143">
        <f t="shared" si="12"/>
        <v>0</v>
      </c>
      <c r="EE32" s="143">
        <f t="shared" si="13"/>
        <v>0</v>
      </c>
      <c r="EF32" s="143">
        <f t="shared" si="14"/>
        <v>0</v>
      </c>
      <c r="EG32" s="143">
        <f t="shared" si="15"/>
        <v>0</v>
      </c>
      <c r="EH32" s="143">
        <f t="shared" si="16"/>
        <v>0</v>
      </c>
      <c r="EI32" s="143">
        <f t="shared" si="17"/>
        <v>0</v>
      </c>
      <c r="EJ32" s="143">
        <f t="shared" si="18"/>
        <v>0</v>
      </c>
      <c r="EK32" s="143">
        <f t="shared" si="19"/>
        <v>0</v>
      </c>
      <c r="EL32" s="143">
        <f t="shared" si="20"/>
        <v>0</v>
      </c>
      <c r="EM32" s="143">
        <f t="shared" si="21"/>
        <v>0</v>
      </c>
      <c r="EN32" s="143">
        <f t="shared" si="22"/>
        <v>0</v>
      </c>
      <c r="EO32" s="143">
        <f t="shared" si="23"/>
        <v>0</v>
      </c>
      <c r="EP32" s="143">
        <f t="shared" si="24"/>
        <v>0</v>
      </c>
      <c r="EQ32" s="143">
        <f t="shared" si="25"/>
        <v>0</v>
      </c>
      <c r="ER32" s="143">
        <f t="shared" si="26"/>
        <v>0</v>
      </c>
      <c r="ES32" s="143">
        <f t="shared" si="27"/>
        <v>0</v>
      </c>
      <c r="ET32" s="143">
        <f t="shared" si="28"/>
        <v>0</v>
      </c>
      <c r="EU32" s="143">
        <f t="shared" si="29"/>
        <v>0</v>
      </c>
      <c r="EV32" s="143">
        <f t="shared" si="30"/>
        <v>0</v>
      </c>
      <c r="EW32" s="143">
        <f t="shared" si="31"/>
        <v>0</v>
      </c>
      <c r="EX32" s="143">
        <f t="shared" si="32"/>
        <v>0</v>
      </c>
      <c r="EY32" s="143">
        <f t="shared" si="33"/>
        <v>0</v>
      </c>
      <c r="EZ32" s="143">
        <f t="shared" si="34"/>
        <v>0</v>
      </c>
      <c r="FA32" s="143">
        <f t="shared" si="35"/>
        <v>0</v>
      </c>
      <c r="FB32" s="143">
        <f t="shared" si="36"/>
        <v>0</v>
      </c>
      <c r="FC32" s="143">
        <f t="shared" si="37"/>
        <v>0</v>
      </c>
      <c r="FD32" s="143">
        <f t="shared" si="38"/>
        <v>0</v>
      </c>
      <c r="FE32" s="140">
        <f>SUM($D32:D32)*IF($B32="Operacional",IFERROR(VLOOKUP($C32,SN_UGC,28,0),0),1)</f>
        <v>519.79999999999995</v>
      </c>
      <c r="FF32" s="140">
        <f>SUM($D32:E32)*IF($B32="Operacional",IFERROR(VLOOKUP($C32,SN_UGC,28,0),0),1)</f>
        <v>519.79999999999995</v>
      </c>
      <c r="FG32" s="140">
        <f>SUM($D32:F32)*IF($B32="Operacional",IFERROR(VLOOKUP($C32,SN_UGC,28,0),0),1)</f>
        <v>519.79999999999995</v>
      </c>
      <c r="FH32" s="140">
        <f>SUM($D32:G32)*IF($B32="Operacional",IFERROR(VLOOKUP($C32,SN_UGC,28,0),0),1)</f>
        <v>519.79999999999995</v>
      </c>
      <c r="FI32" s="140">
        <f>SUM($D32:H32)*IF($B32="Operacional",IFERROR(VLOOKUP($C32,SN_UGC,28,0),0),1)</f>
        <v>519.79999999999995</v>
      </c>
      <c r="FJ32" s="140">
        <f>SUM($D32:I32)*IF($B32="Operacional",IFERROR(VLOOKUP($C32,SN_UGC,28,0),0),1)</f>
        <v>519.79999999999995</v>
      </c>
      <c r="FK32" s="140">
        <f>SUM($D32:J32)*IF($B32="Operacional",IFERROR(VLOOKUP($C32,SN_UGC,28,0),0),1)</f>
        <v>519.79999999999995</v>
      </c>
      <c r="FL32" s="140">
        <f>SUM($D32:K32)*IF($B32="Operacional",IFERROR(VLOOKUP($C32,SN_UGC,28,0),0),1)</f>
        <v>519.79999999999995</v>
      </c>
      <c r="FM32" s="140">
        <f>SUM($D32:L32)*IF($B32="Operacional",IFERROR(VLOOKUP($C32,SN_UGC,28,0),0),1)</f>
        <v>519.79999999999995</v>
      </c>
      <c r="FN32" s="140">
        <f>SUM($D32:M32)*IF($B32="Operacional",IFERROR(VLOOKUP($C32,SN_UGC,28,0),0),1)</f>
        <v>519.79999999999995</v>
      </c>
      <c r="FO32" s="140">
        <f>SUM($D32:N32)*IF($B32="Operacional",IFERROR(VLOOKUP($C32,SN_UGC,28,0),0),1)</f>
        <v>519.79999999999995</v>
      </c>
      <c r="FP32" s="140">
        <f>SUM($D32:O32)*IF($B32="Operacional",IFERROR(VLOOKUP($C32,SN_UGC,28,0),0),1)</f>
        <v>519.79999999999995</v>
      </c>
      <c r="FQ32" s="140">
        <f>SUM($D32:P32)*IF($B32="Operacional",IFERROR(VLOOKUP($C32,SN_UGC,28,0),0),1)</f>
        <v>519.79999999999995</v>
      </c>
      <c r="FR32" s="140">
        <f>SUM($D32:Q32)*IF($B32="Operacional",IFERROR(VLOOKUP($C32,SN_UGC,28,0),0),1)</f>
        <v>519.79999999999995</v>
      </c>
      <c r="FS32" s="140">
        <f>SUM($D32:R32)*IF($B32="Operacional",IFERROR(VLOOKUP($C32,SN_UGC,28,0),0),1)</f>
        <v>519.79999999999995</v>
      </c>
      <c r="FT32" s="140">
        <f>SUM($D32:S32)*IF($B32="Operacional",IFERROR(VLOOKUP($C32,SN_UGC,28,0),0),1)</f>
        <v>519.79999999999995</v>
      </c>
      <c r="FU32" s="140">
        <f>SUM($D32:T32)*IF($B32="Operacional",IFERROR(VLOOKUP($C32,SN_UGC,28,0),0),1)</f>
        <v>519.79999999999995</v>
      </c>
      <c r="FV32" s="140">
        <f>SUM($D32:U32)*IF($B32="Operacional",IFERROR(VLOOKUP($C32,SN_UGC,28,0),0),1)</f>
        <v>519.79999999999995</v>
      </c>
      <c r="FW32" s="140">
        <f>SUM($D32:V32)*IF($B32="Operacional",IFERROR(VLOOKUP($C32,SN_UGC,28,0),0),1)</f>
        <v>519.79999999999995</v>
      </c>
      <c r="FX32" s="140">
        <f>SUM($D32:W32)*IF($B32="Operacional",IFERROR(VLOOKUP($C32,SN_UGC,28,0),0),1)</f>
        <v>519.79999999999995</v>
      </c>
      <c r="FY32" s="140">
        <f>SUM($D32:X32)*IF($B32="Operacional",IFERROR(VLOOKUP($C32,SN_UGC,28,0),0),1)</f>
        <v>519.79999999999995</v>
      </c>
      <c r="FZ32" s="140">
        <f>SUM($D32:Y32)*IF($B32="Operacional",IFERROR(VLOOKUP($C32,SN_UGC,28,0),0),1)</f>
        <v>519.79999999999995</v>
      </c>
      <c r="GA32" s="140">
        <f>SUM($D32:Z32)*IF($B32="Operacional",IFERROR(VLOOKUP($C32,SN_UGC,28,0),0),1)</f>
        <v>519.79999999999995</v>
      </c>
      <c r="GB32" s="140">
        <f>SUM($D32:AA32)*IF($B32="Operacional",IFERROR(VLOOKUP($C32,SN_UGC,28,0),0),1)</f>
        <v>519.79999999999995</v>
      </c>
      <c r="GC32" s="140">
        <f>SUM($D32:AB32)*IF($B32="Operacional",IFERROR(VLOOKUP($C32,SN_UGC,28,0),0),1)</f>
        <v>519.79999999999995</v>
      </c>
      <c r="GD32" s="140">
        <f>SUM($D32:AC32)*IF($B32="Operacional",IFERROR(VLOOKUP($C32,SN_UGC,28,0),0),1)</f>
        <v>519.79999999999995</v>
      </c>
      <c r="GE32" s="140">
        <f>SUM($D32:AD32)*IF($B32="Operacional",IFERROR(VLOOKUP($C32,SN_UGC,28,0),0),1)</f>
        <v>519.79999999999995</v>
      </c>
      <c r="GF32" s="140">
        <f>SUM($D32:AE32)*IF($B32="Operacional",IFERROR(VLOOKUP($C32,SN_UGC,28,0),0),1)</f>
        <v>519.79999999999995</v>
      </c>
      <c r="GG32" s="140">
        <f>SUM($D32:AF32)*IF($B32="Operacional",IFERROR(VLOOKUP($C32,SN_UGC,28,0),0),1)</f>
        <v>519.79999999999995</v>
      </c>
      <c r="GH32" s="140">
        <f>SUM($D32:AG32)*IF($B32="Operacional",IFERROR(VLOOKUP($C32,SN_UGC,28,0),0),1)</f>
        <v>519.79999999999995</v>
      </c>
      <c r="GI32" s="141">
        <f t="shared" ref="GI32:HL32" si="143">FE32*$AH32*$AL32</f>
        <v>1143.56</v>
      </c>
      <c r="GJ32" s="141">
        <f t="shared" si="143"/>
        <v>1143.56</v>
      </c>
      <c r="GK32" s="141">
        <f t="shared" si="143"/>
        <v>1143.56</v>
      </c>
      <c r="GL32" s="141">
        <f t="shared" si="143"/>
        <v>1143.56</v>
      </c>
      <c r="GM32" s="141">
        <f t="shared" si="143"/>
        <v>1143.56</v>
      </c>
      <c r="GN32" s="141">
        <f t="shared" si="143"/>
        <v>1143.56</v>
      </c>
      <c r="GO32" s="141">
        <f t="shared" si="143"/>
        <v>1143.56</v>
      </c>
      <c r="GP32" s="141">
        <f t="shared" si="143"/>
        <v>1143.56</v>
      </c>
      <c r="GQ32" s="141">
        <f t="shared" si="143"/>
        <v>1143.56</v>
      </c>
      <c r="GR32" s="141">
        <f t="shared" si="143"/>
        <v>1143.56</v>
      </c>
      <c r="GS32" s="141">
        <f t="shared" si="143"/>
        <v>1143.56</v>
      </c>
      <c r="GT32" s="141">
        <f t="shared" si="143"/>
        <v>1143.56</v>
      </c>
      <c r="GU32" s="141">
        <f t="shared" si="143"/>
        <v>1143.56</v>
      </c>
      <c r="GV32" s="141">
        <f t="shared" si="143"/>
        <v>1143.56</v>
      </c>
      <c r="GW32" s="141">
        <f t="shared" si="143"/>
        <v>1143.56</v>
      </c>
      <c r="GX32" s="141">
        <f t="shared" si="143"/>
        <v>1143.56</v>
      </c>
      <c r="GY32" s="141">
        <f t="shared" si="143"/>
        <v>1143.56</v>
      </c>
      <c r="GZ32" s="141">
        <f t="shared" si="143"/>
        <v>1143.56</v>
      </c>
      <c r="HA32" s="141">
        <f t="shared" si="143"/>
        <v>1143.56</v>
      </c>
      <c r="HB32" s="141">
        <f t="shared" si="143"/>
        <v>1143.56</v>
      </c>
      <c r="HC32" s="141">
        <f t="shared" si="143"/>
        <v>1143.56</v>
      </c>
      <c r="HD32" s="141">
        <f t="shared" si="143"/>
        <v>1143.56</v>
      </c>
      <c r="HE32" s="141">
        <f t="shared" si="143"/>
        <v>1143.56</v>
      </c>
      <c r="HF32" s="141">
        <f t="shared" si="143"/>
        <v>1143.56</v>
      </c>
      <c r="HG32" s="141">
        <f t="shared" si="143"/>
        <v>1143.56</v>
      </c>
      <c r="HH32" s="141">
        <f t="shared" si="143"/>
        <v>1143.56</v>
      </c>
      <c r="HI32" s="141">
        <f t="shared" si="143"/>
        <v>1143.56</v>
      </c>
      <c r="HJ32" s="141">
        <f t="shared" si="143"/>
        <v>1143.56</v>
      </c>
      <c r="HK32" s="141">
        <f t="shared" si="143"/>
        <v>1143.56</v>
      </c>
      <c r="HL32" s="141">
        <f t="shared" si="143"/>
        <v>1143.56</v>
      </c>
      <c r="HM32" s="142">
        <f t="shared" ref="HM32:IP32" si="144">IF(ISBLANK($A32),,FE32*($AH32-($AH32*$AJ32))/$AI32)</f>
        <v>0</v>
      </c>
      <c r="HN32" s="142">
        <f t="shared" si="144"/>
        <v>0</v>
      </c>
      <c r="HO32" s="142">
        <f t="shared" si="144"/>
        <v>0</v>
      </c>
      <c r="HP32" s="142">
        <f t="shared" si="144"/>
        <v>0</v>
      </c>
      <c r="HQ32" s="142">
        <f t="shared" si="144"/>
        <v>0</v>
      </c>
      <c r="HR32" s="142">
        <f t="shared" si="144"/>
        <v>0</v>
      </c>
      <c r="HS32" s="142">
        <f t="shared" si="144"/>
        <v>0</v>
      </c>
      <c r="HT32" s="142">
        <f t="shared" si="144"/>
        <v>0</v>
      </c>
      <c r="HU32" s="142">
        <f t="shared" si="144"/>
        <v>0</v>
      </c>
      <c r="HV32" s="142">
        <f t="shared" si="144"/>
        <v>0</v>
      </c>
      <c r="HW32" s="142">
        <f t="shared" si="144"/>
        <v>0</v>
      </c>
      <c r="HX32" s="142">
        <f t="shared" si="144"/>
        <v>0</v>
      </c>
      <c r="HY32" s="142">
        <f t="shared" si="144"/>
        <v>0</v>
      </c>
      <c r="HZ32" s="142">
        <f t="shared" si="144"/>
        <v>0</v>
      </c>
      <c r="IA32" s="142">
        <f t="shared" si="144"/>
        <v>0</v>
      </c>
      <c r="IB32" s="142">
        <f t="shared" si="144"/>
        <v>0</v>
      </c>
      <c r="IC32" s="142">
        <f t="shared" si="144"/>
        <v>0</v>
      </c>
      <c r="ID32" s="142">
        <f t="shared" si="144"/>
        <v>0</v>
      </c>
      <c r="IE32" s="142">
        <f t="shared" si="144"/>
        <v>0</v>
      </c>
      <c r="IF32" s="142">
        <f t="shared" si="144"/>
        <v>0</v>
      </c>
      <c r="IG32" s="142">
        <f t="shared" si="144"/>
        <v>0</v>
      </c>
      <c r="IH32" s="142">
        <f t="shared" si="144"/>
        <v>0</v>
      </c>
      <c r="II32" s="142">
        <f t="shared" si="144"/>
        <v>0</v>
      </c>
      <c r="IJ32" s="142">
        <f t="shared" si="144"/>
        <v>0</v>
      </c>
      <c r="IK32" s="142">
        <f t="shared" si="144"/>
        <v>0</v>
      </c>
      <c r="IL32" s="142">
        <f t="shared" si="144"/>
        <v>0</v>
      </c>
      <c r="IM32" s="142">
        <f t="shared" si="144"/>
        <v>0</v>
      </c>
      <c r="IN32" s="142">
        <f t="shared" si="144"/>
        <v>0</v>
      </c>
      <c r="IO32" s="142">
        <f t="shared" si="144"/>
        <v>0</v>
      </c>
      <c r="IP32" s="142">
        <f t="shared" si="144"/>
        <v>0</v>
      </c>
      <c r="IQ32" s="141">
        <f>IF(ISBLANK($A32),,IF($AN32="Não",0,(SUM($AO32:AO32)*$AH32)-SUM($HM32:HM32)-SUM($CW32:CW32)))</f>
        <v>0</v>
      </c>
      <c r="IR32" s="141">
        <f>IF(ISBLANK($A32),,IF($AN32="Não",0,(SUM($AO32:AP32)*$AH32)-SUM($HM32:HN32)-SUM($CW32:CX32)))</f>
        <v>0</v>
      </c>
      <c r="IS32" s="141">
        <f>IF(ISBLANK($A32),,IF($AN32="Não",0,(SUM($AO32:AQ32)*$AH32)-SUM($HM32:HO32)-SUM($CW32:CY32)))</f>
        <v>0</v>
      </c>
      <c r="IT32" s="141">
        <f>IF(ISBLANK($A32),,IF($AN32="Não",0,(SUM($AO32:AR32)*$AH32)-SUM($HM32:HP32)-SUM($CW32:CZ32)))</f>
        <v>0</v>
      </c>
      <c r="IU32" s="141">
        <f>IF(ISBLANK($A32),,IF($AN32="Não",0,(SUM($AO32:AS32)*$AH32)-SUM($HM32:HQ32)-SUM($CW32:DA32)))</f>
        <v>0</v>
      </c>
      <c r="IV32" s="141">
        <f>IF(ISBLANK($A32),,IF($AN32="Não",0,(SUM($AO32:AT32)*$AH32)-SUM($HM32:HR32)-SUM($CW32:DB32)))</f>
        <v>0</v>
      </c>
      <c r="IW32" s="141">
        <f>IF(ISBLANK($A32),,IF($AN32="Não",0,(SUM($AO32:AU32)*$AH32)-SUM($HM32:HS32)-SUM($CW32:DC32)))</f>
        <v>0</v>
      </c>
      <c r="IX32" s="141">
        <f>IF(ISBLANK($A32),,IF($AN32="Não",0,(SUM($AO32:AV32)*$AH32)-SUM($HM32:HT32)-SUM($CW32:DD32)))</f>
        <v>0</v>
      </c>
      <c r="IY32" s="141">
        <f>IF(ISBLANK($A32),,IF($AN32="Não",0,(SUM($AO32:AW32)*$AH32)-SUM($HM32:HU32)-SUM($CW32:DE32)))</f>
        <v>0</v>
      </c>
      <c r="IZ32" s="141">
        <f>IF(ISBLANK($A32),,IF($AN32="Não",0,(SUM($AO32:AX32)*$AH32)-SUM($HM32:HV32)-SUM($CW32:DF32)))</f>
        <v>0</v>
      </c>
      <c r="JA32" s="141">
        <f>IF(ISBLANK($A32),,IF($AN32="Não",0,(SUM($AO32:AY32)*$AH32)-SUM($HM32:HW32)-SUM($CW32:DG32)))</f>
        <v>0</v>
      </c>
      <c r="JB32" s="141">
        <f>IF(ISBLANK($A32),,IF($AN32="Não",0,(SUM($AO32:AZ32)*$AH32)-SUM($HM32:HX32)-SUM($CW32:DH32)))</f>
        <v>0</v>
      </c>
      <c r="JC32" s="141">
        <f>IF(ISBLANK($A32),,IF($AN32="Não",0,(SUM($AO32:BA32)*$AH32)-SUM($HM32:HY32)-SUM($CW32:DI32)))</f>
        <v>0</v>
      </c>
      <c r="JD32" s="141">
        <f>IF(ISBLANK($A32),,IF($AN32="Não",0,(SUM($AO32:BB32)*$AH32)-SUM($HM32:HZ32)-SUM($CW32:DJ32)))</f>
        <v>0</v>
      </c>
      <c r="JE32" s="141">
        <f>IF(ISBLANK($A32),,IF($AN32="Não",0,(SUM($AO32:BC32)*$AH32)-SUM($HM32:IA32)-SUM($CW32:DK32)))</f>
        <v>0</v>
      </c>
      <c r="JF32" s="141">
        <f>IF(ISBLANK($A32),,IF($AN32="Não",0,(SUM($AO32:BD32)*$AH32)-SUM($HM32:IB32)-SUM($CW32:DL32)))</f>
        <v>0</v>
      </c>
      <c r="JG32" s="141">
        <f>IF(ISBLANK($A32),,IF($AN32="Não",0,(SUM($AO32:BE32)*$AH32)-SUM($HM32:IC32)-SUM($CW32:DM32)))</f>
        <v>0</v>
      </c>
      <c r="JH32" s="141">
        <f>IF(ISBLANK($A32),,IF($AN32="Não",0,(SUM($AO32:BF32)*$AH32)-SUM($HM32:ID32)-SUM($CW32:DN32)))</f>
        <v>0</v>
      </c>
      <c r="JI32" s="141">
        <f>IF(ISBLANK($A32),,IF($AN32="Não",0,(SUM($AO32:BG32)*$AH32)-SUM($HM32:IE32)-SUM($CW32:DO32)))</f>
        <v>0</v>
      </c>
      <c r="JJ32" s="141">
        <f>IF(ISBLANK($A32),,IF($AN32="Não",0,(SUM($AO32:BH32)*$AH32)-SUM($HM32:IF32)-SUM($CW32:DP32)))</f>
        <v>0</v>
      </c>
      <c r="JK32" s="141">
        <f>IF(ISBLANK($A32),,IF($AN32="Não",0,(SUM($AO32:BI32)*$AH32)-SUM($HM32:IG32)-SUM($CW32:DQ32)))</f>
        <v>0</v>
      </c>
      <c r="JL32" s="141">
        <f>IF(ISBLANK($A32),,IF($AN32="Não",0,(SUM($AO32:BJ32)*$AH32)-SUM($HM32:IH32)-SUM($CW32:DR32)))</f>
        <v>0</v>
      </c>
      <c r="JM32" s="141">
        <f>IF(ISBLANK($A32),,IF($AN32="Não",0,(SUM($AO32:BK32)*$AH32)-SUM($HM32:II32)-SUM($CW32:DS32)))</f>
        <v>0</v>
      </c>
      <c r="JN32" s="141">
        <f>IF(ISBLANK($A32),,IF($AN32="Não",0,(SUM($AO32:BL32)*$AH32)-SUM($HM32:IJ32)-SUM($CW32:DT32)))</f>
        <v>0</v>
      </c>
      <c r="JO32" s="141">
        <f>IF(ISBLANK($A32),,IF($AN32="Não",0,(SUM($AO32:BM32)*$AH32)-SUM($HM32:IK32)-SUM($CW32:DU32)))</f>
        <v>0</v>
      </c>
      <c r="JP32" s="141">
        <f>IF(ISBLANK($A32),,IF($AN32="Não",0,(SUM($AO32:BN32)*$AH32)-SUM($HM32:IL32)-SUM($CW32:DV32)))</f>
        <v>0</v>
      </c>
      <c r="JQ32" s="141">
        <f>IF(ISBLANK($A32),,IF($AN32="Não",0,(SUM($AO32:BO32)*$AH32)-SUM($HM32:IM32)-SUM($CW32:DW32)))</f>
        <v>0</v>
      </c>
      <c r="JR32" s="141">
        <f>IF(ISBLANK($A32),,IF($AN32="Não",0,(SUM($AO32:BP32)*$AH32)-SUM($HM32:IN32)-SUM($CW32:DX32)))</f>
        <v>0</v>
      </c>
      <c r="JS32" s="141">
        <f>IF(ISBLANK($A32),,IF($AN32="Não",0,(SUM($AO32:BQ32)*$AH32)-SUM($HM32:IO32)-SUM($CW32:DY32)))</f>
        <v>0</v>
      </c>
      <c r="JT32" s="141">
        <f>IF(ISBLANK($A32),,IF($AN32="Não",0,(SUM($AO32:BR32)*$AH32)-SUM($HM32:IP32)-SUM($CW32:DZ32)))</f>
        <v>0</v>
      </c>
    </row>
    <row r="33" spans="1:280" ht="15.75" customHeight="1">
      <c r="A33" s="129" t="s">
        <v>367</v>
      </c>
      <c r="B33" s="129" t="s">
        <v>209</v>
      </c>
      <c r="C33" s="138" t="s">
        <v>79</v>
      </c>
      <c r="D33" s="139">
        <v>206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607">
        <f t="shared" si="0"/>
        <v>44</v>
      </c>
      <c r="AI33" s="608">
        <f t="shared" si="1"/>
        <v>30</v>
      </c>
      <c r="AJ33" s="609">
        <f t="shared" si="2"/>
        <v>1</v>
      </c>
      <c r="AK33" s="610" t="str">
        <f t="shared" si="3"/>
        <v>Infraestrutura</v>
      </c>
      <c r="AL33" s="609">
        <f t="shared" si="4"/>
        <v>0.05</v>
      </c>
      <c r="AM33" s="611" t="str">
        <f t="shared" si="5"/>
        <v>Sim</v>
      </c>
      <c r="AN33" s="611" t="str">
        <f t="shared" si="6"/>
        <v>Não</v>
      </c>
      <c r="AO33" s="140">
        <f t="array" ref="AO33">IF(ISBLANK($A33),0,IF(OR(AO$5-$AI33&lt;=0,$AM33="Não"),D33,D33+INDEX($AO$6:$BR$176,ROW()-5,COLUMN()-40-$AI33)))*IF($B33="Operacional",IFERROR(VLOOKUP($C33,SN_UGC,28,0),0),1)</f>
        <v>206</v>
      </c>
      <c r="AP33" s="140">
        <f t="array" ref="AP33">IF(ISBLANK($A33),0,IF(OR(AP$5-$AI33&lt;=0,$AM33="Não"),E33,E33+INDEX($AO$6:$BR$176,ROW()-5,COLUMN()-40-$AI33)))*IF($B33="Operacional",IFERROR(VLOOKUP($C33,SN_UGC,28,0),0),1)</f>
        <v>0</v>
      </c>
      <c r="AQ33" s="140">
        <f t="array" ref="AQ33">IF(ISBLANK($A33),0,IF(OR(AQ$5-$AI33&lt;=0,$AM33="Não"),F33,F33+INDEX($AO$6:$BR$176,ROW()-5,COLUMN()-40-$AI33)))*IF($B33="Operacional",IFERROR(VLOOKUP($C33,SN_UGC,28,0),0),1)</f>
        <v>0</v>
      </c>
      <c r="AR33" s="140">
        <f t="array" ref="AR33">IF(ISBLANK($A33),0,IF(OR(AR$5-$AI33&lt;=0,$AM33="Não"),G33,G33+INDEX($AO$6:$BR$176,ROW()-5,COLUMN()-40-$AI33)))*IF($B33="Operacional",IFERROR(VLOOKUP($C33,SN_UGC,28,0),0),1)</f>
        <v>0</v>
      </c>
      <c r="AS33" s="140">
        <f t="array" ref="AS33">IF(ISBLANK($A33),0,IF(OR(AS$5-$AI33&lt;=0,$AM33="Não"),H33,H33+INDEX($AO$6:$BR$176,ROW()-5,COLUMN()-40-$AI33)))*IF($B33="Operacional",IFERROR(VLOOKUP($C33,SN_UGC,28,0),0),1)</f>
        <v>0</v>
      </c>
      <c r="AT33" s="140">
        <f t="array" ref="AT33">IF(ISBLANK($A33),0,IF(OR(AT$5-$AI33&lt;=0,$AM33="Não"),I33,I33+INDEX($AO$6:$BR$176,ROW()-5,COLUMN()-40-$AI33)))*IF($B33="Operacional",IFERROR(VLOOKUP($C33,SN_UGC,28,0),0),1)</f>
        <v>0</v>
      </c>
      <c r="AU33" s="140">
        <f t="array" ref="AU33">IF(ISBLANK($A33),0,IF(OR(AU$5-$AI33&lt;=0,$AM33="Não"),J33,J33+INDEX($AO$6:$BR$176,ROW()-5,COLUMN()-40-$AI33)))*IF($B33="Operacional",IFERROR(VLOOKUP($C33,SN_UGC,28,0),0),1)</f>
        <v>0</v>
      </c>
      <c r="AV33" s="140">
        <f t="array" ref="AV33">IF(ISBLANK($A33),0,IF(OR(AV$5-$AI33&lt;=0,$AM33="Não"),K33,K33+INDEX($AO$6:$BR$176,ROW()-5,COLUMN()-40-$AI33)))*IF($B33="Operacional",IFERROR(VLOOKUP($C33,SN_UGC,28,0),0),1)</f>
        <v>0</v>
      </c>
      <c r="AW33" s="140">
        <f t="array" ref="AW33">IF(ISBLANK($A33),0,IF(OR(AW$5-$AI33&lt;=0,$AM33="Não"),L33,L33+INDEX($AO$6:$BR$176,ROW()-5,COLUMN()-40-$AI33)))*IF($B33="Operacional",IFERROR(VLOOKUP($C33,SN_UGC,28,0),0),1)</f>
        <v>0</v>
      </c>
      <c r="AX33" s="140">
        <f t="array" ref="AX33">IF(ISBLANK($A33),0,IF(OR(AX$5-$AI33&lt;=0,$AM33="Não"),M33,M33+INDEX($AO$6:$BR$176,ROW()-5,COLUMN()-40-$AI33)))*IF($B33="Operacional",IFERROR(VLOOKUP($C33,SN_UGC,28,0),0),1)</f>
        <v>0</v>
      </c>
      <c r="AY33" s="140">
        <f t="array" ref="AY33">IF(ISBLANK($A33),0,IF(OR(AY$5-$AI33&lt;=0,$AM33="Não"),N33,N33+INDEX($AO$6:$BR$176,ROW()-5,COLUMN()-40-$AI33)))*IF($B33="Operacional",IFERROR(VLOOKUP($C33,SN_UGC,28,0),0),1)</f>
        <v>0</v>
      </c>
      <c r="AZ33" s="140">
        <f t="array" ref="AZ33">IF(ISBLANK($A33),0,IF(OR(AZ$5-$AI33&lt;=0,$AM33="Não"),O33,O33+INDEX($AO$6:$BR$176,ROW()-5,COLUMN()-40-$AI33)))*IF($B33="Operacional",IFERROR(VLOOKUP($C33,SN_UGC,28,0),0),1)</f>
        <v>0</v>
      </c>
      <c r="BA33" s="140">
        <f t="array" ref="BA33">IF(ISBLANK($A33),0,IF(OR(BA$5-$AI33&lt;=0,$AM33="Não"),P33,P33+INDEX($AO$6:$BR$176,ROW()-5,COLUMN()-40-$AI33)))*IF($B33="Operacional",IFERROR(VLOOKUP($C33,SN_UGC,28,0),0),1)</f>
        <v>0</v>
      </c>
      <c r="BB33" s="140">
        <f t="array" ref="BB33">IF(ISBLANK($A33),0,IF(OR(BB$5-$AI33&lt;=0,$AM33="Não"),Q33,Q33+INDEX($AO$6:$BR$176,ROW()-5,COLUMN()-40-$AI33)))*IF($B33="Operacional",IFERROR(VLOOKUP($C33,SN_UGC,28,0),0),1)</f>
        <v>0</v>
      </c>
      <c r="BC33" s="140">
        <f t="array" ref="BC33">IF(ISBLANK($A33),0,IF(OR(BC$5-$AI33&lt;=0,$AM33="Não"),R33,R33+INDEX($AO$6:$BR$176,ROW()-5,COLUMN()-40-$AI33)))*IF($B33="Operacional",IFERROR(VLOOKUP($C33,SN_UGC,28,0),0),1)</f>
        <v>0</v>
      </c>
      <c r="BD33" s="140">
        <f t="array" ref="BD33">IF(ISBLANK($A33),0,IF(OR(BD$5-$AI33&lt;=0,$AM33="Não"),S33,S33+INDEX($AO$6:$BR$176,ROW()-5,COLUMN()-40-$AI33)))*IF($B33="Operacional",IFERROR(VLOOKUP($C33,SN_UGC,28,0),0),1)</f>
        <v>0</v>
      </c>
      <c r="BE33" s="140">
        <f t="array" ref="BE33">IF(ISBLANK($A33),0,IF(OR(BE$5-$AI33&lt;=0,$AM33="Não"),T33,T33+INDEX($AO$6:$BR$176,ROW()-5,COLUMN()-40-$AI33)))*IF($B33="Operacional",IFERROR(VLOOKUP($C33,SN_UGC,28,0),0),1)</f>
        <v>0</v>
      </c>
      <c r="BF33" s="140">
        <f t="array" ref="BF33">IF(ISBLANK($A33),0,IF(OR(BF$5-$AI33&lt;=0,$AM33="Não"),U33,U33+INDEX($AO$6:$BR$176,ROW()-5,COLUMN()-40-$AI33)))*IF($B33="Operacional",IFERROR(VLOOKUP($C33,SN_UGC,28,0),0),1)</f>
        <v>0</v>
      </c>
      <c r="BG33" s="140">
        <f t="array" ref="BG33">IF(ISBLANK($A33),0,IF(OR(BG$5-$AI33&lt;=0,$AM33="Não"),V33,V33+INDEX($AO$6:$BR$176,ROW()-5,COLUMN()-40-$AI33)))*IF($B33="Operacional",IFERROR(VLOOKUP($C33,SN_UGC,28,0),0),1)</f>
        <v>0</v>
      </c>
      <c r="BH33" s="140">
        <f t="array" ref="BH33">IF(ISBLANK($A33),0,IF(OR(BH$5-$AI33&lt;=0,$AM33="Não"),W33,W33+INDEX($AO$6:$BR$176,ROW()-5,COLUMN()-40-$AI33)))*IF($B33="Operacional",IFERROR(VLOOKUP($C33,SN_UGC,28,0),0),1)</f>
        <v>0</v>
      </c>
      <c r="BI33" s="140">
        <f t="array" ref="BI33">IF(ISBLANK($A33),0,IF(OR(BI$5-$AI33&lt;=0,$AM33="Não"),X33,X33+INDEX($AO$6:$BR$176,ROW()-5,COLUMN()-40-$AI33)))*IF($B33="Operacional",IFERROR(VLOOKUP($C33,SN_UGC,28,0),0),1)</f>
        <v>0</v>
      </c>
      <c r="BJ33" s="140">
        <f t="array" ref="BJ33">IF(ISBLANK($A33),0,IF(OR(BJ$5-$AI33&lt;=0,$AM33="Não"),Y33,Y33+INDEX($AO$6:$BR$176,ROW()-5,COLUMN()-40-$AI33)))*IF($B33="Operacional",IFERROR(VLOOKUP($C33,SN_UGC,28,0),0),1)</f>
        <v>0</v>
      </c>
      <c r="BK33" s="140">
        <f t="array" ref="BK33">IF(ISBLANK($A33),0,IF(OR(BK$5-$AI33&lt;=0,$AM33="Não"),Z33,Z33+INDEX($AO$6:$BR$176,ROW()-5,COLUMN()-40-$AI33)))*IF($B33="Operacional",IFERROR(VLOOKUP($C33,SN_UGC,28,0),0),1)</f>
        <v>0</v>
      </c>
      <c r="BL33" s="140">
        <f t="array" ref="BL33">IF(ISBLANK($A33),0,IF(OR(BL$5-$AI33&lt;=0,$AM33="Não"),AA33,AA33+INDEX($AO$6:$BR$176,ROW()-5,COLUMN()-40-$AI33)))*IF($B33="Operacional",IFERROR(VLOOKUP($C33,SN_UGC,28,0),0),1)</f>
        <v>0</v>
      </c>
      <c r="BM33" s="140">
        <f t="array" ref="BM33">IF(ISBLANK($A33),0,IF(OR(BM$5-$AI33&lt;=0,$AM33="Não"),AB33,AB33+INDEX($AO$6:$BR$176,ROW()-5,COLUMN()-40-$AI33)))*IF($B33="Operacional",IFERROR(VLOOKUP($C33,SN_UGC,28,0),0),1)</f>
        <v>0</v>
      </c>
      <c r="BN33" s="140">
        <f t="array" ref="BN33">IF(ISBLANK($A33),0,IF(OR(BN$5-$AI33&lt;=0,$AM33="Não"),AC33,AC33+INDEX($AO$6:$BR$176,ROW()-5,COLUMN()-40-$AI33)))*IF($B33="Operacional",IFERROR(VLOOKUP($C33,SN_UGC,28,0),0),1)</f>
        <v>0</v>
      </c>
      <c r="BO33" s="140">
        <f t="array" ref="BO33">IF(ISBLANK($A33),0,IF(OR(BO$5-$AI33&lt;=0,$AM33="Não"),AD33,AD33+INDEX($AO$6:$BR$176,ROW()-5,COLUMN()-40-$AI33)))*IF($B33="Operacional",IFERROR(VLOOKUP($C33,SN_UGC,28,0),0),1)</f>
        <v>0</v>
      </c>
      <c r="BP33" s="140">
        <f t="array" ref="BP33">IF(ISBLANK($A33),0,IF(OR(BP$5-$AI33&lt;=0,$AM33="Não"),AE33,AE33+INDEX($AO$6:$BR$176,ROW()-5,COLUMN()-40-$AI33)))*IF($B33="Operacional",IFERROR(VLOOKUP($C33,SN_UGC,28,0),0),1)</f>
        <v>0</v>
      </c>
      <c r="BQ33" s="140">
        <f t="array" ref="BQ33">IF(ISBLANK($A33),0,IF(OR(BQ$5-$AI33&lt;=0,$AM33="Não"),AF33,AF33+INDEX($AO$6:$BR$176,ROW()-5,COLUMN()-40-$AI33)))*IF($B33="Operacional",IFERROR(VLOOKUP($C33,SN_UGC,28,0),0),1)</f>
        <v>0</v>
      </c>
      <c r="BR33" s="140">
        <f t="array" ref="BR33">IF(ISBLANK($A33),0,IF(OR(BR$5-$AI33&lt;=0,$AM33="Não"),AG33,AG33+INDEX($AO$6:$BR$176,ROW()-5,COLUMN()-40-$AI33)))*IF($B33="Operacional",IFERROR(VLOOKUP($C33,SN_UGC,28,0),0),1)</f>
        <v>0</v>
      </c>
      <c r="BS33" s="141">
        <f t="shared" ref="BS33:CV33" si="145">IF(ISBLANK($A33),0,$AH33*AO33)</f>
        <v>9064</v>
      </c>
      <c r="BT33" s="141">
        <f t="shared" si="145"/>
        <v>0</v>
      </c>
      <c r="BU33" s="141">
        <f t="shared" si="145"/>
        <v>0</v>
      </c>
      <c r="BV33" s="141">
        <f t="shared" si="145"/>
        <v>0</v>
      </c>
      <c r="BW33" s="141">
        <f t="shared" si="145"/>
        <v>0</v>
      </c>
      <c r="BX33" s="141">
        <f t="shared" si="145"/>
        <v>0</v>
      </c>
      <c r="BY33" s="141">
        <f t="shared" si="145"/>
        <v>0</v>
      </c>
      <c r="BZ33" s="141">
        <f t="shared" si="145"/>
        <v>0</v>
      </c>
      <c r="CA33" s="141">
        <f t="shared" si="145"/>
        <v>0</v>
      </c>
      <c r="CB33" s="141">
        <f t="shared" si="145"/>
        <v>0</v>
      </c>
      <c r="CC33" s="141">
        <f t="shared" si="145"/>
        <v>0</v>
      </c>
      <c r="CD33" s="141">
        <f t="shared" si="145"/>
        <v>0</v>
      </c>
      <c r="CE33" s="141">
        <f t="shared" si="145"/>
        <v>0</v>
      </c>
      <c r="CF33" s="141">
        <f t="shared" si="145"/>
        <v>0</v>
      </c>
      <c r="CG33" s="141">
        <f t="shared" si="145"/>
        <v>0</v>
      </c>
      <c r="CH33" s="141">
        <f t="shared" si="145"/>
        <v>0</v>
      </c>
      <c r="CI33" s="141">
        <f t="shared" si="145"/>
        <v>0</v>
      </c>
      <c r="CJ33" s="141">
        <f t="shared" si="145"/>
        <v>0</v>
      </c>
      <c r="CK33" s="141">
        <f t="shared" si="145"/>
        <v>0</v>
      </c>
      <c r="CL33" s="141">
        <f t="shared" si="145"/>
        <v>0</v>
      </c>
      <c r="CM33" s="141">
        <f t="shared" si="145"/>
        <v>0</v>
      </c>
      <c r="CN33" s="141">
        <f t="shared" si="145"/>
        <v>0</v>
      </c>
      <c r="CO33" s="141">
        <f t="shared" si="145"/>
        <v>0</v>
      </c>
      <c r="CP33" s="141">
        <f t="shared" si="145"/>
        <v>0</v>
      </c>
      <c r="CQ33" s="141">
        <f t="shared" si="145"/>
        <v>0</v>
      </c>
      <c r="CR33" s="141">
        <f t="shared" si="145"/>
        <v>0</v>
      </c>
      <c r="CS33" s="141">
        <f t="shared" si="145"/>
        <v>0</v>
      </c>
      <c r="CT33" s="141">
        <f t="shared" si="145"/>
        <v>0</v>
      </c>
      <c r="CU33" s="141">
        <f t="shared" si="145"/>
        <v>0</v>
      </c>
      <c r="CV33" s="141">
        <f t="shared" si="145"/>
        <v>0</v>
      </c>
      <c r="CW33" s="142">
        <f t="shared" ref="CW33:DZ33" si="146">EA33*$AH33*$AJ33</f>
        <v>0</v>
      </c>
      <c r="CX33" s="142">
        <f t="shared" si="146"/>
        <v>0</v>
      </c>
      <c r="CY33" s="142">
        <f t="shared" si="146"/>
        <v>0</v>
      </c>
      <c r="CZ33" s="142">
        <f t="shared" si="146"/>
        <v>0</v>
      </c>
      <c r="DA33" s="142">
        <f t="shared" si="146"/>
        <v>0</v>
      </c>
      <c r="DB33" s="142">
        <f t="shared" si="146"/>
        <v>0</v>
      </c>
      <c r="DC33" s="142">
        <f t="shared" si="146"/>
        <v>0</v>
      </c>
      <c r="DD33" s="142">
        <f t="shared" si="146"/>
        <v>0</v>
      </c>
      <c r="DE33" s="142">
        <f t="shared" si="146"/>
        <v>0</v>
      </c>
      <c r="DF33" s="142">
        <f t="shared" si="146"/>
        <v>0</v>
      </c>
      <c r="DG33" s="142">
        <f t="shared" si="146"/>
        <v>0</v>
      </c>
      <c r="DH33" s="142">
        <f t="shared" si="146"/>
        <v>0</v>
      </c>
      <c r="DI33" s="142">
        <f t="shared" si="146"/>
        <v>0</v>
      </c>
      <c r="DJ33" s="142">
        <f t="shared" si="146"/>
        <v>0</v>
      </c>
      <c r="DK33" s="142">
        <f t="shared" si="146"/>
        <v>0</v>
      </c>
      <c r="DL33" s="142">
        <f t="shared" si="146"/>
        <v>0</v>
      </c>
      <c r="DM33" s="142">
        <f t="shared" si="146"/>
        <v>0</v>
      </c>
      <c r="DN33" s="142">
        <f t="shared" si="146"/>
        <v>0</v>
      </c>
      <c r="DO33" s="142">
        <f t="shared" si="146"/>
        <v>0</v>
      </c>
      <c r="DP33" s="142">
        <f t="shared" si="146"/>
        <v>0</v>
      </c>
      <c r="DQ33" s="142">
        <f t="shared" si="146"/>
        <v>0</v>
      </c>
      <c r="DR33" s="142">
        <f t="shared" si="146"/>
        <v>0</v>
      </c>
      <c r="DS33" s="142">
        <f t="shared" si="146"/>
        <v>0</v>
      </c>
      <c r="DT33" s="142">
        <f t="shared" si="146"/>
        <v>0</v>
      </c>
      <c r="DU33" s="142">
        <f t="shared" si="146"/>
        <v>0</v>
      </c>
      <c r="DV33" s="142">
        <f t="shared" si="146"/>
        <v>0</v>
      </c>
      <c r="DW33" s="142">
        <f t="shared" si="146"/>
        <v>0</v>
      </c>
      <c r="DX33" s="142">
        <f t="shared" si="146"/>
        <v>0</v>
      </c>
      <c r="DY33" s="142">
        <f t="shared" si="146"/>
        <v>0</v>
      </c>
      <c r="DZ33" s="142">
        <f t="shared" si="146"/>
        <v>0</v>
      </c>
      <c r="EA33" s="143">
        <f t="shared" si="9"/>
        <v>0</v>
      </c>
      <c r="EB33" s="143">
        <f t="shared" si="10"/>
        <v>0</v>
      </c>
      <c r="EC33" s="143">
        <f t="shared" si="11"/>
        <v>0</v>
      </c>
      <c r="ED33" s="143">
        <f t="shared" si="12"/>
        <v>0</v>
      </c>
      <c r="EE33" s="143">
        <f t="shared" si="13"/>
        <v>0</v>
      </c>
      <c r="EF33" s="143">
        <f t="shared" si="14"/>
        <v>0</v>
      </c>
      <c r="EG33" s="143">
        <f t="shared" si="15"/>
        <v>0</v>
      </c>
      <c r="EH33" s="143">
        <f t="shared" si="16"/>
        <v>0</v>
      </c>
      <c r="EI33" s="143">
        <f t="shared" si="17"/>
        <v>0</v>
      </c>
      <c r="EJ33" s="143">
        <f t="shared" si="18"/>
        <v>0</v>
      </c>
      <c r="EK33" s="143">
        <f t="shared" si="19"/>
        <v>0</v>
      </c>
      <c r="EL33" s="143">
        <f t="shared" si="20"/>
        <v>0</v>
      </c>
      <c r="EM33" s="143">
        <f t="shared" si="21"/>
        <v>0</v>
      </c>
      <c r="EN33" s="143">
        <f t="shared" si="22"/>
        <v>0</v>
      </c>
      <c r="EO33" s="143">
        <f t="shared" si="23"/>
        <v>0</v>
      </c>
      <c r="EP33" s="143">
        <f t="shared" si="24"/>
        <v>0</v>
      </c>
      <c r="EQ33" s="143">
        <f t="shared" si="25"/>
        <v>0</v>
      </c>
      <c r="ER33" s="143">
        <f t="shared" si="26"/>
        <v>0</v>
      </c>
      <c r="ES33" s="143">
        <f t="shared" si="27"/>
        <v>0</v>
      </c>
      <c r="ET33" s="143">
        <f t="shared" si="28"/>
        <v>0</v>
      </c>
      <c r="EU33" s="143">
        <f t="shared" si="29"/>
        <v>0</v>
      </c>
      <c r="EV33" s="143">
        <f t="shared" si="30"/>
        <v>0</v>
      </c>
      <c r="EW33" s="143">
        <f t="shared" si="31"/>
        <v>0</v>
      </c>
      <c r="EX33" s="143">
        <f t="shared" si="32"/>
        <v>0</v>
      </c>
      <c r="EY33" s="143">
        <f t="shared" si="33"/>
        <v>0</v>
      </c>
      <c r="EZ33" s="143">
        <f t="shared" si="34"/>
        <v>0</v>
      </c>
      <c r="FA33" s="143">
        <f t="shared" si="35"/>
        <v>0</v>
      </c>
      <c r="FB33" s="143">
        <f t="shared" si="36"/>
        <v>0</v>
      </c>
      <c r="FC33" s="143">
        <f t="shared" si="37"/>
        <v>0</v>
      </c>
      <c r="FD33" s="143">
        <f t="shared" si="38"/>
        <v>0</v>
      </c>
      <c r="FE33" s="140">
        <f>SUM($D33:D33)*IF($B33="Operacional",IFERROR(VLOOKUP($C33,SN_UGC,28,0),0),1)</f>
        <v>206</v>
      </c>
      <c r="FF33" s="140">
        <f>SUM($D33:E33)*IF($B33="Operacional",IFERROR(VLOOKUP($C33,SN_UGC,28,0),0),1)</f>
        <v>206</v>
      </c>
      <c r="FG33" s="140">
        <f>SUM($D33:F33)*IF($B33="Operacional",IFERROR(VLOOKUP($C33,SN_UGC,28,0),0),1)</f>
        <v>206</v>
      </c>
      <c r="FH33" s="140">
        <f>SUM($D33:G33)*IF($B33="Operacional",IFERROR(VLOOKUP($C33,SN_UGC,28,0),0),1)</f>
        <v>206</v>
      </c>
      <c r="FI33" s="140">
        <f>SUM($D33:H33)*IF($B33="Operacional",IFERROR(VLOOKUP($C33,SN_UGC,28,0),0),1)</f>
        <v>206</v>
      </c>
      <c r="FJ33" s="140">
        <f>SUM($D33:I33)*IF($B33="Operacional",IFERROR(VLOOKUP($C33,SN_UGC,28,0),0),1)</f>
        <v>206</v>
      </c>
      <c r="FK33" s="140">
        <f>SUM($D33:J33)*IF($B33="Operacional",IFERROR(VLOOKUP($C33,SN_UGC,28,0),0),1)</f>
        <v>206</v>
      </c>
      <c r="FL33" s="140">
        <f>SUM($D33:K33)*IF($B33="Operacional",IFERROR(VLOOKUP($C33,SN_UGC,28,0),0),1)</f>
        <v>206</v>
      </c>
      <c r="FM33" s="140">
        <f>SUM($D33:L33)*IF($B33="Operacional",IFERROR(VLOOKUP($C33,SN_UGC,28,0),0),1)</f>
        <v>206</v>
      </c>
      <c r="FN33" s="140">
        <f>SUM($D33:M33)*IF($B33="Operacional",IFERROR(VLOOKUP($C33,SN_UGC,28,0),0),1)</f>
        <v>206</v>
      </c>
      <c r="FO33" s="140">
        <f>SUM($D33:N33)*IF($B33="Operacional",IFERROR(VLOOKUP($C33,SN_UGC,28,0),0),1)</f>
        <v>206</v>
      </c>
      <c r="FP33" s="140">
        <f>SUM($D33:O33)*IF($B33="Operacional",IFERROR(VLOOKUP($C33,SN_UGC,28,0),0),1)</f>
        <v>206</v>
      </c>
      <c r="FQ33" s="140">
        <f>SUM($D33:P33)*IF($B33="Operacional",IFERROR(VLOOKUP($C33,SN_UGC,28,0),0),1)</f>
        <v>206</v>
      </c>
      <c r="FR33" s="140">
        <f>SUM($D33:Q33)*IF($B33="Operacional",IFERROR(VLOOKUP($C33,SN_UGC,28,0),0),1)</f>
        <v>206</v>
      </c>
      <c r="FS33" s="140">
        <f>SUM($D33:R33)*IF($B33="Operacional",IFERROR(VLOOKUP($C33,SN_UGC,28,0),0),1)</f>
        <v>206</v>
      </c>
      <c r="FT33" s="140">
        <f>SUM($D33:S33)*IF($B33="Operacional",IFERROR(VLOOKUP($C33,SN_UGC,28,0),0),1)</f>
        <v>206</v>
      </c>
      <c r="FU33" s="140">
        <f>SUM($D33:T33)*IF($B33="Operacional",IFERROR(VLOOKUP($C33,SN_UGC,28,0),0),1)</f>
        <v>206</v>
      </c>
      <c r="FV33" s="140">
        <f>SUM($D33:U33)*IF($B33="Operacional",IFERROR(VLOOKUP($C33,SN_UGC,28,0),0),1)</f>
        <v>206</v>
      </c>
      <c r="FW33" s="140">
        <f>SUM($D33:V33)*IF($B33="Operacional",IFERROR(VLOOKUP($C33,SN_UGC,28,0),0),1)</f>
        <v>206</v>
      </c>
      <c r="FX33" s="140">
        <f>SUM($D33:W33)*IF($B33="Operacional",IFERROR(VLOOKUP($C33,SN_UGC,28,0),0),1)</f>
        <v>206</v>
      </c>
      <c r="FY33" s="140">
        <f>SUM($D33:X33)*IF($B33="Operacional",IFERROR(VLOOKUP($C33,SN_UGC,28,0),0),1)</f>
        <v>206</v>
      </c>
      <c r="FZ33" s="140">
        <f>SUM($D33:Y33)*IF($B33="Operacional",IFERROR(VLOOKUP($C33,SN_UGC,28,0),0),1)</f>
        <v>206</v>
      </c>
      <c r="GA33" s="140">
        <f>SUM($D33:Z33)*IF($B33="Operacional",IFERROR(VLOOKUP($C33,SN_UGC,28,0),0),1)</f>
        <v>206</v>
      </c>
      <c r="GB33" s="140">
        <f>SUM($D33:AA33)*IF($B33="Operacional",IFERROR(VLOOKUP($C33,SN_UGC,28,0),0),1)</f>
        <v>206</v>
      </c>
      <c r="GC33" s="140">
        <f>SUM($D33:AB33)*IF($B33="Operacional",IFERROR(VLOOKUP($C33,SN_UGC,28,0),0),1)</f>
        <v>206</v>
      </c>
      <c r="GD33" s="140">
        <f>SUM($D33:AC33)*IF($B33="Operacional",IFERROR(VLOOKUP($C33,SN_UGC,28,0),0),1)</f>
        <v>206</v>
      </c>
      <c r="GE33" s="140">
        <f>SUM($D33:AD33)*IF($B33="Operacional",IFERROR(VLOOKUP($C33,SN_UGC,28,0),0),1)</f>
        <v>206</v>
      </c>
      <c r="GF33" s="140">
        <f>SUM($D33:AE33)*IF($B33="Operacional",IFERROR(VLOOKUP($C33,SN_UGC,28,0),0),1)</f>
        <v>206</v>
      </c>
      <c r="GG33" s="140">
        <f>SUM($D33:AF33)*IF($B33="Operacional",IFERROR(VLOOKUP($C33,SN_UGC,28,0),0),1)</f>
        <v>206</v>
      </c>
      <c r="GH33" s="140">
        <f>SUM($D33:AG33)*IF($B33="Operacional",IFERROR(VLOOKUP($C33,SN_UGC,28,0),0),1)</f>
        <v>206</v>
      </c>
      <c r="GI33" s="141">
        <f t="shared" ref="GI33:HL33" si="147">FE33*$AH33*$AL33</f>
        <v>453.20000000000005</v>
      </c>
      <c r="GJ33" s="141">
        <f t="shared" si="147"/>
        <v>453.20000000000005</v>
      </c>
      <c r="GK33" s="141">
        <f t="shared" si="147"/>
        <v>453.20000000000005</v>
      </c>
      <c r="GL33" s="141">
        <f t="shared" si="147"/>
        <v>453.20000000000005</v>
      </c>
      <c r="GM33" s="141">
        <f t="shared" si="147"/>
        <v>453.20000000000005</v>
      </c>
      <c r="GN33" s="141">
        <f t="shared" si="147"/>
        <v>453.20000000000005</v>
      </c>
      <c r="GO33" s="141">
        <f t="shared" si="147"/>
        <v>453.20000000000005</v>
      </c>
      <c r="GP33" s="141">
        <f t="shared" si="147"/>
        <v>453.20000000000005</v>
      </c>
      <c r="GQ33" s="141">
        <f t="shared" si="147"/>
        <v>453.20000000000005</v>
      </c>
      <c r="GR33" s="141">
        <f t="shared" si="147"/>
        <v>453.20000000000005</v>
      </c>
      <c r="GS33" s="141">
        <f t="shared" si="147"/>
        <v>453.20000000000005</v>
      </c>
      <c r="GT33" s="141">
        <f t="shared" si="147"/>
        <v>453.20000000000005</v>
      </c>
      <c r="GU33" s="141">
        <f t="shared" si="147"/>
        <v>453.20000000000005</v>
      </c>
      <c r="GV33" s="141">
        <f t="shared" si="147"/>
        <v>453.20000000000005</v>
      </c>
      <c r="GW33" s="141">
        <f t="shared" si="147"/>
        <v>453.20000000000005</v>
      </c>
      <c r="GX33" s="141">
        <f t="shared" si="147"/>
        <v>453.20000000000005</v>
      </c>
      <c r="GY33" s="141">
        <f t="shared" si="147"/>
        <v>453.20000000000005</v>
      </c>
      <c r="GZ33" s="141">
        <f t="shared" si="147"/>
        <v>453.20000000000005</v>
      </c>
      <c r="HA33" s="141">
        <f t="shared" si="147"/>
        <v>453.20000000000005</v>
      </c>
      <c r="HB33" s="141">
        <f t="shared" si="147"/>
        <v>453.20000000000005</v>
      </c>
      <c r="HC33" s="141">
        <f t="shared" si="147"/>
        <v>453.20000000000005</v>
      </c>
      <c r="HD33" s="141">
        <f t="shared" si="147"/>
        <v>453.20000000000005</v>
      </c>
      <c r="HE33" s="141">
        <f t="shared" si="147"/>
        <v>453.20000000000005</v>
      </c>
      <c r="HF33" s="141">
        <f t="shared" si="147"/>
        <v>453.20000000000005</v>
      </c>
      <c r="HG33" s="141">
        <f t="shared" si="147"/>
        <v>453.20000000000005</v>
      </c>
      <c r="HH33" s="141">
        <f t="shared" si="147"/>
        <v>453.20000000000005</v>
      </c>
      <c r="HI33" s="141">
        <f t="shared" si="147"/>
        <v>453.20000000000005</v>
      </c>
      <c r="HJ33" s="141">
        <f t="shared" si="147"/>
        <v>453.20000000000005</v>
      </c>
      <c r="HK33" s="141">
        <f t="shared" si="147"/>
        <v>453.20000000000005</v>
      </c>
      <c r="HL33" s="141">
        <f t="shared" si="147"/>
        <v>453.20000000000005</v>
      </c>
      <c r="HM33" s="142">
        <f t="shared" ref="HM33:IP33" si="148">IF(ISBLANK($A33),,FE33*($AH33-($AH33*$AJ33))/$AI33)</f>
        <v>0</v>
      </c>
      <c r="HN33" s="142">
        <f t="shared" si="148"/>
        <v>0</v>
      </c>
      <c r="HO33" s="142">
        <f t="shared" si="148"/>
        <v>0</v>
      </c>
      <c r="HP33" s="142">
        <f t="shared" si="148"/>
        <v>0</v>
      </c>
      <c r="HQ33" s="142">
        <f t="shared" si="148"/>
        <v>0</v>
      </c>
      <c r="HR33" s="142">
        <f t="shared" si="148"/>
        <v>0</v>
      </c>
      <c r="HS33" s="142">
        <f t="shared" si="148"/>
        <v>0</v>
      </c>
      <c r="HT33" s="142">
        <f t="shared" si="148"/>
        <v>0</v>
      </c>
      <c r="HU33" s="142">
        <f t="shared" si="148"/>
        <v>0</v>
      </c>
      <c r="HV33" s="142">
        <f t="shared" si="148"/>
        <v>0</v>
      </c>
      <c r="HW33" s="142">
        <f t="shared" si="148"/>
        <v>0</v>
      </c>
      <c r="HX33" s="142">
        <f t="shared" si="148"/>
        <v>0</v>
      </c>
      <c r="HY33" s="142">
        <f t="shared" si="148"/>
        <v>0</v>
      </c>
      <c r="HZ33" s="142">
        <f t="shared" si="148"/>
        <v>0</v>
      </c>
      <c r="IA33" s="142">
        <f t="shared" si="148"/>
        <v>0</v>
      </c>
      <c r="IB33" s="142">
        <f t="shared" si="148"/>
        <v>0</v>
      </c>
      <c r="IC33" s="142">
        <f t="shared" si="148"/>
        <v>0</v>
      </c>
      <c r="ID33" s="142">
        <f t="shared" si="148"/>
        <v>0</v>
      </c>
      <c r="IE33" s="142">
        <f t="shared" si="148"/>
        <v>0</v>
      </c>
      <c r="IF33" s="142">
        <f t="shared" si="148"/>
        <v>0</v>
      </c>
      <c r="IG33" s="142">
        <f t="shared" si="148"/>
        <v>0</v>
      </c>
      <c r="IH33" s="142">
        <f t="shared" si="148"/>
        <v>0</v>
      </c>
      <c r="II33" s="142">
        <f t="shared" si="148"/>
        <v>0</v>
      </c>
      <c r="IJ33" s="142">
        <f t="shared" si="148"/>
        <v>0</v>
      </c>
      <c r="IK33" s="142">
        <f t="shared" si="148"/>
        <v>0</v>
      </c>
      <c r="IL33" s="142">
        <f t="shared" si="148"/>
        <v>0</v>
      </c>
      <c r="IM33" s="142">
        <f t="shared" si="148"/>
        <v>0</v>
      </c>
      <c r="IN33" s="142">
        <f t="shared" si="148"/>
        <v>0</v>
      </c>
      <c r="IO33" s="142">
        <f t="shared" si="148"/>
        <v>0</v>
      </c>
      <c r="IP33" s="142">
        <f t="shared" si="148"/>
        <v>0</v>
      </c>
      <c r="IQ33" s="141">
        <f>IF(ISBLANK($A33),,IF($AN33="Não",0,(SUM($AO33:AO33)*$AH33)-SUM($HM33:HM33)-SUM($CW33:CW33)))</f>
        <v>0</v>
      </c>
      <c r="IR33" s="141">
        <f>IF(ISBLANK($A33),,IF($AN33="Não",0,(SUM($AO33:AP33)*$AH33)-SUM($HM33:HN33)-SUM($CW33:CX33)))</f>
        <v>0</v>
      </c>
      <c r="IS33" s="141">
        <f>IF(ISBLANK($A33),,IF($AN33="Não",0,(SUM($AO33:AQ33)*$AH33)-SUM($HM33:HO33)-SUM($CW33:CY33)))</f>
        <v>0</v>
      </c>
      <c r="IT33" s="141">
        <f>IF(ISBLANK($A33),,IF($AN33="Não",0,(SUM($AO33:AR33)*$AH33)-SUM($HM33:HP33)-SUM($CW33:CZ33)))</f>
        <v>0</v>
      </c>
      <c r="IU33" s="141">
        <f>IF(ISBLANK($A33),,IF($AN33="Não",0,(SUM($AO33:AS33)*$AH33)-SUM($HM33:HQ33)-SUM($CW33:DA33)))</f>
        <v>0</v>
      </c>
      <c r="IV33" s="141">
        <f>IF(ISBLANK($A33),,IF($AN33="Não",0,(SUM($AO33:AT33)*$AH33)-SUM($HM33:HR33)-SUM($CW33:DB33)))</f>
        <v>0</v>
      </c>
      <c r="IW33" s="141">
        <f>IF(ISBLANK($A33),,IF($AN33="Não",0,(SUM($AO33:AU33)*$AH33)-SUM($HM33:HS33)-SUM($CW33:DC33)))</f>
        <v>0</v>
      </c>
      <c r="IX33" s="141">
        <f>IF(ISBLANK($A33),,IF($AN33="Não",0,(SUM($AO33:AV33)*$AH33)-SUM($HM33:HT33)-SUM($CW33:DD33)))</f>
        <v>0</v>
      </c>
      <c r="IY33" s="141">
        <f>IF(ISBLANK($A33),,IF($AN33="Não",0,(SUM($AO33:AW33)*$AH33)-SUM($HM33:HU33)-SUM($CW33:DE33)))</f>
        <v>0</v>
      </c>
      <c r="IZ33" s="141">
        <f>IF(ISBLANK($A33),,IF($AN33="Não",0,(SUM($AO33:AX33)*$AH33)-SUM($HM33:HV33)-SUM($CW33:DF33)))</f>
        <v>0</v>
      </c>
      <c r="JA33" s="141">
        <f>IF(ISBLANK($A33),,IF($AN33="Não",0,(SUM($AO33:AY33)*$AH33)-SUM($HM33:HW33)-SUM($CW33:DG33)))</f>
        <v>0</v>
      </c>
      <c r="JB33" s="141">
        <f>IF(ISBLANK($A33),,IF($AN33="Não",0,(SUM($AO33:AZ33)*$AH33)-SUM($HM33:HX33)-SUM($CW33:DH33)))</f>
        <v>0</v>
      </c>
      <c r="JC33" s="141">
        <f>IF(ISBLANK($A33),,IF($AN33="Não",0,(SUM($AO33:BA33)*$AH33)-SUM($HM33:HY33)-SUM($CW33:DI33)))</f>
        <v>0</v>
      </c>
      <c r="JD33" s="141">
        <f>IF(ISBLANK($A33),,IF($AN33="Não",0,(SUM($AO33:BB33)*$AH33)-SUM($HM33:HZ33)-SUM($CW33:DJ33)))</f>
        <v>0</v>
      </c>
      <c r="JE33" s="141">
        <f>IF(ISBLANK($A33),,IF($AN33="Não",0,(SUM($AO33:BC33)*$AH33)-SUM($HM33:IA33)-SUM($CW33:DK33)))</f>
        <v>0</v>
      </c>
      <c r="JF33" s="141">
        <f>IF(ISBLANK($A33),,IF($AN33="Não",0,(SUM($AO33:BD33)*$AH33)-SUM($HM33:IB33)-SUM($CW33:DL33)))</f>
        <v>0</v>
      </c>
      <c r="JG33" s="141">
        <f>IF(ISBLANK($A33),,IF($AN33="Não",0,(SUM($AO33:BE33)*$AH33)-SUM($HM33:IC33)-SUM($CW33:DM33)))</f>
        <v>0</v>
      </c>
      <c r="JH33" s="141">
        <f>IF(ISBLANK($A33),,IF($AN33="Não",0,(SUM($AO33:BF33)*$AH33)-SUM($HM33:ID33)-SUM($CW33:DN33)))</f>
        <v>0</v>
      </c>
      <c r="JI33" s="141">
        <f>IF(ISBLANK($A33),,IF($AN33="Não",0,(SUM($AO33:BG33)*$AH33)-SUM($HM33:IE33)-SUM($CW33:DO33)))</f>
        <v>0</v>
      </c>
      <c r="JJ33" s="141">
        <f>IF(ISBLANK($A33),,IF($AN33="Não",0,(SUM($AO33:BH33)*$AH33)-SUM($HM33:IF33)-SUM($CW33:DP33)))</f>
        <v>0</v>
      </c>
      <c r="JK33" s="141">
        <f>IF(ISBLANK($A33),,IF($AN33="Não",0,(SUM($AO33:BI33)*$AH33)-SUM($HM33:IG33)-SUM($CW33:DQ33)))</f>
        <v>0</v>
      </c>
      <c r="JL33" s="141">
        <f>IF(ISBLANK($A33),,IF($AN33="Não",0,(SUM($AO33:BJ33)*$AH33)-SUM($HM33:IH33)-SUM($CW33:DR33)))</f>
        <v>0</v>
      </c>
      <c r="JM33" s="141">
        <f>IF(ISBLANK($A33),,IF($AN33="Não",0,(SUM($AO33:BK33)*$AH33)-SUM($HM33:II33)-SUM($CW33:DS33)))</f>
        <v>0</v>
      </c>
      <c r="JN33" s="141">
        <f>IF(ISBLANK($A33),,IF($AN33="Não",0,(SUM($AO33:BL33)*$AH33)-SUM($HM33:IJ33)-SUM($CW33:DT33)))</f>
        <v>0</v>
      </c>
      <c r="JO33" s="141">
        <f>IF(ISBLANK($A33),,IF($AN33="Não",0,(SUM($AO33:BM33)*$AH33)-SUM($HM33:IK33)-SUM($CW33:DU33)))</f>
        <v>0</v>
      </c>
      <c r="JP33" s="141">
        <f>IF(ISBLANK($A33),,IF($AN33="Não",0,(SUM($AO33:BN33)*$AH33)-SUM($HM33:IL33)-SUM($CW33:DV33)))</f>
        <v>0</v>
      </c>
      <c r="JQ33" s="141">
        <f>IF(ISBLANK($A33),,IF($AN33="Não",0,(SUM($AO33:BO33)*$AH33)-SUM($HM33:IM33)-SUM($CW33:DW33)))</f>
        <v>0</v>
      </c>
      <c r="JR33" s="141">
        <f>IF(ISBLANK($A33),,IF($AN33="Não",0,(SUM($AO33:BP33)*$AH33)-SUM($HM33:IN33)-SUM($CW33:DX33)))</f>
        <v>0</v>
      </c>
      <c r="JS33" s="141">
        <f>IF(ISBLANK($A33),,IF($AN33="Não",0,(SUM($AO33:BQ33)*$AH33)-SUM($HM33:IO33)-SUM($CW33:DY33)))</f>
        <v>0</v>
      </c>
      <c r="JT33" s="141">
        <f>IF(ISBLANK($A33),,IF($AN33="Não",0,(SUM($AO33:BR33)*$AH33)-SUM($HM33:IP33)-SUM($CW33:DZ33)))</f>
        <v>0</v>
      </c>
    </row>
    <row r="34" spans="1:280" ht="15.75" customHeight="1">
      <c r="A34" s="129" t="s">
        <v>367</v>
      </c>
      <c r="B34" s="129" t="s">
        <v>209</v>
      </c>
      <c r="C34" s="138" t="s">
        <v>79</v>
      </c>
      <c r="D34" s="139">
        <v>125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607">
        <f t="shared" si="0"/>
        <v>44</v>
      </c>
      <c r="AI34" s="608">
        <f t="shared" si="1"/>
        <v>30</v>
      </c>
      <c r="AJ34" s="609">
        <f t="shared" si="2"/>
        <v>1</v>
      </c>
      <c r="AK34" s="610" t="str">
        <f t="shared" si="3"/>
        <v>Infraestrutura</v>
      </c>
      <c r="AL34" s="609">
        <f t="shared" si="4"/>
        <v>0.05</v>
      </c>
      <c r="AM34" s="611" t="str">
        <f t="shared" si="5"/>
        <v>Sim</v>
      </c>
      <c r="AN34" s="611" t="str">
        <f t="shared" si="6"/>
        <v>Não</v>
      </c>
      <c r="AO34" s="140">
        <f t="array" ref="AO34">IF(ISBLANK($A34),0,IF(OR(AO$5-$AI34&lt;=0,$AM34="Não"),D34,D34+INDEX($AO$6:$BR$176,ROW()-5,COLUMN()-40-$AI34)))*IF($B34="Operacional",IFERROR(VLOOKUP($C34,SN_UGC,28,0),0),1)</f>
        <v>125</v>
      </c>
      <c r="AP34" s="140">
        <f t="array" ref="AP34">IF(ISBLANK($A34),0,IF(OR(AP$5-$AI34&lt;=0,$AM34="Não"),E34,E34+INDEX($AO$6:$BR$176,ROW()-5,COLUMN()-40-$AI34)))*IF($B34="Operacional",IFERROR(VLOOKUP($C34,SN_UGC,28,0),0),1)</f>
        <v>0</v>
      </c>
      <c r="AQ34" s="140">
        <f t="array" ref="AQ34">IF(ISBLANK($A34),0,IF(OR(AQ$5-$AI34&lt;=0,$AM34="Não"),F34,F34+INDEX($AO$6:$BR$176,ROW()-5,COLUMN()-40-$AI34)))*IF($B34="Operacional",IFERROR(VLOOKUP($C34,SN_UGC,28,0),0),1)</f>
        <v>0</v>
      </c>
      <c r="AR34" s="140">
        <f t="array" ref="AR34">IF(ISBLANK($A34),0,IF(OR(AR$5-$AI34&lt;=0,$AM34="Não"),G34,G34+INDEX($AO$6:$BR$176,ROW()-5,COLUMN()-40-$AI34)))*IF($B34="Operacional",IFERROR(VLOOKUP($C34,SN_UGC,28,0),0),1)</f>
        <v>0</v>
      </c>
      <c r="AS34" s="140">
        <f t="array" ref="AS34">IF(ISBLANK($A34),0,IF(OR(AS$5-$AI34&lt;=0,$AM34="Não"),H34,H34+INDEX($AO$6:$BR$176,ROW()-5,COLUMN()-40-$AI34)))*IF($B34="Operacional",IFERROR(VLOOKUP($C34,SN_UGC,28,0),0),1)</f>
        <v>0</v>
      </c>
      <c r="AT34" s="140">
        <f t="array" ref="AT34">IF(ISBLANK($A34),0,IF(OR(AT$5-$AI34&lt;=0,$AM34="Não"),I34,I34+INDEX($AO$6:$BR$176,ROW()-5,COLUMN()-40-$AI34)))*IF($B34="Operacional",IFERROR(VLOOKUP($C34,SN_UGC,28,0),0),1)</f>
        <v>0</v>
      </c>
      <c r="AU34" s="140">
        <f t="array" ref="AU34">IF(ISBLANK($A34),0,IF(OR(AU$5-$AI34&lt;=0,$AM34="Não"),J34,J34+INDEX($AO$6:$BR$176,ROW()-5,COLUMN()-40-$AI34)))*IF($B34="Operacional",IFERROR(VLOOKUP($C34,SN_UGC,28,0),0),1)</f>
        <v>0</v>
      </c>
      <c r="AV34" s="140">
        <f t="array" ref="AV34">IF(ISBLANK($A34),0,IF(OR(AV$5-$AI34&lt;=0,$AM34="Não"),K34,K34+INDEX($AO$6:$BR$176,ROW()-5,COLUMN()-40-$AI34)))*IF($B34="Operacional",IFERROR(VLOOKUP($C34,SN_UGC,28,0),0),1)</f>
        <v>0</v>
      </c>
      <c r="AW34" s="140">
        <f t="array" ref="AW34">IF(ISBLANK($A34),0,IF(OR(AW$5-$AI34&lt;=0,$AM34="Não"),L34,L34+INDEX($AO$6:$BR$176,ROW()-5,COLUMN()-40-$AI34)))*IF($B34="Operacional",IFERROR(VLOOKUP($C34,SN_UGC,28,0),0),1)</f>
        <v>0</v>
      </c>
      <c r="AX34" s="140">
        <f t="array" ref="AX34">IF(ISBLANK($A34),0,IF(OR(AX$5-$AI34&lt;=0,$AM34="Não"),M34,M34+INDEX($AO$6:$BR$176,ROW()-5,COLUMN()-40-$AI34)))*IF($B34="Operacional",IFERROR(VLOOKUP($C34,SN_UGC,28,0),0),1)</f>
        <v>0</v>
      </c>
      <c r="AY34" s="140">
        <f t="array" ref="AY34">IF(ISBLANK($A34),0,IF(OR(AY$5-$AI34&lt;=0,$AM34="Não"),N34,N34+INDEX($AO$6:$BR$176,ROW()-5,COLUMN()-40-$AI34)))*IF($B34="Operacional",IFERROR(VLOOKUP($C34,SN_UGC,28,0),0),1)</f>
        <v>0</v>
      </c>
      <c r="AZ34" s="140">
        <f t="array" ref="AZ34">IF(ISBLANK($A34),0,IF(OR(AZ$5-$AI34&lt;=0,$AM34="Não"),O34,O34+INDEX($AO$6:$BR$176,ROW()-5,COLUMN()-40-$AI34)))*IF($B34="Operacional",IFERROR(VLOOKUP($C34,SN_UGC,28,0),0),1)</f>
        <v>0</v>
      </c>
      <c r="BA34" s="140">
        <f t="array" ref="BA34">IF(ISBLANK($A34),0,IF(OR(BA$5-$AI34&lt;=0,$AM34="Não"),P34,P34+INDEX($AO$6:$BR$176,ROW()-5,COLUMN()-40-$AI34)))*IF($B34="Operacional",IFERROR(VLOOKUP($C34,SN_UGC,28,0),0),1)</f>
        <v>0</v>
      </c>
      <c r="BB34" s="140">
        <f t="array" ref="BB34">IF(ISBLANK($A34),0,IF(OR(BB$5-$AI34&lt;=0,$AM34="Não"),Q34,Q34+INDEX($AO$6:$BR$176,ROW()-5,COLUMN()-40-$AI34)))*IF($B34="Operacional",IFERROR(VLOOKUP($C34,SN_UGC,28,0),0),1)</f>
        <v>0</v>
      </c>
      <c r="BC34" s="140">
        <f t="array" ref="BC34">IF(ISBLANK($A34),0,IF(OR(BC$5-$AI34&lt;=0,$AM34="Não"),R34,R34+INDEX($AO$6:$BR$176,ROW()-5,COLUMN()-40-$AI34)))*IF($B34="Operacional",IFERROR(VLOOKUP($C34,SN_UGC,28,0),0),1)</f>
        <v>0</v>
      </c>
      <c r="BD34" s="140">
        <f t="array" ref="BD34">IF(ISBLANK($A34),0,IF(OR(BD$5-$AI34&lt;=0,$AM34="Não"),S34,S34+INDEX($AO$6:$BR$176,ROW()-5,COLUMN()-40-$AI34)))*IF($B34="Operacional",IFERROR(VLOOKUP($C34,SN_UGC,28,0),0),1)</f>
        <v>0</v>
      </c>
      <c r="BE34" s="140">
        <f t="array" ref="BE34">IF(ISBLANK($A34),0,IF(OR(BE$5-$AI34&lt;=0,$AM34="Não"),T34,T34+INDEX($AO$6:$BR$176,ROW()-5,COLUMN()-40-$AI34)))*IF($B34="Operacional",IFERROR(VLOOKUP($C34,SN_UGC,28,0),0),1)</f>
        <v>0</v>
      </c>
      <c r="BF34" s="140">
        <f t="array" ref="BF34">IF(ISBLANK($A34),0,IF(OR(BF$5-$AI34&lt;=0,$AM34="Não"),U34,U34+INDEX($AO$6:$BR$176,ROW()-5,COLUMN()-40-$AI34)))*IF($B34="Operacional",IFERROR(VLOOKUP($C34,SN_UGC,28,0),0),1)</f>
        <v>0</v>
      </c>
      <c r="BG34" s="140">
        <f t="array" ref="BG34">IF(ISBLANK($A34),0,IF(OR(BG$5-$AI34&lt;=0,$AM34="Não"),V34,V34+INDEX($AO$6:$BR$176,ROW()-5,COLUMN()-40-$AI34)))*IF($B34="Operacional",IFERROR(VLOOKUP($C34,SN_UGC,28,0),0),1)</f>
        <v>0</v>
      </c>
      <c r="BH34" s="140">
        <f t="array" ref="BH34">IF(ISBLANK($A34),0,IF(OR(BH$5-$AI34&lt;=0,$AM34="Não"),W34,W34+INDEX($AO$6:$BR$176,ROW()-5,COLUMN()-40-$AI34)))*IF($B34="Operacional",IFERROR(VLOOKUP($C34,SN_UGC,28,0),0),1)</f>
        <v>0</v>
      </c>
      <c r="BI34" s="140">
        <f t="array" ref="BI34">IF(ISBLANK($A34),0,IF(OR(BI$5-$AI34&lt;=0,$AM34="Não"),X34,X34+INDEX($AO$6:$BR$176,ROW()-5,COLUMN()-40-$AI34)))*IF($B34="Operacional",IFERROR(VLOOKUP($C34,SN_UGC,28,0),0),1)</f>
        <v>0</v>
      </c>
      <c r="BJ34" s="140">
        <f t="array" ref="BJ34">IF(ISBLANK($A34),0,IF(OR(BJ$5-$AI34&lt;=0,$AM34="Não"),Y34,Y34+INDEX($AO$6:$BR$176,ROW()-5,COLUMN()-40-$AI34)))*IF($B34="Operacional",IFERROR(VLOOKUP($C34,SN_UGC,28,0),0),1)</f>
        <v>0</v>
      </c>
      <c r="BK34" s="140">
        <f t="array" ref="BK34">IF(ISBLANK($A34),0,IF(OR(BK$5-$AI34&lt;=0,$AM34="Não"),Z34,Z34+INDEX($AO$6:$BR$176,ROW()-5,COLUMN()-40-$AI34)))*IF($B34="Operacional",IFERROR(VLOOKUP($C34,SN_UGC,28,0),0),1)</f>
        <v>0</v>
      </c>
      <c r="BL34" s="140">
        <f t="array" ref="BL34">IF(ISBLANK($A34),0,IF(OR(BL$5-$AI34&lt;=0,$AM34="Não"),AA34,AA34+INDEX($AO$6:$BR$176,ROW()-5,COLUMN()-40-$AI34)))*IF($B34="Operacional",IFERROR(VLOOKUP($C34,SN_UGC,28,0),0),1)</f>
        <v>0</v>
      </c>
      <c r="BM34" s="140">
        <f t="array" ref="BM34">IF(ISBLANK($A34),0,IF(OR(BM$5-$AI34&lt;=0,$AM34="Não"),AB34,AB34+INDEX($AO$6:$BR$176,ROW()-5,COLUMN()-40-$AI34)))*IF($B34="Operacional",IFERROR(VLOOKUP($C34,SN_UGC,28,0),0),1)</f>
        <v>0</v>
      </c>
      <c r="BN34" s="140">
        <f t="array" ref="BN34">IF(ISBLANK($A34),0,IF(OR(BN$5-$AI34&lt;=0,$AM34="Não"),AC34,AC34+INDEX($AO$6:$BR$176,ROW()-5,COLUMN()-40-$AI34)))*IF($B34="Operacional",IFERROR(VLOOKUP($C34,SN_UGC,28,0),0),1)</f>
        <v>0</v>
      </c>
      <c r="BO34" s="140">
        <f t="array" ref="BO34">IF(ISBLANK($A34),0,IF(OR(BO$5-$AI34&lt;=0,$AM34="Não"),AD34,AD34+INDEX($AO$6:$BR$176,ROW()-5,COLUMN()-40-$AI34)))*IF($B34="Operacional",IFERROR(VLOOKUP($C34,SN_UGC,28,0),0),1)</f>
        <v>0</v>
      </c>
      <c r="BP34" s="140">
        <f t="array" ref="BP34">IF(ISBLANK($A34),0,IF(OR(BP$5-$AI34&lt;=0,$AM34="Não"),AE34,AE34+INDEX($AO$6:$BR$176,ROW()-5,COLUMN()-40-$AI34)))*IF($B34="Operacional",IFERROR(VLOOKUP($C34,SN_UGC,28,0),0),1)</f>
        <v>0</v>
      </c>
      <c r="BQ34" s="140">
        <f t="array" ref="BQ34">IF(ISBLANK($A34),0,IF(OR(BQ$5-$AI34&lt;=0,$AM34="Não"),AF34,AF34+INDEX($AO$6:$BR$176,ROW()-5,COLUMN()-40-$AI34)))*IF($B34="Operacional",IFERROR(VLOOKUP($C34,SN_UGC,28,0),0),1)</f>
        <v>0</v>
      </c>
      <c r="BR34" s="140">
        <f t="array" ref="BR34">IF(ISBLANK($A34),0,IF(OR(BR$5-$AI34&lt;=0,$AM34="Não"),AG34,AG34+INDEX($AO$6:$BR$176,ROW()-5,COLUMN()-40-$AI34)))*IF($B34="Operacional",IFERROR(VLOOKUP($C34,SN_UGC,28,0),0),1)</f>
        <v>0</v>
      </c>
      <c r="BS34" s="141">
        <f t="shared" ref="BS34:CV34" si="149">IF(ISBLANK($A34),0,$AH34*AO34)</f>
        <v>5500</v>
      </c>
      <c r="BT34" s="141">
        <f t="shared" si="149"/>
        <v>0</v>
      </c>
      <c r="BU34" s="141">
        <f t="shared" si="149"/>
        <v>0</v>
      </c>
      <c r="BV34" s="141">
        <f t="shared" si="149"/>
        <v>0</v>
      </c>
      <c r="BW34" s="141">
        <f t="shared" si="149"/>
        <v>0</v>
      </c>
      <c r="BX34" s="141">
        <f t="shared" si="149"/>
        <v>0</v>
      </c>
      <c r="BY34" s="141">
        <f t="shared" si="149"/>
        <v>0</v>
      </c>
      <c r="BZ34" s="141">
        <f t="shared" si="149"/>
        <v>0</v>
      </c>
      <c r="CA34" s="141">
        <f t="shared" si="149"/>
        <v>0</v>
      </c>
      <c r="CB34" s="141">
        <f t="shared" si="149"/>
        <v>0</v>
      </c>
      <c r="CC34" s="141">
        <f t="shared" si="149"/>
        <v>0</v>
      </c>
      <c r="CD34" s="141">
        <f t="shared" si="149"/>
        <v>0</v>
      </c>
      <c r="CE34" s="141">
        <f t="shared" si="149"/>
        <v>0</v>
      </c>
      <c r="CF34" s="141">
        <f t="shared" si="149"/>
        <v>0</v>
      </c>
      <c r="CG34" s="141">
        <f t="shared" si="149"/>
        <v>0</v>
      </c>
      <c r="CH34" s="141">
        <f t="shared" si="149"/>
        <v>0</v>
      </c>
      <c r="CI34" s="141">
        <f t="shared" si="149"/>
        <v>0</v>
      </c>
      <c r="CJ34" s="141">
        <f t="shared" si="149"/>
        <v>0</v>
      </c>
      <c r="CK34" s="141">
        <f t="shared" si="149"/>
        <v>0</v>
      </c>
      <c r="CL34" s="141">
        <f t="shared" si="149"/>
        <v>0</v>
      </c>
      <c r="CM34" s="141">
        <f t="shared" si="149"/>
        <v>0</v>
      </c>
      <c r="CN34" s="141">
        <f t="shared" si="149"/>
        <v>0</v>
      </c>
      <c r="CO34" s="141">
        <f t="shared" si="149"/>
        <v>0</v>
      </c>
      <c r="CP34" s="141">
        <f t="shared" si="149"/>
        <v>0</v>
      </c>
      <c r="CQ34" s="141">
        <f t="shared" si="149"/>
        <v>0</v>
      </c>
      <c r="CR34" s="141">
        <f t="shared" si="149"/>
        <v>0</v>
      </c>
      <c r="CS34" s="141">
        <f t="shared" si="149"/>
        <v>0</v>
      </c>
      <c r="CT34" s="141">
        <f t="shared" si="149"/>
        <v>0</v>
      </c>
      <c r="CU34" s="141">
        <f t="shared" si="149"/>
        <v>0</v>
      </c>
      <c r="CV34" s="141">
        <f t="shared" si="149"/>
        <v>0</v>
      </c>
      <c r="CW34" s="142">
        <f t="shared" ref="CW34:DZ34" si="150">EA34*$AH34*$AJ34</f>
        <v>0</v>
      </c>
      <c r="CX34" s="142">
        <f t="shared" si="150"/>
        <v>0</v>
      </c>
      <c r="CY34" s="142">
        <f t="shared" si="150"/>
        <v>0</v>
      </c>
      <c r="CZ34" s="142">
        <f t="shared" si="150"/>
        <v>0</v>
      </c>
      <c r="DA34" s="142">
        <f t="shared" si="150"/>
        <v>0</v>
      </c>
      <c r="DB34" s="142">
        <f t="shared" si="150"/>
        <v>0</v>
      </c>
      <c r="DC34" s="142">
        <f t="shared" si="150"/>
        <v>0</v>
      </c>
      <c r="DD34" s="142">
        <f t="shared" si="150"/>
        <v>0</v>
      </c>
      <c r="DE34" s="142">
        <f t="shared" si="150"/>
        <v>0</v>
      </c>
      <c r="DF34" s="142">
        <f t="shared" si="150"/>
        <v>0</v>
      </c>
      <c r="DG34" s="142">
        <f t="shared" si="150"/>
        <v>0</v>
      </c>
      <c r="DH34" s="142">
        <f t="shared" si="150"/>
        <v>0</v>
      </c>
      <c r="DI34" s="142">
        <f t="shared" si="150"/>
        <v>0</v>
      </c>
      <c r="DJ34" s="142">
        <f t="shared" si="150"/>
        <v>0</v>
      </c>
      <c r="DK34" s="142">
        <f t="shared" si="150"/>
        <v>0</v>
      </c>
      <c r="DL34" s="142">
        <f t="shared" si="150"/>
        <v>0</v>
      </c>
      <c r="DM34" s="142">
        <f t="shared" si="150"/>
        <v>0</v>
      </c>
      <c r="DN34" s="142">
        <f t="shared" si="150"/>
        <v>0</v>
      </c>
      <c r="DO34" s="142">
        <f t="shared" si="150"/>
        <v>0</v>
      </c>
      <c r="DP34" s="142">
        <f t="shared" si="150"/>
        <v>0</v>
      </c>
      <c r="DQ34" s="142">
        <f t="shared" si="150"/>
        <v>0</v>
      </c>
      <c r="DR34" s="142">
        <f t="shared" si="150"/>
        <v>0</v>
      </c>
      <c r="DS34" s="142">
        <f t="shared" si="150"/>
        <v>0</v>
      </c>
      <c r="DT34" s="142">
        <f t="shared" si="150"/>
        <v>0</v>
      </c>
      <c r="DU34" s="142">
        <f t="shared" si="150"/>
        <v>0</v>
      </c>
      <c r="DV34" s="142">
        <f t="shared" si="150"/>
        <v>0</v>
      </c>
      <c r="DW34" s="142">
        <f t="shared" si="150"/>
        <v>0</v>
      </c>
      <c r="DX34" s="142">
        <f t="shared" si="150"/>
        <v>0</v>
      </c>
      <c r="DY34" s="142">
        <f t="shared" si="150"/>
        <v>0</v>
      </c>
      <c r="DZ34" s="142">
        <f t="shared" si="150"/>
        <v>0</v>
      </c>
      <c r="EA34" s="143">
        <f t="shared" si="9"/>
        <v>0</v>
      </c>
      <c r="EB34" s="143">
        <f t="shared" si="10"/>
        <v>0</v>
      </c>
      <c r="EC34" s="143">
        <f t="shared" si="11"/>
        <v>0</v>
      </c>
      <c r="ED34" s="143">
        <f t="shared" si="12"/>
        <v>0</v>
      </c>
      <c r="EE34" s="143">
        <f t="shared" si="13"/>
        <v>0</v>
      </c>
      <c r="EF34" s="143">
        <f t="shared" si="14"/>
        <v>0</v>
      </c>
      <c r="EG34" s="143">
        <f t="shared" si="15"/>
        <v>0</v>
      </c>
      <c r="EH34" s="143">
        <f t="shared" si="16"/>
        <v>0</v>
      </c>
      <c r="EI34" s="143">
        <f t="shared" si="17"/>
        <v>0</v>
      </c>
      <c r="EJ34" s="143">
        <f t="shared" si="18"/>
        <v>0</v>
      </c>
      <c r="EK34" s="143">
        <f t="shared" si="19"/>
        <v>0</v>
      </c>
      <c r="EL34" s="143">
        <f t="shared" si="20"/>
        <v>0</v>
      </c>
      <c r="EM34" s="143">
        <f t="shared" si="21"/>
        <v>0</v>
      </c>
      <c r="EN34" s="143">
        <f t="shared" si="22"/>
        <v>0</v>
      </c>
      <c r="EO34" s="143">
        <f t="shared" si="23"/>
        <v>0</v>
      </c>
      <c r="EP34" s="143">
        <f t="shared" si="24"/>
        <v>0</v>
      </c>
      <c r="EQ34" s="143">
        <f t="shared" si="25"/>
        <v>0</v>
      </c>
      <c r="ER34" s="143">
        <f t="shared" si="26"/>
        <v>0</v>
      </c>
      <c r="ES34" s="143">
        <f t="shared" si="27"/>
        <v>0</v>
      </c>
      <c r="ET34" s="143">
        <f t="shared" si="28"/>
        <v>0</v>
      </c>
      <c r="EU34" s="143">
        <f t="shared" si="29"/>
        <v>0</v>
      </c>
      <c r="EV34" s="143">
        <f t="shared" si="30"/>
        <v>0</v>
      </c>
      <c r="EW34" s="143">
        <f t="shared" si="31"/>
        <v>0</v>
      </c>
      <c r="EX34" s="143">
        <f t="shared" si="32"/>
        <v>0</v>
      </c>
      <c r="EY34" s="143">
        <f t="shared" si="33"/>
        <v>0</v>
      </c>
      <c r="EZ34" s="143">
        <f t="shared" si="34"/>
        <v>0</v>
      </c>
      <c r="FA34" s="143">
        <f t="shared" si="35"/>
        <v>0</v>
      </c>
      <c r="FB34" s="143">
        <f t="shared" si="36"/>
        <v>0</v>
      </c>
      <c r="FC34" s="143">
        <f t="shared" si="37"/>
        <v>0</v>
      </c>
      <c r="FD34" s="143">
        <f t="shared" si="38"/>
        <v>0</v>
      </c>
      <c r="FE34" s="140">
        <f>SUM($D34:D34)*IF($B34="Operacional",IFERROR(VLOOKUP($C34,SN_UGC,28,0),0),1)</f>
        <v>125</v>
      </c>
      <c r="FF34" s="140">
        <f>SUM($D34:E34)*IF($B34="Operacional",IFERROR(VLOOKUP($C34,SN_UGC,28,0),0),1)</f>
        <v>125</v>
      </c>
      <c r="FG34" s="140">
        <f>SUM($D34:F34)*IF($B34="Operacional",IFERROR(VLOOKUP($C34,SN_UGC,28,0),0),1)</f>
        <v>125</v>
      </c>
      <c r="FH34" s="140">
        <f>SUM($D34:G34)*IF($B34="Operacional",IFERROR(VLOOKUP($C34,SN_UGC,28,0),0),1)</f>
        <v>125</v>
      </c>
      <c r="FI34" s="140">
        <f>SUM($D34:H34)*IF($B34="Operacional",IFERROR(VLOOKUP($C34,SN_UGC,28,0),0),1)</f>
        <v>125</v>
      </c>
      <c r="FJ34" s="140">
        <f>SUM($D34:I34)*IF($B34="Operacional",IFERROR(VLOOKUP($C34,SN_UGC,28,0),0),1)</f>
        <v>125</v>
      </c>
      <c r="FK34" s="140">
        <f>SUM($D34:J34)*IF($B34="Operacional",IFERROR(VLOOKUP($C34,SN_UGC,28,0),0),1)</f>
        <v>125</v>
      </c>
      <c r="FL34" s="140">
        <f>SUM($D34:K34)*IF($B34="Operacional",IFERROR(VLOOKUP($C34,SN_UGC,28,0),0),1)</f>
        <v>125</v>
      </c>
      <c r="FM34" s="140">
        <f>SUM($D34:L34)*IF($B34="Operacional",IFERROR(VLOOKUP($C34,SN_UGC,28,0),0),1)</f>
        <v>125</v>
      </c>
      <c r="FN34" s="140">
        <f>SUM($D34:M34)*IF($B34="Operacional",IFERROR(VLOOKUP($C34,SN_UGC,28,0),0),1)</f>
        <v>125</v>
      </c>
      <c r="FO34" s="140">
        <f>SUM($D34:N34)*IF($B34="Operacional",IFERROR(VLOOKUP($C34,SN_UGC,28,0),0),1)</f>
        <v>125</v>
      </c>
      <c r="FP34" s="140">
        <f>SUM($D34:O34)*IF($B34="Operacional",IFERROR(VLOOKUP($C34,SN_UGC,28,0),0),1)</f>
        <v>125</v>
      </c>
      <c r="FQ34" s="140">
        <f>SUM($D34:P34)*IF($B34="Operacional",IFERROR(VLOOKUP($C34,SN_UGC,28,0),0),1)</f>
        <v>125</v>
      </c>
      <c r="FR34" s="140">
        <f>SUM($D34:Q34)*IF($B34="Operacional",IFERROR(VLOOKUP($C34,SN_UGC,28,0),0),1)</f>
        <v>125</v>
      </c>
      <c r="FS34" s="140">
        <f>SUM($D34:R34)*IF($B34="Operacional",IFERROR(VLOOKUP($C34,SN_UGC,28,0),0),1)</f>
        <v>125</v>
      </c>
      <c r="FT34" s="140">
        <f>SUM($D34:S34)*IF($B34="Operacional",IFERROR(VLOOKUP($C34,SN_UGC,28,0),0),1)</f>
        <v>125</v>
      </c>
      <c r="FU34" s="140">
        <f>SUM($D34:T34)*IF($B34="Operacional",IFERROR(VLOOKUP($C34,SN_UGC,28,0),0),1)</f>
        <v>125</v>
      </c>
      <c r="FV34" s="140">
        <f>SUM($D34:U34)*IF($B34="Operacional",IFERROR(VLOOKUP($C34,SN_UGC,28,0),0),1)</f>
        <v>125</v>
      </c>
      <c r="FW34" s="140">
        <f>SUM($D34:V34)*IF($B34="Operacional",IFERROR(VLOOKUP($C34,SN_UGC,28,0),0),1)</f>
        <v>125</v>
      </c>
      <c r="FX34" s="140">
        <f>SUM($D34:W34)*IF($B34="Operacional",IFERROR(VLOOKUP($C34,SN_UGC,28,0),0),1)</f>
        <v>125</v>
      </c>
      <c r="FY34" s="140">
        <f>SUM($D34:X34)*IF($B34="Operacional",IFERROR(VLOOKUP($C34,SN_UGC,28,0),0),1)</f>
        <v>125</v>
      </c>
      <c r="FZ34" s="140">
        <f>SUM($D34:Y34)*IF($B34="Operacional",IFERROR(VLOOKUP($C34,SN_UGC,28,0),0),1)</f>
        <v>125</v>
      </c>
      <c r="GA34" s="140">
        <f>SUM($D34:Z34)*IF($B34="Operacional",IFERROR(VLOOKUP($C34,SN_UGC,28,0),0),1)</f>
        <v>125</v>
      </c>
      <c r="GB34" s="140">
        <f>SUM($D34:AA34)*IF($B34="Operacional",IFERROR(VLOOKUP($C34,SN_UGC,28,0),0),1)</f>
        <v>125</v>
      </c>
      <c r="GC34" s="140">
        <f>SUM($D34:AB34)*IF($B34="Operacional",IFERROR(VLOOKUP($C34,SN_UGC,28,0),0),1)</f>
        <v>125</v>
      </c>
      <c r="GD34" s="140">
        <f>SUM($D34:AC34)*IF($B34="Operacional",IFERROR(VLOOKUP($C34,SN_UGC,28,0),0),1)</f>
        <v>125</v>
      </c>
      <c r="GE34" s="140">
        <f>SUM($D34:AD34)*IF($B34="Operacional",IFERROR(VLOOKUP($C34,SN_UGC,28,0),0),1)</f>
        <v>125</v>
      </c>
      <c r="GF34" s="140">
        <f>SUM($D34:AE34)*IF($B34="Operacional",IFERROR(VLOOKUP($C34,SN_UGC,28,0),0),1)</f>
        <v>125</v>
      </c>
      <c r="GG34" s="140">
        <f>SUM($D34:AF34)*IF($B34="Operacional",IFERROR(VLOOKUP($C34,SN_UGC,28,0),0),1)</f>
        <v>125</v>
      </c>
      <c r="GH34" s="140">
        <f>SUM($D34:AG34)*IF($B34="Operacional",IFERROR(VLOOKUP($C34,SN_UGC,28,0),0),1)</f>
        <v>125</v>
      </c>
      <c r="GI34" s="141">
        <f t="shared" ref="GI34:HL34" si="151">FE34*$AH34*$AL34</f>
        <v>275</v>
      </c>
      <c r="GJ34" s="141">
        <f t="shared" si="151"/>
        <v>275</v>
      </c>
      <c r="GK34" s="141">
        <f t="shared" si="151"/>
        <v>275</v>
      </c>
      <c r="GL34" s="141">
        <f t="shared" si="151"/>
        <v>275</v>
      </c>
      <c r="GM34" s="141">
        <f t="shared" si="151"/>
        <v>275</v>
      </c>
      <c r="GN34" s="141">
        <f t="shared" si="151"/>
        <v>275</v>
      </c>
      <c r="GO34" s="141">
        <f t="shared" si="151"/>
        <v>275</v>
      </c>
      <c r="GP34" s="141">
        <f t="shared" si="151"/>
        <v>275</v>
      </c>
      <c r="GQ34" s="141">
        <f t="shared" si="151"/>
        <v>275</v>
      </c>
      <c r="GR34" s="141">
        <f t="shared" si="151"/>
        <v>275</v>
      </c>
      <c r="GS34" s="141">
        <f t="shared" si="151"/>
        <v>275</v>
      </c>
      <c r="GT34" s="141">
        <f t="shared" si="151"/>
        <v>275</v>
      </c>
      <c r="GU34" s="141">
        <f t="shared" si="151"/>
        <v>275</v>
      </c>
      <c r="GV34" s="141">
        <f t="shared" si="151"/>
        <v>275</v>
      </c>
      <c r="GW34" s="141">
        <f t="shared" si="151"/>
        <v>275</v>
      </c>
      <c r="GX34" s="141">
        <f t="shared" si="151"/>
        <v>275</v>
      </c>
      <c r="GY34" s="141">
        <f t="shared" si="151"/>
        <v>275</v>
      </c>
      <c r="GZ34" s="141">
        <f t="shared" si="151"/>
        <v>275</v>
      </c>
      <c r="HA34" s="141">
        <f t="shared" si="151"/>
        <v>275</v>
      </c>
      <c r="HB34" s="141">
        <f t="shared" si="151"/>
        <v>275</v>
      </c>
      <c r="HC34" s="141">
        <f t="shared" si="151"/>
        <v>275</v>
      </c>
      <c r="HD34" s="141">
        <f t="shared" si="151"/>
        <v>275</v>
      </c>
      <c r="HE34" s="141">
        <f t="shared" si="151"/>
        <v>275</v>
      </c>
      <c r="HF34" s="141">
        <f t="shared" si="151"/>
        <v>275</v>
      </c>
      <c r="HG34" s="141">
        <f t="shared" si="151"/>
        <v>275</v>
      </c>
      <c r="HH34" s="141">
        <f t="shared" si="151"/>
        <v>275</v>
      </c>
      <c r="HI34" s="141">
        <f t="shared" si="151"/>
        <v>275</v>
      </c>
      <c r="HJ34" s="141">
        <f t="shared" si="151"/>
        <v>275</v>
      </c>
      <c r="HK34" s="141">
        <f t="shared" si="151"/>
        <v>275</v>
      </c>
      <c r="HL34" s="141">
        <f t="shared" si="151"/>
        <v>275</v>
      </c>
      <c r="HM34" s="142">
        <f t="shared" ref="HM34:IP34" si="152">IF(ISBLANK($A34),,FE34*($AH34-($AH34*$AJ34))/$AI34)</f>
        <v>0</v>
      </c>
      <c r="HN34" s="142">
        <f t="shared" si="152"/>
        <v>0</v>
      </c>
      <c r="HO34" s="142">
        <f t="shared" si="152"/>
        <v>0</v>
      </c>
      <c r="HP34" s="142">
        <f t="shared" si="152"/>
        <v>0</v>
      </c>
      <c r="HQ34" s="142">
        <f t="shared" si="152"/>
        <v>0</v>
      </c>
      <c r="HR34" s="142">
        <f t="shared" si="152"/>
        <v>0</v>
      </c>
      <c r="HS34" s="142">
        <f t="shared" si="152"/>
        <v>0</v>
      </c>
      <c r="HT34" s="142">
        <f t="shared" si="152"/>
        <v>0</v>
      </c>
      <c r="HU34" s="142">
        <f t="shared" si="152"/>
        <v>0</v>
      </c>
      <c r="HV34" s="142">
        <f t="shared" si="152"/>
        <v>0</v>
      </c>
      <c r="HW34" s="142">
        <f t="shared" si="152"/>
        <v>0</v>
      </c>
      <c r="HX34" s="142">
        <f t="shared" si="152"/>
        <v>0</v>
      </c>
      <c r="HY34" s="142">
        <f t="shared" si="152"/>
        <v>0</v>
      </c>
      <c r="HZ34" s="142">
        <f t="shared" si="152"/>
        <v>0</v>
      </c>
      <c r="IA34" s="142">
        <f t="shared" si="152"/>
        <v>0</v>
      </c>
      <c r="IB34" s="142">
        <f t="shared" si="152"/>
        <v>0</v>
      </c>
      <c r="IC34" s="142">
        <f t="shared" si="152"/>
        <v>0</v>
      </c>
      <c r="ID34" s="142">
        <f t="shared" si="152"/>
        <v>0</v>
      </c>
      <c r="IE34" s="142">
        <f t="shared" si="152"/>
        <v>0</v>
      </c>
      <c r="IF34" s="142">
        <f t="shared" si="152"/>
        <v>0</v>
      </c>
      <c r="IG34" s="142">
        <f t="shared" si="152"/>
        <v>0</v>
      </c>
      <c r="IH34" s="142">
        <f t="shared" si="152"/>
        <v>0</v>
      </c>
      <c r="II34" s="142">
        <f t="shared" si="152"/>
        <v>0</v>
      </c>
      <c r="IJ34" s="142">
        <f t="shared" si="152"/>
        <v>0</v>
      </c>
      <c r="IK34" s="142">
        <f t="shared" si="152"/>
        <v>0</v>
      </c>
      <c r="IL34" s="142">
        <f t="shared" si="152"/>
        <v>0</v>
      </c>
      <c r="IM34" s="142">
        <f t="shared" si="152"/>
        <v>0</v>
      </c>
      <c r="IN34" s="142">
        <f t="shared" si="152"/>
        <v>0</v>
      </c>
      <c r="IO34" s="142">
        <f t="shared" si="152"/>
        <v>0</v>
      </c>
      <c r="IP34" s="142">
        <f t="shared" si="152"/>
        <v>0</v>
      </c>
      <c r="IQ34" s="141">
        <f>IF(ISBLANK($A34),,IF($AN34="Não",0,(SUM($AO34:AO34)*$AH34)-SUM($HM34:HM34)-SUM($CW34:CW34)))</f>
        <v>0</v>
      </c>
      <c r="IR34" s="141">
        <f>IF(ISBLANK($A34),,IF($AN34="Não",0,(SUM($AO34:AP34)*$AH34)-SUM($HM34:HN34)-SUM($CW34:CX34)))</f>
        <v>0</v>
      </c>
      <c r="IS34" s="141">
        <f>IF(ISBLANK($A34),,IF($AN34="Não",0,(SUM($AO34:AQ34)*$AH34)-SUM($HM34:HO34)-SUM($CW34:CY34)))</f>
        <v>0</v>
      </c>
      <c r="IT34" s="141">
        <f>IF(ISBLANK($A34),,IF($AN34="Não",0,(SUM($AO34:AR34)*$AH34)-SUM($HM34:HP34)-SUM($CW34:CZ34)))</f>
        <v>0</v>
      </c>
      <c r="IU34" s="141">
        <f>IF(ISBLANK($A34),,IF($AN34="Não",0,(SUM($AO34:AS34)*$AH34)-SUM($HM34:HQ34)-SUM($CW34:DA34)))</f>
        <v>0</v>
      </c>
      <c r="IV34" s="141">
        <f>IF(ISBLANK($A34),,IF($AN34="Não",0,(SUM($AO34:AT34)*$AH34)-SUM($HM34:HR34)-SUM($CW34:DB34)))</f>
        <v>0</v>
      </c>
      <c r="IW34" s="141">
        <f>IF(ISBLANK($A34),,IF($AN34="Não",0,(SUM($AO34:AU34)*$AH34)-SUM($HM34:HS34)-SUM($CW34:DC34)))</f>
        <v>0</v>
      </c>
      <c r="IX34" s="141">
        <f>IF(ISBLANK($A34),,IF($AN34="Não",0,(SUM($AO34:AV34)*$AH34)-SUM($HM34:HT34)-SUM($CW34:DD34)))</f>
        <v>0</v>
      </c>
      <c r="IY34" s="141">
        <f>IF(ISBLANK($A34),,IF($AN34="Não",0,(SUM($AO34:AW34)*$AH34)-SUM($HM34:HU34)-SUM($CW34:DE34)))</f>
        <v>0</v>
      </c>
      <c r="IZ34" s="141">
        <f>IF(ISBLANK($A34),,IF($AN34="Não",0,(SUM($AO34:AX34)*$AH34)-SUM($HM34:HV34)-SUM($CW34:DF34)))</f>
        <v>0</v>
      </c>
      <c r="JA34" s="141">
        <f>IF(ISBLANK($A34),,IF($AN34="Não",0,(SUM($AO34:AY34)*$AH34)-SUM($HM34:HW34)-SUM($CW34:DG34)))</f>
        <v>0</v>
      </c>
      <c r="JB34" s="141">
        <f>IF(ISBLANK($A34),,IF($AN34="Não",0,(SUM($AO34:AZ34)*$AH34)-SUM($HM34:HX34)-SUM($CW34:DH34)))</f>
        <v>0</v>
      </c>
      <c r="JC34" s="141">
        <f>IF(ISBLANK($A34),,IF($AN34="Não",0,(SUM($AO34:BA34)*$AH34)-SUM($HM34:HY34)-SUM($CW34:DI34)))</f>
        <v>0</v>
      </c>
      <c r="JD34" s="141">
        <f>IF(ISBLANK($A34),,IF($AN34="Não",0,(SUM($AO34:BB34)*$AH34)-SUM($HM34:HZ34)-SUM($CW34:DJ34)))</f>
        <v>0</v>
      </c>
      <c r="JE34" s="141">
        <f>IF(ISBLANK($A34),,IF($AN34="Não",0,(SUM($AO34:BC34)*$AH34)-SUM($HM34:IA34)-SUM($CW34:DK34)))</f>
        <v>0</v>
      </c>
      <c r="JF34" s="141">
        <f>IF(ISBLANK($A34),,IF($AN34="Não",0,(SUM($AO34:BD34)*$AH34)-SUM($HM34:IB34)-SUM($CW34:DL34)))</f>
        <v>0</v>
      </c>
      <c r="JG34" s="141">
        <f>IF(ISBLANK($A34),,IF($AN34="Não",0,(SUM($AO34:BE34)*$AH34)-SUM($HM34:IC34)-SUM($CW34:DM34)))</f>
        <v>0</v>
      </c>
      <c r="JH34" s="141">
        <f>IF(ISBLANK($A34),,IF($AN34="Não",0,(SUM($AO34:BF34)*$AH34)-SUM($HM34:ID34)-SUM($CW34:DN34)))</f>
        <v>0</v>
      </c>
      <c r="JI34" s="141">
        <f>IF(ISBLANK($A34),,IF($AN34="Não",0,(SUM($AO34:BG34)*$AH34)-SUM($HM34:IE34)-SUM($CW34:DO34)))</f>
        <v>0</v>
      </c>
      <c r="JJ34" s="141">
        <f>IF(ISBLANK($A34),,IF($AN34="Não",0,(SUM($AO34:BH34)*$AH34)-SUM($HM34:IF34)-SUM($CW34:DP34)))</f>
        <v>0</v>
      </c>
      <c r="JK34" s="141">
        <f>IF(ISBLANK($A34),,IF($AN34="Não",0,(SUM($AO34:BI34)*$AH34)-SUM($HM34:IG34)-SUM($CW34:DQ34)))</f>
        <v>0</v>
      </c>
      <c r="JL34" s="141">
        <f>IF(ISBLANK($A34),,IF($AN34="Não",0,(SUM($AO34:BJ34)*$AH34)-SUM($HM34:IH34)-SUM($CW34:DR34)))</f>
        <v>0</v>
      </c>
      <c r="JM34" s="141">
        <f>IF(ISBLANK($A34),,IF($AN34="Não",0,(SUM($AO34:BK34)*$AH34)-SUM($HM34:II34)-SUM($CW34:DS34)))</f>
        <v>0</v>
      </c>
      <c r="JN34" s="141">
        <f>IF(ISBLANK($A34),,IF($AN34="Não",0,(SUM($AO34:BL34)*$AH34)-SUM($HM34:IJ34)-SUM($CW34:DT34)))</f>
        <v>0</v>
      </c>
      <c r="JO34" s="141">
        <f>IF(ISBLANK($A34),,IF($AN34="Não",0,(SUM($AO34:BM34)*$AH34)-SUM($HM34:IK34)-SUM($CW34:DU34)))</f>
        <v>0</v>
      </c>
      <c r="JP34" s="141">
        <f>IF(ISBLANK($A34),,IF($AN34="Não",0,(SUM($AO34:BN34)*$AH34)-SUM($HM34:IL34)-SUM($CW34:DV34)))</f>
        <v>0</v>
      </c>
      <c r="JQ34" s="141">
        <f>IF(ISBLANK($A34),,IF($AN34="Não",0,(SUM($AO34:BO34)*$AH34)-SUM($HM34:IM34)-SUM($CW34:DW34)))</f>
        <v>0</v>
      </c>
      <c r="JR34" s="141">
        <f>IF(ISBLANK($A34),,IF($AN34="Não",0,(SUM($AO34:BP34)*$AH34)-SUM($HM34:IN34)-SUM($CW34:DX34)))</f>
        <v>0</v>
      </c>
      <c r="JS34" s="141">
        <f>IF(ISBLANK($A34),,IF($AN34="Não",0,(SUM($AO34:BQ34)*$AH34)-SUM($HM34:IO34)-SUM($CW34:DY34)))</f>
        <v>0</v>
      </c>
      <c r="JT34" s="141">
        <f>IF(ISBLANK($A34),,IF($AN34="Não",0,(SUM($AO34:BR34)*$AH34)-SUM($HM34:IP34)-SUM($CW34:DZ34)))</f>
        <v>0</v>
      </c>
    </row>
    <row r="35" spans="1:280" ht="15.75" customHeight="1">
      <c r="A35" s="129" t="s">
        <v>362</v>
      </c>
      <c r="B35" s="129" t="s">
        <v>209</v>
      </c>
      <c r="C35" s="138" t="s">
        <v>79</v>
      </c>
      <c r="D35" s="144">
        <v>3297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607">
        <f t="shared" si="0"/>
        <v>47.300000000000004</v>
      </c>
      <c r="AI35" s="608">
        <f t="shared" si="1"/>
        <v>30</v>
      </c>
      <c r="AJ35" s="609">
        <f t="shared" si="2"/>
        <v>1</v>
      </c>
      <c r="AK35" s="610" t="str">
        <f t="shared" si="3"/>
        <v>Infraestrutura</v>
      </c>
      <c r="AL35" s="609">
        <f t="shared" si="4"/>
        <v>0.1</v>
      </c>
      <c r="AM35" s="611" t="str">
        <f t="shared" si="5"/>
        <v>Sim</v>
      </c>
      <c r="AN35" s="611" t="str">
        <f t="shared" si="6"/>
        <v>Não</v>
      </c>
      <c r="AO35" s="140">
        <f t="array" ref="AO35">IF(ISBLANK($A35),0,IF(OR(AO$5-$AI35&lt;=0,$AM35="Não"),D35,D35+INDEX($AO$6:$BR$176,ROW()-5,COLUMN()-40-$AI35)))*IF($B35="Operacional",IFERROR(VLOOKUP($C35,SN_UGC,28,0),0),1)</f>
        <v>3297</v>
      </c>
      <c r="AP35" s="140">
        <f t="array" ref="AP35">IF(ISBLANK($A35),0,IF(OR(AP$5-$AI35&lt;=0,$AM35="Não"),E35,E35+INDEX($AO$6:$BR$176,ROW()-5,COLUMN()-40-$AI35)))*IF($B35="Operacional",IFERROR(VLOOKUP($C35,SN_UGC,28,0),0),1)</f>
        <v>0</v>
      </c>
      <c r="AQ35" s="140">
        <f t="array" ref="AQ35">IF(ISBLANK($A35),0,IF(OR(AQ$5-$AI35&lt;=0,$AM35="Não"),F35,F35+INDEX($AO$6:$BR$176,ROW()-5,COLUMN()-40-$AI35)))*IF($B35="Operacional",IFERROR(VLOOKUP($C35,SN_UGC,28,0),0),1)</f>
        <v>0</v>
      </c>
      <c r="AR35" s="140">
        <f t="array" ref="AR35">IF(ISBLANK($A35),0,IF(OR(AR$5-$AI35&lt;=0,$AM35="Não"),G35,G35+INDEX($AO$6:$BR$176,ROW()-5,COLUMN()-40-$AI35)))*IF($B35="Operacional",IFERROR(VLOOKUP($C35,SN_UGC,28,0),0),1)</f>
        <v>0</v>
      </c>
      <c r="AS35" s="140">
        <f t="array" ref="AS35">IF(ISBLANK($A35),0,IF(OR(AS$5-$AI35&lt;=0,$AM35="Não"),H35,H35+INDEX($AO$6:$BR$176,ROW()-5,COLUMN()-40-$AI35)))*IF($B35="Operacional",IFERROR(VLOOKUP($C35,SN_UGC,28,0),0),1)</f>
        <v>0</v>
      </c>
      <c r="AT35" s="140">
        <f t="array" ref="AT35">IF(ISBLANK($A35),0,IF(OR(AT$5-$AI35&lt;=0,$AM35="Não"),I35,I35+INDEX($AO$6:$BR$176,ROW()-5,COLUMN()-40-$AI35)))*IF($B35="Operacional",IFERROR(VLOOKUP($C35,SN_UGC,28,0),0),1)</f>
        <v>0</v>
      </c>
      <c r="AU35" s="140">
        <f t="array" ref="AU35">IF(ISBLANK($A35),0,IF(OR(AU$5-$AI35&lt;=0,$AM35="Não"),J35,J35+INDEX($AO$6:$BR$176,ROW()-5,COLUMN()-40-$AI35)))*IF($B35="Operacional",IFERROR(VLOOKUP($C35,SN_UGC,28,0),0),1)</f>
        <v>0</v>
      </c>
      <c r="AV35" s="140">
        <f t="array" ref="AV35">IF(ISBLANK($A35),0,IF(OR(AV$5-$AI35&lt;=0,$AM35="Não"),K35,K35+INDEX($AO$6:$BR$176,ROW()-5,COLUMN()-40-$AI35)))*IF($B35="Operacional",IFERROR(VLOOKUP($C35,SN_UGC,28,0),0),1)</f>
        <v>0</v>
      </c>
      <c r="AW35" s="140">
        <f t="array" ref="AW35">IF(ISBLANK($A35),0,IF(OR(AW$5-$AI35&lt;=0,$AM35="Não"),L35,L35+INDEX($AO$6:$BR$176,ROW()-5,COLUMN()-40-$AI35)))*IF($B35="Operacional",IFERROR(VLOOKUP($C35,SN_UGC,28,0),0),1)</f>
        <v>0</v>
      </c>
      <c r="AX35" s="140">
        <f t="array" ref="AX35">IF(ISBLANK($A35),0,IF(OR(AX$5-$AI35&lt;=0,$AM35="Não"),M35,M35+INDEX($AO$6:$BR$176,ROW()-5,COLUMN()-40-$AI35)))*IF($B35="Operacional",IFERROR(VLOOKUP($C35,SN_UGC,28,0),0),1)</f>
        <v>0</v>
      </c>
      <c r="AY35" s="140">
        <f t="array" ref="AY35">IF(ISBLANK($A35),0,IF(OR(AY$5-$AI35&lt;=0,$AM35="Não"),N35,N35+INDEX($AO$6:$BR$176,ROW()-5,COLUMN()-40-$AI35)))*IF($B35="Operacional",IFERROR(VLOOKUP($C35,SN_UGC,28,0),0),1)</f>
        <v>0</v>
      </c>
      <c r="AZ35" s="140">
        <f t="array" ref="AZ35">IF(ISBLANK($A35),0,IF(OR(AZ$5-$AI35&lt;=0,$AM35="Não"),O35,O35+INDEX($AO$6:$BR$176,ROW()-5,COLUMN()-40-$AI35)))*IF($B35="Operacional",IFERROR(VLOOKUP($C35,SN_UGC,28,0),0),1)</f>
        <v>0</v>
      </c>
      <c r="BA35" s="140">
        <f t="array" ref="BA35">IF(ISBLANK($A35),0,IF(OR(BA$5-$AI35&lt;=0,$AM35="Não"),P35,P35+INDEX($AO$6:$BR$176,ROW()-5,COLUMN()-40-$AI35)))*IF($B35="Operacional",IFERROR(VLOOKUP($C35,SN_UGC,28,0),0),1)</f>
        <v>0</v>
      </c>
      <c r="BB35" s="140">
        <f t="array" ref="BB35">IF(ISBLANK($A35),0,IF(OR(BB$5-$AI35&lt;=0,$AM35="Não"),Q35,Q35+INDEX($AO$6:$BR$176,ROW()-5,COLUMN()-40-$AI35)))*IF($B35="Operacional",IFERROR(VLOOKUP($C35,SN_UGC,28,0),0),1)</f>
        <v>0</v>
      </c>
      <c r="BC35" s="140">
        <f t="array" ref="BC35">IF(ISBLANK($A35),0,IF(OR(BC$5-$AI35&lt;=0,$AM35="Não"),R35,R35+INDEX($AO$6:$BR$176,ROW()-5,COLUMN()-40-$AI35)))*IF($B35="Operacional",IFERROR(VLOOKUP($C35,SN_UGC,28,0),0),1)</f>
        <v>0</v>
      </c>
      <c r="BD35" s="140">
        <f t="array" ref="BD35">IF(ISBLANK($A35),0,IF(OR(BD$5-$AI35&lt;=0,$AM35="Não"),S35,S35+INDEX($AO$6:$BR$176,ROW()-5,COLUMN()-40-$AI35)))*IF($B35="Operacional",IFERROR(VLOOKUP($C35,SN_UGC,28,0),0),1)</f>
        <v>0</v>
      </c>
      <c r="BE35" s="140">
        <f t="array" ref="BE35">IF(ISBLANK($A35),0,IF(OR(BE$5-$AI35&lt;=0,$AM35="Não"),T35,T35+INDEX($AO$6:$BR$176,ROW()-5,COLUMN()-40-$AI35)))*IF($B35="Operacional",IFERROR(VLOOKUP($C35,SN_UGC,28,0),0),1)</f>
        <v>0</v>
      </c>
      <c r="BF35" s="140">
        <f t="array" ref="BF35">IF(ISBLANK($A35),0,IF(OR(BF$5-$AI35&lt;=0,$AM35="Não"),U35,U35+INDEX($AO$6:$BR$176,ROW()-5,COLUMN()-40-$AI35)))*IF($B35="Operacional",IFERROR(VLOOKUP($C35,SN_UGC,28,0),0),1)</f>
        <v>0</v>
      </c>
      <c r="BG35" s="140">
        <f t="array" ref="BG35">IF(ISBLANK($A35),0,IF(OR(BG$5-$AI35&lt;=0,$AM35="Não"),V35,V35+INDEX($AO$6:$BR$176,ROW()-5,COLUMN()-40-$AI35)))*IF($B35="Operacional",IFERROR(VLOOKUP($C35,SN_UGC,28,0),0),1)</f>
        <v>0</v>
      </c>
      <c r="BH35" s="140">
        <f t="array" ref="BH35">IF(ISBLANK($A35),0,IF(OR(BH$5-$AI35&lt;=0,$AM35="Não"),W35,W35+INDEX($AO$6:$BR$176,ROW()-5,COLUMN()-40-$AI35)))*IF($B35="Operacional",IFERROR(VLOOKUP($C35,SN_UGC,28,0),0),1)</f>
        <v>0</v>
      </c>
      <c r="BI35" s="140">
        <f t="array" ref="BI35">IF(ISBLANK($A35),0,IF(OR(BI$5-$AI35&lt;=0,$AM35="Não"),X35,X35+INDEX($AO$6:$BR$176,ROW()-5,COLUMN()-40-$AI35)))*IF($B35="Operacional",IFERROR(VLOOKUP($C35,SN_UGC,28,0),0),1)</f>
        <v>0</v>
      </c>
      <c r="BJ35" s="140">
        <f t="array" ref="BJ35">IF(ISBLANK($A35),0,IF(OR(BJ$5-$AI35&lt;=0,$AM35="Não"),Y35,Y35+INDEX($AO$6:$BR$176,ROW()-5,COLUMN()-40-$AI35)))*IF($B35="Operacional",IFERROR(VLOOKUP($C35,SN_UGC,28,0),0),1)</f>
        <v>0</v>
      </c>
      <c r="BK35" s="140">
        <f t="array" ref="BK35">IF(ISBLANK($A35),0,IF(OR(BK$5-$AI35&lt;=0,$AM35="Não"),Z35,Z35+INDEX($AO$6:$BR$176,ROW()-5,COLUMN()-40-$AI35)))*IF($B35="Operacional",IFERROR(VLOOKUP($C35,SN_UGC,28,0),0),1)</f>
        <v>0</v>
      </c>
      <c r="BL35" s="140">
        <f t="array" ref="BL35">IF(ISBLANK($A35),0,IF(OR(BL$5-$AI35&lt;=0,$AM35="Não"),AA35,AA35+INDEX($AO$6:$BR$176,ROW()-5,COLUMN()-40-$AI35)))*IF($B35="Operacional",IFERROR(VLOOKUP($C35,SN_UGC,28,0),0),1)</f>
        <v>0</v>
      </c>
      <c r="BM35" s="140">
        <f t="array" ref="BM35">IF(ISBLANK($A35),0,IF(OR(BM$5-$AI35&lt;=0,$AM35="Não"),AB35,AB35+INDEX($AO$6:$BR$176,ROW()-5,COLUMN()-40-$AI35)))*IF($B35="Operacional",IFERROR(VLOOKUP($C35,SN_UGC,28,0),0),1)</f>
        <v>0</v>
      </c>
      <c r="BN35" s="140">
        <f t="array" ref="BN35">IF(ISBLANK($A35),0,IF(OR(BN$5-$AI35&lt;=0,$AM35="Não"),AC35,AC35+INDEX($AO$6:$BR$176,ROW()-5,COLUMN()-40-$AI35)))*IF($B35="Operacional",IFERROR(VLOOKUP($C35,SN_UGC,28,0),0),1)</f>
        <v>0</v>
      </c>
      <c r="BO35" s="140">
        <f t="array" ref="BO35">IF(ISBLANK($A35),0,IF(OR(BO$5-$AI35&lt;=0,$AM35="Não"),AD35,AD35+INDEX($AO$6:$BR$176,ROW()-5,COLUMN()-40-$AI35)))*IF($B35="Operacional",IFERROR(VLOOKUP($C35,SN_UGC,28,0),0),1)</f>
        <v>0</v>
      </c>
      <c r="BP35" s="140">
        <f t="array" ref="BP35">IF(ISBLANK($A35),0,IF(OR(BP$5-$AI35&lt;=0,$AM35="Não"),AE35,AE35+INDEX($AO$6:$BR$176,ROW()-5,COLUMN()-40-$AI35)))*IF($B35="Operacional",IFERROR(VLOOKUP($C35,SN_UGC,28,0),0),1)</f>
        <v>0</v>
      </c>
      <c r="BQ35" s="140">
        <f t="array" ref="BQ35">IF(ISBLANK($A35),0,IF(OR(BQ$5-$AI35&lt;=0,$AM35="Não"),AF35,AF35+INDEX($AO$6:$BR$176,ROW()-5,COLUMN()-40-$AI35)))*IF($B35="Operacional",IFERROR(VLOOKUP($C35,SN_UGC,28,0),0),1)</f>
        <v>0</v>
      </c>
      <c r="BR35" s="140">
        <f t="array" ref="BR35">IF(ISBLANK($A35),0,IF(OR(BR$5-$AI35&lt;=0,$AM35="Não"),AG35,AG35+INDEX($AO$6:$BR$176,ROW()-5,COLUMN()-40-$AI35)))*IF($B35="Operacional",IFERROR(VLOOKUP($C35,SN_UGC,28,0),0),1)</f>
        <v>0</v>
      </c>
      <c r="BS35" s="141">
        <f t="shared" ref="BS35:CV35" si="153">IF(ISBLANK($A35),0,$AH35*AO35)</f>
        <v>155948.1</v>
      </c>
      <c r="BT35" s="141">
        <f t="shared" si="153"/>
        <v>0</v>
      </c>
      <c r="BU35" s="141">
        <f t="shared" si="153"/>
        <v>0</v>
      </c>
      <c r="BV35" s="141">
        <f t="shared" si="153"/>
        <v>0</v>
      </c>
      <c r="BW35" s="141">
        <f t="shared" si="153"/>
        <v>0</v>
      </c>
      <c r="BX35" s="141">
        <f t="shared" si="153"/>
        <v>0</v>
      </c>
      <c r="BY35" s="141">
        <f t="shared" si="153"/>
        <v>0</v>
      </c>
      <c r="BZ35" s="141">
        <f t="shared" si="153"/>
        <v>0</v>
      </c>
      <c r="CA35" s="141">
        <f t="shared" si="153"/>
        <v>0</v>
      </c>
      <c r="CB35" s="141">
        <f t="shared" si="153"/>
        <v>0</v>
      </c>
      <c r="CC35" s="141">
        <f t="shared" si="153"/>
        <v>0</v>
      </c>
      <c r="CD35" s="141">
        <f t="shared" si="153"/>
        <v>0</v>
      </c>
      <c r="CE35" s="141">
        <f t="shared" si="153"/>
        <v>0</v>
      </c>
      <c r="CF35" s="141">
        <f t="shared" si="153"/>
        <v>0</v>
      </c>
      <c r="CG35" s="141">
        <f t="shared" si="153"/>
        <v>0</v>
      </c>
      <c r="CH35" s="141">
        <f t="shared" si="153"/>
        <v>0</v>
      </c>
      <c r="CI35" s="141">
        <f t="shared" si="153"/>
        <v>0</v>
      </c>
      <c r="CJ35" s="141">
        <f t="shared" si="153"/>
        <v>0</v>
      </c>
      <c r="CK35" s="141">
        <f t="shared" si="153"/>
        <v>0</v>
      </c>
      <c r="CL35" s="141">
        <f t="shared" si="153"/>
        <v>0</v>
      </c>
      <c r="CM35" s="141">
        <f t="shared" si="153"/>
        <v>0</v>
      </c>
      <c r="CN35" s="141">
        <f t="shared" si="153"/>
        <v>0</v>
      </c>
      <c r="CO35" s="141">
        <f t="shared" si="153"/>
        <v>0</v>
      </c>
      <c r="CP35" s="141">
        <f t="shared" si="153"/>
        <v>0</v>
      </c>
      <c r="CQ35" s="141">
        <f t="shared" si="153"/>
        <v>0</v>
      </c>
      <c r="CR35" s="141">
        <f t="shared" si="153"/>
        <v>0</v>
      </c>
      <c r="CS35" s="141">
        <f t="shared" si="153"/>
        <v>0</v>
      </c>
      <c r="CT35" s="141">
        <f t="shared" si="153"/>
        <v>0</v>
      </c>
      <c r="CU35" s="141">
        <f t="shared" si="153"/>
        <v>0</v>
      </c>
      <c r="CV35" s="141">
        <f t="shared" si="153"/>
        <v>0</v>
      </c>
      <c r="CW35" s="142">
        <f t="shared" ref="CW35:DZ35" si="154">EA35*$AH35*$AJ35</f>
        <v>0</v>
      </c>
      <c r="CX35" s="142">
        <f t="shared" si="154"/>
        <v>0</v>
      </c>
      <c r="CY35" s="142">
        <f t="shared" si="154"/>
        <v>0</v>
      </c>
      <c r="CZ35" s="142">
        <f t="shared" si="154"/>
        <v>0</v>
      </c>
      <c r="DA35" s="142">
        <f t="shared" si="154"/>
        <v>0</v>
      </c>
      <c r="DB35" s="142">
        <f t="shared" si="154"/>
        <v>0</v>
      </c>
      <c r="DC35" s="142">
        <f t="shared" si="154"/>
        <v>0</v>
      </c>
      <c r="DD35" s="142">
        <f t="shared" si="154"/>
        <v>0</v>
      </c>
      <c r="DE35" s="142">
        <f t="shared" si="154"/>
        <v>0</v>
      </c>
      <c r="DF35" s="142">
        <f t="shared" si="154"/>
        <v>0</v>
      </c>
      <c r="DG35" s="142">
        <f t="shared" si="154"/>
        <v>0</v>
      </c>
      <c r="DH35" s="142">
        <f t="shared" si="154"/>
        <v>0</v>
      </c>
      <c r="DI35" s="142">
        <f t="shared" si="154"/>
        <v>0</v>
      </c>
      <c r="DJ35" s="142">
        <f t="shared" si="154"/>
        <v>0</v>
      </c>
      <c r="DK35" s="142">
        <f t="shared" si="154"/>
        <v>0</v>
      </c>
      <c r="DL35" s="142">
        <f t="shared" si="154"/>
        <v>0</v>
      </c>
      <c r="DM35" s="142">
        <f t="shared" si="154"/>
        <v>0</v>
      </c>
      <c r="DN35" s="142">
        <f t="shared" si="154"/>
        <v>0</v>
      </c>
      <c r="DO35" s="142">
        <f t="shared" si="154"/>
        <v>0</v>
      </c>
      <c r="DP35" s="142">
        <f t="shared" si="154"/>
        <v>0</v>
      </c>
      <c r="DQ35" s="142">
        <f t="shared" si="154"/>
        <v>0</v>
      </c>
      <c r="DR35" s="142">
        <f t="shared" si="154"/>
        <v>0</v>
      </c>
      <c r="DS35" s="142">
        <f t="shared" si="154"/>
        <v>0</v>
      </c>
      <c r="DT35" s="142">
        <f t="shared" si="154"/>
        <v>0</v>
      </c>
      <c r="DU35" s="142">
        <f t="shared" si="154"/>
        <v>0</v>
      </c>
      <c r="DV35" s="142">
        <f t="shared" si="154"/>
        <v>0</v>
      </c>
      <c r="DW35" s="142">
        <f t="shared" si="154"/>
        <v>0</v>
      </c>
      <c r="DX35" s="142">
        <f t="shared" si="154"/>
        <v>0</v>
      </c>
      <c r="DY35" s="142">
        <f t="shared" si="154"/>
        <v>0</v>
      </c>
      <c r="DZ35" s="142">
        <f t="shared" si="154"/>
        <v>0</v>
      </c>
      <c r="EA35" s="143">
        <f t="shared" si="9"/>
        <v>0</v>
      </c>
      <c r="EB35" s="143">
        <f t="shared" si="10"/>
        <v>0</v>
      </c>
      <c r="EC35" s="143">
        <f t="shared" si="11"/>
        <v>0</v>
      </c>
      <c r="ED35" s="143">
        <f t="shared" si="12"/>
        <v>0</v>
      </c>
      <c r="EE35" s="143">
        <f t="shared" si="13"/>
        <v>0</v>
      </c>
      <c r="EF35" s="143">
        <f t="shared" si="14"/>
        <v>0</v>
      </c>
      <c r="EG35" s="143">
        <f t="shared" si="15"/>
        <v>0</v>
      </c>
      <c r="EH35" s="143">
        <f t="shared" si="16"/>
        <v>0</v>
      </c>
      <c r="EI35" s="143">
        <f t="shared" si="17"/>
        <v>0</v>
      </c>
      <c r="EJ35" s="143">
        <f t="shared" si="18"/>
        <v>0</v>
      </c>
      <c r="EK35" s="143">
        <f t="shared" si="19"/>
        <v>0</v>
      </c>
      <c r="EL35" s="143">
        <f t="shared" si="20"/>
        <v>0</v>
      </c>
      <c r="EM35" s="143">
        <f t="shared" si="21"/>
        <v>0</v>
      </c>
      <c r="EN35" s="143">
        <f t="shared" si="22"/>
        <v>0</v>
      </c>
      <c r="EO35" s="143">
        <f t="shared" si="23"/>
        <v>0</v>
      </c>
      <c r="EP35" s="143">
        <f t="shared" si="24"/>
        <v>0</v>
      </c>
      <c r="EQ35" s="143">
        <f t="shared" si="25"/>
        <v>0</v>
      </c>
      <c r="ER35" s="143">
        <f t="shared" si="26"/>
        <v>0</v>
      </c>
      <c r="ES35" s="143">
        <f t="shared" si="27"/>
        <v>0</v>
      </c>
      <c r="ET35" s="143">
        <f t="shared" si="28"/>
        <v>0</v>
      </c>
      <c r="EU35" s="143">
        <f t="shared" si="29"/>
        <v>0</v>
      </c>
      <c r="EV35" s="143">
        <f t="shared" si="30"/>
        <v>0</v>
      </c>
      <c r="EW35" s="143">
        <f t="shared" si="31"/>
        <v>0</v>
      </c>
      <c r="EX35" s="143">
        <f t="shared" si="32"/>
        <v>0</v>
      </c>
      <c r="EY35" s="143">
        <f t="shared" si="33"/>
        <v>0</v>
      </c>
      <c r="EZ35" s="143">
        <f t="shared" si="34"/>
        <v>0</v>
      </c>
      <c r="FA35" s="143">
        <f t="shared" si="35"/>
        <v>0</v>
      </c>
      <c r="FB35" s="143">
        <f t="shared" si="36"/>
        <v>0</v>
      </c>
      <c r="FC35" s="143">
        <f t="shared" si="37"/>
        <v>0</v>
      </c>
      <c r="FD35" s="143">
        <f t="shared" si="38"/>
        <v>0</v>
      </c>
      <c r="FE35" s="140">
        <f>SUM($D35:D35)*IF($B35="Operacional",IFERROR(VLOOKUP($C35,SN_UGC,28,0),0),1)</f>
        <v>3297</v>
      </c>
      <c r="FF35" s="140">
        <f>SUM($D35:E35)*IF($B35="Operacional",IFERROR(VLOOKUP($C35,SN_UGC,28,0),0),1)</f>
        <v>3297</v>
      </c>
      <c r="FG35" s="140">
        <f>SUM($D35:F35)*IF($B35="Operacional",IFERROR(VLOOKUP($C35,SN_UGC,28,0),0),1)</f>
        <v>3297</v>
      </c>
      <c r="FH35" s="140">
        <f>SUM($D35:G35)*IF($B35="Operacional",IFERROR(VLOOKUP($C35,SN_UGC,28,0),0),1)</f>
        <v>3297</v>
      </c>
      <c r="FI35" s="140">
        <f>SUM($D35:H35)*IF($B35="Operacional",IFERROR(VLOOKUP($C35,SN_UGC,28,0),0),1)</f>
        <v>3297</v>
      </c>
      <c r="FJ35" s="140">
        <f>SUM($D35:I35)*IF($B35="Operacional",IFERROR(VLOOKUP($C35,SN_UGC,28,0),0),1)</f>
        <v>3297</v>
      </c>
      <c r="FK35" s="140">
        <f>SUM($D35:J35)*IF($B35="Operacional",IFERROR(VLOOKUP($C35,SN_UGC,28,0),0),1)</f>
        <v>3297</v>
      </c>
      <c r="FL35" s="140">
        <f>SUM($D35:K35)*IF($B35="Operacional",IFERROR(VLOOKUP($C35,SN_UGC,28,0),0),1)</f>
        <v>3297</v>
      </c>
      <c r="FM35" s="140">
        <f>SUM($D35:L35)*IF($B35="Operacional",IFERROR(VLOOKUP($C35,SN_UGC,28,0),0),1)</f>
        <v>3297</v>
      </c>
      <c r="FN35" s="140">
        <f>SUM($D35:M35)*IF($B35="Operacional",IFERROR(VLOOKUP($C35,SN_UGC,28,0),0),1)</f>
        <v>3297</v>
      </c>
      <c r="FO35" s="140">
        <f>SUM($D35:N35)*IF($B35="Operacional",IFERROR(VLOOKUP($C35,SN_UGC,28,0),0),1)</f>
        <v>3297</v>
      </c>
      <c r="FP35" s="140">
        <f>SUM($D35:O35)*IF($B35="Operacional",IFERROR(VLOOKUP($C35,SN_UGC,28,0),0),1)</f>
        <v>3297</v>
      </c>
      <c r="FQ35" s="140">
        <f>SUM($D35:P35)*IF($B35="Operacional",IFERROR(VLOOKUP($C35,SN_UGC,28,0),0),1)</f>
        <v>3297</v>
      </c>
      <c r="FR35" s="140">
        <f>SUM($D35:Q35)*IF($B35="Operacional",IFERROR(VLOOKUP($C35,SN_UGC,28,0),0),1)</f>
        <v>3297</v>
      </c>
      <c r="FS35" s="140">
        <f>SUM($D35:R35)*IF($B35="Operacional",IFERROR(VLOOKUP($C35,SN_UGC,28,0),0),1)</f>
        <v>3297</v>
      </c>
      <c r="FT35" s="140">
        <f>SUM($D35:S35)*IF($B35="Operacional",IFERROR(VLOOKUP($C35,SN_UGC,28,0),0),1)</f>
        <v>3297</v>
      </c>
      <c r="FU35" s="140">
        <f>SUM($D35:T35)*IF($B35="Operacional",IFERROR(VLOOKUP($C35,SN_UGC,28,0),0),1)</f>
        <v>3297</v>
      </c>
      <c r="FV35" s="140">
        <f>SUM($D35:U35)*IF($B35="Operacional",IFERROR(VLOOKUP($C35,SN_UGC,28,0),0),1)</f>
        <v>3297</v>
      </c>
      <c r="FW35" s="140">
        <f>SUM($D35:V35)*IF($B35="Operacional",IFERROR(VLOOKUP($C35,SN_UGC,28,0),0),1)</f>
        <v>3297</v>
      </c>
      <c r="FX35" s="140">
        <f>SUM($D35:W35)*IF($B35="Operacional",IFERROR(VLOOKUP($C35,SN_UGC,28,0),0),1)</f>
        <v>3297</v>
      </c>
      <c r="FY35" s="140">
        <f>SUM($D35:X35)*IF($B35="Operacional",IFERROR(VLOOKUP($C35,SN_UGC,28,0),0),1)</f>
        <v>3297</v>
      </c>
      <c r="FZ35" s="140">
        <f>SUM($D35:Y35)*IF($B35="Operacional",IFERROR(VLOOKUP($C35,SN_UGC,28,0),0),1)</f>
        <v>3297</v>
      </c>
      <c r="GA35" s="140">
        <f>SUM($D35:Z35)*IF($B35="Operacional",IFERROR(VLOOKUP($C35,SN_UGC,28,0),0),1)</f>
        <v>3297</v>
      </c>
      <c r="GB35" s="140">
        <f>SUM($D35:AA35)*IF($B35="Operacional",IFERROR(VLOOKUP($C35,SN_UGC,28,0),0),1)</f>
        <v>3297</v>
      </c>
      <c r="GC35" s="140">
        <f>SUM($D35:AB35)*IF($B35="Operacional",IFERROR(VLOOKUP($C35,SN_UGC,28,0),0),1)</f>
        <v>3297</v>
      </c>
      <c r="GD35" s="140">
        <f>SUM($D35:AC35)*IF($B35="Operacional",IFERROR(VLOOKUP($C35,SN_UGC,28,0),0),1)</f>
        <v>3297</v>
      </c>
      <c r="GE35" s="140">
        <f>SUM($D35:AD35)*IF($B35="Operacional",IFERROR(VLOOKUP($C35,SN_UGC,28,0),0),1)</f>
        <v>3297</v>
      </c>
      <c r="GF35" s="140">
        <f>SUM($D35:AE35)*IF($B35="Operacional",IFERROR(VLOOKUP($C35,SN_UGC,28,0),0),1)</f>
        <v>3297</v>
      </c>
      <c r="GG35" s="140">
        <f>SUM($D35:AF35)*IF($B35="Operacional",IFERROR(VLOOKUP($C35,SN_UGC,28,0),0),1)</f>
        <v>3297</v>
      </c>
      <c r="GH35" s="140">
        <f>SUM($D35:AG35)*IF($B35="Operacional",IFERROR(VLOOKUP($C35,SN_UGC,28,0),0),1)</f>
        <v>3297</v>
      </c>
      <c r="GI35" s="141">
        <f t="shared" ref="GI35:HL35" si="155">FE35*$AH35*$AL35</f>
        <v>15594.810000000001</v>
      </c>
      <c r="GJ35" s="141">
        <f t="shared" si="155"/>
        <v>15594.810000000001</v>
      </c>
      <c r="GK35" s="141">
        <f t="shared" si="155"/>
        <v>15594.810000000001</v>
      </c>
      <c r="GL35" s="141">
        <f t="shared" si="155"/>
        <v>15594.810000000001</v>
      </c>
      <c r="GM35" s="141">
        <f t="shared" si="155"/>
        <v>15594.810000000001</v>
      </c>
      <c r="GN35" s="141">
        <f t="shared" si="155"/>
        <v>15594.810000000001</v>
      </c>
      <c r="GO35" s="141">
        <f t="shared" si="155"/>
        <v>15594.810000000001</v>
      </c>
      <c r="GP35" s="141">
        <f t="shared" si="155"/>
        <v>15594.810000000001</v>
      </c>
      <c r="GQ35" s="141">
        <f t="shared" si="155"/>
        <v>15594.810000000001</v>
      </c>
      <c r="GR35" s="141">
        <f t="shared" si="155"/>
        <v>15594.810000000001</v>
      </c>
      <c r="GS35" s="141">
        <f t="shared" si="155"/>
        <v>15594.810000000001</v>
      </c>
      <c r="GT35" s="141">
        <f t="shared" si="155"/>
        <v>15594.810000000001</v>
      </c>
      <c r="GU35" s="141">
        <f t="shared" si="155"/>
        <v>15594.810000000001</v>
      </c>
      <c r="GV35" s="141">
        <f t="shared" si="155"/>
        <v>15594.810000000001</v>
      </c>
      <c r="GW35" s="141">
        <f t="shared" si="155"/>
        <v>15594.810000000001</v>
      </c>
      <c r="GX35" s="141">
        <f t="shared" si="155"/>
        <v>15594.810000000001</v>
      </c>
      <c r="GY35" s="141">
        <f t="shared" si="155"/>
        <v>15594.810000000001</v>
      </c>
      <c r="GZ35" s="141">
        <f t="shared" si="155"/>
        <v>15594.810000000001</v>
      </c>
      <c r="HA35" s="141">
        <f t="shared" si="155"/>
        <v>15594.810000000001</v>
      </c>
      <c r="HB35" s="141">
        <f t="shared" si="155"/>
        <v>15594.810000000001</v>
      </c>
      <c r="HC35" s="141">
        <f t="shared" si="155"/>
        <v>15594.810000000001</v>
      </c>
      <c r="HD35" s="141">
        <f t="shared" si="155"/>
        <v>15594.810000000001</v>
      </c>
      <c r="HE35" s="141">
        <f t="shared" si="155"/>
        <v>15594.810000000001</v>
      </c>
      <c r="HF35" s="141">
        <f t="shared" si="155"/>
        <v>15594.810000000001</v>
      </c>
      <c r="HG35" s="141">
        <f t="shared" si="155"/>
        <v>15594.810000000001</v>
      </c>
      <c r="HH35" s="141">
        <f t="shared" si="155"/>
        <v>15594.810000000001</v>
      </c>
      <c r="HI35" s="141">
        <f t="shared" si="155"/>
        <v>15594.810000000001</v>
      </c>
      <c r="HJ35" s="141">
        <f t="shared" si="155"/>
        <v>15594.810000000001</v>
      </c>
      <c r="HK35" s="141">
        <f t="shared" si="155"/>
        <v>15594.810000000001</v>
      </c>
      <c r="HL35" s="141">
        <f t="shared" si="155"/>
        <v>15594.810000000001</v>
      </c>
      <c r="HM35" s="142">
        <f t="shared" ref="HM35:IP35" si="156">IF(ISBLANK($A35),,FE35*($AH35-($AH35*$AJ35))/$AI35)</f>
        <v>0</v>
      </c>
      <c r="HN35" s="142">
        <f t="shared" si="156"/>
        <v>0</v>
      </c>
      <c r="HO35" s="142">
        <f t="shared" si="156"/>
        <v>0</v>
      </c>
      <c r="HP35" s="142">
        <f t="shared" si="156"/>
        <v>0</v>
      </c>
      <c r="HQ35" s="142">
        <f t="shared" si="156"/>
        <v>0</v>
      </c>
      <c r="HR35" s="142">
        <f t="shared" si="156"/>
        <v>0</v>
      </c>
      <c r="HS35" s="142">
        <f t="shared" si="156"/>
        <v>0</v>
      </c>
      <c r="HT35" s="142">
        <f t="shared" si="156"/>
        <v>0</v>
      </c>
      <c r="HU35" s="142">
        <f t="shared" si="156"/>
        <v>0</v>
      </c>
      <c r="HV35" s="142">
        <f t="shared" si="156"/>
        <v>0</v>
      </c>
      <c r="HW35" s="142">
        <f t="shared" si="156"/>
        <v>0</v>
      </c>
      <c r="HX35" s="142">
        <f t="shared" si="156"/>
        <v>0</v>
      </c>
      <c r="HY35" s="142">
        <f t="shared" si="156"/>
        <v>0</v>
      </c>
      <c r="HZ35" s="142">
        <f t="shared" si="156"/>
        <v>0</v>
      </c>
      <c r="IA35" s="142">
        <f t="shared" si="156"/>
        <v>0</v>
      </c>
      <c r="IB35" s="142">
        <f t="shared" si="156"/>
        <v>0</v>
      </c>
      <c r="IC35" s="142">
        <f t="shared" si="156"/>
        <v>0</v>
      </c>
      <c r="ID35" s="142">
        <f t="shared" si="156"/>
        <v>0</v>
      </c>
      <c r="IE35" s="142">
        <f t="shared" si="156"/>
        <v>0</v>
      </c>
      <c r="IF35" s="142">
        <f t="shared" si="156"/>
        <v>0</v>
      </c>
      <c r="IG35" s="142">
        <f t="shared" si="156"/>
        <v>0</v>
      </c>
      <c r="IH35" s="142">
        <f t="shared" si="156"/>
        <v>0</v>
      </c>
      <c r="II35" s="142">
        <f t="shared" si="156"/>
        <v>0</v>
      </c>
      <c r="IJ35" s="142">
        <f t="shared" si="156"/>
        <v>0</v>
      </c>
      <c r="IK35" s="142">
        <f t="shared" si="156"/>
        <v>0</v>
      </c>
      <c r="IL35" s="142">
        <f t="shared" si="156"/>
        <v>0</v>
      </c>
      <c r="IM35" s="142">
        <f t="shared" si="156"/>
        <v>0</v>
      </c>
      <c r="IN35" s="142">
        <f t="shared" si="156"/>
        <v>0</v>
      </c>
      <c r="IO35" s="142">
        <f t="shared" si="156"/>
        <v>0</v>
      </c>
      <c r="IP35" s="142">
        <f t="shared" si="156"/>
        <v>0</v>
      </c>
      <c r="IQ35" s="141">
        <f>IF(ISBLANK($A35),,IF($AN35="Não",0,(SUM($AO35:AO35)*$AH35)-SUM($HM35:HM35)-SUM($CW35:CW35)))</f>
        <v>0</v>
      </c>
      <c r="IR35" s="141">
        <f>IF(ISBLANK($A35),,IF($AN35="Não",0,(SUM($AO35:AP35)*$AH35)-SUM($HM35:HN35)-SUM($CW35:CX35)))</f>
        <v>0</v>
      </c>
      <c r="IS35" s="141">
        <f>IF(ISBLANK($A35),,IF($AN35="Não",0,(SUM($AO35:AQ35)*$AH35)-SUM($HM35:HO35)-SUM($CW35:CY35)))</f>
        <v>0</v>
      </c>
      <c r="IT35" s="141">
        <f>IF(ISBLANK($A35),,IF($AN35="Não",0,(SUM($AO35:AR35)*$AH35)-SUM($HM35:HP35)-SUM($CW35:CZ35)))</f>
        <v>0</v>
      </c>
      <c r="IU35" s="141">
        <f>IF(ISBLANK($A35),,IF($AN35="Não",0,(SUM($AO35:AS35)*$AH35)-SUM($HM35:HQ35)-SUM($CW35:DA35)))</f>
        <v>0</v>
      </c>
      <c r="IV35" s="141">
        <f>IF(ISBLANK($A35),,IF($AN35="Não",0,(SUM($AO35:AT35)*$AH35)-SUM($HM35:HR35)-SUM($CW35:DB35)))</f>
        <v>0</v>
      </c>
      <c r="IW35" s="141">
        <f>IF(ISBLANK($A35),,IF($AN35="Não",0,(SUM($AO35:AU35)*$AH35)-SUM($HM35:HS35)-SUM($CW35:DC35)))</f>
        <v>0</v>
      </c>
      <c r="IX35" s="141">
        <f>IF(ISBLANK($A35),,IF($AN35="Não",0,(SUM($AO35:AV35)*$AH35)-SUM($HM35:HT35)-SUM($CW35:DD35)))</f>
        <v>0</v>
      </c>
      <c r="IY35" s="141">
        <f>IF(ISBLANK($A35),,IF($AN35="Não",0,(SUM($AO35:AW35)*$AH35)-SUM($HM35:HU35)-SUM($CW35:DE35)))</f>
        <v>0</v>
      </c>
      <c r="IZ35" s="141">
        <f>IF(ISBLANK($A35),,IF($AN35="Não",0,(SUM($AO35:AX35)*$AH35)-SUM($HM35:HV35)-SUM($CW35:DF35)))</f>
        <v>0</v>
      </c>
      <c r="JA35" s="141">
        <f>IF(ISBLANK($A35),,IF($AN35="Não",0,(SUM($AO35:AY35)*$AH35)-SUM($HM35:HW35)-SUM($CW35:DG35)))</f>
        <v>0</v>
      </c>
      <c r="JB35" s="141">
        <f>IF(ISBLANK($A35),,IF($AN35="Não",0,(SUM($AO35:AZ35)*$AH35)-SUM($HM35:HX35)-SUM($CW35:DH35)))</f>
        <v>0</v>
      </c>
      <c r="JC35" s="141">
        <f>IF(ISBLANK($A35),,IF($AN35="Não",0,(SUM($AO35:BA35)*$AH35)-SUM($HM35:HY35)-SUM($CW35:DI35)))</f>
        <v>0</v>
      </c>
      <c r="JD35" s="141">
        <f>IF(ISBLANK($A35),,IF($AN35="Não",0,(SUM($AO35:BB35)*$AH35)-SUM($HM35:HZ35)-SUM($CW35:DJ35)))</f>
        <v>0</v>
      </c>
      <c r="JE35" s="141">
        <f>IF(ISBLANK($A35),,IF($AN35="Não",0,(SUM($AO35:BC35)*$AH35)-SUM($HM35:IA35)-SUM($CW35:DK35)))</f>
        <v>0</v>
      </c>
      <c r="JF35" s="141">
        <f>IF(ISBLANK($A35),,IF($AN35="Não",0,(SUM($AO35:BD35)*$AH35)-SUM($HM35:IB35)-SUM($CW35:DL35)))</f>
        <v>0</v>
      </c>
      <c r="JG35" s="141">
        <f>IF(ISBLANK($A35),,IF($AN35="Não",0,(SUM($AO35:BE35)*$AH35)-SUM($HM35:IC35)-SUM($CW35:DM35)))</f>
        <v>0</v>
      </c>
      <c r="JH35" s="141">
        <f>IF(ISBLANK($A35),,IF($AN35="Não",0,(SUM($AO35:BF35)*$AH35)-SUM($HM35:ID35)-SUM($CW35:DN35)))</f>
        <v>0</v>
      </c>
      <c r="JI35" s="141">
        <f>IF(ISBLANK($A35),,IF($AN35="Não",0,(SUM($AO35:BG35)*$AH35)-SUM($HM35:IE35)-SUM($CW35:DO35)))</f>
        <v>0</v>
      </c>
      <c r="JJ35" s="141">
        <f>IF(ISBLANK($A35),,IF($AN35="Não",0,(SUM($AO35:BH35)*$AH35)-SUM($HM35:IF35)-SUM($CW35:DP35)))</f>
        <v>0</v>
      </c>
      <c r="JK35" s="141">
        <f>IF(ISBLANK($A35),,IF($AN35="Não",0,(SUM($AO35:BI35)*$AH35)-SUM($HM35:IG35)-SUM($CW35:DQ35)))</f>
        <v>0</v>
      </c>
      <c r="JL35" s="141">
        <f>IF(ISBLANK($A35),,IF($AN35="Não",0,(SUM($AO35:BJ35)*$AH35)-SUM($HM35:IH35)-SUM($CW35:DR35)))</f>
        <v>0</v>
      </c>
      <c r="JM35" s="141">
        <f>IF(ISBLANK($A35),,IF($AN35="Não",0,(SUM($AO35:BK35)*$AH35)-SUM($HM35:II35)-SUM($CW35:DS35)))</f>
        <v>0</v>
      </c>
      <c r="JN35" s="141">
        <f>IF(ISBLANK($A35),,IF($AN35="Não",0,(SUM($AO35:BL35)*$AH35)-SUM($HM35:IJ35)-SUM($CW35:DT35)))</f>
        <v>0</v>
      </c>
      <c r="JO35" s="141">
        <f>IF(ISBLANK($A35),,IF($AN35="Não",0,(SUM($AO35:BM35)*$AH35)-SUM($HM35:IK35)-SUM($CW35:DU35)))</f>
        <v>0</v>
      </c>
      <c r="JP35" s="141">
        <f>IF(ISBLANK($A35),,IF($AN35="Não",0,(SUM($AO35:BN35)*$AH35)-SUM($HM35:IL35)-SUM($CW35:DV35)))</f>
        <v>0</v>
      </c>
      <c r="JQ35" s="141">
        <f>IF(ISBLANK($A35),,IF($AN35="Não",0,(SUM($AO35:BO35)*$AH35)-SUM($HM35:IM35)-SUM($CW35:DW35)))</f>
        <v>0</v>
      </c>
      <c r="JR35" s="141">
        <f>IF(ISBLANK($A35),,IF($AN35="Não",0,(SUM($AO35:BP35)*$AH35)-SUM($HM35:IN35)-SUM($CW35:DX35)))</f>
        <v>0</v>
      </c>
      <c r="JS35" s="141">
        <f>IF(ISBLANK($A35),,IF($AN35="Não",0,(SUM($AO35:BQ35)*$AH35)-SUM($HM35:IO35)-SUM($CW35:DY35)))</f>
        <v>0</v>
      </c>
      <c r="JT35" s="141">
        <f>IF(ISBLANK($A35),,IF($AN35="Não",0,(SUM($AO35:BR35)*$AH35)-SUM($HM35:IP35)-SUM($CW35:DZ35)))</f>
        <v>0</v>
      </c>
    </row>
    <row r="36" spans="1:280" ht="15.75" customHeight="1">
      <c r="A36" s="129" t="s">
        <v>362</v>
      </c>
      <c r="B36" s="129" t="s">
        <v>209</v>
      </c>
      <c r="C36" s="138" t="s">
        <v>79</v>
      </c>
      <c r="D36" s="144">
        <v>2391.1999999999998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607">
        <f t="shared" si="0"/>
        <v>47.300000000000004</v>
      </c>
      <c r="AI36" s="608">
        <f t="shared" si="1"/>
        <v>30</v>
      </c>
      <c r="AJ36" s="609">
        <f t="shared" si="2"/>
        <v>1</v>
      </c>
      <c r="AK36" s="610" t="str">
        <f t="shared" si="3"/>
        <v>Infraestrutura</v>
      </c>
      <c r="AL36" s="609">
        <f t="shared" si="4"/>
        <v>0.1</v>
      </c>
      <c r="AM36" s="611" t="str">
        <f t="shared" si="5"/>
        <v>Sim</v>
      </c>
      <c r="AN36" s="611" t="str">
        <f t="shared" si="6"/>
        <v>Não</v>
      </c>
      <c r="AO36" s="140">
        <f t="array" ref="AO36">IF(ISBLANK($A36),0,IF(OR(AO$5-$AI36&lt;=0,$AM36="Não"),D36,D36+INDEX($AO$6:$BR$176,ROW()-5,COLUMN()-40-$AI36)))*IF($B36="Operacional",IFERROR(VLOOKUP($C36,SN_UGC,28,0),0),1)</f>
        <v>2391.1999999999998</v>
      </c>
      <c r="AP36" s="140">
        <f t="array" ref="AP36">IF(ISBLANK($A36),0,IF(OR(AP$5-$AI36&lt;=0,$AM36="Não"),E36,E36+INDEX($AO$6:$BR$176,ROW()-5,COLUMN()-40-$AI36)))*IF($B36="Operacional",IFERROR(VLOOKUP($C36,SN_UGC,28,0),0),1)</f>
        <v>0</v>
      </c>
      <c r="AQ36" s="140">
        <f t="array" ref="AQ36">IF(ISBLANK($A36),0,IF(OR(AQ$5-$AI36&lt;=0,$AM36="Não"),F36,F36+INDEX($AO$6:$BR$176,ROW()-5,COLUMN()-40-$AI36)))*IF($B36="Operacional",IFERROR(VLOOKUP($C36,SN_UGC,28,0),0),1)</f>
        <v>0</v>
      </c>
      <c r="AR36" s="140">
        <f t="array" ref="AR36">IF(ISBLANK($A36),0,IF(OR(AR$5-$AI36&lt;=0,$AM36="Não"),G36,G36+INDEX($AO$6:$BR$176,ROW()-5,COLUMN()-40-$AI36)))*IF($B36="Operacional",IFERROR(VLOOKUP($C36,SN_UGC,28,0),0),1)</f>
        <v>0</v>
      </c>
      <c r="AS36" s="140">
        <f t="array" ref="AS36">IF(ISBLANK($A36),0,IF(OR(AS$5-$AI36&lt;=0,$AM36="Não"),H36,H36+INDEX($AO$6:$BR$176,ROW()-5,COLUMN()-40-$AI36)))*IF($B36="Operacional",IFERROR(VLOOKUP($C36,SN_UGC,28,0),0),1)</f>
        <v>0</v>
      </c>
      <c r="AT36" s="140">
        <f t="array" ref="AT36">IF(ISBLANK($A36),0,IF(OR(AT$5-$AI36&lt;=0,$AM36="Não"),I36,I36+INDEX($AO$6:$BR$176,ROW()-5,COLUMN()-40-$AI36)))*IF($B36="Operacional",IFERROR(VLOOKUP($C36,SN_UGC,28,0),0),1)</f>
        <v>0</v>
      </c>
      <c r="AU36" s="140">
        <f t="array" ref="AU36">IF(ISBLANK($A36),0,IF(OR(AU$5-$AI36&lt;=0,$AM36="Não"),J36,J36+INDEX($AO$6:$BR$176,ROW()-5,COLUMN()-40-$AI36)))*IF($B36="Operacional",IFERROR(VLOOKUP($C36,SN_UGC,28,0),0),1)</f>
        <v>0</v>
      </c>
      <c r="AV36" s="140">
        <f t="array" ref="AV36">IF(ISBLANK($A36),0,IF(OR(AV$5-$AI36&lt;=0,$AM36="Não"),K36,K36+INDEX($AO$6:$BR$176,ROW()-5,COLUMN()-40-$AI36)))*IF($B36="Operacional",IFERROR(VLOOKUP($C36,SN_UGC,28,0),0),1)</f>
        <v>0</v>
      </c>
      <c r="AW36" s="140">
        <f t="array" ref="AW36">IF(ISBLANK($A36),0,IF(OR(AW$5-$AI36&lt;=0,$AM36="Não"),L36,L36+INDEX($AO$6:$BR$176,ROW()-5,COLUMN()-40-$AI36)))*IF($B36="Operacional",IFERROR(VLOOKUP($C36,SN_UGC,28,0),0),1)</f>
        <v>0</v>
      </c>
      <c r="AX36" s="140">
        <f t="array" ref="AX36">IF(ISBLANK($A36),0,IF(OR(AX$5-$AI36&lt;=0,$AM36="Não"),M36,M36+INDEX($AO$6:$BR$176,ROW()-5,COLUMN()-40-$AI36)))*IF($B36="Operacional",IFERROR(VLOOKUP($C36,SN_UGC,28,0),0),1)</f>
        <v>0</v>
      </c>
      <c r="AY36" s="140">
        <f t="array" ref="AY36">IF(ISBLANK($A36),0,IF(OR(AY$5-$AI36&lt;=0,$AM36="Não"),N36,N36+INDEX($AO$6:$BR$176,ROW()-5,COLUMN()-40-$AI36)))*IF($B36="Operacional",IFERROR(VLOOKUP($C36,SN_UGC,28,0),0),1)</f>
        <v>0</v>
      </c>
      <c r="AZ36" s="140">
        <f t="array" ref="AZ36">IF(ISBLANK($A36),0,IF(OR(AZ$5-$AI36&lt;=0,$AM36="Não"),O36,O36+INDEX($AO$6:$BR$176,ROW()-5,COLUMN()-40-$AI36)))*IF($B36="Operacional",IFERROR(VLOOKUP($C36,SN_UGC,28,0),0),1)</f>
        <v>0</v>
      </c>
      <c r="BA36" s="140">
        <f t="array" ref="BA36">IF(ISBLANK($A36),0,IF(OR(BA$5-$AI36&lt;=0,$AM36="Não"),P36,P36+INDEX($AO$6:$BR$176,ROW()-5,COLUMN()-40-$AI36)))*IF($B36="Operacional",IFERROR(VLOOKUP($C36,SN_UGC,28,0),0),1)</f>
        <v>0</v>
      </c>
      <c r="BB36" s="140">
        <f t="array" ref="BB36">IF(ISBLANK($A36),0,IF(OR(BB$5-$AI36&lt;=0,$AM36="Não"),Q36,Q36+INDEX($AO$6:$BR$176,ROW()-5,COLUMN()-40-$AI36)))*IF($B36="Operacional",IFERROR(VLOOKUP($C36,SN_UGC,28,0),0),1)</f>
        <v>0</v>
      </c>
      <c r="BC36" s="140">
        <f t="array" ref="BC36">IF(ISBLANK($A36),0,IF(OR(BC$5-$AI36&lt;=0,$AM36="Não"),R36,R36+INDEX($AO$6:$BR$176,ROW()-5,COLUMN()-40-$AI36)))*IF($B36="Operacional",IFERROR(VLOOKUP($C36,SN_UGC,28,0),0),1)</f>
        <v>0</v>
      </c>
      <c r="BD36" s="140">
        <f t="array" ref="BD36">IF(ISBLANK($A36),0,IF(OR(BD$5-$AI36&lt;=0,$AM36="Não"),S36,S36+INDEX($AO$6:$BR$176,ROW()-5,COLUMN()-40-$AI36)))*IF($B36="Operacional",IFERROR(VLOOKUP($C36,SN_UGC,28,0),0),1)</f>
        <v>0</v>
      </c>
      <c r="BE36" s="140">
        <f t="array" ref="BE36">IF(ISBLANK($A36),0,IF(OR(BE$5-$AI36&lt;=0,$AM36="Não"),T36,T36+INDEX($AO$6:$BR$176,ROW()-5,COLUMN()-40-$AI36)))*IF($B36="Operacional",IFERROR(VLOOKUP($C36,SN_UGC,28,0),0),1)</f>
        <v>0</v>
      </c>
      <c r="BF36" s="140">
        <f t="array" ref="BF36">IF(ISBLANK($A36),0,IF(OR(BF$5-$AI36&lt;=0,$AM36="Não"),U36,U36+INDEX($AO$6:$BR$176,ROW()-5,COLUMN()-40-$AI36)))*IF($B36="Operacional",IFERROR(VLOOKUP($C36,SN_UGC,28,0),0),1)</f>
        <v>0</v>
      </c>
      <c r="BG36" s="140">
        <f t="array" ref="BG36">IF(ISBLANK($A36),0,IF(OR(BG$5-$AI36&lt;=0,$AM36="Não"),V36,V36+INDEX($AO$6:$BR$176,ROW()-5,COLUMN()-40-$AI36)))*IF($B36="Operacional",IFERROR(VLOOKUP($C36,SN_UGC,28,0),0),1)</f>
        <v>0</v>
      </c>
      <c r="BH36" s="140">
        <f t="array" ref="BH36">IF(ISBLANK($A36),0,IF(OR(BH$5-$AI36&lt;=0,$AM36="Não"),W36,W36+INDEX($AO$6:$BR$176,ROW()-5,COLUMN()-40-$AI36)))*IF($B36="Operacional",IFERROR(VLOOKUP($C36,SN_UGC,28,0),0),1)</f>
        <v>0</v>
      </c>
      <c r="BI36" s="140">
        <f t="array" ref="BI36">IF(ISBLANK($A36),0,IF(OR(BI$5-$AI36&lt;=0,$AM36="Não"),X36,X36+INDEX($AO$6:$BR$176,ROW()-5,COLUMN()-40-$AI36)))*IF($B36="Operacional",IFERROR(VLOOKUP($C36,SN_UGC,28,0),0),1)</f>
        <v>0</v>
      </c>
      <c r="BJ36" s="140">
        <f t="array" ref="BJ36">IF(ISBLANK($A36),0,IF(OR(BJ$5-$AI36&lt;=0,$AM36="Não"),Y36,Y36+INDEX($AO$6:$BR$176,ROW()-5,COLUMN()-40-$AI36)))*IF($B36="Operacional",IFERROR(VLOOKUP($C36,SN_UGC,28,0),0),1)</f>
        <v>0</v>
      </c>
      <c r="BK36" s="140">
        <f t="array" ref="BK36">IF(ISBLANK($A36),0,IF(OR(BK$5-$AI36&lt;=0,$AM36="Não"),Z36,Z36+INDEX($AO$6:$BR$176,ROW()-5,COLUMN()-40-$AI36)))*IF($B36="Operacional",IFERROR(VLOOKUP($C36,SN_UGC,28,0),0),1)</f>
        <v>0</v>
      </c>
      <c r="BL36" s="140">
        <f t="array" ref="BL36">IF(ISBLANK($A36),0,IF(OR(BL$5-$AI36&lt;=0,$AM36="Não"),AA36,AA36+INDEX($AO$6:$BR$176,ROW()-5,COLUMN()-40-$AI36)))*IF($B36="Operacional",IFERROR(VLOOKUP($C36,SN_UGC,28,0),0),1)</f>
        <v>0</v>
      </c>
      <c r="BM36" s="140">
        <f t="array" ref="BM36">IF(ISBLANK($A36),0,IF(OR(BM$5-$AI36&lt;=0,$AM36="Não"),AB36,AB36+INDEX($AO$6:$BR$176,ROW()-5,COLUMN()-40-$AI36)))*IF($B36="Operacional",IFERROR(VLOOKUP($C36,SN_UGC,28,0),0),1)</f>
        <v>0</v>
      </c>
      <c r="BN36" s="140">
        <f t="array" ref="BN36">IF(ISBLANK($A36),0,IF(OR(BN$5-$AI36&lt;=0,$AM36="Não"),AC36,AC36+INDEX($AO$6:$BR$176,ROW()-5,COLUMN()-40-$AI36)))*IF($B36="Operacional",IFERROR(VLOOKUP($C36,SN_UGC,28,0),0),1)</f>
        <v>0</v>
      </c>
      <c r="BO36" s="140">
        <f t="array" ref="BO36">IF(ISBLANK($A36),0,IF(OR(BO$5-$AI36&lt;=0,$AM36="Não"),AD36,AD36+INDEX($AO$6:$BR$176,ROW()-5,COLUMN()-40-$AI36)))*IF($B36="Operacional",IFERROR(VLOOKUP($C36,SN_UGC,28,0),0),1)</f>
        <v>0</v>
      </c>
      <c r="BP36" s="140">
        <f t="array" ref="BP36">IF(ISBLANK($A36),0,IF(OR(BP$5-$AI36&lt;=0,$AM36="Não"),AE36,AE36+INDEX($AO$6:$BR$176,ROW()-5,COLUMN()-40-$AI36)))*IF($B36="Operacional",IFERROR(VLOOKUP($C36,SN_UGC,28,0),0),1)</f>
        <v>0</v>
      </c>
      <c r="BQ36" s="140">
        <f t="array" ref="BQ36">IF(ISBLANK($A36),0,IF(OR(BQ$5-$AI36&lt;=0,$AM36="Não"),AF36,AF36+INDEX($AO$6:$BR$176,ROW()-5,COLUMN()-40-$AI36)))*IF($B36="Operacional",IFERROR(VLOOKUP($C36,SN_UGC,28,0),0),1)</f>
        <v>0</v>
      </c>
      <c r="BR36" s="140">
        <f t="array" ref="BR36">IF(ISBLANK($A36),0,IF(OR(BR$5-$AI36&lt;=0,$AM36="Não"),AG36,AG36+INDEX($AO$6:$BR$176,ROW()-5,COLUMN()-40-$AI36)))*IF($B36="Operacional",IFERROR(VLOOKUP($C36,SN_UGC,28,0),0),1)</f>
        <v>0</v>
      </c>
      <c r="BS36" s="141">
        <f t="shared" ref="BS36:CV36" si="157">IF(ISBLANK($A36),0,$AH36*AO36)</f>
        <v>113103.76</v>
      </c>
      <c r="BT36" s="141">
        <f t="shared" si="157"/>
        <v>0</v>
      </c>
      <c r="BU36" s="141">
        <f t="shared" si="157"/>
        <v>0</v>
      </c>
      <c r="BV36" s="141">
        <f t="shared" si="157"/>
        <v>0</v>
      </c>
      <c r="BW36" s="141">
        <f t="shared" si="157"/>
        <v>0</v>
      </c>
      <c r="BX36" s="141">
        <f t="shared" si="157"/>
        <v>0</v>
      </c>
      <c r="BY36" s="141">
        <f t="shared" si="157"/>
        <v>0</v>
      </c>
      <c r="BZ36" s="141">
        <f t="shared" si="157"/>
        <v>0</v>
      </c>
      <c r="CA36" s="141">
        <f t="shared" si="157"/>
        <v>0</v>
      </c>
      <c r="CB36" s="141">
        <f t="shared" si="157"/>
        <v>0</v>
      </c>
      <c r="CC36" s="141">
        <f t="shared" si="157"/>
        <v>0</v>
      </c>
      <c r="CD36" s="141">
        <f t="shared" si="157"/>
        <v>0</v>
      </c>
      <c r="CE36" s="141">
        <f t="shared" si="157"/>
        <v>0</v>
      </c>
      <c r="CF36" s="141">
        <f t="shared" si="157"/>
        <v>0</v>
      </c>
      <c r="CG36" s="141">
        <f t="shared" si="157"/>
        <v>0</v>
      </c>
      <c r="CH36" s="141">
        <f t="shared" si="157"/>
        <v>0</v>
      </c>
      <c r="CI36" s="141">
        <f t="shared" si="157"/>
        <v>0</v>
      </c>
      <c r="CJ36" s="141">
        <f t="shared" si="157"/>
        <v>0</v>
      </c>
      <c r="CK36" s="141">
        <f t="shared" si="157"/>
        <v>0</v>
      </c>
      <c r="CL36" s="141">
        <f t="shared" si="157"/>
        <v>0</v>
      </c>
      <c r="CM36" s="141">
        <f t="shared" si="157"/>
        <v>0</v>
      </c>
      <c r="CN36" s="141">
        <f t="shared" si="157"/>
        <v>0</v>
      </c>
      <c r="CO36" s="141">
        <f t="shared" si="157"/>
        <v>0</v>
      </c>
      <c r="CP36" s="141">
        <f t="shared" si="157"/>
        <v>0</v>
      </c>
      <c r="CQ36" s="141">
        <f t="shared" si="157"/>
        <v>0</v>
      </c>
      <c r="CR36" s="141">
        <f t="shared" si="157"/>
        <v>0</v>
      </c>
      <c r="CS36" s="141">
        <f t="shared" si="157"/>
        <v>0</v>
      </c>
      <c r="CT36" s="141">
        <f t="shared" si="157"/>
        <v>0</v>
      </c>
      <c r="CU36" s="141">
        <f t="shared" si="157"/>
        <v>0</v>
      </c>
      <c r="CV36" s="141">
        <f t="shared" si="157"/>
        <v>0</v>
      </c>
      <c r="CW36" s="142">
        <f t="shared" ref="CW36:DZ36" si="158">EA36*$AH36*$AJ36</f>
        <v>0</v>
      </c>
      <c r="CX36" s="142">
        <f t="shared" si="158"/>
        <v>0</v>
      </c>
      <c r="CY36" s="142">
        <f t="shared" si="158"/>
        <v>0</v>
      </c>
      <c r="CZ36" s="142">
        <f t="shared" si="158"/>
        <v>0</v>
      </c>
      <c r="DA36" s="142">
        <f t="shared" si="158"/>
        <v>0</v>
      </c>
      <c r="DB36" s="142">
        <f t="shared" si="158"/>
        <v>0</v>
      </c>
      <c r="DC36" s="142">
        <f t="shared" si="158"/>
        <v>0</v>
      </c>
      <c r="DD36" s="142">
        <f t="shared" si="158"/>
        <v>0</v>
      </c>
      <c r="DE36" s="142">
        <f t="shared" si="158"/>
        <v>0</v>
      </c>
      <c r="DF36" s="142">
        <f t="shared" si="158"/>
        <v>0</v>
      </c>
      <c r="DG36" s="142">
        <f t="shared" si="158"/>
        <v>0</v>
      </c>
      <c r="DH36" s="142">
        <f t="shared" si="158"/>
        <v>0</v>
      </c>
      <c r="DI36" s="142">
        <f t="shared" si="158"/>
        <v>0</v>
      </c>
      <c r="DJ36" s="142">
        <f t="shared" si="158"/>
        <v>0</v>
      </c>
      <c r="DK36" s="142">
        <f t="shared" si="158"/>
        <v>0</v>
      </c>
      <c r="DL36" s="142">
        <f t="shared" si="158"/>
        <v>0</v>
      </c>
      <c r="DM36" s="142">
        <f t="shared" si="158"/>
        <v>0</v>
      </c>
      <c r="DN36" s="142">
        <f t="shared" si="158"/>
        <v>0</v>
      </c>
      <c r="DO36" s="142">
        <f t="shared" si="158"/>
        <v>0</v>
      </c>
      <c r="DP36" s="142">
        <f t="shared" si="158"/>
        <v>0</v>
      </c>
      <c r="DQ36" s="142">
        <f t="shared" si="158"/>
        <v>0</v>
      </c>
      <c r="DR36" s="142">
        <f t="shared" si="158"/>
        <v>0</v>
      </c>
      <c r="DS36" s="142">
        <f t="shared" si="158"/>
        <v>0</v>
      </c>
      <c r="DT36" s="142">
        <f t="shared" si="158"/>
        <v>0</v>
      </c>
      <c r="DU36" s="142">
        <f t="shared" si="158"/>
        <v>0</v>
      </c>
      <c r="DV36" s="142">
        <f t="shared" si="158"/>
        <v>0</v>
      </c>
      <c r="DW36" s="142">
        <f t="shared" si="158"/>
        <v>0</v>
      </c>
      <c r="DX36" s="142">
        <f t="shared" si="158"/>
        <v>0</v>
      </c>
      <c r="DY36" s="142">
        <f t="shared" si="158"/>
        <v>0</v>
      </c>
      <c r="DZ36" s="142">
        <f t="shared" si="158"/>
        <v>0</v>
      </c>
      <c r="EA36" s="143">
        <f t="shared" si="9"/>
        <v>0</v>
      </c>
      <c r="EB36" s="143">
        <f t="shared" si="10"/>
        <v>0</v>
      </c>
      <c r="EC36" s="143">
        <f t="shared" si="11"/>
        <v>0</v>
      </c>
      <c r="ED36" s="143">
        <f t="shared" si="12"/>
        <v>0</v>
      </c>
      <c r="EE36" s="143">
        <f t="shared" si="13"/>
        <v>0</v>
      </c>
      <c r="EF36" s="143">
        <f t="shared" si="14"/>
        <v>0</v>
      </c>
      <c r="EG36" s="143">
        <f t="shared" si="15"/>
        <v>0</v>
      </c>
      <c r="EH36" s="143">
        <f t="shared" si="16"/>
        <v>0</v>
      </c>
      <c r="EI36" s="143">
        <f t="shared" si="17"/>
        <v>0</v>
      </c>
      <c r="EJ36" s="143">
        <f t="shared" si="18"/>
        <v>0</v>
      </c>
      <c r="EK36" s="143">
        <f t="shared" si="19"/>
        <v>0</v>
      </c>
      <c r="EL36" s="143">
        <f t="shared" si="20"/>
        <v>0</v>
      </c>
      <c r="EM36" s="143">
        <f t="shared" si="21"/>
        <v>0</v>
      </c>
      <c r="EN36" s="143">
        <f t="shared" si="22"/>
        <v>0</v>
      </c>
      <c r="EO36" s="143">
        <f t="shared" si="23"/>
        <v>0</v>
      </c>
      <c r="EP36" s="143">
        <f t="shared" si="24"/>
        <v>0</v>
      </c>
      <c r="EQ36" s="143">
        <f t="shared" si="25"/>
        <v>0</v>
      </c>
      <c r="ER36" s="143">
        <f t="shared" si="26"/>
        <v>0</v>
      </c>
      <c r="ES36" s="143">
        <f t="shared" si="27"/>
        <v>0</v>
      </c>
      <c r="ET36" s="143">
        <f t="shared" si="28"/>
        <v>0</v>
      </c>
      <c r="EU36" s="143">
        <f t="shared" si="29"/>
        <v>0</v>
      </c>
      <c r="EV36" s="143">
        <f t="shared" si="30"/>
        <v>0</v>
      </c>
      <c r="EW36" s="143">
        <f t="shared" si="31"/>
        <v>0</v>
      </c>
      <c r="EX36" s="143">
        <f t="shared" si="32"/>
        <v>0</v>
      </c>
      <c r="EY36" s="143">
        <f t="shared" si="33"/>
        <v>0</v>
      </c>
      <c r="EZ36" s="143">
        <f t="shared" si="34"/>
        <v>0</v>
      </c>
      <c r="FA36" s="143">
        <f t="shared" si="35"/>
        <v>0</v>
      </c>
      <c r="FB36" s="143">
        <f t="shared" si="36"/>
        <v>0</v>
      </c>
      <c r="FC36" s="143">
        <f t="shared" si="37"/>
        <v>0</v>
      </c>
      <c r="FD36" s="143">
        <f t="shared" si="38"/>
        <v>0</v>
      </c>
      <c r="FE36" s="140">
        <f>SUM($D36:D36)*IF($B36="Operacional",IFERROR(VLOOKUP($C36,SN_UGC,28,0),0),1)</f>
        <v>2391.1999999999998</v>
      </c>
      <c r="FF36" s="140">
        <f>SUM($D36:E36)*IF($B36="Operacional",IFERROR(VLOOKUP($C36,SN_UGC,28,0),0),1)</f>
        <v>2391.1999999999998</v>
      </c>
      <c r="FG36" s="140">
        <f>SUM($D36:F36)*IF($B36="Operacional",IFERROR(VLOOKUP($C36,SN_UGC,28,0),0),1)</f>
        <v>2391.1999999999998</v>
      </c>
      <c r="FH36" s="140">
        <f>SUM($D36:G36)*IF($B36="Operacional",IFERROR(VLOOKUP($C36,SN_UGC,28,0),0),1)</f>
        <v>2391.1999999999998</v>
      </c>
      <c r="FI36" s="140">
        <f>SUM($D36:H36)*IF($B36="Operacional",IFERROR(VLOOKUP($C36,SN_UGC,28,0),0),1)</f>
        <v>2391.1999999999998</v>
      </c>
      <c r="FJ36" s="140">
        <f>SUM($D36:I36)*IF($B36="Operacional",IFERROR(VLOOKUP($C36,SN_UGC,28,0),0),1)</f>
        <v>2391.1999999999998</v>
      </c>
      <c r="FK36" s="140">
        <f>SUM($D36:J36)*IF($B36="Operacional",IFERROR(VLOOKUP($C36,SN_UGC,28,0),0),1)</f>
        <v>2391.1999999999998</v>
      </c>
      <c r="FL36" s="140">
        <f>SUM($D36:K36)*IF($B36="Operacional",IFERROR(VLOOKUP($C36,SN_UGC,28,0),0),1)</f>
        <v>2391.1999999999998</v>
      </c>
      <c r="FM36" s="140">
        <f>SUM($D36:L36)*IF($B36="Operacional",IFERROR(VLOOKUP($C36,SN_UGC,28,0),0),1)</f>
        <v>2391.1999999999998</v>
      </c>
      <c r="FN36" s="140">
        <f>SUM($D36:M36)*IF($B36="Operacional",IFERROR(VLOOKUP($C36,SN_UGC,28,0),0),1)</f>
        <v>2391.1999999999998</v>
      </c>
      <c r="FO36" s="140">
        <f>SUM($D36:N36)*IF($B36="Operacional",IFERROR(VLOOKUP($C36,SN_UGC,28,0),0),1)</f>
        <v>2391.1999999999998</v>
      </c>
      <c r="FP36" s="140">
        <f>SUM($D36:O36)*IF($B36="Operacional",IFERROR(VLOOKUP($C36,SN_UGC,28,0),0),1)</f>
        <v>2391.1999999999998</v>
      </c>
      <c r="FQ36" s="140">
        <f>SUM($D36:P36)*IF($B36="Operacional",IFERROR(VLOOKUP($C36,SN_UGC,28,0),0),1)</f>
        <v>2391.1999999999998</v>
      </c>
      <c r="FR36" s="140">
        <f>SUM($D36:Q36)*IF($B36="Operacional",IFERROR(VLOOKUP($C36,SN_UGC,28,0),0),1)</f>
        <v>2391.1999999999998</v>
      </c>
      <c r="FS36" s="140">
        <f>SUM($D36:R36)*IF($B36="Operacional",IFERROR(VLOOKUP($C36,SN_UGC,28,0),0),1)</f>
        <v>2391.1999999999998</v>
      </c>
      <c r="FT36" s="140">
        <f>SUM($D36:S36)*IF($B36="Operacional",IFERROR(VLOOKUP($C36,SN_UGC,28,0),0),1)</f>
        <v>2391.1999999999998</v>
      </c>
      <c r="FU36" s="140">
        <f>SUM($D36:T36)*IF($B36="Operacional",IFERROR(VLOOKUP($C36,SN_UGC,28,0),0),1)</f>
        <v>2391.1999999999998</v>
      </c>
      <c r="FV36" s="140">
        <f>SUM($D36:U36)*IF($B36="Operacional",IFERROR(VLOOKUP($C36,SN_UGC,28,0),0),1)</f>
        <v>2391.1999999999998</v>
      </c>
      <c r="FW36" s="140">
        <f>SUM($D36:V36)*IF($B36="Operacional",IFERROR(VLOOKUP($C36,SN_UGC,28,0),0),1)</f>
        <v>2391.1999999999998</v>
      </c>
      <c r="FX36" s="140">
        <f>SUM($D36:W36)*IF($B36="Operacional",IFERROR(VLOOKUP($C36,SN_UGC,28,0),0),1)</f>
        <v>2391.1999999999998</v>
      </c>
      <c r="FY36" s="140">
        <f>SUM($D36:X36)*IF($B36="Operacional",IFERROR(VLOOKUP($C36,SN_UGC,28,0),0),1)</f>
        <v>2391.1999999999998</v>
      </c>
      <c r="FZ36" s="140">
        <f>SUM($D36:Y36)*IF($B36="Operacional",IFERROR(VLOOKUP($C36,SN_UGC,28,0),0),1)</f>
        <v>2391.1999999999998</v>
      </c>
      <c r="GA36" s="140">
        <f>SUM($D36:Z36)*IF($B36="Operacional",IFERROR(VLOOKUP($C36,SN_UGC,28,0),0),1)</f>
        <v>2391.1999999999998</v>
      </c>
      <c r="GB36" s="140">
        <f>SUM($D36:AA36)*IF($B36="Operacional",IFERROR(VLOOKUP($C36,SN_UGC,28,0),0),1)</f>
        <v>2391.1999999999998</v>
      </c>
      <c r="GC36" s="140">
        <f>SUM($D36:AB36)*IF($B36="Operacional",IFERROR(VLOOKUP($C36,SN_UGC,28,0),0),1)</f>
        <v>2391.1999999999998</v>
      </c>
      <c r="GD36" s="140">
        <f>SUM($D36:AC36)*IF($B36="Operacional",IFERROR(VLOOKUP($C36,SN_UGC,28,0),0),1)</f>
        <v>2391.1999999999998</v>
      </c>
      <c r="GE36" s="140">
        <f>SUM($D36:AD36)*IF($B36="Operacional",IFERROR(VLOOKUP($C36,SN_UGC,28,0),0),1)</f>
        <v>2391.1999999999998</v>
      </c>
      <c r="GF36" s="140">
        <f>SUM($D36:AE36)*IF($B36="Operacional",IFERROR(VLOOKUP($C36,SN_UGC,28,0),0),1)</f>
        <v>2391.1999999999998</v>
      </c>
      <c r="GG36" s="140">
        <f>SUM($D36:AF36)*IF($B36="Operacional",IFERROR(VLOOKUP($C36,SN_UGC,28,0),0),1)</f>
        <v>2391.1999999999998</v>
      </c>
      <c r="GH36" s="140">
        <f>SUM($D36:AG36)*IF($B36="Operacional",IFERROR(VLOOKUP($C36,SN_UGC,28,0),0),1)</f>
        <v>2391.1999999999998</v>
      </c>
      <c r="GI36" s="141">
        <f t="shared" ref="GI36:HL36" si="159">FE36*$AH36*$AL36</f>
        <v>11310.376</v>
      </c>
      <c r="GJ36" s="141">
        <f t="shared" si="159"/>
        <v>11310.376</v>
      </c>
      <c r="GK36" s="141">
        <f t="shared" si="159"/>
        <v>11310.376</v>
      </c>
      <c r="GL36" s="141">
        <f t="shared" si="159"/>
        <v>11310.376</v>
      </c>
      <c r="GM36" s="141">
        <f t="shared" si="159"/>
        <v>11310.376</v>
      </c>
      <c r="GN36" s="141">
        <f t="shared" si="159"/>
        <v>11310.376</v>
      </c>
      <c r="GO36" s="141">
        <f t="shared" si="159"/>
        <v>11310.376</v>
      </c>
      <c r="GP36" s="141">
        <f t="shared" si="159"/>
        <v>11310.376</v>
      </c>
      <c r="GQ36" s="141">
        <f t="shared" si="159"/>
        <v>11310.376</v>
      </c>
      <c r="GR36" s="141">
        <f t="shared" si="159"/>
        <v>11310.376</v>
      </c>
      <c r="GS36" s="141">
        <f t="shared" si="159"/>
        <v>11310.376</v>
      </c>
      <c r="GT36" s="141">
        <f t="shared" si="159"/>
        <v>11310.376</v>
      </c>
      <c r="GU36" s="141">
        <f t="shared" si="159"/>
        <v>11310.376</v>
      </c>
      <c r="GV36" s="141">
        <f t="shared" si="159"/>
        <v>11310.376</v>
      </c>
      <c r="GW36" s="141">
        <f t="shared" si="159"/>
        <v>11310.376</v>
      </c>
      <c r="GX36" s="141">
        <f t="shared" si="159"/>
        <v>11310.376</v>
      </c>
      <c r="GY36" s="141">
        <f t="shared" si="159"/>
        <v>11310.376</v>
      </c>
      <c r="GZ36" s="141">
        <f t="shared" si="159"/>
        <v>11310.376</v>
      </c>
      <c r="HA36" s="141">
        <f t="shared" si="159"/>
        <v>11310.376</v>
      </c>
      <c r="HB36" s="141">
        <f t="shared" si="159"/>
        <v>11310.376</v>
      </c>
      <c r="HC36" s="141">
        <f t="shared" si="159"/>
        <v>11310.376</v>
      </c>
      <c r="HD36" s="141">
        <f t="shared" si="159"/>
        <v>11310.376</v>
      </c>
      <c r="HE36" s="141">
        <f t="shared" si="159"/>
        <v>11310.376</v>
      </c>
      <c r="HF36" s="141">
        <f t="shared" si="159"/>
        <v>11310.376</v>
      </c>
      <c r="HG36" s="141">
        <f t="shared" si="159"/>
        <v>11310.376</v>
      </c>
      <c r="HH36" s="141">
        <f t="shared" si="159"/>
        <v>11310.376</v>
      </c>
      <c r="HI36" s="141">
        <f t="shared" si="159"/>
        <v>11310.376</v>
      </c>
      <c r="HJ36" s="141">
        <f t="shared" si="159"/>
        <v>11310.376</v>
      </c>
      <c r="HK36" s="141">
        <f t="shared" si="159"/>
        <v>11310.376</v>
      </c>
      <c r="HL36" s="141">
        <f t="shared" si="159"/>
        <v>11310.376</v>
      </c>
      <c r="HM36" s="142">
        <f t="shared" ref="HM36:IP36" si="160">IF(ISBLANK($A36),,FE36*($AH36-($AH36*$AJ36))/$AI36)</f>
        <v>0</v>
      </c>
      <c r="HN36" s="142">
        <f t="shared" si="160"/>
        <v>0</v>
      </c>
      <c r="HO36" s="142">
        <f t="shared" si="160"/>
        <v>0</v>
      </c>
      <c r="HP36" s="142">
        <f t="shared" si="160"/>
        <v>0</v>
      </c>
      <c r="HQ36" s="142">
        <f t="shared" si="160"/>
        <v>0</v>
      </c>
      <c r="HR36" s="142">
        <f t="shared" si="160"/>
        <v>0</v>
      </c>
      <c r="HS36" s="142">
        <f t="shared" si="160"/>
        <v>0</v>
      </c>
      <c r="HT36" s="142">
        <f t="shared" si="160"/>
        <v>0</v>
      </c>
      <c r="HU36" s="142">
        <f t="shared" si="160"/>
        <v>0</v>
      </c>
      <c r="HV36" s="142">
        <f t="shared" si="160"/>
        <v>0</v>
      </c>
      <c r="HW36" s="142">
        <f t="shared" si="160"/>
        <v>0</v>
      </c>
      <c r="HX36" s="142">
        <f t="shared" si="160"/>
        <v>0</v>
      </c>
      <c r="HY36" s="142">
        <f t="shared" si="160"/>
        <v>0</v>
      </c>
      <c r="HZ36" s="142">
        <f t="shared" si="160"/>
        <v>0</v>
      </c>
      <c r="IA36" s="142">
        <f t="shared" si="160"/>
        <v>0</v>
      </c>
      <c r="IB36" s="142">
        <f t="shared" si="160"/>
        <v>0</v>
      </c>
      <c r="IC36" s="142">
        <f t="shared" si="160"/>
        <v>0</v>
      </c>
      <c r="ID36" s="142">
        <f t="shared" si="160"/>
        <v>0</v>
      </c>
      <c r="IE36" s="142">
        <f t="shared" si="160"/>
        <v>0</v>
      </c>
      <c r="IF36" s="142">
        <f t="shared" si="160"/>
        <v>0</v>
      </c>
      <c r="IG36" s="142">
        <f t="shared" si="160"/>
        <v>0</v>
      </c>
      <c r="IH36" s="142">
        <f t="shared" si="160"/>
        <v>0</v>
      </c>
      <c r="II36" s="142">
        <f t="shared" si="160"/>
        <v>0</v>
      </c>
      <c r="IJ36" s="142">
        <f t="shared" si="160"/>
        <v>0</v>
      </c>
      <c r="IK36" s="142">
        <f t="shared" si="160"/>
        <v>0</v>
      </c>
      <c r="IL36" s="142">
        <f t="shared" si="160"/>
        <v>0</v>
      </c>
      <c r="IM36" s="142">
        <f t="shared" si="160"/>
        <v>0</v>
      </c>
      <c r="IN36" s="142">
        <f t="shared" si="160"/>
        <v>0</v>
      </c>
      <c r="IO36" s="142">
        <f t="shared" si="160"/>
        <v>0</v>
      </c>
      <c r="IP36" s="142">
        <f t="shared" si="160"/>
        <v>0</v>
      </c>
      <c r="IQ36" s="141">
        <f>IF(ISBLANK($A36),,IF($AN36="Não",0,(SUM($AO36:AO36)*$AH36)-SUM($HM36:HM36)-SUM($CW36:CW36)))</f>
        <v>0</v>
      </c>
      <c r="IR36" s="141">
        <f>IF(ISBLANK($A36),,IF($AN36="Não",0,(SUM($AO36:AP36)*$AH36)-SUM($HM36:HN36)-SUM($CW36:CX36)))</f>
        <v>0</v>
      </c>
      <c r="IS36" s="141">
        <f>IF(ISBLANK($A36),,IF($AN36="Não",0,(SUM($AO36:AQ36)*$AH36)-SUM($HM36:HO36)-SUM($CW36:CY36)))</f>
        <v>0</v>
      </c>
      <c r="IT36" s="141">
        <f>IF(ISBLANK($A36),,IF($AN36="Não",0,(SUM($AO36:AR36)*$AH36)-SUM($HM36:HP36)-SUM($CW36:CZ36)))</f>
        <v>0</v>
      </c>
      <c r="IU36" s="141">
        <f>IF(ISBLANK($A36),,IF($AN36="Não",0,(SUM($AO36:AS36)*$AH36)-SUM($HM36:HQ36)-SUM($CW36:DA36)))</f>
        <v>0</v>
      </c>
      <c r="IV36" s="141">
        <f>IF(ISBLANK($A36),,IF($AN36="Não",0,(SUM($AO36:AT36)*$AH36)-SUM($HM36:HR36)-SUM($CW36:DB36)))</f>
        <v>0</v>
      </c>
      <c r="IW36" s="141">
        <f>IF(ISBLANK($A36),,IF($AN36="Não",0,(SUM($AO36:AU36)*$AH36)-SUM($HM36:HS36)-SUM($CW36:DC36)))</f>
        <v>0</v>
      </c>
      <c r="IX36" s="141">
        <f>IF(ISBLANK($A36),,IF($AN36="Não",0,(SUM($AO36:AV36)*$AH36)-SUM($HM36:HT36)-SUM($CW36:DD36)))</f>
        <v>0</v>
      </c>
      <c r="IY36" s="141">
        <f>IF(ISBLANK($A36),,IF($AN36="Não",0,(SUM($AO36:AW36)*$AH36)-SUM($HM36:HU36)-SUM($CW36:DE36)))</f>
        <v>0</v>
      </c>
      <c r="IZ36" s="141">
        <f>IF(ISBLANK($A36),,IF($AN36="Não",0,(SUM($AO36:AX36)*$AH36)-SUM($HM36:HV36)-SUM($CW36:DF36)))</f>
        <v>0</v>
      </c>
      <c r="JA36" s="141">
        <f>IF(ISBLANK($A36),,IF($AN36="Não",0,(SUM($AO36:AY36)*$AH36)-SUM($HM36:HW36)-SUM($CW36:DG36)))</f>
        <v>0</v>
      </c>
      <c r="JB36" s="141">
        <f>IF(ISBLANK($A36),,IF($AN36="Não",0,(SUM($AO36:AZ36)*$AH36)-SUM($HM36:HX36)-SUM($CW36:DH36)))</f>
        <v>0</v>
      </c>
      <c r="JC36" s="141">
        <f>IF(ISBLANK($A36),,IF($AN36="Não",0,(SUM($AO36:BA36)*$AH36)-SUM($HM36:HY36)-SUM($CW36:DI36)))</f>
        <v>0</v>
      </c>
      <c r="JD36" s="141">
        <f>IF(ISBLANK($A36),,IF($AN36="Não",0,(SUM($AO36:BB36)*$AH36)-SUM($HM36:HZ36)-SUM($CW36:DJ36)))</f>
        <v>0</v>
      </c>
      <c r="JE36" s="141">
        <f>IF(ISBLANK($A36),,IF($AN36="Não",0,(SUM($AO36:BC36)*$AH36)-SUM($HM36:IA36)-SUM($CW36:DK36)))</f>
        <v>0</v>
      </c>
      <c r="JF36" s="141">
        <f>IF(ISBLANK($A36),,IF($AN36="Não",0,(SUM($AO36:BD36)*$AH36)-SUM($HM36:IB36)-SUM($CW36:DL36)))</f>
        <v>0</v>
      </c>
      <c r="JG36" s="141">
        <f>IF(ISBLANK($A36),,IF($AN36="Não",0,(SUM($AO36:BE36)*$AH36)-SUM($HM36:IC36)-SUM($CW36:DM36)))</f>
        <v>0</v>
      </c>
      <c r="JH36" s="141">
        <f>IF(ISBLANK($A36),,IF($AN36="Não",0,(SUM($AO36:BF36)*$AH36)-SUM($HM36:ID36)-SUM($CW36:DN36)))</f>
        <v>0</v>
      </c>
      <c r="JI36" s="141">
        <f>IF(ISBLANK($A36),,IF($AN36="Não",0,(SUM($AO36:BG36)*$AH36)-SUM($HM36:IE36)-SUM($CW36:DO36)))</f>
        <v>0</v>
      </c>
      <c r="JJ36" s="141">
        <f>IF(ISBLANK($A36),,IF($AN36="Não",0,(SUM($AO36:BH36)*$AH36)-SUM($HM36:IF36)-SUM($CW36:DP36)))</f>
        <v>0</v>
      </c>
      <c r="JK36" s="141">
        <f>IF(ISBLANK($A36),,IF($AN36="Não",0,(SUM($AO36:BI36)*$AH36)-SUM($HM36:IG36)-SUM($CW36:DQ36)))</f>
        <v>0</v>
      </c>
      <c r="JL36" s="141">
        <f>IF(ISBLANK($A36),,IF($AN36="Não",0,(SUM($AO36:BJ36)*$AH36)-SUM($HM36:IH36)-SUM($CW36:DR36)))</f>
        <v>0</v>
      </c>
      <c r="JM36" s="141">
        <f>IF(ISBLANK($A36),,IF($AN36="Não",0,(SUM($AO36:BK36)*$AH36)-SUM($HM36:II36)-SUM($CW36:DS36)))</f>
        <v>0</v>
      </c>
      <c r="JN36" s="141">
        <f>IF(ISBLANK($A36),,IF($AN36="Não",0,(SUM($AO36:BL36)*$AH36)-SUM($HM36:IJ36)-SUM($CW36:DT36)))</f>
        <v>0</v>
      </c>
      <c r="JO36" s="141">
        <f>IF(ISBLANK($A36),,IF($AN36="Não",0,(SUM($AO36:BM36)*$AH36)-SUM($HM36:IK36)-SUM($CW36:DU36)))</f>
        <v>0</v>
      </c>
      <c r="JP36" s="141">
        <f>IF(ISBLANK($A36),,IF($AN36="Não",0,(SUM($AO36:BN36)*$AH36)-SUM($HM36:IL36)-SUM($CW36:DV36)))</f>
        <v>0</v>
      </c>
      <c r="JQ36" s="141">
        <f>IF(ISBLANK($A36),,IF($AN36="Não",0,(SUM($AO36:BO36)*$AH36)-SUM($HM36:IM36)-SUM($CW36:DW36)))</f>
        <v>0</v>
      </c>
      <c r="JR36" s="141">
        <f>IF(ISBLANK($A36),,IF($AN36="Não",0,(SUM($AO36:BP36)*$AH36)-SUM($HM36:IN36)-SUM($CW36:DX36)))</f>
        <v>0</v>
      </c>
      <c r="JS36" s="141">
        <f>IF(ISBLANK($A36),,IF($AN36="Não",0,(SUM($AO36:BQ36)*$AH36)-SUM($HM36:IO36)-SUM($CW36:DY36)))</f>
        <v>0</v>
      </c>
      <c r="JT36" s="141">
        <f>IF(ISBLANK($A36),,IF($AN36="Não",0,(SUM($AO36:BR36)*$AH36)-SUM($HM36:IP36)-SUM($CW36:DZ36)))</f>
        <v>0</v>
      </c>
    </row>
    <row r="37" spans="1:280" ht="15.75" customHeight="1">
      <c r="A37" s="129" t="s">
        <v>362</v>
      </c>
      <c r="B37" s="129" t="s">
        <v>209</v>
      </c>
      <c r="C37" s="138" t="s">
        <v>79</v>
      </c>
      <c r="D37" s="144">
        <v>1885.5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607">
        <f t="shared" si="0"/>
        <v>47.300000000000004</v>
      </c>
      <c r="AI37" s="608">
        <f t="shared" si="1"/>
        <v>30</v>
      </c>
      <c r="AJ37" s="609">
        <f t="shared" si="2"/>
        <v>1</v>
      </c>
      <c r="AK37" s="610" t="str">
        <f t="shared" si="3"/>
        <v>Infraestrutura</v>
      </c>
      <c r="AL37" s="609">
        <f t="shared" si="4"/>
        <v>0.1</v>
      </c>
      <c r="AM37" s="611" t="str">
        <f t="shared" si="5"/>
        <v>Sim</v>
      </c>
      <c r="AN37" s="611" t="str">
        <f t="shared" si="6"/>
        <v>Não</v>
      </c>
      <c r="AO37" s="140">
        <f t="array" ref="AO37">IF(ISBLANK($A37),0,IF(OR(AO$5-$AI37&lt;=0,$AM37="Não"),D37,D37+INDEX($AO$6:$BR$176,ROW()-5,COLUMN()-40-$AI37)))*IF($B37="Operacional",IFERROR(VLOOKUP($C37,SN_UGC,28,0),0),1)</f>
        <v>1885.5</v>
      </c>
      <c r="AP37" s="140">
        <f t="array" ref="AP37">IF(ISBLANK($A37),0,IF(OR(AP$5-$AI37&lt;=0,$AM37="Não"),E37,E37+INDEX($AO$6:$BR$176,ROW()-5,COLUMN()-40-$AI37)))*IF($B37="Operacional",IFERROR(VLOOKUP($C37,SN_UGC,28,0),0),1)</f>
        <v>0</v>
      </c>
      <c r="AQ37" s="140">
        <f t="array" ref="AQ37">IF(ISBLANK($A37),0,IF(OR(AQ$5-$AI37&lt;=0,$AM37="Não"),F37,F37+INDEX($AO$6:$BR$176,ROW()-5,COLUMN()-40-$AI37)))*IF($B37="Operacional",IFERROR(VLOOKUP($C37,SN_UGC,28,0),0),1)</f>
        <v>0</v>
      </c>
      <c r="AR37" s="140">
        <f t="array" ref="AR37">IF(ISBLANK($A37),0,IF(OR(AR$5-$AI37&lt;=0,$AM37="Não"),G37,G37+INDEX($AO$6:$BR$176,ROW()-5,COLUMN()-40-$AI37)))*IF($B37="Operacional",IFERROR(VLOOKUP($C37,SN_UGC,28,0),0),1)</f>
        <v>0</v>
      </c>
      <c r="AS37" s="140">
        <f t="array" ref="AS37">IF(ISBLANK($A37),0,IF(OR(AS$5-$AI37&lt;=0,$AM37="Não"),H37,H37+INDEX($AO$6:$BR$176,ROW()-5,COLUMN()-40-$AI37)))*IF($B37="Operacional",IFERROR(VLOOKUP($C37,SN_UGC,28,0),0),1)</f>
        <v>0</v>
      </c>
      <c r="AT37" s="140">
        <f t="array" ref="AT37">IF(ISBLANK($A37),0,IF(OR(AT$5-$AI37&lt;=0,$AM37="Não"),I37,I37+INDEX($AO$6:$BR$176,ROW()-5,COLUMN()-40-$AI37)))*IF($B37="Operacional",IFERROR(VLOOKUP($C37,SN_UGC,28,0),0),1)</f>
        <v>0</v>
      </c>
      <c r="AU37" s="140">
        <f t="array" ref="AU37">IF(ISBLANK($A37),0,IF(OR(AU$5-$AI37&lt;=0,$AM37="Não"),J37,J37+INDEX($AO$6:$BR$176,ROW()-5,COLUMN()-40-$AI37)))*IF($B37="Operacional",IFERROR(VLOOKUP($C37,SN_UGC,28,0),0),1)</f>
        <v>0</v>
      </c>
      <c r="AV37" s="140">
        <f t="array" ref="AV37">IF(ISBLANK($A37),0,IF(OR(AV$5-$AI37&lt;=0,$AM37="Não"),K37,K37+INDEX($AO$6:$BR$176,ROW()-5,COLUMN()-40-$AI37)))*IF($B37="Operacional",IFERROR(VLOOKUP($C37,SN_UGC,28,0),0),1)</f>
        <v>0</v>
      </c>
      <c r="AW37" s="140">
        <f t="array" ref="AW37">IF(ISBLANK($A37),0,IF(OR(AW$5-$AI37&lt;=0,$AM37="Não"),L37,L37+INDEX($AO$6:$BR$176,ROW()-5,COLUMN()-40-$AI37)))*IF($B37="Operacional",IFERROR(VLOOKUP($C37,SN_UGC,28,0),0),1)</f>
        <v>0</v>
      </c>
      <c r="AX37" s="140">
        <f t="array" ref="AX37">IF(ISBLANK($A37),0,IF(OR(AX$5-$AI37&lt;=0,$AM37="Não"),M37,M37+INDEX($AO$6:$BR$176,ROW()-5,COLUMN()-40-$AI37)))*IF($B37="Operacional",IFERROR(VLOOKUP($C37,SN_UGC,28,0),0),1)</f>
        <v>0</v>
      </c>
      <c r="AY37" s="140">
        <f t="array" ref="AY37">IF(ISBLANK($A37),0,IF(OR(AY$5-$AI37&lt;=0,$AM37="Não"),N37,N37+INDEX($AO$6:$BR$176,ROW()-5,COLUMN()-40-$AI37)))*IF($B37="Operacional",IFERROR(VLOOKUP($C37,SN_UGC,28,0),0),1)</f>
        <v>0</v>
      </c>
      <c r="AZ37" s="140">
        <f t="array" ref="AZ37">IF(ISBLANK($A37),0,IF(OR(AZ$5-$AI37&lt;=0,$AM37="Não"),O37,O37+INDEX($AO$6:$BR$176,ROW()-5,COLUMN()-40-$AI37)))*IF($B37="Operacional",IFERROR(VLOOKUP($C37,SN_UGC,28,0),0),1)</f>
        <v>0</v>
      </c>
      <c r="BA37" s="140">
        <f t="array" ref="BA37">IF(ISBLANK($A37),0,IF(OR(BA$5-$AI37&lt;=0,$AM37="Não"),P37,P37+INDEX($AO$6:$BR$176,ROW()-5,COLUMN()-40-$AI37)))*IF($B37="Operacional",IFERROR(VLOOKUP($C37,SN_UGC,28,0),0),1)</f>
        <v>0</v>
      </c>
      <c r="BB37" s="140">
        <f t="array" ref="BB37">IF(ISBLANK($A37),0,IF(OR(BB$5-$AI37&lt;=0,$AM37="Não"),Q37,Q37+INDEX($AO$6:$BR$176,ROW()-5,COLUMN()-40-$AI37)))*IF($B37="Operacional",IFERROR(VLOOKUP($C37,SN_UGC,28,0),0),1)</f>
        <v>0</v>
      </c>
      <c r="BC37" s="140">
        <f t="array" ref="BC37">IF(ISBLANK($A37),0,IF(OR(BC$5-$AI37&lt;=0,$AM37="Não"),R37,R37+INDEX($AO$6:$BR$176,ROW()-5,COLUMN()-40-$AI37)))*IF($B37="Operacional",IFERROR(VLOOKUP($C37,SN_UGC,28,0),0),1)</f>
        <v>0</v>
      </c>
      <c r="BD37" s="140">
        <f t="array" ref="BD37">IF(ISBLANK($A37),0,IF(OR(BD$5-$AI37&lt;=0,$AM37="Não"),S37,S37+INDEX($AO$6:$BR$176,ROW()-5,COLUMN()-40-$AI37)))*IF($B37="Operacional",IFERROR(VLOOKUP($C37,SN_UGC,28,0),0),1)</f>
        <v>0</v>
      </c>
      <c r="BE37" s="140">
        <f t="array" ref="BE37">IF(ISBLANK($A37),0,IF(OR(BE$5-$AI37&lt;=0,$AM37="Não"),T37,T37+INDEX($AO$6:$BR$176,ROW()-5,COLUMN()-40-$AI37)))*IF($B37="Operacional",IFERROR(VLOOKUP($C37,SN_UGC,28,0),0),1)</f>
        <v>0</v>
      </c>
      <c r="BF37" s="140">
        <f t="array" ref="BF37">IF(ISBLANK($A37),0,IF(OR(BF$5-$AI37&lt;=0,$AM37="Não"),U37,U37+INDEX($AO$6:$BR$176,ROW()-5,COLUMN()-40-$AI37)))*IF($B37="Operacional",IFERROR(VLOOKUP($C37,SN_UGC,28,0),0),1)</f>
        <v>0</v>
      </c>
      <c r="BG37" s="140">
        <f t="array" ref="BG37">IF(ISBLANK($A37),0,IF(OR(BG$5-$AI37&lt;=0,$AM37="Não"),V37,V37+INDEX($AO$6:$BR$176,ROW()-5,COLUMN()-40-$AI37)))*IF($B37="Operacional",IFERROR(VLOOKUP($C37,SN_UGC,28,0),0),1)</f>
        <v>0</v>
      </c>
      <c r="BH37" s="140">
        <f t="array" ref="BH37">IF(ISBLANK($A37),0,IF(OR(BH$5-$AI37&lt;=0,$AM37="Não"),W37,W37+INDEX($AO$6:$BR$176,ROW()-5,COLUMN()-40-$AI37)))*IF($B37="Operacional",IFERROR(VLOOKUP($C37,SN_UGC,28,0),0),1)</f>
        <v>0</v>
      </c>
      <c r="BI37" s="140">
        <f t="array" ref="BI37">IF(ISBLANK($A37),0,IF(OR(BI$5-$AI37&lt;=0,$AM37="Não"),X37,X37+INDEX($AO$6:$BR$176,ROW()-5,COLUMN()-40-$AI37)))*IF($B37="Operacional",IFERROR(VLOOKUP($C37,SN_UGC,28,0),0),1)</f>
        <v>0</v>
      </c>
      <c r="BJ37" s="140">
        <f t="array" ref="BJ37">IF(ISBLANK($A37),0,IF(OR(BJ$5-$AI37&lt;=0,$AM37="Não"),Y37,Y37+INDEX($AO$6:$BR$176,ROW()-5,COLUMN()-40-$AI37)))*IF($B37="Operacional",IFERROR(VLOOKUP($C37,SN_UGC,28,0),0),1)</f>
        <v>0</v>
      </c>
      <c r="BK37" s="140">
        <f t="array" ref="BK37">IF(ISBLANK($A37),0,IF(OR(BK$5-$AI37&lt;=0,$AM37="Não"),Z37,Z37+INDEX($AO$6:$BR$176,ROW()-5,COLUMN()-40-$AI37)))*IF($B37="Operacional",IFERROR(VLOOKUP($C37,SN_UGC,28,0),0),1)</f>
        <v>0</v>
      </c>
      <c r="BL37" s="140">
        <f t="array" ref="BL37">IF(ISBLANK($A37),0,IF(OR(BL$5-$AI37&lt;=0,$AM37="Não"),AA37,AA37+INDEX($AO$6:$BR$176,ROW()-5,COLUMN()-40-$AI37)))*IF($B37="Operacional",IFERROR(VLOOKUP($C37,SN_UGC,28,0),0),1)</f>
        <v>0</v>
      </c>
      <c r="BM37" s="140">
        <f t="array" ref="BM37">IF(ISBLANK($A37),0,IF(OR(BM$5-$AI37&lt;=0,$AM37="Não"),AB37,AB37+INDEX($AO$6:$BR$176,ROW()-5,COLUMN()-40-$AI37)))*IF($B37="Operacional",IFERROR(VLOOKUP($C37,SN_UGC,28,0),0),1)</f>
        <v>0</v>
      </c>
      <c r="BN37" s="140">
        <f t="array" ref="BN37">IF(ISBLANK($A37),0,IF(OR(BN$5-$AI37&lt;=0,$AM37="Não"),AC37,AC37+INDEX($AO$6:$BR$176,ROW()-5,COLUMN()-40-$AI37)))*IF($B37="Operacional",IFERROR(VLOOKUP($C37,SN_UGC,28,0),0),1)</f>
        <v>0</v>
      </c>
      <c r="BO37" s="140">
        <f t="array" ref="BO37">IF(ISBLANK($A37),0,IF(OR(BO$5-$AI37&lt;=0,$AM37="Não"),AD37,AD37+INDEX($AO$6:$BR$176,ROW()-5,COLUMN()-40-$AI37)))*IF($B37="Operacional",IFERROR(VLOOKUP($C37,SN_UGC,28,0),0),1)</f>
        <v>0</v>
      </c>
      <c r="BP37" s="140">
        <f t="array" ref="BP37">IF(ISBLANK($A37),0,IF(OR(BP$5-$AI37&lt;=0,$AM37="Não"),AE37,AE37+INDEX($AO$6:$BR$176,ROW()-5,COLUMN()-40-$AI37)))*IF($B37="Operacional",IFERROR(VLOOKUP($C37,SN_UGC,28,0),0),1)</f>
        <v>0</v>
      </c>
      <c r="BQ37" s="140">
        <f t="array" ref="BQ37">IF(ISBLANK($A37),0,IF(OR(BQ$5-$AI37&lt;=0,$AM37="Não"),AF37,AF37+INDEX($AO$6:$BR$176,ROW()-5,COLUMN()-40-$AI37)))*IF($B37="Operacional",IFERROR(VLOOKUP($C37,SN_UGC,28,0),0),1)</f>
        <v>0</v>
      </c>
      <c r="BR37" s="140">
        <f t="array" ref="BR37">IF(ISBLANK($A37),0,IF(OR(BR$5-$AI37&lt;=0,$AM37="Não"),AG37,AG37+INDEX($AO$6:$BR$176,ROW()-5,COLUMN()-40-$AI37)))*IF($B37="Operacional",IFERROR(VLOOKUP($C37,SN_UGC,28,0),0),1)</f>
        <v>0</v>
      </c>
      <c r="BS37" s="141">
        <f t="shared" ref="BS37:CV37" si="161">IF(ISBLANK($A37),0,$AH37*AO37)</f>
        <v>89184.150000000009</v>
      </c>
      <c r="BT37" s="141">
        <f t="shared" si="161"/>
        <v>0</v>
      </c>
      <c r="BU37" s="141">
        <f t="shared" si="161"/>
        <v>0</v>
      </c>
      <c r="BV37" s="141">
        <f t="shared" si="161"/>
        <v>0</v>
      </c>
      <c r="BW37" s="141">
        <f t="shared" si="161"/>
        <v>0</v>
      </c>
      <c r="BX37" s="141">
        <f t="shared" si="161"/>
        <v>0</v>
      </c>
      <c r="BY37" s="141">
        <f t="shared" si="161"/>
        <v>0</v>
      </c>
      <c r="BZ37" s="141">
        <f t="shared" si="161"/>
        <v>0</v>
      </c>
      <c r="CA37" s="141">
        <f t="shared" si="161"/>
        <v>0</v>
      </c>
      <c r="CB37" s="141">
        <f t="shared" si="161"/>
        <v>0</v>
      </c>
      <c r="CC37" s="141">
        <f t="shared" si="161"/>
        <v>0</v>
      </c>
      <c r="CD37" s="141">
        <f t="shared" si="161"/>
        <v>0</v>
      </c>
      <c r="CE37" s="141">
        <f t="shared" si="161"/>
        <v>0</v>
      </c>
      <c r="CF37" s="141">
        <f t="shared" si="161"/>
        <v>0</v>
      </c>
      <c r="CG37" s="141">
        <f t="shared" si="161"/>
        <v>0</v>
      </c>
      <c r="CH37" s="141">
        <f t="shared" si="161"/>
        <v>0</v>
      </c>
      <c r="CI37" s="141">
        <f t="shared" si="161"/>
        <v>0</v>
      </c>
      <c r="CJ37" s="141">
        <f t="shared" si="161"/>
        <v>0</v>
      </c>
      <c r="CK37" s="141">
        <f t="shared" si="161"/>
        <v>0</v>
      </c>
      <c r="CL37" s="141">
        <f t="shared" si="161"/>
        <v>0</v>
      </c>
      <c r="CM37" s="141">
        <f t="shared" si="161"/>
        <v>0</v>
      </c>
      <c r="CN37" s="141">
        <f t="shared" si="161"/>
        <v>0</v>
      </c>
      <c r="CO37" s="141">
        <f t="shared" si="161"/>
        <v>0</v>
      </c>
      <c r="CP37" s="141">
        <f t="shared" si="161"/>
        <v>0</v>
      </c>
      <c r="CQ37" s="141">
        <f t="shared" si="161"/>
        <v>0</v>
      </c>
      <c r="CR37" s="141">
        <f t="shared" si="161"/>
        <v>0</v>
      </c>
      <c r="CS37" s="141">
        <f t="shared" si="161"/>
        <v>0</v>
      </c>
      <c r="CT37" s="141">
        <f t="shared" si="161"/>
        <v>0</v>
      </c>
      <c r="CU37" s="141">
        <f t="shared" si="161"/>
        <v>0</v>
      </c>
      <c r="CV37" s="141">
        <f t="shared" si="161"/>
        <v>0</v>
      </c>
      <c r="CW37" s="142">
        <f t="shared" ref="CW37:DZ37" si="162">EA37*$AH37*$AJ37</f>
        <v>0</v>
      </c>
      <c r="CX37" s="142">
        <f t="shared" si="162"/>
        <v>0</v>
      </c>
      <c r="CY37" s="142">
        <f t="shared" si="162"/>
        <v>0</v>
      </c>
      <c r="CZ37" s="142">
        <f t="shared" si="162"/>
        <v>0</v>
      </c>
      <c r="DA37" s="142">
        <f t="shared" si="162"/>
        <v>0</v>
      </c>
      <c r="DB37" s="142">
        <f t="shared" si="162"/>
        <v>0</v>
      </c>
      <c r="DC37" s="142">
        <f t="shared" si="162"/>
        <v>0</v>
      </c>
      <c r="DD37" s="142">
        <f t="shared" si="162"/>
        <v>0</v>
      </c>
      <c r="DE37" s="142">
        <f t="shared" si="162"/>
        <v>0</v>
      </c>
      <c r="DF37" s="142">
        <f t="shared" si="162"/>
        <v>0</v>
      </c>
      <c r="DG37" s="142">
        <f t="shared" si="162"/>
        <v>0</v>
      </c>
      <c r="DH37" s="142">
        <f t="shared" si="162"/>
        <v>0</v>
      </c>
      <c r="DI37" s="142">
        <f t="shared" si="162"/>
        <v>0</v>
      </c>
      <c r="DJ37" s="142">
        <f t="shared" si="162"/>
        <v>0</v>
      </c>
      <c r="DK37" s="142">
        <f t="shared" si="162"/>
        <v>0</v>
      </c>
      <c r="DL37" s="142">
        <f t="shared" si="162"/>
        <v>0</v>
      </c>
      <c r="DM37" s="142">
        <f t="shared" si="162"/>
        <v>0</v>
      </c>
      <c r="DN37" s="142">
        <f t="shared" si="162"/>
        <v>0</v>
      </c>
      <c r="DO37" s="142">
        <f t="shared" si="162"/>
        <v>0</v>
      </c>
      <c r="DP37" s="142">
        <f t="shared" si="162"/>
        <v>0</v>
      </c>
      <c r="DQ37" s="142">
        <f t="shared" si="162"/>
        <v>0</v>
      </c>
      <c r="DR37" s="142">
        <f t="shared" si="162"/>
        <v>0</v>
      </c>
      <c r="DS37" s="142">
        <f t="shared" si="162"/>
        <v>0</v>
      </c>
      <c r="DT37" s="142">
        <f t="shared" si="162"/>
        <v>0</v>
      </c>
      <c r="DU37" s="142">
        <f t="shared" si="162"/>
        <v>0</v>
      </c>
      <c r="DV37" s="142">
        <f t="shared" si="162"/>
        <v>0</v>
      </c>
      <c r="DW37" s="142">
        <f t="shared" si="162"/>
        <v>0</v>
      </c>
      <c r="DX37" s="142">
        <f t="shared" si="162"/>
        <v>0</v>
      </c>
      <c r="DY37" s="142">
        <f t="shared" si="162"/>
        <v>0</v>
      </c>
      <c r="DZ37" s="142">
        <f t="shared" si="162"/>
        <v>0</v>
      </c>
      <c r="EA37" s="143">
        <f t="shared" si="9"/>
        <v>0</v>
      </c>
      <c r="EB37" s="143">
        <f t="shared" si="10"/>
        <v>0</v>
      </c>
      <c r="EC37" s="143">
        <f t="shared" si="11"/>
        <v>0</v>
      </c>
      <c r="ED37" s="143">
        <f t="shared" si="12"/>
        <v>0</v>
      </c>
      <c r="EE37" s="143">
        <f t="shared" si="13"/>
        <v>0</v>
      </c>
      <c r="EF37" s="143">
        <f t="shared" si="14"/>
        <v>0</v>
      </c>
      <c r="EG37" s="143">
        <f t="shared" si="15"/>
        <v>0</v>
      </c>
      <c r="EH37" s="143">
        <f t="shared" si="16"/>
        <v>0</v>
      </c>
      <c r="EI37" s="143">
        <f t="shared" si="17"/>
        <v>0</v>
      </c>
      <c r="EJ37" s="143">
        <f t="shared" si="18"/>
        <v>0</v>
      </c>
      <c r="EK37" s="143">
        <f t="shared" si="19"/>
        <v>0</v>
      </c>
      <c r="EL37" s="143">
        <f t="shared" si="20"/>
        <v>0</v>
      </c>
      <c r="EM37" s="143">
        <f t="shared" si="21"/>
        <v>0</v>
      </c>
      <c r="EN37" s="143">
        <f t="shared" si="22"/>
        <v>0</v>
      </c>
      <c r="EO37" s="143">
        <f t="shared" si="23"/>
        <v>0</v>
      </c>
      <c r="EP37" s="143">
        <f t="shared" si="24"/>
        <v>0</v>
      </c>
      <c r="EQ37" s="143">
        <f t="shared" si="25"/>
        <v>0</v>
      </c>
      <c r="ER37" s="143">
        <f t="shared" si="26"/>
        <v>0</v>
      </c>
      <c r="ES37" s="143">
        <f t="shared" si="27"/>
        <v>0</v>
      </c>
      <c r="ET37" s="143">
        <f t="shared" si="28"/>
        <v>0</v>
      </c>
      <c r="EU37" s="143">
        <f t="shared" si="29"/>
        <v>0</v>
      </c>
      <c r="EV37" s="143">
        <f t="shared" si="30"/>
        <v>0</v>
      </c>
      <c r="EW37" s="143">
        <f t="shared" si="31"/>
        <v>0</v>
      </c>
      <c r="EX37" s="143">
        <f t="shared" si="32"/>
        <v>0</v>
      </c>
      <c r="EY37" s="143">
        <f t="shared" si="33"/>
        <v>0</v>
      </c>
      <c r="EZ37" s="143">
        <f t="shared" si="34"/>
        <v>0</v>
      </c>
      <c r="FA37" s="143">
        <f t="shared" si="35"/>
        <v>0</v>
      </c>
      <c r="FB37" s="143">
        <f t="shared" si="36"/>
        <v>0</v>
      </c>
      <c r="FC37" s="143">
        <f t="shared" si="37"/>
        <v>0</v>
      </c>
      <c r="FD37" s="143">
        <f t="shared" si="38"/>
        <v>0</v>
      </c>
      <c r="FE37" s="140">
        <f>SUM($D37:D37)*IF($B37="Operacional",IFERROR(VLOOKUP($C37,SN_UGC,28,0),0),1)</f>
        <v>1885.5</v>
      </c>
      <c r="FF37" s="140">
        <f>SUM($D37:E37)*IF($B37="Operacional",IFERROR(VLOOKUP($C37,SN_UGC,28,0),0),1)</f>
        <v>1885.5</v>
      </c>
      <c r="FG37" s="140">
        <f>SUM($D37:F37)*IF($B37="Operacional",IFERROR(VLOOKUP($C37,SN_UGC,28,0),0),1)</f>
        <v>1885.5</v>
      </c>
      <c r="FH37" s="140">
        <f>SUM($D37:G37)*IF($B37="Operacional",IFERROR(VLOOKUP($C37,SN_UGC,28,0),0),1)</f>
        <v>1885.5</v>
      </c>
      <c r="FI37" s="140">
        <f>SUM($D37:H37)*IF($B37="Operacional",IFERROR(VLOOKUP($C37,SN_UGC,28,0),0),1)</f>
        <v>1885.5</v>
      </c>
      <c r="FJ37" s="140">
        <f>SUM($D37:I37)*IF($B37="Operacional",IFERROR(VLOOKUP($C37,SN_UGC,28,0),0),1)</f>
        <v>1885.5</v>
      </c>
      <c r="FK37" s="140">
        <f>SUM($D37:J37)*IF($B37="Operacional",IFERROR(VLOOKUP($C37,SN_UGC,28,0),0),1)</f>
        <v>1885.5</v>
      </c>
      <c r="FL37" s="140">
        <f>SUM($D37:K37)*IF($B37="Operacional",IFERROR(VLOOKUP($C37,SN_UGC,28,0),0),1)</f>
        <v>1885.5</v>
      </c>
      <c r="FM37" s="140">
        <f>SUM($D37:L37)*IF($B37="Operacional",IFERROR(VLOOKUP($C37,SN_UGC,28,0),0),1)</f>
        <v>1885.5</v>
      </c>
      <c r="FN37" s="140">
        <f>SUM($D37:M37)*IF($B37="Operacional",IFERROR(VLOOKUP($C37,SN_UGC,28,0),0),1)</f>
        <v>1885.5</v>
      </c>
      <c r="FO37" s="140">
        <f>SUM($D37:N37)*IF($B37="Operacional",IFERROR(VLOOKUP($C37,SN_UGC,28,0),0),1)</f>
        <v>1885.5</v>
      </c>
      <c r="FP37" s="140">
        <f>SUM($D37:O37)*IF($B37="Operacional",IFERROR(VLOOKUP($C37,SN_UGC,28,0),0),1)</f>
        <v>1885.5</v>
      </c>
      <c r="FQ37" s="140">
        <f>SUM($D37:P37)*IF($B37="Operacional",IFERROR(VLOOKUP($C37,SN_UGC,28,0),0),1)</f>
        <v>1885.5</v>
      </c>
      <c r="FR37" s="140">
        <f>SUM($D37:Q37)*IF($B37="Operacional",IFERROR(VLOOKUP($C37,SN_UGC,28,0),0),1)</f>
        <v>1885.5</v>
      </c>
      <c r="FS37" s="140">
        <f>SUM($D37:R37)*IF($B37="Operacional",IFERROR(VLOOKUP($C37,SN_UGC,28,0),0),1)</f>
        <v>1885.5</v>
      </c>
      <c r="FT37" s="140">
        <f>SUM($D37:S37)*IF($B37="Operacional",IFERROR(VLOOKUP($C37,SN_UGC,28,0),0),1)</f>
        <v>1885.5</v>
      </c>
      <c r="FU37" s="140">
        <f>SUM($D37:T37)*IF($B37="Operacional",IFERROR(VLOOKUP($C37,SN_UGC,28,0),0),1)</f>
        <v>1885.5</v>
      </c>
      <c r="FV37" s="140">
        <f>SUM($D37:U37)*IF($B37="Operacional",IFERROR(VLOOKUP($C37,SN_UGC,28,0),0),1)</f>
        <v>1885.5</v>
      </c>
      <c r="FW37" s="140">
        <f>SUM($D37:V37)*IF($B37="Operacional",IFERROR(VLOOKUP($C37,SN_UGC,28,0),0),1)</f>
        <v>1885.5</v>
      </c>
      <c r="FX37" s="140">
        <f>SUM($D37:W37)*IF($B37="Operacional",IFERROR(VLOOKUP($C37,SN_UGC,28,0),0),1)</f>
        <v>1885.5</v>
      </c>
      <c r="FY37" s="140">
        <f>SUM($D37:X37)*IF($B37="Operacional",IFERROR(VLOOKUP($C37,SN_UGC,28,0),0),1)</f>
        <v>1885.5</v>
      </c>
      <c r="FZ37" s="140">
        <f>SUM($D37:Y37)*IF($B37="Operacional",IFERROR(VLOOKUP($C37,SN_UGC,28,0),0),1)</f>
        <v>1885.5</v>
      </c>
      <c r="GA37" s="140">
        <f>SUM($D37:Z37)*IF($B37="Operacional",IFERROR(VLOOKUP($C37,SN_UGC,28,0),0),1)</f>
        <v>1885.5</v>
      </c>
      <c r="GB37" s="140">
        <f>SUM($D37:AA37)*IF($B37="Operacional",IFERROR(VLOOKUP($C37,SN_UGC,28,0),0),1)</f>
        <v>1885.5</v>
      </c>
      <c r="GC37" s="140">
        <f>SUM($D37:AB37)*IF($B37="Operacional",IFERROR(VLOOKUP($C37,SN_UGC,28,0),0),1)</f>
        <v>1885.5</v>
      </c>
      <c r="GD37" s="140">
        <f>SUM($D37:AC37)*IF($B37="Operacional",IFERROR(VLOOKUP($C37,SN_UGC,28,0),0),1)</f>
        <v>1885.5</v>
      </c>
      <c r="GE37" s="140">
        <f>SUM($D37:AD37)*IF($B37="Operacional",IFERROR(VLOOKUP($C37,SN_UGC,28,0),0),1)</f>
        <v>1885.5</v>
      </c>
      <c r="GF37" s="140">
        <f>SUM($D37:AE37)*IF($B37="Operacional",IFERROR(VLOOKUP($C37,SN_UGC,28,0),0),1)</f>
        <v>1885.5</v>
      </c>
      <c r="GG37" s="140">
        <f>SUM($D37:AF37)*IF($B37="Operacional",IFERROR(VLOOKUP($C37,SN_UGC,28,0),0),1)</f>
        <v>1885.5</v>
      </c>
      <c r="GH37" s="140">
        <f>SUM($D37:AG37)*IF($B37="Operacional",IFERROR(VLOOKUP($C37,SN_UGC,28,0),0),1)</f>
        <v>1885.5</v>
      </c>
      <c r="GI37" s="141">
        <f t="shared" ref="GI37:HL37" si="163">FE37*$AH37*$AL37</f>
        <v>8918.4150000000009</v>
      </c>
      <c r="GJ37" s="141">
        <f t="shared" si="163"/>
        <v>8918.4150000000009</v>
      </c>
      <c r="GK37" s="141">
        <f t="shared" si="163"/>
        <v>8918.4150000000009</v>
      </c>
      <c r="GL37" s="141">
        <f t="shared" si="163"/>
        <v>8918.4150000000009</v>
      </c>
      <c r="GM37" s="141">
        <f t="shared" si="163"/>
        <v>8918.4150000000009</v>
      </c>
      <c r="GN37" s="141">
        <f t="shared" si="163"/>
        <v>8918.4150000000009</v>
      </c>
      <c r="GO37" s="141">
        <f t="shared" si="163"/>
        <v>8918.4150000000009</v>
      </c>
      <c r="GP37" s="141">
        <f t="shared" si="163"/>
        <v>8918.4150000000009</v>
      </c>
      <c r="GQ37" s="141">
        <f t="shared" si="163"/>
        <v>8918.4150000000009</v>
      </c>
      <c r="GR37" s="141">
        <f t="shared" si="163"/>
        <v>8918.4150000000009</v>
      </c>
      <c r="GS37" s="141">
        <f t="shared" si="163"/>
        <v>8918.4150000000009</v>
      </c>
      <c r="GT37" s="141">
        <f t="shared" si="163"/>
        <v>8918.4150000000009</v>
      </c>
      <c r="GU37" s="141">
        <f t="shared" si="163"/>
        <v>8918.4150000000009</v>
      </c>
      <c r="GV37" s="141">
        <f t="shared" si="163"/>
        <v>8918.4150000000009</v>
      </c>
      <c r="GW37" s="141">
        <f t="shared" si="163"/>
        <v>8918.4150000000009</v>
      </c>
      <c r="GX37" s="141">
        <f t="shared" si="163"/>
        <v>8918.4150000000009</v>
      </c>
      <c r="GY37" s="141">
        <f t="shared" si="163"/>
        <v>8918.4150000000009</v>
      </c>
      <c r="GZ37" s="141">
        <f t="shared" si="163"/>
        <v>8918.4150000000009</v>
      </c>
      <c r="HA37" s="141">
        <f t="shared" si="163"/>
        <v>8918.4150000000009</v>
      </c>
      <c r="HB37" s="141">
        <f t="shared" si="163"/>
        <v>8918.4150000000009</v>
      </c>
      <c r="HC37" s="141">
        <f t="shared" si="163"/>
        <v>8918.4150000000009</v>
      </c>
      <c r="HD37" s="141">
        <f t="shared" si="163"/>
        <v>8918.4150000000009</v>
      </c>
      <c r="HE37" s="141">
        <f t="shared" si="163"/>
        <v>8918.4150000000009</v>
      </c>
      <c r="HF37" s="141">
        <f t="shared" si="163"/>
        <v>8918.4150000000009</v>
      </c>
      <c r="HG37" s="141">
        <f t="shared" si="163"/>
        <v>8918.4150000000009</v>
      </c>
      <c r="HH37" s="141">
        <f t="shared" si="163"/>
        <v>8918.4150000000009</v>
      </c>
      <c r="HI37" s="141">
        <f t="shared" si="163"/>
        <v>8918.4150000000009</v>
      </c>
      <c r="HJ37" s="141">
        <f t="shared" si="163"/>
        <v>8918.4150000000009</v>
      </c>
      <c r="HK37" s="141">
        <f t="shared" si="163"/>
        <v>8918.4150000000009</v>
      </c>
      <c r="HL37" s="141">
        <f t="shared" si="163"/>
        <v>8918.4150000000009</v>
      </c>
      <c r="HM37" s="142">
        <f t="shared" ref="HM37:IP37" si="164">IF(ISBLANK($A37),,FE37*($AH37-($AH37*$AJ37))/$AI37)</f>
        <v>0</v>
      </c>
      <c r="HN37" s="142">
        <f t="shared" si="164"/>
        <v>0</v>
      </c>
      <c r="HO37" s="142">
        <f t="shared" si="164"/>
        <v>0</v>
      </c>
      <c r="HP37" s="142">
        <f t="shared" si="164"/>
        <v>0</v>
      </c>
      <c r="HQ37" s="142">
        <f t="shared" si="164"/>
        <v>0</v>
      </c>
      <c r="HR37" s="142">
        <f t="shared" si="164"/>
        <v>0</v>
      </c>
      <c r="HS37" s="142">
        <f t="shared" si="164"/>
        <v>0</v>
      </c>
      <c r="HT37" s="142">
        <f t="shared" si="164"/>
        <v>0</v>
      </c>
      <c r="HU37" s="142">
        <f t="shared" si="164"/>
        <v>0</v>
      </c>
      <c r="HV37" s="142">
        <f t="shared" si="164"/>
        <v>0</v>
      </c>
      <c r="HW37" s="142">
        <f t="shared" si="164"/>
        <v>0</v>
      </c>
      <c r="HX37" s="142">
        <f t="shared" si="164"/>
        <v>0</v>
      </c>
      <c r="HY37" s="142">
        <f t="shared" si="164"/>
        <v>0</v>
      </c>
      <c r="HZ37" s="142">
        <f t="shared" si="164"/>
        <v>0</v>
      </c>
      <c r="IA37" s="142">
        <f t="shared" si="164"/>
        <v>0</v>
      </c>
      <c r="IB37" s="142">
        <f t="shared" si="164"/>
        <v>0</v>
      </c>
      <c r="IC37" s="142">
        <f t="shared" si="164"/>
        <v>0</v>
      </c>
      <c r="ID37" s="142">
        <f t="shared" si="164"/>
        <v>0</v>
      </c>
      <c r="IE37" s="142">
        <f t="shared" si="164"/>
        <v>0</v>
      </c>
      <c r="IF37" s="142">
        <f t="shared" si="164"/>
        <v>0</v>
      </c>
      <c r="IG37" s="142">
        <f t="shared" si="164"/>
        <v>0</v>
      </c>
      <c r="IH37" s="142">
        <f t="shared" si="164"/>
        <v>0</v>
      </c>
      <c r="II37" s="142">
        <f t="shared" si="164"/>
        <v>0</v>
      </c>
      <c r="IJ37" s="142">
        <f t="shared" si="164"/>
        <v>0</v>
      </c>
      <c r="IK37" s="142">
        <f t="shared" si="164"/>
        <v>0</v>
      </c>
      <c r="IL37" s="142">
        <f t="shared" si="164"/>
        <v>0</v>
      </c>
      <c r="IM37" s="142">
        <f t="shared" si="164"/>
        <v>0</v>
      </c>
      <c r="IN37" s="142">
        <f t="shared" si="164"/>
        <v>0</v>
      </c>
      <c r="IO37" s="142">
        <f t="shared" si="164"/>
        <v>0</v>
      </c>
      <c r="IP37" s="142">
        <f t="shared" si="164"/>
        <v>0</v>
      </c>
      <c r="IQ37" s="141">
        <f>IF(ISBLANK($A37),,IF($AN37="Não",0,(SUM($AO37:AO37)*$AH37)-SUM($HM37:HM37)-SUM($CW37:CW37)))</f>
        <v>0</v>
      </c>
      <c r="IR37" s="141">
        <f>IF(ISBLANK($A37),,IF($AN37="Não",0,(SUM($AO37:AP37)*$AH37)-SUM($HM37:HN37)-SUM($CW37:CX37)))</f>
        <v>0</v>
      </c>
      <c r="IS37" s="141">
        <f>IF(ISBLANK($A37),,IF($AN37="Não",0,(SUM($AO37:AQ37)*$AH37)-SUM($HM37:HO37)-SUM($CW37:CY37)))</f>
        <v>0</v>
      </c>
      <c r="IT37" s="141">
        <f>IF(ISBLANK($A37),,IF($AN37="Não",0,(SUM($AO37:AR37)*$AH37)-SUM($HM37:HP37)-SUM($CW37:CZ37)))</f>
        <v>0</v>
      </c>
      <c r="IU37" s="141">
        <f>IF(ISBLANK($A37),,IF($AN37="Não",0,(SUM($AO37:AS37)*$AH37)-SUM($HM37:HQ37)-SUM($CW37:DA37)))</f>
        <v>0</v>
      </c>
      <c r="IV37" s="141">
        <f>IF(ISBLANK($A37),,IF($AN37="Não",0,(SUM($AO37:AT37)*$AH37)-SUM($HM37:HR37)-SUM($CW37:DB37)))</f>
        <v>0</v>
      </c>
      <c r="IW37" s="141">
        <f>IF(ISBLANK($A37),,IF($AN37="Não",0,(SUM($AO37:AU37)*$AH37)-SUM($HM37:HS37)-SUM($CW37:DC37)))</f>
        <v>0</v>
      </c>
      <c r="IX37" s="141">
        <f>IF(ISBLANK($A37),,IF($AN37="Não",0,(SUM($AO37:AV37)*$AH37)-SUM($HM37:HT37)-SUM($CW37:DD37)))</f>
        <v>0</v>
      </c>
      <c r="IY37" s="141">
        <f>IF(ISBLANK($A37),,IF($AN37="Não",0,(SUM($AO37:AW37)*$AH37)-SUM($HM37:HU37)-SUM($CW37:DE37)))</f>
        <v>0</v>
      </c>
      <c r="IZ37" s="141">
        <f>IF(ISBLANK($A37),,IF($AN37="Não",0,(SUM($AO37:AX37)*$AH37)-SUM($HM37:HV37)-SUM($CW37:DF37)))</f>
        <v>0</v>
      </c>
      <c r="JA37" s="141">
        <f>IF(ISBLANK($A37),,IF($AN37="Não",0,(SUM($AO37:AY37)*$AH37)-SUM($HM37:HW37)-SUM($CW37:DG37)))</f>
        <v>0</v>
      </c>
      <c r="JB37" s="141">
        <f>IF(ISBLANK($A37),,IF($AN37="Não",0,(SUM($AO37:AZ37)*$AH37)-SUM($HM37:HX37)-SUM($CW37:DH37)))</f>
        <v>0</v>
      </c>
      <c r="JC37" s="141">
        <f>IF(ISBLANK($A37),,IF($AN37="Não",0,(SUM($AO37:BA37)*$AH37)-SUM($HM37:HY37)-SUM($CW37:DI37)))</f>
        <v>0</v>
      </c>
      <c r="JD37" s="141">
        <f>IF(ISBLANK($A37),,IF($AN37="Não",0,(SUM($AO37:BB37)*$AH37)-SUM($HM37:HZ37)-SUM($CW37:DJ37)))</f>
        <v>0</v>
      </c>
      <c r="JE37" s="141">
        <f>IF(ISBLANK($A37),,IF($AN37="Não",0,(SUM($AO37:BC37)*$AH37)-SUM($HM37:IA37)-SUM($CW37:DK37)))</f>
        <v>0</v>
      </c>
      <c r="JF37" s="141">
        <f>IF(ISBLANK($A37),,IF($AN37="Não",0,(SUM($AO37:BD37)*$AH37)-SUM($HM37:IB37)-SUM($CW37:DL37)))</f>
        <v>0</v>
      </c>
      <c r="JG37" s="141">
        <f>IF(ISBLANK($A37),,IF($AN37="Não",0,(SUM($AO37:BE37)*$AH37)-SUM($HM37:IC37)-SUM($CW37:DM37)))</f>
        <v>0</v>
      </c>
      <c r="JH37" s="141">
        <f>IF(ISBLANK($A37),,IF($AN37="Não",0,(SUM($AO37:BF37)*$AH37)-SUM($HM37:ID37)-SUM($CW37:DN37)))</f>
        <v>0</v>
      </c>
      <c r="JI37" s="141">
        <f>IF(ISBLANK($A37),,IF($AN37="Não",0,(SUM($AO37:BG37)*$AH37)-SUM($HM37:IE37)-SUM($CW37:DO37)))</f>
        <v>0</v>
      </c>
      <c r="JJ37" s="141">
        <f>IF(ISBLANK($A37),,IF($AN37="Não",0,(SUM($AO37:BH37)*$AH37)-SUM($HM37:IF37)-SUM($CW37:DP37)))</f>
        <v>0</v>
      </c>
      <c r="JK37" s="141">
        <f>IF(ISBLANK($A37),,IF($AN37="Não",0,(SUM($AO37:BI37)*$AH37)-SUM($HM37:IG37)-SUM($CW37:DQ37)))</f>
        <v>0</v>
      </c>
      <c r="JL37" s="141">
        <f>IF(ISBLANK($A37),,IF($AN37="Não",0,(SUM($AO37:BJ37)*$AH37)-SUM($HM37:IH37)-SUM($CW37:DR37)))</f>
        <v>0</v>
      </c>
      <c r="JM37" s="141">
        <f>IF(ISBLANK($A37),,IF($AN37="Não",0,(SUM($AO37:BK37)*$AH37)-SUM($HM37:II37)-SUM($CW37:DS37)))</f>
        <v>0</v>
      </c>
      <c r="JN37" s="141">
        <f>IF(ISBLANK($A37),,IF($AN37="Não",0,(SUM($AO37:BL37)*$AH37)-SUM($HM37:IJ37)-SUM($CW37:DT37)))</f>
        <v>0</v>
      </c>
      <c r="JO37" s="141">
        <f>IF(ISBLANK($A37),,IF($AN37="Não",0,(SUM($AO37:BM37)*$AH37)-SUM($HM37:IK37)-SUM($CW37:DU37)))</f>
        <v>0</v>
      </c>
      <c r="JP37" s="141">
        <f>IF(ISBLANK($A37),,IF($AN37="Não",0,(SUM($AO37:BN37)*$AH37)-SUM($HM37:IL37)-SUM($CW37:DV37)))</f>
        <v>0</v>
      </c>
      <c r="JQ37" s="141">
        <f>IF(ISBLANK($A37),,IF($AN37="Não",0,(SUM($AO37:BO37)*$AH37)-SUM($HM37:IM37)-SUM($CW37:DW37)))</f>
        <v>0</v>
      </c>
      <c r="JR37" s="141">
        <f>IF(ISBLANK($A37),,IF($AN37="Não",0,(SUM($AO37:BP37)*$AH37)-SUM($HM37:IN37)-SUM($CW37:DX37)))</f>
        <v>0</v>
      </c>
      <c r="JS37" s="141">
        <f>IF(ISBLANK($A37),,IF($AN37="Não",0,(SUM($AO37:BQ37)*$AH37)-SUM($HM37:IO37)-SUM($CW37:DY37)))</f>
        <v>0</v>
      </c>
      <c r="JT37" s="141">
        <f>IF(ISBLANK($A37),,IF($AN37="Não",0,(SUM($AO37:BR37)*$AH37)-SUM($HM37:IP37)-SUM($CW37:DZ37)))</f>
        <v>0</v>
      </c>
    </row>
    <row r="38" spans="1:280" ht="15.75" customHeight="1">
      <c r="A38" s="129" t="s">
        <v>413</v>
      </c>
      <c r="B38" s="129" t="s">
        <v>209</v>
      </c>
      <c r="C38" s="138" t="s">
        <v>79</v>
      </c>
      <c r="D38" s="139">
        <v>1050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607">
        <f t="shared" ref="AH38:AH58" si="165">IF(ISBLANK(A38),,VLOOKUP(A38,ListaInvestimentos,3,0)*(1+CorrInvest))</f>
        <v>104.50000000000001</v>
      </c>
      <c r="AI38" s="608">
        <f t="shared" ref="AI38:AI58" si="166">IF(ISBLANK(A38),,VLOOKUP(A38,ListaInvestimentos,4,0))</f>
        <v>30</v>
      </c>
      <c r="AJ38" s="609">
        <f t="shared" ref="AJ38:AJ58" si="167">IF(ISBLANK(A38),,VLOOKUP(A38,ListaInvestimentos,5,0))</f>
        <v>1</v>
      </c>
      <c r="AK38" s="610" t="str">
        <f t="shared" ref="AK38:AK58" si="168">IF(ISBLANK(A38),"",VLOOKUP(A38,ListaInvestimentos,6,0))</f>
        <v>Outros</v>
      </c>
      <c r="AL38" s="609">
        <f t="shared" ref="AL38:AL58" si="169">IF(ISBLANK(A38),,VLOOKUP(A38,ListaInvestimentos,7,0))</f>
        <v>0.05</v>
      </c>
      <c r="AM38" s="611" t="str">
        <f t="shared" ref="AM38:AM58" si="170">IF(ISBLANK(A38),"",VLOOKUP(A38,ListaInvestimentos,8,0))</f>
        <v>Sim</v>
      </c>
      <c r="AN38" s="611" t="str">
        <f t="shared" ref="AN38:AN58" si="171">IF(ISBLANK(A38),"",VLOOKUP(A38,ListaInvestimentos,9,0))</f>
        <v>Sim</v>
      </c>
      <c r="AO38" s="140">
        <f t="array" ref="AO38">IF(ISBLANK($A38),0,IF(OR(AO$5-$AI38&lt;=0,$AM38="Não"),D38,D38+INDEX($AO$6:$BR$176,ROW()-5,COLUMN()-40-$AI38)))*IF($B38="Operacional",IFERROR(VLOOKUP($C38,SN_UGC,28,0),0),1)</f>
        <v>1050</v>
      </c>
      <c r="AP38" s="140">
        <f t="array" ref="AP38">IF(ISBLANK($A38),0,IF(OR(AP$5-$AI38&lt;=0,$AM38="Não"),E38,E38+INDEX($AO$6:$BR$176,ROW()-5,COLUMN()-40-$AI38)))*IF($B38="Operacional",IFERROR(VLOOKUP($C38,SN_UGC,28,0),0),1)</f>
        <v>0</v>
      </c>
      <c r="AQ38" s="140">
        <f t="array" ref="AQ38">IF(ISBLANK($A38),0,IF(OR(AQ$5-$AI38&lt;=0,$AM38="Não"),F38,F38+INDEX($AO$6:$BR$176,ROW()-5,COLUMN()-40-$AI38)))*IF($B38="Operacional",IFERROR(VLOOKUP($C38,SN_UGC,28,0),0),1)</f>
        <v>0</v>
      </c>
      <c r="AR38" s="140">
        <f t="array" ref="AR38">IF(ISBLANK($A38),0,IF(OR(AR$5-$AI38&lt;=0,$AM38="Não"),G38,G38+INDEX($AO$6:$BR$176,ROW()-5,COLUMN()-40-$AI38)))*IF($B38="Operacional",IFERROR(VLOOKUP($C38,SN_UGC,28,0),0),1)</f>
        <v>0</v>
      </c>
      <c r="AS38" s="140">
        <f t="array" ref="AS38">IF(ISBLANK($A38),0,IF(OR(AS$5-$AI38&lt;=0,$AM38="Não"),H38,H38+INDEX($AO$6:$BR$176,ROW()-5,COLUMN()-40-$AI38)))*IF($B38="Operacional",IFERROR(VLOOKUP($C38,SN_UGC,28,0),0),1)</f>
        <v>0</v>
      </c>
      <c r="AT38" s="140">
        <f t="array" ref="AT38">IF(ISBLANK($A38),0,IF(OR(AT$5-$AI38&lt;=0,$AM38="Não"),I38,I38+INDEX($AO$6:$BR$176,ROW()-5,COLUMN()-40-$AI38)))*IF($B38="Operacional",IFERROR(VLOOKUP($C38,SN_UGC,28,0),0),1)</f>
        <v>0</v>
      </c>
      <c r="AU38" s="140">
        <f t="array" ref="AU38">IF(ISBLANK($A38),0,IF(OR(AU$5-$AI38&lt;=0,$AM38="Não"),J38,J38+INDEX($AO$6:$BR$176,ROW()-5,COLUMN()-40-$AI38)))*IF($B38="Operacional",IFERROR(VLOOKUP($C38,SN_UGC,28,0),0),1)</f>
        <v>0</v>
      </c>
      <c r="AV38" s="140">
        <f t="array" ref="AV38">IF(ISBLANK($A38),0,IF(OR(AV$5-$AI38&lt;=0,$AM38="Não"),K38,K38+INDEX($AO$6:$BR$176,ROW()-5,COLUMN()-40-$AI38)))*IF($B38="Operacional",IFERROR(VLOOKUP($C38,SN_UGC,28,0),0),1)</f>
        <v>0</v>
      </c>
      <c r="AW38" s="140">
        <f t="array" ref="AW38">IF(ISBLANK($A38),0,IF(OR(AW$5-$AI38&lt;=0,$AM38="Não"),L38,L38+INDEX($AO$6:$BR$176,ROW()-5,COLUMN()-40-$AI38)))*IF($B38="Operacional",IFERROR(VLOOKUP($C38,SN_UGC,28,0),0),1)</f>
        <v>0</v>
      </c>
      <c r="AX38" s="140">
        <f t="array" ref="AX38">IF(ISBLANK($A38),0,IF(OR(AX$5-$AI38&lt;=0,$AM38="Não"),M38,M38+INDEX($AO$6:$BR$176,ROW()-5,COLUMN()-40-$AI38)))*IF($B38="Operacional",IFERROR(VLOOKUP($C38,SN_UGC,28,0),0),1)</f>
        <v>0</v>
      </c>
      <c r="AY38" s="140">
        <f t="array" ref="AY38">IF(ISBLANK($A38),0,IF(OR(AY$5-$AI38&lt;=0,$AM38="Não"),N38,N38+INDEX($AO$6:$BR$176,ROW()-5,COLUMN()-40-$AI38)))*IF($B38="Operacional",IFERROR(VLOOKUP($C38,SN_UGC,28,0),0),1)</f>
        <v>0</v>
      </c>
      <c r="AZ38" s="140">
        <f t="array" ref="AZ38">IF(ISBLANK($A38),0,IF(OR(AZ$5-$AI38&lt;=0,$AM38="Não"),O38,O38+INDEX($AO$6:$BR$176,ROW()-5,COLUMN()-40-$AI38)))*IF($B38="Operacional",IFERROR(VLOOKUP($C38,SN_UGC,28,0),0),1)</f>
        <v>0</v>
      </c>
      <c r="BA38" s="140">
        <f t="array" ref="BA38">IF(ISBLANK($A38),0,IF(OR(BA$5-$AI38&lt;=0,$AM38="Não"),P38,P38+INDEX($AO$6:$BR$176,ROW()-5,COLUMN()-40-$AI38)))*IF($B38="Operacional",IFERROR(VLOOKUP($C38,SN_UGC,28,0),0),1)</f>
        <v>0</v>
      </c>
      <c r="BB38" s="140">
        <f t="array" ref="BB38">IF(ISBLANK($A38),0,IF(OR(BB$5-$AI38&lt;=0,$AM38="Não"),Q38,Q38+INDEX($AO$6:$BR$176,ROW()-5,COLUMN()-40-$AI38)))*IF($B38="Operacional",IFERROR(VLOOKUP($C38,SN_UGC,28,0),0),1)</f>
        <v>0</v>
      </c>
      <c r="BC38" s="140">
        <f t="array" ref="BC38">IF(ISBLANK($A38),0,IF(OR(BC$5-$AI38&lt;=0,$AM38="Não"),R38,R38+INDEX($AO$6:$BR$176,ROW()-5,COLUMN()-40-$AI38)))*IF($B38="Operacional",IFERROR(VLOOKUP($C38,SN_UGC,28,0),0),1)</f>
        <v>0</v>
      </c>
      <c r="BD38" s="140">
        <f t="array" ref="BD38">IF(ISBLANK($A38),0,IF(OR(BD$5-$AI38&lt;=0,$AM38="Não"),S38,S38+INDEX($AO$6:$BR$176,ROW()-5,COLUMN()-40-$AI38)))*IF($B38="Operacional",IFERROR(VLOOKUP($C38,SN_UGC,28,0),0),1)</f>
        <v>0</v>
      </c>
      <c r="BE38" s="140">
        <f t="array" ref="BE38">IF(ISBLANK($A38),0,IF(OR(BE$5-$AI38&lt;=0,$AM38="Não"),T38,T38+INDEX($AO$6:$BR$176,ROW()-5,COLUMN()-40-$AI38)))*IF($B38="Operacional",IFERROR(VLOOKUP($C38,SN_UGC,28,0),0),1)</f>
        <v>0</v>
      </c>
      <c r="BF38" s="140">
        <f t="array" ref="BF38">IF(ISBLANK($A38),0,IF(OR(BF$5-$AI38&lt;=0,$AM38="Não"),U38,U38+INDEX($AO$6:$BR$176,ROW()-5,COLUMN()-40-$AI38)))*IF($B38="Operacional",IFERROR(VLOOKUP($C38,SN_UGC,28,0),0),1)</f>
        <v>0</v>
      </c>
      <c r="BG38" s="140">
        <f t="array" ref="BG38">IF(ISBLANK($A38),0,IF(OR(BG$5-$AI38&lt;=0,$AM38="Não"),V38,V38+INDEX($AO$6:$BR$176,ROW()-5,COLUMN()-40-$AI38)))*IF($B38="Operacional",IFERROR(VLOOKUP($C38,SN_UGC,28,0),0),1)</f>
        <v>0</v>
      </c>
      <c r="BH38" s="140">
        <f t="array" ref="BH38">IF(ISBLANK($A38),0,IF(OR(BH$5-$AI38&lt;=0,$AM38="Não"),W38,W38+INDEX($AO$6:$BR$176,ROW()-5,COLUMN()-40-$AI38)))*IF($B38="Operacional",IFERROR(VLOOKUP($C38,SN_UGC,28,0),0),1)</f>
        <v>0</v>
      </c>
      <c r="BI38" s="140">
        <f t="array" ref="BI38">IF(ISBLANK($A38),0,IF(OR(BI$5-$AI38&lt;=0,$AM38="Não"),X38,X38+INDEX($AO$6:$BR$176,ROW()-5,COLUMN()-40-$AI38)))*IF($B38="Operacional",IFERROR(VLOOKUP($C38,SN_UGC,28,0),0),1)</f>
        <v>0</v>
      </c>
      <c r="BJ38" s="140">
        <f t="array" ref="BJ38">IF(ISBLANK($A38),0,IF(OR(BJ$5-$AI38&lt;=0,$AM38="Não"),Y38,Y38+INDEX($AO$6:$BR$176,ROW()-5,COLUMN()-40-$AI38)))*IF($B38="Operacional",IFERROR(VLOOKUP($C38,SN_UGC,28,0),0),1)</f>
        <v>0</v>
      </c>
      <c r="BK38" s="140">
        <f t="array" ref="BK38">IF(ISBLANK($A38),0,IF(OR(BK$5-$AI38&lt;=0,$AM38="Não"),Z38,Z38+INDEX($AO$6:$BR$176,ROW()-5,COLUMN()-40-$AI38)))*IF($B38="Operacional",IFERROR(VLOOKUP($C38,SN_UGC,28,0),0),1)</f>
        <v>0</v>
      </c>
      <c r="BL38" s="140">
        <f t="array" ref="BL38">IF(ISBLANK($A38),0,IF(OR(BL$5-$AI38&lt;=0,$AM38="Não"),AA38,AA38+INDEX($AO$6:$BR$176,ROW()-5,COLUMN()-40-$AI38)))*IF($B38="Operacional",IFERROR(VLOOKUP($C38,SN_UGC,28,0),0),1)</f>
        <v>0</v>
      </c>
      <c r="BM38" s="140">
        <f t="array" ref="BM38">IF(ISBLANK($A38),0,IF(OR(BM$5-$AI38&lt;=0,$AM38="Não"),AB38,AB38+INDEX($AO$6:$BR$176,ROW()-5,COLUMN()-40-$AI38)))*IF($B38="Operacional",IFERROR(VLOOKUP($C38,SN_UGC,28,0),0),1)</f>
        <v>0</v>
      </c>
      <c r="BN38" s="140">
        <f t="array" ref="BN38">IF(ISBLANK($A38),0,IF(OR(BN$5-$AI38&lt;=0,$AM38="Não"),AC38,AC38+INDEX($AO$6:$BR$176,ROW()-5,COLUMN()-40-$AI38)))*IF($B38="Operacional",IFERROR(VLOOKUP($C38,SN_UGC,28,0),0),1)</f>
        <v>0</v>
      </c>
      <c r="BO38" s="140">
        <f t="array" ref="BO38">IF(ISBLANK($A38),0,IF(OR(BO$5-$AI38&lt;=0,$AM38="Não"),AD38,AD38+INDEX($AO$6:$BR$176,ROW()-5,COLUMN()-40-$AI38)))*IF($B38="Operacional",IFERROR(VLOOKUP($C38,SN_UGC,28,0),0),1)</f>
        <v>0</v>
      </c>
      <c r="BP38" s="140">
        <f t="array" ref="BP38">IF(ISBLANK($A38),0,IF(OR(BP$5-$AI38&lt;=0,$AM38="Não"),AE38,AE38+INDEX($AO$6:$BR$176,ROW()-5,COLUMN()-40-$AI38)))*IF($B38="Operacional",IFERROR(VLOOKUP($C38,SN_UGC,28,0),0),1)</f>
        <v>0</v>
      </c>
      <c r="BQ38" s="140">
        <f t="array" ref="BQ38">IF(ISBLANK($A38),0,IF(OR(BQ$5-$AI38&lt;=0,$AM38="Não"),AF38,AF38+INDEX($AO$6:$BR$176,ROW()-5,COLUMN()-40-$AI38)))*IF($B38="Operacional",IFERROR(VLOOKUP($C38,SN_UGC,28,0),0),1)</f>
        <v>0</v>
      </c>
      <c r="BR38" s="140">
        <f t="array" ref="BR38">IF(ISBLANK($A38),0,IF(OR(BR$5-$AI38&lt;=0,$AM38="Não"),AG38,AG38+INDEX($AO$6:$BR$176,ROW()-5,COLUMN()-40-$AI38)))*IF($B38="Operacional",IFERROR(VLOOKUP($C38,SN_UGC,28,0),0),1)</f>
        <v>0</v>
      </c>
      <c r="BS38" s="141">
        <f t="shared" ref="BS38:CV38" si="172">IF(ISBLANK($A38),0,$AH38*AO38)</f>
        <v>109725.00000000001</v>
      </c>
      <c r="BT38" s="141">
        <f t="shared" si="172"/>
        <v>0</v>
      </c>
      <c r="BU38" s="141">
        <f t="shared" si="172"/>
        <v>0</v>
      </c>
      <c r="BV38" s="141">
        <f t="shared" si="172"/>
        <v>0</v>
      </c>
      <c r="BW38" s="141">
        <f t="shared" si="172"/>
        <v>0</v>
      </c>
      <c r="BX38" s="141">
        <f t="shared" si="172"/>
        <v>0</v>
      </c>
      <c r="BY38" s="141">
        <f t="shared" si="172"/>
        <v>0</v>
      </c>
      <c r="BZ38" s="141">
        <f t="shared" si="172"/>
        <v>0</v>
      </c>
      <c r="CA38" s="141">
        <f t="shared" si="172"/>
        <v>0</v>
      </c>
      <c r="CB38" s="141">
        <f t="shared" si="172"/>
        <v>0</v>
      </c>
      <c r="CC38" s="141">
        <f t="shared" si="172"/>
        <v>0</v>
      </c>
      <c r="CD38" s="141">
        <f t="shared" si="172"/>
        <v>0</v>
      </c>
      <c r="CE38" s="141">
        <f t="shared" si="172"/>
        <v>0</v>
      </c>
      <c r="CF38" s="141">
        <f t="shared" si="172"/>
        <v>0</v>
      </c>
      <c r="CG38" s="141">
        <f t="shared" si="172"/>
        <v>0</v>
      </c>
      <c r="CH38" s="141">
        <f t="shared" si="172"/>
        <v>0</v>
      </c>
      <c r="CI38" s="141">
        <f t="shared" si="172"/>
        <v>0</v>
      </c>
      <c r="CJ38" s="141">
        <f t="shared" si="172"/>
        <v>0</v>
      </c>
      <c r="CK38" s="141">
        <f t="shared" si="172"/>
        <v>0</v>
      </c>
      <c r="CL38" s="141">
        <f t="shared" si="172"/>
        <v>0</v>
      </c>
      <c r="CM38" s="141">
        <f t="shared" si="172"/>
        <v>0</v>
      </c>
      <c r="CN38" s="141">
        <f t="shared" si="172"/>
        <v>0</v>
      </c>
      <c r="CO38" s="141">
        <f t="shared" si="172"/>
        <v>0</v>
      </c>
      <c r="CP38" s="141">
        <f t="shared" si="172"/>
        <v>0</v>
      </c>
      <c r="CQ38" s="141">
        <f t="shared" si="172"/>
        <v>0</v>
      </c>
      <c r="CR38" s="141">
        <f t="shared" si="172"/>
        <v>0</v>
      </c>
      <c r="CS38" s="141">
        <f t="shared" si="172"/>
        <v>0</v>
      </c>
      <c r="CT38" s="141">
        <f t="shared" si="172"/>
        <v>0</v>
      </c>
      <c r="CU38" s="141">
        <f t="shared" si="172"/>
        <v>0</v>
      </c>
      <c r="CV38" s="141">
        <f t="shared" si="172"/>
        <v>0</v>
      </c>
      <c r="CW38" s="142">
        <f t="shared" ref="CW38:DZ38" si="173">EA38*$AH38*$AJ38</f>
        <v>0</v>
      </c>
      <c r="CX38" s="142">
        <f t="shared" si="173"/>
        <v>0</v>
      </c>
      <c r="CY38" s="142">
        <f t="shared" si="173"/>
        <v>0</v>
      </c>
      <c r="CZ38" s="142">
        <f t="shared" si="173"/>
        <v>0</v>
      </c>
      <c r="DA38" s="142">
        <f t="shared" si="173"/>
        <v>0</v>
      </c>
      <c r="DB38" s="142">
        <f t="shared" si="173"/>
        <v>0</v>
      </c>
      <c r="DC38" s="142">
        <f t="shared" si="173"/>
        <v>0</v>
      </c>
      <c r="DD38" s="142">
        <f t="shared" si="173"/>
        <v>0</v>
      </c>
      <c r="DE38" s="142">
        <f t="shared" si="173"/>
        <v>0</v>
      </c>
      <c r="DF38" s="142">
        <f t="shared" si="173"/>
        <v>0</v>
      </c>
      <c r="DG38" s="142">
        <f t="shared" si="173"/>
        <v>0</v>
      </c>
      <c r="DH38" s="142">
        <f t="shared" si="173"/>
        <v>0</v>
      </c>
      <c r="DI38" s="142">
        <f t="shared" si="173"/>
        <v>0</v>
      </c>
      <c r="DJ38" s="142">
        <f t="shared" si="173"/>
        <v>0</v>
      </c>
      <c r="DK38" s="142">
        <f t="shared" si="173"/>
        <v>0</v>
      </c>
      <c r="DL38" s="142">
        <f t="shared" si="173"/>
        <v>0</v>
      </c>
      <c r="DM38" s="142">
        <f t="shared" si="173"/>
        <v>0</v>
      </c>
      <c r="DN38" s="142">
        <f t="shared" si="173"/>
        <v>0</v>
      </c>
      <c r="DO38" s="142">
        <f t="shared" si="173"/>
        <v>0</v>
      </c>
      <c r="DP38" s="142">
        <f t="shared" si="173"/>
        <v>0</v>
      </c>
      <c r="DQ38" s="142">
        <f t="shared" si="173"/>
        <v>0</v>
      </c>
      <c r="DR38" s="142">
        <f t="shared" si="173"/>
        <v>0</v>
      </c>
      <c r="DS38" s="142">
        <f t="shared" si="173"/>
        <v>0</v>
      </c>
      <c r="DT38" s="142">
        <f t="shared" si="173"/>
        <v>0</v>
      </c>
      <c r="DU38" s="142">
        <f t="shared" si="173"/>
        <v>0</v>
      </c>
      <c r="DV38" s="142">
        <f t="shared" si="173"/>
        <v>0</v>
      </c>
      <c r="DW38" s="142">
        <f t="shared" si="173"/>
        <v>0</v>
      </c>
      <c r="DX38" s="142">
        <f t="shared" si="173"/>
        <v>0</v>
      </c>
      <c r="DY38" s="142">
        <f t="shared" si="173"/>
        <v>0</v>
      </c>
      <c r="DZ38" s="142">
        <f t="shared" si="173"/>
        <v>0</v>
      </c>
      <c r="EA38" s="143">
        <f t="shared" ref="EA38:EA69" si="174">IF(OR(EA$5-$AI38&lt;=0,ISBLANK($A38)),0,INDEX($AO$6:$BR$176,ROW()-5,COLUMN(AP38)-41-$AI38))</f>
        <v>0</v>
      </c>
      <c r="EB38" s="143">
        <f t="shared" ref="EB38:EB69" si="175">IF(OR(EB$5-$AI38&lt;=0,ISBLANK($A38)),0,INDEX($AO$6:$BR$176,ROW()-5,COLUMN(AQ38)-41-$AI38))</f>
        <v>0</v>
      </c>
      <c r="EC38" s="143">
        <f t="shared" ref="EC38:EC69" si="176">IF(OR(EC$5-$AI38&lt;=0,ISBLANK($A38)),0,INDEX($AO$6:$BR$176,ROW()-5,COLUMN(AR38)-41-$AI38))</f>
        <v>0</v>
      </c>
      <c r="ED38" s="143">
        <f t="shared" ref="ED38:ED69" si="177">IF(OR(ED$5-$AI38&lt;=0,ISBLANK($A38)),0,INDEX($AO$6:$BR$176,ROW()-5,COLUMN(AS38)-41-$AI38))</f>
        <v>0</v>
      </c>
      <c r="EE38" s="143">
        <f t="shared" ref="EE38:EE69" si="178">IF(OR(EE$5-$AI38&lt;=0,ISBLANK($A38)),0,INDEX($AO$6:$BR$176,ROW()-5,COLUMN(AT38)-41-$AI38))</f>
        <v>0</v>
      </c>
      <c r="EF38" s="143">
        <f t="shared" ref="EF38:EF69" si="179">IF(OR(EF$5-$AI38&lt;=0,ISBLANK($A38)),0,INDEX($AO$6:$BR$176,ROW()-5,COLUMN(AU38)-41-$AI38))</f>
        <v>0</v>
      </c>
      <c r="EG38" s="143">
        <f t="shared" ref="EG38:EG69" si="180">IF(OR(EG$5-$AI38&lt;=0,ISBLANK($A38)),0,INDEX($AO$6:$BR$176,ROW()-5,COLUMN(AV38)-41-$AI38))</f>
        <v>0</v>
      </c>
      <c r="EH38" s="143">
        <f t="shared" ref="EH38:EH69" si="181">IF(OR(EH$5-$AI38&lt;=0,ISBLANK($A38)),0,INDEX($AO$6:$BR$176,ROW()-5,COLUMN(AW38)-41-$AI38))</f>
        <v>0</v>
      </c>
      <c r="EI38" s="143">
        <f t="shared" ref="EI38:EI69" si="182">IF(OR(EI$5-$AI38&lt;=0,ISBLANK($A38)),0,INDEX($AO$6:$BR$176,ROW()-5,COLUMN(AX38)-41-$AI38))</f>
        <v>0</v>
      </c>
      <c r="EJ38" s="143">
        <f t="shared" ref="EJ38:EJ69" si="183">IF(OR(EJ$5-$AI38&lt;=0,ISBLANK($A38)),0,INDEX($AO$6:$BR$176,ROW()-5,COLUMN(AY38)-41-$AI38))</f>
        <v>0</v>
      </c>
      <c r="EK38" s="143">
        <f t="shared" ref="EK38:EK69" si="184">IF(OR(EK$5-$AI38&lt;=0,ISBLANK($A38)),0,INDEX($AO$6:$BR$176,ROW()-5,COLUMN(AZ38)-41-$AI38))</f>
        <v>0</v>
      </c>
      <c r="EL38" s="143">
        <f t="shared" ref="EL38:EL69" si="185">IF(OR(EL$5-$AI38&lt;=0,ISBLANK($A38)),0,INDEX($AO$6:$BR$176,ROW()-5,COLUMN(BA38)-41-$AI38))</f>
        <v>0</v>
      </c>
      <c r="EM38" s="143">
        <f t="shared" ref="EM38:EM69" si="186">IF(OR(EM$5-$AI38&lt;=0,ISBLANK($A38)),0,INDEX($AO$6:$BR$176,ROW()-5,COLUMN(BB38)-41-$AI38))</f>
        <v>0</v>
      </c>
      <c r="EN38" s="143">
        <f t="shared" ref="EN38:EN69" si="187">IF(OR(EN$5-$AI38&lt;=0,ISBLANK($A38)),0,INDEX($AO$6:$BR$176,ROW()-5,COLUMN(BC38)-41-$AI38))</f>
        <v>0</v>
      </c>
      <c r="EO38" s="143">
        <f t="shared" ref="EO38:EO69" si="188">IF(OR(EO$5-$AI38&lt;=0,ISBLANK($A38)),0,INDEX($AO$6:$BR$176,ROW()-5,COLUMN(BD38)-41-$AI38))</f>
        <v>0</v>
      </c>
      <c r="EP38" s="143">
        <f t="shared" ref="EP38:EP69" si="189">IF(OR(EP$5-$AI38&lt;=0,ISBLANK($A38)),0,INDEX($AO$6:$BR$176,ROW()-5,COLUMN(BE38)-41-$AI38))</f>
        <v>0</v>
      </c>
      <c r="EQ38" s="143">
        <f t="shared" ref="EQ38:EQ69" si="190">IF(OR(EQ$5-$AI38&lt;=0,ISBLANK($A38)),0,INDEX($AO$6:$BR$176,ROW()-5,COLUMN(BF38)-41-$AI38))</f>
        <v>0</v>
      </c>
      <c r="ER38" s="143">
        <f t="shared" ref="ER38:ER69" si="191">IF(OR(ER$5-$AI38&lt;=0,ISBLANK($A38)),0,INDEX($AO$6:$BR$176,ROW()-5,COLUMN(BG38)-41-$AI38))</f>
        <v>0</v>
      </c>
      <c r="ES38" s="143">
        <f t="shared" ref="ES38:ES69" si="192">IF(OR(ES$5-$AI38&lt;=0,ISBLANK($A38)),0,INDEX($AO$6:$BR$176,ROW()-5,COLUMN(BH38)-41-$AI38))</f>
        <v>0</v>
      </c>
      <c r="ET38" s="143">
        <f t="shared" ref="ET38:ET69" si="193">IF(OR(ET$5-$AI38&lt;=0,ISBLANK($A38)),0,INDEX($AO$6:$BR$176,ROW()-5,COLUMN(BI38)-41-$AI38))</f>
        <v>0</v>
      </c>
      <c r="EU38" s="143">
        <f t="shared" ref="EU38:EU69" si="194">IF(OR(EU$5-$AI38&lt;=0,ISBLANK($A38)),0,INDEX($AO$6:$BR$176,ROW()-5,COLUMN(BJ38)-41-$AI38))</f>
        <v>0</v>
      </c>
      <c r="EV38" s="143">
        <f t="shared" ref="EV38:EV69" si="195">IF(OR(EV$5-$AI38&lt;=0,ISBLANK($A38)),0,INDEX($AO$6:$BR$176,ROW()-5,COLUMN(BK38)-41-$AI38))</f>
        <v>0</v>
      </c>
      <c r="EW38" s="143">
        <f t="shared" ref="EW38:EW69" si="196">IF(OR(EW$5-$AI38&lt;=0,ISBLANK($A38)),0,INDEX($AO$6:$BR$176,ROW()-5,COLUMN(BL38)-41-$AI38))</f>
        <v>0</v>
      </c>
      <c r="EX38" s="143">
        <f t="shared" ref="EX38:EX69" si="197">IF(OR(EX$5-$AI38&lt;=0,ISBLANK($A38)),0,INDEX($AO$6:$BR$176,ROW()-5,COLUMN(BM38)-41-$AI38))</f>
        <v>0</v>
      </c>
      <c r="EY38" s="143">
        <f t="shared" ref="EY38:EY69" si="198">IF(OR(EY$5-$AI38&lt;=0,ISBLANK($A38)),0,INDEX($AO$6:$BR$176,ROW()-5,COLUMN(BN38)-41-$AI38))</f>
        <v>0</v>
      </c>
      <c r="EZ38" s="143">
        <f t="shared" ref="EZ38:EZ69" si="199">IF(OR(EZ$5-$AI38&lt;=0,ISBLANK($A38)),0,INDEX($AO$6:$BR$176,ROW()-5,COLUMN(BO38)-41-$AI38))</f>
        <v>0</v>
      </c>
      <c r="FA38" s="143">
        <f t="shared" ref="FA38:FA69" si="200">IF(OR(FA$5-$AI38&lt;=0,ISBLANK($A38)),0,INDEX($AO$6:$BR$176,ROW()-5,COLUMN(BP38)-41-$AI38))</f>
        <v>0</v>
      </c>
      <c r="FB38" s="143">
        <f t="shared" ref="FB38:FB69" si="201">IF(OR(FB$5-$AI38&lt;=0,ISBLANK($A38)),0,INDEX($AO$6:$BR$176,ROW()-5,COLUMN(BQ38)-41-$AI38))</f>
        <v>0</v>
      </c>
      <c r="FC38" s="143">
        <f t="shared" ref="FC38:FC69" si="202">IF(OR(FC$5-$AI38&lt;=0,ISBLANK($A38)),0,INDEX($AO$6:$BR$176,ROW()-5,COLUMN(BR38)-41-$AI38))</f>
        <v>0</v>
      </c>
      <c r="FD38" s="143">
        <f t="shared" ref="FD38:FD69" si="203">IF(OR(FD$5-$AI38&lt;=0,ISBLANK($A38)),0,INDEX($AO$6:$BR$176,ROW()-5,COLUMN(BS38)-41-$AI38))</f>
        <v>0</v>
      </c>
      <c r="FE38" s="140">
        <f>SUM($D38:D38)*IF($B38="Operacional",IFERROR(VLOOKUP($C38,SN_UGC,28,0),0),1)</f>
        <v>1050</v>
      </c>
      <c r="FF38" s="140">
        <f>SUM($D38:E38)*IF($B38="Operacional",IFERROR(VLOOKUP($C38,SN_UGC,28,0),0),1)</f>
        <v>1050</v>
      </c>
      <c r="FG38" s="140">
        <f>SUM($D38:F38)*IF($B38="Operacional",IFERROR(VLOOKUP($C38,SN_UGC,28,0),0),1)</f>
        <v>1050</v>
      </c>
      <c r="FH38" s="140">
        <f>SUM($D38:G38)*IF($B38="Operacional",IFERROR(VLOOKUP($C38,SN_UGC,28,0),0),1)</f>
        <v>1050</v>
      </c>
      <c r="FI38" s="140">
        <f>SUM($D38:H38)*IF($B38="Operacional",IFERROR(VLOOKUP($C38,SN_UGC,28,0),0),1)</f>
        <v>1050</v>
      </c>
      <c r="FJ38" s="140">
        <f>SUM($D38:I38)*IF($B38="Operacional",IFERROR(VLOOKUP($C38,SN_UGC,28,0),0),1)</f>
        <v>1050</v>
      </c>
      <c r="FK38" s="140">
        <f>SUM($D38:J38)*IF($B38="Operacional",IFERROR(VLOOKUP($C38,SN_UGC,28,0),0),1)</f>
        <v>1050</v>
      </c>
      <c r="FL38" s="140">
        <f>SUM($D38:K38)*IF($B38="Operacional",IFERROR(VLOOKUP($C38,SN_UGC,28,0),0),1)</f>
        <v>1050</v>
      </c>
      <c r="FM38" s="140">
        <f>SUM($D38:L38)*IF($B38="Operacional",IFERROR(VLOOKUP($C38,SN_UGC,28,0),0),1)</f>
        <v>1050</v>
      </c>
      <c r="FN38" s="140">
        <f>SUM($D38:M38)*IF($B38="Operacional",IFERROR(VLOOKUP($C38,SN_UGC,28,0),0),1)</f>
        <v>1050</v>
      </c>
      <c r="FO38" s="140">
        <f>SUM($D38:N38)*IF($B38="Operacional",IFERROR(VLOOKUP($C38,SN_UGC,28,0),0),1)</f>
        <v>1050</v>
      </c>
      <c r="FP38" s="140">
        <f>SUM($D38:O38)*IF($B38="Operacional",IFERROR(VLOOKUP($C38,SN_UGC,28,0),0),1)</f>
        <v>1050</v>
      </c>
      <c r="FQ38" s="140">
        <f>SUM($D38:P38)*IF($B38="Operacional",IFERROR(VLOOKUP($C38,SN_UGC,28,0),0),1)</f>
        <v>1050</v>
      </c>
      <c r="FR38" s="140">
        <f>SUM($D38:Q38)*IF($B38="Operacional",IFERROR(VLOOKUP($C38,SN_UGC,28,0),0),1)</f>
        <v>1050</v>
      </c>
      <c r="FS38" s="140">
        <f>SUM($D38:R38)*IF($B38="Operacional",IFERROR(VLOOKUP($C38,SN_UGC,28,0),0),1)</f>
        <v>1050</v>
      </c>
      <c r="FT38" s="140">
        <f>SUM($D38:S38)*IF($B38="Operacional",IFERROR(VLOOKUP($C38,SN_UGC,28,0),0),1)</f>
        <v>1050</v>
      </c>
      <c r="FU38" s="140">
        <f>SUM($D38:T38)*IF($B38="Operacional",IFERROR(VLOOKUP($C38,SN_UGC,28,0),0),1)</f>
        <v>1050</v>
      </c>
      <c r="FV38" s="140">
        <f>SUM($D38:U38)*IF($B38="Operacional",IFERROR(VLOOKUP($C38,SN_UGC,28,0),0),1)</f>
        <v>1050</v>
      </c>
      <c r="FW38" s="140">
        <f>SUM($D38:V38)*IF($B38="Operacional",IFERROR(VLOOKUP($C38,SN_UGC,28,0),0),1)</f>
        <v>1050</v>
      </c>
      <c r="FX38" s="140">
        <f>SUM($D38:W38)*IF($B38="Operacional",IFERROR(VLOOKUP($C38,SN_UGC,28,0),0),1)</f>
        <v>1050</v>
      </c>
      <c r="FY38" s="140">
        <f>SUM($D38:X38)*IF($B38="Operacional",IFERROR(VLOOKUP($C38,SN_UGC,28,0),0),1)</f>
        <v>1050</v>
      </c>
      <c r="FZ38" s="140">
        <f>SUM($D38:Y38)*IF($B38="Operacional",IFERROR(VLOOKUP($C38,SN_UGC,28,0),0),1)</f>
        <v>1050</v>
      </c>
      <c r="GA38" s="140">
        <f>SUM($D38:Z38)*IF($B38="Operacional",IFERROR(VLOOKUP($C38,SN_UGC,28,0),0),1)</f>
        <v>1050</v>
      </c>
      <c r="GB38" s="140">
        <f>SUM($D38:AA38)*IF($B38="Operacional",IFERROR(VLOOKUP($C38,SN_UGC,28,0),0),1)</f>
        <v>1050</v>
      </c>
      <c r="GC38" s="140">
        <f>SUM($D38:AB38)*IF($B38="Operacional",IFERROR(VLOOKUP($C38,SN_UGC,28,0),0),1)</f>
        <v>1050</v>
      </c>
      <c r="GD38" s="140">
        <f>SUM($D38:AC38)*IF($B38="Operacional",IFERROR(VLOOKUP($C38,SN_UGC,28,0),0),1)</f>
        <v>1050</v>
      </c>
      <c r="GE38" s="140">
        <f>SUM($D38:AD38)*IF($B38="Operacional",IFERROR(VLOOKUP($C38,SN_UGC,28,0),0),1)</f>
        <v>1050</v>
      </c>
      <c r="GF38" s="140">
        <f>SUM($D38:AE38)*IF($B38="Operacional",IFERROR(VLOOKUP($C38,SN_UGC,28,0),0),1)</f>
        <v>1050</v>
      </c>
      <c r="GG38" s="140">
        <f>SUM($D38:AF38)*IF($B38="Operacional",IFERROR(VLOOKUP($C38,SN_UGC,28,0),0),1)</f>
        <v>1050</v>
      </c>
      <c r="GH38" s="140">
        <f>SUM($D38:AG38)*IF($B38="Operacional",IFERROR(VLOOKUP($C38,SN_UGC,28,0),0),1)</f>
        <v>1050</v>
      </c>
      <c r="GI38" s="141">
        <f t="shared" ref="GI38:HL38" si="204">FE38*$AH38*$AL38</f>
        <v>5486.2500000000009</v>
      </c>
      <c r="GJ38" s="141">
        <f t="shared" si="204"/>
        <v>5486.2500000000009</v>
      </c>
      <c r="GK38" s="141">
        <f t="shared" si="204"/>
        <v>5486.2500000000009</v>
      </c>
      <c r="GL38" s="141">
        <f t="shared" si="204"/>
        <v>5486.2500000000009</v>
      </c>
      <c r="GM38" s="141">
        <f t="shared" si="204"/>
        <v>5486.2500000000009</v>
      </c>
      <c r="GN38" s="141">
        <f t="shared" si="204"/>
        <v>5486.2500000000009</v>
      </c>
      <c r="GO38" s="141">
        <f t="shared" si="204"/>
        <v>5486.2500000000009</v>
      </c>
      <c r="GP38" s="141">
        <f t="shared" si="204"/>
        <v>5486.2500000000009</v>
      </c>
      <c r="GQ38" s="141">
        <f t="shared" si="204"/>
        <v>5486.2500000000009</v>
      </c>
      <c r="GR38" s="141">
        <f t="shared" si="204"/>
        <v>5486.2500000000009</v>
      </c>
      <c r="GS38" s="141">
        <f t="shared" si="204"/>
        <v>5486.2500000000009</v>
      </c>
      <c r="GT38" s="141">
        <f t="shared" si="204"/>
        <v>5486.2500000000009</v>
      </c>
      <c r="GU38" s="141">
        <f t="shared" si="204"/>
        <v>5486.2500000000009</v>
      </c>
      <c r="GV38" s="141">
        <f t="shared" si="204"/>
        <v>5486.2500000000009</v>
      </c>
      <c r="GW38" s="141">
        <f t="shared" si="204"/>
        <v>5486.2500000000009</v>
      </c>
      <c r="GX38" s="141">
        <f t="shared" si="204"/>
        <v>5486.2500000000009</v>
      </c>
      <c r="GY38" s="141">
        <f t="shared" si="204"/>
        <v>5486.2500000000009</v>
      </c>
      <c r="GZ38" s="141">
        <f t="shared" si="204"/>
        <v>5486.2500000000009</v>
      </c>
      <c r="HA38" s="141">
        <f t="shared" si="204"/>
        <v>5486.2500000000009</v>
      </c>
      <c r="HB38" s="141">
        <f t="shared" si="204"/>
        <v>5486.2500000000009</v>
      </c>
      <c r="HC38" s="141">
        <f t="shared" si="204"/>
        <v>5486.2500000000009</v>
      </c>
      <c r="HD38" s="141">
        <f t="shared" si="204"/>
        <v>5486.2500000000009</v>
      </c>
      <c r="HE38" s="141">
        <f t="shared" si="204"/>
        <v>5486.2500000000009</v>
      </c>
      <c r="HF38" s="141">
        <f t="shared" si="204"/>
        <v>5486.2500000000009</v>
      </c>
      <c r="HG38" s="141">
        <f t="shared" si="204"/>
        <v>5486.2500000000009</v>
      </c>
      <c r="HH38" s="141">
        <f t="shared" si="204"/>
        <v>5486.2500000000009</v>
      </c>
      <c r="HI38" s="141">
        <f t="shared" si="204"/>
        <v>5486.2500000000009</v>
      </c>
      <c r="HJ38" s="141">
        <f t="shared" si="204"/>
        <v>5486.2500000000009</v>
      </c>
      <c r="HK38" s="141">
        <f t="shared" si="204"/>
        <v>5486.2500000000009</v>
      </c>
      <c r="HL38" s="141">
        <f t="shared" si="204"/>
        <v>5486.2500000000009</v>
      </c>
      <c r="HM38" s="142">
        <f t="shared" ref="HM38:IP38" si="205">IF(ISBLANK($A38),,FE38*($AH38-($AH38*$AJ38))/$AI38)</f>
        <v>0</v>
      </c>
      <c r="HN38" s="142">
        <f t="shared" si="205"/>
        <v>0</v>
      </c>
      <c r="HO38" s="142">
        <f t="shared" si="205"/>
        <v>0</v>
      </c>
      <c r="HP38" s="142">
        <f t="shared" si="205"/>
        <v>0</v>
      </c>
      <c r="HQ38" s="142">
        <f t="shared" si="205"/>
        <v>0</v>
      </c>
      <c r="HR38" s="142">
        <f t="shared" si="205"/>
        <v>0</v>
      </c>
      <c r="HS38" s="142">
        <f t="shared" si="205"/>
        <v>0</v>
      </c>
      <c r="HT38" s="142">
        <f t="shared" si="205"/>
        <v>0</v>
      </c>
      <c r="HU38" s="142">
        <f t="shared" si="205"/>
        <v>0</v>
      </c>
      <c r="HV38" s="142">
        <f t="shared" si="205"/>
        <v>0</v>
      </c>
      <c r="HW38" s="142">
        <f t="shared" si="205"/>
        <v>0</v>
      </c>
      <c r="HX38" s="142">
        <f t="shared" si="205"/>
        <v>0</v>
      </c>
      <c r="HY38" s="142">
        <f t="shared" si="205"/>
        <v>0</v>
      </c>
      <c r="HZ38" s="142">
        <f t="shared" si="205"/>
        <v>0</v>
      </c>
      <c r="IA38" s="142">
        <f t="shared" si="205"/>
        <v>0</v>
      </c>
      <c r="IB38" s="142">
        <f t="shared" si="205"/>
        <v>0</v>
      </c>
      <c r="IC38" s="142">
        <f t="shared" si="205"/>
        <v>0</v>
      </c>
      <c r="ID38" s="142">
        <f t="shared" si="205"/>
        <v>0</v>
      </c>
      <c r="IE38" s="142">
        <f t="shared" si="205"/>
        <v>0</v>
      </c>
      <c r="IF38" s="142">
        <f t="shared" si="205"/>
        <v>0</v>
      </c>
      <c r="IG38" s="142">
        <f t="shared" si="205"/>
        <v>0</v>
      </c>
      <c r="IH38" s="142">
        <f t="shared" si="205"/>
        <v>0</v>
      </c>
      <c r="II38" s="142">
        <f t="shared" si="205"/>
        <v>0</v>
      </c>
      <c r="IJ38" s="142">
        <f t="shared" si="205"/>
        <v>0</v>
      </c>
      <c r="IK38" s="142">
        <f t="shared" si="205"/>
        <v>0</v>
      </c>
      <c r="IL38" s="142">
        <f t="shared" si="205"/>
        <v>0</v>
      </c>
      <c r="IM38" s="142">
        <f t="shared" si="205"/>
        <v>0</v>
      </c>
      <c r="IN38" s="142">
        <f t="shared" si="205"/>
        <v>0</v>
      </c>
      <c r="IO38" s="142">
        <f t="shared" si="205"/>
        <v>0</v>
      </c>
      <c r="IP38" s="142">
        <f t="shared" si="205"/>
        <v>0</v>
      </c>
      <c r="IQ38" s="141">
        <f>IF(ISBLANK($A38),,IF($AN38="Não",0,(SUM($AO38:AO38)*$AH38)-SUM($HM38:HM38)-SUM($CW38:CW38)))</f>
        <v>109725.00000000001</v>
      </c>
      <c r="IR38" s="141">
        <f>IF(ISBLANK($A38),,IF($AN38="Não",0,(SUM($AO38:AP38)*$AH38)-SUM($HM38:HN38)-SUM($CW38:CX38)))</f>
        <v>109725.00000000001</v>
      </c>
      <c r="IS38" s="141">
        <f>IF(ISBLANK($A38),,IF($AN38="Não",0,(SUM($AO38:AQ38)*$AH38)-SUM($HM38:HO38)-SUM($CW38:CY38)))</f>
        <v>109725.00000000001</v>
      </c>
      <c r="IT38" s="141">
        <f>IF(ISBLANK($A38),,IF($AN38="Não",0,(SUM($AO38:AR38)*$AH38)-SUM($HM38:HP38)-SUM($CW38:CZ38)))</f>
        <v>109725.00000000001</v>
      </c>
      <c r="IU38" s="141">
        <f>IF(ISBLANK($A38),,IF($AN38="Não",0,(SUM($AO38:AS38)*$AH38)-SUM($HM38:HQ38)-SUM($CW38:DA38)))</f>
        <v>109725.00000000001</v>
      </c>
      <c r="IV38" s="141">
        <f>IF(ISBLANK($A38),,IF($AN38="Não",0,(SUM($AO38:AT38)*$AH38)-SUM($HM38:HR38)-SUM($CW38:DB38)))</f>
        <v>109725.00000000001</v>
      </c>
      <c r="IW38" s="141">
        <f>IF(ISBLANK($A38),,IF($AN38="Não",0,(SUM($AO38:AU38)*$AH38)-SUM($HM38:HS38)-SUM($CW38:DC38)))</f>
        <v>109725.00000000001</v>
      </c>
      <c r="IX38" s="141">
        <f>IF(ISBLANK($A38),,IF($AN38="Não",0,(SUM($AO38:AV38)*$AH38)-SUM($HM38:HT38)-SUM($CW38:DD38)))</f>
        <v>109725.00000000001</v>
      </c>
      <c r="IY38" s="141">
        <f>IF(ISBLANK($A38),,IF($AN38="Não",0,(SUM($AO38:AW38)*$AH38)-SUM($HM38:HU38)-SUM($CW38:DE38)))</f>
        <v>109725.00000000001</v>
      </c>
      <c r="IZ38" s="141">
        <f>IF(ISBLANK($A38),,IF($AN38="Não",0,(SUM($AO38:AX38)*$AH38)-SUM($HM38:HV38)-SUM($CW38:DF38)))</f>
        <v>109725.00000000001</v>
      </c>
      <c r="JA38" s="141">
        <f>IF(ISBLANK($A38),,IF($AN38="Não",0,(SUM($AO38:AY38)*$AH38)-SUM($HM38:HW38)-SUM($CW38:DG38)))</f>
        <v>109725.00000000001</v>
      </c>
      <c r="JB38" s="141">
        <f>IF(ISBLANK($A38),,IF($AN38="Não",0,(SUM($AO38:AZ38)*$AH38)-SUM($HM38:HX38)-SUM($CW38:DH38)))</f>
        <v>109725.00000000001</v>
      </c>
      <c r="JC38" s="141">
        <f>IF(ISBLANK($A38),,IF($AN38="Não",0,(SUM($AO38:BA38)*$AH38)-SUM($HM38:HY38)-SUM($CW38:DI38)))</f>
        <v>109725.00000000001</v>
      </c>
      <c r="JD38" s="141">
        <f>IF(ISBLANK($A38),,IF($AN38="Não",0,(SUM($AO38:BB38)*$AH38)-SUM($HM38:HZ38)-SUM($CW38:DJ38)))</f>
        <v>109725.00000000001</v>
      </c>
      <c r="JE38" s="141">
        <f>IF(ISBLANK($A38),,IF($AN38="Não",0,(SUM($AO38:BC38)*$AH38)-SUM($HM38:IA38)-SUM($CW38:DK38)))</f>
        <v>109725.00000000001</v>
      </c>
      <c r="JF38" s="141">
        <f>IF(ISBLANK($A38),,IF($AN38="Não",0,(SUM($AO38:BD38)*$AH38)-SUM($HM38:IB38)-SUM($CW38:DL38)))</f>
        <v>109725.00000000001</v>
      </c>
      <c r="JG38" s="141">
        <f>IF(ISBLANK($A38),,IF($AN38="Não",0,(SUM($AO38:BE38)*$AH38)-SUM($HM38:IC38)-SUM($CW38:DM38)))</f>
        <v>109725.00000000001</v>
      </c>
      <c r="JH38" s="141">
        <f>IF(ISBLANK($A38),,IF($AN38="Não",0,(SUM($AO38:BF38)*$AH38)-SUM($HM38:ID38)-SUM($CW38:DN38)))</f>
        <v>109725.00000000001</v>
      </c>
      <c r="JI38" s="141">
        <f>IF(ISBLANK($A38),,IF($AN38="Não",0,(SUM($AO38:BG38)*$AH38)-SUM($HM38:IE38)-SUM($CW38:DO38)))</f>
        <v>109725.00000000001</v>
      </c>
      <c r="JJ38" s="141">
        <f>IF(ISBLANK($A38),,IF($AN38="Não",0,(SUM($AO38:BH38)*$AH38)-SUM($HM38:IF38)-SUM($CW38:DP38)))</f>
        <v>109725.00000000001</v>
      </c>
      <c r="JK38" s="141">
        <f>IF(ISBLANK($A38),,IF($AN38="Não",0,(SUM($AO38:BI38)*$AH38)-SUM($HM38:IG38)-SUM($CW38:DQ38)))</f>
        <v>109725.00000000001</v>
      </c>
      <c r="JL38" s="141">
        <f>IF(ISBLANK($A38),,IF($AN38="Não",0,(SUM($AO38:BJ38)*$AH38)-SUM($HM38:IH38)-SUM($CW38:DR38)))</f>
        <v>109725.00000000001</v>
      </c>
      <c r="JM38" s="141">
        <f>IF(ISBLANK($A38),,IF($AN38="Não",0,(SUM($AO38:BK38)*$AH38)-SUM($HM38:II38)-SUM($CW38:DS38)))</f>
        <v>109725.00000000001</v>
      </c>
      <c r="JN38" s="141">
        <f>IF(ISBLANK($A38),,IF($AN38="Não",0,(SUM($AO38:BL38)*$AH38)-SUM($HM38:IJ38)-SUM($CW38:DT38)))</f>
        <v>109725.00000000001</v>
      </c>
      <c r="JO38" s="141">
        <f>IF(ISBLANK($A38),,IF($AN38="Não",0,(SUM($AO38:BM38)*$AH38)-SUM($HM38:IK38)-SUM($CW38:DU38)))</f>
        <v>109725.00000000001</v>
      </c>
      <c r="JP38" s="141">
        <f>IF(ISBLANK($A38),,IF($AN38="Não",0,(SUM($AO38:BN38)*$AH38)-SUM($HM38:IL38)-SUM($CW38:DV38)))</f>
        <v>109725.00000000001</v>
      </c>
      <c r="JQ38" s="141">
        <f>IF(ISBLANK($A38),,IF($AN38="Não",0,(SUM($AO38:BO38)*$AH38)-SUM($HM38:IM38)-SUM($CW38:DW38)))</f>
        <v>109725.00000000001</v>
      </c>
      <c r="JR38" s="141">
        <f>IF(ISBLANK($A38),,IF($AN38="Não",0,(SUM($AO38:BP38)*$AH38)-SUM($HM38:IN38)-SUM($CW38:DX38)))</f>
        <v>109725.00000000001</v>
      </c>
      <c r="JS38" s="141">
        <f>IF(ISBLANK($A38),,IF($AN38="Não",0,(SUM($AO38:BQ38)*$AH38)-SUM($HM38:IO38)-SUM($CW38:DY38)))</f>
        <v>109725.00000000001</v>
      </c>
      <c r="JT38" s="141">
        <f>IF(ISBLANK($A38),,IF($AN38="Não",0,(SUM($AO38:BR38)*$AH38)-SUM($HM38:IP38)-SUM($CW38:DZ38)))</f>
        <v>109725.00000000001</v>
      </c>
    </row>
    <row r="39" spans="1:280" ht="15.75" customHeight="1">
      <c r="A39" s="129" t="s">
        <v>364</v>
      </c>
      <c r="B39" s="129" t="s">
        <v>209</v>
      </c>
      <c r="C39" s="138" t="s">
        <v>79</v>
      </c>
      <c r="D39" s="139">
        <v>4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607">
        <f t="shared" si="165"/>
        <v>1015.19</v>
      </c>
      <c r="AI39" s="608">
        <f t="shared" si="166"/>
        <v>10</v>
      </c>
      <c r="AJ39" s="609">
        <f t="shared" si="167"/>
        <v>0</v>
      </c>
      <c r="AK39" s="610" t="str">
        <f t="shared" si="168"/>
        <v>Outros</v>
      </c>
      <c r="AL39" s="609">
        <f t="shared" si="169"/>
        <v>0.05</v>
      </c>
      <c r="AM39" s="611" t="str">
        <f t="shared" si="170"/>
        <v>Sim</v>
      </c>
      <c r="AN39" s="611" t="str">
        <f t="shared" si="171"/>
        <v>Não</v>
      </c>
      <c r="AO39" s="140">
        <f t="array" ref="AO39">IF(ISBLANK($A39),0,IF(OR(AO$5-$AI39&lt;=0,$AM39="Não"),D39,D39+INDEX($AO$6:$BR$176,ROW()-5,COLUMN()-40-$AI39)))*IF($B39="Operacional",IFERROR(VLOOKUP($C39,SN_UGC,28,0),0),1)</f>
        <v>4</v>
      </c>
      <c r="AP39" s="140">
        <f t="array" ref="AP39">IF(ISBLANK($A39),0,IF(OR(AP$5-$AI39&lt;=0,$AM39="Não"),E39,E39+INDEX($AO$6:$BR$176,ROW()-5,COLUMN()-40-$AI39)))*IF($B39="Operacional",IFERROR(VLOOKUP($C39,SN_UGC,28,0),0),1)</f>
        <v>0</v>
      </c>
      <c r="AQ39" s="140">
        <f t="array" ref="AQ39">IF(ISBLANK($A39),0,IF(OR(AQ$5-$AI39&lt;=0,$AM39="Não"),F39,F39+INDEX($AO$6:$BR$176,ROW()-5,COLUMN()-40-$AI39)))*IF($B39="Operacional",IFERROR(VLOOKUP($C39,SN_UGC,28,0),0),1)</f>
        <v>0</v>
      </c>
      <c r="AR39" s="140">
        <f t="array" ref="AR39">IF(ISBLANK($A39),0,IF(OR(AR$5-$AI39&lt;=0,$AM39="Não"),G39,G39+INDEX($AO$6:$BR$176,ROW()-5,COLUMN()-40-$AI39)))*IF($B39="Operacional",IFERROR(VLOOKUP($C39,SN_UGC,28,0),0),1)</f>
        <v>0</v>
      </c>
      <c r="AS39" s="140">
        <f t="array" ref="AS39">IF(ISBLANK($A39),0,IF(OR(AS$5-$AI39&lt;=0,$AM39="Não"),H39,H39+INDEX($AO$6:$BR$176,ROW()-5,COLUMN()-40-$AI39)))*IF($B39="Operacional",IFERROR(VLOOKUP($C39,SN_UGC,28,0),0),1)</f>
        <v>0</v>
      </c>
      <c r="AT39" s="140">
        <f t="array" ref="AT39">IF(ISBLANK($A39),0,IF(OR(AT$5-$AI39&lt;=0,$AM39="Não"),I39,I39+INDEX($AO$6:$BR$176,ROW()-5,COLUMN()-40-$AI39)))*IF($B39="Operacional",IFERROR(VLOOKUP($C39,SN_UGC,28,0),0),1)</f>
        <v>0</v>
      </c>
      <c r="AU39" s="140">
        <f t="array" ref="AU39">IF(ISBLANK($A39),0,IF(OR(AU$5-$AI39&lt;=0,$AM39="Não"),J39,J39+INDEX($AO$6:$BR$176,ROW()-5,COLUMN()-40-$AI39)))*IF($B39="Operacional",IFERROR(VLOOKUP($C39,SN_UGC,28,0),0),1)</f>
        <v>0</v>
      </c>
      <c r="AV39" s="140">
        <f t="array" ref="AV39">IF(ISBLANK($A39),0,IF(OR(AV$5-$AI39&lt;=0,$AM39="Não"),K39,K39+INDEX($AO$6:$BR$176,ROW()-5,COLUMN()-40-$AI39)))*IF($B39="Operacional",IFERROR(VLOOKUP($C39,SN_UGC,28,0),0),1)</f>
        <v>0</v>
      </c>
      <c r="AW39" s="140">
        <f t="array" ref="AW39">IF(ISBLANK($A39),0,IF(OR(AW$5-$AI39&lt;=0,$AM39="Não"),L39,L39+INDEX($AO$6:$BR$176,ROW()-5,COLUMN()-40-$AI39)))*IF($B39="Operacional",IFERROR(VLOOKUP($C39,SN_UGC,28,0),0),1)</f>
        <v>0</v>
      </c>
      <c r="AX39" s="140">
        <f t="array" ref="AX39">IF(ISBLANK($A39),0,IF(OR(AX$5-$AI39&lt;=0,$AM39="Não"),M39,M39+INDEX($AO$6:$BR$176,ROW()-5,COLUMN()-40-$AI39)))*IF($B39="Operacional",IFERROR(VLOOKUP($C39,SN_UGC,28,0),0),1)</f>
        <v>0</v>
      </c>
      <c r="AY39" s="140">
        <f t="array" ref="AY39">IF(ISBLANK($A39),0,IF(OR(AY$5-$AI39&lt;=0,$AM39="Não"),N39,N39+INDEX($AO$6:$BR$176,ROW()-5,COLUMN()-40-$AI39)))*IF($B39="Operacional",IFERROR(VLOOKUP($C39,SN_UGC,28,0),0),1)</f>
        <v>4</v>
      </c>
      <c r="AZ39" s="140">
        <f t="array" ref="AZ39">IF(ISBLANK($A39),0,IF(OR(AZ$5-$AI39&lt;=0,$AM39="Não"),O39,O39+INDEX($AO$6:$BR$176,ROW()-5,COLUMN()-40-$AI39)))*IF($B39="Operacional",IFERROR(VLOOKUP($C39,SN_UGC,28,0),0),1)</f>
        <v>0</v>
      </c>
      <c r="BA39" s="140">
        <f t="array" ref="BA39">IF(ISBLANK($A39),0,IF(OR(BA$5-$AI39&lt;=0,$AM39="Não"),P39,P39+INDEX($AO$6:$BR$176,ROW()-5,COLUMN()-40-$AI39)))*IF($B39="Operacional",IFERROR(VLOOKUP($C39,SN_UGC,28,0),0),1)</f>
        <v>0</v>
      </c>
      <c r="BB39" s="140">
        <f t="array" ref="BB39">IF(ISBLANK($A39),0,IF(OR(BB$5-$AI39&lt;=0,$AM39="Não"),Q39,Q39+INDEX($AO$6:$BR$176,ROW()-5,COLUMN()-40-$AI39)))*IF($B39="Operacional",IFERROR(VLOOKUP($C39,SN_UGC,28,0),0),1)</f>
        <v>0</v>
      </c>
      <c r="BC39" s="140">
        <f t="array" ref="BC39">IF(ISBLANK($A39),0,IF(OR(BC$5-$AI39&lt;=0,$AM39="Não"),R39,R39+INDEX($AO$6:$BR$176,ROW()-5,COLUMN()-40-$AI39)))*IF($B39="Operacional",IFERROR(VLOOKUP($C39,SN_UGC,28,0),0),1)</f>
        <v>0</v>
      </c>
      <c r="BD39" s="140">
        <f t="array" ref="BD39">IF(ISBLANK($A39),0,IF(OR(BD$5-$AI39&lt;=0,$AM39="Não"),S39,S39+INDEX($AO$6:$BR$176,ROW()-5,COLUMN()-40-$AI39)))*IF($B39="Operacional",IFERROR(VLOOKUP($C39,SN_UGC,28,0),0),1)</f>
        <v>0</v>
      </c>
      <c r="BE39" s="140">
        <f t="array" ref="BE39">IF(ISBLANK($A39),0,IF(OR(BE$5-$AI39&lt;=0,$AM39="Não"),T39,T39+INDEX($AO$6:$BR$176,ROW()-5,COLUMN()-40-$AI39)))*IF($B39="Operacional",IFERROR(VLOOKUP($C39,SN_UGC,28,0),0),1)</f>
        <v>0</v>
      </c>
      <c r="BF39" s="140">
        <f t="array" ref="BF39">IF(ISBLANK($A39),0,IF(OR(BF$5-$AI39&lt;=0,$AM39="Não"),U39,U39+INDEX($AO$6:$BR$176,ROW()-5,COLUMN()-40-$AI39)))*IF($B39="Operacional",IFERROR(VLOOKUP($C39,SN_UGC,28,0),0),1)</f>
        <v>0</v>
      </c>
      <c r="BG39" s="140">
        <f t="array" ref="BG39">IF(ISBLANK($A39),0,IF(OR(BG$5-$AI39&lt;=0,$AM39="Não"),V39,V39+INDEX($AO$6:$BR$176,ROW()-5,COLUMN()-40-$AI39)))*IF($B39="Operacional",IFERROR(VLOOKUP($C39,SN_UGC,28,0),0),1)</f>
        <v>0</v>
      </c>
      <c r="BH39" s="140">
        <f t="array" ref="BH39">IF(ISBLANK($A39),0,IF(OR(BH$5-$AI39&lt;=0,$AM39="Não"),W39,W39+INDEX($AO$6:$BR$176,ROW()-5,COLUMN()-40-$AI39)))*IF($B39="Operacional",IFERROR(VLOOKUP($C39,SN_UGC,28,0),0),1)</f>
        <v>0</v>
      </c>
      <c r="BI39" s="140">
        <f t="array" ref="BI39">IF(ISBLANK($A39),0,IF(OR(BI$5-$AI39&lt;=0,$AM39="Não"),X39,X39+INDEX($AO$6:$BR$176,ROW()-5,COLUMN()-40-$AI39)))*IF($B39="Operacional",IFERROR(VLOOKUP($C39,SN_UGC,28,0),0),1)</f>
        <v>4</v>
      </c>
      <c r="BJ39" s="140">
        <f t="array" ref="BJ39">IF(ISBLANK($A39),0,IF(OR(BJ$5-$AI39&lt;=0,$AM39="Não"),Y39,Y39+INDEX($AO$6:$BR$176,ROW()-5,COLUMN()-40-$AI39)))*IF($B39="Operacional",IFERROR(VLOOKUP($C39,SN_UGC,28,0),0),1)</f>
        <v>0</v>
      </c>
      <c r="BK39" s="140">
        <f t="array" ref="BK39">IF(ISBLANK($A39),0,IF(OR(BK$5-$AI39&lt;=0,$AM39="Não"),Z39,Z39+INDEX($AO$6:$BR$176,ROW()-5,COLUMN()-40-$AI39)))*IF($B39="Operacional",IFERROR(VLOOKUP($C39,SN_UGC,28,0),0),1)</f>
        <v>0</v>
      </c>
      <c r="BL39" s="140">
        <f t="array" ref="BL39">IF(ISBLANK($A39),0,IF(OR(BL$5-$AI39&lt;=0,$AM39="Não"),AA39,AA39+INDEX($AO$6:$BR$176,ROW()-5,COLUMN()-40-$AI39)))*IF($B39="Operacional",IFERROR(VLOOKUP($C39,SN_UGC,28,0),0),1)</f>
        <v>0</v>
      </c>
      <c r="BM39" s="140">
        <f t="array" ref="BM39">IF(ISBLANK($A39),0,IF(OR(BM$5-$AI39&lt;=0,$AM39="Não"),AB39,AB39+INDEX($AO$6:$BR$176,ROW()-5,COLUMN()-40-$AI39)))*IF($B39="Operacional",IFERROR(VLOOKUP($C39,SN_UGC,28,0),0),1)</f>
        <v>0</v>
      </c>
      <c r="BN39" s="140">
        <f t="array" ref="BN39">IF(ISBLANK($A39),0,IF(OR(BN$5-$AI39&lt;=0,$AM39="Não"),AC39,AC39+INDEX($AO$6:$BR$176,ROW()-5,COLUMN()-40-$AI39)))*IF($B39="Operacional",IFERROR(VLOOKUP($C39,SN_UGC,28,0),0),1)</f>
        <v>0</v>
      </c>
      <c r="BO39" s="140">
        <f t="array" ref="BO39">IF(ISBLANK($A39),0,IF(OR(BO$5-$AI39&lt;=0,$AM39="Não"),AD39,AD39+INDEX($AO$6:$BR$176,ROW()-5,COLUMN()-40-$AI39)))*IF($B39="Operacional",IFERROR(VLOOKUP($C39,SN_UGC,28,0),0),1)</f>
        <v>0</v>
      </c>
      <c r="BP39" s="140">
        <f t="array" ref="BP39">IF(ISBLANK($A39),0,IF(OR(BP$5-$AI39&lt;=0,$AM39="Não"),AE39,AE39+INDEX($AO$6:$BR$176,ROW()-5,COLUMN()-40-$AI39)))*IF($B39="Operacional",IFERROR(VLOOKUP($C39,SN_UGC,28,0),0),1)</f>
        <v>0</v>
      </c>
      <c r="BQ39" s="140">
        <f t="array" ref="BQ39">IF(ISBLANK($A39),0,IF(OR(BQ$5-$AI39&lt;=0,$AM39="Não"),AF39,AF39+INDEX($AO$6:$BR$176,ROW()-5,COLUMN()-40-$AI39)))*IF($B39="Operacional",IFERROR(VLOOKUP($C39,SN_UGC,28,0),0),1)</f>
        <v>0</v>
      </c>
      <c r="BR39" s="140">
        <f t="array" ref="BR39">IF(ISBLANK($A39),0,IF(OR(BR$5-$AI39&lt;=0,$AM39="Não"),AG39,AG39+INDEX($AO$6:$BR$176,ROW()-5,COLUMN()-40-$AI39)))*IF($B39="Operacional",IFERROR(VLOOKUP($C39,SN_UGC,28,0),0),1)</f>
        <v>0</v>
      </c>
      <c r="BS39" s="141">
        <f t="shared" ref="BS39:CV39" si="206">IF(ISBLANK($A39),0,$AH39*AO39)</f>
        <v>4060.76</v>
      </c>
      <c r="BT39" s="141">
        <f t="shared" si="206"/>
        <v>0</v>
      </c>
      <c r="BU39" s="141">
        <f t="shared" si="206"/>
        <v>0</v>
      </c>
      <c r="BV39" s="141">
        <f t="shared" si="206"/>
        <v>0</v>
      </c>
      <c r="BW39" s="141">
        <f t="shared" si="206"/>
        <v>0</v>
      </c>
      <c r="BX39" s="141">
        <f t="shared" si="206"/>
        <v>0</v>
      </c>
      <c r="BY39" s="141">
        <f t="shared" si="206"/>
        <v>0</v>
      </c>
      <c r="BZ39" s="141">
        <f t="shared" si="206"/>
        <v>0</v>
      </c>
      <c r="CA39" s="141">
        <f t="shared" si="206"/>
        <v>0</v>
      </c>
      <c r="CB39" s="141">
        <f t="shared" si="206"/>
        <v>0</v>
      </c>
      <c r="CC39" s="141">
        <f t="shared" si="206"/>
        <v>4060.76</v>
      </c>
      <c r="CD39" s="141">
        <f t="shared" si="206"/>
        <v>0</v>
      </c>
      <c r="CE39" s="141">
        <f t="shared" si="206"/>
        <v>0</v>
      </c>
      <c r="CF39" s="141">
        <f t="shared" si="206"/>
        <v>0</v>
      </c>
      <c r="CG39" s="141">
        <f t="shared" si="206"/>
        <v>0</v>
      </c>
      <c r="CH39" s="141">
        <f t="shared" si="206"/>
        <v>0</v>
      </c>
      <c r="CI39" s="141">
        <f t="shared" si="206"/>
        <v>0</v>
      </c>
      <c r="CJ39" s="141">
        <f t="shared" si="206"/>
        <v>0</v>
      </c>
      <c r="CK39" s="141">
        <f t="shared" si="206"/>
        <v>0</v>
      </c>
      <c r="CL39" s="141">
        <f t="shared" si="206"/>
        <v>0</v>
      </c>
      <c r="CM39" s="141">
        <f t="shared" si="206"/>
        <v>4060.76</v>
      </c>
      <c r="CN39" s="141">
        <f t="shared" si="206"/>
        <v>0</v>
      </c>
      <c r="CO39" s="141">
        <f t="shared" si="206"/>
        <v>0</v>
      </c>
      <c r="CP39" s="141">
        <f t="shared" si="206"/>
        <v>0</v>
      </c>
      <c r="CQ39" s="141">
        <f t="shared" si="206"/>
        <v>0</v>
      </c>
      <c r="CR39" s="141">
        <f t="shared" si="206"/>
        <v>0</v>
      </c>
      <c r="CS39" s="141">
        <f t="shared" si="206"/>
        <v>0</v>
      </c>
      <c r="CT39" s="141">
        <f t="shared" si="206"/>
        <v>0</v>
      </c>
      <c r="CU39" s="141">
        <f t="shared" si="206"/>
        <v>0</v>
      </c>
      <c r="CV39" s="141">
        <f t="shared" si="206"/>
        <v>0</v>
      </c>
      <c r="CW39" s="142">
        <f t="shared" ref="CW39:DZ39" si="207">EA39*$AH39*$AJ39</f>
        <v>0</v>
      </c>
      <c r="CX39" s="142">
        <f t="shared" si="207"/>
        <v>0</v>
      </c>
      <c r="CY39" s="142">
        <f t="shared" si="207"/>
        <v>0</v>
      </c>
      <c r="CZ39" s="142">
        <f t="shared" si="207"/>
        <v>0</v>
      </c>
      <c r="DA39" s="142">
        <f t="shared" si="207"/>
        <v>0</v>
      </c>
      <c r="DB39" s="142">
        <f t="shared" si="207"/>
        <v>0</v>
      </c>
      <c r="DC39" s="142">
        <f t="shared" si="207"/>
        <v>0</v>
      </c>
      <c r="DD39" s="142">
        <f t="shared" si="207"/>
        <v>0</v>
      </c>
      <c r="DE39" s="142">
        <f t="shared" si="207"/>
        <v>0</v>
      </c>
      <c r="DF39" s="142">
        <f t="shared" si="207"/>
        <v>0</v>
      </c>
      <c r="DG39" s="142">
        <f t="shared" si="207"/>
        <v>0</v>
      </c>
      <c r="DH39" s="142">
        <f t="shared" si="207"/>
        <v>0</v>
      </c>
      <c r="DI39" s="142">
        <f t="shared" si="207"/>
        <v>0</v>
      </c>
      <c r="DJ39" s="142">
        <f t="shared" si="207"/>
        <v>0</v>
      </c>
      <c r="DK39" s="142">
        <f t="shared" si="207"/>
        <v>0</v>
      </c>
      <c r="DL39" s="142">
        <f t="shared" si="207"/>
        <v>0</v>
      </c>
      <c r="DM39" s="142">
        <f t="shared" si="207"/>
        <v>0</v>
      </c>
      <c r="DN39" s="142">
        <f t="shared" si="207"/>
        <v>0</v>
      </c>
      <c r="DO39" s="142">
        <f t="shared" si="207"/>
        <v>0</v>
      </c>
      <c r="DP39" s="142">
        <f t="shared" si="207"/>
        <v>0</v>
      </c>
      <c r="DQ39" s="142">
        <f t="shared" si="207"/>
        <v>0</v>
      </c>
      <c r="DR39" s="142">
        <f t="shared" si="207"/>
        <v>0</v>
      </c>
      <c r="DS39" s="142">
        <f t="shared" si="207"/>
        <v>0</v>
      </c>
      <c r="DT39" s="142">
        <f t="shared" si="207"/>
        <v>0</v>
      </c>
      <c r="DU39" s="142">
        <f t="shared" si="207"/>
        <v>0</v>
      </c>
      <c r="DV39" s="142">
        <f t="shared" si="207"/>
        <v>0</v>
      </c>
      <c r="DW39" s="142">
        <f t="shared" si="207"/>
        <v>0</v>
      </c>
      <c r="DX39" s="142">
        <f t="shared" si="207"/>
        <v>0</v>
      </c>
      <c r="DY39" s="142">
        <f t="shared" si="207"/>
        <v>0</v>
      </c>
      <c r="DZ39" s="142">
        <f t="shared" si="207"/>
        <v>0</v>
      </c>
      <c r="EA39" s="143">
        <f t="shared" si="174"/>
        <v>0</v>
      </c>
      <c r="EB39" s="143">
        <f t="shared" si="175"/>
        <v>0</v>
      </c>
      <c r="EC39" s="143">
        <f t="shared" si="176"/>
        <v>0</v>
      </c>
      <c r="ED39" s="143">
        <f t="shared" si="177"/>
        <v>0</v>
      </c>
      <c r="EE39" s="143">
        <f t="shared" si="178"/>
        <v>0</v>
      </c>
      <c r="EF39" s="143">
        <f t="shared" si="179"/>
        <v>0</v>
      </c>
      <c r="EG39" s="143">
        <f t="shared" si="180"/>
        <v>0</v>
      </c>
      <c r="EH39" s="143">
        <f t="shared" si="181"/>
        <v>0</v>
      </c>
      <c r="EI39" s="143">
        <f t="shared" si="182"/>
        <v>0</v>
      </c>
      <c r="EJ39" s="143">
        <f t="shared" si="183"/>
        <v>0</v>
      </c>
      <c r="EK39" s="143">
        <f t="shared" si="184"/>
        <v>4</v>
      </c>
      <c r="EL39" s="143">
        <f t="shared" si="185"/>
        <v>0</v>
      </c>
      <c r="EM39" s="143">
        <f t="shared" si="186"/>
        <v>0</v>
      </c>
      <c r="EN39" s="143">
        <f t="shared" si="187"/>
        <v>0</v>
      </c>
      <c r="EO39" s="143">
        <f t="shared" si="188"/>
        <v>0</v>
      </c>
      <c r="EP39" s="143">
        <f t="shared" si="189"/>
        <v>0</v>
      </c>
      <c r="EQ39" s="143">
        <f t="shared" si="190"/>
        <v>0</v>
      </c>
      <c r="ER39" s="143">
        <f t="shared" si="191"/>
        <v>0</v>
      </c>
      <c r="ES39" s="143">
        <f t="shared" si="192"/>
        <v>0</v>
      </c>
      <c r="ET39" s="143">
        <f t="shared" si="193"/>
        <v>0</v>
      </c>
      <c r="EU39" s="143">
        <f t="shared" si="194"/>
        <v>4</v>
      </c>
      <c r="EV39" s="143">
        <f t="shared" si="195"/>
        <v>0</v>
      </c>
      <c r="EW39" s="143">
        <f t="shared" si="196"/>
        <v>0</v>
      </c>
      <c r="EX39" s="143">
        <f t="shared" si="197"/>
        <v>0</v>
      </c>
      <c r="EY39" s="143">
        <f t="shared" si="198"/>
        <v>0</v>
      </c>
      <c r="EZ39" s="143">
        <f t="shared" si="199"/>
        <v>0</v>
      </c>
      <c r="FA39" s="143">
        <f t="shared" si="200"/>
        <v>0</v>
      </c>
      <c r="FB39" s="143">
        <f t="shared" si="201"/>
        <v>0</v>
      </c>
      <c r="FC39" s="143">
        <f t="shared" si="202"/>
        <v>0</v>
      </c>
      <c r="FD39" s="143">
        <f t="shared" si="203"/>
        <v>0</v>
      </c>
      <c r="FE39" s="140">
        <f>SUM($D39:D39)*IF($B39="Operacional",IFERROR(VLOOKUP($C39,SN_UGC,28,0),0),1)</f>
        <v>4</v>
      </c>
      <c r="FF39" s="140">
        <f>SUM($D39:E39)*IF($B39="Operacional",IFERROR(VLOOKUP($C39,SN_UGC,28,0),0),1)</f>
        <v>4</v>
      </c>
      <c r="FG39" s="140">
        <f>SUM($D39:F39)*IF($B39="Operacional",IFERROR(VLOOKUP($C39,SN_UGC,28,0),0),1)</f>
        <v>4</v>
      </c>
      <c r="FH39" s="140">
        <f>SUM($D39:G39)*IF($B39="Operacional",IFERROR(VLOOKUP($C39,SN_UGC,28,0),0),1)</f>
        <v>4</v>
      </c>
      <c r="FI39" s="140">
        <f>SUM($D39:H39)*IF($B39="Operacional",IFERROR(VLOOKUP($C39,SN_UGC,28,0),0),1)</f>
        <v>4</v>
      </c>
      <c r="FJ39" s="140">
        <f>SUM($D39:I39)*IF($B39="Operacional",IFERROR(VLOOKUP($C39,SN_UGC,28,0),0),1)</f>
        <v>4</v>
      </c>
      <c r="FK39" s="140">
        <f>SUM($D39:J39)*IF($B39="Operacional",IFERROR(VLOOKUP($C39,SN_UGC,28,0),0),1)</f>
        <v>4</v>
      </c>
      <c r="FL39" s="140">
        <f>SUM($D39:K39)*IF($B39="Operacional",IFERROR(VLOOKUP($C39,SN_UGC,28,0),0),1)</f>
        <v>4</v>
      </c>
      <c r="FM39" s="140">
        <f>SUM($D39:L39)*IF($B39="Operacional",IFERROR(VLOOKUP($C39,SN_UGC,28,0),0),1)</f>
        <v>4</v>
      </c>
      <c r="FN39" s="140">
        <f>SUM($D39:M39)*IF($B39="Operacional",IFERROR(VLOOKUP($C39,SN_UGC,28,0),0),1)</f>
        <v>4</v>
      </c>
      <c r="FO39" s="140">
        <f>SUM($D39:N39)*IF($B39="Operacional",IFERROR(VLOOKUP($C39,SN_UGC,28,0),0),1)</f>
        <v>4</v>
      </c>
      <c r="FP39" s="140">
        <f>SUM($D39:O39)*IF($B39="Operacional",IFERROR(VLOOKUP($C39,SN_UGC,28,0),0),1)</f>
        <v>4</v>
      </c>
      <c r="FQ39" s="140">
        <f>SUM($D39:P39)*IF($B39="Operacional",IFERROR(VLOOKUP($C39,SN_UGC,28,0),0),1)</f>
        <v>4</v>
      </c>
      <c r="FR39" s="140">
        <f>SUM($D39:Q39)*IF($B39="Operacional",IFERROR(VLOOKUP($C39,SN_UGC,28,0),0),1)</f>
        <v>4</v>
      </c>
      <c r="FS39" s="140">
        <f>SUM($D39:R39)*IF($B39="Operacional",IFERROR(VLOOKUP($C39,SN_UGC,28,0),0),1)</f>
        <v>4</v>
      </c>
      <c r="FT39" s="140">
        <f>SUM($D39:S39)*IF($B39="Operacional",IFERROR(VLOOKUP($C39,SN_UGC,28,0),0),1)</f>
        <v>4</v>
      </c>
      <c r="FU39" s="140">
        <f>SUM($D39:T39)*IF($B39="Operacional",IFERROR(VLOOKUP($C39,SN_UGC,28,0),0),1)</f>
        <v>4</v>
      </c>
      <c r="FV39" s="140">
        <f>SUM($D39:U39)*IF($B39="Operacional",IFERROR(VLOOKUP($C39,SN_UGC,28,0),0),1)</f>
        <v>4</v>
      </c>
      <c r="FW39" s="140">
        <f>SUM($D39:V39)*IF($B39="Operacional",IFERROR(VLOOKUP($C39,SN_UGC,28,0),0),1)</f>
        <v>4</v>
      </c>
      <c r="FX39" s="140">
        <f>SUM($D39:W39)*IF($B39="Operacional",IFERROR(VLOOKUP($C39,SN_UGC,28,0),0),1)</f>
        <v>4</v>
      </c>
      <c r="FY39" s="140">
        <f>SUM($D39:X39)*IF($B39="Operacional",IFERROR(VLOOKUP($C39,SN_UGC,28,0),0),1)</f>
        <v>4</v>
      </c>
      <c r="FZ39" s="140">
        <f>SUM($D39:Y39)*IF($B39="Operacional",IFERROR(VLOOKUP($C39,SN_UGC,28,0),0),1)</f>
        <v>4</v>
      </c>
      <c r="GA39" s="140">
        <f>SUM($D39:Z39)*IF($B39="Operacional",IFERROR(VLOOKUP($C39,SN_UGC,28,0),0),1)</f>
        <v>4</v>
      </c>
      <c r="GB39" s="140">
        <f>SUM($D39:AA39)*IF($B39="Operacional",IFERROR(VLOOKUP($C39,SN_UGC,28,0),0),1)</f>
        <v>4</v>
      </c>
      <c r="GC39" s="140">
        <f>SUM($D39:AB39)*IF($B39="Operacional",IFERROR(VLOOKUP($C39,SN_UGC,28,0),0),1)</f>
        <v>4</v>
      </c>
      <c r="GD39" s="140">
        <f>SUM($D39:AC39)*IF($B39="Operacional",IFERROR(VLOOKUP($C39,SN_UGC,28,0),0),1)</f>
        <v>4</v>
      </c>
      <c r="GE39" s="140">
        <f>SUM($D39:AD39)*IF($B39="Operacional",IFERROR(VLOOKUP($C39,SN_UGC,28,0),0),1)</f>
        <v>4</v>
      </c>
      <c r="GF39" s="140">
        <f>SUM($D39:AE39)*IF($B39="Operacional",IFERROR(VLOOKUP($C39,SN_UGC,28,0),0),1)</f>
        <v>4</v>
      </c>
      <c r="GG39" s="140">
        <f>SUM($D39:AF39)*IF($B39="Operacional",IFERROR(VLOOKUP($C39,SN_UGC,28,0),0),1)</f>
        <v>4</v>
      </c>
      <c r="GH39" s="140">
        <f>SUM($D39:AG39)*IF($B39="Operacional",IFERROR(VLOOKUP($C39,SN_UGC,28,0),0),1)</f>
        <v>4</v>
      </c>
      <c r="GI39" s="141">
        <f t="shared" ref="GI39:HL39" si="208">FE39*$AH39*$AL39</f>
        <v>203.03800000000001</v>
      </c>
      <c r="GJ39" s="141">
        <f t="shared" si="208"/>
        <v>203.03800000000001</v>
      </c>
      <c r="GK39" s="141">
        <f t="shared" si="208"/>
        <v>203.03800000000001</v>
      </c>
      <c r="GL39" s="141">
        <f t="shared" si="208"/>
        <v>203.03800000000001</v>
      </c>
      <c r="GM39" s="141">
        <f t="shared" si="208"/>
        <v>203.03800000000001</v>
      </c>
      <c r="GN39" s="141">
        <f t="shared" si="208"/>
        <v>203.03800000000001</v>
      </c>
      <c r="GO39" s="141">
        <f t="shared" si="208"/>
        <v>203.03800000000001</v>
      </c>
      <c r="GP39" s="141">
        <f t="shared" si="208"/>
        <v>203.03800000000001</v>
      </c>
      <c r="GQ39" s="141">
        <f t="shared" si="208"/>
        <v>203.03800000000001</v>
      </c>
      <c r="GR39" s="141">
        <f t="shared" si="208"/>
        <v>203.03800000000001</v>
      </c>
      <c r="GS39" s="141">
        <f t="shared" si="208"/>
        <v>203.03800000000001</v>
      </c>
      <c r="GT39" s="141">
        <f t="shared" si="208"/>
        <v>203.03800000000001</v>
      </c>
      <c r="GU39" s="141">
        <f t="shared" si="208"/>
        <v>203.03800000000001</v>
      </c>
      <c r="GV39" s="141">
        <f t="shared" si="208"/>
        <v>203.03800000000001</v>
      </c>
      <c r="GW39" s="141">
        <f t="shared" si="208"/>
        <v>203.03800000000001</v>
      </c>
      <c r="GX39" s="141">
        <f t="shared" si="208"/>
        <v>203.03800000000001</v>
      </c>
      <c r="GY39" s="141">
        <f t="shared" si="208"/>
        <v>203.03800000000001</v>
      </c>
      <c r="GZ39" s="141">
        <f t="shared" si="208"/>
        <v>203.03800000000001</v>
      </c>
      <c r="HA39" s="141">
        <f t="shared" si="208"/>
        <v>203.03800000000001</v>
      </c>
      <c r="HB39" s="141">
        <f t="shared" si="208"/>
        <v>203.03800000000001</v>
      </c>
      <c r="HC39" s="141">
        <f t="shared" si="208"/>
        <v>203.03800000000001</v>
      </c>
      <c r="HD39" s="141">
        <f t="shared" si="208"/>
        <v>203.03800000000001</v>
      </c>
      <c r="HE39" s="141">
        <f t="shared" si="208"/>
        <v>203.03800000000001</v>
      </c>
      <c r="HF39" s="141">
        <f t="shared" si="208"/>
        <v>203.03800000000001</v>
      </c>
      <c r="HG39" s="141">
        <f t="shared" si="208"/>
        <v>203.03800000000001</v>
      </c>
      <c r="HH39" s="141">
        <f t="shared" si="208"/>
        <v>203.03800000000001</v>
      </c>
      <c r="HI39" s="141">
        <f t="shared" si="208"/>
        <v>203.03800000000001</v>
      </c>
      <c r="HJ39" s="141">
        <f t="shared" si="208"/>
        <v>203.03800000000001</v>
      </c>
      <c r="HK39" s="141">
        <f t="shared" si="208"/>
        <v>203.03800000000001</v>
      </c>
      <c r="HL39" s="141">
        <f t="shared" si="208"/>
        <v>203.03800000000001</v>
      </c>
      <c r="HM39" s="142">
        <f t="shared" ref="HM39:IP39" si="209">IF(ISBLANK($A39),,FE39*($AH39-($AH39*$AJ39))/$AI39)</f>
        <v>406.07600000000002</v>
      </c>
      <c r="HN39" s="142">
        <f t="shared" si="209"/>
        <v>406.07600000000002</v>
      </c>
      <c r="HO39" s="142">
        <f t="shared" si="209"/>
        <v>406.07600000000002</v>
      </c>
      <c r="HP39" s="142">
        <f t="shared" si="209"/>
        <v>406.07600000000002</v>
      </c>
      <c r="HQ39" s="142">
        <f t="shared" si="209"/>
        <v>406.07600000000002</v>
      </c>
      <c r="HR39" s="142">
        <f t="shared" si="209"/>
        <v>406.07600000000002</v>
      </c>
      <c r="HS39" s="142">
        <f t="shared" si="209"/>
        <v>406.07600000000002</v>
      </c>
      <c r="HT39" s="142">
        <f t="shared" si="209"/>
        <v>406.07600000000002</v>
      </c>
      <c r="HU39" s="142">
        <f t="shared" si="209"/>
        <v>406.07600000000002</v>
      </c>
      <c r="HV39" s="142">
        <f t="shared" si="209"/>
        <v>406.07600000000002</v>
      </c>
      <c r="HW39" s="142">
        <f t="shared" si="209"/>
        <v>406.07600000000002</v>
      </c>
      <c r="HX39" s="142">
        <f t="shared" si="209"/>
        <v>406.07600000000002</v>
      </c>
      <c r="HY39" s="142">
        <f t="shared" si="209"/>
        <v>406.07600000000002</v>
      </c>
      <c r="HZ39" s="142">
        <f t="shared" si="209"/>
        <v>406.07600000000002</v>
      </c>
      <c r="IA39" s="142">
        <f t="shared" si="209"/>
        <v>406.07600000000002</v>
      </c>
      <c r="IB39" s="142">
        <f t="shared" si="209"/>
        <v>406.07600000000002</v>
      </c>
      <c r="IC39" s="142">
        <f t="shared" si="209"/>
        <v>406.07600000000002</v>
      </c>
      <c r="ID39" s="142">
        <f t="shared" si="209"/>
        <v>406.07600000000002</v>
      </c>
      <c r="IE39" s="142">
        <f t="shared" si="209"/>
        <v>406.07600000000002</v>
      </c>
      <c r="IF39" s="142">
        <f t="shared" si="209"/>
        <v>406.07600000000002</v>
      </c>
      <c r="IG39" s="142">
        <f t="shared" si="209"/>
        <v>406.07600000000002</v>
      </c>
      <c r="IH39" s="142">
        <f t="shared" si="209"/>
        <v>406.07600000000002</v>
      </c>
      <c r="II39" s="142">
        <f t="shared" si="209"/>
        <v>406.07600000000002</v>
      </c>
      <c r="IJ39" s="142">
        <f t="shared" si="209"/>
        <v>406.07600000000002</v>
      </c>
      <c r="IK39" s="142">
        <f t="shared" si="209"/>
        <v>406.07600000000002</v>
      </c>
      <c r="IL39" s="142">
        <f t="shared" si="209"/>
        <v>406.07600000000002</v>
      </c>
      <c r="IM39" s="142">
        <f t="shared" si="209"/>
        <v>406.07600000000002</v>
      </c>
      <c r="IN39" s="142">
        <f t="shared" si="209"/>
        <v>406.07600000000002</v>
      </c>
      <c r="IO39" s="142">
        <f t="shared" si="209"/>
        <v>406.07600000000002</v>
      </c>
      <c r="IP39" s="142">
        <f t="shared" si="209"/>
        <v>406.07600000000002</v>
      </c>
      <c r="IQ39" s="141">
        <f>IF(ISBLANK($A39),,IF($AN39="Não",0,(SUM($AO39:AO39)*$AH39)-SUM($HM39:HM39)-SUM($CW39:CW39)))</f>
        <v>0</v>
      </c>
      <c r="IR39" s="141">
        <f>IF(ISBLANK($A39),,IF($AN39="Não",0,(SUM($AO39:AP39)*$AH39)-SUM($HM39:HN39)-SUM($CW39:CX39)))</f>
        <v>0</v>
      </c>
      <c r="IS39" s="141">
        <f>IF(ISBLANK($A39),,IF($AN39="Não",0,(SUM($AO39:AQ39)*$AH39)-SUM($HM39:HO39)-SUM($CW39:CY39)))</f>
        <v>0</v>
      </c>
      <c r="IT39" s="141">
        <f>IF(ISBLANK($A39),,IF($AN39="Não",0,(SUM($AO39:AR39)*$AH39)-SUM($HM39:HP39)-SUM($CW39:CZ39)))</f>
        <v>0</v>
      </c>
      <c r="IU39" s="141">
        <f>IF(ISBLANK($A39),,IF($AN39="Não",0,(SUM($AO39:AS39)*$AH39)-SUM($HM39:HQ39)-SUM($CW39:DA39)))</f>
        <v>0</v>
      </c>
      <c r="IV39" s="141">
        <f>IF(ISBLANK($A39),,IF($AN39="Não",0,(SUM($AO39:AT39)*$AH39)-SUM($HM39:HR39)-SUM($CW39:DB39)))</f>
        <v>0</v>
      </c>
      <c r="IW39" s="141">
        <f>IF(ISBLANK($A39),,IF($AN39="Não",0,(SUM($AO39:AU39)*$AH39)-SUM($HM39:HS39)-SUM($CW39:DC39)))</f>
        <v>0</v>
      </c>
      <c r="IX39" s="141">
        <f>IF(ISBLANK($A39),,IF($AN39="Não",0,(SUM($AO39:AV39)*$AH39)-SUM($HM39:HT39)-SUM($CW39:DD39)))</f>
        <v>0</v>
      </c>
      <c r="IY39" s="141">
        <f>IF(ISBLANK($A39),,IF($AN39="Não",0,(SUM($AO39:AW39)*$AH39)-SUM($HM39:HU39)-SUM($CW39:DE39)))</f>
        <v>0</v>
      </c>
      <c r="IZ39" s="141">
        <f>IF(ISBLANK($A39),,IF($AN39="Não",0,(SUM($AO39:AX39)*$AH39)-SUM($HM39:HV39)-SUM($CW39:DF39)))</f>
        <v>0</v>
      </c>
      <c r="JA39" s="141">
        <f>IF(ISBLANK($A39),,IF($AN39="Não",0,(SUM($AO39:AY39)*$AH39)-SUM($HM39:HW39)-SUM($CW39:DG39)))</f>
        <v>0</v>
      </c>
      <c r="JB39" s="141">
        <f>IF(ISBLANK($A39),,IF($AN39="Não",0,(SUM($AO39:AZ39)*$AH39)-SUM($HM39:HX39)-SUM($CW39:DH39)))</f>
        <v>0</v>
      </c>
      <c r="JC39" s="141">
        <f>IF(ISBLANK($A39),,IF($AN39="Não",0,(SUM($AO39:BA39)*$AH39)-SUM($HM39:HY39)-SUM($CW39:DI39)))</f>
        <v>0</v>
      </c>
      <c r="JD39" s="141">
        <f>IF(ISBLANK($A39),,IF($AN39="Não",0,(SUM($AO39:BB39)*$AH39)-SUM($HM39:HZ39)-SUM($CW39:DJ39)))</f>
        <v>0</v>
      </c>
      <c r="JE39" s="141">
        <f>IF(ISBLANK($A39),,IF($AN39="Não",0,(SUM($AO39:BC39)*$AH39)-SUM($HM39:IA39)-SUM($CW39:DK39)))</f>
        <v>0</v>
      </c>
      <c r="JF39" s="141">
        <f>IF(ISBLANK($A39),,IF($AN39="Não",0,(SUM($AO39:BD39)*$AH39)-SUM($HM39:IB39)-SUM($CW39:DL39)))</f>
        <v>0</v>
      </c>
      <c r="JG39" s="141">
        <f>IF(ISBLANK($A39),,IF($AN39="Não",0,(SUM($AO39:BE39)*$AH39)-SUM($HM39:IC39)-SUM($CW39:DM39)))</f>
        <v>0</v>
      </c>
      <c r="JH39" s="141">
        <f>IF(ISBLANK($A39),,IF($AN39="Não",0,(SUM($AO39:BF39)*$AH39)-SUM($HM39:ID39)-SUM($CW39:DN39)))</f>
        <v>0</v>
      </c>
      <c r="JI39" s="141">
        <f>IF(ISBLANK($A39),,IF($AN39="Não",0,(SUM($AO39:BG39)*$AH39)-SUM($HM39:IE39)-SUM($CW39:DO39)))</f>
        <v>0</v>
      </c>
      <c r="JJ39" s="141">
        <f>IF(ISBLANK($A39),,IF($AN39="Não",0,(SUM($AO39:BH39)*$AH39)-SUM($HM39:IF39)-SUM($CW39:DP39)))</f>
        <v>0</v>
      </c>
      <c r="JK39" s="141">
        <f>IF(ISBLANK($A39),,IF($AN39="Não",0,(SUM($AO39:BI39)*$AH39)-SUM($HM39:IG39)-SUM($CW39:DQ39)))</f>
        <v>0</v>
      </c>
      <c r="JL39" s="141">
        <f>IF(ISBLANK($A39),,IF($AN39="Não",0,(SUM($AO39:BJ39)*$AH39)-SUM($HM39:IH39)-SUM($CW39:DR39)))</f>
        <v>0</v>
      </c>
      <c r="JM39" s="141">
        <f>IF(ISBLANK($A39),,IF($AN39="Não",0,(SUM($AO39:BK39)*$AH39)-SUM($HM39:II39)-SUM($CW39:DS39)))</f>
        <v>0</v>
      </c>
      <c r="JN39" s="141">
        <f>IF(ISBLANK($A39),,IF($AN39="Não",0,(SUM($AO39:BL39)*$AH39)-SUM($HM39:IJ39)-SUM($CW39:DT39)))</f>
        <v>0</v>
      </c>
      <c r="JO39" s="141">
        <f>IF(ISBLANK($A39),,IF($AN39="Não",0,(SUM($AO39:BM39)*$AH39)-SUM($HM39:IK39)-SUM($CW39:DU39)))</f>
        <v>0</v>
      </c>
      <c r="JP39" s="141">
        <f>IF(ISBLANK($A39),,IF($AN39="Não",0,(SUM($AO39:BN39)*$AH39)-SUM($HM39:IL39)-SUM($CW39:DV39)))</f>
        <v>0</v>
      </c>
      <c r="JQ39" s="141">
        <f>IF(ISBLANK($A39),,IF($AN39="Não",0,(SUM($AO39:BO39)*$AH39)-SUM($HM39:IM39)-SUM($CW39:DW39)))</f>
        <v>0</v>
      </c>
      <c r="JR39" s="141">
        <f>IF(ISBLANK($A39),,IF($AN39="Não",0,(SUM($AO39:BP39)*$AH39)-SUM($HM39:IN39)-SUM($CW39:DX39)))</f>
        <v>0</v>
      </c>
      <c r="JS39" s="141">
        <f>IF(ISBLANK($A39),,IF($AN39="Não",0,(SUM($AO39:BQ39)*$AH39)-SUM($HM39:IO39)-SUM($CW39:DY39)))</f>
        <v>0</v>
      </c>
      <c r="JT39" s="141">
        <f>IF(ISBLANK($A39),,IF($AN39="Não",0,(SUM($AO39:BR39)*$AH39)-SUM($HM39:IP39)-SUM($CW39:DZ39)))</f>
        <v>0</v>
      </c>
    </row>
    <row r="40" spans="1:280" ht="15.75" customHeight="1">
      <c r="A40" s="129" t="s">
        <v>364</v>
      </c>
      <c r="B40" s="129" t="s">
        <v>209</v>
      </c>
      <c r="C40" s="138" t="s">
        <v>79</v>
      </c>
      <c r="D40" s="139">
        <v>12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607">
        <f t="shared" si="165"/>
        <v>1015.19</v>
      </c>
      <c r="AI40" s="608">
        <f t="shared" si="166"/>
        <v>10</v>
      </c>
      <c r="AJ40" s="609">
        <f t="shared" si="167"/>
        <v>0</v>
      </c>
      <c r="AK40" s="610" t="str">
        <f t="shared" si="168"/>
        <v>Outros</v>
      </c>
      <c r="AL40" s="609">
        <f t="shared" si="169"/>
        <v>0.05</v>
      </c>
      <c r="AM40" s="611" t="str">
        <f t="shared" si="170"/>
        <v>Sim</v>
      </c>
      <c r="AN40" s="611" t="str">
        <f t="shared" si="171"/>
        <v>Não</v>
      </c>
      <c r="AO40" s="140">
        <f t="array" ref="AO40">IF(ISBLANK($A40),0,IF(OR(AO$5-$AI40&lt;=0,$AM40="Não"),D40,D40+INDEX($AO$6:$BR$176,ROW()-5,COLUMN()-40-$AI40)))*IF($B40="Operacional",IFERROR(VLOOKUP($C40,SN_UGC,28,0),0),1)</f>
        <v>12</v>
      </c>
      <c r="AP40" s="140">
        <f t="array" ref="AP40">IF(ISBLANK($A40),0,IF(OR(AP$5-$AI40&lt;=0,$AM40="Não"),E40,E40+INDEX($AO$6:$BR$176,ROW()-5,COLUMN()-40-$AI40)))*IF($B40="Operacional",IFERROR(VLOOKUP($C40,SN_UGC,28,0),0),1)</f>
        <v>0</v>
      </c>
      <c r="AQ40" s="140">
        <f t="array" ref="AQ40">IF(ISBLANK($A40),0,IF(OR(AQ$5-$AI40&lt;=0,$AM40="Não"),F40,F40+INDEX($AO$6:$BR$176,ROW()-5,COLUMN()-40-$AI40)))*IF($B40="Operacional",IFERROR(VLOOKUP($C40,SN_UGC,28,0),0),1)</f>
        <v>0</v>
      </c>
      <c r="AR40" s="140">
        <f t="array" ref="AR40">IF(ISBLANK($A40),0,IF(OR(AR$5-$AI40&lt;=0,$AM40="Não"),G40,G40+INDEX($AO$6:$BR$176,ROW()-5,COLUMN()-40-$AI40)))*IF($B40="Operacional",IFERROR(VLOOKUP($C40,SN_UGC,28,0),0),1)</f>
        <v>0</v>
      </c>
      <c r="AS40" s="140">
        <f t="array" ref="AS40">IF(ISBLANK($A40),0,IF(OR(AS$5-$AI40&lt;=0,$AM40="Não"),H40,H40+INDEX($AO$6:$BR$176,ROW()-5,COLUMN()-40-$AI40)))*IF($B40="Operacional",IFERROR(VLOOKUP($C40,SN_UGC,28,0),0),1)</f>
        <v>0</v>
      </c>
      <c r="AT40" s="140">
        <f t="array" ref="AT40">IF(ISBLANK($A40),0,IF(OR(AT$5-$AI40&lt;=0,$AM40="Não"),I40,I40+INDEX($AO$6:$BR$176,ROW()-5,COLUMN()-40-$AI40)))*IF($B40="Operacional",IFERROR(VLOOKUP($C40,SN_UGC,28,0),0),1)</f>
        <v>0</v>
      </c>
      <c r="AU40" s="140">
        <f t="array" ref="AU40">IF(ISBLANK($A40),0,IF(OR(AU$5-$AI40&lt;=0,$AM40="Não"),J40,J40+INDEX($AO$6:$BR$176,ROW()-5,COLUMN()-40-$AI40)))*IF($B40="Operacional",IFERROR(VLOOKUP($C40,SN_UGC,28,0),0),1)</f>
        <v>0</v>
      </c>
      <c r="AV40" s="140">
        <f t="array" ref="AV40">IF(ISBLANK($A40),0,IF(OR(AV$5-$AI40&lt;=0,$AM40="Não"),K40,K40+INDEX($AO$6:$BR$176,ROW()-5,COLUMN()-40-$AI40)))*IF($B40="Operacional",IFERROR(VLOOKUP($C40,SN_UGC,28,0),0),1)</f>
        <v>0</v>
      </c>
      <c r="AW40" s="140">
        <f t="array" ref="AW40">IF(ISBLANK($A40),0,IF(OR(AW$5-$AI40&lt;=0,$AM40="Não"),L40,L40+INDEX($AO$6:$BR$176,ROW()-5,COLUMN()-40-$AI40)))*IF($B40="Operacional",IFERROR(VLOOKUP($C40,SN_UGC,28,0),0),1)</f>
        <v>0</v>
      </c>
      <c r="AX40" s="140">
        <f t="array" ref="AX40">IF(ISBLANK($A40),0,IF(OR(AX$5-$AI40&lt;=0,$AM40="Não"),M40,M40+INDEX($AO$6:$BR$176,ROW()-5,COLUMN()-40-$AI40)))*IF($B40="Operacional",IFERROR(VLOOKUP($C40,SN_UGC,28,0),0),1)</f>
        <v>0</v>
      </c>
      <c r="AY40" s="140">
        <f t="array" ref="AY40">IF(ISBLANK($A40),0,IF(OR(AY$5-$AI40&lt;=0,$AM40="Não"),N40,N40+INDEX($AO$6:$BR$176,ROW()-5,COLUMN()-40-$AI40)))*IF($B40="Operacional",IFERROR(VLOOKUP($C40,SN_UGC,28,0),0),1)</f>
        <v>12</v>
      </c>
      <c r="AZ40" s="140">
        <f t="array" ref="AZ40">IF(ISBLANK($A40),0,IF(OR(AZ$5-$AI40&lt;=0,$AM40="Não"),O40,O40+INDEX($AO$6:$BR$176,ROW()-5,COLUMN()-40-$AI40)))*IF($B40="Operacional",IFERROR(VLOOKUP($C40,SN_UGC,28,0),0),1)</f>
        <v>0</v>
      </c>
      <c r="BA40" s="140">
        <f t="array" ref="BA40">IF(ISBLANK($A40),0,IF(OR(BA$5-$AI40&lt;=0,$AM40="Não"),P40,P40+INDEX($AO$6:$BR$176,ROW()-5,COLUMN()-40-$AI40)))*IF($B40="Operacional",IFERROR(VLOOKUP($C40,SN_UGC,28,0),0),1)</f>
        <v>0</v>
      </c>
      <c r="BB40" s="140">
        <f t="array" ref="BB40">IF(ISBLANK($A40),0,IF(OR(BB$5-$AI40&lt;=0,$AM40="Não"),Q40,Q40+INDEX($AO$6:$BR$176,ROW()-5,COLUMN()-40-$AI40)))*IF($B40="Operacional",IFERROR(VLOOKUP($C40,SN_UGC,28,0),0),1)</f>
        <v>0</v>
      </c>
      <c r="BC40" s="140">
        <f t="array" ref="BC40">IF(ISBLANK($A40),0,IF(OR(BC$5-$AI40&lt;=0,$AM40="Não"),R40,R40+INDEX($AO$6:$BR$176,ROW()-5,COLUMN()-40-$AI40)))*IF($B40="Operacional",IFERROR(VLOOKUP($C40,SN_UGC,28,0),0),1)</f>
        <v>0</v>
      </c>
      <c r="BD40" s="140">
        <f t="array" ref="BD40">IF(ISBLANK($A40),0,IF(OR(BD$5-$AI40&lt;=0,$AM40="Não"),S40,S40+INDEX($AO$6:$BR$176,ROW()-5,COLUMN()-40-$AI40)))*IF($B40="Operacional",IFERROR(VLOOKUP($C40,SN_UGC,28,0),0),1)</f>
        <v>0</v>
      </c>
      <c r="BE40" s="140">
        <f t="array" ref="BE40">IF(ISBLANK($A40),0,IF(OR(BE$5-$AI40&lt;=0,$AM40="Não"),T40,T40+INDEX($AO$6:$BR$176,ROW()-5,COLUMN()-40-$AI40)))*IF($B40="Operacional",IFERROR(VLOOKUP($C40,SN_UGC,28,0),0),1)</f>
        <v>0</v>
      </c>
      <c r="BF40" s="140">
        <f t="array" ref="BF40">IF(ISBLANK($A40),0,IF(OR(BF$5-$AI40&lt;=0,$AM40="Não"),U40,U40+INDEX($AO$6:$BR$176,ROW()-5,COLUMN()-40-$AI40)))*IF($B40="Operacional",IFERROR(VLOOKUP($C40,SN_UGC,28,0),0),1)</f>
        <v>0</v>
      </c>
      <c r="BG40" s="140">
        <f t="array" ref="BG40">IF(ISBLANK($A40),0,IF(OR(BG$5-$AI40&lt;=0,$AM40="Não"),V40,V40+INDEX($AO$6:$BR$176,ROW()-5,COLUMN()-40-$AI40)))*IF($B40="Operacional",IFERROR(VLOOKUP($C40,SN_UGC,28,0),0),1)</f>
        <v>0</v>
      </c>
      <c r="BH40" s="140">
        <f t="array" ref="BH40">IF(ISBLANK($A40),0,IF(OR(BH$5-$AI40&lt;=0,$AM40="Não"),W40,W40+INDEX($AO$6:$BR$176,ROW()-5,COLUMN()-40-$AI40)))*IF($B40="Operacional",IFERROR(VLOOKUP($C40,SN_UGC,28,0),0),1)</f>
        <v>0</v>
      </c>
      <c r="BI40" s="140">
        <f t="array" ref="BI40">IF(ISBLANK($A40),0,IF(OR(BI$5-$AI40&lt;=0,$AM40="Não"),X40,X40+INDEX($AO$6:$BR$176,ROW()-5,COLUMN()-40-$AI40)))*IF($B40="Operacional",IFERROR(VLOOKUP($C40,SN_UGC,28,0),0),1)</f>
        <v>12</v>
      </c>
      <c r="BJ40" s="140">
        <f t="array" ref="BJ40">IF(ISBLANK($A40),0,IF(OR(BJ$5-$AI40&lt;=0,$AM40="Não"),Y40,Y40+INDEX($AO$6:$BR$176,ROW()-5,COLUMN()-40-$AI40)))*IF($B40="Operacional",IFERROR(VLOOKUP($C40,SN_UGC,28,0),0),1)</f>
        <v>0</v>
      </c>
      <c r="BK40" s="140">
        <f t="array" ref="BK40">IF(ISBLANK($A40),0,IF(OR(BK$5-$AI40&lt;=0,$AM40="Não"),Z40,Z40+INDEX($AO$6:$BR$176,ROW()-5,COLUMN()-40-$AI40)))*IF($B40="Operacional",IFERROR(VLOOKUP($C40,SN_UGC,28,0),0),1)</f>
        <v>0</v>
      </c>
      <c r="BL40" s="140">
        <f t="array" ref="BL40">IF(ISBLANK($A40),0,IF(OR(BL$5-$AI40&lt;=0,$AM40="Não"),AA40,AA40+INDEX($AO$6:$BR$176,ROW()-5,COLUMN()-40-$AI40)))*IF($B40="Operacional",IFERROR(VLOOKUP($C40,SN_UGC,28,0),0),1)</f>
        <v>0</v>
      </c>
      <c r="BM40" s="140">
        <f t="array" ref="BM40">IF(ISBLANK($A40),0,IF(OR(BM$5-$AI40&lt;=0,$AM40="Não"),AB40,AB40+INDEX($AO$6:$BR$176,ROW()-5,COLUMN()-40-$AI40)))*IF($B40="Operacional",IFERROR(VLOOKUP($C40,SN_UGC,28,0),0),1)</f>
        <v>0</v>
      </c>
      <c r="BN40" s="140">
        <f t="array" ref="BN40">IF(ISBLANK($A40),0,IF(OR(BN$5-$AI40&lt;=0,$AM40="Não"),AC40,AC40+INDEX($AO$6:$BR$176,ROW()-5,COLUMN()-40-$AI40)))*IF($B40="Operacional",IFERROR(VLOOKUP($C40,SN_UGC,28,0),0),1)</f>
        <v>0</v>
      </c>
      <c r="BO40" s="140">
        <f t="array" ref="BO40">IF(ISBLANK($A40),0,IF(OR(BO$5-$AI40&lt;=0,$AM40="Não"),AD40,AD40+INDEX($AO$6:$BR$176,ROW()-5,COLUMN()-40-$AI40)))*IF($B40="Operacional",IFERROR(VLOOKUP($C40,SN_UGC,28,0),0),1)</f>
        <v>0</v>
      </c>
      <c r="BP40" s="140">
        <f t="array" ref="BP40">IF(ISBLANK($A40),0,IF(OR(BP$5-$AI40&lt;=0,$AM40="Não"),AE40,AE40+INDEX($AO$6:$BR$176,ROW()-5,COLUMN()-40-$AI40)))*IF($B40="Operacional",IFERROR(VLOOKUP($C40,SN_UGC,28,0),0),1)</f>
        <v>0</v>
      </c>
      <c r="BQ40" s="140">
        <f t="array" ref="BQ40">IF(ISBLANK($A40),0,IF(OR(BQ$5-$AI40&lt;=0,$AM40="Não"),AF40,AF40+INDEX($AO$6:$BR$176,ROW()-5,COLUMN()-40-$AI40)))*IF($B40="Operacional",IFERROR(VLOOKUP($C40,SN_UGC,28,0),0),1)</f>
        <v>0</v>
      </c>
      <c r="BR40" s="140">
        <f t="array" ref="BR40">IF(ISBLANK($A40),0,IF(OR(BR$5-$AI40&lt;=0,$AM40="Não"),AG40,AG40+INDEX($AO$6:$BR$176,ROW()-5,COLUMN()-40-$AI40)))*IF($B40="Operacional",IFERROR(VLOOKUP($C40,SN_UGC,28,0),0),1)</f>
        <v>0</v>
      </c>
      <c r="BS40" s="141">
        <f t="shared" ref="BS40:CV40" si="210">IF(ISBLANK($A40),0,$AH40*AO40)</f>
        <v>12182.28</v>
      </c>
      <c r="BT40" s="141">
        <f t="shared" si="210"/>
        <v>0</v>
      </c>
      <c r="BU40" s="141">
        <f t="shared" si="210"/>
        <v>0</v>
      </c>
      <c r="BV40" s="141">
        <f t="shared" si="210"/>
        <v>0</v>
      </c>
      <c r="BW40" s="141">
        <f t="shared" si="210"/>
        <v>0</v>
      </c>
      <c r="BX40" s="141">
        <f t="shared" si="210"/>
        <v>0</v>
      </c>
      <c r="BY40" s="141">
        <f t="shared" si="210"/>
        <v>0</v>
      </c>
      <c r="BZ40" s="141">
        <f t="shared" si="210"/>
        <v>0</v>
      </c>
      <c r="CA40" s="141">
        <f t="shared" si="210"/>
        <v>0</v>
      </c>
      <c r="CB40" s="141">
        <f t="shared" si="210"/>
        <v>0</v>
      </c>
      <c r="CC40" s="141">
        <f t="shared" si="210"/>
        <v>12182.28</v>
      </c>
      <c r="CD40" s="141">
        <f t="shared" si="210"/>
        <v>0</v>
      </c>
      <c r="CE40" s="141">
        <f t="shared" si="210"/>
        <v>0</v>
      </c>
      <c r="CF40" s="141">
        <f t="shared" si="210"/>
        <v>0</v>
      </c>
      <c r="CG40" s="141">
        <f t="shared" si="210"/>
        <v>0</v>
      </c>
      <c r="CH40" s="141">
        <f t="shared" si="210"/>
        <v>0</v>
      </c>
      <c r="CI40" s="141">
        <f t="shared" si="210"/>
        <v>0</v>
      </c>
      <c r="CJ40" s="141">
        <f t="shared" si="210"/>
        <v>0</v>
      </c>
      <c r="CK40" s="141">
        <f t="shared" si="210"/>
        <v>0</v>
      </c>
      <c r="CL40" s="141">
        <f t="shared" si="210"/>
        <v>0</v>
      </c>
      <c r="CM40" s="141">
        <f t="shared" si="210"/>
        <v>12182.28</v>
      </c>
      <c r="CN40" s="141">
        <f t="shared" si="210"/>
        <v>0</v>
      </c>
      <c r="CO40" s="141">
        <f t="shared" si="210"/>
        <v>0</v>
      </c>
      <c r="CP40" s="141">
        <f t="shared" si="210"/>
        <v>0</v>
      </c>
      <c r="CQ40" s="141">
        <f t="shared" si="210"/>
        <v>0</v>
      </c>
      <c r="CR40" s="141">
        <f t="shared" si="210"/>
        <v>0</v>
      </c>
      <c r="CS40" s="141">
        <f t="shared" si="210"/>
        <v>0</v>
      </c>
      <c r="CT40" s="141">
        <f t="shared" si="210"/>
        <v>0</v>
      </c>
      <c r="CU40" s="141">
        <f t="shared" si="210"/>
        <v>0</v>
      </c>
      <c r="CV40" s="141">
        <f t="shared" si="210"/>
        <v>0</v>
      </c>
      <c r="CW40" s="142">
        <f t="shared" ref="CW40:DZ40" si="211">EA40*$AH40*$AJ40</f>
        <v>0</v>
      </c>
      <c r="CX40" s="142">
        <f t="shared" si="211"/>
        <v>0</v>
      </c>
      <c r="CY40" s="142">
        <f t="shared" si="211"/>
        <v>0</v>
      </c>
      <c r="CZ40" s="142">
        <f t="shared" si="211"/>
        <v>0</v>
      </c>
      <c r="DA40" s="142">
        <f t="shared" si="211"/>
        <v>0</v>
      </c>
      <c r="DB40" s="142">
        <f t="shared" si="211"/>
        <v>0</v>
      </c>
      <c r="DC40" s="142">
        <f t="shared" si="211"/>
        <v>0</v>
      </c>
      <c r="DD40" s="142">
        <f t="shared" si="211"/>
        <v>0</v>
      </c>
      <c r="DE40" s="142">
        <f t="shared" si="211"/>
        <v>0</v>
      </c>
      <c r="DF40" s="142">
        <f t="shared" si="211"/>
        <v>0</v>
      </c>
      <c r="DG40" s="142">
        <f t="shared" si="211"/>
        <v>0</v>
      </c>
      <c r="DH40" s="142">
        <f t="shared" si="211"/>
        <v>0</v>
      </c>
      <c r="DI40" s="142">
        <f t="shared" si="211"/>
        <v>0</v>
      </c>
      <c r="DJ40" s="142">
        <f t="shared" si="211"/>
        <v>0</v>
      </c>
      <c r="DK40" s="142">
        <f t="shared" si="211"/>
        <v>0</v>
      </c>
      <c r="DL40" s="142">
        <f t="shared" si="211"/>
        <v>0</v>
      </c>
      <c r="DM40" s="142">
        <f t="shared" si="211"/>
        <v>0</v>
      </c>
      <c r="DN40" s="142">
        <f t="shared" si="211"/>
        <v>0</v>
      </c>
      <c r="DO40" s="142">
        <f t="shared" si="211"/>
        <v>0</v>
      </c>
      <c r="DP40" s="142">
        <f t="shared" si="211"/>
        <v>0</v>
      </c>
      <c r="DQ40" s="142">
        <f t="shared" si="211"/>
        <v>0</v>
      </c>
      <c r="DR40" s="142">
        <f t="shared" si="211"/>
        <v>0</v>
      </c>
      <c r="DS40" s="142">
        <f t="shared" si="211"/>
        <v>0</v>
      </c>
      <c r="DT40" s="142">
        <f t="shared" si="211"/>
        <v>0</v>
      </c>
      <c r="DU40" s="142">
        <f t="shared" si="211"/>
        <v>0</v>
      </c>
      <c r="DV40" s="142">
        <f t="shared" si="211"/>
        <v>0</v>
      </c>
      <c r="DW40" s="142">
        <f t="shared" si="211"/>
        <v>0</v>
      </c>
      <c r="DX40" s="142">
        <f t="shared" si="211"/>
        <v>0</v>
      </c>
      <c r="DY40" s="142">
        <f t="shared" si="211"/>
        <v>0</v>
      </c>
      <c r="DZ40" s="142">
        <f t="shared" si="211"/>
        <v>0</v>
      </c>
      <c r="EA40" s="143">
        <f t="shared" si="174"/>
        <v>0</v>
      </c>
      <c r="EB40" s="143">
        <f t="shared" si="175"/>
        <v>0</v>
      </c>
      <c r="EC40" s="143">
        <f t="shared" si="176"/>
        <v>0</v>
      </c>
      <c r="ED40" s="143">
        <f t="shared" si="177"/>
        <v>0</v>
      </c>
      <c r="EE40" s="143">
        <f t="shared" si="178"/>
        <v>0</v>
      </c>
      <c r="EF40" s="143">
        <f t="shared" si="179"/>
        <v>0</v>
      </c>
      <c r="EG40" s="143">
        <f t="shared" si="180"/>
        <v>0</v>
      </c>
      <c r="EH40" s="143">
        <f t="shared" si="181"/>
        <v>0</v>
      </c>
      <c r="EI40" s="143">
        <f t="shared" si="182"/>
        <v>0</v>
      </c>
      <c r="EJ40" s="143">
        <f t="shared" si="183"/>
        <v>0</v>
      </c>
      <c r="EK40" s="143">
        <f t="shared" si="184"/>
        <v>12</v>
      </c>
      <c r="EL40" s="143">
        <f t="shared" si="185"/>
        <v>0</v>
      </c>
      <c r="EM40" s="143">
        <f t="shared" si="186"/>
        <v>0</v>
      </c>
      <c r="EN40" s="143">
        <f t="shared" si="187"/>
        <v>0</v>
      </c>
      <c r="EO40" s="143">
        <f t="shared" si="188"/>
        <v>0</v>
      </c>
      <c r="EP40" s="143">
        <f t="shared" si="189"/>
        <v>0</v>
      </c>
      <c r="EQ40" s="143">
        <f t="shared" si="190"/>
        <v>0</v>
      </c>
      <c r="ER40" s="143">
        <f t="shared" si="191"/>
        <v>0</v>
      </c>
      <c r="ES40" s="143">
        <f t="shared" si="192"/>
        <v>0</v>
      </c>
      <c r="ET40" s="143">
        <f t="shared" si="193"/>
        <v>0</v>
      </c>
      <c r="EU40" s="143">
        <f t="shared" si="194"/>
        <v>12</v>
      </c>
      <c r="EV40" s="143">
        <f t="shared" si="195"/>
        <v>0</v>
      </c>
      <c r="EW40" s="143">
        <f t="shared" si="196"/>
        <v>0</v>
      </c>
      <c r="EX40" s="143">
        <f t="shared" si="197"/>
        <v>0</v>
      </c>
      <c r="EY40" s="143">
        <f t="shared" si="198"/>
        <v>0</v>
      </c>
      <c r="EZ40" s="143">
        <f t="shared" si="199"/>
        <v>0</v>
      </c>
      <c r="FA40" s="143">
        <f t="shared" si="200"/>
        <v>0</v>
      </c>
      <c r="FB40" s="143">
        <f t="shared" si="201"/>
        <v>0</v>
      </c>
      <c r="FC40" s="143">
        <f t="shared" si="202"/>
        <v>0</v>
      </c>
      <c r="FD40" s="143">
        <f t="shared" si="203"/>
        <v>0</v>
      </c>
      <c r="FE40" s="140">
        <f>SUM($D40:D40)*IF($B40="Operacional",IFERROR(VLOOKUP($C40,SN_UGC,28,0),0),1)</f>
        <v>12</v>
      </c>
      <c r="FF40" s="140">
        <f>SUM($D40:E40)*IF($B40="Operacional",IFERROR(VLOOKUP($C40,SN_UGC,28,0),0),1)</f>
        <v>12</v>
      </c>
      <c r="FG40" s="140">
        <f>SUM($D40:F40)*IF($B40="Operacional",IFERROR(VLOOKUP($C40,SN_UGC,28,0),0),1)</f>
        <v>12</v>
      </c>
      <c r="FH40" s="140">
        <f>SUM($D40:G40)*IF($B40="Operacional",IFERROR(VLOOKUP($C40,SN_UGC,28,0),0),1)</f>
        <v>12</v>
      </c>
      <c r="FI40" s="140">
        <f>SUM($D40:H40)*IF($B40="Operacional",IFERROR(VLOOKUP($C40,SN_UGC,28,0),0),1)</f>
        <v>12</v>
      </c>
      <c r="FJ40" s="140">
        <f>SUM($D40:I40)*IF($B40="Operacional",IFERROR(VLOOKUP($C40,SN_UGC,28,0),0),1)</f>
        <v>12</v>
      </c>
      <c r="FK40" s="140">
        <f>SUM($D40:J40)*IF($B40="Operacional",IFERROR(VLOOKUP($C40,SN_UGC,28,0),0),1)</f>
        <v>12</v>
      </c>
      <c r="FL40" s="140">
        <f>SUM($D40:K40)*IF($B40="Operacional",IFERROR(VLOOKUP($C40,SN_UGC,28,0),0),1)</f>
        <v>12</v>
      </c>
      <c r="FM40" s="140">
        <f>SUM($D40:L40)*IF($B40="Operacional",IFERROR(VLOOKUP($C40,SN_UGC,28,0),0),1)</f>
        <v>12</v>
      </c>
      <c r="FN40" s="140">
        <f>SUM($D40:M40)*IF($B40="Operacional",IFERROR(VLOOKUP($C40,SN_UGC,28,0),0),1)</f>
        <v>12</v>
      </c>
      <c r="FO40" s="140">
        <f>SUM($D40:N40)*IF($B40="Operacional",IFERROR(VLOOKUP($C40,SN_UGC,28,0),0),1)</f>
        <v>12</v>
      </c>
      <c r="FP40" s="140">
        <f>SUM($D40:O40)*IF($B40="Operacional",IFERROR(VLOOKUP($C40,SN_UGC,28,0),0),1)</f>
        <v>12</v>
      </c>
      <c r="FQ40" s="140">
        <f>SUM($D40:P40)*IF($B40="Operacional",IFERROR(VLOOKUP($C40,SN_UGC,28,0),0),1)</f>
        <v>12</v>
      </c>
      <c r="FR40" s="140">
        <f>SUM($D40:Q40)*IF($B40="Operacional",IFERROR(VLOOKUP($C40,SN_UGC,28,0),0),1)</f>
        <v>12</v>
      </c>
      <c r="FS40" s="140">
        <f>SUM($D40:R40)*IF($B40="Operacional",IFERROR(VLOOKUP($C40,SN_UGC,28,0),0),1)</f>
        <v>12</v>
      </c>
      <c r="FT40" s="140">
        <f>SUM($D40:S40)*IF($B40="Operacional",IFERROR(VLOOKUP($C40,SN_UGC,28,0),0),1)</f>
        <v>12</v>
      </c>
      <c r="FU40" s="140">
        <f>SUM($D40:T40)*IF($B40="Operacional",IFERROR(VLOOKUP($C40,SN_UGC,28,0),0),1)</f>
        <v>12</v>
      </c>
      <c r="FV40" s="140">
        <f>SUM($D40:U40)*IF($B40="Operacional",IFERROR(VLOOKUP($C40,SN_UGC,28,0),0),1)</f>
        <v>12</v>
      </c>
      <c r="FW40" s="140">
        <f>SUM($D40:V40)*IF($B40="Operacional",IFERROR(VLOOKUP($C40,SN_UGC,28,0),0),1)</f>
        <v>12</v>
      </c>
      <c r="FX40" s="140">
        <f>SUM($D40:W40)*IF($B40="Operacional",IFERROR(VLOOKUP($C40,SN_UGC,28,0),0),1)</f>
        <v>12</v>
      </c>
      <c r="FY40" s="140">
        <f>SUM($D40:X40)*IF($B40="Operacional",IFERROR(VLOOKUP($C40,SN_UGC,28,0),0),1)</f>
        <v>12</v>
      </c>
      <c r="FZ40" s="140">
        <f>SUM($D40:Y40)*IF($B40="Operacional",IFERROR(VLOOKUP($C40,SN_UGC,28,0),0),1)</f>
        <v>12</v>
      </c>
      <c r="GA40" s="140">
        <f>SUM($D40:Z40)*IF($B40="Operacional",IFERROR(VLOOKUP($C40,SN_UGC,28,0),0),1)</f>
        <v>12</v>
      </c>
      <c r="GB40" s="140">
        <f>SUM($D40:AA40)*IF($B40="Operacional",IFERROR(VLOOKUP($C40,SN_UGC,28,0),0),1)</f>
        <v>12</v>
      </c>
      <c r="GC40" s="140">
        <f>SUM($D40:AB40)*IF($B40="Operacional",IFERROR(VLOOKUP($C40,SN_UGC,28,0),0),1)</f>
        <v>12</v>
      </c>
      <c r="GD40" s="140">
        <f>SUM($D40:AC40)*IF($B40="Operacional",IFERROR(VLOOKUP($C40,SN_UGC,28,0),0),1)</f>
        <v>12</v>
      </c>
      <c r="GE40" s="140">
        <f>SUM($D40:AD40)*IF($B40="Operacional",IFERROR(VLOOKUP($C40,SN_UGC,28,0),0),1)</f>
        <v>12</v>
      </c>
      <c r="GF40" s="140">
        <f>SUM($D40:AE40)*IF($B40="Operacional",IFERROR(VLOOKUP($C40,SN_UGC,28,0),0),1)</f>
        <v>12</v>
      </c>
      <c r="GG40" s="140">
        <f>SUM($D40:AF40)*IF($B40="Operacional",IFERROR(VLOOKUP($C40,SN_UGC,28,0),0),1)</f>
        <v>12</v>
      </c>
      <c r="GH40" s="140">
        <f>SUM($D40:AG40)*IF($B40="Operacional",IFERROR(VLOOKUP($C40,SN_UGC,28,0),0),1)</f>
        <v>12</v>
      </c>
      <c r="GI40" s="141">
        <f t="shared" ref="GI40:HL40" si="212">FE40*$AH40*$AL40</f>
        <v>609.11400000000003</v>
      </c>
      <c r="GJ40" s="141">
        <f t="shared" si="212"/>
        <v>609.11400000000003</v>
      </c>
      <c r="GK40" s="141">
        <f t="shared" si="212"/>
        <v>609.11400000000003</v>
      </c>
      <c r="GL40" s="141">
        <f t="shared" si="212"/>
        <v>609.11400000000003</v>
      </c>
      <c r="GM40" s="141">
        <f t="shared" si="212"/>
        <v>609.11400000000003</v>
      </c>
      <c r="GN40" s="141">
        <f t="shared" si="212"/>
        <v>609.11400000000003</v>
      </c>
      <c r="GO40" s="141">
        <f t="shared" si="212"/>
        <v>609.11400000000003</v>
      </c>
      <c r="GP40" s="141">
        <f t="shared" si="212"/>
        <v>609.11400000000003</v>
      </c>
      <c r="GQ40" s="141">
        <f t="shared" si="212"/>
        <v>609.11400000000003</v>
      </c>
      <c r="GR40" s="141">
        <f t="shared" si="212"/>
        <v>609.11400000000003</v>
      </c>
      <c r="GS40" s="141">
        <f t="shared" si="212"/>
        <v>609.11400000000003</v>
      </c>
      <c r="GT40" s="141">
        <f t="shared" si="212"/>
        <v>609.11400000000003</v>
      </c>
      <c r="GU40" s="141">
        <f t="shared" si="212"/>
        <v>609.11400000000003</v>
      </c>
      <c r="GV40" s="141">
        <f t="shared" si="212"/>
        <v>609.11400000000003</v>
      </c>
      <c r="GW40" s="141">
        <f t="shared" si="212"/>
        <v>609.11400000000003</v>
      </c>
      <c r="GX40" s="141">
        <f t="shared" si="212"/>
        <v>609.11400000000003</v>
      </c>
      <c r="GY40" s="141">
        <f t="shared" si="212"/>
        <v>609.11400000000003</v>
      </c>
      <c r="GZ40" s="141">
        <f t="shared" si="212"/>
        <v>609.11400000000003</v>
      </c>
      <c r="HA40" s="141">
        <f t="shared" si="212"/>
        <v>609.11400000000003</v>
      </c>
      <c r="HB40" s="141">
        <f t="shared" si="212"/>
        <v>609.11400000000003</v>
      </c>
      <c r="HC40" s="141">
        <f t="shared" si="212"/>
        <v>609.11400000000003</v>
      </c>
      <c r="HD40" s="141">
        <f t="shared" si="212"/>
        <v>609.11400000000003</v>
      </c>
      <c r="HE40" s="141">
        <f t="shared" si="212"/>
        <v>609.11400000000003</v>
      </c>
      <c r="HF40" s="141">
        <f t="shared" si="212"/>
        <v>609.11400000000003</v>
      </c>
      <c r="HG40" s="141">
        <f t="shared" si="212"/>
        <v>609.11400000000003</v>
      </c>
      <c r="HH40" s="141">
        <f t="shared" si="212"/>
        <v>609.11400000000003</v>
      </c>
      <c r="HI40" s="141">
        <f t="shared" si="212"/>
        <v>609.11400000000003</v>
      </c>
      <c r="HJ40" s="141">
        <f t="shared" si="212"/>
        <v>609.11400000000003</v>
      </c>
      <c r="HK40" s="141">
        <f t="shared" si="212"/>
        <v>609.11400000000003</v>
      </c>
      <c r="HL40" s="141">
        <f t="shared" si="212"/>
        <v>609.11400000000003</v>
      </c>
      <c r="HM40" s="142">
        <f t="shared" ref="HM40:IP40" si="213">IF(ISBLANK($A40),,FE40*($AH40-($AH40*$AJ40))/$AI40)</f>
        <v>1218.2280000000001</v>
      </c>
      <c r="HN40" s="142">
        <f t="shared" si="213"/>
        <v>1218.2280000000001</v>
      </c>
      <c r="HO40" s="142">
        <f t="shared" si="213"/>
        <v>1218.2280000000001</v>
      </c>
      <c r="HP40" s="142">
        <f t="shared" si="213"/>
        <v>1218.2280000000001</v>
      </c>
      <c r="HQ40" s="142">
        <f t="shared" si="213"/>
        <v>1218.2280000000001</v>
      </c>
      <c r="HR40" s="142">
        <f t="shared" si="213"/>
        <v>1218.2280000000001</v>
      </c>
      <c r="HS40" s="142">
        <f t="shared" si="213"/>
        <v>1218.2280000000001</v>
      </c>
      <c r="HT40" s="142">
        <f t="shared" si="213"/>
        <v>1218.2280000000001</v>
      </c>
      <c r="HU40" s="142">
        <f t="shared" si="213"/>
        <v>1218.2280000000001</v>
      </c>
      <c r="HV40" s="142">
        <f t="shared" si="213"/>
        <v>1218.2280000000001</v>
      </c>
      <c r="HW40" s="142">
        <f t="shared" si="213"/>
        <v>1218.2280000000001</v>
      </c>
      <c r="HX40" s="142">
        <f t="shared" si="213"/>
        <v>1218.2280000000001</v>
      </c>
      <c r="HY40" s="142">
        <f t="shared" si="213"/>
        <v>1218.2280000000001</v>
      </c>
      <c r="HZ40" s="142">
        <f t="shared" si="213"/>
        <v>1218.2280000000001</v>
      </c>
      <c r="IA40" s="142">
        <f t="shared" si="213"/>
        <v>1218.2280000000001</v>
      </c>
      <c r="IB40" s="142">
        <f t="shared" si="213"/>
        <v>1218.2280000000001</v>
      </c>
      <c r="IC40" s="142">
        <f t="shared" si="213"/>
        <v>1218.2280000000001</v>
      </c>
      <c r="ID40" s="142">
        <f t="shared" si="213"/>
        <v>1218.2280000000001</v>
      </c>
      <c r="IE40" s="142">
        <f t="shared" si="213"/>
        <v>1218.2280000000001</v>
      </c>
      <c r="IF40" s="142">
        <f t="shared" si="213"/>
        <v>1218.2280000000001</v>
      </c>
      <c r="IG40" s="142">
        <f t="shared" si="213"/>
        <v>1218.2280000000001</v>
      </c>
      <c r="IH40" s="142">
        <f t="shared" si="213"/>
        <v>1218.2280000000001</v>
      </c>
      <c r="II40" s="142">
        <f t="shared" si="213"/>
        <v>1218.2280000000001</v>
      </c>
      <c r="IJ40" s="142">
        <f t="shared" si="213"/>
        <v>1218.2280000000001</v>
      </c>
      <c r="IK40" s="142">
        <f t="shared" si="213"/>
        <v>1218.2280000000001</v>
      </c>
      <c r="IL40" s="142">
        <f t="shared" si="213"/>
        <v>1218.2280000000001</v>
      </c>
      <c r="IM40" s="142">
        <f t="shared" si="213"/>
        <v>1218.2280000000001</v>
      </c>
      <c r="IN40" s="142">
        <f t="shared" si="213"/>
        <v>1218.2280000000001</v>
      </c>
      <c r="IO40" s="142">
        <f t="shared" si="213"/>
        <v>1218.2280000000001</v>
      </c>
      <c r="IP40" s="142">
        <f t="shared" si="213"/>
        <v>1218.2280000000001</v>
      </c>
      <c r="IQ40" s="141">
        <f>IF(ISBLANK($A40),,IF($AN40="Não",0,(SUM($AO40:AO40)*$AH40)-SUM($HM40:HM40)-SUM($CW40:CW40)))</f>
        <v>0</v>
      </c>
      <c r="IR40" s="141">
        <f>IF(ISBLANK($A40),,IF($AN40="Não",0,(SUM($AO40:AP40)*$AH40)-SUM($HM40:HN40)-SUM($CW40:CX40)))</f>
        <v>0</v>
      </c>
      <c r="IS40" s="141">
        <f>IF(ISBLANK($A40),,IF($AN40="Não",0,(SUM($AO40:AQ40)*$AH40)-SUM($HM40:HO40)-SUM($CW40:CY40)))</f>
        <v>0</v>
      </c>
      <c r="IT40" s="141">
        <f>IF(ISBLANK($A40),,IF($AN40="Não",0,(SUM($AO40:AR40)*$AH40)-SUM($HM40:HP40)-SUM($CW40:CZ40)))</f>
        <v>0</v>
      </c>
      <c r="IU40" s="141">
        <f>IF(ISBLANK($A40),,IF($AN40="Não",0,(SUM($AO40:AS40)*$AH40)-SUM($HM40:HQ40)-SUM($CW40:DA40)))</f>
        <v>0</v>
      </c>
      <c r="IV40" s="141">
        <f>IF(ISBLANK($A40),,IF($AN40="Não",0,(SUM($AO40:AT40)*$AH40)-SUM($HM40:HR40)-SUM($CW40:DB40)))</f>
        <v>0</v>
      </c>
      <c r="IW40" s="141">
        <f>IF(ISBLANK($A40),,IF($AN40="Não",0,(SUM($AO40:AU40)*$AH40)-SUM($HM40:HS40)-SUM($CW40:DC40)))</f>
        <v>0</v>
      </c>
      <c r="IX40" s="141">
        <f>IF(ISBLANK($A40),,IF($AN40="Não",0,(SUM($AO40:AV40)*$AH40)-SUM($HM40:HT40)-SUM($CW40:DD40)))</f>
        <v>0</v>
      </c>
      <c r="IY40" s="141">
        <f>IF(ISBLANK($A40),,IF($AN40="Não",0,(SUM($AO40:AW40)*$AH40)-SUM($HM40:HU40)-SUM($CW40:DE40)))</f>
        <v>0</v>
      </c>
      <c r="IZ40" s="141">
        <f>IF(ISBLANK($A40),,IF($AN40="Não",0,(SUM($AO40:AX40)*$AH40)-SUM($HM40:HV40)-SUM($CW40:DF40)))</f>
        <v>0</v>
      </c>
      <c r="JA40" s="141">
        <f>IF(ISBLANK($A40),,IF($AN40="Não",0,(SUM($AO40:AY40)*$AH40)-SUM($HM40:HW40)-SUM($CW40:DG40)))</f>
        <v>0</v>
      </c>
      <c r="JB40" s="141">
        <f>IF(ISBLANK($A40),,IF($AN40="Não",0,(SUM($AO40:AZ40)*$AH40)-SUM($HM40:HX40)-SUM($CW40:DH40)))</f>
        <v>0</v>
      </c>
      <c r="JC40" s="141">
        <f>IF(ISBLANK($A40),,IF($AN40="Não",0,(SUM($AO40:BA40)*$AH40)-SUM($HM40:HY40)-SUM($CW40:DI40)))</f>
        <v>0</v>
      </c>
      <c r="JD40" s="141">
        <f>IF(ISBLANK($A40),,IF($AN40="Não",0,(SUM($AO40:BB40)*$AH40)-SUM($HM40:HZ40)-SUM($CW40:DJ40)))</f>
        <v>0</v>
      </c>
      <c r="JE40" s="141">
        <f>IF(ISBLANK($A40),,IF($AN40="Não",0,(SUM($AO40:BC40)*$AH40)-SUM($HM40:IA40)-SUM($CW40:DK40)))</f>
        <v>0</v>
      </c>
      <c r="JF40" s="141">
        <f>IF(ISBLANK($A40),,IF($AN40="Não",0,(SUM($AO40:BD40)*$AH40)-SUM($HM40:IB40)-SUM($CW40:DL40)))</f>
        <v>0</v>
      </c>
      <c r="JG40" s="141">
        <f>IF(ISBLANK($A40),,IF($AN40="Não",0,(SUM($AO40:BE40)*$AH40)-SUM($HM40:IC40)-SUM($CW40:DM40)))</f>
        <v>0</v>
      </c>
      <c r="JH40" s="141">
        <f>IF(ISBLANK($A40),,IF($AN40="Não",0,(SUM($AO40:BF40)*$AH40)-SUM($HM40:ID40)-SUM($CW40:DN40)))</f>
        <v>0</v>
      </c>
      <c r="JI40" s="141">
        <f>IF(ISBLANK($A40),,IF($AN40="Não",0,(SUM($AO40:BG40)*$AH40)-SUM($HM40:IE40)-SUM($CW40:DO40)))</f>
        <v>0</v>
      </c>
      <c r="JJ40" s="141">
        <f>IF(ISBLANK($A40),,IF($AN40="Não",0,(SUM($AO40:BH40)*$AH40)-SUM($HM40:IF40)-SUM($CW40:DP40)))</f>
        <v>0</v>
      </c>
      <c r="JK40" s="141">
        <f>IF(ISBLANK($A40),,IF($AN40="Não",0,(SUM($AO40:BI40)*$AH40)-SUM($HM40:IG40)-SUM($CW40:DQ40)))</f>
        <v>0</v>
      </c>
      <c r="JL40" s="141">
        <f>IF(ISBLANK($A40),,IF($AN40="Não",0,(SUM($AO40:BJ40)*$AH40)-SUM($HM40:IH40)-SUM($CW40:DR40)))</f>
        <v>0</v>
      </c>
      <c r="JM40" s="141">
        <f>IF(ISBLANK($A40),,IF($AN40="Não",0,(SUM($AO40:BK40)*$AH40)-SUM($HM40:II40)-SUM($CW40:DS40)))</f>
        <v>0</v>
      </c>
      <c r="JN40" s="141">
        <f>IF(ISBLANK($A40),,IF($AN40="Não",0,(SUM($AO40:BL40)*$AH40)-SUM($HM40:IJ40)-SUM($CW40:DT40)))</f>
        <v>0</v>
      </c>
      <c r="JO40" s="141">
        <f>IF(ISBLANK($A40),,IF($AN40="Não",0,(SUM($AO40:BM40)*$AH40)-SUM($HM40:IK40)-SUM($CW40:DU40)))</f>
        <v>0</v>
      </c>
      <c r="JP40" s="141">
        <f>IF(ISBLANK($A40),,IF($AN40="Não",0,(SUM($AO40:BN40)*$AH40)-SUM($HM40:IL40)-SUM($CW40:DV40)))</f>
        <v>0</v>
      </c>
      <c r="JQ40" s="141">
        <f>IF(ISBLANK($A40),,IF($AN40="Não",0,(SUM($AO40:BO40)*$AH40)-SUM($HM40:IM40)-SUM($CW40:DW40)))</f>
        <v>0</v>
      </c>
      <c r="JR40" s="141">
        <f>IF(ISBLANK($A40),,IF($AN40="Não",0,(SUM($AO40:BP40)*$AH40)-SUM($HM40:IN40)-SUM($CW40:DX40)))</f>
        <v>0</v>
      </c>
      <c r="JS40" s="141">
        <f>IF(ISBLANK($A40),,IF($AN40="Não",0,(SUM($AO40:BQ40)*$AH40)-SUM($HM40:IO40)-SUM($CW40:DY40)))</f>
        <v>0</v>
      </c>
      <c r="JT40" s="141">
        <f>IF(ISBLANK($A40),,IF($AN40="Não",0,(SUM($AO40:BR40)*$AH40)-SUM($HM40:IP40)-SUM($CW40:DZ40)))</f>
        <v>0</v>
      </c>
    </row>
    <row r="41" spans="1:280" ht="15.75" customHeight="1">
      <c r="A41" s="129" t="s">
        <v>364</v>
      </c>
      <c r="B41" s="129" t="s">
        <v>209</v>
      </c>
      <c r="C41" s="138" t="s">
        <v>79</v>
      </c>
      <c r="D41" s="139">
        <v>3</v>
      </c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607">
        <f t="shared" si="165"/>
        <v>1015.19</v>
      </c>
      <c r="AI41" s="608">
        <f t="shared" si="166"/>
        <v>10</v>
      </c>
      <c r="AJ41" s="609">
        <f t="shared" si="167"/>
        <v>0</v>
      </c>
      <c r="AK41" s="610" t="str">
        <f t="shared" si="168"/>
        <v>Outros</v>
      </c>
      <c r="AL41" s="609">
        <f t="shared" si="169"/>
        <v>0.05</v>
      </c>
      <c r="AM41" s="611" t="str">
        <f t="shared" si="170"/>
        <v>Sim</v>
      </c>
      <c r="AN41" s="611" t="str">
        <f t="shared" si="171"/>
        <v>Não</v>
      </c>
      <c r="AO41" s="140">
        <f t="array" ref="AO41">IF(ISBLANK($A41),0,IF(OR(AO$5-$AI41&lt;=0,$AM41="Não"),D41,D41+INDEX($AO$6:$BR$176,ROW()-5,COLUMN()-40-$AI41)))*IF($B41="Operacional",IFERROR(VLOOKUP($C41,SN_UGC,28,0),0),1)</f>
        <v>3</v>
      </c>
      <c r="AP41" s="140">
        <f t="array" ref="AP41">IF(ISBLANK($A41),0,IF(OR(AP$5-$AI41&lt;=0,$AM41="Não"),E41,E41+INDEX($AO$6:$BR$176,ROW()-5,COLUMN()-40-$AI41)))*IF($B41="Operacional",IFERROR(VLOOKUP($C41,SN_UGC,28,0),0),1)</f>
        <v>0</v>
      </c>
      <c r="AQ41" s="140">
        <f t="array" ref="AQ41">IF(ISBLANK($A41),0,IF(OR(AQ$5-$AI41&lt;=0,$AM41="Não"),F41,F41+INDEX($AO$6:$BR$176,ROW()-5,COLUMN()-40-$AI41)))*IF($B41="Operacional",IFERROR(VLOOKUP($C41,SN_UGC,28,0),0),1)</f>
        <v>0</v>
      </c>
      <c r="AR41" s="140">
        <f t="array" ref="AR41">IF(ISBLANK($A41),0,IF(OR(AR$5-$AI41&lt;=0,$AM41="Não"),G41,G41+INDEX($AO$6:$BR$176,ROW()-5,COLUMN()-40-$AI41)))*IF($B41="Operacional",IFERROR(VLOOKUP($C41,SN_UGC,28,0),0),1)</f>
        <v>0</v>
      </c>
      <c r="AS41" s="140">
        <f t="array" ref="AS41">IF(ISBLANK($A41),0,IF(OR(AS$5-$AI41&lt;=0,$AM41="Não"),H41,H41+INDEX($AO$6:$BR$176,ROW()-5,COLUMN()-40-$AI41)))*IF($B41="Operacional",IFERROR(VLOOKUP($C41,SN_UGC,28,0),0),1)</f>
        <v>0</v>
      </c>
      <c r="AT41" s="140">
        <f t="array" ref="AT41">IF(ISBLANK($A41),0,IF(OR(AT$5-$AI41&lt;=0,$AM41="Não"),I41,I41+INDEX($AO$6:$BR$176,ROW()-5,COLUMN()-40-$AI41)))*IF($B41="Operacional",IFERROR(VLOOKUP($C41,SN_UGC,28,0),0),1)</f>
        <v>0</v>
      </c>
      <c r="AU41" s="140">
        <f t="array" ref="AU41">IF(ISBLANK($A41),0,IF(OR(AU$5-$AI41&lt;=0,$AM41="Não"),J41,J41+INDEX($AO$6:$BR$176,ROW()-5,COLUMN()-40-$AI41)))*IF($B41="Operacional",IFERROR(VLOOKUP($C41,SN_UGC,28,0),0),1)</f>
        <v>0</v>
      </c>
      <c r="AV41" s="140">
        <f t="array" ref="AV41">IF(ISBLANK($A41),0,IF(OR(AV$5-$AI41&lt;=0,$AM41="Não"),K41,K41+INDEX($AO$6:$BR$176,ROW()-5,COLUMN()-40-$AI41)))*IF($B41="Operacional",IFERROR(VLOOKUP($C41,SN_UGC,28,0),0),1)</f>
        <v>0</v>
      </c>
      <c r="AW41" s="140">
        <f t="array" ref="AW41">IF(ISBLANK($A41),0,IF(OR(AW$5-$AI41&lt;=0,$AM41="Não"),L41,L41+INDEX($AO$6:$BR$176,ROW()-5,COLUMN()-40-$AI41)))*IF($B41="Operacional",IFERROR(VLOOKUP($C41,SN_UGC,28,0),0),1)</f>
        <v>0</v>
      </c>
      <c r="AX41" s="140">
        <f t="array" ref="AX41">IF(ISBLANK($A41),0,IF(OR(AX$5-$AI41&lt;=0,$AM41="Não"),M41,M41+INDEX($AO$6:$BR$176,ROW()-5,COLUMN()-40-$AI41)))*IF($B41="Operacional",IFERROR(VLOOKUP($C41,SN_UGC,28,0),0),1)</f>
        <v>0</v>
      </c>
      <c r="AY41" s="140">
        <f t="array" ref="AY41">IF(ISBLANK($A41),0,IF(OR(AY$5-$AI41&lt;=0,$AM41="Não"),N41,N41+INDEX($AO$6:$BR$176,ROW()-5,COLUMN()-40-$AI41)))*IF($B41="Operacional",IFERROR(VLOOKUP($C41,SN_UGC,28,0),0),1)</f>
        <v>3</v>
      </c>
      <c r="AZ41" s="140">
        <f t="array" ref="AZ41">IF(ISBLANK($A41),0,IF(OR(AZ$5-$AI41&lt;=0,$AM41="Não"),O41,O41+INDEX($AO$6:$BR$176,ROW()-5,COLUMN()-40-$AI41)))*IF($B41="Operacional",IFERROR(VLOOKUP($C41,SN_UGC,28,0),0),1)</f>
        <v>0</v>
      </c>
      <c r="BA41" s="140">
        <f t="array" ref="BA41">IF(ISBLANK($A41),0,IF(OR(BA$5-$AI41&lt;=0,$AM41="Não"),P41,P41+INDEX($AO$6:$BR$176,ROW()-5,COLUMN()-40-$AI41)))*IF($B41="Operacional",IFERROR(VLOOKUP($C41,SN_UGC,28,0),0),1)</f>
        <v>0</v>
      </c>
      <c r="BB41" s="140">
        <f t="array" ref="BB41">IF(ISBLANK($A41),0,IF(OR(BB$5-$AI41&lt;=0,$AM41="Não"),Q41,Q41+INDEX($AO$6:$BR$176,ROW()-5,COLUMN()-40-$AI41)))*IF($B41="Operacional",IFERROR(VLOOKUP($C41,SN_UGC,28,0),0),1)</f>
        <v>0</v>
      </c>
      <c r="BC41" s="140">
        <f t="array" ref="BC41">IF(ISBLANK($A41),0,IF(OR(BC$5-$AI41&lt;=0,$AM41="Não"),R41,R41+INDEX($AO$6:$BR$176,ROW()-5,COLUMN()-40-$AI41)))*IF($B41="Operacional",IFERROR(VLOOKUP($C41,SN_UGC,28,0),0),1)</f>
        <v>0</v>
      </c>
      <c r="BD41" s="140">
        <f t="array" ref="BD41">IF(ISBLANK($A41),0,IF(OR(BD$5-$AI41&lt;=0,$AM41="Não"),S41,S41+INDEX($AO$6:$BR$176,ROW()-5,COLUMN()-40-$AI41)))*IF($B41="Operacional",IFERROR(VLOOKUP($C41,SN_UGC,28,0),0),1)</f>
        <v>0</v>
      </c>
      <c r="BE41" s="140">
        <f t="array" ref="BE41">IF(ISBLANK($A41),0,IF(OR(BE$5-$AI41&lt;=0,$AM41="Não"),T41,T41+INDEX($AO$6:$BR$176,ROW()-5,COLUMN()-40-$AI41)))*IF($B41="Operacional",IFERROR(VLOOKUP($C41,SN_UGC,28,0),0),1)</f>
        <v>0</v>
      </c>
      <c r="BF41" s="140">
        <f t="array" ref="BF41">IF(ISBLANK($A41),0,IF(OR(BF$5-$AI41&lt;=0,$AM41="Não"),U41,U41+INDEX($AO$6:$BR$176,ROW()-5,COLUMN()-40-$AI41)))*IF($B41="Operacional",IFERROR(VLOOKUP($C41,SN_UGC,28,0),0),1)</f>
        <v>0</v>
      </c>
      <c r="BG41" s="140">
        <f t="array" ref="BG41">IF(ISBLANK($A41),0,IF(OR(BG$5-$AI41&lt;=0,$AM41="Não"),V41,V41+INDEX($AO$6:$BR$176,ROW()-5,COLUMN()-40-$AI41)))*IF($B41="Operacional",IFERROR(VLOOKUP($C41,SN_UGC,28,0),0),1)</f>
        <v>0</v>
      </c>
      <c r="BH41" s="140">
        <f t="array" ref="BH41">IF(ISBLANK($A41),0,IF(OR(BH$5-$AI41&lt;=0,$AM41="Não"),W41,W41+INDEX($AO$6:$BR$176,ROW()-5,COLUMN()-40-$AI41)))*IF($B41="Operacional",IFERROR(VLOOKUP($C41,SN_UGC,28,0),0),1)</f>
        <v>0</v>
      </c>
      <c r="BI41" s="140">
        <f t="array" ref="BI41">IF(ISBLANK($A41),0,IF(OR(BI$5-$AI41&lt;=0,$AM41="Não"),X41,X41+INDEX($AO$6:$BR$176,ROW()-5,COLUMN()-40-$AI41)))*IF($B41="Operacional",IFERROR(VLOOKUP($C41,SN_UGC,28,0),0),1)</f>
        <v>3</v>
      </c>
      <c r="BJ41" s="140">
        <f t="array" ref="BJ41">IF(ISBLANK($A41),0,IF(OR(BJ$5-$AI41&lt;=0,$AM41="Não"),Y41,Y41+INDEX($AO$6:$BR$176,ROW()-5,COLUMN()-40-$AI41)))*IF($B41="Operacional",IFERROR(VLOOKUP($C41,SN_UGC,28,0),0),1)</f>
        <v>0</v>
      </c>
      <c r="BK41" s="140">
        <f t="array" ref="BK41">IF(ISBLANK($A41),0,IF(OR(BK$5-$AI41&lt;=0,$AM41="Não"),Z41,Z41+INDEX($AO$6:$BR$176,ROW()-5,COLUMN()-40-$AI41)))*IF($B41="Operacional",IFERROR(VLOOKUP($C41,SN_UGC,28,0),0),1)</f>
        <v>0</v>
      </c>
      <c r="BL41" s="140">
        <f t="array" ref="BL41">IF(ISBLANK($A41),0,IF(OR(BL$5-$AI41&lt;=0,$AM41="Não"),AA41,AA41+INDEX($AO$6:$BR$176,ROW()-5,COLUMN()-40-$AI41)))*IF($B41="Operacional",IFERROR(VLOOKUP($C41,SN_UGC,28,0),0),1)</f>
        <v>0</v>
      </c>
      <c r="BM41" s="140">
        <f t="array" ref="BM41">IF(ISBLANK($A41),0,IF(OR(BM$5-$AI41&lt;=0,$AM41="Não"),AB41,AB41+INDEX($AO$6:$BR$176,ROW()-5,COLUMN()-40-$AI41)))*IF($B41="Operacional",IFERROR(VLOOKUP($C41,SN_UGC,28,0),0),1)</f>
        <v>0</v>
      </c>
      <c r="BN41" s="140">
        <f t="array" ref="BN41">IF(ISBLANK($A41),0,IF(OR(BN$5-$AI41&lt;=0,$AM41="Não"),AC41,AC41+INDEX($AO$6:$BR$176,ROW()-5,COLUMN()-40-$AI41)))*IF($B41="Operacional",IFERROR(VLOOKUP($C41,SN_UGC,28,0),0),1)</f>
        <v>0</v>
      </c>
      <c r="BO41" s="140">
        <f t="array" ref="BO41">IF(ISBLANK($A41),0,IF(OR(BO$5-$AI41&lt;=0,$AM41="Não"),AD41,AD41+INDEX($AO$6:$BR$176,ROW()-5,COLUMN()-40-$AI41)))*IF($B41="Operacional",IFERROR(VLOOKUP($C41,SN_UGC,28,0),0),1)</f>
        <v>0</v>
      </c>
      <c r="BP41" s="140">
        <f t="array" ref="BP41">IF(ISBLANK($A41),0,IF(OR(BP$5-$AI41&lt;=0,$AM41="Não"),AE41,AE41+INDEX($AO$6:$BR$176,ROW()-5,COLUMN()-40-$AI41)))*IF($B41="Operacional",IFERROR(VLOOKUP($C41,SN_UGC,28,0),0),1)</f>
        <v>0</v>
      </c>
      <c r="BQ41" s="140">
        <f t="array" ref="BQ41">IF(ISBLANK($A41),0,IF(OR(BQ$5-$AI41&lt;=0,$AM41="Não"),AF41,AF41+INDEX($AO$6:$BR$176,ROW()-5,COLUMN()-40-$AI41)))*IF($B41="Operacional",IFERROR(VLOOKUP($C41,SN_UGC,28,0),0),1)</f>
        <v>0</v>
      </c>
      <c r="BR41" s="140">
        <f t="array" ref="BR41">IF(ISBLANK($A41),0,IF(OR(BR$5-$AI41&lt;=0,$AM41="Não"),AG41,AG41+INDEX($AO$6:$BR$176,ROW()-5,COLUMN()-40-$AI41)))*IF($B41="Operacional",IFERROR(VLOOKUP($C41,SN_UGC,28,0),0),1)</f>
        <v>0</v>
      </c>
      <c r="BS41" s="141">
        <f t="shared" ref="BS41:CV41" si="214">IF(ISBLANK($A41),0,$AH41*AO41)</f>
        <v>3045.57</v>
      </c>
      <c r="BT41" s="141">
        <f t="shared" si="214"/>
        <v>0</v>
      </c>
      <c r="BU41" s="141">
        <f t="shared" si="214"/>
        <v>0</v>
      </c>
      <c r="BV41" s="141">
        <f t="shared" si="214"/>
        <v>0</v>
      </c>
      <c r="BW41" s="141">
        <f t="shared" si="214"/>
        <v>0</v>
      </c>
      <c r="BX41" s="141">
        <f t="shared" si="214"/>
        <v>0</v>
      </c>
      <c r="BY41" s="141">
        <f t="shared" si="214"/>
        <v>0</v>
      </c>
      <c r="BZ41" s="141">
        <f t="shared" si="214"/>
        <v>0</v>
      </c>
      <c r="CA41" s="141">
        <f t="shared" si="214"/>
        <v>0</v>
      </c>
      <c r="CB41" s="141">
        <f t="shared" si="214"/>
        <v>0</v>
      </c>
      <c r="CC41" s="141">
        <f t="shared" si="214"/>
        <v>3045.57</v>
      </c>
      <c r="CD41" s="141">
        <f t="shared" si="214"/>
        <v>0</v>
      </c>
      <c r="CE41" s="141">
        <f t="shared" si="214"/>
        <v>0</v>
      </c>
      <c r="CF41" s="141">
        <f t="shared" si="214"/>
        <v>0</v>
      </c>
      <c r="CG41" s="141">
        <f t="shared" si="214"/>
        <v>0</v>
      </c>
      <c r="CH41" s="141">
        <f t="shared" si="214"/>
        <v>0</v>
      </c>
      <c r="CI41" s="141">
        <f t="shared" si="214"/>
        <v>0</v>
      </c>
      <c r="CJ41" s="141">
        <f t="shared" si="214"/>
        <v>0</v>
      </c>
      <c r="CK41" s="141">
        <f t="shared" si="214"/>
        <v>0</v>
      </c>
      <c r="CL41" s="141">
        <f t="shared" si="214"/>
        <v>0</v>
      </c>
      <c r="CM41" s="141">
        <f t="shared" si="214"/>
        <v>3045.57</v>
      </c>
      <c r="CN41" s="141">
        <f t="shared" si="214"/>
        <v>0</v>
      </c>
      <c r="CO41" s="141">
        <f t="shared" si="214"/>
        <v>0</v>
      </c>
      <c r="CP41" s="141">
        <f t="shared" si="214"/>
        <v>0</v>
      </c>
      <c r="CQ41" s="141">
        <f t="shared" si="214"/>
        <v>0</v>
      </c>
      <c r="CR41" s="141">
        <f t="shared" si="214"/>
        <v>0</v>
      </c>
      <c r="CS41" s="141">
        <f t="shared" si="214"/>
        <v>0</v>
      </c>
      <c r="CT41" s="141">
        <f t="shared" si="214"/>
        <v>0</v>
      </c>
      <c r="CU41" s="141">
        <f t="shared" si="214"/>
        <v>0</v>
      </c>
      <c r="CV41" s="141">
        <f t="shared" si="214"/>
        <v>0</v>
      </c>
      <c r="CW41" s="142">
        <f t="shared" ref="CW41:DZ41" si="215">EA41*$AH41*$AJ41</f>
        <v>0</v>
      </c>
      <c r="CX41" s="142">
        <f t="shared" si="215"/>
        <v>0</v>
      </c>
      <c r="CY41" s="142">
        <f t="shared" si="215"/>
        <v>0</v>
      </c>
      <c r="CZ41" s="142">
        <f t="shared" si="215"/>
        <v>0</v>
      </c>
      <c r="DA41" s="142">
        <f t="shared" si="215"/>
        <v>0</v>
      </c>
      <c r="DB41" s="142">
        <f t="shared" si="215"/>
        <v>0</v>
      </c>
      <c r="DC41" s="142">
        <f t="shared" si="215"/>
        <v>0</v>
      </c>
      <c r="DD41" s="142">
        <f t="shared" si="215"/>
        <v>0</v>
      </c>
      <c r="DE41" s="142">
        <f t="shared" si="215"/>
        <v>0</v>
      </c>
      <c r="DF41" s="142">
        <f t="shared" si="215"/>
        <v>0</v>
      </c>
      <c r="DG41" s="142">
        <f t="shared" si="215"/>
        <v>0</v>
      </c>
      <c r="DH41" s="142">
        <f t="shared" si="215"/>
        <v>0</v>
      </c>
      <c r="DI41" s="142">
        <f t="shared" si="215"/>
        <v>0</v>
      </c>
      <c r="DJ41" s="142">
        <f t="shared" si="215"/>
        <v>0</v>
      </c>
      <c r="DK41" s="142">
        <f t="shared" si="215"/>
        <v>0</v>
      </c>
      <c r="DL41" s="142">
        <f t="shared" si="215"/>
        <v>0</v>
      </c>
      <c r="DM41" s="142">
        <f t="shared" si="215"/>
        <v>0</v>
      </c>
      <c r="DN41" s="142">
        <f t="shared" si="215"/>
        <v>0</v>
      </c>
      <c r="DO41" s="142">
        <f t="shared" si="215"/>
        <v>0</v>
      </c>
      <c r="DP41" s="142">
        <f t="shared" si="215"/>
        <v>0</v>
      </c>
      <c r="DQ41" s="142">
        <f t="shared" si="215"/>
        <v>0</v>
      </c>
      <c r="DR41" s="142">
        <f t="shared" si="215"/>
        <v>0</v>
      </c>
      <c r="DS41" s="142">
        <f t="shared" si="215"/>
        <v>0</v>
      </c>
      <c r="DT41" s="142">
        <f t="shared" si="215"/>
        <v>0</v>
      </c>
      <c r="DU41" s="142">
        <f t="shared" si="215"/>
        <v>0</v>
      </c>
      <c r="DV41" s="142">
        <f t="shared" si="215"/>
        <v>0</v>
      </c>
      <c r="DW41" s="142">
        <f t="shared" si="215"/>
        <v>0</v>
      </c>
      <c r="DX41" s="142">
        <f t="shared" si="215"/>
        <v>0</v>
      </c>
      <c r="DY41" s="142">
        <f t="shared" si="215"/>
        <v>0</v>
      </c>
      <c r="DZ41" s="142">
        <f t="shared" si="215"/>
        <v>0</v>
      </c>
      <c r="EA41" s="143">
        <f t="shared" si="174"/>
        <v>0</v>
      </c>
      <c r="EB41" s="143">
        <f t="shared" si="175"/>
        <v>0</v>
      </c>
      <c r="EC41" s="143">
        <f t="shared" si="176"/>
        <v>0</v>
      </c>
      <c r="ED41" s="143">
        <f t="shared" si="177"/>
        <v>0</v>
      </c>
      <c r="EE41" s="143">
        <f t="shared" si="178"/>
        <v>0</v>
      </c>
      <c r="EF41" s="143">
        <f t="shared" si="179"/>
        <v>0</v>
      </c>
      <c r="EG41" s="143">
        <f t="shared" si="180"/>
        <v>0</v>
      </c>
      <c r="EH41" s="143">
        <f t="shared" si="181"/>
        <v>0</v>
      </c>
      <c r="EI41" s="143">
        <f t="shared" si="182"/>
        <v>0</v>
      </c>
      <c r="EJ41" s="143">
        <f t="shared" si="183"/>
        <v>0</v>
      </c>
      <c r="EK41" s="143">
        <f t="shared" si="184"/>
        <v>3</v>
      </c>
      <c r="EL41" s="143">
        <f t="shared" si="185"/>
        <v>0</v>
      </c>
      <c r="EM41" s="143">
        <f t="shared" si="186"/>
        <v>0</v>
      </c>
      <c r="EN41" s="143">
        <f t="shared" si="187"/>
        <v>0</v>
      </c>
      <c r="EO41" s="143">
        <f t="shared" si="188"/>
        <v>0</v>
      </c>
      <c r="EP41" s="143">
        <f t="shared" si="189"/>
        <v>0</v>
      </c>
      <c r="EQ41" s="143">
        <f t="shared" si="190"/>
        <v>0</v>
      </c>
      <c r="ER41" s="143">
        <f t="shared" si="191"/>
        <v>0</v>
      </c>
      <c r="ES41" s="143">
        <f t="shared" si="192"/>
        <v>0</v>
      </c>
      <c r="ET41" s="143">
        <f t="shared" si="193"/>
        <v>0</v>
      </c>
      <c r="EU41" s="143">
        <f t="shared" si="194"/>
        <v>3</v>
      </c>
      <c r="EV41" s="143">
        <f t="shared" si="195"/>
        <v>0</v>
      </c>
      <c r="EW41" s="143">
        <f t="shared" si="196"/>
        <v>0</v>
      </c>
      <c r="EX41" s="143">
        <f t="shared" si="197"/>
        <v>0</v>
      </c>
      <c r="EY41" s="143">
        <f t="shared" si="198"/>
        <v>0</v>
      </c>
      <c r="EZ41" s="143">
        <f t="shared" si="199"/>
        <v>0</v>
      </c>
      <c r="FA41" s="143">
        <f t="shared" si="200"/>
        <v>0</v>
      </c>
      <c r="FB41" s="143">
        <f t="shared" si="201"/>
        <v>0</v>
      </c>
      <c r="FC41" s="143">
        <f t="shared" si="202"/>
        <v>0</v>
      </c>
      <c r="FD41" s="143">
        <f t="shared" si="203"/>
        <v>0</v>
      </c>
      <c r="FE41" s="140">
        <f>SUM($D41:D41)*IF($B41="Operacional",IFERROR(VLOOKUP($C41,SN_UGC,28,0),0),1)</f>
        <v>3</v>
      </c>
      <c r="FF41" s="140">
        <f>SUM($D41:E41)*IF($B41="Operacional",IFERROR(VLOOKUP($C41,SN_UGC,28,0),0),1)</f>
        <v>3</v>
      </c>
      <c r="FG41" s="140">
        <f>SUM($D41:F41)*IF($B41="Operacional",IFERROR(VLOOKUP($C41,SN_UGC,28,0),0),1)</f>
        <v>3</v>
      </c>
      <c r="FH41" s="140">
        <f>SUM($D41:G41)*IF($B41="Operacional",IFERROR(VLOOKUP($C41,SN_UGC,28,0),0),1)</f>
        <v>3</v>
      </c>
      <c r="FI41" s="140">
        <f>SUM($D41:H41)*IF($B41="Operacional",IFERROR(VLOOKUP($C41,SN_UGC,28,0),0),1)</f>
        <v>3</v>
      </c>
      <c r="FJ41" s="140">
        <f>SUM($D41:I41)*IF($B41="Operacional",IFERROR(VLOOKUP($C41,SN_UGC,28,0),0),1)</f>
        <v>3</v>
      </c>
      <c r="FK41" s="140">
        <f>SUM($D41:J41)*IF($B41="Operacional",IFERROR(VLOOKUP($C41,SN_UGC,28,0),0),1)</f>
        <v>3</v>
      </c>
      <c r="FL41" s="140">
        <f>SUM($D41:K41)*IF($B41="Operacional",IFERROR(VLOOKUP($C41,SN_UGC,28,0),0),1)</f>
        <v>3</v>
      </c>
      <c r="FM41" s="140">
        <f>SUM($D41:L41)*IF($B41="Operacional",IFERROR(VLOOKUP($C41,SN_UGC,28,0),0),1)</f>
        <v>3</v>
      </c>
      <c r="FN41" s="140">
        <f>SUM($D41:M41)*IF($B41="Operacional",IFERROR(VLOOKUP($C41,SN_UGC,28,0),0),1)</f>
        <v>3</v>
      </c>
      <c r="FO41" s="140">
        <f>SUM($D41:N41)*IF($B41="Operacional",IFERROR(VLOOKUP($C41,SN_UGC,28,0),0),1)</f>
        <v>3</v>
      </c>
      <c r="FP41" s="140">
        <f>SUM($D41:O41)*IF($B41="Operacional",IFERROR(VLOOKUP($C41,SN_UGC,28,0),0),1)</f>
        <v>3</v>
      </c>
      <c r="FQ41" s="140">
        <f>SUM($D41:P41)*IF($B41="Operacional",IFERROR(VLOOKUP($C41,SN_UGC,28,0),0),1)</f>
        <v>3</v>
      </c>
      <c r="FR41" s="140">
        <f>SUM($D41:Q41)*IF($B41="Operacional",IFERROR(VLOOKUP($C41,SN_UGC,28,0),0),1)</f>
        <v>3</v>
      </c>
      <c r="FS41" s="140">
        <f>SUM($D41:R41)*IF($B41="Operacional",IFERROR(VLOOKUP($C41,SN_UGC,28,0),0),1)</f>
        <v>3</v>
      </c>
      <c r="FT41" s="140">
        <f>SUM($D41:S41)*IF($B41="Operacional",IFERROR(VLOOKUP($C41,SN_UGC,28,0),0),1)</f>
        <v>3</v>
      </c>
      <c r="FU41" s="140">
        <f>SUM($D41:T41)*IF($B41="Operacional",IFERROR(VLOOKUP($C41,SN_UGC,28,0),0),1)</f>
        <v>3</v>
      </c>
      <c r="FV41" s="140">
        <f>SUM($D41:U41)*IF($B41="Operacional",IFERROR(VLOOKUP($C41,SN_UGC,28,0),0),1)</f>
        <v>3</v>
      </c>
      <c r="FW41" s="140">
        <f>SUM($D41:V41)*IF($B41="Operacional",IFERROR(VLOOKUP($C41,SN_UGC,28,0),0),1)</f>
        <v>3</v>
      </c>
      <c r="FX41" s="140">
        <f>SUM($D41:W41)*IF($B41="Operacional",IFERROR(VLOOKUP($C41,SN_UGC,28,0),0),1)</f>
        <v>3</v>
      </c>
      <c r="FY41" s="140">
        <f>SUM($D41:X41)*IF($B41="Operacional",IFERROR(VLOOKUP($C41,SN_UGC,28,0),0),1)</f>
        <v>3</v>
      </c>
      <c r="FZ41" s="140">
        <f>SUM($D41:Y41)*IF($B41="Operacional",IFERROR(VLOOKUP($C41,SN_UGC,28,0),0),1)</f>
        <v>3</v>
      </c>
      <c r="GA41" s="140">
        <f>SUM($D41:Z41)*IF($B41="Operacional",IFERROR(VLOOKUP($C41,SN_UGC,28,0),0),1)</f>
        <v>3</v>
      </c>
      <c r="GB41" s="140">
        <f>SUM($D41:AA41)*IF($B41="Operacional",IFERROR(VLOOKUP($C41,SN_UGC,28,0),0),1)</f>
        <v>3</v>
      </c>
      <c r="GC41" s="140">
        <f>SUM($D41:AB41)*IF($B41="Operacional",IFERROR(VLOOKUP($C41,SN_UGC,28,0),0),1)</f>
        <v>3</v>
      </c>
      <c r="GD41" s="140">
        <f>SUM($D41:AC41)*IF($B41="Operacional",IFERROR(VLOOKUP($C41,SN_UGC,28,0),0),1)</f>
        <v>3</v>
      </c>
      <c r="GE41" s="140">
        <f>SUM($D41:AD41)*IF($B41="Operacional",IFERROR(VLOOKUP($C41,SN_UGC,28,0),0),1)</f>
        <v>3</v>
      </c>
      <c r="GF41" s="140">
        <f>SUM($D41:AE41)*IF($B41="Operacional",IFERROR(VLOOKUP($C41,SN_UGC,28,0),0),1)</f>
        <v>3</v>
      </c>
      <c r="GG41" s="140">
        <f>SUM($D41:AF41)*IF($B41="Operacional",IFERROR(VLOOKUP($C41,SN_UGC,28,0),0),1)</f>
        <v>3</v>
      </c>
      <c r="GH41" s="140">
        <f>SUM($D41:AG41)*IF($B41="Operacional",IFERROR(VLOOKUP($C41,SN_UGC,28,0),0),1)</f>
        <v>3</v>
      </c>
      <c r="GI41" s="141">
        <f t="shared" ref="GI41:HL41" si="216">FE41*$AH41*$AL41</f>
        <v>152.27850000000001</v>
      </c>
      <c r="GJ41" s="141">
        <f t="shared" si="216"/>
        <v>152.27850000000001</v>
      </c>
      <c r="GK41" s="141">
        <f t="shared" si="216"/>
        <v>152.27850000000001</v>
      </c>
      <c r="GL41" s="141">
        <f t="shared" si="216"/>
        <v>152.27850000000001</v>
      </c>
      <c r="GM41" s="141">
        <f t="shared" si="216"/>
        <v>152.27850000000001</v>
      </c>
      <c r="GN41" s="141">
        <f t="shared" si="216"/>
        <v>152.27850000000001</v>
      </c>
      <c r="GO41" s="141">
        <f t="shared" si="216"/>
        <v>152.27850000000001</v>
      </c>
      <c r="GP41" s="141">
        <f t="shared" si="216"/>
        <v>152.27850000000001</v>
      </c>
      <c r="GQ41" s="141">
        <f t="shared" si="216"/>
        <v>152.27850000000001</v>
      </c>
      <c r="GR41" s="141">
        <f t="shared" si="216"/>
        <v>152.27850000000001</v>
      </c>
      <c r="GS41" s="141">
        <f t="shared" si="216"/>
        <v>152.27850000000001</v>
      </c>
      <c r="GT41" s="141">
        <f t="shared" si="216"/>
        <v>152.27850000000001</v>
      </c>
      <c r="GU41" s="141">
        <f t="shared" si="216"/>
        <v>152.27850000000001</v>
      </c>
      <c r="GV41" s="141">
        <f t="shared" si="216"/>
        <v>152.27850000000001</v>
      </c>
      <c r="GW41" s="141">
        <f t="shared" si="216"/>
        <v>152.27850000000001</v>
      </c>
      <c r="GX41" s="141">
        <f t="shared" si="216"/>
        <v>152.27850000000001</v>
      </c>
      <c r="GY41" s="141">
        <f t="shared" si="216"/>
        <v>152.27850000000001</v>
      </c>
      <c r="GZ41" s="141">
        <f t="shared" si="216"/>
        <v>152.27850000000001</v>
      </c>
      <c r="HA41" s="141">
        <f t="shared" si="216"/>
        <v>152.27850000000001</v>
      </c>
      <c r="HB41" s="141">
        <f t="shared" si="216"/>
        <v>152.27850000000001</v>
      </c>
      <c r="HC41" s="141">
        <f t="shared" si="216"/>
        <v>152.27850000000001</v>
      </c>
      <c r="HD41" s="141">
        <f t="shared" si="216"/>
        <v>152.27850000000001</v>
      </c>
      <c r="HE41" s="141">
        <f t="shared" si="216"/>
        <v>152.27850000000001</v>
      </c>
      <c r="HF41" s="141">
        <f t="shared" si="216"/>
        <v>152.27850000000001</v>
      </c>
      <c r="HG41" s="141">
        <f t="shared" si="216"/>
        <v>152.27850000000001</v>
      </c>
      <c r="HH41" s="141">
        <f t="shared" si="216"/>
        <v>152.27850000000001</v>
      </c>
      <c r="HI41" s="141">
        <f t="shared" si="216"/>
        <v>152.27850000000001</v>
      </c>
      <c r="HJ41" s="141">
        <f t="shared" si="216"/>
        <v>152.27850000000001</v>
      </c>
      <c r="HK41" s="141">
        <f t="shared" si="216"/>
        <v>152.27850000000001</v>
      </c>
      <c r="HL41" s="141">
        <f t="shared" si="216"/>
        <v>152.27850000000001</v>
      </c>
      <c r="HM41" s="142">
        <f t="shared" ref="HM41:IP41" si="217">IF(ISBLANK($A41),,FE41*($AH41-($AH41*$AJ41))/$AI41)</f>
        <v>304.55700000000002</v>
      </c>
      <c r="HN41" s="142">
        <f t="shared" si="217"/>
        <v>304.55700000000002</v>
      </c>
      <c r="HO41" s="142">
        <f t="shared" si="217"/>
        <v>304.55700000000002</v>
      </c>
      <c r="HP41" s="142">
        <f t="shared" si="217"/>
        <v>304.55700000000002</v>
      </c>
      <c r="HQ41" s="142">
        <f t="shared" si="217"/>
        <v>304.55700000000002</v>
      </c>
      <c r="HR41" s="142">
        <f t="shared" si="217"/>
        <v>304.55700000000002</v>
      </c>
      <c r="HS41" s="142">
        <f t="shared" si="217"/>
        <v>304.55700000000002</v>
      </c>
      <c r="HT41" s="142">
        <f t="shared" si="217"/>
        <v>304.55700000000002</v>
      </c>
      <c r="HU41" s="142">
        <f t="shared" si="217"/>
        <v>304.55700000000002</v>
      </c>
      <c r="HV41" s="142">
        <f t="shared" si="217"/>
        <v>304.55700000000002</v>
      </c>
      <c r="HW41" s="142">
        <f t="shared" si="217"/>
        <v>304.55700000000002</v>
      </c>
      <c r="HX41" s="142">
        <f t="shared" si="217"/>
        <v>304.55700000000002</v>
      </c>
      <c r="HY41" s="142">
        <f t="shared" si="217"/>
        <v>304.55700000000002</v>
      </c>
      <c r="HZ41" s="142">
        <f t="shared" si="217"/>
        <v>304.55700000000002</v>
      </c>
      <c r="IA41" s="142">
        <f t="shared" si="217"/>
        <v>304.55700000000002</v>
      </c>
      <c r="IB41" s="142">
        <f t="shared" si="217"/>
        <v>304.55700000000002</v>
      </c>
      <c r="IC41" s="142">
        <f t="shared" si="217"/>
        <v>304.55700000000002</v>
      </c>
      <c r="ID41" s="142">
        <f t="shared" si="217"/>
        <v>304.55700000000002</v>
      </c>
      <c r="IE41" s="142">
        <f t="shared" si="217"/>
        <v>304.55700000000002</v>
      </c>
      <c r="IF41" s="142">
        <f t="shared" si="217"/>
        <v>304.55700000000002</v>
      </c>
      <c r="IG41" s="142">
        <f t="shared" si="217"/>
        <v>304.55700000000002</v>
      </c>
      <c r="IH41" s="142">
        <f t="shared" si="217"/>
        <v>304.55700000000002</v>
      </c>
      <c r="II41" s="142">
        <f t="shared" si="217"/>
        <v>304.55700000000002</v>
      </c>
      <c r="IJ41" s="142">
        <f t="shared" si="217"/>
        <v>304.55700000000002</v>
      </c>
      <c r="IK41" s="142">
        <f t="shared" si="217"/>
        <v>304.55700000000002</v>
      </c>
      <c r="IL41" s="142">
        <f t="shared" si="217"/>
        <v>304.55700000000002</v>
      </c>
      <c r="IM41" s="142">
        <f t="shared" si="217"/>
        <v>304.55700000000002</v>
      </c>
      <c r="IN41" s="142">
        <f t="shared" si="217"/>
        <v>304.55700000000002</v>
      </c>
      <c r="IO41" s="142">
        <f t="shared" si="217"/>
        <v>304.55700000000002</v>
      </c>
      <c r="IP41" s="142">
        <f t="shared" si="217"/>
        <v>304.55700000000002</v>
      </c>
      <c r="IQ41" s="141">
        <f>IF(ISBLANK($A41),,IF($AN41="Não",0,(SUM($AO41:AO41)*$AH41)-SUM($HM41:HM41)-SUM($CW41:CW41)))</f>
        <v>0</v>
      </c>
      <c r="IR41" s="141">
        <f>IF(ISBLANK($A41),,IF($AN41="Não",0,(SUM($AO41:AP41)*$AH41)-SUM($HM41:HN41)-SUM($CW41:CX41)))</f>
        <v>0</v>
      </c>
      <c r="IS41" s="141">
        <f>IF(ISBLANK($A41),,IF($AN41="Não",0,(SUM($AO41:AQ41)*$AH41)-SUM($HM41:HO41)-SUM($CW41:CY41)))</f>
        <v>0</v>
      </c>
      <c r="IT41" s="141">
        <f>IF(ISBLANK($A41),,IF($AN41="Não",0,(SUM($AO41:AR41)*$AH41)-SUM($HM41:HP41)-SUM($CW41:CZ41)))</f>
        <v>0</v>
      </c>
      <c r="IU41" s="141">
        <f>IF(ISBLANK($A41),,IF($AN41="Não",0,(SUM($AO41:AS41)*$AH41)-SUM($HM41:HQ41)-SUM($CW41:DA41)))</f>
        <v>0</v>
      </c>
      <c r="IV41" s="141">
        <f>IF(ISBLANK($A41),,IF($AN41="Não",0,(SUM($AO41:AT41)*$AH41)-SUM($HM41:HR41)-SUM($CW41:DB41)))</f>
        <v>0</v>
      </c>
      <c r="IW41" s="141">
        <f>IF(ISBLANK($A41),,IF($AN41="Não",0,(SUM($AO41:AU41)*$AH41)-SUM($HM41:HS41)-SUM($CW41:DC41)))</f>
        <v>0</v>
      </c>
      <c r="IX41" s="141">
        <f>IF(ISBLANK($A41),,IF($AN41="Não",0,(SUM($AO41:AV41)*$AH41)-SUM($HM41:HT41)-SUM($CW41:DD41)))</f>
        <v>0</v>
      </c>
      <c r="IY41" s="141">
        <f>IF(ISBLANK($A41),,IF($AN41="Não",0,(SUM($AO41:AW41)*$AH41)-SUM($HM41:HU41)-SUM($CW41:DE41)))</f>
        <v>0</v>
      </c>
      <c r="IZ41" s="141">
        <f>IF(ISBLANK($A41),,IF($AN41="Não",0,(SUM($AO41:AX41)*$AH41)-SUM($HM41:HV41)-SUM($CW41:DF41)))</f>
        <v>0</v>
      </c>
      <c r="JA41" s="141">
        <f>IF(ISBLANK($A41),,IF($AN41="Não",0,(SUM($AO41:AY41)*$AH41)-SUM($HM41:HW41)-SUM($CW41:DG41)))</f>
        <v>0</v>
      </c>
      <c r="JB41" s="141">
        <f>IF(ISBLANK($A41),,IF($AN41="Não",0,(SUM($AO41:AZ41)*$AH41)-SUM($HM41:HX41)-SUM($CW41:DH41)))</f>
        <v>0</v>
      </c>
      <c r="JC41" s="141">
        <f>IF(ISBLANK($A41),,IF($AN41="Não",0,(SUM($AO41:BA41)*$AH41)-SUM($HM41:HY41)-SUM($CW41:DI41)))</f>
        <v>0</v>
      </c>
      <c r="JD41" s="141">
        <f>IF(ISBLANK($A41),,IF($AN41="Não",0,(SUM($AO41:BB41)*$AH41)-SUM($HM41:HZ41)-SUM($CW41:DJ41)))</f>
        <v>0</v>
      </c>
      <c r="JE41" s="141">
        <f>IF(ISBLANK($A41),,IF($AN41="Não",0,(SUM($AO41:BC41)*$AH41)-SUM($HM41:IA41)-SUM($CW41:DK41)))</f>
        <v>0</v>
      </c>
      <c r="JF41" s="141">
        <f>IF(ISBLANK($A41),,IF($AN41="Não",0,(SUM($AO41:BD41)*$AH41)-SUM($HM41:IB41)-SUM($CW41:DL41)))</f>
        <v>0</v>
      </c>
      <c r="JG41" s="141">
        <f>IF(ISBLANK($A41),,IF($AN41="Não",0,(SUM($AO41:BE41)*$AH41)-SUM($HM41:IC41)-SUM($CW41:DM41)))</f>
        <v>0</v>
      </c>
      <c r="JH41" s="141">
        <f>IF(ISBLANK($A41),,IF($AN41="Não",0,(SUM($AO41:BF41)*$AH41)-SUM($HM41:ID41)-SUM($CW41:DN41)))</f>
        <v>0</v>
      </c>
      <c r="JI41" s="141">
        <f>IF(ISBLANK($A41),,IF($AN41="Não",0,(SUM($AO41:BG41)*$AH41)-SUM($HM41:IE41)-SUM($CW41:DO41)))</f>
        <v>0</v>
      </c>
      <c r="JJ41" s="141">
        <f>IF(ISBLANK($A41),,IF($AN41="Não",0,(SUM($AO41:BH41)*$AH41)-SUM($HM41:IF41)-SUM($CW41:DP41)))</f>
        <v>0</v>
      </c>
      <c r="JK41" s="141">
        <f>IF(ISBLANK($A41),,IF($AN41="Não",0,(SUM($AO41:BI41)*$AH41)-SUM($HM41:IG41)-SUM($CW41:DQ41)))</f>
        <v>0</v>
      </c>
      <c r="JL41" s="141">
        <f>IF(ISBLANK($A41),,IF($AN41="Não",0,(SUM($AO41:BJ41)*$AH41)-SUM($HM41:IH41)-SUM($CW41:DR41)))</f>
        <v>0</v>
      </c>
      <c r="JM41" s="141">
        <f>IF(ISBLANK($A41),,IF($AN41="Não",0,(SUM($AO41:BK41)*$AH41)-SUM($HM41:II41)-SUM($CW41:DS41)))</f>
        <v>0</v>
      </c>
      <c r="JN41" s="141">
        <f>IF(ISBLANK($A41),,IF($AN41="Não",0,(SUM($AO41:BL41)*$AH41)-SUM($HM41:IJ41)-SUM($CW41:DT41)))</f>
        <v>0</v>
      </c>
      <c r="JO41" s="141">
        <f>IF(ISBLANK($A41),,IF($AN41="Não",0,(SUM($AO41:BM41)*$AH41)-SUM($HM41:IK41)-SUM($CW41:DU41)))</f>
        <v>0</v>
      </c>
      <c r="JP41" s="141">
        <f>IF(ISBLANK($A41),,IF($AN41="Não",0,(SUM($AO41:BN41)*$AH41)-SUM($HM41:IL41)-SUM($CW41:DV41)))</f>
        <v>0</v>
      </c>
      <c r="JQ41" s="141">
        <f>IF(ISBLANK($A41),,IF($AN41="Não",0,(SUM($AO41:BO41)*$AH41)-SUM($HM41:IM41)-SUM($CW41:DW41)))</f>
        <v>0</v>
      </c>
      <c r="JR41" s="141">
        <f>IF(ISBLANK($A41),,IF($AN41="Não",0,(SUM($AO41:BP41)*$AH41)-SUM($HM41:IN41)-SUM($CW41:DX41)))</f>
        <v>0</v>
      </c>
      <c r="JS41" s="141">
        <f>IF(ISBLANK($A41),,IF($AN41="Não",0,(SUM($AO41:BQ41)*$AH41)-SUM($HM41:IO41)-SUM($CW41:DY41)))</f>
        <v>0</v>
      </c>
      <c r="JT41" s="141">
        <f>IF(ISBLANK($A41),,IF($AN41="Não",0,(SUM($AO41:BR41)*$AH41)-SUM($HM41:IP41)-SUM($CW41:DZ41)))</f>
        <v>0</v>
      </c>
    </row>
    <row r="42" spans="1:280" ht="15.75" customHeight="1">
      <c r="A42" s="129" t="s">
        <v>364</v>
      </c>
      <c r="B42" s="129" t="s">
        <v>209</v>
      </c>
      <c r="C42" s="138" t="s">
        <v>79</v>
      </c>
      <c r="D42" s="139">
        <v>4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607">
        <f t="shared" si="165"/>
        <v>1015.19</v>
      </c>
      <c r="AI42" s="608">
        <f t="shared" si="166"/>
        <v>10</v>
      </c>
      <c r="AJ42" s="609">
        <f t="shared" si="167"/>
        <v>0</v>
      </c>
      <c r="AK42" s="610" t="str">
        <f t="shared" si="168"/>
        <v>Outros</v>
      </c>
      <c r="AL42" s="609">
        <f t="shared" si="169"/>
        <v>0.05</v>
      </c>
      <c r="AM42" s="611" t="str">
        <f t="shared" si="170"/>
        <v>Sim</v>
      </c>
      <c r="AN42" s="611" t="str">
        <f t="shared" si="171"/>
        <v>Não</v>
      </c>
      <c r="AO42" s="140">
        <f t="array" ref="AO42">IF(ISBLANK($A42),0,IF(OR(AO$5-$AI42&lt;=0,$AM42="Não"),D42,D42+INDEX($AO$6:$BR$176,ROW()-5,COLUMN()-40-$AI42)))*IF($B42="Operacional",IFERROR(VLOOKUP($C42,SN_UGC,28,0),0),1)</f>
        <v>4</v>
      </c>
      <c r="AP42" s="140">
        <f t="array" ref="AP42">IF(ISBLANK($A42),0,IF(OR(AP$5-$AI42&lt;=0,$AM42="Não"),E42,E42+INDEX($AO$6:$BR$176,ROW()-5,COLUMN()-40-$AI42)))*IF($B42="Operacional",IFERROR(VLOOKUP($C42,SN_UGC,28,0),0),1)</f>
        <v>0</v>
      </c>
      <c r="AQ42" s="140">
        <f t="array" ref="AQ42">IF(ISBLANK($A42),0,IF(OR(AQ$5-$AI42&lt;=0,$AM42="Não"),F42,F42+INDEX($AO$6:$BR$176,ROW()-5,COLUMN()-40-$AI42)))*IF($B42="Operacional",IFERROR(VLOOKUP($C42,SN_UGC,28,0),0),1)</f>
        <v>0</v>
      </c>
      <c r="AR42" s="140">
        <f t="array" ref="AR42">IF(ISBLANK($A42),0,IF(OR(AR$5-$AI42&lt;=0,$AM42="Não"),G42,G42+INDEX($AO$6:$BR$176,ROW()-5,COLUMN()-40-$AI42)))*IF($B42="Operacional",IFERROR(VLOOKUP($C42,SN_UGC,28,0),0),1)</f>
        <v>0</v>
      </c>
      <c r="AS42" s="140">
        <f t="array" ref="AS42">IF(ISBLANK($A42),0,IF(OR(AS$5-$AI42&lt;=0,$AM42="Não"),H42,H42+INDEX($AO$6:$BR$176,ROW()-5,COLUMN()-40-$AI42)))*IF($B42="Operacional",IFERROR(VLOOKUP($C42,SN_UGC,28,0),0),1)</f>
        <v>0</v>
      </c>
      <c r="AT42" s="140">
        <f t="array" ref="AT42">IF(ISBLANK($A42),0,IF(OR(AT$5-$AI42&lt;=0,$AM42="Não"),I42,I42+INDEX($AO$6:$BR$176,ROW()-5,COLUMN()-40-$AI42)))*IF($B42="Operacional",IFERROR(VLOOKUP($C42,SN_UGC,28,0),0),1)</f>
        <v>0</v>
      </c>
      <c r="AU42" s="140">
        <f t="array" ref="AU42">IF(ISBLANK($A42),0,IF(OR(AU$5-$AI42&lt;=0,$AM42="Não"),J42,J42+INDEX($AO$6:$BR$176,ROW()-5,COLUMN()-40-$AI42)))*IF($B42="Operacional",IFERROR(VLOOKUP($C42,SN_UGC,28,0),0),1)</f>
        <v>0</v>
      </c>
      <c r="AV42" s="140">
        <f t="array" ref="AV42">IF(ISBLANK($A42),0,IF(OR(AV$5-$AI42&lt;=0,$AM42="Não"),K42,K42+INDEX($AO$6:$BR$176,ROW()-5,COLUMN()-40-$AI42)))*IF($B42="Operacional",IFERROR(VLOOKUP($C42,SN_UGC,28,0),0),1)</f>
        <v>0</v>
      </c>
      <c r="AW42" s="140">
        <f t="array" ref="AW42">IF(ISBLANK($A42),0,IF(OR(AW$5-$AI42&lt;=0,$AM42="Não"),L42,L42+INDEX($AO$6:$BR$176,ROW()-5,COLUMN()-40-$AI42)))*IF($B42="Operacional",IFERROR(VLOOKUP($C42,SN_UGC,28,0),0),1)</f>
        <v>0</v>
      </c>
      <c r="AX42" s="140">
        <f t="array" ref="AX42">IF(ISBLANK($A42),0,IF(OR(AX$5-$AI42&lt;=0,$AM42="Não"),M42,M42+INDEX($AO$6:$BR$176,ROW()-5,COLUMN()-40-$AI42)))*IF($B42="Operacional",IFERROR(VLOOKUP($C42,SN_UGC,28,0),0),1)</f>
        <v>0</v>
      </c>
      <c r="AY42" s="140">
        <f t="array" ref="AY42">IF(ISBLANK($A42),0,IF(OR(AY$5-$AI42&lt;=0,$AM42="Não"),N42,N42+INDEX($AO$6:$BR$176,ROW()-5,COLUMN()-40-$AI42)))*IF($B42="Operacional",IFERROR(VLOOKUP($C42,SN_UGC,28,0),0),1)</f>
        <v>4</v>
      </c>
      <c r="AZ42" s="140">
        <f t="array" ref="AZ42">IF(ISBLANK($A42),0,IF(OR(AZ$5-$AI42&lt;=0,$AM42="Não"),O42,O42+INDEX($AO$6:$BR$176,ROW()-5,COLUMN()-40-$AI42)))*IF($B42="Operacional",IFERROR(VLOOKUP($C42,SN_UGC,28,0),0),1)</f>
        <v>0</v>
      </c>
      <c r="BA42" s="140">
        <f t="array" ref="BA42">IF(ISBLANK($A42),0,IF(OR(BA$5-$AI42&lt;=0,$AM42="Não"),P42,P42+INDEX($AO$6:$BR$176,ROW()-5,COLUMN()-40-$AI42)))*IF($B42="Operacional",IFERROR(VLOOKUP($C42,SN_UGC,28,0),0),1)</f>
        <v>0</v>
      </c>
      <c r="BB42" s="140">
        <f t="array" ref="BB42">IF(ISBLANK($A42),0,IF(OR(BB$5-$AI42&lt;=0,$AM42="Não"),Q42,Q42+INDEX($AO$6:$BR$176,ROW()-5,COLUMN()-40-$AI42)))*IF($B42="Operacional",IFERROR(VLOOKUP($C42,SN_UGC,28,0),0),1)</f>
        <v>0</v>
      </c>
      <c r="BC42" s="140">
        <f t="array" ref="BC42">IF(ISBLANK($A42),0,IF(OR(BC$5-$AI42&lt;=0,$AM42="Não"),R42,R42+INDEX($AO$6:$BR$176,ROW()-5,COLUMN()-40-$AI42)))*IF($B42="Operacional",IFERROR(VLOOKUP($C42,SN_UGC,28,0),0),1)</f>
        <v>0</v>
      </c>
      <c r="BD42" s="140">
        <f t="array" ref="BD42">IF(ISBLANK($A42),0,IF(OR(BD$5-$AI42&lt;=0,$AM42="Não"),S42,S42+INDEX($AO$6:$BR$176,ROW()-5,COLUMN()-40-$AI42)))*IF($B42="Operacional",IFERROR(VLOOKUP($C42,SN_UGC,28,0),0),1)</f>
        <v>0</v>
      </c>
      <c r="BE42" s="140">
        <f t="array" ref="BE42">IF(ISBLANK($A42),0,IF(OR(BE$5-$AI42&lt;=0,$AM42="Não"),T42,T42+INDEX($AO$6:$BR$176,ROW()-5,COLUMN()-40-$AI42)))*IF($B42="Operacional",IFERROR(VLOOKUP($C42,SN_UGC,28,0),0),1)</f>
        <v>0</v>
      </c>
      <c r="BF42" s="140">
        <f t="array" ref="BF42">IF(ISBLANK($A42),0,IF(OR(BF$5-$AI42&lt;=0,$AM42="Não"),U42,U42+INDEX($AO$6:$BR$176,ROW()-5,COLUMN()-40-$AI42)))*IF($B42="Operacional",IFERROR(VLOOKUP($C42,SN_UGC,28,0),0),1)</f>
        <v>0</v>
      </c>
      <c r="BG42" s="140">
        <f t="array" ref="BG42">IF(ISBLANK($A42),0,IF(OR(BG$5-$AI42&lt;=0,$AM42="Não"),V42,V42+INDEX($AO$6:$BR$176,ROW()-5,COLUMN()-40-$AI42)))*IF($B42="Operacional",IFERROR(VLOOKUP($C42,SN_UGC,28,0),0),1)</f>
        <v>0</v>
      </c>
      <c r="BH42" s="140">
        <f t="array" ref="BH42">IF(ISBLANK($A42),0,IF(OR(BH$5-$AI42&lt;=0,$AM42="Não"),W42,W42+INDEX($AO$6:$BR$176,ROW()-5,COLUMN()-40-$AI42)))*IF($B42="Operacional",IFERROR(VLOOKUP($C42,SN_UGC,28,0),0),1)</f>
        <v>0</v>
      </c>
      <c r="BI42" s="140">
        <f t="array" ref="BI42">IF(ISBLANK($A42),0,IF(OR(BI$5-$AI42&lt;=0,$AM42="Não"),X42,X42+INDEX($AO$6:$BR$176,ROW()-5,COLUMN()-40-$AI42)))*IF($B42="Operacional",IFERROR(VLOOKUP($C42,SN_UGC,28,0),0),1)</f>
        <v>4</v>
      </c>
      <c r="BJ42" s="140">
        <f t="array" ref="BJ42">IF(ISBLANK($A42),0,IF(OR(BJ$5-$AI42&lt;=0,$AM42="Não"),Y42,Y42+INDEX($AO$6:$BR$176,ROW()-5,COLUMN()-40-$AI42)))*IF($B42="Operacional",IFERROR(VLOOKUP($C42,SN_UGC,28,0),0),1)</f>
        <v>0</v>
      </c>
      <c r="BK42" s="140">
        <f t="array" ref="BK42">IF(ISBLANK($A42),0,IF(OR(BK$5-$AI42&lt;=0,$AM42="Não"),Z42,Z42+INDEX($AO$6:$BR$176,ROW()-5,COLUMN()-40-$AI42)))*IF($B42="Operacional",IFERROR(VLOOKUP($C42,SN_UGC,28,0),0),1)</f>
        <v>0</v>
      </c>
      <c r="BL42" s="140">
        <f t="array" ref="BL42">IF(ISBLANK($A42),0,IF(OR(BL$5-$AI42&lt;=0,$AM42="Não"),AA42,AA42+INDEX($AO$6:$BR$176,ROW()-5,COLUMN()-40-$AI42)))*IF($B42="Operacional",IFERROR(VLOOKUP($C42,SN_UGC,28,0),0),1)</f>
        <v>0</v>
      </c>
      <c r="BM42" s="140">
        <f t="array" ref="BM42">IF(ISBLANK($A42),0,IF(OR(BM$5-$AI42&lt;=0,$AM42="Não"),AB42,AB42+INDEX($AO$6:$BR$176,ROW()-5,COLUMN()-40-$AI42)))*IF($B42="Operacional",IFERROR(VLOOKUP($C42,SN_UGC,28,0),0),1)</f>
        <v>0</v>
      </c>
      <c r="BN42" s="140">
        <f t="array" ref="BN42">IF(ISBLANK($A42),0,IF(OR(BN$5-$AI42&lt;=0,$AM42="Não"),AC42,AC42+INDEX($AO$6:$BR$176,ROW()-5,COLUMN()-40-$AI42)))*IF($B42="Operacional",IFERROR(VLOOKUP($C42,SN_UGC,28,0),0),1)</f>
        <v>0</v>
      </c>
      <c r="BO42" s="140">
        <f t="array" ref="BO42">IF(ISBLANK($A42),0,IF(OR(BO$5-$AI42&lt;=0,$AM42="Não"),AD42,AD42+INDEX($AO$6:$BR$176,ROW()-5,COLUMN()-40-$AI42)))*IF($B42="Operacional",IFERROR(VLOOKUP($C42,SN_UGC,28,0),0),1)</f>
        <v>0</v>
      </c>
      <c r="BP42" s="140">
        <f t="array" ref="BP42">IF(ISBLANK($A42),0,IF(OR(BP$5-$AI42&lt;=0,$AM42="Não"),AE42,AE42+INDEX($AO$6:$BR$176,ROW()-5,COLUMN()-40-$AI42)))*IF($B42="Operacional",IFERROR(VLOOKUP($C42,SN_UGC,28,0),0),1)</f>
        <v>0</v>
      </c>
      <c r="BQ42" s="140">
        <f t="array" ref="BQ42">IF(ISBLANK($A42),0,IF(OR(BQ$5-$AI42&lt;=0,$AM42="Não"),AF42,AF42+INDEX($AO$6:$BR$176,ROW()-5,COLUMN()-40-$AI42)))*IF($B42="Operacional",IFERROR(VLOOKUP($C42,SN_UGC,28,0),0),1)</f>
        <v>0</v>
      </c>
      <c r="BR42" s="140">
        <f t="array" ref="BR42">IF(ISBLANK($A42),0,IF(OR(BR$5-$AI42&lt;=0,$AM42="Não"),AG42,AG42+INDEX($AO$6:$BR$176,ROW()-5,COLUMN()-40-$AI42)))*IF($B42="Operacional",IFERROR(VLOOKUP($C42,SN_UGC,28,0),0),1)</f>
        <v>0</v>
      </c>
      <c r="BS42" s="141">
        <f t="shared" ref="BS42:CV42" si="218">IF(ISBLANK($A42),0,$AH42*AO42)</f>
        <v>4060.76</v>
      </c>
      <c r="BT42" s="141">
        <f t="shared" si="218"/>
        <v>0</v>
      </c>
      <c r="BU42" s="141">
        <f t="shared" si="218"/>
        <v>0</v>
      </c>
      <c r="BV42" s="141">
        <f t="shared" si="218"/>
        <v>0</v>
      </c>
      <c r="BW42" s="141">
        <f t="shared" si="218"/>
        <v>0</v>
      </c>
      <c r="BX42" s="141">
        <f t="shared" si="218"/>
        <v>0</v>
      </c>
      <c r="BY42" s="141">
        <f t="shared" si="218"/>
        <v>0</v>
      </c>
      <c r="BZ42" s="141">
        <f t="shared" si="218"/>
        <v>0</v>
      </c>
      <c r="CA42" s="141">
        <f t="shared" si="218"/>
        <v>0</v>
      </c>
      <c r="CB42" s="141">
        <f t="shared" si="218"/>
        <v>0</v>
      </c>
      <c r="CC42" s="141">
        <f t="shared" si="218"/>
        <v>4060.76</v>
      </c>
      <c r="CD42" s="141">
        <f t="shared" si="218"/>
        <v>0</v>
      </c>
      <c r="CE42" s="141">
        <f t="shared" si="218"/>
        <v>0</v>
      </c>
      <c r="CF42" s="141">
        <f t="shared" si="218"/>
        <v>0</v>
      </c>
      <c r="CG42" s="141">
        <f t="shared" si="218"/>
        <v>0</v>
      </c>
      <c r="CH42" s="141">
        <f t="shared" si="218"/>
        <v>0</v>
      </c>
      <c r="CI42" s="141">
        <f t="shared" si="218"/>
        <v>0</v>
      </c>
      <c r="CJ42" s="141">
        <f t="shared" si="218"/>
        <v>0</v>
      </c>
      <c r="CK42" s="141">
        <f t="shared" si="218"/>
        <v>0</v>
      </c>
      <c r="CL42" s="141">
        <f t="shared" si="218"/>
        <v>0</v>
      </c>
      <c r="CM42" s="141">
        <f t="shared" si="218"/>
        <v>4060.76</v>
      </c>
      <c r="CN42" s="141">
        <f t="shared" si="218"/>
        <v>0</v>
      </c>
      <c r="CO42" s="141">
        <f t="shared" si="218"/>
        <v>0</v>
      </c>
      <c r="CP42" s="141">
        <f t="shared" si="218"/>
        <v>0</v>
      </c>
      <c r="CQ42" s="141">
        <f t="shared" si="218"/>
        <v>0</v>
      </c>
      <c r="CR42" s="141">
        <f t="shared" si="218"/>
        <v>0</v>
      </c>
      <c r="CS42" s="141">
        <f t="shared" si="218"/>
        <v>0</v>
      </c>
      <c r="CT42" s="141">
        <f t="shared" si="218"/>
        <v>0</v>
      </c>
      <c r="CU42" s="141">
        <f t="shared" si="218"/>
        <v>0</v>
      </c>
      <c r="CV42" s="141">
        <f t="shared" si="218"/>
        <v>0</v>
      </c>
      <c r="CW42" s="142">
        <f t="shared" ref="CW42:DZ42" si="219">EA42*$AH42*$AJ42</f>
        <v>0</v>
      </c>
      <c r="CX42" s="142">
        <f t="shared" si="219"/>
        <v>0</v>
      </c>
      <c r="CY42" s="142">
        <f t="shared" si="219"/>
        <v>0</v>
      </c>
      <c r="CZ42" s="142">
        <f t="shared" si="219"/>
        <v>0</v>
      </c>
      <c r="DA42" s="142">
        <f t="shared" si="219"/>
        <v>0</v>
      </c>
      <c r="DB42" s="142">
        <f t="shared" si="219"/>
        <v>0</v>
      </c>
      <c r="DC42" s="142">
        <f t="shared" si="219"/>
        <v>0</v>
      </c>
      <c r="DD42" s="142">
        <f t="shared" si="219"/>
        <v>0</v>
      </c>
      <c r="DE42" s="142">
        <f t="shared" si="219"/>
        <v>0</v>
      </c>
      <c r="DF42" s="142">
        <f t="shared" si="219"/>
        <v>0</v>
      </c>
      <c r="DG42" s="142">
        <f t="shared" si="219"/>
        <v>0</v>
      </c>
      <c r="DH42" s="142">
        <f t="shared" si="219"/>
        <v>0</v>
      </c>
      <c r="DI42" s="142">
        <f t="shared" si="219"/>
        <v>0</v>
      </c>
      <c r="DJ42" s="142">
        <f t="shared" si="219"/>
        <v>0</v>
      </c>
      <c r="DK42" s="142">
        <f t="shared" si="219"/>
        <v>0</v>
      </c>
      <c r="DL42" s="142">
        <f t="shared" si="219"/>
        <v>0</v>
      </c>
      <c r="DM42" s="142">
        <f t="shared" si="219"/>
        <v>0</v>
      </c>
      <c r="DN42" s="142">
        <f t="shared" si="219"/>
        <v>0</v>
      </c>
      <c r="DO42" s="142">
        <f t="shared" si="219"/>
        <v>0</v>
      </c>
      <c r="DP42" s="142">
        <f t="shared" si="219"/>
        <v>0</v>
      </c>
      <c r="DQ42" s="142">
        <f t="shared" si="219"/>
        <v>0</v>
      </c>
      <c r="DR42" s="142">
        <f t="shared" si="219"/>
        <v>0</v>
      </c>
      <c r="DS42" s="142">
        <f t="shared" si="219"/>
        <v>0</v>
      </c>
      <c r="DT42" s="142">
        <f t="shared" si="219"/>
        <v>0</v>
      </c>
      <c r="DU42" s="142">
        <f t="shared" si="219"/>
        <v>0</v>
      </c>
      <c r="DV42" s="142">
        <f t="shared" si="219"/>
        <v>0</v>
      </c>
      <c r="DW42" s="142">
        <f t="shared" si="219"/>
        <v>0</v>
      </c>
      <c r="DX42" s="142">
        <f t="shared" si="219"/>
        <v>0</v>
      </c>
      <c r="DY42" s="142">
        <f t="shared" si="219"/>
        <v>0</v>
      </c>
      <c r="DZ42" s="142">
        <f t="shared" si="219"/>
        <v>0</v>
      </c>
      <c r="EA42" s="143">
        <f t="shared" si="174"/>
        <v>0</v>
      </c>
      <c r="EB42" s="143">
        <f t="shared" si="175"/>
        <v>0</v>
      </c>
      <c r="EC42" s="143">
        <f t="shared" si="176"/>
        <v>0</v>
      </c>
      <c r="ED42" s="143">
        <f t="shared" si="177"/>
        <v>0</v>
      </c>
      <c r="EE42" s="143">
        <f t="shared" si="178"/>
        <v>0</v>
      </c>
      <c r="EF42" s="143">
        <f t="shared" si="179"/>
        <v>0</v>
      </c>
      <c r="EG42" s="143">
        <f t="shared" si="180"/>
        <v>0</v>
      </c>
      <c r="EH42" s="143">
        <f t="shared" si="181"/>
        <v>0</v>
      </c>
      <c r="EI42" s="143">
        <f t="shared" si="182"/>
        <v>0</v>
      </c>
      <c r="EJ42" s="143">
        <f t="shared" si="183"/>
        <v>0</v>
      </c>
      <c r="EK42" s="143">
        <f t="shared" si="184"/>
        <v>4</v>
      </c>
      <c r="EL42" s="143">
        <f t="shared" si="185"/>
        <v>0</v>
      </c>
      <c r="EM42" s="143">
        <f t="shared" si="186"/>
        <v>0</v>
      </c>
      <c r="EN42" s="143">
        <f t="shared" si="187"/>
        <v>0</v>
      </c>
      <c r="EO42" s="143">
        <f t="shared" si="188"/>
        <v>0</v>
      </c>
      <c r="EP42" s="143">
        <f t="shared" si="189"/>
        <v>0</v>
      </c>
      <c r="EQ42" s="143">
        <f t="shared" si="190"/>
        <v>0</v>
      </c>
      <c r="ER42" s="143">
        <f t="shared" si="191"/>
        <v>0</v>
      </c>
      <c r="ES42" s="143">
        <f t="shared" si="192"/>
        <v>0</v>
      </c>
      <c r="ET42" s="143">
        <f t="shared" si="193"/>
        <v>0</v>
      </c>
      <c r="EU42" s="143">
        <f t="shared" si="194"/>
        <v>4</v>
      </c>
      <c r="EV42" s="143">
        <f t="shared" si="195"/>
        <v>0</v>
      </c>
      <c r="EW42" s="143">
        <f t="shared" si="196"/>
        <v>0</v>
      </c>
      <c r="EX42" s="143">
        <f t="shared" si="197"/>
        <v>0</v>
      </c>
      <c r="EY42" s="143">
        <f t="shared" si="198"/>
        <v>0</v>
      </c>
      <c r="EZ42" s="143">
        <f t="shared" si="199"/>
        <v>0</v>
      </c>
      <c r="FA42" s="143">
        <f t="shared" si="200"/>
        <v>0</v>
      </c>
      <c r="FB42" s="143">
        <f t="shared" si="201"/>
        <v>0</v>
      </c>
      <c r="FC42" s="143">
        <f t="shared" si="202"/>
        <v>0</v>
      </c>
      <c r="FD42" s="143">
        <f t="shared" si="203"/>
        <v>0</v>
      </c>
      <c r="FE42" s="140">
        <f>SUM($D42:D42)*IF($B42="Operacional",IFERROR(VLOOKUP($C42,SN_UGC,28,0),0),1)</f>
        <v>4</v>
      </c>
      <c r="FF42" s="140">
        <f>SUM($D42:E42)*IF($B42="Operacional",IFERROR(VLOOKUP($C42,SN_UGC,28,0),0),1)</f>
        <v>4</v>
      </c>
      <c r="FG42" s="140">
        <f>SUM($D42:F42)*IF($B42="Operacional",IFERROR(VLOOKUP($C42,SN_UGC,28,0),0),1)</f>
        <v>4</v>
      </c>
      <c r="FH42" s="140">
        <f>SUM($D42:G42)*IF($B42="Operacional",IFERROR(VLOOKUP($C42,SN_UGC,28,0),0),1)</f>
        <v>4</v>
      </c>
      <c r="FI42" s="140">
        <f>SUM($D42:H42)*IF($B42="Operacional",IFERROR(VLOOKUP($C42,SN_UGC,28,0),0),1)</f>
        <v>4</v>
      </c>
      <c r="FJ42" s="140">
        <f>SUM($D42:I42)*IF($B42="Operacional",IFERROR(VLOOKUP($C42,SN_UGC,28,0),0),1)</f>
        <v>4</v>
      </c>
      <c r="FK42" s="140">
        <f>SUM($D42:J42)*IF($B42="Operacional",IFERROR(VLOOKUP($C42,SN_UGC,28,0),0),1)</f>
        <v>4</v>
      </c>
      <c r="FL42" s="140">
        <f>SUM($D42:K42)*IF($B42="Operacional",IFERROR(VLOOKUP($C42,SN_UGC,28,0),0),1)</f>
        <v>4</v>
      </c>
      <c r="FM42" s="140">
        <f>SUM($D42:L42)*IF($B42="Operacional",IFERROR(VLOOKUP($C42,SN_UGC,28,0),0),1)</f>
        <v>4</v>
      </c>
      <c r="FN42" s="140">
        <f>SUM($D42:M42)*IF($B42="Operacional",IFERROR(VLOOKUP($C42,SN_UGC,28,0),0),1)</f>
        <v>4</v>
      </c>
      <c r="FO42" s="140">
        <f>SUM($D42:N42)*IF($B42="Operacional",IFERROR(VLOOKUP($C42,SN_UGC,28,0),0),1)</f>
        <v>4</v>
      </c>
      <c r="FP42" s="140">
        <f>SUM($D42:O42)*IF($B42="Operacional",IFERROR(VLOOKUP($C42,SN_UGC,28,0),0),1)</f>
        <v>4</v>
      </c>
      <c r="FQ42" s="140">
        <f>SUM($D42:P42)*IF($B42="Operacional",IFERROR(VLOOKUP($C42,SN_UGC,28,0),0),1)</f>
        <v>4</v>
      </c>
      <c r="FR42" s="140">
        <f>SUM($D42:Q42)*IF($B42="Operacional",IFERROR(VLOOKUP($C42,SN_UGC,28,0),0),1)</f>
        <v>4</v>
      </c>
      <c r="FS42" s="140">
        <f>SUM($D42:R42)*IF($B42="Operacional",IFERROR(VLOOKUP($C42,SN_UGC,28,0),0),1)</f>
        <v>4</v>
      </c>
      <c r="FT42" s="140">
        <f>SUM($D42:S42)*IF($B42="Operacional",IFERROR(VLOOKUP($C42,SN_UGC,28,0),0),1)</f>
        <v>4</v>
      </c>
      <c r="FU42" s="140">
        <f>SUM($D42:T42)*IF($B42="Operacional",IFERROR(VLOOKUP($C42,SN_UGC,28,0),0),1)</f>
        <v>4</v>
      </c>
      <c r="FV42" s="140">
        <f>SUM($D42:U42)*IF($B42="Operacional",IFERROR(VLOOKUP($C42,SN_UGC,28,0),0),1)</f>
        <v>4</v>
      </c>
      <c r="FW42" s="140">
        <f>SUM($D42:V42)*IF($B42="Operacional",IFERROR(VLOOKUP($C42,SN_UGC,28,0),0),1)</f>
        <v>4</v>
      </c>
      <c r="FX42" s="140">
        <f>SUM($D42:W42)*IF($B42="Operacional",IFERROR(VLOOKUP($C42,SN_UGC,28,0),0),1)</f>
        <v>4</v>
      </c>
      <c r="FY42" s="140">
        <f>SUM($D42:X42)*IF($B42="Operacional",IFERROR(VLOOKUP($C42,SN_UGC,28,0),0),1)</f>
        <v>4</v>
      </c>
      <c r="FZ42" s="140">
        <f>SUM($D42:Y42)*IF($B42="Operacional",IFERROR(VLOOKUP($C42,SN_UGC,28,0),0),1)</f>
        <v>4</v>
      </c>
      <c r="GA42" s="140">
        <f>SUM($D42:Z42)*IF($B42="Operacional",IFERROR(VLOOKUP($C42,SN_UGC,28,0),0),1)</f>
        <v>4</v>
      </c>
      <c r="GB42" s="140">
        <f>SUM($D42:AA42)*IF($B42="Operacional",IFERROR(VLOOKUP($C42,SN_UGC,28,0),0),1)</f>
        <v>4</v>
      </c>
      <c r="GC42" s="140">
        <f>SUM($D42:AB42)*IF($B42="Operacional",IFERROR(VLOOKUP($C42,SN_UGC,28,0),0),1)</f>
        <v>4</v>
      </c>
      <c r="GD42" s="140">
        <f>SUM($D42:AC42)*IF($B42="Operacional",IFERROR(VLOOKUP($C42,SN_UGC,28,0),0),1)</f>
        <v>4</v>
      </c>
      <c r="GE42" s="140">
        <f>SUM($D42:AD42)*IF($B42="Operacional",IFERROR(VLOOKUP($C42,SN_UGC,28,0),0),1)</f>
        <v>4</v>
      </c>
      <c r="GF42" s="140">
        <f>SUM($D42:AE42)*IF($B42="Operacional",IFERROR(VLOOKUP($C42,SN_UGC,28,0),0),1)</f>
        <v>4</v>
      </c>
      <c r="GG42" s="140">
        <f>SUM($D42:AF42)*IF($B42="Operacional",IFERROR(VLOOKUP($C42,SN_UGC,28,0),0),1)</f>
        <v>4</v>
      </c>
      <c r="GH42" s="140">
        <f>SUM($D42:AG42)*IF($B42="Operacional",IFERROR(VLOOKUP($C42,SN_UGC,28,0),0),1)</f>
        <v>4</v>
      </c>
      <c r="GI42" s="141">
        <f t="shared" ref="GI42:HL42" si="220">FE42*$AH42*$AL42</f>
        <v>203.03800000000001</v>
      </c>
      <c r="GJ42" s="141">
        <f t="shared" si="220"/>
        <v>203.03800000000001</v>
      </c>
      <c r="GK42" s="141">
        <f t="shared" si="220"/>
        <v>203.03800000000001</v>
      </c>
      <c r="GL42" s="141">
        <f t="shared" si="220"/>
        <v>203.03800000000001</v>
      </c>
      <c r="GM42" s="141">
        <f t="shared" si="220"/>
        <v>203.03800000000001</v>
      </c>
      <c r="GN42" s="141">
        <f t="shared" si="220"/>
        <v>203.03800000000001</v>
      </c>
      <c r="GO42" s="141">
        <f t="shared" si="220"/>
        <v>203.03800000000001</v>
      </c>
      <c r="GP42" s="141">
        <f t="shared" si="220"/>
        <v>203.03800000000001</v>
      </c>
      <c r="GQ42" s="141">
        <f t="shared" si="220"/>
        <v>203.03800000000001</v>
      </c>
      <c r="GR42" s="141">
        <f t="shared" si="220"/>
        <v>203.03800000000001</v>
      </c>
      <c r="GS42" s="141">
        <f t="shared" si="220"/>
        <v>203.03800000000001</v>
      </c>
      <c r="GT42" s="141">
        <f t="shared" si="220"/>
        <v>203.03800000000001</v>
      </c>
      <c r="GU42" s="141">
        <f t="shared" si="220"/>
        <v>203.03800000000001</v>
      </c>
      <c r="GV42" s="141">
        <f t="shared" si="220"/>
        <v>203.03800000000001</v>
      </c>
      <c r="GW42" s="141">
        <f t="shared" si="220"/>
        <v>203.03800000000001</v>
      </c>
      <c r="GX42" s="141">
        <f t="shared" si="220"/>
        <v>203.03800000000001</v>
      </c>
      <c r="GY42" s="141">
        <f t="shared" si="220"/>
        <v>203.03800000000001</v>
      </c>
      <c r="GZ42" s="141">
        <f t="shared" si="220"/>
        <v>203.03800000000001</v>
      </c>
      <c r="HA42" s="141">
        <f t="shared" si="220"/>
        <v>203.03800000000001</v>
      </c>
      <c r="HB42" s="141">
        <f t="shared" si="220"/>
        <v>203.03800000000001</v>
      </c>
      <c r="HC42" s="141">
        <f t="shared" si="220"/>
        <v>203.03800000000001</v>
      </c>
      <c r="HD42" s="141">
        <f t="shared" si="220"/>
        <v>203.03800000000001</v>
      </c>
      <c r="HE42" s="141">
        <f t="shared" si="220"/>
        <v>203.03800000000001</v>
      </c>
      <c r="HF42" s="141">
        <f t="shared" si="220"/>
        <v>203.03800000000001</v>
      </c>
      <c r="HG42" s="141">
        <f t="shared" si="220"/>
        <v>203.03800000000001</v>
      </c>
      <c r="HH42" s="141">
        <f t="shared" si="220"/>
        <v>203.03800000000001</v>
      </c>
      <c r="HI42" s="141">
        <f t="shared" si="220"/>
        <v>203.03800000000001</v>
      </c>
      <c r="HJ42" s="141">
        <f t="shared" si="220"/>
        <v>203.03800000000001</v>
      </c>
      <c r="HK42" s="141">
        <f t="shared" si="220"/>
        <v>203.03800000000001</v>
      </c>
      <c r="HL42" s="141">
        <f t="shared" si="220"/>
        <v>203.03800000000001</v>
      </c>
      <c r="HM42" s="142">
        <f t="shared" ref="HM42:IP42" si="221">IF(ISBLANK($A42),,FE42*($AH42-($AH42*$AJ42))/$AI42)</f>
        <v>406.07600000000002</v>
      </c>
      <c r="HN42" s="142">
        <f t="shared" si="221"/>
        <v>406.07600000000002</v>
      </c>
      <c r="HO42" s="142">
        <f t="shared" si="221"/>
        <v>406.07600000000002</v>
      </c>
      <c r="HP42" s="142">
        <f t="shared" si="221"/>
        <v>406.07600000000002</v>
      </c>
      <c r="HQ42" s="142">
        <f t="shared" si="221"/>
        <v>406.07600000000002</v>
      </c>
      <c r="HR42" s="142">
        <f t="shared" si="221"/>
        <v>406.07600000000002</v>
      </c>
      <c r="HS42" s="142">
        <f t="shared" si="221"/>
        <v>406.07600000000002</v>
      </c>
      <c r="HT42" s="142">
        <f t="shared" si="221"/>
        <v>406.07600000000002</v>
      </c>
      <c r="HU42" s="142">
        <f t="shared" si="221"/>
        <v>406.07600000000002</v>
      </c>
      <c r="HV42" s="142">
        <f t="shared" si="221"/>
        <v>406.07600000000002</v>
      </c>
      <c r="HW42" s="142">
        <f t="shared" si="221"/>
        <v>406.07600000000002</v>
      </c>
      <c r="HX42" s="142">
        <f t="shared" si="221"/>
        <v>406.07600000000002</v>
      </c>
      <c r="HY42" s="142">
        <f t="shared" si="221"/>
        <v>406.07600000000002</v>
      </c>
      <c r="HZ42" s="142">
        <f t="shared" si="221"/>
        <v>406.07600000000002</v>
      </c>
      <c r="IA42" s="142">
        <f t="shared" si="221"/>
        <v>406.07600000000002</v>
      </c>
      <c r="IB42" s="142">
        <f t="shared" si="221"/>
        <v>406.07600000000002</v>
      </c>
      <c r="IC42" s="142">
        <f t="shared" si="221"/>
        <v>406.07600000000002</v>
      </c>
      <c r="ID42" s="142">
        <f t="shared" si="221"/>
        <v>406.07600000000002</v>
      </c>
      <c r="IE42" s="142">
        <f t="shared" si="221"/>
        <v>406.07600000000002</v>
      </c>
      <c r="IF42" s="142">
        <f t="shared" si="221"/>
        <v>406.07600000000002</v>
      </c>
      <c r="IG42" s="142">
        <f t="shared" si="221"/>
        <v>406.07600000000002</v>
      </c>
      <c r="IH42" s="142">
        <f t="shared" si="221"/>
        <v>406.07600000000002</v>
      </c>
      <c r="II42" s="142">
        <f t="shared" si="221"/>
        <v>406.07600000000002</v>
      </c>
      <c r="IJ42" s="142">
        <f t="shared" si="221"/>
        <v>406.07600000000002</v>
      </c>
      <c r="IK42" s="142">
        <f t="shared" si="221"/>
        <v>406.07600000000002</v>
      </c>
      <c r="IL42" s="142">
        <f t="shared" si="221"/>
        <v>406.07600000000002</v>
      </c>
      <c r="IM42" s="142">
        <f t="shared" si="221"/>
        <v>406.07600000000002</v>
      </c>
      <c r="IN42" s="142">
        <f t="shared" si="221"/>
        <v>406.07600000000002</v>
      </c>
      <c r="IO42" s="142">
        <f t="shared" si="221"/>
        <v>406.07600000000002</v>
      </c>
      <c r="IP42" s="142">
        <f t="shared" si="221"/>
        <v>406.07600000000002</v>
      </c>
      <c r="IQ42" s="141">
        <f>IF(ISBLANK($A42),,IF($AN42="Não",0,(SUM($AO42:AO42)*$AH42)-SUM($HM42:HM42)-SUM($CW42:CW42)))</f>
        <v>0</v>
      </c>
      <c r="IR42" s="141">
        <f>IF(ISBLANK($A42),,IF($AN42="Não",0,(SUM($AO42:AP42)*$AH42)-SUM($HM42:HN42)-SUM($CW42:CX42)))</f>
        <v>0</v>
      </c>
      <c r="IS42" s="141">
        <f>IF(ISBLANK($A42),,IF($AN42="Não",0,(SUM($AO42:AQ42)*$AH42)-SUM($HM42:HO42)-SUM($CW42:CY42)))</f>
        <v>0</v>
      </c>
      <c r="IT42" s="141">
        <f>IF(ISBLANK($A42),,IF($AN42="Não",0,(SUM($AO42:AR42)*$AH42)-SUM($HM42:HP42)-SUM($CW42:CZ42)))</f>
        <v>0</v>
      </c>
      <c r="IU42" s="141">
        <f>IF(ISBLANK($A42),,IF($AN42="Não",0,(SUM($AO42:AS42)*$AH42)-SUM($HM42:HQ42)-SUM($CW42:DA42)))</f>
        <v>0</v>
      </c>
      <c r="IV42" s="141">
        <f>IF(ISBLANK($A42),,IF($AN42="Não",0,(SUM($AO42:AT42)*$AH42)-SUM($HM42:HR42)-SUM($CW42:DB42)))</f>
        <v>0</v>
      </c>
      <c r="IW42" s="141">
        <f>IF(ISBLANK($A42),,IF($AN42="Não",0,(SUM($AO42:AU42)*$AH42)-SUM($HM42:HS42)-SUM($CW42:DC42)))</f>
        <v>0</v>
      </c>
      <c r="IX42" s="141">
        <f>IF(ISBLANK($A42),,IF($AN42="Não",0,(SUM($AO42:AV42)*$AH42)-SUM($HM42:HT42)-SUM($CW42:DD42)))</f>
        <v>0</v>
      </c>
      <c r="IY42" s="141">
        <f>IF(ISBLANK($A42),,IF($AN42="Não",0,(SUM($AO42:AW42)*$AH42)-SUM($HM42:HU42)-SUM($CW42:DE42)))</f>
        <v>0</v>
      </c>
      <c r="IZ42" s="141">
        <f>IF(ISBLANK($A42),,IF($AN42="Não",0,(SUM($AO42:AX42)*$AH42)-SUM($HM42:HV42)-SUM($CW42:DF42)))</f>
        <v>0</v>
      </c>
      <c r="JA42" s="141">
        <f>IF(ISBLANK($A42),,IF($AN42="Não",0,(SUM($AO42:AY42)*$AH42)-SUM($HM42:HW42)-SUM($CW42:DG42)))</f>
        <v>0</v>
      </c>
      <c r="JB42" s="141">
        <f>IF(ISBLANK($A42),,IF($AN42="Não",0,(SUM($AO42:AZ42)*$AH42)-SUM($HM42:HX42)-SUM($CW42:DH42)))</f>
        <v>0</v>
      </c>
      <c r="JC42" s="141">
        <f>IF(ISBLANK($A42),,IF($AN42="Não",0,(SUM($AO42:BA42)*$AH42)-SUM($HM42:HY42)-SUM($CW42:DI42)))</f>
        <v>0</v>
      </c>
      <c r="JD42" s="141">
        <f>IF(ISBLANK($A42),,IF($AN42="Não",0,(SUM($AO42:BB42)*$AH42)-SUM($HM42:HZ42)-SUM($CW42:DJ42)))</f>
        <v>0</v>
      </c>
      <c r="JE42" s="141">
        <f>IF(ISBLANK($A42),,IF($AN42="Não",0,(SUM($AO42:BC42)*$AH42)-SUM($HM42:IA42)-SUM($CW42:DK42)))</f>
        <v>0</v>
      </c>
      <c r="JF42" s="141">
        <f>IF(ISBLANK($A42),,IF($AN42="Não",0,(SUM($AO42:BD42)*$AH42)-SUM($HM42:IB42)-SUM($CW42:DL42)))</f>
        <v>0</v>
      </c>
      <c r="JG42" s="141">
        <f>IF(ISBLANK($A42),,IF($AN42="Não",0,(SUM($AO42:BE42)*$AH42)-SUM($HM42:IC42)-SUM($CW42:DM42)))</f>
        <v>0</v>
      </c>
      <c r="JH42" s="141">
        <f>IF(ISBLANK($A42),,IF($AN42="Não",0,(SUM($AO42:BF42)*$AH42)-SUM($HM42:ID42)-SUM($CW42:DN42)))</f>
        <v>0</v>
      </c>
      <c r="JI42" s="141">
        <f>IF(ISBLANK($A42),,IF($AN42="Não",0,(SUM($AO42:BG42)*$AH42)-SUM($HM42:IE42)-SUM($CW42:DO42)))</f>
        <v>0</v>
      </c>
      <c r="JJ42" s="141">
        <f>IF(ISBLANK($A42),,IF($AN42="Não",0,(SUM($AO42:BH42)*$AH42)-SUM($HM42:IF42)-SUM($CW42:DP42)))</f>
        <v>0</v>
      </c>
      <c r="JK42" s="141">
        <f>IF(ISBLANK($A42),,IF($AN42="Não",0,(SUM($AO42:BI42)*$AH42)-SUM($HM42:IG42)-SUM($CW42:DQ42)))</f>
        <v>0</v>
      </c>
      <c r="JL42" s="141">
        <f>IF(ISBLANK($A42),,IF($AN42="Não",0,(SUM($AO42:BJ42)*$AH42)-SUM($HM42:IH42)-SUM($CW42:DR42)))</f>
        <v>0</v>
      </c>
      <c r="JM42" s="141">
        <f>IF(ISBLANK($A42),,IF($AN42="Não",0,(SUM($AO42:BK42)*$AH42)-SUM($HM42:II42)-SUM($CW42:DS42)))</f>
        <v>0</v>
      </c>
      <c r="JN42" s="141">
        <f>IF(ISBLANK($A42),,IF($AN42="Não",0,(SUM($AO42:BL42)*$AH42)-SUM($HM42:IJ42)-SUM($CW42:DT42)))</f>
        <v>0</v>
      </c>
      <c r="JO42" s="141">
        <f>IF(ISBLANK($A42),,IF($AN42="Não",0,(SUM($AO42:BM42)*$AH42)-SUM($HM42:IK42)-SUM($CW42:DU42)))</f>
        <v>0</v>
      </c>
      <c r="JP42" s="141">
        <f>IF(ISBLANK($A42),,IF($AN42="Não",0,(SUM($AO42:BN42)*$AH42)-SUM($HM42:IL42)-SUM($CW42:DV42)))</f>
        <v>0</v>
      </c>
      <c r="JQ42" s="141">
        <f>IF(ISBLANK($A42),,IF($AN42="Não",0,(SUM($AO42:BO42)*$AH42)-SUM($HM42:IM42)-SUM($CW42:DW42)))</f>
        <v>0</v>
      </c>
      <c r="JR42" s="141">
        <f>IF(ISBLANK($A42),,IF($AN42="Não",0,(SUM($AO42:BP42)*$AH42)-SUM($HM42:IN42)-SUM($CW42:DX42)))</f>
        <v>0</v>
      </c>
      <c r="JS42" s="141">
        <f>IF(ISBLANK($A42),,IF($AN42="Não",0,(SUM($AO42:BQ42)*$AH42)-SUM($HM42:IO42)-SUM($CW42:DY42)))</f>
        <v>0</v>
      </c>
      <c r="JT42" s="141">
        <f>IF(ISBLANK($A42),,IF($AN42="Não",0,(SUM($AO42:BR42)*$AH42)-SUM($HM42:IP42)-SUM($CW42:DZ42)))</f>
        <v>0</v>
      </c>
    </row>
    <row r="43" spans="1:280" ht="15.75" customHeight="1">
      <c r="A43" s="129" t="s">
        <v>364</v>
      </c>
      <c r="B43" s="129" t="s">
        <v>209</v>
      </c>
      <c r="C43" s="138" t="s">
        <v>79</v>
      </c>
      <c r="D43" s="139">
        <v>4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607">
        <f t="shared" si="165"/>
        <v>1015.19</v>
      </c>
      <c r="AI43" s="608">
        <f t="shared" si="166"/>
        <v>10</v>
      </c>
      <c r="AJ43" s="609">
        <f t="shared" si="167"/>
        <v>0</v>
      </c>
      <c r="AK43" s="610" t="str">
        <f t="shared" si="168"/>
        <v>Outros</v>
      </c>
      <c r="AL43" s="609">
        <f t="shared" si="169"/>
        <v>0.05</v>
      </c>
      <c r="AM43" s="611" t="str">
        <f t="shared" si="170"/>
        <v>Sim</v>
      </c>
      <c r="AN43" s="611" t="str">
        <f t="shared" si="171"/>
        <v>Não</v>
      </c>
      <c r="AO43" s="140">
        <f t="array" ref="AO43">IF(ISBLANK($A43),0,IF(OR(AO$5-$AI43&lt;=0,$AM43="Não"),D43,D43+INDEX($AO$6:$BR$176,ROW()-5,COLUMN()-40-$AI43)))*IF($B43="Operacional",IFERROR(VLOOKUP($C43,SN_UGC,28,0),0),1)</f>
        <v>4</v>
      </c>
      <c r="AP43" s="140">
        <f t="array" ref="AP43">IF(ISBLANK($A43),0,IF(OR(AP$5-$AI43&lt;=0,$AM43="Não"),E43,E43+INDEX($AO$6:$BR$176,ROW()-5,COLUMN()-40-$AI43)))*IF($B43="Operacional",IFERROR(VLOOKUP($C43,SN_UGC,28,0),0),1)</f>
        <v>0</v>
      </c>
      <c r="AQ43" s="140">
        <f t="array" ref="AQ43">IF(ISBLANK($A43),0,IF(OR(AQ$5-$AI43&lt;=0,$AM43="Não"),F43,F43+INDEX($AO$6:$BR$176,ROW()-5,COLUMN()-40-$AI43)))*IF($B43="Operacional",IFERROR(VLOOKUP($C43,SN_UGC,28,0),0),1)</f>
        <v>0</v>
      </c>
      <c r="AR43" s="140">
        <f t="array" ref="AR43">IF(ISBLANK($A43),0,IF(OR(AR$5-$AI43&lt;=0,$AM43="Não"),G43,G43+INDEX($AO$6:$BR$176,ROW()-5,COLUMN()-40-$AI43)))*IF($B43="Operacional",IFERROR(VLOOKUP($C43,SN_UGC,28,0),0),1)</f>
        <v>0</v>
      </c>
      <c r="AS43" s="140">
        <f t="array" ref="AS43">IF(ISBLANK($A43),0,IF(OR(AS$5-$AI43&lt;=0,$AM43="Não"),H43,H43+INDEX($AO$6:$BR$176,ROW()-5,COLUMN()-40-$AI43)))*IF($B43="Operacional",IFERROR(VLOOKUP($C43,SN_UGC,28,0),0),1)</f>
        <v>0</v>
      </c>
      <c r="AT43" s="140">
        <f t="array" ref="AT43">IF(ISBLANK($A43),0,IF(OR(AT$5-$AI43&lt;=0,$AM43="Não"),I43,I43+INDEX($AO$6:$BR$176,ROW()-5,COLUMN()-40-$AI43)))*IF($B43="Operacional",IFERROR(VLOOKUP($C43,SN_UGC,28,0),0),1)</f>
        <v>0</v>
      </c>
      <c r="AU43" s="140">
        <f t="array" ref="AU43">IF(ISBLANK($A43),0,IF(OR(AU$5-$AI43&lt;=0,$AM43="Não"),J43,J43+INDEX($AO$6:$BR$176,ROW()-5,COLUMN()-40-$AI43)))*IF($B43="Operacional",IFERROR(VLOOKUP($C43,SN_UGC,28,0),0),1)</f>
        <v>0</v>
      </c>
      <c r="AV43" s="140">
        <f t="array" ref="AV43">IF(ISBLANK($A43),0,IF(OR(AV$5-$AI43&lt;=0,$AM43="Não"),K43,K43+INDEX($AO$6:$BR$176,ROW()-5,COLUMN()-40-$AI43)))*IF($B43="Operacional",IFERROR(VLOOKUP($C43,SN_UGC,28,0),0),1)</f>
        <v>0</v>
      </c>
      <c r="AW43" s="140">
        <f t="array" ref="AW43">IF(ISBLANK($A43),0,IF(OR(AW$5-$AI43&lt;=0,$AM43="Não"),L43,L43+INDEX($AO$6:$BR$176,ROW()-5,COLUMN()-40-$AI43)))*IF($B43="Operacional",IFERROR(VLOOKUP($C43,SN_UGC,28,0),0),1)</f>
        <v>0</v>
      </c>
      <c r="AX43" s="140">
        <f t="array" ref="AX43">IF(ISBLANK($A43),0,IF(OR(AX$5-$AI43&lt;=0,$AM43="Não"),M43,M43+INDEX($AO$6:$BR$176,ROW()-5,COLUMN()-40-$AI43)))*IF($B43="Operacional",IFERROR(VLOOKUP($C43,SN_UGC,28,0),0),1)</f>
        <v>0</v>
      </c>
      <c r="AY43" s="140">
        <f t="array" ref="AY43">IF(ISBLANK($A43),0,IF(OR(AY$5-$AI43&lt;=0,$AM43="Não"),N43,N43+INDEX($AO$6:$BR$176,ROW()-5,COLUMN()-40-$AI43)))*IF($B43="Operacional",IFERROR(VLOOKUP($C43,SN_UGC,28,0),0),1)</f>
        <v>4</v>
      </c>
      <c r="AZ43" s="140">
        <f t="array" ref="AZ43">IF(ISBLANK($A43),0,IF(OR(AZ$5-$AI43&lt;=0,$AM43="Não"),O43,O43+INDEX($AO$6:$BR$176,ROW()-5,COLUMN()-40-$AI43)))*IF($B43="Operacional",IFERROR(VLOOKUP($C43,SN_UGC,28,0),0),1)</f>
        <v>0</v>
      </c>
      <c r="BA43" s="140">
        <f t="array" ref="BA43">IF(ISBLANK($A43),0,IF(OR(BA$5-$AI43&lt;=0,$AM43="Não"),P43,P43+INDEX($AO$6:$BR$176,ROW()-5,COLUMN()-40-$AI43)))*IF($B43="Operacional",IFERROR(VLOOKUP($C43,SN_UGC,28,0),0),1)</f>
        <v>0</v>
      </c>
      <c r="BB43" s="140">
        <f t="array" ref="BB43">IF(ISBLANK($A43),0,IF(OR(BB$5-$AI43&lt;=0,$AM43="Não"),Q43,Q43+INDEX($AO$6:$BR$176,ROW()-5,COLUMN()-40-$AI43)))*IF($B43="Operacional",IFERROR(VLOOKUP($C43,SN_UGC,28,0),0),1)</f>
        <v>0</v>
      </c>
      <c r="BC43" s="140">
        <f t="array" ref="BC43">IF(ISBLANK($A43),0,IF(OR(BC$5-$AI43&lt;=0,$AM43="Não"),R43,R43+INDEX($AO$6:$BR$176,ROW()-5,COLUMN()-40-$AI43)))*IF($B43="Operacional",IFERROR(VLOOKUP($C43,SN_UGC,28,0),0),1)</f>
        <v>0</v>
      </c>
      <c r="BD43" s="140">
        <f t="array" ref="BD43">IF(ISBLANK($A43),0,IF(OR(BD$5-$AI43&lt;=0,$AM43="Não"),S43,S43+INDEX($AO$6:$BR$176,ROW()-5,COLUMN()-40-$AI43)))*IF($B43="Operacional",IFERROR(VLOOKUP($C43,SN_UGC,28,0),0),1)</f>
        <v>0</v>
      </c>
      <c r="BE43" s="140">
        <f t="array" ref="BE43">IF(ISBLANK($A43),0,IF(OR(BE$5-$AI43&lt;=0,$AM43="Não"),T43,T43+INDEX($AO$6:$BR$176,ROW()-5,COLUMN()-40-$AI43)))*IF($B43="Operacional",IFERROR(VLOOKUP($C43,SN_UGC,28,0),0),1)</f>
        <v>0</v>
      </c>
      <c r="BF43" s="140">
        <f t="array" ref="BF43">IF(ISBLANK($A43),0,IF(OR(BF$5-$AI43&lt;=0,$AM43="Não"),U43,U43+INDEX($AO$6:$BR$176,ROW()-5,COLUMN()-40-$AI43)))*IF($B43="Operacional",IFERROR(VLOOKUP($C43,SN_UGC,28,0),0),1)</f>
        <v>0</v>
      </c>
      <c r="BG43" s="140">
        <f t="array" ref="BG43">IF(ISBLANK($A43),0,IF(OR(BG$5-$AI43&lt;=0,$AM43="Não"),V43,V43+INDEX($AO$6:$BR$176,ROW()-5,COLUMN()-40-$AI43)))*IF($B43="Operacional",IFERROR(VLOOKUP($C43,SN_UGC,28,0),0),1)</f>
        <v>0</v>
      </c>
      <c r="BH43" s="140">
        <f t="array" ref="BH43">IF(ISBLANK($A43),0,IF(OR(BH$5-$AI43&lt;=0,$AM43="Não"),W43,W43+INDEX($AO$6:$BR$176,ROW()-5,COLUMN()-40-$AI43)))*IF($B43="Operacional",IFERROR(VLOOKUP($C43,SN_UGC,28,0),0),1)</f>
        <v>0</v>
      </c>
      <c r="BI43" s="140">
        <f t="array" ref="BI43">IF(ISBLANK($A43),0,IF(OR(BI$5-$AI43&lt;=0,$AM43="Não"),X43,X43+INDEX($AO$6:$BR$176,ROW()-5,COLUMN()-40-$AI43)))*IF($B43="Operacional",IFERROR(VLOOKUP($C43,SN_UGC,28,0),0),1)</f>
        <v>4</v>
      </c>
      <c r="BJ43" s="140">
        <f t="array" ref="BJ43">IF(ISBLANK($A43),0,IF(OR(BJ$5-$AI43&lt;=0,$AM43="Não"),Y43,Y43+INDEX($AO$6:$BR$176,ROW()-5,COLUMN()-40-$AI43)))*IF($B43="Operacional",IFERROR(VLOOKUP($C43,SN_UGC,28,0),0),1)</f>
        <v>0</v>
      </c>
      <c r="BK43" s="140">
        <f t="array" ref="BK43">IF(ISBLANK($A43),0,IF(OR(BK$5-$AI43&lt;=0,$AM43="Não"),Z43,Z43+INDEX($AO$6:$BR$176,ROW()-5,COLUMN()-40-$AI43)))*IF($B43="Operacional",IFERROR(VLOOKUP($C43,SN_UGC,28,0),0),1)</f>
        <v>0</v>
      </c>
      <c r="BL43" s="140">
        <f t="array" ref="BL43">IF(ISBLANK($A43),0,IF(OR(BL$5-$AI43&lt;=0,$AM43="Não"),AA43,AA43+INDEX($AO$6:$BR$176,ROW()-5,COLUMN()-40-$AI43)))*IF($B43="Operacional",IFERROR(VLOOKUP($C43,SN_UGC,28,0),0),1)</f>
        <v>0</v>
      </c>
      <c r="BM43" s="140">
        <f t="array" ref="BM43">IF(ISBLANK($A43),0,IF(OR(BM$5-$AI43&lt;=0,$AM43="Não"),AB43,AB43+INDEX($AO$6:$BR$176,ROW()-5,COLUMN()-40-$AI43)))*IF($B43="Operacional",IFERROR(VLOOKUP($C43,SN_UGC,28,0),0),1)</f>
        <v>0</v>
      </c>
      <c r="BN43" s="140">
        <f t="array" ref="BN43">IF(ISBLANK($A43),0,IF(OR(BN$5-$AI43&lt;=0,$AM43="Não"),AC43,AC43+INDEX($AO$6:$BR$176,ROW()-5,COLUMN()-40-$AI43)))*IF($B43="Operacional",IFERROR(VLOOKUP($C43,SN_UGC,28,0),0),1)</f>
        <v>0</v>
      </c>
      <c r="BO43" s="140">
        <f t="array" ref="BO43">IF(ISBLANK($A43),0,IF(OR(BO$5-$AI43&lt;=0,$AM43="Não"),AD43,AD43+INDEX($AO$6:$BR$176,ROW()-5,COLUMN()-40-$AI43)))*IF($B43="Operacional",IFERROR(VLOOKUP($C43,SN_UGC,28,0),0),1)</f>
        <v>0</v>
      </c>
      <c r="BP43" s="140">
        <f t="array" ref="BP43">IF(ISBLANK($A43),0,IF(OR(BP$5-$AI43&lt;=0,$AM43="Não"),AE43,AE43+INDEX($AO$6:$BR$176,ROW()-5,COLUMN()-40-$AI43)))*IF($B43="Operacional",IFERROR(VLOOKUP($C43,SN_UGC,28,0),0),1)</f>
        <v>0</v>
      </c>
      <c r="BQ43" s="140">
        <f t="array" ref="BQ43">IF(ISBLANK($A43),0,IF(OR(BQ$5-$AI43&lt;=0,$AM43="Não"),AF43,AF43+INDEX($AO$6:$BR$176,ROW()-5,COLUMN()-40-$AI43)))*IF($B43="Operacional",IFERROR(VLOOKUP($C43,SN_UGC,28,0),0),1)</f>
        <v>0</v>
      </c>
      <c r="BR43" s="140">
        <f t="array" ref="BR43">IF(ISBLANK($A43),0,IF(OR(BR$5-$AI43&lt;=0,$AM43="Não"),AG43,AG43+INDEX($AO$6:$BR$176,ROW()-5,COLUMN()-40-$AI43)))*IF($B43="Operacional",IFERROR(VLOOKUP($C43,SN_UGC,28,0),0),1)</f>
        <v>0</v>
      </c>
      <c r="BS43" s="141">
        <f t="shared" ref="BS43:CV43" si="222">IF(ISBLANK($A43),0,$AH43*AO43)</f>
        <v>4060.76</v>
      </c>
      <c r="BT43" s="141">
        <f t="shared" si="222"/>
        <v>0</v>
      </c>
      <c r="BU43" s="141">
        <f t="shared" si="222"/>
        <v>0</v>
      </c>
      <c r="BV43" s="141">
        <f t="shared" si="222"/>
        <v>0</v>
      </c>
      <c r="BW43" s="141">
        <f t="shared" si="222"/>
        <v>0</v>
      </c>
      <c r="BX43" s="141">
        <f t="shared" si="222"/>
        <v>0</v>
      </c>
      <c r="BY43" s="141">
        <f t="shared" si="222"/>
        <v>0</v>
      </c>
      <c r="BZ43" s="141">
        <f t="shared" si="222"/>
        <v>0</v>
      </c>
      <c r="CA43" s="141">
        <f t="shared" si="222"/>
        <v>0</v>
      </c>
      <c r="CB43" s="141">
        <f t="shared" si="222"/>
        <v>0</v>
      </c>
      <c r="CC43" s="141">
        <f t="shared" si="222"/>
        <v>4060.76</v>
      </c>
      <c r="CD43" s="141">
        <f t="shared" si="222"/>
        <v>0</v>
      </c>
      <c r="CE43" s="141">
        <f t="shared" si="222"/>
        <v>0</v>
      </c>
      <c r="CF43" s="141">
        <f t="shared" si="222"/>
        <v>0</v>
      </c>
      <c r="CG43" s="141">
        <f t="shared" si="222"/>
        <v>0</v>
      </c>
      <c r="CH43" s="141">
        <f t="shared" si="222"/>
        <v>0</v>
      </c>
      <c r="CI43" s="141">
        <f t="shared" si="222"/>
        <v>0</v>
      </c>
      <c r="CJ43" s="141">
        <f t="shared" si="222"/>
        <v>0</v>
      </c>
      <c r="CK43" s="141">
        <f t="shared" si="222"/>
        <v>0</v>
      </c>
      <c r="CL43" s="141">
        <f t="shared" si="222"/>
        <v>0</v>
      </c>
      <c r="CM43" s="141">
        <f t="shared" si="222"/>
        <v>4060.76</v>
      </c>
      <c r="CN43" s="141">
        <f t="shared" si="222"/>
        <v>0</v>
      </c>
      <c r="CO43" s="141">
        <f t="shared" si="222"/>
        <v>0</v>
      </c>
      <c r="CP43" s="141">
        <f t="shared" si="222"/>
        <v>0</v>
      </c>
      <c r="CQ43" s="141">
        <f t="shared" si="222"/>
        <v>0</v>
      </c>
      <c r="CR43" s="141">
        <f t="shared" si="222"/>
        <v>0</v>
      </c>
      <c r="CS43" s="141">
        <f t="shared" si="222"/>
        <v>0</v>
      </c>
      <c r="CT43" s="141">
        <f t="shared" si="222"/>
        <v>0</v>
      </c>
      <c r="CU43" s="141">
        <f t="shared" si="222"/>
        <v>0</v>
      </c>
      <c r="CV43" s="141">
        <f t="shared" si="222"/>
        <v>0</v>
      </c>
      <c r="CW43" s="142">
        <f t="shared" ref="CW43:DZ43" si="223">EA43*$AH43*$AJ43</f>
        <v>0</v>
      </c>
      <c r="CX43" s="142">
        <f t="shared" si="223"/>
        <v>0</v>
      </c>
      <c r="CY43" s="142">
        <f t="shared" si="223"/>
        <v>0</v>
      </c>
      <c r="CZ43" s="142">
        <f t="shared" si="223"/>
        <v>0</v>
      </c>
      <c r="DA43" s="142">
        <f t="shared" si="223"/>
        <v>0</v>
      </c>
      <c r="DB43" s="142">
        <f t="shared" si="223"/>
        <v>0</v>
      </c>
      <c r="DC43" s="142">
        <f t="shared" si="223"/>
        <v>0</v>
      </c>
      <c r="DD43" s="142">
        <f t="shared" si="223"/>
        <v>0</v>
      </c>
      <c r="DE43" s="142">
        <f t="shared" si="223"/>
        <v>0</v>
      </c>
      <c r="DF43" s="142">
        <f t="shared" si="223"/>
        <v>0</v>
      </c>
      <c r="DG43" s="142">
        <f t="shared" si="223"/>
        <v>0</v>
      </c>
      <c r="DH43" s="142">
        <f t="shared" si="223"/>
        <v>0</v>
      </c>
      <c r="DI43" s="142">
        <f t="shared" si="223"/>
        <v>0</v>
      </c>
      <c r="DJ43" s="142">
        <f t="shared" si="223"/>
        <v>0</v>
      </c>
      <c r="DK43" s="142">
        <f t="shared" si="223"/>
        <v>0</v>
      </c>
      <c r="DL43" s="142">
        <f t="shared" si="223"/>
        <v>0</v>
      </c>
      <c r="DM43" s="142">
        <f t="shared" si="223"/>
        <v>0</v>
      </c>
      <c r="DN43" s="142">
        <f t="shared" si="223"/>
        <v>0</v>
      </c>
      <c r="DO43" s="142">
        <f t="shared" si="223"/>
        <v>0</v>
      </c>
      <c r="DP43" s="142">
        <f t="shared" si="223"/>
        <v>0</v>
      </c>
      <c r="DQ43" s="142">
        <f t="shared" si="223"/>
        <v>0</v>
      </c>
      <c r="DR43" s="142">
        <f t="shared" si="223"/>
        <v>0</v>
      </c>
      <c r="DS43" s="142">
        <f t="shared" si="223"/>
        <v>0</v>
      </c>
      <c r="DT43" s="142">
        <f t="shared" si="223"/>
        <v>0</v>
      </c>
      <c r="DU43" s="142">
        <f t="shared" si="223"/>
        <v>0</v>
      </c>
      <c r="DV43" s="142">
        <f t="shared" si="223"/>
        <v>0</v>
      </c>
      <c r="DW43" s="142">
        <f t="shared" si="223"/>
        <v>0</v>
      </c>
      <c r="DX43" s="142">
        <f t="shared" si="223"/>
        <v>0</v>
      </c>
      <c r="DY43" s="142">
        <f t="shared" si="223"/>
        <v>0</v>
      </c>
      <c r="DZ43" s="142">
        <f t="shared" si="223"/>
        <v>0</v>
      </c>
      <c r="EA43" s="143">
        <f t="shared" si="174"/>
        <v>0</v>
      </c>
      <c r="EB43" s="143">
        <f t="shared" si="175"/>
        <v>0</v>
      </c>
      <c r="EC43" s="143">
        <f t="shared" si="176"/>
        <v>0</v>
      </c>
      <c r="ED43" s="143">
        <f t="shared" si="177"/>
        <v>0</v>
      </c>
      <c r="EE43" s="143">
        <f t="shared" si="178"/>
        <v>0</v>
      </c>
      <c r="EF43" s="143">
        <f t="shared" si="179"/>
        <v>0</v>
      </c>
      <c r="EG43" s="143">
        <f t="shared" si="180"/>
        <v>0</v>
      </c>
      <c r="EH43" s="143">
        <f t="shared" si="181"/>
        <v>0</v>
      </c>
      <c r="EI43" s="143">
        <f t="shared" si="182"/>
        <v>0</v>
      </c>
      <c r="EJ43" s="143">
        <f t="shared" si="183"/>
        <v>0</v>
      </c>
      <c r="EK43" s="143">
        <f t="shared" si="184"/>
        <v>4</v>
      </c>
      <c r="EL43" s="143">
        <f t="shared" si="185"/>
        <v>0</v>
      </c>
      <c r="EM43" s="143">
        <f t="shared" si="186"/>
        <v>0</v>
      </c>
      <c r="EN43" s="143">
        <f t="shared" si="187"/>
        <v>0</v>
      </c>
      <c r="EO43" s="143">
        <f t="shared" si="188"/>
        <v>0</v>
      </c>
      <c r="EP43" s="143">
        <f t="shared" si="189"/>
        <v>0</v>
      </c>
      <c r="EQ43" s="143">
        <f t="shared" si="190"/>
        <v>0</v>
      </c>
      <c r="ER43" s="143">
        <f t="shared" si="191"/>
        <v>0</v>
      </c>
      <c r="ES43" s="143">
        <f t="shared" si="192"/>
        <v>0</v>
      </c>
      <c r="ET43" s="143">
        <f t="shared" si="193"/>
        <v>0</v>
      </c>
      <c r="EU43" s="143">
        <f t="shared" si="194"/>
        <v>4</v>
      </c>
      <c r="EV43" s="143">
        <f t="shared" si="195"/>
        <v>0</v>
      </c>
      <c r="EW43" s="143">
        <f t="shared" si="196"/>
        <v>0</v>
      </c>
      <c r="EX43" s="143">
        <f t="shared" si="197"/>
        <v>0</v>
      </c>
      <c r="EY43" s="143">
        <f t="shared" si="198"/>
        <v>0</v>
      </c>
      <c r="EZ43" s="143">
        <f t="shared" si="199"/>
        <v>0</v>
      </c>
      <c r="FA43" s="143">
        <f t="shared" si="200"/>
        <v>0</v>
      </c>
      <c r="FB43" s="143">
        <f t="shared" si="201"/>
        <v>0</v>
      </c>
      <c r="FC43" s="143">
        <f t="shared" si="202"/>
        <v>0</v>
      </c>
      <c r="FD43" s="143">
        <f t="shared" si="203"/>
        <v>0</v>
      </c>
      <c r="FE43" s="140">
        <f>SUM($D43:D43)*IF($B43="Operacional",IFERROR(VLOOKUP($C43,SN_UGC,28,0),0),1)</f>
        <v>4</v>
      </c>
      <c r="FF43" s="140">
        <f>SUM($D43:E43)*IF($B43="Operacional",IFERROR(VLOOKUP($C43,SN_UGC,28,0),0),1)</f>
        <v>4</v>
      </c>
      <c r="FG43" s="140">
        <f>SUM($D43:F43)*IF($B43="Operacional",IFERROR(VLOOKUP($C43,SN_UGC,28,0),0),1)</f>
        <v>4</v>
      </c>
      <c r="FH43" s="140">
        <f>SUM($D43:G43)*IF($B43="Operacional",IFERROR(VLOOKUP($C43,SN_UGC,28,0),0),1)</f>
        <v>4</v>
      </c>
      <c r="FI43" s="140">
        <f>SUM($D43:H43)*IF($B43="Operacional",IFERROR(VLOOKUP($C43,SN_UGC,28,0),0),1)</f>
        <v>4</v>
      </c>
      <c r="FJ43" s="140">
        <f>SUM($D43:I43)*IF($B43="Operacional",IFERROR(VLOOKUP($C43,SN_UGC,28,0),0),1)</f>
        <v>4</v>
      </c>
      <c r="FK43" s="140">
        <f>SUM($D43:J43)*IF($B43="Operacional",IFERROR(VLOOKUP($C43,SN_UGC,28,0),0),1)</f>
        <v>4</v>
      </c>
      <c r="FL43" s="140">
        <f>SUM($D43:K43)*IF($B43="Operacional",IFERROR(VLOOKUP($C43,SN_UGC,28,0),0),1)</f>
        <v>4</v>
      </c>
      <c r="FM43" s="140">
        <f>SUM($D43:L43)*IF($B43="Operacional",IFERROR(VLOOKUP($C43,SN_UGC,28,0),0),1)</f>
        <v>4</v>
      </c>
      <c r="FN43" s="140">
        <f>SUM($D43:M43)*IF($B43="Operacional",IFERROR(VLOOKUP($C43,SN_UGC,28,0),0),1)</f>
        <v>4</v>
      </c>
      <c r="FO43" s="140">
        <f>SUM($D43:N43)*IF($B43="Operacional",IFERROR(VLOOKUP($C43,SN_UGC,28,0),0),1)</f>
        <v>4</v>
      </c>
      <c r="FP43" s="140">
        <f>SUM($D43:O43)*IF($B43="Operacional",IFERROR(VLOOKUP($C43,SN_UGC,28,0),0),1)</f>
        <v>4</v>
      </c>
      <c r="FQ43" s="140">
        <f>SUM($D43:P43)*IF($B43="Operacional",IFERROR(VLOOKUP($C43,SN_UGC,28,0),0),1)</f>
        <v>4</v>
      </c>
      <c r="FR43" s="140">
        <f>SUM($D43:Q43)*IF($B43="Operacional",IFERROR(VLOOKUP($C43,SN_UGC,28,0),0),1)</f>
        <v>4</v>
      </c>
      <c r="FS43" s="140">
        <f>SUM($D43:R43)*IF($B43="Operacional",IFERROR(VLOOKUP($C43,SN_UGC,28,0),0),1)</f>
        <v>4</v>
      </c>
      <c r="FT43" s="140">
        <f>SUM($D43:S43)*IF($B43="Operacional",IFERROR(VLOOKUP($C43,SN_UGC,28,0),0),1)</f>
        <v>4</v>
      </c>
      <c r="FU43" s="140">
        <f>SUM($D43:T43)*IF($B43="Operacional",IFERROR(VLOOKUP($C43,SN_UGC,28,0),0),1)</f>
        <v>4</v>
      </c>
      <c r="FV43" s="140">
        <f>SUM($D43:U43)*IF($B43="Operacional",IFERROR(VLOOKUP($C43,SN_UGC,28,0),0),1)</f>
        <v>4</v>
      </c>
      <c r="FW43" s="140">
        <f>SUM($D43:V43)*IF($B43="Operacional",IFERROR(VLOOKUP($C43,SN_UGC,28,0),0),1)</f>
        <v>4</v>
      </c>
      <c r="FX43" s="140">
        <f>SUM($D43:W43)*IF($B43="Operacional",IFERROR(VLOOKUP($C43,SN_UGC,28,0),0),1)</f>
        <v>4</v>
      </c>
      <c r="FY43" s="140">
        <f>SUM($D43:X43)*IF($B43="Operacional",IFERROR(VLOOKUP($C43,SN_UGC,28,0),0),1)</f>
        <v>4</v>
      </c>
      <c r="FZ43" s="140">
        <f>SUM($D43:Y43)*IF($B43="Operacional",IFERROR(VLOOKUP($C43,SN_UGC,28,0),0),1)</f>
        <v>4</v>
      </c>
      <c r="GA43" s="140">
        <f>SUM($D43:Z43)*IF($B43="Operacional",IFERROR(VLOOKUP($C43,SN_UGC,28,0),0),1)</f>
        <v>4</v>
      </c>
      <c r="GB43" s="140">
        <f>SUM($D43:AA43)*IF($B43="Operacional",IFERROR(VLOOKUP($C43,SN_UGC,28,0),0),1)</f>
        <v>4</v>
      </c>
      <c r="GC43" s="140">
        <f>SUM($D43:AB43)*IF($B43="Operacional",IFERROR(VLOOKUP($C43,SN_UGC,28,0),0),1)</f>
        <v>4</v>
      </c>
      <c r="GD43" s="140">
        <f>SUM($D43:AC43)*IF($B43="Operacional",IFERROR(VLOOKUP($C43,SN_UGC,28,0),0),1)</f>
        <v>4</v>
      </c>
      <c r="GE43" s="140">
        <f>SUM($D43:AD43)*IF($B43="Operacional",IFERROR(VLOOKUP($C43,SN_UGC,28,0),0),1)</f>
        <v>4</v>
      </c>
      <c r="GF43" s="140">
        <f>SUM($D43:AE43)*IF($B43="Operacional",IFERROR(VLOOKUP($C43,SN_UGC,28,0),0),1)</f>
        <v>4</v>
      </c>
      <c r="GG43" s="140">
        <f>SUM($D43:AF43)*IF($B43="Operacional",IFERROR(VLOOKUP($C43,SN_UGC,28,0),0),1)</f>
        <v>4</v>
      </c>
      <c r="GH43" s="140">
        <f>SUM($D43:AG43)*IF($B43="Operacional",IFERROR(VLOOKUP($C43,SN_UGC,28,0),0),1)</f>
        <v>4</v>
      </c>
      <c r="GI43" s="141">
        <f t="shared" ref="GI43:HL43" si="224">FE43*$AH43*$AL43</f>
        <v>203.03800000000001</v>
      </c>
      <c r="GJ43" s="141">
        <f t="shared" si="224"/>
        <v>203.03800000000001</v>
      </c>
      <c r="GK43" s="141">
        <f t="shared" si="224"/>
        <v>203.03800000000001</v>
      </c>
      <c r="GL43" s="141">
        <f t="shared" si="224"/>
        <v>203.03800000000001</v>
      </c>
      <c r="GM43" s="141">
        <f t="shared" si="224"/>
        <v>203.03800000000001</v>
      </c>
      <c r="GN43" s="141">
        <f t="shared" si="224"/>
        <v>203.03800000000001</v>
      </c>
      <c r="GO43" s="141">
        <f t="shared" si="224"/>
        <v>203.03800000000001</v>
      </c>
      <c r="GP43" s="141">
        <f t="shared" si="224"/>
        <v>203.03800000000001</v>
      </c>
      <c r="GQ43" s="141">
        <f t="shared" si="224"/>
        <v>203.03800000000001</v>
      </c>
      <c r="GR43" s="141">
        <f t="shared" si="224"/>
        <v>203.03800000000001</v>
      </c>
      <c r="GS43" s="141">
        <f t="shared" si="224"/>
        <v>203.03800000000001</v>
      </c>
      <c r="GT43" s="141">
        <f t="shared" si="224"/>
        <v>203.03800000000001</v>
      </c>
      <c r="GU43" s="141">
        <f t="shared" si="224"/>
        <v>203.03800000000001</v>
      </c>
      <c r="GV43" s="141">
        <f t="shared" si="224"/>
        <v>203.03800000000001</v>
      </c>
      <c r="GW43" s="141">
        <f t="shared" si="224"/>
        <v>203.03800000000001</v>
      </c>
      <c r="GX43" s="141">
        <f t="shared" si="224"/>
        <v>203.03800000000001</v>
      </c>
      <c r="GY43" s="141">
        <f t="shared" si="224"/>
        <v>203.03800000000001</v>
      </c>
      <c r="GZ43" s="141">
        <f t="shared" si="224"/>
        <v>203.03800000000001</v>
      </c>
      <c r="HA43" s="141">
        <f t="shared" si="224"/>
        <v>203.03800000000001</v>
      </c>
      <c r="HB43" s="141">
        <f t="shared" si="224"/>
        <v>203.03800000000001</v>
      </c>
      <c r="HC43" s="141">
        <f t="shared" si="224"/>
        <v>203.03800000000001</v>
      </c>
      <c r="HD43" s="141">
        <f t="shared" si="224"/>
        <v>203.03800000000001</v>
      </c>
      <c r="HE43" s="141">
        <f t="shared" si="224"/>
        <v>203.03800000000001</v>
      </c>
      <c r="HF43" s="141">
        <f t="shared" si="224"/>
        <v>203.03800000000001</v>
      </c>
      <c r="HG43" s="141">
        <f t="shared" si="224"/>
        <v>203.03800000000001</v>
      </c>
      <c r="HH43" s="141">
        <f t="shared" si="224"/>
        <v>203.03800000000001</v>
      </c>
      <c r="HI43" s="141">
        <f t="shared" si="224"/>
        <v>203.03800000000001</v>
      </c>
      <c r="HJ43" s="141">
        <f t="shared" si="224"/>
        <v>203.03800000000001</v>
      </c>
      <c r="HK43" s="141">
        <f t="shared" si="224"/>
        <v>203.03800000000001</v>
      </c>
      <c r="HL43" s="141">
        <f t="shared" si="224"/>
        <v>203.03800000000001</v>
      </c>
      <c r="HM43" s="142">
        <f t="shared" ref="HM43:IP43" si="225">IF(ISBLANK($A43),,FE43*($AH43-($AH43*$AJ43))/$AI43)</f>
        <v>406.07600000000002</v>
      </c>
      <c r="HN43" s="142">
        <f t="shared" si="225"/>
        <v>406.07600000000002</v>
      </c>
      <c r="HO43" s="142">
        <f t="shared" si="225"/>
        <v>406.07600000000002</v>
      </c>
      <c r="HP43" s="142">
        <f t="shared" si="225"/>
        <v>406.07600000000002</v>
      </c>
      <c r="HQ43" s="142">
        <f t="shared" si="225"/>
        <v>406.07600000000002</v>
      </c>
      <c r="HR43" s="142">
        <f t="shared" si="225"/>
        <v>406.07600000000002</v>
      </c>
      <c r="HS43" s="142">
        <f t="shared" si="225"/>
        <v>406.07600000000002</v>
      </c>
      <c r="HT43" s="142">
        <f t="shared" si="225"/>
        <v>406.07600000000002</v>
      </c>
      <c r="HU43" s="142">
        <f t="shared" si="225"/>
        <v>406.07600000000002</v>
      </c>
      <c r="HV43" s="142">
        <f t="shared" si="225"/>
        <v>406.07600000000002</v>
      </c>
      <c r="HW43" s="142">
        <f t="shared" si="225"/>
        <v>406.07600000000002</v>
      </c>
      <c r="HX43" s="142">
        <f t="shared" si="225"/>
        <v>406.07600000000002</v>
      </c>
      <c r="HY43" s="142">
        <f t="shared" si="225"/>
        <v>406.07600000000002</v>
      </c>
      <c r="HZ43" s="142">
        <f t="shared" si="225"/>
        <v>406.07600000000002</v>
      </c>
      <c r="IA43" s="142">
        <f t="shared" si="225"/>
        <v>406.07600000000002</v>
      </c>
      <c r="IB43" s="142">
        <f t="shared" si="225"/>
        <v>406.07600000000002</v>
      </c>
      <c r="IC43" s="142">
        <f t="shared" si="225"/>
        <v>406.07600000000002</v>
      </c>
      <c r="ID43" s="142">
        <f t="shared" si="225"/>
        <v>406.07600000000002</v>
      </c>
      <c r="IE43" s="142">
        <f t="shared" si="225"/>
        <v>406.07600000000002</v>
      </c>
      <c r="IF43" s="142">
        <f t="shared" si="225"/>
        <v>406.07600000000002</v>
      </c>
      <c r="IG43" s="142">
        <f t="shared" si="225"/>
        <v>406.07600000000002</v>
      </c>
      <c r="IH43" s="142">
        <f t="shared" si="225"/>
        <v>406.07600000000002</v>
      </c>
      <c r="II43" s="142">
        <f t="shared" si="225"/>
        <v>406.07600000000002</v>
      </c>
      <c r="IJ43" s="142">
        <f t="shared" si="225"/>
        <v>406.07600000000002</v>
      </c>
      <c r="IK43" s="142">
        <f t="shared" si="225"/>
        <v>406.07600000000002</v>
      </c>
      <c r="IL43" s="142">
        <f t="shared" si="225"/>
        <v>406.07600000000002</v>
      </c>
      <c r="IM43" s="142">
        <f t="shared" si="225"/>
        <v>406.07600000000002</v>
      </c>
      <c r="IN43" s="142">
        <f t="shared" si="225"/>
        <v>406.07600000000002</v>
      </c>
      <c r="IO43" s="142">
        <f t="shared" si="225"/>
        <v>406.07600000000002</v>
      </c>
      <c r="IP43" s="142">
        <f t="shared" si="225"/>
        <v>406.07600000000002</v>
      </c>
      <c r="IQ43" s="141">
        <f>IF(ISBLANK($A43),,IF($AN43="Não",0,(SUM($AO43:AO43)*$AH43)-SUM($HM43:HM43)-SUM($CW43:CW43)))</f>
        <v>0</v>
      </c>
      <c r="IR43" s="141">
        <f>IF(ISBLANK($A43),,IF($AN43="Não",0,(SUM($AO43:AP43)*$AH43)-SUM($HM43:HN43)-SUM($CW43:CX43)))</f>
        <v>0</v>
      </c>
      <c r="IS43" s="141">
        <f>IF(ISBLANK($A43),,IF($AN43="Não",0,(SUM($AO43:AQ43)*$AH43)-SUM($HM43:HO43)-SUM($CW43:CY43)))</f>
        <v>0</v>
      </c>
      <c r="IT43" s="141">
        <f>IF(ISBLANK($A43),,IF($AN43="Não",0,(SUM($AO43:AR43)*$AH43)-SUM($HM43:HP43)-SUM($CW43:CZ43)))</f>
        <v>0</v>
      </c>
      <c r="IU43" s="141">
        <f>IF(ISBLANK($A43),,IF($AN43="Não",0,(SUM($AO43:AS43)*$AH43)-SUM($HM43:HQ43)-SUM($CW43:DA43)))</f>
        <v>0</v>
      </c>
      <c r="IV43" s="141">
        <f>IF(ISBLANK($A43),,IF($AN43="Não",0,(SUM($AO43:AT43)*$AH43)-SUM($HM43:HR43)-SUM($CW43:DB43)))</f>
        <v>0</v>
      </c>
      <c r="IW43" s="141">
        <f>IF(ISBLANK($A43),,IF($AN43="Não",0,(SUM($AO43:AU43)*$AH43)-SUM($HM43:HS43)-SUM($CW43:DC43)))</f>
        <v>0</v>
      </c>
      <c r="IX43" s="141">
        <f>IF(ISBLANK($A43),,IF($AN43="Não",0,(SUM($AO43:AV43)*$AH43)-SUM($HM43:HT43)-SUM($CW43:DD43)))</f>
        <v>0</v>
      </c>
      <c r="IY43" s="141">
        <f>IF(ISBLANK($A43),,IF($AN43="Não",0,(SUM($AO43:AW43)*$AH43)-SUM($HM43:HU43)-SUM($CW43:DE43)))</f>
        <v>0</v>
      </c>
      <c r="IZ43" s="141">
        <f>IF(ISBLANK($A43),,IF($AN43="Não",0,(SUM($AO43:AX43)*$AH43)-SUM($HM43:HV43)-SUM($CW43:DF43)))</f>
        <v>0</v>
      </c>
      <c r="JA43" s="141">
        <f>IF(ISBLANK($A43),,IF($AN43="Não",0,(SUM($AO43:AY43)*$AH43)-SUM($HM43:HW43)-SUM($CW43:DG43)))</f>
        <v>0</v>
      </c>
      <c r="JB43" s="141">
        <f>IF(ISBLANK($A43),,IF($AN43="Não",0,(SUM($AO43:AZ43)*$AH43)-SUM($HM43:HX43)-SUM($CW43:DH43)))</f>
        <v>0</v>
      </c>
      <c r="JC43" s="141">
        <f>IF(ISBLANK($A43),,IF($AN43="Não",0,(SUM($AO43:BA43)*$AH43)-SUM($HM43:HY43)-SUM($CW43:DI43)))</f>
        <v>0</v>
      </c>
      <c r="JD43" s="141">
        <f>IF(ISBLANK($A43),,IF($AN43="Não",0,(SUM($AO43:BB43)*$AH43)-SUM($HM43:HZ43)-SUM($CW43:DJ43)))</f>
        <v>0</v>
      </c>
      <c r="JE43" s="141">
        <f>IF(ISBLANK($A43),,IF($AN43="Não",0,(SUM($AO43:BC43)*$AH43)-SUM($HM43:IA43)-SUM($CW43:DK43)))</f>
        <v>0</v>
      </c>
      <c r="JF43" s="141">
        <f>IF(ISBLANK($A43),,IF($AN43="Não",0,(SUM($AO43:BD43)*$AH43)-SUM($HM43:IB43)-SUM($CW43:DL43)))</f>
        <v>0</v>
      </c>
      <c r="JG43" s="141">
        <f>IF(ISBLANK($A43),,IF($AN43="Não",0,(SUM($AO43:BE43)*$AH43)-SUM($HM43:IC43)-SUM($CW43:DM43)))</f>
        <v>0</v>
      </c>
      <c r="JH43" s="141">
        <f>IF(ISBLANK($A43),,IF($AN43="Não",0,(SUM($AO43:BF43)*$AH43)-SUM($HM43:ID43)-SUM($CW43:DN43)))</f>
        <v>0</v>
      </c>
      <c r="JI43" s="141">
        <f>IF(ISBLANK($A43),,IF($AN43="Não",0,(SUM($AO43:BG43)*$AH43)-SUM($HM43:IE43)-SUM($CW43:DO43)))</f>
        <v>0</v>
      </c>
      <c r="JJ43" s="141">
        <f>IF(ISBLANK($A43),,IF($AN43="Não",0,(SUM($AO43:BH43)*$AH43)-SUM($HM43:IF43)-SUM($CW43:DP43)))</f>
        <v>0</v>
      </c>
      <c r="JK43" s="141">
        <f>IF(ISBLANK($A43),,IF($AN43="Não",0,(SUM($AO43:BI43)*$AH43)-SUM($HM43:IG43)-SUM($CW43:DQ43)))</f>
        <v>0</v>
      </c>
      <c r="JL43" s="141">
        <f>IF(ISBLANK($A43),,IF($AN43="Não",0,(SUM($AO43:BJ43)*$AH43)-SUM($HM43:IH43)-SUM($CW43:DR43)))</f>
        <v>0</v>
      </c>
      <c r="JM43" s="141">
        <f>IF(ISBLANK($A43),,IF($AN43="Não",0,(SUM($AO43:BK43)*$AH43)-SUM($HM43:II43)-SUM($CW43:DS43)))</f>
        <v>0</v>
      </c>
      <c r="JN43" s="141">
        <f>IF(ISBLANK($A43),,IF($AN43="Não",0,(SUM($AO43:BL43)*$AH43)-SUM($HM43:IJ43)-SUM($CW43:DT43)))</f>
        <v>0</v>
      </c>
      <c r="JO43" s="141">
        <f>IF(ISBLANK($A43),,IF($AN43="Não",0,(SUM($AO43:BM43)*$AH43)-SUM($HM43:IK43)-SUM($CW43:DU43)))</f>
        <v>0</v>
      </c>
      <c r="JP43" s="141">
        <f>IF(ISBLANK($A43),,IF($AN43="Não",0,(SUM($AO43:BN43)*$AH43)-SUM($HM43:IL43)-SUM($CW43:DV43)))</f>
        <v>0</v>
      </c>
      <c r="JQ43" s="141">
        <f>IF(ISBLANK($A43),,IF($AN43="Não",0,(SUM($AO43:BO43)*$AH43)-SUM($HM43:IM43)-SUM($CW43:DW43)))</f>
        <v>0</v>
      </c>
      <c r="JR43" s="141">
        <f>IF(ISBLANK($A43),,IF($AN43="Não",0,(SUM($AO43:BP43)*$AH43)-SUM($HM43:IN43)-SUM($CW43:DX43)))</f>
        <v>0</v>
      </c>
      <c r="JS43" s="141">
        <f>IF(ISBLANK($A43),,IF($AN43="Não",0,(SUM($AO43:BQ43)*$AH43)-SUM($HM43:IO43)-SUM($CW43:DY43)))</f>
        <v>0</v>
      </c>
      <c r="JT43" s="141">
        <f>IF(ISBLANK($A43),,IF($AN43="Não",0,(SUM($AO43:BR43)*$AH43)-SUM($HM43:IP43)-SUM($CW43:DZ43)))</f>
        <v>0</v>
      </c>
    </row>
    <row r="44" spans="1:280" ht="15.75" customHeight="1">
      <c r="A44" s="129" t="s">
        <v>363</v>
      </c>
      <c r="B44" s="129" t="s">
        <v>209</v>
      </c>
      <c r="C44" s="138" t="s">
        <v>79</v>
      </c>
      <c r="D44" s="139">
        <v>12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607">
        <f t="shared" si="165"/>
        <v>931.68900000000008</v>
      </c>
      <c r="AI44" s="608">
        <f t="shared" si="166"/>
        <v>5</v>
      </c>
      <c r="AJ44" s="609">
        <f t="shared" si="167"/>
        <v>0</v>
      </c>
      <c r="AK44" s="610" t="str">
        <f t="shared" si="168"/>
        <v>Outros</v>
      </c>
      <c r="AL44" s="609">
        <f t="shared" si="169"/>
        <v>0.05</v>
      </c>
      <c r="AM44" s="611" t="str">
        <f t="shared" si="170"/>
        <v>Sim</v>
      </c>
      <c r="AN44" s="611" t="str">
        <f t="shared" si="171"/>
        <v>Não</v>
      </c>
      <c r="AO44" s="140">
        <f t="array" ref="AO44">IF(ISBLANK($A44),0,IF(OR(AO$5-$AI44&lt;=0,$AM44="Não"),D44,D44+INDEX($AO$6:$BR$176,ROW()-5,COLUMN()-40-$AI44)))*IF($B44="Operacional",IFERROR(VLOOKUP($C44,SN_UGC,28,0),0),1)</f>
        <v>12</v>
      </c>
      <c r="AP44" s="140">
        <f t="array" ref="AP44">IF(ISBLANK($A44),0,IF(OR(AP$5-$AI44&lt;=0,$AM44="Não"),E44,E44+INDEX($AO$6:$BR$176,ROW()-5,COLUMN()-40-$AI44)))*IF($B44="Operacional",IFERROR(VLOOKUP($C44,SN_UGC,28,0),0),1)</f>
        <v>0</v>
      </c>
      <c r="AQ44" s="140">
        <f t="array" ref="AQ44">IF(ISBLANK($A44),0,IF(OR(AQ$5-$AI44&lt;=0,$AM44="Não"),F44,F44+INDEX($AO$6:$BR$176,ROW()-5,COLUMN()-40-$AI44)))*IF($B44="Operacional",IFERROR(VLOOKUP($C44,SN_UGC,28,0),0),1)</f>
        <v>0</v>
      </c>
      <c r="AR44" s="140">
        <f t="array" ref="AR44">IF(ISBLANK($A44),0,IF(OR(AR$5-$AI44&lt;=0,$AM44="Não"),G44,G44+INDEX($AO$6:$BR$176,ROW()-5,COLUMN()-40-$AI44)))*IF($B44="Operacional",IFERROR(VLOOKUP($C44,SN_UGC,28,0),0),1)</f>
        <v>0</v>
      </c>
      <c r="AS44" s="140">
        <f t="array" ref="AS44">IF(ISBLANK($A44),0,IF(OR(AS$5-$AI44&lt;=0,$AM44="Não"),H44,H44+INDEX($AO$6:$BR$176,ROW()-5,COLUMN()-40-$AI44)))*IF($B44="Operacional",IFERROR(VLOOKUP($C44,SN_UGC,28,0),0),1)</f>
        <v>0</v>
      </c>
      <c r="AT44" s="140">
        <f t="array" ref="AT44">IF(ISBLANK($A44),0,IF(OR(AT$5-$AI44&lt;=0,$AM44="Não"),I44,I44+INDEX($AO$6:$BR$176,ROW()-5,COLUMN()-40-$AI44)))*IF($B44="Operacional",IFERROR(VLOOKUP($C44,SN_UGC,28,0),0),1)</f>
        <v>12</v>
      </c>
      <c r="AU44" s="140">
        <f t="array" ref="AU44">IF(ISBLANK($A44),0,IF(OR(AU$5-$AI44&lt;=0,$AM44="Não"),J44,J44+INDEX($AO$6:$BR$176,ROW()-5,COLUMN()-40-$AI44)))*IF($B44="Operacional",IFERROR(VLOOKUP($C44,SN_UGC,28,0),0),1)</f>
        <v>0</v>
      </c>
      <c r="AV44" s="140">
        <f t="array" ref="AV44">IF(ISBLANK($A44),0,IF(OR(AV$5-$AI44&lt;=0,$AM44="Não"),K44,K44+INDEX($AO$6:$BR$176,ROW()-5,COLUMN()-40-$AI44)))*IF($B44="Operacional",IFERROR(VLOOKUP($C44,SN_UGC,28,0),0),1)</f>
        <v>0</v>
      </c>
      <c r="AW44" s="140">
        <f t="array" ref="AW44">IF(ISBLANK($A44),0,IF(OR(AW$5-$AI44&lt;=0,$AM44="Não"),L44,L44+INDEX($AO$6:$BR$176,ROW()-5,COLUMN()-40-$AI44)))*IF($B44="Operacional",IFERROR(VLOOKUP($C44,SN_UGC,28,0),0),1)</f>
        <v>0</v>
      </c>
      <c r="AX44" s="140">
        <f t="array" ref="AX44">IF(ISBLANK($A44),0,IF(OR(AX$5-$AI44&lt;=0,$AM44="Não"),M44,M44+INDEX($AO$6:$BR$176,ROW()-5,COLUMN()-40-$AI44)))*IF($B44="Operacional",IFERROR(VLOOKUP($C44,SN_UGC,28,0),0),1)</f>
        <v>0</v>
      </c>
      <c r="AY44" s="140">
        <f t="array" ref="AY44">IF(ISBLANK($A44),0,IF(OR(AY$5-$AI44&lt;=0,$AM44="Não"),N44,N44+INDEX($AO$6:$BR$176,ROW()-5,COLUMN()-40-$AI44)))*IF($B44="Operacional",IFERROR(VLOOKUP($C44,SN_UGC,28,0),0),1)</f>
        <v>12</v>
      </c>
      <c r="AZ44" s="140">
        <f t="array" ref="AZ44">IF(ISBLANK($A44),0,IF(OR(AZ$5-$AI44&lt;=0,$AM44="Não"),O44,O44+INDEX($AO$6:$BR$176,ROW()-5,COLUMN()-40-$AI44)))*IF($B44="Operacional",IFERROR(VLOOKUP($C44,SN_UGC,28,0),0),1)</f>
        <v>0</v>
      </c>
      <c r="BA44" s="140">
        <f t="array" ref="BA44">IF(ISBLANK($A44),0,IF(OR(BA$5-$AI44&lt;=0,$AM44="Não"),P44,P44+INDEX($AO$6:$BR$176,ROW()-5,COLUMN()-40-$AI44)))*IF($B44="Operacional",IFERROR(VLOOKUP($C44,SN_UGC,28,0),0),1)</f>
        <v>0</v>
      </c>
      <c r="BB44" s="140">
        <f t="array" ref="BB44">IF(ISBLANK($A44),0,IF(OR(BB$5-$AI44&lt;=0,$AM44="Não"),Q44,Q44+INDEX($AO$6:$BR$176,ROW()-5,COLUMN()-40-$AI44)))*IF($B44="Operacional",IFERROR(VLOOKUP($C44,SN_UGC,28,0),0),1)</f>
        <v>0</v>
      </c>
      <c r="BC44" s="140">
        <f t="array" ref="BC44">IF(ISBLANK($A44),0,IF(OR(BC$5-$AI44&lt;=0,$AM44="Não"),R44,R44+INDEX($AO$6:$BR$176,ROW()-5,COLUMN()-40-$AI44)))*IF($B44="Operacional",IFERROR(VLOOKUP($C44,SN_UGC,28,0),0),1)</f>
        <v>0</v>
      </c>
      <c r="BD44" s="140">
        <f t="array" ref="BD44">IF(ISBLANK($A44),0,IF(OR(BD$5-$AI44&lt;=0,$AM44="Não"),S44,S44+INDEX($AO$6:$BR$176,ROW()-5,COLUMN()-40-$AI44)))*IF($B44="Operacional",IFERROR(VLOOKUP($C44,SN_UGC,28,0),0),1)</f>
        <v>12</v>
      </c>
      <c r="BE44" s="140">
        <f t="array" ref="BE44">IF(ISBLANK($A44),0,IF(OR(BE$5-$AI44&lt;=0,$AM44="Não"),T44,T44+INDEX($AO$6:$BR$176,ROW()-5,COLUMN()-40-$AI44)))*IF($B44="Operacional",IFERROR(VLOOKUP($C44,SN_UGC,28,0),0),1)</f>
        <v>0</v>
      </c>
      <c r="BF44" s="140">
        <f t="array" ref="BF44">IF(ISBLANK($A44),0,IF(OR(BF$5-$AI44&lt;=0,$AM44="Não"),U44,U44+INDEX($AO$6:$BR$176,ROW()-5,COLUMN()-40-$AI44)))*IF($B44="Operacional",IFERROR(VLOOKUP($C44,SN_UGC,28,0),0),1)</f>
        <v>0</v>
      </c>
      <c r="BG44" s="140">
        <f t="array" ref="BG44">IF(ISBLANK($A44),0,IF(OR(BG$5-$AI44&lt;=0,$AM44="Não"),V44,V44+INDEX($AO$6:$BR$176,ROW()-5,COLUMN()-40-$AI44)))*IF($B44="Operacional",IFERROR(VLOOKUP($C44,SN_UGC,28,0),0),1)</f>
        <v>0</v>
      </c>
      <c r="BH44" s="140">
        <f t="array" ref="BH44">IF(ISBLANK($A44),0,IF(OR(BH$5-$AI44&lt;=0,$AM44="Não"),W44,W44+INDEX($AO$6:$BR$176,ROW()-5,COLUMN()-40-$AI44)))*IF($B44="Operacional",IFERROR(VLOOKUP($C44,SN_UGC,28,0),0),1)</f>
        <v>0</v>
      </c>
      <c r="BI44" s="140">
        <f t="array" ref="BI44">IF(ISBLANK($A44),0,IF(OR(BI$5-$AI44&lt;=0,$AM44="Não"),X44,X44+INDEX($AO$6:$BR$176,ROW()-5,COLUMN()-40-$AI44)))*IF($B44="Operacional",IFERROR(VLOOKUP($C44,SN_UGC,28,0),0),1)</f>
        <v>12</v>
      </c>
      <c r="BJ44" s="140">
        <f t="array" ref="BJ44">IF(ISBLANK($A44),0,IF(OR(BJ$5-$AI44&lt;=0,$AM44="Não"),Y44,Y44+INDEX($AO$6:$BR$176,ROW()-5,COLUMN()-40-$AI44)))*IF($B44="Operacional",IFERROR(VLOOKUP($C44,SN_UGC,28,0),0),1)</f>
        <v>0</v>
      </c>
      <c r="BK44" s="140">
        <f t="array" ref="BK44">IF(ISBLANK($A44),0,IF(OR(BK$5-$AI44&lt;=0,$AM44="Não"),Z44,Z44+INDEX($AO$6:$BR$176,ROW()-5,COLUMN()-40-$AI44)))*IF($B44="Operacional",IFERROR(VLOOKUP($C44,SN_UGC,28,0),0),1)</f>
        <v>0</v>
      </c>
      <c r="BL44" s="140">
        <f t="array" ref="BL44">IF(ISBLANK($A44),0,IF(OR(BL$5-$AI44&lt;=0,$AM44="Não"),AA44,AA44+INDEX($AO$6:$BR$176,ROW()-5,COLUMN()-40-$AI44)))*IF($B44="Operacional",IFERROR(VLOOKUP($C44,SN_UGC,28,0),0),1)</f>
        <v>0</v>
      </c>
      <c r="BM44" s="140">
        <f t="array" ref="BM44">IF(ISBLANK($A44),0,IF(OR(BM$5-$AI44&lt;=0,$AM44="Não"),AB44,AB44+INDEX($AO$6:$BR$176,ROW()-5,COLUMN()-40-$AI44)))*IF($B44="Operacional",IFERROR(VLOOKUP($C44,SN_UGC,28,0),0),1)</f>
        <v>0</v>
      </c>
      <c r="BN44" s="140">
        <f t="array" ref="BN44">IF(ISBLANK($A44),0,IF(OR(BN$5-$AI44&lt;=0,$AM44="Não"),AC44,AC44+INDEX($AO$6:$BR$176,ROW()-5,COLUMN()-40-$AI44)))*IF($B44="Operacional",IFERROR(VLOOKUP($C44,SN_UGC,28,0),0),1)</f>
        <v>12</v>
      </c>
      <c r="BO44" s="140">
        <f t="array" ref="BO44">IF(ISBLANK($A44),0,IF(OR(BO$5-$AI44&lt;=0,$AM44="Não"),AD44,AD44+INDEX($AO$6:$BR$176,ROW()-5,COLUMN()-40-$AI44)))*IF($B44="Operacional",IFERROR(VLOOKUP($C44,SN_UGC,28,0),0),1)</f>
        <v>0</v>
      </c>
      <c r="BP44" s="140">
        <f t="array" ref="BP44">IF(ISBLANK($A44),0,IF(OR(BP$5-$AI44&lt;=0,$AM44="Não"),AE44,AE44+INDEX($AO$6:$BR$176,ROW()-5,COLUMN()-40-$AI44)))*IF($B44="Operacional",IFERROR(VLOOKUP($C44,SN_UGC,28,0),0),1)</f>
        <v>0</v>
      </c>
      <c r="BQ44" s="140">
        <f t="array" ref="BQ44">IF(ISBLANK($A44),0,IF(OR(BQ$5-$AI44&lt;=0,$AM44="Não"),AF44,AF44+INDEX($AO$6:$BR$176,ROW()-5,COLUMN()-40-$AI44)))*IF($B44="Operacional",IFERROR(VLOOKUP($C44,SN_UGC,28,0),0),1)</f>
        <v>0</v>
      </c>
      <c r="BR44" s="140">
        <f t="array" ref="BR44">IF(ISBLANK($A44),0,IF(OR(BR$5-$AI44&lt;=0,$AM44="Não"),AG44,AG44+INDEX($AO$6:$BR$176,ROW()-5,COLUMN()-40-$AI44)))*IF($B44="Operacional",IFERROR(VLOOKUP($C44,SN_UGC,28,0),0),1)</f>
        <v>0</v>
      </c>
      <c r="BS44" s="141">
        <f t="shared" ref="BS44:CV44" si="226">IF(ISBLANK($A44),0,$AH44*AO44)</f>
        <v>11180.268</v>
      </c>
      <c r="BT44" s="141">
        <f t="shared" si="226"/>
        <v>0</v>
      </c>
      <c r="BU44" s="141">
        <f t="shared" si="226"/>
        <v>0</v>
      </c>
      <c r="BV44" s="141">
        <f t="shared" si="226"/>
        <v>0</v>
      </c>
      <c r="BW44" s="141">
        <f t="shared" si="226"/>
        <v>0</v>
      </c>
      <c r="BX44" s="141">
        <f t="shared" si="226"/>
        <v>11180.268</v>
      </c>
      <c r="BY44" s="141">
        <f t="shared" si="226"/>
        <v>0</v>
      </c>
      <c r="BZ44" s="141">
        <f t="shared" si="226"/>
        <v>0</v>
      </c>
      <c r="CA44" s="141">
        <f t="shared" si="226"/>
        <v>0</v>
      </c>
      <c r="CB44" s="141">
        <f t="shared" si="226"/>
        <v>0</v>
      </c>
      <c r="CC44" s="141">
        <f t="shared" si="226"/>
        <v>11180.268</v>
      </c>
      <c r="CD44" s="141">
        <f t="shared" si="226"/>
        <v>0</v>
      </c>
      <c r="CE44" s="141">
        <f t="shared" si="226"/>
        <v>0</v>
      </c>
      <c r="CF44" s="141">
        <f t="shared" si="226"/>
        <v>0</v>
      </c>
      <c r="CG44" s="141">
        <f t="shared" si="226"/>
        <v>0</v>
      </c>
      <c r="CH44" s="141">
        <f t="shared" si="226"/>
        <v>11180.268</v>
      </c>
      <c r="CI44" s="141">
        <f t="shared" si="226"/>
        <v>0</v>
      </c>
      <c r="CJ44" s="141">
        <f t="shared" si="226"/>
        <v>0</v>
      </c>
      <c r="CK44" s="141">
        <f t="shared" si="226"/>
        <v>0</v>
      </c>
      <c r="CL44" s="141">
        <f t="shared" si="226"/>
        <v>0</v>
      </c>
      <c r="CM44" s="141">
        <f t="shared" si="226"/>
        <v>11180.268</v>
      </c>
      <c r="CN44" s="141">
        <f t="shared" si="226"/>
        <v>0</v>
      </c>
      <c r="CO44" s="141">
        <f t="shared" si="226"/>
        <v>0</v>
      </c>
      <c r="CP44" s="141">
        <f t="shared" si="226"/>
        <v>0</v>
      </c>
      <c r="CQ44" s="141">
        <f t="shared" si="226"/>
        <v>0</v>
      </c>
      <c r="CR44" s="141">
        <f t="shared" si="226"/>
        <v>11180.268</v>
      </c>
      <c r="CS44" s="141">
        <f t="shared" si="226"/>
        <v>0</v>
      </c>
      <c r="CT44" s="141">
        <f t="shared" si="226"/>
        <v>0</v>
      </c>
      <c r="CU44" s="141">
        <f t="shared" si="226"/>
        <v>0</v>
      </c>
      <c r="CV44" s="141">
        <f t="shared" si="226"/>
        <v>0</v>
      </c>
      <c r="CW44" s="142">
        <f t="shared" ref="CW44:DZ44" si="227">EA44*$AH44*$AJ44</f>
        <v>0</v>
      </c>
      <c r="CX44" s="142">
        <f t="shared" si="227"/>
        <v>0</v>
      </c>
      <c r="CY44" s="142">
        <f t="shared" si="227"/>
        <v>0</v>
      </c>
      <c r="CZ44" s="142">
        <f t="shared" si="227"/>
        <v>0</v>
      </c>
      <c r="DA44" s="142">
        <f t="shared" si="227"/>
        <v>0</v>
      </c>
      <c r="DB44" s="142">
        <f t="shared" si="227"/>
        <v>0</v>
      </c>
      <c r="DC44" s="142">
        <f t="shared" si="227"/>
        <v>0</v>
      </c>
      <c r="DD44" s="142">
        <f t="shared" si="227"/>
        <v>0</v>
      </c>
      <c r="DE44" s="142">
        <f t="shared" si="227"/>
        <v>0</v>
      </c>
      <c r="DF44" s="142">
        <f t="shared" si="227"/>
        <v>0</v>
      </c>
      <c r="DG44" s="142">
        <f t="shared" si="227"/>
        <v>0</v>
      </c>
      <c r="DH44" s="142">
        <f t="shared" si="227"/>
        <v>0</v>
      </c>
      <c r="DI44" s="142">
        <f t="shared" si="227"/>
        <v>0</v>
      </c>
      <c r="DJ44" s="142">
        <f t="shared" si="227"/>
        <v>0</v>
      </c>
      <c r="DK44" s="142">
        <f t="shared" si="227"/>
        <v>0</v>
      </c>
      <c r="DL44" s="142">
        <f t="shared" si="227"/>
        <v>0</v>
      </c>
      <c r="DM44" s="142">
        <f t="shared" si="227"/>
        <v>0</v>
      </c>
      <c r="DN44" s="142">
        <f t="shared" si="227"/>
        <v>0</v>
      </c>
      <c r="DO44" s="142">
        <f t="shared" si="227"/>
        <v>0</v>
      </c>
      <c r="DP44" s="142">
        <f t="shared" si="227"/>
        <v>0</v>
      </c>
      <c r="DQ44" s="142">
        <f t="shared" si="227"/>
        <v>0</v>
      </c>
      <c r="DR44" s="142">
        <f t="shared" si="227"/>
        <v>0</v>
      </c>
      <c r="DS44" s="142">
        <f t="shared" si="227"/>
        <v>0</v>
      </c>
      <c r="DT44" s="142">
        <f t="shared" si="227"/>
        <v>0</v>
      </c>
      <c r="DU44" s="142">
        <f t="shared" si="227"/>
        <v>0</v>
      </c>
      <c r="DV44" s="142">
        <f t="shared" si="227"/>
        <v>0</v>
      </c>
      <c r="DW44" s="142">
        <f t="shared" si="227"/>
        <v>0</v>
      </c>
      <c r="DX44" s="142">
        <f t="shared" si="227"/>
        <v>0</v>
      </c>
      <c r="DY44" s="142">
        <f t="shared" si="227"/>
        <v>0</v>
      </c>
      <c r="DZ44" s="142">
        <f t="shared" si="227"/>
        <v>0</v>
      </c>
      <c r="EA44" s="143">
        <f t="shared" si="174"/>
        <v>0</v>
      </c>
      <c r="EB44" s="143">
        <f t="shared" si="175"/>
        <v>0</v>
      </c>
      <c r="EC44" s="143">
        <f t="shared" si="176"/>
        <v>0</v>
      </c>
      <c r="ED44" s="143">
        <f t="shared" si="177"/>
        <v>0</v>
      </c>
      <c r="EE44" s="143">
        <f t="shared" si="178"/>
        <v>0</v>
      </c>
      <c r="EF44" s="143">
        <f t="shared" si="179"/>
        <v>12</v>
      </c>
      <c r="EG44" s="143">
        <f t="shared" si="180"/>
        <v>0</v>
      </c>
      <c r="EH44" s="143">
        <f t="shared" si="181"/>
        <v>0</v>
      </c>
      <c r="EI44" s="143">
        <f t="shared" si="182"/>
        <v>0</v>
      </c>
      <c r="EJ44" s="143">
        <f t="shared" si="183"/>
        <v>0</v>
      </c>
      <c r="EK44" s="143">
        <f t="shared" si="184"/>
        <v>12</v>
      </c>
      <c r="EL44" s="143">
        <f t="shared" si="185"/>
        <v>0</v>
      </c>
      <c r="EM44" s="143">
        <f t="shared" si="186"/>
        <v>0</v>
      </c>
      <c r="EN44" s="143">
        <f t="shared" si="187"/>
        <v>0</v>
      </c>
      <c r="EO44" s="143">
        <f t="shared" si="188"/>
        <v>0</v>
      </c>
      <c r="EP44" s="143">
        <f t="shared" si="189"/>
        <v>12</v>
      </c>
      <c r="EQ44" s="143">
        <f t="shared" si="190"/>
        <v>0</v>
      </c>
      <c r="ER44" s="143">
        <f t="shared" si="191"/>
        <v>0</v>
      </c>
      <c r="ES44" s="143">
        <f t="shared" si="192"/>
        <v>0</v>
      </c>
      <c r="ET44" s="143">
        <f t="shared" si="193"/>
        <v>0</v>
      </c>
      <c r="EU44" s="143">
        <f t="shared" si="194"/>
        <v>12</v>
      </c>
      <c r="EV44" s="143">
        <f t="shared" si="195"/>
        <v>0</v>
      </c>
      <c r="EW44" s="143">
        <f t="shared" si="196"/>
        <v>0</v>
      </c>
      <c r="EX44" s="143">
        <f t="shared" si="197"/>
        <v>0</v>
      </c>
      <c r="EY44" s="143">
        <f t="shared" si="198"/>
        <v>0</v>
      </c>
      <c r="EZ44" s="143">
        <f t="shared" si="199"/>
        <v>12</v>
      </c>
      <c r="FA44" s="143">
        <f t="shared" si="200"/>
        <v>0</v>
      </c>
      <c r="FB44" s="143">
        <f t="shared" si="201"/>
        <v>0</v>
      </c>
      <c r="FC44" s="143">
        <f t="shared" si="202"/>
        <v>0</v>
      </c>
      <c r="FD44" s="143">
        <f t="shared" si="203"/>
        <v>0</v>
      </c>
      <c r="FE44" s="140">
        <f>SUM($D44:D44)*IF($B44="Operacional",IFERROR(VLOOKUP($C44,SN_UGC,28,0),0),1)</f>
        <v>12</v>
      </c>
      <c r="FF44" s="140">
        <f>SUM($D44:E44)*IF($B44="Operacional",IFERROR(VLOOKUP($C44,SN_UGC,28,0),0),1)</f>
        <v>12</v>
      </c>
      <c r="FG44" s="140">
        <f>SUM($D44:F44)*IF($B44="Operacional",IFERROR(VLOOKUP($C44,SN_UGC,28,0),0),1)</f>
        <v>12</v>
      </c>
      <c r="FH44" s="140">
        <f>SUM($D44:G44)*IF($B44="Operacional",IFERROR(VLOOKUP($C44,SN_UGC,28,0),0),1)</f>
        <v>12</v>
      </c>
      <c r="FI44" s="140">
        <f>SUM($D44:H44)*IF($B44="Operacional",IFERROR(VLOOKUP($C44,SN_UGC,28,0),0),1)</f>
        <v>12</v>
      </c>
      <c r="FJ44" s="140">
        <f>SUM($D44:I44)*IF($B44="Operacional",IFERROR(VLOOKUP($C44,SN_UGC,28,0),0),1)</f>
        <v>12</v>
      </c>
      <c r="FK44" s="140">
        <f>SUM($D44:J44)*IF($B44="Operacional",IFERROR(VLOOKUP($C44,SN_UGC,28,0),0),1)</f>
        <v>12</v>
      </c>
      <c r="FL44" s="140">
        <f>SUM($D44:K44)*IF($B44="Operacional",IFERROR(VLOOKUP($C44,SN_UGC,28,0),0),1)</f>
        <v>12</v>
      </c>
      <c r="FM44" s="140">
        <f>SUM($D44:L44)*IF($B44="Operacional",IFERROR(VLOOKUP($C44,SN_UGC,28,0),0),1)</f>
        <v>12</v>
      </c>
      <c r="FN44" s="140">
        <f>SUM($D44:M44)*IF($B44="Operacional",IFERROR(VLOOKUP($C44,SN_UGC,28,0),0),1)</f>
        <v>12</v>
      </c>
      <c r="FO44" s="140">
        <f>SUM($D44:N44)*IF($B44="Operacional",IFERROR(VLOOKUP($C44,SN_UGC,28,0),0),1)</f>
        <v>12</v>
      </c>
      <c r="FP44" s="140">
        <f>SUM($D44:O44)*IF($B44="Operacional",IFERROR(VLOOKUP($C44,SN_UGC,28,0),0),1)</f>
        <v>12</v>
      </c>
      <c r="FQ44" s="140">
        <f>SUM($D44:P44)*IF($B44="Operacional",IFERROR(VLOOKUP($C44,SN_UGC,28,0),0),1)</f>
        <v>12</v>
      </c>
      <c r="FR44" s="140">
        <f>SUM($D44:Q44)*IF($B44="Operacional",IFERROR(VLOOKUP($C44,SN_UGC,28,0),0),1)</f>
        <v>12</v>
      </c>
      <c r="FS44" s="140">
        <f>SUM($D44:R44)*IF($B44="Operacional",IFERROR(VLOOKUP($C44,SN_UGC,28,0),0),1)</f>
        <v>12</v>
      </c>
      <c r="FT44" s="140">
        <f>SUM($D44:S44)*IF($B44="Operacional",IFERROR(VLOOKUP($C44,SN_UGC,28,0),0),1)</f>
        <v>12</v>
      </c>
      <c r="FU44" s="140">
        <f>SUM($D44:T44)*IF($B44="Operacional",IFERROR(VLOOKUP($C44,SN_UGC,28,0),0),1)</f>
        <v>12</v>
      </c>
      <c r="FV44" s="140">
        <f>SUM($D44:U44)*IF($B44="Operacional",IFERROR(VLOOKUP($C44,SN_UGC,28,0),0),1)</f>
        <v>12</v>
      </c>
      <c r="FW44" s="140">
        <f>SUM($D44:V44)*IF($B44="Operacional",IFERROR(VLOOKUP($C44,SN_UGC,28,0),0),1)</f>
        <v>12</v>
      </c>
      <c r="FX44" s="140">
        <f>SUM($D44:W44)*IF($B44="Operacional",IFERROR(VLOOKUP($C44,SN_UGC,28,0),0),1)</f>
        <v>12</v>
      </c>
      <c r="FY44" s="140">
        <f>SUM($D44:X44)*IF($B44="Operacional",IFERROR(VLOOKUP($C44,SN_UGC,28,0),0),1)</f>
        <v>12</v>
      </c>
      <c r="FZ44" s="140">
        <f>SUM($D44:Y44)*IF($B44="Operacional",IFERROR(VLOOKUP($C44,SN_UGC,28,0),0),1)</f>
        <v>12</v>
      </c>
      <c r="GA44" s="140">
        <f>SUM($D44:Z44)*IF($B44="Operacional",IFERROR(VLOOKUP($C44,SN_UGC,28,0),0),1)</f>
        <v>12</v>
      </c>
      <c r="GB44" s="140">
        <f>SUM($D44:AA44)*IF($B44="Operacional",IFERROR(VLOOKUP($C44,SN_UGC,28,0),0),1)</f>
        <v>12</v>
      </c>
      <c r="GC44" s="140">
        <f>SUM($D44:AB44)*IF($B44="Operacional",IFERROR(VLOOKUP($C44,SN_UGC,28,0),0),1)</f>
        <v>12</v>
      </c>
      <c r="GD44" s="140">
        <f>SUM($D44:AC44)*IF($B44="Operacional",IFERROR(VLOOKUP($C44,SN_UGC,28,0),0),1)</f>
        <v>12</v>
      </c>
      <c r="GE44" s="140">
        <f>SUM($D44:AD44)*IF($B44="Operacional",IFERROR(VLOOKUP($C44,SN_UGC,28,0),0),1)</f>
        <v>12</v>
      </c>
      <c r="GF44" s="140">
        <f>SUM($D44:AE44)*IF($B44="Operacional",IFERROR(VLOOKUP($C44,SN_UGC,28,0),0),1)</f>
        <v>12</v>
      </c>
      <c r="GG44" s="140">
        <f>SUM($D44:AF44)*IF($B44="Operacional",IFERROR(VLOOKUP($C44,SN_UGC,28,0),0),1)</f>
        <v>12</v>
      </c>
      <c r="GH44" s="140">
        <f>SUM($D44:AG44)*IF($B44="Operacional",IFERROR(VLOOKUP($C44,SN_UGC,28,0),0),1)</f>
        <v>12</v>
      </c>
      <c r="GI44" s="141">
        <f t="shared" ref="GI44:HL44" si="228">FE44*$AH44*$AL44</f>
        <v>559.01340000000005</v>
      </c>
      <c r="GJ44" s="141">
        <f t="shared" si="228"/>
        <v>559.01340000000005</v>
      </c>
      <c r="GK44" s="141">
        <f t="shared" si="228"/>
        <v>559.01340000000005</v>
      </c>
      <c r="GL44" s="141">
        <f t="shared" si="228"/>
        <v>559.01340000000005</v>
      </c>
      <c r="GM44" s="141">
        <f t="shared" si="228"/>
        <v>559.01340000000005</v>
      </c>
      <c r="GN44" s="141">
        <f t="shared" si="228"/>
        <v>559.01340000000005</v>
      </c>
      <c r="GO44" s="141">
        <f t="shared" si="228"/>
        <v>559.01340000000005</v>
      </c>
      <c r="GP44" s="141">
        <f t="shared" si="228"/>
        <v>559.01340000000005</v>
      </c>
      <c r="GQ44" s="141">
        <f t="shared" si="228"/>
        <v>559.01340000000005</v>
      </c>
      <c r="GR44" s="141">
        <f t="shared" si="228"/>
        <v>559.01340000000005</v>
      </c>
      <c r="GS44" s="141">
        <f t="shared" si="228"/>
        <v>559.01340000000005</v>
      </c>
      <c r="GT44" s="141">
        <f t="shared" si="228"/>
        <v>559.01340000000005</v>
      </c>
      <c r="GU44" s="141">
        <f t="shared" si="228"/>
        <v>559.01340000000005</v>
      </c>
      <c r="GV44" s="141">
        <f t="shared" si="228"/>
        <v>559.01340000000005</v>
      </c>
      <c r="GW44" s="141">
        <f t="shared" si="228"/>
        <v>559.01340000000005</v>
      </c>
      <c r="GX44" s="141">
        <f t="shared" si="228"/>
        <v>559.01340000000005</v>
      </c>
      <c r="GY44" s="141">
        <f t="shared" si="228"/>
        <v>559.01340000000005</v>
      </c>
      <c r="GZ44" s="141">
        <f t="shared" si="228"/>
        <v>559.01340000000005</v>
      </c>
      <c r="HA44" s="141">
        <f t="shared" si="228"/>
        <v>559.01340000000005</v>
      </c>
      <c r="HB44" s="141">
        <f t="shared" si="228"/>
        <v>559.01340000000005</v>
      </c>
      <c r="HC44" s="141">
        <f t="shared" si="228"/>
        <v>559.01340000000005</v>
      </c>
      <c r="HD44" s="141">
        <f t="shared" si="228"/>
        <v>559.01340000000005</v>
      </c>
      <c r="HE44" s="141">
        <f t="shared" si="228"/>
        <v>559.01340000000005</v>
      </c>
      <c r="HF44" s="141">
        <f t="shared" si="228"/>
        <v>559.01340000000005</v>
      </c>
      <c r="HG44" s="141">
        <f t="shared" si="228"/>
        <v>559.01340000000005</v>
      </c>
      <c r="HH44" s="141">
        <f t="shared" si="228"/>
        <v>559.01340000000005</v>
      </c>
      <c r="HI44" s="141">
        <f t="shared" si="228"/>
        <v>559.01340000000005</v>
      </c>
      <c r="HJ44" s="141">
        <f t="shared" si="228"/>
        <v>559.01340000000005</v>
      </c>
      <c r="HK44" s="141">
        <f t="shared" si="228"/>
        <v>559.01340000000005</v>
      </c>
      <c r="HL44" s="141">
        <f t="shared" si="228"/>
        <v>559.01340000000005</v>
      </c>
      <c r="HM44" s="142">
        <f t="shared" ref="HM44:IP44" si="229">IF(ISBLANK($A44),,FE44*($AH44-($AH44*$AJ44))/$AI44)</f>
        <v>2236.0536000000002</v>
      </c>
      <c r="HN44" s="142">
        <f t="shared" si="229"/>
        <v>2236.0536000000002</v>
      </c>
      <c r="HO44" s="142">
        <f t="shared" si="229"/>
        <v>2236.0536000000002</v>
      </c>
      <c r="HP44" s="142">
        <f t="shared" si="229"/>
        <v>2236.0536000000002</v>
      </c>
      <c r="HQ44" s="142">
        <f t="shared" si="229"/>
        <v>2236.0536000000002</v>
      </c>
      <c r="HR44" s="142">
        <f t="shared" si="229"/>
        <v>2236.0536000000002</v>
      </c>
      <c r="HS44" s="142">
        <f t="shared" si="229"/>
        <v>2236.0536000000002</v>
      </c>
      <c r="HT44" s="142">
        <f t="shared" si="229"/>
        <v>2236.0536000000002</v>
      </c>
      <c r="HU44" s="142">
        <f t="shared" si="229"/>
        <v>2236.0536000000002</v>
      </c>
      <c r="HV44" s="142">
        <f t="shared" si="229"/>
        <v>2236.0536000000002</v>
      </c>
      <c r="HW44" s="142">
        <f t="shared" si="229"/>
        <v>2236.0536000000002</v>
      </c>
      <c r="HX44" s="142">
        <f t="shared" si="229"/>
        <v>2236.0536000000002</v>
      </c>
      <c r="HY44" s="142">
        <f t="shared" si="229"/>
        <v>2236.0536000000002</v>
      </c>
      <c r="HZ44" s="142">
        <f t="shared" si="229"/>
        <v>2236.0536000000002</v>
      </c>
      <c r="IA44" s="142">
        <f t="shared" si="229"/>
        <v>2236.0536000000002</v>
      </c>
      <c r="IB44" s="142">
        <f t="shared" si="229"/>
        <v>2236.0536000000002</v>
      </c>
      <c r="IC44" s="142">
        <f t="shared" si="229"/>
        <v>2236.0536000000002</v>
      </c>
      <c r="ID44" s="142">
        <f t="shared" si="229"/>
        <v>2236.0536000000002</v>
      </c>
      <c r="IE44" s="142">
        <f t="shared" si="229"/>
        <v>2236.0536000000002</v>
      </c>
      <c r="IF44" s="142">
        <f t="shared" si="229"/>
        <v>2236.0536000000002</v>
      </c>
      <c r="IG44" s="142">
        <f t="shared" si="229"/>
        <v>2236.0536000000002</v>
      </c>
      <c r="IH44" s="142">
        <f t="shared" si="229"/>
        <v>2236.0536000000002</v>
      </c>
      <c r="II44" s="142">
        <f t="shared" si="229"/>
        <v>2236.0536000000002</v>
      </c>
      <c r="IJ44" s="142">
        <f t="shared" si="229"/>
        <v>2236.0536000000002</v>
      </c>
      <c r="IK44" s="142">
        <f t="shared" si="229"/>
        <v>2236.0536000000002</v>
      </c>
      <c r="IL44" s="142">
        <f t="shared" si="229"/>
        <v>2236.0536000000002</v>
      </c>
      <c r="IM44" s="142">
        <f t="shared" si="229"/>
        <v>2236.0536000000002</v>
      </c>
      <c r="IN44" s="142">
        <f t="shared" si="229"/>
        <v>2236.0536000000002</v>
      </c>
      <c r="IO44" s="142">
        <f t="shared" si="229"/>
        <v>2236.0536000000002</v>
      </c>
      <c r="IP44" s="142">
        <f t="shared" si="229"/>
        <v>2236.0536000000002</v>
      </c>
      <c r="IQ44" s="141">
        <f>IF(ISBLANK($A44),,IF($AN44="Não",0,(SUM($AO44:AO44)*$AH44)-SUM($HM44:HM44)-SUM($CW44:CW44)))</f>
        <v>0</v>
      </c>
      <c r="IR44" s="141">
        <f>IF(ISBLANK($A44),,IF($AN44="Não",0,(SUM($AO44:AP44)*$AH44)-SUM($HM44:HN44)-SUM($CW44:CX44)))</f>
        <v>0</v>
      </c>
      <c r="IS44" s="141">
        <f>IF(ISBLANK($A44),,IF($AN44="Não",0,(SUM($AO44:AQ44)*$AH44)-SUM($HM44:HO44)-SUM($CW44:CY44)))</f>
        <v>0</v>
      </c>
      <c r="IT44" s="141">
        <f>IF(ISBLANK($A44),,IF($AN44="Não",0,(SUM($AO44:AR44)*$AH44)-SUM($HM44:HP44)-SUM($CW44:CZ44)))</f>
        <v>0</v>
      </c>
      <c r="IU44" s="141">
        <f>IF(ISBLANK($A44),,IF($AN44="Não",0,(SUM($AO44:AS44)*$AH44)-SUM($HM44:HQ44)-SUM($CW44:DA44)))</f>
        <v>0</v>
      </c>
      <c r="IV44" s="141">
        <f>IF(ISBLANK($A44),,IF($AN44="Não",0,(SUM($AO44:AT44)*$AH44)-SUM($HM44:HR44)-SUM($CW44:DB44)))</f>
        <v>0</v>
      </c>
      <c r="IW44" s="141">
        <f>IF(ISBLANK($A44),,IF($AN44="Não",0,(SUM($AO44:AU44)*$AH44)-SUM($HM44:HS44)-SUM($CW44:DC44)))</f>
        <v>0</v>
      </c>
      <c r="IX44" s="141">
        <f>IF(ISBLANK($A44),,IF($AN44="Não",0,(SUM($AO44:AV44)*$AH44)-SUM($HM44:HT44)-SUM($CW44:DD44)))</f>
        <v>0</v>
      </c>
      <c r="IY44" s="141">
        <f>IF(ISBLANK($A44),,IF($AN44="Não",0,(SUM($AO44:AW44)*$AH44)-SUM($HM44:HU44)-SUM($CW44:DE44)))</f>
        <v>0</v>
      </c>
      <c r="IZ44" s="141">
        <f>IF(ISBLANK($A44),,IF($AN44="Não",0,(SUM($AO44:AX44)*$AH44)-SUM($HM44:HV44)-SUM($CW44:DF44)))</f>
        <v>0</v>
      </c>
      <c r="JA44" s="141">
        <f>IF(ISBLANK($A44),,IF($AN44="Não",0,(SUM($AO44:AY44)*$AH44)-SUM($HM44:HW44)-SUM($CW44:DG44)))</f>
        <v>0</v>
      </c>
      <c r="JB44" s="141">
        <f>IF(ISBLANK($A44),,IF($AN44="Não",0,(SUM($AO44:AZ44)*$AH44)-SUM($HM44:HX44)-SUM($CW44:DH44)))</f>
        <v>0</v>
      </c>
      <c r="JC44" s="141">
        <f>IF(ISBLANK($A44),,IF($AN44="Não",0,(SUM($AO44:BA44)*$AH44)-SUM($HM44:HY44)-SUM($CW44:DI44)))</f>
        <v>0</v>
      </c>
      <c r="JD44" s="141">
        <f>IF(ISBLANK($A44),,IF($AN44="Não",0,(SUM($AO44:BB44)*$AH44)-SUM($HM44:HZ44)-SUM($CW44:DJ44)))</f>
        <v>0</v>
      </c>
      <c r="JE44" s="141">
        <f>IF(ISBLANK($A44),,IF($AN44="Não",0,(SUM($AO44:BC44)*$AH44)-SUM($HM44:IA44)-SUM($CW44:DK44)))</f>
        <v>0</v>
      </c>
      <c r="JF44" s="141">
        <f>IF(ISBLANK($A44),,IF($AN44="Não",0,(SUM($AO44:BD44)*$AH44)-SUM($HM44:IB44)-SUM($CW44:DL44)))</f>
        <v>0</v>
      </c>
      <c r="JG44" s="141">
        <f>IF(ISBLANK($A44),,IF($AN44="Não",0,(SUM($AO44:BE44)*$AH44)-SUM($HM44:IC44)-SUM($CW44:DM44)))</f>
        <v>0</v>
      </c>
      <c r="JH44" s="141">
        <f>IF(ISBLANK($A44),,IF($AN44="Não",0,(SUM($AO44:BF44)*$AH44)-SUM($HM44:ID44)-SUM($CW44:DN44)))</f>
        <v>0</v>
      </c>
      <c r="JI44" s="141">
        <f>IF(ISBLANK($A44),,IF($AN44="Não",0,(SUM($AO44:BG44)*$AH44)-SUM($HM44:IE44)-SUM($CW44:DO44)))</f>
        <v>0</v>
      </c>
      <c r="JJ44" s="141">
        <f>IF(ISBLANK($A44),,IF($AN44="Não",0,(SUM($AO44:BH44)*$AH44)-SUM($HM44:IF44)-SUM($CW44:DP44)))</f>
        <v>0</v>
      </c>
      <c r="JK44" s="141">
        <f>IF(ISBLANK($A44),,IF($AN44="Não",0,(SUM($AO44:BI44)*$AH44)-SUM($HM44:IG44)-SUM($CW44:DQ44)))</f>
        <v>0</v>
      </c>
      <c r="JL44" s="141">
        <f>IF(ISBLANK($A44),,IF($AN44="Não",0,(SUM($AO44:BJ44)*$AH44)-SUM($HM44:IH44)-SUM($CW44:DR44)))</f>
        <v>0</v>
      </c>
      <c r="JM44" s="141">
        <f>IF(ISBLANK($A44),,IF($AN44="Não",0,(SUM($AO44:BK44)*$AH44)-SUM($HM44:II44)-SUM($CW44:DS44)))</f>
        <v>0</v>
      </c>
      <c r="JN44" s="141">
        <f>IF(ISBLANK($A44),,IF($AN44="Não",0,(SUM($AO44:BL44)*$AH44)-SUM($HM44:IJ44)-SUM($CW44:DT44)))</f>
        <v>0</v>
      </c>
      <c r="JO44" s="141">
        <f>IF(ISBLANK($A44),,IF($AN44="Não",0,(SUM($AO44:BM44)*$AH44)-SUM($HM44:IK44)-SUM($CW44:DU44)))</f>
        <v>0</v>
      </c>
      <c r="JP44" s="141">
        <f>IF(ISBLANK($A44),,IF($AN44="Não",0,(SUM($AO44:BN44)*$AH44)-SUM($HM44:IL44)-SUM($CW44:DV44)))</f>
        <v>0</v>
      </c>
      <c r="JQ44" s="141">
        <f>IF(ISBLANK($A44),,IF($AN44="Não",0,(SUM($AO44:BO44)*$AH44)-SUM($HM44:IM44)-SUM($CW44:DW44)))</f>
        <v>0</v>
      </c>
      <c r="JR44" s="141">
        <f>IF(ISBLANK($A44),,IF($AN44="Não",0,(SUM($AO44:BP44)*$AH44)-SUM($HM44:IN44)-SUM($CW44:DX44)))</f>
        <v>0</v>
      </c>
      <c r="JS44" s="141">
        <f>IF(ISBLANK($A44),,IF($AN44="Não",0,(SUM($AO44:BQ44)*$AH44)-SUM($HM44:IO44)-SUM($CW44:DY44)))</f>
        <v>0</v>
      </c>
      <c r="JT44" s="141">
        <f>IF(ISBLANK($A44),,IF($AN44="Não",0,(SUM($AO44:BR44)*$AH44)-SUM($HM44:IP44)-SUM($CW44:DZ44)))</f>
        <v>0</v>
      </c>
    </row>
    <row r="45" spans="1:280" ht="15.75" customHeight="1">
      <c r="A45" s="129" t="s">
        <v>413</v>
      </c>
      <c r="B45" s="129" t="s">
        <v>209</v>
      </c>
      <c r="C45" s="138" t="s">
        <v>79</v>
      </c>
      <c r="D45" s="139">
        <v>1500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607">
        <f t="shared" si="165"/>
        <v>104.50000000000001</v>
      </c>
      <c r="AI45" s="608">
        <f t="shared" si="166"/>
        <v>30</v>
      </c>
      <c r="AJ45" s="609">
        <f t="shared" si="167"/>
        <v>1</v>
      </c>
      <c r="AK45" s="610" t="str">
        <f t="shared" si="168"/>
        <v>Outros</v>
      </c>
      <c r="AL45" s="609">
        <f t="shared" si="169"/>
        <v>0.05</v>
      </c>
      <c r="AM45" s="611" t="str">
        <f t="shared" si="170"/>
        <v>Sim</v>
      </c>
      <c r="AN45" s="611" t="str">
        <f t="shared" si="171"/>
        <v>Sim</v>
      </c>
      <c r="AO45" s="140">
        <f t="array" ref="AO45">IF(ISBLANK($A45),0,IF(OR(AO$5-$AI45&lt;=0,$AM45="Não"),D45,D45+INDEX($AO$6:$BR$176,ROW()-5,COLUMN()-40-$AI45)))*IF($B45="Operacional",IFERROR(VLOOKUP($C45,SN_UGC,28,0),0),1)</f>
        <v>1500</v>
      </c>
      <c r="AP45" s="140">
        <f t="array" ref="AP45">IF(ISBLANK($A45),0,IF(OR(AP$5-$AI45&lt;=0,$AM45="Não"),E45,E45+INDEX($AO$6:$BR$176,ROW()-5,COLUMN()-40-$AI45)))*IF($B45="Operacional",IFERROR(VLOOKUP($C45,SN_UGC,28,0),0),1)</f>
        <v>0</v>
      </c>
      <c r="AQ45" s="140">
        <f t="array" ref="AQ45">IF(ISBLANK($A45),0,IF(OR(AQ$5-$AI45&lt;=0,$AM45="Não"),F45,F45+INDEX($AO$6:$BR$176,ROW()-5,COLUMN()-40-$AI45)))*IF($B45="Operacional",IFERROR(VLOOKUP($C45,SN_UGC,28,0),0),1)</f>
        <v>0</v>
      </c>
      <c r="AR45" s="140">
        <f t="array" ref="AR45">IF(ISBLANK($A45),0,IF(OR(AR$5-$AI45&lt;=0,$AM45="Não"),G45,G45+INDEX($AO$6:$BR$176,ROW()-5,COLUMN()-40-$AI45)))*IF($B45="Operacional",IFERROR(VLOOKUP($C45,SN_UGC,28,0),0),1)</f>
        <v>0</v>
      </c>
      <c r="AS45" s="140">
        <f t="array" ref="AS45">IF(ISBLANK($A45),0,IF(OR(AS$5-$AI45&lt;=0,$AM45="Não"),H45,H45+INDEX($AO$6:$BR$176,ROW()-5,COLUMN()-40-$AI45)))*IF($B45="Operacional",IFERROR(VLOOKUP($C45,SN_UGC,28,0),0),1)</f>
        <v>0</v>
      </c>
      <c r="AT45" s="140">
        <f t="array" ref="AT45">IF(ISBLANK($A45),0,IF(OR(AT$5-$AI45&lt;=0,$AM45="Não"),I45,I45+INDEX($AO$6:$BR$176,ROW()-5,COLUMN()-40-$AI45)))*IF($B45="Operacional",IFERROR(VLOOKUP($C45,SN_UGC,28,0),0),1)</f>
        <v>0</v>
      </c>
      <c r="AU45" s="140">
        <f t="array" ref="AU45">IF(ISBLANK($A45),0,IF(OR(AU$5-$AI45&lt;=0,$AM45="Não"),J45,J45+INDEX($AO$6:$BR$176,ROW()-5,COLUMN()-40-$AI45)))*IF($B45="Operacional",IFERROR(VLOOKUP($C45,SN_UGC,28,0),0),1)</f>
        <v>0</v>
      </c>
      <c r="AV45" s="140">
        <f t="array" ref="AV45">IF(ISBLANK($A45),0,IF(OR(AV$5-$AI45&lt;=0,$AM45="Não"),K45,K45+INDEX($AO$6:$BR$176,ROW()-5,COLUMN()-40-$AI45)))*IF($B45="Operacional",IFERROR(VLOOKUP($C45,SN_UGC,28,0),0),1)</f>
        <v>0</v>
      </c>
      <c r="AW45" s="140">
        <f t="array" ref="AW45">IF(ISBLANK($A45),0,IF(OR(AW$5-$AI45&lt;=0,$AM45="Não"),L45,L45+INDEX($AO$6:$BR$176,ROW()-5,COLUMN()-40-$AI45)))*IF($B45="Operacional",IFERROR(VLOOKUP($C45,SN_UGC,28,0),0),1)</f>
        <v>0</v>
      </c>
      <c r="AX45" s="140">
        <f t="array" ref="AX45">IF(ISBLANK($A45),0,IF(OR(AX$5-$AI45&lt;=0,$AM45="Não"),M45,M45+INDEX($AO$6:$BR$176,ROW()-5,COLUMN()-40-$AI45)))*IF($B45="Operacional",IFERROR(VLOOKUP($C45,SN_UGC,28,0),0),1)</f>
        <v>0</v>
      </c>
      <c r="AY45" s="140">
        <f t="array" ref="AY45">IF(ISBLANK($A45),0,IF(OR(AY$5-$AI45&lt;=0,$AM45="Não"),N45,N45+INDEX($AO$6:$BR$176,ROW()-5,COLUMN()-40-$AI45)))*IF($B45="Operacional",IFERROR(VLOOKUP($C45,SN_UGC,28,0),0),1)</f>
        <v>0</v>
      </c>
      <c r="AZ45" s="140">
        <f t="array" ref="AZ45">IF(ISBLANK($A45),0,IF(OR(AZ$5-$AI45&lt;=0,$AM45="Não"),O45,O45+INDEX($AO$6:$BR$176,ROW()-5,COLUMN()-40-$AI45)))*IF($B45="Operacional",IFERROR(VLOOKUP($C45,SN_UGC,28,0),0),1)</f>
        <v>0</v>
      </c>
      <c r="BA45" s="140">
        <f t="array" ref="BA45">IF(ISBLANK($A45),0,IF(OR(BA$5-$AI45&lt;=0,$AM45="Não"),P45,P45+INDEX($AO$6:$BR$176,ROW()-5,COLUMN()-40-$AI45)))*IF($B45="Operacional",IFERROR(VLOOKUP($C45,SN_UGC,28,0),0),1)</f>
        <v>0</v>
      </c>
      <c r="BB45" s="140">
        <f t="array" ref="BB45">IF(ISBLANK($A45),0,IF(OR(BB$5-$AI45&lt;=0,$AM45="Não"),Q45,Q45+INDEX($AO$6:$BR$176,ROW()-5,COLUMN()-40-$AI45)))*IF($B45="Operacional",IFERROR(VLOOKUP($C45,SN_UGC,28,0),0),1)</f>
        <v>0</v>
      </c>
      <c r="BC45" s="140">
        <f t="array" ref="BC45">IF(ISBLANK($A45),0,IF(OR(BC$5-$AI45&lt;=0,$AM45="Não"),R45,R45+INDEX($AO$6:$BR$176,ROW()-5,COLUMN()-40-$AI45)))*IF($B45="Operacional",IFERROR(VLOOKUP($C45,SN_UGC,28,0),0),1)</f>
        <v>0</v>
      </c>
      <c r="BD45" s="140">
        <f t="array" ref="BD45">IF(ISBLANK($A45),0,IF(OR(BD$5-$AI45&lt;=0,$AM45="Não"),S45,S45+INDEX($AO$6:$BR$176,ROW()-5,COLUMN()-40-$AI45)))*IF($B45="Operacional",IFERROR(VLOOKUP($C45,SN_UGC,28,0),0),1)</f>
        <v>0</v>
      </c>
      <c r="BE45" s="140">
        <f t="array" ref="BE45">IF(ISBLANK($A45),0,IF(OR(BE$5-$AI45&lt;=0,$AM45="Não"),T45,T45+INDEX($AO$6:$BR$176,ROW()-5,COLUMN()-40-$AI45)))*IF($B45="Operacional",IFERROR(VLOOKUP($C45,SN_UGC,28,0),0),1)</f>
        <v>0</v>
      </c>
      <c r="BF45" s="140">
        <f t="array" ref="BF45">IF(ISBLANK($A45),0,IF(OR(BF$5-$AI45&lt;=0,$AM45="Não"),U45,U45+INDEX($AO$6:$BR$176,ROW()-5,COLUMN()-40-$AI45)))*IF($B45="Operacional",IFERROR(VLOOKUP($C45,SN_UGC,28,0),0),1)</f>
        <v>0</v>
      </c>
      <c r="BG45" s="140">
        <f t="array" ref="BG45">IF(ISBLANK($A45),0,IF(OR(BG$5-$AI45&lt;=0,$AM45="Não"),V45,V45+INDEX($AO$6:$BR$176,ROW()-5,COLUMN()-40-$AI45)))*IF($B45="Operacional",IFERROR(VLOOKUP($C45,SN_UGC,28,0),0),1)</f>
        <v>0</v>
      </c>
      <c r="BH45" s="140">
        <f t="array" ref="BH45">IF(ISBLANK($A45),0,IF(OR(BH$5-$AI45&lt;=0,$AM45="Não"),W45,W45+INDEX($AO$6:$BR$176,ROW()-5,COLUMN()-40-$AI45)))*IF($B45="Operacional",IFERROR(VLOOKUP($C45,SN_UGC,28,0),0),1)</f>
        <v>0</v>
      </c>
      <c r="BI45" s="140">
        <f t="array" ref="BI45">IF(ISBLANK($A45),0,IF(OR(BI$5-$AI45&lt;=0,$AM45="Não"),X45,X45+INDEX($AO$6:$BR$176,ROW()-5,COLUMN()-40-$AI45)))*IF($B45="Operacional",IFERROR(VLOOKUP($C45,SN_UGC,28,0),0),1)</f>
        <v>0</v>
      </c>
      <c r="BJ45" s="140">
        <f t="array" ref="BJ45">IF(ISBLANK($A45),0,IF(OR(BJ$5-$AI45&lt;=0,$AM45="Não"),Y45,Y45+INDEX($AO$6:$BR$176,ROW()-5,COLUMN()-40-$AI45)))*IF($B45="Operacional",IFERROR(VLOOKUP($C45,SN_UGC,28,0),0),1)</f>
        <v>0</v>
      </c>
      <c r="BK45" s="140">
        <f t="array" ref="BK45">IF(ISBLANK($A45),0,IF(OR(BK$5-$AI45&lt;=0,$AM45="Não"),Z45,Z45+INDEX($AO$6:$BR$176,ROW()-5,COLUMN()-40-$AI45)))*IF($B45="Operacional",IFERROR(VLOOKUP($C45,SN_UGC,28,0),0),1)</f>
        <v>0</v>
      </c>
      <c r="BL45" s="140">
        <f t="array" ref="BL45">IF(ISBLANK($A45),0,IF(OR(BL$5-$AI45&lt;=0,$AM45="Não"),AA45,AA45+INDEX($AO$6:$BR$176,ROW()-5,COLUMN()-40-$AI45)))*IF($B45="Operacional",IFERROR(VLOOKUP($C45,SN_UGC,28,0),0),1)</f>
        <v>0</v>
      </c>
      <c r="BM45" s="140">
        <f t="array" ref="BM45">IF(ISBLANK($A45),0,IF(OR(BM$5-$AI45&lt;=0,$AM45="Não"),AB45,AB45+INDEX($AO$6:$BR$176,ROW()-5,COLUMN()-40-$AI45)))*IF($B45="Operacional",IFERROR(VLOOKUP($C45,SN_UGC,28,0),0),1)</f>
        <v>0</v>
      </c>
      <c r="BN45" s="140">
        <f t="array" ref="BN45">IF(ISBLANK($A45),0,IF(OR(BN$5-$AI45&lt;=0,$AM45="Não"),AC45,AC45+INDEX($AO$6:$BR$176,ROW()-5,COLUMN()-40-$AI45)))*IF($B45="Operacional",IFERROR(VLOOKUP($C45,SN_UGC,28,0),0),1)</f>
        <v>0</v>
      </c>
      <c r="BO45" s="140">
        <f t="array" ref="BO45">IF(ISBLANK($A45),0,IF(OR(BO$5-$AI45&lt;=0,$AM45="Não"),AD45,AD45+INDEX($AO$6:$BR$176,ROW()-5,COLUMN()-40-$AI45)))*IF($B45="Operacional",IFERROR(VLOOKUP($C45,SN_UGC,28,0),0),1)</f>
        <v>0</v>
      </c>
      <c r="BP45" s="140">
        <f t="array" ref="BP45">IF(ISBLANK($A45),0,IF(OR(BP$5-$AI45&lt;=0,$AM45="Não"),AE45,AE45+INDEX($AO$6:$BR$176,ROW()-5,COLUMN()-40-$AI45)))*IF($B45="Operacional",IFERROR(VLOOKUP($C45,SN_UGC,28,0),0),1)</f>
        <v>0</v>
      </c>
      <c r="BQ45" s="140">
        <f t="array" ref="BQ45">IF(ISBLANK($A45),0,IF(OR(BQ$5-$AI45&lt;=0,$AM45="Não"),AF45,AF45+INDEX($AO$6:$BR$176,ROW()-5,COLUMN()-40-$AI45)))*IF($B45="Operacional",IFERROR(VLOOKUP($C45,SN_UGC,28,0),0),1)</f>
        <v>0</v>
      </c>
      <c r="BR45" s="140">
        <f t="array" ref="BR45">IF(ISBLANK($A45),0,IF(OR(BR$5-$AI45&lt;=0,$AM45="Não"),AG45,AG45+INDEX($AO$6:$BR$176,ROW()-5,COLUMN()-40-$AI45)))*IF($B45="Operacional",IFERROR(VLOOKUP($C45,SN_UGC,28,0),0),1)</f>
        <v>0</v>
      </c>
      <c r="BS45" s="141">
        <f t="shared" ref="BS45:CV45" si="230">IF(ISBLANK($A45),0,$AH45*AO45)</f>
        <v>156750.00000000003</v>
      </c>
      <c r="BT45" s="141">
        <f t="shared" si="230"/>
        <v>0</v>
      </c>
      <c r="BU45" s="141">
        <f t="shared" si="230"/>
        <v>0</v>
      </c>
      <c r="BV45" s="141">
        <f t="shared" si="230"/>
        <v>0</v>
      </c>
      <c r="BW45" s="141">
        <f t="shared" si="230"/>
        <v>0</v>
      </c>
      <c r="BX45" s="141">
        <f t="shared" si="230"/>
        <v>0</v>
      </c>
      <c r="BY45" s="141">
        <f t="shared" si="230"/>
        <v>0</v>
      </c>
      <c r="BZ45" s="141">
        <f t="shared" si="230"/>
        <v>0</v>
      </c>
      <c r="CA45" s="141">
        <f t="shared" si="230"/>
        <v>0</v>
      </c>
      <c r="CB45" s="141">
        <f t="shared" si="230"/>
        <v>0</v>
      </c>
      <c r="CC45" s="141">
        <f t="shared" si="230"/>
        <v>0</v>
      </c>
      <c r="CD45" s="141">
        <f t="shared" si="230"/>
        <v>0</v>
      </c>
      <c r="CE45" s="141">
        <f t="shared" si="230"/>
        <v>0</v>
      </c>
      <c r="CF45" s="141">
        <f t="shared" si="230"/>
        <v>0</v>
      </c>
      <c r="CG45" s="141">
        <f t="shared" si="230"/>
        <v>0</v>
      </c>
      <c r="CH45" s="141">
        <f t="shared" si="230"/>
        <v>0</v>
      </c>
      <c r="CI45" s="141">
        <f t="shared" si="230"/>
        <v>0</v>
      </c>
      <c r="CJ45" s="141">
        <f t="shared" si="230"/>
        <v>0</v>
      </c>
      <c r="CK45" s="141">
        <f t="shared" si="230"/>
        <v>0</v>
      </c>
      <c r="CL45" s="141">
        <f t="shared" si="230"/>
        <v>0</v>
      </c>
      <c r="CM45" s="141">
        <f t="shared" si="230"/>
        <v>0</v>
      </c>
      <c r="CN45" s="141">
        <f t="shared" si="230"/>
        <v>0</v>
      </c>
      <c r="CO45" s="141">
        <f t="shared" si="230"/>
        <v>0</v>
      </c>
      <c r="CP45" s="141">
        <f t="shared" si="230"/>
        <v>0</v>
      </c>
      <c r="CQ45" s="141">
        <f t="shared" si="230"/>
        <v>0</v>
      </c>
      <c r="CR45" s="141">
        <f t="shared" si="230"/>
        <v>0</v>
      </c>
      <c r="CS45" s="141">
        <f t="shared" si="230"/>
        <v>0</v>
      </c>
      <c r="CT45" s="141">
        <f t="shared" si="230"/>
        <v>0</v>
      </c>
      <c r="CU45" s="141">
        <f t="shared" si="230"/>
        <v>0</v>
      </c>
      <c r="CV45" s="141">
        <f t="shared" si="230"/>
        <v>0</v>
      </c>
      <c r="CW45" s="142">
        <f t="shared" ref="CW45:DZ45" si="231">EA45*$AH45*$AJ45</f>
        <v>0</v>
      </c>
      <c r="CX45" s="142">
        <f t="shared" si="231"/>
        <v>0</v>
      </c>
      <c r="CY45" s="142">
        <f t="shared" si="231"/>
        <v>0</v>
      </c>
      <c r="CZ45" s="142">
        <f t="shared" si="231"/>
        <v>0</v>
      </c>
      <c r="DA45" s="142">
        <f t="shared" si="231"/>
        <v>0</v>
      </c>
      <c r="DB45" s="142">
        <f t="shared" si="231"/>
        <v>0</v>
      </c>
      <c r="DC45" s="142">
        <f t="shared" si="231"/>
        <v>0</v>
      </c>
      <c r="DD45" s="142">
        <f t="shared" si="231"/>
        <v>0</v>
      </c>
      <c r="DE45" s="142">
        <f t="shared" si="231"/>
        <v>0</v>
      </c>
      <c r="DF45" s="142">
        <f t="shared" si="231"/>
        <v>0</v>
      </c>
      <c r="DG45" s="142">
        <f t="shared" si="231"/>
        <v>0</v>
      </c>
      <c r="DH45" s="142">
        <f t="shared" si="231"/>
        <v>0</v>
      </c>
      <c r="DI45" s="142">
        <f t="shared" si="231"/>
        <v>0</v>
      </c>
      <c r="DJ45" s="142">
        <f t="shared" si="231"/>
        <v>0</v>
      </c>
      <c r="DK45" s="142">
        <f t="shared" si="231"/>
        <v>0</v>
      </c>
      <c r="DL45" s="142">
        <f t="shared" si="231"/>
        <v>0</v>
      </c>
      <c r="DM45" s="142">
        <f t="shared" si="231"/>
        <v>0</v>
      </c>
      <c r="DN45" s="142">
        <f t="shared" si="231"/>
        <v>0</v>
      </c>
      <c r="DO45" s="142">
        <f t="shared" si="231"/>
        <v>0</v>
      </c>
      <c r="DP45" s="142">
        <f t="shared" si="231"/>
        <v>0</v>
      </c>
      <c r="DQ45" s="142">
        <f t="shared" si="231"/>
        <v>0</v>
      </c>
      <c r="DR45" s="142">
        <f t="shared" si="231"/>
        <v>0</v>
      </c>
      <c r="DS45" s="142">
        <f t="shared" si="231"/>
        <v>0</v>
      </c>
      <c r="DT45" s="142">
        <f t="shared" si="231"/>
        <v>0</v>
      </c>
      <c r="DU45" s="142">
        <f t="shared" si="231"/>
        <v>0</v>
      </c>
      <c r="DV45" s="142">
        <f t="shared" si="231"/>
        <v>0</v>
      </c>
      <c r="DW45" s="142">
        <f t="shared" si="231"/>
        <v>0</v>
      </c>
      <c r="DX45" s="142">
        <f t="shared" si="231"/>
        <v>0</v>
      </c>
      <c r="DY45" s="142">
        <f t="shared" si="231"/>
        <v>0</v>
      </c>
      <c r="DZ45" s="142">
        <f t="shared" si="231"/>
        <v>0</v>
      </c>
      <c r="EA45" s="143">
        <f t="shared" si="174"/>
        <v>0</v>
      </c>
      <c r="EB45" s="143">
        <f t="shared" si="175"/>
        <v>0</v>
      </c>
      <c r="EC45" s="143">
        <f t="shared" si="176"/>
        <v>0</v>
      </c>
      <c r="ED45" s="143">
        <f t="shared" si="177"/>
        <v>0</v>
      </c>
      <c r="EE45" s="143">
        <f t="shared" si="178"/>
        <v>0</v>
      </c>
      <c r="EF45" s="143">
        <f t="shared" si="179"/>
        <v>0</v>
      </c>
      <c r="EG45" s="143">
        <f t="shared" si="180"/>
        <v>0</v>
      </c>
      <c r="EH45" s="143">
        <f t="shared" si="181"/>
        <v>0</v>
      </c>
      <c r="EI45" s="143">
        <f t="shared" si="182"/>
        <v>0</v>
      </c>
      <c r="EJ45" s="143">
        <f t="shared" si="183"/>
        <v>0</v>
      </c>
      <c r="EK45" s="143">
        <f t="shared" si="184"/>
        <v>0</v>
      </c>
      <c r="EL45" s="143">
        <f t="shared" si="185"/>
        <v>0</v>
      </c>
      <c r="EM45" s="143">
        <f t="shared" si="186"/>
        <v>0</v>
      </c>
      <c r="EN45" s="143">
        <f t="shared" si="187"/>
        <v>0</v>
      </c>
      <c r="EO45" s="143">
        <f t="shared" si="188"/>
        <v>0</v>
      </c>
      <c r="EP45" s="143">
        <f t="shared" si="189"/>
        <v>0</v>
      </c>
      <c r="EQ45" s="143">
        <f t="shared" si="190"/>
        <v>0</v>
      </c>
      <c r="ER45" s="143">
        <f t="shared" si="191"/>
        <v>0</v>
      </c>
      <c r="ES45" s="143">
        <f t="shared" si="192"/>
        <v>0</v>
      </c>
      <c r="ET45" s="143">
        <f t="shared" si="193"/>
        <v>0</v>
      </c>
      <c r="EU45" s="143">
        <f t="shared" si="194"/>
        <v>0</v>
      </c>
      <c r="EV45" s="143">
        <f t="shared" si="195"/>
        <v>0</v>
      </c>
      <c r="EW45" s="143">
        <f t="shared" si="196"/>
        <v>0</v>
      </c>
      <c r="EX45" s="143">
        <f t="shared" si="197"/>
        <v>0</v>
      </c>
      <c r="EY45" s="143">
        <f t="shared" si="198"/>
        <v>0</v>
      </c>
      <c r="EZ45" s="143">
        <f t="shared" si="199"/>
        <v>0</v>
      </c>
      <c r="FA45" s="143">
        <f t="shared" si="200"/>
        <v>0</v>
      </c>
      <c r="FB45" s="143">
        <f t="shared" si="201"/>
        <v>0</v>
      </c>
      <c r="FC45" s="143">
        <f t="shared" si="202"/>
        <v>0</v>
      </c>
      <c r="FD45" s="143">
        <f t="shared" si="203"/>
        <v>0</v>
      </c>
      <c r="FE45" s="140">
        <f>SUM($D45:D45)*IF($B45="Operacional",IFERROR(VLOOKUP($C45,SN_UGC,28,0),0),1)</f>
        <v>1500</v>
      </c>
      <c r="FF45" s="140">
        <f>SUM($D45:E45)*IF($B45="Operacional",IFERROR(VLOOKUP($C45,SN_UGC,28,0),0),1)</f>
        <v>1500</v>
      </c>
      <c r="FG45" s="140">
        <f>SUM($D45:F45)*IF($B45="Operacional",IFERROR(VLOOKUP($C45,SN_UGC,28,0),0),1)</f>
        <v>1500</v>
      </c>
      <c r="FH45" s="140">
        <f>SUM($D45:G45)*IF($B45="Operacional",IFERROR(VLOOKUP($C45,SN_UGC,28,0),0),1)</f>
        <v>1500</v>
      </c>
      <c r="FI45" s="140">
        <f>SUM($D45:H45)*IF($B45="Operacional",IFERROR(VLOOKUP($C45,SN_UGC,28,0),0),1)</f>
        <v>1500</v>
      </c>
      <c r="FJ45" s="140">
        <f>SUM($D45:I45)*IF($B45="Operacional",IFERROR(VLOOKUP($C45,SN_UGC,28,0),0),1)</f>
        <v>1500</v>
      </c>
      <c r="FK45" s="140">
        <f>SUM($D45:J45)*IF($B45="Operacional",IFERROR(VLOOKUP($C45,SN_UGC,28,0),0),1)</f>
        <v>1500</v>
      </c>
      <c r="FL45" s="140">
        <f>SUM($D45:K45)*IF($B45="Operacional",IFERROR(VLOOKUP($C45,SN_UGC,28,0),0),1)</f>
        <v>1500</v>
      </c>
      <c r="FM45" s="140">
        <f>SUM($D45:L45)*IF($B45="Operacional",IFERROR(VLOOKUP($C45,SN_UGC,28,0),0),1)</f>
        <v>1500</v>
      </c>
      <c r="FN45" s="140">
        <f>SUM($D45:M45)*IF($B45="Operacional",IFERROR(VLOOKUP($C45,SN_UGC,28,0),0),1)</f>
        <v>1500</v>
      </c>
      <c r="FO45" s="140">
        <f>SUM($D45:N45)*IF($B45="Operacional",IFERROR(VLOOKUP($C45,SN_UGC,28,0),0),1)</f>
        <v>1500</v>
      </c>
      <c r="FP45" s="140">
        <f>SUM($D45:O45)*IF($B45="Operacional",IFERROR(VLOOKUP($C45,SN_UGC,28,0),0),1)</f>
        <v>1500</v>
      </c>
      <c r="FQ45" s="140">
        <f>SUM($D45:P45)*IF($B45="Operacional",IFERROR(VLOOKUP($C45,SN_UGC,28,0),0),1)</f>
        <v>1500</v>
      </c>
      <c r="FR45" s="140">
        <f>SUM($D45:Q45)*IF($B45="Operacional",IFERROR(VLOOKUP($C45,SN_UGC,28,0),0),1)</f>
        <v>1500</v>
      </c>
      <c r="FS45" s="140">
        <f>SUM($D45:R45)*IF($B45="Operacional",IFERROR(VLOOKUP($C45,SN_UGC,28,0),0),1)</f>
        <v>1500</v>
      </c>
      <c r="FT45" s="140">
        <f>SUM($D45:S45)*IF($B45="Operacional",IFERROR(VLOOKUP($C45,SN_UGC,28,0),0),1)</f>
        <v>1500</v>
      </c>
      <c r="FU45" s="140">
        <f>SUM($D45:T45)*IF($B45="Operacional",IFERROR(VLOOKUP($C45,SN_UGC,28,0),0),1)</f>
        <v>1500</v>
      </c>
      <c r="FV45" s="140">
        <f>SUM($D45:U45)*IF($B45="Operacional",IFERROR(VLOOKUP($C45,SN_UGC,28,0),0),1)</f>
        <v>1500</v>
      </c>
      <c r="FW45" s="140">
        <f>SUM($D45:V45)*IF($B45="Operacional",IFERROR(VLOOKUP($C45,SN_UGC,28,0),0),1)</f>
        <v>1500</v>
      </c>
      <c r="FX45" s="140">
        <f>SUM($D45:W45)*IF($B45="Operacional",IFERROR(VLOOKUP($C45,SN_UGC,28,0),0),1)</f>
        <v>1500</v>
      </c>
      <c r="FY45" s="140">
        <f>SUM($D45:X45)*IF($B45="Operacional",IFERROR(VLOOKUP($C45,SN_UGC,28,0),0),1)</f>
        <v>1500</v>
      </c>
      <c r="FZ45" s="140">
        <f>SUM($D45:Y45)*IF($B45="Operacional",IFERROR(VLOOKUP($C45,SN_UGC,28,0),0),1)</f>
        <v>1500</v>
      </c>
      <c r="GA45" s="140">
        <f>SUM($D45:Z45)*IF($B45="Operacional",IFERROR(VLOOKUP($C45,SN_UGC,28,0),0),1)</f>
        <v>1500</v>
      </c>
      <c r="GB45" s="140">
        <f>SUM($D45:AA45)*IF($B45="Operacional",IFERROR(VLOOKUP($C45,SN_UGC,28,0),0),1)</f>
        <v>1500</v>
      </c>
      <c r="GC45" s="140">
        <f>SUM($D45:AB45)*IF($B45="Operacional",IFERROR(VLOOKUP($C45,SN_UGC,28,0),0),1)</f>
        <v>1500</v>
      </c>
      <c r="GD45" s="140">
        <f>SUM($D45:AC45)*IF($B45="Operacional",IFERROR(VLOOKUP($C45,SN_UGC,28,0),0),1)</f>
        <v>1500</v>
      </c>
      <c r="GE45" s="140">
        <f>SUM($D45:AD45)*IF($B45="Operacional",IFERROR(VLOOKUP($C45,SN_UGC,28,0),0),1)</f>
        <v>1500</v>
      </c>
      <c r="GF45" s="140">
        <f>SUM($D45:AE45)*IF($B45="Operacional",IFERROR(VLOOKUP($C45,SN_UGC,28,0),0),1)</f>
        <v>1500</v>
      </c>
      <c r="GG45" s="140">
        <f>SUM($D45:AF45)*IF($B45="Operacional",IFERROR(VLOOKUP($C45,SN_UGC,28,0),0),1)</f>
        <v>1500</v>
      </c>
      <c r="GH45" s="140">
        <f>SUM($D45:AG45)*IF($B45="Operacional",IFERROR(VLOOKUP($C45,SN_UGC,28,0),0),1)</f>
        <v>1500</v>
      </c>
      <c r="GI45" s="141">
        <f t="shared" ref="GI45:HL45" si="232">FE45*$AH45*$AL45</f>
        <v>7837.5000000000018</v>
      </c>
      <c r="GJ45" s="141">
        <f t="shared" si="232"/>
        <v>7837.5000000000018</v>
      </c>
      <c r="GK45" s="141">
        <f t="shared" si="232"/>
        <v>7837.5000000000018</v>
      </c>
      <c r="GL45" s="141">
        <f t="shared" si="232"/>
        <v>7837.5000000000018</v>
      </c>
      <c r="GM45" s="141">
        <f t="shared" si="232"/>
        <v>7837.5000000000018</v>
      </c>
      <c r="GN45" s="141">
        <f t="shared" si="232"/>
        <v>7837.5000000000018</v>
      </c>
      <c r="GO45" s="141">
        <f t="shared" si="232"/>
        <v>7837.5000000000018</v>
      </c>
      <c r="GP45" s="141">
        <f t="shared" si="232"/>
        <v>7837.5000000000018</v>
      </c>
      <c r="GQ45" s="141">
        <f t="shared" si="232"/>
        <v>7837.5000000000018</v>
      </c>
      <c r="GR45" s="141">
        <f t="shared" si="232"/>
        <v>7837.5000000000018</v>
      </c>
      <c r="GS45" s="141">
        <f t="shared" si="232"/>
        <v>7837.5000000000018</v>
      </c>
      <c r="GT45" s="141">
        <f t="shared" si="232"/>
        <v>7837.5000000000018</v>
      </c>
      <c r="GU45" s="141">
        <f t="shared" si="232"/>
        <v>7837.5000000000018</v>
      </c>
      <c r="GV45" s="141">
        <f t="shared" si="232"/>
        <v>7837.5000000000018</v>
      </c>
      <c r="GW45" s="141">
        <f t="shared" si="232"/>
        <v>7837.5000000000018</v>
      </c>
      <c r="GX45" s="141">
        <f t="shared" si="232"/>
        <v>7837.5000000000018</v>
      </c>
      <c r="GY45" s="141">
        <f t="shared" si="232"/>
        <v>7837.5000000000018</v>
      </c>
      <c r="GZ45" s="141">
        <f t="shared" si="232"/>
        <v>7837.5000000000018</v>
      </c>
      <c r="HA45" s="141">
        <f t="shared" si="232"/>
        <v>7837.5000000000018</v>
      </c>
      <c r="HB45" s="141">
        <f t="shared" si="232"/>
        <v>7837.5000000000018</v>
      </c>
      <c r="HC45" s="141">
        <f t="shared" si="232"/>
        <v>7837.5000000000018</v>
      </c>
      <c r="HD45" s="141">
        <f t="shared" si="232"/>
        <v>7837.5000000000018</v>
      </c>
      <c r="HE45" s="141">
        <f t="shared" si="232"/>
        <v>7837.5000000000018</v>
      </c>
      <c r="HF45" s="141">
        <f t="shared" si="232"/>
        <v>7837.5000000000018</v>
      </c>
      <c r="HG45" s="141">
        <f t="shared" si="232"/>
        <v>7837.5000000000018</v>
      </c>
      <c r="HH45" s="141">
        <f t="shared" si="232"/>
        <v>7837.5000000000018</v>
      </c>
      <c r="HI45" s="141">
        <f t="shared" si="232"/>
        <v>7837.5000000000018</v>
      </c>
      <c r="HJ45" s="141">
        <f t="shared" si="232"/>
        <v>7837.5000000000018</v>
      </c>
      <c r="HK45" s="141">
        <f t="shared" si="232"/>
        <v>7837.5000000000018</v>
      </c>
      <c r="HL45" s="141">
        <f t="shared" si="232"/>
        <v>7837.5000000000018</v>
      </c>
      <c r="HM45" s="142">
        <f t="shared" ref="HM45:IP45" si="233">IF(ISBLANK($A45),,FE45*($AH45-($AH45*$AJ45))/$AI45)</f>
        <v>0</v>
      </c>
      <c r="HN45" s="142">
        <f t="shared" si="233"/>
        <v>0</v>
      </c>
      <c r="HO45" s="142">
        <f t="shared" si="233"/>
        <v>0</v>
      </c>
      <c r="HP45" s="142">
        <f t="shared" si="233"/>
        <v>0</v>
      </c>
      <c r="HQ45" s="142">
        <f t="shared" si="233"/>
        <v>0</v>
      </c>
      <c r="HR45" s="142">
        <f t="shared" si="233"/>
        <v>0</v>
      </c>
      <c r="HS45" s="142">
        <f t="shared" si="233"/>
        <v>0</v>
      </c>
      <c r="HT45" s="142">
        <f t="shared" si="233"/>
        <v>0</v>
      </c>
      <c r="HU45" s="142">
        <f t="shared" si="233"/>
        <v>0</v>
      </c>
      <c r="HV45" s="142">
        <f t="shared" si="233"/>
        <v>0</v>
      </c>
      <c r="HW45" s="142">
        <f t="shared" si="233"/>
        <v>0</v>
      </c>
      <c r="HX45" s="142">
        <f t="shared" si="233"/>
        <v>0</v>
      </c>
      <c r="HY45" s="142">
        <f t="shared" si="233"/>
        <v>0</v>
      </c>
      <c r="HZ45" s="142">
        <f t="shared" si="233"/>
        <v>0</v>
      </c>
      <c r="IA45" s="142">
        <f t="shared" si="233"/>
        <v>0</v>
      </c>
      <c r="IB45" s="142">
        <f t="shared" si="233"/>
        <v>0</v>
      </c>
      <c r="IC45" s="142">
        <f t="shared" si="233"/>
        <v>0</v>
      </c>
      <c r="ID45" s="142">
        <f t="shared" si="233"/>
        <v>0</v>
      </c>
      <c r="IE45" s="142">
        <f t="shared" si="233"/>
        <v>0</v>
      </c>
      <c r="IF45" s="142">
        <f t="shared" si="233"/>
        <v>0</v>
      </c>
      <c r="IG45" s="142">
        <f t="shared" si="233"/>
        <v>0</v>
      </c>
      <c r="IH45" s="142">
        <f t="shared" si="233"/>
        <v>0</v>
      </c>
      <c r="II45" s="142">
        <f t="shared" si="233"/>
        <v>0</v>
      </c>
      <c r="IJ45" s="142">
        <f t="shared" si="233"/>
        <v>0</v>
      </c>
      <c r="IK45" s="142">
        <f t="shared" si="233"/>
        <v>0</v>
      </c>
      <c r="IL45" s="142">
        <f t="shared" si="233"/>
        <v>0</v>
      </c>
      <c r="IM45" s="142">
        <f t="shared" si="233"/>
        <v>0</v>
      </c>
      <c r="IN45" s="142">
        <f t="shared" si="233"/>
        <v>0</v>
      </c>
      <c r="IO45" s="142">
        <f t="shared" si="233"/>
        <v>0</v>
      </c>
      <c r="IP45" s="142">
        <f t="shared" si="233"/>
        <v>0</v>
      </c>
      <c r="IQ45" s="141">
        <f>IF(ISBLANK($A45),,IF($AN45="Não",0,(SUM($AO45:AO45)*$AH45)-SUM($HM45:HM45)-SUM($CW45:CW45)))</f>
        <v>156750.00000000003</v>
      </c>
      <c r="IR45" s="141">
        <f>IF(ISBLANK($A45),,IF($AN45="Não",0,(SUM($AO45:AP45)*$AH45)-SUM($HM45:HN45)-SUM($CW45:CX45)))</f>
        <v>156750.00000000003</v>
      </c>
      <c r="IS45" s="141">
        <f>IF(ISBLANK($A45),,IF($AN45="Não",0,(SUM($AO45:AQ45)*$AH45)-SUM($HM45:HO45)-SUM($CW45:CY45)))</f>
        <v>156750.00000000003</v>
      </c>
      <c r="IT45" s="141">
        <f>IF(ISBLANK($A45),,IF($AN45="Não",0,(SUM($AO45:AR45)*$AH45)-SUM($HM45:HP45)-SUM($CW45:CZ45)))</f>
        <v>156750.00000000003</v>
      </c>
      <c r="IU45" s="141">
        <f>IF(ISBLANK($A45),,IF($AN45="Não",0,(SUM($AO45:AS45)*$AH45)-SUM($HM45:HQ45)-SUM($CW45:DA45)))</f>
        <v>156750.00000000003</v>
      </c>
      <c r="IV45" s="141">
        <f>IF(ISBLANK($A45),,IF($AN45="Não",0,(SUM($AO45:AT45)*$AH45)-SUM($HM45:HR45)-SUM($CW45:DB45)))</f>
        <v>156750.00000000003</v>
      </c>
      <c r="IW45" s="141">
        <f>IF(ISBLANK($A45),,IF($AN45="Não",0,(SUM($AO45:AU45)*$AH45)-SUM($HM45:HS45)-SUM($CW45:DC45)))</f>
        <v>156750.00000000003</v>
      </c>
      <c r="IX45" s="141">
        <f>IF(ISBLANK($A45),,IF($AN45="Não",0,(SUM($AO45:AV45)*$AH45)-SUM($HM45:HT45)-SUM($CW45:DD45)))</f>
        <v>156750.00000000003</v>
      </c>
      <c r="IY45" s="141">
        <f>IF(ISBLANK($A45),,IF($AN45="Não",0,(SUM($AO45:AW45)*$AH45)-SUM($HM45:HU45)-SUM($CW45:DE45)))</f>
        <v>156750.00000000003</v>
      </c>
      <c r="IZ45" s="141">
        <f>IF(ISBLANK($A45),,IF($AN45="Não",0,(SUM($AO45:AX45)*$AH45)-SUM($HM45:HV45)-SUM($CW45:DF45)))</f>
        <v>156750.00000000003</v>
      </c>
      <c r="JA45" s="141">
        <f>IF(ISBLANK($A45),,IF($AN45="Não",0,(SUM($AO45:AY45)*$AH45)-SUM($HM45:HW45)-SUM($CW45:DG45)))</f>
        <v>156750.00000000003</v>
      </c>
      <c r="JB45" s="141">
        <f>IF(ISBLANK($A45),,IF($AN45="Não",0,(SUM($AO45:AZ45)*$AH45)-SUM($HM45:HX45)-SUM($CW45:DH45)))</f>
        <v>156750.00000000003</v>
      </c>
      <c r="JC45" s="141">
        <f>IF(ISBLANK($A45),,IF($AN45="Não",0,(SUM($AO45:BA45)*$AH45)-SUM($HM45:HY45)-SUM($CW45:DI45)))</f>
        <v>156750.00000000003</v>
      </c>
      <c r="JD45" s="141">
        <f>IF(ISBLANK($A45),,IF($AN45="Não",0,(SUM($AO45:BB45)*$AH45)-SUM($HM45:HZ45)-SUM($CW45:DJ45)))</f>
        <v>156750.00000000003</v>
      </c>
      <c r="JE45" s="141">
        <f>IF(ISBLANK($A45),,IF($AN45="Não",0,(SUM($AO45:BC45)*$AH45)-SUM($HM45:IA45)-SUM($CW45:DK45)))</f>
        <v>156750.00000000003</v>
      </c>
      <c r="JF45" s="141">
        <f>IF(ISBLANK($A45),,IF($AN45="Não",0,(SUM($AO45:BD45)*$AH45)-SUM($HM45:IB45)-SUM($CW45:DL45)))</f>
        <v>156750.00000000003</v>
      </c>
      <c r="JG45" s="141">
        <f>IF(ISBLANK($A45),,IF($AN45="Não",0,(SUM($AO45:BE45)*$AH45)-SUM($HM45:IC45)-SUM($CW45:DM45)))</f>
        <v>156750.00000000003</v>
      </c>
      <c r="JH45" s="141">
        <f>IF(ISBLANK($A45),,IF($AN45="Não",0,(SUM($AO45:BF45)*$AH45)-SUM($HM45:ID45)-SUM($CW45:DN45)))</f>
        <v>156750.00000000003</v>
      </c>
      <c r="JI45" s="141">
        <f>IF(ISBLANK($A45),,IF($AN45="Não",0,(SUM($AO45:BG45)*$AH45)-SUM($HM45:IE45)-SUM($CW45:DO45)))</f>
        <v>156750.00000000003</v>
      </c>
      <c r="JJ45" s="141">
        <f>IF(ISBLANK($A45),,IF($AN45="Não",0,(SUM($AO45:BH45)*$AH45)-SUM($HM45:IF45)-SUM($CW45:DP45)))</f>
        <v>156750.00000000003</v>
      </c>
      <c r="JK45" s="141">
        <f>IF(ISBLANK($A45),,IF($AN45="Não",0,(SUM($AO45:BI45)*$AH45)-SUM($HM45:IG45)-SUM($CW45:DQ45)))</f>
        <v>156750.00000000003</v>
      </c>
      <c r="JL45" s="141">
        <f>IF(ISBLANK($A45),,IF($AN45="Não",0,(SUM($AO45:BJ45)*$AH45)-SUM($HM45:IH45)-SUM($CW45:DR45)))</f>
        <v>156750.00000000003</v>
      </c>
      <c r="JM45" s="141">
        <f>IF(ISBLANK($A45),,IF($AN45="Não",0,(SUM($AO45:BK45)*$AH45)-SUM($HM45:II45)-SUM($CW45:DS45)))</f>
        <v>156750.00000000003</v>
      </c>
      <c r="JN45" s="141">
        <f>IF(ISBLANK($A45),,IF($AN45="Não",0,(SUM($AO45:BL45)*$AH45)-SUM($HM45:IJ45)-SUM($CW45:DT45)))</f>
        <v>156750.00000000003</v>
      </c>
      <c r="JO45" s="141">
        <f>IF(ISBLANK($A45),,IF($AN45="Não",0,(SUM($AO45:BM45)*$AH45)-SUM($HM45:IK45)-SUM($CW45:DU45)))</f>
        <v>156750.00000000003</v>
      </c>
      <c r="JP45" s="141">
        <f>IF(ISBLANK($A45),,IF($AN45="Não",0,(SUM($AO45:BN45)*$AH45)-SUM($HM45:IL45)-SUM($CW45:DV45)))</f>
        <v>156750.00000000003</v>
      </c>
      <c r="JQ45" s="141">
        <f>IF(ISBLANK($A45),,IF($AN45="Não",0,(SUM($AO45:BO45)*$AH45)-SUM($HM45:IM45)-SUM($CW45:DW45)))</f>
        <v>156750.00000000003</v>
      </c>
      <c r="JR45" s="141">
        <f>IF(ISBLANK($A45),,IF($AN45="Não",0,(SUM($AO45:BP45)*$AH45)-SUM($HM45:IN45)-SUM($CW45:DX45)))</f>
        <v>156750.00000000003</v>
      </c>
      <c r="JS45" s="141">
        <f>IF(ISBLANK($A45),,IF($AN45="Não",0,(SUM($AO45:BQ45)*$AH45)-SUM($HM45:IO45)-SUM($CW45:DY45)))</f>
        <v>156750.00000000003</v>
      </c>
      <c r="JT45" s="141">
        <f>IF(ISBLANK($A45),,IF($AN45="Não",0,(SUM($AO45:BR45)*$AH45)-SUM($HM45:IP45)-SUM($CW45:DZ45)))</f>
        <v>156750.00000000003</v>
      </c>
    </row>
    <row r="46" spans="1:280" ht="15.75" customHeight="1">
      <c r="A46" s="129" t="s">
        <v>406</v>
      </c>
      <c r="B46" s="129" t="s">
        <v>209</v>
      </c>
      <c r="C46" s="138" t="s">
        <v>79</v>
      </c>
      <c r="D46" s="139">
        <v>608</v>
      </c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607">
        <f t="shared" si="165"/>
        <v>407.00000000000006</v>
      </c>
      <c r="AI46" s="608">
        <f t="shared" si="166"/>
        <v>10</v>
      </c>
      <c r="AJ46" s="609">
        <f t="shared" si="167"/>
        <v>0.25</v>
      </c>
      <c r="AK46" s="610" t="str">
        <f t="shared" si="168"/>
        <v>Móveis e Utensílios</v>
      </c>
      <c r="AL46" s="609">
        <f t="shared" si="169"/>
        <v>0.05</v>
      </c>
      <c r="AM46" s="611" t="str">
        <f t="shared" si="170"/>
        <v>Sim</v>
      </c>
      <c r="AN46" s="611" t="str">
        <f t="shared" si="171"/>
        <v>Sim</v>
      </c>
      <c r="AO46" s="140">
        <f t="array" ref="AO46">IF(ISBLANK($A46),0,IF(OR(AO$5-$AI46&lt;=0,$AM46="Não"),D46,D46+INDEX($AO$6:$BR$176,ROW()-5,COLUMN()-40-$AI46)))*IF($B46="Operacional",IFERROR(VLOOKUP($C46,SN_UGC,28,0),0),1)</f>
        <v>608</v>
      </c>
      <c r="AP46" s="140">
        <f t="array" ref="AP46">IF(ISBLANK($A46),0,IF(OR(AP$5-$AI46&lt;=0,$AM46="Não"),E46,E46+INDEX($AO$6:$BR$176,ROW()-5,COLUMN()-40-$AI46)))*IF($B46="Operacional",IFERROR(VLOOKUP($C46,SN_UGC,28,0),0),1)</f>
        <v>0</v>
      </c>
      <c r="AQ46" s="140">
        <f t="array" ref="AQ46">IF(ISBLANK($A46),0,IF(OR(AQ$5-$AI46&lt;=0,$AM46="Não"),F46,F46+INDEX($AO$6:$BR$176,ROW()-5,COLUMN()-40-$AI46)))*IF($B46="Operacional",IFERROR(VLOOKUP($C46,SN_UGC,28,0),0),1)</f>
        <v>0</v>
      </c>
      <c r="AR46" s="140">
        <f t="array" ref="AR46">IF(ISBLANK($A46),0,IF(OR(AR$5-$AI46&lt;=0,$AM46="Não"),G46,G46+INDEX($AO$6:$BR$176,ROW()-5,COLUMN()-40-$AI46)))*IF($B46="Operacional",IFERROR(VLOOKUP($C46,SN_UGC,28,0),0),1)</f>
        <v>0</v>
      </c>
      <c r="AS46" s="140">
        <f t="array" ref="AS46">IF(ISBLANK($A46),0,IF(OR(AS$5-$AI46&lt;=0,$AM46="Não"),H46,H46+INDEX($AO$6:$BR$176,ROW()-5,COLUMN()-40-$AI46)))*IF($B46="Operacional",IFERROR(VLOOKUP($C46,SN_UGC,28,0),0),1)</f>
        <v>0</v>
      </c>
      <c r="AT46" s="140">
        <f t="array" ref="AT46">IF(ISBLANK($A46),0,IF(OR(AT$5-$AI46&lt;=0,$AM46="Não"),I46,I46+INDEX($AO$6:$BR$176,ROW()-5,COLUMN()-40-$AI46)))*IF($B46="Operacional",IFERROR(VLOOKUP($C46,SN_UGC,28,0),0),1)</f>
        <v>0</v>
      </c>
      <c r="AU46" s="140">
        <f t="array" ref="AU46">IF(ISBLANK($A46),0,IF(OR(AU$5-$AI46&lt;=0,$AM46="Não"),J46,J46+INDEX($AO$6:$BR$176,ROW()-5,COLUMN()-40-$AI46)))*IF($B46="Operacional",IFERROR(VLOOKUP($C46,SN_UGC,28,0),0),1)</f>
        <v>0</v>
      </c>
      <c r="AV46" s="140">
        <f t="array" ref="AV46">IF(ISBLANK($A46),0,IF(OR(AV$5-$AI46&lt;=0,$AM46="Não"),K46,K46+INDEX($AO$6:$BR$176,ROW()-5,COLUMN()-40-$AI46)))*IF($B46="Operacional",IFERROR(VLOOKUP($C46,SN_UGC,28,0),0),1)</f>
        <v>0</v>
      </c>
      <c r="AW46" s="140">
        <f t="array" ref="AW46">IF(ISBLANK($A46),0,IF(OR(AW$5-$AI46&lt;=0,$AM46="Não"),L46,L46+INDEX($AO$6:$BR$176,ROW()-5,COLUMN()-40-$AI46)))*IF($B46="Operacional",IFERROR(VLOOKUP($C46,SN_UGC,28,0),0),1)</f>
        <v>0</v>
      </c>
      <c r="AX46" s="140">
        <f t="array" ref="AX46">IF(ISBLANK($A46),0,IF(OR(AX$5-$AI46&lt;=0,$AM46="Não"),M46,M46+INDEX($AO$6:$BR$176,ROW()-5,COLUMN()-40-$AI46)))*IF($B46="Operacional",IFERROR(VLOOKUP($C46,SN_UGC,28,0),0),1)</f>
        <v>0</v>
      </c>
      <c r="AY46" s="140">
        <f t="array" ref="AY46">IF(ISBLANK($A46),0,IF(OR(AY$5-$AI46&lt;=0,$AM46="Não"),N46,N46+INDEX($AO$6:$BR$176,ROW()-5,COLUMN()-40-$AI46)))*IF($B46="Operacional",IFERROR(VLOOKUP($C46,SN_UGC,28,0),0),1)</f>
        <v>608</v>
      </c>
      <c r="AZ46" s="140">
        <f t="array" ref="AZ46">IF(ISBLANK($A46),0,IF(OR(AZ$5-$AI46&lt;=0,$AM46="Não"),O46,O46+INDEX($AO$6:$BR$176,ROW()-5,COLUMN()-40-$AI46)))*IF($B46="Operacional",IFERROR(VLOOKUP($C46,SN_UGC,28,0),0),1)</f>
        <v>0</v>
      </c>
      <c r="BA46" s="140">
        <f t="array" ref="BA46">IF(ISBLANK($A46),0,IF(OR(BA$5-$AI46&lt;=0,$AM46="Não"),P46,P46+INDEX($AO$6:$BR$176,ROW()-5,COLUMN()-40-$AI46)))*IF($B46="Operacional",IFERROR(VLOOKUP($C46,SN_UGC,28,0),0),1)</f>
        <v>0</v>
      </c>
      <c r="BB46" s="140">
        <f t="array" ref="BB46">IF(ISBLANK($A46),0,IF(OR(BB$5-$AI46&lt;=0,$AM46="Não"),Q46,Q46+INDEX($AO$6:$BR$176,ROW()-5,COLUMN()-40-$AI46)))*IF($B46="Operacional",IFERROR(VLOOKUP($C46,SN_UGC,28,0),0),1)</f>
        <v>0</v>
      </c>
      <c r="BC46" s="140">
        <f t="array" ref="BC46">IF(ISBLANK($A46),0,IF(OR(BC$5-$AI46&lt;=0,$AM46="Não"),R46,R46+INDEX($AO$6:$BR$176,ROW()-5,COLUMN()-40-$AI46)))*IF($B46="Operacional",IFERROR(VLOOKUP($C46,SN_UGC,28,0),0),1)</f>
        <v>0</v>
      </c>
      <c r="BD46" s="140">
        <f t="array" ref="BD46">IF(ISBLANK($A46),0,IF(OR(BD$5-$AI46&lt;=0,$AM46="Não"),S46,S46+INDEX($AO$6:$BR$176,ROW()-5,COLUMN()-40-$AI46)))*IF($B46="Operacional",IFERROR(VLOOKUP($C46,SN_UGC,28,0),0),1)</f>
        <v>0</v>
      </c>
      <c r="BE46" s="140">
        <f t="array" ref="BE46">IF(ISBLANK($A46),0,IF(OR(BE$5-$AI46&lt;=0,$AM46="Não"),T46,T46+INDEX($AO$6:$BR$176,ROW()-5,COLUMN()-40-$AI46)))*IF($B46="Operacional",IFERROR(VLOOKUP($C46,SN_UGC,28,0),0),1)</f>
        <v>0</v>
      </c>
      <c r="BF46" s="140">
        <f t="array" ref="BF46">IF(ISBLANK($A46),0,IF(OR(BF$5-$AI46&lt;=0,$AM46="Não"),U46,U46+INDEX($AO$6:$BR$176,ROW()-5,COLUMN()-40-$AI46)))*IF($B46="Operacional",IFERROR(VLOOKUP($C46,SN_UGC,28,0),0),1)</f>
        <v>0</v>
      </c>
      <c r="BG46" s="140">
        <f t="array" ref="BG46">IF(ISBLANK($A46),0,IF(OR(BG$5-$AI46&lt;=0,$AM46="Não"),V46,V46+INDEX($AO$6:$BR$176,ROW()-5,COLUMN()-40-$AI46)))*IF($B46="Operacional",IFERROR(VLOOKUP($C46,SN_UGC,28,0),0),1)</f>
        <v>0</v>
      </c>
      <c r="BH46" s="140">
        <f t="array" ref="BH46">IF(ISBLANK($A46),0,IF(OR(BH$5-$AI46&lt;=0,$AM46="Não"),W46,W46+INDEX($AO$6:$BR$176,ROW()-5,COLUMN()-40-$AI46)))*IF($B46="Operacional",IFERROR(VLOOKUP($C46,SN_UGC,28,0),0),1)</f>
        <v>0</v>
      </c>
      <c r="BI46" s="140">
        <f t="array" ref="BI46">IF(ISBLANK($A46),0,IF(OR(BI$5-$AI46&lt;=0,$AM46="Não"),X46,X46+INDEX($AO$6:$BR$176,ROW()-5,COLUMN()-40-$AI46)))*IF($B46="Operacional",IFERROR(VLOOKUP($C46,SN_UGC,28,0),0),1)</f>
        <v>608</v>
      </c>
      <c r="BJ46" s="140">
        <f t="array" ref="BJ46">IF(ISBLANK($A46),0,IF(OR(BJ$5-$AI46&lt;=0,$AM46="Não"),Y46,Y46+INDEX($AO$6:$BR$176,ROW()-5,COLUMN()-40-$AI46)))*IF($B46="Operacional",IFERROR(VLOOKUP($C46,SN_UGC,28,0),0),1)</f>
        <v>0</v>
      </c>
      <c r="BK46" s="140">
        <f t="array" ref="BK46">IF(ISBLANK($A46),0,IF(OR(BK$5-$AI46&lt;=0,$AM46="Não"),Z46,Z46+INDEX($AO$6:$BR$176,ROW()-5,COLUMN()-40-$AI46)))*IF($B46="Operacional",IFERROR(VLOOKUP($C46,SN_UGC,28,0),0),1)</f>
        <v>0</v>
      </c>
      <c r="BL46" s="140">
        <f t="array" ref="BL46">IF(ISBLANK($A46),0,IF(OR(BL$5-$AI46&lt;=0,$AM46="Não"),AA46,AA46+INDEX($AO$6:$BR$176,ROW()-5,COLUMN()-40-$AI46)))*IF($B46="Operacional",IFERROR(VLOOKUP($C46,SN_UGC,28,0),0),1)</f>
        <v>0</v>
      </c>
      <c r="BM46" s="140">
        <f t="array" ref="BM46">IF(ISBLANK($A46),0,IF(OR(BM$5-$AI46&lt;=0,$AM46="Não"),AB46,AB46+INDEX($AO$6:$BR$176,ROW()-5,COLUMN()-40-$AI46)))*IF($B46="Operacional",IFERROR(VLOOKUP($C46,SN_UGC,28,0),0),1)</f>
        <v>0</v>
      </c>
      <c r="BN46" s="140">
        <f t="array" ref="BN46">IF(ISBLANK($A46),0,IF(OR(BN$5-$AI46&lt;=0,$AM46="Não"),AC46,AC46+INDEX($AO$6:$BR$176,ROW()-5,COLUMN()-40-$AI46)))*IF($B46="Operacional",IFERROR(VLOOKUP($C46,SN_UGC,28,0),0),1)</f>
        <v>0</v>
      </c>
      <c r="BO46" s="140">
        <f t="array" ref="BO46">IF(ISBLANK($A46),0,IF(OR(BO$5-$AI46&lt;=0,$AM46="Não"),AD46,AD46+INDEX($AO$6:$BR$176,ROW()-5,COLUMN()-40-$AI46)))*IF($B46="Operacional",IFERROR(VLOOKUP($C46,SN_UGC,28,0),0),1)</f>
        <v>0</v>
      </c>
      <c r="BP46" s="140">
        <f t="array" ref="BP46">IF(ISBLANK($A46),0,IF(OR(BP$5-$AI46&lt;=0,$AM46="Não"),AE46,AE46+INDEX($AO$6:$BR$176,ROW()-5,COLUMN()-40-$AI46)))*IF($B46="Operacional",IFERROR(VLOOKUP($C46,SN_UGC,28,0),0),1)</f>
        <v>0</v>
      </c>
      <c r="BQ46" s="140">
        <f t="array" ref="BQ46">IF(ISBLANK($A46),0,IF(OR(BQ$5-$AI46&lt;=0,$AM46="Não"),AF46,AF46+INDEX($AO$6:$BR$176,ROW()-5,COLUMN()-40-$AI46)))*IF($B46="Operacional",IFERROR(VLOOKUP($C46,SN_UGC,28,0),0),1)</f>
        <v>0</v>
      </c>
      <c r="BR46" s="140">
        <f t="array" ref="BR46">IF(ISBLANK($A46),0,IF(OR(BR$5-$AI46&lt;=0,$AM46="Não"),AG46,AG46+INDEX($AO$6:$BR$176,ROW()-5,COLUMN()-40-$AI46)))*IF($B46="Operacional",IFERROR(VLOOKUP($C46,SN_UGC,28,0),0),1)</f>
        <v>0</v>
      </c>
      <c r="BS46" s="141">
        <f t="shared" ref="BS46:CV46" si="234">IF(ISBLANK($A46),0,$AH46*AO46)</f>
        <v>247456.00000000003</v>
      </c>
      <c r="BT46" s="141">
        <f t="shared" si="234"/>
        <v>0</v>
      </c>
      <c r="BU46" s="141">
        <f t="shared" si="234"/>
        <v>0</v>
      </c>
      <c r="BV46" s="141">
        <f t="shared" si="234"/>
        <v>0</v>
      </c>
      <c r="BW46" s="141">
        <f t="shared" si="234"/>
        <v>0</v>
      </c>
      <c r="BX46" s="141">
        <f t="shared" si="234"/>
        <v>0</v>
      </c>
      <c r="BY46" s="141">
        <f t="shared" si="234"/>
        <v>0</v>
      </c>
      <c r="BZ46" s="141">
        <f t="shared" si="234"/>
        <v>0</v>
      </c>
      <c r="CA46" s="141">
        <f t="shared" si="234"/>
        <v>0</v>
      </c>
      <c r="CB46" s="141">
        <f t="shared" si="234"/>
        <v>0</v>
      </c>
      <c r="CC46" s="141">
        <f t="shared" si="234"/>
        <v>247456.00000000003</v>
      </c>
      <c r="CD46" s="141">
        <f t="shared" si="234"/>
        <v>0</v>
      </c>
      <c r="CE46" s="141">
        <f t="shared" si="234"/>
        <v>0</v>
      </c>
      <c r="CF46" s="141">
        <f t="shared" si="234"/>
        <v>0</v>
      </c>
      <c r="CG46" s="141">
        <f t="shared" si="234"/>
        <v>0</v>
      </c>
      <c r="CH46" s="141">
        <f t="shared" si="234"/>
        <v>0</v>
      </c>
      <c r="CI46" s="141">
        <f t="shared" si="234"/>
        <v>0</v>
      </c>
      <c r="CJ46" s="141">
        <f t="shared" si="234"/>
        <v>0</v>
      </c>
      <c r="CK46" s="141">
        <f t="shared" si="234"/>
        <v>0</v>
      </c>
      <c r="CL46" s="141">
        <f t="shared" si="234"/>
        <v>0</v>
      </c>
      <c r="CM46" s="141">
        <f t="shared" si="234"/>
        <v>247456.00000000003</v>
      </c>
      <c r="CN46" s="141">
        <f t="shared" si="234"/>
        <v>0</v>
      </c>
      <c r="CO46" s="141">
        <f t="shared" si="234"/>
        <v>0</v>
      </c>
      <c r="CP46" s="141">
        <f t="shared" si="234"/>
        <v>0</v>
      </c>
      <c r="CQ46" s="141">
        <f t="shared" si="234"/>
        <v>0</v>
      </c>
      <c r="CR46" s="141">
        <f t="shared" si="234"/>
        <v>0</v>
      </c>
      <c r="CS46" s="141">
        <f t="shared" si="234"/>
        <v>0</v>
      </c>
      <c r="CT46" s="141">
        <f t="shared" si="234"/>
        <v>0</v>
      </c>
      <c r="CU46" s="141">
        <f t="shared" si="234"/>
        <v>0</v>
      </c>
      <c r="CV46" s="141">
        <f t="shared" si="234"/>
        <v>0</v>
      </c>
      <c r="CW46" s="142">
        <f t="shared" ref="CW46:DZ46" si="235">EA46*$AH46*$AJ46</f>
        <v>0</v>
      </c>
      <c r="CX46" s="142">
        <f t="shared" si="235"/>
        <v>0</v>
      </c>
      <c r="CY46" s="142">
        <f t="shared" si="235"/>
        <v>0</v>
      </c>
      <c r="CZ46" s="142">
        <f t="shared" si="235"/>
        <v>0</v>
      </c>
      <c r="DA46" s="142">
        <f t="shared" si="235"/>
        <v>0</v>
      </c>
      <c r="DB46" s="142">
        <f t="shared" si="235"/>
        <v>0</v>
      </c>
      <c r="DC46" s="142">
        <f t="shared" si="235"/>
        <v>0</v>
      </c>
      <c r="DD46" s="142">
        <f t="shared" si="235"/>
        <v>0</v>
      </c>
      <c r="DE46" s="142">
        <f t="shared" si="235"/>
        <v>0</v>
      </c>
      <c r="DF46" s="142">
        <f t="shared" si="235"/>
        <v>0</v>
      </c>
      <c r="DG46" s="142">
        <f t="shared" si="235"/>
        <v>61864.000000000007</v>
      </c>
      <c r="DH46" s="142">
        <f t="shared" si="235"/>
        <v>0</v>
      </c>
      <c r="DI46" s="142">
        <f t="shared" si="235"/>
        <v>0</v>
      </c>
      <c r="DJ46" s="142">
        <f t="shared" si="235"/>
        <v>0</v>
      </c>
      <c r="DK46" s="142">
        <f t="shared" si="235"/>
        <v>0</v>
      </c>
      <c r="DL46" s="142">
        <f t="shared" si="235"/>
        <v>0</v>
      </c>
      <c r="DM46" s="142">
        <f t="shared" si="235"/>
        <v>0</v>
      </c>
      <c r="DN46" s="142">
        <f t="shared" si="235"/>
        <v>0</v>
      </c>
      <c r="DO46" s="142">
        <f t="shared" si="235"/>
        <v>0</v>
      </c>
      <c r="DP46" s="142">
        <f t="shared" si="235"/>
        <v>0</v>
      </c>
      <c r="DQ46" s="142">
        <f t="shared" si="235"/>
        <v>61864.000000000007</v>
      </c>
      <c r="DR46" s="142">
        <f t="shared" si="235"/>
        <v>0</v>
      </c>
      <c r="DS46" s="142">
        <f t="shared" si="235"/>
        <v>0</v>
      </c>
      <c r="DT46" s="142">
        <f t="shared" si="235"/>
        <v>0</v>
      </c>
      <c r="DU46" s="142">
        <f t="shared" si="235"/>
        <v>0</v>
      </c>
      <c r="DV46" s="142">
        <f t="shared" si="235"/>
        <v>0</v>
      </c>
      <c r="DW46" s="142">
        <f t="shared" si="235"/>
        <v>0</v>
      </c>
      <c r="DX46" s="142">
        <f t="shared" si="235"/>
        <v>0</v>
      </c>
      <c r="DY46" s="142">
        <f t="shared" si="235"/>
        <v>0</v>
      </c>
      <c r="DZ46" s="142">
        <f t="shared" si="235"/>
        <v>0</v>
      </c>
      <c r="EA46" s="143">
        <f t="shared" si="174"/>
        <v>0</v>
      </c>
      <c r="EB46" s="143">
        <f t="shared" si="175"/>
        <v>0</v>
      </c>
      <c r="EC46" s="143">
        <f t="shared" si="176"/>
        <v>0</v>
      </c>
      <c r="ED46" s="143">
        <f t="shared" si="177"/>
        <v>0</v>
      </c>
      <c r="EE46" s="143">
        <f t="shared" si="178"/>
        <v>0</v>
      </c>
      <c r="EF46" s="143">
        <f t="shared" si="179"/>
        <v>0</v>
      </c>
      <c r="EG46" s="143">
        <f t="shared" si="180"/>
        <v>0</v>
      </c>
      <c r="EH46" s="143">
        <f t="shared" si="181"/>
        <v>0</v>
      </c>
      <c r="EI46" s="143">
        <f t="shared" si="182"/>
        <v>0</v>
      </c>
      <c r="EJ46" s="143">
        <f t="shared" si="183"/>
        <v>0</v>
      </c>
      <c r="EK46" s="143">
        <f t="shared" si="184"/>
        <v>608</v>
      </c>
      <c r="EL46" s="143">
        <f t="shared" si="185"/>
        <v>0</v>
      </c>
      <c r="EM46" s="143">
        <f t="shared" si="186"/>
        <v>0</v>
      </c>
      <c r="EN46" s="143">
        <f t="shared" si="187"/>
        <v>0</v>
      </c>
      <c r="EO46" s="143">
        <f t="shared" si="188"/>
        <v>0</v>
      </c>
      <c r="EP46" s="143">
        <f t="shared" si="189"/>
        <v>0</v>
      </c>
      <c r="EQ46" s="143">
        <f t="shared" si="190"/>
        <v>0</v>
      </c>
      <c r="ER46" s="143">
        <f t="shared" si="191"/>
        <v>0</v>
      </c>
      <c r="ES46" s="143">
        <f t="shared" si="192"/>
        <v>0</v>
      </c>
      <c r="ET46" s="143">
        <f t="shared" si="193"/>
        <v>0</v>
      </c>
      <c r="EU46" s="143">
        <f t="shared" si="194"/>
        <v>608</v>
      </c>
      <c r="EV46" s="143">
        <f t="shared" si="195"/>
        <v>0</v>
      </c>
      <c r="EW46" s="143">
        <f t="shared" si="196"/>
        <v>0</v>
      </c>
      <c r="EX46" s="143">
        <f t="shared" si="197"/>
        <v>0</v>
      </c>
      <c r="EY46" s="143">
        <f t="shared" si="198"/>
        <v>0</v>
      </c>
      <c r="EZ46" s="143">
        <f t="shared" si="199"/>
        <v>0</v>
      </c>
      <c r="FA46" s="143">
        <f t="shared" si="200"/>
        <v>0</v>
      </c>
      <c r="FB46" s="143">
        <f t="shared" si="201"/>
        <v>0</v>
      </c>
      <c r="FC46" s="143">
        <f t="shared" si="202"/>
        <v>0</v>
      </c>
      <c r="FD46" s="143">
        <f t="shared" si="203"/>
        <v>0</v>
      </c>
      <c r="FE46" s="140">
        <f>SUM($D46:D46)*IF($B46="Operacional",IFERROR(VLOOKUP($C46,SN_UGC,28,0),0),1)</f>
        <v>608</v>
      </c>
      <c r="FF46" s="140">
        <f>SUM($D46:E46)*IF($B46="Operacional",IFERROR(VLOOKUP($C46,SN_UGC,28,0),0),1)</f>
        <v>608</v>
      </c>
      <c r="FG46" s="140">
        <f>SUM($D46:F46)*IF($B46="Operacional",IFERROR(VLOOKUP($C46,SN_UGC,28,0),0),1)</f>
        <v>608</v>
      </c>
      <c r="FH46" s="140">
        <f>SUM($D46:G46)*IF($B46="Operacional",IFERROR(VLOOKUP($C46,SN_UGC,28,0),0),1)</f>
        <v>608</v>
      </c>
      <c r="FI46" s="140">
        <f>SUM($D46:H46)*IF($B46="Operacional",IFERROR(VLOOKUP($C46,SN_UGC,28,0),0),1)</f>
        <v>608</v>
      </c>
      <c r="FJ46" s="140">
        <f>SUM($D46:I46)*IF($B46="Operacional",IFERROR(VLOOKUP($C46,SN_UGC,28,0),0),1)</f>
        <v>608</v>
      </c>
      <c r="FK46" s="140">
        <f>SUM($D46:J46)*IF($B46="Operacional",IFERROR(VLOOKUP($C46,SN_UGC,28,0),0),1)</f>
        <v>608</v>
      </c>
      <c r="FL46" s="140">
        <f>SUM($D46:K46)*IF($B46="Operacional",IFERROR(VLOOKUP($C46,SN_UGC,28,0),0),1)</f>
        <v>608</v>
      </c>
      <c r="FM46" s="140">
        <f>SUM($D46:L46)*IF($B46="Operacional",IFERROR(VLOOKUP($C46,SN_UGC,28,0),0),1)</f>
        <v>608</v>
      </c>
      <c r="FN46" s="140">
        <f>SUM($D46:M46)*IF($B46="Operacional",IFERROR(VLOOKUP($C46,SN_UGC,28,0),0),1)</f>
        <v>608</v>
      </c>
      <c r="FO46" s="140">
        <f>SUM($D46:N46)*IF($B46="Operacional",IFERROR(VLOOKUP($C46,SN_UGC,28,0),0),1)</f>
        <v>608</v>
      </c>
      <c r="FP46" s="140">
        <f>SUM($D46:O46)*IF($B46="Operacional",IFERROR(VLOOKUP($C46,SN_UGC,28,0),0),1)</f>
        <v>608</v>
      </c>
      <c r="FQ46" s="140">
        <f>SUM($D46:P46)*IF($B46="Operacional",IFERROR(VLOOKUP($C46,SN_UGC,28,0),0),1)</f>
        <v>608</v>
      </c>
      <c r="FR46" s="140">
        <f>SUM($D46:Q46)*IF($B46="Operacional",IFERROR(VLOOKUP($C46,SN_UGC,28,0),0),1)</f>
        <v>608</v>
      </c>
      <c r="FS46" s="140">
        <f>SUM($D46:R46)*IF($B46="Operacional",IFERROR(VLOOKUP($C46,SN_UGC,28,0),0),1)</f>
        <v>608</v>
      </c>
      <c r="FT46" s="140">
        <f>SUM($D46:S46)*IF($B46="Operacional",IFERROR(VLOOKUP($C46,SN_UGC,28,0),0),1)</f>
        <v>608</v>
      </c>
      <c r="FU46" s="140">
        <f>SUM($D46:T46)*IF($B46="Operacional",IFERROR(VLOOKUP($C46,SN_UGC,28,0),0),1)</f>
        <v>608</v>
      </c>
      <c r="FV46" s="140">
        <f>SUM($D46:U46)*IF($B46="Operacional",IFERROR(VLOOKUP($C46,SN_UGC,28,0),0),1)</f>
        <v>608</v>
      </c>
      <c r="FW46" s="140">
        <f>SUM($D46:V46)*IF($B46="Operacional",IFERROR(VLOOKUP($C46,SN_UGC,28,0),0),1)</f>
        <v>608</v>
      </c>
      <c r="FX46" s="140">
        <f>SUM($D46:W46)*IF($B46="Operacional",IFERROR(VLOOKUP($C46,SN_UGC,28,0),0),1)</f>
        <v>608</v>
      </c>
      <c r="FY46" s="140">
        <f>SUM($D46:X46)*IF($B46="Operacional",IFERROR(VLOOKUP($C46,SN_UGC,28,0),0),1)</f>
        <v>608</v>
      </c>
      <c r="FZ46" s="140">
        <f>SUM($D46:Y46)*IF($B46="Operacional",IFERROR(VLOOKUP($C46,SN_UGC,28,0),0),1)</f>
        <v>608</v>
      </c>
      <c r="GA46" s="140">
        <f>SUM($D46:Z46)*IF($B46="Operacional",IFERROR(VLOOKUP($C46,SN_UGC,28,0),0),1)</f>
        <v>608</v>
      </c>
      <c r="GB46" s="140">
        <f>SUM($D46:AA46)*IF($B46="Operacional",IFERROR(VLOOKUP($C46,SN_UGC,28,0),0),1)</f>
        <v>608</v>
      </c>
      <c r="GC46" s="140">
        <f>SUM($D46:AB46)*IF($B46="Operacional",IFERROR(VLOOKUP($C46,SN_UGC,28,0),0),1)</f>
        <v>608</v>
      </c>
      <c r="GD46" s="140">
        <f>SUM($D46:AC46)*IF($B46="Operacional",IFERROR(VLOOKUP($C46,SN_UGC,28,0),0),1)</f>
        <v>608</v>
      </c>
      <c r="GE46" s="140">
        <f>SUM($D46:AD46)*IF($B46="Operacional",IFERROR(VLOOKUP($C46,SN_UGC,28,0),0),1)</f>
        <v>608</v>
      </c>
      <c r="GF46" s="140">
        <f>SUM($D46:AE46)*IF($B46="Operacional",IFERROR(VLOOKUP($C46,SN_UGC,28,0),0),1)</f>
        <v>608</v>
      </c>
      <c r="GG46" s="140">
        <f>SUM($D46:AF46)*IF($B46="Operacional",IFERROR(VLOOKUP($C46,SN_UGC,28,0),0),1)</f>
        <v>608</v>
      </c>
      <c r="GH46" s="140">
        <f>SUM($D46:AG46)*IF($B46="Operacional",IFERROR(VLOOKUP($C46,SN_UGC,28,0),0),1)</f>
        <v>608</v>
      </c>
      <c r="GI46" s="141">
        <f t="shared" ref="GI46:HL46" si="236">FE46*$AH46*$AL46</f>
        <v>12372.800000000003</v>
      </c>
      <c r="GJ46" s="141">
        <f t="shared" si="236"/>
        <v>12372.800000000003</v>
      </c>
      <c r="GK46" s="141">
        <f t="shared" si="236"/>
        <v>12372.800000000003</v>
      </c>
      <c r="GL46" s="141">
        <f t="shared" si="236"/>
        <v>12372.800000000003</v>
      </c>
      <c r="GM46" s="141">
        <f t="shared" si="236"/>
        <v>12372.800000000003</v>
      </c>
      <c r="GN46" s="141">
        <f t="shared" si="236"/>
        <v>12372.800000000003</v>
      </c>
      <c r="GO46" s="141">
        <f t="shared" si="236"/>
        <v>12372.800000000003</v>
      </c>
      <c r="GP46" s="141">
        <f t="shared" si="236"/>
        <v>12372.800000000003</v>
      </c>
      <c r="GQ46" s="141">
        <f t="shared" si="236"/>
        <v>12372.800000000003</v>
      </c>
      <c r="GR46" s="141">
        <f t="shared" si="236"/>
        <v>12372.800000000003</v>
      </c>
      <c r="GS46" s="141">
        <f t="shared" si="236"/>
        <v>12372.800000000003</v>
      </c>
      <c r="GT46" s="141">
        <f t="shared" si="236"/>
        <v>12372.800000000003</v>
      </c>
      <c r="GU46" s="141">
        <f t="shared" si="236"/>
        <v>12372.800000000003</v>
      </c>
      <c r="GV46" s="141">
        <f t="shared" si="236"/>
        <v>12372.800000000003</v>
      </c>
      <c r="GW46" s="141">
        <f t="shared" si="236"/>
        <v>12372.800000000003</v>
      </c>
      <c r="GX46" s="141">
        <f t="shared" si="236"/>
        <v>12372.800000000003</v>
      </c>
      <c r="GY46" s="141">
        <f t="shared" si="236"/>
        <v>12372.800000000003</v>
      </c>
      <c r="GZ46" s="141">
        <f t="shared" si="236"/>
        <v>12372.800000000003</v>
      </c>
      <c r="HA46" s="141">
        <f t="shared" si="236"/>
        <v>12372.800000000003</v>
      </c>
      <c r="HB46" s="141">
        <f t="shared" si="236"/>
        <v>12372.800000000003</v>
      </c>
      <c r="HC46" s="141">
        <f t="shared" si="236"/>
        <v>12372.800000000003</v>
      </c>
      <c r="HD46" s="141">
        <f t="shared" si="236"/>
        <v>12372.800000000003</v>
      </c>
      <c r="HE46" s="141">
        <f t="shared" si="236"/>
        <v>12372.800000000003</v>
      </c>
      <c r="HF46" s="141">
        <f t="shared" si="236"/>
        <v>12372.800000000003</v>
      </c>
      <c r="HG46" s="141">
        <f t="shared" si="236"/>
        <v>12372.800000000003</v>
      </c>
      <c r="HH46" s="141">
        <f t="shared" si="236"/>
        <v>12372.800000000003</v>
      </c>
      <c r="HI46" s="141">
        <f t="shared" si="236"/>
        <v>12372.800000000003</v>
      </c>
      <c r="HJ46" s="141">
        <f t="shared" si="236"/>
        <v>12372.800000000003</v>
      </c>
      <c r="HK46" s="141">
        <f t="shared" si="236"/>
        <v>12372.800000000003</v>
      </c>
      <c r="HL46" s="141">
        <f t="shared" si="236"/>
        <v>12372.800000000003</v>
      </c>
      <c r="HM46" s="142">
        <f t="shared" ref="HM46:IP46" si="237">IF(ISBLANK($A46),,FE46*($AH46-($AH46*$AJ46))/$AI46)</f>
        <v>18559.200000000004</v>
      </c>
      <c r="HN46" s="142">
        <f t="shared" si="237"/>
        <v>18559.200000000004</v>
      </c>
      <c r="HO46" s="142">
        <f t="shared" si="237"/>
        <v>18559.200000000004</v>
      </c>
      <c r="HP46" s="142">
        <f t="shared" si="237"/>
        <v>18559.200000000004</v>
      </c>
      <c r="HQ46" s="142">
        <f t="shared" si="237"/>
        <v>18559.200000000004</v>
      </c>
      <c r="HR46" s="142">
        <f t="shared" si="237"/>
        <v>18559.200000000004</v>
      </c>
      <c r="HS46" s="142">
        <f t="shared" si="237"/>
        <v>18559.200000000004</v>
      </c>
      <c r="HT46" s="142">
        <f t="shared" si="237"/>
        <v>18559.200000000004</v>
      </c>
      <c r="HU46" s="142">
        <f t="shared" si="237"/>
        <v>18559.200000000004</v>
      </c>
      <c r="HV46" s="142">
        <f t="shared" si="237"/>
        <v>18559.200000000004</v>
      </c>
      <c r="HW46" s="142">
        <f t="shared" si="237"/>
        <v>18559.200000000004</v>
      </c>
      <c r="HX46" s="142">
        <f t="shared" si="237"/>
        <v>18559.200000000004</v>
      </c>
      <c r="HY46" s="142">
        <f t="shared" si="237"/>
        <v>18559.200000000004</v>
      </c>
      <c r="HZ46" s="142">
        <f t="shared" si="237"/>
        <v>18559.200000000004</v>
      </c>
      <c r="IA46" s="142">
        <f t="shared" si="237"/>
        <v>18559.200000000004</v>
      </c>
      <c r="IB46" s="142">
        <f t="shared" si="237"/>
        <v>18559.200000000004</v>
      </c>
      <c r="IC46" s="142">
        <f t="shared" si="237"/>
        <v>18559.200000000004</v>
      </c>
      <c r="ID46" s="142">
        <f t="shared" si="237"/>
        <v>18559.200000000004</v>
      </c>
      <c r="IE46" s="142">
        <f t="shared" si="237"/>
        <v>18559.200000000004</v>
      </c>
      <c r="IF46" s="142">
        <f t="shared" si="237"/>
        <v>18559.200000000004</v>
      </c>
      <c r="IG46" s="142">
        <f t="shared" si="237"/>
        <v>18559.200000000004</v>
      </c>
      <c r="IH46" s="142">
        <f t="shared" si="237"/>
        <v>18559.200000000004</v>
      </c>
      <c r="II46" s="142">
        <f t="shared" si="237"/>
        <v>18559.200000000004</v>
      </c>
      <c r="IJ46" s="142">
        <f t="shared" si="237"/>
        <v>18559.200000000004</v>
      </c>
      <c r="IK46" s="142">
        <f t="shared" si="237"/>
        <v>18559.200000000004</v>
      </c>
      <c r="IL46" s="142">
        <f t="shared" si="237"/>
        <v>18559.200000000004</v>
      </c>
      <c r="IM46" s="142">
        <f t="shared" si="237"/>
        <v>18559.200000000004</v>
      </c>
      <c r="IN46" s="142">
        <f t="shared" si="237"/>
        <v>18559.200000000004</v>
      </c>
      <c r="IO46" s="142">
        <f t="shared" si="237"/>
        <v>18559.200000000004</v>
      </c>
      <c r="IP46" s="142">
        <f t="shared" si="237"/>
        <v>18559.200000000004</v>
      </c>
      <c r="IQ46" s="141">
        <f>IF(ISBLANK($A46),,IF($AN46="Não",0,(SUM($AO46:AO46)*$AH46)-SUM($HM46:HM46)-SUM($CW46:CW46)))</f>
        <v>228896.80000000002</v>
      </c>
      <c r="IR46" s="141">
        <f>IF(ISBLANK($A46),,IF($AN46="Não",0,(SUM($AO46:AP46)*$AH46)-SUM($HM46:HN46)-SUM($CW46:CX46)))</f>
        <v>210337.60000000003</v>
      </c>
      <c r="IS46" s="141">
        <f>IF(ISBLANK($A46),,IF($AN46="Não",0,(SUM($AO46:AQ46)*$AH46)-SUM($HM46:HO46)-SUM($CW46:CY46)))</f>
        <v>191778.40000000002</v>
      </c>
      <c r="IT46" s="141">
        <f>IF(ISBLANK($A46),,IF($AN46="Não",0,(SUM($AO46:AR46)*$AH46)-SUM($HM46:HP46)-SUM($CW46:CZ46)))</f>
        <v>173219.20000000001</v>
      </c>
      <c r="IU46" s="141">
        <f>IF(ISBLANK($A46),,IF($AN46="Não",0,(SUM($AO46:AS46)*$AH46)-SUM($HM46:HQ46)-SUM($CW46:DA46)))</f>
        <v>154660</v>
      </c>
      <c r="IV46" s="141">
        <f>IF(ISBLANK($A46),,IF($AN46="Não",0,(SUM($AO46:AT46)*$AH46)-SUM($HM46:HR46)-SUM($CW46:DB46)))</f>
        <v>136100.79999999999</v>
      </c>
      <c r="IW46" s="141">
        <f>IF(ISBLANK($A46),,IF($AN46="Não",0,(SUM($AO46:AU46)*$AH46)-SUM($HM46:HS46)-SUM($CW46:DC46)))</f>
        <v>117541.59999999998</v>
      </c>
      <c r="IX46" s="141">
        <f>IF(ISBLANK($A46),,IF($AN46="Não",0,(SUM($AO46:AV46)*$AH46)-SUM($HM46:HT46)-SUM($CW46:DD46)))</f>
        <v>98982.399999999965</v>
      </c>
      <c r="IY46" s="141">
        <f>IF(ISBLANK($A46),,IF($AN46="Não",0,(SUM($AO46:AW46)*$AH46)-SUM($HM46:HU46)-SUM($CW46:DE46)))</f>
        <v>80423.199999999953</v>
      </c>
      <c r="IZ46" s="141">
        <f>IF(ISBLANK($A46),,IF($AN46="Não",0,(SUM($AO46:AX46)*$AH46)-SUM($HM46:HV46)-SUM($CW46:DF46)))</f>
        <v>61863.999999999942</v>
      </c>
      <c r="JA46" s="141">
        <f>IF(ISBLANK($A46),,IF($AN46="Não",0,(SUM($AO46:AY46)*$AH46)-SUM($HM46:HW46)-SUM($CW46:DG46)))</f>
        <v>228896.79999999993</v>
      </c>
      <c r="JB46" s="141">
        <f>IF(ISBLANK($A46),,IF($AN46="Não",0,(SUM($AO46:AZ46)*$AH46)-SUM($HM46:HX46)-SUM($CW46:DH46)))</f>
        <v>210337.59999999998</v>
      </c>
      <c r="JC46" s="141">
        <f>IF(ISBLANK($A46),,IF($AN46="Não",0,(SUM($AO46:BA46)*$AH46)-SUM($HM46:HY46)-SUM($CW46:DI46)))</f>
        <v>191778.39999999994</v>
      </c>
      <c r="JD46" s="141">
        <f>IF(ISBLANK($A46),,IF($AN46="Não",0,(SUM($AO46:BB46)*$AH46)-SUM($HM46:HZ46)-SUM($CW46:DJ46)))</f>
        <v>173219.19999999992</v>
      </c>
      <c r="JE46" s="141">
        <f>IF(ISBLANK($A46),,IF($AN46="Não",0,(SUM($AO46:BC46)*$AH46)-SUM($HM46:IA46)-SUM($CW46:DK46)))</f>
        <v>154659.99999999994</v>
      </c>
      <c r="JF46" s="141">
        <f>IF(ISBLANK($A46),,IF($AN46="Não",0,(SUM($AO46:BD46)*$AH46)-SUM($HM46:IB46)-SUM($CW46:DL46)))</f>
        <v>136100.79999999993</v>
      </c>
      <c r="JG46" s="141">
        <f>IF(ISBLANK($A46),,IF($AN46="Não",0,(SUM($AO46:BE46)*$AH46)-SUM($HM46:IC46)-SUM($CW46:DM46)))</f>
        <v>117541.59999999992</v>
      </c>
      <c r="JH46" s="141">
        <f>IF(ISBLANK($A46),,IF($AN46="Não",0,(SUM($AO46:BF46)*$AH46)-SUM($HM46:ID46)-SUM($CW46:DN46)))</f>
        <v>98982.399999999907</v>
      </c>
      <c r="JI46" s="141">
        <f>IF(ISBLANK($A46),,IF($AN46="Não",0,(SUM($AO46:BG46)*$AH46)-SUM($HM46:IE46)-SUM($CW46:DO46)))</f>
        <v>80423.199999999895</v>
      </c>
      <c r="JJ46" s="141">
        <f>IF(ISBLANK($A46),,IF($AN46="Não",0,(SUM($AO46:BH46)*$AH46)-SUM($HM46:IF46)-SUM($CW46:DP46)))</f>
        <v>61863.999999999876</v>
      </c>
      <c r="JK46" s="141">
        <f>IF(ISBLANK($A46),,IF($AN46="Não",0,(SUM($AO46:BI46)*$AH46)-SUM($HM46:IG46)-SUM($CW46:DQ46)))</f>
        <v>228896.79999999993</v>
      </c>
      <c r="JL46" s="141">
        <f>IF(ISBLANK($A46),,IF($AN46="Não",0,(SUM($AO46:BJ46)*$AH46)-SUM($HM46:IH46)-SUM($CW46:DR46)))</f>
        <v>210337.59999999992</v>
      </c>
      <c r="JM46" s="141">
        <f>IF(ISBLANK($A46),,IF($AN46="Não",0,(SUM($AO46:BK46)*$AH46)-SUM($HM46:II46)-SUM($CW46:DS46)))</f>
        <v>191778.39999999991</v>
      </c>
      <c r="JN46" s="141">
        <f>IF(ISBLANK($A46),,IF($AN46="Não",0,(SUM($AO46:BL46)*$AH46)-SUM($HM46:IJ46)-SUM($CW46:DT46)))</f>
        <v>173219.1999999999</v>
      </c>
      <c r="JO46" s="141">
        <f>IF(ISBLANK($A46),,IF($AN46="Não",0,(SUM($AO46:BM46)*$AH46)-SUM($HM46:IK46)-SUM($CW46:DU46)))</f>
        <v>154659.99999999988</v>
      </c>
      <c r="JP46" s="141">
        <f>IF(ISBLANK($A46),,IF($AN46="Não",0,(SUM($AO46:BN46)*$AH46)-SUM($HM46:IL46)-SUM($CW46:DV46)))</f>
        <v>136100.79999999987</v>
      </c>
      <c r="JQ46" s="141">
        <f>IF(ISBLANK($A46),,IF($AN46="Não",0,(SUM($AO46:BO46)*$AH46)-SUM($HM46:IM46)-SUM($CW46:DW46)))</f>
        <v>117541.59999999985</v>
      </c>
      <c r="JR46" s="141">
        <f>IF(ISBLANK($A46),,IF($AN46="Não",0,(SUM($AO46:BP46)*$AH46)-SUM($HM46:IN46)-SUM($CW46:DX46)))</f>
        <v>98982.399999999834</v>
      </c>
      <c r="JS46" s="141">
        <f>IF(ISBLANK($A46),,IF($AN46="Não",0,(SUM($AO46:BQ46)*$AH46)-SUM($HM46:IO46)-SUM($CW46:DY46)))</f>
        <v>80423.199999999822</v>
      </c>
      <c r="JT46" s="141">
        <f>IF(ISBLANK($A46),,IF($AN46="Não",0,(SUM($AO46:BR46)*$AH46)-SUM($HM46:IP46)-SUM($CW46:DZ46)))</f>
        <v>61863.999999999869</v>
      </c>
    </row>
    <row r="47" spans="1:280" ht="15.75" customHeight="1">
      <c r="A47" s="129" t="s">
        <v>406</v>
      </c>
      <c r="B47" s="129" t="s">
        <v>209</v>
      </c>
      <c r="C47" s="138" t="s">
        <v>79</v>
      </c>
      <c r="D47" s="139">
        <v>100</v>
      </c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  <c r="AA47" s="139"/>
      <c r="AB47" s="139"/>
      <c r="AC47" s="139"/>
      <c r="AD47" s="139"/>
      <c r="AE47" s="139"/>
      <c r="AF47" s="139"/>
      <c r="AG47" s="139"/>
      <c r="AH47" s="607">
        <f t="shared" si="165"/>
        <v>407.00000000000006</v>
      </c>
      <c r="AI47" s="608">
        <f t="shared" si="166"/>
        <v>10</v>
      </c>
      <c r="AJ47" s="609">
        <f t="shared" si="167"/>
        <v>0.25</v>
      </c>
      <c r="AK47" s="610" t="str">
        <f t="shared" si="168"/>
        <v>Móveis e Utensílios</v>
      </c>
      <c r="AL47" s="609">
        <f t="shared" si="169"/>
        <v>0.05</v>
      </c>
      <c r="AM47" s="611" t="str">
        <f t="shared" si="170"/>
        <v>Sim</v>
      </c>
      <c r="AN47" s="611" t="str">
        <f t="shared" si="171"/>
        <v>Sim</v>
      </c>
      <c r="AO47" s="140">
        <f t="array" ref="AO47">IF(ISBLANK($A47),0,IF(OR(AO$5-$AI47&lt;=0,$AM47="Não"),D47,D47+INDEX($AO$6:$BR$176,ROW()-5,COLUMN()-40-$AI47)))*IF($B47="Operacional",IFERROR(VLOOKUP($C47,SN_UGC,28,0),0),1)</f>
        <v>100</v>
      </c>
      <c r="AP47" s="140">
        <f t="array" ref="AP47">IF(ISBLANK($A47),0,IF(OR(AP$5-$AI47&lt;=0,$AM47="Não"),E47,E47+INDEX($AO$6:$BR$176,ROW()-5,COLUMN()-40-$AI47)))*IF($B47="Operacional",IFERROR(VLOOKUP($C47,SN_UGC,28,0),0),1)</f>
        <v>0</v>
      </c>
      <c r="AQ47" s="140">
        <f t="array" ref="AQ47">IF(ISBLANK($A47),0,IF(OR(AQ$5-$AI47&lt;=0,$AM47="Não"),F47,F47+INDEX($AO$6:$BR$176,ROW()-5,COLUMN()-40-$AI47)))*IF($B47="Operacional",IFERROR(VLOOKUP($C47,SN_UGC,28,0),0),1)</f>
        <v>0</v>
      </c>
      <c r="AR47" s="140">
        <f t="array" ref="AR47">IF(ISBLANK($A47),0,IF(OR(AR$5-$AI47&lt;=0,$AM47="Não"),G47,G47+INDEX($AO$6:$BR$176,ROW()-5,COLUMN()-40-$AI47)))*IF($B47="Operacional",IFERROR(VLOOKUP($C47,SN_UGC,28,0),0),1)</f>
        <v>0</v>
      </c>
      <c r="AS47" s="140">
        <f t="array" ref="AS47">IF(ISBLANK($A47),0,IF(OR(AS$5-$AI47&lt;=0,$AM47="Não"),H47,H47+INDEX($AO$6:$BR$176,ROW()-5,COLUMN()-40-$AI47)))*IF($B47="Operacional",IFERROR(VLOOKUP($C47,SN_UGC,28,0),0),1)</f>
        <v>0</v>
      </c>
      <c r="AT47" s="140">
        <f t="array" ref="AT47">IF(ISBLANK($A47),0,IF(OR(AT$5-$AI47&lt;=0,$AM47="Não"),I47,I47+INDEX($AO$6:$BR$176,ROW()-5,COLUMN()-40-$AI47)))*IF($B47="Operacional",IFERROR(VLOOKUP($C47,SN_UGC,28,0),0),1)</f>
        <v>0</v>
      </c>
      <c r="AU47" s="140">
        <f t="array" ref="AU47">IF(ISBLANK($A47),0,IF(OR(AU$5-$AI47&lt;=0,$AM47="Não"),J47,J47+INDEX($AO$6:$BR$176,ROW()-5,COLUMN()-40-$AI47)))*IF($B47="Operacional",IFERROR(VLOOKUP($C47,SN_UGC,28,0),0),1)</f>
        <v>0</v>
      </c>
      <c r="AV47" s="140">
        <f t="array" ref="AV47">IF(ISBLANK($A47),0,IF(OR(AV$5-$AI47&lt;=0,$AM47="Não"),K47,K47+INDEX($AO$6:$BR$176,ROW()-5,COLUMN()-40-$AI47)))*IF($B47="Operacional",IFERROR(VLOOKUP($C47,SN_UGC,28,0),0),1)</f>
        <v>0</v>
      </c>
      <c r="AW47" s="140">
        <f t="array" ref="AW47">IF(ISBLANK($A47),0,IF(OR(AW$5-$AI47&lt;=0,$AM47="Não"),L47,L47+INDEX($AO$6:$BR$176,ROW()-5,COLUMN()-40-$AI47)))*IF($B47="Operacional",IFERROR(VLOOKUP($C47,SN_UGC,28,0),0),1)</f>
        <v>0</v>
      </c>
      <c r="AX47" s="140">
        <f t="array" ref="AX47">IF(ISBLANK($A47),0,IF(OR(AX$5-$AI47&lt;=0,$AM47="Não"),M47,M47+INDEX($AO$6:$BR$176,ROW()-5,COLUMN()-40-$AI47)))*IF($B47="Operacional",IFERROR(VLOOKUP($C47,SN_UGC,28,0),0),1)</f>
        <v>0</v>
      </c>
      <c r="AY47" s="140">
        <f t="array" ref="AY47">IF(ISBLANK($A47),0,IF(OR(AY$5-$AI47&lt;=0,$AM47="Não"),N47,N47+INDEX($AO$6:$BR$176,ROW()-5,COLUMN()-40-$AI47)))*IF($B47="Operacional",IFERROR(VLOOKUP($C47,SN_UGC,28,0),0),1)</f>
        <v>100</v>
      </c>
      <c r="AZ47" s="140">
        <f t="array" ref="AZ47">IF(ISBLANK($A47),0,IF(OR(AZ$5-$AI47&lt;=0,$AM47="Não"),O47,O47+INDEX($AO$6:$BR$176,ROW()-5,COLUMN()-40-$AI47)))*IF($B47="Operacional",IFERROR(VLOOKUP($C47,SN_UGC,28,0),0),1)</f>
        <v>0</v>
      </c>
      <c r="BA47" s="140">
        <f t="array" ref="BA47">IF(ISBLANK($A47),0,IF(OR(BA$5-$AI47&lt;=0,$AM47="Não"),P47,P47+INDEX($AO$6:$BR$176,ROW()-5,COLUMN()-40-$AI47)))*IF($B47="Operacional",IFERROR(VLOOKUP($C47,SN_UGC,28,0),0),1)</f>
        <v>0</v>
      </c>
      <c r="BB47" s="140">
        <f t="array" ref="BB47">IF(ISBLANK($A47),0,IF(OR(BB$5-$AI47&lt;=0,$AM47="Não"),Q47,Q47+INDEX($AO$6:$BR$176,ROW()-5,COLUMN()-40-$AI47)))*IF($B47="Operacional",IFERROR(VLOOKUP($C47,SN_UGC,28,0),0),1)</f>
        <v>0</v>
      </c>
      <c r="BC47" s="140">
        <f t="array" ref="BC47">IF(ISBLANK($A47),0,IF(OR(BC$5-$AI47&lt;=0,$AM47="Não"),R47,R47+INDEX($AO$6:$BR$176,ROW()-5,COLUMN()-40-$AI47)))*IF($B47="Operacional",IFERROR(VLOOKUP($C47,SN_UGC,28,0),0),1)</f>
        <v>0</v>
      </c>
      <c r="BD47" s="140">
        <f t="array" ref="BD47">IF(ISBLANK($A47),0,IF(OR(BD$5-$AI47&lt;=0,$AM47="Não"),S47,S47+INDEX($AO$6:$BR$176,ROW()-5,COLUMN()-40-$AI47)))*IF($B47="Operacional",IFERROR(VLOOKUP($C47,SN_UGC,28,0),0),1)</f>
        <v>0</v>
      </c>
      <c r="BE47" s="140">
        <f t="array" ref="BE47">IF(ISBLANK($A47),0,IF(OR(BE$5-$AI47&lt;=0,$AM47="Não"),T47,T47+INDEX($AO$6:$BR$176,ROW()-5,COLUMN()-40-$AI47)))*IF($B47="Operacional",IFERROR(VLOOKUP($C47,SN_UGC,28,0),0),1)</f>
        <v>0</v>
      </c>
      <c r="BF47" s="140">
        <f t="array" ref="BF47">IF(ISBLANK($A47),0,IF(OR(BF$5-$AI47&lt;=0,$AM47="Não"),U47,U47+INDEX($AO$6:$BR$176,ROW()-5,COLUMN()-40-$AI47)))*IF($B47="Operacional",IFERROR(VLOOKUP($C47,SN_UGC,28,0),0),1)</f>
        <v>0</v>
      </c>
      <c r="BG47" s="140">
        <f t="array" ref="BG47">IF(ISBLANK($A47),0,IF(OR(BG$5-$AI47&lt;=0,$AM47="Não"),V47,V47+INDEX($AO$6:$BR$176,ROW()-5,COLUMN()-40-$AI47)))*IF($B47="Operacional",IFERROR(VLOOKUP($C47,SN_UGC,28,0),0),1)</f>
        <v>0</v>
      </c>
      <c r="BH47" s="140">
        <f t="array" ref="BH47">IF(ISBLANK($A47),0,IF(OR(BH$5-$AI47&lt;=0,$AM47="Não"),W47,W47+INDEX($AO$6:$BR$176,ROW()-5,COLUMN()-40-$AI47)))*IF($B47="Operacional",IFERROR(VLOOKUP($C47,SN_UGC,28,0),0),1)</f>
        <v>0</v>
      </c>
      <c r="BI47" s="140">
        <f t="array" ref="BI47">IF(ISBLANK($A47),0,IF(OR(BI$5-$AI47&lt;=0,$AM47="Não"),X47,X47+INDEX($AO$6:$BR$176,ROW()-5,COLUMN()-40-$AI47)))*IF($B47="Operacional",IFERROR(VLOOKUP($C47,SN_UGC,28,0),0),1)</f>
        <v>100</v>
      </c>
      <c r="BJ47" s="140">
        <f t="array" ref="BJ47">IF(ISBLANK($A47),0,IF(OR(BJ$5-$AI47&lt;=0,$AM47="Não"),Y47,Y47+INDEX($AO$6:$BR$176,ROW()-5,COLUMN()-40-$AI47)))*IF($B47="Operacional",IFERROR(VLOOKUP($C47,SN_UGC,28,0),0),1)</f>
        <v>0</v>
      </c>
      <c r="BK47" s="140">
        <f t="array" ref="BK47">IF(ISBLANK($A47),0,IF(OR(BK$5-$AI47&lt;=0,$AM47="Não"),Z47,Z47+INDEX($AO$6:$BR$176,ROW()-5,COLUMN()-40-$AI47)))*IF($B47="Operacional",IFERROR(VLOOKUP($C47,SN_UGC,28,0),0),1)</f>
        <v>0</v>
      </c>
      <c r="BL47" s="140">
        <f t="array" ref="BL47">IF(ISBLANK($A47),0,IF(OR(BL$5-$AI47&lt;=0,$AM47="Não"),AA47,AA47+INDEX($AO$6:$BR$176,ROW()-5,COLUMN()-40-$AI47)))*IF($B47="Operacional",IFERROR(VLOOKUP($C47,SN_UGC,28,0),0),1)</f>
        <v>0</v>
      </c>
      <c r="BM47" s="140">
        <f t="array" ref="BM47">IF(ISBLANK($A47),0,IF(OR(BM$5-$AI47&lt;=0,$AM47="Não"),AB47,AB47+INDEX($AO$6:$BR$176,ROW()-5,COLUMN()-40-$AI47)))*IF($B47="Operacional",IFERROR(VLOOKUP($C47,SN_UGC,28,0),0),1)</f>
        <v>0</v>
      </c>
      <c r="BN47" s="140">
        <f t="array" ref="BN47">IF(ISBLANK($A47),0,IF(OR(BN$5-$AI47&lt;=0,$AM47="Não"),AC47,AC47+INDEX($AO$6:$BR$176,ROW()-5,COLUMN()-40-$AI47)))*IF($B47="Operacional",IFERROR(VLOOKUP($C47,SN_UGC,28,0),0),1)</f>
        <v>0</v>
      </c>
      <c r="BO47" s="140">
        <f t="array" ref="BO47">IF(ISBLANK($A47),0,IF(OR(BO$5-$AI47&lt;=0,$AM47="Não"),AD47,AD47+INDEX($AO$6:$BR$176,ROW()-5,COLUMN()-40-$AI47)))*IF($B47="Operacional",IFERROR(VLOOKUP($C47,SN_UGC,28,0),0),1)</f>
        <v>0</v>
      </c>
      <c r="BP47" s="140">
        <f t="array" ref="BP47">IF(ISBLANK($A47),0,IF(OR(BP$5-$AI47&lt;=0,$AM47="Não"),AE47,AE47+INDEX($AO$6:$BR$176,ROW()-5,COLUMN()-40-$AI47)))*IF($B47="Operacional",IFERROR(VLOOKUP($C47,SN_UGC,28,0),0),1)</f>
        <v>0</v>
      </c>
      <c r="BQ47" s="140">
        <f t="array" ref="BQ47">IF(ISBLANK($A47),0,IF(OR(BQ$5-$AI47&lt;=0,$AM47="Não"),AF47,AF47+INDEX($AO$6:$BR$176,ROW()-5,COLUMN()-40-$AI47)))*IF($B47="Operacional",IFERROR(VLOOKUP($C47,SN_UGC,28,0),0),1)</f>
        <v>0</v>
      </c>
      <c r="BR47" s="140">
        <f t="array" ref="BR47">IF(ISBLANK($A47),0,IF(OR(BR$5-$AI47&lt;=0,$AM47="Não"),AG47,AG47+INDEX($AO$6:$BR$176,ROW()-5,COLUMN()-40-$AI47)))*IF($B47="Operacional",IFERROR(VLOOKUP($C47,SN_UGC,28,0),0),1)</f>
        <v>0</v>
      </c>
      <c r="BS47" s="141">
        <f t="shared" ref="BS47:CV47" si="238">IF(ISBLANK($A47),0,$AH47*AO47)</f>
        <v>40700.000000000007</v>
      </c>
      <c r="BT47" s="141">
        <f t="shared" si="238"/>
        <v>0</v>
      </c>
      <c r="BU47" s="141">
        <f t="shared" si="238"/>
        <v>0</v>
      </c>
      <c r="BV47" s="141">
        <f t="shared" si="238"/>
        <v>0</v>
      </c>
      <c r="BW47" s="141">
        <f t="shared" si="238"/>
        <v>0</v>
      </c>
      <c r="BX47" s="141">
        <f t="shared" si="238"/>
        <v>0</v>
      </c>
      <c r="BY47" s="141">
        <f t="shared" si="238"/>
        <v>0</v>
      </c>
      <c r="BZ47" s="141">
        <f t="shared" si="238"/>
        <v>0</v>
      </c>
      <c r="CA47" s="141">
        <f t="shared" si="238"/>
        <v>0</v>
      </c>
      <c r="CB47" s="141">
        <f t="shared" si="238"/>
        <v>0</v>
      </c>
      <c r="CC47" s="141">
        <f t="shared" si="238"/>
        <v>40700.000000000007</v>
      </c>
      <c r="CD47" s="141">
        <f t="shared" si="238"/>
        <v>0</v>
      </c>
      <c r="CE47" s="141">
        <f t="shared" si="238"/>
        <v>0</v>
      </c>
      <c r="CF47" s="141">
        <f t="shared" si="238"/>
        <v>0</v>
      </c>
      <c r="CG47" s="141">
        <f t="shared" si="238"/>
        <v>0</v>
      </c>
      <c r="CH47" s="141">
        <f t="shared" si="238"/>
        <v>0</v>
      </c>
      <c r="CI47" s="141">
        <f t="shared" si="238"/>
        <v>0</v>
      </c>
      <c r="CJ47" s="141">
        <f t="shared" si="238"/>
        <v>0</v>
      </c>
      <c r="CK47" s="141">
        <f t="shared" si="238"/>
        <v>0</v>
      </c>
      <c r="CL47" s="141">
        <f t="shared" si="238"/>
        <v>0</v>
      </c>
      <c r="CM47" s="141">
        <f t="shared" si="238"/>
        <v>40700.000000000007</v>
      </c>
      <c r="CN47" s="141">
        <f t="shared" si="238"/>
        <v>0</v>
      </c>
      <c r="CO47" s="141">
        <f t="shared" si="238"/>
        <v>0</v>
      </c>
      <c r="CP47" s="141">
        <f t="shared" si="238"/>
        <v>0</v>
      </c>
      <c r="CQ47" s="141">
        <f t="shared" si="238"/>
        <v>0</v>
      </c>
      <c r="CR47" s="141">
        <f t="shared" si="238"/>
        <v>0</v>
      </c>
      <c r="CS47" s="141">
        <f t="shared" si="238"/>
        <v>0</v>
      </c>
      <c r="CT47" s="141">
        <f t="shared" si="238"/>
        <v>0</v>
      </c>
      <c r="CU47" s="141">
        <f t="shared" si="238"/>
        <v>0</v>
      </c>
      <c r="CV47" s="141">
        <f t="shared" si="238"/>
        <v>0</v>
      </c>
      <c r="CW47" s="142">
        <f t="shared" ref="CW47:DZ47" si="239">EA47*$AH47*$AJ47</f>
        <v>0</v>
      </c>
      <c r="CX47" s="142">
        <f t="shared" si="239"/>
        <v>0</v>
      </c>
      <c r="CY47" s="142">
        <f t="shared" si="239"/>
        <v>0</v>
      </c>
      <c r="CZ47" s="142">
        <f t="shared" si="239"/>
        <v>0</v>
      </c>
      <c r="DA47" s="142">
        <f t="shared" si="239"/>
        <v>0</v>
      </c>
      <c r="DB47" s="142">
        <f t="shared" si="239"/>
        <v>0</v>
      </c>
      <c r="DC47" s="142">
        <f t="shared" si="239"/>
        <v>0</v>
      </c>
      <c r="DD47" s="142">
        <f t="shared" si="239"/>
        <v>0</v>
      </c>
      <c r="DE47" s="142">
        <f t="shared" si="239"/>
        <v>0</v>
      </c>
      <c r="DF47" s="142">
        <f t="shared" si="239"/>
        <v>0</v>
      </c>
      <c r="DG47" s="142">
        <f t="shared" si="239"/>
        <v>10175.000000000002</v>
      </c>
      <c r="DH47" s="142">
        <f t="shared" si="239"/>
        <v>0</v>
      </c>
      <c r="DI47" s="142">
        <f t="shared" si="239"/>
        <v>0</v>
      </c>
      <c r="DJ47" s="142">
        <f t="shared" si="239"/>
        <v>0</v>
      </c>
      <c r="DK47" s="142">
        <f t="shared" si="239"/>
        <v>0</v>
      </c>
      <c r="DL47" s="142">
        <f t="shared" si="239"/>
        <v>0</v>
      </c>
      <c r="DM47" s="142">
        <f t="shared" si="239"/>
        <v>0</v>
      </c>
      <c r="DN47" s="142">
        <f t="shared" si="239"/>
        <v>0</v>
      </c>
      <c r="DO47" s="142">
        <f t="shared" si="239"/>
        <v>0</v>
      </c>
      <c r="DP47" s="142">
        <f t="shared" si="239"/>
        <v>0</v>
      </c>
      <c r="DQ47" s="142">
        <f t="shared" si="239"/>
        <v>10175.000000000002</v>
      </c>
      <c r="DR47" s="142">
        <f t="shared" si="239"/>
        <v>0</v>
      </c>
      <c r="DS47" s="142">
        <f t="shared" si="239"/>
        <v>0</v>
      </c>
      <c r="DT47" s="142">
        <f t="shared" si="239"/>
        <v>0</v>
      </c>
      <c r="DU47" s="142">
        <f t="shared" si="239"/>
        <v>0</v>
      </c>
      <c r="DV47" s="142">
        <f t="shared" si="239"/>
        <v>0</v>
      </c>
      <c r="DW47" s="142">
        <f t="shared" si="239"/>
        <v>0</v>
      </c>
      <c r="DX47" s="142">
        <f t="shared" si="239"/>
        <v>0</v>
      </c>
      <c r="DY47" s="142">
        <f t="shared" si="239"/>
        <v>0</v>
      </c>
      <c r="DZ47" s="142">
        <f t="shared" si="239"/>
        <v>0</v>
      </c>
      <c r="EA47" s="143">
        <f t="shared" si="174"/>
        <v>0</v>
      </c>
      <c r="EB47" s="143">
        <f t="shared" si="175"/>
        <v>0</v>
      </c>
      <c r="EC47" s="143">
        <f t="shared" si="176"/>
        <v>0</v>
      </c>
      <c r="ED47" s="143">
        <f t="shared" si="177"/>
        <v>0</v>
      </c>
      <c r="EE47" s="143">
        <f t="shared" si="178"/>
        <v>0</v>
      </c>
      <c r="EF47" s="143">
        <f t="shared" si="179"/>
        <v>0</v>
      </c>
      <c r="EG47" s="143">
        <f t="shared" si="180"/>
        <v>0</v>
      </c>
      <c r="EH47" s="143">
        <f t="shared" si="181"/>
        <v>0</v>
      </c>
      <c r="EI47" s="143">
        <f t="shared" si="182"/>
        <v>0</v>
      </c>
      <c r="EJ47" s="143">
        <f t="shared" si="183"/>
        <v>0</v>
      </c>
      <c r="EK47" s="143">
        <f t="shared" si="184"/>
        <v>100</v>
      </c>
      <c r="EL47" s="143">
        <f t="shared" si="185"/>
        <v>0</v>
      </c>
      <c r="EM47" s="143">
        <f t="shared" si="186"/>
        <v>0</v>
      </c>
      <c r="EN47" s="143">
        <f t="shared" si="187"/>
        <v>0</v>
      </c>
      <c r="EO47" s="143">
        <f t="shared" si="188"/>
        <v>0</v>
      </c>
      <c r="EP47" s="143">
        <f t="shared" si="189"/>
        <v>0</v>
      </c>
      <c r="EQ47" s="143">
        <f t="shared" si="190"/>
        <v>0</v>
      </c>
      <c r="ER47" s="143">
        <f t="shared" si="191"/>
        <v>0</v>
      </c>
      <c r="ES47" s="143">
        <f t="shared" si="192"/>
        <v>0</v>
      </c>
      <c r="ET47" s="143">
        <f t="shared" si="193"/>
        <v>0</v>
      </c>
      <c r="EU47" s="143">
        <f t="shared" si="194"/>
        <v>100</v>
      </c>
      <c r="EV47" s="143">
        <f t="shared" si="195"/>
        <v>0</v>
      </c>
      <c r="EW47" s="143">
        <f t="shared" si="196"/>
        <v>0</v>
      </c>
      <c r="EX47" s="143">
        <f t="shared" si="197"/>
        <v>0</v>
      </c>
      <c r="EY47" s="143">
        <f t="shared" si="198"/>
        <v>0</v>
      </c>
      <c r="EZ47" s="143">
        <f t="shared" si="199"/>
        <v>0</v>
      </c>
      <c r="FA47" s="143">
        <f t="shared" si="200"/>
        <v>0</v>
      </c>
      <c r="FB47" s="143">
        <f t="shared" si="201"/>
        <v>0</v>
      </c>
      <c r="FC47" s="143">
        <f t="shared" si="202"/>
        <v>0</v>
      </c>
      <c r="FD47" s="143">
        <f t="shared" si="203"/>
        <v>0</v>
      </c>
      <c r="FE47" s="140">
        <f>SUM($D47:D47)*IF($B47="Operacional",IFERROR(VLOOKUP($C47,SN_UGC,28,0),0),1)</f>
        <v>100</v>
      </c>
      <c r="FF47" s="140">
        <f>SUM($D47:E47)*IF($B47="Operacional",IFERROR(VLOOKUP($C47,SN_UGC,28,0),0),1)</f>
        <v>100</v>
      </c>
      <c r="FG47" s="140">
        <f>SUM($D47:F47)*IF($B47="Operacional",IFERROR(VLOOKUP($C47,SN_UGC,28,0),0),1)</f>
        <v>100</v>
      </c>
      <c r="FH47" s="140">
        <f>SUM($D47:G47)*IF($B47="Operacional",IFERROR(VLOOKUP($C47,SN_UGC,28,0),0),1)</f>
        <v>100</v>
      </c>
      <c r="FI47" s="140">
        <f>SUM($D47:H47)*IF($B47="Operacional",IFERROR(VLOOKUP($C47,SN_UGC,28,0),0),1)</f>
        <v>100</v>
      </c>
      <c r="FJ47" s="140">
        <f>SUM($D47:I47)*IF($B47="Operacional",IFERROR(VLOOKUP($C47,SN_UGC,28,0),0),1)</f>
        <v>100</v>
      </c>
      <c r="FK47" s="140">
        <f>SUM($D47:J47)*IF($B47="Operacional",IFERROR(VLOOKUP($C47,SN_UGC,28,0),0),1)</f>
        <v>100</v>
      </c>
      <c r="FL47" s="140">
        <f>SUM($D47:K47)*IF($B47="Operacional",IFERROR(VLOOKUP($C47,SN_UGC,28,0),0),1)</f>
        <v>100</v>
      </c>
      <c r="FM47" s="140">
        <f>SUM($D47:L47)*IF($B47="Operacional",IFERROR(VLOOKUP($C47,SN_UGC,28,0),0),1)</f>
        <v>100</v>
      </c>
      <c r="FN47" s="140">
        <f>SUM($D47:M47)*IF($B47="Operacional",IFERROR(VLOOKUP($C47,SN_UGC,28,0),0),1)</f>
        <v>100</v>
      </c>
      <c r="FO47" s="140">
        <f>SUM($D47:N47)*IF($B47="Operacional",IFERROR(VLOOKUP($C47,SN_UGC,28,0),0),1)</f>
        <v>100</v>
      </c>
      <c r="FP47" s="140">
        <f>SUM($D47:O47)*IF($B47="Operacional",IFERROR(VLOOKUP($C47,SN_UGC,28,0),0),1)</f>
        <v>100</v>
      </c>
      <c r="FQ47" s="140">
        <f>SUM($D47:P47)*IF($B47="Operacional",IFERROR(VLOOKUP($C47,SN_UGC,28,0),0),1)</f>
        <v>100</v>
      </c>
      <c r="FR47" s="140">
        <f>SUM($D47:Q47)*IF($B47="Operacional",IFERROR(VLOOKUP($C47,SN_UGC,28,0),0),1)</f>
        <v>100</v>
      </c>
      <c r="FS47" s="140">
        <f>SUM($D47:R47)*IF($B47="Operacional",IFERROR(VLOOKUP($C47,SN_UGC,28,0),0),1)</f>
        <v>100</v>
      </c>
      <c r="FT47" s="140">
        <f>SUM($D47:S47)*IF($B47="Operacional",IFERROR(VLOOKUP($C47,SN_UGC,28,0),0),1)</f>
        <v>100</v>
      </c>
      <c r="FU47" s="140">
        <f>SUM($D47:T47)*IF($B47="Operacional",IFERROR(VLOOKUP($C47,SN_UGC,28,0),0),1)</f>
        <v>100</v>
      </c>
      <c r="FV47" s="140">
        <f>SUM($D47:U47)*IF($B47="Operacional",IFERROR(VLOOKUP($C47,SN_UGC,28,0),0),1)</f>
        <v>100</v>
      </c>
      <c r="FW47" s="140">
        <f>SUM($D47:V47)*IF($B47="Operacional",IFERROR(VLOOKUP($C47,SN_UGC,28,0),0),1)</f>
        <v>100</v>
      </c>
      <c r="FX47" s="140">
        <f>SUM($D47:W47)*IF($B47="Operacional",IFERROR(VLOOKUP($C47,SN_UGC,28,0),0),1)</f>
        <v>100</v>
      </c>
      <c r="FY47" s="140">
        <f>SUM($D47:X47)*IF($B47="Operacional",IFERROR(VLOOKUP($C47,SN_UGC,28,0),0),1)</f>
        <v>100</v>
      </c>
      <c r="FZ47" s="140">
        <f>SUM($D47:Y47)*IF($B47="Operacional",IFERROR(VLOOKUP($C47,SN_UGC,28,0),0),1)</f>
        <v>100</v>
      </c>
      <c r="GA47" s="140">
        <f>SUM($D47:Z47)*IF($B47="Operacional",IFERROR(VLOOKUP($C47,SN_UGC,28,0),0),1)</f>
        <v>100</v>
      </c>
      <c r="GB47" s="140">
        <f>SUM($D47:AA47)*IF($B47="Operacional",IFERROR(VLOOKUP($C47,SN_UGC,28,0),0),1)</f>
        <v>100</v>
      </c>
      <c r="GC47" s="140">
        <f>SUM($D47:AB47)*IF($B47="Operacional",IFERROR(VLOOKUP($C47,SN_UGC,28,0),0),1)</f>
        <v>100</v>
      </c>
      <c r="GD47" s="140">
        <f>SUM($D47:AC47)*IF($B47="Operacional",IFERROR(VLOOKUP($C47,SN_UGC,28,0),0),1)</f>
        <v>100</v>
      </c>
      <c r="GE47" s="140">
        <f>SUM($D47:AD47)*IF($B47="Operacional",IFERROR(VLOOKUP($C47,SN_UGC,28,0),0),1)</f>
        <v>100</v>
      </c>
      <c r="GF47" s="140">
        <f>SUM($D47:AE47)*IF($B47="Operacional",IFERROR(VLOOKUP($C47,SN_UGC,28,0),0),1)</f>
        <v>100</v>
      </c>
      <c r="GG47" s="140">
        <f>SUM($D47:AF47)*IF($B47="Operacional",IFERROR(VLOOKUP($C47,SN_UGC,28,0),0),1)</f>
        <v>100</v>
      </c>
      <c r="GH47" s="140">
        <f>SUM($D47:AG47)*IF($B47="Operacional",IFERROR(VLOOKUP($C47,SN_UGC,28,0),0),1)</f>
        <v>100</v>
      </c>
      <c r="GI47" s="141">
        <f t="shared" ref="GI47:HL47" si="240">FE47*$AH47*$AL47</f>
        <v>2035.0000000000005</v>
      </c>
      <c r="GJ47" s="141">
        <f t="shared" si="240"/>
        <v>2035.0000000000005</v>
      </c>
      <c r="GK47" s="141">
        <f t="shared" si="240"/>
        <v>2035.0000000000005</v>
      </c>
      <c r="GL47" s="141">
        <f t="shared" si="240"/>
        <v>2035.0000000000005</v>
      </c>
      <c r="GM47" s="141">
        <f t="shared" si="240"/>
        <v>2035.0000000000005</v>
      </c>
      <c r="GN47" s="141">
        <f t="shared" si="240"/>
        <v>2035.0000000000005</v>
      </c>
      <c r="GO47" s="141">
        <f t="shared" si="240"/>
        <v>2035.0000000000005</v>
      </c>
      <c r="GP47" s="141">
        <f t="shared" si="240"/>
        <v>2035.0000000000005</v>
      </c>
      <c r="GQ47" s="141">
        <f t="shared" si="240"/>
        <v>2035.0000000000005</v>
      </c>
      <c r="GR47" s="141">
        <f t="shared" si="240"/>
        <v>2035.0000000000005</v>
      </c>
      <c r="GS47" s="141">
        <f t="shared" si="240"/>
        <v>2035.0000000000005</v>
      </c>
      <c r="GT47" s="141">
        <f t="shared" si="240"/>
        <v>2035.0000000000005</v>
      </c>
      <c r="GU47" s="141">
        <f t="shared" si="240"/>
        <v>2035.0000000000005</v>
      </c>
      <c r="GV47" s="141">
        <f t="shared" si="240"/>
        <v>2035.0000000000005</v>
      </c>
      <c r="GW47" s="141">
        <f t="shared" si="240"/>
        <v>2035.0000000000005</v>
      </c>
      <c r="GX47" s="141">
        <f t="shared" si="240"/>
        <v>2035.0000000000005</v>
      </c>
      <c r="GY47" s="141">
        <f t="shared" si="240"/>
        <v>2035.0000000000005</v>
      </c>
      <c r="GZ47" s="141">
        <f t="shared" si="240"/>
        <v>2035.0000000000005</v>
      </c>
      <c r="HA47" s="141">
        <f t="shared" si="240"/>
        <v>2035.0000000000005</v>
      </c>
      <c r="HB47" s="141">
        <f t="shared" si="240"/>
        <v>2035.0000000000005</v>
      </c>
      <c r="HC47" s="141">
        <f t="shared" si="240"/>
        <v>2035.0000000000005</v>
      </c>
      <c r="HD47" s="141">
        <f t="shared" si="240"/>
        <v>2035.0000000000005</v>
      </c>
      <c r="HE47" s="141">
        <f t="shared" si="240"/>
        <v>2035.0000000000005</v>
      </c>
      <c r="HF47" s="141">
        <f t="shared" si="240"/>
        <v>2035.0000000000005</v>
      </c>
      <c r="HG47" s="141">
        <f t="shared" si="240"/>
        <v>2035.0000000000005</v>
      </c>
      <c r="HH47" s="141">
        <f t="shared" si="240"/>
        <v>2035.0000000000005</v>
      </c>
      <c r="HI47" s="141">
        <f t="shared" si="240"/>
        <v>2035.0000000000005</v>
      </c>
      <c r="HJ47" s="141">
        <f t="shared" si="240"/>
        <v>2035.0000000000005</v>
      </c>
      <c r="HK47" s="141">
        <f t="shared" si="240"/>
        <v>2035.0000000000005</v>
      </c>
      <c r="HL47" s="141">
        <f t="shared" si="240"/>
        <v>2035.0000000000005</v>
      </c>
      <c r="HM47" s="142">
        <f t="shared" ref="HM47:IP47" si="241">IF(ISBLANK($A47),,FE47*($AH47-($AH47*$AJ47))/$AI47)</f>
        <v>3052.5000000000009</v>
      </c>
      <c r="HN47" s="142">
        <f t="shared" si="241"/>
        <v>3052.5000000000009</v>
      </c>
      <c r="HO47" s="142">
        <f t="shared" si="241"/>
        <v>3052.5000000000009</v>
      </c>
      <c r="HP47" s="142">
        <f t="shared" si="241"/>
        <v>3052.5000000000009</v>
      </c>
      <c r="HQ47" s="142">
        <f t="shared" si="241"/>
        <v>3052.5000000000009</v>
      </c>
      <c r="HR47" s="142">
        <f t="shared" si="241"/>
        <v>3052.5000000000009</v>
      </c>
      <c r="HS47" s="142">
        <f t="shared" si="241"/>
        <v>3052.5000000000009</v>
      </c>
      <c r="HT47" s="142">
        <f t="shared" si="241"/>
        <v>3052.5000000000009</v>
      </c>
      <c r="HU47" s="142">
        <f t="shared" si="241"/>
        <v>3052.5000000000009</v>
      </c>
      <c r="HV47" s="142">
        <f t="shared" si="241"/>
        <v>3052.5000000000009</v>
      </c>
      <c r="HW47" s="142">
        <f t="shared" si="241"/>
        <v>3052.5000000000009</v>
      </c>
      <c r="HX47" s="142">
        <f t="shared" si="241"/>
        <v>3052.5000000000009</v>
      </c>
      <c r="HY47" s="142">
        <f t="shared" si="241"/>
        <v>3052.5000000000009</v>
      </c>
      <c r="HZ47" s="142">
        <f t="shared" si="241"/>
        <v>3052.5000000000009</v>
      </c>
      <c r="IA47" s="142">
        <f t="shared" si="241"/>
        <v>3052.5000000000009</v>
      </c>
      <c r="IB47" s="142">
        <f t="shared" si="241"/>
        <v>3052.5000000000009</v>
      </c>
      <c r="IC47" s="142">
        <f t="shared" si="241"/>
        <v>3052.5000000000009</v>
      </c>
      <c r="ID47" s="142">
        <f t="shared" si="241"/>
        <v>3052.5000000000009</v>
      </c>
      <c r="IE47" s="142">
        <f t="shared" si="241"/>
        <v>3052.5000000000009</v>
      </c>
      <c r="IF47" s="142">
        <f t="shared" si="241"/>
        <v>3052.5000000000009</v>
      </c>
      <c r="IG47" s="142">
        <f t="shared" si="241"/>
        <v>3052.5000000000009</v>
      </c>
      <c r="IH47" s="142">
        <f t="shared" si="241"/>
        <v>3052.5000000000009</v>
      </c>
      <c r="II47" s="142">
        <f t="shared" si="241"/>
        <v>3052.5000000000009</v>
      </c>
      <c r="IJ47" s="142">
        <f t="shared" si="241"/>
        <v>3052.5000000000009</v>
      </c>
      <c r="IK47" s="142">
        <f t="shared" si="241"/>
        <v>3052.5000000000009</v>
      </c>
      <c r="IL47" s="142">
        <f t="shared" si="241"/>
        <v>3052.5000000000009</v>
      </c>
      <c r="IM47" s="142">
        <f t="shared" si="241"/>
        <v>3052.5000000000009</v>
      </c>
      <c r="IN47" s="142">
        <f t="shared" si="241"/>
        <v>3052.5000000000009</v>
      </c>
      <c r="IO47" s="142">
        <f t="shared" si="241"/>
        <v>3052.5000000000009</v>
      </c>
      <c r="IP47" s="142">
        <f t="shared" si="241"/>
        <v>3052.5000000000009</v>
      </c>
      <c r="IQ47" s="141">
        <f>IF(ISBLANK($A47),,IF($AN47="Não",0,(SUM($AO47:AO47)*$AH47)-SUM($HM47:HM47)-SUM($CW47:CW47)))</f>
        <v>37647.500000000007</v>
      </c>
      <c r="IR47" s="141">
        <f>IF(ISBLANK($A47),,IF($AN47="Não",0,(SUM($AO47:AP47)*$AH47)-SUM($HM47:HN47)-SUM($CW47:CX47)))</f>
        <v>34595.000000000007</v>
      </c>
      <c r="IS47" s="141">
        <f>IF(ISBLANK($A47),,IF($AN47="Não",0,(SUM($AO47:AQ47)*$AH47)-SUM($HM47:HO47)-SUM($CW47:CY47)))</f>
        <v>31542.500000000004</v>
      </c>
      <c r="IT47" s="141">
        <f>IF(ISBLANK($A47),,IF($AN47="Não",0,(SUM($AO47:AR47)*$AH47)-SUM($HM47:HP47)-SUM($CW47:CZ47)))</f>
        <v>28490.000000000004</v>
      </c>
      <c r="IU47" s="141">
        <f>IF(ISBLANK($A47),,IF($AN47="Não",0,(SUM($AO47:AS47)*$AH47)-SUM($HM47:HQ47)-SUM($CW47:DA47)))</f>
        <v>25437.500000000004</v>
      </c>
      <c r="IV47" s="141">
        <f>IF(ISBLANK($A47),,IF($AN47="Não",0,(SUM($AO47:AT47)*$AH47)-SUM($HM47:HR47)-SUM($CW47:DB47)))</f>
        <v>22385.000000000004</v>
      </c>
      <c r="IW47" s="141">
        <f>IF(ISBLANK($A47),,IF($AN47="Não",0,(SUM($AO47:AU47)*$AH47)-SUM($HM47:HS47)-SUM($CW47:DC47)))</f>
        <v>19332.500000000004</v>
      </c>
      <c r="IX47" s="141">
        <f>IF(ISBLANK($A47),,IF($AN47="Não",0,(SUM($AO47:AV47)*$AH47)-SUM($HM47:HT47)-SUM($CW47:DD47)))</f>
        <v>16280.000000000004</v>
      </c>
      <c r="IY47" s="141">
        <f>IF(ISBLANK($A47),,IF($AN47="Não",0,(SUM($AO47:AW47)*$AH47)-SUM($HM47:HU47)-SUM($CW47:DE47)))</f>
        <v>13227.500000000004</v>
      </c>
      <c r="IZ47" s="141">
        <f>IF(ISBLANK($A47),,IF($AN47="Não",0,(SUM($AO47:AX47)*$AH47)-SUM($HM47:HV47)-SUM($CW47:DF47)))</f>
        <v>10175.000000000004</v>
      </c>
      <c r="JA47" s="141">
        <f>IF(ISBLANK($A47),,IF($AN47="Não",0,(SUM($AO47:AY47)*$AH47)-SUM($HM47:HW47)-SUM($CW47:DG47)))</f>
        <v>37647.500000000007</v>
      </c>
      <c r="JB47" s="141">
        <f>IF(ISBLANK($A47),,IF($AN47="Não",0,(SUM($AO47:AZ47)*$AH47)-SUM($HM47:HX47)-SUM($CW47:DH47)))</f>
        <v>34595.000000000007</v>
      </c>
      <c r="JC47" s="141">
        <f>IF(ISBLANK($A47),,IF($AN47="Não",0,(SUM($AO47:BA47)*$AH47)-SUM($HM47:HY47)-SUM($CW47:DI47)))</f>
        <v>31542.500000000007</v>
      </c>
      <c r="JD47" s="141">
        <f>IF(ISBLANK($A47),,IF($AN47="Não",0,(SUM($AO47:BB47)*$AH47)-SUM($HM47:HZ47)-SUM($CW47:DJ47)))</f>
        <v>28490.000000000007</v>
      </c>
      <c r="JE47" s="141">
        <f>IF(ISBLANK($A47),,IF($AN47="Não",0,(SUM($AO47:BC47)*$AH47)-SUM($HM47:IA47)-SUM($CW47:DK47)))</f>
        <v>25437.500000000007</v>
      </c>
      <c r="JF47" s="141">
        <f>IF(ISBLANK($A47),,IF($AN47="Não",0,(SUM($AO47:BD47)*$AH47)-SUM($HM47:IB47)-SUM($CW47:DL47)))</f>
        <v>22385.000000000007</v>
      </c>
      <c r="JG47" s="141">
        <f>IF(ISBLANK($A47),,IF($AN47="Não",0,(SUM($AO47:BE47)*$AH47)-SUM($HM47:IC47)-SUM($CW47:DM47)))</f>
        <v>19332.500000000007</v>
      </c>
      <c r="JH47" s="141">
        <f>IF(ISBLANK($A47),,IF($AN47="Não",0,(SUM($AO47:BF47)*$AH47)-SUM($HM47:ID47)-SUM($CW47:DN47)))</f>
        <v>16280.000000000005</v>
      </c>
      <c r="JI47" s="141">
        <f>IF(ISBLANK($A47),,IF($AN47="Não",0,(SUM($AO47:BG47)*$AH47)-SUM($HM47:IE47)-SUM($CW47:DO47)))</f>
        <v>13227.500000000005</v>
      </c>
      <c r="JJ47" s="141">
        <f>IF(ISBLANK($A47),,IF($AN47="Não",0,(SUM($AO47:BH47)*$AH47)-SUM($HM47:IF47)-SUM($CW47:DP47)))</f>
        <v>10175.000000000005</v>
      </c>
      <c r="JK47" s="141">
        <f>IF(ISBLANK($A47),,IF($AN47="Não",0,(SUM($AO47:BI47)*$AH47)-SUM($HM47:IG47)-SUM($CW47:DQ47)))</f>
        <v>37647.5</v>
      </c>
      <c r="JL47" s="141">
        <f>IF(ISBLANK($A47),,IF($AN47="Não",0,(SUM($AO47:BJ47)*$AH47)-SUM($HM47:IH47)-SUM($CW47:DR47)))</f>
        <v>34595</v>
      </c>
      <c r="JM47" s="141">
        <f>IF(ISBLANK($A47),,IF($AN47="Não",0,(SUM($AO47:BK47)*$AH47)-SUM($HM47:II47)-SUM($CW47:DS47)))</f>
        <v>31542.499999999996</v>
      </c>
      <c r="JN47" s="141">
        <f>IF(ISBLANK($A47),,IF($AN47="Não",0,(SUM($AO47:BL47)*$AH47)-SUM($HM47:IJ47)-SUM($CW47:DT47)))</f>
        <v>28489.999999999996</v>
      </c>
      <c r="JO47" s="141">
        <f>IF(ISBLANK($A47),,IF($AN47="Não",0,(SUM($AO47:BM47)*$AH47)-SUM($HM47:IK47)-SUM($CW47:DU47)))</f>
        <v>25437.499999999996</v>
      </c>
      <c r="JP47" s="141">
        <f>IF(ISBLANK($A47),,IF($AN47="Não",0,(SUM($AO47:BN47)*$AH47)-SUM($HM47:IL47)-SUM($CW47:DV47)))</f>
        <v>22384.999999999996</v>
      </c>
      <c r="JQ47" s="141">
        <f>IF(ISBLANK($A47),,IF($AN47="Não",0,(SUM($AO47:BO47)*$AH47)-SUM($HM47:IM47)-SUM($CW47:DW47)))</f>
        <v>19332.499999999996</v>
      </c>
      <c r="JR47" s="141">
        <f>IF(ISBLANK($A47),,IF($AN47="Não",0,(SUM($AO47:BP47)*$AH47)-SUM($HM47:IN47)-SUM($CW47:DX47)))</f>
        <v>16279.999999999996</v>
      </c>
      <c r="JS47" s="141">
        <f>IF(ISBLANK($A47),,IF($AN47="Não",0,(SUM($AO47:BQ47)*$AH47)-SUM($HM47:IO47)-SUM($CW47:DY47)))</f>
        <v>13227.499999999996</v>
      </c>
      <c r="JT47" s="141">
        <f>IF(ISBLANK($A47),,IF($AN47="Não",0,(SUM($AO47:BR47)*$AH47)-SUM($HM47:IP47)-SUM($CW47:DZ47)))</f>
        <v>10174.999999999996</v>
      </c>
    </row>
    <row r="48" spans="1:280" ht="15.75" customHeight="1">
      <c r="A48" s="129" t="s">
        <v>406</v>
      </c>
      <c r="B48" s="129" t="s">
        <v>209</v>
      </c>
      <c r="C48" s="138" t="s">
        <v>79</v>
      </c>
      <c r="D48" s="139">
        <v>212</v>
      </c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607">
        <f t="shared" si="165"/>
        <v>407.00000000000006</v>
      </c>
      <c r="AI48" s="608">
        <f t="shared" si="166"/>
        <v>10</v>
      </c>
      <c r="AJ48" s="609">
        <f t="shared" si="167"/>
        <v>0.25</v>
      </c>
      <c r="AK48" s="610" t="str">
        <f t="shared" si="168"/>
        <v>Móveis e Utensílios</v>
      </c>
      <c r="AL48" s="609">
        <f t="shared" si="169"/>
        <v>0.05</v>
      </c>
      <c r="AM48" s="611" t="str">
        <f t="shared" si="170"/>
        <v>Sim</v>
      </c>
      <c r="AN48" s="611" t="str">
        <f t="shared" si="171"/>
        <v>Sim</v>
      </c>
      <c r="AO48" s="140">
        <f t="array" ref="AO48">IF(ISBLANK($A48),0,IF(OR(AO$5-$AI48&lt;=0,$AM48="Não"),D48,D48+INDEX($AO$6:$BR$176,ROW()-5,COLUMN()-40-$AI48)))*IF($B48="Operacional",IFERROR(VLOOKUP($C48,SN_UGC,28,0),0),1)</f>
        <v>212</v>
      </c>
      <c r="AP48" s="140">
        <f t="array" ref="AP48">IF(ISBLANK($A48),0,IF(OR(AP$5-$AI48&lt;=0,$AM48="Não"),E48,E48+INDEX($AO$6:$BR$176,ROW()-5,COLUMN()-40-$AI48)))*IF($B48="Operacional",IFERROR(VLOOKUP($C48,SN_UGC,28,0),0),1)</f>
        <v>0</v>
      </c>
      <c r="AQ48" s="140">
        <f t="array" ref="AQ48">IF(ISBLANK($A48),0,IF(OR(AQ$5-$AI48&lt;=0,$AM48="Não"),F48,F48+INDEX($AO$6:$BR$176,ROW()-5,COLUMN()-40-$AI48)))*IF($B48="Operacional",IFERROR(VLOOKUP($C48,SN_UGC,28,0),0),1)</f>
        <v>0</v>
      </c>
      <c r="AR48" s="140">
        <f t="array" ref="AR48">IF(ISBLANK($A48),0,IF(OR(AR$5-$AI48&lt;=0,$AM48="Não"),G48,G48+INDEX($AO$6:$BR$176,ROW()-5,COLUMN()-40-$AI48)))*IF($B48="Operacional",IFERROR(VLOOKUP($C48,SN_UGC,28,0),0),1)</f>
        <v>0</v>
      </c>
      <c r="AS48" s="140">
        <f t="array" ref="AS48">IF(ISBLANK($A48),0,IF(OR(AS$5-$AI48&lt;=0,$AM48="Não"),H48,H48+INDEX($AO$6:$BR$176,ROW()-5,COLUMN()-40-$AI48)))*IF($B48="Operacional",IFERROR(VLOOKUP($C48,SN_UGC,28,0),0),1)</f>
        <v>0</v>
      </c>
      <c r="AT48" s="140">
        <f t="array" ref="AT48">IF(ISBLANK($A48),0,IF(OR(AT$5-$AI48&lt;=0,$AM48="Não"),I48,I48+INDEX($AO$6:$BR$176,ROW()-5,COLUMN()-40-$AI48)))*IF($B48="Operacional",IFERROR(VLOOKUP($C48,SN_UGC,28,0),0),1)</f>
        <v>0</v>
      </c>
      <c r="AU48" s="140">
        <f t="array" ref="AU48">IF(ISBLANK($A48),0,IF(OR(AU$5-$AI48&lt;=0,$AM48="Não"),J48,J48+INDEX($AO$6:$BR$176,ROW()-5,COLUMN()-40-$AI48)))*IF($B48="Operacional",IFERROR(VLOOKUP($C48,SN_UGC,28,0),0),1)</f>
        <v>0</v>
      </c>
      <c r="AV48" s="140">
        <f t="array" ref="AV48">IF(ISBLANK($A48),0,IF(OR(AV$5-$AI48&lt;=0,$AM48="Não"),K48,K48+INDEX($AO$6:$BR$176,ROW()-5,COLUMN()-40-$AI48)))*IF($B48="Operacional",IFERROR(VLOOKUP($C48,SN_UGC,28,0),0),1)</f>
        <v>0</v>
      </c>
      <c r="AW48" s="140">
        <f t="array" ref="AW48">IF(ISBLANK($A48),0,IF(OR(AW$5-$AI48&lt;=0,$AM48="Não"),L48,L48+INDEX($AO$6:$BR$176,ROW()-5,COLUMN()-40-$AI48)))*IF($B48="Operacional",IFERROR(VLOOKUP($C48,SN_UGC,28,0),0),1)</f>
        <v>0</v>
      </c>
      <c r="AX48" s="140">
        <f t="array" ref="AX48">IF(ISBLANK($A48),0,IF(OR(AX$5-$AI48&lt;=0,$AM48="Não"),M48,M48+INDEX($AO$6:$BR$176,ROW()-5,COLUMN()-40-$AI48)))*IF($B48="Operacional",IFERROR(VLOOKUP($C48,SN_UGC,28,0),0),1)</f>
        <v>0</v>
      </c>
      <c r="AY48" s="140">
        <f t="array" ref="AY48">IF(ISBLANK($A48),0,IF(OR(AY$5-$AI48&lt;=0,$AM48="Não"),N48,N48+INDEX($AO$6:$BR$176,ROW()-5,COLUMN()-40-$AI48)))*IF($B48="Operacional",IFERROR(VLOOKUP($C48,SN_UGC,28,0),0),1)</f>
        <v>212</v>
      </c>
      <c r="AZ48" s="140">
        <f t="array" ref="AZ48">IF(ISBLANK($A48),0,IF(OR(AZ$5-$AI48&lt;=0,$AM48="Não"),O48,O48+INDEX($AO$6:$BR$176,ROW()-5,COLUMN()-40-$AI48)))*IF($B48="Operacional",IFERROR(VLOOKUP($C48,SN_UGC,28,0),0),1)</f>
        <v>0</v>
      </c>
      <c r="BA48" s="140">
        <f t="array" ref="BA48">IF(ISBLANK($A48),0,IF(OR(BA$5-$AI48&lt;=0,$AM48="Não"),P48,P48+INDEX($AO$6:$BR$176,ROW()-5,COLUMN()-40-$AI48)))*IF($B48="Operacional",IFERROR(VLOOKUP($C48,SN_UGC,28,0),0),1)</f>
        <v>0</v>
      </c>
      <c r="BB48" s="140">
        <f t="array" ref="BB48">IF(ISBLANK($A48),0,IF(OR(BB$5-$AI48&lt;=0,$AM48="Não"),Q48,Q48+INDEX($AO$6:$BR$176,ROW()-5,COLUMN()-40-$AI48)))*IF($B48="Operacional",IFERROR(VLOOKUP($C48,SN_UGC,28,0),0),1)</f>
        <v>0</v>
      </c>
      <c r="BC48" s="140">
        <f t="array" ref="BC48">IF(ISBLANK($A48),0,IF(OR(BC$5-$AI48&lt;=0,$AM48="Não"),R48,R48+INDEX($AO$6:$BR$176,ROW()-5,COLUMN()-40-$AI48)))*IF($B48="Operacional",IFERROR(VLOOKUP($C48,SN_UGC,28,0),0),1)</f>
        <v>0</v>
      </c>
      <c r="BD48" s="140">
        <f t="array" ref="BD48">IF(ISBLANK($A48),0,IF(OR(BD$5-$AI48&lt;=0,$AM48="Não"),S48,S48+INDEX($AO$6:$BR$176,ROW()-5,COLUMN()-40-$AI48)))*IF($B48="Operacional",IFERROR(VLOOKUP($C48,SN_UGC,28,0),0),1)</f>
        <v>0</v>
      </c>
      <c r="BE48" s="140">
        <f t="array" ref="BE48">IF(ISBLANK($A48),0,IF(OR(BE$5-$AI48&lt;=0,$AM48="Não"),T48,T48+INDEX($AO$6:$BR$176,ROW()-5,COLUMN()-40-$AI48)))*IF($B48="Operacional",IFERROR(VLOOKUP($C48,SN_UGC,28,0),0),1)</f>
        <v>0</v>
      </c>
      <c r="BF48" s="140">
        <f t="array" ref="BF48">IF(ISBLANK($A48),0,IF(OR(BF$5-$AI48&lt;=0,$AM48="Não"),U48,U48+INDEX($AO$6:$BR$176,ROW()-5,COLUMN()-40-$AI48)))*IF($B48="Operacional",IFERROR(VLOOKUP($C48,SN_UGC,28,0),0),1)</f>
        <v>0</v>
      </c>
      <c r="BG48" s="140">
        <f t="array" ref="BG48">IF(ISBLANK($A48),0,IF(OR(BG$5-$AI48&lt;=0,$AM48="Não"),V48,V48+INDEX($AO$6:$BR$176,ROW()-5,COLUMN()-40-$AI48)))*IF($B48="Operacional",IFERROR(VLOOKUP($C48,SN_UGC,28,0),0),1)</f>
        <v>0</v>
      </c>
      <c r="BH48" s="140">
        <f t="array" ref="BH48">IF(ISBLANK($A48),0,IF(OR(BH$5-$AI48&lt;=0,$AM48="Não"),W48,W48+INDEX($AO$6:$BR$176,ROW()-5,COLUMN()-40-$AI48)))*IF($B48="Operacional",IFERROR(VLOOKUP($C48,SN_UGC,28,0),0),1)</f>
        <v>0</v>
      </c>
      <c r="BI48" s="140">
        <f t="array" ref="BI48">IF(ISBLANK($A48),0,IF(OR(BI$5-$AI48&lt;=0,$AM48="Não"),X48,X48+INDEX($AO$6:$BR$176,ROW()-5,COLUMN()-40-$AI48)))*IF($B48="Operacional",IFERROR(VLOOKUP($C48,SN_UGC,28,0),0),1)</f>
        <v>212</v>
      </c>
      <c r="BJ48" s="140">
        <f t="array" ref="BJ48">IF(ISBLANK($A48),0,IF(OR(BJ$5-$AI48&lt;=0,$AM48="Não"),Y48,Y48+INDEX($AO$6:$BR$176,ROW()-5,COLUMN()-40-$AI48)))*IF($B48="Operacional",IFERROR(VLOOKUP($C48,SN_UGC,28,0),0),1)</f>
        <v>0</v>
      </c>
      <c r="BK48" s="140">
        <f t="array" ref="BK48">IF(ISBLANK($A48),0,IF(OR(BK$5-$AI48&lt;=0,$AM48="Não"),Z48,Z48+INDEX($AO$6:$BR$176,ROW()-5,COLUMN()-40-$AI48)))*IF($B48="Operacional",IFERROR(VLOOKUP($C48,SN_UGC,28,0),0),1)</f>
        <v>0</v>
      </c>
      <c r="BL48" s="140">
        <f t="array" ref="BL48">IF(ISBLANK($A48),0,IF(OR(BL$5-$AI48&lt;=0,$AM48="Não"),AA48,AA48+INDEX($AO$6:$BR$176,ROW()-5,COLUMN()-40-$AI48)))*IF($B48="Operacional",IFERROR(VLOOKUP($C48,SN_UGC,28,0),0),1)</f>
        <v>0</v>
      </c>
      <c r="BM48" s="140">
        <f t="array" ref="BM48">IF(ISBLANK($A48),0,IF(OR(BM$5-$AI48&lt;=0,$AM48="Não"),AB48,AB48+INDEX($AO$6:$BR$176,ROW()-5,COLUMN()-40-$AI48)))*IF($B48="Operacional",IFERROR(VLOOKUP($C48,SN_UGC,28,0),0),1)</f>
        <v>0</v>
      </c>
      <c r="BN48" s="140">
        <f t="array" ref="BN48">IF(ISBLANK($A48),0,IF(OR(BN$5-$AI48&lt;=0,$AM48="Não"),AC48,AC48+INDEX($AO$6:$BR$176,ROW()-5,COLUMN()-40-$AI48)))*IF($B48="Operacional",IFERROR(VLOOKUP($C48,SN_UGC,28,0),0),1)</f>
        <v>0</v>
      </c>
      <c r="BO48" s="140">
        <f t="array" ref="BO48">IF(ISBLANK($A48),0,IF(OR(BO$5-$AI48&lt;=0,$AM48="Não"),AD48,AD48+INDEX($AO$6:$BR$176,ROW()-5,COLUMN()-40-$AI48)))*IF($B48="Operacional",IFERROR(VLOOKUP($C48,SN_UGC,28,0),0),1)</f>
        <v>0</v>
      </c>
      <c r="BP48" s="140">
        <f t="array" ref="BP48">IF(ISBLANK($A48),0,IF(OR(BP$5-$AI48&lt;=0,$AM48="Não"),AE48,AE48+INDEX($AO$6:$BR$176,ROW()-5,COLUMN()-40-$AI48)))*IF($B48="Operacional",IFERROR(VLOOKUP($C48,SN_UGC,28,0),0),1)</f>
        <v>0</v>
      </c>
      <c r="BQ48" s="140">
        <f t="array" ref="BQ48">IF(ISBLANK($A48),0,IF(OR(BQ$5-$AI48&lt;=0,$AM48="Não"),AF48,AF48+INDEX($AO$6:$BR$176,ROW()-5,COLUMN()-40-$AI48)))*IF($B48="Operacional",IFERROR(VLOOKUP($C48,SN_UGC,28,0),0),1)</f>
        <v>0</v>
      </c>
      <c r="BR48" s="140">
        <f t="array" ref="BR48">IF(ISBLANK($A48),0,IF(OR(BR$5-$AI48&lt;=0,$AM48="Não"),AG48,AG48+INDEX($AO$6:$BR$176,ROW()-5,COLUMN()-40-$AI48)))*IF($B48="Operacional",IFERROR(VLOOKUP($C48,SN_UGC,28,0),0),1)</f>
        <v>0</v>
      </c>
      <c r="BS48" s="141">
        <f t="shared" ref="BS48:CV48" si="242">IF(ISBLANK($A48),0,$AH48*AO48)</f>
        <v>86284.000000000015</v>
      </c>
      <c r="BT48" s="141">
        <f t="shared" si="242"/>
        <v>0</v>
      </c>
      <c r="BU48" s="141">
        <f t="shared" si="242"/>
        <v>0</v>
      </c>
      <c r="BV48" s="141">
        <f t="shared" si="242"/>
        <v>0</v>
      </c>
      <c r="BW48" s="141">
        <f t="shared" si="242"/>
        <v>0</v>
      </c>
      <c r="BX48" s="141">
        <f t="shared" si="242"/>
        <v>0</v>
      </c>
      <c r="BY48" s="141">
        <f t="shared" si="242"/>
        <v>0</v>
      </c>
      <c r="BZ48" s="141">
        <f t="shared" si="242"/>
        <v>0</v>
      </c>
      <c r="CA48" s="141">
        <f t="shared" si="242"/>
        <v>0</v>
      </c>
      <c r="CB48" s="141">
        <f t="shared" si="242"/>
        <v>0</v>
      </c>
      <c r="CC48" s="141">
        <f t="shared" si="242"/>
        <v>86284.000000000015</v>
      </c>
      <c r="CD48" s="141">
        <f t="shared" si="242"/>
        <v>0</v>
      </c>
      <c r="CE48" s="141">
        <f t="shared" si="242"/>
        <v>0</v>
      </c>
      <c r="CF48" s="141">
        <f t="shared" si="242"/>
        <v>0</v>
      </c>
      <c r="CG48" s="141">
        <f t="shared" si="242"/>
        <v>0</v>
      </c>
      <c r="CH48" s="141">
        <f t="shared" si="242"/>
        <v>0</v>
      </c>
      <c r="CI48" s="141">
        <f t="shared" si="242"/>
        <v>0</v>
      </c>
      <c r="CJ48" s="141">
        <f t="shared" si="242"/>
        <v>0</v>
      </c>
      <c r="CK48" s="141">
        <f t="shared" si="242"/>
        <v>0</v>
      </c>
      <c r="CL48" s="141">
        <f t="shared" si="242"/>
        <v>0</v>
      </c>
      <c r="CM48" s="141">
        <f t="shared" si="242"/>
        <v>86284.000000000015</v>
      </c>
      <c r="CN48" s="141">
        <f t="shared" si="242"/>
        <v>0</v>
      </c>
      <c r="CO48" s="141">
        <f t="shared" si="242"/>
        <v>0</v>
      </c>
      <c r="CP48" s="141">
        <f t="shared" si="242"/>
        <v>0</v>
      </c>
      <c r="CQ48" s="141">
        <f t="shared" si="242"/>
        <v>0</v>
      </c>
      <c r="CR48" s="141">
        <f t="shared" si="242"/>
        <v>0</v>
      </c>
      <c r="CS48" s="141">
        <f t="shared" si="242"/>
        <v>0</v>
      </c>
      <c r="CT48" s="141">
        <f t="shared" si="242"/>
        <v>0</v>
      </c>
      <c r="CU48" s="141">
        <f t="shared" si="242"/>
        <v>0</v>
      </c>
      <c r="CV48" s="141">
        <f t="shared" si="242"/>
        <v>0</v>
      </c>
      <c r="CW48" s="142">
        <f t="shared" ref="CW48:DZ48" si="243">EA48*$AH48*$AJ48</f>
        <v>0</v>
      </c>
      <c r="CX48" s="142">
        <f t="shared" si="243"/>
        <v>0</v>
      </c>
      <c r="CY48" s="142">
        <f t="shared" si="243"/>
        <v>0</v>
      </c>
      <c r="CZ48" s="142">
        <f t="shared" si="243"/>
        <v>0</v>
      </c>
      <c r="DA48" s="142">
        <f t="shared" si="243"/>
        <v>0</v>
      </c>
      <c r="DB48" s="142">
        <f t="shared" si="243"/>
        <v>0</v>
      </c>
      <c r="DC48" s="142">
        <f t="shared" si="243"/>
        <v>0</v>
      </c>
      <c r="DD48" s="142">
        <f t="shared" si="243"/>
        <v>0</v>
      </c>
      <c r="DE48" s="142">
        <f t="shared" si="243"/>
        <v>0</v>
      </c>
      <c r="DF48" s="142">
        <f t="shared" si="243"/>
        <v>0</v>
      </c>
      <c r="DG48" s="142">
        <f t="shared" si="243"/>
        <v>21571.000000000004</v>
      </c>
      <c r="DH48" s="142">
        <f t="shared" si="243"/>
        <v>0</v>
      </c>
      <c r="DI48" s="142">
        <f t="shared" si="243"/>
        <v>0</v>
      </c>
      <c r="DJ48" s="142">
        <f t="shared" si="243"/>
        <v>0</v>
      </c>
      <c r="DK48" s="142">
        <f t="shared" si="243"/>
        <v>0</v>
      </c>
      <c r="DL48" s="142">
        <f t="shared" si="243"/>
        <v>0</v>
      </c>
      <c r="DM48" s="142">
        <f t="shared" si="243"/>
        <v>0</v>
      </c>
      <c r="DN48" s="142">
        <f t="shared" si="243"/>
        <v>0</v>
      </c>
      <c r="DO48" s="142">
        <f t="shared" si="243"/>
        <v>0</v>
      </c>
      <c r="DP48" s="142">
        <f t="shared" si="243"/>
        <v>0</v>
      </c>
      <c r="DQ48" s="142">
        <f t="shared" si="243"/>
        <v>21571.000000000004</v>
      </c>
      <c r="DR48" s="142">
        <f t="shared" si="243"/>
        <v>0</v>
      </c>
      <c r="DS48" s="142">
        <f t="shared" si="243"/>
        <v>0</v>
      </c>
      <c r="DT48" s="142">
        <f t="shared" si="243"/>
        <v>0</v>
      </c>
      <c r="DU48" s="142">
        <f t="shared" si="243"/>
        <v>0</v>
      </c>
      <c r="DV48" s="142">
        <f t="shared" si="243"/>
        <v>0</v>
      </c>
      <c r="DW48" s="142">
        <f t="shared" si="243"/>
        <v>0</v>
      </c>
      <c r="DX48" s="142">
        <f t="shared" si="243"/>
        <v>0</v>
      </c>
      <c r="DY48" s="142">
        <f t="shared" si="243"/>
        <v>0</v>
      </c>
      <c r="DZ48" s="142">
        <f t="shared" si="243"/>
        <v>0</v>
      </c>
      <c r="EA48" s="143">
        <f t="shared" si="174"/>
        <v>0</v>
      </c>
      <c r="EB48" s="143">
        <f t="shared" si="175"/>
        <v>0</v>
      </c>
      <c r="EC48" s="143">
        <f t="shared" si="176"/>
        <v>0</v>
      </c>
      <c r="ED48" s="143">
        <f t="shared" si="177"/>
        <v>0</v>
      </c>
      <c r="EE48" s="143">
        <f t="shared" si="178"/>
        <v>0</v>
      </c>
      <c r="EF48" s="143">
        <f t="shared" si="179"/>
        <v>0</v>
      </c>
      <c r="EG48" s="143">
        <f t="shared" si="180"/>
        <v>0</v>
      </c>
      <c r="EH48" s="143">
        <f t="shared" si="181"/>
        <v>0</v>
      </c>
      <c r="EI48" s="143">
        <f t="shared" si="182"/>
        <v>0</v>
      </c>
      <c r="EJ48" s="143">
        <f t="shared" si="183"/>
        <v>0</v>
      </c>
      <c r="EK48" s="143">
        <f t="shared" si="184"/>
        <v>212</v>
      </c>
      <c r="EL48" s="143">
        <f t="shared" si="185"/>
        <v>0</v>
      </c>
      <c r="EM48" s="143">
        <f t="shared" si="186"/>
        <v>0</v>
      </c>
      <c r="EN48" s="143">
        <f t="shared" si="187"/>
        <v>0</v>
      </c>
      <c r="EO48" s="143">
        <f t="shared" si="188"/>
        <v>0</v>
      </c>
      <c r="EP48" s="143">
        <f t="shared" si="189"/>
        <v>0</v>
      </c>
      <c r="EQ48" s="143">
        <f t="shared" si="190"/>
        <v>0</v>
      </c>
      <c r="ER48" s="143">
        <f t="shared" si="191"/>
        <v>0</v>
      </c>
      <c r="ES48" s="143">
        <f t="shared" si="192"/>
        <v>0</v>
      </c>
      <c r="ET48" s="143">
        <f t="shared" si="193"/>
        <v>0</v>
      </c>
      <c r="EU48" s="143">
        <f t="shared" si="194"/>
        <v>212</v>
      </c>
      <c r="EV48" s="143">
        <f t="shared" si="195"/>
        <v>0</v>
      </c>
      <c r="EW48" s="143">
        <f t="shared" si="196"/>
        <v>0</v>
      </c>
      <c r="EX48" s="143">
        <f t="shared" si="197"/>
        <v>0</v>
      </c>
      <c r="EY48" s="143">
        <f t="shared" si="198"/>
        <v>0</v>
      </c>
      <c r="EZ48" s="143">
        <f t="shared" si="199"/>
        <v>0</v>
      </c>
      <c r="FA48" s="143">
        <f t="shared" si="200"/>
        <v>0</v>
      </c>
      <c r="FB48" s="143">
        <f t="shared" si="201"/>
        <v>0</v>
      </c>
      <c r="FC48" s="143">
        <f t="shared" si="202"/>
        <v>0</v>
      </c>
      <c r="FD48" s="143">
        <f t="shared" si="203"/>
        <v>0</v>
      </c>
      <c r="FE48" s="140">
        <f>SUM($D48:D48)*IF($B48="Operacional",IFERROR(VLOOKUP($C48,SN_UGC,28,0),0),1)</f>
        <v>212</v>
      </c>
      <c r="FF48" s="140">
        <f>SUM($D48:E48)*IF($B48="Operacional",IFERROR(VLOOKUP($C48,SN_UGC,28,0),0),1)</f>
        <v>212</v>
      </c>
      <c r="FG48" s="140">
        <f>SUM($D48:F48)*IF($B48="Operacional",IFERROR(VLOOKUP($C48,SN_UGC,28,0),0),1)</f>
        <v>212</v>
      </c>
      <c r="FH48" s="140">
        <f>SUM($D48:G48)*IF($B48="Operacional",IFERROR(VLOOKUP($C48,SN_UGC,28,0),0),1)</f>
        <v>212</v>
      </c>
      <c r="FI48" s="140">
        <f>SUM($D48:H48)*IF($B48="Operacional",IFERROR(VLOOKUP($C48,SN_UGC,28,0),0),1)</f>
        <v>212</v>
      </c>
      <c r="FJ48" s="140">
        <f>SUM($D48:I48)*IF($B48="Operacional",IFERROR(VLOOKUP($C48,SN_UGC,28,0),0),1)</f>
        <v>212</v>
      </c>
      <c r="FK48" s="140">
        <f>SUM($D48:J48)*IF($B48="Operacional",IFERROR(VLOOKUP($C48,SN_UGC,28,0),0),1)</f>
        <v>212</v>
      </c>
      <c r="FL48" s="140">
        <f>SUM($D48:K48)*IF($B48="Operacional",IFERROR(VLOOKUP($C48,SN_UGC,28,0),0),1)</f>
        <v>212</v>
      </c>
      <c r="FM48" s="140">
        <f>SUM($D48:L48)*IF($B48="Operacional",IFERROR(VLOOKUP($C48,SN_UGC,28,0),0),1)</f>
        <v>212</v>
      </c>
      <c r="FN48" s="140">
        <f>SUM($D48:M48)*IF($B48="Operacional",IFERROR(VLOOKUP($C48,SN_UGC,28,0),0),1)</f>
        <v>212</v>
      </c>
      <c r="FO48" s="140">
        <f>SUM($D48:N48)*IF($B48="Operacional",IFERROR(VLOOKUP($C48,SN_UGC,28,0),0),1)</f>
        <v>212</v>
      </c>
      <c r="FP48" s="140">
        <f>SUM($D48:O48)*IF($B48="Operacional",IFERROR(VLOOKUP($C48,SN_UGC,28,0),0),1)</f>
        <v>212</v>
      </c>
      <c r="FQ48" s="140">
        <f>SUM($D48:P48)*IF($B48="Operacional",IFERROR(VLOOKUP($C48,SN_UGC,28,0),0),1)</f>
        <v>212</v>
      </c>
      <c r="FR48" s="140">
        <f>SUM($D48:Q48)*IF($B48="Operacional",IFERROR(VLOOKUP($C48,SN_UGC,28,0),0),1)</f>
        <v>212</v>
      </c>
      <c r="FS48" s="140">
        <f>SUM($D48:R48)*IF($B48="Operacional",IFERROR(VLOOKUP($C48,SN_UGC,28,0),0),1)</f>
        <v>212</v>
      </c>
      <c r="FT48" s="140">
        <f>SUM($D48:S48)*IF($B48="Operacional",IFERROR(VLOOKUP($C48,SN_UGC,28,0),0),1)</f>
        <v>212</v>
      </c>
      <c r="FU48" s="140">
        <f>SUM($D48:T48)*IF($B48="Operacional",IFERROR(VLOOKUP($C48,SN_UGC,28,0),0),1)</f>
        <v>212</v>
      </c>
      <c r="FV48" s="140">
        <f>SUM($D48:U48)*IF($B48="Operacional",IFERROR(VLOOKUP($C48,SN_UGC,28,0),0),1)</f>
        <v>212</v>
      </c>
      <c r="FW48" s="140">
        <f>SUM($D48:V48)*IF($B48="Operacional",IFERROR(VLOOKUP($C48,SN_UGC,28,0),0),1)</f>
        <v>212</v>
      </c>
      <c r="FX48" s="140">
        <f>SUM($D48:W48)*IF($B48="Operacional",IFERROR(VLOOKUP($C48,SN_UGC,28,0),0),1)</f>
        <v>212</v>
      </c>
      <c r="FY48" s="140">
        <f>SUM($D48:X48)*IF($B48="Operacional",IFERROR(VLOOKUP($C48,SN_UGC,28,0),0),1)</f>
        <v>212</v>
      </c>
      <c r="FZ48" s="140">
        <f>SUM($D48:Y48)*IF($B48="Operacional",IFERROR(VLOOKUP($C48,SN_UGC,28,0),0),1)</f>
        <v>212</v>
      </c>
      <c r="GA48" s="140">
        <f>SUM($D48:Z48)*IF($B48="Operacional",IFERROR(VLOOKUP($C48,SN_UGC,28,0),0),1)</f>
        <v>212</v>
      </c>
      <c r="GB48" s="140">
        <f>SUM($D48:AA48)*IF($B48="Operacional",IFERROR(VLOOKUP($C48,SN_UGC,28,0),0),1)</f>
        <v>212</v>
      </c>
      <c r="GC48" s="140">
        <f>SUM($D48:AB48)*IF($B48="Operacional",IFERROR(VLOOKUP($C48,SN_UGC,28,0),0),1)</f>
        <v>212</v>
      </c>
      <c r="GD48" s="140">
        <f>SUM($D48:AC48)*IF($B48="Operacional",IFERROR(VLOOKUP($C48,SN_UGC,28,0),0),1)</f>
        <v>212</v>
      </c>
      <c r="GE48" s="140">
        <f>SUM($D48:AD48)*IF($B48="Operacional",IFERROR(VLOOKUP($C48,SN_UGC,28,0),0),1)</f>
        <v>212</v>
      </c>
      <c r="GF48" s="140">
        <f>SUM($D48:AE48)*IF($B48="Operacional",IFERROR(VLOOKUP($C48,SN_UGC,28,0),0),1)</f>
        <v>212</v>
      </c>
      <c r="GG48" s="140">
        <f>SUM($D48:AF48)*IF($B48="Operacional",IFERROR(VLOOKUP($C48,SN_UGC,28,0),0),1)</f>
        <v>212</v>
      </c>
      <c r="GH48" s="140">
        <f>SUM($D48:AG48)*IF($B48="Operacional",IFERROR(VLOOKUP($C48,SN_UGC,28,0),0),1)</f>
        <v>212</v>
      </c>
      <c r="GI48" s="141">
        <f t="shared" ref="GI48:HL48" si="244">FE48*$AH48*$AL48</f>
        <v>4314.2000000000007</v>
      </c>
      <c r="GJ48" s="141">
        <f t="shared" si="244"/>
        <v>4314.2000000000007</v>
      </c>
      <c r="GK48" s="141">
        <f t="shared" si="244"/>
        <v>4314.2000000000007</v>
      </c>
      <c r="GL48" s="141">
        <f t="shared" si="244"/>
        <v>4314.2000000000007</v>
      </c>
      <c r="GM48" s="141">
        <f t="shared" si="244"/>
        <v>4314.2000000000007</v>
      </c>
      <c r="GN48" s="141">
        <f t="shared" si="244"/>
        <v>4314.2000000000007</v>
      </c>
      <c r="GO48" s="141">
        <f t="shared" si="244"/>
        <v>4314.2000000000007</v>
      </c>
      <c r="GP48" s="141">
        <f t="shared" si="244"/>
        <v>4314.2000000000007</v>
      </c>
      <c r="GQ48" s="141">
        <f t="shared" si="244"/>
        <v>4314.2000000000007</v>
      </c>
      <c r="GR48" s="141">
        <f t="shared" si="244"/>
        <v>4314.2000000000007</v>
      </c>
      <c r="GS48" s="141">
        <f t="shared" si="244"/>
        <v>4314.2000000000007</v>
      </c>
      <c r="GT48" s="141">
        <f t="shared" si="244"/>
        <v>4314.2000000000007</v>
      </c>
      <c r="GU48" s="141">
        <f t="shared" si="244"/>
        <v>4314.2000000000007</v>
      </c>
      <c r="GV48" s="141">
        <f t="shared" si="244"/>
        <v>4314.2000000000007</v>
      </c>
      <c r="GW48" s="141">
        <f t="shared" si="244"/>
        <v>4314.2000000000007</v>
      </c>
      <c r="GX48" s="141">
        <f t="shared" si="244"/>
        <v>4314.2000000000007</v>
      </c>
      <c r="GY48" s="141">
        <f t="shared" si="244"/>
        <v>4314.2000000000007</v>
      </c>
      <c r="GZ48" s="141">
        <f t="shared" si="244"/>
        <v>4314.2000000000007</v>
      </c>
      <c r="HA48" s="141">
        <f t="shared" si="244"/>
        <v>4314.2000000000007</v>
      </c>
      <c r="HB48" s="141">
        <f t="shared" si="244"/>
        <v>4314.2000000000007</v>
      </c>
      <c r="HC48" s="141">
        <f t="shared" si="244"/>
        <v>4314.2000000000007</v>
      </c>
      <c r="HD48" s="141">
        <f t="shared" si="244"/>
        <v>4314.2000000000007</v>
      </c>
      <c r="HE48" s="141">
        <f t="shared" si="244"/>
        <v>4314.2000000000007</v>
      </c>
      <c r="HF48" s="141">
        <f t="shared" si="244"/>
        <v>4314.2000000000007</v>
      </c>
      <c r="HG48" s="141">
        <f t="shared" si="244"/>
        <v>4314.2000000000007</v>
      </c>
      <c r="HH48" s="141">
        <f t="shared" si="244"/>
        <v>4314.2000000000007</v>
      </c>
      <c r="HI48" s="141">
        <f t="shared" si="244"/>
        <v>4314.2000000000007</v>
      </c>
      <c r="HJ48" s="141">
        <f t="shared" si="244"/>
        <v>4314.2000000000007</v>
      </c>
      <c r="HK48" s="141">
        <f t="shared" si="244"/>
        <v>4314.2000000000007</v>
      </c>
      <c r="HL48" s="141">
        <f t="shared" si="244"/>
        <v>4314.2000000000007</v>
      </c>
      <c r="HM48" s="142">
        <f t="shared" ref="HM48:IP48" si="245">IF(ISBLANK($A48),,FE48*($AH48-($AH48*$AJ48))/$AI48)</f>
        <v>6471.3000000000011</v>
      </c>
      <c r="HN48" s="142">
        <f t="shared" si="245"/>
        <v>6471.3000000000011</v>
      </c>
      <c r="HO48" s="142">
        <f t="shared" si="245"/>
        <v>6471.3000000000011</v>
      </c>
      <c r="HP48" s="142">
        <f t="shared" si="245"/>
        <v>6471.3000000000011</v>
      </c>
      <c r="HQ48" s="142">
        <f t="shared" si="245"/>
        <v>6471.3000000000011</v>
      </c>
      <c r="HR48" s="142">
        <f t="shared" si="245"/>
        <v>6471.3000000000011</v>
      </c>
      <c r="HS48" s="142">
        <f t="shared" si="245"/>
        <v>6471.3000000000011</v>
      </c>
      <c r="HT48" s="142">
        <f t="shared" si="245"/>
        <v>6471.3000000000011</v>
      </c>
      <c r="HU48" s="142">
        <f t="shared" si="245"/>
        <v>6471.3000000000011</v>
      </c>
      <c r="HV48" s="142">
        <f t="shared" si="245"/>
        <v>6471.3000000000011</v>
      </c>
      <c r="HW48" s="142">
        <f t="shared" si="245"/>
        <v>6471.3000000000011</v>
      </c>
      <c r="HX48" s="142">
        <f t="shared" si="245"/>
        <v>6471.3000000000011</v>
      </c>
      <c r="HY48" s="142">
        <f t="shared" si="245"/>
        <v>6471.3000000000011</v>
      </c>
      <c r="HZ48" s="142">
        <f t="shared" si="245"/>
        <v>6471.3000000000011</v>
      </c>
      <c r="IA48" s="142">
        <f t="shared" si="245"/>
        <v>6471.3000000000011</v>
      </c>
      <c r="IB48" s="142">
        <f t="shared" si="245"/>
        <v>6471.3000000000011</v>
      </c>
      <c r="IC48" s="142">
        <f t="shared" si="245"/>
        <v>6471.3000000000011</v>
      </c>
      <c r="ID48" s="142">
        <f t="shared" si="245"/>
        <v>6471.3000000000011</v>
      </c>
      <c r="IE48" s="142">
        <f t="shared" si="245"/>
        <v>6471.3000000000011</v>
      </c>
      <c r="IF48" s="142">
        <f t="shared" si="245"/>
        <v>6471.3000000000011</v>
      </c>
      <c r="IG48" s="142">
        <f t="shared" si="245"/>
        <v>6471.3000000000011</v>
      </c>
      <c r="IH48" s="142">
        <f t="shared" si="245"/>
        <v>6471.3000000000011</v>
      </c>
      <c r="II48" s="142">
        <f t="shared" si="245"/>
        <v>6471.3000000000011</v>
      </c>
      <c r="IJ48" s="142">
        <f t="shared" si="245"/>
        <v>6471.3000000000011</v>
      </c>
      <c r="IK48" s="142">
        <f t="shared" si="245"/>
        <v>6471.3000000000011</v>
      </c>
      <c r="IL48" s="142">
        <f t="shared" si="245"/>
        <v>6471.3000000000011</v>
      </c>
      <c r="IM48" s="142">
        <f t="shared" si="245"/>
        <v>6471.3000000000011</v>
      </c>
      <c r="IN48" s="142">
        <f t="shared" si="245"/>
        <v>6471.3000000000011</v>
      </c>
      <c r="IO48" s="142">
        <f t="shared" si="245"/>
        <v>6471.3000000000011</v>
      </c>
      <c r="IP48" s="142">
        <f t="shared" si="245"/>
        <v>6471.3000000000011</v>
      </c>
      <c r="IQ48" s="141">
        <f>IF(ISBLANK($A48),,IF($AN48="Não",0,(SUM($AO48:AO48)*$AH48)-SUM($HM48:HM48)-SUM($CW48:CW48)))</f>
        <v>79812.700000000012</v>
      </c>
      <c r="IR48" s="141">
        <f>IF(ISBLANK($A48),,IF($AN48="Não",0,(SUM($AO48:AP48)*$AH48)-SUM($HM48:HN48)-SUM($CW48:CX48)))</f>
        <v>73341.400000000009</v>
      </c>
      <c r="IS48" s="141">
        <f>IF(ISBLANK($A48),,IF($AN48="Não",0,(SUM($AO48:AQ48)*$AH48)-SUM($HM48:HO48)-SUM($CW48:CY48)))</f>
        <v>66870.100000000006</v>
      </c>
      <c r="IT48" s="141">
        <f>IF(ISBLANK($A48),,IF($AN48="Não",0,(SUM($AO48:AR48)*$AH48)-SUM($HM48:HP48)-SUM($CW48:CZ48)))</f>
        <v>60398.80000000001</v>
      </c>
      <c r="IU48" s="141">
        <f>IF(ISBLANK($A48),,IF($AN48="Não",0,(SUM($AO48:AS48)*$AH48)-SUM($HM48:HQ48)-SUM($CW48:DA48)))</f>
        <v>53927.500000000007</v>
      </c>
      <c r="IV48" s="141">
        <f>IF(ISBLANK($A48),,IF($AN48="Não",0,(SUM($AO48:AT48)*$AH48)-SUM($HM48:HR48)-SUM($CW48:DB48)))</f>
        <v>47456.200000000004</v>
      </c>
      <c r="IW48" s="141">
        <f>IF(ISBLANK($A48),,IF($AN48="Não",0,(SUM($AO48:AU48)*$AH48)-SUM($HM48:HS48)-SUM($CW48:DC48)))</f>
        <v>40984.9</v>
      </c>
      <c r="IX48" s="141">
        <f>IF(ISBLANK($A48),,IF($AN48="Não",0,(SUM($AO48:AV48)*$AH48)-SUM($HM48:HT48)-SUM($CW48:DD48)))</f>
        <v>34513.599999999999</v>
      </c>
      <c r="IY48" s="141">
        <f>IF(ISBLANK($A48),,IF($AN48="Não",0,(SUM($AO48:AW48)*$AH48)-SUM($HM48:HU48)-SUM($CW48:DE48)))</f>
        <v>28042.299999999996</v>
      </c>
      <c r="IZ48" s="141">
        <f>IF(ISBLANK($A48),,IF($AN48="Não",0,(SUM($AO48:AX48)*$AH48)-SUM($HM48:HV48)-SUM($CW48:DF48)))</f>
        <v>21570.999999999993</v>
      </c>
      <c r="JA48" s="141">
        <f>IF(ISBLANK($A48),,IF($AN48="Não",0,(SUM($AO48:AY48)*$AH48)-SUM($HM48:HW48)-SUM($CW48:DG48)))</f>
        <v>79812.700000000012</v>
      </c>
      <c r="JB48" s="141">
        <f>IF(ISBLANK($A48),,IF($AN48="Não",0,(SUM($AO48:AZ48)*$AH48)-SUM($HM48:HX48)-SUM($CW48:DH48)))</f>
        <v>73341.400000000009</v>
      </c>
      <c r="JC48" s="141">
        <f>IF(ISBLANK($A48),,IF($AN48="Não",0,(SUM($AO48:BA48)*$AH48)-SUM($HM48:HY48)-SUM($CW48:DI48)))</f>
        <v>66870.100000000006</v>
      </c>
      <c r="JD48" s="141">
        <f>IF(ISBLANK($A48),,IF($AN48="Não",0,(SUM($AO48:BB48)*$AH48)-SUM($HM48:HZ48)-SUM($CW48:DJ48)))</f>
        <v>60398.8</v>
      </c>
      <c r="JE48" s="141">
        <f>IF(ISBLANK($A48),,IF($AN48="Não",0,(SUM($AO48:BC48)*$AH48)-SUM($HM48:IA48)-SUM($CW48:DK48)))</f>
        <v>53927.5</v>
      </c>
      <c r="JF48" s="141">
        <f>IF(ISBLANK($A48),,IF($AN48="Não",0,(SUM($AO48:BD48)*$AH48)-SUM($HM48:IB48)-SUM($CW48:DL48)))</f>
        <v>47456.2</v>
      </c>
      <c r="JG48" s="141">
        <f>IF(ISBLANK($A48),,IF($AN48="Não",0,(SUM($AO48:BE48)*$AH48)-SUM($HM48:IC48)-SUM($CW48:DM48)))</f>
        <v>40984.899999999994</v>
      </c>
      <c r="JH48" s="141">
        <f>IF(ISBLANK($A48),,IF($AN48="Não",0,(SUM($AO48:BF48)*$AH48)-SUM($HM48:ID48)-SUM($CW48:DN48)))</f>
        <v>34513.599999999991</v>
      </c>
      <c r="JI48" s="141">
        <f>IF(ISBLANK($A48),,IF($AN48="Não",0,(SUM($AO48:BG48)*$AH48)-SUM($HM48:IE48)-SUM($CW48:DO48)))</f>
        <v>28042.299999999985</v>
      </c>
      <c r="JJ48" s="141">
        <f>IF(ISBLANK($A48),,IF($AN48="Não",0,(SUM($AO48:BH48)*$AH48)-SUM($HM48:IF48)-SUM($CW48:DP48)))</f>
        <v>21570.999999999982</v>
      </c>
      <c r="JK48" s="141">
        <f>IF(ISBLANK($A48),,IF($AN48="Não",0,(SUM($AO48:BI48)*$AH48)-SUM($HM48:IG48)-SUM($CW48:DQ48)))</f>
        <v>79812.699999999983</v>
      </c>
      <c r="JL48" s="141">
        <f>IF(ISBLANK($A48),,IF($AN48="Não",0,(SUM($AO48:BJ48)*$AH48)-SUM($HM48:IH48)-SUM($CW48:DR48)))</f>
        <v>73341.399999999994</v>
      </c>
      <c r="JM48" s="141">
        <f>IF(ISBLANK($A48),,IF($AN48="Não",0,(SUM($AO48:BK48)*$AH48)-SUM($HM48:II48)-SUM($CW48:DS48)))</f>
        <v>66870.100000000006</v>
      </c>
      <c r="JN48" s="141">
        <f>IF(ISBLANK($A48),,IF($AN48="Não",0,(SUM($AO48:BL48)*$AH48)-SUM($HM48:IJ48)-SUM($CW48:DT48)))</f>
        <v>60398.80000000001</v>
      </c>
      <c r="JO48" s="141">
        <f>IF(ISBLANK($A48),,IF($AN48="Não",0,(SUM($AO48:BM48)*$AH48)-SUM($HM48:IK48)-SUM($CW48:DU48)))</f>
        <v>53927.500000000022</v>
      </c>
      <c r="JP48" s="141">
        <f>IF(ISBLANK($A48),,IF($AN48="Não",0,(SUM($AO48:BN48)*$AH48)-SUM($HM48:IL48)-SUM($CW48:DV48)))</f>
        <v>47456.200000000033</v>
      </c>
      <c r="JQ48" s="141">
        <f>IF(ISBLANK($A48),,IF($AN48="Não",0,(SUM($AO48:BO48)*$AH48)-SUM($HM48:IM48)-SUM($CW48:DW48)))</f>
        <v>40984.900000000045</v>
      </c>
      <c r="JR48" s="141">
        <f>IF(ISBLANK($A48),,IF($AN48="Não",0,(SUM($AO48:BP48)*$AH48)-SUM($HM48:IN48)-SUM($CW48:DX48)))</f>
        <v>34513.600000000057</v>
      </c>
      <c r="JS48" s="141">
        <f>IF(ISBLANK($A48),,IF($AN48="Não",0,(SUM($AO48:BQ48)*$AH48)-SUM($HM48:IO48)-SUM($CW48:DY48)))</f>
        <v>28042.300000000068</v>
      </c>
      <c r="JT48" s="141">
        <f>IF(ISBLANK($A48),,IF($AN48="Não",0,(SUM($AO48:BR48)*$AH48)-SUM($HM48:IP48)-SUM($CW48:DZ48)))</f>
        <v>21571.00000000008</v>
      </c>
    </row>
    <row r="49" spans="1:280" ht="15.75" customHeight="1">
      <c r="A49" s="129" t="s">
        <v>406</v>
      </c>
      <c r="B49" s="129" t="s">
        <v>209</v>
      </c>
      <c r="C49" s="138" t="s">
        <v>79</v>
      </c>
      <c r="D49" s="139">
        <v>30</v>
      </c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607">
        <f t="shared" si="165"/>
        <v>407.00000000000006</v>
      </c>
      <c r="AI49" s="608">
        <f t="shared" si="166"/>
        <v>10</v>
      </c>
      <c r="AJ49" s="609">
        <f t="shared" si="167"/>
        <v>0.25</v>
      </c>
      <c r="AK49" s="610" t="str">
        <f t="shared" si="168"/>
        <v>Móveis e Utensílios</v>
      </c>
      <c r="AL49" s="609">
        <f t="shared" si="169"/>
        <v>0.05</v>
      </c>
      <c r="AM49" s="611" t="str">
        <f t="shared" si="170"/>
        <v>Sim</v>
      </c>
      <c r="AN49" s="611" t="str">
        <f t="shared" si="171"/>
        <v>Sim</v>
      </c>
      <c r="AO49" s="140">
        <f t="array" ref="AO49">IF(ISBLANK($A49),0,IF(OR(AO$5-$AI49&lt;=0,$AM49="Não"),D49,D49+INDEX($AO$6:$BR$176,ROW()-5,COLUMN()-40-$AI49)))*IF($B49="Operacional",IFERROR(VLOOKUP($C49,SN_UGC,28,0),0),1)</f>
        <v>30</v>
      </c>
      <c r="AP49" s="140">
        <f t="array" ref="AP49">IF(ISBLANK($A49),0,IF(OR(AP$5-$AI49&lt;=0,$AM49="Não"),E49,E49+INDEX($AO$6:$BR$176,ROW()-5,COLUMN()-40-$AI49)))*IF($B49="Operacional",IFERROR(VLOOKUP($C49,SN_UGC,28,0),0),1)</f>
        <v>0</v>
      </c>
      <c r="AQ49" s="140">
        <f t="array" ref="AQ49">IF(ISBLANK($A49),0,IF(OR(AQ$5-$AI49&lt;=0,$AM49="Não"),F49,F49+INDEX($AO$6:$BR$176,ROW()-5,COLUMN()-40-$AI49)))*IF($B49="Operacional",IFERROR(VLOOKUP($C49,SN_UGC,28,0),0),1)</f>
        <v>0</v>
      </c>
      <c r="AR49" s="140">
        <f t="array" ref="AR49">IF(ISBLANK($A49),0,IF(OR(AR$5-$AI49&lt;=0,$AM49="Não"),G49,G49+INDEX($AO$6:$BR$176,ROW()-5,COLUMN()-40-$AI49)))*IF($B49="Operacional",IFERROR(VLOOKUP($C49,SN_UGC,28,0),0),1)</f>
        <v>0</v>
      </c>
      <c r="AS49" s="140">
        <f t="array" ref="AS49">IF(ISBLANK($A49),0,IF(OR(AS$5-$AI49&lt;=0,$AM49="Não"),H49,H49+INDEX($AO$6:$BR$176,ROW()-5,COLUMN()-40-$AI49)))*IF($B49="Operacional",IFERROR(VLOOKUP($C49,SN_UGC,28,0),0),1)</f>
        <v>0</v>
      </c>
      <c r="AT49" s="140">
        <f t="array" ref="AT49">IF(ISBLANK($A49),0,IF(OR(AT$5-$AI49&lt;=0,$AM49="Não"),I49,I49+INDEX($AO$6:$BR$176,ROW()-5,COLUMN()-40-$AI49)))*IF($B49="Operacional",IFERROR(VLOOKUP($C49,SN_UGC,28,0),0),1)</f>
        <v>0</v>
      </c>
      <c r="AU49" s="140">
        <f t="array" ref="AU49">IF(ISBLANK($A49),0,IF(OR(AU$5-$AI49&lt;=0,$AM49="Não"),J49,J49+INDEX($AO$6:$BR$176,ROW()-5,COLUMN()-40-$AI49)))*IF($B49="Operacional",IFERROR(VLOOKUP($C49,SN_UGC,28,0),0),1)</f>
        <v>0</v>
      </c>
      <c r="AV49" s="140">
        <f t="array" ref="AV49">IF(ISBLANK($A49),0,IF(OR(AV$5-$AI49&lt;=0,$AM49="Não"),K49,K49+INDEX($AO$6:$BR$176,ROW()-5,COLUMN()-40-$AI49)))*IF($B49="Operacional",IFERROR(VLOOKUP($C49,SN_UGC,28,0),0),1)</f>
        <v>0</v>
      </c>
      <c r="AW49" s="140">
        <f t="array" ref="AW49">IF(ISBLANK($A49),0,IF(OR(AW$5-$AI49&lt;=0,$AM49="Não"),L49,L49+INDEX($AO$6:$BR$176,ROW()-5,COLUMN()-40-$AI49)))*IF($B49="Operacional",IFERROR(VLOOKUP($C49,SN_UGC,28,0),0),1)</f>
        <v>0</v>
      </c>
      <c r="AX49" s="140">
        <f t="array" ref="AX49">IF(ISBLANK($A49),0,IF(OR(AX$5-$AI49&lt;=0,$AM49="Não"),M49,M49+INDEX($AO$6:$BR$176,ROW()-5,COLUMN()-40-$AI49)))*IF($B49="Operacional",IFERROR(VLOOKUP($C49,SN_UGC,28,0),0),1)</f>
        <v>0</v>
      </c>
      <c r="AY49" s="140">
        <f t="array" ref="AY49">IF(ISBLANK($A49),0,IF(OR(AY$5-$AI49&lt;=0,$AM49="Não"),N49,N49+INDEX($AO$6:$BR$176,ROW()-5,COLUMN()-40-$AI49)))*IF($B49="Operacional",IFERROR(VLOOKUP($C49,SN_UGC,28,0),0),1)</f>
        <v>30</v>
      </c>
      <c r="AZ49" s="140">
        <f t="array" ref="AZ49">IF(ISBLANK($A49),0,IF(OR(AZ$5-$AI49&lt;=0,$AM49="Não"),O49,O49+INDEX($AO$6:$BR$176,ROW()-5,COLUMN()-40-$AI49)))*IF($B49="Operacional",IFERROR(VLOOKUP($C49,SN_UGC,28,0),0),1)</f>
        <v>0</v>
      </c>
      <c r="BA49" s="140">
        <f t="array" ref="BA49">IF(ISBLANK($A49),0,IF(OR(BA$5-$AI49&lt;=0,$AM49="Não"),P49,P49+INDEX($AO$6:$BR$176,ROW()-5,COLUMN()-40-$AI49)))*IF($B49="Operacional",IFERROR(VLOOKUP($C49,SN_UGC,28,0),0),1)</f>
        <v>0</v>
      </c>
      <c r="BB49" s="140">
        <f t="array" ref="BB49">IF(ISBLANK($A49),0,IF(OR(BB$5-$AI49&lt;=0,$AM49="Não"),Q49,Q49+INDEX($AO$6:$BR$176,ROW()-5,COLUMN()-40-$AI49)))*IF($B49="Operacional",IFERROR(VLOOKUP($C49,SN_UGC,28,0),0),1)</f>
        <v>0</v>
      </c>
      <c r="BC49" s="140">
        <f t="array" ref="BC49">IF(ISBLANK($A49),0,IF(OR(BC$5-$AI49&lt;=0,$AM49="Não"),R49,R49+INDEX($AO$6:$BR$176,ROW()-5,COLUMN()-40-$AI49)))*IF($B49="Operacional",IFERROR(VLOOKUP($C49,SN_UGC,28,0),0),1)</f>
        <v>0</v>
      </c>
      <c r="BD49" s="140">
        <f t="array" ref="BD49">IF(ISBLANK($A49),0,IF(OR(BD$5-$AI49&lt;=0,$AM49="Não"),S49,S49+INDEX($AO$6:$BR$176,ROW()-5,COLUMN()-40-$AI49)))*IF($B49="Operacional",IFERROR(VLOOKUP($C49,SN_UGC,28,0),0),1)</f>
        <v>0</v>
      </c>
      <c r="BE49" s="140">
        <f t="array" ref="BE49">IF(ISBLANK($A49),0,IF(OR(BE$5-$AI49&lt;=0,$AM49="Não"),T49,T49+INDEX($AO$6:$BR$176,ROW()-5,COLUMN()-40-$AI49)))*IF($B49="Operacional",IFERROR(VLOOKUP($C49,SN_UGC,28,0),0),1)</f>
        <v>0</v>
      </c>
      <c r="BF49" s="140">
        <f t="array" ref="BF49">IF(ISBLANK($A49),0,IF(OR(BF$5-$AI49&lt;=0,$AM49="Não"),U49,U49+INDEX($AO$6:$BR$176,ROW()-5,COLUMN()-40-$AI49)))*IF($B49="Operacional",IFERROR(VLOOKUP($C49,SN_UGC,28,0),0),1)</f>
        <v>0</v>
      </c>
      <c r="BG49" s="140">
        <f t="array" ref="BG49">IF(ISBLANK($A49),0,IF(OR(BG$5-$AI49&lt;=0,$AM49="Não"),V49,V49+INDEX($AO$6:$BR$176,ROW()-5,COLUMN()-40-$AI49)))*IF($B49="Operacional",IFERROR(VLOOKUP($C49,SN_UGC,28,0),0),1)</f>
        <v>0</v>
      </c>
      <c r="BH49" s="140">
        <f t="array" ref="BH49">IF(ISBLANK($A49),0,IF(OR(BH$5-$AI49&lt;=0,$AM49="Não"),W49,W49+INDEX($AO$6:$BR$176,ROW()-5,COLUMN()-40-$AI49)))*IF($B49="Operacional",IFERROR(VLOOKUP($C49,SN_UGC,28,0),0),1)</f>
        <v>0</v>
      </c>
      <c r="BI49" s="140">
        <f t="array" ref="BI49">IF(ISBLANK($A49),0,IF(OR(BI$5-$AI49&lt;=0,$AM49="Não"),X49,X49+INDEX($AO$6:$BR$176,ROW()-5,COLUMN()-40-$AI49)))*IF($B49="Operacional",IFERROR(VLOOKUP($C49,SN_UGC,28,0),0),1)</f>
        <v>30</v>
      </c>
      <c r="BJ49" s="140">
        <f t="array" ref="BJ49">IF(ISBLANK($A49),0,IF(OR(BJ$5-$AI49&lt;=0,$AM49="Não"),Y49,Y49+INDEX($AO$6:$BR$176,ROW()-5,COLUMN()-40-$AI49)))*IF($B49="Operacional",IFERROR(VLOOKUP($C49,SN_UGC,28,0),0),1)</f>
        <v>0</v>
      </c>
      <c r="BK49" s="140">
        <f t="array" ref="BK49">IF(ISBLANK($A49),0,IF(OR(BK$5-$AI49&lt;=0,$AM49="Não"),Z49,Z49+INDEX($AO$6:$BR$176,ROW()-5,COLUMN()-40-$AI49)))*IF($B49="Operacional",IFERROR(VLOOKUP($C49,SN_UGC,28,0),0),1)</f>
        <v>0</v>
      </c>
      <c r="BL49" s="140">
        <f t="array" ref="BL49">IF(ISBLANK($A49),0,IF(OR(BL$5-$AI49&lt;=0,$AM49="Não"),AA49,AA49+INDEX($AO$6:$BR$176,ROW()-5,COLUMN()-40-$AI49)))*IF($B49="Operacional",IFERROR(VLOOKUP($C49,SN_UGC,28,0),0),1)</f>
        <v>0</v>
      </c>
      <c r="BM49" s="140">
        <f t="array" ref="BM49">IF(ISBLANK($A49),0,IF(OR(BM$5-$AI49&lt;=0,$AM49="Não"),AB49,AB49+INDEX($AO$6:$BR$176,ROW()-5,COLUMN()-40-$AI49)))*IF($B49="Operacional",IFERROR(VLOOKUP($C49,SN_UGC,28,0),0),1)</f>
        <v>0</v>
      </c>
      <c r="BN49" s="140">
        <f t="array" ref="BN49">IF(ISBLANK($A49),0,IF(OR(BN$5-$AI49&lt;=0,$AM49="Não"),AC49,AC49+INDEX($AO$6:$BR$176,ROW()-5,COLUMN()-40-$AI49)))*IF($B49="Operacional",IFERROR(VLOOKUP($C49,SN_UGC,28,0),0),1)</f>
        <v>0</v>
      </c>
      <c r="BO49" s="140">
        <f t="array" ref="BO49">IF(ISBLANK($A49),0,IF(OR(BO$5-$AI49&lt;=0,$AM49="Não"),AD49,AD49+INDEX($AO$6:$BR$176,ROW()-5,COLUMN()-40-$AI49)))*IF($B49="Operacional",IFERROR(VLOOKUP($C49,SN_UGC,28,0),0),1)</f>
        <v>0</v>
      </c>
      <c r="BP49" s="140">
        <f t="array" ref="BP49">IF(ISBLANK($A49),0,IF(OR(BP$5-$AI49&lt;=0,$AM49="Não"),AE49,AE49+INDEX($AO$6:$BR$176,ROW()-5,COLUMN()-40-$AI49)))*IF($B49="Operacional",IFERROR(VLOOKUP($C49,SN_UGC,28,0),0),1)</f>
        <v>0</v>
      </c>
      <c r="BQ49" s="140">
        <f t="array" ref="BQ49">IF(ISBLANK($A49),0,IF(OR(BQ$5-$AI49&lt;=0,$AM49="Não"),AF49,AF49+INDEX($AO$6:$BR$176,ROW()-5,COLUMN()-40-$AI49)))*IF($B49="Operacional",IFERROR(VLOOKUP($C49,SN_UGC,28,0),0),1)</f>
        <v>0</v>
      </c>
      <c r="BR49" s="140">
        <f t="array" ref="BR49">IF(ISBLANK($A49),0,IF(OR(BR$5-$AI49&lt;=0,$AM49="Não"),AG49,AG49+INDEX($AO$6:$BR$176,ROW()-5,COLUMN()-40-$AI49)))*IF($B49="Operacional",IFERROR(VLOOKUP($C49,SN_UGC,28,0),0),1)</f>
        <v>0</v>
      </c>
      <c r="BS49" s="141">
        <f t="shared" ref="BS49:CV49" si="246">IF(ISBLANK($A49),0,$AH49*AO49)</f>
        <v>12210.000000000002</v>
      </c>
      <c r="BT49" s="141">
        <f t="shared" si="246"/>
        <v>0</v>
      </c>
      <c r="BU49" s="141">
        <f t="shared" si="246"/>
        <v>0</v>
      </c>
      <c r="BV49" s="141">
        <f t="shared" si="246"/>
        <v>0</v>
      </c>
      <c r="BW49" s="141">
        <f t="shared" si="246"/>
        <v>0</v>
      </c>
      <c r="BX49" s="141">
        <f t="shared" si="246"/>
        <v>0</v>
      </c>
      <c r="BY49" s="141">
        <f t="shared" si="246"/>
        <v>0</v>
      </c>
      <c r="BZ49" s="141">
        <f t="shared" si="246"/>
        <v>0</v>
      </c>
      <c r="CA49" s="141">
        <f t="shared" si="246"/>
        <v>0</v>
      </c>
      <c r="CB49" s="141">
        <f t="shared" si="246"/>
        <v>0</v>
      </c>
      <c r="CC49" s="141">
        <f t="shared" si="246"/>
        <v>12210.000000000002</v>
      </c>
      <c r="CD49" s="141">
        <f t="shared" si="246"/>
        <v>0</v>
      </c>
      <c r="CE49" s="141">
        <f t="shared" si="246"/>
        <v>0</v>
      </c>
      <c r="CF49" s="141">
        <f t="shared" si="246"/>
        <v>0</v>
      </c>
      <c r="CG49" s="141">
        <f t="shared" si="246"/>
        <v>0</v>
      </c>
      <c r="CH49" s="141">
        <f t="shared" si="246"/>
        <v>0</v>
      </c>
      <c r="CI49" s="141">
        <f t="shared" si="246"/>
        <v>0</v>
      </c>
      <c r="CJ49" s="141">
        <f t="shared" si="246"/>
        <v>0</v>
      </c>
      <c r="CK49" s="141">
        <f t="shared" si="246"/>
        <v>0</v>
      </c>
      <c r="CL49" s="141">
        <f t="shared" si="246"/>
        <v>0</v>
      </c>
      <c r="CM49" s="141">
        <f t="shared" si="246"/>
        <v>12210.000000000002</v>
      </c>
      <c r="CN49" s="141">
        <f t="shared" si="246"/>
        <v>0</v>
      </c>
      <c r="CO49" s="141">
        <f t="shared" si="246"/>
        <v>0</v>
      </c>
      <c r="CP49" s="141">
        <f t="shared" si="246"/>
        <v>0</v>
      </c>
      <c r="CQ49" s="141">
        <f t="shared" si="246"/>
        <v>0</v>
      </c>
      <c r="CR49" s="141">
        <f t="shared" si="246"/>
        <v>0</v>
      </c>
      <c r="CS49" s="141">
        <f t="shared" si="246"/>
        <v>0</v>
      </c>
      <c r="CT49" s="141">
        <f t="shared" si="246"/>
        <v>0</v>
      </c>
      <c r="CU49" s="141">
        <f t="shared" si="246"/>
        <v>0</v>
      </c>
      <c r="CV49" s="141">
        <f t="shared" si="246"/>
        <v>0</v>
      </c>
      <c r="CW49" s="142">
        <f t="shared" ref="CW49:DZ49" si="247">EA49*$AH49*$AJ49</f>
        <v>0</v>
      </c>
      <c r="CX49" s="142">
        <f t="shared" si="247"/>
        <v>0</v>
      </c>
      <c r="CY49" s="142">
        <f t="shared" si="247"/>
        <v>0</v>
      </c>
      <c r="CZ49" s="142">
        <f t="shared" si="247"/>
        <v>0</v>
      </c>
      <c r="DA49" s="142">
        <f t="shared" si="247"/>
        <v>0</v>
      </c>
      <c r="DB49" s="142">
        <f t="shared" si="247"/>
        <v>0</v>
      </c>
      <c r="DC49" s="142">
        <f t="shared" si="247"/>
        <v>0</v>
      </c>
      <c r="DD49" s="142">
        <f t="shared" si="247"/>
        <v>0</v>
      </c>
      <c r="DE49" s="142">
        <f t="shared" si="247"/>
        <v>0</v>
      </c>
      <c r="DF49" s="142">
        <f t="shared" si="247"/>
        <v>0</v>
      </c>
      <c r="DG49" s="142">
        <f t="shared" si="247"/>
        <v>3052.5000000000005</v>
      </c>
      <c r="DH49" s="142">
        <f t="shared" si="247"/>
        <v>0</v>
      </c>
      <c r="DI49" s="142">
        <f t="shared" si="247"/>
        <v>0</v>
      </c>
      <c r="DJ49" s="142">
        <f t="shared" si="247"/>
        <v>0</v>
      </c>
      <c r="DK49" s="142">
        <f t="shared" si="247"/>
        <v>0</v>
      </c>
      <c r="DL49" s="142">
        <f t="shared" si="247"/>
        <v>0</v>
      </c>
      <c r="DM49" s="142">
        <f t="shared" si="247"/>
        <v>0</v>
      </c>
      <c r="DN49" s="142">
        <f t="shared" si="247"/>
        <v>0</v>
      </c>
      <c r="DO49" s="142">
        <f t="shared" si="247"/>
        <v>0</v>
      </c>
      <c r="DP49" s="142">
        <f t="shared" si="247"/>
        <v>0</v>
      </c>
      <c r="DQ49" s="142">
        <f t="shared" si="247"/>
        <v>3052.5000000000005</v>
      </c>
      <c r="DR49" s="142">
        <f t="shared" si="247"/>
        <v>0</v>
      </c>
      <c r="DS49" s="142">
        <f t="shared" si="247"/>
        <v>0</v>
      </c>
      <c r="DT49" s="142">
        <f t="shared" si="247"/>
        <v>0</v>
      </c>
      <c r="DU49" s="142">
        <f t="shared" si="247"/>
        <v>0</v>
      </c>
      <c r="DV49" s="142">
        <f t="shared" si="247"/>
        <v>0</v>
      </c>
      <c r="DW49" s="142">
        <f t="shared" si="247"/>
        <v>0</v>
      </c>
      <c r="DX49" s="142">
        <f t="shared" si="247"/>
        <v>0</v>
      </c>
      <c r="DY49" s="142">
        <f t="shared" si="247"/>
        <v>0</v>
      </c>
      <c r="DZ49" s="142">
        <f t="shared" si="247"/>
        <v>0</v>
      </c>
      <c r="EA49" s="143">
        <f t="shared" si="174"/>
        <v>0</v>
      </c>
      <c r="EB49" s="143">
        <f t="shared" si="175"/>
        <v>0</v>
      </c>
      <c r="EC49" s="143">
        <f t="shared" si="176"/>
        <v>0</v>
      </c>
      <c r="ED49" s="143">
        <f t="shared" si="177"/>
        <v>0</v>
      </c>
      <c r="EE49" s="143">
        <f t="shared" si="178"/>
        <v>0</v>
      </c>
      <c r="EF49" s="143">
        <f t="shared" si="179"/>
        <v>0</v>
      </c>
      <c r="EG49" s="143">
        <f t="shared" si="180"/>
        <v>0</v>
      </c>
      <c r="EH49" s="143">
        <f t="shared" si="181"/>
        <v>0</v>
      </c>
      <c r="EI49" s="143">
        <f t="shared" si="182"/>
        <v>0</v>
      </c>
      <c r="EJ49" s="143">
        <f t="shared" si="183"/>
        <v>0</v>
      </c>
      <c r="EK49" s="143">
        <f t="shared" si="184"/>
        <v>30</v>
      </c>
      <c r="EL49" s="143">
        <f t="shared" si="185"/>
        <v>0</v>
      </c>
      <c r="EM49" s="143">
        <f t="shared" si="186"/>
        <v>0</v>
      </c>
      <c r="EN49" s="143">
        <f t="shared" si="187"/>
        <v>0</v>
      </c>
      <c r="EO49" s="143">
        <f t="shared" si="188"/>
        <v>0</v>
      </c>
      <c r="EP49" s="143">
        <f t="shared" si="189"/>
        <v>0</v>
      </c>
      <c r="EQ49" s="143">
        <f t="shared" si="190"/>
        <v>0</v>
      </c>
      <c r="ER49" s="143">
        <f t="shared" si="191"/>
        <v>0</v>
      </c>
      <c r="ES49" s="143">
        <f t="shared" si="192"/>
        <v>0</v>
      </c>
      <c r="ET49" s="143">
        <f t="shared" si="193"/>
        <v>0</v>
      </c>
      <c r="EU49" s="143">
        <f t="shared" si="194"/>
        <v>30</v>
      </c>
      <c r="EV49" s="143">
        <f t="shared" si="195"/>
        <v>0</v>
      </c>
      <c r="EW49" s="143">
        <f t="shared" si="196"/>
        <v>0</v>
      </c>
      <c r="EX49" s="143">
        <f t="shared" si="197"/>
        <v>0</v>
      </c>
      <c r="EY49" s="143">
        <f t="shared" si="198"/>
        <v>0</v>
      </c>
      <c r="EZ49" s="143">
        <f t="shared" si="199"/>
        <v>0</v>
      </c>
      <c r="FA49" s="143">
        <f t="shared" si="200"/>
        <v>0</v>
      </c>
      <c r="FB49" s="143">
        <f t="shared" si="201"/>
        <v>0</v>
      </c>
      <c r="FC49" s="143">
        <f t="shared" si="202"/>
        <v>0</v>
      </c>
      <c r="FD49" s="143">
        <f t="shared" si="203"/>
        <v>0</v>
      </c>
      <c r="FE49" s="140">
        <f>SUM($D49:D49)*IF($B49="Operacional",IFERROR(VLOOKUP($C49,SN_UGC,28,0),0),1)</f>
        <v>30</v>
      </c>
      <c r="FF49" s="140">
        <f>SUM($D49:E49)*IF($B49="Operacional",IFERROR(VLOOKUP($C49,SN_UGC,28,0),0),1)</f>
        <v>30</v>
      </c>
      <c r="FG49" s="140">
        <f>SUM($D49:F49)*IF($B49="Operacional",IFERROR(VLOOKUP($C49,SN_UGC,28,0),0),1)</f>
        <v>30</v>
      </c>
      <c r="FH49" s="140">
        <f>SUM($D49:G49)*IF($B49="Operacional",IFERROR(VLOOKUP($C49,SN_UGC,28,0),0),1)</f>
        <v>30</v>
      </c>
      <c r="FI49" s="140">
        <f>SUM($D49:H49)*IF($B49="Operacional",IFERROR(VLOOKUP($C49,SN_UGC,28,0),0),1)</f>
        <v>30</v>
      </c>
      <c r="FJ49" s="140">
        <f>SUM($D49:I49)*IF($B49="Operacional",IFERROR(VLOOKUP($C49,SN_UGC,28,0),0),1)</f>
        <v>30</v>
      </c>
      <c r="FK49" s="140">
        <f>SUM($D49:J49)*IF($B49="Operacional",IFERROR(VLOOKUP($C49,SN_UGC,28,0),0),1)</f>
        <v>30</v>
      </c>
      <c r="FL49" s="140">
        <f>SUM($D49:K49)*IF($B49="Operacional",IFERROR(VLOOKUP($C49,SN_UGC,28,0),0),1)</f>
        <v>30</v>
      </c>
      <c r="FM49" s="140">
        <f>SUM($D49:L49)*IF($B49="Operacional",IFERROR(VLOOKUP($C49,SN_UGC,28,0),0),1)</f>
        <v>30</v>
      </c>
      <c r="FN49" s="140">
        <f>SUM($D49:M49)*IF($B49="Operacional",IFERROR(VLOOKUP($C49,SN_UGC,28,0),0),1)</f>
        <v>30</v>
      </c>
      <c r="FO49" s="140">
        <f>SUM($D49:N49)*IF($B49="Operacional",IFERROR(VLOOKUP($C49,SN_UGC,28,0),0),1)</f>
        <v>30</v>
      </c>
      <c r="FP49" s="140">
        <f>SUM($D49:O49)*IF($B49="Operacional",IFERROR(VLOOKUP($C49,SN_UGC,28,0),0),1)</f>
        <v>30</v>
      </c>
      <c r="FQ49" s="140">
        <f>SUM($D49:P49)*IF($B49="Operacional",IFERROR(VLOOKUP($C49,SN_UGC,28,0),0),1)</f>
        <v>30</v>
      </c>
      <c r="FR49" s="140">
        <f>SUM($D49:Q49)*IF($B49="Operacional",IFERROR(VLOOKUP($C49,SN_UGC,28,0),0),1)</f>
        <v>30</v>
      </c>
      <c r="FS49" s="140">
        <f>SUM($D49:R49)*IF($B49="Operacional",IFERROR(VLOOKUP($C49,SN_UGC,28,0),0),1)</f>
        <v>30</v>
      </c>
      <c r="FT49" s="140">
        <f>SUM($D49:S49)*IF($B49="Operacional",IFERROR(VLOOKUP($C49,SN_UGC,28,0),0),1)</f>
        <v>30</v>
      </c>
      <c r="FU49" s="140">
        <f>SUM($D49:T49)*IF($B49="Operacional",IFERROR(VLOOKUP($C49,SN_UGC,28,0),0),1)</f>
        <v>30</v>
      </c>
      <c r="FV49" s="140">
        <f>SUM($D49:U49)*IF($B49="Operacional",IFERROR(VLOOKUP($C49,SN_UGC,28,0),0),1)</f>
        <v>30</v>
      </c>
      <c r="FW49" s="140">
        <f>SUM($D49:V49)*IF($B49="Operacional",IFERROR(VLOOKUP($C49,SN_UGC,28,0),0),1)</f>
        <v>30</v>
      </c>
      <c r="FX49" s="140">
        <f>SUM($D49:W49)*IF($B49="Operacional",IFERROR(VLOOKUP($C49,SN_UGC,28,0),0),1)</f>
        <v>30</v>
      </c>
      <c r="FY49" s="140">
        <f>SUM($D49:X49)*IF($B49="Operacional",IFERROR(VLOOKUP($C49,SN_UGC,28,0),0),1)</f>
        <v>30</v>
      </c>
      <c r="FZ49" s="140">
        <f>SUM($D49:Y49)*IF($B49="Operacional",IFERROR(VLOOKUP($C49,SN_UGC,28,0),0),1)</f>
        <v>30</v>
      </c>
      <c r="GA49" s="140">
        <f>SUM($D49:Z49)*IF($B49="Operacional",IFERROR(VLOOKUP($C49,SN_UGC,28,0),0),1)</f>
        <v>30</v>
      </c>
      <c r="GB49" s="140">
        <f>SUM($D49:AA49)*IF($B49="Operacional",IFERROR(VLOOKUP($C49,SN_UGC,28,0),0),1)</f>
        <v>30</v>
      </c>
      <c r="GC49" s="140">
        <f>SUM($D49:AB49)*IF($B49="Operacional",IFERROR(VLOOKUP($C49,SN_UGC,28,0),0),1)</f>
        <v>30</v>
      </c>
      <c r="GD49" s="140">
        <f>SUM($D49:AC49)*IF($B49="Operacional",IFERROR(VLOOKUP($C49,SN_UGC,28,0),0),1)</f>
        <v>30</v>
      </c>
      <c r="GE49" s="140">
        <f>SUM($D49:AD49)*IF($B49="Operacional",IFERROR(VLOOKUP($C49,SN_UGC,28,0),0),1)</f>
        <v>30</v>
      </c>
      <c r="GF49" s="140">
        <f>SUM($D49:AE49)*IF($B49="Operacional",IFERROR(VLOOKUP($C49,SN_UGC,28,0),0),1)</f>
        <v>30</v>
      </c>
      <c r="GG49" s="140">
        <f>SUM($D49:AF49)*IF($B49="Operacional",IFERROR(VLOOKUP($C49,SN_UGC,28,0),0),1)</f>
        <v>30</v>
      </c>
      <c r="GH49" s="140">
        <f>SUM($D49:AG49)*IF($B49="Operacional",IFERROR(VLOOKUP($C49,SN_UGC,28,0),0),1)</f>
        <v>30</v>
      </c>
      <c r="GI49" s="141">
        <f t="shared" ref="GI49:HL49" si="248">FE49*$AH49*$AL49</f>
        <v>610.50000000000011</v>
      </c>
      <c r="GJ49" s="141">
        <f t="shared" si="248"/>
        <v>610.50000000000011</v>
      </c>
      <c r="GK49" s="141">
        <f t="shared" si="248"/>
        <v>610.50000000000011</v>
      </c>
      <c r="GL49" s="141">
        <f t="shared" si="248"/>
        <v>610.50000000000011</v>
      </c>
      <c r="GM49" s="141">
        <f t="shared" si="248"/>
        <v>610.50000000000011</v>
      </c>
      <c r="GN49" s="141">
        <f t="shared" si="248"/>
        <v>610.50000000000011</v>
      </c>
      <c r="GO49" s="141">
        <f t="shared" si="248"/>
        <v>610.50000000000011</v>
      </c>
      <c r="GP49" s="141">
        <f t="shared" si="248"/>
        <v>610.50000000000011</v>
      </c>
      <c r="GQ49" s="141">
        <f t="shared" si="248"/>
        <v>610.50000000000011</v>
      </c>
      <c r="GR49" s="141">
        <f t="shared" si="248"/>
        <v>610.50000000000011</v>
      </c>
      <c r="GS49" s="141">
        <f t="shared" si="248"/>
        <v>610.50000000000011</v>
      </c>
      <c r="GT49" s="141">
        <f t="shared" si="248"/>
        <v>610.50000000000011</v>
      </c>
      <c r="GU49" s="141">
        <f t="shared" si="248"/>
        <v>610.50000000000011</v>
      </c>
      <c r="GV49" s="141">
        <f t="shared" si="248"/>
        <v>610.50000000000011</v>
      </c>
      <c r="GW49" s="141">
        <f t="shared" si="248"/>
        <v>610.50000000000011</v>
      </c>
      <c r="GX49" s="141">
        <f t="shared" si="248"/>
        <v>610.50000000000011</v>
      </c>
      <c r="GY49" s="141">
        <f t="shared" si="248"/>
        <v>610.50000000000011</v>
      </c>
      <c r="GZ49" s="141">
        <f t="shared" si="248"/>
        <v>610.50000000000011</v>
      </c>
      <c r="HA49" s="141">
        <f t="shared" si="248"/>
        <v>610.50000000000011</v>
      </c>
      <c r="HB49" s="141">
        <f t="shared" si="248"/>
        <v>610.50000000000011</v>
      </c>
      <c r="HC49" s="141">
        <f t="shared" si="248"/>
        <v>610.50000000000011</v>
      </c>
      <c r="HD49" s="141">
        <f t="shared" si="248"/>
        <v>610.50000000000011</v>
      </c>
      <c r="HE49" s="141">
        <f t="shared" si="248"/>
        <v>610.50000000000011</v>
      </c>
      <c r="HF49" s="141">
        <f t="shared" si="248"/>
        <v>610.50000000000011</v>
      </c>
      <c r="HG49" s="141">
        <f t="shared" si="248"/>
        <v>610.50000000000011</v>
      </c>
      <c r="HH49" s="141">
        <f t="shared" si="248"/>
        <v>610.50000000000011</v>
      </c>
      <c r="HI49" s="141">
        <f t="shared" si="248"/>
        <v>610.50000000000011</v>
      </c>
      <c r="HJ49" s="141">
        <f t="shared" si="248"/>
        <v>610.50000000000011</v>
      </c>
      <c r="HK49" s="141">
        <f t="shared" si="248"/>
        <v>610.50000000000011</v>
      </c>
      <c r="HL49" s="141">
        <f t="shared" si="248"/>
        <v>610.50000000000011</v>
      </c>
      <c r="HM49" s="142">
        <f t="shared" ref="HM49:IP49" si="249">IF(ISBLANK($A49),,FE49*($AH49-($AH49*$AJ49))/$AI49)</f>
        <v>915.75000000000023</v>
      </c>
      <c r="HN49" s="142">
        <f t="shared" si="249"/>
        <v>915.75000000000023</v>
      </c>
      <c r="HO49" s="142">
        <f t="shared" si="249"/>
        <v>915.75000000000023</v>
      </c>
      <c r="HP49" s="142">
        <f t="shared" si="249"/>
        <v>915.75000000000023</v>
      </c>
      <c r="HQ49" s="142">
        <f t="shared" si="249"/>
        <v>915.75000000000023</v>
      </c>
      <c r="HR49" s="142">
        <f t="shared" si="249"/>
        <v>915.75000000000023</v>
      </c>
      <c r="HS49" s="142">
        <f t="shared" si="249"/>
        <v>915.75000000000023</v>
      </c>
      <c r="HT49" s="142">
        <f t="shared" si="249"/>
        <v>915.75000000000023</v>
      </c>
      <c r="HU49" s="142">
        <f t="shared" si="249"/>
        <v>915.75000000000023</v>
      </c>
      <c r="HV49" s="142">
        <f t="shared" si="249"/>
        <v>915.75000000000023</v>
      </c>
      <c r="HW49" s="142">
        <f t="shared" si="249"/>
        <v>915.75000000000023</v>
      </c>
      <c r="HX49" s="142">
        <f t="shared" si="249"/>
        <v>915.75000000000023</v>
      </c>
      <c r="HY49" s="142">
        <f t="shared" si="249"/>
        <v>915.75000000000023</v>
      </c>
      <c r="HZ49" s="142">
        <f t="shared" si="249"/>
        <v>915.75000000000023</v>
      </c>
      <c r="IA49" s="142">
        <f t="shared" si="249"/>
        <v>915.75000000000023</v>
      </c>
      <c r="IB49" s="142">
        <f t="shared" si="249"/>
        <v>915.75000000000023</v>
      </c>
      <c r="IC49" s="142">
        <f t="shared" si="249"/>
        <v>915.75000000000023</v>
      </c>
      <c r="ID49" s="142">
        <f t="shared" si="249"/>
        <v>915.75000000000023</v>
      </c>
      <c r="IE49" s="142">
        <f t="shared" si="249"/>
        <v>915.75000000000023</v>
      </c>
      <c r="IF49" s="142">
        <f t="shared" si="249"/>
        <v>915.75000000000023</v>
      </c>
      <c r="IG49" s="142">
        <f t="shared" si="249"/>
        <v>915.75000000000023</v>
      </c>
      <c r="IH49" s="142">
        <f t="shared" si="249"/>
        <v>915.75000000000023</v>
      </c>
      <c r="II49" s="142">
        <f t="shared" si="249"/>
        <v>915.75000000000023</v>
      </c>
      <c r="IJ49" s="142">
        <f t="shared" si="249"/>
        <v>915.75000000000023</v>
      </c>
      <c r="IK49" s="142">
        <f t="shared" si="249"/>
        <v>915.75000000000023</v>
      </c>
      <c r="IL49" s="142">
        <f t="shared" si="249"/>
        <v>915.75000000000023</v>
      </c>
      <c r="IM49" s="142">
        <f t="shared" si="249"/>
        <v>915.75000000000023</v>
      </c>
      <c r="IN49" s="142">
        <f t="shared" si="249"/>
        <v>915.75000000000023</v>
      </c>
      <c r="IO49" s="142">
        <f t="shared" si="249"/>
        <v>915.75000000000023</v>
      </c>
      <c r="IP49" s="142">
        <f t="shared" si="249"/>
        <v>915.75000000000023</v>
      </c>
      <c r="IQ49" s="141">
        <f>IF(ISBLANK($A49),,IF($AN49="Não",0,(SUM($AO49:AO49)*$AH49)-SUM($HM49:HM49)-SUM($CW49:CW49)))</f>
        <v>11294.250000000002</v>
      </c>
      <c r="IR49" s="141">
        <f>IF(ISBLANK($A49),,IF($AN49="Não",0,(SUM($AO49:AP49)*$AH49)-SUM($HM49:HN49)-SUM($CW49:CX49)))</f>
        <v>10378.500000000002</v>
      </c>
      <c r="IS49" s="141">
        <f>IF(ISBLANK($A49),,IF($AN49="Não",0,(SUM($AO49:AQ49)*$AH49)-SUM($HM49:HO49)-SUM($CW49:CY49)))</f>
        <v>9462.75</v>
      </c>
      <c r="IT49" s="141">
        <f>IF(ISBLANK($A49),,IF($AN49="Não",0,(SUM($AO49:AR49)*$AH49)-SUM($HM49:HP49)-SUM($CW49:CZ49)))</f>
        <v>8547</v>
      </c>
      <c r="IU49" s="141">
        <f>IF(ISBLANK($A49),,IF($AN49="Não",0,(SUM($AO49:AS49)*$AH49)-SUM($HM49:HQ49)-SUM($CW49:DA49)))</f>
        <v>7631.2500000000009</v>
      </c>
      <c r="IV49" s="141">
        <f>IF(ISBLANK($A49),,IF($AN49="Não",0,(SUM($AO49:AT49)*$AH49)-SUM($HM49:HR49)-SUM($CW49:DB49)))</f>
        <v>6715.5000000000009</v>
      </c>
      <c r="IW49" s="141">
        <f>IF(ISBLANK($A49),,IF($AN49="Não",0,(SUM($AO49:AU49)*$AH49)-SUM($HM49:HS49)-SUM($CW49:DC49)))</f>
        <v>5799.7500000000009</v>
      </c>
      <c r="IX49" s="141">
        <f>IF(ISBLANK($A49),,IF($AN49="Não",0,(SUM($AO49:AV49)*$AH49)-SUM($HM49:HT49)-SUM($CW49:DD49)))</f>
        <v>4884.0000000000009</v>
      </c>
      <c r="IY49" s="141">
        <f>IF(ISBLANK($A49),,IF($AN49="Não",0,(SUM($AO49:AW49)*$AH49)-SUM($HM49:HU49)-SUM($CW49:DE49)))</f>
        <v>3968.25</v>
      </c>
      <c r="IZ49" s="141">
        <f>IF(ISBLANK($A49),,IF($AN49="Não",0,(SUM($AO49:AX49)*$AH49)-SUM($HM49:HV49)-SUM($CW49:DF49)))</f>
        <v>3052.5</v>
      </c>
      <c r="JA49" s="141">
        <f>IF(ISBLANK($A49),,IF($AN49="Não",0,(SUM($AO49:AY49)*$AH49)-SUM($HM49:HW49)-SUM($CW49:DG49)))</f>
        <v>11294.250000000002</v>
      </c>
      <c r="JB49" s="141">
        <f>IF(ISBLANK($A49),,IF($AN49="Não",0,(SUM($AO49:AZ49)*$AH49)-SUM($HM49:HX49)-SUM($CW49:DH49)))</f>
        <v>10378.500000000002</v>
      </c>
      <c r="JC49" s="141">
        <f>IF(ISBLANK($A49),,IF($AN49="Não",0,(SUM($AO49:BA49)*$AH49)-SUM($HM49:HY49)-SUM($CW49:DI49)))</f>
        <v>9462.7500000000018</v>
      </c>
      <c r="JD49" s="141">
        <f>IF(ISBLANK($A49),,IF($AN49="Não",0,(SUM($AO49:BB49)*$AH49)-SUM($HM49:HZ49)-SUM($CW49:DJ49)))</f>
        <v>8547.0000000000018</v>
      </c>
      <c r="JE49" s="141">
        <f>IF(ISBLANK($A49),,IF($AN49="Não",0,(SUM($AO49:BC49)*$AH49)-SUM($HM49:IA49)-SUM($CW49:DK49)))</f>
        <v>7631.2500000000018</v>
      </c>
      <c r="JF49" s="141">
        <f>IF(ISBLANK($A49),,IF($AN49="Não",0,(SUM($AO49:BD49)*$AH49)-SUM($HM49:IB49)-SUM($CW49:DL49)))</f>
        <v>6715.5000000000018</v>
      </c>
      <c r="JG49" s="141">
        <f>IF(ISBLANK($A49),,IF($AN49="Não",0,(SUM($AO49:BE49)*$AH49)-SUM($HM49:IC49)-SUM($CW49:DM49)))</f>
        <v>5799.7500000000018</v>
      </c>
      <c r="JH49" s="141">
        <f>IF(ISBLANK($A49),,IF($AN49="Não",0,(SUM($AO49:BF49)*$AH49)-SUM($HM49:ID49)-SUM($CW49:DN49)))</f>
        <v>4884</v>
      </c>
      <c r="JI49" s="141">
        <f>IF(ISBLANK($A49),,IF($AN49="Não",0,(SUM($AO49:BG49)*$AH49)-SUM($HM49:IE49)-SUM($CW49:DO49)))</f>
        <v>3968.2499999999995</v>
      </c>
      <c r="JJ49" s="141">
        <f>IF(ISBLANK($A49),,IF($AN49="Não",0,(SUM($AO49:BH49)*$AH49)-SUM($HM49:IF49)-SUM($CW49:DP49)))</f>
        <v>3052.4999999999995</v>
      </c>
      <c r="JK49" s="141">
        <f>IF(ISBLANK($A49),,IF($AN49="Não",0,(SUM($AO49:BI49)*$AH49)-SUM($HM49:IG49)-SUM($CW49:DQ49)))</f>
        <v>11294.250000000004</v>
      </c>
      <c r="JL49" s="141">
        <f>IF(ISBLANK($A49),,IF($AN49="Não",0,(SUM($AO49:BJ49)*$AH49)-SUM($HM49:IH49)-SUM($CW49:DR49)))</f>
        <v>10378.500000000004</v>
      </c>
      <c r="JM49" s="141">
        <f>IF(ISBLANK($A49),,IF($AN49="Não",0,(SUM($AO49:BK49)*$AH49)-SUM($HM49:II49)-SUM($CW49:DS49)))</f>
        <v>9462.7500000000036</v>
      </c>
      <c r="JN49" s="141">
        <f>IF(ISBLANK($A49),,IF($AN49="Não",0,(SUM($AO49:BL49)*$AH49)-SUM($HM49:IJ49)-SUM($CW49:DT49)))</f>
        <v>8547.0000000000036</v>
      </c>
      <c r="JO49" s="141">
        <f>IF(ISBLANK($A49),,IF($AN49="Não",0,(SUM($AO49:BM49)*$AH49)-SUM($HM49:IK49)-SUM($CW49:DU49)))</f>
        <v>7631.2500000000027</v>
      </c>
      <c r="JP49" s="141">
        <f>IF(ISBLANK($A49),,IF($AN49="Não",0,(SUM($AO49:BN49)*$AH49)-SUM($HM49:IL49)-SUM($CW49:DV49)))</f>
        <v>6715.5000000000027</v>
      </c>
      <c r="JQ49" s="141">
        <f>IF(ISBLANK($A49),,IF($AN49="Não",0,(SUM($AO49:BO49)*$AH49)-SUM($HM49:IM49)-SUM($CW49:DW49)))</f>
        <v>5799.7500000000027</v>
      </c>
      <c r="JR49" s="141">
        <f>IF(ISBLANK($A49),,IF($AN49="Não",0,(SUM($AO49:BP49)*$AH49)-SUM($HM49:IN49)-SUM($CW49:DX49)))</f>
        <v>4884.0000000000027</v>
      </c>
      <c r="JS49" s="141">
        <f>IF(ISBLANK($A49),,IF($AN49="Não",0,(SUM($AO49:BQ49)*$AH49)-SUM($HM49:IO49)-SUM($CW49:DY49)))</f>
        <v>3968.2500000000027</v>
      </c>
      <c r="JT49" s="141">
        <f>IF(ISBLANK($A49),,IF($AN49="Não",0,(SUM($AO49:BR49)*$AH49)-SUM($HM49:IP49)-SUM($CW49:DZ49)))</f>
        <v>3052.5000000000027</v>
      </c>
    </row>
    <row r="50" spans="1:280" ht="15.75" customHeight="1">
      <c r="A50" s="129" t="s">
        <v>406</v>
      </c>
      <c r="B50" s="129" t="s">
        <v>209</v>
      </c>
      <c r="C50" s="138" t="s">
        <v>79</v>
      </c>
      <c r="D50" s="139">
        <v>448</v>
      </c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607">
        <f t="shared" si="165"/>
        <v>407.00000000000006</v>
      </c>
      <c r="AI50" s="608">
        <f t="shared" si="166"/>
        <v>10</v>
      </c>
      <c r="AJ50" s="609">
        <f t="shared" si="167"/>
        <v>0.25</v>
      </c>
      <c r="AK50" s="610" t="str">
        <f t="shared" si="168"/>
        <v>Móveis e Utensílios</v>
      </c>
      <c r="AL50" s="609">
        <f t="shared" si="169"/>
        <v>0.05</v>
      </c>
      <c r="AM50" s="611" t="str">
        <f t="shared" si="170"/>
        <v>Sim</v>
      </c>
      <c r="AN50" s="611" t="str">
        <f t="shared" si="171"/>
        <v>Sim</v>
      </c>
      <c r="AO50" s="140">
        <f t="array" ref="AO50">IF(ISBLANK($A50),0,IF(OR(AO$5-$AI50&lt;=0,$AM50="Não"),D50,D50+INDEX($AO$6:$BR$176,ROW()-5,COLUMN()-40-$AI50)))*IF($B50="Operacional",IFERROR(VLOOKUP($C50,SN_UGC,28,0),0),1)</f>
        <v>448</v>
      </c>
      <c r="AP50" s="140">
        <f t="array" ref="AP50">IF(ISBLANK($A50),0,IF(OR(AP$5-$AI50&lt;=0,$AM50="Não"),E50,E50+INDEX($AO$6:$BR$176,ROW()-5,COLUMN()-40-$AI50)))*IF($B50="Operacional",IFERROR(VLOOKUP($C50,SN_UGC,28,0),0),1)</f>
        <v>0</v>
      </c>
      <c r="AQ50" s="140">
        <f t="array" ref="AQ50">IF(ISBLANK($A50),0,IF(OR(AQ$5-$AI50&lt;=0,$AM50="Não"),F50,F50+INDEX($AO$6:$BR$176,ROW()-5,COLUMN()-40-$AI50)))*IF($B50="Operacional",IFERROR(VLOOKUP($C50,SN_UGC,28,0),0),1)</f>
        <v>0</v>
      </c>
      <c r="AR50" s="140">
        <f t="array" ref="AR50">IF(ISBLANK($A50),0,IF(OR(AR$5-$AI50&lt;=0,$AM50="Não"),G50,G50+INDEX($AO$6:$BR$176,ROW()-5,COLUMN()-40-$AI50)))*IF($B50="Operacional",IFERROR(VLOOKUP($C50,SN_UGC,28,0),0),1)</f>
        <v>0</v>
      </c>
      <c r="AS50" s="140">
        <f t="array" ref="AS50">IF(ISBLANK($A50),0,IF(OR(AS$5-$AI50&lt;=0,$AM50="Não"),H50,H50+INDEX($AO$6:$BR$176,ROW()-5,COLUMN()-40-$AI50)))*IF($B50="Operacional",IFERROR(VLOOKUP($C50,SN_UGC,28,0),0),1)</f>
        <v>0</v>
      </c>
      <c r="AT50" s="140">
        <f t="array" ref="AT50">IF(ISBLANK($A50),0,IF(OR(AT$5-$AI50&lt;=0,$AM50="Não"),I50,I50+INDEX($AO$6:$BR$176,ROW()-5,COLUMN()-40-$AI50)))*IF($B50="Operacional",IFERROR(VLOOKUP($C50,SN_UGC,28,0),0),1)</f>
        <v>0</v>
      </c>
      <c r="AU50" s="140">
        <f t="array" ref="AU50">IF(ISBLANK($A50),0,IF(OR(AU$5-$AI50&lt;=0,$AM50="Não"),J50,J50+INDEX($AO$6:$BR$176,ROW()-5,COLUMN()-40-$AI50)))*IF($B50="Operacional",IFERROR(VLOOKUP($C50,SN_UGC,28,0),0),1)</f>
        <v>0</v>
      </c>
      <c r="AV50" s="140">
        <f t="array" ref="AV50">IF(ISBLANK($A50),0,IF(OR(AV$5-$AI50&lt;=0,$AM50="Não"),K50,K50+INDEX($AO$6:$BR$176,ROW()-5,COLUMN()-40-$AI50)))*IF($B50="Operacional",IFERROR(VLOOKUP($C50,SN_UGC,28,0),0),1)</f>
        <v>0</v>
      </c>
      <c r="AW50" s="140">
        <f t="array" ref="AW50">IF(ISBLANK($A50),0,IF(OR(AW$5-$AI50&lt;=0,$AM50="Não"),L50,L50+INDEX($AO$6:$BR$176,ROW()-5,COLUMN()-40-$AI50)))*IF($B50="Operacional",IFERROR(VLOOKUP($C50,SN_UGC,28,0),0),1)</f>
        <v>0</v>
      </c>
      <c r="AX50" s="140">
        <f t="array" ref="AX50">IF(ISBLANK($A50),0,IF(OR(AX$5-$AI50&lt;=0,$AM50="Não"),M50,M50+INDEX($AO$6:$BR$176,ROW()-5,COLUMN()-40-$AI50)))*IF($B50="Operacional",IFERROR(VLOOKUP($C50,SN_UGC,28,0),0),1)</f>
        <v>0</v>
      </c>
      <c r="AY50" s="140">
        <f t="array" ref="AY50">IF(ISBLANK($A50),0,IF(OR(AY$5-$AI50&lt;=0,$AM50="Não"),N50,N50+INDEX($AO$6:$BR$176,ROW()-5,COLUMN()-40-$AI50)))*IF($B50="Operacional",IFERROR(VLOOKUP($C50,SN_UGC,28,0),0),1)</f>
        <v>448</v>
      </c>
      <c r="AZ50" s="140">
        <f t="array" ref="AZ50">IF(ISBLANK($A50),0,IF(OR(AZ$5-$AI50&lt;=0,$AM50="Não"),O50,O50+INDEX($AO$6:$BR$176,ROW()-5,COLUMN()-40-$AI50)))*IF($B50="Operacional",IFERROR(VLOOKUP($C50,SN_UGC,28,0),0),1)</f>
        <v>0</v>
      </c>
      <c r="BA50" s="140">
        <f t="array" ref="BA50">IF(ISBLANK($A50),0,IF(OR(BA$5-$AI50&lt;=0,$AM50="Não"),P50,P50+INDEX($AO$6:$BR$176,ROW()-5,COLUMN()-40-$AI50)))*IF($B50="Operacional",IFERROR(VLOOKUP($C50,SN_UGC,28,0),0),1)</f>
        <v>0</v>
      </c>
      <c r="BB50" s="140">
        <f t="array" ref="BB50">IF(ISBLANK($A50),0,IF(OR(BB$5-$AI50&lt;=0,$AM50="Não"),Q50,Q50+INDEX($AO$6:$BR$176,ROW()-5,COLUMN()-40-$AI50)))*IF($B50="Operacional",IFERROR(VLOOKUP($C50,SN_UGC,28,0),0),1)</f>
        <v>0</v>
      </c>
      <c r="BC50" s="140">
        <f t="array" ref="BC50">IF(ISBLANK($A50),0,IF(OR(BC$5-$AI50&lt;=0,$AM50="Não"),R50,R50+INDEX($AO$6:$BR$176,ROW()-5,COLUMN()-40-$AI50)))*IF($B50="Operacional",IFERROR(VLOOKUP($C50,SN_UGC,28,0),0),1)</f>
        <v>0</v>
      </c>
      <c r="BD50" s="140">
        <f t="array" ref="BD50">IF(ISBLANK($A50),0,IF(OR(BD$5-$AI50&lt;=0,$AM50="Não"),S50,S50+INDEX($AO$6:$BR$176,ROW()-5,COLUMN()-40-$AI50)))*IF($B50="Operacional",IFERROR(VLOOKUP($C50,SN_UGC,28,0),0),1)</f>
        <v>0</v>
      </c>
      <c r="BE50" s="140">
        <f t="array" ref="BE50">IF(ISBLANK($A50),0,IF(OR(BE$5-$AI50&lt;=0,$AM50="Não"),T50,T50+INDEX($AO$6:$BR$176,ROW()-5,COLUMN()-40-$AI50)))*IF($B50="Operacional",IFERROR(VLOOKUP($C50,SN_UGC,28,0),0),1)</f>
        <v>0</v>
      </c>
      <c r="BF50" s="140">
        <f t="array" ref="BF50">IF(ISBLANK($A50),0,IF(OR(BF$5-$AI50&lt;=0,$AM50="Não"),U50,U50+INDEX($AO$6:$BR$176,ROW()-5,COLUMN()-40-$AI50)))*IF($B50="Operacional",IFERROR(VLOOKUP($C50,SN_UGC,28,0),0),1)</f>
        <v>0</v>
      </c>
      <c r="BG50" s="140">
        <f t="array" ref="BG50">IF(ISBLANK($A50),0,IF(OR(BG$5-$AI50&lt;=0,$AM50="Não"),V50,V50+INDEX($AO$6:$BR$176,ROW()-5,COLUMN()-40-$AI50)))*IF($B50="Operacional",IFERROR(VLOOKUP($C50,SN_UGC,28,0),0),1)</f>
        <v>0</v>
      </c>
      <c r="BH50" s="140">
        <f t="array" ref="BH50">IF(ISBLANK($A50),0,IF(OR(BH$5-$AI50&lt;=0,$AM50="Não"),W50,W50+INDEX($AO$6:$BR$176,ROW()-5,COLUMN()-40-$AI50)))*IF($B50="Operacional",IFERROR(VLOOKUP($C50,SN_UGC,28,0),0),1)</f>
        <v>0</v>
      </c>
      <c r="BI50" s="140">
        <f t="array" ref="BI50">IF(ISBLANK($A50),0,IF(OR(BI$5-$AI50&lt;=0,$AM50="Não"),X50,X50+INDEX($AO$6:$BR$176,ROW()-5,COLUMN()-40-$AI50)))*IF($B50="Operacional",IFERROR(VLOOKUP($C50,SN_UGC,28,0),0),1)</f>
        <v>448</v>
      </c>
      <c r="BJ50" s="140">
        <f t="array" ref="BJ50">IF(ISBLANK($A50),0,IF(OR(BJ$5-$AI50&lt;=0,$AM50="Não"),Y50,Y50+INDEX($AO$6:$BR$176,ROW()-5,COLUMN()-40-$AI50)))*IF($B50="Operacional",IFERROR(VLOOKUP($C50,SN_UGC,28,0),0),1)</f>
        <v>0</v>
      </c>
      <c r="BK50" s="140">
        <f t="array" ref="BK50">IF(ISBLANK($A50),0,IF(OR(BK$5-$AI50&lt;=0,$AM50="Não"),Z50,Z50+INDEX($AO$6:$BR$176,ROW()-5,COLUMN()-40-$AI50)))*IF($B50="Operacional",IFERROR(VLOOKUP($C50,SN_UGC,28,0),0),1)</f>
        <v>0</v>
      </c>
      <c r="BL50" s="140">
        <f t="array" ref="BL50">IF(ISBLANK($A50),0,IF(OR(BL$5-$AI50&lt;=0,$AM50="Não"),AA50,AA50+INDEX($AO$6:$BR$176,ROW()-5,COLUMN()-40-$AI50)))*IF($B50="Operacional",IFERROR(VLOOKUP($C50,SN_UGC,28,0),0),1)</f>
        <v>0</v>
      </c>
      <c r="BM50" s="140">
        <f t="array" ref="BM50">IF(ISBLANK($A50),0,IF(OR(BM$5-$AI50&lt;=0,$AM50="Não"),AB50,AB50+INDEX($AO$6:$BR$176,ROW()-5,COLUMN()-40-$AI50)))*IF($B50="Operacional",IFERROR(VLOOKUP($C50,SN_UGC,28,0),0),1)</f>
        <v>0</v>
      </c>
      <c r="BN50" s="140">
        <f t="array" ref="BN50">IF(ISBLANK($A50),0,IF(OR(BN$5-$AI50&lt;=0,$AM50="Não"),AC50,AC50+INDEX($AO$6:$BR$176,ROW()-5,COLUMN()-40-$AI50)))*IF($B50="Operacional",IFERROR(VLOOKUP($C50,SN_UGC,28,0),0),1)</f>
        <v>0</v>
      </c>
      <c r="BO50" s="140">
        <f t="array" ref="BO50">IF(ISBLANK($A50),0,IF(OR(BO$5-$AI50&lt;=0,$AM50="Não"),AD50,AD50+INDEX($AO$6:$BR$176,ROW()-5,COLUMN()-40-$AI50)))*IF($B50="Operacional",IFERROR(VLOOKUP($C50,SN_UGC,28,0),0),1)</f>
        <v>0</v>
      </c>
      <c r="BP50" s="140">
        <f t="array" ref="BP50">IF(ISBLANK($A50),0,IF(OR(BP$5-$AI50&lt;=0,$AM50="Não"),AE50,AE50+INDEX($AO$6:$BR$176,ROW()-5,COLUMN()-40-$AI50)))*IF($B50="Operacional",IFERROR(VLOOKUP($C50,SN_UGC,28,0),0),1)</f>
        <v>0</v>
      </c>
      <c r="BQ50" s="140">
        <f t="array" ref="BQ50">IF(ISBLANK($A50),0,IF(OR(BQ$5-$AI50&lt;=0,$AM50="Não"),AF50,AF50+INDEX($AO$6:$BR$176,ROW()-5,COLUMN()-40-$AI50)))*IF($B50="Operacional",IFERROR(VLOOKUP($C50,SN_UGC,28,0),0),1)</f>
        <v>0</v>
      </c>
      <c r="BR50" s="140">
        <f t="array" ref="BR50">IF(ISBLANK($A50),0,IF(OR(BR$5-$AI50&lt;=0,$AM50="Não"),AG50,AG50+INDEX($AO$6:$BR$176,ROW()-5,COLUMN()-40-$AI50)))*IF($B50="Operacional",IFERROR(VLOOKUP($C50,SN_UGC,28,0),0),1)</f>
        <v>0</v>
      </c>
      <c r="BS50" s="141">
        <f t="shared" ref="BS50:CV50" si="250">IF(ISBLANK($A50),0,$AH50*AO50)</f>
        <v>182336.00000000003</v>
      </c>
      <c r="BT50" s="141">
        <f t="shared" si="250"/>
        <v>0</v>
      </c>
      <c r="BU50" s="141">
        <f t="shared" si="250"/>
        <v>0</v>
      </c>
      <c r="BV50" s="141">
        <f t="shared" si="250"/>
        <v>0</v>
      </c>
      <c r="BW50" s="141">
        <f t="shared" si="250"/>
        <v>0</v>
      </c>
      <c r="BX50" s="141">
        <f t="shared" si="250"/>
        <v>0</v>
      </c>
      <c r="BY50" s="141">
        <f t="shared" si="250"/>
        <v>0</v>
      </c>
      <c r="BZ50" s="141">
        <f t="shared" si="250"/>
        <v>0</v>
      </c>
      <c r="CA50" s="141">
        <f t="shared" si="250"/>
        <v>0</v>
      </c>
      <c r="CB50" s="141">
        <f t="shared" si="250"/>
        <v>0</v>
      </c>
      <c r="CC50" s="141">
        <f t="shared" si="250"/>
        <v>182336.00000000003</v>
      </c>
      <c r="CD50" s="141">
        <f t="shared" si="250"/>
        <v>0</v>
      </c>
      <c r="CE50" s="141">
        <f t="shared" si="250"/>
        <v>0</v>
      </c>
      <c r="CF50" s="141">
        <f t="shared" si="250"/>
        <v>0</v>
      </c>
      <c r="CG50" s="141">
        <f t="shared" si="250"/>
        <v>0</v>
      </c>
      <c r="CH50" s="141">
        <f t="shared" si="250"/>
        <v>0</v>
      </c>
      <c r="CI50" s="141">
        <f t="shared" si="250"/>
        <v>0</v>
      </c>
      <c r="CJ50" s="141">
        <f t="shared" si="250"/>
        <v>0</v>
      </c>
      <c r="CK50" s="141">
        <f t="shared" si="250"/>
        <v>0</v>
      </c>
      <c r="CL50" s="141">
        <f t="shared" si="250"/>
        <v>0</v>
      </c>
      <c r="CM50" s="141">
        <f t="shared" si="250"/>
        <v>182336.00000000003</v>
      </c>
      <c r="CN50" s="141">
        <f t="shared" si="250"/>
        <v>0</v>
      </c>
      <c r="CO50" s="141">
        <f t="shared" si="250"/>
        <v>0</v>
      </c>
      <c r="CP50" s="141">
        <f t="shared" si="250"/>
        <v>0</v>
      </c>
      <c r="CQ50" s="141">
        <f t="shared" si="250"/>
        <v>0</v>
      </c>
      <c r="CR50" s="141">
        <f t="shared" si="250"/>
        <v>0</v>
      </c>
      <c r="CS50" s="141">
        <f t="shared" si="250"/>
        <v>0</v>
      </c>
      <c r="CT50" s="141">
        <f t="shared" si="250"/>
        <v>0</v>
      </c>
      <c r="CU50" s="141">
        <f t="shared" si="250"/>
        <v>0</v>
      </c>
      <c r="CV50" s="141">
        <f t="shared" si="250"/>
        <v>0</v>
      </c>
      <c r="CW50" s="142">
        <f t="shared" ref="CW50:DZ50" si="251">EA50*$AH50*$AJ50</f>
        <v>0</v>
      </c>
      <c r="CX50" s="142">
        <f t="shared" si="251"/>
        <v>0</v>
      </c>
      <c r="CY50" s="142">
        <f t="shared" si="251"/>
        <v>0</v>
      </c>
      <c r="CZ50" s="142">
        <f t="shared" si="251"/>
        <v>0</v>
      </c>
      <c r="DA50" s="142">
        <f t="shared" si="251"/>
        <v>0</v>
      </c>
      <c r="DB50" s="142">
        <f t="shared" si="251"/>
        <v>0</v>
      </c>
      <c r="DC50" s="142">
        <f t="shared" si="251"/>
        <v>0</v>
      </c>
      <c r="DD50" s="142">
        <f t="shared" si="251"/>
        <v>0</v>
      </c>
      <c r="DE50" s="142">
        <f t="shared" si="251"/>
        <v>0</v>
      </c>
      <c r="DF50" s="142">
        <f t="shared" si="251"/>
        <v>0</v>
      </c>
      <c r="DG50" s="142">
        <f t="shared" si="251"/>
        <v>45584.000000000007</v>
      </c>
      <c r="DH50" s="142">
        <f t="shared" si="251"/>
        <v>0</v>
      </c>
      <c r="DI50" s="142">
        <f t="shared" si="251"/>
        <v>0</v>
      </c>
      <c r="DJ50" s="142">
        <f t="shared" si="251"/>
        <v>0</v>
      </c>
      <c r="DK50" s="142">
        <f t="shared" si="251"/>
        <v>0</v>
      </c>
      <c r="DL50" s="142">
        <f t="shared" si="251"/>
        <v>0</v>
      </c>
      <c r="DM50" s="142">
        <f t="shared" si="251"/>
        <v>0</v>
      </c>
      <c r="DN50" s="142">
        <f t="shared" si="251"/>
        <v>0</v>
      </c>
      <c r="DO50" s="142">
        <f t="shared" si="251"/>
        <v>0</v>
      </c>
      <c r="DP50" s="142">
        <f t="shared" si="251"/>
        <v>0</v>
      </c>
      <c r="DQ50" s="142">
        <f t="shared" si="251"/>
        <v>45584.000000000007</v>
      </c>
      <c r="DR50" s="142">
        <f t="shared" si="251"/>
        <v>0</v>
      </c>
      <c r="DS50" s="142">
        <f t="shared" si="251"/>
        <v>0</v>
      </c>
      <c r="DT50" s="142">
        <f t="shared" si="251"/>
        <v>0</v>
      </c>
      <c r="DU50" s="142">
        <f t="shared" si="251"/>
        <v>0</v>
      </c>
      <c r="DV50" s="142">
        <f t="shared" si="251"/>
        <v>0</v>
      </c>
      <c r="DW50" s="142">
        <f t="shared" si="251"/>
        <v>0</v>
      </c>
      <c r="DX50" s="142">
        <f t="shared" si="251"/>
        <v>0</v>
      </c>
      <c r="DY50" s="142">
        <f t="shared" si="251"/>
        <v>0</v>
      </c>
      <c r="DZ50" s="142">
        <f t="shared" si="251"/>
        <v>0</v>
      </c>
      <c r="EA50" s="143">
        <f t="shared" si="174"/>
        <v>0</v>
      </c>
      <c r="EB50" s="143">
        <f t="shared" si="175"/>
        <v>0</v>
      </c>
      <c r="EC50" s="143">
        <f t="shared" si="176"/>
        <v>0</v>
      </c>
      <c r="ED50" s="143">
        <f t="shared" si="177"/>
        <v>0</v>
      </c>
      <c r="EE50" s="143">
        <f t="shared" si="178"/>
        <v>0</v>
      </c>
      <c r="EF50" s="143">
        <f t="shared" si="179"/>
        <v>0</v>
      </c>
      <c r="EG50" s="143">
        <f t="shared" si="180"/>
        <v>0</v>
      </c>
      <c r="EH50" s="143">
        <f t="shared" si="181"/>
        <v>0</v>
      </c>
      <c r="EI50" s="143">
        <f t="shared" si="182"/>
        <v>0</v>
      </c>
      <c r="EJ50" s="143">
        <f t="shared" si="183"/>
        <v>0</v>
      </c>
      <c r="EK50" s="143">
        <f t="shared" si="184"/>
        <v>448</v>
      </c>
      <c r="EL50" s="143">
        <f t="shared" si="185"/>
        <v>0</v>
      </c>
      <c r="EM50" s="143">
        <f t="shared" si="186"/>
        <v>0</v>
      </c>
      <c r="EN50" s="143">
        <f t="shared" si="187"/>
        <v>0</v>
      </c>
      <c r="EO50" s="143">
        <f t="shared" si="188"/>
        <v>0</v>
      </c>
      <c r="EP50" s="143">
        <f t="shared" si="189"/>
        <v>0</v>
      </c>
      <c r="EQ50" s="143">
        <f t="shared" si="190"/>
        <v>0</v>
      </c>
      <c r="ER50" s="143">
        <f t="shared" si="191"/>
        <v>0</v>
      </c>
      <c r="ES50" s="143">
        <f t="shared" si="192"/>
        <v>0</v>
      </c>
      <c r="ET50" s="143">
        <f t="shared" si="193"/>
        <v>0</v>
      </c>
      <c r="EU50" s="143">
        <f t="shared" si="194"/>
        <v>448</v>
      </c>
      <c r="EV50" s="143">
        <f t="shared" si="195"/>
        <v>0</v>
      </c>
      <c r="EW50" s="143">
        <f t="shared" si="196"/>
        <v>0</v>
      </c>
      <c r="EX50" s="143">
        <f t="shared" si="197"/>
        <v>0</v>
      </c>
      <c r="EY50" s="143">
        <f t="shared" si="198"/>
        <v>0</v>
      </c>
      <c r="EZ50" s="143">
        <f t="shared" si="199"/>
        <v>0</v>
      </c>
      <c r="FA50" s="143">
        <f t="shared" si="200"/>
        <v>0</v>
      </c>
      <c r="FB50" s="143">
        <f t="shared" si="201"/>
        <v>0</v>
      </c>
      <c r="FC50" s="143">
        <f t="shared" si="202"/>
        <v>0</v>
      </c>
      <c r="FD50" s="143">
        <f t="shared" si="203"/>
        <v>0</v>
      </c>
      <c r="FE50" s="140">
        <f>SUM($D50:D50)*IF($B50="Operacional",IFERROR(VLOOKUP($C50,SN_UGC,28,0),0),1)</f>
        <v>448</v>
      </c>
      <c r="FF50" s="140">
        <f>SUM($D50:E50)*IF($B50="Operacional",IFERROR(VLOOKUP($C50,SN_UGC,28,0),0),1)</f>
        <v>448</v>
      </c>
      <c r="FG50" s="140">
        <f>SUM($D50:F50)*IF($B50="Operacional",IFERROR(VLOOKUP($C50,SN_UGC,28,0),0),1)</f>
        <v>448</v>
      </c>
      <c r="FH50" s="140">
        <f>SUM($D50:G50)*IF($B50="Operacional",IFERROR(VLOOKUP($C50,SN_UGC,28,0),0),1)</f>
        <v>448</v>
      </c>
      <c r="FI50" s="140">
        <f>SUM($D50:H50)*IF($B50="Operacional",IFERROR(VLOOKUP($C50,SN_UGC,28,0),0),1)</f>
        <v>448</v>
      </c>
      <c r="FJ50" s="140">
        <f>SUM($D50:I50)*IF($B50="Operacional",IFERROR(VLOOKUP($C50,SN_UGC,28,0),0),1)</f>
        <v>448</v>
      </c>
      <c r="FK50" s="140">
        <f>SUM($D50:J50)*IF($B50="Operacional",IFERROR(VLOOKUP($C50,SN_UGC,28,0),0),1)</f>
        <v>448</v>
      </c>
      <c r="FL50" s="140">
        <f>SUM($D50:K50)*IF($B50="Operacional",IFERROR(VLOOKUP($C50,SN_UGC,28,0),0),1)</f>
        <v>448</v>
      </c>
      <c r="FM50" s="140">
        <f>SUM($D50:L50)*IF($B50="Operacional",IFERROR(VLOOKUP($C50,SN_UGC,28,0),0),1)</f>
        <v>448</v>
      </c>
      <c r="FN50" s="140">
        <f>SUM($D50:M50)*IF($B50="Operacional",IFERROR(VLOOKUP($C50,SN_UGC,28,0),0),1)</f>
        <v>448</v>
      </c>
      <c r="FO50" s="140">
        <f>SUM($D50:N50)*IF($B50="Operacional",IFERROR(VLOOKUP($C50,SN_UGC,28,0),0),1)</f>
        <v>448</v>
      </c>
      <c r="FP50" s="140">
        <f>SUM($D50:O50)*IF($B50="Operacional",IFERROR(VLOOKUP($C50,SN_UGC,28,0),0),1)</f>
        <v>448</v>
      </c>
      <c r="FQ50" s="140">
        <f>SUM($D50:P50)*IF($B50="Operacional",IFERROR(VLOOKUP($C50,SN_UGC,28,0),0),1)</f>
        <v>448</v>
      </c>
      <c r="FR50" s="140">
        <f>SUM($D50:Q50)*IF($B50="Operacional",IFERROR(VLOOKUP($C50,SN_UGC,28,0),0),1)</f>
        <v>448</v>
      </c>
      <c r="FS50" s="140">
        <f>SUM($D50:R50)*IF($B50="Operacional",IFERROR(VLOOKUP($C50,SN_UGC,28,0),0),1)</f>
        <v>448</v>
      </c>
      <c r="FT50" s="140">
        <f>SUM($D50:S50)*IF($B50="Operacional",IFERROR(VLOOKUP($C50,SN_UGC,28,0),0),1)</f>
        <v>448</v>
      </c>
      <c r="FU50" s="140">
        <f>SUM($D50:T50)*IF($B50="Operacional",IFERROR(VLOOKUP($C50,SN_UGC,28,0),0),1)</f>
        <v>448</v>
      </c>
      <c r="FV50" s="140">
        <f>SUM($D50:U50)*IF($B50="Operacional",IFERROR(VLOOKUP($C50,SN_UGC,28,0),0),1)</f>
        <v>448</v>
      </c>
      <c r="FW50" s="140">
        <f>SUM($D50:V50)*IF($B50="Operacional",IFERROR(VLOOKUP($C50,SN_UGC,28,0),0),1)</f>
        <v>448</v>
      </c>
      <c r="FX50" s="140">
        <f>SUM($D50:W50)*IF($B50="Operacional",IFERROR(VLOOKUP($C50,SN_UGC,28,0),0),1)</f>
        <v>448</v>
      </c>
      <c r="FY50" s="140">
        <f>SUM($D50:X50)*IF($B50="Operacional",IFERROR(VLOOKUP($C50,SN_UGC,28,0),0),1)</f>
        <v>448</v>
      </c>
      <c r="FZ50" s="140">
        <f>SUM($D50:Y50)*IF($B50="Operacional",IFERROR(VLOOKUP($C50,SN_UGC,28,0),0),1)</f>
        <v>448</v>
      </c>
      <c r="GA50" s="140">
        <f>SUM($D50:Z50)*IF($B50="Operacional",IFERROR(VLOOKUP($C50,SN_UGC,28,0),0),1)</f>
        <v>448</v>
      </c>
      <c r="GB50" s="140">
        <f>SUM($D50:AA50)*IF($B50="Operacional",IFERROR(VLOOKUP($C50,SN_UGC,28,0),0),1)</f>
        <v>448</v>
      </c>
      <c r="GC50" s="140">
        <f>SUM($D50:AB50)*IF($B50="Operacional",IFERROR(VLOOKUP($C50,SN_UGC,28,0),0),1)</f>
        <v>448</v>
      </c>
      <c r="GD50" s="140">
        <f>SUM($D50:AC50)*IF($B50="Operacional",IFERROR(VLOOKUP($C50,SN_UGC,28,0),0),1)</f>
        <v>448</v>
      </c>
      <c r="GE50" s="140">
        <f>SUM($D50:AD50)*IF($B50="Operacional",IFERROR(VLOOKUP($C50,SN_UGC,28,0),0),1)</f>
        <v>448</v>
      </c>
      <c r="GF50" s="140">
        <f>SUM($D50:AE50)*IF($B50="Operacional",IFERROR(VLOOKUP($C50,SN_UGC,28,0),0),1)</f>
        <v>448</v>
      </c>
      <c r="GG50" s="140">
        <f>SUM($D50:AF50)*IF($B50="Operacional",IFERROR(VLOOKUP($C50,SN_UGC,28,0),0),1)</f>
        <v>448</v>
      </c>
      <c r="GH50" s="140">
        <f>SUM($D50:AG50)*IF($B50="Operacional",IFERROR(VLOOKUP($C50,SN_UGC,28,0),0),1)</f>
        <v>448</v>
      </c>
      <c r="GI50" s="141">
        <f t="shared" ref="GI50:HL50" si="252">FE50*$AH50*$AL50</f>
        <v>9116.8000000000011</v>
      </c>
      <c r="GJ50" s="141">
        <f t="shared" si="252"/>
        <v>9116.8000000000011</v>
      </c>
      <c r="GK50" s="141">
        <f t="shared" si="252"/>
        <v>9116.8000000000011</v>
      </c>
      <c r="GL50" s="141">
        <f t="shared" si="252"/>
        <v>9116.8000000000011</v>
      </c>
      <c r="GM50" s="141">
        <f t="shared" si="252"/>
        <v>9116.8000000000011</v>
      </c>
      <c r="GN50" s="141">
        <f t="shared" si="252"/>
        <v>9116.8000000000011</v>
      </c>
      <c r="GO50" s="141">
        <f t="shared" si="252"/>
        <v>9116.8000000000011</v>
      </c>
      <c r="GP50" s="141">
        <f t="shared" si="252"/>
        <v>9116.8000000000011</v>
      </c>
      <c r="GQ50" s="141">
        <f t="shared" si="252"/>
        <v>9116.8000000000011</v>
      </c>
      <c r="GR50" s="141">
        <f t="shared" si="252"/>
        <v>9116.8000000000011</v>
      </c>
      <c r="GS50" s="141">
        <f t="shared" si="252"/>
        <v>9116.8000000000011</v>
      </c>
      <c r="GT50" s="141">
        <f t="shared" si="252"/>
        <v>9116.8000000000011</v>
      </c>
      <c r="GU50" s="141">
        <f t="shared" si="252"/>
        <v>9116.8000000000011</v>
      </c>
      <c r="GV50" s="141">
        <f t="shared" si="252"/>
        <v>9116.8000000000011</v>
      </c>
      <c r="GW50" s="141">
        <f t="shared" si="252"/>
        <v>9116.8000000000011</v>
      </c>
      <c r="GX50" s="141">
        <f t="shared" si="252"/>
        <v>9116.8000000000011</v>
      </c>
      <c r="GY50" s="141">
        <f t="shared" si="252"/>
        <v>9116.8000000000011</v>
      </c>
      <c r="GZ50" s="141">
        <f t="shared" si="252"/>
        <v>9116.8000000000011</v>
      </c>
      <c r="HA50" s="141">
        <f t="shared" si="252"/>
        <v>9116.8000000000011</v>
      </c>
      <c r="HB50" s="141">
        <f t="shared" si="252"/>
        <v>9116.8000000000011</v>
      </c>
      <c r="HC50" s="141">
        <f t="shared" si="252"/>
        <v>9116.8000000000011</v>
      </c>
      <c r="HD50" s="141">
        <f t="shared" si="252"/>
        <v>9116.8000000000011</v>
      </c>
      <c r="HE50" s="141">
        <f t="shared" si="252"/>
        <v>9116.8000000000011</v>
      </c>
      <c r="HF50" s="141">
        <f t="shared" si="252"/>
        <v>9116.8000000000011</v>
      </c>
      <c r="HG50" s="141">
        <f t="shared" si="252"/>
        <v>9116.8000000000011</v>
      </c>
      <c r="HH50" s="141">
        <f t="shared" si="252"/>
        <v>9116.8000000000011</v>
      </c>
      <c r="HI50" s="141">
        <f t="shared" si="252"/>
        <v>9116.8000000000011</v>
      </c>
      <c r="HJ50" s="141">
        <f t="shared" si="252"/>
        <v>9116.8000000000011</v>
      </c>
      <c r="HK50" s="141">
        <f t="shared" si="252"/>
        <v>9116.8000000000011</v>
      </c>
      <c r="HL50" s="141">
        <f t="shared" si="252"/>
        <v>9116.8000000000011</v>
      </c>
      <c r="HM50" s="142">
        <f t="shared" ref="HM50:IP50" si="253">IF(ISBLANK($A50),,FE50*($AH50-($AH50*$AJ50))/$AI50)</f>
        <v>13675.200000000003</v>
      </c>
      <c r="HN50" s="142">
        <f t="shared" si="253"/>
        <v>13675.200000000003</v>
      </c>
      <c r="HO50" s="142">
        <f t="shared" si="253"/>
        <v>13675.200000000003</v>
      </c>
      <c r="HP50" s="142">
        <f t="shared" si="253"/>
        <v>13675.200000000003</v>
      </c>
      <c r="HQ50" s="142">
        <f t="shared" si="253"/>
        <v>13675.200000000003</v>
      </c>
      <c r="HR50" s="142">
        <f t="shared" si="253"/>
        <v>13675.200000000003</v>
      </c>
      <c r="HS50" s="142">
        <f t="shared" si="253"/>
        <v>13675.200000000003</v>
      </c>
      <c r="HT50" s="142">
        <f t="shared" si="253"/>
        <v>13675.200000000003</v>
      </c>
      <c r="HU50" s="142">
        <f t="shared" si="253"/>
        <v>13675.200000000003</v>
      </c>
      <c r="HV50" s="142">
        <f t="shared" si="253"/>
        <v>13675.200000000003</v>
      </c>
      <c r="HW50" s="142">
        <f t="shared" si="253"/>
        <v>13675.200000000003</v>
      </c>
      <c r="HX50" s="142">
        <f t="shared" si="253"/>
        <v>13675.200000000003</v>
      </c>
      <c r="HY50" s="142">
        <f t="shared" si="253"/>
        <v>13675.200000000003</v>
      </c>
      <c r="HZ50" s="142">
        <f t="shared" si="253"/>
        <v>13675.200000000003</v>
      </c>
      <c r="IA50" s="142">
        <f t="shared" si="253"/>
        <v>13675.200000000003</v>
      </c>
      <c r="IB50" s="142">
        <f t="shared" si="253"/>
        <v>13675.200000000003</v>
      </c>
      <c r="IC50" s="142">
        <f t="shared" si="253"/>
        <v>13675.200000000003</v>
      </c>
      <c r="ID50" s="142">
        <f t="shared" si="253"/>
        <v>13675.200000000003</v>
      </c>
      <c r="IE50" s="142">
        <f t="shared" si="253"/>
        <v>13675.200000000003</v>
      </c>
      <c r="IF50" s="142">
        <f t="shared" si="253"/>
        <v>13675.200000000003</v>
      </c>
      <c r="IG50" s="142">
        <f t="shared" si="253"/>
        <v>13675.200000000003</v>
      </c>
      <c r="IH50" s="142">
        <f t="shared" si="253"/>
        <v>13675.200000000003</v>
      </c>
      <c r="II50" s="142">
        <f t="shared" si="253"/>
        <v>13675.200000000003</v>
      </c>
      <c r="IJ50" s="142">
        <f t="shared" si="253"/>
        <v>13675.200000000003</v>
      </c>
      <c r="IK50" s="142">
        <f t="shared" si="253"/>
        <v>13675.200000000003</v>
      </c>
      <c r="IL50" s="142">
        <f t="shared" si="253"/>
        <v>13675.200000000003</v>
      </c>
      <c r="IM50" s="142">
        <f t="shared" si="253"/>
        <v>13675.200000000003</v>
      </c>
      <c r="IN50" s="142">
        <f t="shared" si="253"/>
        <v>13675.200000000003</v>
      </c>
      <c r="IO50" s="142">
        <f t="shared" si="253"/>
        <v>13675.200000000003</v>
      </c>
      <c r="IP50" s="142">
        <f t="shared" si="253"/>
        <v>13675.200000000003</v>
      </c>
      <c r="IQ50" s="141">
        <f>IF(ISBLANK($A50),,IF($AN50="Não",0,(SUM($AO50:AO50)*$AH50)-SUM($HM50:HM50)-SUM($CW50:CW50)))</f>
        <v>168660.80000000002</v>
      </c>
      <c r="IR50" s="141">
        <f>IF(ISBLANK($A50),,IF($AN50="Não",0,(SUM($AO50:AP50)*$AH50)-SUM($HM50:HN50)-SUM($CW50:CX50)))</f>
        <v>154985.60000000003</v>
      </c>
      <c r="IS50" s="141">
        <f>IF(ISBLANK($A50),,IF($AN50="Não",0,(SUM($AO50:AQ50)*$AH50)-SUM($HM50:HO50)-SUM($CW50:CY50)))</f>
        <v>141310.40000000002</v>
      </c>
      <c r="IT50" s="141">
        <f>IF(ISBLANK($A50),,IF($AN50="Não",0,(SUM($AO50:AR50)*$AH50)-SUM($HM50:HP50)-SUM($CW50:CZ50)))</f>
        <v>127635.20000000001</v>
      </c>
      <c r="IU50" s="141">
        <f>IF(ISBLANK($A50),,IF($AN50="Não",0,(SUM($AO50:AS50)*$AH50)-SUM($HM50:HQ50)-SUM($CW50:DA50)))</f>
        <v>113960.00000000001</v>
      </c>
      <c r="IV50" s="141">
        <f>IF(ISBLANK($A50),,IF($AN50="Não",0,(SUM($AO50:AT50)*$AH50)-SUM($HM50:HR50)-SUM($CW50:DB50)))</f>
        <v>100284.80000000002</v>
      </c>
      <c r="IW50" s="141">
        <f>IF(ISBLANK($A50),,IF($AN50="Não",0,(SUM($AO50:AU50)*$AH50)-SUM($HM50:HS50)-SUM($CW50:DC50)))</f>
        <v>86609.60000000002</v>
      </c>
      <c r="IX50" s="141">
        <f>IF(ISBLANK($A50),,IF($AN50="Não",0,(SUM($AO50:AV50)*$AH50)-SUM($HM50:HT50)-SUM($CW50:DD50)))</f>
        <v>72934.400000000023</v>
      </c>
      <c r="IY50" s="141">
        <f>IF(ISBLANK($A50),,IF($AN50="Não",0,(SUM($AO50:AW50)*$AH50)-SUM($HM50:HU50)-SUM($CW50:DE50)))</f>
        <v>59259.200000000026</v>
      </c>
      <c r="IZ50" s="141">
        <f>IF(ISBLANK($A50),,IF($AN50="Não",0,(SUM($AO50:AX50)*$AH50)-SUM($HM50:HV50)-SUM($CW50:DF50)))</f>
        <v>45584.000000000029</v>
      </c>
      <c r="JA50" s="141">
        <f>IF(ISBLANK($A50),,IF($AN50="Não",0,(SUM($AO50:AY50)*$AH50)-SUM($HM50:HW50)-SUM($CW50:DG50)))</f>
        <v>168660.80000000005</v>
      </c>
      <c r="JB50" s="141">
        <f>IF(ISBLANK($A50),,IF($AN50="Não",0,(SUM($AO50:AZ50)*$AH50)-SUM($HM50:HX50)-SUM($CW50:DH50)))</f>
        <v>154985.60000000003</v>
      </c>
      <c r="JC50" s="141">
        <f>IF(ISBLANK($A50),,IF($AN50="Não",0,(SUM($AO50:BA50)*$AH50)-SUM($HM50:HY50)-SUM($CW50:DI50)))</f>
        <v>141310.40000000002</v>
      </c>
      <c r="JD50" s="141">
        <f>IF(ISBLANK($A50),,IF($AN50="Não",0,(SUM($AO50:BB50)*$AH50)-SUM($HM50:HZ50)-SUM($CW50:DJ50)))</f>
        <v>127635.20000000001</v>
      </c>
      <c r="JE50" s="141">
        <f>IF(ISBLANK($A50),,IF($AN50="Não",0,(SUM($AO50:BC50)*$AH50)-SUM($HM50:IA50)-SUM($CW50:DK50)))</f>
        <v>113960</v>
      </c>
      <c r="JF50" s="141">
        <f>IF(ISBLANK($A50),,IF($AN50="Não",0,(SUM($AO50:BD50)*$AH50)-SUM($HM50:IB50)-SUM($CW50:DL50)))</f>
        <v>100284.79999999999</v>
      </c>
      <c r="JG50" s="141">
        <f>IF(ISBLANK($A50),,IF($AN50="Não",0,(SUM($AO50:BE50)*$AH50)-SUM($HM50:IC50)-SUM($CW50:DM50)))</f>
        <v>86609.599999999977</v>
      </c>
      <c r="JH50" s="141">
        <f>IF(ISBLANK($A50),,IF($AN50="Não",0,(SUM($AO50:BF50)*$AH50)-SUM($HM50:ID50)-SUM($CW50:DN50)))</f>
        <v>72934.399999999965</v>
      </c>
      <c r="JI50" s="141">
        <f>IF(ISBLANK($A50),,IF($AN50="Não",0,(SUM($AO50:BG50)*$AH50)-SUM($HM50:IE50)-SUM($CW50:DO50)))</f>
        <v>59259.199999999946</v>
      </c>
      <c r="JJ50" s="141">
        <f>IF(ISBLANK($A50),,IF($AN50="Não",0,(SUM($AO50:BH50)*$AH50)-SUM($HM50:IF50)-SUM($CW50:DP50)))</f>
        <v>45583.999999999935</v>
      </c>
      <c r="JK50" s="141">
        <f>IF(ISBLANK($A50),,IF($AN50="Não",0,(SUM($AO50:BI50)*$AH50)-SUM($HM50:IG50)-SUM($CW50:DQ50)))</f>
        <v>168660.8</v>
      </c>
      <c r="JL50" s="141">
        <f>IF(ISBLANK($A50),,IF($AN50="Não",0,(SUM($AO50:BJ50)*$AH50)-SUM($HM50:IH50)-SUM($CW50:DR50)))</f>
        <v>154985.59999999998</v>
      </c>
      <c r="JM50" s="141">
        <f>IF(ISBLANK($A50),,IF($AN50="Não",0,(SUM($AO50:BK50)*$AH50)-SUM($HM50:II50)-SUM($CW50:DS50)))</f>
        <v>141310.39999999997</v>
      </c>
      <c r="JN50" s="141">
        <f>IF(ISBLANK($A50),,IF($AN50="Não",0,(SUM($AO50:BL50)*$AH50)-SUM($HM50:IJ50)-SUM($CW50:DT50)))</f>
        <v>127635.19999999994</v>
      </c>
      <c r="JO50" s="141">
        <f>IF(ISBLANK($A50),,IF($AN50="Não",0,(SUM($AO50:BM50)*$AH50)-SUM($HM50:IK50)-SUM($CW50:DU50)))</f>
        <v>113959.99999999993</v>
      </c>
      <c r="JP50" s="141">
        <f>IF(ISBLANK($A50),,IF($AN50="Não",0,(SUM($AO50:BN50)*$AH50)-SUM($HM50:IL50)-SUM($CW50:DV50)))</f>
        <v>100284.79999999992</v>
      </c>
      <c r="JQ50" s="141">
        <f>IF(ISBLANK($A50),,IF($AN50="Não",0,(SUM($AO50:BO50)*$AH50)-SUM($HM50:IM50)-SUM($CW50:DW50)))</f>
        <v>86609.599999999904</v>
      </c>
      <c r="JR50" s="141">
        <f>IF(ISBLANK($A50),,IF($AN50="Não",0,(SUM($AO50:BP50)*$AH50)-SUM($HM50:IN50)-SUM($CW50:DX50)))</f>
        <v>72934.399999999892</v>
      </c>
      <c r="JS50" s="141">
        <f>IF(ISBLANK($A50),,IF($AN50="Não",0,(SUM($AO50:BQ50)*$AH50)-SUM($HM50:IO50)-SUM($CW50:DY50)))</f>
        <v>59259.199999999881</v>
      </c>
      <c r="JT50" s="141">
        <f>IF(ISBLANK($A50),,IF($AN50="Não",0,(SUM($AO50:BR50)*$AH50)-SUM($HM50:IP50)-SUM($CW50:DZ50)))</f>
        <v>45583.999999999869</v>
      </c>
    </row>
    <row r="51" spans="1:280" ht="15.75" customHeight="1">
      <c r="A51" s="129" t="s">
        <v>352</v>
      </c>
      <c r="B51" s="129" t="s">
        <v>209</v>
      </c>
      <c r="C51" s="138" t="s">
        <v>102</v>
      </c>
      <c r="D51" s="139">
        <v>74.599999999999994</v>
      </c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607">
        <f t="shared" si="165"/>
        <v>2372.59</v>
      </c>
      <c r="AI51" s="608">
        <f t="shared" si="166"/>
        <v>30</v>
      </c>
      <c r="AJ51" s="609">
        <f t="shared" si="167"/>
        <v>0</v>
      </c>
      <c r="AK51" s="610" t="str">
        <f t="shared" si="168"/>
        <v>Edificações</v>
      </c>
      <c r="AL51" s="609">
        <f t="shared" si="169"/>
        <v>0.05</v>
      </c>
      <c r="AM51" s="611" t="str">
        <f t="shared" si="170"/>
        <v>Sim</v>
      </c>
      <c r="AN51" s="611" t="str">
        <f t="shared" si="171"/>
        <v>Não</v>
      </c>
      <c r="AO51" s="140">
        <f t="array" ref="AO51">IF(ISBLANK($A51),0,IF(OR(AO$5-$AI51&lt;=0,$AM51="Não"),D51,D51+INDEX($AO$6:$BR$176,ROW()-5,COLUMN()-40-$AI51)))*IF($B51="Operacional",IFERROR(VLOOKUP($C51,SN_UGC,28,0),0),1)</f>
        <v>74.599999999999994</v>
      </c>
      <c r="AP51" s="140">
        <f t="array" ref="AP51">IF(ISBLANK($A51),0,IF(OR(AP$5-$AI51&lt;=0,$AM51="Não"),E51,E51+INDEX($AO$6:$BR$176,ROW()-5,COLUMN()-40-$AI51)))*IF($B51="Operacional",IFERROR(VLOOKUP($C51,SN_UGC,28,0),0),1)</f>
        <v>0</v>
      </c>
      <c r="AQ51" s="140">
        <f t="array" ref="AQ51">IF(ISBLANK($A51),0,IF(OR(AQ$5-$AI51&lt;=0,$AM51="Não"),F51,F51+INDEX($AO$6:$BR$176,ROW()-5,COLUMN()-40-$AI51)))*IF($B51="Operacional",IFERROR(VLOOKUP($C51,SN_UGC,28,0),0),1)</f>
        <v>0</v>
      </c>
      <c r="AR51" s="140">
        <f t="array" ref="AR51">IF(ISBLANK($A51),0,IF(OR(AR$5-$AI51&lt;=0,$AM51="Não"),G51,G51+INDEX($AO$6:$BR$176,ROW()-5,COLUMN()-40-$AI51)))*IF($B51="Operacional",IFERROR(VLOOKUP($C51,SN_UGC,28,0),0),1)</f>
        <v>0</v>
      </c>
      <c r="AS51" s="140">
        <f t="array" ref="AS51">IF(ISBLANK($A51),0,IF(OR(AS$5-$AI51&lt;=0,$AM51="Não"),H51,H51+INDEX($AO$6:$BR$176,ROW()-5,COLUMN()-40-$AI51)))*IF($B51="Operacional",IFERROR(VLOOKUP($C51,SN_UGC,28,0),0),1)</f>
        <v>0</v>
      </c>
      <c r="AT51" s="140">
        <f t="array" ref="AT51">IF(ISBLANK($A51),0,IF(OR(AT$5-$AI51&lt;=0,$AM51="Não"),I51,I51+INDEX($AO$6:$BR$176,ROW()-5,COLUMN()-40-$AI51)))*IF($B51="Operacional",IFERROR(VLOOKUP($C51,SN_UGC,28,0),0),1)</f>
        <v>0</v>
      </c>
      <c r="AU51" s="140">
        <f t="array" ref="AU51">IF(ISBLANK($A51),0,IF(OR(AU$5-$AI51&lt;=0,$AM51="Não"),J51,J51+INDEX($AO$6:$BR$176,ROW()-5,COLUMN()-40-$AI51)))*IF($B51="Operacional",IFERROR(VLOOKUP($C51,SN_UGC,28,0),0),1)</f>
        <v>0</v>
      </c>
      <c r="AV51" s="140">
        <f t="array" ref="AV51">IF(ISBLANK($A51),0,IF(OR(AV$5-$AI51&lt;=0,$AM51="Não"),K51,K51+INDEX($AO$6:$BR$176,ROW()-5,COLUMN()-40-$AI51)))*IF($B51="Operacional",IFERROR(VLOOKUP($C51,SN_UGC,28,0),0),1)</f>
        <v>0</v>
      </c>
      <c r="AW51" s="140">
        <f t="array" ref="AW51">IF(ISBLANK($A51),0,IF(OR(AW$5-$AI51&lt;=0,$AM51="Não"),L51,L51+INDEX($AO$6:$BR$176,ROW()-5,COLUMN()-40-$AI51)))*IF($B51="Operacional",IFERROR(VLOOKUP($C51,SN_UGC,28,0),0),1)</f>
        <v>0</v>
      </c>
      <c r="AX51" s="140">
        <f t="array" ref="AX51">IF(ISBLANK($A51),0,IF(OR(AX$5-$AI51&lt;=0,$AM51="Não"),M51,M51+INDEX($AO$6:$BR$176,ROW()-5,COLUMN()-40-$AI51)))*IF($B51="Operacional",IFERROR(VLOOKUP($C51,SN_UGC,28,0),0),1)</f>
        <v>0</v>
      </c>
      <c r="AY51" s="140">
        <f t="array" ref="AY51">IF(ISBLANK($A51),0,IF(OR(AY$5-$AI51&lt;=0,$AM51="Não"),N51,N51+INDEX($AO$6:$BR$176,ROW()-5,COLUMN()-40-$AI51)))*IF($B51="Operacional",IFERROR(VLOOKUP($C51,SN_UGC,28,0),0),1)</f>
        <v>0</v>
      </c>
      <c r="AZ51" s="140">
        <f t="array" ref="AZ51">IF(ISBLANK($A51),0,IF(OR(AZ$5-$AI51&lt;=0,$AM51="Não"),O51,O51+INDEX($AO$6:$BR$176,ROW()-5,COLUMN()-40-$AI51)))*IF($B51="Operacional",IFERROR(VLOOKUP($C51,SN_UGC,28,0),0),1)</f>
        <v>0</v>
      </c>
      <c r="BA51" s="140">
        <f t="array" ref="BA51">IF(ISBLANK($A51),0,IF(OR(BA$5-$AI51&lt;=0,$AM51="Não"),P51,P51+INDEX($AO$6:$BR$176,ROW()-5,COLUMN()-40-$AI51)))*IF($B51="Operacional",IFERROR(VLOOKUP($C51,SN_UGC,28,0),0),1)</f>
        <v>0</v>
      </c>
      <c r="BB51" s="140">
        <f t="array" ref="BB51">IF(ISBLANK($A51),0,IF(OR(BB$5-$AI51&lt;=0,$AM51="Não"),Q51,Q51+INDEX($AO$6:$BR$176,ROW()-5,COLUMN()-40-$AI51)))*IF($B51="Operacional",IFERROR(VLOOKUP($C51,SN_UGC,28,0),0),1)</f>
        <v>0</v>
      </c>
      <c r="BC51" s="140">
        <f t="array" ref="BC51">IF(ISBLANK($A51),0,IF(OR(BC$5-$AI51&lt;=0,$AM51="Não"),R51,R51+INDEX($AO$6:$BR$176,ROW()-5,COLUMN()-40-$AI51)))*IF($B51="Operacional",IFERROR(VLOOKUP($C51,SN_UGC,28,0),0),1)</f>
        <v>0</v>
      </c>
      <c r="BD51" s="140">
        <f t="array" ref="BD51">IF(ISBLANK($A51),0,IF(OR(BD$5-$AI51&lt;=0,$AM51="Não"),S51,S51+INDEX($AO$6:$BR$176,ROW()-5,COLUMN()-40-$AI51)))*IF($B51="Operacional",IFERROR(VLOOKUP($C51,SN_UGC,28,0),0),1)</f>
        <v>0</v>
      </c>
      <c r="BE51" s="140">
        <f t="array" ref="BE51">IF(ISBLANK($A51),0,IF(OR(BE$5-$AI51&lt;=0,$AM51="Não"),T51,T51+INDEX($AO$6:$BR$176,ROW()-5,COLUMN()-40-$AI51)))*IF($B51="Operacional",IFERROR(VLOOKUP($C51,SN_UGC,28,0),0),1)</f>
        <v>0</v>
      </c>
      <c r="BF51" s="140">
        <f t="array" ref="BF51">IF(ISBLANK($A51),0,IF(OR(BF$5-$AI51&lt;=0,$AM51="Não"),U51,U51+INDEX($AO$6:$BR$176,ROW()-5,COLUMN()-40-$AI51)))*IF($B51="Operacional",IFERROR(VLOOKUP($C51,SN_UGC,28,0),0),1)</f>
        <v>0</v>
      </c>
      <c r="BG51" s="140">
        <f t="array" ref="BG51">IF(ISBLANK($A51),0,IF(OR(BG$5-$AI51&lt;=0,$AM51="Não"),V51,V51+INDEX($AO$6:$BR$176,ROW()-5,COLUMN()-40-$AI51)))*IF($B51="Operacional",IFERROR(VLOOKUP($C51,SN_UGC,28,0),0),1)</f>
        <v>0</v>
      </c>
      <c r="BH51" s="140">
        <f t="array" ref="BH51">IF(ISBLANK($A51),0,IF(OR(BH$5-$AI51&lt;=0,$AM51="Não"),W51,W51+INDEX($AO$6:$BR$176,ROW()-5,COLUMN()-40-$AI51)))*IF($B51="Operacional",IFERROR(VLOOKUP($C51,SN_UGC,28,0),0),1)</f>
        <v>0</v>
      </c>
      <c r="BI51" s="140">
        <f t="array" ref="BI51">IF(ISBLANK($A51),0,IF(OR(BI$5-$AI51&lt;=0,$AM51="Não"),X51,X51+INDEX($AO$6:$BR$176,ROW()-5,COLUMN()-40-$AI51)))*IF($B51="Operacional",IFERROR(VLOOKUP($C51,SN_UGC,28,0),0),1)</f>
        <v>0</v>
      </c>
      <c r="BJ51" s="140">
        <f t="array" ref="BJ51">IF(ISBLANK($A51),0,IF(OR(BJ$5-$AI51&lt;=0,$AM51="Não"),Y51,Y51+INDEX($AO$6:$BR$176,ROW()-5,COLUMN()-40-$AI51)))*IF($B51="Operacional",IFERROR(VLOOKUP($C51,SN_UGC,28,0),0),1)</f>
        <v>0</v>
      </c>
      <c r="BK51" s="140">
        <f t="array" ref="BK51">IF(ISBLANK($A51),0,IF(OR(BK$5-$AI51&lt;=0,$AM51="Não"),Z51,Z51+INDEX($AO$6:$BR$176,ROW()-5,COLUMN()-40-$AI51)))*IF($B51="Operacional",IFERROR(VLOOKUP($C51,SN_UGC,28,0),0),1)</f>
        <v>0</v>
      </c>
      <c r="BL51" s="140">
        <f t="array" ref="BL51">IF(ISBLANK($A51),0,IF(OR(BL$5-$AI51&lt;=0,$AM51="Não"),AA51,AA51+INDEX($AO$6:$BR$176,ROW()-5,COLUMN()-40-$AI51)))*IF($B51="Operacional",IFERROR(VLOOKUP($C51,SN_UGC,28,0),0),1)</f>
        <v>0</v>
      </c>
      <c r="BM51" s="140">
        <f t="array" ref="BM51">IF(ISBLANK($A51),0,IF(OR(BM$5-$AI51&lt;=0,$AM51="Não"),AB51,AB51+INDEX($AO$6:$BR$176,ROW()-5,COLUMN()-40-$AI51)))*IF($B51="Operacional",IFERROR(VLOOKUP($C51,SN_UGC,28,0),0),1)</f>
        <v>0</v>
      </c>
      <c r="BN51" s="140">
        <f t="array" ref="BN51">IF(ISBLANK($A51),0,IF(OR(BN$5-$AI51&lt;=0,$AM51="Não"),AC51,AC51+INDEX($AO$6:$BR$176,ROW()-5,COLUMN()-40-$AI51)))*IF($B51="Operacional",IFERROR(VLOOKUP($C51,SN_UGC,28,0),0),1)</f>
        <v>0</v>
      </c>
      <c r="BO51" s="140">
        <f t="array" ref="BO51">IF(ISBLANK($A51),0,IF(OR(BO$5-$AI51&lt;=0,$AM51="Não"),AD51,AD51+INDEX($AO$6:$BR$176,ROW()-5,COLUMN()-40-$AI51)))*IF($B51="Operacional",IFERROR(VLOOKUP($C51,SN_UGC,28,0),0),1)</f>
        <v>0</v>
      </c>
      <c r="BP51" s="140">
        <f t="array" ref="BP51">IF(ISBLANK($A51),0,IF(OR(BP$5-$AI51&lt;=0,$AM51="Não"),AE51,AE51+INDEX($AO$6:$BR$176,ROW()-5,COLUMN()-40-$AI51)))*IF($B51="Operacional",IFERROR(VLOOKUP($C51,SN_UGC,28,0),0),1)</f>
        <v>0</v>
      </c>
      <c r="BQ51" s="140">
        <f t="array" ref="BQ51">IF(ISBLANK($A51),0,IF(OR(BQ$5-$AI51&lt;=0,$AM51="Não"),AF51,AF51+INDEX($AO$6:$BR$176,ROW()-5,COLUMN()-40-$AI51)))*IF($B51="Operacional",IFERROR(VLOOKUP($C51,SN_UGC,28,0),0),1)</f>
        <v>0</v>
      </c>
      <c r="BR51" s="140">
        <f t="array" ref="BR51">IF(ISBLANK($A51),0,IF(OR(BR$5-$AI51&lt;=0,$AM51="Não"),AG51,AG51+INDEX($AO$6:$BR$176,ROW()-5,COLUMN()-40-$AI51)))*IF($B51="Operacional",IFERROR(VLOOKUP($C51,SN_UGC,28,0),0),1)</f>
        <v>0</v>
      </c>
      <c r="BS51" s="141">
        <f t="shared" ref="BS51:CV51" si="254">IF(ISBLANK($A51),0,$AH51*AO51)</f>
        <v>176995.21400000001</v>
      </c>
      <c r="BT51" s="141">
        <f t="shared" si="254"/>
        <v>0</v>
      </c>
      <c r="BU51" s="141">
        <f t="shared" si="254"/>
        <v>0</v>
      </c>
      <c r="BV51" s="141">
        <f t="shared" si="254"/>
        <v>0</v>
      </c>
      <c r="BW51" s="141">
        <f t="shared" si="254"/>
        <v>0</v>
      </c>
      <c r="BX51" s="141">
        <f t="shared" si="254"/>
        <v>0</v>
      </c>
      <c r="BY51" s="141">
        <f t="shared" si="254"/>
        <v>0</v>
      </c>
      <c r="BZ51" s="141">
        <f t="shared" si="254"/>
        <v>0</v>
      </c>
      <c r="CA51" s="141">
        <f t="shared" si="254"/>
        <v>0</v>
      </c>
      <c r="CB51" s="141">
        <f t="shared" si="254"/>
        <v>0</v>
      </c>
      <c r="CC51" s="141">
        <f t="shared" si="254"/>
        <v>0</v>
      </c>
      <c r="CD51" s="141">
        <f t="shared" si="254"/>
        <v>0</v>
      </c>
      <c r="CE51" s="141">
        <f t="shared" si="254"/>
        <v>0</v>
      </c>
      <c r="CF51" s="141">
        <f t="shared" si="254"/>
        <v>0</v>
      </c>
      <c r="CG51" s="141">
        <f t="shared" si="254"/>
        <v>0</v>
      </c>
      <c r="CH51" s="141">
        <f t="shared" si="254"/>
        <v>0</v>
      </c>
      <c r="CI51" s="141">
        <f t="shared" si="254"/>
        <v>0</v>
      </c>
      <c r="CJ51" s="141">
        <f t="shared" si="254"/>
        <v>0</v>
      </c>
      <c r="CK51" s="141">
        <f t="shared" si="254"/>
        <v>0</v>
      </c>
      <c r="CL51" s="141">
        <f t="shared" si="254"/>
        <v>0</v>
      </c>
      <c r="CM51" s="141">
        <f t="shared" si="254"/>
        <v>0</v>
      </c>
      <c r="CN51" s="141">
        <f t="shared" si="254"/>
        <v>0</v>
      </c>
      <c r="CO51" s="141">
        <f t="shared" si="254"/>
        <v>0</v>
      </c>
      <c r="CP51" s="141">
        <f t="shared" si="254"/>
        <v>0</v>
      </c>
      <c r="CQ51" s="141">
        <f t="shared" si="254"/>
        <v>0</v>
      </c>
      <c r="CR51" s="141">
        <f t="shared" si="254"/>
        <v>0</v>
      </c>
      <c r="CS51" s="141">
        <f t="shared" si="254"/>
        <v>0</v>
      </c>
      <c r="CT51" s="141">
        <f t="shared" si="254"/>
        <v>0</v>
      </c>
      <c r="CU51" s="141">
        <f t="shared" si="254"/>
        <v>0</v>
      </c>
      <c r="CV51" s="141">
        <f t="shared" si="254"/>
        <v>0</v>
      </c>
      <c r="CW51" s="142">
        <f t="shared" ref="CW51:DZ51" si="255">EA51*$AH51*$AJ51</f>
        <v>0</v>
      </c>
      <c r="CX51" s="142">
        <f t="shared" si="255"/>
        <v>0</v>
      </c>
      <c r="CY51" s="142">
        <f t="shared" si="255"/>
        <v>0</v>
      </c>
      <c r="CZ51" s="142">
        <f t="shared" si="255"/>
        <v>0</v>
      </c>
      <c r="DA51" s="142">
        <f t="shared" si="255"/>
        <v>0</v>
      </c>
      <c r="DB51" s="142">
        <f t="shared" si="255"/>
        <v>0</v>
      </c>
      <c r="DC51" s="142">
        <f t="shared" si="255"/>
        <v>0</v>
      </c>
      <c r="DD51" s="142">
        <f t="shared" si="255"/>
        <v>0</v>
      </c>
      <c r="DE51" s="142">
        <f t="shared" si="255"/>
        <v>0</v>
      </c>
      <c r="DF51" s="142">
        <f t="shared" si="255"/>
        <v>0</v>
      </c>
      <c r="DG51" s="142">
        <f t="shared" si="255"/>
        <v>0</v>
      </c>
      <c r="DH51" s="142">
        <f t="shared" si="255"/>
        <v>0</v>
      </c>
      <c r="DI51" s="142">
        <f t="shared" si="255"/>
        <v>0</v>
      </c>
      <c r="DJ51" s="142">
        <f t="shared" si="255"/>
        <v>0</v>
      </c>
      <c r="DK51" s="142">
        <f t="shared" si="255"/>
        <v>0</v>
      </c>
      <c r="DL51" s="142">
        <f t="shared" si="255"/>
        <v>0</v>
      </c>
      <c r="DM51" s="142">
        <f t="shared" si="255"/>
        <v>0</v>
      </c>
      <c r="DN51" s="142">
        <f t="shared" si="255"/>
        <v>0</v>
      </c>
      <c r="DO51" s="142">
        <f t="shared" si="255"/>
        <v>0</v>
      </c>
      <c r="DP51" s="142">
        <f t="shared" si="255"/>
        <v>0</v>
      </c>
      <c r="DQ51" s="142">
        <f t="shared" si="255"/>
        <v>0</v>
      </c>
      <c r="DR51" s="142">
        <f t="shared" si="255"/>
        <v>0</v>
      </c>
      <c r="DS51" s="142">
        <f t="shared" si="255"/>
        <v>0</v>
      </c>
      <c r="DT51" s="142">
        <f t="shared" si="255"/>
        <v>0</v>
      </c>
      <c r="DU51" s="142">
        <f t="shared" si="255"/>
        <v>0</v>
      </c>
      <c r="DV51" s="142">
        <f t="shared" si="255"/>
        <v>0</v>
      </c>
      <c r="DW51" s="142">
        <f t="shared" si="255"/>
        <v>0</v>
      </c>
      <c r="DX51" s="142">
        <f t="shared" si="255"/>
        <v>0</v>
      </c>
      <c r="DY51" s="142">
        <f t="shared" si="255"/>
        <v>0</v>
      </c>
      <c r="DZ51" s="142">
        <f t="shared" si="255"/>
        <v>0</v>
      </c>
      <c r="EA51" s="143">
        <f t="shared" si="174"/>
        <v>0</v>
      </c>
      <c r="EB51" s="143">
        <f t="shared" si="175"/>
        <v>0</v>
      </c>
      <c r="EC51" s="143">
        <f t="shared" si="176"/>
        <v>0</v>
      </c>
      <c r="ED51" s="143">
        <f t="shared" si="177"/>
        <v>0</v>
      </c>
      <c r="EE51" s="143">
        <f t="shared" si="178"/>
        <v>0</v>
      </c>
      <c r="EF51" s="143">
        <f t="shared" si="179"/>
        <v>0</v>
      </c>
      <c r="EG51" s="143">
        <f t="shared" si="180"/>
        <v>0</v>
      </c>
      <c r="EH51" s="143">
        <f t="shared" si="181"/>
        <v>0</v>
      </c>
      <c r="EI51" s="143">
        <f t="shared" si="182"/>
        <v>0</v>
      </c>
      <c r="EJ51" s="143">
        <f t="shared" si="183"/>
        <v>0</v>
      </c>
      <c r="EK51" s="143">
        <f t="shared" si="184"/>
        <v>0</v>
      </c>
      <c r="EL51" s="143">
        <f t="shared" si="185"/>
        <v>0</v>
      </c>
      <c r="EM51" s="143">
        <f t="shared" si="186"/>
        <v>0</v>
      </c>
      <c r="EN51" s="143">
        <f t="shared" si="187"/>
        <v>0</v>
      </c>
      <c r="EO51" s="143">
        <f t="shared" si="188"/>
        <v>0</v>
      </c>
      <c r="EP51" s="143">
        <f t="shared" si="189"/>
        <v>0</v>
      </c>
      <c r="EQ51" s="143">
        <f t="shared" si="190"/>
        <v>0</v>
      </c>
      <c r="ER51" s="143">
        <f t="shared" si="191"/>
        <v>0</v>
      </c>
      <c r="ES51" s="143">
        <f t="shared" si="192"/>
        <v>0</v>
      </c>
      <c r="ET51" s="143">
        <f t="shared" si="193"/>
        <v>0</v>
      </c>
      <c r="EU51" s="143">
        <f t="shared" si="194"/>
        <v>0</v>
      </c>
      <c r="EV51" s="143">
        <f t="shared" si="195"/>
        <v>0</v>
      </c>
      <c r="EW51" s="143">
        <f t="shared" si="196"/>
        <v>0</v>
      </c>
      <c r="EX51" s="143">
        <f t="shared" si="197"/>
        <v>0</v>
      </c>
      <c r="EY51" s="143">
        <f t="shared" si="198"/>
        <v>0</v>
      </c>
      <c r="EZ51" s="143">
        <f t="shared" si="199"/>
        <v>0</v>
      </c>
      <c r="FA51" s="143">
        <f t="shared" si="200"/>
        <v>0</v>
      </c>
      <c r="FB51" s="143">
        <f t="shared" si="201"/>
        <v>0</v>
      </c>
      <c r="FC51" s="143">
        <f t="shared" si="202"/>
        <v>0</v>
      </c>
      <c r="FD51" s="143">
        <f t="shared" si="203"/>
        <v>0</v>
      </c>
      <c r="FE51" s="140">
        <f>SUM($D51:D51)*IF($B51="Operacional",IFERROR(VLOOKUP($C51,SN_UGC,28,0),0),1)</f>
        <v>74.599999999999994</v>
      </c>
      <c r="FF51" s="140">
        <f>SUM($D51:E51)*IF($B51="Operacional",IFERROR(VLOOKUP($C51,SN_UGC,28,0),0),1)</f>
        <v>74.599999999999994</v>
      </c>
      <c r="FG51" s="140">
        <f>SUM($D51:F51)*IF($B51="Operacional",IFERROR(VLOOKUP($C51,SN_UGC,28,0),0),1)</f>
        <v>74.599999999999994</v>
      </c>
      <c r="FH51" s="140">
        <f>SUM($D51:G51)*IF($B51="Operacional",IFERROR(VLOOKUP($C51,SN_UGC,28,0),0),1)</f>
        <v>74.599999999999994</v>
      </c>
      <c r="FI51" s="140">
        <f>SUM($D51:H51)*IF($B51="Operacional",IFERROR(VLOOKUP($C51,SN_UGC,28,0),0),1)</f>
        <v>74.599999999999994</v>
      </c>
      <c r="FJ51" s="140">
        <f>SUM($D51:I51)*IF($B51="Operacional",IFERROR(VLOOKUP($C51,SN_UGC,28,0),0),1)</f>
        <v>74.599999999999994</v>
      </c>
      <c r="FK51" s="140">
        <f>SUM($D51:J51)*IF($B51="Operacional",IFERROR(VLOOKUP($C51,SN_UGC,28,0),0),1)</f>
        <v>74.599999999999994</v>
      </c>
      <c r="FL51" s="140">
        <f>SUM($D51:K51)*IF($B51="Operacional",IFERROR(VLOOKUP($C51,SN_UGC,28,0),0),1)</f>
        <v>74.599999999999994</v>
      </c>
      <c r="FM51" s="140">
        <f>SUM($D51:L51)*IF($B51="Operacional",IFERROR(VLOOKUP($C51,SN_UGC,28,0),0),1)</f>
        <v>74.599999999999994</v>
      </c>
      <c r="FN51" s="140">
        <f>SUM($D51:M51)*IF($B51="Operacional",IFERROR(VLOOKUP($C51,SN_UGC,28,0),0),1)</f>
        <v>74.599999999999994</v>
      </c>
      <c r="FO51" s="140">
        <f>SUM($D51:N51)*IF($B51="Operacional",IFERROR(VLOOKUP($C51,SN_UGC,28,0),0),1)</f>
        <v>74.599999999999994</v>
      </c>
      <c r="FP51" s="140">
        <f>SUM($D51:O51)*IF($B51="Operacional",IFERROR(VLOOKUP($C51,SN_UGC,28,0),0),1)</f>
        <v>74.599999999999994</v>
      </c>
      <c r="FQ51" s="140">
        <f>SUM($D51:P51)*IF($B51="Operacional",IFERROR(VLOOKUP($C51,SN_UGC,28,0),0),1)</f>
        <v>74.599999999999994</v>
      </c>
      <c r="FR51" s="140">
        <f>SUM($D51:Q51)*IF($B51="Operacional",IFERROR(VLOOKUP($C51,SN_UGC,28,0),0),1)</f>
        <v>74.599999999999994</v>
      </c>
      <c r="FS51" s="140">
        <f>SUM($D51:R51)*IF($B51="Operacional",IFERROR(VLOOKUP($C51,SN_UGC,28,0),0),1)</f>
        <v>74.599999999999994</v>
      </c>
      <c r="FT51" s="140">
        <f>SUM($D51:S51)*IF($B51="Operacional",IFERROR(VLOOKUP($C51,SN_UGC,28,0),0),1)</f>
        <v>74.599999999999994</v>
      </c>
      <c r="FU51" s="140">
        <f>SUM($D51:T51)*IF($B51="Operacional",IFERROR(VLOOKUP($C51,SN_UGC,28,0),0),1)</f>
        <v>74.599999999999994</v>
      </c>
      <c r="FV51" s="140">
        <f>SUM($D51:U51)*IF($B51="Operacional",IFERROR(VLOOKUP($C51,SN_UGC,28,0),0),1)</f>
        <v>74.599999999999994</v>
      </c>
      <c r="FW51" s="140">
        <f>SUM($D51:V51)*IF($B51="Operacional",IFERROR(VLOOKUP($C51,SN_UGC,28,0),0),1)</f>
        <v>74.599999999999994</v>
      </c>
      <c r="FX51" s="140">
        <f>SUM($D51:W51)*IF($B51="Operacional",IFERROR(VLOOKUP($C51,SN_UGC,28,0),0),1)</f>
        <v>74.599999999999994</v>
      </c>
      <c r="FY51" s="140">
        <f>SUM($D51:X51)*IF($B51="Operacional",IFERROR(VLOOKUP($C51,SN_UGC,28,0),0),1)</f>
        <v>74.599999999999994</v>
      </c>
      <c r="FZ51" s="140">
        <f>SUM($D51:Y51)*IF($B51="Operacional",IFERROR(VLOOKUP($C51,SN_UGC,28,0),0),1)</f>
        <v>74.599999999999994</v>
      </c>
      <c r="GA51" s="140">
        <f>SUM($D51:Z51)*IF($B51="Operacional",IFERROR(VLOOKUP($C51,SN_UGC,28,0),0),1)</f>
        <v>74.599999999999994</v>
      </c>
      <c r="GB51" s="140">
        <f>SUM($D51:AA51)*IF($B51="Operacional",IFERROR(VLOOKUP($C51,SN_UGC,28,0),0),1)</f>
        <v>74.599999999999994</v>
      </c>
      <c r="GC51" s="140">
        <f>SUM($D51:AB51)*IF($B51="Operacional",IFERROR(VLOOKUP($C51,SN_UGC,28,0),0),1)</f>
        <v>74.599999999999994</v>
      </c>
      <c r="GD51" s="140">
        <f>SUM($D51:AC51)*IF($B51="Operacional",IFERROR(VLOOKUP($C51,SN_UGC,28,0),0),1)</f>
        <v>74.599999999999994</v>
      </c>
      <c r="GE51" s="140">
        <f>SUM($D51:AD51)*IF($B51="Operacional",IFERROR(VLOOKUP($C51,SN_UGC,28,0),0),1)</f>
        <v>74.599999999999994</v>
      </c>
      <c r="GF51" s="140">
        <f>SUM($D51:AE51)*IF($B51="Operacional",IFERROR(VLOOKUP($C51,SN_UGC,28,0),0),1)</f>
        <v>74.599999999999994</v>
      </c>
      <c r="GG51" s="140">
        <f>SUM($D51:AF51)*IF($B51="Operacional",IFERROR(VLOOKUP($C51,SN_UGC,28,0),0),1)</f>
        <v>74.599999999999994</v>
      </c>
      <c r="GH51" s="140">
        <f>SUM($D51:AG51)*IF($B51="Operacional",IFERROR(VLOOKUP($C51,SN_UGC,28,0),0),1)</f>
        <v>74.599999999999994</v>
      </c>
      <c r="GI51" s="141">
        <f t="shared" ref="GI51:HL51" si="256">FE51*$AH51*$AL51</f>
        <v>8849.7607000000007</v>
      </c>
      <c r="GJ51" s="141">
        <f t="shared" si="256"/>
        <v>8849.7607000000007</v>
      </c>
      <c r="GK51" s="141">
        <f t="shared" si="256"/>
        <v>8849.7607000000007</v>
      </c>
      <c r="GL51" s="141">
        <f t="shared" si="256"/>
        <v>8849.7607000000007</v>
      </c>
      <c r="GM51" s="141">
        <f t="shared" si="256"/>
        <v>8849.7607000000007</v>
      </c>
      <c r="GN51" s="141">
        <f t="shared" si="256"/>
        <v>8849.7607000000007</v>
      </c>
      <c r="GO51" s="141">
        <f t="shared" si="256"/>
        <v>8849.7607000000007</v>
      </c>
      <c r="GP51" s="141">
        <f t="shared" si="256"/>
        <v>8849.7607000000007</v>
      </c>
      <c r="GQ51" s="141">
        <f t="shared" si="256"/>
        <v>8849.7607000000007</v>
      </c>
      <c r="GR51" s="141">
        <f t="shared" si="256"/>
        <v>8849.7607000000007</v>
      </c>
      <c r="GS51" s="141">
        <f t="shared" si="256"/>
        <v>8849.7607000000007</v>
      </c>
      <c r="GT51" s="141">
        <f t="shared" si="256"/>
        <v>8849.7607000000007</v>
      </c>
      <c r="GU51" s="141">
        <f t="shared" si="256"/>
        <v>8849.7607000000007</v>
      </c>
      <c r="GV51" s="141">
        <f t="shared" si="256"/>
        <v>8849.7607000000007</v>
      </c>
      <c r="GW51" s="141">
        <f t="shared" si="256"/>
        <v>8849.7607000000007</v>
      </c>
      <c r="GX51" s="141">
        <f t="shared" si="256"/>
        <v>8849.7607000000007</v>
      </c>
      <c r="GY51" s="141">
        <f t="shared" si="256"/>
        <v>8849.7607000000007</v>
      </c>
      <c r="GZ51" s="141">
        <f t="shared" si="256"/>
        <v>8849.7607000000007</v>
      </c>
      <c r="HA51" s="141">
        <f t="shared" si="256"/>
        <v>8849.7607000000007</v>
      </c>
      <c r="HB51" s="141">
        <f t="shared" si="256"/>
        <v>8849.7607000000007</v>
      </c>
      <c r="HC51" s="141">
        <f t="shared" si="256"/>
        <v>8849.7607000000007</v>
      </c>
      <c r="HD51" s="141">
        <f t="shared" si="256"/>
        <v>8849.7607000000007</v>
      </c>
      <c r="HE51" s="141">
        <f t="shared" si="256"/>
        <v>8849.7607000000007</v>
      </c>
      <c r="HF51" s="141">
        <f t="shared" si="256"/>
        <v>8849.7607000000007</v>
      </c>
      <c r="HG51" s="141">
        <f t="shared" si="256"/>
        <v>8849.7607000000007</v>
      </c>
      <c r="HH51" s="141">
        <f t="shared" si="256"/>
        <v>8849.7607000000007</v>
      </c>
      <c r="HI51" s="141">
        <f t="shared" si="256"/>
        <v>8849.7607000000007</v>
      </c>
      <c r="HJ51" s="141">
        <f t="shared" si="256"/>
        <v>8849.7607000000007</v>
      </c>
      <c r="HK51" s="141">
        <f t="shared" si="256"/>
        <v>8849.7607000000007</v>
      </c>
      <c r="HL51" s="141">
        <f t="shared" si="256"/>
        <v>8849.7607000000007</v>
      </c>
      <c r="HM51" s="142">
        <f t="shared" ref="HM51:IP51" si="257">IF(ISBLANK($A51),,FE51*($AH51-($AH51*$AJ51))/$AI51)</f>
        <v>5899.8404666666665</v>
      </c>
      <c r="HN51" s="142">
        <f t="shared" si="257"/>
        <v>5899.8404666666665</v>
      </c>
      <c r="HO51" s="142">
        <f t="shared" si="257"/>
        <v>5899.8404666666665</v>
      </c>
      <c r="HP51" s="142">
        <f t="shared" si="257"/>
        <v>5899.8404666666665</v>
      </c>
      <c r="HQ51" s="142">
        <f t="shared" si="257"/>
        <v>5899.8404666666665</v>
      </c>
      <c r="HR51" s="142">
        <f t="shared" si="257"/>
        <v>5899.8404666666665</v>
      </c>
      <c r="HS51" s="142">
        <f t="shared" si="257"/>
        <v>5899.8404666666665</v>
      </c>
      <c r="HT51" s="142">
        <f t="shared" si="257"/>
        <v>5899.8404666666665</v>
      </c>
      <c r="HU51" s="142">
        <f t="shared" si="257"/>
        <v>5899.8404666666665</v>
      </c>
      <c r="HV51" s="142">
        <f t="shared" si="257"/>
        <v>5899.8404666666665</v>
      </c>
      <c r="HW51" s="142">
        <f t="shared" si="257"/>
        <v>5899.8404666666665</v>
      </c>
      <c r="HX51" s="142">
        <f t="shared" si="257"/>
        <v>5899.8404666666665</v>
      </c>
      <c r="HY51" s="142">
        <f t="shared" si="257"/>
        <v>5899.8404666666665</v>
      </c>
      <c r="HZ51" s="142">
        <f t="shared" si="257"/>
        <v>5899.8404666666665</v>
      </c>
      <c r="IA51" s="142">
        <f t="shared" si="257"/>
        <v>5899.8404666666665</v>
      </c>
      <c r="IB51" s="142">
        <f t="shared" si="257"/>
        <v>5899.8404666666665</v>
      </c>
      <c r="IC51" s="142">
        <f t="shared" si="257"/>
        <v>5899.8404666666665</v>
      </c>
      <c r="ID51" s="142">
        <f t="shared" si="257"/>
        <v>5899.8404666666665</v>
      </c>
      <c r="IE51" s="142">
        <f t="shared" si="257"/>
        <v>5899.8404666666665</v>
      </c>
      <c r="IF51" s="142">
        <f t="shared" si="257"/>
        <v>5899.8404666666665</v>
      </c>
      <c r="IG51" s="142">
        <f t="shared" si="257"/>
        <v>5899.8404666666665</v>
      </c>
      <c r="IH51" s="142">
        <f t="shared" si="257"/>
        <v>5899.8404666666665</v>
      </c>
      <c r="II51" s="142">
        <f t="shared" si="257"/>
        <v>5899.8404666666665</v>
      </c>
      <c r="IJ51" s="142">
        <f t="shared" si="257"/>
        <v>5899.8404666666665</v>
      </c>
      <c r="IK51" s="142">
        <f t="shared" si="257"/>
        <v>5899.8404666666665</v>
      </c>
      <c r="IL51" s="142">
        <f t="shared" si="257"/>
        <v>5899.8404666666665</v>
      </c>
      <c r="IM51" s="142">
        <f t="shared" si="257"/>
        <v>5899.8404666666665</v>
      </c>
      <c r="IN51" s="142">
        <f t="shared" si="257"/>
        <v>5899.8404666666665</v>
      </c>
      <c r="IO51" s="142">
        <f t="shared" si="257"/>
        <v>5899.8404666666665</v>
      </c>
      <c r="IP51" s="142">
        <f t="shared" si="257"/>
        <v>5899.8404666666665</v>
      </c>
      <c r="IQ51" s="141">
        <f>IF(ISBLANK($A51),,IF($AN51="Não",0,(SUM($AO51:AO51)*$AH51)-SUM($HM51:HM51)-SUM($CW51:CW51)))</f>
        <v>0</v>
      </c>
      <c r="IR51" s="141">
        <f>IF(ISBLANK($A51),,IF($AN51="Não",0,(SUM($AO51:AP51)*$AH51)-SUM($HM51:HN51)-SUM($CW51:CX51)))</f>
        <v>0</v>
      </c>
      <c r="IS51" s="141">
        <f>IF(ISBLANK($A51),,IF($AN51="Não",0,(SUM($AO51:AQ51)*$AH51)-SUM($HM51:HO51)-SUM($CW51:CY51)))</f>
        <v>0</v>
      </c>
      <c r="IT51" s="141">
        <f>IF(ISBLANK($A51),,IF($AN51="Não",0,(SUM($AO51:AR51)*$AH51)-SUM($HM51:HP51)-SUM($CW51:CZ51)))</f>
        <v>0</v>
      </c>
      <c r="IU51" s="141">
        <f>IF(ISBLANK($A51),,IF($AN51="Não",0,(SUM($AO51:AS51)*$AH51)-SUM($HM51:HQ51)-SUM($CW51:DA51)))</f>
        <v>0</v>
      </c>
      <c r="IV51" s="141">
        <f>IF(ISBLANK($A51),,IF($AN51="Não",0,(SUM($AO51:AT51)*$AH51)-SUM($HM51:HR51)-SUM($CW51:DB51)))</f>
        <v>0</v>
      </c>
      <c r="IW51" s="141">
        <f>IF(ISBLANK($A51),,IF($AN51="Não",0,(SUM($AO51:AU51)*$AH51)-SUM($HM51:HS51)-SUM($CW51:DC51)))</f>
        <v>0</v>
      </c>
      <c r="IX51" s="141">
        <f>IF(ISBLANK($A51),,IF($AN51="Não",0,(SUM($AO51:AV51)*$AH51)-SUM($HM51:HT51)-SUM($CW51:DD51)))</f>
        <v>0</v>
      </c>
      <c r="IY51" s="141">
        <f>IF(ISBLANK($A51),,IF($AN51="Não",0,(SUM($AO51:AW51)*$AH51)-SUM($HM51:HU51)-SUM($CW51:DE51)))</f>
        <v>0</v>
      </c>
      <c r="IZ51" s="141">
        <f>IF(ISBLANK($A51),,IF($AN51="Não",0,(SUM($AO51:AX51)*$AH51)-SUM($HM51:HV51)-SUM($CW51:DF51)))</f>
        <v>0</v>
      </c>
      <c r="JA51" s="141">
        <f>IF(ISBLANK($A51),,IF($AN51="Não",0,(SUM($AO51:AY51)*$AH51)-SUM($HM51:HW51)-SUM($CW51:DG51)))</f>
        <v>0</v>
      </c>
      <c r="JB51" s="141">
        <f>IF(ISBLANK($A51),,IF($AN51="Não",0,(SUM($AO51:AZ51)*$AH51)-SUM($HM51:HX51)-SUM($CW51:DH51)))</f>
        <v>0</v>
      </c>
      <c r="JC51" s="141">
        <f>IF(ISBLANK($A51),,IF($AN51="Não",0,(SUM($AO51:BA51)*$AH51)-SUM($HM51:HY51)-SUM($CW51:DI51)))</f>
        <v>0</v>
      </c>
      <c r="JD51" s="141">
        <f>IF(ISBLANK($A51),,IF($AN51="Não",0,(SUM($AO51:BB51)*$AH51)-SUM($HM51:HZ51)-SUM($CW51:DJ51)))</f>
        <v>0</v>
      </c>
      <c r="JE51" s="141">
        <f>IF(ISBLANK($A51),,IF($AN51="Não",0,(SUM($AO51:BC51)*$AH51)-SUM($HM51:IA51)-SUM($CW51:DK51)))</f>
        <v>0</v>
      </c>
      <c r="JF51" s="141">
        <f>IF(ISBLANK($A51),,IF($AN51="Não",0,(SUM($AO51:BD51)*$AH51)-SUM($HM51:IB51)-SUM($CW51:DL51)))</f>
        <v>0</v>
      </c>
      <c r="JG51" s="141">
        <f>IF(ISBLANK($A51),,IF($AN51="Não",0,(SUM($AO51:BE51)*$AH51)-SUM($HM51:IC51)-SUM($CW51:DM51)))</f>
        <v>0</v>
      </c>
      <c r="JH51" s="141">
        <f>IF(ISBLANK($A51),,IF($AN51="Não",0,(SUM($AO51:BF51)*$AH51)-SUM($HM51:ID51)-SUM($CW51:DN51)))</f>
        <v>0</v>
      </c>
      <c r="JI51" s="141">
        <f>IF(ISBLANK($A51),,IF($AN51="Não",0,(SUM($AO51:BG51)*$AH51)-SUM($HM51:IE51)-SUM($CW51:DO51)))</f>
        <v>0</v>
      </c>
      <c r="JJ51" s="141">
        <f>IF(ISBLANK($A51),,IF($AN51="Não",0,(SUM($AO51:BH51)*$AH51)-SUM($HM51:IF51)-SUM($CW51:DP51)))</f>
        <v>0</v>
      </c>
      <c r="JK51" s="141">
        <f>IF(ISBLANK($A51),,IF($AN51="Não",0,(SUM($AO51:BI51)*$AH51)-SUM($HM51:IG51)-SUM($CW51:DQ51)))</f>
        <v>0</v>
      </c>
      <c r="JL51" s="141">
        <f>IF(ISBLANK($A51),,IF($AN51="Não",0,(SUM($AO51:BJ51)*$AH51)-SUM($HM51:IH51)-SUM($CW51:DR51)))</f>
        <v>0</v>
      </c>
      <c r="JM51" s="141">
        <f>IF(ISBLANK($A51),,IF($AN51="Não",0,(SUM($AO51:BK51)*$AH51)-SUM($HM51:II51)-SUM($CW51:DS51)))</f>
        <v>0</v>
      </c>
      <c r="JN51" s="141">
        <f>IF(ISBLANK($A51),,IF($AN51="Não",0,(SUM($AO51:BL51)*$AH51)-SUM($HM51:IJ51)-SUM($CW51:DT51)))</f>
        <v>0</v>
      </c>
      <c r="JO51" s="141">
        <f>IF(ISBLANK($A51),,IF($AN51="Não",0,(SUM($AO51:BM51)*$AH51)-SUM($HM51:IK51)-SUM($CW51:DU51)))</f>
        <v>0</v>
      </c>
      <c r="JP51" s="141">
        <f>IF(ISBLANK($A51),,IF($AN51="Não",0,(SUM($AO51:BN51)*$AH51)-SUM($HM51:IL51)-SUM($CW51:DV51)))</f>
        <v>0</v>
      </c>
      <c r="JQ51" s="141">
        <f>IF(ISBLANK($A51),,IF($AN51="Não",0,(SUM($AO51:BO51)*$AH51)-SUM($HM51:IM51)-SUM($CW51:DW51)))</f>
        <v>0</v>
      </c>
      <c r="JR51" s="141">
        <f>IF(ISBLANK($A51),,IF($AN51="Não",0,(SUM($AO51:BP51)*$AH51)-SUM($HM51:IN51)-SUM($CW51:DX51)))</f>
        <v>0</v>
      </c>
      <c r="JS51" s="141">
        <f>IF(ISBLANK($A51),,IF($AN51="Não",0,(SUM($AO51:BQ51)*$AH51)-SUM($HM51:IO51)-SUM($CW51:DY51)))</f>
        <v>0</v>
      </c>
      <c r="JT51" s="141">
        <f>IF(ISBLANK($A51),,IF($AN51="Não",0,(SUM($AO51:BR51)*$AH51)-SUM($HM51:IP51)-SUM($CW51:DZ51)))</f>
        <v>0</v>
      </c>
    </row>
    <row r="52" spans="1:280" ht="15.75" customHeight="1">
      <c r="A52" s="129" t="s">
        <v>367</v>
      </c>
      <c r="B52" s="129" t="s">
        <v>209</v>
      </c>
      <c r="C52" s="138" t="s">
        <v>102</v>
      </c>
      <c r="D52" s="139">
        <v>220</v>
      </c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607">
        <f t="shared" si="165"/>
        <v>44</v>
      </c>
      <c r="AI52" s="608">
        <f t="shared" si="166"/>
        <v>30</v>
      </c>
      <c r="AJ52" s="609">
        <f t="shared" si="167"/>
        <v>1</v>
      </c>
      <c r="AK52" s="610" t="str">
        <f t="shared" si="168"/>
        <v>Infraestrutura</v>
      </c>
      <c r="AL52" s="609">
        <f t="shared" si="169"/>
        <v>0.05</v>
      </c>
      <c r="AM52" s="611" t="str">
        <f t="shared" si="170"/>
        <v>Sim</v>
      </c>
      <c r="AN52" s="611" t="str">
        <f t="shared" si="171"/>
        <v>Não</v>
      </c>
      <c r="AO52" s="140">
        <f t="array" ref="AO52">IF(ISBLANK($A52),0,IF(OR(AO$5-$AI52&lt;=0,$AM52="Não"),D52,D52+INDEX($AO$6:$BR$176,ROW()-5,COLUMN()-40-$AI52)))*IF($B52="Operacional",IFERROR(VLOOKUP($C52,SN_UGC,28,0),0),1)</f>
        <v>220</v>
      </c>
      <c r="AP52" s="140">
        <f t="array" ref="AP52">IF(ISBLANK($A52),0,IF(OR(AP$5-$AI52&lt;=0,$AM52="Não"),E52,E52+INDEX($AO$6:$BR$176,ROW()-5,COLUMN()-40-$AI52)))*IF($B52="Operacional",IFERROR(VLOOKUP($C52,SN_UGC,28,0),0),1)</f>
        <v>0</v>
      </c>
      <c r="AQ52" s="140">
        <f t="array" ref="AQ52">IF(ISBLANK($A52),0,IF(OR(AQ$5-$AI52&lt;=0,$AM52="Não"),F52,F52+INDEX($AO$6:$BR$176,ROW()-5,COLUMN()-40-$AI52)))*IF($B52="Operacional",IFERROR(VLOOKUP($C52,SN_UGC,28,0),0),1)</f>
        <v>0</v>
      </c>
      <c r="AR52" s="140">
        <f t="array" ref="AR52">IF(ISBLANK($A52),0,IF(OR(AR$5-$AI52&lt;=0,$AM52="Não"),G52,G52+INDEX($AO$6:$BR$176,ROW()-5,COLUMN()-40-$AI52)))*IF($B52="Operacional",IFERROR(VLOOKUP($C52,SN_UGC,28,0),0),1)</f>
        <v>0</v>
      </c>
      <c r="AS52" s="140">
        <f t="array" ref="AS52">IF(ISBLANK($A52),0,IF(OR(AS$5-$AI52&lt;=0,$AM52="Não"),H52,H52+INDEX($AO$6:$BR$176,ROW()-5,COLUMN()-40-$AI52)))*IF($B52="Operacional",IFERROR(VLOOKUP($C52,SN_UGC,28,0),0),1)</f>
        <v>0</v>
      </c>
      <c r="AT52" s="140">
        <f t="array" ref="AT52">IF(ISBLANK($A52),0,IF(OR(AT$5-$AI52&lt;=0,$AM52="Não"),I52,I52+INDEX($AO$6:$BR$176,ROW()-5,COLUMN()-40-$AI52)))*IF($B52="Operacional",IFERROR(VLOOKUP($C52,SN_UGC,28,0),0),1)</f>
        <v>0</v>
      </c>
      <c r="AU52" s="140">
        <f t="array" ref="AU52">IF(ISBLANK($A52),0,IF(OR(AU$5-$AI52&lt;=0,$AM52="Não"),J52,J52+INDEX($AO$6:$BR$176,ROW()-5,COLUMN()-40-$AI52)))*IF($B52="Operacional",IFERROR(VLOOKUP($C52,SN_UGC,28,0),0),1)</f>
        <v>0</v>
      </c>
      <c r="AV52" s="140">
        <f t="array" ref="AV52">IF(ISBLANK($A52),0,IF(OR(AV$5-$AI52&lt;=0,$AM52="Não"),K52,K52+INDEX($AO$6:$BR$176,ROW()-5,COLUMN()-40-$AI52)))*IF($B52="Operacional",IFERROR(VLOOKUP($C52,SN_UGC,28,0),0),1)</f>
        <v>0</v>
      </c>
      <c r="AW52" s="140">
        <f t="array" ref="AW52">IF(ISBLANK($A52),0,IF(OR(AW$5-$AI52&lt;=0,$AM52="Não"),L52,L52+INDEX($AO$6:$BR$176,ROW()-5,COLUMN()-40-$AI52)))*IF($B52="Operacional",IFERROR(VLOOKUP($C52,SN_UGC,28,0),0),1)</f>
        <v>0</v>
      </c>
      <c r="AX52" s="140">
        <f t="array" ref="AX52">IF(ISBLANK($A52),0,IF(OR(AX$5-$AI52&lt;=0,$AM52="Não"),M52,M52+INDEX($AO$6:$BR$176,ROW()-5,COLUMN()-40-$AI52)))*IF($B52="Operacional",IFERROR(VLOOKUP($C52,SN_UGC,28,0),0),1)</f>
        <v>0</v>
      </c>
      <c r="AY52" s="140">
        <f t="array" ref="AY52">IF(ISBLANK($A52),0,IF(OR(AY$5-$AI52&lt;=0,$AM52="Não"),N52,N52+INDEX($AO$6:$BR$176,ROW()-5,COLUMN()-40-$AI52)))*IF($B52="Operacional",IFERROR(VLOOKUP($C52,SN_UGC,28,0),0),1)</f>
        <v>0</v>
      </c>
      <c r="AZ52" s="140">
        <f t="array" ref="AZ52">IF(ISBLANK($A52),0,IF(OR(AZ$5-$AI52&lt;=0,$AM52="Não"),O52,O52+INDEX($AO$6:$BR$176,ROW()-5,COLUMN()-40-$AI52)))*IF($B52="Operacional",IFERROR(VLOOKUP($C52,SN_UGC,28,0),0),1)</f>
        <v>0</v>
      </c>
      <c r="BA52" s="140">
        <f t="array" ref="BA52">IF(ISBLANK($A52),0,IF(OR(BA$5-$AI52&lt;=0,$AM52="Não"),P52,P52+INDEX($AO$6:$BR$176,ROW()-5,COLUMN()-40-$AI52)))*IF($B52="Operacional",IFERROR(VLOOKUP($C52,SN_UGC,28,0),0),1)</f>
        <v>0</v>
      </c>
      <c r="BB52" s="140">
        <f t="array" ref="BB52">IF(ISBLANK($A52),0,IF(OR(BB$5-$AI52&lt;=0,$AM52="Não"),Q52,Q52+INDEX($AO$6:$BR$176,ROW()-5,COLUMN()-40-$AI52)))*IF($B52="Operacional",IFERROR(VLOOKUP($C52,SN_UGC,28,0),0),1)</f>
        <v>0</v>
      </c>
      <c r="BC52" s="140">
        <f t="array" ref="BC52">IF(ISBLANK($A52),0,IF(OR(BC$5-$AI52&lt;=0,$AM52="Não"),R52,R52+INDEX($AO$6:$BR$176,ROW()-5,COLUMN()-40-$AI52)))*IF($B52="Operacional",IFERROR(VLOOKUP($C52,SN_UGC,28,0),0),1)</f>
        <v>0</v>
      </c>
      <c r="BD52" s="140">
        <f t="array" ref="BD52">IF(ISBLANK($A52),0,IF(OR(BD$5-$AI52&lt;=0,$AM52="Não"),S52,S52+INDEX($AO$6:$BR$176,ROW()-5,COLUMN()-40-$AI52)))*IF($B52="Operacional",IFERROR(VLOOKUP($C52,SN_UGC,28,0),0),1)</f>
        <v>0</v>
      </c>
      <c r="BE52" s="140">
        <f t="array" ref="BE52">IF(ISBLANK($A52),0,IF(OR(BE$5-$AI52&lt;=0,$AM52="Não"),T52,T52+INDEX($AO$6:$BR$176,ROW()-5,COLUMN()-40-$AI52)))*IF($B52="Operacional",IFERROR(VLOOKUP($C52,SN_UGC,28,0),0),1)</f>
        <v>0</v>
      </c>
      <c r="BF52" s="140">
        <f t="array" ref="BF52">IF(ISBLANK($A52),0,IF(OR(BF$5-$AI52&lt;=0,$AM52="Não"),U52,U52+INDEX($AO$6:$BR$176,ROW()-5,COLUMN()-40-$AI52)))*IF($B52="Operacional",IFERROR(VLOOKUP($C52,SN_UGC,28,0),0),1)</f>
        <v>0</v>
      </c>
      <c r="BG52" s="140">
        <f t="array" ref="BG52">IF(ISBLANK($A52),0,IF(OR(BG$5-$AI52&lt;=0,$AM52="Não"),V52,V52+INDEX($AO$6:$BR$176,ROW()-5,COLUMN()-40-$AI52)))*IF($B52="Operacional",IFERROR(VLOOKUP($C52,SN_UGC,28,0),0),1)</f>
        <v>0</v>
      </c>
      <c r="BH52" s="140">
        <f t="array" ref="BH52">IF(ISBLANK($A52),0,IF(OR(BH$5-$AI52&lt;=0,$AM52="Não"),W52,W52+INDEX($AO$6:$BR$176,ROW()-5,COLUMN()-40-$AI52)))*IF($B52="Operacional",IFERROR(VLOOKUP($C52,SN_UGC,28,0),0),1)</f>
        <v>0</v>
      </c>
      <c r="BI52" s="140">
        <f t="array" ref="BI52">IF(ISBLANK($A52),0,IF(OR(BI$5-$AI52&lt;=0,$AM52="Não"),X52,X52+INDEX($AO$6:$BR$176,ROW()-5,COLUMN()-40-$AI52)))*IF($B52="Operacional",IFERROR(VLOOKUP($C52,SN_UGC,28,0),0),1)</f>
        <v>0</v>
      </c>
      <c r="BJ52" s="140">
        <f t="array" ref="BJ52">IF(ISBLANK($A52),0,IF(OR(BJ$5-$AI52&lt;=0,$AM52="Não"),Y52,Y52+INDEX($AO$6:$BR$176,ROW()-5,COLUMN()-40-$AI52)))*IF($B52="Operacional",IFERROR(VLOOKUP($C52,SN_UGC,28,0),0),1)</f>
        <v>0</v>
      </c>
      <c r="BK52" s="140">
        <f t="array" ref="BK52">IF(ISBLANK($A52),0,IF(OR(BK$5-$AI52&lt;=0,$AM52="Não"),Z52,Z52+INDEX($AO$6:$BR$176,ROW()-5,COLUMN()-40-$AI52)))*IF($B52="Operacional",IFERROR(VLOOKUP($C52,SN_UGC,28,0),0),1)</f>
        <v>0</v>
      </c>
      <c r="BL52" s="140">
        <f t="array" ref="BL52">IF(ISBLANK($A52),0,IF(OR(BL$5-$AI52&lt;=0,$AM52="Não"),AA52,AA52+INDEX($AO$6:$BR$176,ROW()-5,COLUMN()-40-$AI52)))*IF($B52="Operacional",IFERROR(VLOOKUP($C52,SN_UGC,28,0),0),1)</f>
        <v>0</v>
      </c>
      <c r="BM52" s="140">
        <f t="array" ref="BM52">IF(ISBLANK($A52),0,IF(OR(BM$5-$AI52&lt;=0,$AM52="Não"),AB52,AB52+INDEX($AO$6:$BR$176,ROW()-5,COLUMN()-40-$AI52)))*IF($B52="Operacional",IFERROR(VLOOKUP($C52,SN_UGC,28,0),0),1)</f>
        <v>0</v>
      </c>
      <c r="BN52" s="140">
        <f t="array" ref="BN52">IF(ISBLANK($A52),0,IF(OR(BN$5-$AI52&lt;=0,$AM52="Não"),AC52,AC52+INDEX($AO$6:$BR$176,ROW()-5,COLUMN()-40-$AI52)))*IF($B52="Operacional",IFERROR(VLOOKUP($C52,SN_UGC,28,0),0),1)</f>
        <v>0</v>
      </c>
      <c r="BO52" s="140">
        <f t="array" ref="BO52">IF(ISBLANK($A52),0,IF(OR(BO$5-$AI52&lt;=0,$AM52="Não"),AD52,AD52+INDEX($AO$6:$BR$176,ROW()-5,COLUMN()-40-$AI52)))*IF($B52="Operacional",IFERROR(VLOOKUP($C52,SN_UGC,28,0),0),1)</f>
        <v>0</v>
      </c>
      <c r="BP52" s="140">
        <f t="array" ref="BP52">IF(ISBLANK($A52),0,IF(OR(BP$5-$AI52&lt;=0,$AM52="Não"),AE52,AE52+INDEX($AO$6:$BR$176,ROW()-5,COLUMN()-40-$AI52)))*IF($B52="Operacional",IFERROR(VLOOKUP($C52,SN_UGC,28,0),0),1)</f>
        <v>0</v>
      </c>
      <c r="BQ52" s="140">
        <f t="array" ref="BQ52">IF(ISBLANK($A52),0,IF(OR(BQ$5-$AI52&lt;=0,$AM52="Não"),AF52,AF52+INDEX($AO$6:$BR$176,ROW()-5,COLUMN()-40-$AI52)))*IF($B52="Operacional",IFERROR(VLOOKUP($C52,SN_UGC,28,0),0),1)</f>
        <v>0</v>
      </c>
      <c r="BR52" s="140">
        <f t="array" ref="BR52">IF(ISBLANK($A52),0,IF(OR(BR$5-$AI52&lt;=0,$AM52="Não"),AG52,AG52+INDEX($AO$6:$BR$176,ROW()-5,COLUMN()-40-$AI52)))*IF($B52="Operacional",IFERROR(VLOOKUP($C52,SN_UGC,28,0),0),1)</f>
        <v>0</v>
      </c>
      <c r="BS52" s="141">
        <f t="shared" ref="BS52:CV52" si="258">IF(ISBLANK($A52),0,$AH52*AO52)</f>
        <v>9680</v>
      </c>
      <c r="BT52" s="141">
        <f t="shared" si="258"/>
        <v>0</v>
      </c>
      <c r="BU52" s="141">
        <f t="shared" si="258"/>
        <v>0</v>
      </c>
      <c r="BV52" s="141">
        <f t="shared" si="258"/>
        <v>0</v>
      </c>
      <c r="BW52" s="141">
        <f t="shared" si="258"/>
        <v>0</v>
      </c>
      <c r="BX52" s="141">
        <f t="shared" si="258"/>
        <v>0</v>
      </c>
      <c r="BY52" s="141">
        <f t="shared" si="258"/>
        <v>0</v>
      </c>
      <c r="BZ52" s="141">
        <f t="shared" si="258"/>
        <v>0</v>
      </c>
      <c r="CA52" s="141">
        <f t="shared" si="258"/>
        <v>0</v>
      </c>
      <c r="CB52" s="141">
        <f t="shared" si="258"/>
        <v>0</v>
      </c>
      <c r="CC52" s="141">
        <f t="shared" si="258"/>
        <v>0</v>
      </c>
      <c r="CD52" s="141">
        <f t="shared" si="258"/>
        <v>0</v>
      </c>
      <c r="CE52" s="141">
        <f t="shared" si="258"/>
        <v>0</v>
      </c>
      <c r="CF52" s="141">
        <f t="shared" si="258"/>
        <v>0</v>
      </c>
      <c r="CG52" s="141">
        <f t="shared" si="258"/>
        <v>0</v>
      </c>
      <c r="CH52" s="141">
        <f t="shared" si="258"/>
        <v>0</v>
      </c>
      <c r="CI52" s="141">
        <f t="shared" si="258"/>
        <v>0</v>
      </c>
      <c r="CJ52" s="141">
        <f t="shared" si="258"/>
        <v>0</v>
      </c>
      <c r="CK52" s="141">
        <f t="shared" si="258"/>
        <v>0</v>
      </c>
      <c r="CL52" s="141">
        <f t="shared" si="258"/>
        <v>0</v>
      </c>
      <c r="CM52" s="141">
        <f t="shared" si="258"/>
        <v>0</v>
      </c>
      <c r="CN52" s="141">
        <f t="shared" si="258"/>
        <v>0</v>
      </c>
      <c r="CO52" s="141">
        <f t="shared" si="258"/>
        <v>0</v>
      </c>
      <c r="CP52" s="141">
        <f t="shared" si="258"/>
        <v>0</v>
      </c>
      <c r="CQ52" s="141">
        <f t="shared" si="258"/>
        <v>0</v>
      </c>
      <c r="CR52" s="141">
        <f t="shared" si="258"/>
        <v>0</v>
      </c>
      <c r="CS52" s="141">
        <f t="shared" si="258"/>
        <v>0</v>
      </c>
      <c r="CT52" s="141">
        <f t="shared" si="258"/>
        <v>0</v>
      </c>
      <c r="CU52" s="141">
        <f t="shared" si="258"/>
        <v>0</v>
      </c>
      <c r="CV52" s="141">
        <f t="shared" si="258"/>
        <v>0</v>
      </c>
      <c r="CW52" s="142">
        <f t="shared" ref="CW52:DZ52" si="259">EA52*$AH52*$AJ52</f>
        <v>0</v>
      </c>
      <c r="CX52" s="142">
        <f t="shared" si="259"/>
        <v>0</v>
      </c>
      <c r="CY52" s="142">
        <f t="shared" si="259"/>
        <v>0</v>
      </c>
      <c r="CZ52" s="142">
        <f t="shared" si="259"/>
        <v>0</v>
      </c>
      <c r="DA52" s="142">
        <f t="shared" si="259"/>
        <v>0</v>
      </c>
      <c r="DB52" s="142">
        <f t="shared" si="259"/>
        <v>0</v>
      </c>
      <c r="DC52" s="142">
        <f t="shared" si="259"/>
        <v>0</v>
      </c>
      <c r="DD52" s="142">
        <f t="shared" si="259"/>
        <v>0</v>
      </c>
      <c r="DE52" s="142">
        <f t="shared" si="259"/>
        <v>0</v>
      </c>
      <c r="DF52" s="142">
        <f t="shared" si="259"/>
        <v>0</v>
      </c>
      <c r="DG52" s="142">
        <f t="shared" si="259"/>
        <v>0</v>
      </c>
      <c r="DH52" s="142">
        <f t="shared" si="259"/>
        <v>0</v>
      </c>
      <c r="DI52" s="142">
        <f t="shared" si="259"/>
        <v>0</v>
      </c>
      <c r="DJ52" s="142">
        <f t="shared" si="259"/>
        <v>0</v>
      </c>
      <c r="DK52" s="142">
        <f t="shared" si="259"/>
        <v>0</v>
      </c>
      <c r="DL52" s="142">
        <f t="shared" si="259"/>
        <v>0</v>
      </c>
      <c r="DM52" s="142">
        <f t="shared" si="259"/>
        <v>0</v>
      </c>
      <c r="DN52" s="142">
        <f t="shared" si="259"/>
        <v>0</v>
      </c>
      <c r="DO52" s="142">
        <f t="shared" si="259"/>
        <v>0</v>
      </c>
      <c r="DP52" s="142">
        <f t="shared" si="259"/>
        <v>0</v>
      </c>
      <c r="DQ52" s="142">
        <f t="shared" si="259"/>
        <v>0</v>
      </c>
      <c r="DR52" s="142">
        <f t="shared" si="259"/>
        <v>0</v>
      </c>
      <c r="DS52" s="142">
        <f t="shared" si="259"/>
        <v>0</v>
      </c>
      <c r="DT52" s="142">
        <f t="shared" si="259"/>
        <v>0</v>
      </c>
      <c r="DU52" s="142">
        <f t="shared" si="259"/>
        <v>0</v>
      </c>
      <c r="DV52" s="142">
        <f t="shared" si="259"/>
        <v>0</v>
      </c>
      <c r="DW52" s="142">
        <f t="shared" si="259"/>
        <v>0</v>
      </c>
      <c r="DX52" s="142">
        <f t="shared" si="259"/>
        <v>0</v>
      </c>
      <c r="DY52" s="142">
        <f t="shared" si="259"/>
        <v>0</v>
      </c>
      <c r="DZ52" s="142">
        <f t="shared" si="259"/>
        <v>0</v>
      </c>
      <c r="EA52" s="143">
        <f t="shared" si="174"/>
        <v>0</v>
      </c>
      <c r="EB52" s="143">
        <f t="shared" si="175"/>
        <v>0</v>
      </c>
      <c r="EC52" s="143">
        <f t="shared" si="176"/>
        <v>0</v>
      </c>
      <c r="ED52" s="143">
        <f t="shared" si="177"/>
        <v>0</v>
      </c>
      <c r="EE52" s="143">
        <f t="shared" si="178"/>
        <v>0</v>
      </c>
      <c r="EF52" s="143">
        <f t="shared" si="179"/>
        <v>0</v>
      </c>
      <c r="EG52" s="143">
        <f t="shared" si="180"/>
        <v>0</v>
      </c>
      <c r="EH52" s="143">
        <f t="shared" si="181"/>
        <v>0</v>
      </c>
      <c r="EI52" s="143">
        <f t="shared" si="182"/>
        <v>0</v>
      </c>
      <c r="EJ52" s="143">
        <f t="shared" si="183"/>
        <v>0</v>
      </c>
      <c r="EK52" s="143">
        <f t="shared" si="184"/>
        <v>0</v>
      </c>
      <c r="EL52" s="143">
        <f t="shared" si="185"/>
        <v>0</v>
      </c>
      <c r="EM52" s="143">
        <f t="shared" si="186"/>
        <v>0</v>
      </c>
      <c r="EN52" s="143">
        <f t="shared" si="187"/>
        <v>0</v>
      </c>
      <c r="EO52" s="143">
        <f t="shared" si="188"/>
        <v>0</v>
      </c>
      <c r="EP52" s="143">
        <f t="shared" si="189"/>
        <v>0</v>
      </c>
      <c r="EQ52" s="143">
        <f t="shared" si="190"/>
        <v>0</v>
      </c>
      <c r="ER52" s="143">
        <f t="shared" si="191"/>
        <v>0</v>
      </c>
      <c r="ES52" s="143">
        <f t="shared" si="192"/>
        <v>0</v>
      </c>
      <c r="ET52" s="143">
        <f t="shared" si="193"/>
        <v>0</v>
      </c>
      <c r="EU52" s="143">
        <f t="shared" si="194"/>
        <v>0</v>
      </c>
      <c r="EV52" s="143">
        <f t="shared" si="195"/>
        <v>0</v>
      </c>
      <c r="EW52" s="143">
        <f t="shared" si="196"/>
        <v>0</v>
      </c>
      <c r="EX52" s="143">
        <f t="shared" si="197"/>
        <v>0</v>
      </c>
      <c r="EY52" s="143">
        <f t="shared" si="198"/>
        <v>0</v>
      </c>
      <c r="EZ52" s="143">
        <f t="shared" si="199"/>
        <v>0</v>
      </c>
      <c r="FA52" s="143">
        <f t="shared" si="200"/>
        <v>0</v>
      </c>
      <c r="FB52" s="143">
        <f t="shared" si="201"/>
        <v>0</v>
      </c>
      <c r="FC52" s="143">
        <f t="shared" si="202"/>
        <v>0</v>
      </c>
      <c r="FD52" s="143">
        <f t="shared" si="203"/>
        <v>0</v>
      </c>
      <c r="FE52" s="140">
        <f>SUM($D52:D52)*IF($B52="Operacional",IFERROR(VLOOKUP($C52,SN_UGC,28,0),0),1)</f>
        <v>220</v>
      </c>
      <c r="FF52" s="140">
        <f>SUM($D52:E52)*IF($B52="Operacional",IFERROR(VLOOKUP($C52,SN_UGC,28,0),0),1)</f>
        <v>220</v>
      </c>
      <c r="FG52" s="140">
        <f>SUM($D52:F52)*IF($B52="Operacional",IFERROR(VLOOKUP($C52,SN_UGC,28,0),0),1)</f>
        <v>220</v>
      </c>
      <c r="FH52" s="140">
        <f>SUM($D52:G52)*IF($B52="Operacional",IFERROR(VLOOKUP($C52,SN_UGC,28,0),0),1)</f>
        <v>220</v>
      </c>
      <c r="FI52" s="140">
        <f>SUM($D52:H52)*IF($B52="Operacional",IFERROR(VLOOKUP($C52,SN_UGC,28,0),0),1)</f>
        <v>220</v>
      </c>
      <c r="FJ52" s="140">
        <f>SUM($D52:I52)*IF($B52="Operacional",IFERROR(VLOOKUP($C52,SN_UGC,28,0),0),1)</f>
        <v>220</v>
      </c>
      <c r="FK52" s="140">
        <f>SUM($D52:J52)*IF($B52="Operacional",IFERROR(VLOOKUP($C52,SN_UGC,28,0),0),1)</f>
        <v>220</v>
      </c>
      <c r="FL52" s="140">
        <f>SUM($D52:K52)*IF($B52="Operacional",IFERROR(VLOOKUP($C52,SN_UGC,28,0),0),1)</f>
        <v>220</v>
      </c>
      <c r="FM52" s="140">
        <f>SUM($D52:L52)*IF($B52="Operacional",IFERROR(VLOOKUP($C52,SN_UGC,28,0),0),1)</f>
        <v>220</v>
      </c>
      <c r="FN52" s="140">
        <f>SUM($D52:M52)*IF($B52="Operacional",IFERROR(VLOOKUP($C52,SN_UGC,28,0),0),1)</f>
        <v>220</v>
      </c>
      <c r="FO52" s="140">
        <f>SUM($D52:N52)*IF($B52="Operacional",IFERROR(VLOOKUP($C52,SN_UGC,28,0),0),1)</f>
        <v>220</v>
      </c>
      <c r="FP52" s="140">
        <f>SUM($D52:O52)*IF($B52="Operacional",IFERROR(VLOOKUP($C52,SN_UGC,28,0),0),1)</f>
        <v>220</v>
      </c>
      <c r="FQ52" s="140">
        <f>SUM($D52:P52)*IF($B52="Operacional",IFERROR(VLOOKUP($C52,SN_UGC,28,0),0),1)</f>
        <v>220</v>
      </c>
      <c r="FR52" s="140">
        <f>SUM($D52:Q52)*IF($B52="Operacional",IFERROR(VLOOKUP($C52,SN_UGC,28,0),0),1)</f>
        <v>220</v>
      </c>
      <c r="FS52" s="140">
        <f>SUM($D52:R52)*IF($B52="Operacional",IFERROR(VLOOKUP($C52,SN_UGC,28,0),0),1)</f>
        <v>220</v>
      </c>
      <c r="FT52" s="140">
        <f>SUM($D52:S52)*IF($B52="Operacional",IFERROR(VLOOKUP($C52,SN_UGC,28,0),0),1)</f>
        <v>220</v>
      </c>
      <c r="FU52" s="140">
        <f>SUM($D52:T52)*IF($B52="Operacional",IFERROR(VLOOKUP($C52,SN_UGC,28,0),0),1)</f>
        <v>220</v>
      </c>
      <c r="FV52" s="140">
        <f>SUM($D52:U52)*IF($B52="Operacional",IFERROR(VLOOKUP($C52,SN_UGC,28,0),0),1)</f>
        <v>220</v>
      </c>
      <c r="FW52" s="140">
        <f>SUM($D52:V52)*IF($B52="Operacional",IFERROR(VLOOKUP($C52,SN_UGC,28,0),0),1)</f>
        <v>220</v>
      </c>
      <c r="FX52" s="140">
        <f>SUM($D52:W52)*IF($B52="Operacional",IFERROR(VLOOKUP($C52,SN_UGC,28,0),0),1)</f>
        <v>220</v>
      </c>
      <c r="FY52" s="140">
        <f>SUM($D52:X52)*IF($B52="Operacional",IFERROR(VLOOKUP($C52,SN_UGC,28,0),0),1)</f>
        <v>220</v>
      </c>
      <c r="FZ52" s="140">
        <f>SUM($D52:Y52)*IF($B52="Operacional",IFERROR(VLOOKUP($C52,SN_UGC,28,0),0),1)</f>
        <v>220</v>
      </c>
      <c r="GA52" s="140">
        <f>SUM($D52:Z52)*IF($B52="Operacional",IFERROR(VLOOKUP($C52,SN_UGC,28,0),0),1)</f>
        <v>220</v>
      </c>
      <c r="GB52" s="140">
        <f>SUM($D52:AA52)*IF($B52="Operacional",IFERROR(VLOOKUP($C52,SN_UGC,28,0),0),1)</f>
        <v>220</v>
      </c>
      <c r="GC52" s="140">
        <f>SUM($D52:AB52)*IF($B52="Operacional",IFERROR(VLOOKUP($C52,SN_UGC,28,0),0),1)</f>
        <v>220</v>
      </c>
      <c r="GD52" s="140">
        <f>SUM($D52:AC52)*IF($B52="Operacional",IFERROR(VLOOKUP($C52,SN_UGC,28,0),0),1)</f>
        <v>220</v>
      </c>
      <c r="GE52" s="140">
        <f>SUM($D52:AD52)*IF($B52="Operacional",IFERROR(VLOOKUP($C52,SN_UGC,28,0),0),1)</f>
        <v>220</v>
      </c>
      <c r="GF52" s="140">
        <f>SUM($D52:AE52)*IF($B52="Operacional",IFERROR(VLOOKUP($C52,SN_UGC,28,0),0),1)</f>
        <v>220</v>
      </c>
      <c r="GG52" s="140">
        <f>SUM($D52:AF52)*IF($B52="Operacional",IFERROR(VLOOKUP($C52,SN_UGC,28,0),0),1)</f>
        <v>220</v>
      </c>
      <c r="GH52" s="140">
        <f>SUM($D52:AG52)*IF($B52="Operacional",IFERROR(VLOOKUP($C52,SN_UGC,28,0),0),1)</f>
        <v>220</v>
      </c>
      <c r="GI52" s="141">
        <f t="shared" ref="GI52:HL52" si="260">FE52*$AH52*$AL52</f>
        <v>484</v>
      </c>
      <c r="GJ52" s="141">
        <f t="shared" si="260"/>
        <v>484</v>
      </c>
      <c r="GK52" s="141">
        <f t="shared" si="260"/>
        <v>484</v>
      </c>
      <c r="GL52" s="141">
        <f t="shared" si="260"/>
        <v>484</v>
      </c>
      <c r="GM52" s="141">
        <f t="shared" si="260"/>
        <v>484</v>
      </c>
      <c r="GN52" s="141">
        <f t="shared" si="260"/>
        <v>484</v>
      </c>
      <c r="GO52" s="141">
        <f t="shared" si="260"/>
        <v>484</v>
      </c>
      <c r="GP52" s="141">
        <f t="shared" si="260"/>
        <v>484</v>
      </c>
      <c r="GQ52" s="141">
        <f t="shared" si="260"/>
        <v>484</v>
      </c>
      <c r="GR52" s="141">
        <f t="shared" si="260"/>
        <v>484</v>
      </c>
      <c r="GS52" s="141">
        <f t="shared" si="260"/>
        <v>484</v>
      </c>
      <c r="GT52" s="141">
        <f t="shared" si="260"/>
        <v>484</v>
      </c>
      <c r="GU52" s="141">
        <f t="shared" si="260"/>
        <v>484</v>
      </c>
      <c r="GV52" s="141">
        <f t="shared" si="260"/>
        <v>484</v>
      </c>
      <c r="GW52" s="141">
        <f t="shared" si="260"/>
        <v>484</v>
      </c>
      <c r="GX52" s="141">
        <f t="shared" si="260"/>
        <v>484</v>
      </c>
      <c r="GY52" s="141">
        <f t="shared" si="260"/>
        <v>484</v>
      </c>
      <c r="GZ52" s="141">
        <f t="shared" si="260"/>
        <v>484</v>
      </c>
      <c r="HA52" s="141">
        <f t="shared" si="260"/>
        <v>484</v>
      </c>
      <c r="HB52" s="141">
        <f t="shared" si="260"/>
        <v>484</v>
      </c>
      <c r="HC52" s="141">
        <f t="shared" si="260"/>
        <v>484</v>
      </c>
      <c r="HD52" s="141">
        <f t="shared" si="260"/>
        <v>484</v>
      </c>
      <c r="HE52" s="141">
        <f t="shared" si="260"/>
        <v>484</v>
      </c>
      <c r="HF52" s="141">
        <f t="shared" si="260"/>
        <v>484</v>
      </c>
      <c r="HG52" s="141">
        <f t="shared" si="260"/>
        <v>484</v>
      </c>
      <c r="HH52" s="141">
        <f t="shared" si="260"/>
        <v>484</v>
      </c>
      <c r="HI52" s="141">
        <f t="shared" si="260"/>
        <v>484</v>
      </c>
      <c r="HJ52" s="141">
        <f t="shared" si="260"/>
        <v>484</v>
      </c>
      <c r="HK52" s="141">
        <f t="shared" si="260"/>
        <v>484</v>
      </c>
      <c r="HL52" s="141">
        <f t="shared" si="260"/>
        <v>484</v>
      </c>
      <c r="HM52" s="142">
        <f t="shared" ref="HM52:IP52" si="261">IF(ISBLANK($A52),,FE52*($AH52-($AH52*$AJ52))/$AI52)</f>
        <v>0</v>
      </c>
      <c r="HN52" s="142">
        <f t="shared" si="261"/>
        <v>0</v>
      </c>
      <c r="HO52" s="142">
        <f t="shared" si="261"/>
        <v>0</v>
      </c>
      <c r="HP52" s="142">
        <f t="shared" si="261"/>
        <v>0</v>
      </c>
      <c r="HQ52" s="142">
        <f t="shared" si="261"/>
        <v>0</v>
      </c>
      <c r="HR52" s="142">
        <f t="shared" si="261"/>
        <v>0</v>
      </c>
      <c r="HS52" s="142">
        <f t="shared" si="261"/>
        <v>0</v>
      </c>
      <c r="HT52" s="142">
        <f t="shared" si="261"/>
        <v>0</v>
      </c>
      <c r="HU52" s="142">
        <f t="shared" si="261"/>
        <v>0</v>
      </c>
      <c r="HV52" s="142">
        <f t="shared" si="261"/>
        <v>0</v>
      </c>
      <c r="HW52" s="142">
        <f t="shared" si="261"/>
        <v>0</v>
      </c>
      <c r="HX52" s="142">
        <f t="shared" si="261"/>
        <v>0</v>
      </c>
      <c r="HY52" s="142">
        <f t="shared" si="261"/>
        <v>0</v>
      </c>
      <c r="HZ52" s="142">
        <f t="shared" si="261"/>
        <v>0</v>
      </c>
      <c r="IA52" s="142">
        <f t="shared" si="261"/>
        <v>0</v>
      </c>
      <c r="IB52" s="142">
        <f t="shared" si="261"/>
        <v>0</v>
      </c>
      <c r="IC52" s="142">
        <f t="shared" si="261"/>
        <v>0</v>
      </c>
      <c r="ID52" s="142">
        <f t="shared" si="261"/>
        <v>0</v>
      </c>
      <c r="IE52" s="142">
        <f t="shared" si="261"/>
        <v>0</v>
      </c>
      <c r="IF52" s="142">
        <f t="shared" si="261"/>
        <v>0</v>
      </c>
      <c r="IG52" s="142">
        <f t="shared" si="261"/>
        <v>0</v>
      </c>
      <c r="IH52" s="142">
        <f t="shared" si="261"/>
        <v>0</v>
      </c>
      <c r="II52" s="142">
        <f t="shared" si="261"/>
        <v>0</v>
      </c>
      <c r="IJ52" s="142">
        <f t="shared" si="261"/>
        <v>0</v>
      </c>
      <c r="IK52" s="142">
        <f t="shared" si="261"/>
        <v>0</v>
      </c>
      <c r="IL52" s="142">
        <f t="shared" si="261"/>
        <v>0</v>
      </c>
      <c r="IM52" s="142">
        <f t="shared" si="261"/>
        <v>0</v>
      </c>
      <c r="IN52" s="142">
        <f t="shared" si="261"/>
        <v>0</v>
      </c>
      <c r="IO52" s="142">
        <f t="shared" si="261"/>
        <v>0</v>
      </c>
      <c r="IP52" s="142">
        <f t="shared" si="261"/>
        <v>0</v>
      </c>
      <c r="IQ52" s="141">
        <f>IF(ISBLANK($A52),,IF($AN52="Não",0,(SUM($AO52:AO52)*$AH52)-SUM($HM52:HM52)-SUM($CW52:CW52)))</f>
        <v>0</v>
      </c>
      <c r="IR52" s="141">
        <f>IF(ISBLANK($A52),,IF($AN52="Não",0,(SUM($AO52:AP52)*$AH52)-SUM($HM52:HN52)-SUM($CW52:CX52)))</f>
        <v>0</v>
      </c>
      <c r="IS52" s="141">
        <f>IF(ISBLANK($A52),,IF($AN52="Não",0,(SUM($AO52:AQ52)*$AH52)-SUM($HM52:HO52)-SUM($CW52:CY52)))</f>
        <v>0</v>
      </c>
      <c r="IT52" s="141">
        <f>IF(ISBLANK($A52),,IF($AN52="Não",0,(SUM($AO52:AR52)*$AH52)-SUM($HM52:HP52)-SUM($CW52:CZ52)))</f>
        <v>0</v>
      </c>
      <c r="IU52" s="141">
        <f>IF(ISBLANK($A52),,IF($AN52="Não",0,(SUM($AO52:AS52)*$AH52)-SUM($HM52:HQ52)-SUM($CW52:DA52)))</f>
        <v>0</v>
      </c>
      <c r="IV52" s="141">
        <f>IF(ISBLANK($A52),,IF($AN52="Não",0,(SUM($AO52:AT52)*$AH52)-SUM($HM52:HR52)-SUM($CW52:DB52)))</f>
        <v>0</v>
      </c>
      <c r="IW52" s="141">
        <f>IF(ISBLANK($A52),,IF($AN52="Não",0,(SUM($AO52:AU52)*$AH52)-SUM($HM52:HS52)-SUM($CW52:DC52)))</f>
        <v>0</v>
      </c>
      <c r="IX52" s="141">
        <f>IF(ISBLANK($A52),,IF($AN52="Não",0,(SUM($AO52:AV52)*$AH52)-SUM($HM52:HT52)-SUM($CW52:DD52)))</f>
        <v>0</v>
      </c>
      <c r="IY52" s="141">
        <f>IF(ISBLANK($A52),,IF($AN52="Não",0,(SUM($AO52:AW52)*$AH52)-SUM($HM52:HU52)-SUM($CW52:DE52)))</f>
        <v>0</v>
      </c>
      <c r="IZ52" s="141">
        <f>IF(ISBLANK($A52),,IF($AN52="Não",0,(SUM($AO52:AX52)*$AH52)-SUM($HM52:HV52)-SUM($CW52:DF52)))</f>
        <v>0</v>
      </c>
      <c r="JA52" s="141">
        <f>IF(ISBLANK($A52),,IF($AN52="Não",0,(SUM($AO52:AY52)*$AH52)-SUM($HM52:HW52)-SUM($CW52:DG52)))</f>
        <v>0</v>
      </c>
      <c r="JB52" s="141">
        <f>IF(ISBLANK($A52),,IF($AN52="Não",0,(SUM($AO52:AZ52)*$AH52)-SUM($HM52:HX52)-SUM($CW52:DH52)))</f>
        <v>0</v>
      </c>
      <c r="JC52" s="141">
        <f>IF(ISBLANK($A52),,IF($AN52="Não",0,(SUM($AO52:BA52)*$AH52)-SUM($HM52:HY52)-SUM($CW52:DI52)))</f>
        <v>0</v>
      </c>
      <c r="JD52" s="141">
        <f>IF(ISBLANK($A52),,IF($AN52="Não",0,(SUM($AO52:BB52)*$AH52)-SUM($HM52:HZ52)-SUM($CW52:DJ52)))</f>
        <v>0</v>
      </c>
      <c r="JE52" s="141">
        <f>IF(ISBLANK($A52),,IF($AN52="Não",0,(SUM($AO52:BC52)*$AH52)-SUM($HM52:IA52)-SUM($CW52:DK52)))</f>
        <v>0</v>
      </c>
      <c r="JF52" s="141">
        <f>IF(ISBLANK($A52),,IF($AN52="Não",0,(SUM($AO52:BD52)*$AH52)-SUM($HM52:IB52)-SUM($CW52:DL52)))</f>
        <v>0</v>
      </c>
      <c r="JG52" s="141">
        <f>IF(ISBLANK($A52),,IF($AN52="Não",0,(SUM($AO52:BE52)*$AH52)-SUM($HM52:IC52)-SUM($CW52:DM52)))</f>
        <v>0</v>
      </c>
      <c r="JH52" s="141">
        <f>IF(ISBLANK($A52),,IF($AN52="Não",0,(SUM($AO52:BF52)*$AH52)-SUM($HM52:ID52)-SUM($CW52:DN52)))</f>
        <v>0</v>
      </c>
      <c r="JI52" s="141">
        <f>IF(ISBLANK($A52),,IF($AN52="Não",0,(SUM($AO52:BG52)*$AH52)-SUM($HM52:IE52)-SUM($CW52:DO52)))</f>
        <v>0</v>
      </c>
      <c r="JJ52" s="141">
        <f>IF(ISBLANK($A52),,IF($AN52="Não",0,(SUM($AO52:BH52)*$AH52)-SUM($HM52:IF52)-SUM($CW52:DP52)))</f>
        <v>0</v>
      </c>
      <c r="JK52" s="141">
        <f>IF(ISBLANK($A52),,IF($AN52="Não",0,(SUM($AO52:BI52)*$AH52)-SUM($HM52:IG52)-SUM($CW52:DQ52)))</f>
        <v>0</v>
      </c>
      <c r="JL52" s="141">
        <f>IF(ISBLANK($A52),,IF($AN52="Não",0,(SUM($AO52:BJ52)*$AH52)-SUM($HM52:IH52)-SUM($CW52:DR52)))</f>
        <v>0</v>
      </c>
      <c r="JM52" s="141">
        <f>IF(ISBLANK($A52),,IF($AN52="Não",0,(SUM($AO52:BK52)*$AH52)-SUM($HM52:II52)-SUM($CW52:DS52)))</f>
        <v>0</v>
      </c>
      <c r="JN52" s="141">
        <f>IF(ISBLANK($A52),,IF($AN52="Não",0,(SUM($AO52:BL52)*$AH52)-SUM($HM52:IJ52)-SUM($CW52:DT52)))</f>
        <v>0</v>
      </c>
      <c r="JO52" s="141">
        <f>IF(ISBLANK($A52),,IF($AN52="Não",0,(SUM($AO52:BM52)*$AH52)-SUM($HM52:IK52)-SUM($CW52:DU52)))</f>
        <v>0</v>
      </c>
      <c r="JP52" s="141">
        <f>IF(ISBLANK($A52),,IF($AN52="Não",0,(SUM($AO52:BN52)*$AH52)-SUM($HM52:IL52)-SUM($CW52:DV52)))</f>
        <v>0</v>
      </c>
      <c r="JQ52" s="141">
        <f>IF(ISBLANK($A52),,IF($AN52="Não",0,(SUM($AO52:BO52)*$AH52)-SUM($HM52:IM52)-SUM($CW52:DW52)))</f>
        <v>0</v>
      </c>
      <c r="JR52" s="141">
        <f>IF(ISBLANK($A52),,IF($AN52="Não",0,(SUM($AO52:BP52)*$AH52)-SUM($HM52:IN52)-SUM($CW52:DX52)))</f>
        <v>0</v>
      </c>
      <c r="JS52" s="141">
        <f>IF(ISBLANK($A52),,IF($AN52="Não",0,(SUM($AO52:BQ52)*$AH52)-SUM($HM52:IO52)-SUM($CW52:DY52)))</f>
        <v>0</v>
      </c>
      <c r="JT52" s="141">
        <f>IF(ISBLANK($A52),,IF($AN52="Não",0,(SUM($AO52:BR52)*$AH52)-SUM($HM52:IP52)-SUM($CW52:DZ52)))</f>
        <v>0</v>
      </c>
    </row>
    <row r="53" spans="1:280" ht="15.75" customHeight="1">
      <c r="A53" s="129" t="s">
        <v>362</v>
      </c>
      <c r="B53" s="129" t="s">
        <v>209</v>
      </c>
      <c r="C53" s="138" t="s">
        <v>102</v>
      </c>
      <c r="D53" s="144">
        <v>5958.84</v>
      </c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607">
        <f t="shared" si="165"/>
        <v>47.300000000000004</v>
      </c>
      <c r="AI53" s="608">
        <f t="shared" si="166"/>
        <v>30</v>
      </c>
      <c r="AJ53" s="609">
        <f t="shared" si="167"/>
        <v>1</v>
      </c>
      <c r="AK53" s="610" t="str">
        <f t="shared" si="168"/>
        <v>Infraestrutura</v>
      </c>
      <c r="AL53" s="609">
        <f t="shared" si="169"/>
        <v>0.1</v>
      </c>
      <c r="AM53" s="611" t="str">
        <f t="shared" si="170"/>
        <v>Sim</v>
      </c>
      <c r="AN53" s="611" t="str">
        <f t="shared" si="171"/>
        <v>Não</v>
      </c>
      <c r="AO53" s="140">
        <f t="array" ref="AO53">IF(ISBLANK($A53),0,IF(OR(AO$5-$AI53&lt;=0,$AM53="Não"),D53,D53+INDEX($AO$6:$BR$176,ROW()-5,COLUMN()-40-$AI53)))*IF($B53="Operacional",IFERROR(VLOOKUP($C53,SN_UGC,28,0),0),1)</f>
        <v>5958.84</v>
      </c>
      <c r="AP53" s="140">
        <f t="array" ref="AP53">IF(ISBLANK($A53),0,IF(OR(AP$5-$AI53&lt;=0,$AM53="Não"),E53,E53+INDEX($AO$6:$BR$176,ROW()-5,COLUMN()-40-$AI53)))*IF($B53="Operacional",IFERROR(VLOOKUP($C53,SN_UGC,28,0),0),1)</f>
        <v>0</v>
      </c>
      <c r="AQ53" s="140">
        <f t="array" ref="AQ53">IF(ISBLANK($A53),0,IF(OR(AQ$5-$AI53&lt;=0,$AM53="Não"),F53,F53+INDEX($AO$6:$BR$176,ROW()-5,COLUMN()-40-$AI53)))*IF($B53="Operacional",IFERROR(VLOOKUP($C53,SN_UGC,28,0),0),1)</f>
        <v>0</v>
      </c>
      <c r="AR53" s="140">
        <f t="array" ref="AR53">IF(ISBLANK($A53),0,IF(OR(AR$5-$AI53&lt;=0,$AM53="Não"),G53,G53+INDEX($AO$6:$BR$176,ROW()-5,COLUMN()-40-$AI53)))*IF($B53="Operacional",IFERROR(VLOOKUP($C53,SN_UGC,28,0),0),1)</f>
        <v>0</v>
      </c>
      <c r="AS53" s="140">
        <f t="array" ref="AS53">IF(ISBLANK($A53),0,IF(OR(AS$5-$AI53&lt;=0,$AM53="Não"),H53,H53+INDEX($AO$6:$BR$176,ROW()-5,COLUMN()-40-$AI53)))*IF($B53="Operacional",IFERROR(VLOOKUP($C53,SN_UGC,28,0),0),1)</f>
        <v>0</v>
      </c>
      <c r="AT53" s="140">
        <f t="array" ref="AT53">IF(ISBLANK($A53),0,IF(OR(AT$5-$AI53&lt;=0,$AM53="Não"),I53,I53+INDEX($AO$6:$BR$176,ROW()-5,COLUMN()-40-$AI53)))*IF($B53="Operacional",IFERROR(VLOOKUP($C53,SN_UGC,28,0),0),1)</f>
        <v>0</v>
      </c>
      <c r="AU53" s="140">
        <f t="array" ref="AU53">IF(ISBLANK($A53),0,IF(OR(AU$5-$AI53&lt;=0,$AM53="Não"),J53,J53+INDEX($AO$6:$BR$176,ROW()-5,COLUMN()-40-$AI53)))*IF($B53="Operacional",IFERROR(VLOOKUP($C53,SN_UGC,28,0),0),1)</f>
        <v>0</v>
      </c>
      <c r="AV53" s="140">
        <f t="array" ref="AV53">IF(ISBLANK($A53),0,IF(OR(AV$5-$AI53&lt;=0,$AM53="Não"),K53,K53+INDEX($AO$6:$BR$176,ROW()-5,COLUMN()-40-$AI53)))*IF($B53="Operacional",IFERROR(VLOOKUP($C53,SN_UGC,28,0),0),1)</f>
        <v>0</v>
      </c>
      <c r="AW53" s="140">
        <f t="array" ref="AW53">IF(ISBLANK($A53),0,IF(OR(AW$5-$AI53&lt;=0,$AM53="Não"),L53,L53+INDEX($AO$6:$BR$176,ROW()-5,COLUMN()-40-$AI53)))*IF($B53="Operacional",IFERROR(VLOOKUP($C53,SN_UGC,28,0),0),1)</f>
        <v>0</v>
      </c>
      <c r="AX53" s="140">
        <f t="array" ref="AX53">IF(ISBLANK($A53),0,IF(OR(AX$5-$AI53&lt;=0,$AM53="Não"),M53,M53+INDEX($AO$6:$BR$176,ROW()-5,COLUMN()-40-$AI53)))*IF($B53="Operacional",IFERROR(VLOOKUP($C53,SN_UGC,28,0),0),1)</f>
        <v>0</v>
      </c>
      <c r="AY53" s="140">
        <f t="array" ref="AY53">IF(ISBLANK($A53),0,IF(OR(AY$5-$AI53&lt;=0,$AM53="Não"),N53,N53+INDEX($AO$6:$BR$176,ROW()-5,COLUMN()-40-$AI53)))*IF($B53="Operacional",IFERROR(VLOOKUP($C53,SN_UGC,28,0),0),1)</f>
        <v>0</v>
      </c>
      <c r="AZ53" s="140">
        <f t="array" ref="AZ53">IF(ISBLANK($A53),0,IF(OR(AZ$5-$AI53&lt;=0,$AM53="Não"),O53,O53+INDEX($AO$6:$BR$176,ROW()-5,COLUMN()-40-$AI53)))*IF($B53="Operacional",IFERROR(VLOOKUP($C53,SN_UGC,28,0),0),1)</f>
        <v>0</v>
      </c>
      <c r="BA53" s="140">
        <f t="array" ref="BA53">IF(ISBLANK($A53),0,IF(OR(BA$5-$AI53&lt;=0,$AM53="Não"),P53,P53+INDEX($AO$6:$BR$176,ROW()-5,COLUMN()-40-$AI53)))*IF($B53="Operacional",IFERROR(VLOOKUP($C53,SN_UGC,28,0),0),1)</f>
        <v>0</v>
      </c>
      <c r="BB53" s="140">
        <f t="array" ref="BB53">IF(ISBLANK($A53),0,IF(OR(BB$5-$AI53&lt;=0,$AM53="Não"),Q53,Q53+INDEX($AO$6:$BR$176,ROW()-5,COLUMN()-40-$AI53)))*IF($B53="Operacional",IFERROR(VLOOKUP($C53,SN_UGC,28,0),0),1)</f>
        <v>0</v>
      </c>
      <c r="BC53" s="140">
        <f t="array" ref="BC53">IF(ISBLANK($A53),0,IF(OR(BC$5-$AI53&lt;=0,$AM53="Não"),R53,R53+INDEX($AO$6:$BR$176,ROW()-5,COLUMN()-40-$AI53)))*IF($B53="Operacional",IFERROR(VLOOKUP($C53,SN_UGC,28,0),0),1)</f>
        <v>0</v>
      </c>
      <c r="BD53" s="140">
        <f t="array" ref="BD53">IF(ISBLANK($A53),0,IF(OR(BD$5-$AI53&lt;=0,$AM53="Não"),S53,S53+INDEX($AO$6:$BR$176,ROW()-5,COLUMN()-40-$AI53)))*IF($B53="Operacional",IFERROR(VLOOKUP($C53,SN_UGC,28,0),0),1)</f>
        <v>0</v>
      </c>
      <c r="BE53" s="140">
        <f t="array" ref="BE53">IF(ISBLANK($A53),0,IF(OR(BE$5-$AI53&lt;=0,$AM53="Não"),T53,T53+INDEX($AO$6:$BR$176,ROW()-5,COLUMN()-40-$AI53)))*IF($B53="Operacional",IFERROR(VLOOKUP($C53,SN_UGC,28,0),0),1)</f>
        <v>0</v>
      </c>
      <c r="BF53" s="140">
        <f t="array" ref="BF53">IF(ISBLANK($A53),0,IF(OR(BF$5-$AI53&lt;=0,$AM53="Não"),U53,U53+INDEX($AO$6:$BR$176,ROW()-5,COLUMN()-40-$AI53)))*IF($B53="Operacional",IFERROR(VLOOKUP($C53,SN_UGC,28,0),0),1)</f>
        <v>0</v>
      </c>
      <c r="BG53" s="140">
        <f t="array" ref="BG53">IF(ISBLANK($A53),0,IF(OR(BG$5-$AI53&lt;=0,$AM53="Não"),V53,V53+INDEX($AO$6:$BR$176,ROW()-5,COLUMN()-40-$AI53)))*IF($B53="Operacional",IFERROR(VLOOKUP($C53,SN_UGC,28,0),0),1)</f>
        <v>0</v>
      </c>
      <c r="BH53" s="140">
        <f t="array" ref="BH53">IF(ISBLANK($A53),0,IF(OR(BH$5-$AI53&lt;=0,$AM53="Não"),W53,W53+INDEX($AO$6:$BR$176,ROW()-5,COLUMN()-40-$AI53)))*IF($B53="Operacional",IFERROR(VLOOKUP($C53,SN_UGC,28,0),0),1)</f>
        <v>0</v>
      </c>
      <c r="BI53" s="140">
        <f t="array" ref="BI53">IF(ISBLANK($A53),0,IF(OR(BI$5-$AI53&lt;=0,$AM53="Não"),X53,X53+INDEX($AO$6:$BR$176,ROW()-5,COLUMN()-40-$AI53)))*IF($B53="Operacional",IFERROR(VLOOKUP($C53,SN_UGC,28,0),0),1)</f>
        <v>0</v>
      </c>
      <c r="BJ53" s="140">
        <f t="array" ref="BJ53">IF(ISBLANK($A53),0,IF(OR(BJ$5-$AI53&lt;=0,$AM53="Não"),Y53,Y53+INDEX($AO$6:$BR$176,ROW()-5,COLUMN()-40-$AI53)))*IF($B53="Operacional",IFERROR(VLOOKUP($C53,SN_UGC,28,0),0),1)</f>
        <v>0</v>
      </c>
      <c r="BK53" s="140">
        <f t="array" ref="BK53">IF(ISBLANK($A53),0,IF(OR(BK$5-$AI53&lt;=0,$AM53="Não"),Z53,Z53+INDEX($AO$6:$BR$176,ROW()-5,COLUMN()-40-$AI53)))*IF($B53="Operacional",IFERROR(VLOOKUP($C53,SN_UGC,28,0),0),1)</f>
        <v>0</v>
      </c>
      <c r="BL53" s="140">
        <f t="array" ref="BL53">IF(ISBLANK($A53),0,IF(OR(BL$5-$AI53&lt;=0,$AM53="Não"),AA53,AA53+INDEX($AO$6:$BR$176,ROW()-5,COLUMN()-40-$AI53)))*IF($B53="Operacional",IFERROR(VLOOKUP($C53,SN_UGC,28,0),0),1)</f>
        <v>0</v>
      </c>
      <c r="BM53" s="140">
        <f t="array" ref="BM53">IF(ISBLANK($A53),0,IF(OR(BM$5-$AI53&lt;=0,$AM53="Não"),AB53,AB53+INDEX($AO$6:$BR$176,ROW()-5,COLUMN()-40-$AI53)))*IF($B53="Operacional",IFERROR(VLOOKUP($C53,SN_UGC,28,0),0),1)</f>
        <v>0</v>
      </c>
      <c r="BN53" s="140">
        <f t="array" ref="BN53">IF(ISBLANK($A53),0,IF(OR(BN$5-$AI53&lt;=0,$AM53="Não"),AC53,AC53+INDEX($AO$6:$BR$176,ROW()-5,COLUMN()-40-$AI53)))*IF($B53="Operacional",IFERROR(VLOOKUP($C53,SN_UGC,28,0),0),1)</f>
        <v>0</v>
      </c>
      <c r="BO53" s="140">
        <f t="array" ref="BO53">IF(ISBLANK($A53),0,IF(OR(BO$5-$AI53&lt;=0,$AM53="Não"),AD53,AD53+INDEX($AO$6:$BR$176,ROW()-5,COLUMN()-40-$AI53)))*IF($B53="Operacional",IFERROR(VLOOKUP($C53,SN_UGC,28,0),0),1)</f>
        <v>0</v>
      </c>
      <c r="BP53" s="140">
        <f t="array" ref="BP53">IF(ISBLANK($A53),0,IF(OR(BP$5-$AI53&lt;=0,$AM53="Não"),AE53,AE53+INDEX($AO$6:$BR$176,ROW()-5,COLUMN()-40-$AI53)))*IF($B53="Operacional",IFERROR(VLOOKUP($C53,SN_UGC,28,0),0),1)</f>
        <v>0</v>
      </c>
      <c r="BQ53" s="140">
        <f t="array" ref="BQ53">IF(ISBLANK($A53),0,IF(OR(BQ$5-$AI53&lt;=0,$AM53="Não"),AF53,AF53+INDEX($AO$6:$BR$176,ROW()-5,COLUMN()-40-$AI53)))*IF($B53="Operacional",IFERROR(VLOOKUP($C53,SN_UGC,28,0),0),1)</f>
        <v>0</v>
      </c>
      <c r="BR53" s="140">
        <f t="array" ref="BR53">IF(ISBLANK($A53),0,IF(OR(BR$5-$AI53&lt;=0,$AM53="Não"),AG53,AG53+INDEX($AO$6:$BR$176,ROW()-5,COLUMN()-40-$AI53)))*IF($B53="Operacional",IFERROR(VLOOKUP($C53,SN_UGC,28,0),0),1)</f>
        <v>0</v>
      </c>
      <c r="BS53" s="141">
        <f t="shared" ref="BS53:CV53" si="262">IF(ISBLANK($A53),0,$AH53*AO53)</f>
        <v>281853.13200000004</v>
      </c>
      <c r="BT53" s="141">
        <f t="shared" si="262"/>
        <v>0</v>
      </c>
      <c r="BU53" s="141">
        <f t="shared" si="262"/>
        <v>0</v>
      </c>
      <c r="BV53" s="141">
        <f t="shared" si="262"/>
        <v>0</v>
      </c>
      <c r="BW53" s="141">
        <f t="shared" si="262"/>
        <v>0</v>
      </c>
      <c r="BX53" s="141">
        <f t="shared" si="262"/>
        <v>0</v>
      </c>
      <c r="BY53" s="141">
        <f t="shared" si="262"/>
        <v>0</v>
      </c>
      <c r="BZ53" s="141">
        <f t="shared" si="262"/>
        <v>0</v>
      </c>
      <c r="CA53" s="141">
        <f t="shared" si="262"/>
        <v>0</v>
      </c>
      <c r="CB53" s="141">
        <f t="shared" si="262"/>
        <v>0</v>
      </c>
      <c r="CC53" s="141">
        <f t="shared" si="262"/>
        <v>0</v>
      </c>
      <c r="CD53" s="141">
        <f t="shared" si="262"/>
        <v>0</v>
      </c>
      <c r="CE53" s="141">
        <f t="shared" si="262"/>
        <v>0</v>
      </c>
      <c r="CF53" s="141">
        <f t="shared" si="262"/>
        <v>0</v>
      </c>
      <c r="CG53" s="141">
        <f t="shared" si="262"/>
        <v>0</v>
      </c>
      <c r="CH53" s="141">
        <f t="shared" si="262"/>
        <v>0</v>
      </c>
      <c r="CI53" s="141">
        <f t="shared" si="262"/>
        <v>0</v>
      </c>
      <c r="CJ53" s="141">
        <f t="shared" si="262"/>
        <v>0</v>
      </c>
      <c r="CK53" s="141">
        <f t="shared" si="262"/>
        <v>0</v>
      </c>
      <c r="CL53" s="141">
        <f t="shared" si="262"/>
        <v>0</v>
      </c>
      <c r="CM53" s="141">
        <f t="shared" si="262"/>
        <v>0</v>
      </c>
      <c r="CN53" s="141">
        <f t="shared" si="262"/>
        <v>0</v>
      </c>
      <c r="CO53" s="141">
        <f t="shared" si="262"/>
        <v>0</v>
      </c>
      <c r="CP53" s="141">
        <f t="shared" si="262"/>
        <v>0</v>
      </c>
      <c r="CQ53" s="141">
        <f t="shared" si="262"/>
        <v>0</v>
      </c>
      <c r="CR53" s="141">
        <f t="shared" si="262"/>
        <v>0</v>
      </c>
      <c r="CS53" s="141">
        <f t="shared" si="262"/>
        <v>0</v>
      </c>
      <c r="CT53" s="141">
        <f t="shared" si="262"/>
        <v>0</v>
      </c>
      <c r="CU53" s="141">
        <f t="shared" si="262"/>
        <v>0</v>
      </c>
      <c r="CV53" s="141">
        <f t="shared" si="262"/>
        <v>0</v>
      </c>
      <c r="CW53" s="142">
        <f t="shared" ref="CW53:DZ53" si="263">EA53*$AH53*$AJ53</f>
        <v>0</v>
      </c>
      <c r="CX53" s="142">
        <f t="shared" si="263"/>
        <v>0</v>
      </c>
      <c r="CY53" s="142">
        <f t="shared" si="263"/>
        <v>0</v>
      </c>
      <c r="CZ53" s="142">
        <f t="shared" si="263"/>
        <v>0</v>
      </c>
      <c r="DA53" s="142">
        <f t="shared" si="263"/>
        <v>0</v>
      </c>
      <c r="DB53" s="142">
        <f t="shared" si="263"/>
        <v>0</v>
      </c>
      <c r="DC53" s="142">
        <f t="shared" si="263"/>
        <v>0</v>
      </c>
      <c r="DD53" s="142">
        <f t="shared" si="263"/>
        <v>0</v>
      </c>
      <c r="DE53" s="142">
        <f t="shared" si="263"/>
        <v>0</v>
      </c>
      <c r="DF53" s="142">
        <f t="shared" si="263"/>
        <v>0</v>
      </c>
      <c r="DG53" s="142">
        <f t="shared" si="263"/>
        <v>0</v>
      </c>
      <c r="DH53" s="142">
        <f t="shared" si="263"/>
        <v>0</v>
      </c>
      <c r="DI53" s="142">
        <f t="shared" si="263"/>
        <v>0</v>
      </c>
      <c r="DJ53" s="142">
        <f t="shared" si="263"/>
        <v>0</v>
      </c>
      <c r="DK53" s="142">
        <f t="shared" si="263"/>
        <v>0</v>
      </c>
      <c r="DL53" s="142">
        <f t="shared" si="263"/>
        <v>0</v>
      </c>
      <c r="DM53" s="142">
        <f t="shared" si="263"/>
        <v>0</v>
      </c>
      <c r="DN53" s="142">
        <f t="shared" si="263"/>
        <v>0</v>
      </c>
      <c r="DO53" s="142">
        <f t="shared" si="263"/>
        <v>0</v>
      </c>
      <c r="DP53" s="142">
        <f t="shared" si="263"/>
        <v>0</v>
      </c>
      <c r="DQ53" s="142">
        <f t="shared" si="263"/>
        <v>0</v>
      </c>
      <c r="DR53" s="142">
        <f t="shared" si="263"/>
        <v>0</v>
      </c>
      <c r="DS53" s="142">
        <f t="shared" si="263"/>
        <v>0</v>
      </c>
      <c r="DT53" s="142">
        <f t="shared" si="263"/>
        <v>0</v>
      </c>
      <c r="DU53" s="142">
        <f t="shared" si="263"/>
        <v>0</v>
      </c>
      <c r="DV53" s="142">
        <f t="shared" si="263"/>
        <v>0</v>
      </c>
      <c r="DW53" s="142">
        <f t="shared" si="263"/>
        <v>0</v>
      </c>
      <c r="DX53" s="142">
        <f t="shared" si="263"/>
        <v>0</v>
      </c>
      <c r="DY53" s="142">
        <f t="shared" si="263"/>
        <v>0</v>
      </c>
      <c r="DZ53" s="142">
        <f t="shared" si="263"/>
        <v>0</v>
      </c>
      <c r="EA53" s="143">
        <f t="shared" si="174"/>
        <v>0</v>
      </c>
      <c r="EB53" s="143">
        <f t="shared" si="175"/>
        <v>0</v>
      </c>
      <c r="EC53" s="143">
        <f t="shared" si="176"/>
        <v>0</v>
      </c>
      <c r="ED53" s="143">
        <f t="shared" si="177"/>
        <v>0</v>
      </c>
      <c r="EE53" s="143">
        <f t="shared" si="178"/>
        <v>0</v>
      </c>
      <c r="EF53" s="143">
        <f t="shared" si="179"/>
        <v>0</v>
      </c>
      <c r="EG53" s="143">
        <f t="shared" si="180"/>
        <v>0</v>
      </c>
      <c r="EH53" s="143">
        <f t="shared" si="181"/>
        <v>0</v>
      </c>
      <c r="EI53" s="143">
        <f t="shared" si="182"/>
        <v>0</v>
      </c>
      <c r="EJ53" s="143">
        <f t="shared" si="183"/>
        <v>0</v>
      </c>
      <c r="EK53" s="143">
        <f t="shared" si="184"/>
        <v>0</v>
      </c>
      <c r="EL53" s="143">
        <f t="shared" si="185"/>
        <v>0</v>
      </c>
      <c r="EM53" s="143">
        <f t="shared" si="186"/>
        <v>0</v>
      </c>
      <c r="EN53" s="143">
        <f t="shared" si="187"/>
        <v>0</v>
      </c>
      <c r="EO53" s="143">
        <f t="shared" si="188"/>
        <v>0</v>
      </c>
      <c r="EP53" s="143">
        <f t="shared" si="189"/>
        <v>0</v>
      </c>
      <c r="EQ53" s="143">
        <f t="shared" si="190"/>
        <v>0</v>
      </c>
      <c r="ER53" s="143">
        <f t="shared" si="191"/>
        <v>0</v>
      </c>
      <c r="ES53" s="143">
        <f t="shared" si="192"/>
        <v>0</v>
      </c>
      <c r="ET53" s="143">
        <f t="shared" si="193"/>
        <v>0</v>
      </c>
      <c r="EU53" s="143">
        <f t="shared" si="194"/>
        <v>0</v>
      </c>
      <c r="EV53" s="143">
        <f t="shared" si="195"/>
        <v>0</v>
      </c>
      <c r="EW53" s="143">
        <f t="shared" si="196"/>
        <v>0</v>
      </c>
      <c r="EX53" s="143">
        <f t="shared" si="197"/>
        <v>0</v>
      </c>
      <c r="EY53" s="143">
        <f t="shared" si="198"/>
        <v>0</v>
      </c>
      <c r="EZ53" s="143">
        <f t="shared" si="199"/>
        <v>0</v>
      </c>
      <c r="FA53" s="143">
        <f t="shared" si="200"/>
        <v>0</v>
      </c>
      <c r="FB53" s="143">
        <f t="shared" si="201"/>
        <v>0</v>
      </c>
      <c r="FC53" s="143">
        <f t="shared" si="202"/>
        <v>0</v>
      </c>
      <c r="FD53" s="143">
        <f t="shared" si="203"/>
        <v>0</v>
      </c>
      <c r="FE53" s="140">
        <f>SUM($D53:D53)*IF($B53="Operacional",IFERROR(VLOOKUP($C53,SN_UGC,28,0),0),1)</f>
        <v>5958.84</v>
      </c>
      <c r="FF53" s="140">
        <f>SUM($D53:E53)*IF($B53="Operacional",IFERROR(VLOOKUP($C53,SN_UGC,28,0),0),1)</f>
        <v>5958.84</v>
      </c>
      <c r="FG53" s="140">
        <f>SUM($D53:F53)*IF($B53="Operacional",IFERROR(VLOOKUP($C53,SN_UGC,28,0),0),1)</f>
        <v>5958.84</v>
      </c>
      <c r="FH53" s="140">
        <f>SUM($D53:G53)*IF($B53="Operacional",IFERROR(VLOOKUP($C53,SN_UGC,28,0),0),1)</f>
        <v>5958.84</v>
      </c>
      <c r="FI53" s="140">
        <f>SUM($D53:H53)*IF($B53="Operacional",IFERROR(VLOOKUP($C53,SN_UGC,28,0),0),1)</f>
        <v>5958.84</v>
      </c>
      <c r="FJ53" s="140">
        <f>SUM($D53:I53)*IF($B53="Operacional",IFERROR(VLOOKUP($C53,SN_UGC,28,0),0),1)</f>
        <v>5958.84</v>
      </c>
      <c r="FK53" s="140">
        <f>SUM($D53:J53)*IF($B53="Operacional",IFERROR(VLOOKUP($C53,SN_UGC,28,0),0),1)</f>
        <v>5958.84</v>
      </c>
      <c r="FL53" s="140">
        <f>SUM($D53:K53)*IF($B53="Operacional",IFERROR(VLOOKUP($C53,SN_UGC,28,0),0),1)</f>
        <v>5958.84</v>
      </c>
      <c r="FM53" s="140">
        <f>SUM($D53:L53)*IF($B53="Operacional",IFERROR(VLOOKUP($C53,SN_UGC,28,0),0),1)</f>
        <v>5958.84</v>
      </c>
      <c r="FN53" s="140">
        <f>SUM($D53:M53)*IF($B53="Operacional",IFERROR(VLOOKUP($C53,SN_UGC,28,0),0),1)</f>
        <v>5958.84</v>
      </c>
      <c r="FO53" s="140">
        <f>SUM($D53:N53)*IF($B53="Operacional",IFERROR(VLOOKUP($C53,SN_UGC,28,0),0),1)</f>
        <v>5958.84</v>
      </c>
      <c r="FP53" s="140">
        <f>SUM($D53:O53)*IF($B53="Operacional",IFERROR(VLOOKUP($C53,SN_UGC,28,0),0),1)</f>
        <v>5958.84</v>
      </c>
      <c r="FQ53" s="140">
        <f>SUM($D53:P53)*IF($B53="Operacional",IFERROR(VLOOKUP($C53,SN_UGC,28,0),0),1)</f>
        <v>5958.84</v>
      </c>
      <c r="FR53" s="140">
        <f>SUM($D53:Q53)*IF($B53="Operacional",IFERROR(VLOOKUP($C53,SN_UGC,28,0),0),1)</f>
        <v>5958.84</v>
      </c>
      <c r="FS53" s="140">
        <f>SUM($D53:R53)*IF($B53="Operacional",IFERROR(VLOOKUP($C53,SN_UGC,28,0),0),1)</f>
        <v>5958.84</v>
      </c>
      <c r="FT53" s="140">
        <f>SUM($D53:S53)*IF($B53="Operacional",IFERROR(VLOOKUP($C53,SN_UGC,28,0),0),1)</f>
        <v>5958.84</v>
      </c>
      <c r="FU53" s="140">
        <f>SUM($D53:T53)*IF($B53="Operacional",IFERROR(VLOOKUP($C53,SN_UGC,28,0),0),1)</f>
        <v>5958.84</v>
      </c>
      <c r="FV53" s="140">
        <f>SUM($D53:U53)*IF($B53="Operacional",IFERROR(VLOOKUP($C53,SN_UGC,28,0),0),1)</f>
        <v>5958.84</v>
      </c>
      <c r="FW53" s="140">
        <f>SUM($D53:V53)*IF($B53="Operacional",IFERROR(VLOOKUP($C53,SN_UGC,28,0),0),1)</f>
        <v>5958.84</v>
      </c>
      <c r="FX53" s="140">
        <f>SUM($D53:W53)*IF($B53="Operacional",IFERROR(VLOOKUP($C53,SN_UGC,28,0),0),1)</f>
        <v>5958.84</v>
      </c>
      <c r="FY53" s="140">
        <f>SUM($D53:X53)*IF($B53="Operacional",IFERROR(VLOOKUP($C53,SN_UGC,28,0),0),1)</f>
        <v>5958.84</v>
      </c>
      <c r="FZ53" s="140">
        <f>SUM($D53:Y53)*IF($B53="Operacional",IFERROR(VLOOKUP($C53,SN_UGC,28,0),0),1)</f>
        <v>5958.84</v>
      </c>
      <c r="GA53" s="140">
        <f>SUM($D53:Z53)*IF($B53="Operacional",IFERROR(VLOOKUP($C53,SN_UGC,28,0),0),1)</f>
        <v>5958.84</v>
      </c>
      <c r="GB53" s="140">
        <f>SUM($D53:AA53)*IF($B53="Operacional",IFERROR(VLOOKUP($C53,SN_UGC,28,0),0),1)</f>
        <v>5958.84</v>
      </c>
      <c r="GC53" s="140">
        <f>SUM($D53:AB53)*IF($B53="Operacional",IFERROR(VLOOKUP($C53,SN_UGC,28,0),0),1)</f>
        <v>5958.84</v>
      </c>
      <c r="GD53" s="140">
        <f>SUM($D53:AC53)*IF($B53="Operacional",IFERROR(VLOOKUP($C53,SN_UGC,28,0),0),1)</f>
        <v>5958.84</v>
      </c>
      <c r="GE53" s="140">
        <f>SUM($D53:AD53)*IF($B53="Operacional",IFERROR(VLOOKUP($C53,SN_UGC,28,0),0),1)</f>
        <v>5958.84</v>
      </c>
      <c r="GF53" s="140">
        <f>SUM($D53:AE53)*IF($B53="Operacional",IFERROR(VLOOKUP($C53,SN_UGC,28,0),0),1)</f>
        <v>5958.84</v>
      </c>
      <c r="GG53" s="140">
        <f>SUM($D53:AF53)*IF($B53="Operacional",IFERROR(VLOOKUP($C53,SN_UGC,28,0),0),1)</f>
        <v>5958.84</v>
      </c>
      <c r="GH53" s="140">
        <f>SUM($D53:AG53)*IF($B53="Operacional",IFERROR(VLOOKUP($C53,SN_UGC,28,0),0),1)</f>
        <v>5958.84</v>
      </c>
      <c r="GI53" s="141">
        <f t="shared" ref="GI53:HL53" si="264">FE53*$AH53*$AL53</f>
        <v>28185.313200000004</v>
      </c>
      <c r="GJ53" s="141">
        <f t="shared" si="264"/>
        <v>28185.313200000004</v>
      </c>
      <c r="GK53" s="141">
        <f t="shared" si="264"/>
        <v>28185.313200000004</v>
      </c>
      <c r="GL53" s="141">
        <f t="shared" si="264"/>
        <v>28185.313200000004</v>
      </c>
      <c r="GM53" s="141">
        <f t="shared" si="264"/>
        <v>28185.313200000004</v>
      </c>
      <c r="GN53" s="141">
        <f t="shared" si="264"/>
        <v>28185.313200000004</v>
      </c>
      <c r="GO53" s="141">
        <f t="shared" si="264"/>
        <v>28185.313200000004</v>
      </c>
      <c r="GP53" s="141">
        <f t="shared" si="264"/>
        <v>28185.313200000004</v>
      </c>
      <c r="GQ53" s="141">
        <f t="shared" si="264"/>
        <v>28185.313200000004</v>
      </c>
      <c r="GR53" s="141">
        <f t="shared" si="264"/>
        <v>28185.313200000004</v>
      </c>
      <c r="GS53" s="141">
        <f t="shared" si="264"/>
        <v>28185.313200000004</v>
      </c>
      <c r="GT53" s="141">
        <f t="shared" si="264"/>
        <v>28185.313200000004</v>
      </c>
      <c r="GU53" s="141">
        <f t="shared" si="264"/>
        <v>28185.313200000004</v>
      </c>
      <c r="GV53" s="141">
        <f t="shared" si="264"/>
        <v>28185.313200000004</v>
      </c>
      <c r="GW53" s="141">
        <f t="shared" si="264"/>
        <v>28185.313200000004</v>
      </c>
      <c r="GX53" s="141">
        <f t="shared" si="264"/>
        <v>28185.313200000004</v>
      </c>
      <c r="GY53" s="141">
        <f t="shared" si="264"/>
        <v>28185.313200000004</v>
      </c>
      <c r="GZ53" s="141">
        <f t="shared" si="264"/>
        <v>28185.313200000004</v>
      </c>
      <c r="HA53" s="141">
        <f t="shared" si="264"/>
        <v>28185.313200000004</v>
      </c>
      <c r="HB53" s="141">
        <f t="shared" si="264"/>
        <v>28185.313200000004</v>
      </c>
      <c r="HC53" s="141">
        <f t="shared" si="264"/>
        <v>28185.313200000004</v>
      </c>
      <c r="HD53" s="141">
        <f t="shared" si="264"/>
        <v>28185.313200000004</v>
      </c>
      <c r="HE53" s="141">
        <f t="shared" si="264"/>
        <v>28185.313200000004</v>
      </c>
      <c r="HF53" s="141">
        <f t="shared" si="264"/>
        <v>28185.313200000004</v>
      </c>
      <c r="HG53" s="141">
        <f t="shared" si="264"/>
        <v>28185.313200000004</v>
      </c>
      <c r="HH53" s="141">
        <f t="shared" si="264"/>
        <v>28185.313200000004</v>
      </c>
      <c r="HI53" s="141">
        <f t="shared" si="264"/>
        <v>28185.313200000004</v>
      </c>
      <c r="HJ53" s="141">
        <f t="shared" si="264"/>
        <v>28185.313200000004</v>
      </c>
      <c r="HK53" s="141">
        <f t="shared" si="264"/>
        <v>28185.313200000004</v>
      </c>
      <c r="HL53" s="141">
        <f t="shared" si="264"/>
        <v>28185.313200000004</v>
      </c>
      <c r="HM53" s="142">
        <f t="shared" ref="HM53:IP53" si="265">IF(ISBLANK($A53),,FE53*($AH53-($AH53*$AJ53))/$AI53)</f>
        <v>0</v>
      </c>
      <c r="HN53" s="142">
        <f t="shared" si="265"/>
        <v>0</v>
      </c>
      <c r="HO53" s="142">
        <f t="shared" si="265"/>
        <v>0</v>
      </c>
      <c r="HP53" s="142">
        <f t="shared" si="265"/>
        <v>0</v>
      </c>
      <c r="HQ53" s="142">
        <f t="shared" si="265"/>
        <v>0</v>
      </c>
      <c r="HR53" s="142">
        <f t="shared" si="265"/>
        <v>0</v>
      </c>
      <c r="HS53" s="142">
        <f t="shared" si="265"/>
        <v>0</v>
      </c>
      <c r="HT53" s="142">
        <f t="shared" si="265"/>
        <v>0</v>
      </c>
      <c r="HU53" s="142">
        <f t="shared" si="265"/>
        <v>0</v>
      </c>
      <c r="HV53" s="142">
        <f t="shared" si="265"/>
        <v>0</v>
      </c>
      <c r="HW53" s="142">
        <f t="shared" si="265"/>
        <v>0</v>
      </c>
      <c r="HX53" s="142">
        <f t="shared" si="265"/>
        <v>0</v>
      </c>
      <c r="HY53" s="142">
        <f t="shared" si="265"/>
        <v>0</v>
      </c>
      <c r="HZ53" s="142">
        <f t="shared" si="265"/>
        <v>0</v>
      </c>
      <c r="IA53" s="142">
        <f t="shared" si="265"/>
        <v>0</v>
      </c>
      <c r="IB53" s="142">
        <f t="shared" si="265"/>
        <v>0</v>
      </c>
      <c r="IC53" s="142">
        <f t="shared" si="265"/>
        <v>0</v>
      </c>
      <c r="ID53" s="142">
        <f t="shared" si="265"/>
        <v>0</v>
      </c>
      <c r="IE53" s="142">
        <f t="shared" si="265"/>
        <v>0</v>
      </c>
      <c r="IF53" s="142">
        <f t="shared" si="265"/>
        <v>0</v>
      </c>
      <c r="IG53" s="142">
        <f t="shared" si="265"/>
        <v>0</v>
      </c>
      <c r="IH53" s="142">
        <f t="shared" si="265"/>
        <v>0</v>
      </c>
      <c r="II53" s="142">
        <f t="shared" si="265"/>
        <v>0</v>
      </c>
      <c r="IJ53" s="142">
        <f t="shared" si="265"/>
        <v>0</v>
      </c>
      <c r="IK53" s="142">
        <f t="shared" si="265"/>
        <v>0</v>
      </c>
      <c r="IL53" s="142">
        <f t="shared" si="265"/>
        <v>0</v>
      </c>
      <c r="IM53" s="142">
        <f t="shared" si="265"/>
        <v>0</v>
      </c>
      <c r="IN53" s="142">
        <f t="shared" si="265"/>
        <v>0</v>
      </c>
      <c r="IO53" s="142">
        <f t="shared" si="265"/>
        <v>0</v>
      </c>
      <c r="IP53" s="142">
        <f t="shared" si="265"/>
        <v>0</v>
      </c>
      <c r="IQ53" s="141">
        <f>IF(ISBLANK($A53),,IF($AN53="Não",0,(SUM($AO53:AO53)*$AH53)-SUM($HM53:HM53)-SUM($CW53:CW53)))</f>
        <v>0</v>
      </c>
      <c r="IR53" s="141">
        <f>IF(ISBLANK($A53),,IF($AN53="Não",0,(SUM($AO53:AP53)*$AH53)-SUM($HM53:HN53)-SUM($CW53:CX53)))</f>
        <v>0</v>
      </c>
      <c r="IS53" s="141">
        <f>IF(ISBLANK($A53),,IF($AN53="Não",0,(SUM($AO53:AQ53)*$AH53)-SUM($HM53:HO53)-SUM($CW53:CY53)))</f>
        <v>0</v>
      </c>
      <c r="IT53" s="141">
        <f>IF(ISBLANK($A53),,IF($AN53="Não",0,(SUM($AO53:AR53)*$AH53)-SUM($HM53:HP53)-SUM($CW53:CZ53)))</f>
        <v>0</v>
      </c>
      <c r="IU53" s="141">
        <f>IF(ISBLANK($A53),,IF($AN53="Não",0,(SUM($AO53:AS53)*$AH53)-SUM($HM53:HQ53)-SUM($CW53:DA53)))</f>
        <v>0</v>
      </c>
      <c r="IV53" s="141">
        <f>IF(ISBLANK($A53),,IF($AN53="Não",0,(SUM($AO53:AT53)*$AH53)-SUM($HM53:HR53)-SUM($CW53:DB53)))</f>
        <v>0</v>
      </c>
      <c r="IW53" s="141">
        <f>IF(ISBLANK($A53),,IF($AN53="Não",0,(SUM($AO53:AU53)*$AH53)-SUM($HM53:HS53)-SUM($CW53:DC53)))</f>
        <v>0</v>
      </c>
      <c r="IX53" s="141">
        <f>IF(ISBLANK($A53),,IF($AN53="Não",0,(SUM($AO53:AV53)*$AH53)-SUM($HM53:HT53)-SUM($CW53:DD53)))</f>
        <v>0</v>
      </c>
      <c r="IY53" s="141">
        <f>IF(ISBLANK($A53),,IF($AN53="Não",0,(SUM($AO53:AW53)*$AH53)-SUM($HM53:HU53)-SUM($CW53:DE53)))</f>
        <v>0</v>
      </c>
      <c r="IZ53" s="141">
        <f>IF(ISBLANK($A53),,IF($AN53="Não",0,(SUM($AO53:AX53)*$AH53)-SUM($HM53:HV53)-SUM($CW53:DF53)))</f>
        <v>0</v>
      </c>
      <c r="JA53" s="141">
        <f>IF(ISBLANK($A53),,IF($AN53="Não",0,(SUM($AO53:AY53)*$AH53)-SUM($HM53:HW53)-SUM($CW53:DG53)))</f>
        <v>0</v>
      </c>
      <c r="JB53" s="141">
        <f>IF(ISBLANK($A53),,IF($AN53="Não",0,(SUM($AO53:AZ53)*$AH53)-SUM($HM53:HX53)-SUM($CW53:DH53)))</f>
        <v>0</v>
      </c>
      <c r="JC53" s="141">
        <f>IF(ISBLANK($A53),,IF($AN53="Não",0,(SUM($AO53:BA53)*$AH53)-SUM($HM53:HY53)-SUM($CW53:DI53)))</f>
        <v>0</v>
      </c>
      <c r="JD53" s="141">
        <f>IF(ISBLANK($A53),,IF($AN53="Não",0,(SUM($AO53:BB53)*$AH53)-SUM($HM53:HZ53)-SUM($CW53:DJ53)))</f>
        <v>0</v>
      </c>
      <c r="JE53" s="141">
        <f>IF(ISBLANK($A53),,IF($AN53="Não",0,(SUM($AO53:BC53)*$AH53)-SUM($HM53:IA53)-SUM($CW53:DK53)))</f>
        <v>0</v>
      </c>
      <c r="JF53" s="141">
        <f>IF(ISBLANK($A53),,IF($AN53="Não",0,(SUM($AO53:BD53)*$AH53)-SUM($HM53:IB53)-SUM($CW53:DL53)))</f>
        <v>0</v>
      </c>
      <c r="JG53" s="141">
        <f>IF(ISBLANK($A53),,IF($AN53="Não",0,(SUM($AO53:BE53)*$AH53)-SUM($HM53:IC53)-SUM($CW53:DM53)))</f>
        <v>0</v>
      </c>
      <c r="JH53" s="141">
        <f>IF(ISBLANK($A53),,IF($AN53="Não",0,(SUM($AO53:BF53)*$AH53)-SUM($HM53:ID53)-SUM($CW53:DN53)))</f>
        <v>0</v>
      </c>
      <c r="JI53" s="141">
        <f>IF(ISBLANK($A53),,IF($AN53="Não",0,(SUM($AO53:BG53)*$AH53)-SUM($HM53:IE53)-SUM($CW53:DO53)))</f>
        <v>0</v>
      </c>
      <c r="JJ53" s="141">
        <f>IF(ISBLANK($A53),,IF($AN53="Não",0,(SUM($AO53:BH53)*$AH53)-SUM($HM53:IF53)-SUM($CW53:DP53)))</f>
        <v>0</v>
      </c>
      <c r="JK53" s="141">
        <f>IF(ISBLANK($A53),,IF($AN53="Não",0,(SUM($AO53:BI53)*$AH53)-SUM($HM53:IG53)-SUM($CW53:DQ53)))</f>
        <v>0</v>
      </c>
      <c r="JL53" s="141">
        <f>IF(ISBLANK($A53),,IF($AN53="Não",0,(SUM($AO53:BJ53)*$AH53)-SUM($HM53:IH53)-SUM($CW53:DR53)))</f>
        <v>0</v>
      </c>
      <c r="JM53" s="141">
        <f>IF(ISBLANK($A53),,IF($AN53="Não",0,(SUM($AO53:BK53)*$AH53)-SUM($HM53:II53)-SUM($CW53:DS53)))</f>
        <v>0</v>
      </c>
      <c r="JN53" s="141">
        <f>IF(ISBLANK($A53),,IF($AN53="Não",0,(SUM($AO53:BL53)*$AH53)-SUM($HM53:IJ53)-SUM($CW53:DT53)))</f>
        <v>0</v>
      </c>
      <c r="JO53" s="141">
        <f>IF(ISBLANK($A53),,IF($AN53="Não",0,(SUM($AO53:BM53)*$AH53)-SUM($HM53:IK53)-SUM($CW53:DU53)))</f>
        <v>0</v>
      </c>
      <c r="JP53" s="141">
        <f>IF(ISBLANK($A53),,IF($AN53="Não",0,(SUM($AO53:BN53)*$AH53)-SUM($HM53:IL53)-SUM($CW53:DV53)))</f>
        <v>0</v>
      </c>
      <c r="JQ53" s="141">
        <f>IF(ISBLANK($A53),,IF($AN53="Não",0,(SUM($AO53:BO53)*$AH53)-SUM($HM53:IM53)-SUM($CW53:DW53)))</f>
        <v>0</v>
      </c>
      <c r="JR53" s="141">
        <f>IF(ISBLANK($A53),,IF($AN53="Não",0,(SUM($AO53:BP53)*$AH53)-SUM($HM53:IN53)-SUM($CW53:DX53)))</f>
        <v>0</v>
      </c>
      <c r="JS53" s="141">
        <f>IF(ISBLANK($A53),,IF($AN53="Não",0,(SUM($AO53:BQ53)*$AH53)-SUM($HM53:IO53)-SUM($CW53:DY53)))</f>
        <v>0</v>
      </c>
      <c r="JT53" s="141">
        <f>IF(ISBLANK($A53),,IF($AN53="Não",0,(SUM($AO53:BR53)*$AH53)-SUM($HM53:IP53)-SUM($CW53:DZ53)))</f>
        <v>0</v>
      </c>
    </row>
    <row r="54" spans="1:280" ht="15.75" customHeight="1">
      <c r="A54" s="129" t="s">
        <v>406</v>
      </c>
      <c r="B54" s="129" t="s">
        <v>209</v>
      </c>
      <c r="C54" s="138" t="s">
        <v>102</v>
      </c>
      <c r="D54" s="139">
        <v>74.599999999999994</v>
      </c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607">
        <f t="shared" si="165"/>
        <v>407.00000000000006</v>
      </c>
      <c r="AI54" s="608">
        <f t="shared" si="166"/>
        <v>10</v>
      </c>
      <c r="AJ54" s="609">
        <f t="shared" si="167"/>
        <v>0.25</v>
      </c>
      <c r="AK54" s="610" t="str">
        <f t="shared" si="168"/>
        <v>Móveis e Utensílios</v>
      </c>
      <c r="AL54" s="609">
        <f t="shared" si="169"/>
        <v>0.05</v>
      </c>
      <c r="AM54" s="611" t="str">
        <f t="shared" si="170"/>
        <v>Sim</v>
      </c>
      <c r="AN54" s="611" t="str">
        <f t="shared" si="171"/>
        <v>Sim</v>
      </c>
      <c r="AO54" s="140">
        <f t="array" ref="AO54">IF(ISBLANK($A54),0,IF(OR(AO$5-$AI54&lt;=0,$AM54="Não"),D54,D54+INDEX($AO$6:$BR$176,ROW()-5,COLUMN()-40-$AI54)))*IF($B54="Operacional",IFERROR(VLOOKUP($C54,SN_UGC,28,0),0),1)</f>
        <v>74.599999999999994</v>
      </c>
      <c r="AP54" s="140">
        <f t="array" ref="AP54">IF(ISBLANK($A54),0,IF(OR(AP$5-$AI54&lt;=0,$AM54="Não"),E54,E54+INDEX($AO$6:$BR$176,ROW()-5,COLUMN()-40-$AI54)))*IF($B54="Operacional",IFERROR(VLOOKUP($C54,SN_UGC,28,0),0),1)</f>
        <v>0</v>
      </c>
      <c r="AQ54" s="140">
        <f t="array" ref="AQ54">IF(ISBLANK($A54),0,IF(OR(AQ$5-$AI54&lt;=0,$AM54="Não"),F54,F54+INDEX($AO$6:$BR$176,ROW()-5,COLUMN()-40-$AI54)))*IF($B54="Operacional",IFERROR(VLOOKUP($C54,SN_UGC,28,0),0),1)</f>
        <v>0</v>
      </c>
      <c r="AR54" s="140">
        <f t="array" ref="AR54">IF(ISBLANK($A54),0,IF(OR(AR$5-$AI54&lt;=0,$AM54="Não"),G54,G54+INDEX($AO$6:$BR$176,ROW()-5,COLUMN()-40-$AI54)))*IF($B54="Operacional",IFERROR(VLOOKUP($C54,SN_UGC,28,0),0),1)</f>
        <v>0</v>
      </c>
      <c r="AS54" s="140">
        <f t="array" ref="AS54">IF(ISBLANK($A54),0,IF(OR(AS$5-$AI54&lt;=0,$AM54="Não"),H54,H54+INDEX($AO$6:$BR$176,ROW()-5,COLUMN()-40-$AI54)))*IF($B54="Operacional",IFERROR(VLOOKUP($C54,SN_UGC,28,0),0),1)</f>
        <v>0</v>
      </c>
      <c r="AT54" s="140">
        <f t="array" ref="AT54">IF(ISBLANK($A54),0,IF(OR(AT$5-$AI54&lt;=0,$AM54="Não"),I54,I54+INDEX($AO$6:$BR$176,ROW()-5,COLUMN()-40-$AI54)))*IF($B54="Operacional",IFERROR(VLOOKUP($C54,SN_UGC,28,0),0),1)</f>
        <v>0</v>
      </c>
      <c r="AU54" s="140">
        <f t="array" ref="AU54">IF(ISBLANK($A54),0,IF(OR(AU$5-$AI54&lt;=0,$AM54="Não"),J54,J54+INDEX($AO$6:$BR$176,ROW()-5,COLUMN()-40-$AI54)))*IF($B54="Operacional",IFERROR(VLOOKUP($C54,SN_UGC,28,0),0),1)</f>
        <v>0</v>
      </c>
      <c r="AV54" s="140">
        <f t="array" ref="AV54">IF(ISBLANK($A54),0,IF(OR(AV$5-$AI54&lt;=0,$AM54="Não"),K54,K54+INDEX($AO$6:$BR$176,ROW()-5,COLUMN()-40-$AI54)))*IF($B54="Operacional",IFERROR(VLOOKUP($C54,SN_UGC,28,0),0),1)</f>
        <v>0</v>
      </c>
      <c r="AW54" s="140">
        <f t="array" ref="AW54">IF(ISBLANK($A54),0,IF(OR(AW$5-$AI54&lt;=0,$AM54="Não"),L54,L54+INDEX($AO$6:$BR$176,ROW()-5,COLUMN()-40-$AI54)))*IF($B54="Operacional",IFERROR(VLOOKUP($C54,SN_UGC,28,0),0),1)</f>
        <v>0</v>
      </c>
      <c r="AX54" s="140">
        <f t="array" ref="AX54">IF(ISBLANK($A54),0,IF(OR(AX$5-$AI54&lt;=0,$AM54="Não"),M54,M54+INDEX($AO$6:$BR$176,ROW()-5,COLUMN()-40-$AI54)))*IF($B54="Operacional",IFERROR(VLOOKUP($C54,SN_UGC,28,0),0),1)</f>
        <v>0</v>
      </c>
      <c r="AY54" s="140">
        <f t="array" ref="AY54">IF(ISBLANK($A54),0,IF(OR(AY$5-$AI54&lt;=0,$AM54="Não"),N54,N54+INDEX($AO$6:$BR$176,ROW()-5,COLUMN()-40-$AI54)))*IF($B54="Operacional",IFERROR(VLOOKUP($C54,SN_UGC,28,0),0),1)</f>
        <v>74.599999999999994</v>
      </c>
      <c r="AZ54" s="140">
        <f t="array" ref="AZ54">IF(ISBLANK($A54),0,IF(OR(AZ$5-$AI54&lt;=0,$AM54="Não"),O54,O54+INDEX($AO$6:$BR$176,ROW()-5,COLUMN()-40-$AI54)))*IF($B54="Operacional",IFERROR(VLOOKUP($C54,SN_UGC,28,0),0),1)</f>
        <v>0</v>
      </c>
      <c r="BA54" s="140">
        <f t="array" ref="BA54">IF(ISBLANK($A54),0,IF(OR(BA$5-$AI54&lt;=0,$AM54="Não"),P54,P54+INDEX($AO$6:$BR$176,ROW()-5,COLUMN()-40-$AI54)))*IF($B54="Operacional",IFERROR(VLOOKUP($C54,SN_UGC,28,0),0),1)</f>
        <v>0</v>
      </c>
      <c r="BB54" s="140">
        <f t="array" ref="BB54">IF(ISBLANK($A54),0,IF(OR(BB$5-$AI54&lt;=0,$AM54="Não"),Q54,Q54+INDEX($AO$6:$BR$176,ROW()-5,COLUMN()-40-$AI54)))*IF($B54="Operacional",IFERROR(VLOOKUP($C54,SN_UGC,28,0),0),1)</f>
        <v>0</v>
      </c>
      <c r="BC54" s="140">
        <f t="array" ref="BC54">IF(ISBLANK($A54),0,IF(OR(BC$5-$AI54&lt;=0,$AM54="Não"),R54,R54+INDEX($AO$6:$BR$176,ROW()-5,COLUMN()-40-$AI54)))*IF($B54="Operacional",IFERROR(VLOOKUP($C54,SN_UGC,28,0),0),1)</f>
        <v>0</v>
      </c>
      <c r="BD54" s="140">
        <f t="array" ref="BD54">IF(ISBLANK($A54),0,IF(OR(BD$5-$AI54&lt;=0,$AM54="Não"),S54,S54+INDEX($AO$6:$BR$176,ROW()-5,COLUMN()-40-$AI54)))*IF($B54="Operacional",IFERROR(VLOOKUP($C54,SN_UGC,28,0),0),1)</f>
        <v>0</v>
      </c>
      <c r="BE54" s="140">
        <f t="array" ref="BE54">IF(ISBLANK($A54),0,IF(OR(BE$5-$AI54&lt;=0,$AM54="Não"),T54,T54+INDEX($AO$6:$BR$176,ROW()-5,COLUMN()-40-$AI54)))*IF($B54="Operacional",IFERROR(VLOOKUP($C54,SN_UGC,28,0),0),1)</f>
        <v>0</v>
      </c>
      <c r="BF54" s="140">
        <f t="array" ref="BF54">IF(ISBLANK($A54),0,IF(OR(BF$5-$AI54&lt;=0,$AM54="Não"),U54,U54+INDEX($AO$6:$BR$176,ROW()-5,COLUMN()-40-$AI54)))*IF($B54="Operacional",IFERROR(VLOOKUP($C54,SN_UGC,28,0),0),1)</f>
        <v>0</v>
      </c>
      <c r="BG54" s="140">
        <f t="array" ref="BG54">IF(ISBLANK($A54),0,IF(OR(BG$5-$AI54&lt;=0,$AM54="Não"),V54,V54+INDEX($AO$6:$BR$176,ROW()-5,COLUMN()-40-$AI54)))*IF($B54="Operacional",IFERROR(VLOOKUP($C54,SN_UGC,28,0),0),1)</f>
        <v>0</v>
      </c>
      <c r="BH54" s="140">
        <f t="array" ref="BH54">IF(ISBLANK($A54),0,IF(OR(BH$5-$AI54&lt;=0,$AM54="Não"),W54,W54+INDEX($AO$6:$BR$176,ROW()-5,COLUMN()-40-$AI54)))*IF($B54="Operacional",IFERROR(VLOOKUP($C54,SN_UGC,28,0),0),1)</f>
        <v>0</v>
      </c>
      <c r="BI54" s="140">
        <f t="array" ref="BI54">IF(ISBLANK($A54),0,IF(OR(BI$5-$AI54&lt;=0,$AM54="Não"),X54,X54+INDEX($AO$6:$BR$176,ROW()-5,COLUMN()-40-$AI54)))*IF($B54="Operacional",IFERROR(VLOOKUP($C54,SN_UGC,28,0),0),1)</f>
        <v>74.599999999999994</v>
      </c>
      <c r="BJ54" s="140">
        <f t="array" ref="BJ54">IF(ISBLANK($A54),0,IF(OR(BJ$5-$AI54&lt;=0,$AM54="Não"),Y54,Y54+INDEX($AO$6:$BR$176,ROW()-5,COLUMN()-40-$AI54)))*IF($B54="Operacional",IFERROR(VLOOKUP($C54,SN_UGC,28,0),0),1)</f>
        <v>0</v>
      </c>
      <c r="BK54" s="140">
        <f t="array" ref="BK54">IF(ISBLANK($A54),0,IF(OR(BK$5-$AI54&lt;=0,$AM54="Não"),Z54,Z54+INDEX($AO$6:$BR$176,ROW()-5,COLUMN()-40-$AI54)))*IF($B54="Operacional",IFERROR(VLOOKUP($C54,SN_UGC,28,0),0),1)</f>
        <v>0</v>
      </c>
      <c r="BL54" s="140">
        <f t="array" ref="BL54">IF(ISBLANK($A54),0,IF(OR(BL$5-$AI54&lt;=0,$AM54="Não"),AA54,AA54+INDEX($AO$6:$BR$176,ROW()-5,COLUMN()-40-$AI54)))*IF($B54="Operacional",IFERROR(VLOOKUP($C54,SN_UGC,28,0),0),1)</f>
        <v>0</v>
      </c>
      <c r="BM54" s="140">
        <f t="array" ref="BM54">IF(ISBLANK($A54),0,IF(OR(BM$5-$AI54&lt;=0,$AM54="Não"),AB54,AB54+INDEX($AO$6:$BR$176,ROW()-5,COLUMN()-40-$AI54)))*IF($B54="Operacional",IFERROR(VLOOKUP($C54,SN_UGC,28,0),0),1)</f>
        <v>0</v>
      </c>
      <c r="BN54" s="140">
        <f t="array" ref="BN54">IF(ISBLANK($A54),0,IF(OR(BN$5-$AI54&lt;=0,$AM54="Não"),AC54,AC54+INDEX($AO$6:$BR$176,ROW()-5,COLUMN()-40-$AI54)))*IF($B54="Operacional",IFERROR(VLOOKUP($C54,SN_UGC,28,0),0),1)</f>
        <v>0</v>
      </c>
      <c r="BO54" s="140">
        <f t="array" ref="BO54">IF(ISBLANK($A54),0,IF(OR(BO$5-$AI54&lt;=0,$AM54="Não"),AD54,AD54+INDEX($AO$6:$BR$176,ROW()-5,COLUMN()-40-$AI54)))*IF($B54="Operacional",IFERROR(VLOOKUP($C54,SN_UGC,28,0),0),1)</f>
        <v>0</v>
      </c>
      <c r="BP54" s="140">
        <f t="array" ref="BP54">IF(ISBLANK($A54),0,IF(OR(BP$5-$AI54&lt;=0,$AM54="Não"),AE54,AE54+INDEX($AO$6:$BR$176,ROW()-5,COLUMN()-40-$AI54)))*IF($B54="Operacional",IFERROR(VLOOKUP($C54,SN_UGC,28,0),0),1)</f>
        <v>0</v>
      </c>
      <c r="BQ54" s="140">
        <f t="array" ref="BQ54">IF(ISBLANK($A54),0,IF(OR(BQ$5-$AI54&lt;=0,$AM54="Não"),AF54,AF54+INDEX($AO$6:$BR$176,ROW()-5,COLUMN()-40-$AI54)))*IF($B54="Operacional",IFERROR(VLOOKUP($C54,SN_UGC,28,0),0),1)</f>
        <v>0</v>
      </c>
      <c r="BR54" s="140">
        <f t="array" ref="BR54">IF(ISBLANK($A54),0,IF(OR(BR$5-$AI54&lt;=0,$AM54="Não"),AG54,AG54+INDEX($AO$6:$BR$176,ROW()-5,COLUMN()-40-$AI54)))*IF($B54="Operacional",IFERROR(VLOOKUP($C54,SN_UGC,28,0),0),1)</f>
        <v>0</v>
      </c>
      <c r="BS54" s="141">
        <f t="shared" ref="BS54:CV54" si="266">IF(ISBLANK($A54),0,$AH54*AO54)</f>
        <v>30362.2</v>
      </c>
      <c r="BT54" s="141">
        <f t="shared" si="266"/>
        <v>0</v>
      </c>
      <c r="BU54" s="141">
        <f t="shared" si="266"/>
        <v>0</v>
      </c>
      <c r="BV54" s="141">
        <f t="shared" si="266"/>
        <v>0</v>
      </c>
      <c r="BW54" s="141">
        <f t="shared" si="266"/>
        <v>0</v>
      </c>
      <c r="BX54" s="141">
        <f t="shared" si="266"/>
        <v>0</v>
      </c>
      <c r="BY54" s="141">
        <f t="shared" si="266"/>
        <v>0</v>
      </c>
      <c r="BZ54" s="141">
        <f t="shared" si="266"/>
        <v>0</v>
      </c>
      <c r="CA54" s="141">
        <f t="shared" si="266"/>
        <v>0</v>
      </c>
      <c r="CB54" s="141">
        <f t="shared" si="266"/>
        <v>0</v>
      </c>
      <c r="CC54" s="141">
        <f t="shared" si="266"/>
        <v>30362.2</v>
      </c>
      <c r="CD54" s="141">
        <f t="shared" si="266"/>
        <v>0</v>
      </c>
      <c r="CE54" s="141">
        <f t="shared" si="266"/>
        <v>0</v>
      </c>
      <c r="CF54" s="141">
        <f t="shared" si="266"/>
        <v>0</v>
      </c>
      <c r="CG54" s="141">
        <f t="shared" si="266"/>
        <v>0</v>
      </c>
      <c r="CH54" s="141">
        <f t="shared" si="266"/>
        <v>0</v>
      </c>
      <c r="CI54" s="141">
        <f t="shared" si="266"/>
        <v>0</v>
      </c>
      <c r="CJ54" s="141">
        <f t="shared" si="266"/>
        <v>0</v>
      </c>
      <c r="CK54" s="141">
        <f t="shared" si="266"/>
        <v>0</v>
      </c>
      <c r="CL54" s="141">
        <f t="shared" si="266"/>
        <v>0</v>
      </c>
      <c r="CM54" s="141">
        <f t="shared" si="266"/>
        <v>30362.2</v>
      </c>
      <c r="CN54" s="141">
        <f t="shared" si="266"/>
        <v>0</v>
      </c>
      <c r="CO54" s="141">
        <f t="shared" si="266"/>
        <v>0</v>
      </c>
      <c r="CP54" s="141">
        <f t="shared" si="266"/>
        <v>0</v>
      </c>
      <c r="CQ54" s="141">
        <f t="shared" si="266"/>
        <v>0</v>
      </c>
      <c r="CR54" s="141">
        <f t="shared" si="266"/>
        <v>0</v>
      </c>
      <c r="CS54" s="141">
        <f t="shared" si="266"/>
        <v>0</v>
      </c>
      <c r="CT54" s="141">
        <f t="shared" si="266"/>
        <v>0</v>
      </c>
      <c r="CU54" s="141">
        <f t="shared" si="266"/>
        <v>0</v>
      </c>
      <c r="CV54" s="141">
        <f t="shared" si="266"/>
        <v>0</v>
      </c>
      <c r="CW54" s="142">
        <f t="shared" ref="CW54:DZ54" si="267">EA54*$AH54*$AJ54</f>
        <v>0</v>
      </c>
      <c r="CX54" s="142">
        <f t="shared" si="267"/>
        <v>0</v>
      </c>
      <c r="CY54" s="142">
        <f t="shared" si="267"/>
        <v>0</v>
      </c>
      <c r="CZ54" s="142">
        <f t="shared" si="267"/>
        <v>0</v>
      </c>
      <c r="DA54" s="142">
        <f t="shared" si="267"/>
        <v>0</v>
      </c>
      <c r="DB54" s="142">
        <f t="shared" si="267"/>
        <v>0</v>
      </c>
      <c r="DC54" s="142">
        <f t="shared" si="267"/>
        <v>0</v>
      </c>
      <c r="DD54" s="142">
        <f t="shared" si="267"/>
        <v>0</v>
      </c>
      <c r="DE54" s="142">
        <f t="shared" si="267"/>
        <v>0</v>
      </c>
      <c r="DF54" s="142">
        <f t="shared" si="267"/>
        <v>0</v>
      </c>
      <c r="DG54" s="142">
        <f t="shared" si="267"/>
        <v>7590.55</v>
      </c>
      <c r="DH54" s="142">
        <f t="shared" si="267"/>
        <v>0</v>
      </c>
      <c r="DI54" s="142">
        <f t="shared" si="267"/>
        <v>0</v>
      </c>
      <c r="DJ54" s="142">
        <f t="shared" si="267"/>
        <v>0</v>
      </c>
      <c r="DK54" s="142">
        <f t="shared" si="267"/>
        <v>0</v>
      </c>
      <c r="DL54" s="142">
        <f t="shared" si="267"/>
        <v>0</v>
      </c>
      <c r="DM54" s="142">
        <f t="shared" si="267"/>
        <v>0</v>
      </c>
      <c r="DN54" s="142">
        <f t="shared" si="267"/>
        <v>0</v>
      </c>
      <c r="DO54" s="142">
        <f t="shared" si="267"/>
        <v>0</v>
      </c>
      <c r="DP54" s="142">
        <f t="shared" si="267"/>
        <v>0</v>
      </c>
      <c r="DQ54" s="142">
        <f t="shared" si="267"/>
        <v>7590.55</v>
      </c>
      <c r="DR54" s="142">
        <f t="shared" si="267"/>
        <v>0</v>
      </c>
      <c r="DS54" s="142">
        <f t="shared" si="267"/>
        <v>0</v>
      </c>
      <c r="DT54" s="142">
        <f t="shared" si="267"/>
        <v>0</v>
      </c>
      <c r="DU54" s="142">
        <f t="shared" si="267"/>
        <v>0</v>
      </c>
      <c r="DV54" s="142">
        <f t="shared" si="267"/>
        <v>0</v>
      </c>
      <c r="DW54" s="142">
        <f t="shared" si="267"/>
        <v>0</v>
      </c>
      <c r="DX54" s="142">
        <f t="shared" si="267"/>
        <v>0</v>
      </c>
      <c r="DY54" s="142">
        <f t="shared" si="267"/>
        <v>0</v>
      </c>
      <c r="DZ54" s="142">
        <f t="shared" si="267"/>
        <v>0</v>
      </c>
      <c r="EA54" s="143">
        <f t="shared" si="174"/>
        <v>0</v>
      </c>
      <c r="EB54" s="143">
        <f t="shared" si="175"/>
        <v>0</v>
      </c>
      <c r="EC54" s="143">
        <f t="shared" si="176"/>
        <v>0</v>
      </c>
      <c r="ED54" s="143">
        <f t="shared" si="177"/>
        <v>0</v>
      </c>
      <c r="EE54" s="143">
        <f t="shared" si="178"/>
        <v>0</v>
      </c>
      <c r="EF54" s="143">
        <f t="shared" si="179"/>
        <v>0</v>
      </c>
      <c r="EG54" s="143">
        <f t="shared" si="180"/>
        <v>0</v>
      </c>
      <c r="EH54" s="143">
        <f t="shared" si="181"/>
        <v>0</v>
      </c>
      <c r="EI54" s="143">
        <f t="shared" si="182"/>
        <v>0</v>
      </c>
      <c r="EJ54" s="143">
        <f t="shared" si="183"/>
        <v>0</v>
      </c>
      <c r="EK54" s="143">
        <f t="shared" si="184"/>
        <v>74.599999999999994</v>
      </c>
      <c r="EL54" s="143">
        <f t="shared" si="185"/>
        <v>0</v>
      </c>
      <c r="EM54" s="143">
        <f t="shared" si="186"/>
        <v>0</v>
      </c>
      <c r="EN54" s="143">
        <f t="shared" si="187"/>
        <v>0</v>
      </c>
      <c r="EO54" s="143">
        <f t="shared" si="188"/>
        <v>0</v>
      </c>
      <c r="EP54" s="143">
        <f t="shared" si="189"/>
        <v>0</v>
      </c>
      <c r="EQ54" s="143">
        <f t="shared" si="190"/>
        <v>0</v>
      </c>
      <c r="ER54" s="143">
        <f t="shared" si="191"/>
        <v>0</v>
      </c>
      <c r="ES54" s="143">
        <f t="shared" si="192"/>
        <v>0</v>
      </c>
      <c r="ET54" s="143">
        <f t="shared" si="193"/>
        <v>0</v>
      </c>
      <c r="EU54" s="143">
        <f t="shared" si="194"/>
        <v>74.599999999999994</v>
      </c>
      <c r="EV54" s="143">
        <f t="shared" si="195"/>
        <v>0</v>
      </c>
      <c r="EW54" s="143">
        <f t="shared" si="196"/>
        <v>0</v>
      </c>
      <c r="EX54" s="143">
        <f t="shared" si="197"/>
        <v>0</v>
      </c>
      <c r="EY54" s="143">
        <f t="shared" si="198"/>
        <v>0</v>
      </c>
      <c r="EZ54" s="143">
        <f t="shared" si="199"/>
        <v>0</v>
      </c>
      <c r="FA54" s="143">
        <f t="shared" si="200"/>
        <v>0</v>
      </c>
      <c r="FB54" s="143">
        <f t="shared" si="201"/>
        <v>0</v>
      </c>
      <c r="FC54" s="143">
        <f t="shared" si="202"/>
        <v>0</v>
      </c>
      <c r="FD54" s="143">
        <f t="shared" si="203"/>
        <v>0</v>
      </c>
      <c r="FE54" s="140">
        <f>SUM($D54:D54)*IF($B54="Operacional",IFERROR(VLOOKUP($C54,SN_UGC,28,0),0),1)</f>
        <v>74.599999999999994</v>
      </c>
      <c r="FF54" s="140">
        <f>SUM($D54:E54)*IF($B54="Operacional",IFERROR(VLOOKUP($C54,SN_UGC,28,0),0),1)</f>
        <v>74.599999999999994</v>
      </c>
      <c r="FG54" s="140">
        <f>SUM($D54:F54)*IF($B54="Operacional",IFERROR(VLOOKUP($C54,SN_UGC,28,0),0),1)</f>
        <v>74.599999999999994</v>
      </c>
      <c r="FH54" s="140">
        <f>SUM($D54:G54)*IF($B54="Operacional",IFERROR(VLOOKUP($C54,SN_UGC,28,0),0),1)</f>
        <v>74.599999999999994</v>
      </c>
      <c r="FI54" s="140">
        <f>SUM($D54:H54)*IF($B54="Operacional",IFERROR(VLOOKUP($C54,SN_UGC,28,0),0),1)</f>
        <v>74.599999999999994</v>
      </c>
      <c r="FJ54" s="140">
        <f>SUM($D54:I54)*IF($B54="Operacional",IFERROR(VLOOKUP($C54,SN_UGC,28,0),0),1)</f>
        <v>74.599999999999994</v>
      </c>
      <c r="FK54" s="140">
        <f>SUM($D54:J54)*IF($B54="Operacional",IFERROR(VLOOKUP($C54,SN_UGC,28,0),0),1)</f>
        <v>74.599999999999994</v>
      </c>
      <c r="FL54" s="140">
        <f>SUM($D54:K54)*IF($B54="Operacional",IFERROR(VLOOKUP($C54,SN_UGC,28,0),0),1)</f>
        <v>74.599999999999994</v>
      </c>
      <c r="FM54" s="140">
        <f>SUM($D54:L54)*IF($B54="Operacional",IFERROR(VLOOKUP($C54,SN_UGC,28,0),0),1)</f>
        <v>74.599999999999994</v>
      </c>
      <c r="FN54" s="140">
        <f>SUM($D54:M54)*IF($B54="Operacional",IFERROR(VLOOKUP($C54,SN_UGC,28,0),0),1)</f>
        <v>74.599999999999994</v>
      </c>
      <c r="FO54" s="140">
        <f>SUM($D54:N54)*IF($B54="Operacional",IFERROR(VLOOKUP($C54,SN_UGC,28,0),0),1)</f>
        <v>74.599999999999994</v>
      </c>
      <c r="FP54" s="140">
        <f>SUM($D54:O54)*IF($B54="Operacional",IFERROR(VLOOKUP($C54,SN_UGC,28,0),0),1)</f>
        <v>74.599999999999994</v>
      </c>
      <c r="FQ54" s="140">
        <f>SUM($D54:P54)*IF($B54="Operacional",IFERROR(VLOOKUP($C54,SN_UGC,28,0),0),1)</f>
        <v>74.599999999999994</v>
      </c>
      <c r="FR54" s="140">
        <f>SUM($D54:Q54)*IF($B54="Operacional",IFERROR(VLOOKUP($C54,SN_UGC,28,0),0),1)</f>
        <v>74.599999999999994</v>
      </c>
      <c r="FS54" s="140">
        <f>SUM($D54:R54)*IF($B54="Operacional",IFERROR(VLOOKUP($C54,SN_UGC,28,0),0),1)</f>
        <v>74.599999999999994</v>
      </c>
      <c r="FT54" s="140">
        <f>SUM($D54:S54)*IF($B54="Operacional",IFERROR(VLOOKUP($C54,SN_UGC,28,0),0),1)</f>
        <v>74.599999999999994</v>
      </c>
      <c r="FU54" s="140">
        <f>SUM($D54:T54)*IF($B54="Operacional",IFERROR(VLOOKUP($C54,SN_UGC,28,0),0),1)</f>
        <v>74.599999999999994</v>
      </c>
      <c r="FV54" s="140">
        <f>SUM($D54:U54)*IF($B54="Operacional",IFERROR(VLOOKUP($C54,SN_UGC,28,0),0),1)</f>
        <v>74.599999999999994</v>
      </c>
      <c r="FW54" s="140">
        <f>SUM($D54:V54)*IF($B54="Operacional",IFERROR(VLOOKUP($C54,SN_UGC,28,0),0),1)</f>
        <v>74.599999999999994</v>
      </c>
      <c r="FX54" s="140">
        <f>SUM($D54:W54)*IF($B54="Operacional",IFERROR(VLOOKUP($C54,SN_UGC,28,0),0),1)</f>
        <v>74.599999999999994</v>
      </c>
      <c r="FY54" s="140">
        <f>SUM($D54:X54)*IF($B54="Operacional",IFERROR(VLOOKUP($C54,SN_UGC,28,0),0),1)</f>
        <v>74.599999999999994</v>
      </c>
      <c r="FZ54" s="140">
        <f>SUM($D54:Y54)*IF($B54="Operacional",IFERROR(VLOOKUP($C54,SN_UGC,28,0),0),1)</f>
        <v>74.599999999999994</v>
      </c>
      <c r="GA54" s="140">
        <f>SUM($D54:Z54)*IF($B54="Operacional",IFERROR(VLOOKUP($C54,SN_UGC,28,0),0),1)</f>
        <v>74.599999999999994</v>
      </c>
      <c r="GB54" s="140">
        <f>SUM($D54:AA54)*IF($B54="Operacional",IFERROR(VLOOKUP($C54,SN_UGC,28,0),0),1)</f>
        <v>74.599999999999994</v>
      </c>
      <c r="GC54" s="140">
        <f>SUM($D54:AB54)*IF($B54="Operacional",IFERROR(VLOOKUP($C54,SN_UGC,28,0),0),1)</f>
        <v>74.599999999999994</v>
      </c>
      <c r="GD54" s="140">
        <f>SUM($D54:AC54)*IF($B54="Operacional",IFERROR(VLOOKUP($C54,SN_UGC,28,0),0),1)</f>
        <v>74.599999999999994</v>
      </c>
      <c r="GE54" s="140">
        <f>SUM($D54:AD54)*IF($B54="Operacional",IFERROR(VLOOKUP($C54,SN_UGC,28,0),0),1)</f>
        <v>74.599999999999994</v>
      </c>
      <c r="GF54" s="140">
        <f>SUM($D54:AE54)*IF($B54="Operacional",IFERROR(VLOOKUP($C54,SN_UGC,28,0),0),1)</f>
        <v>74.599999999999994</v>
      </c>
      <c r="GG54" s="140">
        <f>SUM($D54:AF54)*IF($B54="Operacional",IFERROR(VLOOKUP($C54,SN_UGC,28,0),0),1)</f>
        <v>74.599999999999994</v>
      </c>
      <c r="GH54" s="140">
        <f>SUM($D54:AG54)*IF($B54="Operacional",IFERROR(VLOOKUP($C54,SN_UGC,28,0),0),1)</f>
        <v>74.599999999999994</v>
      </c>
      <c r="GI54" s="141">
        <f t="shared" ref="GI54:HL54" si="268">FE54*$AH54*$AL54</f>
        <v>1518.1100000000001</v>
      </c>
      <c r="GJ54" s="141">
        <f t="shared" si="268"/>
        <v>1518.1100000000001</v>
      </c>
      <c r="GK54" s="141">
        <f t="shared" si="268"/>
        <v>1518.1100000000001</v>
      </c>
      <c r="GL54" s="141">
        <f t="shared" si="268"/>
        <v>1518.1100000000001</v>
      </c>
      <c r="GM54" s="141">
        <f t="shared" si="268"/>
        <v>1518.1100000000001</v>
      </c>
      <c r="GN54" s="141">
        <f t="shared" si="268"/>
        <v>1518.1100000000001</v>
      </c>
      <c r="GO54" s="141">
        <f t="shared" si="268"/>
        <v>1518.1100000000001</v>
      </c>
      <c r="GP54" s="141">
        <f t="shared" si="268"/>
        <v>1518.1100000000001</v>
      </c>
      <c r="GQ54" s="141">
        <f t="shared" si="268"/>
        <v>1518.1100000000001</v>
      </c>
      <c r="GR54" s="141">
        <f t="shared" si="268"/>
        <v>1518.1100000000001</v>
      </c>
      <c r="GS54" s="141">
        <f t="shared" si="268"/>
        <v>1518.1100000000001</v>
      </c>
      <c r="GT54" s="141">
        <f t="shared" si="268"/>
        <v>1518.1100000000001</v>
      </c>
      <c r="GU54" s="141">
        <f t="shared" si="268"/>
        <v>1518.1100000000001</v>
      </c>
      <c r="GV54" s="141">
        <f t="shared" si="268"/>
        <v>1518.1100000000001</v>
      </c>
      <c r="GW54" s="141">
        <f t="shared" si="268"/>
        <v>1518.1100000000001</v>
      </c>
      <c r="GX54" s="141">
        <f t="shared" si="268"/>
        <v>1518.1100000000001</v>
      </c>
      <c r="GY54" s="141">
        <f t="shared" si="268"/>
        <v>1518.1100000000001</v>
      </c>
      <c r="GZ54" s="141">
        <f t="shared" si="268"/>
        <v>1518.1100000000001</v>
      </c>
      <c r="HA54" s="141">
        <f t="shared" si="268"/>
        <v>1518.1100000000001</v>
      </c>
      <c r="HB54" s="141">
        <f t="shared" si="268"/>
        <v>1518.1100000000001</v>
      </c>
      <c r="HC54" s="141">
        <f t="shared" si="268"/>
        <v>1518.1100000000001</v>
      </c>
      <c r="HD54" s="141">
        <f t="shared" si="268"/>
        <v>1518.1100000000001</v>
      </c>
      <c r="HE54" s="141">
        <f t="shared" si="268"/>
        <v>1518.1100000000001</v>
      </c>
      <c r="HF54" s="141">
        <f t="shared" si="268"/>
        <v>1518.1100000000001</v>
      </c>
      <c r="HG54" s="141">
        <f t="shared" si="268"/>
        <v>1518.1100000000001</v>
      </c>
      <c r="HH54" s="141">
        <f t="shared" si="268"/>
        <v>1518.1100000000001</v>
      </c>
      <c r="HI54" s="141">
        <f t="shared" si="268"/>
        <v>1518.1100000000001</v>
      </c>
      <c r="HJ54" s="141">
        <f t="shared" si="268"/>
        <v>1518.1100000000001</v>
      </c>
      <c r="HK54" s="141">
        <f t="shared" si="268"/>
        <v>1518.1100000000001</v>
      </c>
      <c r="HL54" s="141">
        <f t="shared" si="268"/>
        <v>1518.1100000000001</v>
      </c>
      <c r="HM54" s="142">
        <f t="shared" ref="HM54:IP54" si="269">IF(ISBLANK($A54),,FE54*($AH54-($AH54*$AJ54))/$AI54)</f>
        <v>2277.165</v>
      </c>
      <c r="HN54" s="142">
        <f t="shared" si="269"/>
        <v>2277.165</v>
      </c>
      <c r="HO54" s="142">
        <f t="shared" si="269"/>
        <v>2277.165</v>
      </c>
      <c r="HP54" s="142">
        <f t="shared" si="269"/>
        <v>2277.165</v>
      </c>
      <c r="HQ54" s="142">
        <f t="shared" si="269"/>
        <v>2277.165</v>
      </c>
      <c r="HR54" s="142">
        <f t="shared" si="269"/>
        <v>2277.165</v>
      </c>
      <c r="HS54" s="142">
        <f t="shared" si="269"/>
        <v>2277.165</v>
      </c>
      <c r="HT54" s="142">
        <f t="shared" si="269"/>
        <v>2277.165</v>
      </c>
      <c r="HU54" s="142">
        <f t="shared" si="269"/>
        <v>2277.165</v>
      </c>
      <c r="HV54" s="142">
        <f t="shared" si="269"/>
        <v>2277.165</v>
      </c>
      <c r="HW54" s="142">
        <f t="shared" si="269"/>
        <v>2277.165</v>
      </c>
      <c r="HX54" s="142">
        <f t="shared" si="269"/>
        <v>2277.165</v>
      </c>
      <c r="HY54" s="142">
        <f t="shared" si="269"/>
        <v>2277.165</v>
      </c>
      <c r="HZ54" s="142">
        <f t="shared" si="269"/>
        <v>2277.165</v>
      </c>
      <c r="IA54" s="142">
        <f t="shared" si="269"/>
        <v>2277.165</v>
      </c>
      <c r="IB54" s="142">
        <f t="shared" si="269"/>
        <v>2277.165</v>
      </c>
      <c r="IC54" s="142">
        <f t="shared" si="269"/>
        <v>2277.165</v>
      </c>
      <c r="ID54" s="142">
        <f t="shared" si="269"/>
        <v>2277.165</v>
      </c>
      <c r="IE54" s="142">
        <f t="shared" si="269"/>
        <v>2277.165</v>
      </c>
      <c r="IF54" s="142">
        <f t="shared" si="269"/>
        <v>2277.165</v>
      </c>
      <c r="IG54" s="142">
        <f t="shared" si="269"/>
        <v>2277.165</v>
      </c>
      <c r="IH54" s="142">
        <f t="shared" si="269"/>
        <v>2277.165</v>
      </c>
      <c r="II54" s="142">
        <f t="shared" si="269"/>
        <v>2277.165</v>
      </c>
      <c r="IJ54" s="142">
        <f t="shared" si="269"/>
        <v>2277.165</v>
      </c>
      <c r="IK54" s="142">
        <f t="shared" si="269"/>
        <v>2277.165</v>
      </c>
      <c r="IL54" s="142">
        <f t="shared" si="269"/>
        <v>2277.165</v>
      </c>
      <c r="IM54" s="142">
        <f t="shared" si="269"/>
        <v>2277.165</v>
      </c>
      <c r="IN54" s="142">
        <f t="shared" si="269"/>
        <v>2277.165</v>
      </c>
      <c r="IO54" s="142">
        <f t="shared" si="269"/>
        <v>2277.165</v>
      </c>
      <c r="IP54" s="142">
        <f t="shared" si="269"/>
        <v>2277.165</v>
      </c>
      <c r="IQ54" s="141">
        <f>IF(ISBLANK($A54),,IF($AN54="Não",0,(SUM($AO54:AO54)*$AH54)-SUM($HM54:HM54)-SUM($CW54:CW54)))</f>
        <v>28085.035</v>
      </c>
      <c r="IR54" s="141">
        <f>IF(ISBLANK($A54),,IF($AN54="Não",0,(SUM($AO54:AP54)*$AH54)-SUM($HM54:HN54)-SUM($CW54:CX54)))</f>
        <v>25807.870000000003</v>
      </c>
      <c r="IS54" s="141">
        <f>IF(ISBLANK($A54),,IF($AN54="Não",0,(SUM($AO54:AQ54)*$AH54)-SUM($HM54:HO54)-SUM($CW54:CY54)))</f>
        <v>23530.705000000002</v>
      </c>
      <c r="IT54" s="141">
        <f>IF(ISBLANK($A54),,IF($AN54="Não",0,(SUM($AO54:AR54)*$AH54)-SUM($HM54:HP54)-SUM($CW54:CZ54)))</f>
        <v>21253.54</v>
      </c>
      <c r="IU54" s="141">
        <f>IF(ISBLANK($A54),,IF($AN54="Não",0,(SUM($AO54:AS54)*$AH54)-SUM($HM54:HQ54)-SUM($CW54:DA54)))</f>
        <v>18976.375</v>
      </c>
      <c r="IV54" s="141">
        <f>IF(ISBLANK($A54),,IF($AN54="Não",0,(SUM($AO54:AT54)*$AH54)-SUM($HM54:HR54)-SUM($CW54:DB54)))</f>
        <v>16699.21</v>
      </c>
      <c r="IW54" s="141">
        <f>IF(ISBLANK($A54),,IF($AN54="Não",0,(SUM($AO54:AU54)*$AH54)-SUM($HM54:HS54)-SUM($CW54:DC54)))</f>
        <v>14422.044999999998</v>
      </c>
      <c r="IX54" s="141">
        <f>IF(ISBLANK($A54),,IF($AN54="Não",0,(SUM($AO54:AV54)*$AH54)-SUM($HM54:HT54)-SUM($CW54:DD54)))</f>
        <v>12144.879999999997</v>
      </c>
      <c r="IY54" s="141">
        <f>IF(ISBLANK($A54),,IF($AN54="Não",0,(SUM($AO54:AW54)*$AH54)-SUM($HM54:HU54)-SUM($CW54:DE54)))</f>
        <v>9867.7149999999965</v>
      </c>
      <c r="IZ54" s="141">
        <f>IF(ISBLANK($A54),,IF($AN54="Não",0,(SUM($AO54:AX54)*$AH54)-SUM($HM54:HV54)-SUM($CW54:DF54)))</f>
        <v>7590.5499999999956</v>
      </c>
      <c r="JA54" s="141">
        <f>IF(ISBLANK($A54),,IF($AN54="Não",0,(SUM($AO54:AY54)*$AH54)-SUM($HM54:HW54)-SUM($CW54:DG54)))</f>
        <v>28085.034999999993</v>
      </c>
      <c r="JB54" s="141">
        <f>IF(ISBLANK($A54),,IF($AN54="Não",0,(SUM($AO54:AZ54)*$AH54)-SUM($HM54:HX54)-SUM($CW54:DH54)))</f>
        <v>25807.87</v>
      </c>
      <c r="JC54" s="141">
        <f>IF(ISBLANK($A54),,IF($AN54="Não",0,(SUM($AO54:BA54)*$AH54)-SUM($HM54:HY54)-SUM($CW54:DI54)))</f>
        <v>23530.704999999994</v>
      </c>
      <c r="JD54" s="141">
        <f>IF(ISBLANK($A54),,IF($AN54="Não",0,(SUM($AO54:BB54)*$AH54)-SUM($HM54:HZ54)-SUM($CW54:DJ54)))</f>
        <v>21253.539999999994</v>
      </c>
      <c r="JE54" s="141">
        <f>IF(ISBLANK($A54),,IF($AN54="Não",0,(SUM($AO54:BC54)*$AH54)-SUM($HM54:IA54)-SUM($CW54:DK54)))</f>
        <v>18976.374999999996</v>
      </c>
      <c r="JF54" s="141">
        <f>IF(ISBLANK($A54),,IF($AN54="Não",0,(SUM($AO54:BD54)*$AH54)-SUM($HM54:IB54)-SUM($CW54:DL54)))</f>
        <v>16699.209999999995</v>
      </c>
      <c r="JG54" s="141">
        <f>IF(ISBLANK($A54),,IF($AN54="Não",0,(SUM($AO54:BE54)*$AH54)-SUM($HM54:IC54)-SUM($CW54:DM54)))</f>
        <v>14422.044999999995</v>
      </c>
      <c r="JH54" s="141">
        <f>IF(ISBLANK($A54),,IF($AN54="Não",0,(SUM($AO54:BF54)*$AH54)-SUM($HM54:ID54)-SUM($CW54:DN54)))</f>
        <v>12144.879999999994</v>
      </c>
      <c r="JI54" s="141">
        <f>IF(ISBLANK($A54),,IF($AN54="Não",0,(SUM($AO54:BG54)*$AH54)-SUM($HM54:IE54)-SUM($CW54:DO54)))</f>
        <v>9867.7149999999929</v>
      </c>
      <c r="JJ54" s="141">
        <f>IF(ISBLANK($A54),,IF($AN54="Não",0,(SUM($AO54:BH54)*$AH54)-SUM($HM54:IF54)-SUM($CW54:DP54)))</f>
        <v>7590.5499999999911</v>
      </c>
      <c r="JK54" s="141">
        <f>IF(ISBLANK($A54),,IF($AN54="Não",0,(SUM($AO54:BI54)*$AH54)-SUM($HM54:IG54)-SUM($CW54:DQ54)))</f>
        <v>28085.034999999996</v>
      </c>
      <c r="JL54" s="141">
        <f>IF(ISBLANK($A54),,IF($AN54="Não",0,(SUM($AO54:BJ54)*$AH54)-SUM($HM54:IH54)-SUM($CW54:DR54)))</f>
        <v>25807.869999999995</v>
      </c>
      <c r="JM54" s="141">
        <f>IF(ISBLANK($A54),,IF($AN54="Não",0,(SUM($AO54:BK54)*$AH54)-SUM($HM54:II54)-SUM($CW54:DS54)))</f>
        <v>23530.704999999994</v>
      </c>
      <c r="JN54" s="141">
        <f>IF(ISBLANK($A54),,IF($AN54="Não",0,(SUM($AO54:BL54)*$AH54)-SUM($HM54:IJ54)-SUM($CW54:DT54)))</f>
        <v>21253.539999999994</v>
      </c>
      <c r="JO54" s="141">
        <f>IF(ISBLANK($A54),,IF($AN54="Não",0,(SUM($AO54:BM54)*$AH54)-SUM($HM54:IK54)-SUM($CW54:DU54)))</f>
        <v>18976.374999999993</v>
      </c>
      <c r="JP54" s="141">
        <f>IF(ISBLANK($A54),,IF($AN54="Não",0,(SUM($AO54:BN54)*$AH54)-SUM($HM54:IL54)-SUM($CW54:DV54)))</f>
        <v>16699.209999999992</v>
      </c>
      <c r="JQ54" s="141">
        <f>IF(ISBLANK($A54),,IF($AN54="Não",0,(SUM($AO54:BO54)*$AH54)-SUM($HM54:IM54)-SUM($CW54:DW54)))</f>
        <v>14422.044999999989</v>
      </c>
      <c r="JR54" s="141">
        <f>IF(ISBLANK($A54),,IF($AN54="Não",0,(SUM($AO54:BP54)*$AH54)-SUM($HM54:IN54)-SUM($CW54:DX54)))</f>
        <v>12144.879999999988</v>
      </c>
      <c r="JS54" s="141">
        <f>IF(ISBLANK($A54),,IF($AN54="Não",0,(SUM($AO54:BQ54)*$AH54)-SUM($HM54:IO54)-SUM($CW54:DY54)))</f>
        <v>9867.7149999999874</v>
      </c>
      <c r="JT54" s="141">
        <f>IF(ISBLANK($A54),,IF($AN54="Não",0,(SUM($AO54:BR54)*$AH54)-SUM($HM54:IP54)-SUM($CW54:DZ54)))</f>
        <v>7590.5499999999938</v>
      </c>
    </row>
    <row r="55" spans="1:280" ht="15.75" customHeight="1">
      <c r="A55" s="129" t="s">
        <v>352</v>
      </c>
      <c r="B55" s="129" t="s">
        <v>209</v>
      </c>
      <c r="C55" s="138" t="s">
        <v>101</v>
      </c>
      <c r="D55" s="139">
        <v>50</v>
      </c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607">
        <f t="shared" si="165"/>
        <v>2372.59</v>
      </c>
      <c r="AI55" s="608">
        <f t="shared" si="166"/>
        <v>30</v>
      </c>
      <c r="AJ55" s="609">
        <f t="shared" si="167"/>
        <v>0</v>
      </c>
      <c r="AK55" s="610" t="str">
        <f t="shared" si="168"/>
        <v>Edificações</v>
      </c>
      <c r="AL55" s="609">
        <f t="shared" si="169"/>
        <v>0.05</v>
      </c>
      <c r="AM55" s="611" t="str">
        <f t="shared" si="170"/>
        <v>Sim</v>
      </c>
      <c r="AN55" s="611" t="str">
        <f t="shared" si="171"/>
        <v>Não</v>
      </c>
      <c r="AO55" s="140">
        <f t="array" ref="AO55">IF(ISBLANK($A55),0,IF(OR(AO$5-$AI55&lt;=0,$AM55="Não"),D55,D55+INDEX($AO$6:$BR$176,ROW()-5,COLUMN()-40-$AI55)))*IF($B55="Operacional",IFERROR(VLOOKUP($C55,SN_UGC,28,0),0),1)</f>
        <v>50</v>
      </c>
      <c r="AP55" s="140">
        <f t="array" ref="AP55">IF(ISBLANK($A55),0,IF(OR(AP$5-$AI55&lt;=0,$AM55="Não"),E55,E55+INDEX($AO$6:$BR$176,ROW()-5,COLUMN()-40-$AI55)))*IF($B55="Operacional",IFERROR(VLOOKUP($C55,SN_UGC,28,0),0),1)</f>
        <v>0</v>
      </c>
      <c r="AQ55" s="140">
        <f t="array" ref="AQ55">IF(ISBLANK($A55),0,IF(OR(AQ$5-$AI55&lt;=0,$AM55="Não"),F55,F55+INDEX($AO$6:$BR$176,ROW()-5,COLUMN()-40-$AI55)))*IF($B55="Operacional",IFERROR(VLOOKUP($C55,SN_UGC,28,0),0),1)</f>
        <v>0</v>
      </c>
      <c r="AR55" s="140">
        <f t="array" ref="AR55">IF(ISBLANK($A55),0,IF(OR(AR$5-$AI55&lt;=0,$AM55="Não"),G55,G55+INDEX($AO$6:$BR$176,ROW()-5,COLUMN()-40-$AI55)))*IF($B55="Operacional",IFERROR(VLOOKUP($C55,SN_UGC,28,0),0),1)</f>
        <v>0</v>
      </c>
      <c r="AS55" s="140">
        <f t="array" ref="AS55">IF(ISBLANK($A55),0,IF(OR(AS$5-$AI55&lt;=0,$AM55="Não"),H55,H55+INDEX($AO$6:$BR$176,ROW()-5,COLUMN()-40-$AI55)))*IF($B55="Operacional",IFERROR(VLOOKUP($C55,SN_UGC,28,0),0),1)</f>
        <v>0</v>
      </c>
      <c r="AT55" s="140">
        <f t="array" ref="AT55">IF(ISBLANK($A55),0,IF(OR(AT$5-$AI55&lt;=0,$AM55="Não"),I55,I55+INDEX($AO$6:$BR$176,ROW()-5,COLUMN()-40-$AI55)))*IF($B55="Operacional",IFERROR(VLOOKUP($C55,SN_UGC,28,0),0),1)</f>
        <v>0</v>
      </c>
      <c r="AU55" s="140">
        <f t="array" ref="AU55">IF(ISBLANK($A55),0,IF(OR(AU$5-$AI55&lt;=0,$AM55="Não"),J55,J55+INDEX($AO$6:$BR$176,ROW()-5,COLUMN()-40-$AI55)))*IF($B55="Operacional",IFERROR(VLOOKUP($C55,SN_UGC,28,0),0),1)</f>
        <v>0</v>
      </c>
      <c r="AV55" s="140">
        <f t="array" ref="AV55">IF(ISBLANK($A55),0,IF(OR(AV$5-$AI55&lt;=0,$AM55="Não"),K55,K55+INDEX($AO$6:$BR$176,ROW()-5,COLUMN()-40-$AI55)))*IF($B55="Operacional",IFERROR(VLOOKUP($C55,SN_UGC,28,0),0),1)</f>
        <v>0</v>
      </c>
      <c r="AW55" s="140">
        <f t="array" ref="AW55">IF(ISBLANK($A55),0,IF(OR(AW$5-$AI55&lt;=0,$AM55="Não"),L55,L55+INDEX($AO$6:$BR$176,ROW()-5,COLUMN()-40-$AI55)))*IF($B55="Operacional",IFERROR(VLOOKUP($C55,SN_UGC,28,0),0),1)</f>
        <v>0</v>
      </c>
      <c r="AX55" s="140">
        <f t="array" ref="AX55">IF(ISBLANK($A55),0,IF(OR(AX$5-$AI55&lt;=0,$AM55="Não"),M55,M55+INDEX($AO$6:$BR$176,ROW()-5,COLUMN()-40-$AI55)))*IF($B55="Operacional",IFERROR(VLOOKUP($C55,SN_UGC,28,0),0),1)</f>
        <v>0</v>
      </c>
      <c r="AY55" s="140">
        <f t="array" ref="AY55">IF(ISBLANK($A55),0,IF(OR(AY$5-$AI55&lt;=0,$AM55="Não"),N55,N55+INDEX($AO$6:$BR$176,ROW()-5,COLUMN()-40-$AI55)))*IF($B55="Operacional",IFERROR(VLOOKUP($C55,SN_UGC,28,0),0),1)</f>
        <v>0</v>
      </c>
      <c r="AZ55" s="140">
        <f t="array" ref="AZ55">IF(ISBLANK($A55),0,IF(OR(AZ$5-$AI55&lt;=0,$AM55="Não"),O55,O55+INDEX($AO$6:$BR$176,ROW()-5,COLUMN()-40-$AI55)))*IF($B55="Operacional",IFERROR(VLOOKUP($C55,SN_UGC,28,0),0),1)</f>
        <v>0</v>
      </c>
      <c r="BA55" s="140">
        <f t="array" ref="BA55">IF(ISBLANK($A55),0,IF(OR(BA$5-$AI55&lt;=0,$AM55="Não"),P55,P55+INDEX($AO$6:$BR$176,ROW()-5,COLUMN()-40-$AI55)))*IF($B55="Operacional",IFERROR(VLOOKUP($C55,SN_UGC,28,0),0),1)</f>
        <v>0</v>
      </c>
      <c r="BB55" s="140">
        <f t="array" ref="BB55">IF(ISBLANK($A55),0,IF(OR(BB$5-$AI55&lt;=0,$AM55="Não"),Q55,Q55+INDEX($AO$6:$BR$176,ROW()-5,COLUMN()-40-$AI55)))*IF($B55="Operacional",IFERROR(VLOOKUP($C55,SN_UGC,28,0),0),1)</f>
        <v>0</v>
      </c>
      <c r="BC55" s="140">
        <f t="array" ref="BC55">IF(ISBLANK($A55),0,IF(OR(BC$5-$AI55&lt;=0,$AM55="Não"),R55,R55+INDEX($AO$6:$BR$176,ROW()-5,COLUMN()-40-$AI55)))*IF($B55="Operacional",IFERROR(VLOOKUP($C55,SN_UGC,28,0),0),1)</f>
        <v>0</v>
      </c>
      <c r="BD55" s="140">
        <f t="array" ref="BD55">IF(ISBLANK($A55),0,IF(OR(BD$5-$AI55&lt;=0,$AM55="Não"),S55,S55+INDEX($AO$6:$BR$176,ROW()-5,COLUMN()-40-$AI55)))*IF($B55="Operacional",IFERROR(VLOOKUP($C55,SN_UGC,28,0),0),1)</f>
        <v>0</v>
      </c>
      <c r="BE55" s="140">
        <f t="array" ref="BE55">IF(ISBLANK($A55),0,IF(OR(BE$5-$AI55&lt;=0,$AM55="Não"),T55,T55+INDEX($AO$6:$BR$176,ROW()-5,COLUMN()-40-$AI55)))*IF($B55="Operacional",IFERROR(VLOOKUP($C55,SN_UGC,28,0),0),1)</f>
        <v>0</v>
      </c>
      <c r="BF55" s="140">
        <f t="array" ref="BF55">IF(ISBLANK($A55),0,IF(OR(BF$5-$AI55&lt;=0,$AM55="Não"),U55,U55+INDEX($AO$6:$BR$176,ROW()-5,COLUMN()-40-$AI55)))*IF($B55="Operacional",IFERROR(VLOOKUP($C55,SN_UGC,28,0),0),1)</f>
        <v>0</v>
      </c>
      <c r="BG55" s="140">
        <f t="array" ref="BG55">IF(ISBLANK($A55),0,IF(OR(BG$5-$AI55&lt;=0,$AM55="Não"),V55,V55+INDEX($AO$6:$BR$176,ROW()-5,COLUMN()-40-$AI55)))*IF($B55="Operacional",IFERROR(VLOOKUP($C55,SN_UGC,28,0),0),1)</f>
        <v>0</v>
      </c>
      <c r="BH55" s="140">
        <f t="array" ref="BH55">IF(ISBLANK($A55),0,IF(OR(BH$5-$AI55&lt;=0,$AM55="Não"),W55,W55+INDEX($AO$6:$BR$176,ROW()-5,COLUMN()-40-$AI55)))*IF($B55="Operacional",IFERROR(VLOOKUP($C55,SN_UGC,28,0),0),1)</f>
        <v>0</v>
      </c>
      <c r="BI55" s="140">
        <f t="array" ref="BI55">IF(ISBLANK($A55),0,IF(OR(BI$5-$AI55&lt;=0,$AM55="Não"),X55,X55+INDEX($AO$6:$BR$176,ROW()-5,COLUMN()-40-$AI55)))*IF($B55="Operacional",IFERROR(VLOOKUP($C55,SN_UGC,28,0),0),1)</f>
        <v>0</v>
      </c>
      <c r="BJ55" s="140">
        <f t="array" ref="BJ55">IF(ISBLANK($A55),0,IF(OR(BJ$5-$AI55&lt;=0,$AM55="Não"),Y55,Y55+INDEX($AO$6:$BR$176,ROW()-5,COLUMN()-40-$AI55)))*IF($B55="Operacional",IFERROR(VLOOKUP($C55,SN_UGC,28,0),0),1)</f>
        <v>0</v>
      </c>
      <c r="BK55" s="140">
        <f t="array" ref="BK55">IF(ISBLANK($A55),0,IF(OR(BK$5-$AI55&lt;=0,$AM55="Não"),Z55,Z55+INDEX($AO$6:$BR$176,ROW()-5,COLUMN()-40-$AI55)))*IF($B55="Operacional",IFERROR(VLOOKUP($C55,SN_UGC,28,0),0),1)</f>
        <v>0</v>
      </c>
      <c r="BL55" s="140">
        <f t="array" ref="BL55">IF(ISBLANK($A55),0,IF(OR(BL$5-$AI55&lt;=0,$AM55="Não"),AA55,AA55+INDEX($AO$6:$BR$176,ROW()-5,COLUMN()-40-$AI55)))*IF($B55="Operacional",IFERROR(VLOOKUP($C55,SN_UGC,28,0),0),1)</f>
        <v>0</v>
      </c>
      <c r="BM55" s="140">
        <f t="array" ref="BM55">IF(ISBLANK($A55),0,IF(OR(BM$5-$AI55&lt;=0,$AM55="Não"),AB55,AB55+INDEX($AO$6:$BR$176,ROW()-5,COLUMN()-40-$AI55)))*IF($B55="Operacional",IFERROR(VLOOKUP($C55,SN_UGC,28,0),0),1)</f>
        <v>0</v>
      </c>
      <c r="BN55" s="140">
        <f t="array" ref="BN55">IF(ISBLANK($A55),0,IF(OR(BN$5-$AI55&lt;=0,$AM55="Não"),AC55,AC55+INDEX($AO$6:$BR$176,ROW()-5,COLUMN()-40-$AI55)))*IF($B55="Operacional",IFERROR(VLOOKUP($C55,SN_UGC,28,0),0),1)</f>
        <v>0</v>
      </c>
      <c r="BO55" s="140">
        <f t="array" ref="BO55">IF(ISBLANK($A55),0,IF(OR(BO$5-$AI55&lt;=0,$AM55="Não"),AD55,AD55+INDEX($AO$6:$BR$176,ROW()-5,COLUMN()-40-$AI55)))*IF($B55="Operacional",IFERROR(VLOOKUP($C55,SN_UGC,28,0),0),1)</f>
        <v>0</v>
      </c>
      <c r="BP55" s="140">
        <f t="array" ref="BP55">IF(ISBLANK($A55),0,IF(OR(BP$5-$AI55&lt;=0,$AM55="Não"),AE55,AE55+INDEX($AO$6:$BR$176,ROW()-5,COLUMN()-40-$AI55)))*IF($B55="Operacional",IFERROR(VLOOKUP($C55,SN_UGC,28,0),0),1)</f>
        <v>0</v>
      </c>
      <c r="BQ55" s="140">
        <f t="array" ref="BQ55">IF(ISBLANK($A55),0,IF(OR(BQ$5-$AI55&lt;=0,$AM55="Não"),AF55,AF55+INDEX($AO$6:$BR$176,ROW()-5,COLUMN()-40-$AI55)))*IF($B55="Operacional",IFERROR(VLOOKUP($C55,SN_UGC,28,0),0),1)</f>
        <v>0</v>
      </c>
      <c r="BR55" s="140">
        <f t="array" ref="BR55">IF(ISBLANK($A55),0,IF(OR(BR$5-$AI55&lt;=0,$AM55="Não"),AG55,AG55+INDEX($AO$6:$BR$176,ROW()-5,COLUMN()-40-$AI55)))*IF($B55="Operacional",IFERROR(VLOOKUP($C55,SN_UGC,28,0),0),1)</f>
        <v>0</v>
      </c>
      <c r="BS55" s="141">
        <f t="shared" ref="BS55:CV55" si="270">IF(ISBLANK($A55),0,$AH55*AO55)</f>
        <v>118629.5</v>
      </c>
      <c r="BT55" s="141">
        <f t="shared" si="270"/>
        <v>0</v>
      </c>
      <c r="BU55" s="141">
        <f t="shared" si="270"/>
        <v>0</v>
      </c>
      <c r="BV55" s="141">
        <f t="shared" si="270"/>
        <v>0</v>
      </c>
      <c r="BW55" s="141">
        <f t="shared" si="270"/>
        <v>0</v>
      </c>
      <c r="BX55" s="141">
        <f t="shared" si="270"/>
        <v>0</v>
      </c>
      <c r="BY55" s="141">
        <f t="shared" si="270"/>
        <v>0</v>
      </c>
      <c r="BZ55" s="141">
        <f t="shared" si="270"/>
        <v>0</v>
      </c>
      <c r="CA55" s="141">
        <f t="shared" si="270"/>
        <v>0</v>
      </c>
      <c r="CB55" s="141">
        <f t="shared" si="270"/>
        <v>0</v>
      </c>
      <c r="CC55" s="141">
        <f t="shared" si="270"/>
        <v>0</v>
      </c>
      <c r="CD55" s="141">
        <f t="shared" si="270"/>
        <v>0</v>
      </c>
      <c r="CE55" s="141">
        <f t="shared" si="270"/>
        <v>0</v>
      </c>
      <c r="CF55" s="141">
        <f t="shared" si="270"/>
        <v>0</v>
      </c>
      <c r="CG55" s="141">
        <f t="shared" si="270"/>
        <v>0</v>
      </c>
      <c r="CH55" s="141">
        <f t="shared" si="270"/>
        <v>0</v>
      </c>
      <c r="CI55" s="141">
        <f t="shared" si="270"/>
        <v>0</v>
      </c>
      <c r="CJ55" s="141">
        <f t="shared" si="270"/>
        <v>0</v>
      </c>
      <c r="CK55" s="141">
        <f t="shared" si="270"/>
        <v>0</v>
      </c>
      <c r="CL55" s="141">
        <f t="shared" si="270"/>
        <v>0</v>
      </c>
      <c r="CM55" s="141">
        <f t="shared" si="270"/>
        <v>0</v>
      </c>
      <c r="CN55" s="141">
        <f t="shared" si="270"/>
        <v>0</v>
      </c>
      <c r="CO55" s="141">
        <f t="shared" si="270"/>
        <v>0</v>
      </c>
      <c r="CP55" s="141">
        <f t="shared" si="270"/>
        <v>0</v>
      </c>
      <c r="CQ55" s="141">
        <f t="shared" si="270"/>
        <v>0</v>
      </c>
      <c r="CR55" s="141">
        <f t="shared" si="270"/>
        <v>0</v>
      </c>
      <c r="CS55" s="141">
        <f t="shared" si="270"/>
        <v>0</v>
      </c>
      <c r="CT55" s="141">
        <f t="shared" si="270"/>
        <v>0</v>
      </c>
      <c r="CU55" s="141">
        <f t="shared" si="270"/>
        <v>0</v>
      </c>
      <c r="CV55" s="141">
        <f t="shared" si="270"/>
        <v>0</v>
      </c>
      <c r="CW55" s="142">
        <f t="shared" ref="CW55:DZ55" si="271">EA55*$AH55*$AJ55</f>
        <v>0</v>
      </c>
      <c r="CX55" s="142">
        <f t="shared" si="271"/>
        <v>0</v>
      </c>
      <c r="CY55" s="142">
        <f t="shared" si="271"/>
        <v>0</v>
      </c>
      <c r="CZ55" s="142">
        <f t="shared" si="271"/>
        <v>0</v>
      </c>
      <c r="DA55" s="142">
        <f t="shared" si="271"/>
        <v>0</v>
      </c>
      <c r="DB55" s="142">
        <f t="shared" si="271"/>
        <v>0</v>
      </c>
      <c r="DC55" s="142">
        <f t="shared" si="271"/>
        <v>0</v>
      </c>
      <c r="DD55" s="142">
        <f t="shared" si="271"/>
        <v>0</v>
      </c>
      <c r="DE55" s="142">
        <f t="shared" si="271"/>
        <v>0</v>
      </c>
      <c r="DF55" s="142">
        <f t="shared" si="271"/>
        <v>0</v>
      </c>
      <c r="DG55" s="142">
        <f t="shared" si="271"/>
        <v>0</v>
      </c>
      <c r="DH55" s="142">
        <f t="shared" si="271"/>
        <v>0</v>
      </c>
      <c r="DI55" s="142">
        <f t="shared" si="271"/>
        <v>0</v>
      </c>
      <c r="DJ55" s="142">
        <f t="shared" si="271"/>
        <v>0</v>
      </c>
      <c r="DK55" s="142">
        <f t="shared" si="271"/>
        <v>0</v>
      </c>
      <c r="DL55" s="142">
        <f t="shared" si="271"/>
        <v>0</v>
      </c>
      <c r="DM55" s="142">
        <f t="shared" si="271"/>
        <v>0</v>
      </c>
      <c r="DN55" s="142">
        <f t="shared" si="271"/>
        <v>0</v>
      </c>
      <c r="DO55" s="142">
        <f t="shared" si="271"/>
        <v>0</v>
      </c>
      <c r="DP55" s="142">
        <f t="shared" si="271"/>
        <v>0</v>
      </c>
      <c r="DQ55" s="142">
        <f t="shared" si="271"/>
        <v>0</v>
      </c>
      <c r="DR55" s="142">
        <f t="shared" si="271"/>
        <v>0</v>
      </c>
      <c r="DS55" s="142">
        <f t="shared" si="271"/>
        <v>0</v>
      </c>
      <c r="DT55" s="142">
        <f t="shared" si="271"/>
        <v>0</v>
      </c>
      <c r="DU55" s="142">
        <f t="shared" si="271"/>
        <v>0</v>
      </c>
      <c r="DV55" s="142">
        <f t="shared" si="271"/>
        <v>0</v>
      </c>
      <c r="DW55" s="142">
        <f t="shared" si="271"/>
        <v>0</v>
      </c>
      <c r="DX55" s="142">
        <f t="shared" si="271"/>
        <v>0</v>
      </c>
      <c r="DY55" s="142">
        <f t="shared" si="271"/>
        <v>0</v>
      </c>
      <c r="DZ55" s="142">
        <f t="shared" si="271"/>
        <v>0</v>
      </c>
      <c r="EA55" s="143">
        <f t="shared" si="174"/>
        <v>0</v>
      </c>
      <c r="EB55" s="143">
        <f t="shared" si="175"/>
        <v>0</v>
      </c>
      <c r="EC55" s="143">
        <f t="shared" si="176"/>
        <v>0</v>
      </c>
      <c r="ED55" s="143">
        <f t="shared" si="177"/>
        <v>0</v>
      </c>
      <c r="EE55" s="143">
        <f t="shared" si="178"/>
        <v>0</v>
      </c>
      <c r="EF55" s="143">
        <f t="shared" si="179"/>
        <v>0</v>
      </c>
      <c r="EG55" s="143">
        <f t="shared" si="180"/>
        <v>0</v>
      </c>
      <c r="EH55" s="143">
        <f t="shared" si="181"/>
        <v>0</v>
      </c>
      <c r="EI55" s="143">
        <f t="shared" si="182"/>
        <v>0</v>
      </c>
      <c r="EJ55" s="143">
        <f t="shared" si="183"/>
        <v>0</v>
      </c>
      <c r="EK55" s="143">
        <f t="shared" si="184"/>
        <v>0</v>
      </c>
      <c r="EL55" s="143">
        <f t="shared" si="185"/>
        <v>0</v>
      </c>
      <c r="EM55" s="143">
        <f t="shared" si="186"/>
        <v>0</v>
      </c>
      <c r="EN55" s="143">
        <f t="shared" si="187"/>
        <v>0</v>
      </c>
      <c r="EO55" s="143">
        <f t="shared" si="188"/>
        <v>0</v>
      </c>
      <c r="EP55" s="143">
        <f t="shared" si="189"/>
        <v>0</v>
      </c>
      <c r="EQ55" s="143">
        <f t="shared" si="190"/>
        <v>0</v>
      </c>
      <c r="ER55" s="143">
        <f t="shared" si="191"/>
        <v>0</v>
      </c>
      <c r="ES55" s="143">
        <f t="shared" si="192"/>
        <v>0</v>
      </c>
      <c r="ET55" s="143">
        <f t="shared" si="193"/>
        <v>0</v>
      </c>
      <c r="EU55" s="143">
        <f t="shared" si="194"/>
        <v>0</v>
      </c>
      <c r="EV55" s="143">
        <f t="shared" si="195"/>
        <v>0</v>
      </c>
      <c r="EW55" s="143">
        <f t="shared" si="196"/>
        <v>0</v>
      </c>
      <c r="EX55" s="143">
        <f t="shared" si="197"/>
        <v>0</v>
      </c>
      <c r="EY55" s="143">
        <f t="shared" si="198"/>
        <v>0</v>
      </c>
      <c r="EZ55" s="143">
        <f t="shared" si="199"/>
        <v>0</v>
      </c>
      <c r="FA55" s="143">
        <f t="shared" si="200"/>
        <v>0</v>
      </c>
      <c r="FB55" s="143">
        <f t="shared" si="201"/>
        <v>0</v>
      </c>
      <c r="FC55" s="143">
        <f t="shared" si="202"/>
        <v>0</v>
      </c>
      <c r="FD55" s="143">
        <f t="shared" si="203"/>
        <v>0</v>
      </c>
      <c r="FE55" s="140">
        <f>SUM($D55:D55)*IF($B55="Operacional",IFERROR(VLOOKUP($C55,SN_UGC,28,0),0),1)</f>
        <v>50</v>
      </c>
      <c r="FF55" s="140">
        <f>SUM($D55:E55)*IF($B55="Operacional",IFERROR(VLOOKUP($C55,SN_UGC,28,0),0),1)</f>
        <v>50</v>
      </c>
      <c r="FG55" s="140">
        <f>SUM($D55:F55)*IF($B55="Operacional",IFERROR(VLOOKUP($C55,SN_UGC,28,0),0),1)</f>
        <v>50</v>
      </c>
      <c r="FH55" s="140">
        <f>SUM($D55:G55)*IF($B55="Operacional",IFERROR(VLOOKUP($C55,SN_UGC,28,0),0),1)</f>
        <v>50</v>
      </c>
      <c r="FI55" s="140">
        <f>SUM($D55:H55)*IF($B55="Operacional",IFERROR(VLOOKUP($C55,SN_UGC,28,0),0),1)</f>
        <v>50</v>
      </c>
      <c r="FJ55" s="140">
        <f>SUM($D55:I55)*IF($B55="Operacional",IFERROR(VLOOKUP($C55,SN_UGC,28,0),0),1)</f>
        <v>50</v>
      </c>
      <c r="FK55" s="140">
        <f>SUM($D55:J55)*IF($B55="Operacional",IFERROR(VLOOKUP($C55,SN_UGC,28,0),0),1)</f>
        <v>50</v>
      </c>
      <c r="FL55" s="140">
        <f>SUM($D55:K55)*IF($B55="Operacional",IFERROR(VLOOKUP($C55,SN_UGC,28,0),0),1)</f>
        <v>50</v>
      </c>
      <c r="FM55" s="140">
        <f>SUM($D55:L55)*IF($B55="Operacional",IFERROR(VLOOKUP($C55,SN_UGC,28,0),0),1)</f>
        <v>50</v>
      </c>
      <c r="FN55" s="140">
        <f>SUM($D55:M55)*IF($B55="Operacional",IFERROR(VLOOKUP($C55,SN_UGC,28,0),0),1)</f>
        <v>50</v>
      </c>
      <c r="FO55" s="140">
        <f>SUM($D55:N55)*IF($B55="Operacional",IFERROR(VLOOKUP($C55,SN_UGC,28,0),0),1)</f>
        <v>50</v>
      </c>
      <c r="FP55" s="140">
        <f>SUM($D55:O55)*IF($B55="Operacional",IFERROR(VLOOKUP($C55,SN_UGC,28,0),0),1)</f>
        <v>50</v>
      </c>
      <c r="FQ55" s="140">
        <f>SUM($D55:P55)*IF($B55="Operacional",IFERROR(VLOOKUP($C55,SN_UGC,28,0),0),1)</f>
        <v>50</v>
      </c>
      <c r="FR55" s="140">
        <f>SUM($D55:Q55)*IF($B55="Operacional",IFERROR(VLOOKUP($C55,SN_UGC,28,0),0),1)</f>
        <v>50</v>
      </c>
      <c r="FS55" s="140">
        <f>SUM($D55:R55)*IF($B55="Operacional",IFERROR(VLOOKUP($C55,SN_UGC,28,0),0),1)</f>
        <v>50</v>
      </c>
      <c r="FT55" s="140">
        <f>SUM($D55:S55)*IF($B55="Operacional",IFERROR(VLOOKUP($C55,SN_UGC,28,0),0),1)</f>
        <v>50</v>
      </c>
      <c r="FU55" s="140">
        <f>SUM($D55:T55)*IF($B55="Operacional",IFERROR(VLOOKUP($C55,SN_UGC,28,0),0),1)</f>
        <v>50</v>
      </c>
      <c r="FV55" s="140">
        <f>SUM($D55:U55)*IF($B55="Operacional",IFERROR(VLOOKUP($C55,SN_UGC,28,0),0),1)</f>
        <v>50</v>
      </c>
      <c r="FW55" s="140">
        <f>SUM($D55:V55)*IF($B55="Operacional",IFERROR(VLOOKUP($C55,SN_UGC,28,0),0),1)</f>
        <v>50</v>
      </c>
      <c r="FX55" s="140">
        <f>SUM($D55:W55)*IF($B55="Operacional",IFERROR(VLOOKUP($C55,SN_UGC,28,0),0),1)</f>
        <v>50</v>
      </c>
      <c r="FY55" s="140">
        <f>SUM($D55:X55)*IF($B55="Operacional",IFERROR(VLOOKUP($C55,SN_UGC,28,0),0),1)</f>
        <v>50</v>
      </c>
      <c r="FZ55" s="140">
        <f>SUM($D55:Y55)*IF($B55="Operacional",IFERROR(VLOOKUP($C55,SN_UGC,28,0),0),1)</f>
        <v>50</v>
      </c>
      <c r="GA55" s="140">
        <f>SUM($D55:Z55)*IF($B55="Operacional",IFERROR(VLOOKUP($C55,SN_UGC,28,0),0),1)</f>
        <v>50</v>
      </c>
      <c r="GB55" s="140">
        <f>SUM($D55:AA55)*IF($B55="Operacional",IFERROR(VLOOKUP($C55,SN_UGC,28,0),0),1)</f>
        <v>50</v>
      </c>
      <c r="GC55" s="140">
        <f>SUM($D55:AB55)*IF($B55="Operacional",IFERROR(VLOOKUP($C55,SN_UGC,28,0),0),1)</f>
        <v>50</v>
      </c>
      <c r="GD55" s="140">
        <f>SUM($D55:AC55)*IF($B55="Operacional",IFERROR(VLOOKUP($C55,SN_UGC,28,0),0),1)</f>
        <v>50</v>
      </c>
      <c r="GE55" s="140">
        <f>SUM($D55:AD55)*IF($B55="Operacional",IFERROR(VLOOKUP($C55,SN_UGC,28,0),0),1)</f>
        <v>50</v>
      </c>
      <c r="GF55" s="140">
        <f>SUM($D55:AE55)*IF($B55="Operacional",IFERROR(VLOOKUP($C55,SN_UGC,28,0),0),1)</f>
        <v>50</v>
      </c>
      <c r="GG55" s="140">
        <f>SUM($D55:AF55)*IF($B55="Operacional",IFERROR(VLOOKUP($C55,SN_UGC,28,0),0),1)</f>
        <v>50</v>
      </c>
      <c r="GH55" s="140">
        <f>SUM($D55:AG55)*IF($B55="Operacional",IFERROR(VLOOKUP($C55,SN_UGC,28,0),0),1)</f>
        <v>50</v>
      </c>
      <c r="GI55" s="141">
        <f t="shared" ref="GI55:HL55" si="272">FE55*$AH55*$AL55</f>
        <v>5931.4750000000004</v>
      </c>
      <c r="GJ55" s="141">
        <f t="shared" si="272"/>
        <v>5931.4750000000004</v>
      </c>
      <c r="GK55" s="141">
        <f t="shared" si="272"/>
        <v>5931.4750000000004</v>
      </c>
      <c r="GL55" s="141">
        <f t="shared" si="272"/>
        <v>5931.4750000000004</v>
      </c>
      <c r="GM55" s="141">
        <f t="shared" si="272"/>
        <v>5931.4750000000004</v>
      </c>
      <c r="GN55" s="141">
        <f t="shared" si="272"/>
        <v>5931.4750000000004</v>
      </c>
      <c r="GO55" s="141">
        <f t="shared" si="272"/>
        <v>5931.4750000000004</v>
      </c>
      <c r="GP55" s="141">
        <f t="shared" si="272"/>
        <v>5931.4750000000004</v>
      </c>
      <c r="GQ55" s="141">
        <f t="shared" si="272"/>
        <v>5931.4750000000004</v>
      </c>
      <c r="GR55" s="141">
        <f t="shared" si="272"/>
        <v>5931.4750000000004</v>
      </c>
      <c r="GS55" s="141">
        <f t="shared" si="272"/>
        <v>5931.4750000000004</v>
      </c>
      <c r="GT55" s="141">
        <f t="shared" si="272"/>
        <v>5931.4750000000004</v>
      </c>
      <c r="GU55" s="141">
        <f t="shared" si="272"/>
        <v>5931.4750000000004</v>
      </c>
      <c r="GV55" s="141">
        <f t="shared" si="272"/>
        <v>5931.4750000000004</v>
      </c>
      <c r="GW55" s="141">
        <f t="shared" si="272"/>
        <v>5931.4750000000004</v>
      </c>
      <c r="GX55" s="141">
        <f t="shared" si="272"/>
        <v>5931.4750000000004</v>
      </c>
      <c r="GY55" s="141">
        <f t="shared" si="272"/>
        <v>5931.4750000000004</v>
      </c>
      <c r="GZ55" s="141">
        <f t="shared" si="272"/>
        <v>5931.4750000000004</v>
      </c>
      <c r="HA55" s="141">
        <f t="shared" si="272"/>
        <v>5931.4750000000004</v>
      </c>
      <c r="HB55" s="141">
        <f t="shared" si="272"/>
        <v>5931.4750000000004</v>
      </c>
      <c r="HC55" s="141">
        <f t="shared" si="272"/>
        <v>5931.4750000000004</v>
      </c>
      <c r="HD55" s="141">
        <f t="shared" si="272"/>
        <v>5931.4750000000004</v>
      </c>
      <c r="HE55" s="141">
        <f t="shared" si="272"/>
        <v>5931.4750000000004</v>
      </c>
      <c r="HF55" s="141">
        <f t="shared" si="272"/>
        <v>5931.4750000000004</v>
      </c>
      <c r="HG55" s="141">
        <f t="shared" si="272"/>
        <v>5931.4750000000004</v>
      </c>
      <c r="HH55" s="141">
        <f t="shared" si="272"/>
        <v>5931.4750000000004</v>
      </c>
      <c r="HI55" s="141">
        <f t="shared" si="272"/>
        <v>5931.4750000000004</v>
      </c>
      <c r="HJ55" s="141">
        <f t="shared" si="272"/>
        <v>5931.4750000000004</v>
      </c>
      <c r="HK55" s="141">
        <f t="shared" si="272"/>
        <v>5931.4750000000004</v>
      </c>
      <c r="HL55" s="141">
        <f t="shared" si="272"/>
        <v>5931.4750000000004</v>
      </c>
      <c r="HM55" s="142">
        <f t="shared" ref="HM55:IP55" si="273">IF(ISBLANK($A55),,FE55*($AH55-($AH55*$AJ55))/$AI55)</f>
        <v>3954.3166666666666</v>
      </c>
      <c r="HN55" s="142">
        <f t="shared" si="273"/>
        <v>3954.3166666666666</v>
      </c>
      <c r="HO55" s="142">
        <f t="shared" si="273"/>
        <v>3954.3166666666666</v>
      </c>
      <c r="HP55" s="142">
        <f t="shared" si="273"/>
        <v>3954.3166666666666</v>
      </c>
      <c r="HQ55" s="142">
        <f t="shared" si="273"/>
        <v>3954.3166666666666</v>
      </c>
      <c r="HR55" s="142">
        <f t="shared" si="273"/>
        <v>3954.3166666666666</v>
      </c>
      <c r="HS55" s="142">
        <f t="shared" si="273"/>
        <v>3954.3166666666666</v>
      </c>
      <c r="HT55" s="142">
        <f t="shared" si="273"/>
        <v>3954.3166666666666</v>
      </c>
      <c r="HU55" s="142">
        <f t="shared" si="273"/>
        <v>3954.3166666666666</v>
      </c>
      <c r="HV55" s="142">
        <f t="shared" si="273"/>
        <v>3954.3166666666666</v>
      </c>
      <c r="HW55" s="142">
        <f t="shared" si="273"/>
        <v>3954.3166666666666</v>
      </c>
      <c r="HX55" s="142">
        <f t="shared" si="273"/>
        <v>3954.3166666666666</v>
      </c>
      <c r="HY55" s="142">
        <f t="shared" si="273"/>
        <v>3954.3166666666666</v>
      </c>
      <c r="HZ55" s="142">
        <f t="shared" si="273"/>
        <v>3954.3166666666666</v>
      </c>
      <c r="IA55" s="142">
        <f t="shared" si="273"/>
        <v>3954.3166666666666</v>
      </c>
      <c r="IB55" s="142">
        <f t="shared" si="273"/>
        <v>3954.3166666666666</v>
      </c>
      <c r="IC55" s="142">
        <f t="shared" si="273"/>
        <v>3954.3166666666666</v>
      </c>
      <c r="ID55" s="142">
        <f t="shared" si="273"/>
        <v>3954.3166666666666</v>
      </c>
      <c r="IE55" s="142">
        <f t="shared" si="273"/>
        <v>3954.3166666666666</v>
      </c>
      <c r="IF55" s="142">
        <f t="shared" si="273"/>
        <v>3954.3166666666666</v>
      </c>
      <c r="IG55" s="142">
        <f t="shared" si="273"/>
        <v>3954.3166666666666</v>
      </c>
      <c r="IH55" s="142">
        <f t="shared" si="273"/>
        <v>3954.3166666666666</v>
      </c>
      <c r="II55" s="142">
        <f t="shared" si="273"/>
        <v>3954.3166666666666</v>
      </c>
      <c r="IJ55" s="142">
        <f t="shared" si="273"/>
        <v>3954.3166666666666</v>
      </c>
      <c r="IK55" s="142">
        <f t="shared" si="273"/>
        <v>3954.3166666666666</v>
      </c>
      <c r="IL55" s="142">
        <f t="shared" si="273"/>
        <v>3954.3166666666666</v>
      </c>
      <c r="IM55" s="142">
        <f t="shared" si="273"/>
        <v>3954.3166666666666</v>
      </c>
      <c r="IN55" s="142">
        <f t="shared" si="273"/>
        <v>3954.3166666666666</v>
      </c>
      <c r="IO55" s="142">
        <f t="shared" si="273"/>
        <v>3954.3166666666666</v>
      </c>
      <c r="IP55" s="142">
        <f t="shared" si="273"/>
        <v>3954.3166666666666</v>
      </c>
      <c r="IQ55" s="141">
        <f>IF(ISBLANK($A55),,IF($AN55="Não",0,(SUM($AO55:AO55)*$AH55)-SUM($HM55:HM55)-SUM($CW55:CW55)))</f>
        <v>0</v>
      </c>
      <c r="IR55" s="141">
        <f>IF(ISBLANK($A55),,IF($AN55="Não",0,(SUM($AO55:AP55)*$AH55)-SUM($HM55:HN55)-SUM($CW55:CX55)))</f>
        <v>0</v>
      </c>
      <c r="IS55" s="141">
        <f>IF(ISBLANK($A55),,IF($AN55="Não",0,(SUM($AO55:AQ55)*$AH55)-SUM($HM55:HO55)-SUM($CW55:CY55)))</f>
        <v>0</v>
      </c>
      <c r="IT55" s="141">
        <f>IF(ISBLANK($A55),,IF($AN55="Não",0,(SUM($AO55:AR55)*$AH55)-SUM($HM55:HP55)-SUM($CW55:CZ55)))</f>
        <v>0</v>
      </c>
      <c r="IU55" s="141">
        <f>IF(ISBLANK($A55),,IF($AN55="Não",0,(SUM($AO55:AS55)*$AH55)-SUM($HM55:HQ55)-SUM($CW55:DA55)))</f>
        <v>0</v>
      </c>
      <c r="IV55" s="141">
        <f>IF(ISBLANK($A55),,IF($AN55="Não",0,(SUM($AO55:AT55)*$AH55)-SUM($HM55:HR55)-SUM($CW55:DB55)))</f>
        <v>0</v>
      </c>
      <c r="IW55" s="141">
        <f>IF(ISBLANK($A55),,IF($AN55="Não",0,(SUM($AO55:AU55)*$AH55)-SUM($HM55:HS55)-SUM($CW55:DC55)))</f>
        <v>0</v>
      </c>
      <c r="IX55" s="141">
        <f>IF(ISBLANK($A55),,IF($AN55="Não",0,(SUM($AO55:AV55)*$AH55)-SUM($HM55:HT55)-SUM($CW55:DD55)))</f>
        <v>0</v>
      </c>
      <c r="IY55" s="141">
        <f>IF(ISBLANK($A55),,IF($AN55="Não",0,(SUM($AO55:AW55)*$AH55)-SUM($HM55:HU55)-SUM($CW55:DE55)))</f>
        <v>0</v>
      </c>
      <c r="IZ55" s="141">
        <f>IF(ISBLANK($A55),,IF($AN55="Não",0,(SUM($AO55:AX55)*$AH55)-SUM($HM55:HV55)-SUM($CW55:DF55)))</f>
        <v>0</v>
      </c>
      <c r="JA55" s="141">
        <f>IF(ISBLANK($A55),,IF($AN55="Não",0,(SUM($AO55:AY55)*$AH55)-SUM($HM55:HW55)-SUM($CW55:DG55)))</f>
        <v>0</v>
      </c>
      <c r="JB55" s="141">
        <f>IF(ISBLANK($A55),,IF($AN55="Não",0,(SUM($AO55:AZ55)*$AH55)-SUM($HM55:HX55)-SUM($CW55:DH55)))</f>
        <v>0</v>
      </c>
      <c r="JC55" s="141">
        <f>IF(ISBLANK($A55),,IF($AN55="Não",0,(SUM($AO55:BA55)*$AH55)-SUM($HM55:HY55)-SUM($CW55:DI55)))</f>
        <v>0</v>
      </c>
      <c r="JD55" s="141">
        <f>IF(ISBLANK($A55),,IF($AN55="Não",0,(SUM($AO55:BB55)*$AH55)-SUM($HM55:HZ55)-SUM($CW55:DJ55)))</f>
        <v>0</v>
      </c>
      <c r="JE55" s="141">
        <f>IF(ISBLANK($A55),,IF($AN55="Não",0,(SUM($AO55:BC55)*$AH55)-SUM($HM55:IA55)-SUM($CW55:DK55)))</f>
        <v>0</v>
      </c>
      <c r="JF55" s="141">
        <f>IF(ISBLANK($A55),,IF($AN55="Não",0,(SUM($AO55:BD55)*$AH55)-SUM($HM55:IB55)-SUM($CW55:DL55)))</f>
        <v>0</v>
      </c>
      <c r="JG55" s="141">
        <f>IF(ISBLANK($A55),,IF($AN55="Não",0,(SUM($AO55:BE55)*$AH55)-SUM($HM55:IC55)-SUM($CW55:DM55)))</f>
        <v>0</v>
      </c>
      <c r="JH55" s="141">
        <f>IF(ISBLANK($A55),,IF($AN55="Não",0,(SUM($AO55:BF55)*$AH55)-SUM($HM55:ID55)-SUM($CW55:DN55)))</f>
        <v>0</v>
      </c>
      <c r="JI55" s="141">
        <f>IF(ISBLANK($A55),,IF($AN55="Não",0,(SUM($AO55:BG55)*$AH55)-SUM($HM55:IE55)-SUM($CW55:DO55)))</f>
        <v>0</v>
      </c>
      <c r="JJ55" s="141">
        <f>IF(ISBLANK($A55),,IF($AN55="Não",0,(SUM($AO55:BH55)*$AH55)-SUM($HM55:IF55)-SUM($CW55:DP55)))</f>
        <v>0</v>
      </c>
      <c r="JK55" s="141">
        <f>IF(ISBLANK($A55),,IF($AN55="Não",0,(SUM($AO55:BI55)*$AH55)-SUM($HM55:IG55)-SUM($CW55:DQ55)))</f>
        <v>0</v>
      </c>
      <c r="JL55" s="141">
        <f>IF(ISBLANK($A55),,IF($AN55="Não",0,(SUM($AO55:BJ55)*$AH55)-SUM($HM55:IH55)-SUM($CW55:DR55)))</f>
        <v>0</v>
      </c>
      <c r="JM55" s="141">
        <f>IF(ISBLANK($A55),,IF($AN55="Não",0,(SUM($AO55:BK55)*$AH55)-SUM($HM55:II55)-SUM($CW55:DS55)))</f>
        <v>0</v>
      </c>
      <c r="JN55" s="141">
        <f>IF(ISBLANK($A55),,IF($AN55="Não",0,(SUM($AO55:BL55)*$AH55)-SUM($HM55:IJ55)-SUM($CW55:DT55)))</f>
        <v>0</v>
      </c>
      <c r="JO55" s="141">
        <f>IF(ISBLANK($A55),,IF($AN55="Não",0,(SUM($AO55:BM55)*$AH55)-SUM($HM55:IK55)-SUM($CW55:DU55)))</f>
        <v>0</v>
      </c>
      <c r="JP55" s="141">
        <f>IF(ISBLANK($A55),,IF($AN55="Não",0,(SUM($AO55:BN55)*$AH55)-SUM($HM55:IL55)-SUM($CW55:DV55)))</f>
        <v>0</v>
      </c>
      <c r="JQ55" s="141">
        <f>IF(ISBLANK($A55),,IF($AN55="Não",0,(SUM($AO55:BO55)*$AH55)-SUM($HM55:IM55)-SUM($CW55:DW55)))</f>
        <v>0</v>
      </c>
      <c r="JR55" s="141">
        <f>IF(ISBLANK($A55),,IF($AN55="Não",0,(SUM($AO55:BP55)*$AH55)-SUM($HM55:IN55)-SUM($CW55:DX55)))</f>
        <v>0</v>
      </c>
      <c r="JS55" s="141">
        <f>IF(ISBLANK($A55),,IF($AN55="Não",0,(SUM($AO55:BQ55)*$AH55)-SUM($HM55:IO55)-SUM($CW55:DY55)))</f>
        <v>0</v>
      </c>
      <c r="JT55" s="141">
        <f>IF(ISBLANK($A55),,IF($AN55="Não",0,(SUM($AO55:BR55)*$AH55)-SUM($HM55:IP55)-SUM($CW55:DZ55)))</f>
        <v>0</v>
      </c>
    </row>
    <row r="56" spans="1:280" ht="15.75" customHeight="1">
      <c r="A56" s="129" t="s">
        <v>367</v>
      </c>
      <c r="B56" s="129" t="s">
        <v>209</v>
      </c>
      <c r="C56" s="138" t="s">
        <v>101</v>
      </c>
      <c r="D56" s="139">
        <v>150</v>
      </c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607">
        <f t="shared" si="165"/>
        <v>44</v>
      </c>
      <c r="AI56" s="608">
        <f t="shared" si="166"/>
        <v>30</v>
      </c>
      <c r="AJ56" s="609">
        <f t="shared" si="167"/>
        <v>1</v>
      </c>
      <c r="AK56" s="610" t="str">
        <f t="shared" si="168"/>
        <v>Infraestrutura</v>
      </c>
      <c r="AL56" s="609">
        <f t="shared" si="169"/>
        <v>0.05</v>
      </c>
      <c r="AM56" s="611" t="str">
        <f t="shared" si="170"/>
        <v>Sim</v>
      </c>
      <c r="AN56" s="611" t="str">
        <f t="shared" si="171"/>
        <v>Não</v>
      </c>
      <c r="AO56" s="140">
        <f t="array" ref="AO56">IF(ISBLANK($A56),0,IF(OR(AO$5-$AI56&lt;=0,$AM56="Não"),D56,D56+INDEX($AO$6:$BR$176,ROW()-5,COLUMN()-40-$AI56)))*IF($B56="Operacional",IFERROR(VLOOKUP($C56,SN_UGC,28,0),0),1)</f>
        <v>150</v>
      </c>
      <c r="AP56" s="140">
        <f t="array" ref="AP56">IF(ISBLANK($A56),0,IF(OR(AP$5-$AI56&lt;=0,$AM56="Não"),E56,E56+INDEX($AO$6:$BR$176,ROW()-5,COLUMN()-40-$AI56)))*IF($B56="Operacional",IFERROR(VLOOKUP($C56,SN_UGC,28,0),0),1)</f>
        <v>0</v>
      </c>
      <c r="AQ56" s="140">
        <f t="array" ref="AQ56">IF(ISBLANK($A56),0,IF(OR(AQ$5-$AI56&lt;=0,$AM56="Não"),F56,F56+INDEX($AO$6:$BR$176,ROW()-5,COLUMN()-40-$AI56)))*IF($B56="Operacional",IFERROR(VLOOKUP($C56,SN_UGC,28,0),0),1)</f>
        <v>0</v>
      </c>
      <c r="AR56" s="140">
        <f t="array" ref="AR56">IF(ISBLANK($A56),0,IF(OR(AR$5-$AI56&lt;=0,$AM56="Não"),G56,G56+INDEX($AO$6:$BR$176,ROW()-5,COLUMN()-40-$AI56)))*IF($B56="Operacional",IFERROR(VLOOKUP($C56,SN_UGC,28,0),0),1)</f>
        <v>0</v>
      </c>
      <c r="AS56" s="140">
        <f t="array" ref="AS56">IF(ISBLANK($A56),0,IF(OR(AS$5-$AI56&lt;=0,$AM56="Não"),H56,H56+INDEX($AO$6:$BR$176,ROW()-5,COLUMN()-40-$AI56)))*IF($B56="Operacional",IFERROR(VLOOKUP($C56,SN_UGC,28,0),0),1)</f>
        <v>0</v>
      </c>
      <c r="AT56" s="140">
        <f t="array" ref="AT56">IF(ISBLANK($A56),0,IF(OR(AT$5-$AI56&lt;=0,$AM56="Não"),I56,I56+INDEX($AO$6:$BR$176,ROW()-5,COLUMN()-40-$AI56)))*IF($B56="Operacional",IFERROR(VLOOKUP($C56,SN_UGC,28,0),0),1)</f>
        <v>0</v>
      </c>
      <c r="AU56" s="140">
        <f t="array" ref="AU56">IF(ISBLANK($A56),0,IF(OR(AU$5-$AI56&lt;=0,$AM56="Não"),J56,J56+INDEX($AO$6:$BR$176,ROW()-5,COLUMN()-40-$AI56)))*IF($B56="Operacional",IFERROR(VLOOKUP($C56,SN_UGC,28,0),0),1)</f>
        <v>0</v>
      </c>
      <c r="AV56" s="140">
        <f t="array" ref="AV56">IF(ISBLANK($A56),0,IF(OR(AV$5-$AI56&lt;=0,$AM56="Não"),K56,K56+INDEX($AO$6:$BR$176,ROW()-5,COLUMN()-40-$AI56)))*IF($B56="Operacional",IFERROR(VLOOKUP($C56,SN_UGC,28,0),0),1)</f>
        <v>0</v>
      </c>
      <c r="AW56" s="140">
        <f t="array" ref="AW56">IF(ISBLANK($A56),0,IF(OR(AW$5-$AI56&lt;=0,$AM56="Não"),L56,L56+INDEX($AO$6:$BR$176,ROW()-5,COLUMN()-40-$AI56)))*IF($B56="Operacional",IFERROR(VLOOKUP($C56,SN_UGC,28,0),0),1)</f>
        <v>0</v>
      </c>
      <c r="AX56" s="140">
        <f t="array" ref="AX56">IF(ISBLANK($A56),0,IF(OR(AX$5-$AI56&lt;=0,$AM56="Não"),M56,M56+INDEX($AO$6:$BR$176,ROW()-5,COLUMN()-40-$AI56)))*IF($B56="Operacional",IFERROR(VLOOKUP($C56,SN_UGC,28,0),0),1)</f>
        <v>0</v>
      </c>
      <c r="AY56" s="140">
        <f t="array" ref="AY56">IF(ISBLANK($A56),0,IF(OR(AY$5-$AI56&lt;=0,$AM56="Não"),N56,N56+INDEX($AO$6:$BR$176,ROW()-5,COLUMN()-40-$AI56)))*IF($B56="Operacional",IFERROR(VLOOKUP($C56,SN_UGC,28,0),0),1)</f>
        <v>0</v>
      </c>
      <c r="AZ56" s="140">
        <f t="array" ref="AZ56">IF(ISBLANK($A56),0,IF(OR(AZ$5-$AI56&lt;=0,$AM56="Não"),O56,O56+INDEX($AO$6:$BR$176,ROW()-5,COLUMN()-40-$AI56)))*IF($B56="Operacional",IFERROR(VLOOKUP($C56,SN_UGC,28,0),0),1)</f>
        <v>0</v>
      </c>
      <c r="BA56" s="140">
        <f t="array" ref="BA56">IF(ISBLANK($A56),0,IF(OR(BA$5-$AI56&lt;=0,$AM56="Não"),P56,P56+INDEX($AO$6:$BR$176,ROW()-5,COLUMN()-40-$AI56)))*IF($B56="Operacional",IFERROR(VLOOKUP($C56,SN_UGC,28,0),0),1)</f>
        <v>0</v>
      </c>
      <c r="BB56" s="140">
        <f t="array" ref="BB56">IF(ISBLANK($A56),0,IF(OR(BB$5-$AI56&lt;=0,$AM56="Não"),Q56,Q56+INDEX($AO$6:$BR$176,ROW()-5,COLUMN()-40-$AI56)))*IF($B56="Operacional",IFERROR(VLOOKUP($C56,SN_UGC,28,0),0),1)</f>
        <v>0</v>
      </c>
      <c r="BC56" s="140">
        <f t="array" ref="BC56">IF(ISBLANK($A56),0,IF(OR(BC$5-$AI56&lt;=0,$AM56="Não"),R56,R56+INDEX($AO$6:$BR$176,ROW()-5,COLUMN()-40-$AI56)))*IF($B56="Operacional",IFERROR(VLOOKUP($C56,SN_UGC,28,0),0),1)</f>
        <v>0</v>
      </c>
      <c r="BD56" s="140">
        <f t="array" ref="BD56">IF(ISBLANK($A56),0,IF(OR(BD$5-$AI56&lt;=0,$AM56="Não"),S56,S56+INDEX($AO$6:$BR$176,ROW()-5,COLUMN()-40-$AI56)))*IF($B56="Operacional",IFERROR(VLOOKUP($C56,SN_UGC,28,0),0),1)</f>
        <v>0</v>
      </c>
      <c r="BE56" s="140">
        <f t="array" ref="BE56">IF(ISBLANK($A56),0,IF(OR(BE$5-$AI56&lt;=0,$AM56="Não"),T56,T56+INDEX($AO$6:$BR$176,ROW()-5,COLUMN()-40-$AI56)))*IF($B56="Operacional",IFERROR(VLOOKUP($C56,SN_UGC,28,0),0),1)</f>
        <v>0</v>
      </c>
      <c r="BF56" s="140">
        <f t="array" ref="BF56">IF(ISBLANK($A56),0,IF(OR(BF$5-$AI56&lt;=0,$AM56="Não"),U56,U56+INDEX($AO$6:$BR$176,ROW()-5,COLUMN()-40-$AI56)))*IF($B56="Operacional",IFERROR(VLOOKUP($C56,SN_UGC,28,0),0),1)</f>
        <v>0</v>
      </c>
      <c r="BG56" s="140">
        <f t="array" ref="BG56">IF(ISBLANK($A56),0,IF(OR(BG$5-$AI56&lt;=0,$AM56="Não"),V56,V56+INDEX($AO$6:$BR$176,ROW()-5,COLUMN()-40-$AI56)))*IF($B56="Operacional",IFERROR(VLOOKUP($C56,SN_UGC,28,0),0),1)</f>
        <v>0</v>
      </c>
      <c r="BH56" s="140">
        <f t="array" ref="BH56">IF(ISBLANK($A56),0,IF(OR(BH$5-$AI56&lt;=0,$AM56="Não"),W56,W56+INDEX($AO$6:$BR$176,ROW()-5,COLUMN()-40-$AI56)))*IF($B56="Operacional",IFERROR(VLOOKUP($C56,SN_UGC,28,0),0),1)</f>
        <v>0</v>
      </c>
      <c r="BI56" s="140">
        <f t="array" ref="BI56">IF(ISBLANK($A56),0,IF(OR(BI$5-$AI56&lt;=0,$AM56="Não"),X56,X56+INDEX($AO$6:$BR$176,ROW()-5,COLUMN()-40-$AI56)))*IF($B56="Operacional",IFERROR(VLOOKUP($C56,SN_UGC,28,0),0),1)</f>
        <v>0</v>
      </c>
      <c r="BJ56" s="140">
        <f t="array" ref="BJ56">IF(ISBLANK($A56),0,IF(OR(BJ$5-$AI56&lt;=0,$AM56="Não"),Y56,Y56+INDEX($AO$6:$BR$176,ROW()-5,COLUMN()-40-$AI56)))*IF($B56="Operacional",IFERROR(VLOOKUP($C56,SN_UGC,28,0),0),1)</f>
        <v>0</v>
      </c>
      <c r="BK56" s="140">
        <f t="array" ref="BK56">IF(ISBLANK($A56),0,IF(OR(BK$5-$AI56&lt;=0,$AM56="Não"),Z56,Z56+INDEX($AO$6:$BR$176,ROW()-5,COLUMN()-40-$AI56)))*IF($B56="Operacional",IFERROR(VLOOKUP($C56,SN_UGC,28,0),0),1)</f>
        <v>0</v>
      </c>
      <c r="BL56" s="140">
        <f t="array" ref="BL56">IF(ISBLANK($A56),0,IF(OR(BL$5-$AI56&lt;=0,$AM56="Não"),AA56,AA56+INDEX($AO$6:$BR$176,ROW()-5,COLUMN()-40-$AI56)))*IF($B56="Operacional",IFERROR(VLOOKUP($C56,SN_UGC,28,0),0),1)</f>
        <v>0</v>
      </c>
      <c r="BM56" s="140">
        <f t="array" ref="BM56">IF(ISBLANK($A56),0,IF(OR(BM$5-$AI56&lt;=0,$AM56="Não"),AB56,AB56+INDEX($AO$6:$BR$176,ROW()-5,COLUMN()-40-$AI56)))*IF($B56="Operacional",IFERROR(VLOOKUP($C56,SN_UGC,28,0),0),1)</f>
        <v>0</v>
      </c>
      <c r="BN56" s="140">
        <f t="array" ref="BN56">IF(ISBLANK($A56),0,IF(OR(BN$5-$AI56&lt;=0,$AM56="Não"),AC56,AC56+INDEX($AO$6:$BR$176,ROW()-5,COLUMN()-40-$AI56)))*IF($B56="Operacional",IFERROR(VLOOKUP($C56,SN_UGC,28,0),0),1)</f>
        <v>0</v>
      </c>
      <c r="BO56" s="140">
        <f t="array" ref="BO56">IF(ISBLANK($A56),0,IF(OR(BO$5-$AI56&lt;=0,$AM56="Não"),AD56,AD56+INDEX($AO$6:$BR$176,ROW()-5,COLUMN()-40-$AI56)))*IF($B56="Operacional",IFERROR(VLOOKUP($C56,SN_UGC,28,0),0),1)</f>
        <v>0</v>
      </c>
      <c r="BP56" s="140">
        <f t="array" ref="BP56">IF(ISBLANK($A56),0,IF(OR(BP$5-$AI56&lt;=0,$AM56="Não"),AE56,AE56+INDEX($AO$6:$BR$176,ROW()-5,COLUMN()-40-$AI56)))*IF($B56="Operacional",IFERROR(VLOOKUP($C56,SN_UGC,28,0),0),1)</f>
        <v>0</v>
      </c>
      <c r="BQ56" s="140">
        <f t="array" ref="BQ56">IF(ISBLANK($A56),0,IF(OR(BQ$5-$AI56&lt;=0,$AM56="Não"),AF56,AF56+INDEX($AO$6:$BR$176,ROW()-5,COLUMN()-40-$AI56)))*IF($B56="Operacional",IFERROR(VLOOKUP($C56,SN_UGC,28,0),0),1)</f>
        <v>0</v>
      </c>
      <c r="BR56" s="140">
        <f t="array" ref="BR56">IF(ISBLANK($A56),0,IF(OR(BR$5-$AI56&lt;=0,$AM56="Não"),AG56,AG56+INDEX($AO$6:$BR$176,ROW()-5,COLUMN()-40-$AI56)))*IF($B56="Operacional",IFERROR(VLOOKUP($C56,SN_UGC,28,0),0),1)</f>
        <v>0</v>
      </c>
      <c r="BS56" s="141">
        <f t="shared" ref="BS56:CV56" si="274">IF(ISBLANK($A56),0,$AH56*AO56)</f>
        <v>6600</v>
      </c>
      <c r="BT56" s="141">
        <f t="shared" si="274"/>
        <v>0</v>
      </c>
      <c r="BU56" s="141">
        <f t="shared" si="274"/>
        <v>0</v>
      </c>
      <c r="BV56" s="141">
        <f t="shared" si="274"/>
        <v>0</v>
      </c>
      <c r="BW56" s="141">
        <f t="shared" si="274"/>
        <v>0</v>
      </c>
      <c r="BX56" s="141">
        <f t="shared" si="274"/>
        <v>0</v>
      </c>
      <c r="BY56" s="141">
        <f t="shared" si="274"/>
        <v>0</v>
      </c>
      <c r="BZ56" s="141">
        <f t="shared" si="274"/>
        <v>0</v>
      </c>
      <c r="CA56" s="141">
        <f t="shared" si="274"/>
        <v>0</v>
      </c>
      <c r="CB56" s="141">
        <f t="shared" si="274"/>
        <v>0</v>
      </c>
      <c r="CC56" s="141">
        <f t="shared" si="274"/>
        <v>0</v>
      </c>
      <c r="CD56" s="141">
        <f t="shared" si="274"/>
        <v>0</v>
      </c>
      <c r="CE56" s="141">
        <f t="shared" si="274"/>
        <v>0</v>
      </c>
      <c r="CF56" s="141">
        <f t="shared" si="274"/>
        <v>0</v>
      </c>
      <c r="CG56" s="141">
        <f t="shared" si="274"/>
        <v>0</v>
      </c>
      <c r="CH56" s="141">
        <f t="shared" si="274"/>
        <v>0</v>
      </c>
      <c r="CI56" s="141">
        <f t="shared" si="274"/>
        <v>0</v>
      </c>
      <c r="CJ56" s="141">
        <f t="shared" si="274"/>
        <v>0</v>
      </c>
      <c r="CK56" s="141">
        <f t="shared" si="274"/>
        <v>0</v>
      </c>
      <c r="CL56" s="141">
        <f t="shared" si="274"/>
        <v>0</v>
      </c>
      <c r="CM56" s="141">
        <f t="shared" si="274"/>
        <v>0</v>
      </c>
      <c r="CN56" s="141">
        <f t="shared" si="274"/>
        <v>0</v>
      </c>
      <c r="CO56" s="141">
        <f t="shared" si="274"/>
        <v>0</v>
      </c>
      <c r="CP56" s="141">
        <f t="shared" si="274"/>
        <v>0</v>
      </c>
      <c r="CQ56" s="141">
        <f t="shared" si="274"/>
        <v>0</v>
      </c>
      <c r="CR56" s="141">
        <f t="shared" si="274"/>
        <v>0</v>
      </c>
      <c r="CS56" s="141">
        <f t="shared" si="274"/>
        <v>0</v>
      </c>
      <c r="CT56" s="141">
        <f t="shared" si="274"/>
        <v>0</v>
      </c>
      <c r="CU56" s="141">
        <f t="shared" si="274"/>
        <v>0</v>
      </c>
      <c r="CV56" s="141">
        <f t="shared" si="274"/>
        <v>0</v>
      </c>
      <c r="CW56" s="142">
        <f t="shared" ref="CW56:DZ56" si="275">EA56*$AH56*$AJ56</f>
        <v>0</v>
      </c>
      <c r="CX56" s="142">
        <f t="shared" si="275"/>
        <v>0</v>
      </c>
      <c r="CY56" s="142">
        <f t="shared" si="275"/>
        <v>0</v>
      </c>
      <c r="CZ56" s="142">
        <f t="shared" si="275"/>
        <v>0</v>
      </c>
      <c r="DA56" s="142">
        <f t="shared" si="275"/>
        <v>0</v>
      </c>
      <c r="DB56" s="142">
        <f t="shared" si="275"/>
        <v>0</v>
      </c>
      <c r="DC56" s="142">
        <f t="shared" si="275"/>
        <v>0</v>
      </c>
      <c r="DD56" s="142">
        <f t="shared" si="275"/>
        <v>0</v>
      </c>
      <c r="DE56" s="142">
        <f t="shared" si="275"/>
        <v>0</v>
      </c>
      <c r="DF56" s="142">
        <f t="shared" si="275"/>
        <v>0</v>
      </c>
      <c r="DG56" s="142">
        <f t="shared" si="275"/>
        <v>0</v>
      </c>
      <c r="DH56" s="142">
        <f t="shared" si="275"/>
        <v>0</v>
      </c>
      <c r="DI56" s="142">
        <f t="shared" si="275"/>
        <v>0</v>
      </c>
      <c r="DJ56" s="142">
        <f t="shared" si="275"/>
        <v>0</v>
      </c>
      <c r="DK56" s="142">
        <f t="shared" si="275"/>
        <v>0</v>
      </c>
      <c r="DL56" s="142">
        <f t="shared" si="275"/>
        <v>0</v>
      </c>
      <c r="DM56" s="142">
        <f t="shared" si="275"/>
        <v>0</v>
      </c>
      <c r="DN56" s="142">
        <f t="shared" si="275"/>
        <v>0</v>
      </c>
      <c r="DO56" s="142">
        <f t="shared" si="275"/>
        <v>0</v>
      </c>
      <c r="DP56" s="142">
        <f t="shared" si="275"/>
        <v>0</v>
      </c>
      <c r="DQ56" s="142">
        <f t="shared" si="275"/>
        <v>0</v>
      </c>
      <c r="DR56" s="142">
        <f t="shared" si="275"/>
        <v>0</v>
      </c>
      <c r="DS56" s="142">
        <f t="shared" si="275"/>
        <v>0</v>
      </c>
      <c r="DT56" s="142">
        <f t="shared" si="275"/>
        <v>0</v>
      </c>
      <c r="DU56" s="142">
        <f t="shared" si="275"/>
        <v>0</v>
      </c>
      <c r="DV56" s="142">
        <f t="shared" si="275"/>
        <v>0</v>
      </c>
      <c r="DW56" s="142">
        <f t="shared" si="275"/>
        <v>0</v>
      </c>
      <c r="DX56" s="142">
        <f t="shared" si="275"/>
        <v>0</v>
      </c>
      <c r="DY56" s="142">
        <f t="shared" si="275"/>
        <v>0</v>
      </c>
      <c r="DZ56" s="142">
        <f t="shared" si="275"/>
        <v>0</v>
      </c>
      <c r="EA56" s="143">
        <f t="shared" si="174"/>
        <v>0</v>
      </c>
      <c r="EB56" s="143">
        <f t="shared" si="175"/>
        <v>0</v>
      </c>
      <c r="EC56" s="143">
        <f t="shared" si="176"/>
        <v>0</v>
      </c>
      <c r="ED56" s="143">
        <f t="shared" si="177"/>
        <v>0</v>
      </c>
      <c r="EE56" s="143">
        <f t="shared" si="178"/>
        <v>0</v>
      </c>
      <c r="EF56" s="143">
        <f t="shared" si="179"/>
        <v>0</v>
      </c>
      <c r="EG56" s="143">
        <f t="shared" si="180"/>
        <v>0</v>
      </c>
      <c r="EH56" s="143">
        <f t="shared" si="181"/>
        <v>0</v>
      </c>
      <c r="EI56" s="143">
        <f t="shared" si="182"/>
        <v>0</v>
      </c>
      <c r="EJ56" s="143">
        <f t="shared" si="183"/>
        <v>0</v>
      </c>
      <c r="EK56" s="143">
        <f t="shared" si="184"/>
        <v>0</v>
      </c>
      <c r="EL56" s="143">
        <f t="shared" si="185"/>
        <v>0</v>
      </c>
      <c r="EM56" s="143">
        <f t="shared" si="186"/>
        <v>0</v>
      </c>
      <c r="EN56" s="143">
        <f t="shared" si="187"/>
        <v>0</v>
      </c>
      <c r="EO56" s="143">
        <f t="shared" si="188"/>
        <v>0</v>
      </c>
      <c r="EP56" s="143">
        <f t="shared" si="189"/>
        <v>0</v>
      </c>
      <c r="EQ56" s="143">
        <f t="shared" si="190"/>
        <v>0</v>
      </c>
      <c r="ER56" s="143">
        <f t="shared" si="191"/>
        <v>0</v>
      </c>
      <c r="ES56" s="143">
        <f t="shared" si="192"/>
        <v>0</v>
      </c>
      <c r="ET56" s="143">
        <f t="shared" si="193"/>
        <v>0</v>
      </c>
      <c r="EU56" s="143">
        <f t="shared" si="194"/>
        <v>0</v>
      </c>
      <c r="EV56" s="143">
        <f t="shared" si="195"/>
        <v>0</v>
      </c>
      <c r="EW56" s="143">
        <f t="shared" si="196"/>
        <v>0</v>
      </c>
      <c r="EX56" s="143">
        <f t="shared" si="197"/>
        <v>0</v>
      </c>
      <c r="EY56" s="143">
        <f t="shared" si="198"/>
        <v>0</v>
      </c>
      <c r="EZ56" s="143">
        <f t="shared" si="199"/>
        <v>0</v>
      </c>
      <c r="FA56" s="143">
        <f t="shared" si="200"/>
        <v>0</v>
      </c>
      <c r="FB56" s="143">
        <f t="shared" si="201"/>
        <v>0</v>
      </c>
      <c r="FC56" s="143">
        <f t="shared" si="202"/>
        <v>0</v>
      </c>
      <c r="FD56" s="143">
        <f t="shared" si="203"/>
        <v>0</v>
      </c>
      <c r="FE56" s="140">
        <f>SUM($D56:D56)*IF($B56="Operacional",IFERROR(VLOOKUP($C56,SN_UGC,28,0),0),1)</f>
        <v>150</v>
      </c>
      <c r="FF56" s="140">
        <f>SUM($D56:E56)*IF($B56="Operacional",IFERROR(VLOOKUP($C56,SN_UGC,28,0),0),1)</f>
        <v>150</v>
      </c>
      <c r="FG56" s="140">
        <f>SUM($D56:F56)*IF($B56="Operacional",IFERROR(VLOOKUP($C56,SN_UGC,28,0),0),1)</f>
        <v>150</v>
      </c>
      <c r="FH56" s="140">
        <f>SUM($D56:G56)*IF($B56="Operacional",IFERROR(VLOOKUP($C56,SN_UGC,28,0),0),1)</f>
        <v>150</v>
      </c>
      <c r="FI56" s="140">
        <f>SUM($D56:H56)*IF($B56="Operacional",IFERROR(VLOOKUP($C56,SN_UGC,28,0),0),1)</f>
        <v>150</v>
      </c>
      <c r="FJ56" s="140">
        <f>SUM($D56:I56)*IF($B56="Operacional",IFERROR(VLOOKUP($C56,SN_UGC,28,0),0),1)</f>
        <v>150</v>
      </c>
      <c r="FK56" s="140">
        <f>SUM($D56:J56)*IF($B56="Operacional",IFERROR(VLOOKUP($C56,SN_UGC,28,0),0),1)</f>
        <v>150</v>
      </c>
      <c r="FL56" s="140">
        <f>SUM($D56:K56)*IF($B56="Operacional",IFERROR(VLOOKUP($C56,SN_UGC,28,0),0),1)</f>
        <v>150</v>
      </c>
      <c r="FM56" s="140">
        <f>SUM($D56:L56)*IF($B56="Operacional",IFERROR(VLOOKUP($C56,SN_UGC,28,0),0),1)</f>
        <v>150</v>
      </c>
      <c r="FN56" s="140">
        <f>SUM($D56:M56)*IF($B56="Operacional",IFERROR(VLOOKUP($C56,SN_UGC,28,0),0),1)</f>
        <v>150</v>
      </c>
      <c r="FO56" s="140">
        <f>SUM($D56:N56)*IF($B56="Operacional",IFERROR(VLOOKUP($C56,SN_UGC,28,0),0),1)</f>
        <v>150</v>
      </c>
      <c r="FP56" s="140">
        <f>SUM($D56:O56)*IF($B56="Operacional",IFERROR(VLOOKUP($C56,SN_UGC,28,0),0),1)</f>
        <v>150</v>
      </c>
      <c r="FQ56" s="140">
        <f>SUM($D56:P56)*IF($B56="Operacional",IFERROR(VLOOKUP($C56,SN_UGC,28,0),0),1)</f>
        <v>150</v>
      </c>
      <c r="FR56" s="140">
        <f>SUM($D56:Q56)*IF($B56="Operacional",IFERROR(VLOOKUP($C56,SN_UGC,28,0),0),1)</f>
        <v>150</v>
      </c>
      <c r="FS56" s="140">
        <f>SUM($D56:R56)*IF($B56="Operacional",IFERROR(VLOOKUP($C56,SN_UGC,28,0),0),1)</f>
        <v>150</v>
      </c>
      <c r="FT56" s="140">
        <f>SUM($D56:S56)*IF($B56="Operacional",IFERROR(VLOOKUP($C56,SN_UGC,28,0),0),1)</f>
        <v>150</v>
      </c>
      <c r="FU56" s="140">
        <f>SUM($D56:T56)*IF($B56="Operacional",IFERROR(VLOOKUP($C56,SN_UGC,28,0),0),1)</f>
        <v>150</v>
      </c>
      <c r="FV56" s="140">
        <f>SUM($D56:U56)*IF($B56="Operacional",IFERROR(VLOOKUP($C56,SN_UGC,28,0),0),1)</f>
        <v>150</v>
      </c>
      <c r="FW56" s="140">
        <f>SUM($D56:V56)*IF($B56="Operacional",IFERROR(VLOOKUP($C56,SN_UGC,28,0),0),1)</f>
        <v>150</v>
      </c>
      <c r="FX56" s="140">
        <f>SUM($D56:W56)*IF($B56="Operacional",IFERROR(VLOOKUP($C56,SN_UGC,28,0),0),1)</f>
        <v>150</v>
      </c>
      <c r="FY56" s="140">
        <f>SUM($D56:X56)*IF($B56="Operacional",IFERROR(VLOOKUP($C56,SN_UGC,28,0),0),1)</f>
        <v>150</v>
      </c>
      <c r="FZ56" s="140">
        <f>SUM($D56:Y56)*IF($B56="Operacional",IFERROR(VLOOKUP($C56,SN_UGC,28,0),0),1)</f>
        <v>150</v>
      </c>
      <c r="GA56" s="140">
        <f>SUM($D56:Z56)*IF($B56="Operacional",IFERROR(VLOOKUP($C56,SN_UGC,28,0),0),1)</f>
        <v>150</v>
      </c>
      <c r="GB56" s="140">
        <f>SUM($D56:AA56)*IF($B56="Operacional",IFERROR(VLOOKUP($C56,SN_UGC,28,0),0),1)</f>
        <v>150</v>
      </c>
      <c r="GC56" s="140">
        <f>SUM($D56:AB56)*IF($B56="Operacional",IFERROR(VLOOKUP($C56,SN_UGC,28,0),0),1)</f>
        <v>150</v>
      </c>
      <c r="GD56" s="140">
        <f>SUM($D56:AC56)*IF($B56="Operacional",IFERROR(VLOOKUP($C56,SN_UGC,28,0),0),1)</f>
        <v>150</v>
      </c>
      <c r="GE56" s="140">
        <f>SUM($D56:AD56)*IF($B56="Operacional",IFERROR(VLOOKUP($C56,SN_UGC,28,0),0),1)</f>
        <v>150</v>
      </c>
      <c r="GF56" s="140">
        <f>SUM($D56:AE56)*IF($B56="Operacional",IFERROR(VLOOKUP($C56,SN_UGC,28,0),0),1)</f>
        <v>150</v>
      </c>
      <c r="GG56" s="140">
        <f>SUM($D56:AF56)*IF($B56="Operacional",IFERROR(VLOOKUP($C56,SN_UGC,28,0),0),1)</f>
        <v>150</v>
      </c>
      <c r="GH56" s="140">
        <f>SUM($D56:AG56)*IF($B56="Operacional",IFERROR(VLOOKUP($C56,SN_UGC,28,0),0),1)</f>
        <v>150</v>
      </c>
      <c r="GI56" s="141">
        <f t="shared" ref="GI56:HL56" si="276">FE56*$AH56*$AL56</f>
        <v>330</v>
      </c>
      <c r="GJ56" s="141">
        <f t="shared" si="276"/>
        <v>330</v>
      </c>
      <c r="GK56" s="141">
        <f t="shared" si="276"/>
        <v>330</v>
      </c>
      <c r="GL56" s="141">
        <f t="shared" si="276"/>
        <v>330</v>
      </c>
      <c r="GM56" s="141">
        <f t="shared" si="276"/>
        <v>330</v>
      </c>
      <c r="GN56" s="141">
        <f t="shared" si="276"/>
        <v>330</v>
      </c>
      <c r="GO56" s="141">
        <f t="shared" si="276"/>
        <v>330</v>
      </c>
      <c r="GP56" s="141">
        <f t="shared" si="276"/>
        <v>330</v>
      </c>
      <c r="GQ56" s="141">
        <f t="shared" si="276"/>
        <v>330</v>
      </c>
      <c r="GR56" s="141">
        <f t="shared" si="276"/>
        <v>330</v>
      </c>
      <c r="GS56" s="141">
        <f t="shared" si="276"/>
        <v>330</v>
      </c>
      <c r="GT56" s="141">
        <f t="shared" si="276"/>
        <v>330</v>
      </c>
      <c r="GU56" s="141">
        <f t="shared" si="276"/>
        <v>330</v>
      </c>
      <c r="GV56" s="141">
        <f t="shared" si="276"/>
        <v>330</v>
      </c>
      <c r="GW56" s="141">
        <f t="shared" si="276"/>
        <v>330</v>
      </c>
      <c r="GX56" s="141">
        <f t="shared" si="276"/>
        <v>330</v>
      </c>
      <c r="GY56" s="141">
        <f t="shared" si="276"/>
        <v>330</v>
      </c>
      <c r="GZ56" s="141">
        <f t="shared" si="276"/>
        <v>330</v>
      </c>
      <c r="HA56" s="141">
        <f t="shared" si="276"/>
        <v>330</v>
      </c>
      <c r="HB56" s="141">
        <f t="shared" si="276"/>
        <v>330</v>
      </c>
      <c r="HC56" s="141">
        <f t="shared" si="276"/>
        <v>330</v>
      </c>
      <c r="HD56" s="141">
        <f t="shared" si="276"/>
        <v>330</v>
      </c>
      <c r="HE56" s="141">
        <f t="shared" si="276"/>
        <v>330</v>
      </c>
      <c r="HF56" s="141">
        <f t="shared" si="276"/>
        <v>330</v>
      </c>
      <c r="HG56" s="141">
        <f t="shared" si="276"/>
        <v>330</v>
      </c>
      <c r="HH56" s="141">
        <f t="shared" si="276"/>
        <v>330</v>
      </c>
      <c r="HI56" s="141">
        <f t="shared" si="276"/>
        <v>330</v>
      </c>
      <c r="HJ56" s="141">
        <f t="shared" si="276"/>
        <v>330</v>
      </c>
      <c r="HK56" s="141">
        <f t="shared" si="276"/>
        <v>330</v>
      </c>
      <c r="HL56" s="141">
        <f t="shared" si="276"/>
        <v>330</v>
      </c>
      <c r="HM56" s="142">
        <f t="shared" ref="HM56:IP56" si="277">IF(ISBLANK($A56),,FE56*($AH56-($AH56*$AJ56))/$AI56)</f>
        <v>0</v>
      </c>
      <c r="HN56" s="142">
        <f t="shared" si="277"/>
        <v>0</v>
      </c>
      <c r="HO56" s="142">
        <f t="shared" si="277"/>
        <v>0</v>
      </c>
      <c r="HP56" s="142">
        <f t="shared" si="277"/>
        <v>0</v>
      </c>
      <c r="HQ56" s="142">
        <f t="shared" si="277"/>
        <v>0</v>
      </c>
      <c r="HR56" s="142">
        <f t="shared" si="277"/>
        <v>0</v>
      </c>
      <c r="HS56" s="142">
        <f t="shared" si="277"/>
        <v>0</v>
      </c>
      <c r="HT56" s="142">
        <f t="shared" si="277"/>
        <v>0</v>
      </c>
      <c r="HU56" s="142">
        <f t="shared" si="277"/>
        <v>0</v>
      </c>
      <c r="HV56" s="142">
        <f t="shared" si="277"/>
        <v>0</v>
      </c>
      <c r="HW56" s="142">
        <f t="shared" si="277"/>
        <v>0</v>
      </c>
      <c r="HX56" s="142">
        <f t="shared" si="277"/>
        <v>0</v>
      </c>
      <c r="HY56" s="142">
        <f t="shared" si="277"/>
        <v>0</v>
      </c>
      <c r="HZ56" s="142">
        <f t="shared" si="277"/>
        <v>0</v>
      </c>
      <c r="IA56" s="142">
        <f t="shared" si="277"/>
        <v>0</v>
      </c>
      <c r="IB56" s="142">
        <f t="shared" si="277"/>
        <v>0</v>
      </c>
      <c r="IC56" s="142">
        <f t="shared" si="277"/>
        <v>0</v>
      </c>
      <c r="ID56" s="142">
        <f t="shared" si="277"/>
        <v>0</v>
      </c>
      <c r="IE56" s="142">
        <f t="shared" si="277"/>
        <v>0</v>
      </c>
      <c r="IF56" s="142">
        <f t="shared" si="277"/>
        <v>0</v>
      </c>
      <c r="IG56" s="142">
        <f t="shared" si="277"/>
        <v>0</v>
      </c>
      <c r="IH56" s="142">
        <f t="shared" si="277"/>
        <v>0</v>
      </c>
      <c r="II56" s="142">
        <f t="shared" si="277"/>
        <v>0</v>
      </c>
      <c r="IJ56" s="142">
        <f t="shared" si="277"/>
        <v>0</v>
      </c>
      <c r="IK56" s="142">
        <f t="shared" si="277"/>
        <v>0</v>
      </c>
      <c r="IL56" s="142">
        <f t="shared" si="277"/>
        <v>0</v>
      </c>
      <c r="IM56" s="142">
        <f t="shared" si="277"/>
        <v>0</v>
      </c>
      <c r="IN56" s="142">
        <f t="shared" si="277"/>
        <v>0</v>
      </c>
      <c r="IO56" s="142">
        <f t="shared" si="277"/>
        <v>0</v>
      </c>
      <c r="IP56" s="142">
        <f t="shared" si="277"/>
        <v>0</v>
      </c>
      <c r="IQ56" s="141">
        <f>IF(ISBLANK($A56),,IF($AN56="Não",0,(SUM($AO56:AO56)*$AH56)-SUM($HM56:HM56)-SUM($CW56:CW56)))</f>
        <v>0</v>
      </c>
      <c r="IR56" s="141">
        <f>IF(ISBLANK($A56),,IF($AN56="Não",0,(SUM($AO56:AP56)*$AH56)-SUM($HM56:HN56)-SUM($CW56:CX56)))</f>
        <v>0</v>
      </c>
      <c r="IS56" s="141">
        <f>IF(ISBLANK($A56),,IF($AN56="Não",0,(SUM($AO56:AQ56)*$AH56)-SUM($HM56:HO56)-SUM($CW56:CY56)))</f>
        <v>0</v>
      </c>
      <c r="IT56" s="141">
        <f>IF(ISBLANK($A56),,IF($AN56="Não",0,(SUM($AO56:AR56)*$AH56)-SUM($HM56:HP56)-SUM($CW56:CZ56)))</f>
        <v>0</v>
      </c>
      <c r="IU56" s="141">
        <f>IF(ISBLANK($A56),,IF($AN56="Não",0,(SUM($AO56:AS56)*$AH56)-SUM($HM56:HQ56)-SUM($CW56:DA56)))</f>
        <v>0</v>
      </c>
      <c r="IV56" s="141">
        <f>IF(ISBLANK($A56),,IF($AN56="Não",0,(SUM($AO56:AT56)*$AH56)-SUM($HM56:HR56)-SUM($CW56:DB56)))</f>
        <v>0</v>
      </c>
      <c r="IW56" s="141">
        <f>IF(ISBLANK($A56),,IF($AN56="Não",0,(SUM($AO56:AU56)*$AH56)-SUM($HM56:HS56)-SUM($CW56:DC56)))</f>
        <v>0</v>
      </c>
      <c r="IX56" s="141">
        <f>IF(ISBLANK($A56),,IF($AN56="Não",0,(SUM($AO56:AV56)*$AH56)-SUM($HM56:HT56)-SUM($CW56:DD56)))</f>
        <v>0</v>
      </c>
      <c r="IY56" s="141">
        <f>IF(ISBLANK($A56),,IF($AN56="Não",0,(SUM($AO56:AW56)*$AH56)-SUM($HM56:HU56)-SUM($CW56:DE56)))</f>
        <v>0</v>
      </c>
      <c r="IZ56" s="141">
        <f>IF(ISBLANK($A56),,IF($AN56="Não",0,(SUM($AO56:AX56)*$AH56)-SUM($HM56:HV56)-SUM($CW56:DF56)))</f>
        <v>0</v>
      </c>
      <c r="JA56" s="141">
        <f>IF(ISBLANK($A56),,IF($AN56="Não",0,(SUM($AO56:AY56)*$AH56)-SUM($HM56:HW56)-SUM($CW56:DG56)))</f>
        <v>0</v>
      </c>
      <c r="JB56" s="141">
        <f>IF(ISBLANK($A56),,IF($AN56="Não",0,(SUM($AO56:AZ56)*$AH56)-SUM($HM56:HX56)-SUM($CW56:DH56)))</f>
        <v>0</v>
      </c>
      <c r="JC56" s="141">
        <f>IF(ISBLANK($A56),,IF($AN56="Não",0,(SUM($AO56:BA56)*$AH56)-SUM($HM56:HY56)-SUM($CW56:DI56)))</f>
        <v>0</v>
      </c>
      <c r="JD56" s="141">
        <f>IF(ISBLANK($A56),,IF($AN56="Não",0,(SUM($AO56:BB56)*$AH56)-SUM($HM56:HZ56)-SUM($CW56:DJ56)))</f>
        <v>0</v>
      </c>
      <c r="JE56" s="141">
        <f>IF(ISBLANK($A56),,IF($AN56="Não",0,(SUM($AO56:BC56)*$AH56)-SUM($HM56:IA56)-SUM($CW56:DK56)))</f>
        <v>0</v>
      </c>
      <c r="JF56" s="141">
        <f>IF(ISBLANK($A56),,IF($AN56="Não",0,(SUM($AO56:BD56)*$AH56)-SUM($HM56:IB56)-SUM($CW56:DL56)))</f>
        <v>0</v>
      </c>
      <c r="JG56" s="141">
        <f>IF(ISBLANK($A56),,IF($AN56="Não",0,(SUM($AO56:BE56)*$AH56)-SUM($HM56:IC56)-SUM($CW56:DM56)))</f>
        <v>0</v>
      </c>
      <c r="JH56" s="141">
        <f>IF(ISBLANK($A56),,IF($AN56="Não",0,(SUM($AO56:BF56)*$AH56)-SUM($HM56:ID56)-SUM($CW56:DN56)))</f>
        <v>0</v>
      </c>
      <c r="JI56" s="141">
        <f>IF(ISBLANK($A56),,IF($AN56="Não",0,(SUM($AO56:BG56)*$AH56)-SUM($HM56:IE56)-SUM($CW56:DO56)))</f>
        <v>0</v>
      </c>
      <c r="JJ56" s="141">
        <f>IF(ISBLANK($A56),,IF($AN56="Não",0,(SUM($AO56:BH56)*$AH56)-SUM($HM56:IF56)-SUM($CW56:DP56)))</f>
        <v>0</v>
      </c>
      <c r="JK56" s="141">
        <f>IF(ISBLANK($A56),,IF($AN56="Não",0,(SUM($AO56:BI56)*$AH56)-SUM($HM56:IG56)-SUM($CW56:DQ56)))</f>
        <v>0</v>
      </c>
      <c r="JL56" s="141">
        <f>IF(ISBLANK($A56),,IF($AN56="Não",0,(SUM($AO56:BJ56)*$AH56)-SUM($HM56:IH56)-SUM($CW56:DR56)))</f>
        <v>0</v>
      </c>
      <c r="JM56" s="141">
        <f>IF(ISBLANK($A56),,IF($AN56="Não",0,(SUM($AO56:BK56)*$AH56)-SUM($HM56:II56)-SUM($CW56:DS56)))</f>
        <v>0</v>
      </c>
      <c r="JN56" s="141">
        <f>IF(ISBLANK($A56),,IF($AN56="Não",0,(SUM($AO56:BL56)*$AH56)-SUM($HM56:IJ56)-SUM($CW56:DT56)))</f>
        <v>0</v>
      </c>
      <c r="JO56" s="141">
        <f>IF(ISBLANK($A56),,IF($AN56="Não",0,(SUM($AO56:BM56)*$AH56)-SUM($HM56:IK56)-SUM($CW56:DU56)))</f>
        <v>0</v>
      </c>
      <c r="JP56" s="141">
        <f>IF(ISBLANK($A56),,IF($AN56="Não",0,(SUM($AO56:BN56)*$AH56)-SUM($HM56:IL56)-SUM($CW56:DV56)))</f>
        <v>0</v>
      </c>
      <c r="JQ56" s="141">
        <f>IF(ISBLANK($A56),,IF($AN56="Não",0,(SUM($AO56:BO56)*$AH56)-SUM($HM56:IM56)-SUM($CW56:DW56)))</f>
        <v>0</v>
      </c>
      <c r="JR56" s="141">
        <f>IF(ISBLANK($A56),,IF($AN56="Não",0,(SUM($AO56:BP56)*$AH56)-SUM($HM56:IN56)-SUM($CW56:DX56)))</f>
        <v>0</v>
      </c>
      <c r="JS56" s="141">
        <f>IF(ISBLANK($A56),,IF($AN56="Não",0,(SUM($AO56:BQ56)*$AH56)-SUM($HM56:IO56)-SUM($CW56:DY56)))</f>
        <v>0</v>
      </c>
      <c r="JT56" s="141">
        <f>IF(ISBLANK($A56),,IF($AN56="Não",0,(SUM($AO56:BR56)*$AH56)-SUM($HM56:IP56)-SUM($CW56:DZ56)))</f>
        <v>0</v>
      </c>
    </row>
    <row r="57" spans="1:280" ht="15.75" customHeight="1">
      <c r="A57" s="129" t="s">
        <v>362</v>
      </c>
      <c r="B57" s="129" t="s">
        <v>209</v>
      </c>
      <c r="C57" s="138" t="s">
        <v>101</v>
      </c>
      <c r="D57" s="144">
        <v>3092.2</v>
      </c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607">
        <f t="shared" si="165"/>
        <v>47.300000000000004</v>
      </c>
      <c r="AI57" s="608">
        <f t="shared" si="166"/>
        <v>30</v>
      </c>
      <c r="AJ57" s="609">
        <f t="shared" si="167"/>
        <v>1</v>
      </c>
      <c r="AK57" s="610" t="str">
        <f t="shared" si="168"/>
        <v>Infraestrutura</v>
      </c>
      <c r="AL57" s="609">
        <f t="shared" si="169"/>
        <v>0.1</v>
      </c>
      <c r="AM57" s="611" t="str">
        <f t="shared" si="170"/>
        <v>Sim</v>
      </c>
      <c r="AN57" s="611" t="str">
        <f t="shared" si="171"/>
        <v>Não</v>
      </c>
      <c r="AO57" s="140">
        <f t="array" ref="AO57">IF(ISBLANK($A57),0,IF(OR(AO$5-$AI57&lt;=0,$AM57="Não"),D57,D57+INDEX($AO$6:$BR$176,ROW()-5,COLUMN()-40-$AI57)))*IF($B57="Operacional",IFERROR(VLOOKUP($C57,SN_UGC,28,0),0),1)</f>
        <v>3092.2</v>
      </c>
      <c r="AP57" s="140">
        <f t="array" ref="AP57">IF(ISBLANK($A57),0,IF(OR(AP$5-$AI57&lt;=0,$AM57="Não"),E57,E57+INDEX($AO$6:$BR$176,ROW()-5,COLUMN()-40-$AI57)))*IF($B57="Operacional",IFERROR(VLOOKUP($C57,SN_UGC,28,0),0),1)</f>
        <v>0</v>
      </c>
      <c r="AQ57" s="140">
        <f t="array" ref="AQ57">IF(ISBLANK($A57),0,IF(OR(AQ$5-$AI57&lt;=0,$AM57="Não"),F57,F57+INDEX($AO$6:$BR$176,ROW()-5,COLUMN()-40-$AI57)))*IF($B57="Operacional",IFERROR(VLOOKUP($C57,SN_UGC,28,0),0),1)</f>
        <v>0</v>
      </c>
      <c r="AR57" s="140">
        <f t="array" ref="AR57">IF(ISBLANK($A57),0,IF(OR(AR$5-$AI57&lt;=0,$AM57="Não"),G57,G57+INDEX($AO$6:$BR$176,ROW()-5,COLUMN()-40-$AI57)))*IF($B57="Operacional",IFERROR(VLOOKUP($C57,SN_UGC,28,0),0),1)</f>
        <v>0</v>
      </c>
      <c r="AS57" s="140">
        <f t="array" ref="AS57">IF(ISBLANK($A57),0,IF(OR(AS$5-$AI57&lt;=0,$AM57="Não"),H57,H57+INDEX($AO$6:$BR$176,ROW()-5,COLUMN()-40-$AI57)))*IF($B57="Operacional",IFERROR(VLOOKUP($C57,SN_UGC,28,0),0),1)</f>
        <v>0</v>
      </c>
      <c r="AT57" s="140">
        <f t="array" ref="AT57">IF(ISBLANK($A57),0,IF(OR(AT$5-$AI57&lt;=0,$AM57="Não"),I57,I57+INDEX($AO$6:$BR$176,ROW()-5,COLUMN()-40-$AI57)))*IF($B57="Operacional",IFERROR(VLOOKUP($C57,SN_UGC,28,0),0),1)</f>
        <v>0</v>
      </c>
      <c r="AU57" s="140">
        <f t="array" ref="AU57">IF(ISBLANK($A57),0,IF(OR(AU$5-$AI57&lt;=0,$AM57="Não"),J57,J57+INDEX($AO$6:$BR$176,ROW()-5,COLUMN()-40-$AI57)))*IF($B57="Operacional",IFERROR(VLOOKUP($C57,SN_UGC,28,0),0),1)</f>
        <v>0</v>
      </c>
      <c r="AV57" s="140">
        <f t="array" ref="AV57">IF(ISBLANK($A57),0,IF(OR(AV$5-$AI57&lt;=0,$AM57="Não"),K57,K57+INDEX($AO$6:$BR$176,ROW()-5,COLUMN()-40-$AI57)))*IF($B57="Operacional",IFERROR(VLOOKUP($C57,SN_UGC,28,0),0),1)</f>
        <v>0</v>
      </c>
      <c r="AW57" s="140">
        <f t="array" ref="AW57">IF(ISBLANK($A57),0,IF(OR(AW$5-$AI57&lt;=0,$AM57="Não"),L57,L57+INDEX($AO$6:$BR$176,ROW()-5,COLUMN()-40-$AI57)))*IF($B57="Operacional",IFERROR(VLOOKUP($C57,SN_UGC,28,0),0),1)</f>
        <v>0</v>
      </c>
      <c r="AX57" s="140">
        <f t="array" ref="AX57">IF(ISBLANK($A57),0,IF(OR(AX$5-$AI57&lt;=0,$AM57="Não"),M57,M57+INDEX($AO$6:$BR$176,ROW()-5,COLUMN()-40-$AI57)))*IF($B57="Operacional",IFERROR(VLOOKUP($C57,SN_UGC,28,0),0),1)</f>
        <v>0</v>
      </c>
      <c r="AY57" s="140">
        <f t="array" ref="AY57">IF(ISBLANK($A57),0,IF(OR(AY$5-$AI57&lt;=0,$AM57="Não"),N57,N57+INDEX($AO$6:$BR$176,ROW()-5,COLUMN()-40-$AI57)))*IF($B57="Operacional",IFERROR(VLOOKUP($C57,SN_UGC,28,0),0),1)</f>
        <v>0</v>
      </c>
      <c r="AZ57" s="140">
        <f t="array" ref="AZ57">IF(ISBLANK($A57),0,IF(OR(AZ$5-$AI57&lt;=0,$AM57="Não"),O57,O57+INDEX($AO$6:$BR$176,ROW()-5,COLUMN()-40-$AI57)))*IF($B57="Operacional",IFERROR(VLOOKUP($C57,SN_UGC,28,0),0),1)</f>
        <v>0</v>
      </c>
      <c r="BA57" s="140">
        <f t="array" ref="BA57">IF(ISBLANK($A57),0,IF(OR(BA$5-$AI57&lt;=0,$AM57="Não"),P57,P57+INDEX($AO$6:$BR$176,ROW()-5,COLUMN()-40-$AI57)))*IF($B57="Operacional",IFERROR(VLOOKUP($C57,SN_UGC,28,0),0),1)</f>
        <v>0</v>
      </c>
      <c r="BB57" s="140">
        <f t="array" ref="BB57">IF(ISBLANK($A57),0,IF(OR(BB$5-$AI57&lt;=0,$AM57="Não"),Q57,Q57+INDEX($AO$6:$BR$176,ROW()-5,COLUMN()-40-$AI57)))*IF($B57="Operacional",IFERROR(VLOOKUP($C57,SN_UGC,28,0),0),1)</f>
        <v>0</v>
      </c>
      <c r="BC57" s="140">
        <f t="array" ref="BC57">IF(ISBLANK($A57),0,IF(OR(BC$5-$AI57&lt;=0,$AM57="Não"),R57,R57+INDEX($AO$6:$BR$176,ROW()-5,COLUMN()-40-$AI57)))*IF($B57="Operacional",IFERROR(VLOOKUP($C57,SN_UGC,28,0),0),1)</f>
        <v>0</v>
      </c>
      <c r="BD57" s="140">
        <f t="array" ref="BD57">IF(ISBLANK($A57),0,IF(OR(BD$5-$AI57&lt;=0,$AM57="Não"),S57,S57+INDEX($AO$6:$BR$176,ROW()-5,COLUMN()-40-$AI57)))*IF($B57="Operacional",IFERROR(VLOOKUP($C57,SN_UGC,28,0),0),1)</f>
        <v>0</v>
      </c>
      <c r="BE57" s="140">
        <f t="array" ref="BE57">IF(ISBLANK($A57),0,IF(OR(BE$5-$AI57&lt;=0,$AM57="Não"),T57,T57+INDEX($AO$6:$BR$176,ROW()-5,COLUMN()-40-$AI57)))*IF($B57="Operacional",IFERROR(VLOOKUP($C57,SN_UGC,28,0),0),1)</f>
        <v>0</v>
      </c>
      <c r="BF57" s="140">
        <f t="array" ref="BF57">IF(ISBLANK($A57),0,IF(OR(BF$5-$AI57&lt;=0,$AM57="Não"),U57,U57+INDEX($AO$6:$BR$176,ROW()-5,COLUMN()-40-$AI57)))*IF($B57="Operacional",IFERROR(VLOOKUP($C57,SN_UGC,28,0),0),1)</f>
        <v>0</v>
      </c>
      <c r="BG57" s="140">
        <f t="array" ref="BG57">IF(ISBLANK($A57),0,IF(OR(BG$5-$AI57&lt;=0,$AM57="Não"),V57,V57+INDEX($AO$6:$BR$176,ROW()-5,COLUMN()-40-$AI57)))*IF($B57="Operacional",IFERROR(VLOOKUP($C57,SN_UGC,28,0),0),1)</f>
        <v>0</v>
      </c>
      <c r="BH57" s="140">
        <f t="array" ref="BH57">IF(ISBLANK($A57),0,IF(OR(BH$5-$AI57&lt;=0,$AM57="Não"),W57,W57+INDEX($AO$6:$BR$176,ROW()-5,COLUMN()-40-$AI57)))*IF($B57="Operacional",IFERROR(VLOOKUP($C57,SN_UGC,28,0),0),1)</f>
        <v>0</v>
      </c>
      <c r="BI57" s="140">
        <f t="array" ref="BI57">IF(ISBLANK($A57),0,IF(OR(BI$5-$AI57&lt;=0,$AM57="Não"),X57,X57+INDEX($AO$6:$BR$176,ROW()-5,COLUMN()-40-$AI57)))*IF($B57="Operacional",IFERROR(VLOOKUP($C57,SN_UGC,28,0),0),1)</f>
        <v>0</v>
      </c>
      <c r="BJ57" s="140">
        <f t="array" ref="BJ57">IF(ISBLANK($A57),0,IF(OR(BJ$5-$AI57&lt;=0,$AM57="Não"),Y57,Y57+INDEX($AO$6:$BR$176,ROW()-5,COLUMN()-40-$AI57)))*IF($B57="Operacional",IFERROR(VLOOKUP($C57,SN_UGC,28,0),0),1)</f>
        <v>0</v>
      </c>
      <c r="BK57" s="140">
        <f t="array" ref="BK57">IF(ISBLANK($A57),0,IF(OR(BK$5-$AI57&lt;=0,$AM57="Não"),Z57,Z57+INDEX($AO$6:$BR$176,ROW()-5,COLUMN()-40-$AI57)))*IF($B57="Operacional",IFERROR(VLOOKUP($C57,SN_UGC,28,0),0),1)</f>
        <v>0</v>
      </c>
      <c r="BL57" s="140">
        <f t="array" ref="BL57">IF(ISBLANK($A57),0,IF(OR(BL$5-$AI57&lt;=0,$AM57="Não"),AA57,AA57+INDEX($AO$6:$BR$176,ROW()-5,COLUMN()-40-$AI57)))*IF($B57="Operacional",IFERROR(VLOOKUP($C57,SN_UGC,28,0),0),1)</f>
        <v>0</v>
      </c>
      <c r="BM57" s="140">
        <f t="array" ref="BM57">IF(ISBLANK($A57),0,IF(OR(BM$5-$AI57&lt;=0,$AM57="Não"),AB57,AB57+INDEX($AO$6:$BR$176,ROW()-5,COLUMN()-40-$AI57)))*IF($B57="Operacional",IFERROR(VLOOKUP($C57,SN_UGC,28,0),0),1)</f>
        <v>0</v>
      </c>
      <c r="BN57" s="140">
        <f t="array" ref="BN57">IF(ISBLANK($A57),0,IF(OR(BN$5-$AI57&lt;=0,$AM57="Não"),AC57,AC57+INDEX($AO$6:$BR$176,ROW()-5,COLUMN()-40-$AI57)))*IF($B57="Operacional",IFERROR(VLOOKUP($C57,SN_UGC,28,0),0),1)</f>
        <v>0</v>
      </c>
      <c r="BO57" s="140">
        <f t="array" ref="BO57">IF(ISBLANK($A57),0,IF(OR(BO$5-$AI57&lt;=0,$AM57="Não"),AD57,AD57+INDEX($AO$6:$BR$176,ROW()-5,COLUMN()-40-$AI57)))*IF($B57="Operacional",IFERROR(VLOOKUP($C57,SN_UGC,28,0),0),1)</f>
        <v>0</v>
      </c>
      <c r="BP57" s="140">
        <f t="array" ref="BP57">IF(ISBLANK($A57),0,IF(OR(BP$5-$AI57&lt;=0,$AM57="Não"),AE57,AE57+INDEX($AO$6:$BR$176,ROW()-5,COLUMN()-40-$AI57)))*IF($B57="Operacional",IFERROR(VLOOKUP($C57,SN_UGC,28,0),0),1)</f>
        <v>0</v>
      </c>
      <c r="BQ57" s="140">
        <f t="array" ref="BQ57">IF(ISBLANK($A57),0,IF(OR(BQ$5-$AI57&lt;=0,$AM57="Não"),AF57,AF57+INDEX($AO$6:$BR$176,ROW()-5,COLUMN()-40-$AI57)))*IF($B57="Operacional",IFERROR(VLOOKUP($C57,SN_UGC,28,0),0),1)</f>
        <v>0</v>
      </c>
      <c r="BR57" s="140">
        <f t="array" ref="BR57">IF(ISBLANK($A57),0,IF(OR(BR$5-$AI57&lt;=0,$AM57="Não"),AG57,AG57+INDEX($AO$6:$BR$176,ROW()-5,COLUMN()-40-$AI57)))*IF($B57="Operacional",IFERROR(VLOOKUP($C57,SN_UGC,28,0),0),1)</f>
        <v>0</v>
      </c>
      <c r="BS57" s="141">
        <f t="shared" ref="BS57:CV57" si="278">IF(ISBLANK($A57),0,$AH57*AO57)</f>
        <v>146261.06</v>
      </c>
      <c r="BT57" s="141">
        <f t="shared" si="278"/>
        <v>0</v>
      </c>
      <c r="BU57" s="141">
        <f t="shared" si="278"/>
        <v>0</v>
      </c>
      <c r="BV57" s="141">
        <f t="shared" si="278"/>
        <v>0</v>
      </c>
      <c r="BW57" s="141">
        <f t="shared" si="278"/>
        <v>0</v>
      </c>
      <c r="BX57" s="141">
        <f t="shared" si="278"/>
        <v>0</v>
      </c>
      <c r="BY57" s="141">
        <f t="shared" si="278"/>
        <v>0</v>
      </c>
      <c r="BZ57" s="141">
        <f t="shared" si="278"/>
        <v>0</v>
      </c>
      <c r="CA57" s="141">
        <f t="shared" si="278"/>
        <v>0</v>
      </c>
      <c r="CB57" s="141">
        <f t="shared" si="278"/>
        <v>0</v>
      </c>
      <c r="CC57" s="141">
        <f t="shared" si="278"/>
        <v>0</v>
      </c>
      <c r="CD57" s="141">
        <f t="shared" si="278"/>
        <v>0</v>
      </c>
      <c r="CE57" s="141">
        <f t="shared" si="278"/>
        <v>0</v>
      </c>
      <c r="CF57" s="141">
        <f t="shared" si="278"/>
        <v>0</v>
      </c>
      <c r="CG57" s="141">
        <f t="shared" si="278"/>
        <v>0</v>
      </c>
      <c r="CH57" s="141">
        <f t="shared" si="278"/>
        <v>0</v>
      </c>
      <c r="CI57" s="141">
        <f t="shared" si="278"/>
        <v>0</v>
      </c>
      <c r="CJ57" s="141">
        <f t="shared" si="278"/>
        <v>0</v>
      </c>
      <c r="CK57" s="141">
        <f t="shared" si="278"/>
        <v>0</v>
      </c>
      <c r="CL57" s="141">
        <f t="shared" si="278"/>
        <v>0</v>
      </c>
      <c r="CM57" s="141">
        <f t="shared" si="278"/>
        <v>0</v>
      </c>
      <c r="CN57" s="141">
        <f t="shared" si="278"/>
        <v>0</v>
      </c>
      <c r="CO57" s="141">
        <f t="shared" si="278"/>
        <v>0</v>
      </c>
      <c r="CP57" s="141">
        <f t="shared" si="278"/>
        <v>0</v>
      </c>
      <c r="CQ57" s="141">
        <f t="shared" si="278"/>
        <v>0</v>
      </c>
      <c r="CR57" s="141">
        <f t="shared" si="278"/>
        <v>0</v>
      </c>
      <c r="CS57" s="141">
        <f t="shared" si="278"/>
        <v>0</v>
      </c>
      <c r="CT57" s="141">
        <f t="shared" si="278"/>
        <v>0</v>
      </c>
      <c r="CU57" s="141">
        <f t="shared" si="278"/>
        <v>0</v>
      </c>
      <c r="CV57" s="141">
        <f t="shared" si="278"/>
        <v>0</v>
      </c>
      <c r="CW57" s="142">
        <f t="shared" ref="CW57:DZ57" si="279">EA57*$AH57*$AJ57</f>
        <v>0</v>
      </c>
      <c r="CX57" s="142">
        <f t="shared" si="279"/>
        <v>0</v>
      </c>
      <c r="CY57" s="142">
        <f t="shared" si="279"/>
        <v>0</v>
      </c>
      <c r="CZ57" s="142">
        <f t="shared" si="279"/>
        <v>0</v>
      </c>
      <c r="DA57" s="142">
        <f t="shared" si="279"/>
        <v>0</v>
      </c>
      <c r="DB57" s="142">
        <f t="shared" si="279"/>
        <v>0</v>
      </c>
      <c r="DC57" s="142">
        <f t="shared" si="279"/>
        <v>0</v>
      </c>
      <c r="DD57" s="142">
        <f t="shared" si="279"/>
        <v>0</v>
      </c>
      <c r="DE57" s="142">
        <f t="shared" si="279"/>
        <v>0</v>
      </c>
      <c r="DF57" s="142">
        <f t="shared" si="279"/>
        <v>0</v>
      </c>
      <c r="DG57" s="142">
        <f t="shared" si="279"/>
        <v>0</v>
      </c>
      <c r="DH57" s="142">
        <f t="shared" si="279"/>
        <v>0</v>
      </c>
      <c r="DI57" s="142">
        <f t="shared" si="279"/>
        <v>0</v>
      </c>
      <c r="DJ57" s="142">
        <f t="shared" si="279"/>
        <v>0</v>
      </c>
      <c r="DK57" s="142">
        <f t="shared" si="279"/>
        <v>0</v>
      </c>
      <c r="DL57" s="142">
        <f t="shared" si="279"/>
        <v>0</v>
      </c>
      <c r="DM57" s="142">
        <f t="shared" si="279"/>
        <v>0</v>
      </c>
      <c r="DN57" s="142">
        <f t="shared" si="279"/>
        <v>0</v>
      </c>
      <c r="DO57" s="142">
        <f t="shared" si="279"/>
        <v>0</v>
      </c>
      <c r="DP57" s="142">
        <f t="shared" si="279"/>
        <v>0</v>
      </c>
      <c r="DQ57" s="142">
        <f t="shared" si="279"/>
        <v>0</v>
      </c>
      <c r="DR57" s="142">
        <f t="shared" si="279"/>
        <v>0</v>
      </c>
      <c r="DS57" s="142">
        <f t="shared" si="279"/>
        <v>0</v>
      </c>
      <c r="DT57" s="142">
        <f t="shared" si="279"/>
        <v>0</v>
      </c>
      <c r="DU57" s="142">
        <f t="shared" si="279"/>
        <v>0</v>
      </c>
      <c r="DV57" s="142">
        <f t="shared" si="279"/>
        <v>0</v>
      </c>
      <c r="DW57" s="142">
        <f t="shared" si="279"/>
        <v>0</v>
      </c>
      <c r="DX57" s="142">
        <f t="shared" si="279"/>
        <v>0</v>
      </c>
      <c r="DY57" s="142">
        <f t="shared" si="279"/>
        <v>0</v>
      </c>
      <c r="DZ57" s="142">
        <f t="shared" si="279"/>
        <v>0</v>
      </c>
      <c r="EA57" s="143">
        <f t="shared" si="174"/>
        <v>0</v>
      </c>
      <c r="EB57" s="143">
        <f t="shared" si="175"/>
        <v>0</v>
      </c>
      <c r="EC57" s="143">
        <f t="shared" si="176"/>
        <v>0</v>
      </c>
      <c r="ED57" s="143">
        <f t="shared" si="177"/>
        <v>0</v>
      </c>
      <c r="EE57" s="143">
        <f t="shared" si="178"/>
        <v>0</v>
      </c>
      <c r="EF57" s="143">
        <f t="shared" si="179"/>
        <v>0</v>
      </c>
      <c r="EG57" s="143">
        <f t="shared" si="180"/>
        <v>0</v>
      </c>
      <c r="EH57" s="143">
        <f t="shared" si="181"/>
        <v>0</v>
      </c>
      <c r="EI57" s="143">
        <f t="shared" si="182"/>
        <v>0</v>
      </c>
      <c r="EJ57" s="143">
        <f t="shared" si="183"/>
        <v>0</v>
      </c>
      <c r="EK57" s="143">
        <f t="shared" si="184"/>
        <v>0</v>
      </c>
      <c r="EL57" s="143">
        <f t="shared" si="185"/>
        <v>0</v>
      </c>
      <c r="EM57" s="143">
        <f t="shared" si="186"/>
        <v>0</v>
      </c>
      <c r="EN57" s="143">
        <f t="shared" si="187"/>
        <v>0</v>
      </c>
      <c r="EO57" s="143">
        <f t="shared" si="188"/>
        <v>0</v>
      </c>
      <c r="EP57" s="143">
        <f t="shared" si="189"/>
        <v>0</v>
      </c>
      <c r="EQ57" s="143">
        <f t="shared" si="190"/>
        <v>0</v>
      </c>
      <c r="ER57" s="143">
        <f t="shared" si="191"/>
        <v>0</v>
      </c>
      <c r="ES57" s="143">
        <f t="shared" si="192"/>
        <v>0</v>
      </c>
      <c r="ET57" s="143">
        <f t="shared" si="193"/>
        <v>0</v>
      </c>
      <c r="EU57" s="143">
        <f t="shared" si="194"/>
        <v>0</v>
      </c>
      <c r="EV57" s="143">
        <f t="shared" si="195"/>
        <v>0</v>
      </c>
      <c r="EW57" s="143">
        <f t="shared" si="196"/>
        <v>0</v>
      </c>
      <c r="EX57" s="143">
        <f t="shared" si="197"/>
        <v>0</v>
      </c>
      <c r="EY57" s="143">
        <f t="shared" si="198"/>
        <v>0</v>
      </c>
      <c r="EZ57" s="143">
        <f t="shared" si="199"/>
        <v>0</v>
      </c>
      <c r="FA57" s="143">
        <f t="shared" si="200"/>
        <v>0</v>
      </c>
      <c r="FB57" s="143">
        <f t="shared" si="201"/>
        <v>0</v>
      </c>
      <c r="FC57" s="143">
        <f t="shared" si="202"/>
        <v>0</v>
      </c>
      <c r="FD57" s="143">
        <f t="shared" si="203"/>
        <v>0</v>
      </c>
      <c r="FE57" s="140">
        <f>SUM($D57:D57)*IF($B57="Operacional",IFERROR(VLOOKUP($C57,SN_UGC,28,0),0),1)</f>
        <v>3092.2</v>
      </c>
      <c r="FF57" s="140">
        <f>SUM($D57:E57)*IF($B57="Operacional",IFERROR(VLOOKUP($C57,SN_UGC,28,0),0),1)</f>
        <v>3092.2</v>
      </c>
      <c r="FG57" s="140">
        <f>SUM($D57:F57)*IF($B57="Operacional",IFERROR(VLOOKUP($C57,SN_UGC,28,0),0),1)</f>
        <v>3092.2</v>
      </c>
      <c r="FH57" s="140">
        <f>SUM($D57:G57)*IF($B57="Operacional",IFERROR(VLOOKUP($C57,SN_UGC,28,0),0),1)</f>
        <v>3092.2</v>
      </c>
      <c r="FI57" s="140">
        <f>SUM($D57:H57)*IF($B57="Operacional",IFERROR(VLOOKUP($C57,SN_UGC,28,0),0),1)</f>
        <v>3092.2</v>
      </c>
      <c r="FJ57" s="140">
        <f>SUM($D57:I57)*IF($B57="Operacional",IFERROR(VLOOKUP($C57,SN_UGC,28,0),0),1)</f>
        <v>3092.2</v>
      </c>
      <c r="FK57" s="140">
        <f>SUM($D57:J57)*IF($B57="Operacional",IFERROR(VLOOKUP($C57,SN_UGC,28,0),0),1)</f>
        <v>3092.2</v>
      </c>
      <c r="FL57" s="140">
        <f>SUM($D57:K57)*IF($B57="Operacional",IFERROR(VLOOKUP($C57,SN_UGC,28,0),0),1)</f>
        <v>3092.2</v>
      </c>
      <c r="FM57" s="140">
        <f>SUM($D57:L57)*IF($B57="Operacional",IFERROR(VLOOKUP($C57,SN_UGC,28,0),0),1)</f>
        <v>3092.2</v>
      </c>
      <c r="FN57" s="140">
        <f>SUM($D57:M57)*IF($B57="Operacional",IFERROR(VLOOKUP($C57,SN_UGC,28,0),0),1)</f>
        <v>3092.2</v>
      </c>
      <c r="FO57" s="140">
        <f>SUM($D57:N57)*IF($B57="Operacional",IFERROR(VLOOKUP($C57,SN_UGC,28,0),0),1)</f>
        <v>3092.2</v>
      </c>
      <c r="FP57" s="140">
        <f>SUM($D57:O57)*IF($B57="Operacional",IFERROR(VLOOKUP($C57,SN_UGC,28,0),0),1)</f>
        <v>3092.2</v>
      </c>
      <c r="FQ57" s="140">
        <f>SUM($D57:P57)*IF($B57="Operacional",IFERROR(VLOOKUP($C57,SN_UGC,28,0),0),1)</f>
        <v>3092.2</v>
      </c>
      <c r="FR57" s="140">
        <f>SUM($D57:Q57)*IF($B57="Operacional",IFERROR(VLOOKUP($C57,SN_UGC,28,0),0),1)</f>
        <v>3092.2</v>
      </c>
      <c r="FS57" s="140">
        <f>SUM($D57:R57)*IF($B57="Operacional",IFERROR(VLOOKUP($C57,SN_UGC,28,0),0),1)</f>
        <v>3092.2</v>
      </c>
      <c r="FT57" s="140">
        <f>SUM($D57:S57)*IF($B57="Operacional",IFERROR(VLOOKUP($C57,SN_UGC,28,0),0),1)</f>
        <v>3092.2</v>
      </c>
      <c r="FU57" s="140">
        <f>SUM($D57:T57)*IF($B57="Operacional",IFERROR(VLOOKUP($C57,SN_UGC,28,0),0),1)</f>
        <v>3092.2</v>
      </c>
      <c r="FV57" s="140">
        <f>SUM($D57:U57)*IF($B57="Operacional",IFERROR(VLOOKUP($C57,SN_UGC,28,0),0),1)</f>
        <v>3092.2</v>
      </c>
      <c r="FW57" s="140">
        <f>SUM($D57:V57)*IF($B57="Operacional",IFERROR(VLOOKUP($C57,SN_UGC,28,0),0),1)</f>
        <v>3092.2</v>
      </c>
      <c r="FX57" s="140">
        <f>SUM($D57:W57)*IF($B57="Operacional",IFERROR(VLOOKUP($C57,SN_UGC,28,0),0),1)</f>
        <v>3092.2</v>
      </c>
      <c r="FY57" s="140">
        <f>SUM($D57:X57)*IF($B57="Operacional",IFERROR(VLOOKUP($C57,SN_UGC,28,0),0),1)</f>
        <v>3092.2</v>
      </c>
      <c r="FZ57" s="140">
        <f>SUM($D57:Y57)*IF($B57="Operacional",IFERROR(VLOOKUP($C57,SN_UGC,28,0),0),1)</f>
        <v>3092.2</v>
      </c>
      <c r="GA57" s="140">
        <f>SUM($D57:Z57)*IF($B57="Operacional",IFERROR(VLOOKUP($C57,SN_UGC,28,0),0),1)</f>
        <v>3092.2</v>
      </c>
      <c r="GB57" s="140">
        <f>SUM($D57:AA57)*IF($B57="Operacional",IFERROR(VLOOKUP($C57,SN_UGC,28,0),0),1)</f>
        <v>3092.2</v>
      </c>
      <c r="GC57" s="140">
        <f>SUM($D57:AB57)*IF($B57="Operacional",IFERROR(VLOOKUP($C57,SN_UGC,28,0),0),1)</f>
        <v>3092.2</v>
      </c>
      <c r="GD57" s="140">
        <f>SUM($D57:AC57)*IF($B57="Operacional",IFERROR(VLOOKUP($C57,SN_UGC,28,0),0),1)</f>
        <v>3092.2</v>
      </c>
      <c r="GE57" s="140">
        <f>SUM($D57:AD57)*IF($B57="Operacional",IFERROR(VLOOKUP($C57,SN_UGC,28,0),0),1)</f>
        <v>3092.2</v>
      </c>
      <c r="GF57" s="140">
        <f>SUM($D57:AE57)*IF($B57="Operacional",IFERROR(VLOOKUP($C57,SN_UGC,28,0),0),1)</f>
        <v>3092.2</v>
      </c>
      <c r="GG57" s="140">
        <f>SUM($D57:AF57)*IF($B57="Operacional",IFERROR(VLOOKUP($C57,SN_UGC,28,0),0),1)</f>
        <v>3092.2</v>
      </c>
      <c r="GH57" s="140">
        <f>SUM($D57:AG57)*IF($B57="Operacional",IFERROR(VLOOKUP($C57,SN_UGC,28,0),0),1)</f>
        <v>3092.2</v>
      </c>
      <c r="GI57" s="141">
        <f t="shared" ref="GI57:HL57" si="280">FE57*$AH57*$AL57</f>
        <v>14626.106</v>
      </c>
      <c r="GJ57" s="141">
        <f t="shared" si="280"/>
        <v>14626.106</v>
      </c>
      <c r="GK57" s="141">
        <f t="shared" si="280"/>
        <v>14626.106</v>
      </c>
      <c r="GL57" s="141">
        <f t="shared" si="280"/>
        <v>14626.106</v>
      </c>
      <c r="GM57" s="141">
        <f t="shared" si="280"/>
        <v>14626.106</v>
      </c>
      <c r="GN57" s="141">
        <f t="shared" si="280"/>
        <v>14626.106</v>
      </c>
      <c r="GO57" s="141">
        <f t="shared" si="280"/>
        <v>14626.106</v>
      </c>
      <c r="GP57" s="141">
        <f t="shared" si="280"/>
        <v>14626.106</v>
      </c>
      <c r="GQ57" s="141">
        <f t="shared" si="280"/>
        <v>14626.106</v>
      </c>
      <c r="GR57" s="141">
        <f t="shared" si="280"/>
        <v>14626.106</v>
      </c>
      <c r="GS57" s="141">
        <f t="shared" si="280"/>
        <v>14626.106</v>
      </c>
      <c r="GT57" s="141">
        <f t="shared" si="280"/>
        <v>14626.106</v>
      </c>
      <c r="GU57" s="141">
        <f t="shared" si="280"/>
        <v>14626.106</v>
      </c>
      <c r="GV57" s="141">
        <f t="shared" si="280"/>
        <v>14626.106</v>
      </c>
      <c r="GW57" s="141">
        <f t="shared" si="280"/>
        <v>14626.106</v>
      </c>
      <c r="GX57" s="141">
        <f t="shared" si="280"/>
        <v>14626.106</v>
      </c>
      <c r="GY57" s="141">
        <f t="shared" si="280"/>
        <v>14626.106</v>
      </c>
      <c r="GZ57" s="141">
        <f t="shared" si="280"/>
        <v>14626.106</v>
      </c>
      <c r="HA57" s="141">
        <f t="shared" si="280"/>
        <v>14626.106</v>
      </c>
      <c r="HB57" s="141">
        <f t="shared" si="280"/>
        <v>14626.106</v>
      </c>
      <c r="HC57" s="141">
        <f t="shared" si="280"/>
        <v>14626.106</v>
      </c>
      <c r="HD57" s="141">
        <f t="shared" si="280"/>
        <v>14626.106</v>
      </c>
      <c r="HE57" s="141">
        <f t="shared" si="280"/>
        <v>14626.106</v>
      </c>
      <c r="HF57" s="141">
        <f t="shared" si="280"/>
        <v>14626.106</v>
      </c>
      <c r="HG57" s="141">
        <f t="shared" si="280"/>
        <v>14626.106</v>
      </c>
      <c r="HH57" s="141">
        <f t="shared" si="280"/>
        <v>14626.106</v>
      </c>
      <c r="HI57" s="141">
        <f t="shared" si="280"/>
        <v>14626.106</v>
      </c>
      <c r="HJ57" s="141">
        <f t="shared" si="280"/>
        <v>14626.106</v>
      </c>
      <c r="HK57" s="141">
        <f t="shared" si="280"/>
        <v>14626.106</v>
      </c>
      <c r="HL57" s="141">
        <f t="shared" si="280"/>
        <v>14626.106</v>
      </c>
      <c r="HM57" s="142">
        <f t="shared" ref="HM57:IP57" si="281">IF(ISBLANK($A57),,FE57*($AH57-($AH57*$AJ57))/$AI57)</f>
        <v>0</v>
      </c>
      <c r="HN57" s="142">
        <f t="shared" si="281"/>
        <v>0</v>
      </c>
      <c r="HO57" s="142">
        <f t="shared" si="281"/>
        <v>0</v>
      </c>
      <c r="HP57" s="142">
        <f t="shared" si="281"/>
        <v>0</v>
      </c>
      <c r="HQ57" s="142">
        <f t="shared" si="281"/>
        <v>0</v>
      </c>
      <c r="HR57" s="142">
        <f t="shared" si="281"/>
        <v>0</v>
      </c>
      <c r="HS57" s="142">
        <f t="shared" si="281"/>
        <v>0</v>
      </c>
      <c r="HT57" s="142">
        <f t="shared" si="281"/>
        <v>0</v>
      </c>
      <c r="HU57" s="142">
        <f t="shared" si="281"/>
        <v>0</v>
      </c>
      <c r="HV57" s="142">
        <f t="shared" si="281"/>
        <v>0</v>
      </c>
      <c r="HW57" s="142">
        <f t="shared" si="281"/>
        <v>0</v>
      </c>
      <c r="HX57" s="142">
        <f t="shared" si="281"/>
        <v>0</v>
      </c>
      <c r="HY57" s="142">
        <f t="shared" si="281"/>
        <v>0</v>
      </c>
      <c r="HZ57" s="142">
        <f t="shared" si="281"/>
        <v>0</v>
      </c>
      <c r="IA57" s="142">
        <f t="shared" si="281"/>
        <v>0</v>
      </c>
      <c r="IB57" s="142">
        <f t="shared" si="281"/>
        <v>0</v>
      </c>
      <c r="IC57" s="142">
        <f t="shared" si="281"/>
        <v>0</v>
      </c>
      <c r="ID57" s="142">
        <f t="shared" si="281"/>
        <v>0</v>
      </c>
      <c r="IE57" s="142">
        <f t="shared" si="281"/>
        <v>0</v>
      </c>
      <c r="IF57" s="142">
        <f t="shared" si="281"/>
        <v>0</v>
      </c>
      <c r="IG57" s="142">
        <f t="shared" si="281"/>
        <v>0</v>
      </c>
      <c r="IH57" s="142">
        <f t="shared" si="281"/>
        <v>0</v>
      </c>
      <c r="II57" s="142">
        <f t="shared" si="281"/>
        <v>0</v>
      </c>
      <c r="IJ57" s="142">
        <f t="shared" si="281"/>
        <v>0</v>
      </c>
      <c r="IK57" s="142">
        <f t="shared" si="281"/>
        <v>0</v>
      </c>
      <c r="IL57" s="142">
        <f t="shared" si="281"/>
        <v>0</v>
      </c>
      <c r="IM57" s="142">
        <f t="shared" si="281"/>
        <v>0</v>
      </c>
      <c r="IN57" s="142">
        <f t="shared" si="281"/>
        <v>0</v>
      </c>
      <c r="IO57" s="142">
        <f t="shared" si="281"/>
        <v>0</v>
      </c>
      <c r="IP57" s="142">
        <f t="shared" si="281"/>
        <v>0</v>
      </c>
      <c r="IQ57" s="141">
        <f>IF(ISBLANK($A57),,IF($AN57="Não",0,(SUM($AO57:AO57)*$AH57)-SUM($HM57:HM57)-SUM($CW57:CW57)))</f>
        <v>0</v>
      </c>
      <c r="IR57" s="141">
        <f>IF(ISBLANK($A57),,IF($AN57="Não",0,(SUM($AO57:AP57)*$AH57)-SUM($HM57:HN57)-SUM($CW57:CX57)))</f>
        <v>0</v>
      </c>
      <c r="IS57" s="141">
        <f>IF(ISBLANK($A57),,IF($AN57="Não",0,(SUM($AO57:AQ57)*$AH57)-SUM($HM57:HO57)-SUM($CW57:CY57)))</f>
        <v>0</v>
      </c>
      <c r="IT57" s="141">
        <f>IF(ISBLANK($A57),,IF($AN57="Não",0,(SUM($AO57:AR57)*$AH57)-SUM($HM57:HP57)-SUM($CW57:CZ57)))</f>
        <v>0</v>
      </c>
      <c r="IU57" s="141">
        <f>IF(ISBLANK($A57),,IF($AN57="Não",0,(SUM($AO57:AS57)*$AH57)-SUM($HM57:HQ57)-SUM($CW57:DA57)))</f>
        <v>0</v>
      </c>
      <c r="IV57" s="141">
        <f>IF(ISBLANK($A57),,IF($AN57="Não",0,(SUM($AO57:AT57)*$AH57)-SUM($HM57:HR57)-SUM($CW57:DB57)))</f>
        <v>0</v>
      </c>
      <c r="IW57" s="141">
        <f>IF(ISBLANK($A57),,IF($AN57="Não",0,(SUM($AO57:AU57)*$AH57)-SUM($HM57:HS57)-SUM($CW57:DC57)))</f>
        <v>0</v>
      </c>
      <c r="IX57" s="141">
        <f>IF(ISBLANK($A57),,IF($AN57="Não",0,(SUM($AO57:AV57)*$AH57)-SUM($HM57:HT57)-SUM($CW57:DD57)))</f>
        <v>0</v>
      </c>
      <c r="IY57" s="141">
        <f>IF(ISBLANK($A57),,IF($AN57="Não",0,(SUM($AO57:AW57)*$AH57)-SUM($HM57:HU57)-SUM($CW57:DE57)))</f>
        <v>0</v>
      </c>
      <c r="IZ57" s="141">
        <f>IF(ISBLANK($A57),,IF($AN57="Não",0,(SUM($AO57:AX57)*$AH57)-SUM($HM57:HV57)-SUM($CW57:DF57)))</f>
        <v>0</v>
      </c>
      <c r="JA57" s="141">
        <f>IF(ISBLANK($A57),,IF($AN57="Não",0,(SUM($AO57:AY57)*$AH57)-SUM($HM57:HW57)-SUM($CW57:DG57)))</f>
        <v>0</v>
      </c>
      <c r="JB57" s="141">
        <f>IF(ISBLANK($A57),,IF($AN57="Não",0,(SUM($AO57:AZ57)*$AH57)-SUM($HM57:HX57)-SUM($CW57:DH57)))</f>
        <v>0</v>
      </c>
      <c r="JC57" s="141">
        <f>IF(ISBLANK($A57),,IF($AN57="Não",0,(SUM($AO57:BA57)*$AH57)-SUM($HM57:HY57)-SUM($CW57:DI57)))</f>
        <v>0</v>
      </c>
      <c r="JD57" s="141">
        <f>IF(ISBLANK($A57),,IF($AN57="Não",0,(SUM($AO57:BB57)*$AH57)-SUM($HM57:HZ57)-SUM($CW57:DJ57)))</f>
        <v>0</v>
      </c>
      <c r="JE57" s="141">
        <f>IF(ISBLANK($A57),,IF($AN57="Não",0,(SUM($AO57:BC57)*$AH57)-SUM($HM57:IA57)-SUM($CW57:DK57)))</f>
        <v>0</v>
      </c>
      <c r="JF57" s="141">
        <f>IF(ISBLANK($A57),,IF($AN57="Não",0,(SUM($AO57:BD57)*$AH57)-SUM($HM57:IB57)-SUM($CW57:DL57)))</f>
        <v>0</v>
      </c>
      <c r="JG57" s="141">
        <f>IF(ISBLANK($A57),,IF($AN57="Não",0,(SUM($AO57:BE57)*$AH57)-SUM($HM57:IC57)-SUM($CW57:DM57)))</f>
        <v>0</v>
      </c>
      <c r="JH57" s="141">
        <f>IF(ISBLANK($A57),,IF($AN57="Não",0,(SUM($AO57:BF57)*$AH57)-SUM($HM57:ID57)-SUM($CW57:DN57)))</f>
        <v>0</v>
      </c>
      <c r="JI57" s="141">
        <f>IF(ISBLANK($A57),,IF($AN57="Não",0,(SUM($AO57:BG57)*$AH57)-SUM($HM57:IE57)-SUM($CW57:DO57)))</f>
        <v>0</v>
      </c>
      <c r="JJ57" s="141">
        <f>IF(ISBLANK($A57),,IF($AN57="Não",0,(SUM($AO57:BH57)*$AH57)-SUM($HM57:IF57)-SUM($CW57:DP57)))</f>
        <v>0</v>
      </c>
      <c r="JK57" s="141">
        <f>IF(ISBLANK($A57),,IF($AN57="Não",0,(SUM($AO57:BI57)*$AH57)-SUM($HM57:IG57)-SUM($CW57:DQ57)))</f>
        <v>0</v>
      </c>
      <c r="JL57" s="141">
        <f>IF(ISBLANK($A57),,IF($AN57="Não",0,(SUM($AO57:BJ57)*$AH57)-SUM($HM57:IH57)-SUM($CW57:DR57)))</f>
        <v>0</v>
      </c>
      <c r="JM57" s="141">
        <f>IF(ISBLANK($A57),,IF($AN57="Não",0,(SUM($AO57:BK57)*$AH57)-SUM($HM57:II57)-SUM($CW57:DS57)))</f>
        <v>0</v>
      </c>
      <c r="JN57" s="141">
        <f>IF(ISBLANK($A57),,IF($AN57="Não",0,(SUM($AO57:BL57)*$AH57)-SUM($HM57:IJ57)-SUM($CW57:DT57)))</f>
        <v>0</v>
      </c>
      <c r="JO57" s="141">
        <f>IF(ISBLANK($A57),,IF($AN57="Não",0,(SUM($AO57:BM57)*$AH57)-SUM($HM57:IK57)-SUM($CW57:DU57)))</f>
        <v>0</v>
      </c>
      <c r="JP57" s="141">
        <f>IF(ISBLANK($A57),,IF($AN57="Não",0,(SUM($AO57:BN57)*$AH57)-SUM($HM57:IL57)-SUM($CW57:DV57)))</f>
        <v>0</v>
      </c>
      <c r="JQ57" s="141">
        <f>IF(ISBLANK($A57),,IF($AN57="Não",0,(SUM($AO57:BO57)*$AH57)-SUM($HM57:IM57)-SUM($CW57:DW57)))</f>
        <v>0</v>
      </c>
      <c r="JR57" s="141">
        <f>IF(ISBLANK($A57),,IF($AN57="Não",0,(SUM($AO57:BP57)*$AH57)-SUM($HM57:IN57)-SUM($CW57:DX57)))</f>
        <v>0</v>
      </c>
      <c r="JS57" s="141">
        <f>IF(ISBLANK($A57),,IF($AN57="Não",0,(SUM($AO57:BQ57)*$AH57)-SUM($HM57:IO57)-SUM($CW57:DY57)))</f>
        <v>0</v>
      </c>
      <c r="JT57" s="141">
        <f>IF(ISBLANK($A57),,IF($AN57="Não",0,(SUM($AO57:BR57)*$AH57)-SUM($HM57:IP57)-SUM($CW57:DZ57)))</f>
        <v>0</v>
      </c>
    </row>
    <row r="58" spans="1:280" ht="15.75" customHeight="1">
      <c r="A58" s="129" t="s">
        <v>406</v>
      </c>
      <c r="B58" s="129" t="s">
        <v>209</v>
      </c>
      <c r="C58" s="138" t="s">
        <v>101</v>
      </c>
      <c r="D58" s="139">
        <v>50</v>
      </c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139"/>
      <c r="AD58" s="139"/>
      <c r="AE58" s="139"/>
      <c r="AF58" s="139"/>
      <c r="AG58" s="139"/>
      <c r="AH58" s="607">
        <f t="shared" si="165"/>
        <v>407.00000000000006</v>
      </c>
      <c r="AI58" s="608">
        <f t="shared" si="166"/>
        <v>10</v>
      </c>
      <c r="AJ58" s="609">
        <f t="shared" si="167"/>
        <v>0.25</v>
      </c>
      <c r="AK58" s="610" t="str">
        <f t="shared" si="168"/>
        <v>Móveis e Utensílios</v>
      </c>
      <c r="AL58" s="609">
        <f t="shared" si="169"/>
        <v>0.05</v>
      </c>
      <c r="AM58" s="611" t="str">
        <f t="shared" si="170"/>
        <v>Sim</v>
      </c>
      <c r="AN58" s="611" t="str">
        <f t="shared" si="171"/>
        <v>Sim</v>
      </c>
      <c r="AO58" s="140">
        <f t="array" ref="AO58">IF(ISBLANK($A58),0,IF(OR(AO$5-$AI58&lt;=0,$AM58="Não"),D58,D58+INDEX($AO$6:$BR$176,ROW()-5,COLUMN()-40-$AI58)))*IF($B58="Operacional",IFERROR(VLOOKUP($C58,SN_UGC,28,0),0),1)</f>
        <v>50</v>
      </c>
      <c r="AP58" s="140">
        <f t="array" ref="AP58">IF(ISBLANK($A58),0,IF(OR(AP$5-$AI58&lt;=0,$AM58="Não"),E58,E58+INDEX($AO$6:$BR$176,ROW()-5,COLUMN()-40-$AI58)))*IF($B58="Operacional",IFERROR(VLOOKUP($C58,SN_UGC,28,0),0),1)</f>
        <v>0</v>
      </c>
      <c r="AQ58" s="140">
        <f t="array" ref="AQ58">IF(ISBLANK($A58),0,IF(OR(AQ$5-$AI58&lt;=0,$AM58="Não"),F58,F58+INDEX($AO$6:$BR$176,ROW()-5,COLUMN()-40-$AI58)))*IF($B58="Operacional",IFERROR(VLOOKUP($C58,SN_UGC,28,0),0),1)</f>
        <v>0</v>
      </c>
      <c r="AR58" s="140">
        <f t="array" ref="AR58">IF(ISBLANK($A58),0,IF(OR(AR$5-$AI58&lt;=0,$AM58="Não"),G58,G58+INDEX($AO$6:$BR$176,ROW()-5,COLUMN()-40-$AI58)))*IF($B58="Operacional",IFERROR(VLOOKUP($C58,SN_UGC,28,0),0),1)</f>
        <v>0</v>
      </c>
      <c r="AS58" s="140">
        <f t="array" ref="AS58">IF(ISBLANK($A58),0,IF(OR(AS$5-$AI58&lt;=0,$AM58="Não"),H58,H58+INDEX($AO$6:$BR$176,ROW()-5,COLUMN()-40-$AI58)))*IF($B58="Operacional",IFERROR(VLOOKUP($C58,SN_UGC,28,0),0),1)</f>
        <v>0</v>
      </c>
      <c r="AT58" s="140">
        <f t="array" ref="AT58">IF(ISBLANK($A58),0,IF(OR(AT$5-$AI58&lt;=0,$AM58="Não"),I58,I58+INDEX($AO$6:$BR$176,ROW()-5,COLUMN()-40-$AI58)))*IF($B58="Operacional",IFERROR(VLOOKUP($C58,SN_UGC,28,0),0),1)</f>
        <v>0</v>
      </c>
      <c r="AU58" s="140">
        <f t="array" ref="AU58">IF(ISBLANK($A58),0,IF(OR(AU$5-$AI58&lt;=0,$AM58="Não"),J58,J58+INDEX($AO$6:$BR$176,ROW()-5,COLUMN()-40-$AI58)))*IF($B58="Operacional",IFERROR(VLOOKUP($C58,SN_UGC,28,0),0),1)</f>
        <v>0</v>
      </c>
      <c r="AV58" s="140">
        <f t="array" ref="AV58">IF(ISBLANK($A58),0,IF(OR(AV$5-$AI58&lt;=0,$AM58="Não"),K58,K58+INDEX($AO$6:$BR$176,ROW()-5,COLUMN()-40-$AI58)))*IF($B58="Operacional",IFERROR(VLOOKUP($C58,SN_UGC,28,0),0),1)</f>
        <v>0</v>
      </c>
      <c r="AW58" s="140">
        <f t="array" ref="AW58">IF(ISBLANK($A58),0,IF(OR(AW$5-$AI58&lt;=0,$AM58="Não"),L58,L58+INDEX($AO$6:$BR$176,ROW()-5,COLUMN()-40-$AI58)))*IF($B58="Operacional",IFERROR(VLOOKUP($C58,SN_UGC,28,0),0),1)</f>
        <v>0</v>
      </c>
      <c r="AX58" s="140">
        <f t="array" ref="AX58">IF(ISBLANK($A58),0,IF(OR(AX$5-$AI58&lt;=0,$AM58="Não"),M58,M58+INDEX($AO$6:$BR$176,ROW()-5,COLUMN()-40-$AI58)))*IF($B58="Operacional",IFERROR(VLOOKUP($C58,SN_UGC,28,0),0),1)</f>
        <v>0</v>
      </c>
      <c r="AY58" s="140">
        <f t="array" ref="AY58">IF(ISBLANK($A58),0,IF(OR(AY$5-$AI58&lt;=0,$AM58="Não"),N58,N58+INDEX($AO$6:$BR$176,ROW()-5,COLUMN()-40-$AI58)))*IF($B58="Operacional",IFERROR(VLOOKUP($C58,SN_UGC,28,0),0),1)</f>
        <v>50</v>
      </c>
      <c r="AZ58" s="140">
        <f t="array" ref="AZ58">IF(ISBLANK($A58),0,IF(OR(AZ$5-$AI58&lt;=0,$AM58="Não"),O58,O58+INDEX($AO$6:$BR$176,ROW()-5,COLUMN()-40-$AI58)))*IF($B58="Operacional",IFERROR(VLOOKUP($C58,SN_UGC,28,0),0),1)</f>
        <v>0</v>
      </c>
      <c r="BA58" s="140">
        <f t="array" ref="BA58">IF(ISBLANK($A58),0,IF(OR(BA$5-$AI58&lt;=0,$AM58="Não"),P58,P58+INDEX($AO$6:$BR$176,ROW()-5,COLUMN()-40-$AI58)))*IF($B58="Operacional",IFERROR(VLOOKUP($C58,SN_UGC,28,0),0),1)</f>
        <v>0</v>
      </c>
      <c r="BB58" s="140">
        <f t="array" ref="BB58">IF(ISBLANK($A58),0,IF(OR(BB$5-$AI58&lt;=0,$AM58="Não"),Q58,Q58+INDEX($AO$6:$BR$176,ROW()-5,COLUMN()-40-$AI58)))*IF($B58="Operacional",IFERROR(VLOOKUP($C58,SN_UGC,28,0),0),1)</f>
        <v>0</v>
      </c>
      <c r="BC58" s="140">
        <f t="array" ref="BC58">IF(ISBLANK($A58),0,IF(OR(BC$5-$AI58&lt;=0,$AM58="Não"),R58,R58+INDEX($AO$6:$BR$176,ROW()-5,COLUMN()-40-$AI58)))*IF($B58="Operacional",IFERROR(VLOOKUP($C58,SN_UGC,28,0),0),1)</f>
        <v>0</v>
      </c>
      <c r="BD58" s="140">
        <f t="array" ref="BD58">IF(ISBLANK($A58),0,IF(OR(BD$5-$AI58&lt;=0,$AM58="Não"),S58,S58+INDEX($AO$6:$BR$176,ROW()-5,COLUMN()-40-$AI58)))*IF($B58="Operacional",IFERROR(VLOOKUP($C58,SN_UGC,28,0),0),1)</f>
        <v>0</v>
      </c>
      <c r="BE58" s="140">
        <f t="array" ref="BE58">IF(ISBLANK($A58),0,IF(OR(BE$5-$AI58&lt;=0,$AM58="Não"),T58,T58+INDEX($AO$6:$BR$176,ROW()-5,COLUMN()-40-$AI58)))*IF($B58="Operacional",IFERROR(VLOOKUP($C58,SN_UGC,28,0),0),1)</f>
        <v>0</v>
      </c>
      <c r="BF58" s="140">
        <f t="array" ref="BF58">IF(ISBLANK($A58),0,IF(OR(BF$5-$AI58&lt;=0,$AM58="Não"),U58,U58+INDEX($AO$6:$BR$176,ROW()-5,COLUMN()-40-$AI58)))*IF($B58="Operacional",IFERROR(VLOOKUP($C58,SN_UGC,28,0),0),1)</f>
        <v>0</v>
      </c>
      <c r="BG58" s="140">
        <f t="array" ref="BG58">IF(ISBLANK($A58),0,IF(OR(BG$5-$AI58&lt;=0,$AM58="Não"),V58,V58+INDEX($AO$6:$BR$176,ROW()-5,COLUMN()-40-$AI58)))*IF($B58="Operacional",IFERROR(VLOOKUP($C58,SN_UGC,28,0),0),1)</f>
        <v>0</v>
      </c>
      <c r="BH58" s="140">
        <f t="array" ref="BH58">IF(ISBLANK($A58),0,IF(OR(BH$5-$AI58&lt;=0,$AM58="Não"),W58,W58+INDEX($AO$6:$BR$176,ROW()-5,COLUMN()-40-$AI58)))*IF($B58="Operacional",IFERROR(VLOOKUP($C58,SN_UGC,28,0),0),1)</f>
        <v>0</v>
      </c>
      <c r="BI58" s="140">
        <f t="array" ref="BI58">IF(ISBLANK($A58),0,IF(OR(BI$5-$AI58&lt;=0,$AM58="Não"),X58,X58+INDEX($AO$6:$BR$176,ROW()-5,COLUMN()-40-$AI58)))*IF($B58="Operacional",IFERROR(VLOOKUP($C58,SN_UGC,28,0),0),1)</f>
        <v>50</v>
      </c>
      <c r="BJ58" s="140">
        <f t="array" ref="BJ58">IF(ISBLANK($A58),0,IF(OR(BJ$5-$AI58&lt;=0,$AM58="Não"),Y58,Y58+INDEX($AO$6:$BR$176,ROW()-5,COLUMN()-40-$AI58)))*IF($B58="Operacional",IFERROR(VLOOKUP($C58,SN_UGC,28,0),0),1)</f>
        <v>0</v>
      </c>
      <c r="BK58" s="140">
        <f t="array" ref="BK58">IF(ISBLANK($A58),0,IF(OR(BK$5-$AI58&lt;=0,$AM58="Não"),Z58,Z58+INDEX($AO$6:$BR$176,ROW()-5,COLUMN()-40-$AI58)))*IF($B58="Operacional",IFERROR(VLOOKUP($C58,SN_UGC,28,0),0),1)</f>
        <v>0</v>
      </c>
      <c r="BL58" s="140">
        <f t="array" ref="BL58">IF(ISBLANK($A58),0,IF(OR(BL$5-$AI58&lt;=0,$AM58="Não"),AA58,AA58+INDEX($AO$6:$BR$176,ROW()-5,COLUMN()-40-$AI58)))*IF($B58="Operacional",IFERROR(VLOOKUP($C58,SN_UGC,28,0),0),1)</f>
        <v>0</v>
      </c>
      <c r="BM58" s="140">
        <f t="array" ref="BM58">IF(ISBLANK($A58),0,IF(OR(BM$5-$AI58&lt;=0,$AM58="Não"),AB58,AB58+INDEX($AO$6:$BR$176,ROW()-5,COLUMN()-40-$AI58)))*IF($B58="Operacional",IFERROR(VLOOKUP($C58,SN_UGC,28,0),0),1)</f>
        <v>0</v>
      </c>
      <c r="BN58" s="140">
        <f t="array" ref="BN58">IF(ISBLANK($A58),0,IF(OR(BN$5-$AI58&lt;=0,$AM58="Não"),AC58,AC58+INDEX($AO$6:$BR$176,ROW()-5,COLUMN()-40-$AI58)))*IF($B58="Operacional",IFERROR(VLOOKUP($C58,SN_UGC,28,0),0),1)</f>
        <v>0</v>
      </c>
      <c r="BO58" s="140">
        <f t="array" ref="BO58">IF(ISBLANK($A58),0,IF(OR(BO$5-$AI58&lt;=0,$AM58="Não"),AD58,AD58+INDEX($AO$6:$BR$176,ROW()-5,COLUMN()-40-$AI58)))*IF($B58="Operacional",IFERROR(VLOOKUP($C58,SN_UGC,28,0),0),1)</f>
        <v>0</v>
      </c>
      <c r="BP58" s="140">
        <f t="array" ref="BP58">IF(ISBLANK($A58),0,IF(OR(BP$5-$AI58&lt;=0,$AM58="Não"),AE58,AE58+INDEX($AO$6:$BR$176,ROW()-5,COLUMN()-40-$AI58)))*IF($B58="Operacional",IFERROR(VLOOKUP($C58,SN_UGC,28,0),0),1)</f>
        <v>0</v>
      </c>
      <c r="BQ58" s="140">
        <f t="array" ref="BQ58">IF(ISBLANK($A58),0,IF(OR(BQ$5-$AI58&lt;=0,$AM58="Não"),AF58,AF58+INDEX($AO$6:$BR$176,ROW()-5,COLUMN()-40-$AI58)))*IF($B58="Operacional",IFERROR(VLOOKUP($C58,SN_UGC,28,0),0),1)</f>
        <v>0</v>
      </c>
      <c r="BR58" s="140">
        <f t="array" ref="BR58">IF(ISBLANK($A58),0,IF(OR(BR$5-$AI58&lt;=0,$AM58="Não"),AG58,AG58+INDEX($AO$6:$BR$176,ROW()-5,COLUMN()-40-$AI58)))*IF($B58="Operacional",IFERROR(VLOOKUP($C58,SN_UGC,28,0),0),1)</f>
        <v>0</v>
      </c>
      <c r="BS58" s="141">
        <f t="shared" ref="BS58:CV58" si="282">IF(ISBLANK($A58),0,$AH58*AO58)</f>
        <v>20350.000000000004</v>
      </c>
      <c r="BT58" s="141">
        <f t="shared" si="282"/>
        <v>0</v>
      </c>
      <c r="BU58" s="141">
        <f t="shared" si="282"/>
        <v>0</v>
      </c>
      <c r="BV58" s="141">
        <f t="shared" si="282"/>
        <v>0</v>
      </c>
      <c r="BW58" s="141">
        <f t="shared" si="282"/>
        <v>0</v>
      </c>
      <c r="BX58" s="141">
        <f t="shared" si="282"/>
        <v>0</v>
      </c>
      <c r="BY58" s="141">
        <f t="shared" si="282"/>
        <v>0</v>
      </c>
      <c r="BZ58" s="141">
        <f t="shared" si="282"/>
        <v>0</v>
      </c>
      <c r="CA58" s="141">
        <f t="shared" si="282"/>
        <v>0</v>
      </c>
      <c r="CB58" s="141">
        <f t="shared" si="282"/>
        <v>0</v>
      </c>
      <c r="CC58" s="141">
        <f t="shared" si="282"/>
        <v>20350.000000000004</v>
      </c>
      <c r="CD58" s="141">
        <f t="shared" si="282"/>
        <v>0</v>
      </c>
      <c r="CE58" s="141">
        <f t="shared" si="282"/>
        <v>0</v>
      </c>
      <c r="CF58" s="141">
        <f t="shared" si="282"/>
        <v>0</v>
      </c>
      <c r="CG58" s="141">
        <f t="shared" si="282"/>
        <v>0</v>
      </c>
      <c r="CH58" s="141">
        <f t="shared" si="282"/>
        <v>0</v>
      </c>
      <c r="CI58" s="141">
        <f t="shared" si="282"/>
        <v>0</v>
      </c>
      <c r="CJ58" s="141">
        <f t="shared" si="282"/>
        <v>0</v>
      </c>
      <c r="CK58" s="141">
        <f t="shared" si="282"/>
        <v>0</v>
      </c>
      <c r="CL58" s="141">
        <f t="shared" si="282"/>
        <v>0</v>
      </c>
      <c r="CM58" s="141">
        <f t="shared" si="282"/>
        <v>20350.000000000004</v>
      </c>
      <c r="CN58" s="141">
        <f t="shared" si="282"/>
        <v>0</v>
      </c>
      <c r="CO58" s="141">
        <f t="shared" si="282"/>
        <v>0</v>
      </c>
      <c r="CP58" s="141">
        <f t="shared" si="282"/>
        <v>0</v>
      </c>
      <c r="CQ58" s="141">
        <f t="shared" si="282"/>
        <v>0</v>
      </c>
      <c r="CR58" s="141">
        <f t="shared" si="282"/>
        <v>0</v>
      </c>
      <c r="CS58" s="141">
        <f t="shared" si="282"/>
        <v>0</v>
      </c>
      <c r="CT58" s="141">
        <f t="shared" si="282"/>
        <v>0</v>
      </c>
      <c r="CU58" s="141">
        <f t="shared" si="282"/>
        <v>0</v>
      </c>
      <c r="CV58" s="141">
        <f t="shared" si="282"/>
        <v>0</v>
      </c>
      <c r="CW58" s="142">
        <f t="shared" ref="CW58:DZ58" si="283">EA58*$AH58*$AJ58</f>
        <v>0</v>
      </c>
      <c r="CX58" s="142">
        <f t="shared" si="283"/>
        <v>0</v>
      </c>
      <c r="CY58" s="142">
        <f t="shared" si="283"/>
        <v>0</v>
      </c>
      <c r="CZ58" s="142">
        <f t="shared" si="283"/>
        <v>0</v>
      </c>
      <c r="DA58" s="142">
        <f t="shared" si="283"/>
        <v>0</v>
      </c>
      <c r="DB58" s="142">
        <f t="shared" si="283"/>
        <v>0</v>
      </c>
      <c r="DC58" s="142">
        <f t="shared" si="283"/>
        <v>0</v>
      </c>
      <c r="DD58" s="142">
        <f t="shared" si="283"/>
        <v>0</v>
      </c>
      <c r="DE58" s="142">
        <f t="shared" si="283"/>
        <v>0</v>
      </c>
      <c r="DF58" s="142">
        <f t="shared" si="283"/>
        <v>0</v>
      </c>
      <c r="DG58" s="142">
        <f t="shared" si="283"/>
        <v>5087.5000000000009</v>
      </c>
      <c r="DH58" s="142">
        <f t="shared" si="283"/>
        <v>0</v>
      </c>
      <c r="DI58" s="142">
        <f t="shared" si="283"/>
        <v>0</v>
      </c>
      <c r="DJ58" s="142">
        <f t="shared" si="283"/>
        <v>0</v>
      </c>
      <c r="DK58" s="142">
        <f t="shared" si="283"/>
        <v>0</v>
      </c>
      <c r="DL58" s="142">
        <f t="shared" si="283"/>
        <v>0</v>
      </c>
      <c r="DM58" s="142">
        <f t="shared" si="283"/>
        <v>0</v>
      </c>
      <c r="DN58" s="142">
        <f t="shared" si="283"/>
        <v>0</v>
      </c>
      <c r="DO58" s="142">
        <f t="shared" si="283"/>
        <v>0</v>
      </c>
      <c r="DP58" s="142">
        <f t="shared" si="283"/>
        <v>0</v>
      </c>
      <c r="DQ58" s="142">
        <f t="shared" si="283"/>
        <v>5087.5000000000009</v>
      </c>
      <c r="DR58" s="142">
        <f t="shared" si="283"/>
        <v>0</v>
      </c>
      <c r="DS58" s="142">
        <f t="shared" si="283"/>
        <v>0</v>
      </c>
      <c r="DT58" s="142">
        <f t="shared" si="283"/>
        <v>0</v>
      </c>
      <c r="DU58" s="142">
        <f t="shared" si="283"/>
        <v>0</v>
      </c>
      <c r="DV58" s="142">
        <f t="shared" si="283"/>
        <v>0</v>
      </c>
      <c r="DW58" s="142">
        <f t="shared" si="283"/>
        <v>0</v>
      </c>
      <c r="DX58" s="142">
        <f t="shared" si="283"/>
        <v>0</v>
      </c>
      <c r="DY58" s="142">
        <f t="shared" si="283"/>
        <v>0</v>
      </c>
      <c r="DZ58" s="142">
        <f t="shared" si="283"/>
        <v>0</v>
      </c>
      <c r="EA58" s="143">
        <f t="shared" si="174"/>
        <v>0</v>
      </c>
      <c r="EB58" s="143">
        <f t="shared" si="175"/>
        <v>0</v>
      </c>
      <c r="EC58" s="143">
        <f t="shared" si="176"/>
        <v>0</v>
      </c>
      <c r="ED58" s="143">
        <f t="shared" si="177"/>
        <v>0</v>
      </c>
      <c r="EE58" s="143">
        <f t="shared" si="178"/>
        <v>0</v>
      </c>
      <c r="EF58" s="143">
        <f t="shared" si="179"/>
        <v>0</v>
      </c>
      <c r="EG58" s="143">
        <f t="shared" si="180"/>
        <v>0</v>
      </c>
      <c r="EH58" s="143">
        <f t="shared" si="181"/>
        <v>0</v>
      </c>
      <c r="EI58" s="143">
        <f t="shared" si="182"/>
        <v>0</v>
      </c>
      <c r="EJ58" s="143">
        <f t="shared" si="183"/>
        <v>0</v>
      </c>
      <c r="EK58" s="143">
        <f t="shared" si="184"/>
        <v>50</v>
      </c>
      <c r="EL58" s="143">
        <f t="shared" si="185"/>
        <v>0</v>
      </c>
      <c r="EM58" s="143">
        <f t="shared" si="186"/>
        <v>0</v>
      </c>
      <c r="EN58" s="143">
        <f t="shared" si="187"/>
        <v>0</v>
      </c>
      <c r="EO58" s="143">
        <f t="shared" si="188"/>
        <v>0</v>
      </c>
      <c r="EP58" s="143">
        <f t="shared" si="189"/>
        <v>0</v>
      </c>
      <c r="EQ58" s="143">
        <f t="shared" si="190"/>
        <v>0</v>
      </c>
      <c r="ER58" s="143">
        <f t="shared" si="191"/>
        <v>0</v>
      </c>
      <c r="ES58" s="143">
        <f t="shared" si="192"/>
        <v>0</v>
      </c>
      <c r="ET58" s="143">
        <f t="shared" si="193"/>
        <v>0</v>
      </c>
      <c r="EU58" s="143">
        <f t="shared" si="194"/>
        <v>50</v>
      </c>
      <c r="EV58" s="143">
        <f t="shared" si="195"/>
        <v>0</v>
      </c>
      <c r="EW58" s="143">
        <f t="shared" si="196"/>
        <v>0</v>
      </c>
      <c r="EX58" s="143">
        <f t="shared" si="197"/>
        <v>0</v>
      </c>
      <c r="EY58" s="143">
        <f t="shared" si="198"/>
        <v>0</v>
      </c>
      <c r="EZ58" s="143">
        <f t="shared" si="199"/>
        <v>0</v>
      </c>
      <c r="FA58" s="143">
        <f t="shared" si="200"/>
        <v>0</v>
      </c>
      <c r="FB58" s="143">
        <f t="shared" si="201"/>
        <v>0</v>
      </c>
      <c r="FC58" s="143">
        <f t="shared" si="202"/>
        <v>0</v>
      </c>
      <c r="FD58" s="143">
        <f t="shared" si="203"/>
        <v>0</v>
      </c>
      <c r="FE58" s="140">
        <f>SUM($D58:D58)*IF($B58="Operacional",IFERROR(VLOOKUP($C58,SN_UGC,28,0),0),1)</f>
        <v>50</v>
      </c>
      <c r="FF58" s="140">
        <f>SUM($D58:E58)*IF($B58="Operacional",IFERROR(VLOOKUP($C58,SN_UGC,28,0),0),1)</f>
        <v>50</v>
      </c>
      <c r="FG58" s="140">
        <f>SUM($D58:F58)*IF($B58="Operacional",IFERROR(VLOOKUP($C58,SN_UGC,28,0),0),1)</f>
        <v>50</v>
      </c>
      <c r="FH58" s="140">
        <f>SUM($D58:G58)*IF($B58="Operacional",IFERROR(VLOOKUP($C58,SN_UGC,28,0),0),1)</f>
        <v>50</v>
      </c>
      <c r="FI58" s="140">
        <f>SUM($D58:H58)*IF($B58="Operacional",IFERROR(VLOOKUP($C58,SN_UGC,28,0),0),1)</f>
        <v>50</v>
      </c>
      <c r="FJ58" s="140">
        <f>SUM($D58:I58)*IF($B58="Operacional",IFERROR(VLOOKUP($C58,SN_UGC,28,0),0),1)</f>
        <v>50</v>
      </c>
      <c r="FK58" s="140">
        <f>SUM($D58:J58)*IF($B58="Operacional",IFERROR(VLOOKUP($C58,SN_UGC,28,0),0),1)</f>
        <v>50</v>
      </c>
      <c r="FL58" s="140">
        <f>SUM($D58:K58)*IF($B58="Operacional",IFERROR(VLOOKUP($C58,SN_UGC,28,0),0),1)</f>
        <v>50</v>
      </c>
      <c r="FM58" s="140">
        <f>SUM($D58:L58)*IF($B58="Operacional",IFERROR(VLOOKUP($C58,SN_UGC,28,0),0),1)</f>
        <v>50</v>
      </c>
      <c r="FN58" s="140">
        <f>SUM($D58:M58)*IF($B58="Operacional",IFERROR(VLOOKUP($C58,SN_UGC,28,0),0),1)</f>
        <v>50</v>
      </c>
      <c r="FO58" s="140">
        <f>SUM($D58:N58)*IF($B58="Operacional",IFERROR(VLOOKUP($C58,SN_UGC,28,0),0),1)</f>
        <v>50</v>
      </c>
      <c r="FP58" s="140">
        <f>SUM($D58:O58)*IF($B58="Operacional",IFERROR(VLOOKUP($C58,SN_UGC,28,0),0),1)</f>
        <v>50</v>
      </c>
      <c r="FQ58" s="140">
        <f>SUM($D58:P58)*IF($B58="Operacional",IFERROR(VLOOKUP($C58,SN_UGC,28,0),0),1)</f>
        <v>50</v>
      </c>
      <c r="FR58" s="140">
        <f>SUM($D58:Q58)*IF($B58="Operacional",IFERROR(VLOOKUP($C58,SN_UGC,28,0),0),1)</f>
        <v>50</v>
      </c>
      <c r="FS58" s="140">
        <f>SUM($D58:R58)*IF($B58="Operacional",IFERROR(VLOOKUP($C58,SN_UGC,28,0),0),1)</f>
        <v>50</v>
      </c>
      <c r="FT58" s="140">
        <f>SUM($D58:S58)*IF($B58="Operacional",IFERROR(VLOOKUP($C58,SN_UGC,28,0),0),1)</f>
        <v>50</v>
      </c>
      <c r="FU58" s="140">
        <f>SUM($D58:T58)*IF($B58="Operacional",IFERROR(VLOOKUP($C58,SN_UGC,28,0),0),1)</f>
        <v>50</v>
      </c>
      <c r="FV58" s="140">
        <f>SUM($D58:U58)*IF($B58="Operacional",IFERROR(VLOOKUP($C58,SN_UGC,28,0),0),1)</f>
        <v>50</v>
      </c>
      <c r="FW58" s="140">
        <f>SUM($D58:V58)*IF($B58="Operacional",IFERROR(VLOOKUP($C58,SN_UGC,28,0),0),1)</f>
        <v>50</v>
      </c>
      <c r="FX58" s="140">
        <f>SUM($D58:W58)*IF($B58="Operacional",IFERROR(VLOOKUP($C58,SN_UGC,28,0),0),1)</f>
        <v>50</v>
      </c>
      <c r="FY58" s="140">
        <f>SUM($D58:X58)*IF($B58="Operacional",IFERROR(VLOOKUP($C58,SN_UGC,28,0),0),1)</f>
        <v>50</v>
      </c>
      <c r="FZ58" s="140">
        <f>SUM($D58:Y58)*IF($B58="Operacional",IFERROR(VLOOKUP($C58,SN_UGC,28,0),0),1)</f>
        <v>50</v>
      </c>
      <c r="GA58" s="140">
        <f>SUM($D58:Z58)*IF($B58="Operacional",IFERROR(VLOOKUP($C58,SN_UGC,28,0),0),1)</f>
        <v>50</v>
      </c>
      <c r="GB58" s="140">
        <f>SUM($D58:AA58)*IF($B58="Operacional",IFERROR(VLOOKUP($C58,SN_UGC,28,0),0),1)</f>
        <v>50</v>
      </c>
      <c r="GC58" s="140">
        <f>SUM($D58:AB58)*IF($B58="Operacional",IFERROR(VLOOKUP($C58,SN_UGC,28,0),0),1)</f>
        <v>50</v>
      </c>
      <c r="GD58" s="140">
        <f>SUM($D58:AC58)*IF($B58="Operacional",IFERROR(VLOOKUP($C58,SN_UGC,28,0),0),1)</f>
        <v>50</v>
      </c>
      <c r="GE58" s="140">
        <f>SUM($D58:AD58)*IF($B58="Operacional",IFERROR(VLOOKUP($C58,SN_UGC,28,0),0),1)</f>
        <v>50</v>
      </c>
      <c r="GF58" s="140">
        <f>SUM($D58:AE58)*IF($B58="Operacional",IFERROR(VLOOKUP($C58,SN_UGC,28,0),0),1)</f>
        <v>50</v>
      </c>
      <c r="GG58" s="140">
        <f>SUM($D58:AF58)*IF($B58="Operacional",IFERROR(VLOOKUP($C58,SN_UGC,28,0),0),1)</f>
        <v>50</v>
      </c>
      <c r="GH58" s="140">
        <f>SUM($D58:AG58)*IF($B58="Operacional",IFERROR(VLOOKUP($C58,SN_UGC,28,0),0),1)</f>
        <v>50</v>
      </c>
      <c r="GI58" s="141">
        <f t="shared" ref="GI58:HL58" si="284">FE58*$AH58*$AL58</f>
        <v>1017.5000000000002</v>
      </c>
      <c r="GJ58" s="141">
        <f t="shared" si="284"/>
        <v>1017.5000000000002</v>
      </c>
      <c r="GK58" s="141">
        <f t="shared" si="284"/>
        <v>1017.5000000000002</v>
      </c>
      <c r="GL58" s="141">
        <f t="shared" si="284"/>
        <v>1017.5000000000002</v>
      </c>
      <c r="GM58" s="141">
        <f t="shared" si="284"/>
        <v>1017.5000000000002</v>
      </c>
      <c r="GN58" s="141">
        <f t="shared" si="284"/>
        <v>1017.5000000000002</v>
      </c>
      <c r="GO58" s="141">
        <f t="shared" si="284"/>
        <v>1017.5000000000002</v>
      </c>
      <c r="GP58" s="141">
        <f t="shared" si="284"/>
        <v>1017.5000000000002</v>
      </c>
      <c r="GQ58" s="141">
        <f t="shared" si="284"/>
        <v>1017.5000000000002</v>
      </c>
      <c r="GR58" s="141">
        <f t="shared" si="284"/>
        <v>1017.5000000000002</v>
      </c>
      <c r="GS58" s="141">
        <f t="shared" si="284"/>
        <v>1017.5000000000002</v>
      </c>
      <c r="GT58" s="141">
        <f t="shared" si="284"/>
        <v>1017.5000000000002</v>
      </c>
      <c r="GU58" s="141">
        <f t="shared" si="284"/>
        <v>1017.5000000000002</v>
      </c>
      <c r="GV58" s="141">
        <f t="shared" si="284"/>
        <v>1017.5000000000002</v>
      </c>
      <c r="GW58" s="141">
        <f t="shared" si="284"/>
        <v>1017.5000000000002</v>
      </c>
      <c r="GX58" s="141">
        <f t="shared" si="284"/>
        <v>1017.5000000000002</v>
      </c>
      <c r="GY58" s="141">
        <f t="shared" si="284"/>
        <v>1017.5000000000002</v>
      </c>
      <c r="GZ58" s="141">
        <f t="shared" si="284"/>
        <v>1017.5000000000002</v>
      </c>
      <c r="HA58" s="141">
        <f t="shared" si="284"/>
        <v>1017.5000000000002</v>
      </c>
      <c r="HB58" s="141">
        <f t="shared" si="284"/>
        <v>1017.5000000000002</v>
      </c>
      <c r="HC58" s="141">
        <f t="shared" si="284"/>
        <v>1017.5000000000002</v>
      </c>
      <c r="HD58" s="141">
        <f t="shared" si="284"/>
        <v>1017.5000000000002</v>
      </c>
      <c r="HE58" s="141">
        <f t="shared" si="284"/>
        <v>1017.5000000000002</v>
      </c>
      <c r="HF58" s="141">
        <f t="shared" si="284"/>
        <v>1017.5000000000002</v>
      </c>
      <c r="HG58" s="141">
        <f t="shared" si="284"/>
        <v>1017.5000000000002</v>
      </c>
      <c r="HH58" s="141">
        <f t="shared" si="284"/>
        <v>1017.5000000000002</v>
      </c>
      <c r="HI58" s="141">
        <f t="shared" si="284"/>
        <v>1017.5000000000002</v>
      </c>
      <c r="HJ58" s="141">
        <f t="shared" si="284"/>
        <v>1017.5000000000002</v>
      </c>
      <c r="HK58" s="141">
        <f t="shared" si="284"/>
        <v>1017.5000000000002</v>
      </c>
      <c r="HL58" s="141">
        <f t="shared" si="284"/>
        <v>1017.5000000000002</v>
      </c>
      <c r="HM58" s="142">
        <f t="shared" ref="HM58:IP58" si="285">IF(ISBLANK($A58),,FE58*($AH58-($AH58*$AJ58))/$AI58)</f>
        <v>1526.2500000000005</v>
      </c>
      <c r="HN58" s="142">
        <f t="shared" si="285"/>
        <v>1526.2500000000005</v>
      </c>
      <c r="HO58" s="142">
        <f t="shared" si="285"/>
        <v>1526.2500000000005</v>
      </c>
      <c r="HP58" s="142">
        <f t="shared" si="285"/>
        <v>1526.2500000000005</v>
      </c>
      <c r="HQ58" s="142">
        <f t="shared" si="285"/>
        <v>1526.2500000000005</v>
      </c>
      <c r="HR58" s="142">
        <f t="shared" si="285"/>
        <v>1526.2500000000005</v>
      </c>
      <c r="HS58" s="142">
        <f t="shared" si="285"/>
        <v>1526.2500000000005</v>
      </c>
      <c r="HT58" s="142">
        <f t="shared" si="285"/>
        <v>1526.2500000000005</v>
      </c>
      <c r="HU58" s="142">
        <f t="shared" si="285"/>
        <v>1526.2500000000005</v>
      </c>
      <c r="HV58" s="142">
        <f t="shared" si="285"/>
        <v>1526.2500000000005</v>
      </c>
      <c r="HW58" s="142">
        <f t="shared" si="285"/>
        <v>1526.2500000000005</v>
      </c>
      <c r="HX58" s="142">
        <f t="shared" si="285"/>
        <v>1526.2500000000005</v>
      </c>
      <c r="HY58" s="142">
        <f t="shared" si="285"/>
        <v>1526.2500000000005</v>
      </c>
      <c r="HZ58" s="142">
        <f t="shared" si="285"/>
        <v>1526.2500000000005</v>
      </c>
      <c r="IA58" s="142">
        <f t="shared" si="285"/>
        <v>1526.2500000000005</v>
      </c>
      <c r="IB58" s="142">
        <f t="shared" si="285"/>
        <v>1526.2500000000005</v>
      </c>
      <c r="IC58" s="142">
        <f t="shared" si="285"/>
        <v>1526.2500000000005</v>
      </c>
      <c r="ID58" s="142">
        <f t="shared" si="285"/>
        <v>1526.2500000000005</v>
      </c>
      <c r="IE58" s="142">
        <f t="shared" si="285"/>
        <v>1526.2500000000005</v>
      </c>
      <c r="IF58" s="142">
        <f t="shared" si="285"/>
        <v>1526.2500000000005</v>
      </c>
      <c r="IG58" s="142">
        <f t="shared" si="285"/>
        <v>1526.2500000000005</v>
      </c>
      <c r="IH58" s="142">
        <f t="shared" si="285"/>
        <v>1526.2500000000005</v>
      </c>
      <c r="II58" s="142">
        <f t="shared" si="285"/>
        <v>1526.2500000000005</v>
      </c>
      <c r="IJ58" s="142">
        <f t="shared" si="285"/>
        <v>1526.2500000000005</v>
      </c>
      <c r="IK58" s="142">
        <f t="shared" si="285"/>
        <v>1526.2500000000005</v>
      </c>
      <c r="IL58" s="142">
        <f t="shared" si="285"/>
        <v>1526.2500000000005</v>
      </c>
      <c r="IM58" s="142">
        <f t="shared" si="285"/>
        <v>1526.2500000000005</v>
      </c>
      <c r="IN58" s="142">
        <f t="shared" si="285"/>
        <v>1526.2500000000005</v>
      </c>
      <c r="IO58" s="142">
        <f t="shared" si="285"/>
        <v>1526.2500000000005</v>
      </c>
      <c r="IP58" s="142">
        <f t="shared" si="285"/>
        <v>1526.2500000000005</v>
      </c>
      <c r="IQ58" s="141">
        <f>IF(ISBLANK($A58),,IF($AN58="Não",0,(SUM($AO58:AO58)*$AH58)-SUM($HM58:HM58)-SUM($CW58:CW58)))</f>
        <v>18823.750000000004</v>
      </c>
      <c r="IR58" s="141">
        <f>IF(ISBLANK($A58),,IF($AN58="Não",0,(SUM($AO58:AP58)*$AH58)-SUM($HM58:HN58)-SUM($CW58:CX58)))</f>
        <v>17297.500000000004</v>
      </c>
      <c r="IS58" s="141">
        <f>IF(ISBLANK($A58),,IF($AN58="Não",0,(SUM($AO58:AQ58)*$AH58)-SUM($HM58:HO58)-SUM($CW58:CY58)))</f>
        <v>15771.250000000002</v>
      </c>
      <c r="IT58" s="141">
        <f>IF(ISBLANK($A58),,IF($AN58="Não",0,(SUM($AO58:AR58)*$AH58)-SUM($HM58:HP58)-SUM($CW58:CZ58)))</f>
        <v>14245.000000000002</v>
      </c>
      <c r="IU58" s="141">
        <f>IF(ISBLANK($A58),,IF($AN58="Não",0,(SUM($AO58:AS58)*$AH58)-SUM($HM58:HQ58)-SUM($CW58:DA58)))</f>
        <v>12718.750000000002</v>
      </c>
      <c r="IV58" s="141">
        <f>IF(ISBLANK($A58),,IF($AN58="Não",0,(SUM($AO58:AT58)*$AH58)-SUM($HM58:HR58)-SUM($CW58:DB58)))</f>
        <v>11192.500000000002</v>
      </c>
      <c r="IW58" s="141">
        <f>IF(ISBLANK($A58),,IF($AN58="Não",0,(SUM($AO58:AU58)*$AH58)-SUM($HM58:HS58)-SUM($CW58:DC58)))</f>
        <v>9666.2500000000018</v>
      </c>
      <c r="IX58" s="141">
        <f>IF(ISBLANK($A58),,IF($AN58="Não",0,(SUM($AO58:AV58)*$AH58)-SUM($HM58:HT58)-SUM($CW58:DD58)))</f>
        <v>8140.0000000000018</v>
      </c>
      <c r="IY58" s="141">
        <f>IF(ISBLANK($A58),,IF($AN58="Não",0,(SUM($AO58:AW58)*$AH58)-SUM($HM58:HU58)-SUM($CW58:DE58)))</f>
        <v>6613.7500000000018</v>
      </c>
      <c r="IZ58" s="141">
        <f>IF(ISBLANK($A58),,IF($AN58="Não",0,(SUM($AO58:AX58)*$AH58)-SUM($HM58:HV58)-SUM($CW58:DF58)))</f>
        <v>5087.5000000000018</v>
      </c>
      <c r="JA58" s="141">
        <f>IF(ISBLANK($A58),,IF($AN58="Não",0,(SUM($AO58:AY58)*$AH58)-SUM($HM58:HW58)-SUM($CW58:DG58)))</f>
        <v>18823.750000000004</v>
      </c>
      <c r="JB58" s="141">
        <f>IF(ISBLANK($A58),,IF($AN58="Não",0,(SUM($AO58:AZ58)*$AH58)-SUM($HM58:HX58)-SUM($CW58:DH58)))</f>
        <v>17297.500000000004</v>
      </c>
      <c r="JC58" s="141">
        <f>IF(ISBLANK($A58),,IF($AN58="Não",0,(SUM($AO58:BA58)*$AH58)-SUM($HM58:HY58)-SUM($CW58:DI58)))</f>
        <v>15771.250000000004</v>
      </c>
      <c r="JD58" s="141">
        <f>IF(ISBLANK($A58),,IF($AN58="Não",0,(SUM($AO58:BB58)*$AH58)-SUM($HM58:HZ58)-SUM($CW58:DJ58)))</f>
        <v>14245.000000000004</v>
      </c>
      <c r="JE58" s="141">
        <f>IF(ISBLANK($A58),,IF($AN58="Não",0,(SUM($AO58:BC58)*$AH58)-SUM($HM58:IA58)-SUM($CW58:DK58)))</f>
        <v>12718.750000000004</v>
      </c>
      <c r="JF58" s="141">
        <f>IF(ISBLANK($A58),,IF($AN58="Não",0,(SUM($AO58:BD58)*$AH58)-SUM($HM58:IB58)-SUM($CW58:DL58)))</f>
        <v>11192.500000000004</v>
      </c>
      <c r="JG58" s="141">
        <f>IF(ISBLANK($A58),,IF($AN58="Não",0,(SUM($AO58:BE58)*$AH58)-SUM($HM58:IC58)-SUM($CW58:DM58)))</f>
        <v>9666.2500000000036</v>
      </c>
      <c r="JH58" s="141">
        <f>IF(ISBLANK($A58),,IF($AN58="Não",0,(SUM($AO58:BF58)*$AH58)-SUM($HM58:ID58)-SUM($CW58:DN58)))</f>
        <v>8140.0000000000027</v>
      </c>
      <c r="JI58" s="141">
        <f>IF(ISBLANK($A58),,IF($AN58="Não",0,(SUM($AO58:BG58)*$AH58)-SUM($HM58:IE58)-SUM($CW58:DO58)))</f>
        <v>6613.7500000000027</v>
      </c>
      <c r="JJ58" s="141">
        <f>IF(ISBLANK($A58),,IF($AN58="Não",0,(SUM($AO58:BH58)*$AH58)-SUM($HM58:IF58)-SUM($CW58:DP58)))</f>
        <v>5087.5000000000027</v>
      </c>
      <c r="JK58" s="141">
        <f>IF(ISBLANK($A58),,IF($AN58="Não",0,(SUM($AO58:BI58)*$AH58)-SUM($HM58:IG58)-SUM($CW58:DQ58)))</f>
        <v>18823.75</v>
      </c>
      <c r="JL58" s="141">
        <f>IF(ISBLANK($A58),,IF($AN58="Não",0,(SUM($AO58:BJ58)*$AH58)-SUM($HM58:IH58)-SUM($CW58:DR58)))</f>
        <v>17297.5</v>
      </c>
      <c r="JM58" s="141">
        <f>IF(ISBLANK($A58),,IF($AN58="Não",0,(SUM($AO58:BK58)*$AH58)-SUM($HM58:II58)-SUM($CW58:DS58)))</f>
        <v>15771.249999999998</v>
      </c>
      <c r="JN58" s="141">
        <f>IF(ISBLANK($A58),,IF($AN58="Não",0,(SUM($AO58:BL58)*$AH58)-SUM($HM58:IJ58)-SUM($CW58:DT58)))</f>
        <v>14244.999999999998</v>
      </c>
      <c r="JO58" s="141">
        <f>IF(ISBLANK($A58),,IF($AN58="Não",0,(SUM($AO58:BM58)*$AH58)-SUM($HM58:IK58)-SUM($CW58:DU58)))</f>
        <v>12718.749999999998</v>
      </c>
      <c r="JP58" s="141">
        <f>IF(ISBLANK($A58),,IF($AN58="Não",0,(SUM($AO58:BN58)*$AH58)-SUM($HM58:IL58)-SUM($CW58:DV58)))</f>
        <v>11192.499999999998</v>
      </c>
      <c r="JQ58" s="141">
        <f>IF(ISBLANK($A58),,IF($AN58="Não",0,(SUM($AO58:BO58)*$AH58)-SUM($HM58:IM58)-SUM($CW58:DW58)))</f>
        <v>9666.2499999999982</v>
      </c>
      <c r="JR58" s="141">
        <f>IF(ISBLANK($A58),,IF($AN58="Não",0,(SUM($AO58:BP58)*$AH58)-SUM($HM58:IN58)-SUM($CW58:DX58)))</f>
        <v>8139.9999999999982</v>
      </c>
      <c r="JS58" s="141">
        <f>IF(ISBLANK($A58),,IF($AN58="Não",0,(SUM($AO58:BQ58)*$AH58)-SUM($HM58:IO58)-SUM($CW58:DY58)))</f>
        <v>6613.7499999999982</v>
      </c>
      <c r="JT58" s="141">
        <f>IF(ISBLANK($A58),,IF($AN58="Não",0,(SUM($AO58:BR58)*$AH58)-SUM($HM58:IP58)-SUM($CW58:DZ58)))</f>
        <v>5087.4999999999982</v>
      </c>
    </row>
    <row r="59" spans="1:280" ht="15.75" customHeight="1">
      <c r="A59" s="129" t="s">
        <v>352</v>
      </c>
      <c r="B59" s="129" t="s">
        <v>209</v>
      </c>
      <c r="C59" s="138" t="s">
        <v>93</v>
      </c>
      <c r="D59" s="139">
        <v>18</v>
      </c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  <c r="AA59" s="139"/>
      <c r="AB59" s="139"/>
      <c r="AC59" s="139"/>
      <c r="AD59" s="139"/>
      <c r="AE59" s="139"/>
      <c r="AF59" s="139"/>
      <c r="AG59" s="139"/>
      <c r="AH59" s="607">
        <f t="shared" ref="AH59:AH77" si="286">IF(ISBLANK(A59),,VLOOKUP(A59,ListaInvestimentos,3,0)*(1+CorrInvest))</f>
        <v>2372.59</v>
      </c>
      <c r="AI59" s="608">
        <f t="shared" ref="AI59:AI77" si="287">IF(ISBLANK(A59),,VLOOKUP(A59,ListaInvestimentos,4,0))</f>
        <v>30</v>
      </c>
      <c r="AJ59" s="609">
        <f t="shared" ref="AJ59:AJ77" si="288">IF(ISBLANK(A59),,VLOOKUP(A59,ListaInvestimentos,5,0))</f>
        <v>0</v>
      </c>
      <c r="AK59" s="610" t="str">
        <f t="shared" ref="AK59:AK77" si="289">IF(ISBLANK(A59),"",VLOOKUP(A59,ListaInvestimentos,6,0))</f>
        <v>Edificações</v>
      </c>
      <c r="AL59" s="609">
        <f t="shared" ref="AL59:AL77" si="290">IF(ISBLANK(A59),,VLOOKUP(A59,ListaInvestimentos,7,0))</f>
        <v>0.05</v>
      </c>
      <c r="AM59" s="611" t="str">
        <f t="shared" ref="AM59:AM77" si="291">IF(ISBLANK(A59),"",VLOOKUP(A59,ListaInvestimentos,8,0))</f>
        <v>Sim</v>
      </c>
      <c r="AN59" s="611" t="str">
        <f t="shared" ref="AN59:AN77" si="292">IF(ISBLANK(A59),"",VLOOKUP(A59,ListaInvestimentos,9,0))</f>
        <v>Não</v>
      </c>
      <c r="AO59" s="140">
        <f t="array" ref="AO59">IF(ISBLANK($A59),0,IF(OR(AO$5-$AI59&lt;=0,$AM59="Não"),D59,D59+INDEX($AO$6:$BR$176,ROW()-5,COLUMN()-40-$AI59)))*IF($B59="Operacional",IFERROR(VLOOKUP($C59,SN_UGC,28,0),0),1)</f>
        <v>18</v>
      </c>
      <c r="AP59" s="140">
        <f t="array" ref="AP59">IF(ISBLANK($A59),0,IF(OR(AP$5-$AI59&lt;=0,$AM59="Não"),E59,E59+INDEX($AO$6:$BR$176,ROW()-5,COLUMN()-40-$AI59)))*IF($B59="Operacional",IFERROR(VLOOKUP($C59,SN_UGC,28,0),0),1)</f>
        <v>0</v>
      </c>
      <c r="AQ59" s="140">
        <f t="array" ref="AQ59">IF(ISBLANK($A59),0,IF(OR(AQ$5-$AI59&lt;=0,$AM59="Não"),F59,F59+INDEX($AO$6:$BR$176,ROW()-5,COLUMN()-40-$AI59)))*IF($B59="Operacional",IFERROR(VLOOKUP($C59,SN_UGC,28,0),0),1)</f>
        <v>0</v>
      </c>
      <c r="AR59" s="140">
        <f t="array" ref="AR59">IF(ISBLANK($A59),0,IF(OR(AR$5-$AI59&lt;=0,$AM59="Não"),G59,G59+INDEX($AO$6:$BR$176,ROW()-5,COLUMN()-40-$AI59)))*IF($B59="Operacional",IFERROR(VLOOKUP($C59,SN_UGC,28,0),0),1)</f>
        <v>0</v>
      </c>
      <c r="AS59" s="140">
        <f t="array" ref="AS59">IF(ISBLANK($A59),0,IF(OR(AS$5-$AI59&lt;=0,$AM59="Não"),H59,H59+INDEX($AO$6:$BR$176,ROW()-5,COLUMN()-40-$AI59)))*IF($B59="Operacional",IFERROR(VLOOKUP($C59,SN_UGC,28,0),0),1)</f>
        <v>0</v>
      </c>
      <c r="AT59" s="140">
        <f t="array" ref="AT59">IF(ISBLANK($A59),0,IF(OR(AT$5-$AI59&lt;=0,$AM59="Não"),I59,I59+INDEX($AO$6:$BR$176,ROW()-5,COLUMN()-40-$AI59)))*IF($B59="Operacional",IFERROR(VLOOKUP($C59,SN_UGC,28,0),0),1)</f>
        <v>0</v>
      </c>
      <c r="AU59" s="140">
        <f t="array" ref="AU59">IF(ISBLANK($A59),0,IF(OR(AU$5-$AI59&lt;=0,$AM59="Não"),J59,J59+INDEX($AO$6:$BR$176,ROW()-5,COLUMN()-40-$AI59)))*IF($B59="Operacional",IFERROR(VLOOKUP($C59,SN_UGC,28,0),0),1)</f>
        <v>0</v>
      </c>
      <c r="AV59" s="140">
        <f t="array" ref="AV59">IF(ISBLANK($A59),0,IF(OR(AV$5-$AI59&lt;=0,$AM59="Não"),K59,K59+INDEX($AO$6:$BR$176,ROW()-5,COLUMN()-40-$AI59)))*IF($B59="Operacional",IFERROR(VLOOKUP($C59,SN_UGC,28,0),0),1)</f>
        <v>0</v>
      </c>
      <c r="AW59" s="140">
        <f t="array" ref="AW59">IF(ISBLANK($A59),0,IF(OR(AW$5-$AI59&lt;=0,$AM59="Não"),L59,L59+INDEX($AO$6:$BR$176,ROW()-5,COLUMN()-40-$AI59)))*IF($B59="Operacional",IFERROR(VLOOKUP($C59,SN_UGC,28,0),0),1)</f>
        <v>0</v>
      </c>
      <c r="AX59" s="140">
        <f t="array" ref="AX59">IF(ISBLANK($A59),0,IF(OR(AX$5-$AI59&lt;=0,$AM59="Não"),M59,M59+INDEX($AO$6:$BR$176,ROW()-5,COLUMN()-40-$AI59)))*IF($B59="Operacional",IFERROR(VLOOKUP($C59,SN_UGC,28,0),0),1)</f>
        <v>0</v>
      </c>
      <c r="AY59" s="140">
        <f t="array" ref="AY59">IF(ISBLANK($A59),0,IF(OR(AY$5-$AI59&lt;=0,$AM59="Não"),N59,N59+INDEX($AO$6:$BR$176,ROW()-5,COLUMN()-40-$AI59)))*IF($B59="Operacional",IFERROR(VLOOKUP($C59,SN_UGC,28,0),0),1)</f>
        <v>0</v>
      </c>
      <c r="AZ59" s="140">
        <f t="array" ref="AZ59">IF(ISBLANK($A59),0,IF(OR(AZ$5-$AI59&lt;=0,$AM59="Não"),O59,O59+INDEX($AO$6:$BR$176,ROW()-5,COLUMN()-40-$AI59)))*IF($B59="Operacional",IFERROR(VLOOKUP($C59,SN_UGC,28,0),0),1)</f>
        <v>0</v>
      </c>
      <c r="BA59" s="140">
        <f t="array" ref="BA59">IF(ISBLANK($A59),0,IF(OR(BA$5-$AI59&lt;=0,$AM59="Não"),P59,P59+INDEX($AO$6:$BR$176,ROW()-5,COLUMN()-40-$AI59)))*IF($B59="Operacional",IFERROR(VLOOKUP($C59,SN_UGC,28,0),0),1)</f>
        <v>0</v>
      </c>
      <c r="BB59" s="140">
        <f t="array" ref="BB59">IF(ISBLANK($A59),0,IF(OR(BB$5-$AI59&lt;=0,$AM59="Não"),Q59,Q59+INDEX($AO$6:$BR$176,ROW()-5,COLUMN()-40-$AI59)))*IF($B59="Operacional",IFERROR(VLOOKUP($C59,SN_UGC,28,0),0),1)</f>
        <v>0</v>
      </c>
      <c r="BC59" s="140">
        <f t="array" ref="BC59">IF(ISBLANK($A59),0,IF(OR(BC$5-$AI59&lt;=0,$AM59="Não"),R59,R59+INDEX($AO$6:$BR$176,ROW()-5,COLUMN()-40-$AI59)))*IF($B59="Operacional",IFERROR(VLOOKUP($C59,SN_UGC,28,0),0),1)</f>
        <v>0</v>
      </c>
      <c r="BD59" s="140">
        <f t="array" ref="BD59">IF(ISBLANK($A59),0,IF(OR(BD$5-$AI59&lt;=0,$AM59="Não"),S59,S59+INDEX($AO$6:$BR$176,ROW()-5,COLUMN()-40-$AI59)))*IF($B59="Operacional",IFERROR(VLOOKUP($C59,SN_UGC,28,0),0),1)</f>
        <v>0</v>
      </c>
      <c r="BE59" s="140">
        <f t="array" ref="BE59">IF(ISBLANK($A59),0,IF(OR(BE$5-$AI59&lt;=0,$AM59="Não"),T59,T59+INDEX($AO$6:$BR$176,ROW()-5,COLUMN()-40-$AI59)))*IF($B59="Operacional",IFERROR(VLOOKUP($C59,SN_UGC,28,0),0),1)</f>
        <v>0</v>
      </c>
      <c r="BF59" s="140">
        <f t="array" ref="BF59">IF(ISBLANK($A59),0,IF(OR(BF$5-$AI59&lt;=0,$AM59="Não"),U59,U59+INDEX($AO$6:$BR$176,ROW()-5,COLUMN()-40-$AI59)))*IF($B59="Operacional",IFERROR(VLOOKUP($C59,SN_UGC,28,0),0),1)</f>
        <v>0</v>
      </c>
      <c r="BG59" s="140">
        <f t="array" ref="BG59">IF(ISBLANK($A59),0,IF(OR(BG$5-$AI59&lt;=0,$AM59="Não"),V59,V59+INDEX($AO$6:$BR$176,ROW()-5,COLUMN()-40-$AI59)))*IF($B59="Operacional",IFERROR(VLOOKUP($C59,SN_UGC,28,0),0),1)</f>
        <v>0</v>
      </c>
      <c r="BH59" s="140">
        <f t="array" ref="BH59">IF(ISBLANK($A59),0,IF(OR(BH$5-$AI59&lt;=0,$AM59="Não"),W59,W59+INDEX($AO$6:$BR$176,ROW()-5,COLUMN()-40-$AI59)))*IF($B59="Operacional",IFERROR(VLOOKUP($C59,SN_UGC,28,0),0),1)</f>
        <v>0</v>
      </c>
      <c r="BI59" s="140">
        <f t="array" ref="BI59">IF(ISBLANK($A59),0,IF(OR(BI$5-$AI59&lt;=0,$AM59="Não"),X59,X59+INDEX($AO$6:$BR$176,ROW()-5,COLUMN()-40-$AI59)))*IF($B59="Operacional",IFERROR(VLOOKUP($C59,SN_UGC,28,0),0),1)</f>
        <v>0</v>
      </c>
      <c r="BJ59" s="140">
        <f t="array" ref="BJ59">IF(ISBLANK($A59),0,IF(OR(BJ$5-$AI59&lt;=0,$AM59="Não"),Y59,Y59+INDEX($AO$6:$BR$176,ROW()-5,COLUMN()-40-$AI59)))*IF($B59="Operacional",IFERROR(VLOOKUP($C59,SN_UGC,28,0),0),1)</f>
        <v>0</v>
      </c>
      <c r="BK59" s="140">
        <f t="array" ref="BK59">IF(ISBLANK($A59),0,IF(OR(BK$5-$AI59&lt;=0,$AM59="Não"),Z59,Z59+INDEX($AO$6:$BR$176,ROW()-5,COLUMN()-40-$AI59)))*IF($B59="Operacional",IFERROR(VLOOKUP($C59,SN_UGC,28,0),0),1)</f>
        <v>0</v>
      </c>
      <c r="BL59" s="140">
        <f t="array" ref="BL59">IF(ISBLANK($A59),0,IF(OR(BL$5-$AI59&lt;=0,$AM59="Não"),AA59,AA59+INDEX($AO$6:$BR$176,ROW()-5,COLUMN()-40-$AI59)))*IF($B59="Operacional",IFERROR(VLOOKUP($C59,SN_UGC,28,0),0),1)</f>
        <v>0</v>
      </c>
      <c r="BM59" s="140">
        <f t="array" ref="BM59">IF(ISBLANK($A59),0,IF(OR(BM$5-$AI59&lt;=0,$AM59="Não"),AB59,AB59+INDEX($AO$6:$BR$176,ROW()-5,COLUMN()-40-$AI59)))*IF($B59="Operacional",IFERROR(VLOOKUP($C59,SN_UGC,28,0),0),1)</f>
        <v>0</v>
      </c>
      <c r="BN59" s="140">
        <f t="array" ref="BN59">IF(ISBLANK($A59),0,IF(OR(BN$5-$AI59&lt;=0,$AM59="Não"),AC59,AC59+INDEX($AO$6:$BR$176,ROW()-5,COLUMN()-40-$AI59)))*IF($B59="Operacional",IFERROR(VLOOKUP($C59,SN_UGC,28,0),0),1)</f>
        <v>0</v>
      </c>
      <c r="BO59" s="140">
        <f t="array" ref="BO59">IF(ISBLANK($A59),0,IF(OR(BO$5-$AI59&lt;=0,$AM59="Não"),AD59,AD59+INDEX($AO$6:$BR$176,ROW()-5,COLUMN()-40-$AI59)))*IF($B59="Operacional",IFERROR(VLOOKUP($C59,SN_UGC,28,0),0),1)</f>
        <v>0</v>
      </c>
      <c r="BP59" s="140">
        <f t="array" ref="BP59">IF(ISBLANK($A59),0,IF(OR(BP$5-$AI59&lt;=0,$AM59="Não"),AE59,AE59+INDEX($AO$6:$BR$176,ROW()-5,COLUMN()-40-$AI59)))*IF($B59="Operacional",IFERROR(VLOOKUP($C59,SN_UGC,28,0),0),1)</f>
        <v>0</v>
      </c>
      <c r="BQ59" s="140">
        <f t="array" ref="BQ59">IF(ISBLANK($A59),0,IF(OR(BQ$5-$AI59&lt;=0,$AM59="Não"),AF59,AF59+INDEX($AO$6:$BR$176,ROW()-5,COLUMN()-40-$AI59)))*IF($B59="Operacional",IFERROR(VLOOKUP($C59,SN_UGC,28,0),0),1)</f>
        <v>0</v>
      </c>
      <c r="BR59" s="140">
        <f t="array" ref="BR59">IF(ISBLANK($A59),0,IF(OR(BR$5-$AI59&lt;=0,$AM59="Não"),AG59,AG59+INDEX($AO$6:$BR$176,ROW()-5,COLUMN()-40-$AI59)))*IF($B59="Operacional",IFERROR(VLOOKUP($C59,SN_UGC,28,0),0),1)</f>
        <v>0</v>
      </c>
      <c r="BS59" s="141">
        <f t="shared" ref="BS59:CV59" si="293">IF(ISBLANK($A59),0,$AH59*AO59)</f>
        <v>42706.62</v>
      </c>
      <c r="BT59" s="141">
        <f t="shared" si="293"/>
        <v>0</v>
      </c>
      <c r="BU59" s="141">
        <f t="shared" si="293"/>
        <v>0</v>
      </c>
      <c r="BV59" s="141">
        <f t="shared" si="293"/>
        <v>0</v>
      </c>
      <c r="BW59" s="141">
        <f t="shared" si="293"/>
        <v>0</v>
      </c>
      <c r="BX59" s="141">
        <f t="shared" si="293"/>
        <v>0</v>
      </c>
      <c r="BY59" s="141">
        <f t="shared" si="293"/>
        <v>0</v>
      </c>
      <c r="BZ59" s="141">
        <f t="shared" si="293"/>
        <v>0</v>
      </c>
      <c r="CA59" s="141">
        <f t="shared" si="293"/>
        <v>0</v>
      </c>
      <c r="CB59" s="141">
        <f t="shared" si="293"/>
        <v>0</v>
      </c>
      <c r="CC59" s="141">
        <f t="shared" si="293"/>
        <v>0</v>
      </c>
      <c r="CD59" s="141">
        <f t="shared" si="293"/>
        <v>0</v>
      </c>
      <c r="CE59" s="141">
        <f t="shared" si="293"/>
        <v>0</v>
      </c>
      <c r="CF59" s="141">
        <f t="shared" si="293"/>
        <v>0</v>
      </c>
      <c r="CG59" s="141">
        <f t="shared" si="293"/>
        <v>0</v>
      </c>
      <c r="CH59" s="141">
        <f t="shared" si="293"/>
        <v>0</v>
      </c>
      <c r="CI59" s="141">
        <f t="shared" si="293"/>
        <v>0</v>
      </c>
      <c r="CJ59" s="141">
        <f t="shared" si="293"/>
        <v>0</v>
      </c>
      <c r="CK59" s="141">
        <f t="shared" si="293"/>
        <v>0</v>
      </c>
      <c r="CL59" s="141">
        <f t="shared" si="293"/>
        <v>0</v>
      </c>
      <c r="CM59" s="141">
        <f t="shared" si="293"/>
        <v>0</v>
      </c>
      <c r="CN59" s="141">
        <f t="shared" si="293"/>
        <v>0</v>
      </c>
      <c r="CO59" s="141">
        <f t="shared" si="293"/>
        <v>0</v>
      </c>
      <c r="CP59" s="141">
        <f t="shared" si="293"/>
        <v>0</v>
      </c>
      <c r="CQ59" s="141">
        <f t="shared" si="293"/>
        <v>0</v>
      </c>
      <c r="CR59" s="141">
        <f t="shared" si="293"/>
        <v>0</v>
      </c>
      <c r="CS59" s="141">
        <f t="shared" si="293"/>
        <v>0</v>
      </c>
      <c r="CT59" s="141">
        <f t="shared" si="293"/>
        <v>0</v>
      </c>
      <c r="CU59" s="141">
        <f t="shared" si="293"/>
        <v>0</v>
      </c>
      <c r="CV59" s="141">
        <f t="shared" si="293"/>
        <v>0</v>
      </c>
      <c r="CW59" s="142">
        <f t="shared" ref="CW59:DZ59" si="294">EA59*$AH59*$AJ59</f>
        <v>0</v>
      </c>
      <c r="CX59" s="142">
        <f t="shared" si="294"/>
        <v>0</v>
      </c>
      <c r="CY59" s="142">
        <f t="shared" si="294"/>
        <v>0</v>
      </c>
      <c r="CZ59" s="142">
        <f t="shared" si="294"/>
        <v>0</v>
      </c>
      <c r="DA59" s="142">
        <f t="shared" si="294"/>
        <v>0</v>
      </c>
      <c r="DB59" s="142">
        <f t="shared" si="294"/>
        <v>0</v>
      </c>
      <c r="DC59" s="142">
        <f t="shared" si="294"/>
        <v>0</v>
      </c>
      <c r="DD59" s="142">
        <f t="shared" si="294"/>
        <v>0</v>
      </c>
      <c r="DE59" s="142">
        <f t="shared" si="294"/>
        <v>0</v>
      </c>
      <c r="DF59" s="142">
        <f t="shared" si="294"/>
        <v>0</v>
      </c>
      <c r="DG59" s="142">
        <f t="shared" si="294"/>
        <v>0</v>
      </c>
      <c r="DH59" s="142">
        <f t="shared" si="294"/>
        <v>0</v>
      </c>
      <c r="DI59" s="142">
        <f t="shared" si="294"/>
        <v>0</v>
      </c>
      <c r="DJ59" s="142">
        <f t="shared" si="294"/>
        <v>0</v>
      </c>
      <c r="DK59" s="142">
        <f t="shared" si="294"/>
        <v>0</v>
      </c>
      <c r="DL59" s="142">
        <f t="shared" si="294"/>
        <v>0</v>
      </c>
      <c r="DM59" s="142">
        <f t="shared" si="294"/>
        <v>0</v>
      </c>
      <c r="DN59" s="142">
        <f t="shared" si="294"/>
        <v>0</v>
      </c>
      <c r="DO59" s="142">
        <f t="shared" si="294"/>
        <v>0</v>
      </c>
      <c r="DP59" s="142">
        <f t="shared" si="294"/>
        <v>0</v>
      </c>
      <c r="DQ59" s="142">
        <f t="shared" si="294"/>
        <v>0</v>
      </c>
      <c r="DR59" s="142">
        <f t="shared" si="294"/>
        <v>0</v>
      </c>
      <c r="DS59" s="142">
        <f t="shared" si="294"/>
        <v>0</v>
      </c>
      <c r="DT59" s="142">
        <f t="shared" si="294"/>
        <v>0</v>
      </c>
      <c r="DU59" s="142">
        <f t="shared" si="294"/>
        <v>0</v>
      </c>
      <c r="DV59" s="142">
        <f t="shared" si="294"/>
        <v>0</v>
      </c>
      <c r="DW59" s="142">
        <f t="shared" si="294"/>
        <v>0</v>
      </c>
      <c r="DX59" s="142">
        <f t="shared" si="294"/>
        <v>0</v>
      </c>
      <c r="DY59" s="142">
        <f t="shared" si="294"/>
        <v>0</v>
      </c>
      <c r="DZ59" s="142">
        <f t="shared" si="294"/>
        <v>0</v>
      </c>
      <c r="EA59" s="143">
        <f t="shared" si="174"/>
        <v>0</v>
      </c>
      <c r="EB59" s="143">
        <f t="shared" si="175"/>
        <v>0</v>
      </c>
      <c r="EC59" s="143">
        <f t="shared" si="176"/>
        <v>0</v>
      </c>
      <c r="ED59" s="143">
        <f t="shared" si="177"/>
        <v>0</v>
      </c>
      <c r="EE59" s="143">
        <f t="shared" si="178"/>
        <v>0</v>
      </c>
      <c r="EF59" s="143">
        <f t="shared" si="179"/>
        <v>0</v>
      </c>
      <c r="EG59" s="143">
        <f t="shared" si="180"/>
        <v>0</v>
      </c>
      <c r="EH59" s="143">
        <f t="shared" si="181"/>
        <v>0</v>
      </c>
      <c r="EI59" s="143">
        <f t="shared" si="182"/>
        <v>0</v>
      </c>
      <c r="EJ59" s="143">
        <f t="shared" si="183"/>
        <v>0</v>
      </c>
      <c r="EK59" s="143">
        <f t="shared" si="184"/>
        <v>0</v>
      </c>
      <c r="EL59" s="143">
        <f t="shared" si="185"/>
        <v>0</v>
      </c>
      <c r="EM59" s="143">
        <f t="shared" si="186"/>
        <v>0</v>
      </c>
      <c r="EN59" s="143">
        <f t="shared" si="187"/>
        <v>0</v>
      </c>
      <c r="EO59" s="143">
        <f t="shared" si="188"/>
        <v>0</v>
      </c>
      <c r="EP59" s="143">
        <f t="shared" si="189"/>
        <v>0</v>
      </c>
      <c r="EQ59" s="143">
        <f t="shared" si="190"/>
        <v>0</v>
      </c>
      <c r="ER59" s="143">
        <f t="shared" si="191"/>
        <v>0</v>
      </c>
      <c r="ES59" s="143">
        <f t="shared" si="192"/>
        <v>0</v>
      </c>
      <c r="ET59" s="143">
        <f t="shared" si="193"/>
        <v>0</v>
      </c>
      <c r="EU59" s="143">
        <f t="shared" si="194"/>
        <v>0</v>
      </c>
      <c r="EV59" s="143">
        <f t="shared" si="195"/>
        <v>0</v>
      </c>
      <c r="EW59" s="143">
        <f t="shared" si="196"/>
        <v>0</v>
      </c>
      <c r="EX59" s="143">
        <f t="shared" si="197"/>
        <v>0</v>
      </c>
      <c r="EY59" s="143">
        <f t="shared" si="198"/>
        <v>0</v>
      </c>
      <c r="EZ59" s="143">
        <f t="shared" si="199"/>
        <v>0</v>
      </c>
      <c r="FA59" s="143">
        <f t="shared" si="200"/>
        <v>0</v>
      </c>
      <c r="FB59" s="143">
        <f t="shared" si="201"/>
        <v>0</v>
      </c>
      <c r="FC59" s="143">
        <f t="shared" si="202"/>
        <v>0</v>
      </c>
      <c r="FD59" s="143">
        <f t="shared" si="203"/>
        <v>0</v>
      </c>
      <c r="FE59" s="140">
        <f>SUM($D59:D59)*IF($B59="Operacional",IFERROR(VLOOKUP($C59,SN_UGC,28,0),0),1)</f>
        <v>18</v>
      </c>
      <c r="FF59" s="140">
        <f>SUM($D59:E59)*IF($B59="Operacional",IFERROR(VLOOKUP($C59,SN_UGC,28,0),0),1)</f>
        <v>18</v>
      </c>
      <c r="FG59" s="140">
        <f>SUM($D59:F59)*IF($B59="Operacional",IFERROR(VLOOKUP($C59,SN_UGC,28,0),0),1)</f>
        <v>18</v>
      </c>
      <c r="FH59" s="140">
        <f>SUM($D59:G59)*IF($B59="Operacional",IFERROR(VLOOKUP($C59,SN_UGC,28,0),0),1)</f>
        <v>18</v>
      </c>
      <c r="FI59" s="140">
        <f>SUM($D59:H59)*IF($B59="Operacional",IFERROR(VLOOKUP($C59,SN_UGC,28,0),0),1)</f>
        <v>18</v>
      </c>
      <c r="FJ59" s="140">
        <f>SUM($D59:I59)*IF($B59="Operacional",IFERROR(VLOOKUP($C59,SN_UGC,28,0),0),1)</f>
        <v>18</v>
      </c>
      <c r="FK59" s="140">
        <f>SUM($D59:J59)*IF($B59="Operacional",IFERROR(VLOOKUP($C59,SN_UGC,28,0),0),1)</f>
        <v>18</v>
      </c>
      <c r="FL59" s="140">
        <f>SUM($D59:K59)*IF($B59="Operacional",IFERROR(VLOOKUP($C59,SN_UGC,28,0),0),1)</f>
        <v>18</v>
      </c>
      <c r="FM59" s="140">
        <f>SUM($D59:L59)*IF($B59="Operacional",IFERROR(VLOOKUP($C59,SN_UGC,28,0),0),1)</f>
        <v>18</v>
      </c>
      <c r="FN59" s="140">
        <f>SUM($D59:M59)*IF($B59="Operacional",IFERROR(VLOOKUP($C59,SN_UGC,28,0),0),1)</f>
        <v>18</v>
      </c>
      <c r="FO59" s="140">
        <f>SUM($D59:N59)*IF($B59="Operacional",IFERROR(VLOOKUP($C59,SN_UGC,28,0),0),1)</f>
        <v>18</v>
      </c>
      <c r="FP59" s="140">
        <f>SUM($D59:O59)*IF($B59="Operacional",IFERROR(VLOOKUP($C59,SN_UGC,28,0),0),1)</f>
        <v>18</v>
      </c>
      <c r="FQ59" s="140">
        <f>SUM($D59:P59)*IF($B59="Operacional",IFERROR(VLOOKUP($C59,SN_UGC,28,0),0),1)</f>
        <v>18</v>
      </c>
      <c r="FR59" s="140">
        <f>SUM($D59:Q59)*IF($B59="Operacional",IFERROR(VLOOKUP($C59,SN_UGC,28,0),0),1)</f>
        <v>18</v>
      </c>
      <c r="FS59" s="140">
        <f>SUM($D59:R59)*IF($B59="Operacional",IFERROR(VLOOKUP($C59,SN_UGC,28,0),0),1)</f>
        <v>18</v>
      </c>
      <c r="FT59" s="140">
        <f>SUM($D59:S59)*IF($B59="Operacional",IFERROR(VLOOKUP($C59,SN_UGC,28,0),0),1)</f>
        <v>18</v>
      </c>
      <c r="FU59" s="140">
        <f>SUM($D59:T59)*IF($B59="Operacional",IFERROR(VLOOKUP($C59,SN_UGC,28,0),0),1)</f>
        <v>18</v>
      </c>
      <c r="FV59" s="140">
        <f>SUM($D59:U59)*IF($B59="Operacional",IFERROR(VLOOKUP($C59,SN_UGC,28,0),0),1)</f>
        <v>18</v>
      </c>
      <c r="FW59" s="140">
        <f>SUM($D59:V59)*IF($B59="Operacional",IFERROR(VLOOKUP($C59,SN_UGC,28,0),0),1)</f>
        <v>18</v>
      </c>
      <c r="FX59" s="140">
        <f>SUM($D59:W59)*IF($B59="Operacional",IFERROR(VLOOKUP($C59,SN_UGC,28,0),0),1)</f>
        <v>18</v>
      </c>
      <c r="FY59" s="140">
        <f>SUM($D59:X59)*IF($B59="Operacional",IFERROR(VLOOKUP($C59,SN_UGC,28,0),0),1)</f>
        <v>18</v>
      </c>
      <c r="FZ59" s="140">
        <f>SUM($D59:Y59)*IF($B59="Operacional",IFERROR(VLOOKUP($C59,SN_UGC,28,0),0),1)</f>
        <v>18</v>
      </c>
      <c r="GA59" s="140">
        <f>SUM($D59:Z59)*IF($B59="Operacional",IFERROR(VLOOKUP($C59,SN_UGC,28,0),0),1)</f>
        <v>18</v>
      </c>
      <c r="GB59" s="140">
        <f>SUM($D59:AA59)*IF($B59="Operacional",IFERROR(VLOOKUP($C59,SN_UGC,28,0),0),1)</f>
        <v>18</v>
      </c>
      <c r="GC59" s="140">
        <f>SUM($D59:AB59)*IF($B59="Operacional",IFERROR(VLOOKUP($C59,SN_UGC,28,0),0),1)</f>
        <v>18</v>
      </c>
      <c r="GD59" s="140">
        <f>SUM($D59:AC59)*IF($B59="Operacional",IFERROR(VLOOKUP($C59,SN_UGC,28,0),0),1)</f>
        <v>18</v>
      </c>
      <c r="GE59" s="140">
        <f>SUM($D59:AD59)*IF($B59="Operacional",IFERROR(VLOOKUP($C59,SN_UGC,28,0),0),1)</f>
        <v>18</v>
      </c>
      <c r="GF59" s="140">
        <f>SUM($D59:AE59)*IF($B59="Operacional",IFERROR(VLOOKUP($C59,SN_UGC,28,0),0),1)</f>
        <v>18</v>
      </c>
      <c r="GG59" s="140">
        <f>SUM($D59:AF59)*IF($B59="Operacional",IFERROR(VLOOKUP($C59,SN_UGC,28,0),0),1)</f>
        <v>18</v>
      </c>
      <c r="GH59" s="140">
        <f>SUM($D59:AG59)*IF($B59="Operacional",IFERROR(VLOOKUP($C59,SN_UGC,28,0),0),1)</f>
        <v>18</v>
      </c>
      <c r="GI59" s="141">
        <f t="shared" ref="GI59:HL59" si="295">FE59*$AH59*$AL59</f>
        <v>2135.3310000000001</v>
      </c>
      <c r="GJ59" s="141">
        <f t="shared" si="295"/>
        <v>2135.3310000000001</v>
      </c>
      <c r="GK59" s="141">
        <f t="shared" si="295"/>
        <v>2135.3310000000001</v>
      </c>
      <c r="GL59" s="141">
        <f t="shared" si="295"/>
        <v>2135.3310000000001</v>
      </c>
      <c r="GM59" s="141">
        <f t="shared" si="295"/>
        <v>2135.3310000000001</v>
      </c>
      <c r="GN59" s="141">
        <f t="shared" si="295"/>
        <v>2135.3310000000001</v>
      </c>
      <c r="GO59" s="141">
        <f t="shared" si="295"/>
        <v>2135.3310000000001</v>
      </c>
      <c r="GP59" s="141">
        <f t="shared" si="295"/>
        <v>2135.3310000000001</v>
      </c>
      <c r="GQ59" s="141">
        <f t="shared" si="295"/>
        <v>2135.3310000000001</v>
      </c>
      <c r="GR59" s="141">
        <f t="shared" si="295"/>
        <v>2135.3310000000001</v>
      </c>
      <c r="GS59" s="141">
        <f t="shared" si="295"/>
        <v>2135.3310000000001</v>
      </c>
      <c r="GT59" s="141">
        <f t="shared" si="295"/>
        <v>2135.3310000000001</v>
      </c>
      <c r="GU59" s="141">
        <f t="shared" si="295"/>
        <v>2135.3310000000001</v>
      </c>
      <c r="GV59" s="141">
        <f t="shared" si="295"/>
        <v>2135.3310000000001</v>
      </c>
      <c r="GW59" s="141">
        <f t="shared" si="295"/>
        <v>2135.3310000000001</v>
      </c>
      <c r="GX59" s="141">
        <f t="shared" si="295"/>
        <v>2135.3310000000001</v>
      </c>
      <c r="GY59" s="141">
        <f t="shared" si="295"/>
        <v>2135.3310000000001</v>
      </c>
      <c r="GZ59" s="141">
        <f t="shared" si="295"/>
        <v>2135.3310000000001</v>
      </c>
      <c r="HA59" s="141">
        <f t="shared" si="295"/>
        <v>2135.3310000000001</v>
      </c>
      <c r="HB59" s="141">
        <f t="shared" si="295"/>
        <v>2135.3310000000001</v>
      </c>
      <c r="HC59" s="141">
        <f t="shared" si="295"/>
        <v>2135.3310000000001</v>
      </c>
      <c r="HD59" s="141">
        <f t="shared" si="295"/>
        <v>2135.3310000000001</v>
      </c>
      <c r="HE59" s="141">
        <f t="shared" si="295"/>
        <v>2135.3310000000001</v>
      </c>
      <c r="HF59" s="141">
        <f t="shared" si="295"/>
        <v>2135.3310000000001</v>
      </c>
      <c r="HG59" s="141">
        <f t="shared" si="295"/>
        <v>2135.3310000000001</v>
      </c>
      <c r="HH59" s="141">
        <f t="shared" si="295"/>
        <v>2135.3310000000001</v>
      </c>
      <c r="HI59" s="141">
        <f t="shared" si="295"/>
        <v>2135.3310000000001</v>
      </c>
      <c r="HJ59" s="141">
        <f t="shared" si="295"/>
        <v>2135.3310000000001</v>
      </c>
      <c r="HK59" s="141">
        <f t="shared" si="295"/>
        <v>2135.3310000000001</v>
      </c>
      <c r="HL59" s="141">
        <f t="shared" si="295"/>
        <v>2135.3310000000001</v>
      </c>
      <c r="HM59" s="142">
        <f t="shared" ref="HM59:IP59" si="296">IF(ISBLANK($A59),,FE59*($AH59-($AH59*$AJ59))/$AI59)</f>
        <v>1423.5540000000001</v>
      </c>
      <c r="HN59" s="142">
        <f t="shared" si="296"/>
        <v>1423.5540000000001</v>
      </c>
      <c r="HO59" s="142">
        <f t="shared" si="296"/>
        <v>1423.5540000000001</v>
      </c>
      <c r="HP59" s="142">
        <f t="shared" si="296"/>
        <v>1423.5540000000001</v>
      </c>
      <c r="HQ59" s="142">
        <f t="shared" si="296"/>
        <v>1423.5540000000001</v>
      </c>
      <c r="HR59" s="142">
        <f t="shared" si="296"/>
        <v>1423.5540000000001</v>
      </c>
      <c r="HS59" s="142">
        <f t="shared" si="296"/>
        <v>1423.5540000000001</v>
      </c>
      <c r="HT59" s="142">
        <f t="shared" si="296"/>
        <v>1423.5540000000001</v>
      </c>
      <c r="HU59" s="142">
        <f t="shared" si="296"/>
        <v>1423.5540000000001</v>
      </c>
      <c r="HV59" s="142">
        <f t="shared" si="296"/>
        <v>1423.5540000000001</v>
      </c>
      <c r="HW59" s="142">
        <f t="shared" si="296"/>
        <v>1423.5540000000001</v>
      </c>
      <c r="HX59" s="142">
        <f t="shared" si="296"/>
        <v>1423.5540000000001</v>
      </c>
      <c r="HY59" s="142">
        <f t="shared" si="296"/>
        <v>1423.5540000000001</v>
      </c>
      <c r="HZ59" s="142">
        <f t="shared" si="296"/>
        <v>1423.5540000000001</v>
      </c>
      <c r="IA59" s="142">
        <f t="shared" si="296"/>
        <v>1423.5540000000001</v>
      </c>
      <c r="IB59" s="142">
        <f t="shared" si="296"/>
        <v>1423.5540000000001</v>
      </c>
      <c r="IC59" s="142">
        <f t="shared" si="296"/>
        <v>1423.5540000000001</v>
      </c>
      <c r="ID59" s="142">
        <f t="shared" si="296"/>
        <v>1423.5540000000001</v>
      </c>
      <c r="IE59" s="142">
        <f t="shared" si="296"/>
        <v>1423.5540000000001</v>
      </c>
      <c r="IF59" s="142">
        <f t="shared" si="296"/>
        <v>1423.5540000000001</v>
      </c>
      <c r="IG59" s="142">
        <f t="shared" si="296"/>
        <v>1423.5540000000001</v>
      </c>
      <c r="IH59" s="142">
        <f t="shared" si="296"/>
        <v>1423.5540000000001</v>
      </c>
      <c r="II59" s="142">
        <f t="shared" si="296"/>
        <v>1423.5540000000001</v>
      </c>
      <c r="IJ59" s="142">
        <f t="shared" si="296"/>
        <v>1423.5540000000001</v>
      </c>
      <c r="IK59" s="142">
        <f t="shared" si="296"/>
        <v>1423.5540000000001</v>
      </c>
      <c r="IL59" s="142">
        <f t="shared" si="296"/>
        <v>1423.5540000000001</v>
      </c>
      <c r="IM59" s="142">
        <f t="shared" si="296"/>
        <v>1423.5540000000001</v>
      </c>
      <c r="IN59" s="142">
        <f t="shared" si="296"/>
        <v>1423.5540000000001</v>
      </c>
      <c r="IO59" s="142">
        <f t="shared" si="296"/>
        <v>1423.5540000000001</v>
      </c>
      <c r="IP59" s="142">
        <f t="shared" si="296"/>
        <v>1423.5540000000001</v>
      </c>
      <c r="IQ59" s="141">
        <f>IF(ISBLANK($A59),,IF($AN59="Não",0,(SUM($AO59:AO59)*$AH59)-SUM($HM59:HM59)-SUM($CW59:CW59)))</f>
        <v>0</v>
      </c>
      <c r="IR59" s="141">
        <f>IF(ISBLANK($A59),,IF($AN59="Não",0,(SUM($AO59:AP59)*$AH59)-SUM($HM59:HN59)-SUM($CW59:CX59)))</f>
        <v>0</v>
      </c>
      <c r="IS59" s="141">
        <f>IF(ISBLANK($A59),,IF($AN59="Não",0,(SUM($AO59:AQ59)*$AH59)-SUM($HM59:HO59)-SUM($CW59:CY59)))</f>
        <v>0</v>
      </c>
      <c r="IT59" s="141">
        <f>IF(ISBLANK($A59),,IF($AN59="Não",0,(SUM($AO59:AR59)*$AH59)-SUM($HM59:HP59)-SUM($CW59:CZ59)))</f>
        <v>0</v>
      </c>
      <c r="IU59" s="141">
        <f>IF(ISBLANK($A59),,IF($AN59="Não",0,(SUM($AO59:AS59)*$AH59)-SUM($HM59:HQ59)-SUM($CW59:DA59)))</f>
        <v>0</v>
      </c>
      <c r="IV59" s="141">
        <f>IF(ISBLANK($A59),,IF($AN59="Não",0,(SUM($AO59:AT59)*$AH59)-SUM($HM59:HR59)-SUM($CW59:DB59)))</f>
        <v>0</v>
      </c>
      <c r="IW59" s="141">
        <f>IF(ISBLANK($A59),,IF($AN59="Não",0,(SUM($AO59:AU59)*$AH59)-SUM($HM59:HS59)-SUM($CW59:DC59)))</f>
        <v>0</v>
      </c>
      <c r="IX59" s="141">
        <f>IF(ISBLANK($A59),,IF($AN59="Não",0,(SUM($AO59:AV59)*$AH59)-SUM($HM59:HT59)-SUM($CW59:DD59)))</f>
        <v>0</v>
      </c>
      <c r="IY59" s="141">
        <f>IF(ISBLANK($A59),,IF($AN59="Não",0,(SUM($AO59:AW59)*$AH59)-SUM($HM59:HU59)-SUM($CW59:DE59)))</f>
        <v>0</v>
      </c>
      <c r="IZ59" s="141">
        <f>IF(ISBLANK($A59),,IF($AN59="Não",0,(SUM($AO59:AX59)*$AH59)-SUM($HM59:HV59)-SUM($CW59:DF59)))</f>
        <v>0</v>
      </c>
      <c r="JA59" s="141">
        <f>IF(ISBLANK($A59),,IF($AN59="Não",0,(SUM($AO59:AY59)*$AH59)-SUM($HM59:HW59)-SUM($CW59:DG59)))</f>
        <v>0</v>
      </c>
      <c r="JB59" s="141">
        <f>IF(ISBLANK($A59),,IF($AN59="Não",0,(SUM($AO59:AZ59)*$AH59)-SUM($HM59:HX59)-SUM($CW59:DH59)))</f>
        <v>0</v>
      </c>
      <c r="JC59" s="141">
        <f>IF(ISBLANK($A59),,IF($AN59="Não",0,(SUM($AO59:BA59)*$AH59)-SUM($HM59:HY59)-SUM($CW59:DI59)))</f>
        <v>0</v>
      </c>
      <c r="JD59" s="141">
        <f>IF(ISBLANK($A59),,IF($AN59="Não",0,(SUM($AO59:BB59)*$AH59)-SUM($HM59:HZ59)-SUM($CW59:DJ59)))</f>
        <v>0</v>
      </c>
      <c r="JE59" s="141">
        <f>IF(ISBLANK($A59),,IF($AN59="Não",0,(SUM($AO59:BC59)*$AH59)-SUM($HM59:IA59)-SUM($CW59:DK59)))</f>
        <v>0</v>
      </c>
      <c r="JF59" s="141">
        <f>IF(ISBLANK($A59),,IF($AN59="Não",0,(SUM($AO59:BD59)*$AH59)-SUM($HM59:IB59)-SUM($CW59:DL59)))</f>
        <v>0</v>
      </c>
      <c r="JG59" s="141">
        <f>IF(ISBLANK($A59),,IF($AN59="Não",0,(SUM($AO59:BE59)*$AH59)-SUM($HM59:IC59)-SUM($CW59:DM59)))</f>
        <v>0</v>
      </c>
      <c r="JH59" s="141">
        <f>IF(ISBLANK($A59),,IF($AN59="Não",0,(SUM($AO59:BF59)*$AH59)-SUM($HM59:ID59)-SUM($CW59:DN59)))</f>
        <v>0</v>
      </c>
      <c r="JI59" s="141">
        <f>IF(ISBLANK($A59),,IF($AN59="Não",0,(SUM($AO59:BG59)*$AH59)-SUM($HM59:IE59)-SUM($CW59:DO59)))</f>
        <v>0</v>
      </c>
      <c r="JJ59" s="141">
        <f>IF(ISBLANK($A59),,IF($AN59="Não",0,(SUM($AO59:BH59)*$AH59)-SUM($HM59:IF59)-SUM($CW59:DP59)))</f>
        <v>0</v>
      </c>
      <c r="JK59" s="141">
        <f>IF(ISBLANK($A59),,IF($AN59="Não",0,(SUM($AO59:BI59)*$AH59)-SUM($HM59:IG59)-SUM($CW59:DQ59)))</f>
        <v>0</v>
      </c>
      <c r="JL59" s="141">
        <f>IF(ISBLANK($A59),,IF($AN59="Não",0,(SUM($AO59:BJ59)*$AH59)-SUM($HM59:IH59)-SUM($CW59:DR59)))</f>
        <v>0</v>
      </c>
      <c r="JM59" s="141">
        <f>IF(ISBLANK($A59),,IF($AN59="Não",0,(SUM($AO59:BK59)*$AH59)-SUM($HM59:II59)-SUM($CW59:DS59)))</f>
        <v>0</v>
      </c>
      <c r="JN59" s="141">
        <f>IF(ISBLANK($A59),,IF($AN59="Não",0,(SUM($AO59:BL59)*$AH59)-SUM($HM59:IJ59)-SUM($CW59:DT59)))</f>
        <v>0</v>
      </c>
      <c r="JO59" s="141">
        <f>IF(ISBLANK($A59),,IF($AN59="Não",0,(SUM($AO59:BM59)*$AH59)-SUM($HM59:IK59)-SUM($CW59:DU59)))</f>
        <v>0</v>
      </c>
      <c r="JP59" s="141">
        <f>IF(ISBLANK($A59),,IF($AN59="Não",0,(SUM($AO59:BN59)*$AH59)-SUM($HM59:IL59)-SUM($CW59:DV59)))</f>
        <v>0</v>
      </c>
      <c r="JQ59" s="141">
        <f>IF(ISBLANK($A59),,IF($AN59="Não",0,(SUM($AO59:BO59)*$AH59)-SUM($HM59:IM59)-SUM($CW59:DW59)))</f>
        <v>0</v>
      </c>
      <c r="JR59" s="141">
        <f>IF(ISBLANK($A59),,IF($AN59="Não",0,(SUM($AO59:BP59)*$AH59)-SUM($HM59:IN59)-SUM($CW59:DX59)))</f>
        <v>0</v>
      </c>
      <c r="JS59" s="141">
        <f>IF(ISBLANK($A59),,IF($AN59="Não",0,(SUM($AO59:BQ59)*$AH59)-SUM($HM59:IO59)-SUM($CW59:DY59)))</f>
        <v>0</v>
      </c>
      <c r="JT59" s="141">
        <f>IF(ISBLANK($A59),,IF($AN59="Não",0,(SUM($AO59:BR59)*$AH59)-SUM($HM59:IP59)-SUM($CW59:DZ59)))</f>
        <v>0</v>
      </c>
    </row>
    <row r="60" spans="1:280" ht="15.75" customHeight="1">
      <c r="A60" s="129" t="s">
        <v>357</v>
      </c>
      <c r="B60" s="129" t="s">
        <v>209</v>
      </c>
      <c r="C60" s="138" t="s">
        <v>93</v>
      </c>
      <c r="D60" s="139">
        <v>3</v>
      </c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  <c r="AA60" s="139"/>
      <c r="AB60" s="139"/>
      <c r="AC60" s="139"/>
      <c r="AD60" s="139"/>
      <c r="AE60" s="139"/>
      <c r="AF60" s="139"/>
      <c r="AG60" s="139"/>
      <c r="AH60" s="607">
        <f t="shared" si="286"/>
        <v>1760.0000000000002</v>
      </c>
      <c r="AI60" s="608">
        <f t="shared" si="287"/>
        <v>10</v>
      </c>
      <c r="AJ60" s="609">
        <f t="shared" si="288"/>
        <v>0</v>
      </c>
      <c r="AK60" s="610" t="str">
        <f t="shared" si="289"/>
        <v>Infraestrutura</v>
      </c>
      <c r="AL60" s="609">
        <f t="shared" si="290"/>
        <v>0.05</v>
      </c>
      <c r="AM60" s="611" t="str">
        <f t="shared" si="291"/>
        <v>Sim</v>
      </c>
      <c r="AN60" s="611" t="str">
        <f t="shared" si="292"/>
        <v>Não</v>
      </c>
      <c r="AO60" s="140">
        <f t="array" ref="AO60">IF(ISBLANK($A60),0,IF(OR(AO$5-$AI60&lt;=0,$AM60="Não"),D60,D60+INDEX($AO$6:$BR$176,ROW()-5,COLUMN()-40-$AI60)))*IF($B60="Operacional",IFERROR(VLOOKUP($C60,SN_UGC,28,0),0),1)</f>
        <v>3</v>
      </c>
      <c r="AP60" s="140">
        <f t="array" ref="AP60">IF(ISBLANK($A60),0,IF(OR(AP$5-$AI60&lt;=0,$AM60="Não"),E60,E60+INDEX($AO$6:$BR$176,ROW()-5,COLUMN()-40-$AI60)))*IF($B60="Operacional",IFERROR(VLOOKUP($C60,SN_UGC,28,0),0),1)</f>
        <v>0</v>
      </c>
      <c r="AQ60" s="140">
        <f t="array" ref="AQ60">IF(ISBLANK($A60),0,IF(OR(AQ$5-$AI60&lt;=0,$AM60="Não"),F60,F60+INDEX($AO$6:$BR$176,ROW()-5,COLUMN()-40-$AI60)))*IF($B60="Operacional",IFERROR(VLOOKUP($C60,SN_UGC,28,0),0),1)</f>
        <v>0</v>
      </c>
      <c r="AR60" s="140">
        <f t="array" ref="AR60">IF(ISBLANK($A60),0,IF(OR(AR$5-$AI60&lt;=0,$AM60="Não"),G60,G60+INDEX($AO$6:$BR$176,ROW()-5,COLUMN()-40-$AI60)))*IF($B60="Operacional",IFERROR(VLOOKUP($C60,SN_UGC,28,0),0),1)</f>
        <v>0</v>
      </c>
      <c r="AS60" s="140">
        <f t="array" ref="AS60">IF(ISBLANK($A60),0,IF(OR(AS$5-$AI60&lt;=0,$AM60="Não"),H60,H60+INDEX($AO$6:$BR$176,ROW()-5,COLUMN()-40-$AI60)))*IF($B60="Operacional",IFERROR(VLOOKUP($C60,SN_UGC,28,0),0),1)</f>
        <v>0</v>
      </c>
      <c r="AT60" s="140">
        <f t="array" ref="AT60">IF(ISBLANK($A60),0,IF(OR(AT$5-$AI60&lt;=0,$AM60="Não"),I60,I60+INDEX($AO$6:$BR$176,ROW()-5,COLUMN()-40-$AI60)))*IF($B60="Operacional",IFERROR(VLOOKUP($C60,SN_UGC,28,0),0),1)</f>
        <v>0</v>
      </c>
      <c r="AU60" s="140">
        <f t="array" ref="AU60">IF(ISBLANK($A60),0,IF(OR(AU$5-$AI60&lt;=0,$AM60="Não"),J60,J60+INDEX($AO$6:$BR$176,ROW()-5,COLUMN()-40-$AI60)))*IF($B60="Operacional",IFERROR(VLOOKUP($C60,SN_UGC,28,0),0),1)</f>
        <v>0</v>
      </c>
      <c r="AV60" s="140">
        <f t="array" ref="AV60">IF(ISBLANK($A60),0,IF(OR(AV$5-$AI60&lt;=0,$AM60="Não"),K60,K60+INDEX($AO$6:$BR$176,ROW()-5,COLUMN()-40-$AI60)))*IF($B60="Operacional",IFERROR(VLOOKUP($C60,SN_UGC,28,0),0),1)</f>
        <v>0</v>
      </c>
      <c r="AW60" s="140">
        <f t="array" ref="AW60">IF(ISBLANK($A60),0,IF(OR(AW$5-$AI60&lt;=0,$AM60="Não"),L60,L60+INDEX($AO$6:$BR$176,ROW()-5,COLUMN()-40-$AI60)))*IF($B60="Operacional",IFERROR(VLOOKUP($C60,SN_UGC,28,0),0),1)</f>
        <v>0</v>
      </c>
      <c r="AX60" s="140">
        <f t="array" ref="AX60">IF(ISBLANK($A60),0,IF(OR(AX$5-$AI60&lt;=0,$AM60="Não"),M60,M60+INDEX($AO$6:$BR$176,ROW()-5,COLUMN()-40-$AI60)))*IF($B60="Operacional",IFERROR(VLOOKUP($C60,SN_UGC,28,0),0),1)</f>
        <v>0</v>
      </c>
      <c r="AY60" s="140">
        <f t="array" ref="AY60">IF(ISBLANK($A60),0,IF(OR(AY$5-$AI60&lt;=0,$AM60="Não"),N60,N60+INDEX($AO$6:$BR$176,ROW()-5,COLUMN()-40-$AI60)))*IF($B60="Operacional",IFERROR(VLOOKUP($C60,SN_UGC,28,0),0),1)</f>
        <v>3</v>
      </c>
      <c r="AZ60" s="140">
        <f t="array" ref="AZ60">IF(ISBLANK($A60),0,IF(OR(AZ$5-$AI60&lt;=0,$AM60="Não"),O60,O60+INDEX($AO$6:$BR$176,ROW()-5,COLUMN()-40-$AI60)))*IF($B60="Operacional",IFERROR(VLOOKUP($C60,SN_UGC,28,0),0),1)</f>
        <v>0</v>
      </c>
      <c r="BA60" s="140">
        <f t="array" ref="BA60">IF(ISBLANK($A60),0,IF(OR(BA$5-$AI60&lt;=0,$AM60="Não"),P60,P60+INDEX($AO$6:$BR$176,ROW()-5,COLUMN()-40-$AI60)))*IF($B60="Operacional",IFERROR(VLOOKUP($C60,SN_UGC,28,0),0),1)</f>
        <v>0</v>
      </c>
      <c r="BB60" s="140">
        <f t="array" ref="BB60">IF(ISBLANK($A60),0,IF(OR(BB$5-$AI60&lt;=0,$AM60="Não"),Q60,Q60+INDEX($AO$6:$BR$176,ROW()-5,COLUMN()-40-$AI60)))*IF($B60="Operacional",IFERROR(VLOOKUP($C60,SN_UGC,28,0),0),1)</f>
        <v>0</v>
      </c>
      <c r="BC60" s="140">
        <f t="array" ref="BC60">IF(ISBLANK($A60),0,IF(OR(BC$5-$AI60&lt;=0,$AM60="Não"),R60,R60+INDEX($AO$6:$BR$176,ROW()-5,COLUMN()-40-$AI60)))*IF($B60="Operacional",IFERROR(VLOOKUP($C60,SN_UGC,28,0),0),1)</f>
        <v>0</v>
      </c>
      <c r="BD60" s="140">
        <f t="array" ref="BD60">IF(ISBLANK($A60),0,IF(OR(BD$5-$AI60&lt;=0,$AM60="Não"),S60,S60+INDEX($AO$6:$BR$176,ROW()-5,COLUMN()-40-$AI60)))*IF($B60="Operacional",IFERROR(VLOOKUP($C60,SN_UGC,28,0),0),1)</f>
        <v>0</v>
      </c>
      <c r="BE60" s="140">
        <f t="array" ref="BE60">IF(ISBLANK($A60),0,IF(OR(BE$5-$AI60&lt;=0,$AM60="Não"),T60,T60+INDEX($AO$6:$BR$176,ROW()-5,COLUMN()-40-$AI60)))*IF($B60="Operacional",IFERROR(VLOOKUP($C60,SN_UGC,28,0),0),1)</f>
        <v>0</v>
      </c>
      <c r="BF60" s="140">
        <f t="array" ref="BF60">IF(ISBLANK($A60),0,IF(OR(BF$5-$AI60&lt;=0,$AM60="Não"),U60,U60+INDEX($AO$6:$BR$176,ROW()-5,COLUMN()-40-$AI60)))*IF($B60="Operacional",IFERROR(VLOOKUP($C60,SN_UGC,28,0),0),1)</f>
        <v>0</v>
      </c>
      <c r="BG60" s="140">
        <f t="array" ref="BG60">IF(ISBLANK($A60),0,IF(OR(BG$5-$AI60&lt;=0,$AM60="Não"),V60,V60+INDEX($AO$6:$BR$176,ROW()-5,COLUMN()-40-$AI60)))*IF($B60="Operacional",IFERROR(VLOOKUP($C60,SN_UGC,28,0),0),1)</f>
        <v>0</v>
      </c>
      <c r="BH60" s="140">
        <f t="array" ref="BH60">IF(ISBLANK($A60),0,IF(OR(BH$5-$AI60&lt;=0,$AM60="Não"),W60,W60+INDEX($AO$6:$BR$176,ROW()-5,COLUMN()-40-$AI60)))*IF($B60="Operacional",IFERROR(VLOOKUP($C60,SN_UGC,28,0),0),1)</f>
        <v>0</v>
      </c>
      <c r="BI60" s="140">
        <f t="array" ref="BI60">IF(ISBLANK($A60),0,IF(OR(BI$5-$AI60&lt;=0,$AM60="Não"),X60,X60+INDEX($AO$6:$BR$176,ROW()-5,COLUMN()-40-$AI60)))*IF($B60="Operacional",IFERROR(VLOOKUP($C60,SN_UGC,28,0),0),1)</f>
        <v>3</v>
      </c>
      <c r="BJ60" s="140">
        <f t="array" ref="BJ60">IF(ISBLANK($A60),0,IF(OR(BJ$5-$AI60&lt;=0,$AM60="Não"),Y60,Y60+INDEX($AO$6:$BR$176,ROW()-5,COLUMN()-40-$AI60)))*IF($B60="Operacional",IFERROR(VLOOKUP($C60,SN_UGC,28,0),0),1)</f>
        <v>0</v>
      </c>
      <c r="BK60" s="140">
        <f t="array" ref="BK60">IF(ISBLANK($A60),0,IF(OR(BK$5-$AI60&lt;=0,$AM60="Não"),Z60,Z60+INDEX($AO$6:$BR$176,ROW()-5,COLUMN()-40-$AI60)))*IF($B60="Operacional",IFERROR(VLOOKUP($C60,SN_UGC,28,0),0),1)</f>
        <v>0</v>
      </c>
      <c r="BL60" s="140">
        <f t="array" ref="BL60">IF(ISBLANK($A60),0,IF(OR(BL$5-$AI60&lt;=0,$AM60="Não"),AA60,AA60+INDEX($AO$6:$BR$176,ROW()-5,COLUMN()-40-$AI60)))*IF($B60="Operacional",IFERROR(VLOOKUP($C60,SN_UGC,28,0),0),1)</f>
        <v>0</v>
      </c>
      <c r="BM60" s="140">
        <f t="array" ref="BM60">IF(ISBLANK($A60),0,IF(OR(BM$5-$AI60&lt;=0,$AM60="Não"),AB60,AB60+INDEX($AO$6:$BR$176,ROW()-5,COLUMN()-40-$AI60)))*IF($B60="Operacional",IFERROR(VLOOKUP($C60,SN_UGC,28,0),0),1)</f>
        <v>0</v>
      </c>
      <c r="BN60" s="140">
        <f t="array" ref="BN60">IF(ISBLANK($A60),0,IF(OR(BN$5-$AI60&lt;=0,$AM60="Não"),AC60,AC60+INDEX($AO$6:$BR$176,ROW()-5,COLUMN()-40-$AI60)))*IF($B60="Operacional",IFERROR(VLOOKUP($C60,SN_UGC,28,0),0),1)</f>
        <v>0</v>
      </c>
      <c r="BO60" s="140">
        <f t="array" ref="BO60">IF(ISBLANK($A60),0,IF(OR(BO$5-$AI60&lt;=0,$AM60="Não"),AD60,AD60+INDEX($AO$6:$BR$176,ROW()-5,COLUMN()-40-$AI60)))*IF($B60="Operacional",IFERROR(VLOOKUP($C60,SN_UGC,28,0),0),1)</f>
        <v>0</v>
      </c>
      <c r="BP60" s="140">
        <f t="array" ref="BP60">IF(ISBLANK($A60),0,IF(OR(BP$5-$AI60&lt;=0,$AM60="Não"),AE60,AE60+INDEX($AO$6:$BR$176,ROW()-5,COLUMN()-40-$AI60)))*IF($B60="Operacional",IFERROR(VLOOKUP($C60,SN_UGC,28,0),0),1)</f>
        <v>0</v>
      </c>
      <c r="BQ60" s="140">
        <f t="array" ref="BQ60">IF(ISBLANK($A60),0,IF(OR(BQ$5-$AI60&lt;=0,$AM60="Não"),AF60,AF60+INDEX($AO$6:$BR$176,ROW()-5,COLUMN()-40-$AI60)))*IF($B60="Operacional",IFERROR(VLOOKUP($C60,SN_UGC,28,0),0),1)</f>
        <v>0</v>
      </c>
      <c r="BR60" s="140">
        <f t="array" ref="BR60">IF(ISBLANK($A60),0,IF(OR(BR$5-$AI60&lt;=0,$AM60="Não"),AG60,AG60+INDEX($AO$6:$BR$176,ROW()-5,COLUMN()-40-$AI60)))*IF($B60="Operacional",IFERROR(VLOOKUP($C60,SN_UGC,28,0),0),1)</f>
        <v>0</v>
      </c>
      <c r="BS60" s="141">
        <f t="shared" ref="BS60:CV60" si="297">IF(ISBLANK($A60),0,$AH60*AO60)</f>
        <v>5280.0000000000009</v>
      </c>
      <c r="BT60" s="141">
        <f t="shared" si="297"/>
        <v>0</v>
      </c>
      <c r="BU60" s="141">
        <f t="shared" si="297"/>
        <v>0</v>
      </c>
      <c r="BV60" s="141">
        <f t="shared" si="297"/>
        <v>0</v>
      </c>
      <c r="BW60" s="141">
        <f t="shared" si="297"/>
        <v>0</v>
      </c>
      <c r="BX60" s="141">
        <f t="shared" si="297"/>
        <v>0</v>
      </c>
      <c r="BY60" s="141">
        <f t="shared" si="297"/>
        <v>0</v>
      </c>
      <c r="BZ60" s="141">
        <f t="shared" si="297"/>
        <v>0</v>
      </c>
      <c r="CA60" s="141">
        <f t="shared" si="297"/>
        <v>0</v>
      </c>
      <c r="CB60" s="141">
        <f t="shared" si="297"/>
        <v>0</v>
      </c>
      <c r="CC60" s="141">
        <f t="shared" si="297"/>
        <v>5280.0000000000009</v>
      </c>
      <c r="CD60" s="141">
        <f t="shared" si="297"/>
        <v>0</v>
      </c>
      <c r="CE60" s="141">
        <f t="shared" si="297"/>
        <v>0</v>
      </c>
      <c r="CF60" s="141">
        <f t="shared" si="297"/>
        <v>0</v>
      </c>
      <c r="CG60" s="141">
        <f t="shared" si="297"/>
        <v>0</v>
      </c>
      <c r="CH60" s="141">
        <f t="shared" si="297"/>
        <v>0</v>
      </c>
      <c r="CI60" s="141">
        <f t="shared" si="297"/>
        <v>0</v>
      </c>
      <c r="CJ60" s="141">
        <f t="shared" si="297"/>
        <v>0</v>
      </c>
      <c r="CK60" s="141">
        <f t="shared" si="297"/>
        <v>0</v>
      </c>
      <c r="CL60" s="141">
        <f t="shared" si="297"/>
        <v>0</v>
      </c>
      <c r="CM60" s="141">
        <f t="shared" si="297"/>
        <v>5280.0000000000009</v>
      </c>
      <c r="CN60" s="141">
        <f t="shared" si="297"/>
        <v>0</v>
      </c>
      <c r="CO60" s="141">
        <f t="shared" si="297"/>
        <v>0</v>
      </c>
      <c r="CP60" s="141">
        <f t="shared" si="297"/>
        <v>0</v>
      </c>
      <c r="CQ60" s="141">
        <f t="shared" si="297"/>
        <v>0</v>
      </c>
      <c r="CR60" s="141">
        <f t="shared" si="297"/>
        <v>0</v>
      </c>
      <c r="CS60" s="141">
        <f t="shared" si="297"/>
        <v>0</v>
      </c>
      <c r="CT60" s="141">
        <f t="shared" si="297"/>
        <v>0</v>
      </c>
      <c r="CU60" s="141">
        <f t="shared" si="297"/>
        <v>0</v>
      </c>
      <c r="CV60" s="141">
        <f t="shared" si="297"/>
        <v>0</v>
      </c>
      <c r="CW60" s="142">
        <f t="shared" ref="CW60:DZ60" si="298">EA60*$AH60*$AJ60</f>
        <v>0</v>
      </c>
      <c r="CX60" s="142">
        <f t="shared" si="298"/>
        <v>0</v>
      </c>
      <c r="CY60" s="142">
        <f t="shared" si="298"/>
        <v>0</v>
      </c>
      <c r="CZ60" s="142">
        <f t="shared" si="298"/>
        <v>0</v>
      </c>
      <c r="DA60" s="142">
        <f t="shared" si="298"/>
        <v>0</v>
      </c>
      <c r="DB60" s="142">
        <f t="shared" si="298"/>
        <v>0</v>
      </c>
      <c r="DC60" s="142">
        <f t="shared" si="298"/>
        <v>0</v>
      </c>
      <c r="DD60" s="142">
        <f t="shared" si="298"/>
        <v>0</v>
      </c>
      <c r="DE60" s="142">
        <f t="shared" si="298"/>
        <v>0</v>
      </c>
      <c r="DF60" s="142">
        <f t="shared" si="298"/>
        <v>0</v>
      </c>
      <c r="DG60" s="142">
        <f t="shared" si="298"/>
        <v>0</v>
      </c>
      <c r="DH60" s="142">
        <f t="shared" si="298"/>
        <v>0</v>
      </c>
      <c r="DI60" s="142">
        <f t="shared" si="298"/>
        <v>0</v>
      </c>
      <c r="DJ60" s="142">
        <f t="shared" si="298"/>
        <v>0</v>
      </c>
      <c r="DK60" s="142">
        <f t="shared" si="298"/>
        <v>0</v>
      </c>
      <c r="DL60" s="142">
        <f t="shared" si="298"/>
        <v>0</v>
      </c>
      <c r="DM60" s="142">
        <f t="shared" si="298"/>
        <v>0</v>
      </c>
      <c r="DN60" s="142">
        <f t="shared" si="298"/>
        <v>0</v>
      </c>
      <c r="DO60" s="142">
        <f t="shared" si="298"/>
        <v>0</v>
      </c>
      <c r="DP60" s="142">
        <f t="shared" si="298"/>
        <v>0</v>
      </c>
      <c r="DQ60" s="142">
        <f t="shared" si="298"/>
        <v>0</v>
      </c>
      <c r="DR60" s="142">
        <f t="shared" si="298"/>
        <v>0</v>
      </c>
      <c r="DS60" s="142">
        <f t="shared" si="298"/>
        <v>0</v>
      </c>
      <c r="DT60" s="142">
        <f t="shared" si="298"/>
        <v>0</v>
      </c>
      <c r="DU60" s="142">
        <f t="shared" si="298"/>
        <v>0</v>
      </c>
      <c r="DV60" s="142">
        <f t="shared" si="298"/>
        <v>0</v>
      </c>
      <c r="DW60" s="142">
        <f t="shared" si="298"/>
        <v>0</v>
      </c>
      <c r="DX60" s="142">
        <f t="shared" si="298"/>
        <v>0</v>
      </c>
      <c r="DY60" s="142">
        <f t="shared" si="298"/>
        <v>0</v>
      </c>
      <c r="DZ60" s="142">
        <f t="shared" si="298"/>
        <v>0</v>
      </c>
      <c r="EA60" s="143">
        <f t="shared" si="174"/>
        <v>0</v>
      </c>
      <c r="EB60" s="143">
        <f t="shared" si="175"/>
        <v>0</v>
      </c>
      <c r="EC60" s="143">
        <f t="shared" si="176"/>
        <v>0</v>
      </c>
      <c r="ED60" s="143">
        <f t="shared" si="177"/>
        <v>0</v>
      </c>
      <c r="EE60" s="143">
        <f t="shared" si="178"/>
        <v>0</v>
      </c>
      <c r="EF60" s="143">
        <f t="shared" si="179"/>
        <v>0</v>
      </c>
      <c r="EG60" s="143">
        <f t="shared" si="180"/>
        <v>0</v>
      </c>
      <c r="EH60" s="143">
        <f t="shared" si="181"/>
        <v>0</v>
      </c>
      <c r="EI60" s="143">
        <f t="shared" si="182"/>
        <v>0</v>
      </c>
      <c r="EJ60" s="143">
        <f t="shared" si="183"/>
        <v>0</v>
      </c>
      <c r="EK60" s="143">
        <f t="shared" si="184"/>
        <v>3</v>
      </c>
      <c r="EL60" s="143">
        <f t="shared" si="185"/>
        <v>0</v>
      </c>
      <c r="EM60" s="143">
        <f t="shared" si="186"/>
        <v>0</v>
      </c>
      <c r="EN60" s="143">
        <f t="shared" si="187"/>
        <v>0</v>
      </c>
      <c r="EO60" s="143">
        <f t="shared" si="188"/>
        <v>0</v>
      </c>
      <c r="EP60" s="143">
        <f t="shared" si="189"/>
        <v>0</v>
      </c>
      <c r="EQ60" s="143">
        <f t="shared" si="190"/>
        <v>0</v>
      </c>
      <c r="ER60" s="143">
        <f t="shared" si="191"/>
        <v>0</v>
      </c>
      <c r="ES60" s="143">
        <f t="shared" si="192"/>
        <v>0</v>
      </c>
      <c r="ET60" s="143">
        <f t="shared" si="193"/>
        <v>0</v>
      </c>
      <c r="EU60" s="143">
        <f t="shared" si="194"/>
        <v>3</v>
      </c>
      <c r="EV60" s="143">
        <f t="shared" si="195"/>
        <v>0</v>
      </c>
      <c r="EW60" s="143">
        <f t="shared" si="196"/>
        <v>0</v>
      </c>
      <c r="EX60" s="143">
        <f t="shared" si="197"/>
        <v>0</v>
      </c>
      <c r="EY60" s="143">
        <f t="shared" si="198"/>
        <v>0</v>
      </c>
      <c r="EZ60" s="143">
        <f t="shared" si="199"/>
        <v>0</v>
      </c>
      <c r="FA60" s="143">
        <f t="shared" si="200"/>
        <v>0</v>
      </c>
      <c r="FB60" s="143">
        <f t="shared" si="201"/>
        <v>0</v>
      </c>
      <c r="FC60" s="143">
        <f t="shared" si="202"/>
        <v>0</v>
      </c>
      <c r="FD60" s="143">
        <f t="shared" si="203"/>
        <v>0</v>
      </c>
      <c r="FE60" s="140">
        <f>SUM($D60:D60)*IF($B60="Operacional",IFERROR(VLOOKUP($C60,SN_UGC,28,0),0),1)</f>
        <v>3</v>
      </c>
      <c r="FF60" s="140">
        <f>SUM($D60:E60)*IF($B60="Operacional",IFERROR(VLOOKUP($C60,SN_UGC,28,0),0),1)</f>
        <v>3</v>
      </c>
      <c r="FG60" s="140">
        <f>SUM($D60:F60)*IF($B60="Operacional",IFERROR(VLOOKUP($C60,SN_UGC,28,0),0),1)</f>
        <v>3</v>
      </c>
      <c r="FH60" s="140">
        <f>SUM($D60:G60)*IF($B60="Operacional",IFERROR(VLOOKUP($C60,SN_UGC,28,0),0),1)</f>
        <v>3</v>
      </c>
      <c r="FI60" s="140">
        <f>SUM($D60:H60)*IF($B60="Operacional",IFERROR(VLOOKUP($C60,SN_UGC,28,0),0),1)</f>
        <v>3</v>
      </c>
      <c r="FJ60" s="140">
        <f>SUM($D60:I60)*IF($B60="Operacional",IFERROR(VLOOKUP($C60,SN_UGC,28,0),0),1)</f>
        <v>3</v>
      </c>
      <c r="FK60" s="140">
        <f>SUM($D60:J60)*IF($B60="Operacional",IFERROR(VLOOKUP($C60,SN_UGC,28,0),0),1)</f>
        <v>3</v>
      </c>
      <c r="FL60" s="140">
        <f>SUM($D60:K60)*IF($B60="Operacional",IFERROR(VLOOKUP($C60,SN_UGC,28,0),0),1)</f>
        <v>3</v>
      </c>
      <c r="FM60" s="140">
        <f>SUM($D60:L60)*IF($B60="Operacional",IFERROR(VLOOKUP($C60,SN_UGC,28,0),0),1)</f>
        <v>3</v>
      </c>
      <c r="FN60" s="140">
        <f>SUM($D60:M60)*IF($B60="Operacional",IFERROR(VLOOKUP($C60,SN_UGC,28,0),0),1)</f>
        <v>3</v>
      </c>
      <c r="FO60" s="140">
        <f>SUM($D60:N60)*IF($B60="Operacional",IFERROR(VLOOKUP($C60,SN_UGC,28,0),0),1)</f>
        <v>3</v>
      </c>
      <c r="FP60" s="140">
        <f>SUM($D60:O60)*IF($B60="Operacional",IFERROR(VLOOKUP($C60,SN_UGC,28,0),0),1)</f>
        <v>3</v>
      </c>
      <c r="FQ60" s="140">
        <f>SUM($D60:P60)*IF($B60="Operacional",IFERROR(VLOOKUP($C60,SN_UGC,28,0),0),1)</f>
        <v>3</v>
      </c>
      <c r="FR60" s="140">
        <f>SUM($D60:Q60)*IF($B60="Operacional",IFERROR(VLOOKUP($C60,SN_UGC,28,0),0),1)</f>
        <v>3</v>
      </c>
      <c r="FS60" s="140">
        <f>SUM($D60:R60)*IF($B60="Operacional",IFERROR(VLOOKUP($C60,SN_UGC,28,0),0),1)</f>
        <v>3</v>
      </c>
      <c r="FT60" s="140">
        <f>SUM($D60:S60)*IF($B60="Operacional",IFERROR(VLOOKUP($C60,SN_UGC,28,0),0),1)</f>
        <v>3</v>
      </c>
      <c r="FU60" s="140">
        <f>SUM($D60:T60)*IF($B60="Operacional",IFERROR(VLOOKUP($C60,SN_UGC,28,0),0),1)</f>
        <v>3</v>
      </c>
      <c r="FV60" s="140">
        <f>SUM($D60:U60)*IF($B60="Operacional",IFERROR(VLOOKUP($C60,SN_UGC,28,0),0),1)</f>
        <v>3</v>
      </c>
      <c r="FW60" s="140">
        <f>SUM($D60:V60)*IF($B60="Operacional",IFERROR(VLOOKUP($C60,SN_UGC,28,0),0),1)</f>
        <v>3</v>
      </c>
      <c r="FX60" s="140">
        <f>SUM($D60:W60)*IF($B60="Operacional",IFERROR(VLOOKUP($C60,SN_UGC,28,0),0),1)</f>
        <v>3</v>
      </c>
      <c r="FY60" s="140">
        <f>SUM($D60:X60)*IF($B60="Operacional",IFERROR(VLOOKUP($C60,SN_UGC,28,0),0),1)</f>
        <v>3</v>
      </c>
      <c r="FZ60" s="140">
        <f>SUM($D60:Y60)*IF($B60="Operacional",IFERROR(VLOOKUP($C60,SN_UGC,28,0),0),1)</f>
        <v>3</v>
      </c>
      <c r="GA60" s="140">
        <f>SUM($D60:Z60)*IF($B60="Operacional",IFERROR(VLOOKUP($C60,SN_UGC,28,0),0),1)</f>
        <v>3</v>
      </c>
      <c r="GB60" s="140">
        <f>SUM($D60:AA60)*IF($B60="Operacional",IFERROR(VLOOKUP($C60,SN_UGC,28,0),0),1)</f>
        <v>3</v>
      </c>
      <c r="GC60" s="140">
        <f>SUM($D60:AB60)*IF($B60="Operacional",IFERROR(VLOOKUP($C60,SN_UGC,28,0),0),1)</f>
        <v>3</v>
      </c>
      <c r="GD60" s="140">
        <f>SUM($D60:AC60)*IF($B60="Operacional",IFERROR(VLOOKUP($C60,SN_UGC,28,0),0),1)</f>
        <v>3</v>
      </c>
      <c r="GE60" s="140">
        <f>SUM($D60:AD60)*IF($B60="Operacional",IFERROR(VLOOKUP($C60,SN_UGC,28,0),0),1)</f>
        <v>3</v>
      </c>
      <c r="GF60" s="140">
        <f>SUM($D60:AE60)*IF($B60="Operacional",IFERROR(VLOOKUP($C60,SN_UGC,28,0),0),1)</f>
        <v>3</v>
      </c>
      <c r="GG60" s="140">
        <f>SUM($D60:AF60)*IF($B60="Operacional",IFERROR(VLOOKUP($C60,SN_UGC,28,0),0),1)</f>
        <v>3</v>
      </c>
      <c r="GH60" s="140">
        <f>SUM($D60:AG60)*IF($B60="Operacional",IFERROR(VLOOKUP($C60,SN_UGC,28,0),0),1)</f>
        <v>3</v>
      </c>
      <c r="GI60" s="141">
        <f t="shared" ref="GI60:HL60" si="299">FE60*$AH60*$AL60</f>
        <v>264.00000000000006</v>
      </c>
      <c r="GJ60" s="141">
        <f t="shared" si="299"/>
        <v>264.00000000000006</v>
      </c>
      <c r="GK60" s="141">
        <f t="shared" si="299"/>
        <v>264.00000000000006</v>
      </c>
      <c r="GL60" s="141">
        <f t="shared" si="299"/>
        <v>264.00000000000006</v>
      </c>
      <c r="GM60" s="141">
        <f t="shared" si="299"/>
        <v>264.00000000000006</v>
      </c>
      <c r="GN60" s="141">
        <f t="shared" si="299"/>
        <v>264.00000000000006</v>
      </c>
      <c r="GO60" s="141">
        <f t="shared" si="299"/>
        <v>264.00000000000006</v>
      </c>
      <c r="GP60" s="141">
        <f t="shared" si="299"/>
        <v>264.00000000000006</v>
      </c>
      <c r="GQ60" s="141">
        <f t="shared" si="299"/>
        <v>264.00000000000006</v>
      </c>
      <c r="GR60" s="141">
        <f t="shared" si="299"/>
        <v>264.00000000000006</v>
      </c>
      <c r="GS60" s="141">
        <f t="shared" si="299"/>
        <v>264.00000000000006</v>
      </c>
      <c r="GT60" s="141">
        <f t="shared" si="299"/>
        <v>264.00000000000006</v>
      </c>
      <c r="GU60" s="141">
        <f t="shared" si="299"/>
        <v>264.00000000000006</v>
      </c>
      <c r="GV60" s="141">
        <f t="shared" si="299"/>
        <v>264.00000000000006</v>
      </c>
      <c r="GW60" s="141">
        <f t="shared" si="299"/>
        <v>264.00000000000006</v>
      </c>
      <c r="GX60" s="141">
        <f t="shared" si="299"/>
        <v>264.00000000000006</v>
      </c>
      <c r="GY60" s="141">
        <f t="shared" si="299"/>
        <v>264.00000000000006</v>
      </c>
      <c r="GZ60" s="141">
        <f t="shared" si="299"/>
        <v>264.00000000000006</v>
      </c>
      <c r="HA60" s="141">
        <f t="shared" si="299"/>
        <v>264.00000000000006</v>
      </c>
      <c r="HB60" s="141">
        <f t="shared" si="299"/>
        <v>264.00000000000006</v>
      </c>
      <c r="HC60" s="141">
        <f t="shared" si="299"/>
        <v>264.00000000000006</v>
      </c>
      <c r="HD60" s="141">
        <f t="shared" si="299"/>
        <v>264.00000000000006</v>
      </c>
      <c r="HE60" s="141">
        <f t="shared" si="299"/>
        <v>264.00000000000006</v>
      </c>
      <c r="HF60" s="141">
        <f t="shared" si="299"/>
        <v>264.00000000000006</v>
      </c>
      <c r="HG60" s="141">
        <f t="shared" si="299"/>
        <v>264.00000000000006</v>
      </c>
      <c r="HH60" s="141">
        <f t="shared" si="299"/>
        <v>264.00000000000006</v>
      </c>
      <c r="HI60" s="141">
        <f t="shared" si="299"/>
        <v>264.00000000000006</v>
      </c>
      <c r="HJ60" s="141">
        <f t="shared" si="299"/>
        <v>264.00000000000006</v>
      </c>
      <c r="HK60" s="141">
        <f t="shared" si="299"/>
        <v>264.00000000000006</v>
      </c>
      <c r="HL60" s="141">
        <f t="shared" si="299"/>
        <v>264.00000000000006</v>
      </c>
      <c r="HM60" s="142">
        <f t="shared" ref="HM60:IP60" si="300">IF(ISBLANK($A60),,FE60*($AH60-($AH60*$AJ60))/$AI60)</f>
        <v>528.00000000000011</v>
      </c>
      <c r="HN60" s="142">
        <f t="shared" si="300"/>
        <v>528.00000000000011</v>
      </c>
      <c r="HO60" s="142">
        <f t="shared" si="300"/>
        <v>528.00000000000011</v>
      </c>
      <c r="HP60" s="142">
        <f t="shared" si="300"/>
        <v>528.00000000000011</v>
      </c>
      <c r="HQ60" s="142">
        <f t="shared" si="300"/>
        <v>528.00000000000011</v>
      </c>
      <c r="HR60" s="142">
        <f t="shared" si="300"/>
        <v>528.00000000000011</v>
      </c>
      <c r="HS60" s="142">
        <f t="shared" si="300"/>
        <v>528.00000000000011</v>
      </c>
      <c r="HT60" s="142">
        <f t="shared" si="300"/>
        <v>528.00000000000011</v>
      </c>
      <c r="HU60" s="142">
        <f t="shared" si="300"/>
        <v>528.00000000000011</v>
      </c>
      <c r="HV60" s="142">
        <f t="shared" si="300"/>
        <v>528.00000000000011</v>
      </c>
      <c r="HW60" s="142">
        <f t="shared" si="300"/>
        <v>528.00000000000011</v>
      </c>
      <c r="HX60" s="142">
        <f t="shared" si="300"/>
        <v>528.00000000000011</v>
      </c>
      <c r="HY60" s="142">
        <f t="shared" si="300"/>
        <v>528.00000000000011</v>
      </c>
      <c r="HZ60" s="142">
        <f t="shared" si="300"/>
        <v>528.00000000000011</v>
      </c>
      <c r="IA60" s="142">
        <f t="shared" si="300"/>
        <v>528.00000000000011</v>
      </c>
      <c r="IB60" s="142">
        <f t="shared" si="300"/>
        <v>528.00000000000011</v>
      </c>
      <c r="IC60" s="142">
        <f t="shared" si="300"/>
        <v>528.00000000000011</v>
      </c>
      <c r="ID60" s="142">
        <f t="shared" si="300"/>
        <v>528.00000000000011</v>
      </c>
      <c r="IE60" s="142">
        <f t="shared" si="300"/>
        <v>528.00000000000011</v>
      </c>
      <c r="IF60" s="142">
        <f t="shared" si="300"/>
        <v>528.00000000000011</v>
      </c>
      <c r="IG60" s="142">
        <f t="shared" si="300"/>
        <v>528.00000000000011</v>
      </c>
      <c r="IH60" s="142">
        <f t="shared" si="300"/>
        <v>528.00000000000011</v>
      </c>
      <c r="II60" s="142">
        <f t="shared" si="300"/>
        <v>528.00000000000011</v>
      </c>
      <c r="IJ60" s="142">
        <f t="shared" si="300"/>
        <v>528.00000000000011</v>
      </c>
      <c r="IK60" s="142">
        <f t="shared" si="300"/>
        <v>528.00000000000011</v>
      </c>
      <c r="IL60" s="142">
        <f t="shared" si="300"/>
        <v>528.00000000000011</v>
      </c>
      <c r="IM60" s="142">
        <f t="shared" si="300"/>
        <v>528.00000000000011</v>
      </c>
      <c r="IN60" s="142">
        <f t="shared" si="300"/>
        <v>528.00000000000011</v>
      </c>
      <c r="IO60" s="142">
        <f t="shared" si="300"/>
        <v>528.00000000000011</v>
      </c>
      <c r="IP60" s="142">
        <f t="shared" si="300"/>
        <v>528.00000000000011</v>
      </c>
      <c r="IQ60" s="141">
        <f>IF(ISBLANK($A60),,IF($AN60="Não",0,(SUM($AO60:AO60)*$AH60)-SUM($HM60:HM60)-SUM($CW60:CW60)))</f>
        <v>0</v>
      </c>
      <c r="IR60" s="141">
        <f>IF(ISBLANK($A60),,IF($AN60="Não",0,(SUM($AO60:AP60)*$AH60)-SUM($HM60:HN60)-SUM($CW60:CX60)))</f>
        <v>0</v>
      </c>
      <c r="IS60" s="141">
        <f>IF(ISBLANK($A60),,IF($AN60="Não",0,(SUM($AO60:AQ60)*$AH60)-SUM($HM60:HO60)-SUM($CW60:CY60)))</f>
        <v>0</v>
      </c>
      <c r="IT60" s="141">
        <f>IF(ISBLANK($A60),,IF($AN60="Não",0,(SUM($AO60:AR60)*$AH60)-SUM($HM60:HP60)-SUM($CW60:CZ60)))</f>
        <v>0</v>
      </c>
      <c r="IU60" s="141">
        <f>IF(ISBLANK($A60),,IF($AN60="Não",0,(SUM($AO60:AS60)*$AH60)-SUM($HM60:HQ60)-SUM($CW60:DA60)))</f>
        <v>0</v>
      </c>
      <c r="IV60" s="141">
        <f>IF(ISBLANK($A60),,IF($AN60="Não",0,(SUM($AO60:AT60)*$AH60)-SUM($HM60:HR60)-SUM($CW60:DB60)))</f>
        <v>0</v>
      </c>
      <c r="IW60" s="141">
        <f>IF(ISBLANK($A60),,IF($AN60="Não",0,(SUM($AO60:AU60)*$AH60)-SUM($HM60:HS60)-SUM($CW60:DC60)))</f>
        <v>0</v>
      </c>
      <c r="IX60" s="141">
        <f>IF(ISBLANK($A60),,IF($AN60="Não",0,(SUM($AO60:AV60)*$AH60)-SUM($HM60:HT60)-SUM($CW60:DD60)))</f>
        <v>0</v>
      </c>
      <c r="IY60" s="141">
        <f>IF(ISBLANK($A60),,IF($AN60="Não",0,(SUM($AO60:AW60)*$AH60)-SUM($HM60:HU60)-SUM($CW60:DE60)))</f>
        <v>0</v>
      </c>
      <c r="IZ60" s="141">
        <f>IF(ISBLANK($A60),,IF($AN60="Não",0,(SUM($AO60:AX60)*$AH60)-SUM($HM60:HV60)-SUM($CW60:DF60)))</f>
        <v>0</v>
      </c>
      <c r="JA60" s="141">
        <f>IF(ISBLANK($A60),,IF($AN60="Não",0,(SUM($AO60:AY60)*$AH60)-SUM($HM60:HW60)-SUM($CW60:DG60)))</f>
        <v>0</v>
      </c>
      <c r="JB60" s="141">
        <f>IF(ISBLANK($A60),,IF($AN60="Não",0,(SUM($AO60:AZ60)*$AH60)-SUM($HM60:HX60)-SUM($CW60:DH60)))</f>
        <v>0</v>
      </c>
      <c r="JC60" s="141">
        <f>IF(ISBLANK($A60),,IF($AN60="Não",0,(SUM($AO60:BA60)*$AH60)-SUM($HM60:HY60)-SUM($CW60:DI60)))</f>
        <v>0</v>
      </c>
      <c r="JD60" s="141">
        <f>IF(ISBLANK($A60),,IF($AN60="Não",0,(SUM($AO60:BB60)*$AH60)-SUM($HM60:HZ60)-SUM($CW60:DJ60)))</f>
        <v>0</v>
      </c>
      <c r="JE60" s="141">
        <f>IF(ISBLANK($A60),,IF($AN60="Não",0,(SUM($AO60:BC60)*$AH60)-SUM($HM60:IA60)-SUM($CW60:DK60)))</f>
        <v>0</v>
      </c>
      <c r="JF60" s="141">
        <f>IF(ISBLANK($A60),,IF($AN60="Não",0,(SUM($AO60:BD60)*$AH60)-SUM($HM60:IB60)-SUM($CW60:DL60)))</f>
        <v>0</v>
      </c>
      <c r="JG60" s="141">
        <f>IF(ISBLANK($A60),,IF($AN60="Não",0,(SUM($AO60:BE60)*$AH60)-SUM($HM60:IC60)-SUM($CW60:DM60)))</f>
        <v>0</v>
      </c>
      <c r="JH60" s="141">
        <f>IF(ISBLANK($A60),,IF($AN60="Não",0,(SUM($AO60:BF60)*$AH60)-SUM($HM60:ID60)-SUM($CW60:DN60)))</f>
        <v>0</v>
      </c>
      <c r="JI60" s="141">
        <f>IF(ISBLANK($A60),,IF($AN60="Não",0,(SUM($AO60:BG60)*$AH60)-SUM($HM60:IE60)-SUM($CW60:DO60)))</f>
        <v>0</v>
      </c>
      <c r="JJ60" s="141">
        <f>IF(ISBLANK($A60),,IF($AN60="Não",0,(SUM($AO60:BH60)*$AH60)-SUM($HM60:IF60)-SUM($CW60:DP60)))</f>
        <v>0</v>
      </c>
      <c r="JK60" s="141">
        <f>IF(ISBLANK($A60),,IF($AN60="Não",0,(SUM($AO60:BI60)*$AH60)-SUM($HM60:IG60)-SUM($CW60:DQ60)))</f>
        <v>0</v>
      </c>
      <c r="JL60" s="141">
        <f>IF(ISBLANK($A60),,IF($AN60="Não",0,(SUM($AO60:BJ60)*$AH60)-SUM($HM60:IH60)-SUM($CW60:DR60)))</f>
        <v>0</v>
      </c>
      <c r="JM60" s="141">
        <f>IF(ISBLANK($A60),,IF($AN60="Não",0,(SUM($AO60:BK60)*$AH60)-SUM($HM60:II60)-SUM($CW60:DS60)))</f>
        <v>0</v>
      </c>
      <c r="JN60" s="141">
        <f>IF(ISBLANK($A60),,IF($AN60="Não",0,(SUM($AO60:BL60)*$AH60)-SUM($HM60:IJ60)-SUM($CW60:DT60)))</f>
        <v>0</v>
      </c>
      <c r="JO60" s="141">
        <f>IF(ISBLANK($A60),,IF($AN60="Não",0,(SUM($AO60:BM60)*$AH60)-SUM($HM60:IK60)-SUM($CW60:DU60)))</f>
        <v>0</v>
      </c>
      <c r="JP60" s="141">
        <f>IF(ISBLANK($A60),,IF($AN60="Não",0,(SUM($AO60:BN60)*$AH60)-SUM($HM60:IL60)-SUM($CW60:DV60)))</f>
        <v>0</v>
      </c>
      <c r="JQ60" s="141">
        <f>IF(ISBLANK($A60),,IF($AN60="Não",0,(SUM($AO60:BO60)*$AH60)-SUM($HM60:IM60)-SUM($CW60:DW60)))</f>
        <v>0</v>
      </c>
      <c r="JR60" s="141">
        <f>IF(ISBLANK($A60),,IF($AN60="Não",0,(SUM($AO60:BP60)*$AH60)-SUM($HM60:IN60)-SUM($CW60:DX60)))</f>
        <v>0</v>
      </c>
      <c r="JS60" s="141">
        <f>IF(ISBLANK($A60),,IF($AN60="Não",0,(SUM($AO60:BQ60)*$AH60)-SUM($HM60:IO60)-SUM($CW60:DY60)))</f>
        <v>0</v>
      </c>
      <c r="JT60" s="141">
        <f>IF(ISBLANK($A60),,IF($AN60="Não",0,(SUM($AO60:BR60)*$AH60)-SUM($HM60:IP60)-SUM($CW60:DZ60)))</f>
        <v>0</v>
      </c>
    </row>
    <row r="61" spans="1:280" ht="15.75" customHeight="1">
      <c r="A61" s="129" t="s">
        <v>385</v>
      </c>
      <c r="B61" s="129" t="s">
        <v>209</v>
      </c>
      <c r="C61" s="138" t="s">
        <v>93</v>
      </c>
      <c r="D61" s="139">
        <v>18</v>
      </c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607">
        <f t="shared" si="286"/>
        <v>5101.2060000000001</v>
      </c>
      <c r="AI61" s="608">
        <f t="shared" si="287"/>
        <v>10</v>
      </c>
      <c r="AJ61" s="609">
        <f t="shared" si="288"/>
        <v>0.4</v>
      </c>
      <c r="AK61" s="610" t="str">
        <f t="shared" si="289"/>
        <v>Equipamentos e instalações</v>
      </c>
      <c r="AL61" s="609">
        <f t="shared" si="290"/>
        <v>0.05</v>
      </c>
      <c r="AM61" s="611" t="str">
        <f t="shared" si="291"/>
        <v>Sim</v>
      </c>
      <c r="AN61" s="611" t="str">
        <f t="shared" si="292"/>
        <v>Sim</v>
      </c>
      <c r="AO61" s="140">
        <f t="array" ref="AO61">IF(ISBLANK($A61),0,IF(OR(AO$5-$AI61&lt;=0,$AM61="Não"),D61,D61+INDEX($AO$6:$BR$176,ROW()-5,COLUMN()-40-$AI61)))*IF($B61="Operacional",IFERROR(VLOOKUP($C61,SN_UGC,28,0),0),1)</f>
        <v>18</v>
      </c>
      <c r="AP61" s="140">
        <f t="array" ref="AP61">IF(ISBLANK($A61),0,IF(OR(AP$5-$AI61&lt;=0,$AM61="Não"),E61,E61+INDEX($AO$6:$BR$176,ROW()-5,COLUMN()-40-$AI61)))*IF($B61="Operacional",IFERROR(VLOOKUP($C61,SN_UGC,28,0),0),1)</f>
        <v>0</v>
      </c>
      <c r="AQ61" s="140">
        <f t="array" ref="AQ61">IF(ISBLANK($A61),0,IF(OR(AQ$5-$AI61&lt;=0,$AM61="Não"),F61,F61+INDEX($AO$6:$BR$176,ROW()-5,COLUMN()-40-$AI61)))*IF($B61="Operacional",IFERROR(VLOOKUP($C61,SN_UGC,28,0),0),1)</f>
        <v>0</v>
      </c>
      <c r="AR61" s="140">
        <f t="array" ref="AR61">IF(ISBLANK($A61),0,IF(OR(AR$5-$AI61&lt;=0,$AM61="Não"),G61,G61+INDEX($AO$6:$BR$176,ROW()-5,COLUMN()-40-$AI61)))*IF($B61="Operacional",IFERROR(VLOOKUP($C61,SN_UGC,28,0),0),1)</f>
        <v>0</v>
      </c>
      <c r="AS61" s="140">
        <f t="array" ref="AS61">IF(ISBLANK($A61),0,IF(OR(AS$5-$AI61&lt;=0,$AM61="Não"),H61,H61+INDEX($AO$6:$BR$176,ROW()-5,COLUMN()-40-$AI61)))*IF($B61="Operacional",IFERROR(VLOOKUP($C61,SN_UGC,28,0),0),1)</f>
        <v>0</v>
      </c>
      <c r="AT61" s="140">
        <f t="array" ref="AT61">IF(ISBLANK($A61),0,IF(OR(AT$5-$AI61&lt;=0,$AM61="Não"),I61,I61+INDEX($AO$6:$BR$176,ROW()-5,COLUMN()-40-$AI61)))*IF($B61="Operacional",IFERROR(VLOOKUP($C61,SN_UGC,28,0),0),1)</f>
        <v>0</v>
      </c>
      <c r="AU61" s="140">
        <f t="array" ref="AU61">IF(ISBLANK($A61),0,IF(OR(AU$5-$AI61&lt;=0,$AM61="Não"),J61,J61+INDEX($AO$6:$BR$176,ROW()-5,COLUMN()-40-$AI61)))*IF($B61="Operacional",IFERROR(VLOOKUP($C61,SN_UGC,28,0),0),1)</f>
        <v>0</v>
      </c>
      <c r="AV61" s="140">
        <f t="array" ref="AV61">IF(ISBLANK($A61),0,IF(OR(AV$5-$AI61&lt;=0,$AM61="Não"),K61,K61+INDEX($AO$6:$BR$176,ROW()-5,COLUMN()-40-$AI61)))*IF($B61="Operacional",IFERROR(VLOOKUP($C61,SN_UGC,28,0),0),1)</f>
        <v>0</v>
      </c>
      <c r="AW61" s="140">
        <f t="array" ref="AW61">IF(ISBLANK($A61),0,IF(OR(AW$5-$AI61&lt;=0,$AM61="Não"),L61,L61+INDEX($AO$6:$BR$176,ROW()-5,COLUMN()-40-$AI61)))*IF($B61="Operacional",IFERROR(VLOOKUP($C61,SN_UGC,28,0),0),1)</f>
        <v>0</v>
      </c>
      <c r="AX61" s="140">
        <f t="array" ref="AX61">IF(ISBLANK($A61),0,IF(OR(AX$5-$AI61&lt;=0,$AM61="Não"),M61,M61+INDEX($AO$6:$BR$176,ROW()-5,COLUMN()-40-$AI61)))*IF($B61="Operacional",IFERROR(VLOOKUP($C61,SN_UGC,28,0),0),1)</f>
        <v>0</v>
      </c>
      <c r="AY61" s="140">
        <f t="array" ref="AY61">IF(ISBLANK($A61),0,IF(OR(AY$5-$AI61&lt;=0,$AM61="Não"),N61,N61+INDEX($AO$6:$BR$176,ROW()-5,COLUMN()-40-$AI61)))*IF($B61="Operacional",IFERROR(VLOOKUP($C61,SN_UGC,28,0),0),1)</f>
        <v>18</v>
      </c>
      <c r="AZ61" s="140">
        <f t="array" ref="AZ61">IF(ISBLANK($A61),0,IF(OR(AZ$5-$AI61&lt;=0,$AM61="Não"),O61,O61+INDEX($AO$6:$BR$176,ROW()-5,COLUMN()-40-$AI61)))*IF($B61="Operacional",IFERROR(VLOOKUP($C61,SN_UGC,28,0),0),1)</f>
        <v>0</v>
      </c>
      <c r="BA61" s="140">
        <f t="array" ref="BA61">IF(ISBLANK($A61),0,IF(OR(BA$5-$AI61&lt;=0,$AM61="Não"),P61,P61+INDEX($AO$6:$BR$176,ROW()-5,COLUMN()-40-$AI61)))*IF($B61="Operacional",IFERROR(VLOOKUP($C61,SN_UGC,28,0),0),1)</f>
        <v>0</v>
      </c>
      <c r="BB61" s="140">
        <f t="array" ref="BB61">IF(ISBLANK($A61),0,IF(OR(BB$5-$AI61&lt;=0,$AM61="Não"),Q61,Q61+INDEX($AO$6:$BR$176,ROW()-5,COLUMN()-40-$AI61)))*IF($B61="Operacional",IFERROR(VLOOKUP($C61,SN_UGC,28,0),0),1)</f>
        <v>0</v>
      </c>
      <c r="BC61" s="140">
        <f t="array" ref="BC61">IF(ISBLANK($A61),0,IF(OR(BC$5-$AI61&lt;=0,$AM61="Não"),R61,R61+INDEX($AO$6:$BR$176,ROW()-5,COLUMN()-40-$AI61)))*IF($B61="Operacional",IFERROR(VLOOKUP($C61,SN_UGC,28,0),0),1)</f>
        <v>0</v>
      </c>
      <c r="BD61" s="140">
        <f t="array" ref="BD61">IF(ISBLANK($A61),0,IF(OR(BD$5-$AI61&lt;=0,$AM61="Não"),S61,S61+INDEX($AO$6:$BR$176,ROW()-5,COLUMN()-40-$AI61)))*IF($B61="Operacional",IFERROR(VLOOKUP($C61,SN_UGC,28,0),0),1)</f>
        <v>0</v>
      </c>
      <c r="BE61" s="140">
        <f t="array" ref="BE61">IF(ISBLANK($A61),0,IF(OR(BE$5-$AI61&lt;=0,$AM61="Não"),T61,T61+INDEX($AO$6:$BR$176,ROW()-5,COLUMN()-40-$AI61)))*IF($B61="Operacional",IFERROR(VLOOKUP($C61,SN_UGC,28,0),0),1)</f>
        <v>0</v>
      </c>
      <c r="BF61" s="140">
        <f t="array" ref="BF61">IF(ISBLANK($A61),0,IF(OR(BF$5-$AI61&lt;=0,$AM61="Não"),U61,U61+INDEX($AO$6:$BR$176,ROW()-5,COLUMN()-40-$AI61)))*IF($B61="Operacional",IFERROR(VLOOKUP($C61,SN_UGC,28,0),0),1)</f>
        <v>0</v>
      </c>
      <c r="BG61" s="140">
        <f t="array" ref="BG61">IF(ISBLANK($A61),0,IF(OR(BG$5-$AI61&lt;=0,$AM61="Não"),V61,V61+INDEX($AO$6:$BR$176,ROW()-5,COLUMN()-40-$AI61)))*IF($B61="Operacional",IFERROR(VLOOKUP($C61,SN_UGC,28,0),0),1)</f>
        <v>0</v>
      </c>
      <c r="BH61" s="140">
        <f t="array" ref="BH61">IF(ISBLANK($A61),0,IF(OR(BH$5-$AI61&lt;=0,$AM61="Não"),W61,W61+INDEX($AO$6:$BR$176,ROW()-5,COLUMN()-40-$AI61)))*IF($B61="Operacional",IFERROR(VLOOKUP($C61,SN_UGC,28,0),0),1)</f>
        <v>0</v>
      </c>
      <c r="BI61" s="140">
        <f t="array" ref="BI61">IF(ISBLANK($A61),0,IF(OR(BI$5-$AI61&lt;=0,$AM61="Não"),X61,X61+INDEX($AO$6:$BR$176,ROW()-5,COLUMN()-40-$AI61)))*IF($B61="Operacional",IFERROR(VLOOKUP($C61,SN_UGC,28,0),0),1)</f>
        <v>18</v>
      </c>
      <c r="BJ61" s="140">
        <f t="array" ref="BJ61">IF(ISBLANK($A61),0,IF(OR(BJ$5-$AI61&lt;=0,$AM61="Não"),Y61,Y61+INDEX($AO$6:$BR$176,ROW()-5,COLUMN()-40-$AI61)))*IF($B61="Operacional",IFERROR(VLOOKUP($C61,SN_UGC,28,0),0),1)</f>
        <v>0</v>
      </c>
      <c r="BK61" s="140">
        <f t="array" ref="BK61">IF(ISBLANK($A61),0,IF(OR(BK$5-$AI61&lt;=0,$AM61="Não"),Z61,Z61+INDEX($AO$6:$BR$176,ROW()-5,COLUMN()-40-$AI61)))*IF($B61="Operacional",IFERROR(VLOOKUP($C61,SN_UGC,28,0),0),1)</f>
        <v>0</v>
      </c>
      <c r="BL61" s="140">
        <f t="array" ref="BL61">IF(ISBLANK($A61),0,IF(OR(BL$5-$AI61&lt;=0,$AM61="Não"),AA61,AA61+INDEX($AO$6:$BR$176,ROW()-5,COLUMN()-40-$AI61)))*IF($B61="Operacional",IFERROR(VLOOKUP($C61,SN_UGC,28,0),0),1)</f>
        <v>0</v>
      </c>
      <c r="BM61" s="140">
        <f t="array" ref="BM61">IF(ISBLANK($A61),0,IF(OR(BM$5-$AI61&lt;=0,$AM61="Não"),AB61,AB61+INDEX($AO$6:$BR$176,ROW()-5,COLUMN()-40-$AI61)))*IF($B61="Operacional",IFERROR(VLOOKUP($C61,SN_UGC,28,0),0),1)</f>
        <v>0</v>
      </c>
      <c r="BN61" s="140">
        <f t="array" ref="BN61">IF(ISBLANK($A61),0,IF(OR(BN$5-$AI61&lt;=0,$AM61="Não"),AC61,AC61+INDEX($AO$6:$BR$176,ROW()-5,COLUMN()-40-$AI61)))*IF($B61="Operacional",IFERROR(VLOOKUP($C61,SN_UGC,28,0),0),1)</f>
        <v>0</v>
      </c>
      <c r="BO61" s="140">
        <f t="array" ref="BO61">IF(ISBLANK($A61),0,IF(OR(BO$5-$AI61&lt;=0,$AM61="Não"),AD61,AD61+INDEX($AO$6:$BR$176,ROW()-5,COLUMN()-40-$AI61)))*IF($B61="Operacional",IFERROR(VLOOKUP($C61,SN_UGC,28,0),0),1)</f>
        <v>0</v>
      </c>
      <c r="BP61" s="140">
        <f t="array" ref="BP61">IF(ISBLANK($A61),0,IF(OR(BP$5-$AI61&lt;=0,$AM61="Não"),AE61,AE61+INDEX($AO$6:$BR$176,ROW()-5,COLUMN()-40-$AI61)))*IF($B61="Operacional",IFERROR(VLOOKUP($C61,SN_UGC,28,0),0),1)</f>
        <v>0</v>
      </c>
      <c r="BQ61" s="140">
        <f t="array" ref="BQ61">IF(ISBLANK($A61),0,IF(OR(BQ$5-$AI61&lt;=0,$AM61="Não"),AF61,AF61+INDEX($AO$6:$BR$176,ROW()-5,COLUMN()-40-$AI61)))*IF($B61="Operacional",IFERROR(VLOOKUP($C61,SN_UGC,28,0),0),1)</f>
        <v>0</v>
      </c>
      <c r="BR61" s="140">
        <f t="array" ref="BR61">IF(ISBLANK($A61),0,IF(OR(BR$5-$AI61&lt;=0,$AM61="Não"),AG61,AG61+INDEX($AO$6:$BR$176,ROW()-5,COLUMN()-40-$AI61)))*IF($B61="Operacional",IFERROR(VLOOKUP($C61,SN_UGC,28,0),0),1)</f>
        <v>0</v>
      </c>
      <c r="BS61" s="141">
        <f t="shared" ref="BS61:CV61" si="301">IF(ISBLANK($A61),0,$AH61*AO61)</f>
        <v>91821.707999999999</v>
      </c>
      <c r="BT61" s="141">
        <f t="shared" si="301"/>
        <v>0</v>
      </c>
      <c r="BU61" s="141">
        <f t="shared" si="301"/>
        <v>0</v>
      </c>
      <c r="BV61" s="141">
        <f t="shared" si="301"/>
        <v>0</v>
      </c>
      <c r="BW61" s="141">
        <f t="shared" si="301"/>
        <v>0</v>
      </c>
      <c r="BX61" s="141">
        <f t="shared" si="301"/>
        <v>0</v>
      </c>
      <c r="BY61" s="141">
        <f t="shared" si="301"/>
        <v>0</v>
      </c>
      <c r="BZ61" s="141">
        <f t="shared" si="301"/>
        <v>0</v>
      </c>
      <c r="CA61" s="141">
        <f t="shared" si="301"/>
        <v>0</v>
      </c>
      <c r="CB61" s="141">
        <f t="shared" si="301"/>
        <v>0</v>
      </c>
      <c r="CC61" s="141">
        <f t="shared" si="301"/>
        <v>91821.707999999999</v>
      </c>
      <c r="CD61" s="141">
        <f t="shared" si="301"/>
        <v>0</v>
      </c>
      <c r="CE61" s="141">
        <f t="shared" si="301"/>
        <v>0</v>
      </c>
      <c r="CF61" s="141">
        <f t="shared" si="301"/>
        <v>0</v>
      </c>
      <c r="CG61" s="141">
        <f t="shared" si="301"/>
        <v>0</v>
      </c>
      <c r="CH61" s="141">
        <f t="shared" si="301"/>
        <v>0</v>
      </c>
      <c r="CI61" s="141">
        <f t="shared" si="301"/>
        <v>0</v>
      </c>
      <c r="CJ61" s="141">
        <f t="shared" si="301"/>
        <v>0</v>
      </c>
      <c r="CK61" s="141">
        <f t="shared" si="301"/>
        <v>0</v>
      </c>
      <c r="CL61" s="141">
        <f t="shared" si="301"/>
        <v>0</v>
      </c>
      <c r="CM61" s="141">
        <f t="shared" si="301"/>
        <v>91821.707999999999</v>
      </c>
      <c r="CN61" s="141">
        <f t="shared" si="301"/>
        <v>0</v>
      </c>
      <c r="CO61" s="141">
        <f t="shared" si="301"/>
        <v>0</v>
      </c>
      <c r="CP61" s="141">
        <f t="shared" si="301"/>
        <v>0</v>
      </c>
      <c r="CQ61" s="141">
        <f t="shared" si="301"/>
        <v>0</v>
      </c>
      <c r="CR61" s="141">
        <f t="shared" si="301"/>
        <v>0</v>
      </c>
      <c r="CS61" s="141">
        <f t="shared" si="301"/>
        <v>0</v>
      </c>
      <c r="CT61" s="141">
        <f t="shared" si="301"/>
        <v>0</v>
      </c>
      <c r="CU61" s="141">
        <f t="shared" si="301"/>
        <v>0</v>
      </c>
      <c r="CV61" s="141">
        <f t="shared" si="301"/>
        <v>0</v>
      </c>
      <c r="CW61" s="142">
        <f t="shared" ref="CW61:DZ61" si="302">EA61*$AH61*$AJ61</f>
        <v>0</v>
      </c>
      <c r="CX61" s="142">
        <f t="shared" si="302"/>
        <v>0</v>
      </c>
      <c r="CY61" s="142">
        <f t="shared" si="302"/>
        <v>0</v>
      </c>
      <c r="CZ61" s="142">
        <f t="shared" si="302"/>
        <v>0</v>
      </c>
      <c r="DA61" s="142">
        <f t="shared" si="302"/>
        <v>0</v>
      </c>
      <c r="DB61" s="142">
        <f t="shared" si="302"/>
        <v>0</v>
      </c>
      <c r="DC61" s="142">
        <f t="shared" si="302"/>
        <v>0</v>
      </c>
      <c r="DD61" s="142">
        <f t="shared" si="302"/>
        <v>0</v>
      </c>
      <c r="DE61" s="142">
        <f t="shared" si="302"/>
        <v>0</v>
      </c>
      <c r="DF61" s="142">
        <f t="shared" si="302"/>
        <v>0</v>
      </c>
      <c r="DG61" s="142">
        <f t="shared" si="302"/>
        <v>36728.683199999999</v>
      </c>
      <c r="DH61" s="142">
        <f t="shared" si="302"/>
        <v>0</v>
      </c>
      <c r="DI61" s="142">
        <f t="shared" si="302"/>
        <v>0</v>
      </c>
      <c r="DJ61" s="142">
        <f t="shared" si="302"/>
        <v>0</v>
      </c>
      <c r="DK61" s="142">
        <f t="shared" si="302"/>
        <v>0</v>
      </c>
      <c r="DL61" s="142">
        <f t="shared" si="302"/>
        <v>0</v>
      </c>
      <c r="DM61" s="142">
        <f t="shared" si="302"/>
        <v>0</v>
      </c>
      <c r="DN61" s="142">
        <f t="shared" si="302"/>
        <v>0</v>
      </c>
      <c r="DO61" s="142">
        <f t="shared" si="302"/>
        <v>0</v>
      </c>
      <c r="DP61" s="142">
        <f t="shared" si="302"/>
        <v>0</v>
      </c>
      <c r="DQ61" s="142">
        <f t="shared" si="302"/>
        <v>36728.683199999999</v>
      </c>
      <c r="DR61" s="142">
        <f t="shared" si="302"/>
        <v>0</v>
      </c>
      <c r="DS61" s="142">
        <f t="shared" si="302"/>
        <v>0</v>
      </c>
      <c r="DT61" s="142">
        <f t="shared" si="302"/>
        <v>0</v>
      </c>
      <c r="DU61" s="142">
        <f t="shared" si="302"/>
        <v>0</v>
      </c>
      <c r="DV61" s="142">
        <f t="shared" si="302"/>
        <v>0</v>
      </c>
      <c r="DW61" s="142">
        <f t="shared" si="302"/>
        <v>0</v>
      </c>
      <c r="DX61" s="142">
        <f t="shared" si="302"/>
        <v>0</v>
      </c>
      <c r="DY61" s="142">
        <f t="shared" si="302"/>
        <v>0</v>
      </c>
      <c r="DZ61" s="142">
        <f t="shared" si="302"/>
        <v>0</v>
      </c>
      <c r="EA61" s="143">
        <f t="shared" si="174"/>
        <v>0</v>
      </c>
      <c r="EB61" s="143">
        <f t="shared" si="175"/>
        <v>0</v>
      </c>
      <c r="EC61" s="143">
        <f t="shared" si="176"/>
        <v>0</v>
      </c>
      <c r="ED61" s="143">
        <f t="shared" si="177"/>
        <v>0</v>
      </c>
      <c r="EE61" s="143">
        <f t="shared" si="178"/>
        <v>0</v>
      </c>
      <c r="EF61" s="143">
        <f t="shared" si="179"/>
        <v>0</v>
      </c>
      <c r="EG61" s="143">
        <f t="shared" si="180"/>
        <v>0</v>
      </c>
      <c r="EH61" s="143">
        <f t="shared" si="181"/>
        <v>0</v>
      </c>
      <c r="EI61" s="143">
        <f t="shared" si="182"/>
        <v>0</v>
      </c>
      <c r="EJ61" s="143">
        <f t="shared" si="183"/>
        <v>0</v>
      </c>
      <c r="EK61" s="143">
        <f t="shared" si="184"/>
        <v>18</v>
      </c>
      <c r="EL61" s="143">
        <f t="shared" si="185"/>
        <v>0</v>
      </c>
      <c r="EM61" s="143">
        <f t="shared" si="186"/>
        <v>0</v>
      </c>
      <c r="EN61" s="143">
        <f t="shared" si="187"/>
        <v>0</v>
      </c>
      <c r="EO61" s="143">
        <f t="shared" si="188"/>
        <v>0</v>
      </c>
      <c r="EP61" s="143">
        <f t="shared" si="189"/>
        <v>0</v>
      </c>
      <c r="EQ61" s="143">
        <f t="shared" si="190"/>
        <v>0</v>
      </c>
      <c r="ER61" s="143">
        <f t="shared" si="191"/>
        <v>0</v>
      </c>
      <c r="ES61" s="143">
        <f t="shared" si="192"/>
        <v>0</v>
      </c>
      <c r="ET61" s="143">
        <f t="shared" si="193"/>
        <v>0</v>
      </c>
      <c r="EU61" s="143">
        <f t="shared" si="194"/>
        <v>18</v>
      </c>
      <c r="EV61" s="143">
        <f t="shared" si="195"/>
        <v>0</v>
      </c>
      <c r="EW61" s="143">
        <f t="shared" si="196"/>
        <v>0</v>
      </c>
      <c r="EX61" s="143">
        <f t="shared" si="197"/>
        <v>0</v>
      </c>
      <c r="EY61" s="143">
        <f t="shared" si="198"/>
        <v>0</v>
      </c>
      <c r="EZ61" s="143">
        <f t="shared" si="199"/>
        <v>0</v>
      </c>
      <c r="FA61" s="143">
        <f t="shared" si="200"/>
        <v>0</v>
      </c>
      <c r="FB61" s="143">
        <f t="shared" si="201"/>
        <v>0</v>
      </c>
      <c r="FC61" s="143">
        <f t="shared" si="202"/>
        <v>0</v>
      </c>
      <c r="FD61" s="143">
        <f t="shared" si="203"/>
        <v>0</v>
      </c>
      <c r="FE61" s="140">
        <f>SUM($D61:D61)*IF($B61="Operacional",IFERROR(VLOOKUP($C61,SN_UGC,28,0),0),1)</f>
        <v>18</v>
      </c>
      <c r="FF61" s="140">
        <f>SUM($D61:E61)*IF($B61="Operacional",IFERROR(VLOOKUP($C61,SN_UGC,28,0),0),1)</f>
        <v>18</v>
      </c>
      <c r="FG61" s="140">
        <f>SUM($D61:F61)*IF($B61="Operacional",IFERROR(VLOOKUP($C61,SN_UGC,28,0),0),1)</f>
        <v>18</v>
      </c>
      <c r="FH61" s="140">
        <f>SUM($D61:G61)*IF($B61="Operacional",IFERROR(VLOOKUP($C61,SN_UGC,28,0),0),1)</f>
        <v>18</v>
      </c>
      <c r="FI61" s="140">
        <f>SUM($D61:H61)*IF($B61="Operacional",IFERROR(VLOOKUP($C61,SN_UGC,28,0),0),1)</f>
        <v>18</v>
      </c>
      <c r="FJ61" s="140">
        <f>SUM($D61:I61)*IF($B61="Operacional",IFERROR(VLOOKUP($C61,SN_UGC,28,0),0),1)</f>
        <v>18</v>
      </c>
      <c r="FK61" s="140">
        <f>SUM($D61:J61)*IF($B61="Operacional",IFERROR(VLOOKUP($C61,SN_UGC,28,0),0),1)</f>
        <v>18</v>
      </c>
      <c r="FL61" s="140">
        <f>SUM($D61:K61)*IF($B61="Operacional",IFERROR(VLOOKUP($C61,SN_UGC,28,0),0),1)</f>
        <v>18</v>
      </c>
      <c r="FM61" s="140">
        <f>SUM($D61:L61)*IF($B61="Operacional",IFERROR(VLOOKUP($C61,SN_UGC,28,0),0),1)</f>
        <v>18</v>
      </c>
      <c r="FN61" s="140">
        <f>SUM($D61:M61)*IF($B61="Operacional",IFERROR(VLOOKUP($C61,SN_UGC,28,0),0),1)</f>
        <v>18</v>
      </c>
      <c r="FO61" s="140">
        <f>SUM($D61:N61)*IF($B61="Operacional",IFERROR(VLOOKUP($C61,SN_UGC,28,0),0),1)</f>
        <v>18</v>
      </c>
      <c r="FP61" s="140">
        <f>SUM($D61:O61)*IF($B61="Operacional",IFERROR(VLOOKUP($C61,SN_UGC,28,0),0),1)</f>
        <v>18</v>
      </c>
      <c r="FQ61" s="140">
        <f>SUM($D61:P61)*IF($B61="Operacional",IFERROR(VLOOKUP($C61,SN_UGC,28,0),0),1)</f>
        <v>18</v>
      </c>
      <c r="FR61" s="140">
        <f>SUM($D61:Q61)*IF($B61="Operacional",IFERROR(VLOOKUP($C61,SN_UGC,28,0),0),1)</f>
        <v>18</v>
      </c>
      <c r="FS61" s="140">
        <f>SUM($D61:R61)*IF($B61="Operacional",IFERROR(VLOOKUP($C61,SN_UGC,28,0),0),1)</f>
        <v>18</v>
      </c>
      <c r="FT61" s="140">
        <f>SUM($D61:S61)*IF($B61="Operacional",IFERROR(VLOOKUP($C61,SN_UGC,28,0),0),1)</f>
        <v>18</v>
      </c>
      <c r="FU61" s="140">
        <f>SUM($D61:T61)*IF($B61="Operacional",IFERROR(VLOOKUP($C61,SN_UGC,28,0),0),1)</f>
        <v>18</v>
      </c>
      <c r="FV61" s="140">
        <f>SUM($D61:U61)*IF($B61="Operacional",IFERROR(VLOOKUP($C61,SN_UGC,28,0),0),1)</f>
        <v>18</v>
      </c>
      <c r="FW61" s="140">
        <f>SUM($D61:V61)*IF($B61="Operacional",IFERROR(VLOOKUP($C61,SN_UGC,28,0),0),1)</f>
        <v>18</v>
      </c>
      <c r="FX61" s="140">
        <f>SUM($D61:W61)*IF($B61="Operacional",IFERROR(VLOOKUP($C61,SN_UGC,28,0),0),1)</f>
        <v>18</v>
      </c>
      <c r="FY61" s="140">
        <f>SUM($D61:X61)*IF($B61="Operacional",IFERROR(VLOOKUP($C61,SN_UGC,28,0),0),1)</f>
        <v>18</v>
      </c>
      <c r="FZ61" s="140">
        <f>SUM($D61:Y61)*IF($B61="Operacional",IFERROR(VLOOKUP($C61,SN_UGC,28,0),0),1)</f>
        <v>18</v>
      </c>
      <c r="GA61" s="140">
        <f>SUM($D61:Z61)*IF($B61="Operacional",IFERROR(VLOOKUP($C61,SN_UGC,28,0),0),1)</f>
        <v>18</v>
      </c>
      <c r="GB61" s="140">
        <f>SUM($D61:AA61)*IF($B61="Operacional",IFERROR(VLOOKUP($C61,SN_UGC,28,0),0),1)</f>
        <v>18</v>
      </c>
      <c r="GC61" s="140">
        <f>SUM($D61:AB61)*IF($B61="Operacional",IFERROR(VLOOKUP($C61,SN_UGC,28,0),0),1)</f>
        <v>18</v>
      </c>
      <c r="GD61" s="140">
        <f>SUM($D61:AC61)*IF($B61="Operacional",IFERROR(VLOOKUP($C61,SN_UGC,28,0),0),1)</f>
        <v>18</v>
      </c>
      <c r="GE61" s="140">
        <f>SUM($D61:AD61)*IF($B61="Operacional",IFERROR(VLOOKUP($C61,SN_UGC,28,0),0),1)</f>
        <v>18</v>
      </c>
      <c r="GF61" s="140">
        <f>SUM($D61:AE61)*IF($B61="Operacional",IFERROR(VLOOKUP($C61,SN_UGC,28,0),0),1)</f>
        <v>18</v>
      </c>
      <c r="GG61" s="140">
        <f>SUM($D61:AF61)*IF($B61="Operacional",IFERROR(VLOOKUP($C61,SN_UGC,28,0),0),1)</f>
        <v>18</v>
      </c>
      <c r="GH61" s="140">
        <f>SUM($D61:AG61)*IF($B61="Operacional",IFERROR(VLOOKUP($C61,SN_UGC,28,0),0),1)</f>
        <v>18</v>
      </c>
      <c r="GI61" s="141">
        <f t="shared" ref="GI61:HL61" si="303">FE61*$AH61*$AL61</f>
        <v>4591.0853999999999</v>
      </c>
      <c r="GJ61" s="141">
        <f t="shared" si="303"/>
        <v>4591.0853999999999</v>
      </c>
      <c r="GK61" s="141">
        <f t="shared" si="303"/>
        <v>4591.0853999999999</v>
      </c>
      <c r="GL61" s="141">
        <f t="shared" si="303"/>
        <v>4591.0853999999999</v>
      </c>
      <c r="GM61" s="141">
        <f t="shared" si="303"/>
        <v>4591.0853999999999</v>
      </c>
      <c r="GN61" s="141">
        <f t="shared" si="303"/>
        <v>4591.0853999999999</v>
      </c>
      <c r="GO61" s="141">
        <f t="shared" si="303"/>
        <v>4591.0853999999999</v>
      </c>
      <c r="GP61" s="141">
        <f t="shared" si="303"/>
        <v>4591.0853999999999</v>
      </c>
      <c r="GQ61" s="141">
        <f t="shared" si="303"/>
        <v>4591.0853999999999</v>
      </c>
      <c r="GR61" s="141">
        <f t="shared" si="303"/>
        <v>4591.0853999999999</v>
      </c>
      <c r="GS61" s="141">
        <f t="shared" si="303"/>
        <v>4591.0853999999999</v>
      </c>
      <c r="GT61" s="141">
        <f t="shared" si="303"/>
        <v>4591.0853999999999</v>
      </c>
      <c r="GU61" s="141">
        <f t="shared" si="303"/>
        <v>4591.0853999999999</v>
      </c>
      <c r="GV61" s="141">
        <f t="shared" si="303"/>
        <v>4591.0853999999999</v>
      </c>
      <c r="GW61" s="141">
        <f t="shared" si="303"/>
        <v>4591.0853999999999</v>
      </c>
      <c r="GX61" s="141">
        <f t="shared" si="303"/>
        <v>4591.0853999999999</v>
      </c>
      <c r="GY61" s="141">
        <f t="shared" si="303"/>
        <v>4591.0853999999999</v>
      </c>
      <c r="GZ61" s="141">
        <f t="shared" si="303"/>
        <v>4591.0853999999999</v>
      </c>
      <c r="HA61" s="141">
        <f t="shared" si="303"/>
        <v>4591.0853999999999</v>
      </c>
      <c r="HB61" s="141">
        <f t="shared" si="303"/>
        <v>4591.0853999999999</v>
      </c>
      <c r="HC61" s="141">
        <f t="shared" si="303"/>
        <v>4591.0853999999999</v>
      </c>
      <c r="HD61" s="141">
        <f t="shared" si="303"/>
        <v>4591.0853999999999</v>
      </c>
      <c r="HE61" s="141">
        <f t="shared" si="303"/>
        <v>4591.0853999999999</v>
      </c>
      <c r="HF61" s="141">
        <f t="shared" si="303"/>
        <v>4591.0853999999999</v>
      </c>
      <c r="HG61" s="141">
        <f t="shared" si="303"/>
        <v>4591.0853999999999</v>
      </c>
      <c r="HH61" s="141">
        <f t="shared" si="303"/>
        <v>4591.0853999999999</v>
      </c>
      <c r="HI61" s="141">
        <f t="shared" si="303"/>
        <v>4591.0853999999999</v>
      </c>
      <c r="HJ61" s="141">
        <f t="shared" si="303"/>
        <v>4591.0853999999999</v>
      </c>
      <c r="HK61" s="141">
        <f t="shared" si="303"/>
        <v>4591.0853999999999</v>
      </c>
      <c r="HL61" s="141">
        <f t="shared" si="303"/>
        <v>4591.0853999999999</v>
      </c>
      <c r="HM61" s="142">
        <f t="shared" ref="HM61:IP61" si="304">IF(ISBLANK($A61),,FE61*($AH61-($AH61*$AJ61))/$AI61)</f>
        <v>5509.3024800000003</v>
      </c>
      <c r="HN61" s="142">
        <f t="shared" si="304"/>
        <v>5509.3024800000003</v>
      </c>
      <c r="HO61" s="142">
        <f t="shared" si="304"/>
        <v>5509.3024800000003</v>
      </c>
      <c r="HP61" s="142">
        <f t="shared" si="304"/>
        <v>5509.3024800000003</v>
      </c>
      <c r="HQ61" s="142">
        <f t="shared" si="304"/>
        <v>5509.3024800000003</v>
      </c>
      <c r="HR61" s="142">
        <f t="shared" si="304"/>
        <v>5509.3024800000003</v>
      </c>
      <c r="HS61" s="142">
        <f t="shared" si="304"/>
        <v>5509.3024800000003</v>
      </c>
      <c r="HT61" s="142">
        <f t="shared" si="304"/>
        <v>5509.3024800000003</v>
      </c>
      <c r="HU61" s="142">
        <f t="shared" si="304"/>
        <v>5509.3024800000003</v>
      </c>
      <c r="HV61" s="142">
        <f t="shared" si="304"/>
        <v>5509.3024800000003</v>
      </c>
      <c r="HW61" s="142">
        <f t="shared" si="304"/>
        <v>5509.3024800000003</v>
      </c>
      <c r="HX61" s="142">
        <f t="shared" si="304"/>
        <v>5509.3024800000003</v>
      </c>
      <c r="HY61" s="142">
        <f t="shared" si="304"/>
        <v>5509.3024800000003</v>
      </c>
      <c r="HZ61" s="142">
        <f t="shared" si="304"/>
        <v>5509.3024800000003</v>
      </c>
      <c r="IA61" s="142">
        <f t="shared" si="304"/>
        <v>5509.3024800000003</v>
      </c>
      <c r="IB61" s="142">
        <f t="shared" si="304"/>
        <v>5509.3024800000003</v>
      </c>
      <c r="IC61" s="142">
        <f t="shared" si="304"/>
        <v>5509.3024800000003</v>
      </c>
      <c r="ID61" s="142">
        <f t="shared" si="304"/>
        <v>5509.3024800000003</v>
      </c>
      <c r="IE61" s="142">
        <f t="shared" si="304"/>
        <v>5509.3024800000003</v>
      </c>
      <c r="IF61" s="142">
        <f t="shared" si="304"/>
        <v>5509.3024800000003</v>
      </c>
      <c r="IG61" s="142">
        <f t="shared" si="304"/>
        <v>5509.3024800000003</v>
      </c>
      <c r="IH61" s="142">
        <f t="shared" si="304"/>
        <v>5509.3024800000003</v>
      </c>
      <c r="II61" s="142">
        <f t="shared" si="304"/>
        <v>5509.3024800000003</v>
      </c>
      <c r="IJ61" s="142">
        <f t="shared" si="304"/>
        <v>5509.3024800000003</v>
      </c>
      <c r="IK61" s="142">
        <f t="shared" si="304"/>
        <v>5509.3024800000003</v>
      </c>
      <c r="IL61" s="142">
        <f t="shared" si="304"/>
        <v>5509.3024800000003</v>
      </c>
      <c r="IM61" s="142">
        <f t="shared" si="304"/>
        <v>5509.3024800000003</v>
      </c>
      <c r="IN61" s="142">
        <f t="shared" si="304"/>
        <v>5509.3024800000003</v>
      </c>
      <c r="IO61" s="142">
        <f t="shared" si="304"/>
        <v>5509.3024800000003</v>
      </c>
      <c r="IP61" s="142">
        <f t="shared" si="304"/>
        <v>5509.3024800000003</v>
      </c>
      <c r="IQ61" s="141">
        <f>IF(ISBLANK($A61),,IF($AN61="Não",0,(SUM($AO61:AO61)*$AH61)-SUM($HM61:HM61)-SUM($CW61:CW61)))</f>
        <v>86312.40552</v>
      </c>
      <c r="IR61" s="141">
        <f>IF(ISBLANK($A61),,IF($AN61="Não",0,(SUM($AO61:AP61)*$AH61)-SUM($HM61:HN61)-SUM($CW61:CX61)))</f>
        <v>80803.103040000002</v>
      </c>
      <c r="IS61" s="141">
        <f>IF(ISBLANK($A61),,IF($AN61="Não",0,(SUM($AO61:AQ61)*$AH61)-SUM($HM61:HO61)-SUM($CW61:CY61)))</f>
        <v>75293.800560000003</v>
      </c>
      <c r="IT61" s="141">
        <f>IF(ISBLANK($A61),,IF($AN61="Não",0,(SUM($AO61:AR61)*$AH61)-SUM($HM61:HP61)-SUM($CW61:CZ61)))</f>
        <v>69784.49807999999</v>
      </c>
      <c r="IU61" s="141">
        <f>IF(ISBLANK($A61),,IF($AN61="Não",0,(SUM($AO61:AS61)*$AH61)-SUM($HM61:HQ61)-SUM($CW61:DA61)))</f>
        <v>64275.195599999999</v>
      </c>
      <c r="IV61" s="141">
        <f>IF(ISBLANK($A61),,IF($AN61="Não",0,(SUM($AO61:AT61)*$AH61)-SUM($HM61:HR61)-SUM($CW61:DB61)))</f>
        <v>58765.893120000001</v>
      </c>
      <c r="IW61" s="141">
        <f>IF(ISBLANK($A61),,IF($AN61="Não",0,(SUM($AO61:AU61)*$AH61)-SUM($HM61:HS61)-SUM($CW61:DC61)))</f>
        <v>53256.590640000002</v>
      </c>
      <c r="IX61" s="141">
        <f>IF(ISBLANK($A61),,IF($AN61="Não",0,(SUM($AO61:AV61)*$AH61)-SUM($HM61:HT61)-SUM($CW61:DD61)))</f>
        <v>47747.288160000004</v>
      </c>
      <c r="IY61" s="141">
        <f>IF(ISBLANK($A61),,IF($AN61="Não",0,(SUM($AO61:AW61)*$AH61)-SUM($HM61:HU61)-SUM($CW61:DE61)))</f>
        <v>42237.985680000005</v>
      </c>
      <c r="IZ61" s="141">
        <f>IF(ISBLANK($A61),,IF($AN61="Não",0,(SUM($AO61:AX61)*$AH61)-SUM($HM61:HV61)-SUM($CW61:DF61)))</f>
        <v>36728.683200000007</v>
      </c>
      <c r="JA61" s="141">
        <f>IF(ISBLANK($A61),,IF($AN61="Não",0,(SUM($AO61:AY61)*$AH61)-SUM($HM61:HW61)-SUM($CW61:DG61)))</f>
        <v>86312.40552</v>
      </c>
      <c r="JB61" s="141">
        <f>IF(ISBLANK($A61),,IF($AN61="Não",0,(SUM($AO61:AZ61)*$AH61)-SUM($HM61:HX61)-SUM($CW61:DH61)))</f>
        <v>80803.103040000002</v>
      </c>
      <c r="JC61" s="141">
        <f>IF(ISBLANK($A61),,IF($AN61="Não",0,(SUM($AO61:BA61)*$AH61)-SUM($HM61:HY61)-SUM($CW61:DI61)))</f>
        <v>75293.800560000003</v>
      </c>
      <c r="JD61" s="141">
        <f>IF(ISBLANK($A61),,IF($AN61="Não",0,(SUM($AO61:BB61)*$AH61)-SUM($HM61:HZ61)-SUM($CW61:DJ61)))</f>
        <v>69784.498080000005</v>
      </c>
      <c r="JE61" s="141">
        <f>IF(ISBLANK($A61),,IF($AN61="Não",0,(SUM($AO61:BC61)*$AH61)-SUM($HM61:IA61)-SUM($CW61:DK61)))</f>
        <v>64275.195600000006</v>
      </c>
      <c r="JF61" s="141">
        <f>IF(ISBLANK($A61),,IF($AN61="Não",0,(SUM($AO61:BD61)*$AH61)-SUM($HM61:IB61)-SUM($CW61:DL61)))</f>
        <v>58765.893120000008</v>
      </c>
      <c r="JG61" s="141">
        <f>IF(ISBLANK($A61),,IF($AN61="Não",0,(SUM($AO61:BE61)*$AH61)-SUM($HM61:IC61)-SUM($CW61:DM61)))</f>
        <v>53256.590640000009</v>
      </c>
      <c r="JH61" s="141">
        <f>IF(ISBLANK($A61),,IF($AN61="Não",0,(SUM($AO61:BF61)*$AH61)-SUM($HM61:ID61)-SUM($CW61:DN61)))</f>
        <v>47747.288160000011</v>
      </c>
      <c r="JI61" s="141">
        <f>IF(ISBLANK($A61),,IF($AN61="Não",0,(SUM($AO61:BG61)*$AH61)-SUM($HM61:IE61)-SUM($CW61:DO61)))</f>
        <v>42237.985680000013</v>
      </c>
      <c r="JJ61" s="141">
        <f>IF(ISBLANK($A61),,IF($AN61="Não",0,(SUM($AO61:BH61)*$AH61)-SUM($HM61:IF61)-SUM($CW61:DP61)))</f>
        <v>36728.683200000014</v>
      </c>
      <c r="JK61" s="141">
        <f>IF(ISBLANK($A61),,IF($AN61="Não",0,(SUM($AO61:BI61)*$AH61)-SUM($HM61:IG61)-SUM($CW61:DQ61)))</f>
        <v>86312.405520000029</v>
      </c>
      <c r="JL61" s="141">
        <f>IF(ISBLANK($A61),,IF($AN61="Não",0,(SUM($AO61:BJ61)*$AH61)-SUM($HM61:IH61)-SUM($CW61:DR61)))</f>
        <v>80803.103040000016</v>
      </c>
      <c r="JM61" s="141">
        <f>IF(ISBLANK($A61),,IF($AN61="Não",0,(SUM($AO61:BK61)*$AH61)-SUM($HM61:II61)-SUM($CW61:DS61)))</f>
        <v>75293.800560000032</v>
      </c>
      <c r="JN61" s="141">
        <f>IF(ISBLANK($A61),,IF($AN61="Não",0,(SUM($AO61:BL61)*$AH61)-SUM($HM61:IJ61)-SUM($CW61:DT61)))</f>
        <v>69784.498080000019</v>
      </c>
      <c r="JO61" s="141">
        <f>IF(ISBLANK($A61),,IF($AN61="Não",0,(SUM($AO61:BM61)*$AH61)-SUM($HM61:IK61)-SUM($CW61:DU61)))</f>
        <v>64275.195600000006</v>
      </c>
      <c r="JP61" s="141">
        <f>IF(ISBLANK($A61),,IF($AN61="Não",0,(SUM($AO61:BN61)*$AH61)-SUM($HM61:IL61)-SUM($CW61:DV61)))</f>
        <v>58765.893119999993</v>
      </c>
      <c r="JQ61" s="141">
        <f>IF(ISBLANK($A61),,IF($AN61="Não",0,(SUM($AO61:BO61)*$AH61)-SUM($HM61:IM61)-SUM($CW61:DW61)))</f>
        <v>53256.59063999998</v>
      </c>
      <c r="JR61" s="141">
        <f>IF(ISBLANK($A61),,IF($AN61="Não",0,(SUM($AO61:BP61)*$AH61)-SUM($HM61:IN61)-SUM($CW61:DX61)))</f>
        <v>47747.288159999967</v>
      </c>
      <c r="JS61" s="141">
        <f>IF(ISBLANK($A61),,IF($AN61="Não",0,(SUM($AO61:BQ61)*$AH61)-SUM($HM61:IO61)-SUM($CW61:DY61)))</f>
        <v>42237.985679999954</v>
      </c>
      <c r="JT61" s="141">
        <f>IF(ISBLANK($A61),,IF($AN61="Não",0,(SUM($AO61:BR61)*$AH61)-SUM($HM61:IP61)-SUM($CW61:DZ61)))</f>
        <v>36728.683199999941</v>
      </c>
    </row>
    <row r="62" spans="1:280" ht="15.75" customHeight="1">
      <c r="A62" s="129" t="s">
        <v>385</v>
      </c>
      <c r="B62" s="129" t="s">
        <v>209</v>
      </c>
      <c r="C62" s="138" t="s">
        <v>93</v>
      </c>
      <c r="D62" s="139">
        <v>3</v>
      </c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607">
        <f t="shared" si="286"/>
        <v>5101.2060000000001</v>
      </c>
      <c r="AI62" s="608">
        <f t="shared" si="287"/>
        <v>10</v>
      </c>
      <c r="AJ62" s="609">
        <f t="shared" si="288"/>
        <v>0.4</v>
      </c>
      <c r="AK62" s="610" t="str">
        <f t="shared" si="289"/>
        <v>Equipamentos e instalações</v>
      </c>
      <c r="AL62" s="609">
        <f t="shared" si="290"/>
        <v>0.05</v>
      </c>
      <c r="AM62" s="611" t="str">
        <f t="shared" si="291"/>
        <v>Sim</v>
      </c>
      <c r="AN62" s="611" t="str">
        <f t="shared" si="292"/>
        <v>Sim</v>
      </c>
      <c r="AO62" s="140">
        <f t="array" ref="AO62">IF(ISBLANK($A62),0,IF(OR(AO$5-$AI62&lt;=0,$AM62="Não"),D62,D62+INDEX($AO$6:$BR$176,ROW()-5,COLUMN()-40-$AI62)))*IF($B62="Operacional",IFERROR(VLOOKUP($C62,SN_UGC,28,0),0),1)</f>
        <v>3</v>
      </c>
      <c r="AP62" s="140">
        <f t="array" ref="AP62">IF(ISBLANK($A62),0,IF(OR(AP$5-$AI62&lt;=0,$AM62="Não"),E62,E62+INDEX($AO$6:$BR$176,ROW()-5,COLUMN()-40-$AI62)))*IF($B62="Operacional",IFERROR(VLOOKUP($C62,SN_UGC,28,0),0),1)</f>
        <v>0</v>
      </c>
      <c r="AQ62" s="140">
        <f t="array" ref="AQ62">IF(ISBLANK($A62),0,IF(OR(AQ$5-$AI62&lt;=0,$AM62="Não"),F62,F62+INDEX($AO$6:$BR$176,ROW()-5,COLUMN()-40-$AI62)))*IF($B62="Operacional",IFERROR(VLOOKUP($C62,SN_UGC,28,0),0),1)</f>
        <v>0</v>
      </c>
      <c r="AR62" s="140">
        <f t="array" ref="AR62">IF(ISBLANK($A62),0,IF(OR(AR$5-$AI62&lt;=0,$AM62="Não"),G62,G62+INDEX($AO$6:$BR$176,ROW()-5,COLUMN()-40-$AI62)))*IF($B62="Operacional",IFERROR(VLOOKUP($C62,SN_UGC,28,0),0),1)</f>
        <v>0</v>
      </c>
      <c r="AS62" s="140">
        <f t="array" ref="AS62">IF(ISBLANK($A62),0,IF(OR(AS$5-$AI62&lt;=0,$AM62="Não"),H62,H62+INDEX($AO$6:$BR$176,ROW()-5,COLUMN()-40-$AI62)))*IF($B62="Operacional",IFERROR(VLOOKUP($C62,SN_UGC,28,0),0),1)</f>
        <v>0</v>
      </c>
      <c r="AT62" s="140">
        <f t="array" ref="AT62">IF(ISBLANK($A62),0,IF(OR(AT$5-$AI62&lt;=0,$AM62="Não"),I62,I62+INDEX($AO$6:$BR$176,ROW()-5,COLUMN()-40-$AI62)))*IF($B62="Operacional",IFERROR(VLOOKUP($C62,SN_UGC,28,0),0),1)</f>
        <v>0</v>
      </c>
      <c r="AU62" s="140">
        <f t="array" ref="AU62">IF(ISBLANK($A62),0,IF(OR(AU$5-$AI62&lt;=0,$AM62="Não"),J62,J62+INDEX($AO$6:$BR$176,ROW()-5,COLUMN()-40-$AI62)))*IF($B62="Operacional",IFERROR(VLOOKUP($C62,SN_UGC,28,0),0),1)</f>
        <v>0</v>
      </c>
      <c r="AV62" s="140">
        <f t="array" ref="AV62">IF(ISBLANK($A62),0,IF(OR(AV$5-$AI62&lt;=0,$AM62="Não"),K62,K62+INDEX($AO$6:$BR$176,ROW()-5,COLUMN()-40-$AI62)))*IF($B62="Operacional",IFERROR(VLOOKUP($C62,SN_UGC,28,0),0),1)</f>
        <v>0</v>
      </c>
      <c r="AW62" s="140">
        <f t="array" ref="AW62">IF(ISBLANK($A62),0,IF(OR(AW$5-$AI62&lt;=0,$AM62="Não"),L62,L62+INDEX($AO$6:$BR$176,ROW()-5,COLUMN()-40-$AI62)))*IF($B62="Operacional",IFERROR(VLOOKUP($C62,SN_UGC,28,0),0),1)</f>
        <v>0</v>
      </c>
      <c r="AX62" s="140">
        <f t="array" ref="AX62">IF(ISBLANK($A62),0,IF(OR(AX$5-$AI62&lt;=0,$AM62="Não"),M62,M62+INDEX($AO$6:$BR$176,ROW()-5,COLUMN()-40-$AI62)))*IF($B62="Operacional",IFERROR(VLOOKUP($C62,SN_UGC,28,0),0),1)</f>
        <v>0</v>
      </c>
      <c r="AY62" s="140">
        <f t="array" ref="AY62">IF(ISBLANK($A62),0,IF(OR(AY$5-$AI62&lt;=0,$AM62="Não"),N62,N62+INDEX($AO$6:$BR$176,ROW()-5,COLUMN()-40-$AI62)))*IF($B62="Operacional",IFERROR(VLOOKUP($C62,SN_UGC,28,0),0),1)</f>
        <v>3</v>
      </c>
      <c r="AZ62" s="140">
        <f t="array" ref="AZ62">IF(ISBLANK($A62),0,IF(OR(AZ$5-$AI62&lt;=0,$AM62="Não"),O62,O62+INDEX($AO$6:$BR$176,ROW()-5,COLUMN()-40-$AI62)))*IF($B62="Operacional",IFERROR(VLOOKUP($C62,SN_UGC,28,0),0),1)</f>
        <v>0</v>
      </c>
      <c r="BA62" s="140">
        <f t="array" ref="BA62">IF(ISBLANK($A62),0,IF(OR(BA$5-$AI62&lt;=0,$AM62="Não"),P62,P62+INDEX($AO$6:$BR$176,ROW()-5,COLUMN()-40-$AI62)))*IF($B62="Operacional",IFERROR(VLOOKUP($C62,SN_UGC,28,0),0),1)</f>
        <v>0</v>
      </c>
      <c r="BB62" s="140">
        <f t="array" ref="BB62">IF(ISBLANK($A62),0,IF(OR(BB$5-$AI62&lt;=0,$AM62="Não"),Q62,Q62+INDEX($AO$6:$BR$176,ROW()-5,COLUMN()-40-$AI62)))*IF($B62="Operacional",IFERROR(VLOOKUP($C62,SN_UGC,28,0),0),1)</f>
        <v>0</v>
      </c>
      <c r="BC62" s="140">
        <f t="array" ref="BC62">IF(ISBLANK($A62),0,IF(OR(BC$5-$AI62&lt;=0,$AM62="Não"),R62,R62+INDEX($AO$6:$BR$176,ROW()-5,COLUMN()-40-$AI62)))*IF($B62="Operacional",IFERROR(VLOOKUP($C62,SN_UGC,28,0),0),1)</f>
        <v>0</v>
      </c>
      <c r="BD62" s="140">
        <f t="array" ref="BD62">IF(ISBLANK($A62),0,IF(OR(BD$5-$AI62&lt;=0,$AM62="Não"),S62,S62+INDEX($AO$6:$BR$176,ROW()-5,COLUMN()-40-$AI62)))*IF($B62="Operacional",IFERROR(VLOOKUP($C62,SN_UGC,28,0),0),1)</f>
        <v>0</v>
      </c>
      <c r="BE62" s="140">
        <f t="array" ref="BE62">IF(ISBLANK($A62),0,IF(OR(BE$5-$AI62&lt;=0,$AM62="Não"),T62,T62+INDEX($AO$6:$BR$176,ROW()-5,COLUMN()-40-$AI62)))*IF($B62="Operacional",IFERROR(VLOOKUP($C62,SN_UGC,28,0),0),1)</f>
        <v>0</v>
      </c>
      <c r="BF62" s="140">
        <f t="array" ref="BF62">IF(ISBLANK($A62),0,IF(OR(BF$5-$AI62&lt;=0,$AM62="Não"),U62,U62+INDEX($AO$6:$BR$176,ROW()-5,COLUMN()-40-$AI62)))*IF($B62="Operacional",IFERROR(VLOOKUP($C62,SN_UGC,28,0),0),1)</f>
        <v>0</v>
      </c>
      <c r="BG62" s="140">
        <f t="array" ref="BG62">IF(ISBLANK($A62),0,IF(OR(BG$5-$AI62&lt;=0,$AM62="Não"),V62,V62+INDEX($AO$6:$BR$176,ROW()-5,COLUMN()-40-$AI62)))*IF($B62="Operacional",IFERROR(VLOOKUP($C62,SN_UGC,28,0),0),1)</f>
        <v>0</v>
      </c>
      <c r="BH62" s="140">
        <f t="array" ref="BH62">IF(ISBLANK($A62),0,IF(OR(BH$5-$AI62&lt;=0,$AM62="Não"),W62,W62+INDEX($AO$6:$BR$176,ROW()-5,COLUMN()-40-$AI62)))*IF($B62="Operacional",IFERROR(VLOOKUP($C62,SN_UGC,28,0),0),1)</f>
        <v>0</v>
      </c>
      <c r="BI62" s="140">
        <f t="array" ref="BI62">IF(ISBLANK($A62),0,IF(OR(BI$5-$AI62&lt;=0,$AM62="Não"),X62,X62+INDEX($AO$6:$BR$176,ROW()-5,COLUMN()-40-$AI62)))*IF($B62="Operacional",IFERROR(VLOOKUP($C62,SN_UGC,28,0),0),1)</f>
        <v>3</v>
      </c>
      <c r="BJ62" s="140">
        <f t="array" ref="BJ62">IF(ISBLANK($A62),0,IF(OR(BJ$5-$AI62&lt;=0,$AM62="Não"),Y62,Y62+INDEX($AO$6:$BR$176,ROW()-5,COLUMN()-40-$AI62)))*IF($B62="Operacional",IFERROR(VLOOKUP($C62,SN_UGC,28,0),0),1)</f>
        <v>0</v>
      </c>
      <c r="BK62" s="140">
        <f t="array" ref="BK62">IF(ISBLANK($A62),0,IF(OR(BK$5-$AI62&lt;=0,$AM62="Não"),Z62,Z62+INDEX($AO$6:$BR$176,ROW()-5,COLUMN()-40-$AI62)))*IF($B62="Operacional",IFERROR(VLOOKUP($C62,SN_UGC,28,0),0),1)</f>
        <v>0</v>
      </c>
      <c r="BL62" s="140">
        <f t="array" ref="BL62">IF(ISBLANK($A62),0,IF(OR(BL$5-$AI62&lt;=0,$AM62="Não"),AA62,AA62+INDEX($AO$6:$BR$176,ROW()-5,COLUMN()-40-$AI62)))*IF($B62="Operacional",IFERROR(VLOOKUP($C62,SN_UGC,28,0),0),1)</f>
        <v>0</v>
      </c>
      <c r="BM62" s="140">
        <f t="array" ref="BM62">IF(ISBLANK($A62),0,IF(OR(BM$5-$AI62&lt;=0,$AM62="Não"),AB62,AB62+INDEX($AO$6:$BR$176,ROW()-5,COLUMN()-40-$AI62)))*IF($B62="Operacional",IFERROR(VLOOKUP($C62,SN_UGC,28,0),0),1)</f>
        <v>0</v>
      </c>
      <c r="BN62" s="140">
        <f t="array" ref="BN62">IF(ISBLANK($A62),0,IF(OR(BN$5-$AI62&lt;=0,$AM62="Não"),AC62,AC62+INDEX($AO$6:$BR$176,ROW()-5,COLUMN()-40-$AI62)))*IF($B62="Operacional",IFERROR(VLOOKUP($C62,SN_UGC,28,0),0),1)</f>
        <v>0</v>
      </c>
      <c r="BO62" s="140">
        <f t="array" ref="BO62">IF(ISBLANK($A62),0,IF(OR(BO$5-$AI62&lt;=0,$AM62="Não"),AD62,AD62+INDEX($AO$6:$BR$176,ROW()-5,COLUMN()-40-$AI62)))*IF($B62="Operacional",IFERROR(VLOOKUP($C62,SN_UGC,28,0),0),1)</f>
        <v>0</v>
      </c>
      <c r="BP62" s="140">
        <f t="array" ref="BP62">IF(ISBLANK($A62),0,IF(OR(BP$5-$AI62&lt;=0,$AM62="Não"),AE62,AE62+INDEX($AO$6:$BR$176,ROW()-5,COLUMN()-40-$AI62)))*IF($B62="Operacional",IFERROR(VLOOKUP($C62,SN_UGC,28,0),0),1)</f>
        <v>0</v>
      </c>
      <c r="BQ62" s="140">
        <f t="array" ref="BQ62">IF(ISBLANK($A62),0,IF(OR(BQ$5-$AI62&lt;=0,$AM62="Não"),AF62,AF62+INDEX($AO$6:$BR$176,ROW()-5,COLUMN()-40-$AI62)))*IF($B62="Operacional",IFERROR(VLOOKUP($C62,SN_UGC,28,0),0),1)</f>
        <v>0</v>
      </c>
      <c r="BR62" s="140">
        <f t="array" ref="BR62">IF(ISBLANK($A62),0,IF(OR(BR$5-$AI62&lt;=0,$AM62="Não"),AG62,AG62+INDEX($AO$6:$BR$176,ROW()-5,COLUMN()-40-$AI62)))*IF($B62="Operacional",IFERROR(VLOOKUP($C62,SN_UGC,28,0),0),1)</f>
        <v>0</v>
      </c>
      <c r="BS62" s="141">
        <f t="shared" ref="BS62:CV62" si="305">IF(ISBLANK($A62),0,$AH62*AO62)</f>
        <v>15303.618</v>
      </c>
      <c r="BT62" s="141">
        <f t="shared" si="305"/>
        <v>0</v>
      </c>
      <c r="BU62" s="141">
        <f t="shared" si="305"/>
        <v>0</v>
      </c>
      <c r="BV62" s="141">
        <f t="shared" si="305"/>
        <v>0</v>
      </c>
      <c r="BW62" s="141">
        <f t="shared" si="305"/>
        <v>0</v>
      </c>
      <c r="BX62" s="141">
        <f t="shared" si="305"/>
        <v>0</v>
      </c>
      <c r="BY62" s="141">
        <f t="shared" si="305"/>
        <v>0</v>
      </c>
      <c r="BZ62" s="141">
        <f t="shared" si="305"/>
        <v>0</v>
      </c>
      <c r="CA62" s="141">
        <f t="shared" si="305"/>
        <v>0</v>
      </c>
      <c r="CB62" s="141">
        <f t="shared" si="305"/>
        <v>0</v>
      </c>
      <c r="CC62" s="141">
        <f t="shared" si="305"/>
        <v>15303.618</v>
      </c>
      <c r="CD62" s="141">
        <f t="shared" si="305"/>
        <v>0</v>
      </c>
      <c r="CE62" s="141">
        <f t="shared" si="305"/>
        <v>0</v>
      </c>
      <c r="CF62" s="141">
        <f t="shared" si="305"/>
        <v>0</v>
      </c>
      <c r="CG62" s="141">
        <f t="shared" si="305"/>
        <v>0</v>
      </c>
      <c r="CH62" s="141">
        <f t="shared" si="305"/>
        <v>0</v>
      </c>
      <c r="CI62" s="141">
        <f t="shared" si="305"/>
        <v>0</v>
      </c>
      <c r="CJ62" s="141">
        <f t="shared" si="305"/>
        <v>0</v>
      </c>
      <c r="CK62" s="141">
        <f t="shared" si="305"/>
        <v>0</v>
      </c>
      <c r="CL62" s="141">
        <f t="shared" si="305"/>
        <v>0</v>
      </c>
      <c r="CM62" s="141">
        <f t="shared" si="305"/>
        <v>15303.618</v>
      </c>
      <c r="CN62" s="141">
        <f t="shared" si="305"/>
        <v>0</v>
      </c>
      <c r="CO62" s="141">
        <f t="shared" si="305"/>
        <v>0</v>
      </c>
      <c r="CP62" s="141">
        <f t="shared" si="305"/>
        <v>0</v>
      </c>
      <c r="CQ62" s="141">
        <f t="shared" si="305"/>
        <v>0</v>
      </c>
      <c r="CR62" s="141">
        <f t="shared" si="305"/>
        <v>0</v>
      </c>
      <c r="CS62" s="141">
        <f t="shared" si="305"/>
        <v>0</v>
      </c>
      <c r="CT62" s="141">
        <f t="shared" si="305"/>
        <v>0</v>
      </c>
      <c r="CU62" s="141">
        <f t="shared" si="305"/>
        <v>0</v>
      </c>
      <c r="CV62" s="141">
        <f t="shared" si="305"/>
        <v>0</v>
      </c>
      <c r="CW62" s="142">
        <f t="shared" ref="CW62:DZ62" si="306">EA62*$AH62*$AJ62</f>
        <v>0</v>
      </c>
      <c r="CX62" s="142">
        <f t="shared" si="306"/>
        <v>0</v>
      </c>
      <c r="CY62" s="142">
        <f t="shared" si="306"/>
        <v>0</v>
      </c>
      <c r="CZ62" s="142">
        <f t="shared" si="306"/>
        <v>0</v>
      </c>
      <c r="DA62" s="142">
        <f t="shared" si="306"/>
        <v>0</v>
      </c>
      <c r="DB62" s="142">
        <f t="shared" si="306"/>
        <v>0</v>
      </c>
      <c r="DC62" s="142">
        <f t="shared" si="306"/>
        <v>0</v>
      </c>
      <c r="DD62" s="142">
        <f t="shared" si="306"/>
        <v>0</v>
      </c>
      <c r="DE62" s="142">
        <f t="shared" si="306"/>
        <v>0</v>
      </c>
      <c r="DF62" s="142">
        <f t="shared" si="306"/>
        <v>0</v>
      </c>
      <c r="DG62" s="142">
        <f t="shared" si="306"/>
        <v>6121.4472000000005</v>
      </c>
      <c r="DH62" s="142">
        <f t="shared" si="306"/>
        <v>0</v>
      </c>
      <c r="DI62" s="142">
        <f t="shared" si="306"/>
        <v>0</v>
      </c>
      <c r="DJ62" s="142">
        <f t="shared" si="306"/>
        <v>0</v>
      </c>
      <c r="DK62" s="142">
        <f t="shared" si="306"/>
        <v>0</v>
      </c>
      <c r="DL62" s="142">
        <f t="shared" si="306"/>
        <v>0</v>
      </c>
      <c r="DM62" s="142">
        <f t="shared" si="306"/>
        <v>0</v>
      </c>
      <c r="DN62" s="142">
        <f t="shared" si="306"/>
        <v>0</v>
      </c>
      <c r="DO62" s="142">
        <f t="shared" si="306"/>
        <v>0</v>
      </c>
      <c r="DP62" s="142">
        <f t="shared" si="306"/>
        <v>0</v>
      </c>
      <c r="DQ62" s="142">
        <f t="shared" si="306"/>
        <v>6121.4472000000005</v>
      </c>
      <c r="DR62" s="142">
        <f t="shared" si="306"/>
        <v>0</v>
      </c>
      <c r="DS62" s="142">
        <f t="shared" si="306"/>
        <v>0</v>
      </c>
      <c r="DT62" s="142">
        <f t="shared" si="306"/>
        <v>0</v>
      </c>
      <c r="DU62" s="142">
        <f t="shared" si="306"/>
        <v>0</v>
      </c>
      <c r="DV62" s="142">
        <f t="shared" si="306"/>
        <v>0</v>
      </c>
      <c r="DW62" s="142">
        <f t="shared" si="306"/>
        <v>0</v>
      </c>
      <c r="DX62" s="142">
        <f t="shared" si="306"/>
        <v>0</v>
      </c>
      <c r="DY62" s="142">
        <f t="shared" si="306"/>
        <v>0</v>
      </c>
      <c r="DZ62" s="142">
        <f t="shared" si="306"/>
        <v>0</v>
      </c>
      <c r="EA62" s="143">
        <f t="shared" si="174"/>
        <v>0</v>
      </c>
      <c r="EB62" s="143">
        <f t="shared" si="175"/>
        <v>0</v>
      </c>
      <c r="EC62" s="143">
        <f t="shared" si="176"/>
        <v>0</v>
      </c>
      <c r="ED62" s="143">
        <f t="shared" si="177"/>
        <v>0</v>
      </c>
      <c r="EE62" s="143">
        <f t="shared" si="178"/>
        <v>0</v>
      </c>
      <c r="EF62" s="143">
        <f t="shared" si="179"/>
        <v>0</v>
      </c>
      <c r="EG62" s="143">
        <f t="shared" si="180"/>
        <v>0</v>
      </c>
      <c r="EH62" s="143">
        <f t="shared" si="181"/>
        <v>0</v>
      </c>
      <c r="EI62" s="143">
        <f t="shared" si="182"/>
        <v>0</v>
      </c>
      <c r="EJ62" s="143">
        <f t="shared" si="183"/>
        <v>0</v>
      </c>
      <c r="EK62" s="143">
        <f t="shared" si="184"/>
        <v>3</v>
      </c>
      <c r="EL62" s="143">
        <f t="shared" si="185"/>
        <v>0</v>
      </c>
      <c r="EM62" s="143">
        <f t="shared" si="186"/>
        <v>0</v>
      </c>
      <c r="EN62" s="143">
        <f t="shared" si="187"/>
        <v>0</v>
      </c>
      <c r="EO62" s="143">
        <f t="shared" si="188"/>
        <v>0</v>
      </c>
      <c r="EP62" s="143">
        <f t="shared" si="189"/>
        <v>0</v>
      </c>
      <c r="EQ62" s="143">
        <f t="shared" si="190"/>
        <v>0</v>
      </c>
      <c r="ER62" s="143">
        <f t="shared" si="191"/>
        <v>0</v>
      </c>
      <c r="ES62" s="143">
        <f t="shared" si="192"/>
        <v>0</v>
      </c>
      <c r="ET62" s="143">
        <f t="shared" si="193"/>
        <v>0</v>
      </c>
      <c r="EU62" s="143">
        <f t="shared" si="194"/>
        <v>3</v>
      </c>
      <c r="EV62" s="143">
        <f t="shared" si="195"/>
        <v>0</v>
      </c>
      <c r="EW62" s="143">
        <f t="shared" si="196"/>
        <v>0</v>
      </c>
      <c r="EX62" s="143">
        <f t="shared" si="197"/>
        <v>0</v>
      </c>
      <c r="EY62" s="143">
        <f t="shared" si="198"/>
        <v>0</v>
      </c>
      <c r="EZ62" s="143">
        <f t="shared" si="199"/>
        <v>0</v>
      </c>
      <c r="FA62" s="143">
        <f t="shared" si="200"/>
        <v>0</v>
      </c>
      <c r="FB62" s="143">
        <f t="shared" si="201"/>
        <v>0</v>
      </c>
      <c r="FC62" s="143">
        <f t="shared" si="202"/>
        <v>0</v>
      </c>
      <c r="FD62" s="143">
        <f t="shared" si="203"/>
        <v>0</v>
      </c>
      <c r="FE62" s="140">
        <f>SUM($D62:D62)*IF($B62="Operacional",IFERROR(VLOOKUP($C62,SN_UGC,28,0),0),1)</f>
        <v>3</v>
      </c>
      <c r="FF62" s="140">
        <f>SUM($D62:E62)*IF($B62="Operacional",IFERROR(VLOOKUP($C62,SN_UGC,28,0),0),1)</f>
        <v>3</v>
      </c>
      <c r="FG62" s="140">
        <f>SUM($D62:F62)*IF($B62="Operacional",IFERROR(VLOOKUP($C62,SN_UGC,28,0),0),1)</f>
        <v>3</v>
      </c>
      <c r="FH62" s="140">
        <f>SUM($D62:G62)*IF($B62="Operacional",IFERROR(VLOOKUP($C62,SN_UGC,28,0),0),1)</f>
        <v>3</v>
      </c>
      <c r="FI62" s="140">
        <f>SUM($D62:H62)*IF($B62="Operacional",IFERROR(VLOOKUP($C62,SN_UGC,28,0),0),1)</f>
        <v>3</v>
      </c>
      <c r="FJ62" s="140">
        <f>SUM($D62:I62)*IF($B62="Operacional",IFERROR(VLOOKUP($C62,SN_UGC,28,0),0),1)</f>
        <v>3</v>
      </c>
      <c r="FK62" s="140">
        <f>SUM($D62:J62)*IF($B62="Operacional",IFERROR(VLOOKUP($C62,SN_UGC,28,0),0),1)</f>
        <v>3</v>
      </c>
      <c r="FL62" s="140">
        <f>SUM($D62:K62)*IF($B62="Operacional",IFERROR(VLOOKUP($C62,SN_UGC,28,0),0),1)</f>
        <v>3</v>
      </c>
      <c r="FM62" s="140">
        <f>SUM($D62:L62)*IF($B62="Operacional",IFERROR(VLOOKUP($C62,SN_UGC,28,0),0),1)</f>
        <v>3</v>
      </c>
      <c r="FN62" s="140">
        <f>SUM($D62:M62)*IF($B62="Operacional",IFERROR(VLOOKUP($C62,SN_UGC,28,0),0),1)</f>
        <v>3</v>
      </c>
      <c r="FO62" s="140">
        <f>SUM($D62:N62)*IF($B62="Operacional",IFERROR(VLOOKUP($C62,SN_UGC,28,0),0),1)</f>
        <v>3</v>
      </c>
      <c r="FP62" s="140">
        <f>SUM($D62:O62)*IF($B62="Operacional",IFERROR(VLOOKUP($C62,SN_UGC,28,0),0),1)</f>
        <v>3</v>
      </c>
      <c r="FQ62" s="140">
        <f>SUM($D62:P62)*IF($B62="Operacional",IFERROR(VLOOKUP($C62,SN_UGC,28,0),0),1)</f>
        <v>3</v>
      </c>
      <c r="FR62" s="140">
        <f>SUM($D62:Q62)*IF($B62="Operacional",IFERROR(VLOOKUP($C62,SN_UGC,28,0),0),1)</f>
        <v>3</v>
      </c>
      <c r="FS62" s="140">
        <f>SUM($D62:R62)*IF($B62="Operacional",IFERROR(VLOOKUP($C62,SN_UGC,28,0),0),1)</f>
        <v>3</v>
      </c>
      <c r="FT62" s="140">
        <f>SUM($D62:S62)*IF($B62="Operacional",IFERROR(VLOOKUP($C62,SN_UGC,28,0),0),1)</f>
        <v>3</v>
      </c>
      <c r="FU62" s="140">
        <f>SUM($D62:T62)*IF($B62="Operacional",IFERROR(VLOOKUP($C62,SN_UGC,28,0),0),1)</f>
        <v>3</v>
      </c>
      <c r="FV62" s="140">
        <f>SUM($D62:U62)*IF($B62="Operacional",IFERROR(VLOOKUP($C62,SN_UGC,28,0),0),1)</f>
        <v>3</v>
      </c>
      <c r="FW62" s="140">
        <f>SUM($D62:V62)*IF($B62="Operacional",IFERROR(VLOOKUP($C62,SN_UGC,28,0),0),1)</f>
        <v>3</v>
      </c>
      <c r="FX62" s="140">
        <f>SUM($D62:W62)*IF($B62="Operacional",IFERROR(VLOOKUP($C62,SN_UGC,28,0),0),1)</f>
        <v>3</v>
      </c>
      <c r="FY62" s="140">
        <f>SUM($D62:X62)*IF($B62="Operacional",IFERROR(VLOOKUP($C62,SN_UGC,28,0),0),1)</f>
        <v>3</v>
      </c>
      <c r="FZ62" s="140">
        <f>SUM($D62:Y62)*IF($B62="Operacional",IFERROR(VLOOKUP($C62,SN_UGC,28,0),0),1)</f>
        <v>3</v>
      </c>
      <c r="GA62" s="140">
        <f>SUM($D62:Z62)*IF($B62="Operacional",IFERROR(VLOOKUP($C62,SN_UGC,28,0),0),1)</f>
        <v>3</v>
      </c>
      <c r="GB62" s="140">
        <f>SUM($D62:AA62)*IF($B62="Operacional",IFERROR(VLOOKUP($C62,SN_UGC,28,0),0),1)</f>
        <v>3</v>
      </c>
      <c r="GC62" s="140">
        <f>SUM($D62:AB62)*IF($B62="Operacional",IFERROR(VLOOKUP($C62,SN_UGC,28,0),0),1)</f>
        <v>3</v>
      </c>
      <c r="GD62" s="140">
        <f>SUM($D62:AC62)*IF($B62="Operacional",IFERROR(VLOOKUP($C62,SN_UGC,28,0),0),1)</f>
        <v>3</v>
      </c>
      <c r="GE62" s="140">
        <f>SUM($D62:AD62)*IF($B62="Operacional",IFERROR(VLOOKUP($C62,SN_UGC,28,0),0),1)</f>
        <v>3</v>
      </c>
      <c r="GF62" s="140">
        <f>SUM($D62:AE62)*IF($B62="Operacional",IFERROR(VLOOKUP($C62,SN_UGC,28,0),0),1)</f>
        <v>3</v>
      </c>
      <c r="GG62" s="140">
        <f>SUM($D62:AF62)*IF($B62="Operacional",IFERROR(VLOOKUP($C62,SN_UGC,28,0),0),1)</f>
        <v>3</v>
      </c>
      <c r="GH62" s="140">
        <f>SUM($D62:AG62)*IF($B62="Operacional",IFERROR(VLOOKUP($C62,SN_UGC,28,0),0),1)</f>
        <v>3</v>
      </c>
      <c r="GI62" s="141">
        <f t="shared" ref="GI62:HL62" si="307">FE62*$AH62*$AL62</f>
        <v>765.18090000000007</v>
      </c>
      <c r="GJ62" s="141">
        <f t="shared" si="307"/>
        <v>765.18090000000007</v>
      </c>
      <c r="GK62" s="141">
        <f t="shared" si="307"/>
        <v>765.18090000000007</v>
      </c>
      <c r="GL62" s="141">
        <f t="shared" si="307"/>
        <v>765.18090000000007</v>
      </c>
      <c r="GM62" s="141">
        <f t="shared" si="307"/>
        <v>765.18090000000007</v>
      </c>
      <c r="GN62" s="141">
        <f t="shared" si="307"/>
        <v>765.18090000000007</v>
      </c>
      <c r="GO62" s="141">
        <f t="shared" si="307"/>
        <v>765.18090000000007</v>
      </c>
      <c r="GP62" s="141">
        <f t="shared" si="307"/>
        <v>765.18090000000007</v>
      </c>
      <c r="GQ62" s="141">
        <f t="shared" si="307"/>
        <v>765.18090000000007</v>
      </c>
      <c r="GR62" s="141">
        <f t="shared" si="307"/>
        <v>765.18090000000007</v>
      </c>
      <c r="GS62" s="141">
        <f t="shared" si="307"/>
        <v>765.18090000000007</v>
      </c>
      <c r="GT62" s="141">
        <f t="shared" si="307"/>
        <v>765.18090000000007</v>
      </c>
      <c r="GU62" s="141">
        <f t="shared" si="307"/>
        <v>765.18090000000007</v>
      </c>
      <c r="GV62" s="141">
        <f t="shared" si="307"/>
        <v>765.18090000000007</v>
      </c>
      <c r="GW62" s="141">
        <f t="shared" si="307"/>
        <v>765.18090000000007</v>
      </c>
      <c r="GX62" s="141">
        <f t="shared" si="307"/>
        <v>765.18090000000007</v>
      </c>
      <c r="GY62" s="141">
        <f t="shared" si="307"/>
        <v>765.18090000000007</v>
      </c>
      <c r="GZ62" s="141">
        <f t="shared" si="307"/>
        <v>765.18090000000007</v>
      </c>
      <c r="HA62" s="141">
        <f t="shared" si="307"/>
        <v>765.18090000000007</v>
      </c>
      <c r="HB62" s="141">
        <f t="shared" si="307"/>
        <v>765.18090000000007</v>
      </c>
      <c r="HC62" s="141">
        <f t="shared" si="307"/>
        <v>765.18090000000007</v>
      </c>
      <c r="HD62" s="141">
        <f t="shared" si="307"/>
        <v>765.18090000000007</v>
      </c>
      <c r="HE62" s="141">
        <f t="shared" si="307"/>
        <v>765.18090000000007</v>
      </c>
      <c r="HF62" s="141">
        <f t="shared" si="307"/>
        <v>765.18090000000007</v>
      </c>
      <c r="HG62" s="141">
        <f t="shared" si="307"/>
        <v>765.18090000000007</v>
      </c>
      <c r="HH62" s="141">
        <f t="shared" si="307"/>
        <v>765.18090000000007</v>
      </c>
      <c r="HI62" s="141">
        <f t="shared" si="307"/>
        <v>765.18090000000007</v>
      </c>
      <c r="HJ62" s="141">
        <f t="shared" si="307"/>
        <v>765.18090000000007</v>
      </c>
      <c r="HK62" s="141">
        <f t="shared" si="307"/>
        <v>765.18090000000007</v>
      </c>
      <c r="HL62" s="141">
        <f t="shared" si="307"/>
        <v>765.18090000000007</v>
      </c>
      <c r="HM62" s="142">
        <f t="shared" ref="HM62:IP62" si="308">IF(ISBLANK($A62),,FE62*($AH62-($AH62*$AJ62))/$AI62)</f>
        <v>918.21708000000001</v>
      </c>
      <c r="HN62" s="142">
        <f t="shared" si="308"/>
        <v>918.21708000000001</v>
      </c>
      <c r="HO62" s="142">
        <f t="shared" si="308"/>
        <v>918.21708000000001</v>
      </c>
      <c r="HP62" s="142">
        <f t="shared" si="308"/>
        <v>918.21708000000001</v>
      </c>
      <c r="HQ62" s="142">
        <f t="shared" si="308"/>
        <v>918.21708000000001</v>
      </c>
      <c r="HR62" s="142">
        <f t="shared" si="308"/>
        <v>918.21708000000001</v>
      </c>
      <c r="HS62" s="142">
        <f t="shared" si="308"/>
        <v>918.21708000000001</v>
      </c>
      <c r="HT62" s="142">
        <f t="shared" si="308"/>
        <v>918.21708000000001</v>
      </c>
      <c r="HU62" s="142">
        <f t="shared" si="308"/>
        <v>918.21708000000001</v>
      </c>
      <c r="HV62" s="142">
        <f t="shared" si="308"/>
        <v>918.21708000000001</v>
      </c>
      <c r="HW62" s="142">
        <f t="shared" si="308"/>
        <v>918.21708000000001</v>
      </c>
      <c r="HX62" s="142">
        <f t="shared" si="308"/>
        <v>918.21708000000001</v>
      </c>
      <c r="HY62" s="142">
        <f t="shared" si="308"/>
        <v>918.21708000000001</v>
      </c>
      <c r="HZ62" s="142">
        <f t="shared" si="308"/>
        <v>918.21708000000001</v>
      </c>
      <c r="IA62" s="142">
        <f t="shared" si="308"/>
        <v>918.21708000000001</v>
      </c>
      <c r="IB62" s="142">
        <f t="shared" si="308"/>
        <v>918.21708000000001</v>
      </c>
      <c r="IC62" s="142">
        <f t="shared" si="308"/>
        <v>918.21708000000001</v>
      </c>
      <c r="ID62" s="142">
        <f t="shared" si="308"/>
        <v>918.21708000000001</v>
      </c>
      <c r="IE62" s="142">
        <f t="shared" si="308"/>
        <v>918.21708000000001</v>
      </c>
      <c r="IF62" s="142">
        <f t="shared" si="308"/>
        <v>918.21708000000001</v>
      </c>
      <c r="IG62" s="142">
        <f t="shared" si="308"/>
        <v>918.21708000000001</v>
      </c>
      <c r="IH62" s="142">
        <f t="shared" si="308"/>
        <v>918.21708000000001</v>
      </c>
      <c r="II62" s="142">
        <f t="shared" si="308"/>
        <v>918.21708000000001</v>
      </c>
      <c r="IJ62" s="142">
        <f t="shared" si="308"/>
        <v>918.21708000000001</v>
      </c>
      <c r="IK62" s="142">
        <f t="shared" si="308"/>
        <v>918.21708000000001</v>
      </c>
      <c r="IL62" s="142">
        <f t="shared" si="308"/>
        <v>918.21708000000001</v>
      </c>
      <c r="IM62" s="142">
        <f t="shared" si="308"/>
        <v>918.21708000000001</v>
      </c>
      <c r="IN62" s="142">
        <f t="shared" si="308"/>
        <v>918.21708000000001</v>
      </c>
      <c r="IO62" s="142">
        <f t="shared" si="308"/>
        <v>918.21708000000001</v>
      </c>
      <c r="IP62" s="142">
        <f t="shared" si="308"/>
        <v>918.21708000000001</v>
      </c>
      <c r="IQ62" s="141">
        <f>IF(ISBLANK($A62),,IF($AN62="Não",0,(SUM($AO62:AO62)*$AH62)-SUM($HM62:HM62)-SUM($CW62:CW62)))</f>
        <v>14385.40092</v>
      </c>
      <c r="IR62" s="141">
        <f>IF(ISBLANK($A62),,IF($AN62="Não",0,(SUM($AO62:AP62)*$AH62)-SUM($HM62:HN62)-SUM($CW62:CX62)))</f>
        <v>13467.18384</v>
      </c>
      <c r="IS62" s="141">
        <f>IF(ISBLANK($A62),,IF($AN62="Não",0,(SUM($AO62:AQ62)*$AH62)-SUM($HM62:HO62)-SUM($CW62:CY62)))</f>
        <v>12548.966759999999</v>
      </c>
      <c r="IT62" s="141">
        <f>IF(ISBLANK($A62),,IF($AN62="Não",0,(SUM($AO62:AR62)*$AH62)-SUM($HM62:HP62)-SUM($CW62:CZ62)))</f>
        <v>11630.749680000001</v>
      </c>
      <c r="IU62" s="141">
        <f>IF(ISBLANK($A62),,IF($AN62="Não",0,(SUM($AO62:AS62)*$AH62)-SUM($HM62:HQ62)-SUM($CW62:DA62)))</f>
        <v>10712.5326</v>
      </c>
      <c r="IV62" s="141">
        <f>IF(ISBLANK($A62),,IF($AN62="Não",0,(SUM($AO62:AT62)*$AH62)-SUM($HM62:HR62)-SUM($CW62:DB62)))</f>
        <v>9794.3155200000001</v>
      </c>
      <c r="IW62" s="141">
        <f>IF(ISBLANK($A62),,IF($AN62="Não",0,(SUM($AO62:AU62)*$AH62)-SUM($HM62:HS62)-SUM($CW62:DC62)))</f>
        <v>8876.0984399999998</v>
      </c>
      <c r="IX62" s="141">
        <f>IF(ISBLANK($A62),,IF($AN62="Não",0,(SUM($AO62:AV62)*$AH62)-SUM($HM62:HT62)-SUM($CW62:DD62)))</f>
        <v>7957.8813599999994</v>
      </c>
      <c r="IY62" s="141">
        <f>IF(ISBLANK($A62),,IF($AN62="Não",0,(SUM($AO62:AW62)*$AH62)-SUM($HM62:HU62)-SUM($CW62:DE62)))</f>
        <v>7039.6642799999991</v>
      </c>
      <c r="IZ62" s="141">
        <f>IF(ISBLANK($A62),,IF($AN62="Não",0,(SUM($AO62:AX62)*$AH62)-SUM($HM62:HV62)-SUM($CW62:DF62)))</f>
        <v>6121.4471999999987</v>
      </c>
      <c r="JA62" s="141">
        <f>IF(ISBLANK($A62),,IF($AN62="Não",0,(SUM($AO62:AY62)*$AH62)-SUM($HM62:HW62)-SUM($CW62:DG62)))</f>
        <v>14385.400919999998</v>
      </c>
      <c r="JB62" s="141">
        <f>IF(ISBLANK($A62),,IF($AN62="Não",0,(SUM($AO62:AZ62)*$AH62)-SUM($HM62:HX62)-SUM($CW62:DH62)))</f>
        <v>13467.18384</v>
      </c>
      <c r="JC62" s="141">
        <f>IF(ISBLANK($A62),,IF($AN62="Não",0,(SUM($AO62:BA62)*$AH62)-SUM($HM62:HY62)-SUM($CW62:DI62)))</f>
        <v>12548.966759999998</v>
      </c>
      <c r="JD62" s="141">
        <f>IF(ISBLANK($A62),,IF($AN62="Não",0,(SUM($AO62:BB62)*$AH62)-SUM($HM62:HZ62)-SUM($CW62:DJ62)))</f>
        <v>11630.749679999995</v>
      </c>
      <c r="JE62" s="141">
        <f>IF(ISBLANK($A62),,IF($AN62="Não",0,(SUM($AO62:BC62)*$AH62)-SUM($HM62:IA62)-SUM($CW62:DK62)))</f>
        <v>10712.532599999997</v>
      </c>
      <c r="JF62" s="141">
        <f>IF(ISBLANK($A62),,IF($AN62="Não",0,(SUM($AO62:BD62)*$AH62)-SUM($HM62:IB62)-SUM($CW62:DL62)))</f>
        <v>9794.3155199999965</v>
      </c>
      <c r="JG62" s="141">
        <f>IF(ISBLANK($A62),,IF($AN62="Não",0,(SUM($AO62:BE62)*$AH62)-SUM($HM62:IC62)-SUM($CW62:DM62)))</f>
        <v>8876.0984399999961</v>
      </c>
      <c r="JH62" s="141">
        <f>IF(ISBLANK($A62),,IF($AN62="Não",0,(SUM($AO62:BF62)*$AH62)-SUM($HM62:ID62)-SUM($CW62:DN62)))</f>
        <v>7957.8813599999976</v>
      </c>
      <c r="JI62" s="141">
        <f>IF(ISBLANK($A62),,IF($AN62="Não",0,(SUM($AO62:BG62)*$AH62)-SUM($HM62:IE62)-SUM($CW62:DO62)))</f>
        <v>7039.6642799999991</v>
      </c>
      <c r="JJ62" s="141">
        <f>IF(ISBLANK($A62),,IF($AN62="Não",0,(SUM($AO62:BH62)*$AH62)-SUM($HM62:IF62)-SUM($CW62:DP62)))</f>
        <v>6121.4472000000005</v>
      </c>
      <c r="JK62" s="141">
        <f>IF(ISBLANK($A62),,IF($AN62="Não",0,(SUM($AO62:BI62)*$AH62)-SUM($HM62:IG62)-SUM($CW62:DQ62)))</f>
        <v>14385.40092</v>
      </c>
      <c r="JL62" s="141">
        <f>IF(ISBLANK($A62),,IF($AN62="Não",0,(SUM($AO62:BJ62)*$AH62)-SUM($HM62:IH62)-SUM($CW62:DR62)))</f>
        <v>13467.183840000002</v>
      </c>
      <c r="JM62" s="141">
        <f>IF(ISBLANK($A62),,IF($AN62="Não",0,(SUM($AO62:BK62)*$AH62)-SUM($HM62:II62)-SUM($CW62:DS62)))</f>
        <v>12548.966760000003</v>
      </c>
      <c r="JN62" s="141">
        <f>IF(ISBLANK($A62),,IF($AN62="Não",0,(SUM($AO62:BL62)*$AH62)-SUM($HM62:IJ62)-SUM($CW62:DT62)))</f>
        <v>11630.749680000004</v>
      </c>
      <c r="JO62" s="141">
        <f>IF(ISBLANK($A62),,IF($AN62="Não",0,(SUM($AO62:BM62)*$AH62)-SUM($HM62:IK62)-SUM($CW62:DU62)))</f>
        <v>10712.532600000006</v>
      </c>
      <c r="JP62" s="141">
        <f>IF(ISBLANK($A62),,IF($AN62="Não",0,(SUM($AO62:BN62)*$AH62)-SUM($HM62:IL62)-SUM($CW62:DV62)))</f>
        <v>9794.3155200000074</v>
      </c>
      <c r="JQ62" s="141">
        <f>IF(ISBLANK($A62),,IF($AN62="Não",0,(SUM($AO62:BO62)*$AH62)-SUM($HM62:IM62)-SUM($CW62:DW62)))</f>
        <v>8876.0984400000088</v>
      </c>
      <c r="JR62" s="141">
        <f>IF(ISBLANK($A62),,IF($AN62="Não",0,(SUM($AO62:BP62)*$AH62)-SUM($HM62:IN62)-SUM($CW62:DX62)))</f>
        <v>7957.8813600000103</v>
      </c>
      <c r="JS62" s="141">
        <f>IF(ISBLANK($A62),,IF($AN62="Não",0,(SUM($AO62:BQ62)*$AH62)-SUM($HM62:IO62)-SUM($CW62:DY62)))</f>
        <v>7039.6642800000118</v>
      </c>
      <c r="JT62" s="141">
        <f>IF(ISBLANK($A62),,IF($AN62="Não",0,(SUM($AO62:BR62)*$AH62)-SUM($HM62:IP62)-SUM($CW62:DZ62)))</f>
        <v>6121.4472000000133</v>
      </c>
    </row>
    <row r="63" spans="1:280" ht="15.75" customHeight="1">
      <c r="A63" s="129" t="s">
        <v>352</v>
      </c>
      <c r="B63" s="129" t="s">
        <v>209</v>
      </c>
      <c r="C63" s="138" t="s">
        <v>83</v>
      </c>
      <c r="D63" s="139">
        <v>64</v>
      </c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607">
        <f t="shared" si="286"/>
        <v>2372.59</v>
      </c>
      <c r="AI63" s="608">
        <f t="shared" si="287"/>
        <v>30</v>
      </c>
      <c r="AJ63" s="609">
        <f t="shared" si="288"/>
        <v>0</v>
      </c>
      <c r="AK63" s="610" t="str">
        <f t="shared" si="289"/>
        <v>Edificações</v>
      </c>
      <c r="AL63" s="609">
        <f t="shared" si="290"/>
        <v>0.05</v>
      </c>
      <c r="AM63" s="611" t="str">
        <f t="shared" si="291"/>
        <v>Sim</v>
      </c>
      <c r="AN63" s="611" t="str">
        <f t="shared" si="292"/>
        <v>Não</v>
      </c>
      <c r="AO63" s="140">
        <f t="array" ref="AO63">IF(ISBLANK($A63),0,IF(OR(AO$5-$AI63&lt;=0,$AM63="Não"),D63,D63+INDEX($AO$6:$BR$176,ROW()-5,COLUMN()-40-$AI63)))*IF($B63="Operacional",IFERROR(VLOOKUP($C63,SN_UGC,28,0),0),1)</f>
        <v>64</v>
      </c>
      <c r="AP63" s="140">
        <f t="array" ref="AP63">IF(ISBLANK($A63),0,IF(OR(AP$5-$AI63&lt;=0,$AM63="Não"),E63,E63+INDEX($AO$6:$BR$176,ROW()-5,COLUMN()-40-$AI63)))*IF($B63="Operacional",IFERROR(VLOOKUP($C63,SN_UGC,28,0),0),1)</f>
        <v>0</v>
      </c>
      <c r="AQ63" s="140">
        <f t="array" ref="AQ63">IF(ISBLANK($A63),0,IF(OR(AQ$5-$AI63&lt;=0,$AM63="Não"),F63,F63+INDEX($AO$6:$BR$176,ROW()-5,COLUMN()-40-$AI63)))*IF($B63="Operacional",IFERROR(VLOOKUP($C63,SN_UGC,28,0),0),1)</f>
        <v>0</v>
      </c>
      <c r="AR63" s="140">
        <f t="array" ref="AR63">IF(ISBLANK($A63),0,IF(OR(AR$5-$AI63&lt;=0,$AM63="Não"),G63,G63+INDEX($AO$6:$BR$176,ROW()-5,COLUMN()-40-$AI63)))*IF($B63="Operacional",IFERROR(VLOOKUP($C63,SN_UGC,28,0),0),1)</f>
        <v>0</v>
      </c>
      <c r="AS63" s="140">
        <f t="array" ref="AS63">IF(ISBLANK($A63),0,IF(OR(AS$5-$AI63&lt;=0,$AM63="Não"),H63,H63+INDEX($AO$6:$BR$176,ROW()-5,COLUMN()-40-$AI63)))*IF($B63="Operacional",IFERROR(VLOOKUP($C63,SN_UGC,28,0),0),1)</f>
        <v>0</v>
      </c>
      <c r="AT63" s="140">
        <f t="array" ref="AT63">IF(ISBLANK($A63),0,IF(OR(AT$5-$AI63&lt;=0,$AM63="Não"),I63,I63+INDEX($AO$6:$BR$176,ROW()-5,COLUMN()-40-$AI63)))*IF($B63="Operacional",IFERROR(VLOOKUP($C63,SN_UGC,28,0),0),1)</f>
        <v>0</v>
      </c>
      <c r="AU63" s="140">
        <f t="array" ref="AU63">IF(ISBLANK($A63),0,IF(OR(AU$5-$AI63&lt;=0,$AM63="Não"),J63,J63+INDEX($AO$6:$BR$176,ROW()-5,COLUMN()-40-$AI63)))*IF($B63="Operacional",IFERROR(VLOOKUP($C63,SN_UGC,28,0),0),1)</f>
        <v>0</v>
      </c>
      <c r="AV63" s="140">
        <f t="array" ref="AV63">IF(ISBLANK($A63),0,IF(OR(AV$5-$AI63&lt;=0,$AM63="Não"),K63,K63+INDEX($AO$6:$BR$176,ROW()-5,COLUMN()-40-$AI63)))*IF($B63="Operacional",IFERROR(VLOOKUP($C63,SN_UGC,28,0),0),1)</f>
        <v>0</v>
      </c>
      <c r="AW63" s="140">
        <f t="array" ref="AW63">IF(ISBLANK($A63),0,IF(OR(AW$5-$AI63&lt;=0,$AM63="Não"),L63,L63+INDEX($AO$6:$BR$176,ROW()-5,COLUMN()-40-$AI63)))*IF($B63="Operacional",IFERROR(VLOOKUP($C63,SN_UGC,28,0),0),1)</f>
        <v>0</v>
      </c>
      <c r="AX63" s="140">
        <f t="array" ref="AX63">IF(ISBLANK($A63),0,IF(OR(AX$5-$AI63&lt;=0,$AM63="Não"),M63,M63+INDEX($AO$6:$BR$176,ROW()-5,COLUMN()-40-$AI63)))*IF($B63="Operacional",IFERROR(VLOOKUP($C63,SN_UGC,28,0),0),1)</f>
        <v>0</v>
      </c>
      <c r="AY63" s="140">
        <f t="array" ref="AY63">IF(ISBLANK($A63),0,IF(OR(AY$5-$AI63&lt;=0,$AM63="Não"),N63,N63+INDEX($AO$6:$BR$176,ROW()-5,COLUMN()-40-$AI63)))*IF($B63="Operacional",IFERROR(VLOOKUP($C63,SN_UGC,28,0),0),1)</f>
        <v>0</v>
      </c>
      <c r="AZ63" s="140">
        <f t="array" ref="AZ63">IF(ISBLANK($A63),0,IF(OR(AZ$5-$AI63&lt;=0,$AM63="Não"),O63,O63+INDEX($AO$6:$BR$176,ROW()-5,COLUMN()-40-$AI63)))*IF($B63="Operacional",IFERROR(VLOOKUP($C63,SN_UGC,28,0),0),1)</f>
        <v>0</v>
      </c>
      <c r="BA63" s="140">
        <f t="array" ref="BA63">IF(ISBLANK($A63),0,IF(OR(BA$5-$AI63&lt;=0,$AM63="Não"),P63,P63+INDEX($AO$6:$BR$176,ROW()-5,COLUMN()-40-$AI63)))*IF($B63="Operacional",IFERROR(VLOOKUP($C63,SN_UGC,28,0),0),1)</f>
        <v>0</v>
      </c>
      <c r="BB63" s="140">
        <f t="array" ref="BB63">IF(ISBLANK($A63),0,IF(OR(BB$5-$AI63&lt;=0,$AM63="Não"),Q63,Q63+INDEX($AO$6:$BR$176,ROW()-5,COLUMN()-40-$AI63)))*IF($B63="Operacional",IFERROR(VLOOKUP($C63,SN_UGC,28,0),0),1)</f>
        <v>0</v>
      </c>
      <c r="BC63" s="140">
        <f t="array" ref="BC63">IF(ISBLANK($A63),0,IF(OR(BC$5-$AI63&lt;=0,$AM63="Não"),R63,R63+INDEX($AO$6:$BR$176,ROW()-5,COLUMN()-40-$AI63)))*IF($B63="Operacional",IFERROR(VLOOKUP($C63,SN_UGC,28,0),0),1)</f>
        <v>0</v>
      </c>
      <c r="BD63" s="140">
        <f t="array" ref="BD63">IF(ISBLANK($A63),0,IF(OR(BD$5-$AI63&lt;=0,$AM63="Não"),S63,S63+INDEX($AO$6:$BR$176,ROW()-5,COLUMN()-40-$AI63)))*IF($B63="Operacional",IFERROR(VLOOKUP($C63,SN_UGC,28,0),0),1)</f>
        <v>0</v>
      </c>
      <c r="BE63" s="140">
        <f t="array" ref="BE63">IF(ISBLANK($A63),0,IF(OR(BE$5-$AI63&lt;=0,$AM63="Não"),T63,T63+INDEX($AO$6:$BR$176,ROW()-5,COLUMN()-40-$AI63)))*IF($B63="Operacional",IFERROR(VLOOKUP($C63,SN_UGC,28,0),0),1)</f>
        <v>0</v>
      </c>
      <c r="BF63" s="140">
        <f t="array" ref="BF63">IF(ISBLANK($A63),0,IF(OR(BF$5-$AI63&lt;=0,$AM63="Não"),U63,U63+INDEX($AO$6:$BR$176,ROW()-5,COLUMN()-40-$AI63)))*IF($B63="Operacional",IFERROR(VLOOKUP($C63,SN_UGC,28,0),0),1)</f>
        <v>0</v>
      </c>
      <c r="BG63" s="140">
        <f t="array" ref="BG63">IF(ISBLANK($A63),0,IF(OR(BG$5-$AI63&lt;=0,$AM63="Não"),V63,V63+INDEX($AO$6:$BR$176,ROW()-5,COLUMN()-40-$AI63)))*IF($B63="Operacional",IFERROR(VLOOKUP($C63,SN_UGC,28,0),0),1)</f>
        <v>0</v>
      </c>
      <c r="BH63" s="140">
        <f t="array" ref="BH63">IF(ISBLANK($A63),0,IF(OR(BH$5-$AI63&lt;=0,$AM63="Não"),W63,W63+INDEX($AO$6:$BR$176,ROW()-5,COLUMN()-40-$AI63)))*IF($B63="Operacional",IFERROR(VLOOKUP($C63,SN_UGC,28,0),0),1)</f>
        <v>0</v>
      </c>
      <c r="BI63" s="140">
        <f t="array" ref="BI63">IF(ISBLANK($A63),0,IF(OR(BI$5-$AI63&lt;=0,$AM63="Não"),X63,X63+INDEX($AO$6:$BR$176,ROW()-5,COLUMN()-40-$AI63)))*IF($B63="Operacional",IFERROR(VLOOKUP($C63,SN_UGC,28,0),0),1)</f>
        <v>0</v>
      </c>
      <c r="BJ63" s="140">
        <f t="array" ref="BJ63">IF(ISBLANK($A63),0,IF(OR(BJ$5-$AI63&lt;=0,$AM63="Não"),Y63,Y63+INDEX($AO$6:$BR$176,ROW()-5,COLUMN()-40-$AI63)))*IF($B63="Operacional",IFERROR(VLOOKUP($C63,SN_UGC,28,0),0),1)</f>
        <v>0</v>
      </c>
      <c r="BK63" s="140">
        <f t="array" ref="BK63">IF(ISBLANK($A63),0,IF(OR(BK$5-$AI63&lt;=0,$AM63="Não"),Z63,Z63+INDEX($AO$6:$BR$176,ROW()-5,COLUMN()-40-$AI63)))*IF($B63="Operacional",IFERROR(VLOOKUP($C63,SN_UGC,28,0),0),1)</f>
        <v>0</v>
      </c>
      <c r="BL63" s="140">
        <f t="array" ref="BL63">IF(ISBLANK($A63),0,IF(OR(BL$5-$AI63&lt;=0,$AM63="Não"),AA63,AA63+INDEX($AO$6:$BR$176,ROW()-5,COLUMN()-40-$AI63)))*IF($B63="Operacional",IFERROR(VLOOKUP($C63,SN_UGC,28,0),0),1)</f>
        <v>0</v>
      </c>
      <c r="BM63" s="140">
        <f t="array" ref="BM63">IF(ISBLANK($A63),0,IF(OR(BM$5-$AI63&lt;=0,$AM63="Não"),AB63,AB63+INDEX($AO$6:$BR$176,ROW()-5,COLUMN()-40-$AI63)))*IF($B63="Operacional",IFERROR(VLOOKUP($C63,SN_UGC,28,0),0),1)</f>
        <v>0</v>
      </c>
      <c r="BN63" s="140">
        <f t="array" ref="BN63">IF(ISBLANK($A63),0,IF(OR(BN$5-$AI63&lt;=0,$AM63="Não"),AC63,AC63+INDEX($AO$6:$BR$176,ROW()-5,COLUMN()-40-$AI63)))*IF($B63="Operacional",IFERROR(VLOOKUP($C63,SN_UGC,28,0),0),1)</f>
        <v>0</v>
      </c>
      <c r="BO63" s="140">
        <f t="array" ref="BO63">IF(ISBLANK($A63),0,IF(OR(BO$5-$AI63&lt;=0,$AM63="Não"),AD63,AD63+INDEX($AO$6:$BR$176,ROW()-5,COLUMN()-40-$AI63)))*IF($B63="Operacional",IFERROR(VLOOKUP($C63,SN_UGC,28,0),0),1)</f>
        <v>0</v>
      </c>
      <c r="BP63" s="140">
        <f t="array" ref="BP63">IF(ISBLANK($A63),0,IF(OR(BP$5-$AI63&lt;=0,$AM63="Não"),AE63,AE63+INDEX($AO$6:$BR$176,ROW()-5,COLUMN()-40-$AI63)))*IF($B63="Operacional",IFERROR(VLOOKUP($C63,SN_UGC,28,0),0),1)</f>
        <v>0</v>
      </c>
      <c r="BQ63" s="140">
        <f t="array" ref="BQ63">IF(ISBLANK($A63),0,IF(OR(BQ$5-$AI63&lt;=0,$AM63="Não"),AF63,AF63+INDEX($AO$6:$BR$176,ROW()-5,COLUMN()-40-$AI63)))*IF($B63="Operacional",IFERROR(VLOOKUP($C63,SN_UGC,28,0),0),1)</f>
        <v>0</v>
      </c>
      <c r="BR63" s="140">
        <f t="array" ref="BR63">IF(ISBLANK($A63),0,IF(OR(BR$5-$AI63&lt;=0,$AM63="Não"),AG63,AG63+INDEX($AO$6:$BR$176,ROW()-5,COLUMN()-40-$AI63)))*IF($B63="Operacional",IFERROR(VLOOKUP($C63,SN_UGC,28,0),0),1)</f>
        <v>0</v>
      </c>
      <c r="BS63" s="141">
        <f t="shared" ref="BS63:CV63" si="309">IF(ISBLANK($A63),0,$AH63*AO63)</f>
        <v>151845.76000000001</v>
      </c>
      <c r="BT63" s="141">
        <f t="shared" si="309"/>
        <v>0</v>
      </c>
      <c r="BU63" s="141">
        <f t="shared" si="309"/>
        <v>0</v>
      </c>
      <c r="BV63" s="141">
        <f t="shared" si="309"/>
        <v>0</v>
      </c>
      <c r="BW63" s="141">
        <f t="shared" si="309"/>
        <v>0</v>
      </c>
      <c r="BX63" s="141">
        <f t="shared" si="309"/>
        <v>0</v>
      </c>
      <c r="BY63" s="141">
        <f t="shared" si="309"/>
        <v>0</v>
      </c>
      <c r="BZ63" s="141">
        <f t="shared" si="309"/>
        <v>0</v>
      </c>
      <c r="CA63" s="141">
        <f t="shared" si="309"/>
        <v>0</v>
      </c>
      <c r="CB63" s="141">
        <f t="shared" si="309"/>
        <v>0</v>
      </c>
      <c r="CC63" s="141">
        <f t="shared" si="309"/>
        <v>0</v>
      </c>
      <c r="CD63" s="141">
        <f t="shared" si="309"/>
        <v>0</v>
      </c>
      <c r="CE63" s="141">
        <f t="shared" si="309"/>
        <v>0</v>
      </c>
      <c r="CF63" s="141">
        <f t="shared" si="309"/>
        <v>0</v>
      </c>
      <c r="CG63" s="141">
        <f t="shared" si="309"/>
        <v>0</v>
      </c>
      <c r="CH63" s="141">
        <f t="shared" si="309"/>
        <v>0</v>
      </c>
      <c r="CI63" s="141">
        <f t="shared" si="309"/>
        <v>0</v>
      </c>
      <c r="CJ63" s="141">
        <f t="shared" si="309"/>
        <v>0</v>
      </c>
      <c r="CK63" s="141">
        <f t="shared" si="309"/>
        <v>0</v>
      </c>
      <c r="CL63" s="141">
        <f t="shared" si="309"/>
        <v>0</v>
      </c>
      <c r="CM63" s="141">
        <f t="shared" si="309"/>
        <v>0</v>
      </c>
      <c r="CN63" s="141">
        <f t="shared" si="309"/>
        <v>0</v>
      </c>
      <c r="CO63" s="141">
        <f t="shared" si="309"/>
        <v>0</v>
      </c>
      <c r="CP63" s="141">
        <f t="shared" si="309"/>
        <v>0</v>
      </c>
      <c r="CQ63" s="141">
        <f t="shared" si="309"/>
        <v>0</v>
      </c>
      <c r="CR63" s="141">
        <f t="shared" si="309"/>
        <v>0</v>
      </c>
      <c r="CS63" s="141">
        <f t="shared" si="309"/>
        <v>0</v>
      </c>
      <c r="CT63" s="141">
        <f t="shared" si="309"/>
        <v>0</v>
      </c>
      <c r="CU63" s="141">
        <f t="shared" si="309"/>
        <v>0</v>
      </c>
      <c r="CV63" s="141">
        <f t="shared" si="309"/>
        <v>0</v>
      </c>
      <c r="CW63" s="142">
        <f t="shared" ref="CW63:DZ63" si="310">EA63*$AH63*$AJ63</f>
        <v>0</v>
      </c>
      <c r="CX63" s="142">
        <f t="shared" si="310"/>
        <v>0</v>
      </c>
      <c r="CY63" s="142">
        <f t="shared" si="310"/>
        <v>0</v>
      </c>
      <c r="CZ63" s="142">
        <f t="shared" si="310"/>
        <v>0</v>
      </c>
      <c r="DA63" s="142">
        <f t="shared" si="310"/>
        <v>0</v>
      </c>
      <c r="DB63" s="142">
        <f t="shared" si="310"/>
        <v>0</v>
      </c>
      <c r="DC63" s="142">
        <f t="shared" si="310"/>
        <v>0</v>
      </c>
      <c r="DD63" s="142">
        <f t="shared" si="310"/>
        <v>0</v>
      </c>
      <c r="DE63" s="142">
        <f t="shared" si="310"/>
        <v>0</v>
      </c>
      <c r="DF63" s="142">
        <f t="shared" si="310"/>
        <v>0</v>
      </c>
      <c r="DG63" s="142">
        <f t="shared" si="310"/>
        <v>0</v>
      </c>
      <c r="DH63" s="142">
        <f t="shared" si="310"/>
        <v>0</v>
      </c>
      <c r="DI63" s="142">
        <f t="shared" si="310"/>
        <v>0</v>
      </c>
      <c r="DJ63" s="142">
        <f t="shared" si="310"/>
        <v>0</v>
      </c>
      <c r="DK63" s="142">
        <f t="shared" si="310"/>
        <v>0</v>
      </c>
      <c r="DL63" s="142">
        <f t="shared" si="310"/>
        <v>0</v>
      </c>
      <c r="DM63" s="142">
        <f t="shared" si="310"/>
        <v>0</v>
      </c>
      <c r="DN63" s="142">
        <f t="shared" si="310"/>
        <v>0</v>
      </c>
      <c r="DO63" s="142">
        <f t="shared" si="310"/>
        <v>0</v>
      </c>
      <c r="DP63" s="142">
        <f t="shared" si="310"/>
        <v>0</v>
      </c>
      <c r="DQ63" s="142">
        <f t="shared" si="310"/>
        <v>0</v>
      </c>
      <c r="DR63" s="142">
        <f t="shared" si="310"/>
        <v>0</v>
      </c>
      <c r="DS63" s="142">
        <f t="shared" si="310"/>
        <v>0</v>
      </c>
      <c r="DT63" s="142">
        <f t="shared" si="310"/>
        <v>0</v>
      </c>
      <c r="DU63" s="142">
        <f t="shared" si="310"/>
        <v>0</v>
      </c>
      <c r="DV63" s="142">
        <f t="shared" si="310"/>
        <v>0</v>
      </c>
      <c r="DW63" s="142">
        <f t="shared" si="310"/>
        <v>0</v>
      </c>
      <c r="DX63" s="142">
        <f t="shared" si="310"/>
        <v>0</v>
      </c>
      <c r="DY63" s="142">
        <f t="shared" si="310"/>
        <v>0</v>
      </c>
      <c r="DZ63" s="142">
        <f t="shared" si="310"/>
        <v>0</v>
      </c>
      <c r="EA63" s="143">
        <f t="shared" si="174"/>
        <v>0</v>
      </c>
      <c r="EB63" s="143">
        <f t="shared" si="175"/>
        <v>0</v>
      </c>
      <c r="EC63" s="143">
        <f t="shared" si="176"/>
        <v>0</v>
      </c>
      <c r="ED63" s="143">
        <f t="shared" si="177"/>
        <v>0</v>
      </c>
      <c r="EE63" s="143">
        <f t="shared" si="178"/>
        <v>0</v>
      </c>
      <c r="EF63" s="143">
        <f t="shared" si="179"/>
        <v>0</v>
      </c>
      <c r="EG63" s="143">
        <f t="shared" si="180"/>
        <v>0</v>
      </c>
      <c r="EH63" s="143">
        <f t="shared" si="181"/>
        <v>0</v>
      </c>
      <c r="EI63" s="143">
        <f t="shared" si="182"/>
        <v>0</v>
      </c>
      <c r="EJ63" s="143">
        <f t="shared" si="183"/>
        <v>0</v>
      </c>
      <c r="EK63" s="143">
        <f t="shared" si="184"/>
        <v>0</v>
      </c>
      <c r="EL63" s="143">
        <f t="shared" si="185"/>
        <v>0</v>
      </c>
      <c r="EM63" s="143">
        <f t="shared" si="186"/>
        <v>0</v>
      </c>
      <c r="EN63" s="143">
        <f t="shared" si="187"/>
        <v>0</v>
      </c>
      <c r="EO63" s="143">
        <f t="shared" si="188"/>
        <v>0</v>
      </c>
      <c r="EP63" s="143">
        <f t="shared" si="189"/>
        <v>0</v>
      </c>
      <c r="EQ63" s="143">
        <f t="shared" si="190"/>
        <v>0</v>
      </c>
      <c r="ER63" s="143">
        <f t="shared" si="191"/>
        <v>0</v>
      </c>
      <c r="ES63" s="143">
        <f t="shared" si="192"/>
        <v>0</v>
      </c>
      <c r="ET63" s="143">
        <f t="shared" si="193"/>
        <v>0</v>
      </c>
      <c r="EU63" s="143">
        <f t="shared" si="194"/>
        <v>0</v>
      </c>
      <c r="EV63" s="143">
        <f t="shared" si="195"/>
        <v>0</v>
      </c>
      <c r="EW63" s="143">
        <f t="shared" si="196"/>
        <v>0</v>
      </c>
      <c r="EX63" s="143">
        <f t="shared" si="197"/>
        <v>0</v>
      </c>
      <c r="EY63" s="143">
        <f t="shared" si="198"/>
        <v>0</v>
      </c>
      <c r="EZ63" s="143">
        <f t="shared" si="199"/>
        <v>0</v>
      </c>
      <c r="FA63" s="143">
        <f t="shared" si="200"/>
        <v>0</v>
      </c>
      <c r="FB63" s="143">
        <f t="shared" si="201"/>
        <v>0</v>
      </c>
      <c r="FC63" s="143">
        <f t="shared" si="202"/>
        <v>0</v>
      </c>
      <c r="FD63" s="143">
        <f t="shared" si="203"/>
        <v>0</v>
      </c>
      <c r="FE63" s="140">
        <f>SUM($D63:D63)*IF($B63="Operacional",IFERROR(VLOOKUP($C63,SN_UGC,28,0),0),1)</f>
        <v>64</v>
      </c>
      <c r="FF63" s="140">
        <f>SUM($D63:E63)*IF($B63="Operacional",IFERROR(VLOOKUP($C63,SN_UGC,28,0),0),1)</f>
        <v>64</v>
      </c>
      <c r="FG63" s="140">
        <f>SUM($D63:F63)*IF($B63="Operacional",IFERROR(VLOOKUP($C63,SN_UGC,28,0),0),1)</f>
        <v>64</v>
      </c>
      <c r="FH63" s="140">
        <f>SUM($D63:G63)*IF($B63="Operacional",IFERROR(VLOOKUP($C63,SN_UGC,28,0),0),1)</f>
        <v>64</v>
      </c>
      <c r="FI63" s="140">
        <f>SUM($D63:H63)*IF($B63="Operacional",IFERROR(VLOOKUP($C63,SN_UGC,28,0),0),1)</f>
        <v>64</v>
      </c>
      <c r="FJ63" s="140">
        <f>SUM($D63:I63)*IF($B63="Operacional",IFERROR(VLOOKUP($C63,SN_UGC,28,0),0),1)</f>
        <v>64</v>
      </c>
      <c r="FK63" s="140">
        <f>SUM($D63:J63)*IF($B63="Operacional",IFERROR(VLOOKUP($C63,SN_UGC,28,0),0),1)</f>
        <v>64</v>
      </c>
      <c r="FL63" s="140">
        <f>SUM($D63:K63)*IF($B63="Operacional",IFERROR(VLOOKUP($C63,SN_UGC,28,0),0),1)</f>
        <v>64</v>
      </c>
      <c r="FM63" s="140">
        <f>SUM($D63:L63)*IF($B63="Operacional",IFERROR(VLOOKUP($C63,SN_UGC,28,0),0),1)</f>
        <v>64</v>
      </c>
      <c r="FN63" s="140">
        <f>SUM($D63:M63)*IF($B63="Operacional",IFERROR(VLOOKUP($C63,SN_UGC,28,0),0),1)</f>
        <v>64</v>
      </c>
      <c r="FO63" s="140">
        <f>SUM($D63:N63)*IF($B63="Operacional",IFERROR(VLOOKUP($C63,SN_UGC,28,0),0),1)</f>
        <v>64</v>
      </c>
      <c r="FP63" s="140">
        <f>SUM($D63:O63)*IF($B63="Operacional",IFERROR(VLOOKUP($C63,SN_UGC,28,0),0),1)</f>
        <v>64</v>
      </c>
      <c r="FQ63" s="140">
        <f>SUM($D63:P63)*IF($B63="Operacional",IFERROR(VLOOKUP($C63,SN_UGC,28,0),0),1)</f>
        <v>64</v>
      </c>
      <c r="FR63" s="140">
        <f>SUM($D63:Q63)*IF($B63="Operacional",IFERROR(VLOOKUP($C63,SN_UGC,28,0),0),1)</f>
        <v>64</v>
      </c>
      <c r="FS63" s="140">
        <f>SUM($D63:R63)*IF($B63="Operacional",IFERROR(VLOOKUP($C63,SN_UGC,28,0),0),1)</f>
        <v>64</v>
      </c>
      <c r="FT63" s="140">
        <f>SUM($D63:S63)*IF($B63="Operacional",IFERROR(VLOOKUP($C63,SN_UGC,28,0),0),1)</f>
        <v>64</v>
      </c>
      <c r="FU63" s="140">
        <f>SUM($D63:T63)*IF($B63="Operacional",IFERROR(VLOOKUP($C63,SN_UGC,28,0),0),1)</f>
        <v>64</v>
      </c>
      <c r="FV63" s="140">
        <f>SUM($D63:U63)*IF($B63="Operacional",IFERROR(VLOOKUP($C63,SN_UGC,28,0),0),1)</f>
        <v>64</v>
      </c>
      <c r="FW63" s="140">
        <f>SUM($D63:V63)*IF($B63="Operacional",IFERROR(VLOOKUP($C63,SN_UGC,28,0),0),1)</f>
        <v>64</v>
      </c>
      <c r="FX63" s="140">
        <f>SUM($D63:W63)*IF($B63="Operacional",IFERROR(VLOOKUP($C63,SN_UGC,28,0),0),1)</f>
        <v>64</v>
      </c>
      <c r="FY63" s="140">
        <f>SUM($D63:X63)*IF($B63="Operacional",IFERROR(VLOOKUP($C63,SN_UGC,28,0),0),1)</f>
        <v>64</v>
      </c>
      <c r="FZ63" s="140">
        <f>SUM($D63:Y63)*IF($B63="Operacional",IFERROR(VLOOKUP($C63,SN_UGC,28,0),0),1)</f>
        <v>64</v>
      </c>
      <c r="GA63" s="140">
        <f>SUM($D63:Z63)*IF($B63="Operacional",IFERROR(VLOOKUP($C63,SN_UGC,28,0),0),1)</f>
        <v>64</v>
      </c>
      <c r="GB63" s="140">
        <f>SUM($D63:AA63)*IF($B63="Operacional",IFERROR(VLOOKUP($C63,SN_UGC,28,0),0),1)</f>
        <v>64</v>
      </c>
      <c r="GC63" s="140">
        <f>SUM($D63:AB63)*IF($B63="Operacional",IFERROR(VLOOKUP($C63,SN_UGC,28,0),0),1)</f>
        <v>64</v>
      </c>
      <c r="GD63" s="140">
        <f>SUM($D63:AC63)*IF($B63="Operacional",IFERROR(VLOOKUP($C63,SN_UGC,28,0),0),1)</f>
        <v>64</v>
      </c>
      <c r="GE63" s="140">
        <f>SUM($D63:AD63)*IF($B63="Operacional",IFERROR(VLOOKUP($C63,SN_UGC,28,0),0),1)</f>
        <v>64</v>
      </c>
      <c r="GF63" s="140">
        <f>SUM($D63:AE63)*IF($B63="Operacional",IFERROR(VLOOKUP($C63,SN_UGC,28,0),0),1)</f>
        <v>64</v>
      </c>
      <c r="GG63" s="140">
        <f>SUM($D63:AF63)*IF($B63="Operacional",IFERROR(VLOOKUP($C63,SN_UGC,28,0),0),1)</f>
        <v>64</v>
      </c>
      <c r="GH63" s="140">
        <f>SUM($D63:AG63)*IF($B63="Operacional",IFERROR(VLOOKUP($C63,SN_UGC,28,0),0),1)</f>
        <v>64</v>
      </c>
      <c r="GI63" s="141">
        <f t="shared" ref="GI63:HL63" si="311">FE63*$AH63*$AL63</f>
        <v>7592.2880000000005</v>
      </c>
      <c r="GJ63" s="141">
        <f t="shared" si="311"/>
        <v>7592.2880000000005</v>
      </c>
      <c r="GK63" s="141">
        <f t="shared" si="311"/>
        <v>7592.2880000000005</v>
      </c>
      <c r="GL63" s="141">
        <f t="shared" si="311"/>
        <v>7592.2880000000005</v>
      </c>
      <c r="GM63" s="141">
        <f t="shared" si="311"/>
        <v>7592.2880000000005</v>
      </c>
      <c r="GN63" s="141">
        <f t="shared" si="311"/>
        <v>7592.2880000000005</v>
      </c>
      <c r="GO63" s="141">
        <f t="shared" si="311"/>
        <v>7592.2880000000005</v>
      </c>
      <c r="GP63" s="141">
        <f t="shared" si="311"/>
        <v>7592.2880000000005</v>
      </c>
      <c r="GQ63" s="141">
        <f t="shared" si="311"/>
        <v>7592.2880000000005</v>
      </c>
      <c r="GR63" s="141">
        <f t="shared" si="311"/>
        <v>7592.2880000000005</v>
      </c>
      <c r="GS63" s="141">
        <f t="shared" si="311"/>
        <v>7592.2880000000005</v>
      </c>
      <c r="GT63" s="141">
        <f t="shared" si="311"/>
        <v>7592.2880000000005</v>
      </c>
      <c r="GU63" s="141">
        <f t="shared" si="311"/>
        <v>7592.2880000000005</v>
      </c>
      <c r="GV63" s="141">
        <f t="shared" si="311"/>
        <v>7592.2880000000005</v>
      </c>
      <c r="GW63" s="141">
        <f t="shared" si="311"/>
        <v>7592.2880000000005</v>
      </c>
      <c r="GX63" s="141">
        <f t="shared" si="311"/>
        <v>7592.2880000000005</v>
      </c>
      <c r="GY63" s="141">
        <f t="shared" si="311"/>
        <v>7592.2880000000005</v>
      </c>
      <c r="GZ63" s="141">
        <f t="shared" si="311"/>
        <v>7592.2880000000005</v>
      </c>
      <c r="HA63" s="141">
        <f t="shared" si="311"/>
        <v>7592.2880000000005</v>
      </c>
      <c r="HB63" s="141">
        <f t="shared" si="311"/>
        <v>7592.2880000000005</v>
      </c>
      <c r="HC63" s="141">
        <f t="shared" si="311"/>
        <v>7592.2880000000005</v>
      </c>
      <c r="HD63" s="141">
        <f t="shared" si="311"/>
        <v>7592.2880000000005</v>
      </c>
      <c r="HE63" s="141">
        <f t="shared" si="311"/>
        <v>7592.2880000000005</v>
      </c>
      <c r="HF63" s="141">
        <f t="shared" si="311"/>
        <v>7592.2880000000005</v>
      </c>
      <c r="HG63" s="141">
        <f t="shared" si="311"/>
        <v>7592.2880000000005</v>
      </c>
      <c r="HH63" s="141">
        <f t="shared" si="311"/>
        <v>7592.2880000000005</v>
      </c>
      <c r="HI63" s="141">
        <f t="shared" si="311"/>
        <v>7592.2880000000005</v>
      </c>
      <c r="HJ63" s="141">
        <f t="shared" si="311"/>
        <v>7592.2880000000005</v>
      </c>
      <c r="HK63" s="141">
        <f t="shared" si="311"/>
        <v>7592.2880000000005</v>
      </c>
      <c r="HL63" s="141">
        <f t="shared" si="311"/>
        <v>7592.2880000000005</v>
      </c>
      <c r="HM63" s="142">
        <f t="shared" ref="HM63:IP63" si="312">IF(ISBLANK($A63),,FE63*($AH63-($AH63*$AJ63))/$AI63)</f>
        <v>5061.5253333333339</v>
      </c>
      <c r="HN63" s="142">
        <f t="shared" si="312"/>
        <v>5061.5253333333339</v>
      </c>
      <c r="HO63" s="142">
        <f t="shared" si="312"/>
        <v>5061.5253333333339</v>
      </c>
      <c r="HP63" s="142">
        <f t="shared" si="312"/>
        <v>5061.5253333333339</v>
      </c>
      <c r="HQ63" s="142">
        <f t="shared" si="312"/>
        <v>5061.5253333333339</v>
      </c>
      <c r="HR63" s="142">
        <f t="shared" si="312"/>
        <v>5061.5253333333339</v>
      </c>
      <c r="HS63" s="142">
        <f t="shared" si="312"/>
        <v>5061.5253333333339</v>
      </c>
      <c r="HT63" s="142">
        <f t="shared" si="312"/>
        <v>5061.5253333333339</v>
      </c>
      <c r="HU63" s="142">
        <f t="shared" si="312"/>
        <v>5061.5253333333339</v>
      </c>
      <c r="HV63" s="142">
        <f t="shared" si="312"/>
        <v>5061.5253333333339</v>
      </c>
      <c r="HW63" s="142">
        <f t="shared" si="312"/>
        <v>5061.5253333333339</v>
      </c>
      <c r="HX63" s="142">
        <f t="shared" si="312"/>
        <v>5061.5253333333339</v>
      </c>
      <c r="HY63" s="142">
        <f t="shared" si="312"/>
        <v>5061.5253333333339</v>
      </c>
      <c r="HZ63" s="142">
        <f t="shared" si="312"/>
        <v>5061.5253333333339</v>
      </c>
      <c r="IA63" s="142">
        <f t="shared" si="312"/>
        <v>5061.5253333333339</v>
      </c>
      <c r="IB63" s="142">
        <f t="shared" si="312"/>
        <v>5061.5253333333339</v>
      </c>
      <c r="IC63" s="142">
        <f t="shared" si="312"/>
        <v>5061.5253333333339</v>
      </c>
      <c r="ID63" s="142">
        <f t="shared" si="312"/>
        <v>5061.5253333333339</v>
      </c>
      <c r="IE63" s="142">
        <f t="shared" si="312"/>
        <v>5061.5253333333339</v>
      </c>
      <c r="IF63" s="142">
        <f t="shared" si="312"/>
        <v>5061.5253333333339</v>
      </c>
      <c r="IG63" s="142">
        <f t="shared" si="312"/>
        <v>5061.5253333333339</v>
      </c>
      <c r="IH63" s="142">
        <f t="shared" si="312"/>
        <v>5061.5253333333339</v>
      </c>
      <c r="II63" s="142">
        <f t="shared" si="312"/>
        <v>5061.5253333333339</v>
      </c>
      <c r="IJ63" s="142">
        <f t="shared" si="312"/>
        <v>5061.5253333333339</v>
      </c>
      <c r="IK63" s="142">
        <f t="shared" si="312"/>
        <v>5061.5253333333339</v>
      </c>
      <c r="IL63" s="142">
        <f t="shared" si="312"/>
        <v>5061.5253333333339</v>
      </c>
      <c r="IM63" s="142">
        <f t="shared" si="312"/>
        <v>5061.5253333333339</v>
      </c>
      <c r="IN63" s="142">
        <f t="shared" si="312"/>
        <v>5061.5253333333339</v>
      </c>
      <c r="IO63" s="142">
        <f t="shared" si="312"/>
        <v>5061.5253333333339</v>
      </c>
      <c r="IP63" s="142">
        <f t="shared" si="312"/>
        <v>5061.5253333333339</v>
      </c>
      <c r="IQ63" s="141">
        <f>IF(ISBLANK($A63),,IF($AN63="Não",0,(SUM($AO63:AO63)*$AH63)-SUM($HM63:HM63)-SUM($CW63:CW63)))</f>
        <v>0</v>
      </c>
      <c r="IR63" s="141">
        <f>IF(ISBLANK($A63),,IF($AN63="Não",0,(SUM($AO63:AP63)*$AH63)-SUM($HM63:HN63)-SUM($CW63:CX63)))</f>
        <v>0</v>
      </c>
      <c r="IS63" s="141">
        <f>IF(ISBLANK($A63),,IF($AN63="Não",0,(SUM($AO63:AQ63)*$AH63)-SUM($HM63:HO63)-SUM($CW63:CY63)))</f>
        <v>0</v>
      </c>
      <c r="IT63" s="141">
        <f>IF(ISBLANK($A63),,IF($AN63="Não",0,(SUM($AO63:AR63)*$AH63)-SUM($HM63:HP63)-SUM($CW63:CZ63)))</f>
        <v>0</v>
      </c>
      <c r="IU63" s="141">
        <f>IF(ISBLANK($A63),,IF($AN63="Não",0,(SUM($AO63:AS63)*$AH63)-SUM($HM63:HQ63)-SUM($CW63:DA63)))</f>
        <v>0</v>
      </c>
      <c r="IV63" s="141">
        <f>IF(ISBLANK($A63),,IF($AN63="Não",0,(SUM($AO63:AT63)*$AH63)-SUM($HM63:HR63)-SUM($CW63:DB63)))</f>
        <v>0</v>
      </c>
      <c r="IW63" s="141">
        <f>IF(ISBLANK($A63),,IF($AN63="Não",0,(SUM($AO63:AU63)*$AH63)-SUM($HM63:HS63)-SUM($CW63:DC63)))</f>
        <v>0</v>
      </c>
      <c r="IX63" s="141">
        <f>IF(ISBLANK($A63),,IF($AN63="Não",0,(SUM($AO63:AV63)*$AH63)-SUM($HM63:HT63)-SUM($CW63:DD63)))</f>
        <v>0</v>
      </c>
      <c r="IY63" s="141">
        <f>IF(ISBLANK($A63),,IF($AN63="Não",0,(SUM($AO63:AW63)*$AH63)-SUM($HM63:HU63)-SUM($CW63:DE63)))</f>
        <v>0</v>
      </c>
      <c r="IZ63" s="141">
        <f>IF(ISBLANK($A63),,IF($AN63="Não",0,(SUM($AO63:AX63)*$AH63)-SUM($HM63:HV63)-SUM($CW63:DF63)))</f>
        <v>0</v>
      </c>
      <c r="JA63" s="141">
        <f>IF(ISBLANK($A63),,IF($AN63="Não",0,(SUM($AO63:AY63)*$AH63)-SUM($HM63:HW63)-SUM($CW63:DG63)))</f>
        <v>0</v>
      </c>
      <c r="JB63" s="141">
        <f>IF(ISBLANK($A63),,IF($AN63="Não",0,(SUM($AO63:AZ63)*$AH63)-SUM($HM63:HX63)-SUM($CW63:DH63)))</f>
        <v>0</v>
      </c>
      <c r="JC63" s="141">
        <f>IF(ISBLANK($A63),,IF($AN63="Não",0,(SUM($AO63:BA63)*$AH63)-SUM($HM63:HY63)-SUM($CW63:DI63)))</f>
        <v>0</v>
      </c>
      <c r="JD63" s="141">
        <f>IF(ISBLANK($A63),,IF($AN63="Não",0,(SUM($AO63:BB63)*$AH63)-SUM($HM63:HZ63)-SUM($CW63:DJ63)))</f>
        <v>0</v>
      </c>
      <c r="JE63" s="141">
        <f>IF(ISBLANK($A63),,IF($AN63="Não",0,(SUM($AO63:BC63)*$AH63)-SUM($HM63:IA63)-SUM($CW63:DK63)))</f>
        <v>0</v>
      </c>
      <c r="JF63" s="141">
        <f>IF(ISBLANK($A63),,IF($AN63="Não",0,(SUM($AO63:BD63)*$AH63)-SUM($HM63:IB63)-SUM($CW63:DL63)))</f>
        <v>0</v>
      </c>
      <c r="JG63" s="141">
        <f>IF(ISBLANK($A63),,IF($AN63="Não",0,(SUM($AO63:BE63)*$AH63)-SUM($HM63:IC63)-SUM($CW63:DM63)))</f>
        <v>0</v>
      </c>
      <c r="JH63" s="141">
        <f>IF(ISBLANK($A63),,IF($AN63="Não",0,(SUM($AO63:BF63)*$AH63)-SUM($HM63:ID63)-SUM($CW63:DN63)))</f>
        <v>0</v>
      </c>
      <c r="JI63" s="141">
        <f>IF(ISBLANK($A63),,IF($AN63="Não",0,(SUM($AO63:BG63)*$AH63)-SUM($HM63:IE63)-SUM($CW63:DO63)))</f>
        <v>0</v>
      </c>
      <c r="JJ63" s="141">
        <f>IF(ISBLANK($A63),,IF($AN63="Não",0,(SUM($AO63:BH63)*$AH63)-SUM($HM63:IF63)-SUM($CW63:DP63)))</f>
        <v>0</v>
      </c>
      <c r="JK63" s="141">
        <f>IF(ISBLANK($A63),,IF($AN63="Não",0,(SUM($AO63:BI63)*$AH63)-SUM($HM63:IG63)-SUM($CW63:DQ63)))</f>
        <v>0</v>
      </c>
      <c r="JL63" s="141">
        <f>IF(ISBLANK($A63),,IF($AN63="Não",0,(SUM($AO63:BJ63)*$AH63)-SUM($HM63:IH63)-SUM($CW63:DR63)))</f>
        <v>0</v>
      </c>
      <c r="JM63" s="141">
        <f>IF(ISBLANK($A63),,IF($AN63="Não",0,(SUM($AO63:BK63)*$AH63)-SUM($HM63:II63)-SUM($CW63:DS63)))</f>
        <v>0</v>
      </c>
      <c r="JN63" s="141">
        <f>IF(ISBLANK($A63),,IF($AN63="Não",0,(SUM($AO63:BL63)*$AH63)-SUM($HM63:IJ63)-SUM($CW63:DT63)))</f>
        <v>0</v>
      </c>
      <c r="JO63" s="141">
        <f>IF(ISBLANK($A63),,IF($AN63="Não",0,(SUM($AO63:BM63)*$AH63)-SUM($HM63:IK63)-SUM($CW63:DU63)))</f>
        <v>0</v>
      </c>
      <c r="JP63" s="141">
        <f>IF(ISBLANK($A63),,IF($AN63="Não",0,(SUM($AO63:BN63)*$AH63)-SUM($HM63:IL63)-SUM($CW63:DV63)))</f>
        <v>0</v>
      </c>
      <c r="JQ63" s="141">
        <f>IF(ISBLANK($A63),,IF($AN63="Não",0,(SUM($AO63:BO63)*$AH63)-SUM($HM63:IM63)-SUM($CW63:DW63)))</f>
        <v>0</v>
      </c>
      <c r="JR63" s="141">
        <f>IF(ISBLANK($A63),,IF($AN63="Não",0,(SUM($AO63:BP63)*$AH63)-SUM($HM63:IN63)-SUM($CW63:DX63)))</f>
        <v>0</v>
      </c>
      <c r="JS63" s="141">
        <f>IF(ISBLANK($A63),,IF($AN63="Não",0,(SUM($AO63:BQ63)*$AH63)-SUM($HM63:IO63)-SUM($CW63:DY63)))</f>
        <v>0</v>
      </c>
      <c r="JT63" s="141">
        <f>IF(ISBLANK($A63),,IF($AN63="Não",0,(SUM($AO63:BR63)*$AH63)-SUM($HM63:IP63)-SUM($CW63:DZ63)))</f>
        <v>0</v>
      </c>
    </row>
    <row r="64" spans="1:280" ht="15.75" customHeight="1">
      <c r="A64" s="129" t="s">
        <v>385</v>
      </c>
      <c r="B64" s="129" t="s">
        <v>209</v>
      </c>
      <c r="C64" s="138" t="s">
        <v>83</v>
      </c>
      <c r="D64" s="139">
        <v>64</v>
      </c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607">
        <f t="shared" si="286"/>
        <v>5101.2060000000001</v>
      </c>
      <c r="AI64" s="608">
        <f t="shared" si="287"/>
        <v>10</v>
      </c>
      <c r="AJ64" s="609">
        <f t="shared" si="288"/>
        <v>0.4</v>
      </c>
      <c r="AK64" s="610" t="str">
        <f t="shared" si="289"/>
        <v>Equipamentos e instalações</v>
      </c>
      <c r="AL64" s="609">
        <f t="shared" si="290"/>
        <v>0.05</v>
      </c>
      <c r="AM64" s="611" t="str">
        <f t="shared" si="291"/>
        <v>Sim</v>
      </c>
      <c r="AN64" s="611" t="str">
        <f t="shared" si="292"/>
        <v>Sim</v>
      </c>
      <c r="AO64" s="140">
        <f t="array" ref="AO64">IF(ISBLANK($A64),0,IF(OR(AO$5-$AI64&lt;=0,$AM64="Não"),D64,D64+INDEX($AO$6:$BR$176,ROW()-5,COLUMN()-40-$AI64)))*IF($B64="Operacional",IFERROR(VLOOKUP($C64,SN_UGC,28,0),0),1)</f>
        <v>64</v>
      </c>
      <c r="AP64" s="140">
        <f t="array" ref="AP64">IF(ISBLANK($A64),0,IF(OR(AP$5-$AI64&lt;=0,$AM64="Não"),E64,E64+INDEX($AO$6:$BR$176,ROW()-5,COLUMN()-40-$AI64)))*IF($B64="Operacional",IFERROR(VLOOKUP($C64,SN_UGC,28,0),0),1)</f>
        <v>0</v>
      </c>
      <c r="AQ64" s="140">
        <f t="array" ref="AQ64">IF(ISBLANK($A64),0,IF(OR(AQ$5-$AI64&lt;=0,$AM64="Não"),F64,F64+INDEX($AO$6:$BR$176,ROW()-5,COLUMN()-40-$AI64)))*IF($B64="Operacional",IFERROR(VLOOKUP($C64,SN_UGC,28,0),0),1)</f>
        <v>0</v>
      </c>
      <c r="AR64" s="140">
        <f t="array" ref="AR64">IF(ISBLANK($A64),0,IF(OR(AR$5-$AI64&lt;=0,$AM64="Não"),G64,G64+INDEX($AO$6:$BR$176,ROW()-5,COLUMN()-40-$AI64)))*IF($B64="Operacional",IFERROR(VLOOKUP($C64,SN_UGC,28,0),0),1)</f>
        <v>0</v>
      </c>
      <c r="AS64" s="140">
        <f t="array" ref="AS64">IF(ISBLANK($A64),0,IF(OR(AS$5-$AI64&lt;=0,$AM64="Não"),H64,H64+INDEX($AO$6:$BR$176,ROW()-5,COLUMN()-40-$AI64)))*IF($B64="Operacional",IFERROR(VLOOKUP($C64,SN_UGC,28,0),0),1)</f>
        <v>0</v>
      </c>
      <c r="AT64" s="140">
        <f t="array" ref="AT64">IF(ISBLANK($A64),0,IF(OR(AT$5-$AI64&lt;=0,$AM64="Não"),I64,I64+INDEX($AO$6:$BR$176,ROW()-5,COLUMN()-40-$AI64)))*IF($B64="Operacional",IFERROR(VLOOKUP($C64,SN_UGC,28,0),0),1)</f>
        <v>0</v>
      </c>
      <c r="AU64" s="140">
        <f t="array" ref="AU64">IF(ISBLANK($A64),0,IF(OR(AU$5-$AI64&lt;=0,$AM64="Não"),J64,J64+INDEX($AO$6:$BR$176,ROW()-5,COLUMN()-40-$AI64)))*IF($B64="Operacional",IFERROR(VLOOKUP($C64,SN_UGC,28,0),0),1)</f>
        <v>0</v>
      </c>
      <c r="AV64" s="140">
        <f t="array" ref="AV64">IF(ISBLANK($A64),0,IF(OR(AV$5-$AI64&lt;=0,$AM64="Não"),K64,K64+INDEX($AO$6:$BR$176,ROW()-5,COLUMN()-40-$AI64)))*IF($B64="Operacional",IFERROR(VLOOKUP($C64,SN_UGC,28,0),0),1)</f>
        <v>0</v>
      </c>
      <c r="AW64" s="140">
        <f t="array" ref="AW64">IF(ISBLANK($A64),0,IF(OR(AW$5-$AI64&lt;=0,$AM64="Não"),L64,L64+INDEX($AO$6:$BR$176,ROW()-5,COLUMN()-40-$AI64)))*IF($B64="Operacional",IFERROR(VLOOKUP($C64,SN_UGC,28,0),0),1)</f>
        <v>0</v>
      </c>
      <c r="AX64" s="140">
        <f t="array" ref="AX64">IF(ISBLANK($A64),0,IF(OR(AX$5-$AI64&lt;=0,$AM64="Não"),M64,M64+INDEX($AO$6:$BR$176,ROW()-5,COLUMN()-40-$AI64)))*IF($B64="Operacional",IFERROR(VLOOKUP($C64,SN_UGC,28,0),0),1)</f>
        <v>0</v>
      </c>
      <c r="AY64" s="140">
        <f t="array" ref="AY64">IF(ISBLANK($A64),0,IF(OR(AY$5-$AI64&lt;=0,$AM64="Não"),N64,N64+INDEX($AO$6:$BR$176,ROW()-5,COLUMN()-40-$AI64)))*IF($B64="Operacional",IFERROR(VLOOKUP($C64,SN_UGC,28,0),0),1)</f>
        <v>64</v>
      </c>
      <c r="AZ64" s="140">
        <f t="array" ref="AZ64">IF(ISBLANK($A64),0,IF(OR(AZ$5-$AI64&lt;=0,$AM64="Não"),O64,O64+INDEX($AO$6:$BR$176,ROW()-5,COLUMN()-40-$AI64)))*IF($B64="Operacional",IFERROR(VLOOKUP($C64,SN_UGC,28,0),0),1)</f>
        <v>0</v>
      </c>
      <c r="BA64" s="140">
        <f t="array" ref="BA64">IF(ISBLANK($A64),0,IF(OR(BA$5-$AI64&lt;=0,$AM64="Não"),P64,P64+INDEX($AO$6:$BR$176,ROW()-5,COLUMN()-40-$AI64)))*IF($B64="Operacional",IFERROR(VLOOKUP($C64,SN_UGC,28,0),0),1)</f>
        <v>0</v>
      </c>
      <c r="BB64" s="140">
        <f t="array" ref="BB64">IF(ISBLANK($A64),0,IF(OR(BB$5-$AI64&lt;=0,$AM64="Não"),Q64,Q64+INDEX($AO$6:$BR$176,ROW()-5,COLUMN()-40-$AI64)))*IF($B64="Operacional",IFERROR(VLOOKUP($C64,SN_UGC,28,0),0),1)</f>
        <v>0</v>
      </c>
      <c r="BC64" s="140">
        <f t="array" ref="BC64">IF(ISBLANK($A64),0,IF(OR(BC$5-$AI64&lt;=0,$AM64="Não"),R64,R64+INDEX($AO$6:$BR$176,ROW()-5,COLUMN()-40-$AI64)))*IF($B64="Operacional",IFERROR(VLOOKUP($C64,SN_UGC,28,0),0),1)</f>
        <v>0</v>
      </c>
      <c r="BD64" s="140">
        <f t="array" ref="BD64">IF(ISBLANK($A64),0,IF(OR(BD$5-$AI64&lt;=0,$AM64="Não"),S64,S64+INDEX($AO$6:$BR$176,ROW()-5,COLUMN()-40-$AI64)))*IF($B64="Operacional",IFERROR(VLOOKUP($C64,SN_UGC,28,0),0),1)</f>
        <v>0</v>
      </c>
      <c r="BE64" s="140">
        <f t="array" ref="BE64">IF(ISBLANK($A64),0,IF(OR(BE$5-$AI64&lt;=0,$AM64="Não"),T64,T64+INDEX($AO$6:$BR$176,ROW()-5,COLUMN()-40-$AI64)))*IF($B64="Operacional",IFERROR(VLOOKUP($C64,SN_UGC,28,0),0),1)</f>
        <v>0</v>
      </c>
      <c r="BF64" s="140">
        <f t="array" ref="BF64">IF(ISBLANK($A64),0,IF(OR(BF$5-$AI64&lt;=0,$AM64="Não"),U64,U64+INDEX($AO$6:$BR$176,ROW()-5,COLUMN()-40-$AI64)))*IF($B64="Operacional",IFERROR(VLOOKUP($C64,SN_UGC,28,0),0),1)</f>
        <v>0</v>
      </c>
      <c r="BG64" s="140">
        <f t="array" ref="BG64">IF(ISBLANK($A64),0,IF(OR(BG$5-$AI64&lt;=0,$AM64="Não"),V64,V64+INDEX($AO$6:$BR$176,ROW()-5,COLUMN()-40-$AI64)))*IF($B64="Operacional",IFERROR(VLOOKUP($C64,SN_UGC,28,0),0),1)</f>
        <v>0</v>
      </c>
      <c r="BH64" s="140">
        <f t="array" ref="BH64">IF(ISBLANK($A64),0,IF(OR(BH$5-$AI64&lt;=0,$AM64="Não"),W64,W64+INDEX($AO$6:$BR$176,ROW()-5,COLUMN()-40-$AI64)))*IF($B64="Operacional",IFERROR(VLOOKUP($C64,SN_UGC,28,0),0),1)</f>
        <v>0</v>
      </c>
      <c r="BI64" s="140">
        <f t="array" ref="BI64">IF(ISBLANK($A64),0,IF(OR(BI$5-$AI64&lt;=0,$AM64="Não"),X64,X64+INDEX($AO$6:$BR$176,ROW()-5,COLUMN()-40-$AI64)))*IF($B64="Operacional",IFERROR(VLOOKUP($C64,SN_UGC,28,0),0),1)</f>
        <v>64</v>
      </c>
      <c r="BJ64" s="140">
        <f t="array" ref="BJ64">IF(ISBLANK($A64),0,IF(OR(BJ$5-$AI64&lt;=0,$AM64="Não"),Y64,Y64+INDEX($AO$6:$BR$176,ROW()-5,COLUMN()-40-$AI64)))*IF($B64="Operacional",IFERROR(VLOOKUP($C64,SN_UGC,28,0),0),1)</f>
        <v>0</v>
      </c>
      <c r="BK64" s="140">
        <f t="array" ref="BK64">IF(ISBLANK($A64),0,IF(OR(BK$5-$AI64&lt;=0,$AM64="Não"),Z64,Z64+INDEX($AO$6:$BR$176,ROW()-5,COLUMN()-40-$AI64)))*IF($B64="Operacional",IFERROR(VLOOKUP($C64,SN_UGC,28,0),0),1)</f>
        <v>0</v>
      </c>
      <c r="BL64" s="140">
        <f t="array" ref="BL64">IF(ISBLANK($A64),0,IF(OR(BL$5-$AI64&lt;=0,$AM64="Não"),AA64,AA64+INDEX($AO$6:$BR$176,ROW()-5,COLUMN()-40-$AI64)))*IF($B64="Operacional",IFERROR(VLOOKUP($C64,SN_UGC,28,0),0),1)</f>
        <v>0</v>
      </c>
      <c r="BM64" s="140">
        <f t="array" ref="BM64">IF(ISBLANK($A64),0,IF(OR(BM$5-$AI64&lt;=0,$AM64="Não"),AB64,AB64+INDEX($AO$6:$BR$176,ROW()-5,COLUMN()-40-$AI64)))*IF($B64="Operacional",IFERROR(VLOOKUP($C64,SN_UGC,28,0),0),1)</f>
        <v>0</v>
      </c>
      <c r="BN64" s="140">
        <f t="array" ref="BN64">IF(ISBLANK($A64),0,IF(OR(BN$5-$AI64&lt;=0,$AM64="Não"),AC64,AC64+INDEX($AO$6:$BR$176,ROW()-5,COLUMN()-40-$AI64)))*IF($B64="Operacional",IFERROR(VLOOKUP($C64,SN_UGC,28,0),0),1)</f>
        <v>0</v>
      </c>
      <c r="BO64" s="140">
        <f t="array" ref="BO64">IF(ISBLANK($A64),0,IF(OR(BO$5-$AI64&lt;=0,$AM64="Não"),AD64,AD64+INDEX($AO$6:$BR$176,ROW()-5,COLUMN()-40-$AI64)))*IF($B64="Operacional",IFERROR(VLOOKUP($C64,SN_UGC,28,0),0),1)</f>
        <v>0</v>
      </c>
      <c r="BP64" s="140">
        <f t="array" ref="BP64">IF(ISBLANK($A64),0,IF(OR(BP$5-$AI64&lt;=0,$AM64="Não"),AE64,AE64+INDEX($AO$6:$BR$176,ROW()-5,COLUMN()-40-$AI64)))*IF($B64="Operacional",IFERROR(VLOOKUP($C64,SN_UGC,28,0),0),1)</f>
        <v>0</v>
      </c>
      <c r="BQ64" s="140">
        <f t="array" ref="BQ64">IF(ISBLANK($A64),0,IF(OR(BQ$5-$AI64&lt;=0,$AM64="Não"),AF64,AF64+INDEX($AO$6:$BR$176,ROW()-5,COLUMN()-40-$AI64)))*IF($B64="Operacional",IFERROR(VLOOKUP($C64,SN_UGC,28,0),0),1)</f>
        <v>0</v>
      </c>
      <c r="BR64" s="140">
        <f t="array" ref="BR64">IF(ISBLANK($A64),0,IF(OR(BR$5-$AI64&lt;=0,$AM64="Não"),AG64,AG64+INDEX($AO$6:$BR$176,ROW()-5,COLUMN()-40-$AI64)))*IF($B64="Operacional",IFERROR(VLOOKUP($C64,SN_UGC,28,0),0),1)</f>
        <v>0</v>
      </c>
      <c r="BS64" s="141">
        <f t="shared" ref="BS64:CV64" si="313">IF(ISBLANK($A64),0,$AH64*AO64)</f>
        <v>326477.18400000001</v>
      </c>
      <c r="BT64" s="141">
        <f t="shared" si="313"/>
        <v>0</v>
      </c>
      <c r="BU64" s="141">
        <f t="shared" si="313"/>
        <v>0</v>
      </c>
      <c r="BV64" s="141">
        <f t="shared" si="313"/>
        <v>0</v>
      </c>
      <c r="BW64" s="141">
        <f t="shared" si="313"/>
        <v>0</v>
      </c>
      <c r="BX64" s="141">
        <f t="shared" si="313"/>
        <v>0</v>
      </c>
      <c r="BY64" s="141">
        <f t="shared" si="313"/>
        <v>0</v>
      </c>
      <c r="BZ64" s="141">
        <f t="shared" si="313"/>
        <v>0</v>
      </c>
      <c r="CA64" s="141">
        <f t="shared" si="313"/>
        <v>0</v>
      </c>
      <c r="CB64" s="141">
        <f t="shared" si="313"/>
        <v>0</v>
      </c>
      <c r="CC64" s="141">
        <f t="shared" si="313"/>
        <v>326477.18400000001</v>
      </c>
      <c r="CD64" s="141">
        <f t="shared" si="313"/>
        <v>0</v>
      </c>
      <c r="CE64" s="141">
        <f t="shared" si="313"/>
        <v>0</v>
      </c>
      <c r="CF64" s="141">
        <f t="shared" si="313"/>
        <v>0</v>
      </c>
      <c r="CG64" s="141">
        <f t="shared" si="313"/>
        <v>0</v>
      </c>
      <c r="CH64" s="141">
        <f t="shared" si="313"/>
        <v>0</v>
      </c>
      <c r="CI64" s="141">
        <f t="shared" si="313"/>
        <v>0</v>
      </c>
      <c r="CJ64" s="141">
        <f t="shared" si="313"/>
        <v>0</v>
      </c>
      <c r="CK64" s="141">
        <f t="shared" si="313"/>
        <v>0</v>
      </c>
      <c r="CL64" s="141">
        <f t="shared" si="313"/>
        <v>0</v>
      </c>
      <c r="CM64" s="141">
        <f t="shared" si="313"/>
        <v>326477.18400000001</v>
      </c>
      <c r="CN64" s="141">
        <f t="shared" si="313"/>
        <v>0</v>
      </c>
      <c r="CO64" s="141">
        <f t="shared" si="313"/>
        <v>0</v>
      </c>
      <c r="CP64" s="141">
        <f t="shared" si="313"/>
        <v>0</v>
      </c>
      <c r="CQ64" s="141">
        <f t="shared" si="313"/>
        <v>0</v>
      </c>
      <c r="CR64" s="141">
        <f t="shared" si="313"/>
        <v>0</v>
      </c>
      <c r="CS64" s="141">
        <f t="shared" si="313"/>
        <v>0</v>
      </c>
      <c r="CT64" s="141">
        <f t="shared" si="313"/>
        <v>0</v>
      </c>
      <c r="CU64" s="141">
        <f t="shared" si="313"/>
        <v>0</v>
      </c>
      <c r="CV64" s="141">
        <f t="shared" si="313"/>
        <v>0</v>
      </c>
      <c r="CW64" s="142">
        <f t="shared" ref="CW64:DZ64" si="314">EA64*$AH64*$AJ64</f>
        <v>0</v>
      </c>
      <c r="CX64" s="142">
        <f t="shared" si="314"/>
        <v>0</v>
      </c>
      <c r="CY64" s="142">
        <f t="shared" si="314"/>
        <v>0</v>
      </c>
      <c r="CZ64" s="142">
        <f t="shared" si="314"/>
        <v>0</v>
      </c>
      <c r="DA64" s="142">
        <f t="shared" si="314"/>
        <v>0</v>
      </c>
      <c r="DB64" s="142">
        <f t="shared" si="314"/>
        <v>0</v>
      </c>
      <c r="DC64" s="142">
        <f t="shared" si="314"/>
        <v>0</v>
      </c>
      <c r="DD64" s="142">
        <f t="shared" si="314"/>
        <v>0</v>
      </c>
      <c r="DE64" s="142">
        <f t="shared" si="314"/>
        <v>0</v>
      </c>
      <c r="DF64" s="142">
        <f t="shared" si="314"/>
        <v>0</v>
      </c>
      <c r="DG64" s="142">
        <f t="shared" si="314"/>
        <v>130590.87360000001</v>
      </c>
      <c r="DH64" s="142">
        <f t="shared" si="314"/>
        <v>0</v>
      </c>
      <c r="DI64" s="142">
        <f t="shared" si="314"/>
        <v>0</v>
      </c>
      <c r="DJ64" s="142">
        <f t="shared" si="314"/>
        <v>0</v>
      </c>
      <c r="DK64" s="142">
        <f t="shared" si="314"/>
        <v>0</v>
      </c>
      <c r="DL64" s="142">
        <f t="shared" si="314"/>
        <v>0</v>
      </c>
      <c r="DM64" s="142">
        <f t="shared" si="314"/>
        <v>0</v>
      </c>
      <c r="DN64" s="142">
        <f t="shared" si="314"/>
        <v>0</v>
      </c>
      <c r="DO64" s="142">
        <f t="shared" si="314"/>
        <v>0</v>
      </c>
      <c r="DP64" s="142">
        <f t="shared" si="314"/>
        <v>0</v>
      </c>
      <c r="DQ64" s="142">
        <f t="shared" si="314"/>
        <v>130590.87360000001</v>
      </c>
      <c r="DR64" s="142">
        <f t="shared" si="314"/>
        <v>0</v>
      </c>
      <c r="DS64" s="142">
        <f t="shared" si="314"/>
        <v>0</v>
      </c>
      <c r="DT64" s="142">
        <f t="shared" si="314"/>
        <v>0</v>
      </c>
      <c r="DU64" s="142">
        <f t="shared" si="314"/>
        <v>0</v>
      </c>
      <c r="DV64" s="142">
        <f t="shared" si="314"/>
        <v>0</v>
      </c>
      <c r="DW64" s="142">
        <f t="shared" si="314"/>
        <v>0</v>
      </c>
      <c r="DX64" s="142">
        <f t="shared" si="314"/>
        <v>0</v>
      </c>
      <c r="DY64" s="142">
        <f t="shared" si="314"/>
        <v>0</v>
      </c>
      <c r="DZ64" s="142">
        <f t="shared" si="314"/>
        <v>0</v>
      </c>
      <c r="EA64" s="143">
        <f t="shared" si="174"/>
        <v>0</v>
      </c>
      <c r="EB64" s="143">
        <f t="shared" si="175"/>
        <v>0</v>
      </c>
      <c r="EC64" s="143">
        <f t="shared" si="176"/>
        <v>0</v>
      </c>
      <c r="ED64" s="143">
        <f t="shared" si="177"/>
        <v>0</v>
      </c>
      <c r="EE64" s="143">
        <f t="shared" si="178"/>
        <v>0</v>
      </c>
      <c r="EF64" s="143">
        <f t="shared" si="179"/>
        <v>0</v>
      </c>
      <c r="EG64" s="143">
        <f t="shared" si="180"/>
        <v>0</v>
      </c>
      <c r="EH64" s="143">
        <f t="shared" si="181"/>
        <v>0</v>
      </c>
      <c r="EI64" s="143">
        <f t="shared" si="182"/>
        <v>0</v>
      </c>
      <c r="EJ64" s="143">
        <f t="shared" si="183"/>
        <v>0</v>
      </c>
      <c r="EK64" s="143">
        <f t="shared" si="184"/>
        <v>64</v>
      </c>
      <c r="EL64" s="143">
        <f t="shared" si="185"/>
        <v>0</v>
      </c>
      <c r="EM64" s="143">
        <f t="shared" si="186"/>
        <v>0</v>
      </c>
      <c r="EN64" s="143">
        <f t="shared" si="187"/>
        <v>0</v>
      </c>
      <c r="EO64" s="143">
        <f t="shared" si="188"/>
        <v>0</v>
      </c>
      <c r="EP64" s="143">
        <f t="shared" si="189"/>
        <v>0</v>
      </c>
      <c r="EQ64" s="143">
        <f t="shared" si="190"/>
        <v>0</v>
      </c>
      <c r="ER64" s="143">
        <f t="shared" si="191"/>
        <v>0</v>
      </c>
      <c r="ES64" s="143">
        <f t="shared" si="192"/>
        <v>0</v>
      </c>
      <c r="ET64" s="143">
        <f t="shared" si="193"/>
        <v>0</v>
      </c>
      <c r="EU64" s="143">
        <f t="shared" si="194"/>
        <v>64</v>
      </c>
      <c r="EV64" s="143">
        <f t="shared" si="195"/>
        <v>0</v>
      </c>
      <c r="EW64" s="143">
        <f t="shared" si="196"/>
        <v>0</v>
      </c>
      <c r="EX64" s="143">
        <f t="shared" si="197"/>
        <v>0</v>
      </c>
      <c r="EY64" s="143">
        <f t="shared" si="198"/>
        <v>0</v>
      </c>
      <c r="EZ64" s="143">
        <f t="shared" si="199"/>
        <v>0</v>
      </c>
      <c r="FA64" s="143">
        <f t="shared" si="200"/>
        <v>0</v>
      </c>
      <c r="FB64" s="143">
        <f t="shared" si="201"/>
        <v>0</v>
      </c>
      <c r="FC64" s="143">
        <f t="shared" si="202"/>
        <v>0</v>
      </c>
      <c r="FD64" s="143">
        <f t="shared" si="203"/>
        <v>0</v>
      </c>
      <c r="FE64" s="140">
        <f>SUM($D64:D64)*IF($B64="Operacional",IFERROR(VLOOKUP($C64,SN_UGC,28,0),0),1)</f>
        <v>64</v>
      </c>
      <c r="FF64" s="140">
        <f>SUM($D64:E64)*IF($B64="Operacional",IFERROR(VLOOKUP($C64,SN_UGC,28,0),0),1)</f>
        <v>64</v>
      </c>
      <c r="FG64" s="140">
        <f>SUM($D64:F64)*IF($B64="Operacional",IFERROR(VLOOKUP($C64,SN_UGC,28,0),0),1)</f>
        <v>64</v>
      </c>
      <c r="FH64" s="140">
        <f>SUM($D64:G64)*IF($B64="Operacional",IFERROR(VLOOKUP($C64,SN_UGC,28,0),0),1)</f>
        <v>64</v>
      </c>
      <c r="FI64" s="140">
        <f>SUM($D64:H64)*IF($B64="Operacional",IFERROR(VLOOKUP($C64,SN_UGC,28,0),0),1)</f>
        <v>64</v>
      </c>
      <c r="FJ64" s="140">
        <f>SUM($D64:I64)*IF($B64="Operacional",IFERROR(VLOOKUP($C64,SN_UGC,28,0),0),1)</f>
        <v>64</v>
      </c>
      <c r="FK64" s="140">
        <f>SUM($D64:J64)*IF($B64="Operacional",IFERROR(VLOOKUP($C64,SN_UGC,28,0),0),1)</f>
        <v>64</v>
      </c>
      <c r="FL64" s="140">
        <f>SUM($D64:K64)*IF($B64="Operacional",IFERROR(VLOOKUP($C64,SN_UGC,28,0),0),1)</f>
        <v>64</v>
      </c>
      <c r="FM64" s="140">
        <f>SUM($D64:L64)*IF($B64="Operacional",IFERROR(VLOOKUP($C64,SN_UGC,28,0),0),1)</f>
        <v>64</v>
      </c>
      <c r="FN64" s="140">
        <f>SUM($D64:M64)*IF($B64="Operacional",IFERROR(VLOOKUP($C64,SN_UGC,28,0),0),1)</f>
        <v>64</v>
      </c>
      <c r="FO64" s="140">
        <f>SUM($D64:N64)*IF($B64="Operacional",IFERROR(VLOOKUP($C64,SN_UGC,28,0),0),1)</f>
        <v>64</v>
      </c>
      <c r="FP64" s="140">
        <f>SUM($D64:O64)*IF($B64="Operacional",IFERROR(VLOOKUP($C64,SN_UGC,28,0),0),1)</f>
        <v>64</v>
      </c>
      <c r="FQ64" s="140">
        <f>SUM($D64:P64)*IF($B64="Operacional",IFERROR(VLOOKUP($C64,SN_UGC,28,0),0),1)</f>
        <v>64</v>
      </c>
      <c r="FR64" s="140">
        <f>SUM($D64:Q64)*IF($B64="Operacional",IFERROR(VLOOKUP($C64,SN_UGC,28,0),0),1)</f>
        <v>64</v>
      </c>
      <c r="FS64" s="140">
        <f>SUM($D64:R64)*IF($B64="Operacional",IFERROR(VLOOKUP($C64,SN_UGC,28,0),0),1)</f>
        <v>64</v>
      </c>
      <c r="FT64" s="140">
        <f>SUM($D64:S64)*IF($B64="Operacional",IFERROR(VLOOKUP($C64,SN_UGC,28,0),0),1)</f>
        <v>64</v>
      </c>
      <c r="FU64" s="140">
        <f>SUM($D64:T64)*IF($B64="Operacional",IFERROR(VLOOKUP($C64,SN_UGC,28,0),0),1)</f>
        <v>64</v>
      </c>
      <c r="FV64" s="140">
        <f>SUM($D64:U64)*IF($B64="Operacional",IFERROR(VLOOKUP($C64,SN_UGC,28,0),0),1)</f>
        <v>64</v>
      </c>
      <c r="FW64" s="140">
        <f>SUM($D64:V64)*IF($B64="Operacional",IFERROR(VLOOKUP($C64,SN_UGC,28,0),0),1)</f>
        <v>64</v>
      </c>
      <c r="FX64" s="140">
        <f>SUM($D64:W64)*IF($B64="Operacional",IFERROR(VLOOKUP($C64,SN_UGC,28,0),0),1)</f>
        <v>64</v>
      </c>
      <c r="FY64" s="140">
        <f>SUM($D64:X64)*IF($B64="Operacional",IFERROR(VLOOKUP($C64,SN_UGC,28,0),0),1)</f>
        <v>64</v>
      </c>
      <c r="FZ64" s="140">
        <f>SUM($D64:Y64)*IF($B64="Operacional",IFERROR(VLOOKUP($C64,SN_UGC,28,0),0),1)</f>
        <v>64</v>
      </c>
      <c r="GA64" s="140">
        <f>SUM($D64:Z64)*IF($B64="Operacional",IFERROR(VLOOKUP($C64,SN_UGC,28,0),0),1)</f>
        <v>64</v>
      </c>
      <c r="GB64" s="140">
        <f>SUM($D64:AA64)*IF($B64="Operacional",IFERROR(VLOOKUP($C64,SN_UGC,28,0),0),1)</f>
        <v>64</v>
      </c>
      <c r="GC64" s="140">
        <f>SUM($D64:AB64)*IF($B64="Operacional",IFERROR(VLOOKUP($C64,SN_UGC,28,0),0),1)</f>
        <v>64</v>
      </c>
      <c r="GD64" s="140">
        <f>SUM($D64:AC64)*IF($B64="Operacional",IFERROR(VLOOKUP($C64,SN_UGC,28,0),0),1)</f>
        <v>64</v>
      </c>
      <c r="GE64" s="140">
        <f>SUM($D64:AD64)*IF($B64="Operacional",IFERROR(VLOOKUP($C64,SN_UGC,28,0),0),1)</f>
        <v>64</v>
      </c>
      <c r="GF64" s="140">
        <f>SUM($D64:AE64)*IF($B64="Operacional",IFERROR(VLOOKUP($C64,SN_UGC,28,0),0),1)</f>
        <v>64</v>
      </c>
      <c r="GG64" s="140">
        <f>SUM($D64:AF64)*IF($B64="Operacional",IFERROR(VLOOKUP($C64,SN_UGC,28,0),0),1)</f>
        <v>64</v>
      </c>
      <c r="GH64" s="140">
        <f>SUM($D64:AG64)*IF($B64="Operacional",IFERROR(VLOOKUP($C64,SN_UGC,28,0),0),1)</f>
        <v>64</v>
      </c>
      <c r="GI64" s="141">
        <f t="shared" ref="GI64:HL64" si="315">FE64*$AH64*$AL64</f>
        <v>16323.859200000001</v>
      </c>
      <c r="GJ64" s="141">
        <f t="shared" si="315"/>
        <v>16323.859200000001</v>
      </c>
      <c r="GK64" s="141">
        <f t="shared" si="315"/>
        <v>16323.859200000001</v>
      </c>
      <c r="GL64" s="141">
        <f t="shared" si="315"/>
        <v>16323.859200000001</v>
      </c>
      <c r="GM64" s="141">
        <f t="shared" si="315"/>
        <v>16323.859200000001</v>
      </c>
      <c r="GN64" s="141">
        <f t="shared" si="315"/>
        <v>16323.859200000001</v>
      </c>
      <c r="GO64" s="141">
        <f t="shared" si="315"/>
        <v>16323.859200000001</v>
      </c>
      <c r="GP64" s="141">
        <f t="shared" si="315"/>
        <v>16323.859200000001</v>
      </c>
      <c r="GQ64" s="141">
        <f t="shared" si="315"/>
        <v>16323.859200000001</v>
      </c>
      <c r="GR64" s="141">
        <f t="shared" si="315"/>
        <v>16323.859200000001</v>
      </c>
      <c r="GS64" s="141">
        <f t="shared" si="315"/>
        <v>16323.859200000001</v>
      </c>
      <c r="GT64" s="141">
        <f t="shared" si="315"/>
        <v>16323.859200000001</v>
      </c>
      <c r="GU64" s="141">
        <f t="shared" si="315"/>
        <v>16323.859200000001</v>
      </c>
      <c r="GV64" s="141">
        <f t="shared" si="315"/>
        <v>16323.859200000001</v>
      </c>
      <c r="GW64" s="141">
        <f t="shared" si="315"/>
        <v>16323.859200000001</v>
      </c>
      <c r="GX64" s="141">
        <f t="shared" si="315"/>
        <v>16323.859200000001</v>
      </c>
      <c r="GY64" s="141">
        <f t="shared" si="315"/>
        <v>16323.859200000001</v>
      </c>
      <c r="GZ64" s="141">
        <f t="shared" si="315"/>
        <v>16323.859200000001</v>
      </c>
      <c r="HA64" s="141">
        <f t="shared" si="315"/>
        <v>16323.859200000001</v>
      </c>
      <c r="HB64" s="141">
        <f t="shared" si="315"/>
        <v>16323.859200000001</v>
      </c>
      <c r="HC64" s="141">
        <f t="shared" si="315"/>
        <v>16323.859200000001</v>
      </c>
      <c r="HD64" s="141">
        <f t="shared" si="315"/>
        <v>16323.859200000001</v>
      </c>
      <c r="HE64" s="141">
        <f t="shared" si="315"/>
        <v>16323.859200000001</v>
      </c>
      <c r="HF64" s="141">
        <f t="shared" si="315"/>
        <v>16323.859200000001</v>
      </c>
      <c r="HG64" s="141">
        <f t="shared" si="315"/>
        <v>16323.859200000001</v>
      </c>
      <c r="HH64" s="141">
        <f t="shared" si="315"/>
        <v>16323.859200000001</v>
      </c>
      <c r="HI64" s="141">
        <f t="shared" si="315"/>
        <v>16323.859200000001</v>
      </c>
      <c r="HJ64" s="141">
        <f t="shared" si="315"/>
        <v>16323.859200000001</v>
      </c>
      <c r="HK64" s="141">
        <f t="shared" si="315"/>
        <v>16323.859200000001</v>
      </c>
      <c r="HL64" s="141">
        <f t="shared" si="315"/>
        <v>16323.859200000001</v>
      </c>
      <c r="HM64" s="142">
        <f t="shared" ref="HM64:IP64" si="316">IF(ISBLANK($A64),,FE64*($AH64-($AH64*$AJ64))/$AI64)</f>
        <v>19588.63104</v>
      </c>
      <c r="HN64" s="142">
        <f t="shared" si="316"/>
        <v>19588.63104</v>
      </c>
      <c r="HO64" s="142">
        <f t="shared" si="316"/>
        <v>19588.63104</v>
      </c>
      <c r="HP64" s="142">
        <f t="shared" si="316"/>
        <v>19588.63104</v>
      </c>
      <c r="HQ64" s="142">
        <f t="shared" si="316"/>
        <v>19588.63104</v>
      </c>
      <c r="HR64" s="142">
        <f t="shared" si="316"/>
        <v>19588.63104</v>
      </c>
      <c r="HS64" s="142">
        <f t="shared" si="316"/>
        <v>19588.63104</v>
      </c>
      <c r="HT64" s="142">
        <f t="shared" si="316"/>
        <v>19588.63104</v>
      </c>
      <c r="HU64" s="142">
        <f t="shared" si="316"/>
        <v>19588.63104</v>
      </c>
      <c r="HV64" s="142">
        <f t="shared" si="316"/>
        <v>19588.63104</v>
      </c>
      <c r="HW64" s="142">
        <f t="shared" si="316"/>
        <v>19588.63104</v>
      </c>
      <c r="HX64" s="142">
        <f t="shared" si="316"/>
        <v>19588.63104</v>
      </c>
      <c r="HY64" s="142">
        <f t="shared" si="316"/>
        <v>19588.63104</v>
      </c>
      <c r="HZ64" s="142">
        <f t="shared" si="316"/>
        <v>19588.63104</v>
      </c>
      <c r="IA64" s="142">
        <f t="shared" si="316"/>
        <v>19588.63104</v>
      </c>
      <c r="IB64" s="142">
        <f t="shared" si="316"/>
        <v>19588.63104</v>
      </c>
      <c r="IC64" s="142">
        <f t="shared" si="316"/>
        <v>19588.63104</v>
      </c>
      <c r="ID64" s="142">
        <f t="shared" si="316"/>
        <v>19588.63104</v>
      </c>
      <c r="IE64" s="142">
        <f t="shared" si="316"/>
        <v>19588.63104</v>
      </c>
      <c r="IF64" s="142">
        <f t="shared" si="316"/>
        <v>19588.63104</v>
      </c>
      <c r="IG64" s="142">
        <f t="shared" si="316"/>
        <v>19588.63104</v>
      </c>
      <c r="IH64" s="142">
        <f t="shared" si="316"/>
        <v>19588.63104</v>
      </c>
      <c r="II64" s="142">
        <f t="shared" si="316"/>
        <v>19588.63104</v>
      </c>
      <c r="IJ64" s="142">
        <f t="shared" si="316"/>
        <v>19588.63104</v>
      </c>
      <c r="IK64" s="142">
        <f t="shared" si="316"/>
        <v>19588.63104</v>
      </c>
      <c r="IL64" s="142">
        <f t="shared" si="316"/>
        <v>19588.63104</v>
      </c>
      <c r="IM64" s="142">
        <f t="shared" si="316"/>
        <v>19588.63104</v>
      </c>
      <c r="IN64" s="142">
        <f t="shared" si="316"/>
        <v>19588.63104</v>
      </c>
      <c r="IO64" s="142">
        <f t="shared" si="316"/>
        <v>19588.63104</v>
      </c>
      <c r="IP64" s="142">
        <f t="shared" si="316"/>
        <v>19588.63104</v>
      </c>
      <c r="IQ64" s="141">
        <f>IF(ISBLANK($A64),,IF($AN64="Não",0,(SUM($AO64:AO64)*$AH64)-SUM($HM64:HM64)-SUM($CW64:CW64)))</f>
        <v>306888.55296</v>
      </c>
      <c r="IR64" s="141">
        <f>IF(ISBLANK($A64),,IF($AN64="Não",0,(SUM($AO64:AP64)*$AH64)-SUM($HM64:HN64)-SUM($CW64:CX64)))</f>
        <v>287299.92191999999</v>
      </c>
      <c r="IS64" s="141">
        <f>IF(ISBLANK($A64),,IF($AN64="Não",0,(SUM($AO64:AQ64)*$AH64)-SUM($HM64:HO64)-SUM($CW64:CY64)))</f>
        <v>267711.29087999999</v>
      </c>
      <c r="IT64" s="141">
        <f>IF(ISBLANK($A64),,IF($AN64="Não",0,(SUM($AO64:AR64)*$AH64)-SUM($HM64:HP64)-SUM($CW64:CZ64)))</f>
        <v>248122.65984000001</v>
      </c>
      <c r="IU64" s="141">
        <f>IF(ISBLANK($A64),,IF($AN64="Não",0,(SUM($AO64:AS64)*$AH64)-SUM($HM64:HQ64)-SUM($CW64:DA64)))</f>
        <v>228534.0288</v>
      </c>
      <c r="IV64" s="141">
        <f>IF(ISBLANK($A64),,IF($AN64="Não",0,(SUM($AO64:AT64)*$AH64)-SUM($HM64:HR64)-SUM($CW64:DB64)))</f>
        <v>208945.39775999999</v>
      </c>
      <c r="IW64" s="141">
        <f>IF(ISBLANK($A64),,IF($AN64="Não",0,(SUM($AO64:AU64)*$AH64)-SUM($HM64:HS64)-SUM($CW64:DC64)))</f>
        <v>189356.76671999999</v>
      </c>
      <c r="IX64" s="141">
        <f>IF(ISBLANK($A64),,IF($AN64="Não",0,(SUM($AO64:AV64)*$AH64)-SUM($HM64:HT64)-SUM($CW64:DD64)))</f>
        <v>169768.13567999998</v>
      </c>
      <c r="IY64" s="141">
        <f>IF(ISBLANK($A64),,IF($AN64="Não",0,(SUM($AO64:AW64)*$AH64)-SUM($HM64:HU64)-SUM($CW64:DE64)))</f>
        <v>150179.50463999997</v>
      </c>
      <c r="IZ64" s="141">
        <f>IF(ISBLANK($A64),,IF($AN64="Não",0,(SUM($AO64:AX64)*$AH64)-SUM($HM64:HV64)-SUM($CW64:DF64)))</f>
        <v>130590.87359999996</v>
      </c>
      <c r="JA64" s="141">
        <f>IF(ISBLANK($A64),,IF($AN64="Não",0,(SUM($AO64:AY64)*$AH64)-SUM($HM64:HW64)-SUM($CW64:DG64)))</f>
        <v>306888.55295999994</v>
      </c>
      <c r="JB64" s="141">
        <f>IF(ISBLANK($A64),,IF($AN64="Não",0,(SUM($AO64:AZ64)*$AH64)-SUM($HM64:HX64)-SUM($CW64:DH64)))</f>
        <v>287299.92191999994</v>
      </c>
      <c r="JC64" s="141">
        <f>IF(ISBLANK($A64),,IF($AN64="Não",0,(SUM($AO64:BA64)*$AH64)-SUM($HM64:HY64)-SUM($CW64:DI64)))</f>
        <v>267711.29087999993</v>
      </c>
      <c r="JD64" s="141">
        <f>IF(ISBLANK($A64),,IF($AN64="Não",0,(SUM($AO64:BB64)*$AH64)-SUM($HM64:HZ64)-SUM($CW64:DJ64)))</f>
        <v>248122.65983999998</v>
      </c>
      <c r="JE64" s="141">
        <f>IF(ISBLANK($A64),,IF($AN64="Não",0,(SUM($AO64:BC64)*$AH64)-SUM($HM64:IA64)-SUM($CW64:DK64)))</f>
        <v>228534.02879999997</v>
      </c>
      <c r="JF64" s="141">
        <f>IF(ISBLANK($A64),,IF($AN64="Não",0,(SUM($AO64:BD64)*$AH64)-SUM($HM64:IB64)-SUM($CW64:DL64)))</f>
        <v>208945.39775999996</v>
      </c>
      <c r="JG64" s="141">
        <f>IF(ISBLANK($A64),,IF($AN64="Não",0,(SUM($AO64:BE64)*$AH64)-SUM($HM64:IC64)-SUM($CW64:DM64)))</f>
        <v>189356.76671999996</v>
      </c>
      <c r="JH64" s="141">
        <f>IF(ISBLANK($A64),,IF($AN64="Não",0,(SUM($AO64:BF64)*$AH64)-SUM($HM64:ID64)-SUM($CW64:DN64)))</f>
        <v>169768.13567999995</v>
      </c>
      <c r="JI64" s="141">
        <f>IF(ISBLANK($A64),,IF($AN64="Não",0,(SUM($AO64:BG64)*$AH64)-SUM($HM64:IE64)-SUM($CW64:DO64)))</f>
        <v>150179.50463999994</v>
      </c>
      <c r="JJ64" s="141">
        <f>IF(ISBLANK($A64),,IF($AN64="Não",0,(SUM($AO64:BH64)*$AH64)-SUM($HM64:IF64)-SUM($CW64:DP64)))</f>
        <v>130590.87359999992</v>
      </c>
      <c r="JK64" s="141">
        <f>IF(ISBLANK($A64),,IF($AN64="Não",0,(SUM($AO64:BI64)*$AH64)-SUM($HM64:IG64)-SUM($CW64:DQ64)))</f>
        <v>306888.55295999988</v>
      </c>
      <c r="JL64" s="141">
        <f>IF(ISBLANK($A64),,IF($AN64="Não",0,(SUM($AO64:BJ64)*$AH64)-SUM($HM64:IH64)-SUM($CW64:DR64)))</f>
        <v>287299.92191999999</v>
      </c>
      <c r="JM64" s="141">
        <f>IF(ISBLANK($A64),,IF($AN64="Não",0,(SUM($AO64:BK64)*$AH64)-SUM($HM64:II64)-SUM($CW64:DS64)))</f>
        <v>267711.29087999987</v>
      </c>
      <c r="JN64" s="141">
        <f>IF(ISBLANK($A64),,IF($AN64="Não",0,(SUM($AO64:BL64)*$AH64)-SUM($HM64:IJ64)-SUM($CW64:DT64)))</f>
        <v>248122.65983999989</v>
      </c>
      <c r="JO64" s="141">
        <f>IF(ISBLANK($A64),,IF($AN64="Não",0,(SUM($AO64:BM64)*$AH64)-SUM($HM64:IK64)-SUM($CW64:DU64)))</f>
        <v>228534.02879999988</v>
      </c>
      <c r="JP64" s="141">
        <f>IF(ISBLANK($A64),,IF($AN64="Não",0,(SUM($AO64:BN64)*$AH64)-SUM($HM64:IL64)-SUM($CW64:DV64)))</f>
        <v>208945.39775999988</v>
      </c>
      <c r="JQ64" s="141">
        <f>IF(ISBLANK($A64),,IF($AN64="Não",0,(SUM($AO64:BO64)*$AH64)-SUM($HM64:IM64)-SUM($CW64:DW64)))</f>
        <v>189356.76671999993</v>
      </c>
      <c r="JR64" s="141">
        <f>IF(ISBLANK($A64),,IF($AN64="Não",0,(SUM($AO64:BP64)*$AH64)-SUM($HM64:IN64)-SUM($CW64:DX64)))</f>
        <v>169768.13567999992</v>
      </c>
      <c r="JS64" s="141">
        <f>IF(ISBLANK($A64),,IF($AN64="Não",0,(SUM($AO64:BQ64)*$AH64)-SUM($HM64:IO64)-SUM($CW64:DY64)))</f>
        <v>150179.50463999991</v>
      </c>
      <c r="JT64" s="141">
        <f>IF(ISBLANK($A64),,IF($AN64="Não",0,(SUM($AO64:BR64)*$AH64)-SUM($HM64:IP64)-SUM($CW64:DZ64)))</f>
        <v>130590.8735999999</v>
      </c>
    </row>
    <row r="65" spans="1:280" ht="15.75" customHeight="1">
      <c r="A65" s="129" t="s">
        <v>352</v>
      </c>
      <c r="B65" s="129" t="s">
        <v>209</v>
      </c>
      <c r="C65" s="138" t="s">
        <v>85</v>
      </c>
      <c r="D65" s="139">
        <v>46</v>
      </c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607">
        <f t="shared" si="286"/>
        <v>2372.59</v>
      </c>
      <c r="AI65" s="608">
        <f t="shared" si="287"/>
        <v>30</v>
      </c>
      <c r="AJ65" s="609">
        <f t="shared" si="288"/>
        <v>0</v>
      </c>
      <c r="AK65" s="610" t="str">
        <f t="shared" si="289"/>
        <v>Edificações</v>
      </c>
      <c r="AL65" s="609">
        <f t="shared" si="290"/>
        <v>0.05</v>
      </c>
      <c r="AM65" s="611" t="str">
        <f t="shared" si="291"/>
        <v>Sim</v>
      </c>
      <c r="AN65" s="611" t="str">
        <f t="shared" si="292"/>
        <v>Não</v>
      </c>
      <c r="AO65" s="140">
        <f t="array" ref="AO65">IF(ISBLANK($A65),0,IF(OR(AO$5-$AI65&lt;=0,$AM65="Não"),D65,D65+INDEX($AO$6:$BR$176,ROW()-5,COLUMN()-40-$AI65)))*IF($B65="Operacional",IFERROR(VLOOKUP($C65,SN_UGC,28,0),0),1)</f>
        <v>46</v>
      </c>
      <c r="AP65" s="140">
        <f t="array" ref="AP65">IF(ISBLANK($A65),0,IF(OR(AP$5-$AI65&lt;=0,$AM65="Não"),E65,E65+INDEX($AO$6:$BR$176,ROW()-5,COLUMN()-40-$AI65)))*IF($B65="Operacional",IFERROR(VLOOKUP($C65,SN_UGC,28,0),0),1)</f>
        <v>0</v>
      </c>
      <c r="AQ65" s="140">
        <f t="array" ref="AQ65">IF(ISBLANK($A65),0,IF(OR(AQ$5-$AI65&lt;=0,$AM65="Não"),F65,F65+INDEX($AO$6:$BR$176,ROW()-5,COLUMN()-40-$AI65)))*IF($B65="Operacional",IFERROR(VLOOKUP($C65,SN_UGC,28,0),0),1)</f>
        <v>0</v>
      </c>
      <c r="AR65" s="140">
        <f t="array" ref="AR65">IF(ISBLANK($A65),0,IF(OR(AR$5-$AI65&lt;=0,$AM65="Não"),G65,G65+INDEX($AO$6:$BR$176,ROW()-5,COLUMN()-40-$AI65)))*IF($B65="Operacional",IFERROR(VLOOKUP($C65,SN_UGC,28,0),0),1)</f>
        <v>0</v>
      </c>
      <c r="AS65" s="140">
        <f t="array" ref="AS65">IF(ISBLANK($A65),0,IF(OR(AS$5-$AI65&lt;=0,$AM65="Não"),H65,H65+INDEX($AO$6:$BR$176,ROW()-5,COLUMN()-40-$AI65)))*IF($B65="Operacional",IFERROR(VLOOKUP($C65,SN_UGC,28,0),0),1)</f>
        <v>0</v>
      </c>
      <c r="AT65" s="140">
        <f t="array" ref="AT65">IF(ISBLANK($A65),0,IF(OR(AT$5-$AI65&lt;=0,$AM65="Não"),I65,I65+INDEX($AO$6:$BR$176,ROW()-5,COLUMN()-40-$AI65)))*IF($B65="Operacional",IFERROR(VLOOKUP($C65,SN_UGC,28,0),0),1)</f>
        <v>0</v>
      </c>
      <c r="AU65" s="140">
        <f t="array" ref="AU65">IF(ISBLANK($A65),0,IF(OR(AU$5-$AI65&lt;=0,$AM65="Não"),J65,J65+INDEX($AO$6:$BR$176,ROW()-5,COLUMN()-40-$AI65)))*IF($B65="Operacional",IFERROR(VLOOKUP($C65,SN_UGC,28,0),0),1)</f>
        <v>0</v>
      </c>
      <c r="AV65" s="140">
        <f t="array" ref="AV65">IF(ISBLANK($A65),0,IF(OR(AV$5-$AI65&lt;=0,$AM65="Não"),K65,K65+INDEX($AO$6:$BR$176,ROW()-5,COLUMN()-40-$AI65)))*IF($B65="Operacional",IFERROR(VLOOKUP($C65,SN_UGC,28,0),0),1)</f>
        <v>0</v>
      </c>
      <c r="AW65" s="140">
        <f t="array" ref="AW65">IF(ISBLANK($A65),0,IF(OR(AW$5-$AI65&lt;=0,$AM65="Não"),L65,L65+INDEX($AO$6:$BR$176,ROW()-5,COLUMN()-40-$AI65)))*IF($B65="Operacional",IFERROR(VLOOKUP($C65,SN_UGC,28,0),0),1)</f>
        <v>0</v>
      </c>
      <c r="AX65" s="140">
        <f t="array" ref="AX65">IF(ISBLANK($A65),0,IF(OR(AX$5-$AI65&lt;=0,$AM65="Não"),M65,M65+INDEX($AO$6:$BR$176,ROW()-5,COLUMN()-40-$AI65)))*IF($B65="Operacional",IFERROR(VLOOKUP($C65,SN_UGC,28,0),0),1)</f>
        <v>0</v>
      </c>
      <c r="AY65" s="140">
        <f t="array" ref="AY65">IF(ISBLANK($A65),0,IF(OR(AY$5-$AI65&lt;=0,$AM65="Não"),N65,N65+INDEX($AO$6:$BR$176,ROW()-5,COLUMN()-40-$AI65)))*IF($B65="Operacional",IFERROR(VLOOKUP($C65,SN_UGC,28,0),0),1)</f>
        <v>0</v>
      </c>
      <c r="AZ65" s="140">
        <f t="array" ref="AZ65">IF(ISBLANK($A65),0,IF(OR(AZ$5-$AI65&lt;=0,$AM65="Não"),O65,O65+INDEX($AO$6:$BR$176,ROW()-5,COLUMN()-40-$AI65)))*IF($B65="Operacional",IFERROR(VLOOKUP($C65,SN_UGC,28,0),0),1)</f>
        <v>0</v>
      </c>
      <c r="BA65" s="140">
        <f t="array" ref="BA65">IF(ISBLANK($A65),0,IF(OR(BA$5-$AI65&lt;=0,$AM65="Não"),P65,P65+INDEX($AO$6:$BR$176,ROW()-5,COLUMN()-40-$AI65)))*IF($B65="Operacional",IFERROR(VLOOKUP($C65,SN_UGC,28,0),0),1)</f>
        <v>0</v>
      </c>
      <c r="BB65" s="140">
        <f t="array" ref="BB65">IF(ISBLANK($A65),0,IF(OR(BB$5-$AI65&lt;=0,$AM65="Não"),Q65,Q65+INDEX($AO$6:$BR$176,ROW()-5,COLUMN()-40-$AI65)))*IF($B65="Operacional",IFERROR(VLOOKUP($C65,SN_UGC,28,0),0),1)</f>
        <v>0</v>
      </c>
      <c r="BC65" s="140">
        <f t="array" ref="BC65">IF(ISBLANK($A65),0,IF(OR(BC$5-$AI65&lt;=0,$AM65="Não"),R65,R65+INDEX($AO$6:$BR$176,ROW()-5,COLUMN()-40-$AI65)))*IF($B65="Operacional",IFERROR(VLOOKUP($C65,SN_UGC,28,0),0),1)</f>
        <v>0</v>
      </c>
      <c r="BD65" s="140">
        <f t="array" ref="BD65">IF(ISBLANK($A65),0,IF(OR(BD$5-$AI65&lt;=0,$AM65="Não"),S65,S65+INDEX($AO$6:$BR$176,ROW()-5,COLUMN()-40-$AI65)))*IF($B65="Operacional",IFERROR(VLOOKUP($C65,SN_UGC,28,0),0),1)</f>
        <v>0</v>
      </c>
      <c r="BE65" s="140">
        <f t="array" ref="BE65">IF(ISBLANK($A65),0,IF(OR(BE$5-$AI65&lt;=0,$AM65="Não"),T65,T65+INDEX($AO$6:$BR$176,ROW()-5,COLUMN()-40-$AI65)))*IF($B65="Operacional",IFERROR(VLOOKUP($C65,SN_UGC,28,0),0),1)</f>
        <v>0</v>
      </c>
      <c r="BF65" s="140">
        <f t="array" ref="BF65">IF(ISBLANK($A65),0,IF(OR(BF$5-$AI65&lt;=0,$AM65="Não"),U65,U65+INDEX($AO$6:$BR$176,ROW()-5,COLUMN()-40-$AI65)))*IF($B65="Operacional",IFERROR(VLOOKUP($C65,SN_UGC,28,0),0),1)</f>
        <v>0</v>
      </c>
      <c r="BG65" s="140">
        <f t="array" ref="BG65">IF(ISBLANK($A65),0,IF(OR(BG$5-$AI65&lt;=0,$AM65="Não"),V65,V65+INDEX($AO$6:$BR$176,ROW()-5,COLUMN()-40-$AI65)))*IF($B65="Operacional",IFERROR(VLOOKUP($C65,SN_UGC,28,0),0),1)</f>
        <v>0</v>
      </c>
      <c r="BH65" s="140">
        <f t="array" ref="BH65">IF(ISBLANK($A65),0,IF(OR(BH$5-$AI65&lt;=0,$AM65="Não"),W65,W65+INDEX($AO$6:$BR$176,ROW()-5,COLUMN()-40-$AI65)))*IF($B65="Operacional",IFERROR(VLOOKUP($C65,SN_UGC,28,0),0),1)</f>
        <v>0</v>
      </c>
      <c r="BI65" s="140">
        <f t="array" ref="BI65">IF(ISBLANK($A65),0,IF(OR(BI$5-$AI65&lt;=0,$AM65="Não"),X65,X65+INDEX($AO$6:$BR$176,ROW()-5,COLUMN()-40-$AI65)))*IF($B65="Operacional",IFERROR(VLOOKUP($C65,SN_UGC,28,0),0),1)</f>
        <v>0</v>
      </c>
      <c r="BJ65" s="140">
        <f t="array" ref="BJ65">IF(ISBLANK($A65),0,IF(OR(BJ$5-$AI65&lt;=0,$AM65="Não"),Y65,Y65+INDEX($AO$6:$BR$176,ROW()-5,COLUMN()-40-$AI65)))*IF($B65="Operacional",IFERROR(VLOOKUP($C65,SN_UGC,28,0),0),1)</f>
        <v>0</v>
      </c>
      <c r="BK65" s="140">
        <f t="array" ref="BK65">IF(ISBLANK($A65),0,IF(OR(BK$5-$AI65&lt;=0,$AM65="Não"),Z65,Z65+INDEX($AO$6:$BR$176,ROW()-5,COLUMN()-40-$AI65)))*IF($B65="Operacional",IFERROR(VLOOKUP($C65,SN_UGC,28,0),0),1)</f>
        <v>0</v>
      </c>
      <c r="BL65" s="140">
        <f t="array" ref="BL65">IF(ISBLANK($A65),0,IF(OR(BL$5-$AI65&lt;=0,$AM65="Não"),AA65,AA65+INDEX($AO$6:$BR$176,ROW()-5,COLUMN()-40-$AI65)))*IF($B65="Operacional",IFERROR(VLOOKUP($C65,SN_UGC,28,0),0),1)</f>
        <v>0</v>
      </c>
      <c r="BM65" s="140">
        <f t="array" ref="BM65">IF(ISBLANK($A65),0,IF(OR(BM$5-$AI65&lt;=0,$AM65="Não"),AB65,AB65+INDEX($AO$6:$BR$176,ROW()-5,COLUMN()-40-$AI65)))*IF($B65="Operacional",IFERROR(VLOOKUP($C65,SN_UGC,28,0),0),1)</f>
        <v>0</v>
      </c>
      <c r="BN65" s="140">
        <f t="array" ref="BN65">IF(ISBLANK($A65),0,IF(OR(BN$5-$AI65&lt;=0,$AM65="Não"),AC65,AC65+INDEX($AO$6:$BR$176,ROW()-5,COLUMN()-40-$AI65)))*IF($B65="Operacional",IFERROR(VLOOKUP($C65,SN_UGC,28,0),0),1)</f>
        <v>0</v>
      </c>
      <c r="BO65" s="140">
        <f t="array" ref="BO65">IF(ISBLANK($A65),0,IF(OR(BO$5-$AI65&lt;=0,$AM65="Não"),AD65,AD65+INDEX($AO$6:$BR$176,ROW()-5,COLUMN()-40-$AI65)))*IF($B65="Operacional",IFERROR(VLOOKUP($C65,SN_UGC,28,0),0),1)</f>
        <v>0</v>
      </c>
      <c r="BP65" s="140">
        <f t="array" ref="BP65">IF(ISBLANK($A65),0,IF(OR(BP$5-$AI65&lt;=0,$AM65="Não"),AE65,AE65+INDEX($AO$6:$BR$176,ROW()-5,COLUMN()-40-$AI65)))*IF($B65="Operacional",IFERROR(VLOOKUP($C65,SN_UGC,28,0),0),1)</f>
        <v>0</v>
      </c>
      <c r="BQ65" s="140">
        <f t="array" ref="BQ65">IF(ISBLANK($A65),0,IF(OR(BQ$5-$AI65&lt;=0,$AM65="Não"),AF65,AF65+INDEX($AO$6:$BR$176,ROW()-5,COLUMN()-40-$AI65)))*IF($B65="Operacional",IFERROR(VLOOKUP($C65,SN_UGC,28,0),0),1)</f>
        <v>0</v>
      </c>
      <c r="BR65" s="140">
        <f t="array" ref="BR65">IF(ISBLANK($A65),0,IF(OR(BR$5-$AI65&lt;=0,$AM65="Não"),AG65,AG65+INDEX($AO$6:$BR$176,ROW()-5,COLUMN()-40-$AI65)))*IF($B65="Operacional",IFERROR(VLOOKUP($C65,SN_UGC,28,0),0),1)</f>
        <v>0</v>
      </c>
      <c r="BS65" s="141">
        <f t="shared" ref="BS65:CV65" si="317">IF(ISBLANK($A65),0,$AH65*AO65)</f>
        <v>109139.14000000001</v>
      </c>
      <c r="BT65" s="141">
        <f t="shared" si="317"/>
        <v>0</v>
      </c>
      <c r="BU65" s="141">
        <f t="shared" si="317"/>
        <v>0</v>
      </c>
      <c r="BV65" s="141">
        <f t="shared" si="317"/>
        <v>0</v>
      </c>
      <c r="BW65" s="141">
        <f t="shared" si="317"/>
        <v>0</v>
      </c>
      <c r="BX65" s="141">
        <f t="shared" si="317"/>
        <v>0</v>
      </c>
      <c r="BY65" s="141">
        <f t="shared" si="317"/>
        <v>0</v>
      </c>
      <c r="BZ65" s="141">
        <f t="shared" si="317"/>
        <v>0</v>
      </c>
      <c r="CA65" s="141">
        <f t="shared" si="317"/>
        <v>0</v>
      </c>
      <c r="CB65" s="141">
        <f t="shared" si="317"/>
        <v>0</v>
      </c>
      <c r="CC65" s="141">
        <f t="shared" si="317"/>
        <v>0</v>
      </c>
      <c r="CD65" s="141">
        <f t="shared" si="317"/>
        <v>0</v>
      </c>
      <c r="CE65" s="141">
        <f t="shared" si="317"/>
        <v>0</v>
      </c>
      <c r="CF65" s="141">
        <f t="shared" si="317"/>
        <v>0</v>
      </c>
      <c r="CG65" s="141">
        <f t="shared" si="317"/>
        <v>0</v>
      </c>
      <c r="CH65" s="141">
        <f t="shared" si="317"/>
        <v>0</v>
      </c>
      <c r="CI65" s="141">
        <f t="shared" si="317"/>
        <v>0</v>
      </c>
      <c r="CJ65" s="141">
        <f t="shared" si="317"/>
        <v>0</v>
      </c>
      <c r="CK65" s="141">
        <f t="shared" si="317"/>
        <v>0</v>
      </c>
      <c r="CL65" s="141">
        <f t="shared" si="317"/>
        <v>0</v>
      </c>
      <c r="CM65" s="141">
        <f t="shared" si="317"/>
        <v>0</v>
      </c>
      <c r="CN65" s="141">
        <f t="shared" si="317"/>
        <v>0</v>
      </c>
      <c r="CO65" s="141">
        <f t="shared" si="317"/>
        <v>0</v>
      </c>
      <c r="CP65" s="141">
        <f t="shared" si="317"/>
        <v>0</v>
      </c>
      <c r="CQ65" s="141">
        <f t="shared" si="317"/>
        <v>0</v>
      </c>
      <c r="CR65" s="141">
        <f t="shared" si="317"/>
        <v>0</v>
      </c>
      <c r="CS65" s="141">
        <f t="shared" si="317"/>
        <v>0</v>
      </c>
      <c r="CT65" s="141">
        <f t="shared" si="317"/>
        <v>0</v>
      </c>
      <c r="CU65" s="141">
        <f t="shared" si="317"/>
        <v>0</v>
      </c>
      <c r="CV65" s="141">
        <f t="shared" si="317"/>
        <v>0</v>
      </c>
      <c r="CW65" s="142">
        <f t="shared" ref="CW65:DZ65" si="318">EA65*$AH65*$AJ65</f>
        <v>0</v>
      </c>
      <c r="CX65" s="142">
        <f t="shared" si="318"/>
        <v>0</v>
      </c>
      <c r="CY65" s="142">
        <f t="shared" si="318"/>
        <v>0</v>
      </c>
      <c r="CZ65" s="142">
        <f t="shared" si="318"/>
        <v>0</v>
      </c>
      <c r="DA65" s="142">
        <f t="shared" si="318"/>
        <v>0</v>
      </c>
      <c r="DB65" s="142">
        <f t="shared" si="318"/>
        <v>0</v>
      </c>
      <c r="DC65" s="142">
        <f t="shared" si="318"/>
        <v>0</v>
      </c>
      <c r="DD65" s="142">
        <f t="shared" si="318"/>
        <v>0</v>
      </c>
      <c r="DE65" s="142">
        <f t="shared" si="318"/>
        <v>0</v>
      </c>
      <c r="DF65" s="142">
        <f t="shared" si="318"/>
        <v>0</v>
      </c>
      <c r="DG65" s="142">
        <f t="shared" si="318"/>
        <v>0</v>
      </c>
      <c r="DH65" s="142">
        <f t="shared" si="318"/>
        <v>0</v>
      </c>
      <c r="DI65" s="142">
        <f t="shared" si="318"/>
        <v>0</v>
      </c>
      <c r="DJ65" s="142">
        <f t="shared" si="318"/>
        <v>0</v>
      </c>
      <c r="DK65" s="142">
        <f t="shared" si="318"/>
        <v>0</v>
      </c>
      <c r="DL65" s="142">
        <f t="shared" si="318"/>
        <v>0</v>
      </c>
      <c r="DM65" s="142">
        <f t="shared" si="318"/>
        <v>0</v>
      </c>
      <c r="DN65" s="142">
        <f t="shared" si="318"/>
        <v>0</v>
      </c>
      <c r="DO65" s="142">
        <f t="shared" si="318"/>
        <v>0</v>
      </c>
      <c r="DP65" s="142">
        <f t="shared" si="318"/>
        <v>0</v>
      </c>
      <c r="DQ65" s="142">
        <f t="shared" si="318"/>
        <v>0</v>
      </c>
      <c r="DR65" s="142">
        <f t="shared" si="318"/>
        <v>0</v>
      </c>
      <c r="DS65" s="142">
        <f t="shared" si="318"/>
        <v>0</v>
      </c>
      <c r="DT65" s="142">
        <f t="shared" si="318"/>
        <v>0</v>
      </c>
      <c r="DU65" s="142">
        <f t="shared" si="318"/>
        <v>0</v>
      </c>
      <c r="DV65" s="142">
        <f t="shared" si="318"/>
        <v>0</v>
      </c>
      <c r="DW65" s="142">
        <f t="shared" si="318"/>
        <v>0</v>
      </c>
      <c r="DX65" s="142">
        <f t="shared" si="318"/>
        <v>0</v>
      </c>
      <c r="DY65" s="142">
        <f t="shared" si="318"/>
        <v>0</v>
      </c>
      <c r="DZ65" s="142">
        <f t="shared" si="318"/>
        <v>0</v>
      </c>
      <c r="EA65" s="143">
        <f t="shared" si="174"/>
        <v>0</v>
      </c>
      <c r="EB65" s="143">
        <f t="shared" si="175"/>
        <v>0</v>
      </c>
      <c r="EC65" s="143">
        <f t="shared" si="176"/>
        <v>0</v>
      </c>
      <c r="ED65" s="143">
        <f t="shared" si="177"/>
        <v>0</v>
      </c>
      <c r="EE65" s="143">
        <f t="shared" si="178"/>
        <v>0</v>
      </c>
      <c r="EF65" s="143">
        <f t="shared" si="179"/>
        <v>0</v>
      </c>
      <c r="EG65" s="143">
        <f t="shared" si="180"/>
        <v>0</v>
      </c>
      <c r="EH65" s="143">
        <f t="shared" si="181"/>
        <v>0</v>
      </c>
      <c r="EI65" s="143">
        <f t="shared" si="182"/>
        <v>0</v>
      </c>
      <c r="EJ65" s="143">
        <f t="shared" si="183"/>
        <v>0</v>
      </c>
      <c r="EK65" s="143">
        <f t="shared" si="184"/>
        <v>0</v>
      </c>
      <c r="EL65" s="143">
        <f t="shared" si="185"/>
        <v>0</v>
      </c>
      <c r="EM65" s="143">
        <f t="shared" si="186"/>
        <v>0</v>
      </c>
      <c r="EN65" s="143">
        <f t="shared" si="187"/>
        <v>0</v>
      </c>
      <c r="EO65" s="143">
        <f t="shared" si="188"/>
        <v>0</v>
      </c>
      <c r="EP65" s="143">
        <f t="shared" si="189"/>
        <v>0</v>
      </c>
      <c r="EQ65" s="143">
        <f t="shared" si="190"/>
        <v>0</v>
      </c>
      <c r="ER65" s="143">
        <f t="shared" si="191"/>
        <v>0</v>
      </c>
      <c r="ES65" s="143">
        <f t="shared" si="192"/>
        <v>0</v>
      </c>
      <c r="ET65" s="143">
        <f t="shared" si="193"/>
        <v>0</v>
      </c>
      <c r="EU65" s="143">
        <f t="shared" si="194"/>
        <v>0</v>
      </c>
      <c r="EV65" s="143">
        <f t="shared" si="195"/>
        <v>0</v>
      </c>
      <c r="EW65" s="143">
        <f t="shared" si="196"/>
        <v>0</v>
      </c>
      <c r="EX65" s="143">
        <f t="shared" si="197"/>
        <v>0</v>
      </c>
      <c r="EY65" s="143">
        <f t="shared" si="198"/>
        <v>0</v>
      </c>
      <c r="EZ65" s="143">
        <f t="shared" si="199"/>
        <v>0</v>
      </c>
      <c r="FA65" s="143">
        <f t="shared" si="200"/>
        <v>0</v>
      </c>
      <c r="FB65" s="143">
        <f t="shared" si="201"/>
        <v>0</v>
      </c>
      <c r="FC65" s="143">
        <f t="shared" si="202"/>
        <v>0</v>
      </c>
      <c r="FD65" s="143">
        <f t="shared" si="203"/>
        <v>0</v>
      </c>
      <c r="FE65" s="140">
        <f>SUM($D65:D65)*IF($B65="Operacional",IFERROR(VLOOKUP($C65,SN_UGC,28,0),0),1)</f>
        <v>46</v>
      </c>
      <c r="FF65" s="140">
        <f>SUM($D65:E65)*IF($B65="Operacional",IFERROR(VLOOKUP($C65,SN_UGC,28,0),0),1)</f>
        <v>46</v>
      </c>
      <c r="FG65" s="140">
        <f>SUM($D65:F65)*IF($B65="Operacional",IFERROR(VLOOKUP($C65,SN_UGC,28,0),0),1)</f>
        <v>46</v>
      </c>
      <c r="FH65" s="140">
        <f>SUM($D65:G65)*IF($B65="Operacional",IFERROR(VLOOKUP($C65,SN_UGC,28,0),0),1)</f>
        <v>46</v>
      </c>
      <c r="FI65" s="140">
        <f>SUM($D65:H65)*IF($B65="Operacional",IFERROR(VLOOKUP($C65,SN_UGC,28,0),0),1)</f>
        <v>46</v>
      </c>
      <c r="FJ65" s="140">
        <f>SUM($D65:I65)*IF($B65="Operacional",IFERROR(VLOOKUP($C65,SN_UGC,28,0),0),1)</f>
        <v>46</v>
      </c>
      <c r="FK65" s="140">
        <f>SUM($D65:J65)*IF($B65="Operacional",IFERROR(VLOOKUP($C65,SN_UGC,28,0),0),1)</f>
        <v>46</v>
      </c>
      <c r="FL65" s="140">
        <f>SUM($D65:K65)*IF($B65="Operacional",IFERROR(VLOOKUP($C65,SN_UGC,28,0),0),1)</f>
        <v>46</v>
      </c>
      <c r="FM65" s="140">
        <f>SUM($D65:L65)*IF($B65="Operacional",IFERROR(VLOOKUP($C65,SN_UGC,28,0),0),1)</f>
        <v>46</v>
      </c>
      <c r="FN65" s="140">
        <f>SUM($D65:M65)*IF($B65="Operacional",IFERROR(VLOOKUP($C65,SN_UGC,28,0),0),1)</f>
        <v>46</v>
      </c>
      <c r="FO65" s="140">
        <f>SUM($D65:N65)*IF($B65="Operacional",IFERROR(VLOOKUP($C65,SN_UGC,28,0),0),1)</f>
        <v>46</v>
      </c>
      <c r="FP65" s="140">
        <f>SUM($D65:O65)*IF($B65="Operacional",IFERROR(VLOOKUP($C65,SN_UGC,28,0),0),1)</f>
        <v>46</v>
      </c>
      <c r="FQ65" s="140">
        <f>SUM($D65:P65)*IF($B65="Operacional",IFERROR(VLOOKUP($C65,SN_UGC,28,0),0),1)</f>
        <v>46</v>
      </c>
      <c r="FR65" s="140">
        <f>SUM($D65:Q65)*IF($B65="Operacional",IFERROR(VLOOKUP($C65,SN_UGC,28,0),0),1)</f>
        <v>46</v>
      </c>
      <c r="FS65" s="140">
        <f>SUM($D65:R65)*IF($B65="Operacional",IFERROR(VLOOKUP($C65,SN_UGC,28,0),0),1)</f>
        <v>46</v>
      </c>
      <c r="FT65" s="140">
        <f>SUM($D65:S65)*IF($B65="Operacional",IFERROR(VLOOKUP($C65,SN_UGC,28,0),0),1)</f>
        <v>46</v>
      </c>
      <c r="FU65" s="140">
        <f>SUM($D65:T65)*IF($B65="Operacional",IFERROR(VLOOKUP($C65,SN_UGC,28,0),0),1)</f>
        <v>46</v>
      </c>
      <c r="FV65" s="140">
        <f>SUM($D65:U65)*IF($B65="Operacional",IFERROR(VLOOKUP($C65,SN_UGC,28,0),0),1)</f>
        <v>46</v>
      </c>
      <c r="FW65" s="140">
        <f>SUM($D65:V65)*IF($B65="Operacional",IFERROR(VLOOKUP($C65,SN_UGC,28,0),0),1)</f>
        <v>46</v>
      </c>
      <c r="FX65" s="140">
        <f>SUM($D65:W65)*IF($B65="Operacional",IFERROR(VLOOKUP($C65,SN_UGC,28,0),0),1)</f>
        <v>46</v>
      </c>
      <c r="FY65" s="140">
        <f>SUM($D65:X65)*IF($B65="Operacional",IFERROR(VLOOKUP($C65,SN_UGC,28,0),0),1)</f>
        <v>46</v>
      </c>
      <c r="FZ65" s="140">
        <f>SUM($D65:Y65)*IF($B65="Operacional",IFERROR(VLOOKUP($C65,SN_UGC,28,0),0),1)</f>
        <v>46</v>
      </c>
      <c r="GA65" s="140">
        <f>SUM($D65:Z65)*IF($B65="Operacional",IFERROR(VLOOKUP($C65,SN_UGC,28,0),0),1)</f>
        <v>46</v>
      </c>
      <c r="GB65" s="140">
        <f>SUM($D65:AA65)*IF($B65="Operacional",IFERROR(VLOOKUP($C65,SN_UGC,28,0),0),1)</f>
        <v>46</v>
      </c>
      <c r="GC65" s="140">
        <f>SUM($D65:AB65)*IF($B65="Operacional",IFERROR(VLOOKUP($C65,SN_UGC,28,0),0),1)</f>
        <v>46</v>
      </c>
      <c r="GD65" s="140">
        <f>SUM($D65:AC65)*IF($B65="Operacional",IFERROR(VLOOKUP($C65,SN_UGC,28,0),0),1)</f>
        <v>46</v>
      </c>
      <c r="GE65" s="140">
        <f>SUM($D65:AD65)*IF($B65="Operacional",IFERROR(VLOOKUP($C65,SN_UGC,28,0),0),1)</f>
        <v>46</v>
      </c>
      <c r="GF65" s="140">
        <f>SUM($D65:AE65)*IF($B65="Operacional",IFERROR(VLOOKUP($C65,SN_UGC,28,0),0),1)</f>
        <v>46</v>
      </c>
      <c r="GG65" s="140">
        <f>SUM($D65:AF65)*IF($B65="Operacional",IFERROR(VLOOKUP($C65,SN_UGC,28,0),0),1)</f>
        <v>46</v>
      </c>
      <c r="GH65" s="140">
        <f>SUM($D65:AG65)*IF($B65="Operacional",IFERROR(VLOOKUP($C65,SN_UGC,28,0),0),1)</f>
        <v>46</v>
      </c>
      <c r="GI65" s="141">
        <f t="shared" ref="GI65:HL65" si="319">FE65*$AH65*$AL65</f>
        <v>5456.9570000000012</v>
      </c>
      <c r="GJ65" s="141">
        <f t="shared" si="319"/>
        <v>5456.9570000000012</v>
      </c>
      <c r="GK65" s="141">
        <f t="shared" si="319"/>
        <v>5456.9570000000012</v>
      </c>
      <c r="GL65" s="141">
        <f t="shared" si="319"/>
        <v>5456.9570000000012</v>
      </c>
      <c r="GM65" s="141">
        <f t="shared" si="319"/>
        <v>5456.9570000000012</v>
      </c>
      <c r="GN65" s="141">
        <f t="shared" si="319"/>
        <v>5456.9570000000012</v>
      </c>
      <c r="GO65" s="141">
        <f t="shared" si="319"/>
        <v>5456.9570000000012</v>
      </c>
      <c r="GP65" s="141">
        <f t="shared" si="319"/>
        <v>5456.9570000000012</v>
      </c>
      <c r="GQ65" s="141">
        <f t="shared" si="319"/>
        <v>5456.9570000000012</v>
      </c>
      <c r="GR65" s="141">
        <f t="shared" si="319"/>
        <v>5456.9570000000012</v>
      </c>
      <c r="GS65" s="141">
        <f t="shared" si="319"/>
        <v>5456.9570000000012</v>
      </c>
      <c r="GT65" s="141">
        <f t="shared" si="319"/>
        <v>5456.9570000000012</v>
      </c>
      <c r="GU65" s="141">
        <f t="shared" si="319"/>
        <v>5456.9570000000012</v>
      </c>
      <c r="GV65" s="141">
        <f t="shared" si="319"/>
        <v>5456.9570000000012</v>
      </c>
      <c r="GW65" s="141">
        <f t="shared" si="319"/>
        <v>5456.9570000000012</v>
      </c>
      <c r="GX65" s="141">
        <f t="shared" si="319"/>
        <v>5456.9570000000012</v>
      </c>
      <c r="GY65" s="141">
        <f t="shared" si="319"/>
        <v>5456.9570000000012</v>
      </c>
      <c r="GZ65" s="141">
        <f t="shared" si="319"/>
        <v>5456.9570000000012</v>
      </c>
      <c r="HA65" s="141">
        <f t="shared" si="319"/>
        <v>5456.9570000000012</v>
      </c>
      <c r="HB65" s="141">
        <f t="shared" si="319"/>
        <v>5456.9570000000012</v>
      </c>
      <c r="HC65" s="141">
        <f t="shared" si="319"/>
        <v>5456.9570000000012</v>
      </c>
      <c r="HD65" s="141">
        <f t="shared" si="319"/>
        <v>5456.9570000000012</v>
      </c>
      <c r="HE65" s="141">
        <f t="shared" si="319"/>
        <v>5456.9570000000012</v>
      </c>
      <c r="HF65" s="141">
        <f t="shared" si="319"/>
        <v>5456.9570000000012</v>
      </c>
      <c r="HG65" s="141">
        <f t="shared" si="319"/>
        <v>5456.9570000000012</v>
      </c>
      <c r="HH65" s="141">
        <f t="shared" si="319"/>
        <v>5456.9570000000012</v>
      </c>
      <c r="HI65" s="141">
        <f t="shared" si="319"/>
        <v>5456.9570000000012</v>
      </c>
      <c r="HJ65" s="141">
        <f t="shared" si="319"/>
        <v>5456.9570000000012</v>
      </c>
      <c r="HK65" s="141">
        <f t="shared" si="319"/>
        <v>5456.9570000000012</v>
      </c>
      <c r="HL65" s="141">
        <f t="shared" si="319"/>
        <v>5456.9570000000012</v>
      </c>
      <c r="HM65" s="142">
        <f t="shared" ref="HM65:IP65" si="320">IF(ISBLANK($A65),,FE65*($AH65-($AH65*$AJ65))/$AI65)</f>
        <v>3637.9713333333339</v>
      </c>
      <c r="HN65" s="142">
        <f t="shared" si="320"/>
        <v>3637.9713333333339</v>
      </c>
      <c r="HO65" s="142">
        <f t="shared" si="320"/>
        <v>3637.9713333333339</v>
      </c>
      <c r="HP65" s="142">
        <f t="shared" si="320"/>
        <v>3637.9713333333339</v>
      </c>
      <c r="HQ65" s="142">
        <f t="shared" si="320"/>
        <v>3637.9713333333339</v>
      </c>
      <c r="HR65" s="142">
        <f t="shared" si="320"/>
        <v>3637.9713333333339</v>
      </c>
      <c r="HS65" s="142">
        <f t="shared" si="320"/>
        <v>3637.9713333333339</v>
      </c>
      <c r="HT65" s="142">
        <f t="shared" si="320"/>
        <v>3637.9713333333339</v>
      </c>
      <c r="HU65" s="142">
        <f t="shared" si="320"/>
        <v>3637.9713333333339</v>
      </c>
      <c r="HV65" s="142">
        <f t="shared" si="320"/>
        <v>3637.9713333333339</v>
      </c>
      <c r="HW65" s="142">
        <f t="shared" si="320"/>
        <v>3637.9713333333339</v>
      </c>
      <c r="HX65" s="142">
        <f t="shared" si="320"/>
        <v>3637.9713333333339</v>
      </c>
      <c r="HY65" s="142">
        <f t="shared" si="320"/>
        <v>3637.9713333333339</v>
      </c>
      <c r="HZ65" s="142">
        <f t="shared" si="320"/>
        <v>3637.9713333333339</v>
      </c>
      <c r="IA65" s="142">
        <f t="shared" si="320"/>
        <v>3637.9713333333339</v>
      </c>
      <c r="IB65" s="142">
        <f t="shared" si="320"/>
        <v>3637.9713333333339</v>
      </c>
      <c r="IC65" s="142">
        <f t="shared" si="320"/>
        <v>3637.9713333333339</v>
      </c>
      <c r="ID65" s="142">
        <f t="shared" si="320"/>
        <v>3637.9713333333339</v>
      </c>
      <c r="IE65" s="142">
        <f t="shared" si="320"/>
        <v>3637.9713333333339</v>
      </c>
      <c r="IF65" s="142">
        <f t="shared" si="320"/>
        <v>3637.9713333333339</v>
      </c>
      <c r="IG65" s="142">
        <f t="shared" si="320"/>
        <v>3637.9713333333339</v>
      </c>
      <c r="IH65" s="142">
        <f t="shared" si="320"/>
        <v>3637.9713333333339</v>
      </c>
      <c r="II65" s="142">
        <f t="shared" si="320"/>
        <v>3637.9713333333339</v>
      </c>
      <c r="IJ65" s="142">
        <f t="shared" si="320"/>
        <v>3637.9713333333339</v>
      </c>
      <c r="IK65" s="142">
        <f t="shared" si="320"/>
        <v>3637.9713333333339</v>
      </c>
      <c r="IL65" s="142">
        <f t="shared" si="320"/>
        <v>3637.9713333333339</v>
      </c>
      <c r="IM65" s="142">
        <f t="shared" si="320"/>
        <v>3637.9713333333339</v>
      </c>
      <c r="IN65" s="142">
        <f t="shared" si="320"/>
        <v>3637.9713333333339</v>
      </c>
      <c r="IO65" s="142">
        <f t="shared" si="320"/>
        <v>3637.9713333333339</v>
      </c>
      <c r="IP65" s="142">
        <f t="shared" si="320"/>
        <v>3637.9713333333339</v>
      </c>
      <c r="IQ65" s="141">
        <f>IF(ISBLANK($A65),,IF($AN65="Não",0,(SUM($AO65:AO65)*$AH65)-SUM($HM65:HM65)-SUM($CW65:CW65)))</f>
        <v>0</v>
      </c>
      <c r="IR65" s="141">
        <f>IF(ISBLANK($A65),,IF($AN65="Não",0,(SUM($AO65:AP65)*$AH65)-SUM($HM65:HN65)-SUM($CW65:CX65)))</f>
        <v>0</v>
      </c>
      <c r="IS65" s="141">
        <f>IF(ISBLANK($A65),,IF($AN65="Não",0,(SUM($AO65:AQ65)*$AH65)-SUM($HM65:HO65)-SUM($CW65:CY65)))</f>
        <v>0</v>
      </c>
      <c r="IT65" s="141">
        <f>IF(ISBLANK($A65),,IF($AN65="Não",0,(SUM($AO65:AR65)*$AH65)-SUM($HM65:HP65)-SUM($CW65:CZ65)))</f>
        <v>0</v>
      </c>
      <c r="IU65" s="141">
        <f>IF(ISBLANK($A65),,IF($AN65="Não",0,(SUM($AO65:AS65)*$AH65)-SUM($HM65:HQ65)-SUM($CW65:DA65)))</f>
        <v>0</v>
      </c>
      <c r="IV65" s="141">
        <f>IF(ISBLANK($A65),,IF($AN65="Não",0,(SUM($AO65:AT65)*$AH65)-SUM($HM65:HR65)-SUM($CW65:DB65)))</f>
        <v>0</v>
      </c>
      <c r="IW65" s="141">
        <f>IF(ISBLANK($A65),,IF($AN65="Não",0,(SUM($AO65:AU65)*$AH65)-SUM($HM65:HS65)-SUM($CW65:DC65)))</f>
        <v>0</v>
      </c>
      <c r="IX65" s="141">
        <f>IF(ISBLANK($A65),,IF($AN65="Não",0,(SUM($AO65:AV65)*$AH65)-SUM($HM65:HT65)-SUM($CW65:DD65)))</f>
        <v>0</v>
      </c>
      <c r="IY65" s="141">
        <f>IF(ISBLANK($A65),,IF($AN65="Não",0,(SUM($AO65:AW65)*$AH65)-SUM($HM65:HU65)-SUM($CW65:DE65)))</f>
        <v>0</v>
      </c>
      <c r="IZ65" s="141">
        <f>IF(ISBLANK($A65),,IF($AN65="Não",0,(SUM($AO65:AX65)*$AH65)-SUM($HM65:HV65)-SUM($CW65:DF65)))</f>
        <v>0</v>
      </c>
      <c r="JA65" s="141">
        <f>IF(ISBLANK($A65),,IF($AN65="Não",0,(SUM($AO65:AY65)*$AH65)-SUM($HM65:HW65)-SUM($CW65:DG65)))</f>
        <v>0</v>
      </c>
      <c r="JB65" s="141">
        <f>IF(ISBLANK($A65),,IF($AN65="Não",0,(SUM($AO65:AZ65)*$AH65)-SUM($HM65:HX65)-SUM($CW65:DH65)))</f>
        <v>0</v>
      </c>
      <c r="JC65" s="141">
        <f>IF(ISBLANK($A65),,IF($AN65="Não",0,(SUM($AO65:BA65)*$AH65)-SUM($HM65:HY65)-SUM($CW65:DI65)))</f>
        <v>0</v>
      </c>
      <c r="JD65" s="141">
        <f>IF(ISBLANK($A65),,IF($AN65="Não",0,(SUM($AO65:BB65)*$AH65)-SUM($HM65:HZ65)-SUM($CW65:DJ65)))</f>
        <v>0</v>
      </c>
      <c r="JE65" s="141">
        <f>IF(ISBLANK($A65),,IF($AN65="Não",0,(SUM($AO65:BC65)*$AH65)-SUM($HM65:IA65)-SUM($CW65:DK65)))</f>
        <v>0</v>
      </c>
      <c r="JF65" s="141">
        <f>IF(ISBLANK($A65),,IF($AN65="Não",0,(SUM($AO65:BD65)*$AH65)-SUM($HM65:IB65)-SUM($CW65:DL65)))</f>
        <v>0</v>
      </c>
      <c r="JG65" s="141">
        <f>IF(ISBLANK($A65),,IF($AN65="Não",0,(SUM($AO65:BE65)*$AH65)-SUM($HM65:IC65)-SUM($CW65:DM65)))</f>
        <v>0</v>
      </c>
      <c r="JH65" s="141">
        <f>IF(ISBLANK($A65),,IF($AN65="Não",0,(SUM($AO65:BF65)*$AH65)-SUM($HM65:ID65)-SUM($CW65:DN65)))</f>
        <v>0</v>
      </c>
      <c r="JI65" s="141">
        <f>IF(ISBLANK($A65),,IF($AN65="Não",0,(SUM($AO65:BG65)*$AH65)-SUM($HM65:IE65)-SUM($CW65:DO65)))</f>
        <v>0</v>
      </c>
      <c r="JJ65" s="141">
        <f>IF(ISBLANK($A65),,IF($AN65="Não",0,(SUM($AO65:BH65)*$AH65)-SUM($HM65:IF65)-SUM($CW65:DP65)))</f>
        <v>0</v>
      </c>
      <c r="JK65" s="141">
        <f>IF(ISBLANK($A65),,IF($AN65="Não",0,(SUM($AO65:BI65)*$AH65)-SUM($HM65:IG65)-SUM($CW65:DQ65)))</f>
        <v>0</v>
      </c>
      <c r="JL65" s="141">
        <f>IF(ISBLANK($A65),,IF($AN65="Não",0,(SUM($AO65:BJ65)*$AH65)-SUM($HM65:IH65)-SUM($CW65:DR65)))</f>
        <v>0</v>
      </c>
      <c r="JM65" s="141">
        <f>IF(ISBLANK($A65),,IF($AN65="Não",0,(SUM($AO65:BK65)*$AH65)-SUM($HM65:II65)-SUM($CW65:DS65)))</f>
        <v>0</v>
      </c>
      <c r="JN65" s="141">
        <f>IF(ISBLANK($A65),,IF($AN65="Não",0,(SUM($AO65:BL65)*$AH65)-SUM($HM65:IJ65)-SUM($CW65:DT65)))</f>
        <v>0</v>
      </c>
      <c r="JO65" s="141">
        <f>IF(ISBLANK($A65),,IF($AN65="Não",0,(SUM($AO65:BM65)*$AH65)-SUM($HM65:IK65)-SUM($CW65:DU65)))</f>
        <v>0</v>
      </c>
      <c r="JP65" s="141">
        <f>IF(ISBLANK($A65),,IF($AN65="Não",0,(SUM($AO65:BN65)*$AH65)-SUM($HM65:IL65)-SUM($CW65:DV65)))</f>
        <v>0</v>
      </c>
      <c r="JQ65" s="141">
        <f>IF(ISBLANK($A65),,IF($AN65="Não",0,(SUM($AO65:BO65)*$AH65)-SUM($HM65:IM65)-SUM($CW65:DW65)))</f>
        <v>0</v>
      </c>
      <c r="JR65" s="141">
        <f>IF(ISBLANK($A65),,IF($AN65="Não",0,(SUM($AO65:BP65)*$AH65)-SUM($HM65:IN65)-SUM($CW65:DX65)))</f>
        <v>0</v>
      </c>
      <c r="JS65" s="141">
        <f>IF(ISBLANK($A65),,IF($AN65="Não",0,(SUM($AO65:BQ65)*$AH65)-SUM($HM65:IO65)-SUM($CW65:DY65)))</f>
        <v>0</v>
      </c>
      <c r="JT65" s="141">
        <f>IF(ISBLANK($A65),,IF($AN65="Não",0,(SUM($AO65:BR65)*$AH65)-SUM($HM65:IP65)-SUM($CW65:DZ65)))</f>
        <v>0</v>
      </c>
    </row>
    <row r="66" spans="1:280" ht="15.75" customHeight="1">
      <c r="A66" s="129" t="s">
        <v>357</v>
      </c>
      <c r="B66" s="129" t="s">
        <v>209</v>
      </c>
      <c r="C66" s="138" t="s">
        <v>85</v>
      </c>
      <c r="D66" s="139">
        <v>2</v>
      </c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  <c r="AA66" s="139"/>
      <c r="AB66" s="139"/>
      <c r="AC66" s="139"/>
      <c r="AD66" s="139"/>
      <c r="AE66" s="139"/>
      <c r="AF66" s="139"/>
      <c r="AG66" s="139"/>
      <c r="AH66" s="607">
        <f t="shared" si="286"/>
        <v>1760.0000000000002</v>
      </c>
      <c r="AI66" s="608">
        <f t="shared" si="287"/>
        <v>10</v>
      </c>
      <c r="AJ66" s="609">
        <f t="shared" si="288"/>
        <v>0</v>
      </c>
      <c r="AK66" s="610" t="str">
        <f t="shared" si="289"/>
        <v>Infraestrutura</v>
      </c>
      <c r="AL66" s="609">
        <f t="shared" si="290"/>
        <v>0.05</v>
      </c>
      <c r="AM66" s="611" t="str">
        <f t="shared" si="291"/>
        <v>Sim</v>
      </c>
      <c r="AN66" s="611" t="str">
        <f t="shared" si="292"/>
        <v>Não</v>
      </c>
      <c r="AO66" s="140">
        <f t="array" ref="AO66">IF(ISBLANK($A66),0,IF(OR(AO$5-$AI66&lt;=0,$AM66="Não"),D66,D66+INDEX($AO$6:$BR$176,ROW()-5,COLUMN()-40-$AI66)))*IF($B66="Operacional",IFERROR(VLOOKUP($C66,SN_UGC,28,0),0),1)</f>
        <v>2</v>
      </c>
      <c r="AP66" s="140">
        <f t="array" ref="AP66">IF(ISBLANK($A66),0,IF(OR(AP$5-$AI66&lt;=0,$AM66="Não"),E66,E66+INDEX($AO$6:$BR$176,ROW()-5,COLUMN()-40-$AI66)))*IF($B66="Operacional",IFERROR(VLOOKUP($C66,SN_UGC,28,0),0),1)</f>
        <v>0</v>
      </c>
      <c r="AQ66" s="140">
        <f t="array" ref="AQ66">IF(ISBLANK($A66),0,IF(OR(AQ$5-$AI66&lt;=0,$AM66="Não"),F66,F66+INDEX($AO$6:$BR$176,ROW()-5,COLUMN()-40-$AI66)))*IF($B66="Operacional",IFERROR(VLOOKUP($C66,SN_UGC,28,0),0),1)</f>
        <v>0</v>
      </c>
      <c r="AR66" s="140">
        <f t="array" ref="AR66">IF(ISBLANK($A66),0,IF(OR(AR$5-$AI66&lt;=0,$AM66="Não"),G66,G66+INDEX($AO$6:$BR$176,ROW()-5,COLUMN()-40-$AI66)))*IF($B66="Operacional",IFERROR(VLOOKUP($C66,SN_UGC,28,0),0),1)</f>
        <v>0</v>
      </c>
      <c r="AS66" s="140">
        <f t="array" ref="AS66">IF(ISBLANK($A66),0,IF(OR(AS$5-$AI66&lt;=0,$AM66="Não"),H66,H66+INDEX($AO$6:$BR$176,ROW()-5,COLUMN()-40-$AI66)))*IF($B66="Operacional",IFERROR(VLOOKUP($C66,SN_UGC,28,0),0),1)</f>
        <v>0</v>
      </c>
      <c r="AT66" s="140">
        <f t="array" ref="AT66">IF(ISBLANK($A66),0,IF(OR(AT$5-$AI66&lt;=0,$AM66="Não"),I66,I66+INDEX($AO$6:$BR$176,ROW()-5,COLUMN()-40-$AI66)))*IF($B66="Operacional",IFERROR(VLOOKUP($C66,SN_UGC,28,0),0),1)</f>
        <v>0</v>
      </c>
      <c r="AU66" s="140">
        <f t="array" ref="AU66">IF(ISBLANK($A66),0,IF(OR(AU$5-$AI66&lt;=0,$AM66="Não"),J66,J66+INDEX($AO$6:$BR$176,ROW()-5,COLUMN()-40-$AI66)))*IF($B66="Operacional",IFERROR(VLOOKUP($C66,SN_UGC,28,0),0),1)</f>
        <v>0</v>
      </c>
      <c r="AV66" s="140">
        <f t="array" ref="AV66">IF(ISBLANK($A66),0,IF(OR(AV$5-$AI66&lt;=0,$AM66="Não"),K66,K66+INDEX($AO$6:$BR$176,ROW()-5,COLUMN()-40-$AI66)))*IF($B66="Operacional",IFERROR(VLOOKUP($C66,SN_UGC,28,0),0),1)</f>
        <v>0</v>
      </c>
      <c r="AW66" s="140">
        <f t="array" ref="AW66">IF(ISBLANK($A66),0,IF(OR(AW$5-$AI66&lt;=0,$AM66="Não"),L66,L66+INDEX($AO$6:$BR$176,ROW()-5,COLUMN()-40-$AI66)))*IF($B66="Operacional",IFERROR(VLOOKUP($C66,SN_UGC,28,0),0),1)</f>
        <v>0</v>
      </c>
      <c r="AX66" s="140">
        <f t="array" ref="AX66">IF(ISBLANK($A66),0,IF(OR(AX$5-$AI66&lt;=0,$AM66="Não"),M66,M66+INDEX($AO$6:$BR$176,ROW()-5,COLUMN()-40-$AI66)))*IF($B66="Operacional",IFERROR(VLOOKUP($C66,SN_UGC,28,0),0),1)</f>
        <v>0</v>
      </c>
      <c r="AY66" s="140">
        <f t="array" ref="AY66">IF(ISBLANK($A66),0,IF(OR(AY$5-$AI66&lt;=0,$AM66="Não"),N66,N66+INDEX($AO$6:$BR$176,ROW()-5,COLUMN()-40-$AI66)))*IF($B66="Operacional",IFERROR(VLOOKUP($C66,SN_UGC,28,0),0),1)</f>
        <v>2</v>
      </c>
      <c r="AZ66" s="140">
        <f t="array" ref="AZ66">IF(ISBLANK($A66),0,IF(OR(AZ$5-$AI66&lt;=0,$AM66="Não"),O66,O66+INDEX($AO$6:$BR$176,ROW()-5,COLUMN()-40-$AI66)))*IF($B66="Operacional",IFERROR(VLOOKUP($C66,SN_UGC,28,0),0),1)</f>
        <v>0</v>
      </c>
      <c r="BA66" s="140">
        <f t="array" ref="BA66">IF(ISBLANK($A66),0,IF(OR(BA$5-$AI66&lt;=0,$AM66="Não"),P66,P66+INDEX($AO$6:$BR$176,ROW()-5,COLUMN()-40-$AI66)))*IF($B66="Operacional",IFERROR(VLOOKUP($C66,SN_UGC,28,0),0),1)</f>
        <v>0</v>
      </c>
      <c r="BB66" s="140">
        <f t="array" ref="BB66">IF(ISBLANK($A66),0,IF(OR(BB$5-$AI66&lt;=0,$AM66="Não"),Q66,Q66+INDEX($AO$6:$BR$176,ROW()-5,COLUMN()-40-$AI66)))*IF($B66="Operacional",IFERROR(VLOOKUP($C66,SN_UGC,28,0),0),1)</f>
        <v>0</v>
      </c>
      <c r="BC66" s="140">
        <f t="array" ref="BC66">IF(ISBLANK($A66),0,IF(OR(BC$5-$AI66&lt;=0,$AM66="Não"),R66,R66+INDEX($AO$6:$BR$176,ROW()-5,COLUMN()-40-$AI66)))*IF($B66="Operacional",IFERROR(VLOOKUP($C66,SN_UGC,28,0),0),1)</f>
        <v>0</v>
      </c>
      <c r="BD66" s="140">
        <f t="array" ref="BD66">IF(ISBLANK($A66),0,IF(OR(BD$5-$AI66&lt;=0,$AM66="Não"),S66,S66+INDEX($AO$6:$BR$176,ROW()-5,COLUMN()-40-$AI66)))*IF($B66="Operacional",IFERROR(VLOOKUP($C66,SN_UGC,28,0),0),1)</f>
        <v>0</v>
      </c>
      <c r="BE66" s="140">
        <f t="array" ref="BE66">IF(ISBLANK($A66),0,IF(OR(BE$5-$AI66&lt;=0,$AM66="Não"),T66,T66+INDEX($AO$6:$BR$176,ROW()-5,COLUMN()-40-$AI66)))*IF($B66="Operacional",IFERROR(VLOOKUP($C66,SN_UGC,28,0),0),1)</f>
        <v>0</v>
      </c>
      <c r="BF66" s="140">
        <f t="array" ref="BF66">IF(ISBLANK($A66),0,IF(OR(BF$5-$AI66&lt;=0,$AM66="Não"),U66,U66+INDEX($AO$6:$BR$176,ROW()-5,COLUMN()-40-$AI66)))*IF($B66="Operacional",IFERROR(VLOOKUP($C66,SN_UGC,28,0),0),1)</f>
        <v>0</v>
      </c>
      <c r="BG66" s="140">
        <f t="array" ref="BG66">IF(ISBLANK($A66),0,IF(OR(BG$5-$AI66&lt;=0,$AM66="Não"),V66,V66+INDEX($AO$6:$BR$176,ROW()-5,COLUMN()-40-$AI66)))*IF($B66="Operacional",IFERROR(VLOOKUP($C66,SN_UGC,28,0),0),1)</f>
        <v>0</v>
      </c>
      <c r="BH66" s="140">
        <f t="array" ref="BH66">IF(ISBLANK($A66),0,IF(OR(BH$5-$AI66&lt;=0,$AM66="Não"),W66,W66+INDEX($AO$6:$BR$176,ROW()-5,COLUMN()-40-$AI66)))*IF($B66="Operacional",IFERROR(VLOOKUP($C66,SN_UGC,28,0),0),1)</f>
        <v>0</v>
      </c>
      <c r="BI66" s="140">
        <f t="array" ref="BI66">IF(ISBLANK($A66),0,IF(OR(BI$5-$AI66&lt;=0,$AM66="Não"),X66,X66+INDEX($AO$6:$BR$176,ROW()-5,COLUMN()-40-$AI66)))*IF($B66="Operacional",IFERROR(VLOOKUP($C66,SN_UGC,28,0),0),1)</f>
        <v>2</v>
      </c>
      <c r="BJ66" s="140">
        <f t="array" ref="BJ66">IF(ISBLANK($A66),0,IF(OR(BJ$5-$AI66&lt;=0,$AM66="Não"),Y66,Y66+INDEX($AO$6:$BR$176,ROW()-5,COLUMN()-40-$AI66)))*IF($B66="Operacional",IFERROR(VLOOKUP($C66,SN_UGC,28,0),0),1)</f>
        <v>0</v>
      </c>
      <c r="BK66" s="140">
        <f t="array" ref="BK66">IF(ISBLANK($A66),0,IF(OR(BK$5-$AI66&lt;=0,$AM66="Não"),Z66,Z66+INDEX($AO$6:$BR$176,ROW()-5,COLUMN()-40-$AI66)))*IF($B66="Operacional",IFERROR(VLOOKUP($C66,SN_UGC,28,0),0),1)</f>
        <v>0</v>
      </c>
      <c r="BL66" s="140">
        <f t="array" ref="BL66">IF(ISBLANK($A66),0,IF(OR(BL$5-$AI66&lt;=0,$AM66="Não"),AA66,AA66+INDEX($AO$6:$BR$176,ROW()-5,COLUMN()-40-$AI66)))*IF($B66="Operacional",IFERROR(VLOOKUP($C66,SN_UGC,28,0),0),1)</f>
        <v>0</v>
      </c>
      <c r="BM66" s="140">
        <f t="array" ref="BM66">IF(ISBLANK($A66),0,IF(OR(BM$5-$AI66&lt;=0,$AM66="Não"),AB66,AB66+INDEX($AO$6:$BR$176,ROW()-5,COLUMN()-40-$AI66)))*IF($B66="Operacional",IFERROR(VLOOKUP($C66,SN_UGC,28,0),0),1)</f>
        <v>0</v>
      </c>
      <c r="BN66" s="140">
        <f t="array" ref="BN66">IF(ISBLANK($A66),0,IF(OR(BN$5-$AI66&lt;=0,$AM66="Não"),AC66,AC66+INDEX($AO$6:$BR$176,ROW()-5,COLUMN()-40-$AI66)))*IF($B66="Operacional",IFERROR(VLOOKUP($C66,SN_UGC,28,0),0),1)</f>
        <v>0</v>
      </c>
      <c r="BO66" s="140">
        <f t="array" ref="BO66">IF(ISBLANK($A66),0,IF(OR(BO$5-$AI66&lt;=0,$AM66="Não"),AD66,AD66+INDEX($AO$6:$BR$176,ROW()-5,COLUMN()-40-$AI66)))*IF($B66="Operacional",IFERROR(VLOOKUP($C66,SN_UGC,28,0),0),1)</f>
        <v>0</v>
      </c>
      <c r="BP66" s="140">
        <f t="array" ref="BP66">IF(ISBLANK($A66),0,IF(OR(BP$5-$AI66&lt;=0,$AM66="Não"),AE66,AE66+INDEX($AO$6:$BR$176,ROW()-5,COLUMN()-40-$AI66)))*IF($B66="Operacional",IFERROR(VLOOKUP($C66,SN_UGC,28,0),0),1)</f>
        <v>0</v>
      </c>
      <c r="BQ66" s="140">
        <f t="array" ref="BQ66">IF(ISBLANK($A66),0,IF(OR(BQ$5-$AI66&lt;=0,$AM66="Não"),AF66,AF66+INDEX($AO$6:$BR$176,ROW()-5,COLUMN()-40-$AI66)))*IF($B66="Operacional",IFERROR(VLOOKUP($C66,SN_UGC,28,0),0),1)</f>
        <v>0</v>
      </c>
      <c r="BR66" s="140">
        <f t="array" ref="BR66">IF(ISBLANK($A66),0,IF(OR(BR$5-$AI66&lt;=0,$AM66="Não"),AG66,AG66+INDEX($AO$6:$BR$176,ROW()-5,COLUMN()-40-$AI66)))*IF($B66="Operacional",IFERROR(VLOOKUP($C66,SN_UGC,28,0),0),1)</f>
        <v>0</v>
      </c>
      <c r="BS66" s="141">
        <f t="shared" ref="BS66:CV66" si="321">IF(ISBLANK($A66),0,$AH66*AO66)</f>
        <v>3520.0000000000005</v>
      </c>
      <c r="BT66" s="141">
        <f t="shared" si="321"/>
        <v>0</v>
      </c>
      <c r="BU66" s="141">
        <f t="shared" si="321"/>
        <v>0</v>
      </c>
      <c r="BV66" s="141">
        <f t="shared" si="321"/>
        <v>0</v>
      </c>
      <c r="BW66" s="141">
        <f t="shared" si="321"/>
        <v>0</v>
      </c>
      <c r="BX66" s="141">
        <f t="shared" si="321"/>
        <v>0</v>
      </c>
      <c r="BY66" s="141">
        <f t="shared" si="321"/>
        <v>0</v>
      </c>
      <c r="BZ66" s="141">
        <f t="shared" si="321"/>
        <v>0</v>
      </c>
      <c r="CA66" s="141">
        <f t="shared" si="321"/>
        <v>0</v>
      </c>
      <c r="CB66" s="141">
        <f t="shared" si="321"/>
        <v>0</v>
      </c>
      <c r="CC66" s="141">
        <f t="shared" si="321"/>
        <v>3520.0000000000005</v>
      </c>
      <c r="CD66" s="141">
        <f t="shared" si="321"/>
        <v>0</v>
      </c>
      <c r="CE66" s="141">
        <f t="shared" si="321"/>
        <v>0</v>
      </c>
      <c r="CF66" s="141">
        <f t="shared" si="321"/>
        <v>0</v>
      </c>
      <c r="CG66" s="141">
        <f t="shared" si="321"/>
        <v>0</v>
      </c>
      <c r="CH66" s="141">
        <f t="shared" si="321"/>
        <v>0</v>
      </c>
      <c r="CI66" s="141">
        <f t="shared" si="321"/>
        <v>0</v>
      </c>
      <c r="CJ66" s="141">
        <f t="shared" si="321"/>
        <v>0</v>
      </c>
      <c r="CK66" s="141">
        <f t="shared" si="321"/>
        <v>0</v>
      </c>
      <c r="CL66" s="141">
        <f t="shared" si="321"/>
        <v>0</v>
      </c>
      <c r="CM66" s="141">
        <f t="shared" si="321"/>
        <v>3520.0000000000005</v>
      </c>
      <c r="CN66" s="141">
        <f t="shared" si="321"/>
        <v>0</v>
      </c>
      <c r="CO66" s="141">
        <f t="shared" si="321"/>
        <v>0</v>
      </c>
      <c r="CP66" s="141">
        <f t="shared" si="321"/>
        <v>0</v>
      </c>
      <c r="CQ66" s="141">
        <f t="shared" si="321"/>
        <v>0</v>
      </c>
      <c r="CR66" s="141">
        <f t="shared" si="321"/>
        <v>0</v>
      </c>
      <c r="CS66" s="141">
        <f t="shared" si="321"/>
        <v>0</v>
      </c>
      <c r="CT66" s="141">
        <f t="shared" si="321"/>
        <v>0</v>
      </c>
      <c r="CU66" s="141">
        <f t="shared" si="321"/>
        <v>0</v>
      </c>
      <c r="CV66" s="141">
        <f t="shared" si="321"/>
        <v>0</v>
      </c>
      <c r="CW66" s="142">
        <f t="shared" ref="CW66:DZ66" si="322">EA66*$AH66*$AJ66</f>
        <v>0</v>
      </c>
      <c r="CX66" s="142">
        <f t="shared" si="322"/>
        <v>0</v>
      </c>
      <c r="CY66" s="142">
        <f t="shared" si="322"/>
        <v>0</v>
      </c>
      <c r="CZ66" s="142">
        <f t="shared" si="322"/>
        <v>0</v>
      </c>
      <c r="DA66" s="142">
        <f t="shared" si="322"/>
        <v>0</v>
      </c>
      <c r="DB66" s="142">
        <f t="shared" si="322"/>
        <v>0</v>
      </c>
      <c r="DC66" s="142">
        <f t="shared" si="322"/>
        <v>0</v>
      </c>
      <c r="DD66" s="142">
        <f t="shared" si="322"/>
        <v>0</v>
      </c>
      <c r="DE66" s="142">
        <f t="shared" si="322"/>
        <v>0</v>
      </c>
      <c r="DF66" s="142">
        <f t="shared" si="322"/>
        <v>0</v>
      </c>
      <c r="DG66" s="142">
        <f t="shared" si="322"/>
        <v>0</v>
      </c>
      <c r="DH66" s="142">
        <f t="shared" si="322"/>
        <v>0</v>
      </c>
      <c r="DI66" s="142">
        <f t="shared" si="322"/>
        <v>0</v>
      </c>
      <c r="DJ66" s="142">
        <f t="shared" si="322"/>
        <v>0</v>
      </c>
      <c r="DK66" s="142">
        <f t="shared" si="322"/>
        <v>0</v>
      </c>
      <c r="DL66" s="142">
        <f t="shared" si="322"/>
        <v>0</v>
      </c>
      <c r="DM66" s="142">
        <f t="shared" si="322"/>
        <v>0</v>
      </c>
      <c r="DN66" s="142">
        <f t="shared" si="322"/>
        <v>0</v>
      </c>
      <c r="DO66" s="142">
        <f t="shared" si="322"/>
        <v>0</v>
      </c>
      <c r="DP66" s="142">
        <f t="shared" si="322"/>
        <v>0</v>
      </c>
      <c r="DQ66" s="142">
        <f t="shared" si="322"/>
        <v>0</v>
      </c>
      <c r="DR66" s="142">
        <f t="shared" si="322"/>
        <v>0</v>
      </c>
      <c r="DS66" s="142">
        <f t="shared" si="322"/>
        <v>0</v>
      </c>
      <c r="DT66" s="142">
        <f t="shared" si="322"/>
        <v>0</v>
      </c>
      <c r="DU66" s="142">
        <f t="shared" si="322"/>
        <v>0</v>
      </c>
      <c r="DV66" s="142">
        <f t="shared" si="322"/>
        <v>0</v>
      </c>
      <c r="DW66" s="142">
        <f t="shared" si="322"/>
        <v>0</v>
      </c>
      <c r="DX66" s="142">
        <f t="shared" si="322"/>
        <v>0</v>
      </c>
      <c r="DY66" s="142">
        <f t="shared" si="322"/>
        <v>0</v>
      </c>
      <c r="DZ66" s="142">
        <f t="shared" si="322"/>
        <v>0</v>
      </c>
      <c r="EA66" s="143">
        <f t="shared" si="174"/>
        <v>0</v>
      </c>
      <c r="EB66" s="143">
        <f t="shared" si="175"/>
        <v>0</v>
      </c>
      <c r="EC66" s="143">
        <f t="shared" si="176"/>
        <v>0</v>
      </c>
      <c r="ED66" s="143">
        <f t="shared" si="177"/>
        <v>0</v>
      </c>
      <c r="EE66" s="143">
        <f t="shared" si="178"/>
        <v>0</v>
      </c>
      <c r="EF66" s="143">
        <f t="shared" si="179"/>
        <v>0</v>
      </c>
      <c r="EG66" s="143">
        <f t="shared" si="180"/>
        <v>0</v>
      </c>
      <c r="EH66" s="143">
        <f t="shared" si="181"/>
        <v>0</v>
      </c>
      <c r="EI66" s="143">
        <f t="shared" si="182"/>
        <v>0</v>
      </c>
      <c r="EJ66" s="143">
        <f t="shared" si="183"/>
        <v>0</v>
      </c>
      <c r="EK66" s="143">
        <f t="shared" si="184"/>
        <v>2</v>
      </c>
      <c r="EL66" s="143">
        <f t="shared" si="185"/>
        <v>0</v>
      </c>
      <c r="EM66" s="143">
        <f t="shared" si="186"/>
        <v>0</v>
      </c>
      <c r="EN66" s="143">
        <f t="shared" si="187"/>
        <v>0</v>
      </c>
      <c r="EO66" s="143">
        <f t="shared" si="188"/>
        <v>0</v>
      </c>
      <c r="EP66" s="143">
        <f t="shared" si="189"/>
        <v>0</v>
      </c>
      <c r="EQ66" s="143">
        <f t="shared" si="190"/>
        <v>0</v>
      </c>
      <c r="ER66" s="143">
        <f t="shared" si="191"/>
        <v>0</v>
      </c>
      <c r="ES66" s="143">
        <f t="shared" si="192"/>
        <v>0</v>
      </c>
      <c r="ET66" s="143">
        <f t="shared" si="193"/>
        <v>0</v>
      </c>
      <c r="EU66" s="143">
        <f t="shared" si="194"/>
        <v>2</v>
      </c>
      <c r="EV66" s="143">
        <f t="shared" si="195"/>
        <v>0</v>
      </c>
      <c r="EW66" s="143">
        <f t="shared" si="196"/>
        <v>0</v>
      </c>
      <c r="EX66" s="143">
        <f t="shared" si="197"/>
        <v>0</v>
      </c>
      <c r="EY66" s="143">
        <f t="shared" si="198"/>
        <v>0</v>
      </c>
      <c r="EZ66" s="143">
        <f t="shared" si="199"/>
        <v>0</v>
      </c>
      <c r="FA66" s="143">
        <f t="shared" si="200"/>
        <v>0</v>
      </c>
      <c r="FB66" s="143">
        <f t="shared" si="201"/>
        <v>0</v>
      </c>
      <c r="FC66" s="143">
        <f t="shared" si="202"/>
        <v>0</v>
      </c>
      <c r="FD66" s="143">
        <f t="shared" si="203"/>
        <v>0</v>
      </c>
      <c r="FE66" s="140">
        <f>SUM($D66:D66)*IF($B66="Operacional",IFERROR(VLOOKUP($C66,SN_UGC,28,0),0),1)</f>
        <v>2</v>
      </c>
      <c r="FF66" s="140">
        <f>SUM($D66:E66)*IF($B66="Operacional",IFERROR(VLOOKUP($C66,SN_UGC,28,0),0),1)</f>
        <v>2</v>
      </c>
      <c r="FG66" s="140">
        <f>SUM($D66:F66)*IF($B66="Operacional",IFERROR(VLOOKUP($C66,SN_UGC,28,0),0),1)</f>
        <v>2</v>
      </c>
      <c r="FH66" s="140">
        <f>SUM($D66:G66)*IF($B66="Operacional",IFERROR(VLOOKUP($C66,SN_UGC,28,0),0),1)</f>
        <v>2</v>
      </c>
      <c r="FI66" s="140">
        <f>SUM($D66:H66)*IF($B66="Operacional",IFERROR(VLOOKUP($C66,SN_UGC,28,0),0),1)</f>
        <v>2</v>
      </c>
      <c r="FJ66" s="140">
        <f>SUM($D66:I66)*IF($B66="Operacional",IFERROR(VLOOKUP($C66,SN_UGC,28,0),0),1)</f>
        <v>2</v>
      </c>
      <c r="FK66" s="140">
        <f>SUM($D66:J66)*IF($B66="Operacional",IFERROR(VLOOKUP($C66,SN_UGC,28,0),0),1)</f>
        <v>2</v>
      </c>
      <c r="FL66" s="140">
        <f>SUM($D66:K66)*IF($B66="Operacional",IFERROR(VLOOKUP($C66,SN_UGC,28,0),0),1)</f>
        <v>2</v>
      </c>
      <c r="FM66" s="140">
        <f>SUM($D66:L66)*IF($B66="Operacional",IFERROR(VLOOKUP($C66,SN_UGC,28,0),0),1)</f>
        <v>2</v>
      </c>
      <c r="FN66" s="140">
        <f>SUM($D66:M66)*IF($B66="Operacional",IFERROR(VLOOKUP($C66,SN_UGC,28,0),0),1)</f>
        <v>2</v>
      </c>
      <c r="FO66" s="140">
        <f>SUM($D66:N66)*IF($B66="Operacional",IFERROR(VLOOKUP($C66,SN_UGC,28,0),0),1)</f>
        <v>2</v>
      </c>
      <c r="FP66" s="140">
        <f>SUM($D66:O66)*IF($B66="Operacional",IFERROR(VLOOKUP($C66,SN_UGC,28,0),0),1)</f>
        <v>2</v>
      </c>
      <c r="FQ66" s="140">
        <f>SUM($D66:P66)*IF($B66="Operacional",IFERROR(VLOOKUP($C66,SN_UGC,28,0),0),1)</f>
        <v>2</v>
      </c>
      <c r="FR66" s="140">
        <f>SUM($D66:Q66)*IF($B66="Operacional",IFERROR(VLOOKUP($C66,SN_UGC,28,0),0),1)</f>
        <v>2</v>
      </c>
      <c r="FS66" s="140">
        <f>SUM($D66:R66)*IF($B66="Operacional",IFERROR(VLOOKUP($C66,SN_UGC,28,0),0),1)</f>
        <v>2</v>
      </c>
      <c r="FT66" s="140">
        <f>SUM($D66:S66)*IF($B66="Operacional",IFERROR(VLOOKUP($C66,SN_UGC,28,0),0),1)</f>
        <v>2</v>
      </c>
      <c r="FU66" s="140">
        <f>SUM($D66:T66)*IF($B66="Operacional",IFERROR(VLOOKUP($C66,SN_UGC,28,0),0),1)</f>
        <v>2</v>
      </c>
      <c r="FV66" s="140">
        <f>SUM($D66:U66)*IF($B66="Operacional",IFERROR(VLOOKUP($C66,SN_UGC,28,0),0),1)</f>
        <v>2</v>
      </c>
      <c r="FW66" s="140">
        <f>SUM($D66:V66)*IF($B66="Operacional",IFERROR(VLOOKUP($C66,SN_UGC,28,0),0),1)</f>
        <v>2</v>
      </c>
      <c r="FX66" s="140">
        <f>SUM($D66:W66)*IF($B66="Operacional",IFERROR(VLOOKUP($C66,SN_UGC,28,0),0),1)</f>
        <v>2</v>
      </c>
      <c r="FY66" s="140">
        <f>SUM($D66:X66)*IF($B66="Operacional",IFERROR(VLOOKUP($C66,SN_UGC,28,0),0),1)</f>
        <v>2</v>
      </c>
      <c r="FZ66" s="140">
        <f>SUM($D66:Y66)*IF($B66="Operacional",IFERROR(VLOOKUP($C66,SN_UGC,28,0),0),1)</f>
        <v>2</v>
      </c>
      <c r="GA66" s="140">
        <f>SUM($D66:Z66)*IF($B66="Operacional",IFERROR(VLOOKUP($C66,SN_UGC,28,0),0),1)</f>
        <v>2</v>
      </c>
      <c r="GB66" s="140">
        <f>SUM($D66:AA66)*IF($B66="Operacional",IFERROR(VLOOKUP($C66,SN_UGC,28,0),0),1)</f>
        <v>2</v>
      </c>
      <c r="GC66" s="140">
        <f>SUM($D66:AB66)*IF($B66="Operacional",IFERROR(VLOOKUP($C66,SN_UGC,28,0),0),1)</f>
        <v>2</v>
      </c>
      <c r="GD66" s="140">
        <f>SUM($D66:AC66)*IF($B66="Operacional",IFERROR(VLOOKUP($C66,SN_UGC,28,0),0),1)</f>
        <v>2</v>
      </c>
      <c r="GE66" s="140">
        <f>SUM($D66:AD66)*IF($B66="Operacional",IFERROR(VLOOKUP($C66,SN_UGC,28,0),0),1)</f>
        <v>2</v>
      </c>
      <c r="GF66" s="140">
        <f>SUM($D66:AE66)*IF($B66="Operacional",IFERROR(VLOOKUP($C66,SN_UGC,28,0),0),1)</f>
        <v>2</v>
      </c>
      <c r="GG66" s="140">
        <f>SUM($D66:AF66)*IF($B66="Operacional",IFERROR(VLOOKUP($C66,SN_UGC,28,0),0),1)</f>
        <v>2</v>
      </c>
      <c r="GH66" s="140">
        <f>SUM($D66:AG66)*IF($B66="Operacional",IFERROR(VLOOKUP($C66,SN_UGC,28,0),0),1)</f>
        <v>2</v>
      </c>
      <c r="GI66" s="141">
        <f t="shared" ref="GI66:HL66" si="323">FE66*$AH66*$AL66</f>
        <v>176.00000000000003</v>
      </c>
      <c r="GJ66" s="141">
        <f t="shared" si="323"/>
        <v>176.00000000000003</v>
      </c>
      <c r="GK66" s="141">
        <f t="shared" si="323"/>
        <v>176.00000000000003</v>
      </c>
      <c r="GL66" s="141">
        <f t="shared" si="323"/>
        <v>176.00000000000003</v>
      </c>
      <c r="GM66" s="141">
        <f t="shared" si="323"/>
        <v>176.00000000000003</v>
      </c>
      <c r="GN66" s="141">
        <f t="shared" si="323"/>
        <v>176.00000000000003</v>
      </c>
      <c r="GO66" s="141">
        <f t="shared" si="323"/>
        <v>176.00000000000003</v>
      </c>
      <c r="GP66" s="141">
        <f t="shared" si="323"/>
        <v>176.00000000000003</v>
      </c>
      <c r="GQ66" s="141">
        <f t="shared" si="323"/>
        <v>176.00000000000003</v>
      </c>
      <c r="GR66" s="141">
        <f t="shared" si="323"/>
        <v>176.00000000000003</v>
      </c>
      <c r="GS66" s="141">
        <f t="shared" si="323"/>
        <v>176.00000000000003</v>
      </c>
      <c r="GT66" s="141">
        <f t="shared" si="323"/>
        <v>176.00000000000003</v>
      </c>
      <c r="GU66" s="141">
        <f t="shared" si="323"/>
        <v>176.00000000000003</v>
      </c>
      <c r="GV66" s="141">
        <f t="shared" si="323"/>
        <v>176.00000000000003</v>
      </c>
      <c r="GW66" s="141">
        <f t="shared" si="323"/>
        <v>176.00000000000003</v>
      </c>
      <c r="GX66" s="141">
        <f t="shared" si="323"/>
        <v>176.00000000000003</v>
      </c>
      <c r="GY66" s="141">
        <f t="shared" si="323"/>
        <v>176.00000000000003</v>
      </c>
      <c r="GZ66" s="141">
        <f t="shared" si="323"/>
        <v>176.00000000000003</v>
      </c>
      <c r="HA66" s="141">
        <f t="shared" si="323"/>
        <v>176.00000000000003</v>
      </c>
      <c r="HB66" s="141">
        <f t="shared" si="323"/>
        <v>176.00000000000003</v>
      </c>
      <c r="HC66" s="141">
        <f t="shared" si="323"/>
        <v>176.00000000000003</v>
      </c>
      <c r="HD66" s="141">
        <f t="shared" si="323"/>
        <v>176.00000000000003</v>
      </c>
      <c r="HE66" s="141">
        <f t="shared" si="323"/>
        <v>176.00000000000003</v>
      </c>
      <c r="HF66" s="141">
        <f t="shared" si="323"/>
        <v>176.00000000000003</v>
      </c>
      <c r="HG66" s="141">
        <f t="shared" si="323"/>
        <v>176.00000000000003</v>
      </c>
      <c r="HH66" s="141">
        <f t="shared" si="323"/>
        <v>176.00000000000003</v>
      </c>
      <c r="HI66" s="141">
        <f t="shared" si="323"/>
        <v>176.00000000000003</v>
      </c>
      <c r="HJ66" s="141">
        <f t="shared" si="323"/>
        <v>176.00000000000003</v>
      </c>
      <c r="HK66" s="141">
        <f t="shared" si="323"/>
        <v>176.00000000000003</v>
      </c>
      <c r="HL66" s="141">
        <f t="shared" si="323"/>
        <v>176.00000000000003</v>
      </c>
      <c r="HM66" s="142">
        <f t="shared" ref="HM66:IP66" si="324">IF(ISBLANK($A66),,FE66*($AH66-($AH66*$AJ66))/$AI66)</f>
        <v>352.00000000000006</v>
      </c>
      <c r="HN66" s="142">
        <f t="shared" si="324"/>
        <v>352.00000000000006</v>
      </c>
      <c r="HO66" s="142">
        <f t="shared" si="324"/>
        <v>352.00000000000006</v>
      </c>
      <c r="HP66" s="142">
        <f t="shared" si="324"/>
        <v>352.00000000000006</v>
      </c>
      <c r="HQ66" s="142">
        <f t="shared" si="324"/>
        <v>352.00000000000006</v>
      </c>
      <c r="HR66" s="142">
        <f t="shared" si="324"/>
        <v>352.00000000000006</v>
      </c>
      <c r="HS66" s="142">
        <f t="shared" si="324"/>
        <v>352.00000000000006</v>
      </c>
      <c r="HT66" s="142">
        <f t="shared" si="324"/>
        <v>352.00000000000006</v>
      </c>
      <c r="HU66" s="142">
        <f t="shared" si="324"/>
        <v>352.00000000000006</v>
      </c>
      <c r="HV66" s="142">
        <f t="shared" si="324"/>
        <v>352.00000000000006</v>
      </c>
      <c r="HW66" s="142">
        <f t="shared" si="324"/>
        <v>352.00000000000006</v>
      </c>
      <c r="HX66" s="142">
        <f t="shared" si="324"/>
        <v>352.00000000000006</v>
      </c>
      <c r="HY66" s="142">
        <f t="shared" si="324"/>
        <v>352.00000000000006</v>
      </c>
      <c r="HZ66" s="142">
        <f t="shared" si="324"/>
        <v>352.00000000000006</v>
      </c>
      <c r="IA66" s="142">
        <f t="shared" si="324"/>
        <v>352.00000000000006</v>
      </c>
      <c r="IB66" s="142">
        <f t="shared" si="324"/>
        <v>352.00000000000006</v>
      </c>
      <c r="IC66" s="142">
        <f t="shared" si="324"/>
        <v>352.00000000000006</v>
      </c>
      <c r="ID66" s="142">
        <f t="shared" si="324"/>
        <v>352.00000000000006</v>
      </c>
      <c r="IE66" s="142">
        <f t="shared" si="324"/>
        <v>352.00000000000006</v>
      </c>
      <c r="IF66" s="142">
        <f t="shared" si="324"/>
        <v>352.00000000000006</v>
      </c>
      <c r="IG66" s="142">
        <f t="shared" si="324"/>
        <v>352.00000000000006</v>
      </c>
      <c r="IH66" s="142">
        <f t="shared" si="324"/>
        <v>352.00000000000006</v>
      </c>
      <c r="II66" s="142">
        <f t="shared" si="324"/>
        <v>352.00000000000006</v>
      </c>
      <c r="IJ66" s="142">
        <f t="shared" si="324"/>
        <v>352.00000000000006</v>
      </c>
      <c r="IK66" s="142">
        <f t="shared" si="324"/>
        <v>352.00000000000006</v>
      </c>
      <c r="IL66" s="142">
        <f t="shared" si="324"/>
        <v>352.00000000000006</v>
      </c>
      <c r="IM66" s="142">
        <f t="shared" si="324"/>
        <v>352.00000000000006</v>
      </c>
      <c r="IN66" s="142">
        <f t="shared" si="324"/>
        <v>352.00000000000006</v>
      </c>
      <c r="IO66" s="142">
        <f t="shared" si="324"/>
        <v>352.00000000000006</v>
      </c>
      <c r="IP66" s="142">
        <f t="shared" si="324"/>
        <v>352.00000000000006</v>
      </c>
      <c r="IQ66" s="141">
        <f>IF(ISBLANK($A66),,IF($AN66="Não",0,(SUM($AO66:AO66)*$AH66)-SUM($HM66:HM66)-SUM($CW66:CW66)))</f>
        <v>0</v>
      </c>
      <c r="IR66" s="141">
        <f>IF(ISBLANK($A66),,IF($AN66="Não",0,(SUM($AO66:AP66)*$AH66)-SUM($HM66:HN66)-SUM($CW66:CX66)))</f>
        <v>0</v>
      </c>
      <c r="IS66" s="141">
        <f>IF(ISBLANK($A66),,IF($AN66="Não",0,(SUM($AO66:AQ66)*$AH66)-SUM($HM66:HO66)-SUM($CW66:CY66)))</f>
        <v>0</v>
      </c>
      <c r="IT66" s="141">
        <f>IF(ISBLANK($A66),,IF($AN66="Não",0,(SUM($AO66:AR66)*$AH66)-SUM($HM66:HP66)-SUM($CW66:CZ66)))</f>
        <v>0</v>
      </c>
      <c r="IU66" s="141">
        <f>IF(ISBLANK($A66),,IF($AN66="Não",0,(SUM($AO66:AS66)*$AH66)-SUM($HM66:HQ66)-SUM($CW66:DA66)))</f>
        <v>0</v>
      </c>
      <c r="IV66" s="141">
        <f>IF(ISBLANK($A66),,IF($AN66="Não",0,(SUM($AO66:AT66)*$AH66)-SUM($HM66:HR66)-SUM($CW66:DB66)))</f>
        <v>0</v>
      </c>
      <c r="IW66" s="141">
        <f>IF(ISBLANK($A66),,IF($AN66="Não",0,(SUM($AO66:AU66)*$AH66)-SUM($HM66:HS66)-SUM($CW66:DC66)))</f>
        <v>0</v>
      </c>
      <c r="IX66" s="141">
        <f>IF(ISBLANK($A66),,IF($AN66="Não",0,(SUM($AO66:AV66)*$AH66)-SUM($HM66:HT66)-SUM($CW66:DD66)))</f>
        <v>0</v>
      </c>
      <c r="IY66" s="141">
        <f>IF(ISBLANK($A66),,IF($AN66="Não",0,(SUM($AO66:AW66)*$AH66)-SUM($HM66:HU66)-SUM($CW66:DE66)))</f>
        <v>0</v>
      </c>
      <c r="IZ66" s="141">
        <f>IF(ISBLANK($A66),,IF($AN66="Não",0,(SUM($AO66:AX66)*$AH66)-SUM($HM66:HV66)-SUM($CW66:DF66)))</f>
        <v>0</v>
      </c>
      <c r="JA66" s="141">
        <f>IF(ISBLANK($A66),,IF($AN66="Não",0,(SUM($AO66:AY66)*$AH66)-SUM($HM66:HW66)-SUM($CW66:DG66)))</f>
        <v>0</v>
      </c>
      <c r="JB66" s="141">
        <f>IF(ISBLANK($A66),,IF($AN66="Não",0,(SUM($AO66:AZ66)*$AH66)-SUM($HM66:HX66)-SUM($CW66:DH66)))</f>
        <v>0</v>
      </c>
      <c r="JC66" s="141">
        <f>IF(ISBLANK($A66),,IF($AN66="Não",0,(SUM($AO66:BA66)*$AH66)-SUM($HM66:HY66)-SUM($CW66:DI66)))</f>
        <v>0</v>
      </c>
      <c r="JD66" s="141">
        <f>IF(ISBLANK($A66),,IF($AN66="Não",0,(SUM($AO66:BB66)*$AH66)-SUM($HM66:HZ66)-SUM($CW66:DJ66)))</f>
        <v>0</v>
      </c>
      <c r="JE66" s="141">
        <f>IF(ISBLANK($A66),,IF($AN66="Não",0,(SUM($AO66:BC66)*$AH66)-SUM($HM66:IA66)-SUM($CW66:DK66)))</f>
        <v>0</v>
      </c>
      <c r="JF66" s="141">
        <f>IF(ISBLANK($A66),,IF($AN66="Não",0,(SUM($AO66:BD66)*$AH66)-SUM($HM66:IB66)-SUM($CW66:DL66)))</f>
        <v>0</v>
      </c>
      <c r="JG66" s="141">
        <f>IF(ISBLANK($A66),,IF($AN66="Não",0,(SUM($AO66:BE66)*$AH66)-SUM($HM66:IC66)-SUM($CW66:DM66)))</f>
        <v>0</v>
      </c>
      <c r="JH66" s="141">
        <f>IF(ISBLANK($A66),,IF($AN66="Não",0,(SUM($AO66:BF66)*$AH66)-SUM($HM66:ID66)-SUM($CW66:DN66)))</f>
        <v>0</v>
      </c>
      <c r="JI66" s="141">
        <f>IF(ISBLANK($A66),,IF($AN66="Não",0,(SUM($AO66:BG66)*$AH66)-SUM($HM66:IE66)-SUM($CW66:DO66)))</f>
        <v>0</v>
      </c>
      <c r="JJ66" s="141">
        <f>IF(ISBLANK($A66),,IF($AN66="Não",0,(SUM($AO66:BH66)*$AH66)-SUM($HM66:IF66)-SUM($CW66:DP66)))</f>
        <v>0</v>
      </c>
      <c r="JK66" s="141">
        <f>IF(ISBLANK($A66),,IF($AN66="Não",0,(SUM($AO66:BI66)*$AH66)-SUM($HM66:IG66)-SUM($CW66:DQ66)))</f>
        <v>0</v>
      </c>
      <c r="JL66" s="141">
        <f>IF(ISBLANK($A66),,IF($AN66="Não",0,(SUM($AO66:BJ66)*$AH66)-SUM($HM66:IH66)-SUM($CW66:DR66)))</f>
        <v>0</v>
      </c>
      <c r="JM66" s="141">
        <f>IF(ISBLANK($A66),,IF($AN66="Não",0,(SUM($AO66:BK66)*$AH66)-SUM($HM66:II66)-SUM($CW66:DS66)))</f>
        <v>0</v>
      </c>
      <c r="JN66" s="141">
        <f>IF(ISBLANK($A66),,IF($AN66="Não",0,(SUM($AO66:BL66)*$AH66)-SUM($HM66:IJ66)-SUM($CW66:DT66)))</f>
        <v>0</v>
      </c>
      <c r="JO66" s="141">
        <f>IF(ISBLANK($A66),,IF($AN66="Não",0,(SUM($AO66:BM66)*$AH66)-SUM($HM66:IK66)-SUM($CW66:DU66)))</f>
        <v>0</v>
      </c>
      <c r="JP66" s="141">
        <f>IF(ISBLANK($A66),,IF($AN66="Não",0,(SUM($AO66:BN66)*$AH66)-SUM($HM66:IL66)-SUM($CW66:DV66)))</f>
        <v>0</v>
      </c>
      <c r="JQ66" s="141">
        <f>IF(ISBLANK($A66),,IF($AN66="Não",0,(SUM($AO66:BO66)*$AH66)-SUM($HM66:IM66)-SUM($CW66:DW66)))</f>
        <v>0</v>
      </c>
      <c r="JR66" s="141">
        <f>IF(ISBLANK($A66),,IF($AN66="Não",0,(SUM($AO66:BP66)*$AH66)-SUM($HM66:IN66)-SUM($CW66:DX66)))</f>
        <v>0</v>
      </c>
      <c r="JS66" s="141">
        <f>IF(ISBLANK($A66),,IF($AN66="Não",0,(SUM($AO66:BQ66)*$AH66)-SUM($HM66:IO66)-SUM($CW66:DY66)))</f>
        <v>0</v>
      </c>
      <c r="JT66" s="141">
        <f>IF(ISBLANK($A66),,IF($AN66="Não",0,(SUM($AO66:BR66)*$AH66)-SUM($HM66:IP66)-SUM($CW66:DZ66)))</f>
        <v>0</v>
      </c>
    </row>
    <row r="67" spans="1:280" ht="15.75" customHeight="1">
      <c r="A67" s="129" t="s">
        <v>383</v>
      </c>
      <c r="B67" s="129" t="s">
        <v>209</v>
      </c>
      <c r="C67" s="138" t="s">
        <v>85</v>
      </c>
      <c r="D67" s="139">
        <v>46</v>
      </c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  <c r="AA67" s="139"/>
      <c r="AB67" s="139"/>
      <c r="AC67" s="139"/>
      <c r="AD67" s="139"/>
      <c r="AE67" s="139"/>
      <c r="AF67" s="139"/>
      <c r="AG67" s="139"/>
      <c r="AH67" s="607">
        <f t="shared" si="286"/>
        <v>7014.161000000001</v>
      </c>
      <c r="AI67" s="608">
        <f t="shared" si="287"/>
        <v>10</v>
      </c>
      <c r="AJ67" s="609">
        <f t="shared" si="288"/>
        <v>0.4</v>
      </c>
      <c r="AK67" s="610" t="str">
        <f t="shared" si="289"/>
        <v>Equipamentos e instalações</v>
      </c>
      <c r="AL67" s="609">
        <f t="shared" si="290"/>
        <v>0.05</v>
      </c>
      <c r="AM67" s="611" t="str">
        <f t="shared" si="291"/>
        <v>Sim</v>
      </c>
      <c r="AN67" s="611" t="str">
        <f t="shared" si="292"/>
        <v>Sim</v>
      </c>
      <c r="AO67" s="140">
        <f t="array" ref="AO67">IF(ISBLANK($A67),0,IF(OR(AO$5-$AI67&lt;=0,$AM67="Não"),D67,D67+INDEX($AO$6:$BR$176,ROW()-5,COLUMN()-40-$AI67)))*IF($B67="Operacional",IFERROR(VLOOKUP($C67,SN_UGC,28,0),0),1)</f>
        <v>46</v>
      </c>
      <c r="AP67" s="140">
        <f t="array" ref="AP67">IF(ISBLANK($A67),0,IF(OR(AP$5-$AI67&lt;=0,$AM67="Não"),E67,E67+INDEX($AO$6:$BR$176,ROW()-5,COLUMN()-40-$AI67)))*IF($B67="Operacional",IFERROR(VLOOKUP($C67,SN_UGC,28,0),0),1)</f>
        <v>0</v>
      </c>
      <c r="AQ67" s="140">
        <f t="array" ref="AQ67">IF(ISBLANK($A67),0,IF(OR(AQ$5-$AI67&lt;=0,$AM67="Não"),F67,F67+INDEX($AO$6:$BR$176,ROW()-5,COLUMN()-40-$AI67)))*IF($B67="Operacional",IFERROR(VLOOKUP($C67,SN_UGC,28,0),0),1)</f>
        <v>0</v>
      </c>
      <c r="AR67" s="140">
        <f t="array" ref="AR67">IF(ISBLANK($A67),0,IF(OR(AR$5-$AI67&lt;=0,$AM67="Não"),G67,G67+INDEX($AO$6:$BR$176,ROW()-5,COLUMN()-40-$AI67)))*IF($B67="Operacional",IFERROR(VLOOKUP($C67,SN_UGC,28,0),0),1)</f>
        <v>0</v>
      </c>
      <c r="AS67" s="140">
        <f t="array" ref="AS67">IF(ISBLANK($A67),0,IF(OR(AS$5-$AI67&lt;=0,$AM67="Não"),H67,H67+INDEX($AO$6:$BR$176,ROW()-5,COLUMN()-40-$AI67)))*IF($B67="Operacional",IFERROR(VLOOKUP($C67,SN_UGC,28,0),0),1)</f>
        <v>0</v>
      </c>
      <c r="AT67" s="140">
        <f t="array" ref="AT67">IF(ISBLANK($A67),0,IF(OR(AT$5-$AI67&lt;=0,$AM67="Não"),I67,I67+INDEX($AO$6:$BR$176,ROW()-5,COLUMN()-40-$AI67)))*IF($B67="Operacional",IFERROR(VLOOKUP($C67,SN_UGC,28,0),0),1)</f>
        <v>0</v>
      </c>
      <c r="AU67" s="140">
        <f t="array" ref="AU67">IF(ISBLANK($A67),0,IF(OR(AU$5-$AI67&lt;=0,$AM67="Não"),J67,J67+INDEX($AO$6:$BR$176,ROW()-5,COLUMN()-40-$AI67)))*IF($B67="Operacional",IFERROR(VLOOKUP($C67,SN_UGC,28,0),0),1)</f>
        <v>0</v>
      </c>
      <c r="AV67" s="140">
        <f t="array" ref="AV67">IF(ISBLANK($A67),0,IF(OR(AV$5-$AI67&lt;=0,$AM67="Não"),K67,K67+INDEX($AO$6:$BR$176,ROW()-5,COLUMN()-40-$AI67)))*IF($B67="Operacional",IFERROR(VLOOKUP($C67,SN_UGC,28,0),0),1)</f>
        <v>0</v>
      </c>
      <c r="AW67" s="140">
        <f t="array" ref="AW67">IF(ISBLANK($A67),0,IF(OR(AW$5-$AI67&lt;=0,$AM67="Não"),L67,L67+INDEX($AO$6:$BR$176,ROW()-5,COLUMN()-40-$AI67)))*IF($B67="Operacional",IFERROR(VLOOKUP($C67,SN_UGC,28,0),0),1)</f>
        <v>0</v>
      </c>
      <c r="AX67" s="140">
        <f t="array" ref="AX67">IF(ISBLANK($A67),0,IF(OR(AX$5-$AI67&lt;=0,$AM67="Não"),M67,M67+INDEX($AO$6:$BR$176,ROW()-5,COLUMN()-40-$AI67)))*IF($B67="Operacional",IFERROR(VLOOKUP($C67,SN_UGC,28,0),0),1)</f>
        <v>0</v>
      </c>
      <c r="AY67" s="140">
        <f t="array" ref="AY67">IF(ISBLANK($A67),0,IF(OR(AY$5-$AI67&lt;=0,$AM67="Não"),N67,N67+INDEX($AO$6:$BR$176,ROW()-5,COLUMN()-40-$AI67)))*IF($B67="Operacional",IFERROR(VLOOKUP($C67,SN_UGC,28,0),0),1)</f>
        <v>46</v>
      </c>
      <c r="AZ67" s="140">
        <f t="array" ref="AZ67">IF(ISBLANK($A67),0,IF(OR(AZ$5-$AI67&lt;=0,$AM67="Não"),O67,O67+INDEX($AO$6:$BR$176,ROW()-5,COLUMN()-40-$AI67)))*IF($B67="Operacional",IFERROR(VLOOKUP($C67,SN_UGC,28,0),0),1)</f>
        <v>0</v>
      </c>
      <c r="BA67" s="140">
        <f t="array" ref="BA67">IF(ISBLANK($A67),0,IF(OR(BA$5-$AI67&lt;=0,$AM67="Não"),P67,P67+INDEX($AO$6:$BR$176,ROW()-5,COLUMN()-40-$AI67)))*IF($B67="Operacional",IFERROR(VLOOKUP($C67,SN_UGC,28,0),0),1)</f>
        <v>0</v>
      </c>
      <c r="BB67" s="140">
        <f t="array" ref="BB67">IF(ISBLANK($A67),0,IF(OR(BB$5-$AI67&lt;=0,$AM67="Não"),Q67,Q67+INDEX($AO$6:$BR$176,ROW()-5,COLUMN()-40-$AI67)))*IF($B67="Operacional",IFERROR(VLOOKUP($C67,SN_UGC,28,0),0),1)</f>
        <v>0</v>
      </c>
      <c r="BC67" s="140">
        <f t="array" ref="BC67">IF(ISBLANK($A67),0,IF(OR(BC$5-$AI67&lt;=0,$AM67="Não"),R67,R67+INDEX($AO$6:$BR$176,ROW()-5,COLUMN()-40-$AI67)))*IF($B67="Operacional",IFERROR(VLOOKUP($C67,SN_UGC,28,0),0),1)</f>
        <v>0</v>
      </c>
      <c r="BD67" s="140">
        <f t="array" ref="BD67">IF(ISBLANK($A67),0,IF(OR(BD$5-$AI67&lt;=0,$AM67="Não"),S67,S67+INDEX($AO$6:$BR$176,ROW()-5,COLUMN()-40-$AI67)))*IF($B67="Operacional",IFERROR(VLOOKUP($C67,SN_UGC,28,0),0),1)</f>
        <v>0</v>
      </c>
      <c r="BE67" s="140">
        <f t="array" ref="BE67">IF(ISBLANK($A67),0,IF(OR(BE$5-$AI67&lt;=0,$AM67="Não"),T67,T67+INDEX($AO$6:$BR$176,ROW()-5,COLUMN()-40-$AI67)))*IF($B67="Operacional",IFERROR(VLOOKUP($C67,SN_UGC,28,0),0),1)</f>
        <v>0</v>
      </c>
      <c r="BF67" s="140">
        <f t="array" ref="BF67">IF(ISBLANK($A67),0,IF(OR(BF$5-$AI67&lt;=0,$AM67="Não"),U67,U67+INDEX($AO$6:$BR$176,ROW()-5,COLUMN()-40-$AI67)))*IF($B67="Operacional",IFERROR(VLOOKUP($C67,SN_UGC,28,0),0),1)</f>
        <v>0</v>
      </c>
      <c r="BG67" s="140">
        <f t="array" ref="BG67">IF(ISBLANK($A67),0,IF(OR(BG$5-$AI67&lt;=0,$AM67="Não"),V67,V67+INDEX($AO$6:$BR$176,ROW()-5,COLUMN()-40-$AI67)))*IF($B67="Operacional",IFERROR(VLOOKUP($C67,SN_UGC,28,0),0),1)</f>
        <v>0</v>
      </c>
      <c r="BH67" s="140">
        <f t="array" ref="BH67">IF(ISBLANK($A67),0,IF(OR(BH$5-$AI67&lt;=0,$AM67="Não"),W67,W67+INDEX($AO$6:$BR$176,ROW()-5,COLUMN()-40-$AI67)))*IF($B67="Operacional",IFERROR(VLOOKUP($C67,SN_UGC,28,0),0),1)</f>
        <v>0</v>
      </c>
      <c r="BI67" s="140">
        <f t="array" ref="BI67">IF(ISBLANK($A67),0,IF(OR(BI$5-$AI67&lt;=0,$AM67="Não"),X67,X67+INDEX($AO$6:$BR$176,ROW()-5,COLUMN()-40-$AI67)))*IF($B67="Operacional",IFERROR(VLOOKUP($C67,SN_UGC,28,0),0),1)</f>
        <v>46</v>
      </c>
      <c r="BJ67" s="140">
        <f t="array" ref="BJ67">IF(ISBLANK($A67),0,IF(OR(BJ$5-$AI67&lt;=0,$AM67="Não"),Y67,Y67+INDEX($AO$6:$BR$176,ROW()-5,COLUMN()-40-$AI67)))*IF($B67="Operacional",IFERROR(VLOOKUP($C67,SN_UGC,28,0),0),1)</f>
        <v>0</v>
      </c>
      <c r="BK67" s="140">
        <f t="array" ref="BK67">IF(ISBLANK($A67),0,IF(OR(BK$5-$AI67&lt;=0,$AM67="Não"),Z67,Z67+INDEX($AO$6:$BR$176,ROW()-5,COLUMN()-40-$AI67)))*IF($B67="Operacional",IFERROR(VLOOKUP($C67,SN_UGC,28,0),0),1)</f>
        <v>0</v>
      </c>
      <c r="BL67" s="140">
        <f t="array" ref="BL67">IF(ISBLANK($A67),0,IF(OR(BL$5-$AI67&lt;=0,$AM67="Não"),AA67,AA67+INDEX($AO$6:$BR$176,ROW()-5,COLUMN()-40-$AI67)))*IF($B67="Operacional",IFERROR(VLOOKUP($C67,SN_UGC,28,0),0),1)</f>
        <v>0</v>
      </c>
      <c r="BM67" s="140">
        <f t="array" ref="BM67">IF(ISBLANK($A67),0,IF(OR(BM$5-$AI67&lt;=0,$AM67="Não"),AB67,AB67+INDEX($AO$6:$BR$176,ROW()-5,COLUMN()-40-$AI67)))*IF($B67="Operacional",IFERROR(VLOOKUP($C67,SN_UGC,28,0),0),1)</f>
        <v>0</v>
      </c>
      <c r="BN67" s="140">
        <f t="array" ref="BN67">IF(ISBLANK($A67),0,IF(OR(BN$5-$AI67&lt;=0,$AM67="Não"),AC67,AC67+INDEX($AO$6:$BR$176,ROW()-5,COLUMN()-40-$AI67)))*IF($B67="Operacional",IFERROR(VLOOKUP($C67,SN_UGC,28,0),0),1)</f>
        <v>0</v>
      </c>
      <c r="BO67" s="140">
        <f t="array" ref="BO67">IF(ISBLANK($A67),0,IF(OR(BO$5-$AI67&lt;=0,$AM67="Não"),AD67,AD67+INDEX($AO$6:$BR$176,ROW()-5,COLUMN()-40-$AI67)))*IF($B67="Operacional",IFERROR(VLOOKUP($C67,SN_UGC,28,0),0),1)</f>
        <v>0</v>
      </c>
      <c r="BP67" s="140">
        <f t="array" ref="BP67">IF(ISBLANK($A67),0,IF(OR(BP$5-$AI67&lt;=0,$AM67="Não"),AE67,AE67+INDEX($AO$6:$BR$176,ROW()-5,COLUMN()-40-$AI67)))*IF($B67="Operacional",IFERROR(VLOOKUP($C67,SN_UGC,28,0),0),1)</f>
        <v>0</v>
      </c>
      <c r="BQ67" s="140">
        <f t="array" ref="BQ67">IF(ISBLANK($A67),0,IF(OR(BQ$5-$AI67&lt;=0,$AM67="Não"),AF67,AF67+INDEX($AO$6:$BR$176,ROW()-5,COLUMN()-40-$AI67)))*IF($B67="Operacional",IFERROR(VLOOKUP($C67,SN_UGC,28,0),0),1)</f>
        <v>0</v>
      </c>
      <c r="BR67" s="140">
        <f t="array" ref="BR67">IF(ISBLANK($A67),0,IF(OR(BR$5-$AI67&lt;=0,$AM67="Não"),AG67,AG67+INDEX($AO$6:$BR$176,ROW()-5,COLUMN()-40-$AI67)))*IF($B67="Operacional",IFERROR(VLOOKUP($C67,SN_UGC,28,0),0),1)</f>
        <v>0</v>
      </c>
      <c r="BS67" s="141">
        <f t="shared" ref="BS67:CV67" si="325">IF(ISBLANK($A67),0,$AH67*AO67)</f>
        <v>322651.40600000002</v>
      </c>
      <c r="BT67" s="141">
        <f t="shared" si="325"/>
        <v>0</v>
      </c>
      <c r="BU67" s="141">
        <f t="shared" si="325"/>
        <v>0</v>
      </c>
      <c r="BV67" s="141">
        <f t="shared" si="325"/>
        <v>0</v>
      </c>
      <c r="BW67" s="141">
        <f t="shared" si="325"/>
        <v>0</v>
      </c>
      <c r="BX67" s="141">
        <f t="shared" si="325"/>
        <v>0</v>
      </c>
      <c r="BY67" s="141">
        <f t="shared" si="325"/>
        <v>0</v>
      </c>
      <c r="BZ67" s="141">
        <f t="shared" si="325"/>
        <v>0</v>
      </c>
      <c r="CA67" s="141">
        <f t="shared" si="325"/>
        <v>0</v>
      </c>
      <c r="CB67" s="141">
        <f t="shared" si="325"/>
        <v>0</v>
      </c>
      <c r="CC67" s="141">
        <f t="shared" si="325"/>
        <v>322651.40600000002</v>
      </c>
      <c r="CD67" s="141">
        <f t="shared" si="325"/>
        <v>0</v>
      </c>
      <c r="CE67" s="141">
        <f t="shared" si="325"/>
        <v>0</v>
      </c>
      <c r="CF67" s="141">
        <f t="shared" si="325"/>
        <v>0</v>
      </c>
      <c r="CG67" s="141">
        <f t="shared" si="325"/>
        <v>0</v>
      </c>
      <c r="CH67" s="141">
        <f t="shared" si="325"/>
        <v>0</v>
      </c>
      <c r="CI67" s="141">
        <f t="shared" si="325"/>
        <v>0</v>
      </c>
      <c r="CJ67" s="141">
        <f t="shared" si="325"/>
        <v>0</v>
      </c>
      <c r="CK67" s="141">
        <f t="shared" si="325"/>
        <v>0</v>
      </c>
      <c r="CL67" s="141">
        <f t="shared" si="325"/>
        <v>0</v>
      </c>
      <c r="CM67" s="141">
        <f t="shared" si="325"/>
        <v>322651.40600000002</v>
      </c>
      <c r="CN67" s="141">
        <f t="shared" si="325"/>
        <v>0</v>
      </c>
      <c r="CO67" s="141">
        <f t="shared" si="325"/>
        <v>0</v>
      </c>
      <c r="CP67" s="141">
        <f t="shared" si="325"/>
        <v>0</v>
      </c>
      <c r="CQ67" s="141">
        <f t="shared" si="325"/>
        <v>0</v>
      </c>
      <c r="CR67" s="141">
        <f t="shared" si="325"/>
        <v>0</v>
      </c>
      <c r="CS67" s="141">
        <f t="shared" si="325"/>
        <v>0</v>
      </c>
      <c r="CT67" s="141">
        <f t="shared" si="325"/>
        <v>0</v>
      </c>
      <c r="CU67" s="141">
        <f t="shared" si="325"/>
        <v>0</v>
      </c>
      <c r="CV67" s="141">
        <f t="shared" si="325"/>
        <v>0</v>
      </c>
      <c r="CW67" s="142">
        <f t="shared" ref="CW67:DZ67" si="326">EA67*$AH67*$AJ67</f>
        <v>0</v>
      </c>
      <c r="CX67" s="142">
        <f t="shared" si="326"/>
        <v>0</v>
      </c>
      <c r="CY67" s="142">
        <f t="shared" si="326"/>
        <v>0</v>
      </c>
      <c r="CZ67" s="142">
        <f t="shared" si="326"/>
        <v>0</v>
      </c>
      <c r="DA67" s="142">
        <f t="shared" si="326"/>
        <v>0</v>
      </c>
      <c r="DB67" s="142">
        <f t="shared" si="326"/>
        <v>0</v>
      </c>
      <c r="DC67" s="142">
        <f t="shared" si="326"/>
        <v>0</v>
      </c>
      <c r="DD67" s="142">
        <f t="shared" si="326"/>
        <v>0</v>
      </c>
      <c r="DE67" s="142">
        <f t="shared" si="326"/>
        <v>0</v>
      </c>
      <c r="DF67" s="142">
        <f t="shared" si="326"/>
        <v>0</v>
      </c>
      <c r="DG67" s="142">
        <f t="shared" si="326"/>
        <v>129060.56240000001</v>
      </c>
      <c r="DH67" s="142">
        <f t="shared" si="326"/>
        <v>0</v>
      </c>
      <c r="DI67" s="142">
        <f t="shared" si="326"/>
        <v>0</v>
      </c>
      <c r="DJ67" s="142">
        <f t="shared" si="326"/>
        <v>0</v>
      </c>
      <c r="DK67" s="142">
        <f t="shared" si="326"/>
        <v>0</v>
      </c>
      <c r="DL67" s="142">
        <f t="shared" si="326"/>
        <v>0</v>
      </c>
      <c r="DM67" s="142">
        <f t="shared" si="326"/>
        <v>0</v>
      </c>
      <c r="DN67" s="142">
        <f t="shared" si="326"/>
        <v>0</v>
      </c>
      <c r="DO67" s="142">
        <f t="shared" si="326"/>
        <v>0</v>
      </c>
      <c r="DP67" s="142">
        <f t="shared" si="326"/>
        <v>0</v>
      </c>
      <c r="DQ67" s="142">
        <f t="shared" si="326"/>
        <v>129060.56240000001</v>
      </c>
      <c r="DR67" s="142">
        <f t="shared" si="326"/>
        <v>0</v>
      </c>
      <c r="DS67" s="142">
        <f t="shared" si="326"/>
        <v>0</v>
      </c>
      <c r="DT67" s="142">
        <f t="shared" si="326"/>
        <v>0</v>
      </c>
      <c r="DU67" s="142">
        <f t="shared" si="326"/>
        <v>0</v>
      </c>
      <c r="DV67" s="142">
        <f t="shared" si="326"/>
        <v>0</v>
      </c>
      <c r="DW67" s="142">
        <f t="shared" si="326"/>
        <v>0</v>
      </c>
      <c r="DX67" s="142">
        <f t="shared" si="326"/>
        <v>0</v>
      </c>
      <c r="DY67" s="142">
        <f t="shared" si="326"/>
        <v>0</v>
      </c>
      <c r="DZ67" s="142">
        <f t="shared" si="326"/>
        <v>0</v>
      </c>
      <c r="EA67" s="143">
        <f t="shared" si="174"/>
        <v>0</v>
      </c>
      <c r="EB67" s="143">
        <f t="shared" si="175"/>
        <v>0</v>
      </c>
      <c r="EC67" s="143">
        <f t="shared" si="176"/>
        <v>0</v>
      </c>
      <c r="ED67" s="143">
        <f t="shared" si="177"/>
        <v>0</v>
      </c>
      <c r="EE67" s="143">
        <f t="shared" si="178"/>
        <v>0</v>
      </c>
      <c r="EF67" s="143">
        <f t="shared" si="179"/>
        <v>0</v>
      </c>
      <c r="EG67" s="143">
        <f t="shared" si="180"/>
        <v>0</v>
      </c>
      <c r="EH67" s="143">
        <f t="shared" si="181"/>
        <v>0</v>
      </c>
      <c r="EI67" s="143">
        <f t="shared" si="182"/>
        <v>0</v>
      </c>
      <c r="EJ67" s="143">
        <f t="shared" si="183"/>
        <v>0</v>
      </c>
      <c r="EK67" s="143">
        <f t="shared" si="184"/>
        <v>46</v>
      </c>
      <c r="EL67" s="143">
        <f t="shared" si="185"/>
        <v>0</v>
      </c>
      <c r="EM67" s="143">
        <f t="shared" si="186"/>
        <v>0</v>
      </c>
      <c r="EN67" s="143">
        <f t="shared" si="187"/>
        <v>0</v>
      </c>
      <c r="EO67" s="143">
        <f t="shared" si="188"/>
        <v>0</v>
      </c>
      <c r="EP67" s="143">
        <f t="shared" si="189"/>
        <v>0</v>
      </c>
      <c r="EQ67" s="143">
        <f t="shared" si="190"/>
        <v>0</v>
      </c>
      <c r="ER67" s="143">
        <f t="shared" si="191"/>
        <v>0</v>
      </c>
      <c r="ES67" s="143">
        <f t="shared" si="192"/>
        <v>0</v>
      </c>
      <c r="ET67" s="143">
        <f t="shared" si="193"/>
        <v>0</v>
      </c>
      <c r="EU67" s="143">
        <f t="shared" si="194"/>
        <v>46</v>
      </c>
      <c r="EV67" s="143">
        <f t="shared" si="195"/>
        <v>0</v>
      </c>
      <c r="EW67" s="143">
        <f t="shared" si="196"/>
        <v>0</v>
      </c>
      <c r="EX67" s="143">
        <f t="shared" si="197"/>
        <v>0</v>
      </c>
      <c r="EY67" s="143">
        <f t="shared" si="198"/>
        <v>0</v>
      </c>
      <c r="EZ67" s="143">
        <f t="shared" si="199"/>
        <v>0</v>
      </c>
      <c r="FA67" s="143">
        <f t="shared" si="200"/>
        <v>0</v>
      </c>
      <c r="FB67" s="143">
        <f t="shared" si="201"/>
        <v>0</v>
      </c>
      <c r="FC67" s="143">
        <f t="shared" si="202"/>
        <v>0</v>
      </c>
      <c r="FD67" s="143">
        <f t="shared" si="203"/>
        <v>0</v>
      </c>
      <c r="FE67" s="140">
        <f>SUM($D67:D67)*IF($B67="Operacional",IFERROR(VLOOKUP($C67,SN_UGC,28,0),0),1)</f>
        <v>46</v>
      </c>
      <c r="FF67" s="140">
        <f>SUM($D67:E67)*IF($B67="Operacional",IFERROR(VLOOKUP($C67,SN_UGC,28,0),0),1)</f>
        <v>46</v>
      </c>
      <c r="FG67" s="140">
        <f>SUM($D67:F67)*IF($B67="Operacional",IFERROR(VLOOKUP($C67,SN_UGC,28,0),0),1)</f>
        <v>46</v>
      </c>
      <c r="FH67" s="140">
        <f>SUM($D67:G67)*IF($B67="Operacional",IFERROR(VLOOKUP($C67,SN_UGC,28,0),0),1)</f>
        <v>46</v>
      </c>
      <c r="FI67" s="140">
        <f>SUM($D67:H67)*IF($B67="Operacional",IFERROR(VLOOKUP($C67,SN_UGC,28,0),0),1)</f>
        <v>46</v>
      </c>
      <c r="FJ67" s="140">
        <f>SUM($D67:I67)*IF($B67="Operacional",IFERROR(VLOOKUP($C67,SN_UGC,28,0),0),1)</f>
        <v>46</v>
      </c>
      <c r="FK67" s="140">
        <f>SUM($D67:J67)*IF($B67="Operacional",IFERROR(VLOOKUP($C67,SN_UGC,28,0),0),1)</f>
        <v>46</v>
      </c>
      <c r="FL67" s="140">
        <f>SUM($D67:K67)*IF($B67="Operacional",IFERROR(VLOOKUP($C67,SN_UGC,28,0),0),1)</f>
        <v>46</v>
      </c>
      <c r="FM67" s="140">
        <f>SUM($D67:L67)*IF($B67="Operacional",IFERROR(VLOOKUP($C67,SN_UGC,28,0),0),1)</f>
        <v>46</v>
      </c>
      <c r="FN67" s="140">
        <f>SUM($D67:M67)*IF($B67="Operacional",IFERROR(VLOOKUP($C67,SN_UGC,28,0),0),1)</f>
        <v>46</v>
      </c>
      <c r="FO67" s="140">
        <f>SUM($D67:N67)*IF($B67="Operacional",IFERROR(VLOOKUP($C67,SN_UGC,28,0),0),1)</f>
        <v>46</v>
      </c>
      <c r="FP67" s="140">
        <f>SUM($D67:O67)*IF($B67="Operacional",IFERROR(VLOOKUP($C67,SN_UGC,28,0),0),1)</f>
        <v>46</v>
      </c>
      <c r="FQ67" s="140">
        <f>SUM($D67:P67)*IF($B67="Operacional",IFERROR(VLOOKUP($C67,SN_UGC,28,0),0),1)</f>
        <v>46</v>
      </c>
      <c r="FR67" s="140">
        <f>SUM($D67:Q67)*IF($B67="Operacional",IFERROR(VLOOKUP($C67,SN_UGC,28,0),0),1)</f>
        <v>46</v>
      </c>
      <c r="FS67" s="140">
        <f>SUM($D67:R67)*IF($B67="Operacional",IFERROR(VLOOKUP($C67,SN_UGC,28,0),0),1)</f>
        <v>46</v>
      </c>
      <c r="FT67" s="140">
        <f>SUM($D67:S67)*IF($B67="Operacional",IFERROR(VLOOKUP($C67,SN_UGC,28,0),0),1)</f>
        <v>46</v>
      </c>
      <c r="FU67" s="140">
        <f>SUM($D67:T67)*IF($B67="Operacional",IFERROR(VLOOKUP($C67,SN_UGC,28,0),0),1)</f>
        <v>46</v>
      </c>
      <c r="FV67" s="140">
        <f>SUM($D67:U67)*IF($B67="Operacional",IFERROR(VLOOKUP($C67,SN_UGC,28,0),0),1)</f>
        <v>46</v>
      </c>
      <c r="FW67" s="140">
        <f>SUM($D67:V67)*IF($B67="Operacional",IFERROR(VLOOKUP($C67,SN_UGC,28,0),0),1)</f>
        <v>46</v>
      </c>
      <c r="FX67" s="140">
        <f>SUM($D67:W67)*IF($B67="Operacional",IFERROR(VLOOKUP($C67,SN_UGC,28,0),0),1)</f>
        <v>46</v>
      </c>
      <c r="FY67" s="140">
        <f>SUM($D67:X67)*IF($B67="Operacional",IFERROR(VLOOKUP($C67,SN_UGC,28,0),0),1)</f>
        <v>46</v>
      </c>
      <c r="FZ67" s="140">
        <f>SUM($D67:Y67)*IF($B67="Operacional",IFERROR(VLOOKUP($C67,SN_UGC,28,0),0),1)</f>
        <v>46</v>
      </c>
      <c r="GA67" s="140">
        <f>SUM($D67:Z67)*IF($B67="Operacional",IFERROR(VLOOKUP($C67,SN_UGC,28,0),0),1)</f>
        <v>46</v>
      </c>
      <c r="GB67" s="140">
        <f>SUM($D67:AA67)*IF($B67="Operacional",IFERROR(VLOOKUP($C67,SN_UGC,28,0),0),1)</f>
        <v>46</v>
      </c>
      <c r="GC67" s="140">
        <f>SUM($D67:AB67)*IF($B67="Operacional",IFERROR(VLOOKUP($C67,SN_UGC,28,0),0),1)</f>
        <v>46</v>
      </c>
      <c r="GD67" s="140">
        <f>SUM($D67:AC67)*IF($B67="Operacional",IFERROR(VLOOKUP($C67,SN_UGC,28,0),0),1)</f>
        <v>46</v>
      </c>
      <c r="GE67" s="140">
        <f>SUM($D67:AD67)*IF($B67="Operacional",IFERROR(VLOOKUP($C67,SN_UGC,28,0),0),1)</f>
        <v>46</v>
      </c>
      <c r="GF67" s="140">
        <f>SUM($D67:AE67)*IF($B67="Operacional",IFERROR(VLOOKUP($C67,SN_UGC,28,0),0),1)</f>
        <v>46</v>
      </c>
      <c r="GG67" s="140">
        <f>SUM($D67:AF67)*IF($B67="Operacional",IFERROR(VLOOKUP($C67,SN_UGC,28,0),0),1)</f>
        <v>46</v>
      </c>
      <c r="GH67" s="140">
        <f>SUM($D67:AG67)*IF($B67="Operacional",IFERROR(VLOOKUP($C67,SN_UGC,28,0),0),1)</f>
        <v>46</v>
      </c>
      <c r="GI67" s="141">
        <f t="shared" ref="GI67:HL67" si="327">FE67*$AH67*$AL67</f>
        <v>16132.570300000001</v>
      </c>
      <c r="GJ67" s="141">
        <f t="shared" si="327"/>
        <v>16132.570300000001</v>
      </c>
      <c r="GK67" s="141">
        <f t="shared" si="327"/>
        <v>16132.570300000001</v>
      </c>
      <c r="GL67" s="141">
        <f t="shared" si="327"/>
        <v>16132.570300000001</v>
      </c>
      <c r="GM67" s="141">
        <f t="shared" si="327"/>
        <v>16132.570300000001</v>
      </c>
      <c r="GN67" s="141">
        <f t="shared" si="327"/>
        <v>16132.570300000001</v>
      </c>
      <c r="GO67" s="141">
        <f t="shared" si="327"/>
        <v>16132.570300000001</v>
      </c>
      <c r="GP67" s="141">
        <f t="shared" si="327"/>
        <v>16132.570300000001</v>
      </c>
      <c r="GQ67" s="141">
        <f t="shared" si="327"/>
        <v>16132.570300000001</v>
      </c>
      <c r="GR67" s="141">
        <f t="shared" si="327"/>
        <v>16132.570300000001</v>
      </c>
      <c r="GS67" s="141">
        <f t="shared" si="327"/>
        <v>16132.570300000001</v>
      </c>
      <c r="GT67" s="141">
        <f t="shared" si="327"/>
        <v>16132.570300000001</v>
      </c>
      <c r="GU67" s="141">
        <f t="shared" si="327"/>
        <v>16132.570300000001</v>
      </c>
      <c r="GV67" s="141">
        <f t="shared" si="327"/>
        <v>16132.570300000001</v>
      </c>
      <c r="GW67" s="141">
        <f t="shared" si="327"/>
        <v>16132.570300000001</v>
      </c>
      <c r="GX67" s="141">
        <f t="shared" si="327"/>
        <v>16132.570300000001</v>
      </c>
      <c r="GY67" s="141">
        <f t="shared" si="327"/>
        <v>16132.570300000001</v>
      </c>
      <c r="GZ67" s="141">
        <f t="shared" si="327"/>
        <v>16132.570300000001</v>
      </c>
      <c r="HA67" s="141">
        <f t="shared" si="327"/>
        <v>16132.570300000001</v>
      </c>
      <c r="HB67" s="141">
        <f t="shared" si="327"/>
        <v>16132.570300000001</v>
      </c>
      <c r="HC67" s="141">
        <f t="shared" si="327"/>
        <v>16132.570300000001</v>
      </c>
      <c r="HD67" s="141">
        <f t="shared" si="327"/>
        <v>16132.570300000001</v>
      </c>
      <c r="HE67" s="141">
        <f t="shared" si="327"/>
        <v>16132.570300000001</v>
      </c>
      <c r="HF67" s="141">
        <f t="shared" si="327"/>
        <v>16132.570300000001</v>
      </c>
      <c r="HG67" s="141">
        <f t="shared" si="327"/>
        <v>16132.570300000001</v>
      </c>
      <c r="HH67" s="141">
        <f t="shared" si="327"/>
        <v>16132.570300000001</v>
      </c>
      <c r="HI67" s="141">
        <f t="shared" si="327"/>
        <v>16132.570300000001</v>
      </c>
      <c r="HJ67" s="141">
        <f t="shared" si="327"/>
        <v>16132.570300000001</v>
      </c>
      <c r="HK67" s="141">
        <f t="shared" si="327"/>
        <v>16132.570300000001</v>
      </c>
      <c r="HL67" s="141">
        <f t="shared" si="327"/>
        <v>16132.570300000001</v>
      </c>
      <c r="HM67" s="142">
        <f t="shared" ref="HM67:IP67" si="328">IF(ISBLANK($A67),,FE67*($AH67-($AH67*$AJ67))/$AI67)</f>
        <v>19359.084360000001</v>
      </c>
      <c r="HN67" s="142">
        <f t="shared" si="328"/>
        <v>19359.084360000001</v>
      </c>
      <c r="HO67" s="142">
        <f t="shared" si="328"/>
        <v>19359.084360000001</v>
      </c>
      <c r="HP67" s="142">
        <f t="shared" si="328"/>
        <v>19359.084360000001</v>
      </c>
      <c r="HQ67" s="142">
        <f t="shared" si="328"/>
        <v>19359.084360000001</v>
      </c>
      <c r="HR67" s="142">
        <f t="shared" si="328"/>
        <v>19359.084360000001</v>
      </c>
      <c r="HS67" s="142">
        <f t="shared" si="328"/>
        <v>19359.084360000001</v>
      </c>
      <c r="HT67" s="142">
        <f t="shared" si="328"/>
        <v>19359.084360000001</v>
      </c>
      <c r="HU67" s="142">
        <f t="shared" si="328"/>
        <v>19359.084360000001</v>
      </c>
      <c r="HV67" s="142">
        <f t="shared" si="328"/>
        <v>19359.084360000001</v>
      </c>
      <c r="HW67" s="142">
        <f t="shared" si="328"/>
        <v>19359.084360000001</v>
      </c>
      <c r="HX67" s="142">
        <f t="shared" si="328"/>
        <v>19359.084360000001</v>
      </c>
      <c r="HY67" s="142">
        <f t="shared" si="328"/>
        <v>19359.084360000001</v>
      </c>
      <c r="HZ67" s="142">
        <f t="shared" si="328"/>
        <v>19359.084360000001</v>
      </c>
      <c r="IA67" s="142">
        <f t="shared" si="328"/>
        <v>19359.084360000001</v>
      </c>
      <c r="IB67" s="142">
        <f t="shared" si="328"/>
        <v>19359.084360000001</v>
      </c>
      <c r="IC67" s="142">
        <f t="shared" si="328"/>
        <v>19359.084360000001</v>
      </c>
      <c r="ID67" s="142">
        <f t="shared" si="328"/>
        <v>19359.084360000001</v>
      </c>
      <c r="IE67" s="142">
        <f t="shared" si="328"/>
        <v>19359.084360000001</v>
      </c>
      <c r="IF67" s="142">
        <f t="shared" si="328"/>
        <v>19359.084360000001</v>
      </c>
      <c r="IG67" s="142">
        <f t="shared" si="328"/>
        <v>19359.084360000001</v>
      </c>
      <c r="IH67" s="142">
        <f t="shared" si="328"/>
        <v>19359.084360000001</v>
      </c>
      <c r="II67" s="142">
        <f t="shared" si="328"/>
        <v>19359.084360000001</v>
      </c>
      <c r="IJ67" s="142">
        <f t="shared" si="328"/>
        <v>19359.084360000001</v>
      </c>
      <c r="IK67" s="142">
        <f t="shared" si="328"/>
        <v>19359.084360000001</v>
      </c>
      <c r="IL67" s="142">
        <f t="shared" si="328"/>
        <v>19359.084360000001</v>
      </c>
      <c r="IM67" s="142">
        <f t="shared" si="328"/>
        <v>19359.084360000001</v>
      </c>
      <c r="IN67" s="142">
        <f t="shared" si="328"/>
        <v>19359.084360000001</v>
      </c>
      <c r="IO67" s="142">
        <f t="shared" si="328"/>
        <v>19359.084360000001</v>
      </c>
      <c r="IP67" s="142">
        <f t="shared" si="328"/>
        <v>19359.084360000001</v>
      </c>
      <c r="IQ67" s="141">
        <f>IF(ISBLANK($A67),,IF($AN67="Não",0,(SUM($AO67:AO67)*$AH67)-SUM($HM67:HM67)-SUM($CW67:CW67)))</f>
        <v>303292.32164000004</v>
      </c>
      <c r="IR67" s="141">
        <f>IF(ISBLANK($A67),,IF($AN67="Não",0,(SUM($AO67:AP67)*$AH67)-SUM($HM67:HN67)-SUM($CW67:CX67)))</f>
        <v>283933.23728</v>
      </c>
      <c r="IS67" s="141">
        <f>IF(ISBLANK($A67),,IF($AN67="Não",0,(SUM($AO67:AQ67)*$AH67)-SUM($HM67:HO67)-SUM($CW67:CY67)))</f>
        <v>264574.15292000002</v>
      </c>
      <c r="IT67" s="141">
        <f>IF(ISBLANK($A67),,IF($AN67="Não",0,(SUM($AO67:AR67)*$AH67)-SUM($HM67:HP67)-SUM($CW67:CZ67)))</f>
        <v>245215.06856000001</v>
      </c>
      <c r="IU67" s="141">
        <f>IF(ISBLANK($A67),,IF($AN67="Não",0,(SUM($AO67:AS67)*$AH67)-SUM($HM67:HQ67)-SUM($CW67:DA67)))</f>
        <v>225855.98420000001</v>
      </c>
      <c r="IV67" s="141">
        <f>IF(ISBLANK($A67),,IF($AN67="Não",0,(SUM($AO67:AT67)*$AH67)-SUM($HM67:HR67)-SUM($CW67:DB67)))</f>
        <v>206496.89984</v>
      </c>
      <c r="IW67" s="141">
        <f>IF(ISBLANK($A67),,IF($AN67="Não",0,(SUM($AO67:AU67)*$AH67)-SUM($HM67:HS67)-SUM($CW67:DC67)))</f>
        <v>187137.81547999999</v>
      </c>
      <c r="IX67" s="141">
        <f>IF(ISBLANK($A67),,IF($AN67="Não",0,(SUM($AO67:AV67)*$AH67)-SUM($HM67:HT67)-SUM($CW67:DD67)))</f>
        <v>167778.73111999998</v>
      </c>
      <c r="IY67" s="141">
        <f>IF(ISBLANK($A67),,IF($AN67="Não",0,(SUM($AO67:AW67)*$AH67)-SUM($HM67:HU67)-SUM($CW67:DE67)))</f>
        <v>148419.64675999997</v>
      </c>
      <c r="IZ67" s="141">
        <f>IF(ISBLANK($A67),,IF($AN67="Não",0,(SUM($AO67:AX67)*$AH67)-SUM($HM67:HV67)-SUM($CW67:DF67)))</f>
        <v>129060.56239999997</v>
      </c>
      <c r="JA67" s="141">
        <f>IF(ISBLANK($A67),,IF($AN67="Não",0,(SUM($AO67:AY67)*$AH67)-SUM($HM67:HW67)-SUM($CW67:DG67)))</f>
        <v>303292.32163999998</v>
      </c>
      <c r="JB67" s="141">
        <f>IF(ISBLANK($A67),,IF($AN67="Não",0,(SUM($AO67:AZ67)*$AH67)-SUM($HM67:HX67)-SUM($CW67:DH67)))</f>
        <v>283933.23727999994</v>
      </c>
      <c r="JC67" s="141">
        <f>IF(ISBLANK($A67),,IF($AN67="Não",0,(SUM($AO67:BA67)*$AH67)-SUM($HM67:HY67)-SUM($CW67:DI67)))</f>
        <v>264574.15291999996</v>
      </c>
      <c r="JD67" s="141">
        <f>IF(ISBLANK($A67),,IF($AN67="Não",0,(SUM($AO67:BB67)*$AH67)-SUM($HM67:HZ67)-SUM($CW67:DJ67)))</f>
        <v>245215.06855999999</v>
      </c>
      <c r="JE67" s="141">
        <f>IF(ISBLANK($A67),,IF($AN67="Não",0,(SUM($AO67:BC67)*$AH67)-SUM($HM67:IA67)-SUM($CW67:DK67)))</f>
        <v>225855.98420000001</v>
      </c>
      <c r="JF67" s="141">
        <f>IF(ISBLANK($A67),,IF($AN67="Não",0,(SUM($AO67:BD67)*$AH67)-SUM($HM67:IB67)-SUM($CW67:DL67)))</f>
        <v>206496.89984000003</v>
      </c>
      <c r="JG67" s="141">
        <f>IF(ISBLANK($A67),,IF($AN67="Não",0,(SUM($AO67:BE67)*$AH67)-SUM($HM67:IC67)-SUM($CW67:DM67)))</f>
        <v>187137.81548000005</v>
      </c>
      <c r="JH67" s="141">
        <f>IF(ISBLANK($A67),,IF($AN67="Não",0,(SUM($AO67:BF67)*$AH67)-SUM($HM67:ID67)-SUM($CW67:DN67)))</f>
        <v>167778.73112000007</v>
      </c>
      <c r="JI67" s="141">
        <f>IF(ISBLANK($A67),,IF($AN67="Não",0,(SUM($AO67:BG67)*$AH67)-SUM($HM67:IE67)-SUM($CW67:DO67)))</f>
        <v>148419.64676000009</v>
      </c>
      <c r="JJ67" s="141">
        <f>IF(ISBLANK($A67),,IF($AN67="Não",0,(SUM($AO67:BH67)*$AH67)-SUM($HM67:IF67)-SUM($CW67:DP67)))</f>
        <v>129060.5624000001</v>
      </c>
      <c r="JK67" s="141">
        <f>IF(ISBLANK($A67),,IF($AN67="Não",0,(SUM($AO67:BI67)*$AH67)-SUM($HM67:IG67)-SUM($CW67:DQ67)))</f>
        <v>303292.32164000021</v>
      </c>
      <c r="JL67" s="141">
        <f>IF(ISBLANK($A67),,IF($AN67="Não",0,(SUM($AO67:BJ67)*$AH67)-SUM($HM67:IH67)-SUM($CW67:DR67)))</f>
        <v>283933.23728000023</v>
      </c>
      <c r="JM67" s="141">
        <f>IF(ISBLANK($A67),,IF($AN67="Não",0,(SUM($AO67:BK67)*$AH67)-SUM($HM67:II67)-SUM($CW67:DS67)))</f>
        <v>264574.15292000026</v>
      </c>
      <c r="JN67" s="141">
        <f>IF(ISBLANK($A67),,IF($AN67="Não",0,(SUM($AO67:BL67)*$AH67)-SUM($HM67:IJ67)-SUM($CW67:DT67)))</f>
        <v>245215.06856000025</v>
      </c>
      <c r="JO67" s="141">
        <f>IF(ISBLANK($A67),,IF($AN67="Não",0,(SUM($AO67:BM67)*$AH67)-SUM($HM67:IK67)-SUM($CW67:DU67)))</f>
        <v>225855.98420000027</v>
      </c>
      <c r="JP67" s="141">
        <f>IF(ISBLANK($A67),,IF($AN67="Não",0,(SUM($AO67:BN67)*$AH67)-SUM($HM67:IL67)-SUM($CW67:DV67)))</f>
        <v>206496.89984000029</v>
      </c>
      <c r="JQ67" s="141">
        <f>IF(ISBLANK($A67),,IF($AN67="Não",0,(SUM($AO67:BO67)*$AH67)-SUM($HM67:IM67)-SUM($CW67:DW67)))</f>
        <v>187137.81548000031</v>
      </c>
      <c r="JR67" s="141">
        <f>IF(ISBLANK($A67),,IF($AN67="Não",0,(SUM($AO67:BP67)*$AH67)-SUM($HM67:IN67)-SUM($CW67:DX67)))</f>
        <v>167778.73112000033</v>
      </c>
      <c r="JS67" s="141">
        <f>IF(ISBLANK($A67),,IF($AN67="Não",0,(SUM($AO67:BQ67)*$AH67)-SUM($HM67:IO67)-SUM($CW67:DY67)))</f>
        <v>148419.64676000035</v>
      </c>
      <c r="JT67" s="141">
        <f>IF(ISBLANK($A67),,IF($AN67="Não",0,(SUM($AO67:BR67)*$AH67)-SUM($HM67:IP67)-SUM($CW67:DZ67)))</f>
        <v>129060.56240000037</v>
      </c>
    </row>
    <row r="68" spans="1:280" ht="15.75" customHeight="1">
      <c r="A68" s="129" t="s">
        <v>383</v>
      </c>
      <c r="B68" s="129" t="s">
        <v>209</v>
      </c>
      <c r="C68" s="138" t="s">
        <v>85</v>
      </c>
      <c r="D68" s="139">
        <v>2</v>
      </c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  <c r="AA68" s="139"/>
      <c r="AB68" s="139"/>
      <c r="AC68" s="139"/>
      <c r="AD68" s="139"/>
      <c r="AE68" s="139"/>
      <c r="AF68" s="139"/>
      <c r="AG68" s="139"/>
      <c r="AH68" s="607">
        <f t="shared" si="286"/>
        <v>7014.161000000001</v>
      </c>
      <c r="AI68" s="608">
        <f t="shared" si="287"/>
        <v>10</v>
      </c>
      <c r="AJ68" s="609">
        <f t="shared" si="288"/>
        <v>0.4</v>
      </c>
      <c r="AK68" s="610" t="str">
        <f t="shared" si="289"/>
        <v>Equipamentos e instalações</v>
      </c>
      <c r="AL68" s="609">
        <f t="shared" si="290"/>
        <v>0.05</v>
      </c>
      <c r="AM68" s="611" t="str">
        <f t="shared" si="291"/>
        <v>Sim</v>
      </c>
      <c r="AN68" s="611" t="str">
        <f t="shared" si="292"/>
        <v>Sim</v>
      </c>
      <c r="AO68" s="140">
        <f t="array" ref="AO68">IF(ISBLANK($A68),0,IF(OR(AO$5-$AI68&lt;=0,$AM68="Não"),D68,D68+INDEX($AO$6:$BR$176,ROW()-5,COLUMN()-40-$AI68)))*IF($B68="Operacional",IFERROR(VLOOKUP($C68,SN_UGC,28,0),0),1)</f>
        <v>2</v>
      </c>
      <c r="AP68" s="140">
        <f t="array" ref="AP68">IF(ISBLANK($A68),0,IF(OR(AP$5-$AI68&lt;=0,$AM68="Não"),E68,E68+INDEX($AO$6:$BR$176,ROW()-5,COLUMN()-40-$AI68)))*IF($B68="Operacional",IFERROR(VLOOKUP($C68,SN_UGC,28,0),0),1)</f>
        <v>0</v>
      </c>
      <c r="AQ68" s="140">
        <f t="array" ref="AQ68">IF(ISBLANK($A68),0,IF(OR(AQ$5-$AI68&lt;=0,$AM68="Não"),F68,F68+INDEX($AO$6:$BR$176,ROW()-5,COLUMN()-40-$AI68)))*IF($B68="Operacional",IFERROR(VLOOKUP($C68,SN_UGC,28,0),0),1)</f>
        <v>0</v>
      </c>
      <c r="AR68" s="140">
        <f t="array" ref="AR68">IF(ISBLANK($A68),0,IF(OR(AR$5-$AI68&lt;=0,$AM68="Não"),G68,G68+INDEX($AO$6:$BR$176,ROW()-5,COLUMN()-40-$AI68)))*IF($B68="Operacional",IFERROR(VLOOKUP($C68,SN_UGC,28,0),0),1)</f>
        <v>0</v>
      </c>
      <c r="AS68" s="140">
        <f t="array" ref="AS68">IF(ISBLANK($A68),0,IF(OR(AS$5-$AI68&lt;=0,$AM68="Não"),H68,H68+INDEX($AO$6:$BR$176,ROW()-5,COLUMN()-40-$AI68)))*IF($B68="Operacional",IFERROR(VLOOKUP($C68,SN_UGC,28,0),0),1)</f>
        <v>0</v>
      </c>
      <c r="AT68" s="140">
        <f t="array" ref="AT68">IF(ISBLANK($A68),0,IF(OR(AT$5-$AI68&lt;=0,$AM68="Não"),I68,I68+INDEX($AO$6:$BR$176,ROW()-5,COLUMN()-40-$AI68)))*IF($B68="Operacional",IFERROR(VLOOKUP($C68,SN_UGC,28,0),0),1)</f>
        <v>0</v>
      </c>
      <c r="AU68" s="140">
        <f t="array" ref="AU68">IF(ISBLANK($A68),0,IF(OR(AU$5-$AI68&lt;=0,$AM68="Não"),J68,J68+INDEX($AO$6:$BR$176,ROW()-5,COLUMN()-40-$AI68)))*IF($B68="Operacional",IFERROR(VLOOKUP($C68,SN_UGC,28,0),0),1)</f>
        <v>0</v>
      </c>
      <c r="AV68" s="140">
        <f t="array" ref="AV68">IF(ISBLANK($A68),0,IF(OR(AV$5-$AI68&lt;=0,$AM68="Não"),K68,K68+INDEX($AO$6:$BR$176,ROW()-5,COLUMN()-40-$AI68)))*IF($B68="Operacional",IFERROR(VLOOKUP($C68,SN_UGC,28,0),0),1)</f>
        <v>0</v>
      </c>
      <c r="AW68" s="140">
        <f t="array" ref="AW68">IF(ISBLANK($A68),0,IF(OR(AW$5-$AI68&lt;=0,$AM68="Não"),L68,L68+INDEX($AO$6:$BR$176,ROW()-5,COLUMN()-40-$AI68)))*IF($B68="Operacional",IFERROR(VLOOKUP($C68,SN_UGC,28,0),0),1)</f>
        <v>0</v>
      </c>
      <c r="AX68" s="140">
        <f t="array" ref="AX68">IF(ISBLANK($A68),0,IF(OR(AX$5-$AI68&lt;=0,$AM68="Não"),M68,M68+INDEX($AO$6:$BR$176,ROW()-5,COLUMN()-40-$AI68)))*IF($B68="Operacional",IFERROR(VLOOKUP($C68,SN_UGC,28,0),0),1)</f>
        <v>0</v>
      </c>
      <c r="AY68" s="140">
        <f t="array" ref="AY68">IF(ISBLANK($A68),0,IF(OR(AY$5-$AI68&lt;=0,$AM68="Não"),N68,N68+INDEX($AO$6:$BR$176,ROW()-5,COLUMN()-40-$AI68)))*IF($B68="Operacional",IFERROR(VLOOKUP($C68,SN_UGC,28,0),0),1)</f>
        <v>2</v>
      </c>
      <c r="AZ68" s="140">
        <f t="array" ref="AZ68">IF(ISBLANK($A68),0,IF(OR(AZ$5-$AI68&lt;=0,$AM68="Não"),O68,O68+INDEX($AO$6:$BR$176,ROW()-5,COLUMN()-40-$AI68)))*IF($B68="Operacional",IFERROR(VLOOKUP($C68,SN_UGC,28,0),0),1)</f>
        <v>0</v>
      </c>
      <c r="BA68" s="140">
        <f t="array" ref="BA68">IF(ISBLANK($A68),0,IF(OR(BA$5-$AI68&lt;=0,$AM68="Não"),P68,P68+INDEX($AO$6:$BR$176,ROW()-5,COLUMN()-40-$AI68)))*IF($B68="Operacional",IFERROR(VLOOKUP($C68,SN_UGC,28,0),0),1)</f>
        <v>0</v>
      </c>
      <c r="BB68" s="140">
        <f t="array" ref="BB68">IF(ISBLANK($A68),0,IF(OR(BB$5-$AI68&lt;=0,$AM68="Não"),Q68,Q68+INDEX($AO$6:$BR$176,ROW()-5,COLUMN()-40-$AI68)))*IF($B68="Operacional",IFERROR(VLOOKUP($C68,SN_UGC,28,0),0),1)</f>
        <v>0</v>
      </c>
      <c r="BC68" s="140">
        <f t="array" ref="BC68">IF(ISBLANK($A68),0,IF(OR(BC$5-$AI68&lt;=0,$AM68="Não"),R68,R68+INDEX($AO$6:$BR$176,ROW()-5,COLUMN()-40-$AI68)))*IF($B68="Operacional",IFERROR(VLOOKUP($C68,SN_UGC,28,0),0),1)</f>
        <v>0</v>
      </c>
      <c r="BD68" s="140">
        <f t="array" ref="BD68">IF(ISBLANK($A68),0,IF(OR(BD$5-$AI68&lt;=0,$AM68="Não"),S68,S68+INDEX($AO$6:$BR$176,ROW()-5,COLUMN()-40-$AI68)))*IF($B68="Operacional",IFERROR(VLOOKUP($C68,SN_UGC,28,0),0),1)</f>
        <v>0</v>
      </c>
      <c r="BE68" s="140">
        <f t="array" ref="BE68">IF(ISBLANK($A68),0,IF(OR(BE$5-$AI68&lt;=0,$AM68="Não"),T68,T68+INDEX($AO$6:$BR$176,ROW()-5,COLUMN()-40-$AI68)))*IF($B68="Operacional",IFERROR(VLOOKUP($C68,SN_UGC,28,0),0),1)</f>
        <v>0</v>
      </c>
      <c r="BF68" s="140">
        <f t="array" ref="BF68">IF(ISBLANK($A68),0,IF(OR(BF$5-$AI68&lt;=0,$AM68="Não"),U68,U68+INDEX($AO$6:$BR$176,ROW()-5,COLUMN()-40-$AI68)))*IF($B68="Operacional",IFERROR(VLOOKUP($C68,SN_UGC,28,0),0),1)</f>
        <v>0</v>
      </c>
      <c r="BG68" s="140">
        <f t="array" ref="BG68">IF(ISBLANK($A68),0,IF(OR(BG$5-$AI68&lt;=0,$AM68="Não"),V68,V68+INDEX($AO$6:$BR$176,ROW()-5,COLUMN()-40-$AI68)))*IF($B68="Operacional",IFERROR(VLOOKUP($C68,SN_UGC,28,0),0),1)</f>
        <v>0</v>
      </c>
      <c r="BH68" s="140">
        <f t="array" ref="BH68">IF(ISBLANK($A68),0,IF(OR(BH$5-$AI68&lt;=0,$AM68="Não"),W68,W68+INDEX($AO$6:$BR$176,ROW()-5,COLUMN()-40-$AI68)))*IF($B68="Operacional",IFERROR(VLOOKUP($C68,SN_UGC,28,0),0),1)</f>
        <v>0</v>
      </c>
      <c r="BI68" s="140">
        <f t="array" ref="BI68">IF(ISBLANK($A68),0,IF(OR(BI$5-$AI68&lt;=0,$AM68="Não"),X68,X68+INDEX($AO$6:$BR$176,ROW()-5,COLUMN()-40-$AI68)))*IF($B68="Operacional",IFERROR(VLOOKUP($C68,SN_UGC,28,0),0),1)</f>
        <v>2</v>
      </c>
      <c r="BJ68" s="140">
        <f t="array" ref="BJ68">IF(ISBLANK($A68),0,IF(OR(BJ$5-$AI68&lt;=0,$AM68="Não"),Y68,Y68+INDEX($AO$6:$BR$176,ROW()-5,COLUMN()-40-$AI68)))*IF($B68="Operacional",IFERROR(VLOOKUP($C68,SN_UGC,28,0),0),1)</f>
        <v>0</v>
      </c>
      <c r="BK68" s="140">
        <f t="array" ref="BK68">IF(ISBLANK($A68),0,IF(OR(BK$5-$AI68&lt;=0,$AM68="Não"),Z68,Z68+INDEX($AO$6:$BR$176,ROW()-5,COLUMN()-40-$AI68)))*IF($B68="Operacional",IFERROR(VLOOKUP($C68,SN_UGC,28,0),0),1)</f>
        <v>0</v>
      </c>
      <c r="BL68" s="140">
        <f t="array" ref="BL68">IF(ISBLANK($A68),0,IF(OR(BL$5-$AI68&lt;=0,$AM68="Não"),AA68,AA68+INDEX($AO$6:$BR$176,ROW()-5,COLUMN()-40-$AI68)))*IF($B68="Operacional",IFERROR(VLOOKUP($C68,SN_UGC,28,0),0),1)</f>
        <v>0</v>
      </c>
      <c r="BM68" s="140">
        <f t="array" ref="BM68">IF(ISBLANK($A68),0,IF(OR(BM$5-$AI68&lt;=0,$AM68="Não"),AB68,AB68+INDEX($AO$6:$BR$176,ROW()-5,COLUMN()-40-$AI68)))*IF($B68="Operacional",IFERROR(VLOOKUP($C68,SN_UGC,28,0),0),1)</f>
        <v>0</v>
      </c>
      <c r="BN68" s="140">
        <f t="array" ref="BN68">IF(ISBLANK($A68),0,IF(OR(BN$5-$AI68&lt;=0,$AM68="Não"),AC68,AC68+INDEX($AO$6:$BR$176,ROW()-5,COLUMN()-40-$AI68)))*IF($B68="Operacional",IFERROR(VLOOKUP($C68,SN_UGC,28,0),0),1)</f>
        <v>0</v>
      </c>
      <c r="BO68" s="140">
        <f t="array" ref="BO68">IF(ISBLANK($A68),0,IF(OR(BO$5-$AI68&lt;=0,$AM68="Não"),AD68,AD68+INDEX($AO$6:$BR$176,ROW()-5,COLUMN()-40-$AI68)))*IF($B68="Operacional",IFERROR(VLOOKUP($C68,SN_UGC,28,0),0),1)</f>
        <v>0</v>
      </c>
      <c r="BP68" s="140">
        <f t="array" ref="BP68">IF(ISBLANK($A68),0,IF(OR(BP$5-$AI68&lt;=0,$AM68="Não"),AE68,AE68+INDEX($AO$6:$BR$176,ROW()-5,COLUMN()-40-$AI68)))*IF($B68="Operacional",IFERROR(VLOOKUP($C68,SN_UGC,28,0),0),1)</f>
        <v>0</v>
      </c>
      <c r="BQ68" s="140">
        <f t="array" ref="BQ68">IF(ISBLANK($A68),0,IF(OR(BQ$5-$AI68&lt;=0,$AM68="Não"),AF68,AF68+INDEX($AO$6:$BR$176,ROW()-5,COLUMN()-40-$AI68)))*IF($B68="Operacional",IFERROR(VLOOKUP($C68,SN_UGC,28,0),0),1)</f>
        <v>0</v>
      </c>
      <c r="BR68" s="140">
        <f t="array" ref="BR68">IF(ISBLANK($A68),0,IF(OR(BR$5-$AI68&lt;=0,$AM68="Não"),AG68,AG68+INDEX($AO$6:$BR$176,ROW()-5,COLUMN()-40-$AI68)))*IF($B68="Operacional",IFERROR(VLOOKUP($C68,SN_UGC,28,0),0),1)</f>
        <v>0</v>
      </c>
      <c r="BS68" s="141">
        <f t="shared" ref="BS68:CV68" si="329">IF(ISBLANK($A68),0,$AH68*AO68)</f>
        <v>14028.322000000002</v>
      </c>
      <c r="BT68" s="141">
        <f t="shared" si="329"/>
        <v>0</v>
      </c>
      <c r="BU68" s="141">
        <f t="shared" si="329"/>
        <v>0</v>
      </c>
      <c r="BV68" s="141">
        <f t="shared" si="329"/>
        <v>0</v>
      </c>
      <c r="BW68" s="141">
        <f t="shared" si="329"/>
        <v>0</v>
      </c>
      <c r="BX68" s="141">
        <f t="shared" si="329"/>
        <v>0</v>
      </c>
      <c r="BY68" s="141">
        <f t="shared" si="329"/>
        <v>0</v>
      </c>
      <c r="BZ68" s="141">
        <f t="shared" si="329"/>
        <v>0</v>
      </c>
      <c r="CA68" s="141">
        <f t="shared" si="329"/>
        <v>0</v>
      </c>
      <c r="CB68" s="141">
        <f t="shared" si="329"/>
        <v>0</v>
      </c>
      <c r="CC68" s="141">
        <f t="shared" si="329"/>
        <v>14028.322000000002</v>
      </c>
      <c r="CD68" s="141">
        <f t="shared" si="329"/>
        <v>0</v>
      </c>
      <c r="CE68" s="141">
        <f t="shared" si="329"/>
        <v>0</v>
      </c>
      <c r="CF68" s="141">
        <f t="shared" si="329"/>
        <v>0</v>
      </c>
      <c r="CG68" s="141">
        <f t="shared" si="329"/>
        <v>0</v>
      </c>
      <c r="CH68" s="141">
        <f t="shared" si="329"/>
        <v>0</v>
      </c>
      <c r="CI68" s="141">
        <f t="shared" si="329"/>
        <v>0</v>
      </c>
      <c r="CJ68" s="141">
        <f t="shared" si="329"/>
        <v>0</v>
      </c>
      <c r="CK68" s="141">
        <f t="shared" si="329"/>
        <v>0</v>
      </c>
      <c r="CL68" s="141">
        <f t="shared" si="329"/>
        <v>0</v>
      </c>
      <c r="CM68" s="141">
        <f t="shared" si="329"/>
        <v>14028.322000000002</v>
      </c>
      <c r="CN68" s="141">
        <f t="shared" si="329"/>
        <v>0</v>
      </c>
      <c r="CO68" s="141">
        <f t="shared" si="329"/>
        <v>0</v>
      </c>
      <c r="CP68" s="141">
        <f t="shared" si="329"/>
        <v>0</v>
      </c>
      <c r="CQ68" s="141">
        <f t="shared" si="329"/>
        <v>0</v>
      </c>
      <c r="CR68" s="141">
        <f t="shared" si="329"/>
        <v>0</v>
      </c>
      <c r="CS68" s="141">
        <f t="shared" si="329"/>
        <v>0</v>
      </c>
      <c r="CT68" s="141">
        <f t="shared" si="329"/>
        <v>0</v>
      </c>
      <c r="CU68" s="141">
        <f t="shared" si="329"/>
        <v>0</v>
      </c>
      <c r="CV68" s="141">
        <f t="shared" si="329"/>
        <v>0</v>
      </c>
      <c r="CW68" s="142">
        <f t="shared" ref="CW68:DZ68" si="330">EA68*$AH68*$AJ68</f>
        <v>0</v>
      </c>
      <c r="CX68" s="142">
        <f t="shared" si="330"/>
        <v>0</v>
      </c>
      <c r="CY68" s="142">
        <f t="shared" si="330"/>
        <v>0</v>
      </c>
      <c r="CZ68" s="142">
        <f t="shared" si="330"/>
        <v>0</v>
      </c>
      <c r="DA68" s="142">
        <f t="shared" si="330"/>
        <v>0</v>
      </c>
      <c r="DB68" s="142">
        <f t="shared" si="330"/>
        <v>0</v>
      </c>
      <c r="DC68" s="142">
        <f t="shared" si="330"/>
        <v>0</v>
      </c>
      <c r="DD68" s="142">
        <f t="shared" si="330"/>
        <v>0</v>
      </c>
      <c r="DE68" s="142">
        <f t="shared" si="330"/>
        <v>0</v>
      </c>
      <c r="DF68" s="142">
        <f t="shared" si="330"/>
        <v>0</v>
      </c>
      <c r="DG68" s="142">
        <f t="shared" si="330"/>
        <v>5611.3288000000011</v>
      </c>
      <c r="DH68" s="142">
        <f t="shared" si="330"/>
        <v>0</v>
      </c>
      <c r="DI68" s="142">
        <f t="shared" si="330"/>
        <v>0</v>
      </c>
      <c r="DJ68" s="142">
        <f t="shared" si="330"/>
        <v>0</v>
      </c>
      <c r="DK68" s="142">
        <f t="shared" si="330"/>
        <v>0</v>
      </c>
      <c r="DL68" s="142">
        <f t="shared" si="330"/>
        <v>0</v>
      </c>
      <c r="DM68" s="142">
        <f t="shared" si="330"/>
        <v>0</v>
      </c>
      <c r="DN68" s="142">
        <f t="shared" si="330"/>
        <v>0</v>
      </c>
      <c r="DO68" s="142">
        <f t="shared" si="330"/>
        <v>0</v>
      </c>
      <c r="DP68" s="142">
        <f t="shared" si="330"/>
        <v>0</v>
      </c>
      <c r="DQ68" s="142">
        <f t="shared" si="330"/>
        <v>5611.3288000000011</v>
      </c>
      <c r="DR68" s="142">
        <f t="shared" si="330"/>
        <v>0</v>
      </c>
      <c r="DS68" s="142">
        <f t="shared" si="330"/>
        <v>0</v>
      </c>
      <c r="DT68" s="142">
        <f t="shared" si="330"/>
        <v>0</v>
      </c>
      <c r="DU68" s="142">
        <f t="shared" si="330"/>
        <v>0</v>
      </c>
      <c r="DV68" s="142">
        <f t="shared" si="330"/>
        <v>0</v>
      </c>
      <c r="DW68" s="142">
        <f t="shared" si="330"/>
        <v>0</v>
      </c>
      <c r="DX68" s="142">
        <f t="shared" si="330"/>
        <v>0</v>
      </c>
      <c r="DY68" s="142">
        <f t="shared" si="330"/>
        <v>0</v>
      </c>
      <c r="DZ68" s="142">
        <f t="shared" si="330"/>
        <v>0</v>
      </c>
      <c r="EA68" s="143">
        <f t="shared" si="174"/>
        <v>0</v>
      </c>
      <c r="EB68" s="143">
        <f t="shared" si="175"/>
        <v>0</v>
      </c>
      <c r="EC68" s="143">
        <f t="shared" si="176"/>
        <v>0</v>
      </c>
      <c r="ED68" s="143">
        <f t="shared" si="177"/>
        <v>0</v>
      </c>
      <c r="EE68" s="143">
        <f t="shared" si="178"/>
        <v>0</v>
      </c>
      <c r="EF68" s="143">
        <f t="shared" si="179"/>
        <v>0</v>
      </c>
      <c r="EG68" s="143">
        <f t="shared" si="180"/>
        <v>0</v>
      </c>
      <c r="EH68" s="143">
        <f t="shared" si="181"/>
        <v>0</v>
      </c>
      <c r="EI68" s="143">
        <f t="shared" si="182"/>
        <v>0</v>
      </c>
      <c r="EJ68" s="143">
        <f t="shared" si="183"/>
        <v>0</v>
      </c>
      <c r="EK68" s="143">
        <f t="shared" si="184"/>
        <v>2</v>
      </c>
      <c r="EL68" s="143">
        <f t="shared" si="185"/>
        <v>0</v>
      </c>
      <c r="EM68" s="143">
        <f t="shared" si="186"/>
        <v>0</v>
      </c>
      <c r="EN68" s="143">
        <f t="shared" si="187"/>
        <v>0</v>
      </c>
      <c r="EO68" s="143">
        <f t="shared" si="188"/>
        <v>0</v>
      </c>
      <c r="EP68" s="143">
        <f t="shared" si="189"/>
        <v>0</v>
      </c>
      <c r="EQ68" s="143">
        <f t="shared" si="190"/>
        <v>0</v>
      </c>
      <c r="ER68" s="143">
        <f t="shared" si="191"/>
        <v>0</v>
      </c>
      <c r="ES68" s="143">
        <f t="shared" si="192"/>
        <v>0</v>
      </c>
      <c r="ET68" s="143">
        <f t="shared" si="193"/>
        <v>0</v>
      </c>
      <c r="EU68" s="143">
        <f t="shared" si="194"/>
        <v>2</v>
      </c>
      <c r="EV68" s="143">
        <f t="shared" si="195"/>
        <v>0</v>
      </c>
      <c r="EW68" s="143">
        <f t="shared" si="196"/>
        <v>0</v>
      </c>
      <c r="EX68" s="143">
        <f t="shared" si="197"/>
        <v>0</v>
      </c>
      <c r="EY68" s="143">
        <f t="shared" si="198"/>
        <v>0</v>
      </c>
      <c r="EZ68" s="143">
        <f t="shared" si="199"/>
        <v>0</v>
      </c>
      <c r="FA68" s="143">
        <f t="shared" si="200"/>
        <v>0</v>
      </c>
      <c r="FB68" s="143">
        <f t="shared" si="201"/>
        <v>0</v>
      </c>
      <c r="FC68" s="143">
        <f t="shared" si="202"/>
        <v>0</v>
      </c>
      <c r="FD68" s="143">
        <f t="shared" si="203"/>
        <v>0</v>
      </c>
      <c r="FE68" s="140">
        <f>SUM($D68:D68)*IF($B68="Operacional",IFERROR(VLOOKUP($C68,SN_UGC,28,0),0),1)</f>
        <v>2</v>
      </c>
      <c r="FF68" s="140">
        <f>SUM($D68:E68)*IF($B68="Operacional",IFERROR(VLOOKUP($C68,SN_UGC,28,0),0),1)</f>
        <v>2</v>
      </c>
      <c r="FG68" s="140">
        <f>SUM($D68:F68)*IF($B68="Operacional",IFERROR(VLOOKUP($C68,SN_UGC,28,0),0),1)</f>
        <v>2</v>
      </c>
      <c r="FH68" s="140">
        <f>SUM($D68:G68)*IF($B68="Operacional",IFERROR(VLOOKUP($C68,SN_UGC,28,0),0),1)</f>
        <v>2</v>
      </c>
      <c r="FI68" s="140">
        <f>SUM($D68:H68)*IF($B68="Operacional",IFERROR(VLOOKUP($C68,SN_UGC,28,0),0),1)</f>
        <v>2</v>
      </c>
      <c r="FJ68" s="140">
        <f>SUM($D68:I68)*IF($B68="Operacional",IFERROR(VLOOKUP($C68,SN_UGC,28,0),0),1)</f>
        <v>2</v>
      </c>
      <c r="FK68" s="140">
        <f>SUM($D68:J68)*IF($B68="Operacional",IFERROR(VLOOKUP($C68,SN_UGC,28,0),0),1)</f>
        <v>2</v>
      </c>
      <c r="FL68" s="140">
        <f>SUM($D68:K68)*IF($B68="Operacional",IFERROR(VLOOKUP($C68,SN_UGC,28,0),0),1)</f>
        <v>2</v>
      </c>
      <c r="FM68" s="140">
        <f>SUM($D68:L68)*IF($B68="Operacional",IFERROR(VLOOKUP($C68,SN_UGC,28,0),0),1)</f>
        <v>2</v>
      </c>
      <c r="FN68" s="140">
        <f>SUM($D68:M68)*IF($B68="Operacional",IFERROR(VLOOKUP($C68,SN_UGC,28,0),0),1)</f>
        <v>2</v>
      </c>
      <c r="FO68" s="140">
        <f>SUM($D68:N68)*IF($B68="Operacional",IFERROR(VLOOKUP($C68,SN_UGC,28,0),0),1)</f>
        <v>2</v>
      </c>
      <c r="FP68" s="140">
        <f>SUM($D68:O68)*IF($B68="Operacional",IFERROR(VLOOKUP($C68,SN_UGC,28,0),0),1)</f>
        <v>2</v>
      </c>
      <c r="FQ68" s="140">
        <f>SUM($D68:P68)*IF($B68="Operacional",IFERROR(VLOOKUP($C68,SN_UGC,28,0),0),1)</f>
        <v>2</v>
      </c>
      <c r="FR68" s="140">
        <f>SUM($D68:Q68)*IF($B68="Operacional",IFERROR(VLOOKUP($C68,SN_UGC,28,0),0),1)</f>
        <v>2</v>
      </c>
      <c r="FS68" s="140">
        <f>SUM($D68:R68)*IF($B68="Operacional",IFERROR(VLOOKUP($C68,SN_UGC,28,0),0),1)</f>
        <v>2</v>
      </c>
      <c r="FT68" s="140">
        <f>SUM($D68:S68)*IF($B68="Operacional",IFERROR(VLOOKUP($C68,SN_UGC,28,0),0),1)</f>
        <v>2</v>
      </c>
      <c r="FU68" s="140">
        <f>SUM($D68:T68)*IF($B68="Operacional",IFERROR(VLOOKUP($C68,SN_UGC,28,0),0),1)</f>
        <v>2</v>
      </c>
      <c r="FV68" s="140">
        <f>SUM($D68:U68)*IF($B68="Operacional",IFERROR(VLOOKUP($C68,SN_UGC,28,0),0),1)</f>
        <v>2</v>
      </c>
      <c r="FW68" s="140">
        <f>SUM($D68:V68)*IF($B68="Operacional",IFERROR(VLOOKUP($C68,SN_UGC,28,0),0),1)</f>
        <v>2</v>
      </c>
      <c r="FX68" s="140">
        <f>SUM($D68:W68)*IF($B68="Operacional",IFERROR(VLOOKUP($C68,SN_UGC,28,0),0),1)</f>
        <v>2</v>
      </c>
      <c r="FY68" s="140">
        <f>SUM($D68:X68)*IF($B68="Operacional",IFERROR(VLOOKUP($C68,SN_UGC,28,0),0),1)</f>
        <v>2</v>
      </c>
      <c r="FZ68" s="140">
        <f>SUM($D68:Y68)*IF($B68="Operacional",IFERROR(VLOOKUP($C68,SN_UGC,28,0),0),1)</f>
        <v>2</v>
      </c>
      <c r="GA68" s="140">
        <f>SUM($D68:Z68)*IF($B68="Operacional",IFERROR(VLOOKUP($C68,SN_UGC,28,0),0),1)</f>
        <v>2</v>
      </c>
      <c r="GB68" s="140">
        <f>SUM($D68:AA68)*IF($B68="Operacional",IFERROR(VLOOKUP($C68,SN_UGC,28,0),0),1)</f>
        <v>2</v>
      </c>
      <c r="GC68" s="140">
        <f>SUM($D68:AB68)*IF($B68="Operacional",IFERROR(VLOOKUP($C68,SN_UGC,28,0),0),1)</f>
        <v>2</v>
      </c>
      <c r="GD68" s="140">
        <f>SUM($D68:AC68)*IF($B68="Operacional",IFERROR(VLOOKUP($C68,SN_UGC,28,0),0),1)</f>
        <v>2</v>
      </c>
      <c r="GE68" s="140">
        <f>SUM($D68:AD68)*IF($B68="Operacional",IFERROR(VLOOKUP($C68,SN_UGC,28,0),0),1)</f>
        <v>2</v>
      </c>
      <c r="GF68" s="140">
        <f>SUM($D68:AE68)*IF($B68="Operacional",IFERROR(VLOOKUP($C68,SN_UGC,28,0),0),1)</f>
        <v>2</v>
      </c>
      <c r="GG68" s="140">
        <f>SUM($D68:AF68)*IF($B68="Operacional",IFERROR(VLOOKUP($C68,SN_UGC,28,0),0),1)</f>
        <v>2</v>
      </c>
      <c r="GH68" s="140">
        <f>SUM($D68:AG68)*IF($B68="Operacional",IFERROR(VLOOKUP($C68,SN_UGC,28,0),0),1)</f>
        <v>2</v>
      </c>
      <c r="GI68" s="141">
        <f t="shared" ref="GI68:HL68" si="331">FE68*$AH68*$AL68</f>
        <v>701.41610000000014</v>
      </c>
      <c r="GJ68" s="141">
        <f t="shared" si="331"/>
        <v>701.41610000000014</v>
      </c>
      <c r="GK68" s="141">
        <f t="shared" si="331"/>
        <v>701.41610000000014</v>
      </c>
      <c r="GL68" s="141">
        <f t="shared" si="331"/>
        <v>701.41610000000014</v>
      </c>
      <c r="GM68" s="141">
        <f t="shared" si="331"/>
        <v>701.41610000000014</v>
      </c>
      <c r="GN68" s="141">
        <f t="shared" si="331"/>
        <v>701.41610000000014</v>
      </c>
      <c r="GO68" s="141">
        <f t="shared" si="331"/>
        <v>701.41610000000014</v>
      </c>
      <c r="GP68" s="141">
        <f t="shared" si="331"/>
        <v>701.41610000000014</v>
      </c>
      <c r="GQ68" s="141">
        <f t="shared" si="331"/>
        <v>701.41610000000014</v>
      </c>
      <c r="GR68" s="141">
        <f t="shared" si="331"/>
        <v>701.41610000000014</v>
      </c>
      <c r="GS68" s="141">
        <f t="shared" si="331"/>
        <v>701.41610000000014</v>
      </c>
      <c r="GT68" s="141">
        <f t="shared" si="331"/>
        <v>701.41610000000014</v>
      </c>
      <c r="GU68" s="141">
        <f t="shared" si="331"/>
        <v>701.41610000000014</v>
      </c>
      <c r="GV68" s="141">
        <f t="shared" si="331"/>
        <v>701.41610000000014</v>
      </c>
      <c r="GW68" s="141">
        <f t="shared" si="331"/>
        <v>701.41610000000014</v>
      </c>
      <c r="GX68" s="141">
        <f t="shared" si="331"/>
        <v>701.41610000000014</v>
      </c>
      <c r="GY68" s="141">
        <f t="shared" si="331"/>
        <v>701.41610000000014</v>
      </c>
      <c r="GZ68" s="141">
        <f t="shared" si="331"/>
        <v>701.41610000000014</v>
      </c>
      <c r="HA68" s="141">
        <f t="shared" si="331"/>
        <v>701.41610000000014</v>
      </c>
      <c r="HB68" s="141">
        <f t="shared" si="331"/>
        <v>701.41610000000014</v>
      </c>
      <c r="HC68" s="141">
        <f t="shared" si="331"/>
        <v>701.41610000000014</v>
      </c>
      <c r="HD68" s="141">
        <f t="shared" si="331"/>
        <v>701.41610000000014</v>
      </c>
      <c r="HE68" s="141">
        <f t="shared" si="331"/>
        <v>701.41610000000014</v>
      </c>
      <c r="HF68" s="141">
        <f t="shared" si="331"/>
        <v>701.41610000000014</v>
      </c>
      <c r="HG68" s="141">
        <f t="shared" si="331"/>
        <v>701.41610000000014</v>
      </c>
      <c r="HH68" s="141">
        <f t="shared" si="331"/>
        <v>701.41610000000014</v>
      </c>
      <c r="HI68" s="141">
        <f t="shared" si="331"/>
        <v>701.41610000000014</v>
      </c>
      <c r="HJ68" s="141">
        <f t="shared" si="331"/>
        <v>701.41610000000014</v>
      </c>
      <c r="HK68" s="141">
        <f t="shared" si="331"/>
        <v>701.41610000000014</v>
      </c>
      <c r="HL68" s="141">
        <f t="shared" si="331"/>
        <v>701.41610000000014</v>
      </c>
      <c r="HM68" s="142">
        <f t="shared" ref="HM68:IP68" si="332">IF(ISBLANK($A68),,FE68*($AH68-($AH68*$AJ68))/$AI68)</f>
        <v>841.69932000000006</v>
      </c>
      <c r="HN68" s="142">
        <f t="shared" si="332"/>
        <v>841.69932000000006</v>
      </c>
      <c r="HO68" s="142">
        <f t="shared" si="332"/>
        <v>841.69932000000006</v>
      </c>
      <c r="HP68" s="142">
        <f t="shared" si="332"/>
        <v>841.69932000000006</v>
      </c>
      <c r="HQ68" s="142">
        <f t="shared" si="332"/>
        <v>841.69932000000006</v>
      </c>
      <c r="HR68" s="142">
        <f t="shared" si="332"/>
        <v>841.69932000000006</v>
      </c>
      <c r="HS68" s="142">
        <f t="shared" si="332"/>
        <v>841.69932000000006</v>
      </c>
      <c r="HT68" s="142">
        <f t="shared" si="332"/>
        <v>841.69932000000006</v>
      </c>
      <c r="HU68" s="142">
        <f t="shared" si="332"/>
        <v>841.69932000000006</v>
      </c>
      <c r="HV68" s="142">
        <f t="shared" si="332"/>
        <v>841.69932000000006</v>
      </c>
      <c r="HW68" s="142">
        <f t="shared" si="332"/>
        <v>841.69932000000006</v>
      </c>
      <c r="HX68" s="142">
        <f t="shared" si="332"/>
        <v>841.69932000000006</v>
      </c>
      <c r="HY68" s="142">
        <f t="shared" si="332"/>
        <v>841.69932000000006</v>
      </c>
      <c r="HZ68" s="142">
        <f t="shared" si="332"/>
        <v>841.69932000000006</v>
      </c>
      <c r="IA68" s="142">
        <f t="shared" si="332"/>
        <v>841.69932000000006</v>
      </c>
      <c r="IB68" s="142">
        <f t="shared" si="332"/>
        <v>841.69932000000006</v>
      </c>
      <c r="IC68" s="142">
        <f t="shared" si="332"/>
        <v>841.69932000000006</v>
      </c>
      <c r="ID68" s="142">
        <f t="shared" si="332"/>
        <v>841.69932000000006</v>
      </c>
      <c r="IE68" s="142">
        <f t="shared" si="332"/>
        <v>841.69932000000006</v>
      </c>
      <c r="IF68" s="142">
        <f t="shared" si="332"/>
        <v>841.69932000000006</v>
      </c>
      <c r="IG68" s="142">
        <f t="shared" si="332"/>
        <v>841.69932000000006</v>
      </c>
      <c r="IH68" s="142">
        <f t="shared" si="332"/>
        <v>841.69932000000006</v>
      </c>
      <c r="II68" s="142">
        <f t="shared" si="332"/>
        <v>841.69932000000006</v>
      </c>
      <c r="IJ68" s="142">
        <f t="shared" si="332"/>
        <v>841.69932000000006</v>
      </c>
      <c r="IK68" s="142">
        <f t="shared" si="332"/>
        <v>841.69932000000006</v>
      </c>
      <c r="IL68" s="142">
        <f t="shared" si="332"/>
        <v>841.69932000000006</v>
      </c>
      <c r="IM68" s="142">
        <f t="shared" si="332"/>
        <v>841.69932000000006</v>
      </c>
      <c r="IN68" s="142">
        <f t="shared" si="332"/>
        <v>841.69932000000006</v>
      </c>
      <c r="IO68" s="142">
        <f t="shared" si="332"/>
        <v>841.69932000000006</v>
      </c>
      <c r="IP68" s="142">
        <f t="shared" si="332"/>
        <v>841.69932000000006</v>
      </c>
      <c r="IQ68" s="141">
        <f>IF(ISBLANK($A68),,IF($AN68="Não",0,(SUM($AO68:AO68)*$AH68)-SUM($HM68:HM68)-SUM($CW68:CW68)))</f>
        <v>13186.622680000002</v>
      </c>
      <c r="IR68" s="141">
        <f>IF(ISBLANK($A68),,IF($AN68="Não",0,(SUM($AO68:AP68)*$AH68)-SUM($HM68:HN68)-SUM($CW68:CX68)))</f>
        <v>12344.923360000003</v>
      </c>
      <c r="IS68" s="141">
        <f>IF(ISBLANK($A68),,IF($AN68="Não",0,(SUM($AO68:AQ68)*$AH68)-SUM($HM68:HO68)-SUM($CW68:CY68)))</f>
        <v>11503.224040000001</v>
      </c>
      <c r="IT68" s="141">
        <f>IF(ISBLANK($A68),,IF($AN68="Não",0,(SUM($AO68:AR68)*$AH68)-SUM($HM68:HP68)-SUM($CW68:CZ68)))</f>
        <v>10661.524720000001</v>
      </c>
      <c r="IU68" s="141">
        <f>IF(ISBLANK($A68),,IF($AN68="Não",0,(SUM($AO68:AS68)*$AH68)-SUM($HM68:HQ68)-SUM($CW68:DA68)))</f>
        <v>9819.8254000000015</v>
      </c>
      <c r="IV68" s="141">
        <f>IF(ISBLANK($A68),,IF($AN68="Não",0,(SUM($AO68:AT68)*$AH68)-SUM($HM68:HR68)-SUM($CW68:DB68)))</f>
        <v>8978.1260800000018</v>
      </c>
      <c r="IW68" s="141">
        <f>IF(ISBLANK($A68),,IF($AN68="Não",0,(SUM($AO68:AU68)*$AH68)-SUM($HM68:HS68)-SUM($CW68:DC68)))</f>
        <v>8136.4267600000021</v>
      </c>
      <c r="IX68" s="141">
        <f>IF(ISBLANK($A68),,IF($AN68="Não",0,(SUM($AO68:AV68)*$AH68)-SUM($HM68:HT68)-SUM($CW68:DD68)))</f>
        <v>7294.7274400000024</v>
      </c>
      <c r="IY68" s="141">
        <f>IF(ISBLANK($A68),,IF($AN68="Não",0,(SUM($AO68:AW68)*$AH68)-SUM($HM68:HU68)-SUM($CW68:DE68)))</f>
        <v>6453.0281200000027</v>
      </c>
      <c r="IZ68" s="141">
        <f>IF(ISBLANK($A68),,IF($AN68="Não",0,(SUM($AO68:AX68)*$AH68)-SUM($HM68:HV68)-SUM($CW68:DF68)))</f>
        <v>5611.328800000003</v>
      </c>
      <c r="JA68" s="141">
        <f>IF(ISBLANK($A68),,IF($AN68="Não",0,(SUM($AO68:AY68)*$AH68)-SUM($HM68:HW68)-SUM($CW68:DG68)))</f>
        <v>13186.622680000002</v>
      </c>
      <c r="JB68" s="141">
        <f>IF(ISBLANK($A68),,IF($AN68="Não",0,(SUM($AO68:AZ68)*$AH68)-SUM($HM68:HX68)-SUM($CW68:DH68)))</f>
        <v>12344.923360000003</v>
      </c>
      <c r="JC68" s="141">
        <f>IF(ISBLANK($A68),,IF($AN68="Não",0,(SUM($AO68:BA68)*$AH68)-SUM($HM68:HY68)-SUM($CW68:DI68)))</f>
        <v>11503.224040000003</v>
      </c>
      <c r="JD68" s="141">
        <f>IF(ISBLANK($A68),,IF($AN68="Não",0,(SUM($AO68:BB68)*$AH68)-SUM($HM68:HZ68)-SUM($CW68:DJ68)))</f>
        <v>10661.524720000005</v>
      </c>
      <c r="JE68" s="141">
        <f>IF(ISBLANK($A68),,IF($AN68="Não",0,(SUM($AO68:BC68)*$AH68)-SUM($HM68:IA68)-SUM($CW68:DK68)))</f>
        <v>9819.8254000000052</v>
      </c>
      <c r="JF68" s="141">
        <f>IF(ISBLANK($A68),,IF($AN68="Não",0,(SUM($AO68:BD68)*$AH68)-SUM($HM68:IB68)-SUM($CW68:DL68)))</f>
        <v>8978.1260800000055</v>
      </c>
      <c r="JG68" s="141">
        <f>IF(ISBLANK($A68),,IF($AN68="Não",0,(SUM($AO68:BE68)*$AH68)-SUM($HM68:IC68)-SUM($CW68:DM68)))</f>
        <v>8136.4267600000057</v>
      </c>
      <c r="JH68" s="141">
        <f>IF(ISBLANK($A68),,IF($AN68="Não",0,(SUM($AO68:BF68)*$AH68)-SUM($HM68:ID68)-SUM($CW68:DN68)))</f>
        <v>7294.727440000006</v>
      </c>
      <c r="JI68" s="141">
        <f>IF(ISBLANK($A68),,IF($AN68="Não",0,(SUM($AO68:BG68)*$AH68)-SUM($HM68:IE68)-SUM($CW68:DO68)))</f>
        <v>6453.0281200000063</v>
      </c>
      <c r="JJ68" s="141">
        <f>IF(ISBLANK($A68),,IF($AN68="Não",0,(SUM($AO68:BH68)*$AH68)-SUM($HM68:IF68)-SUM($CW68:DP68)))</f>
        <v>5611.3288000000048</v>
      </c>
      <c r="JK68" s="141">
        <f>IF(ISBLANK($A68),,IF($AN68="Não",0,(SUM($AO68:BI68)*$AH68)-SUM($HM68:IG68)-SUM($CW68:DQ68)))</f>
        <v>13186.622680000008</v>
      </c>
      <c r="JL68" s="141">
        <f>IF(ISBLANK($A68),,IF($AN68="Não",0,(SUM($AO68:BJ68)*$AH68)-SUM($HM68:IH68)-SUM($CW68:DR68)))</f>
        <v>12344.923360000008</v>
      </c>
      <c r="JM68" s="141">
        <f>IF(ISBLANK($A68),,IF($AN68="Não",0,(SUM($AO68:BK68)*$AH68)-SUM($HM68:II68)-SUM($CW68:DS68)))</f>
        <v>11503.224040000008</v>
      </c>
      <c r="JN68" s="141">
        <f>IF(ISBLANK($A68),,IF($AN68="Não",0,(SUM($AO68:BL68)*$AH68)-SUM($HM68:IJ68)-SUM($CW68:DT68)))</f>
        <v>10661.524720000009</v>
      </c>
      <c r="JO68" s="141">
        <f>IF(ISBLANK($A68),,IF($AN68="Não",0,(SUM($AO68:BM68)*$AH68)-SUM($HM68:IK68)-SUM($CW68:DU68)))</f>
        <v>9819.8254000000088</v>
      </c>
      <c r="JP68" s="141">
        <f>IF(ISBLANK($A68),,IF($AN68="Não",0,(SUM($AO68:BN68)*$AH68)-SUM($HM68:IL68)-SUM($CW68:DV68)))</f>
        <v>8978.1260800000091</v>
      </c>
      <c r="JQ68" s="141">
        <f>IF(ISBLANK($A68),,IF($AN68="Não",0,(SUM($AO68:BO68)*$AH68)-SUM($HM68:IM68)-SUM($CW68:DW68)))</f>
        <v>8136.4267600000094</v>
      </c>
      <c r="JR68" s="141">
        <f>IF(ISBLANK($A68),,IF($AN68="Não",0,(SUM($AO68:BP68)*$AH68)-SUM($HM68:IN68)-SUM($CW68:DX68)))</f>
        <v>7294.7274400000097</v>
      </c>
      <c r="JS68" s="141">
        <f>IF(ISBLANK($A68),,IF($AN68="Não",0,(SUM($AO68:BQ68)*$AH68)-SUM($HM68:IO68)-SUM($CW68:DY68)))</f>
        <v>6453.0281200000099</v>
      </c>
      <c r="JT68" s="141">
        <f>IF(ISBLANK($A68),,IF($AN68="Não",0,(SUM($AO68:BR68)*$AH68)-SUM($HM68:IP68)-SUM($CW68:DZ68)))</f>
        <v>5611.3288000000102</v>
      </c>
    </row>
    <row r="69" spans="1:280" ht="15.75" customHeight="1">
      <c r="A69" s="129" t="s">
        <v>362</v>
      </c>
      <c r="B69" s="129" t="s">
        <v>209</v>
      </c>
      <c r="C69" s="138" t="s">
        <v>87</v>
      </c>
      <c r="D69" s="144">
        <v>11122</v>
      </c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607">
        <f t="shared" si="286"/>
        <v>47.300000000000004</v>
      </c>
      <c r="AI69" s="608">
        <f t="shared" si="287"/>
        <v>30</v>
      </c>
      <c r="AJ69" s="609">
        <f t="shared" si="288"/>
        <v>1</v>
      </c>
      <c r="AK69" s="610" t="str">
        <f t="shared" si="289"/>
        <v>Infraestrutura</v>
      </c>
      <c r="AL69" s="609">
        <f t="shared" si="290"/>
        <v>0.1</v>
      </c>
      <c r="AM69" s="611" t="str">
        <f t="shared" si="291"/>
        <v>Sim</v>
      </c>
      <c r="AN69" s="611" t="str">
        <f t="shared" si="292"/>
        <v>Não</v>
      </c>
      <c r="AO69" s="140">
        <f t="array" ref="AO69">IF(ISBLANK($A69),0,IF(OR(AO$5-$AI69&lt;=0,$AM69="Não"),D69,D69+INDEX($AO$6:$BR$176,ROW()-5,COLUMN()-40-$AI69)))*IF($B69="Operacional",IFERROR(VLOOKUP($C69,SN_UGC,28,0),0),1)</f>
        <v>11122</v>
      </c>
      <c r="AP69" s="140">
        <f t="array" ref="AP69">IF(ISBLANK($A69),0,IF(OR(AP$5-$AI69&lt;=0,$AM69="Não"),E69,E69+INDEX($AO$6:$BR$176,ROW()-5,COLUMN()-40-$AI69)))*IF($B69="Operacional",IFERROR(VLOOKUP($C69,SN_UGC,28,0),0),1)</f>
        <v>0</v>
      </c>
      <c r="AQ69" s="140">
        <f t="array" ref="AQ69">IF(ISBLANK($A69),0,IF(OR(AQ$5-$AI69&lt;=0,$AM69="Não"),F69,F69+INDEX($AO$6:$BR$176,ROW()-5,COLUMN()-40-$AI69)))*IF($B69="Operacional",IFERROR(VLOOKUP($C69,SN_UGC,28,0),0),1)</f>
        <v>0</v>
      </c>
      <c r="AR69" s="140">
        <f t="array" ref="AR69">IF(ISBLANK($A69),0,IF(OR(AR$5-$AI69&lt;=0,$AM69="Não"),G69,G69+INDEX($AO$6:$BR$176,ROW()-5,COLUMN()-40-$AI69)))*IF($B69="Operacional",IFERROR(VLOOKUP($C69,SN_UGC,28,0),0),1)</f>
        <v>0</v>
      </c>
      <c r="AS69" s="140">
        <f t="array" ref="AS69">IF(ISBLANK($A69),0,IF(OR(AS$5-$AI69&lt;=0,$AM69="Não"),H69,H69+INDEX($AO$6:$BR$176,ROW()-5,COLUMN()-40-$AI69)))*IF($B69="Operacional",IFERROR(VLOOKUP($C69,SN_UGC,28,0),0),1)</f>
        <v>0</v>
      </c>
      <c r="AT69" s="140">
        <f t="array" ref="AT69">IF(ISBLANK($A69),0,IF(OR(AT$5-$AI69&lt;=0,$AM69="Não"),I69,I69+INDEX($AO$6:$BR$176,ROW()-5,COLUMN()-40-$AI69)))*IF($B69="Operacional",IFERROR(VLOOKUP($C69,SN_UGC,28,0),0),1)</f>
        <v>0</v>
      </c>
      <c r="AU69" s="140">
        <f t="array" ref="AU69">IF(ISBLANK($A69),0,IF(OR(AU$5-$AI69&lt;=0,$AM69="Não"),J69,J69+INDEX($AO$6:$BR$176,ROW()-5,COLUMN()-40-$AI69)))*IF($B69="Operacional",IFERROR(VLOOKUP($C69,SN_UGC,28,0),0),1)</f>
        <v>0</v>
      </c>
      <c r="AV69" s="140">
        <f t="array" ref="AV69">IF(ISBLANK($A69),0,IF(OR(AV$5-$AI69&lt;=0,$AM69="Não"),K69,K69+INDEX($AO$6:$BR$176,ROW()-5,COLUMN()-40-$AI69)))*IF($B69="Operacional",IFERROR(VLOOKUP($C69,SN_UGC,28,0),0),1)</f>
        <v>0</v>
      </c>
      <c r="AW69" s="140">
        <f t="array" ref="AW69">IF(ISBLANK($A69),0,IF(OR(AW$5-$AI69&lt;=0,$AM69="Não"),L69,L69+INDEX($AO$6:$BR$176,ROW()-5,COLUMN()-40-$AI69)))*IF($B69="Operacional",IFERROR(VLOOKUP($C69,SN_UGC,28,0),0),1)</f>
        <v>0</v>
      </c>
      <c r="AX69" s="140">
        <f t="array" ref="AX69">IF(ISBLANK($A69),0,IF(OR(AX$5-$AI69&lt;=0,$AM69="Não"),M69,M69+INDEX($AO$6:$BR$176,ROW()-5,COLUMN()-40-$AI69)))*IF($B69="Operacional",IFERROR(VLOOKUP($C69,SN_UGC,28,0),0),1)</f>
        <v>0</v>
      </c>
      <c r="AY69" s="140">
        <f t="array" ref="AY69">IF(ISBLANK($A69),0,IF(OR(AY$5-$AI69&lt;=0,$AM69="Não"),N69,N69+INDEX($AO$6:$BR$176,ROW()-5,COLUMN()-40-$AI69)))*IF($B69="Operacional",IFERROR(VLOOKUP($C69,SN_UGC,28,0),0),1)</f>
        <v>0</v>
      </c>
      <c r="AZ69" s="140">
        <f t="array" ref="AZ69">IF(ISBLANK($A69),0,IF(OR(AZ$5-$AI69&lt;=0,$AM69="Não"),O69,O69+INDEX($AO$6:$BR$176,ROW()-5,COLUMN()-40-$AI69)))*IF($B69="Operacional",IFERROR(VLOOKUP($C69,SN_UGC,28,0),0),1)</f>
        <v>0</v>
      </c>
      <c r="BA69" s="140">
        <f t="array" ref="BA69">IF(ISBLANK($A69),0,IF(OR(BA$5-$AI69&lt;=0,$AM69="Não"),P69,P69+INDEX($AO$6:$BR$176,ROW()-5,COLUMN()-40-$AI69)))*IF($B69="Operacional",IFERROR(VLOOKUP($C69,SN_UGC,28,0),0),1)</f>
        <v>0</v>
      </c>
      <c r="BB69" s="140">
        <f t="array" ref="BB69">IF(ISBLANK($A69),0,IF(OR(BB$5-$AI69&lt;=0,$AM69="Não"),Q69,Q69+INDEX($AO$6:$BR$176,ROW()-5,COLUMN()-40-$AI69)))*IF($B69="Operacional",IFERROR(VLOOKUP($C69,SN_UGC,28,0),0),1)</f>
        <v>0</v>
      </c>
      <c r="BC69" s="140">
        <f t="array" ref="BC69">IF(ISBLANK($A69),0,IF(OR(BC$5-$AI69&lt;=0,$AM69="Não"),R69,R69+INDEX($AO$6:$BR$176,ROW()-5,COLUMN()-40-$AI69)))*IF($B69="Operacional",IFERROR(VLOOKUP($C69,SN_UGC,28,0),0),1)</f>
        <v>0</v>
      </c>
      <c r="BD69" s="140">
        <f t="array" ref="BD69">IF(ISBLANK($A69),0,IF(OR(BD$5-$AI69&lt;=0,$AM69="Não"),S69,S69+INDEX($AO$6:$BR$176,ROW()-5,COLUMN()-40-$AI69)))*IF($B69="Operacional",IFERROR(VLOOKUP($C69,SN_UGC,28,0),0),1)</f>
        <v>0</v>
      </c>
      <c r="BE69" s="140">
        <f t="array" ref="BE69">IF(ISBLANK($A69),0,IF(OR(BE$5-$AI69&lt;=0,$AM69="Não"),T69,T69+INDEX($AO$6:$BR$176,ROW()-5,COLUMN()-40-$AI69)))*IF($B69="Operacional",IFERROR(VLOOKUP($C69,SN_UGC,28,0),0),1)</f>
        <v>0</v>
      </c>
      <c r="BF69" s="140">
        <f t="array" ref="BF69">IF(ISBLANK($A69),0,IF(OR(BF$5-$AI69&lt;=0,$AM69="Não"),U69,U69+INDEX($AO$6:$BR$176,ROW()-5,COLUMN()-40-$AI69)))*IF($B69="Operacional",IFERROR(VLOOKUP($C69,SN_UGC,28,0),0),1)</f>
        <v>0</v>
      </c>
      <c r="BG69" s="140">
        <f t="array" ref="BG69">IF(ISBLANK($A69),0,IF(OR(BG$5-$AI69&lt;=0,$AM69="Não"),V69,V69+INDEX($AO$6:$BR$176,ROW()-5,COLUMN()-40-$AI69)))*IF($B69="Operacional",IFERROR(VLOOKUP($C69,SN_UGC,28,0),0),1)</f>
        <v>0</v>
      </c>
      <c r="BH69" s="140">
        <f t="array" ref="BH69">IF(ISBLANK($A69),0,IF(OR(BH$5-$AI69&lt;=0,$AM69="Não"),W69,W69+INDEX($AO$6:$BR$176,ROW()-5,COLUMN()-40-$AI69)))*IF($B69="Operacional",IFERROR(VLOOKUP($C69,SN_UGC,28,0),0),1)</f>
        <v>0</v>
      </c>
      <c r="BI69" s="140">
        <f t="array" ref="BI69">IF(ISBLANK($A69),0,IF(OR(BI$5-$AI69&lt;=0,$AM69="Não"),X69,X69+INDEX($AO$6:$BR$176,ROW()-5,COLUMN()-40-$AI69)))*IF($B69="Operacional",IFERROR(VLOOKUP($C69,SN_UGC,28,0),0),1)</f>
        <v>0</v>
      </c>
      <c r="BJ69" s="140">
        <f t="array" ref="BJ69">IF(ISBLANK($A69),0,IF(OR(BJ$5-$AI69&lt;=0,$AM69="Não"),Y69,Y69+INDEX($AO$6:$BR$176,ROW()-5,COLUMN()-40-$AI69)))*IF($B69="Operacional",IFERROR(VLOOKUP($C69,SN_UGC,28,0),0),1)</f>
        <v>0</v>
      </c>
      <c r="BK69" s="140">
        <f t="array" ref="BK69">IF(ISBLANK($A69),0,IF(OR(BK$5-$AI69&lt;=0,$AM69="Não"),Z69,Z69+INDEX($AO$6:$BR$176,ROW()-5,COLUMN()-40-$AI69)))*IF($B69="Operacional",IFERROR(VLOOKUP($C69,SN_UGC,28,0),0),1)</f>
        <v>0</v>
      </c>
      <c r="BL69" s="140">
        <f t="array" ref="BL69">IF(ISBLANK($A69),0,IF(OR(BL$5-$AI69&lt;=0,$AM69="Não"),AA69,AA69+INDEX($AO$6:$BR$176,ROW()-5,COLUMN()-40-$AI69)))*IF($B69="Operacional",IFERROR(VLOOKUP($C69,SN_UGC,28,0),0),1)</f>
        <v>0</v>
      </c>
      <c r="BM69" s="140">
        <f t="array" ref="BM69">IF(ISBLANK($A69),0,IF(OR(BM$5-$AI69&lt;=0,$AM69="Não"),AB69,AB69+INDEX($AO$6:$BR$176,ROW()-5,COLUMN()-40-$AI69)))*IF($B69="Operacional",IFERROR(VLOOKUP($C69,SN_UGC,28,0),0),1)</f>
        <v>0</v>
      </c>
      <c r="BN69" s="140">
        <f t="array" ref="BN69">IF(ISBLANK($A69),0,IF(OR(BN$5-$AI69&lt;=0,$AM69="Não"),AC69,AC69+INDEX($AO$6:$BR$176,ROW()-5,COLUMN()-40-$AI69)))*IF($B69="Operacional",IFERROR(VLOOKUP($C69,SN_UGC,28,0),0),1)</f>
        <v>0</v>
      </c>
      <c r="BO69" s="140">
        <f t="array" ref="BO69">IF(ISBLANK($A69),0,IF(OR(BO$5-$AI69&lt;=0,$AM69="Não"),AD69,AD69+INDEX($AO$6:$BR$176,ROW()-5,COLUMN()-40-$AI69)))*IF($B69="Operacional",IFERROR(VLOOKUP($C69,SN_UGC,28,0),0),1)</f>
        <v>0</v>
      </c>
      <c r="BP69" s="140">
        <f t="array" ref="BP69">IF(ISBLANK($A69),0,IF(OR(BP$5-$AI69&lt;=0,$AM69="Não"),AE69,AE69+INDEX($AO$6:$BR$176,ROW()-5,COLUMN()-40-$AI69)))*IF($B69="Operacional",IFERROR(VLOOKUP($C69,SN_UGC,28,0),0),1)</f>
        <v>0</v>
      </c>
      <c r="BQ69" s="140">
        <f t="array" ref="BQ69">IF(ISBLANK($A69),0,IF(OR(BQ$5-$AI69&lt;=0,$AM69="Não"),AF69,AF69+INDEX($AO$6:$BR$176,ROW()-5,COLUMN()-40-$AI69)))*IF($B69="Operacional",IFERROR(VLOOKUP($C69,SN_UGC,28,0),0),1)</f>
        <v>0</v>
      </c>
      <c r="BR69" s="140">
        <f t="array" ref="BR69">IF(ISBLANK($A69),0,IF(OR(BR$5-$AI69&lt;=0,$AM69="Não"),AG69,AG69+INDEX($AO$6:$BR$176,ROW()-5,COLUMN()-40-$AI69)))*IF($B69="Operacional",IFERROR(VLOOKUP($C69,SN_UGC,28,0),0),1)</f>
        <v>0</v>
      </c>
      <c r="BS69" s="141">
        <f t="shared" ref="BS69:CV69" si="333">IF(ISBLANK($A69),0,$AH69*AO69)</f>
        <v>526070.60000000009</v>
      </c>
      <c r="BT69" s="141">
        <f t="shared" si="333"/>
        <v>0</v>
      </c>
      <c r="BU69" s="141">
        <f t="shared" si="333"/>
        <v>0</v>
      </c>
      <c r="BV69" s="141">
        <f t="shared" si="333"/>
        <v>0</v>
      </c>
      <c r="BW69" s="141">
        <f t="shared" si="333"/>
        <v>0</v>
      </c>
      <c r="BX69" s="141">
        <f t="shared" si="333"/>
        <v>0</v>
      </c>
      <c r="BY69" s="141">
        <f t="shared" si="333"/>
        <v>0</v>
      </c>
      <c r="BZ69" s="141">
        <f t="shared" si="333"/>
        <v>0</v>
      </c>
      <c r="CA69" s="141">
        <f t="shared" si="333"/>
        <v>0</v>
      </c>
      <c r="CB69" s="141">
        <f t="shared" si="333"/>
        <v>0</v>
      </c>
      <c r="CC69" s="141">
        <f t="shared" si="333"/>
        <v>0</v>
      </c>
      <c r="CD69" s="141">
        <f t="shared" si="333"/>
        <v>0</v>
      </c>
      <c r="CE69" s="141">
        <f t="shared" si="333"/>
        <v>0</v>
      </c>
      <c r="CF69" s="141">
        <f t="shared" si="333"/>
        <v>0</v>
      </c>
      <c r="CG69" s="141">
        <f t="shared" si="333"/>
        <v>0</v>
      </c>
      <c r="CH69" s="141">
        <f t="shared" si="333"/>
        <v>0</v>
      </c>
      <c r="CI69" s="141">
        <f t="shared" si="333"/>
        <v>0</v>
      </c>
      <c r="CJ69" s="141">
        <f t="shared" si="333"/>
        <v>0</v>
      </c>
      <c r="CK69" s="141">
        <f t="shared" si="333"/>
        <v>0</v>
      </c>
      <c r="CL69" s="141">
        <f t="shared" si="333"/>
        <v>0</v>
      </c>
      <c r="CM69" s="141">
        <f t="shared" si="333"/>
        <v>0</v>
      </c>
      <c r="CN69" s="141">
        <f t="shared" si="333"/>
        <v>0</v>
      </c>
      <c r="CO69" s="141">
        <f t="shared" si="333"/>
        <v>0</v>
      </c>
      <c r="CP69" s="141">
        <f t="shared" si="333"/>
        <v>0</v>
      </c>
      <c r="CQ69" s="141">
        <f t="shared" si="333"/>
        <v>0</v>
      </c>
      <c r="CR69" s="141">
        <f t="shared" si="333"/>
        <v>0</v>
      </c>
      <c r="CS69" s="141">
        <f t="shared" si="333"/>
        <v>0</v>
      </c>
      <c r="CT69" s="141">
        <f t="shared" si="333"/>
        <v>0</v>
      </c>
      <c r="CU69" s="141">
        <f t="shared" si="333"/>
        <v>0</v>
      </c>
      <c r="CV69" s="141">
        <f t="shared" si="333"/>
        <v>0</v>
      </c>
      <c r="CW69" s="142">
        <f t="shared" ref="CW69:DZ69" si="334">EA69*$AH69*$AJ69</f>
        <v>0</v>
      </c>
      <c r="CX69" s="142">
        <f t="shared" si="334"/>
        <v>0</v>
      </c>
      <c r="CY69" s="142">
        <f t="shared" si="334"/>
        <v>0</v>
      </c>
      <c r="CZ69" s="142">
        <f t="shared" si="334"/>
        <v>0</v>
      </c>
      <c r="DA69" s="142">
        <f t="shared" si="334"/>
        <v>0</v>
      </c>
      <c r="DB69" s="142">
        <f t="shared" si="334"/>
        <v>0</v>
      </c>
      <c r="DC69" s="142">
        <f t="shared" si="334"/>
        <v>0</v>
      </c>
      <c r="DD69" s="142">
        <f t="shared" si="334"/>
        <v>0</v>
      </c>
      <c r="DE69" s="142">
        <f t="shared" si="334"/>
        <v>0</v>
      </c>
      <c r="DF69" s="142">
        <f t="shared" si="334"/>
        <v>0</v>
      </c>
      <c r="DG69" s="142">
        <f t="shared" si="334"/>
        <v>0</v>
      </c>
      <c r="DH69" s="142">
        <f t="shared" si="334"/>
        <v>0</v>
      </c>
      <c r="DI69" s="142">
        <f t="shared" si="334"/>
        <v>0</v>
      </c>
      <c r="DJ69" s="142">
        <f t="shared" si="334"/>
        <v>0</v>
      </c>
      <c r="DK69" s="142">
        <f t="shared" si="334"/>
        <v>0</v>
      </c>
      <c r="DL69" s="142">
        <f t="shared" si="334"/>
        <v>0</v>
      </c>
      <c r="DM69" s="142">
        <f t="shared" si="334"/>
        <v>0</v>
      </c>
      <c r="DN69" s="142">
        <f t="shared" si="334"/>
        <v>0</v>
      </c>
      <c r="DO69" s="142">
        <f t="shared" si="334"/>
        <v>0</v>
      </c>
      <c r="DP69" s="142">
        <f t="shared" si="334"/>
        <v>0</v>
      </c>
      <c r="DQ69" s="142">
        <f t="shared" si="334"/>
        <v>0</v>
      </c>
      <c r="DR69" s="142">
        <f t="shared" si="334"/>
        <v>0</v>
      </c>
      <c r="DS69" s="142">
        <f t="shared" si="334"/>
        <v>0</v>
      </c>
      <c r="DT69" s="142">
        <f t="shared" si="334"/>
        <v>0</v>
      </c>
      <c r="DU69" s="142">
        <f t="shared" si="334"/>
        <v>0</v>
      </c>
      <c r="DV69" s="142">
        <f t="shared" si="334"/>
        <v>0</v>
      </c>
      <c r="DW69" s="142">
        <f t="shared" si="334"/>
        <v>0</v>
      </c>
      <c r="DX69" s="142">
        <f t="shared" si="334"/>
        <v>0</v>
      </c>
      <c r="DY69" s="142">
        <f t="shared" si="334"/>
        <v>0</v>
      </c>
      <c r="DZ69" s="142">
        <f t="shared" si="334"/>
        <v>0</v>
      </c>
      <c r="EA69" s="143">
        <f t="shared" si="174"/>
        <v>0</v>
      </c>
      <c r="EB69" s="143">
        <f t="shared" si="175"/>
        <v>0</v>
      </c>
      <c r="EC69" s="143">
        <f t="shared" si="176"/>
        <v>0</v>
      </c>
      <c r="ED69" s="143">
        <f t="shared" si="177"/>
        <v>0</v>
      </c>
      <c r="EE69" s="143">
        <f t="shared" si="178"/>
        <v>0</v>
      </c>
      <c r="EF69" s="143">
        <f t="shared" si="179"/>
        <v>0</v>
      </c>
      <c r="EG69" s="143">
        <f t="shared" si="180"/>
        <v>0</v>
      </c>
      <c r="EH69" s="143">
        <f t="shared" si="181"/>
        <v>0</v>
      </c>
      <c r="EI69" s="143">
        <f t="shared" si="182"/>
        <v>0</v>
      </c>
      <c r="EJ69" s="143">
        <f t="shared" si="183"/>
        <v>0</v>
      </c>
      <c r="EK69" s="143">
        <f t="shared" si="184"/>
        <v>0</v>
      </c>
      <c r="EL69" s="143">
        <f t="shared" si="185"/>
        <v>0</v>
      </c>
      <c r="EM69" s="143">
        <f t="shared" si="186"/>
        <v>0</v>
      </c>
      <c r="EN69" s="143">
        <f t="shared" si="187"/>
        <v>0</v>
      </c>
      <c r="EO69" s="143">
        <f t="shared" si="188"/>
        <v>0</v>
      </c>
      <c r="EP69" s="143">
        <f t="shared" si="189"/>
        <v>0</v>
      </c>
      <c r="EQ69" s="143">
        <f t="shared" si="190"/>
        <v>0</v>
      </c>
      <c r="ER69" s="143">
        <f t="shared" si="191"/>
        <v>0</v>
      </c>
      <c r="ES69" s="143">
        <f t="shared" si="192"/>
        <v>0</v>
      </c>
      <c r="ET69" s="143">
        <f t="shared" si="193"/>
        <v>0</v>
      </c>
      <c r="EU69" s="143">
        <f t="shared" si="194"/>
        <v>0</v>
      </c>
      <c r="EV69" s="143">
        <f t="shared" si="195"/>
        <v>0</v>
      </c>
      <c r="EW69" s="143">
        <f t="shared" si="196"/>
        <v>0</v>
      </c>
      <c r="EX69" s="143">
        <f t="shared" si="197"/>
        <v>0</v>
      </c>
      <c r="EY69" s="143">
        <f t="shared" si="198"/>
        <v>0</v>
      </c>
      <c r="EZ69" s="143">
        <f t="shared" si="199"/>
        <v>0</v>
      </c>
      <c r="FA69" s="143">
        <f t="shared" si="200"/>
        <v>0</v>
      </c>
      <c r="FB69" s="143">
        <f t="shared" si="201"/>
        <v>0</v>
      </c>
      <c r="FC69" s="143">
        <f t="shared" si="202"/>
        <v>0</v>
      </c>
      <c r="FD69" s="143">
        <f t="shared" si="203"/>
        <v>0</v>
      </c>
      <c r="FE69" s="140">
        <f>SUM($D69:D69)*IF($B69="Operacional",IFERROR(VLOOKUP($C69,SN_UGC,28,0),0),1)</f>
        <v>11122</v>
      </c>
      <c r="FF69" s="140">
        <f>SUM($D69:E69)*IF($B69="Operacional",IFERROR(VLOOKUP($C69,SN_UGC,28,0),0),1)</f>
        <v>11122</v>
      </c>
      <c r="FG69" s="140">
        <f>SUM($D69:F69)*IF($B69="Operacional",IFERROR(VLOOKUP($C69,SN_UGC,28,0),0),1)</f>
        <v>11122</v>
      </c>
      <c r="FH69" s="140">
        <f>SUM($D69:G69)*IF($B69="Operacional",IFERROR(VLOOKUP($C69,SN_UGC,28,0),0),1)</f>
        <v>11122</v>
      </c>
      <c r="FI69" s="140">
        <f>SUM($D69:H69)*IF($B69="Operacional",IFERROR(VLOOKUP($C69,SN_UGC,28,0),0),1)</f>
        <v>11122</v>
      </c>
      <c r="FJ69" s="140">
        <f>SUM($D69:I69)*IF($B69="Operacional",IFERROR(VLOOKUP($C69,SN_UGC,28,0),0),1)</f>
        <v>11122</v>
      </c>
      <c r="FK69" s="140">
        <f>SUM($D69:J69)*IF($B69="Operacional",IFERROR(VLOOKUP($C69,SN_UGC,28,0),0),1)</f>
        <v>11122</v>
      </c>
      <c r="FL69" s="140">
        <f>SUM($D69:K69)*IF($B69="Operacional",IFERROR(VLOOKUP($C69,SN_UGC,28,0),0),1)</f>
        <v>11122</v>
      </c>
      <c r="FM69" s="140">
        <f>SUM($D69:L69)*IF($B69="Operacional",IFERROR(VLOOKUP($C69,SN_UGC,28,0),0),1)</f>
        <v>11122</v>
      </c>
      <c r="FN69" s="140">
        <f>SUM($D69:M69)*IF($B69="Operacional",IFERROR(VLOOKUP($C69,SN_UGC,28,0),0),1)</f>
        <v>11122</v>
      </c>
      <c r="FO69" s="140">
        <f>SUM($D69:N69)*IF($B69="Operacional",IFERROR(VLOOKUP($C69,SN_UGC,28,0),0),1)</f>
        <v>11122</v>
      </c>
      <c r="FP69" s="140">
        <f>SUM($D69:O69)*IF($B69="Operacional",IFERROR(VLOOKUP($C69,SN_UGC,28,0),0),1)</f>
        <v>11122</v>
      </c>
      <c r="FQ69" s="140">
        <f>SUM($D69:P69)*IF($B69="Operacional",IFERROR(VLOOKUP($C69,SN_UGC,28,0),0),1)</f>
        <v>11122</v>
      </c>
      <c r="FR69" s="140">
        <f>SUM($D69:Q69)*IF($B69="Operacional",IFERROR(VLOOKUP($C69,SN_UGC,28,0),0),1)</f>
        <v>11122</v>
      </c>
      <c r="FS69" s="140">
        <f>SUM($D69:R69)*IF($B69="Operacional",IFERROR(VLOOKUP($C69,SN_UGC,28,0),0),1)</f>
        <v>11122</v>
      </c>
      <c r="FT69" s="140">
        <f>SUM($D69:S69)*IF($B69="Operacional",IFERROR(VLOOKUP($C69,SN_UGC,28,0),0),1)</f>
        <v>11122</v>
      </c>
      <c r="FU69" s="140">
        <f>SUM($D69:T69)*IF($B69="Operacional",IFERROR(VLOOKUP($C69,SN_UGC,28,0),0),1)</f>
        <v>11122</v>
      </c>
      <c r="FV69" s="140">
        <f>SUM($D69:U69)*IF($B69="Operacional",IFERROR(VLOOKUP($C69,SN_UGC,28,0),0),1)</f>
        <v>11122</v>
      </c>
      <c r="FW69" s="140">
        <f>SUM($D69:V69)*IF($B69="Operacional",IFERROR(VLOOKUP($C69,SN_UGC,28,0),0),1)</f>
        <v>11122</v>
      </c>
      <c r="FX69" s="140">
        <f>SUM($D69:W69)*IF($B69="Operacional",IFERROR(VLOOKUP($C69,SN_UGC,28,0),0),1)</f>
        <v>11122</v>
      </c>
      <c r="FY69" s="140">
        <f>SUM($D69:X69)*IF($B69="Operacional",IFERROR(VLOOKUP($C69,SN_UGC,28,0),0),1)</f>
        <v>11122</v>
      </c>
      <c r="FZ69" s="140">
        <f>SUM($D69:Y69)*IF($B69="Operacional",IFERROR(VLOOKUP($C69,SN_UGC,28,0),0),1)</f>
        <v>11122</v>
      </c>
      <c r="GA69" s="140">
        <f>SUM($D69:Z69)*IF($B69="Operacional",IFERROR(VLOOKUP($C69,SN_UGC,28,0),0),1)</f>
        <v>11122</v>
      </c>
      <c r="GB69" s="140">
        <f>SUM($D69:AA69)*IF($B69="Operacional",IFERROR(VLOOKUP($C69,SN_UGC,28,0),0),1)</f>
        <v>11122</v>
      </c>
      <c r="GC69" s="140">
        <f>SUM($D69:AB69)*IF($B69="Operacional",IFERROR(VLOOKUP($C69,SN_UGC,28,0),0),1)</f>
        <v>11122</v>
      </c>
      <c r="GD69" s="140">
        <f>SUM($D69:AC69)*IF($B69="Operacional",IFERROR(VLOOKUP($C69,SN_UGC,28,0),0),1)</f>
        <v>11122</v>
      </c>
      <c r="GE69" s="140">
        <f>SUM($D69:AD69)*IF($B69="Operacional",IFERROR(VLOOKUP($C69,SN_UGC,28,0),0),1)</f>
        <v>11122</v>
      </c>
      <c r="GF69" s="140">
        <f>SUM($D69:AE69)*IF($B69="Operacional",IFERROR(VLOOKUP($C69,SN_UGC,28,0),0),1)</f>
        <v>11122</v>
      </c>
      <c r="GG69" s="140">
        <f>SUM($D69:AF69)*IF($B69="Operacional",IFERROR(VLOOKUP($C69,SN_UGC,28,0),0),1)</f>
        <v>11122</v>
      </c>
      <c r="GH69" s="140">
        <f>SUM($D69:AG69)*IF($B69="Operacional",IFERROR(VLOOKUP($C69,SN_UGC,28,0),0),1)</f>
        <v>11122</v>
      </c>
      <c r="GI69" s="141">
        <f t="shared" ref="GI69:HL69" si="335">FE69*$AH69*$AL69</f>
        <v>52607.060000000012</v>
      </c>
      <c r="GJ69" s="141">
        <f t="shared" si="335"/>
        <v>52607.060000000012</v>
      </c>
      <c r="GK69" s="141">
        <f t="shared" si="335"/>
        <v>52607.060000000012</v>
      </c>
      <c r="GL69" s="141">
        <f t="shared" si="335"/>
        <v>52607.060000000012</v>
      </c>
      <c r="GM69" s="141">
        <f t="shared" si="335"/>
        <v>52607.060000000012</v>
      </c>
      <c r="GN69" s="141">
        <f t="shared" si="335"/>
        <v>52607.060000000012</v>
      </c>
      <c r="GO69" s="141">
        <f t="shared" si="335"/>
        <v>52607.060000000012</v>
      </c>
      <c r="GP69" s="141">
        <f t="shared" si="335"/>
        <v>52607.060000000012</v>
      </c>
      <c r="GQ69" s="141">
        <f t="shared" si="335"/>
        <v>52607.060000000012</v>
      </c>
      <c r="GR69" s="141">
        <f t="shared" si="335"/>
        <v>52607.060000000012</v>
      </c>
      <c r="GS69" s="141">
        <f t="shared" si="335"/>
        <v>52607.060000000012</v>
      </c>
      <c r="GT69" s="141">
        <f t="shared" si="335"/>
        <v>52607.060000000012</v>
      </c>
      <c r="GU69" s="141">
        <f t="shared" si="335"/>
        <v>52607.060000000012</v>
      </c>
      <c r="GV69" s="141">
        <f t="shared" si="335"/>
        <v>52607.060000000012</v>
      </c>
      <c r="GW69" s="141">
        <f t="shared" si="335"/>
        <v>52607.060000000012</v>
      </c>
      <c r="GX69" s="141">
        <f t="shared" si="335"/>
        <v>52607.060000000012</v>
      </c>
      <c r="GY69" s="141">
        <f t="shared" si="335"/>
        <v>52607.060000000012</v>
      </c>
      <c r="GZ69" s="141">
        <f t="shared" si="335"/>
        <v>52607.060000000012</v>
      </c>
      <c r="HA69" s="141">
        <f t="shared" si="335"/>
        <v>52607.060000000012</v>
      </c>
      <c r="HB69" s="141">
        <f t="shared" si="335"/>
        <v>52607.060000000012</v>
      </c>
      <c r="HC69" s="141">
        <f t="shared" si="335"/>
        <v>52607.060000000012</v>
      </c>
      <c r="HD69" s="141">
        <f t="shared" si="335"/>
        <v>52607.060000000012</v>
      </c>
      <c r="HE69" s="141">
        <f t="shared" si="335"/>
        <v>52607.060000000012</v>
      </c>
      <c r="HF69" s="141">
        <f t="shared" si="335"/>
        <v>52607.060000000012</v>
      </c>
      <c r="HG69" s="141">
        <f t="shared" si="335"/>
        <v>52607.060000000012</v>
      </c>
      <c r="HH69" s="141">
        <f t="shared" si="335"/>
        <v>52607.060000000012</v>
      </c>
      <c r="HI69" s="141">
        <f t="shared" si="335"/>
        <v>52607.060000000012</v>
      </c>
      <c r="HJ69" s="141">
        <f t="shared" si="335"/>
        <v>52607.060000000012</v>
      </c>
      <c r="HK69" s="141">
        <f t="shared" si="335"/>
        <v>52607.060000000012</v>
      </c>
      <c r="HL69" s="141">
        <f t="shared" si="335"/>
        <v>52607.060000000012</v>
      </c>
      <c r="HM69" s="142">
        <f t="shared" ref="HM69:IP69" si="336">IF(ISBLANK($A69),,FE69*($AH69-($AH69*$AJ69))/$AI69)</f>
        <v>0</v>
      </c>
      <c r="HN69" s="142">
        <f t="shared" si="336"/>
        <v>0</v>
      </c>
      <c r="HO69" s="142">
        <f t="shared" si="336"/>
        <v>0</v>
      </c>
      <c r="HP69" s="142">
        <f t="shared" si="336"/>
        <v>0</v>
      </c>
      <c r="HQ69" s="142">
        <f t="shared" si="336"/>
        <v>0</v>
      </c>
      <c r="HR69" s="142">
        <f t="shared" si="336"/>
        <v>0</v>
      </c>
      <c r="HS69" s="142">
        <f t="shared" si="336"/>
        <v>0</v>
      </c>
      <c r="HT69" s="142">
        <f t="shared" si="336"/>
        <v>0</v>
      </c>
      <c r="HU69" s="142">
        <f t="shared" si="336"/>
        <v>0</v>
      </c>
      <c r="HV69" s="142">
        <f t="shared" si="336"/>
        <v>0</v>
      </c>
      <c r="HW69" s="142">
        <f t="shared" si="336"/>
        <v>0</v>
      </c>
      <c r="HX69" s="142">
        <f t="shared" si="336"/>
        <v>0</v>
      </c>
      <c r="HY69" s="142">
        <f t="shared" si="336"/>
        <v>0</v>
      </c>
      <c r="HZ69" s="142">
        <f t="shared" si="336"/>
        <v>0</v>
      </c>
      <c r="IA69" s="142">
        <f t="shared" si="336"/>
        <v>0</v>
      </c>
      <c r="IB69" s="142">
        <f t="shared" si="336"/>
        <v>0</v>
      </c>
      <c r="IC69" s="142">
        <f t="shared" si="336"/>
        <v>0</v>
      </c>
      <c r="ID69" s="142">
        <f t="shared" si="336"/>
        <v>0</v>
      </c>
      <c r="IE69" s="142">
        <f t="shared" si="336"/>
        <v>0</v>
      </c>
      <c r="IF69" s="142">
        <f t="shared" si="336"/>
        <v>0</v>
      </c>
      <c r="IG69" s="142">
        <f t="shared" si="336"/>
        <v>0</v>
      </c>
      <c r="IH69" s="142">
        <f t="shared" si="336"/>
        <v>0</v>
      </c>
      <c r="II69" s="142">
        <f t="shared" si="336"/>
        <v>0</v>
      </c>
      <c r="IJ69" s="142">
        <f t="shared" si="336"/>
        <v>0</v>
      </c>
      <c r="IK69" s="142">
        <f t="shared" si="336"/>
        <v>0</v>
      </c>
      <c r="IL69" s="142">
        <f t="shared" si="336"/>
        <v>0</v>
      </c>
      <c r="IM69" s="142">
        <f t="shared" si="336"/>
        <v>0</v>
      </c>
      <c r="IN69" s="142">
        <f t="shared" si="336"/>
        <v>0</v>
      </c>
      <c r="IO69" s="142">
        <f t="shared" si="336"/>
        <v>0</v>
      </c>
      <c r="IP69" s="142">
        <f t="shared" si="336"/>
        <v>0</v>
      </c>
      <c r="IQ69" s="141">
        <f>IF(ISBLANK($A69),,IF($AN69="Não",0,(SUM($AO69:AO69)*$AH69)-SUM($HM69:HM69)-SUM($CW69:CW69)))</f>
        <v>0</v>
      </c>
      <c r="IR69" s="141">
        <f>IF(ISBLANK($A69),,IF($AN69="Não",0,(SUM($AO69:AP69)*$AH69)-SUM($HM69:HN69)-SUM($CW69:CX69)))</f>
        <v>0</v>
      </c>
      <c r="IS69" s="141">
        <f>IF(ISBLANK($A69),,IF($AN69="Não",0,(SUM($AO69:AQ69)*$AH69)-SUM($HM69:HO69)-SUM($CW69:CY69)))</f>
        <v>0</v>
      </c>
      <c r="IT69" s="141">
        <f>IF(ISBLANK($A69),,IF($AN69="Não",0,(SUM($AO69:AR69)*$AH69)-SUM($HM69:HP69)-SUM($CW69:CZ69)))</f>
        <v>0</v>
      </c>
      <c r="IU69" s="141">
        <f>IF(ISBLANK($A69),,IF($AN69="Não",0,(SUM($AO69:AS69)*$AH69)-SUM($HM69:HQ69)-SUM($CW69:DA69)))</f>
        <v>0</v>
      </c>
      <c r="IV69" s="141">
        <f>IF(ISBLANK($A69),,IF($AN69="Não",0,(SUM($AO69:AT69)*$AH69)-SUM($HM69:HR69)-SUM($CW69:DB69)))</f>
        <v>0</v>
      </c>
      <c r="IW69" s="141">
        <f>IF(ISBLANK($A69),,IF($AN69="Não",0,(SUM($AO69:AU69)*$AH69)-SUM($HM69:HS69)-SUM($CW69:DC69)))</f>
        <v>0</v>
      </c>
      <c r="IX69" s="141">
        <f>IF(ISBLANK($A69),,IF($AN69="Não",0,(SUM($AO69:AV69)*$AH69)-SUM($HM69:HT69)-SUM($CW69:DD69)))</f>
        <v>0</v>
      </c>
      <c r="IY69" s="141">
        <f>IF(ISBLANK($A69),,IF($AN69="Não",0,(SUM($AO69:AW69)*$AH69)-SUM($HM69:HU69)-SUM($CW69:DE69)))</f>
        <v>0</v>
      </c>
      <c r="IZ69" s="141">
        <f>IF(ISBLANK($A69),,IF($AN69="Não",0,(SUM($AO69:AX69)*$AH69)-SUM($HM69:HV69)-SUM($CW69:DF69)))</f>
        <v>0</v>
      </c>
      <c r="JA69" s="141">
        <f>IF(ISBLANK($A69),,IF($AN69="Não",0,(SUM($AO69:AY69)*$AH69)-SUM($HM69:HW69)-SUM($CW69:DG69)))</f>
        <v>0</v>
      </c>
      <c r="JB69" s="141">
        <f>IF(ISBLANK($A69),,IF($AN69="Não",0,(SUM($AO69:AZ69)*$AH69)-SUM($HM69:HX69)-SUM($CW69:DH69)))</f>
        <v>0</v>
      </c>
      <c r="JC69" s="141">
        <f>IF(ISBLANK($A69),,IF($AN69="Não",0,(SUM($AO69:BA69)*$AH69)-SUM($HM69:HY69)-SUM($CW69:DI69)))</f>
        <v>0</v>
      </c>
      <c r="JD69" s="141">
        <f>IF(ISBLANK($A69),,IF($AN69="Não",0,(SUM($AO69:BB69)*$AH69)-SUM($HM69:HZ69)-SUM($CW69:DJ69)))</f>
        <v>0</v>
      </c>
      <c r="JE69" s="141">
        <f>IF(ISBLANK($A69),,IF($AN69="Não",0,(SUM($AO69:BC69)*$AH69)-SUM($HM69:IA69)-SUM($CW69:DK69)))</f>
        <v>0</v>
      </c>
      <c r="JF69" s="141">
        <f>IF(ISBLANK($A69),,IF($AN69="Não",0,(SUM($AO69:BD69)*$AH69)-SUM($HM69:IB69)-SUM($CW69:DL69)))</f>
        <v>0</v>
      </c>
      <c r="JG69" s="141">
        <f>IF(ISBLANK($A69),,IF($AN69="Não",0,(SUM($AO69:BE69)*$AH69)-SUM($HM69:IC69)-SUM($CW69:DM69)))</f>
        <v>0</v>
      </c>
      <c r="JH69" s="141">
        <f>IF(ISBLANK($A69),,IF($AN69="Não",0,(SUM($AO69:BF69)*$AH69)-SUM($HM69:ID69)-SUM($CW69:DN69)))</f>
        <v>0</v>
      </c>
      <c r="JI69" s="141">
        <f>IF(ISBLANK($A69),,IF($AN69="Não",0,(SUM($AO69:BG69)*$AH69)-SUM($HM69:IE69)-SUM($CW69:DO69)))</f>
        <v>0</v>
      </c>
      <c r="JJ69" s="141">
        <f>IF(ISBLANK($A69),,IF($AN69="Não",0,(SUM($AO69:BH69)*$AH69)-SUM($HM69:IF69)-SUM($CW69:DP69)))</f>
        <v>0</v>
      </c>
      <c r="JK69" s="141">
        <f>IF(ISBLANK($A69),,IF($AN69="Não",0,(SUM($AO69:BI69)*$AH69)-SUM($HM69:IG69)-SUM($CW69:DQ69)))</f>
        <v>0</v>
      </c>
      <c r="JL69" s="141">
        <f>IF(ISBLANK($A69),,IF($AN69="Não",0,(SUM($AO69:BJ69)*$AH69)-SUM($HM69:IH69)-SUM($CW69:DR69)))</f>
        <v>0</v>
      </c>
      <c r="JM69" s="141">
        <f>IF(ISBLANK($A69),,IF($AN69="Não",0,(SUM($AO69:BK69)*$AH69)-SUM($HM69:II69)-SUM($CW69:DS69)))</f>
        <v>0</v>
      </c>
      <c r="JN69" s="141">
        <f>IF(ISBLANK($A69),,IF($AN69="Não",0,(SUM($AO69:BL69)*$AH69)-SUM($HM69:IJ69)-SUM($CW69:DT69)))</f>
        <v>0</v>
      </c>
      <c r="JO69" s="141">
        <f>IF(ISBLANK($A69),,IF($AN69="Não",0,(SUM($AO69:BM69)*$AH69)-SUM($HM69:IK69)-SUM($CW69:DU69)))</f>
        <v>0</v>
      </c>
      <c r="JP69" s="141">
        <f>IF(ISBLANK($A69),,IF($AN69="Não",0,(SUM($AO69:BN69)*$AH69)-SUM($HM69:IL69)-SUM($CW69:DV69)))</f>
        <v>0</v>
      </c>
      <c r="JQ69" s="141">
        <f>IF(ISBLANK($A69),,IF($AN69="Não",0,(SUM($AO69:BO69)*$AH69)-SUM($HM69:IM69)-SUM($CW69:DW69)))</f>
        <v>0</v>
      </c>
      <c r="JR69" s="141">
        <f>IF(ISBLANK($A69),,IF($AN69="Não",0,(SUM($AO69:BP69)*$AH69)-SUM($HM69:IN69)-SUM($CW69:DX69)))</f>
        <v>0</v>
      </c>
      <c r="JS69" s="141">
        <f>IF(ISBLANK($A69),,IF($AN69="Não",0,(SUM($AO69:BQ69)*$AH69)-SUM($HM69:IO69)-SUM($CW69:DY69)))</f>
        <v>0</v>
      </c>
      <c r="JT69" s="141">
        <f>IF(ISBLANK($A69),,IF($AN69="Não",0,(SUM($AO69:BR69)*$AH69)-SUM($HM69:IP69)-SUM($CW69:DZ69)))</f>
        <v>0</v>
      </c>
    </row>
    <row r="70" spans="1:280" ht="15.75" customHeight="1">
      <c r="A70" s="129" t="s">
        <v>352</v>
      </c>
      <c r="B70" s="129" t="s">
        <v>209</v>
      </c>
      <c r="C70" s="138" t="s">
        <v>95</v>
      </c>
      <c r="D70" s="139">
        <v>44</v>
      </c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  <c r="AA70" s="139"/>
      <c r="AB70" s="139"/>
      <c r="AC70" s="139"/>
      <c r="AD70" s="139"/>
      <c r="AE70" s="139"/>
      <c r="AF70" s="139"/>
      <c r="AG70" s="139"/>
      <c r="AH70" s="607">
        <f t="shared" si="286"/>
        <v>2372.59</v>
      </c>
      <c r="AI70" s="608">
        <f t="shared" si="287"/>
        <v>30</v>
      </c>
      <c r="AJ70" s="609">
        <f t="shared" si="288"/>
        <v>0</v>
      </c>
      <c r="AK70" s="610" t="str">
        <f t="shared" si="289"/>
        <v>Edificações</v>
      </c>
      <c r="AL70" s="609">
        <f t="shared" si="290"/>
        <v>0.05</v>
      </c>
      <c r="AM70" s="611" t="str">
        <f t="shared" si="291"/>
        <v>Sim</v>
      </c>
      <c r="AN70" s="611" t="str">
        <f t="shared" si="292"/>
        <v>Não</v>
      </c>
      <c r="AO70" s="140">
        <f t="array" ref="AO70">IF(ISBLANK($A70),0,IF(OR(AO$5-$AI70&lt;=0,$AM70="Não"),D70,D70+INDEX($AO$6:$BR$176,ROW()-5,COLUMN()-40-$AI70)))*IF($B70="Operacional",IFERROR(VLOOKUP($C70,SN_UGC,28,0),0),1)</f>
        <v>44</v>
      </c>
      <c r="AP70" s="140">
        <f t="array" ref="AP70">IF(ISBLANK($A70),0,IF(OR(AP$5-$AI70&lt;=0,$AM70="Não"),E70,E70+INDEX($AO$6:$BR$176,ROW()-5,COLUMN()-40-$AI70)))*IF($B70="Operacional",IFERROR(VLOOKUP($C70,SN_UGC,28,0),0),1)</f>
        <v>0</v>
      </c>
      <c r="AQ70" s="140">
        <f t="array" ref="AQ70">IF(ISBLANK($A70),0,IF(OR(AQ$5-$AI70&lt;=0,$AM70="Não"),F70,F70+INDEX($AO$6:$BR$176,ROW()-5,COLUMN()-40-$AI70)))*IF($B70="Operacional",IFERROR(VLOOKUP($C70,SN_UGC,28,0),0),1)</f>
        <v>0</v>
      </c>
      <c r="AR70" s="140">
        <f t="array" ref="AR70">IF(ISBLANK($A70),0,IF(OR(AR$5-$AI70&lt;=0,$AM70="Não"),G70,G70+INDEX($AO$6:$BR$176,ROW()-5,COLUMN()-40-$AI70)))*IF($B70="Operacional",IFERROR(VLOOKUP($C70,SN_UGC,28,0),0),1)</f>
        <v>0</v>
      </c>
      <c r="AS70" s="140">
        <f t="array" ref="AS70">IF(ISBLANK($A70),0,IF(OR(AS$5-$AI70&lt;=0,$AM70="Não"),H70,H70+INDEX($AO$6:$BR$176,ROW()-5,COLUMN()-40-$AI70)))*IF($B70="Operacional",IFERROR(VLOOKUP($C70,SN_UGC,28,0),0),1)</f>
        <v>0</v>
      </c>
      <c r="AT70" s="140">
        <f t="array" ref="AT70">IF(ISBLANK($A70),0,IF(OR(AT$5-$AI70&lt;=0,$AM70="Não"),I70,I70+INDEX($AO$6:$BR$176,ROW()-5,COLUMN()-40-$AI70)))*IF($B70="Operacional",IFERROR(VLOOKUP($C70,SN_UGC,28,0),0),1)</f>
        <v>0</v>
      </c>
      <c r="AU70" s="140">
        <f t="array" ref="AU70">IF(ISBLANK($A70),0,IF(OR(AU$5-$AI70&lt;=0,$AM70="Não"),J70,J70+INDEX($AO$6:$BR$176,ROW()-5,COLUMN()-40-$AI70)))*IF($B70="Operacional",IFERROR(VLOOKUP($C70,SN_UGC,28,0),0),1)</f>
        <v>0</v>
      </c>
      <c r="AV70" s="140">
        <f t="array" ref="AV70">IF(ISBLANK($A70),0,IF(OR(AV$5-$AI70&lt;=0,$AM70="Não"),K70,K70+INDEX($AO$6:$BR$176,ROW()-5,COLUMN()-40-$AI70)))*IF($B70="Operacional",IFERROR(VLOOKUP($C70,SN_UGC,28,0),0),1)</f>
        <v>0</v>
      </c>
      <c r="AW70" s="140">
        <f t="array" ref="AW70">IF(ISBLANK($A70),0,IF(OR(AW$5-$AI70&lt;=0,$AM70="Não"),L70,L70+INDEX($AO$6:$BR$176,ROW()-5,COLUMN()-40-$AI70)))*IF($B70="Operacional",IFERROR(VLOOKUP($C70,SN_UGC,28,0),0),1)</f>
        <v>0</v>
      </c>
      <c r="AX70" s="140">
        <f t="array" ref="AX70">IF(ISBLANK($A70),0,IF(OR(AX$5-$AI70&lt;=0,$AM70="Não"),M70,M70+INDEX($AO$6:$BR$176,ROW()-5,COLUMN()-40-$AI70)))*IF($B70="Operacional",IFERROR(VLOOKUP($C70,SN_UGC,28,0),0),1)</f>
        <v>0</v>
      </c>
      <c r="AY70" s="140">
        <f t="array" ref="AY70">IF(ISBLANK($A70),0,IF(OR(AY$5-$AI70&lt;=0,$AM70="Não"),N70,N70+INDEX($AO$6:$BR$176,ROW()-5,COLUMN()-40-$AI70)))*IF($B70="Operacional",IFERROR(VLOOKUP($C70,SN_UGC,28,0),0),1)</f>
        <v>0</v>
      </c>
      <c r="AZ70" s="140">
        <f t="array" ref="AZ70">IF(ISBLANK($A70),0,IF(OR(AZ$5-$AI70&lt;=0,$AM70="Não"),O70,O70+INDEX($AO$6:$BR$176,ROW()-5,COLUMN()-40-$AI70)))*IF($B70="Operacional",IFERROR(VLOOKUP($C70,SN_UGC,28,0),0),1)</f>
        <v>0</v>
      </c>
      <c r="BA70" s="140">
        <f t="array" ref="BA70">IF(ISBLANK($A70),0,IF(OR(BA$5-$AI70&lt;=0,$AM70="Não"),P70,P70+INDEX($AO$6:$BR$176,ROW()-5,COLUMN()-40-$AI70)))*IF($B70="Operacional",IFERROR(VLOOKUP($C70,SN_UGC,28,0),0),1)</f>
        <v>0</v>
      </c>
      <c r="BB70" s="140">
        <f t="array" ref="BB70">IF(ISBLANK($A70),0,IF(OR(BB$5-$AI70&lt;=0,$AM70="Não"),Q70,Q70+INDEX($AO$6:$BR$176,ROW()-5,COLUMN()-40-$AI70)))*IF($B70="Operacional",IFERROR(VLOOKUP($C70,SN_UGC,28,0),0),1)</f>
        <v>0</v>
      </c>
      <c r="BC70" s="140">
        <f t="array" ref="BC70">IF(ISBLANK($A70),0,IF(OR(BC$5-$AI70&lt;=0,$AM70="Não"),R70,R70+INDEX($AO$6:$BR$176,ROW()-5,COLUMN()-40-$AI70)))*IF($B70="Operacional",IFERROR(VLOOKUP($C70,SN_UGC,28,0),0),1)</f>
        <v>0</v>
      </c>
      <c r="BD70" s="140">
        <f t="array" ref="BD70">IF(ISBLANK($A70),0,IF(OR(BD$5-$AI70&lt;=0,$AM70="Não"),S70,S70+INDEX($AO$6:$BR$176,ROW()-5,COLUMN()-40-$AI70)))*IF($B70="Operacional",IFERROR(VLOOKUP($C70,SN_UGC,28,0),0),1)</f>
        <v>0</v>
      </c>
      <c r="BE70" s="140">
        <f t="array" ref="BE70">IF(ISBLANK($A70),0,IF(OR(BE$5-$AI70&lt;=0,$AM70="Não"),T70,T70+INDEX($AO$6:$BR$176,ROW()-5,COLUMN()-40-$AI70)))*IF($B70="Operacional",IFERROR(VLOOKUP($C70,SN_UGC,28,0),0),1)</f>
        <v>0</v>
      </c>
      <c r="BF70" s="140">
        <f t="array" ref="BF70">IF(ISBLANK($A70),0,IF(OR(BF$5-$AI70&lt;=0,$AM70="Não"),U70,U70+INDEX($AO$6:$BR$176,ROW()-5,COLUMN()-40-$AI70)))*IF($B70="Operacional",IFERROR(VLOOKUP($C70,SN_UGC,28,0),0),1)</f>
        <v>0</v>
      </c>
      <c r="BG70" s="140">
        <f t="array" ref="BG70">IF(ISBLANK($A70),0,IF(OR(BG$5-$AI70&lt;=0,$AM70="Não"),V70,V70+INDEX($AO$6:$BR$176,ROW()-5,COLUMN()-40-$AI70)))*IF($B70="Operacional",IFERROR(VLOOKUP($C70,SN_UGC,28,0),0),1)</f>
        <v>0</v>
      </c>
      <c r="BH70" s="140">
        <f t="array" ref="BH70">IF(ISBLANK($A70),0,IF(OR(BH$5-$AI70&lt;=0,$AM70="Não"),W70,W70+INDEX($AO$6:$BR$176,ROW()-5,COLUMN()-40-$AI70)))*IF($B70="Operacional",IFERROR(VLOOKUP($C70,SN_UGC,28,0),0),1)</f>
        <v>0</v>
      </c>
      <c r="BI70" s="140">
        <f t="array" ref="BI70">IF(ISBLANK($A70),0,IF(OR(BI$5-$AI70&lt;=0,$AM70="Não"),X70,X70+INDEX($AO$6:$BR$176,ROW()-5,COLUMN()-40-$AI70)))*IF($B70="Operacional",IFERROR(VLOOKUP($C70,SN_UGC,28,0),0),1)</f>
        <v>0</v>
      </c>
      <c r="BJ70" s="140">
        <f t="array" ref="BJ70">IF(ISBLANK($A70),0,IF(OR(BJ$5-$AI70&lt;=0,$AM70="Não"),Y70,Y70+INDEX($AO$6:$BR$176,ROW()-5,COLUMN()-40-$AI70)))*IF($B70="Operacional",IFERROR(VLOOKUP($C70,SN_UGC,28,0),0),1)</f>
        <v>0</v>
      </c>
      <c r="BK70" s="140">
        <f t="array" ref="BK70">IF(ISBLANK($A70),0,IF(OR(BK$5-$AI70&lt;=0,$AM70="Não"),Z70,Z70+INDEX($AO$6:$BR$176,ROW()-5,COLUMN()-40-$AI70)))*IF($B70="Operacional",IFERROR(VLOOKUP($C70,SN_UGC,28,0),0),1)</f>
        <v>0</v>
      </c>
      <c r="BL70" s="140">
        <f t="array" ref="BL70">IF(ISBLANK($A70),0,IF(OR(BL$5-$AI70&lt;=0,$AM70="Não"),AA70,AA70+INDEX($AO$6:$BR$176,ROW()-5,COLUMN()-40-$AI70)))*IF($B70="Operacional",IFERROR(VLOOKUP($C70,SN_UGC,28,0),0),1)</f>
        <v>0</v>
      </c>
      <c r="BM70" s="140">
        <f t="array" ref="BM70">IF(ISBLANK($A70),0,IF(OR(BM$5-$AI70&lt;=0,$AM70="Não"),AB70,AB70+INDEX($AO$6:$BR$176,ROW()-5,COLUMN()-40-$AI70)))*IF($B70="Operacional",IFERROR(VLOOKUP($C70,SN_UGC,28,0),0),1)</f>
        <v>0</v>
      </c>
      <c r="BN70" s="140">
        <f t="array" ref="BN70">IF(ISBLANK($A70),0,IF(OR(BN$5-$AI70&lt;=0,$AM70="Não"),AC70,AC70+INDEX($AO$6:$BR$176,ROW()-5,COLUMN()-40-$AI70)))*IF($B70="Operacional",IFERROR(VLOOKUP($C70,SN_UGC,28,0),0),1)</f>
        <v>0</v>
      </c>
      <c r="BO70" s="140">
        <f t="array" ref="BO70">IF(ISBLANK($A70),0,IF(OR(BO$5-$AI70&lt;=0,$AM70="Não"),AD70,AD70+INDEX($AO$6:$BR$176,ROW()-5,COLUMN()-40-$AI70)))*IF($B70="Operacional",IFERROR(VLOOKUP($C70,SN_UGC,28,0),0),1)</f>
        <v>0</v>
      </c>
      <c r="BP70" s="140">
        <f t="array" ref="BP70">IF(ISBLANK($A70),0,IF(OR(BP$5-$AI70&lt;=0,$AM70="Não"),AE70,AE70+INDEX($AO$6:$BR$176,ROW()-5,COLUMN()-40-$AI70)))*IF($B70="Operacional",IFERROR(VLOOKUP($C70,SN_UGC,28,0),0),1)</f>
        <v>0</v>
      </c>
      <c r="BQ70" s="140">
        <f t="array" ref="BQ70">IF(ISBLANK($A70),0,IF(OR(BQ$5-$AI70&lt;=0,$AM70="Não"),AF70,AF70+INDEX($AO$6:$BR$176,ROW()-5,COLUMN()-40-$AI70)))*IF($B70="Operacional",IFERROR(VLOOKUP($C70,SN_UGC,28,0),0),1)</f>
        <v>0</v>
      </c>
      <c r="BR70" s="140">
        <f t="array" ref="BR70">IF(ISBLANK($A70),0,IF(OR(BR$5-$AI70&lt;=0,$AM70="Não"),AG70,AG70+INDEX($AO$6:$BR$176,ROW()-5,COLUMN()-40-$AI70)))*IF($B70="Operacional",IFERROR(VLOOKUP($C70,SN_UGC,28,0),0),1)</f>
        <v>0</v>
      </c>
      <c r="BS70" s="141">
        <f t="shared" ref="BS70:CV70" si="337">IF(ISBLANK($A70),0,$AH70*AO70)</f>
        <v>104393.96</v>
      </c>
      <c r="BT70" s="141">
        <f t="shared" si="337"/>
        <v>0</v>
      </c>
      <c r="BU70" s="141">
        <f t="shared" si="337"/>
        <v>0</v>
      </c>
      <c r="BV70" s="141">
        <f t="shared" si="337"/>
        <v>0</v>
      </c>
      <c r="BW70" s="141">
        <f t="shared" si="337"/>
        <v>0</v>
      </c>
      <c r="BX70" s="141">
        <f t="shared" si="337"/>
        <v>0</v>
      </c>
      <c r="BY70" s="141">
        <f t="shared" si="337"/>
        <v>0</v>
      </c>
      <c r="BZ70" s="141">
        <f t="shared" si="337"/>
        <v>0</v>
      </c>
      <c r="CA70" s="141">
        <f t="shared" si="337"/>
        <v>0</v>
      </c>
      <c r="CB70" s="141">
        <f t="shared" si="337"/>
        <v>0</v>
      </c>
      <c r="CC70" s="141">
        <f t="shared" si="337"/>
        <v>0</v>
      </c>
      <c r="CD70" s="141">
        <f t="shared" si="337"/>
        <v>0</v>
      </c>
      <c r="CE70" s="141">
        <f t="shared" si="337"/>
        <v>0</v>
      </c>
      <c r="CF70" s="141">
        <f t="shared" si="337"/>
        <v>0</v>
      </c>
      <c r="CG70" s="141">
        <f t="shared" si="337"/>
        <v>0</v>
      </c>
      <c r="CH70" s="141">
        <f t="shared" si="337"/>
        <v>0</v>
      </c>
      <c r="CI70" s="141">
        <f t="shared" si="337"/>
        <v>0</v>
      </c>
      <c r="CJ70" s="141">
        <f t="shared" si="337"/>
        <v>0</v>
      </c>
      <c r="CK70" s="141">
        <f t="shared" si="337"/>
        <v>0</v>
      </c>
      <c r="CL70" s="141">
        <f t="shared" si="337"/>
        <v>0</v>
      </c>
      <c r="CM70" s="141">
        <f t="shared" si="337"/>
        <v>0</v>
      </c>
      <c r="CN70" s="141">
        <f t="shared" si="337"/>
        <v>0</v>
      </c>
      <c r="CO70" s="141">
        <f t="shared" si="337"/>
        <v>0</v>
      </c>
      <c r="CP70" s="141">
        <f t="shared" si="337"/>
        <v>0</v>
      </c>
      <c r="CQ70" s="141">
        <f t="shared" si="337"/>
        <v>0</v>
      </c>
      <c r="CR70" s="141">
        <f t="shared" si="337"/>
        <v>0</v>
      </c>
      <c r="CS70" s="141">
        <f t="shared" si="337"/>
        <v>0</v>
      </c>
      <c r="CT70" s="141">
        <f t="shared" si="337"/>
        <v>0</v>
      </c>
      <c r="CU70" s="141">
        <f t="shared" si="337"/>
        <v>0</v>
      </c>
      <c r="CV70" s="141">
        <f t="shared" si="337"/>
        <v>0</v>
      </c>
      <c r="CW70" s="142">
        <f t="shared" ref="CW70:DZ70" si="338">EA70*$AH70*$AJ70</f>
        <v>0</v>
      </c>
      <c r="CX70" s="142">
        <f t="shared" si="338"/>
        <v>0</v>
      </c>
      <c r="CY70" s="142">
        <f t="shared" si="338"/>
        <v>0</v>
      </c>
      <c r="CZ70" s="142">
        <f t="shared" si="338"/>
        <v>0</v>
      </c>
      <c r="DA70" s="142">
        <f t="shared" si="338"/>
        <v>0</v>
      </c>
      <c r="DB70" s="142">
        <f t="shared" si="338"/>
        <v>0</v>
      </c>
      <c r="DC70" s="142">
        <f t="shared" si="338"/>
        <v>0</v>
      </c>
      <c r="DD70" s="142">
        <f t="shared" si="338"/>
        <v>0</v>
      </c>
      <c r="DE70" s="142">
        <f t="shared" si="338"/>
        <v>0</v>
      </c>
      <c r="DF70" s="142">
        <f t="shared" si="338"/>
        <v>0</v>
      </c>
      <c r="DG70" s="142">
        <f t="shared" si="338"/>
        <v>0</v>
      </c>
      <c r="DH70" s="142">
        <f t="shared" si="338"/>
        <v>0</v>
      </c>
      <c r="DI70" s="142">
        <f t="shared" si="338"/>
        <v>0</v>
      </c>
      <c r="DJ70" s="142">
        <f t="shared" si="338"/>
        <v>0</v>
      </c>
      <c r="DK70" s="142">
        <f t="shared" si="338"/>
        <v>0</v>
      </c>
      <c r="DL70" s="142">
        <f t="shared" si="338"/>
        <v>0</v>
      </c>
      <c r="DM70" s="142">
        <f t="shared" si="338"/>
        <v>0</v>
      </c>
      <c r="DN70" s="142">
        <f t="shared" si="338"/>
        <v>0</v>
      </c>
      <c r="DO70" s="142">
        <f t="shared" si="338"/>
        <v>0</v>
      </c>
      <c r="DP70" s="142">
        <f t="shared" si="338"/>
        <v>0</v>
      </c>
      <c r="DQ70" s="142">
        <f t="shared" si="338"/>
        <v>0</v>
      </c>
      <c r="DR70" s="142">
        <f t="shared" si="338"/>
        <v>0</v>
      </c>
      <c r="DS70" s="142">
        <f t="shared" si="338"/>
        <v>0</v>
      </c>
      <c r="DT70" s="142">
        <f t="shared" si="338"/>
        <v>0</v>
      </c>
      <c r="DU70" s="142">
        <f t="shared" si="338"/>
        <v>0</v>
      </c>
      <c r="DV70" s="142">
        <f t="shared" si="338"/>
        <v>0</v>
      </c>
      <c r="DW70" s="142">
        <f t="shared" si="338"/>
        <v>0</v>
      </c>
      <c r="DX70" s="142">
        <f t="shared" si="338"/>
        <v>0</v>
      </c>
      <c r="DY70" s="142">
        <f t="shared" si="338"/>
        <v>0</v>
      </c>
      <c r="DZ70" s="142">
        <f t="shared" si="338"/>
        <v>0</v>
      </c>
      <c r="EA70" s="143">
        <f t="shared" ref="EA70:EA101" si="339">IF(OR(EA$5-$AI70&lt;=0,ISBLANK($A70)),0,INDEX($AO$6:$BR$176,ROW()-5,COLUMN(AP70)-41-$AI70))</f>
        <v>0</v>
      </c>
      <c r="EB70" s="143">
        <f t="shared" ref="EB70:EB101" si="340">IF(OR(EB$5-$AI70&lt;=0,ISBLANK($A70)),0,INDEX($AO$6:$BR$176,ROW()-5,COLUMN(AQ70)-41-$AI70))</f>
        <v>0</v>
      </c>
      <c r="EC70" s="143">
        <f t="shared" ref="EC70:EC101" si="341">IF(OR(EC$5-$AI70&lt;=0,ISBLANK($A70)),0,INDEX($AO$6:$BR$176,ROW()-5,COLUMN(AR70)-41-$AI70))</f>
        <v>0</v>
      </c>
      <c r="ED70" s="143">
        <f t="shared" ref="ED70:ED101" si="342">IF(OR(ED$5-$AI70&lt;=0,ISBLANK($A70)),0,INDEX($AO$6:$BR$176,ROW()-5,COLUMN(AS70)-41-$AI70))</f>
        <v>0</v>
      </c>
      <c r="EE70" s="143">
        <f t="shared" ref="EE70:EE101" si="343">IF(OR(EE$5-$AI70&lt;=0,ISBLANK($A70)),0,INDEX($AO$6:$BR$176,ROW()-5,COLUMN(AT70)-41-$AI70))</f>
        <v>0</v>
      </c>
      <c r="EF70" s="143">
        <f t="shared" ref="EF70:EF101" si="344">IF(OR(EF$5-$AI70&lt;=0,ISBLANK($A70)),0,INDEX($AO$6:$BR$176,ROW()-5,COLUMN(AU70)-41-$AI70))</f>
        <v>0</v>
      </c>
      <c r="EG70" s="143">
        <f t="shared" ref="EG70:EG101" si="345">IF(OR(EG$5-$AI70&lt;=0,ISBLANK($A70)),0,INDEX($AO$6:$BR$176,ROW()-5,COLUMN(AV70)-41-$AI70))</f>
        <v>0</v>
      </c>
      <c r="EH70" s="143">
        <f t="shared" ref="EH70:EH101" si="346">IF(OR(EH$5-$AI70&lt;=0,ISBLANK($A70)),0,INDEX($AO$6:$BR$176,ROW()-5,COLUMN(AW70)-41-$AI70))</f>
        <v>0</v>
      </c>
      <c r="EI70" s="143">
        <f t="shared" ref="EI70:EI101" si="347">IF(OR(EI$5-$AI70&lt;=0,ISBLANK($A70)),0,INDEX($AO$6:$BR$176,ROW()-5,COLUMN(AX70)-41-$AI70))</f>
        <v>0</v>
      </c>
      <c r="EJ70" s="143">
        <f t="shared" ref="EJ70:EJ101" si="348">IF(OR(EJ$5-$AI70&lt;=0,ISBLANK($A70)),0,INDEX($AO$6:$BR$176,ROW()-5,COLUMN(AY70)-41-$AI70))</f>
        <v>0</v>
      </c>
      <c r="EK70" s="143">
        <f t="shared" ref="EK70:EK101" si="349">IF(OR(EK$5-$AI70&lt;=0,ISBLANK($A70)),0,INDEX($AO$6:$BR$176,ROW()-5,COLUMN(AZ70)-41-$AI70))</f>
        <v>0</v>
      </c>
      <c r="EL70" s="143">
        <f t="shared" ref="EL70:EL101" si="350">IF(OR(EL$5-$AI70&lt;=0,ISBLANK($A70)),0,INDEX($AO$6:$BR$176,ROW()-5,COLUMN(BA70)-41-$AI70))</f>
        <v>0</v>
      </c>
      <c r="EM70" s="143">
        <f t="shared" ref="EM70:EM101" si="351">IF(OR(EM$5-$AI70&lt;=0,ISBLANK($A70)),0,INDEX($AO$6:$BR$176,ROW()-5,COLUMN(BB70)-41-$AI70))</f>
        <v>0</v>
      </c>
      <c r="EN70" s="143">
        <f t="shared" ref="EN70:EN101" si="352">IF(OR(EN$5-$AI70&lt;=0,ISBLANK($A70)),0,INDEX($AO$6:$BR$176,ROW()-5,COLUMN(BC70)-41-$AI70))</f>
        <v>0</v>
      </c>
      <c r="EO70" s="143">
        <f t="shared" ref="EO70:EO101" si="353">IF(OR(EO$5-$AI70&lt;=0,ISBLANK($A70)),0,INDEX($AO$6:$BR$176,ROW()-5,COLUMN(BD70)-41-$AI70))</f>
        <v>0</v>
      </c>
      <c r="EP70" s="143">
        <f t="shared" ref="EP70:EP101" si="354">IF(OR(EP$5-$AI70&lt;=0,ISBLANK($A70)),0,INDEX($AO$6:$BR$176,ROW()-5,COLUMN(BE70)-41-$AI70))</f>
        <v>0</v>
      </c>
      <c r="EQ70" s="143">
        <f t="shared" ref="EQ70:EQ101" si="355">IF(OR(EQ$5-$AI70&lt;=0,ISBLANK($A70)),0,INDEX($AO$6:$BR$176,ROW()-5,COLUMN(BF70)-41-$AI70))</f>
        <v>0</v>
      </c>
      <c r="ER70" s="143">
        <f t="shared" ref="ER70:ER101" si="356">IF(OR(ER$5-$AI70&lt;=0,ISBLANK($A70)),0,INDEX($AO$6:$BR$176,ROW()-5,COLUMN(BG70)-41-$AI70))</f>
        <v>0</v>
      </c>
      <c r="ES70" s="143">
        <f t="shared" ref="ES70:ES101" si="357">IF(OR(ES$5-$AI70&lt;=0,ISBLANK($A70)),0,INDEX($AO$6:$BR$176,ROW()-5,COLUMN(BH70)-41-$AI70))</f>
        <v>0</v>
      </c>
      <c r="ET70" s="143">
        <f t="shared" ref="ET70:ET101" si="358">IF(OR(ET$5-$AI70&lt;=0,ISBLANK($A70)),0,INDEX($AO$6:$BR$176,ROW()-5,COLUMN(BI70)-41-$AI70))</f>
        <v>0</v>
      </c>
      <c r="EU70" s="143">
        <f t="shared" ref="EU70:EU101" si="359">IF(OR(EU$5-$AI70&lt;=0,ISBLANK($A70)),0,INDEX($AO$6:$BR$176,ROW()-5,COLUMN(BJ70)-41-$AI70))</f>
        <v>0</v>
      </c>
      <c r="EV70" s="143">
        <f t="shared" ref="EV70:EV101" si="360">IF(OR(EV$5-$AI70&lt;=0,ISBLANK($A70)),0,INDEX($AO$6:$BR$176,ROW()-5,COLUMN(BK70)-41-$AI70))</f>
        <v>0</v>
      </c>
      <c r="EW70" s="143">
        <f t="shared" ref="EW70:EW101" si="361">IF(OR(EW$5-$AI70&lt;=0,ISBLANK($A70)),0,INDEX($AO$6:$BR$176,ROW()-5,COLUMN(BL70)-41-$AI70))</f>
        <v>0</v>
      </c>
      <c r="EX70" s="143">
        <f t="shared" ref="EX70:EX101" si="362">IF(OR(EX$5-$AI70&lt;=0,ISBLANK($A70)),0,INDEX($AO$6:$BR$176,ROW()-5,COLUMN(BM70)-41-$AI70))</f>
        <v>0</v>
      </c>
      <c r="EY70" s="143">
        <f t="shared" ref="EY70:EY101" si="363">IF(OR(EY$5-$AI70&lt;=0,ISBLANK($A70)),0,INDEX($AO$6:$BR$176,ROW()-5,COLUMN(BN70)-41-$AI70))</f>
        <v>0</v>
      </c>
      <c r="EZ70" s="143">
        <f t="shared" ref="EZ70:EZ101" si="364">IF(OR(EZ$5-$AI70&lt;=0,ISBLANK($A70)),0,INDEX($AO$6:$BR$176,ROW()-5,COLUMN(BO70)-41-$AI70))</f>
        <v>0</v>
      </c>
      <c r="FA70" s="143">
        <f t="shared" ref="FA70:FA101" si="365">IF(OR(FA$5-$AI70&lt;=0,ISBLANK($A70)),0,INDEX($AO$6:$BR$176,ROW()-5,COLUMN(BP70)-41-$AI70))</f>
        <v>0</v>
      </c>
      <c r="FB70" s="143">
        <f t="shared" ref="FB70:FB101" si="366">IF(OR(FB$5-$AI70&lt;=0,ISBLANK($A70)),0,INDEX($AO$6:$BR$176,ROW()-5,COLUMN(BQ70)-41-$AI70))</f>
        <v>0</v>
      </c>
      <c r="FC70" s="143">
        <f t="shared" ref="FC70:FC101" si="367">IF(OR(FC$5-$AI70&lt;=0,ISBLANK($A70)),0,INDEX($AO$6:$BR$176,ROW()-5,COLUMN(BR70)-41-$AI70))</f>
        <v>0</v>
      </c>
      <c r="FD70" s="143">
        <f t="shared" ref="FD70:FD101" si="368">IF(OR(FD$5-$AI70&lt;=0,ISBLANK($A70)),0,INDEX($AO$6:$BR$176,ROW()-5,COLUMN(BS70)-41-$AI70))</f>
        <v>0</v>
      </c>
      <c r="FE70" s="140">
        <f>SUM($D70:D70)*IF($B70="Operacional",IFERROR(VLOOKUP($C70,SN_UGC,28,0),0),1)</f>
        <v>44</v>
      </c>
      <c r="FF70" s="140">
        <f>SUM($D70:E70)*IF($B70="Operacional",IFERROR(VLOOKUP($C70,SN_UGC,28,0),0),1)</f>
        <v>44</v>
      </c>
      <c r="FG70" s="140">
        <f>SUM($D70:F70)*IF($B70="Operacional",IFERROR(VLOOKUP($C70,SN_UGC,28,0),0),1)</f>
        <v>44</v>
      </c>
      <c r="FH70" s="140">
        <f>SUM($D70:G70)*IF($B70="Operacional",IFERROR(VLOOKUP($C70,SN_UGC,28,0),0),1)</f>
        <v>44</v>
      </c>
      <c r="FI70" s="140">
        <f>SUM($D70:H70)*IF($B70="Operacional",IFERROR(VLOOKUP($C70,SN_UGC,28,0),0),1)</f>
        <v>44</v>
      </c>
      <c r="FJ70" s="140">
        <f>SUM($D70:I70)*IF($B70="Operacional",IFERROR(VLOOKUP($C70,SN_UGC,28,0),0),1)</f>
        <v>44</v>
      </c>
      <c r="FK70" s="140">
        <f>SUM($D70:J70)*IF($B70="Operacional",IFERROR(VLOOKUP($C70,SN_UGC,28,0),0),1)</f>
        <v>44</v>
      </c>
      <c r="FL70" s="140">
        <f>SUM($D70:K70)*IF($B70="Operacional",IFERROR(VLOOKUP($C70,SN_UGC,28,0),0),1)</f>
        <v>44</v>
      </c>
      <c r="FM70" s="140">
        <f>SUM($D70:L70)*IF($B70="Operacional",IFERROR(VLOOKUP($C70,SN_UGC,28,0),0),1)</f>
        <v>44</v>
      </c>
      <c r="FN70" s="140">
        <f>SUM($D70:M70)*IF($B70="Operacional",IFERROR(VLOOKUP($C70,SN_UGC,28,0),0),1)</f>
        <v>44</v>
      </c>
      <c r="FO70" s="140">
        <f>SUM($D70:N70)*IF($B70="Operacional",IFERROR(VLOOKUP($C70,SN_UGC,28,0),0),1)</f>
        <v>44</v>
      </c>
      <c r="FP70" s="140">
        <f>SUM($D70:O70)*IF($B70="Operacional",IFERROR(VLOOKUP($C70,SN_UGC,28,0),0),1)</f>
        <v>44</v>
      </c>
      <c r="FQ70" s="140">
        <f>SUM($D70:P70)*IF($B70="Operacional",IFERROR(VLOOKUP($C70,SN_UGC,28,0),0),1)</f>
        <v>44</v>
      </c>
      <c r="FR70" s="140">
        <f>SUM($D70:Q70)*IF($B70="Operacional",IFERROR(VLOOKUP($C70,SN_UGC,28,0),0),1)</f>
        <v>44</v>
      </c>
      <c r="FS70" s="140">
        <f>SUM($D70:R70)*IF($B70="Operacional",IFERROR(VLOOKUP($C70,SN_UGC,28,0),0),1)</f>
        <v>44</v>
      </c>
      <c r="FT70" s="140">
        <f>SUM($D70:S70)*IF($B70="Operacional",IFERROR(VLOOKUP($C70,SN_UGC,28,0),0),1)</f>
        <v>44</v>
      </c>
      <c r="FU70" s="140">
        <f>SUM($D70:T70)*IF($B70="Operacional",IFERROR(VLOOKUP($C70,SN_UGC,28,0),0),1)</f>
        <v>44</v>
      </c>
      <c r="FV70" s="140">
        <f>SUM($D70:U70)*IF($B70="Operacional",IFERROR(VLOOKUP($C70,SN_UGC,28,0),0),1)</f>
        <v>44</v>
      </c>
      <c r="FW70" s="140">
        <f>SUM($D70:V70)*IF($B70="Operacional",IFERROR(VLOOKUP($C70,SN_UGC,28,0),0),1)</f>
        <v>44</v>
      </c>
      <c r="FX70" s="140">
        <f>SUM($D70:W70)*IF($B70="Operacional",IFERROR(VLOOKUP($C70,SN_UGC,28,0),0),1)</f>
        <v>44</v>
      </c>
      <c r="FY70" s="140">
        <f>SUM($D70:X70)*IF($B70="Operacional",IFERROR(VLOOKUP($C70,SN_UGC,28,0),0),1)</f>
        <v>44</v>
      </c>
      <c r="FZ70" s="140">
        <f>SUM($D70:Y70)*IF($B70="Operacional",IFERROR(VLOOKUP($C70,SN_UGC,28,0),0),1)</f>
        <v>44</v>
      </c>
      <c r="GA70" s="140">
        <f>SUM($D70:Z70)*IF($B70="Operacional",IFERROR(VLOOKUP($C70,SN_UGC,28,0),0),1)</f>
        <v>44</v>
      </c>
      <c r="GB70" s="140">
        <f>SUM($D70:AA70)*IF($B70="Operacional",IFERROR(VLOOKUP($C70,SN_UGC,28,0),0),1)</f>
        <v>44</v>
      </c>
      <c r="GC70" s="140">
        <f>SUM($D70:AB70)*IF($B70="Operacional",IFERROR(VLOOKUP($C70,SN_UGC,28,0),0),1)</f>
        <v>44</v>
      </c>
      <c r="GD70" s="140">
        <f>SUM($D70:AC70)*IF($B70="Operacional",IFERROR(VLOOKUP($C70,SN_UGC,28,0),0),1)</f>
        <v>44</v>
      </c>
      <c r="GE70" s="140">
        <f>SUM($D70:AD70)*IF($B70="Operacional",IFERROR(VLOOKUP($C70,SN_UGC,28,0),0),1)</f>
        <v>44</v>
      </c>
      <c r="GF70" s="140">
        <f>SUM($D70:AE70)*IF($B70="Operacional",IFERROR(VLOOKUP($C70,SN_UGC,28,0),0),1)</f>
        <v>44</v>
      </c>
      <c r="GG70" s="140">
        <f>SUM($D70:AF70)*IF($B70="Operacional",IFERROR(VLOOKUP($C70,SN_UGC,28,0),0),1)</f>
        <v>44</v>
      </c>
      <c r="GH70" s="140">
        <f>SUM($D70:AG70)*IF($B70="Operacional",IFERROR(VLOOKUP($C70,SN_UGC,28,0),0),1)</f>
        <v>44</v>
      </c>
      <c r="GI70" s="141">
        <f t="shared" ref="GI70:HL70" si="369">FE70*$AH70*$AL70</f>
        <v>5219.6980000000003</v>
      </c>
      <c r="GJ70" s="141">
        <f t="shared" si="369"/>
        <v>5219.6980000000003</v>
      </c>
      <c r="GK70" s="141">
        <f t="shared" si="369"/>
        <v>5219.6980000000003</v>
      </c>
      <c r="GL70" s="141">
        <f t="shared" si="369"/>
        <v>5219.6980000000003</v>
      </c>
      <c r="GM70" s="141">
        <f t="shared" si="369"/>
        <v>5219.6980000000003</v>
      </c>
      <c r="GN70" s="141">
        <f t="shared" si="369"/>
        <v>5219.6980000000003</v>
      </c>
      <c r="GO70" s="141">
        <f t="shared" si="369"/>
        <v>5219.6980000000003</v>
      </c>
      <c r="GP70" s="141">
        <f t="shared" si="369"/>
        <v>5219.6980000000003</v>
      </c>
      <c r="GQ70" s="141">
        <f t="shared" si="369"/>
        <v>5219.6980000000003</v>
      </c>
      <c r="GR70" s="141">
        <f t="shared" si="369"/>
        <v>5219.6980000000003</v>
      </c>
      <c r="GS70" s="141">
        <f t="shared" si="369"/>
        <v>5219.6980000000003</v>
      </c>
      <c r="GT70" s="141">
        <f t="shared" si="369"/>
        <v>5219.6980000000003</v>
      </c>
      <c r="GU70" s="141">
        <f t="shared" si="369"/>
        <v>5219.6980000000003</v>
      </c>
      <c r="GV70" s="141">
        <f t="shared" si="369"/>
        <v>5219.6980000000003</v>
      </c>
      <c r="GW70" s="141">
        <f t="shared" si="369"/>
        <v>5219.6980000000003</v>
      </c>
      <c r="GX70" s="141">
        <f t="shared" si="369"/>
        <v>5219.6980000000003</v>
      </c>
      <c r="GY70" s="141">
        <f t="shared" si="369"/>
        <v>5219.6980000000003</v>
      </c>
      <c r="GZ70" s="141">
        <f t="shared" si="369"/>
        <v>5219.6980000000003</v>
      </c>
      <c r="HA70" s="141">
        <f t="shared" si="369"/>
        <v>5219.6980000000003</v>
      </c>
      <c r="HB70" s="141">
        <f t="shared" si="369"/>
        <v>5219.6980000000003</v>
      </c>
      <c r="HC70" s="141">
        <f t="shared" si="369"/>
        <v>5219.6980000000003</v>
      </c>
      <c r="HD70" s="141">
        <f t="shared" si="369"/>
        <v>5219.6980000000003</v>
      </c>
      <c r="HE70" s="141">
        <f t="shared" si="369"/>
        <v>5219.6980000000003</v>
      </c>
      <c r="HF70" s="141">
        <f t="shared" si="369"/>
        <v>5219.6980000000003</v>
      </c>
      <c r="HG70" s="141">
        <f t="shared" si="369"/>
        <v>5219.6980000000003</v>
      </c>
      <c r="HH70" s="141">
        <f t="shared" si="369"/>
        <v>5219.6980000000003</v>
      </c>
      <c r="HI70" s="141">
        <f t="shared" si="369"/>
        <v>5219.6980000000003</v>
      </c>
      <c r="HJ70" s="141">
        <f t="shared" si="369"/>
        <v>5219.6980000000003</v>
      </c>
      <c r="HK70" s="141">
        <f t="shared" si="369"/>
        <v>5219.6980000000003</v>
      </c>
      <c r="HL70" s="141">
        <f t="shared" si="369"/>
        <v>5219.6980000000003</v>
      </c>
      <c r="HM70" s="142">
        <f t="shared" ref="HM70:IP70" si="370">IF(ISBLANK($A70),,FE70*($AH70-($AH70*$AJ70))/$AI70)</f>
        <v>3479.798666666667</v>
      </c>
      <c r="HN70" s="142">
        <f t="shared" si="370"/>
        <v>3479.798666666667</v>
      </c>
      <c r="HO70" s="142">
        <f t="shared" si="370"/>
        <v>3479.798666666667</v>
      </c>
      <c r="HP70" s="142">
        <f t="shared" si="370"/>
        <v>3479.798666666667</v>
      </c>
      <c r="HQ70" s="142">
        <f t="shared" si="370"/>
        <v>3479.798666666667</v>
      </c>
      <c r="HR70" s="142">
        <f t="shared" si="370"/>
        <v>3479.798666666667</v>
      </c>
      <c r="HS70" s="142">
        <f t="shared" si="370"/>
        <v>3479.798666666667</v>
      </c>
      <c r="HT70" s="142">
        <f t="shared" si="370"/>
        <v>3479.798666666667</v>
      </c>
      <c r="HU70" s="142">
        <f t="shared" si="370"/>
        <v>3479.798666666667</v>
      </c>
      <c r="HV70" s="142">
        <f t="shared" si="370"/>
        <v>3479.798666666667</v>
      </c>
      <c r="HW70" s="142">
        <f t="shared" si="370"/>
        <v>3479.798666666667</v>
      </c>
      <c r="HX70" s="142">
        <f t="shared" si="370"/>
        <v>3479.798666666667</v>
      </c>
      <c r="HY70" s="142">
        <f t="shared" si="370"/>
        <v>3479.798666666667</v>
      </c>
      <c r="HZ70" s="142">
        <f t="shared" si="370"/>
        <v>3479.798666666667</v>
      </c>
      <c r="IA70" s="142">
        <f t="shared" si="370"/>
        <v>3479.798666666667</v>
      </c>
      <c r="IB70" s="142">
        <f t="shared" si="370"/>
        <v>3479.798666666667</v>
      </c>
      <c r="IC70" s="142">
        <f t="shared" si="370"/>
        <v>3479.798666666667</v>
      </c>
      <c r="ID70" s="142">
        <f t="shared" si="370"/>
        <v>3479.798666666667</v>
      </c>
      <c r="IE70" s="142">
        <f t="shared" si="370"/>
        <v>3479.798666666667</v>
      </c>
      <c r="IF70" s="142">
        <f t="shared" si="370"/>
        <v>3479.798666666667</v>
      </c>
      <c r="IG70" s="142">
        <f t="shared" si="370"/>
        <v>3479.798666666667</v>
      </c>
      <c r="IH70" s="142">
        <f t="shared" si="370"/>
        <v>3479.798666666667</v>
      </c>
      <c r="II70" s="142">
        <f t="shared" si="370"/>
        <v>3479.798666666667</v>
      </c>
      <c r="IJ70" s="142">
        <f t="shared" si="370"/>
        <v>3479.798666666667</v>
      </c>
      <c r="IK70" s="142">
        <f t="shared" si="370"/>
        <v>3479.798666666667</v>
      </c>
      <c r="IL70" s="142">
        <f t="shared" si="370"/>
        <v>3479.798666666667</v>
      </c>
      <c r="IM70" s="142">
        <f t="shared" si="370"/>
        <v>3479.798666666667</v>
      </c>
      <c r="IN70" s="142">
        <f t="shared" si="370"/>
        <v>3479.798666666667</v>
      </c>
      <c r="IO70" s="142">
        <f t="shared" si="370"/>
        <v>3479.798666666667</v>
      </c>
      <c r="IP70" s="142">
        <f t="shared" si="370"/>
        <v>3479.798666666667</v>
      </c>
      <c r="IQ70" s="141">
        <f>IF(ISBLANK($A70),,IF($AN70="Não",0,(SUM($AO70:AO70)*$AH70)-SUM($HM70:HM70)-SUM($CW70:CW70)))</f>
        <v>0</v>
      </c>
      <c r="IR70" s="141">
        <f>IF(ISBLANK($A70),,IF($AN70="Não",0,(SUM($AO70:AP70)*$AH70)-SUM($HM70:HN70)-SUM($CW70:CX70)))</f>
        <v>0</v>
      </c>
      <c r="IS70" s="141">
        <f>IF(ISBLANK($A70),,IF($AN70="Não",0,(SUM($AO70:AQ70)*$AH70)-SUM($HM70:HO70)-SUM($CW70:CY70)))</f>
        <v>0</v>
      </c>
      <c r="IT70" s="141">
        <f>IF(ISBLANK($A70),,IF($AN70="Não",0,(SUM($AO70:AR70)*$AH70)-SUM($HM70:HP70)-SUM($CW70:CZ70)))</f>
        <v>0</v>
      </c>
      <c r="IU70" s="141">
        <f>IF(ISBLANK($A70),,IF($AN70="Não",0,(SUM($AO70:AS70)*$AH70)-SUM($HM70:HQ70)-SUM($CW70:DA70)))</f>
        <v>0</v>
      </c>
      <c r="IV70" s="141">
        <f>IF(ISBLANK($A70),,IF($AN70="Não",0,(SUM($AO70:AT70)*$AH70)-SUM($HM70:HR70)-SUM($CW70:DB70)))</f>
        <v>0</v>
      </c>
      <c r="IW70" s="141">
        <f>IF(ISBLANK($A70),,IF($AN70="Não",0,(SUM($AO70:AU70)*$AH70)-SUM($HM70:HS70)-SUM($CW70:DC70)))</f>
        <v>0</v>
      </c>
      <c r="IX70" s="141">
        <f>IF(ISBLANK($A70),,IF($AN70="Não",0,(SUM($AO70:AV70)*$AH70)-SUM($HM70:HT70)-SUM($CW70:DD70)))</f>
        <v>0</v>
      </c>
      <c r="IY70" s="141">
        <f>IF(ISBLANK($A70),,IF($AN70="Não",0,(SUM($AO70:AW70)*$AH70)-SUM($HM70:HU70)-SUM($CW70:DE70)))</f>
        <v>0</v>
      </c>
      <c r="IZ70" s="141">
        <f>IF(ISBLANK($A70),,IF($AN70="Não",0,(SUM($AO70:AX70)*$AH70)-SUM($HM70:HV70)-SUM($CW70:DF70)))</f>
        <v>0</v>
      </c>
      <c r="JA70" s="141">
        <f>IF(ISBLANK($A70),,IF($AN70="Não",0,(SUM($AO70:AY70)*$AH70)-SUM($HM70:HW70)-SUM($CW70:DG70)))</f>
        <v>0</v>
      </c>
      <c r="JB70" s="141">
        <f>IF(ISBLANK($A70),,IF($AN70="Não",0,(SUM($AO70:AZ70)*$AH70)-SUM($HM70:HX70)-SUM($CW70:DH70)))</f>
        <v>0</v>
      </c>
      <c r="JC70" s="141">
        <f>IF(ISBLANK($A70),,IF($AN70="Não",0,(SUM($AO70:BA70)*$AH70)-SUM($HM70:HY70)-SUM($CW70:DI70)))</f>
        <v>0</v>
      </c>
      <c r="JD70" s="141">
        <f>IF(ISBLANK($A70),,IF($AN70="Não",0,(SUM($AO70:BB70)*$AH70)-SUM($HM70:HZ70)-SUM($CW70:DJ70)))</f>
        <v>0</v>
      </c>
      <c r="JE70" s="141">
        <f>IF(ISBLANK($A70),,IF($AN70="Não",0,(SUM($AO70:BC70)*$AH70)-SUM($HM70:IA70)-SUM($CW70:DK70)))</f>
        <v>0</v>
      </c>
      <c r="JF70" s="141">
        <f>IF(ISBLANK($A70),,IF($AN70="Não",0,(SUM($AO70:BD70)*$AH70)-SUM($HM70:IB70)-SUM($CW70:DL70)))</f>
        <v>0</v>
      </c>
      <c r="JG70" s="141">
        <f>IF(ISBLANK($A70),,IF($AN70="Não",0,(SUM($AO70:BE70)*$AH70)-SUM($HM70:IC70)-SUM($CW70:DM70)))</f>
        <v>0</v>
      </c>
      <c r="JH70" s="141">
        <f>IF(ISBLANK($A70),,IF($AN70="Não",0,(SUM($AO70:BF70)*$AH70)-SUM($HM70:ID70)-SUM($CW70:DN70)))</f>
        <v>0</v>
      </c>
      <c r="JI70" s="141">
        <f>IF(ISBLANK($A70),,IF($AN70="Não",0,(SUM($AO70:BG70)*$AH70)-SUM($HM70:IE70)-SUM($CW70:DO70)))</f>
        <v>0</v>
      </c>
      <c r="JJ70" s="141">
        <f>IF(ISBLANK($A70),,IF($AN70="Não",0,(SUM($AO70:BH70)*$AH70)-SUM($HM70:IF70)-SUM($CW70:DP70)))</f>
        <v>0</v>
      </c>
      <c r="JK70" s="141">
        <f>IF(ISBLANK($A70),,IF($AN70="Não",0,(SUM($AO70:BI70)*$AH70)-SUM($HM70:IG70)-SUM($CW70:DQ70)))</f>
        <v>0</v>
      </c>
      <c r="JL70" s="141">
        <f>IF(ISBLANK($A70),,IF($AN70="Não",0,(SUM($AO70:BJ70)*$AH70)-SUM($HM70:IH70)-SUM($CW70:DR70)))</f>
        <v>0</v>
      </c>
      <c r="JM70" s="141">
        <f>IF(ISBLANK($A70),,IF($AN70="Não",0,(SUM($AO70:BK70)*$AH70)-SUM($HM70:II70)-SUM($CW70:DS70)))</f>
        <v>0</v>
      </c>
      <c r="JN70" s="141">
        <f>IF(ISBLANK($A70),,IF($AN70="Não",0,(SUM($AO70:BL70)*$AH70)-SUM($HM70:IJ70)-SUM($CW70:DT70)))</f>
        <v>0</v>
      </c>
      <c r="JO70" s="141">
        <f>IF(ISBLANK($A70),,IF($AN70="Não",0,(SUM($AO70:BM70)*$AH70)-SUM($HM70:IK70)-SUM($CW70:DU70)))</f>
        <v>0</v>
      </c>
      <c r="JP70" s="141">
        <f>IF(ISBLANK($A70),,IF($AN70="Não",0,(SUM($AO70:BN70)*$AH70)-SUM($HM70:IL70)-SUM($CW70:DV70)))</f>
        <v>0</v>
      </c>
      <c r="JQ70" s="141">
        <f>IF(ISBLANK($A70),,IF($AN70="Não",0,(SUM($AO70:BO70)*$AH70)-SUM($HM70:IM70)-SUM($CW70:DW70)))</f>
        <v>0</v>
      </c>
      <c r="JR70" s="141">
        <f>IF(ISBLANK($A70),,IF($AN70="Não",0,(SUM($AO70:BP70)*$AH70)-SUM($HM70:IN70)-SUM($CW70:DX70)))</f>
        <v>0</v>
      </c>
      <c r="JS70" s="141">
        <f>IF(ISBLANK($A70),,IF($AN70="Não",0,(SUM($AO70:BQ70)*$AH70)-SUM($HM70:IO70)-SUM($CW70:DY70)))</f>
        <v>0</v>
      </c>
      <c r="JT70" s="141">
        <f>IF(ISBLANK($A70),,IF($AN70="Não",0,(SUM($AO70:BR70)*$AH70)-SUM($HM70:IP70)-SUM($CW70:DZ70)))</f>
        <v>0</v>
      </c>
    </row>
    <row r="71" spans="1:280" ht="15.75" customHeight="1">
      <c r="A71" s="129" t="s">
        <v>357</v>
      </c>
      <c r="B71" s="129" t="s">
        <v>209</v>
      </c>
      <c r="C71" s="138" t="s">
        <v>95</v>
      </c>
      <c r="D71" s="139">
        <v>2</v>
      </c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  <c r="AA71" s="139"/>
      <c r="AB71" s="139"/>
      <c r="AC71" s="139"/>
      <c r="AD71" s="139"/>
      <c r="AE71" s="139"/>
      <c r="AF71" s="139"/>
      <c r="AG71" s="139"/>
      <c r="AH71" s="607">
        <f t="shared" si="286"/>
        <v>1760.0000000000002</v>
      </c>
      <c r="AI71" s="608">
        <f t="shared" si="287"/>
        <v>10</v>
      </c>
      <c r="AJ71" s="609">
        <f t="shared" si="288"/>
        <v>0</v>
      </c>
      <c r="AK71" s="610" t="str">
        <f t="shared" si="289"/>
        <v>Infraestrutura</v>
      </c>
      <c r="AL71" s="609">
        <f t="shared" si="290"/>
        <v>0.05</v>
      </c>
      <c r="AM71" s="611" t="str">
        <f t="shared" si="291"/>
        <v>Sim</v>
      </c>
      <c r="AN71" s="611" t="str">
        <f t="shared" si="292"/>
        <v>Não</v>
      </c>
      <c r="AO71" s="140">
        <f t="array" ref="AO71">IF(ISBLANK($A71),0,IF(OR(AO$5-$AI71&lt;=0,$AM71="Não"),D71,D71+INDEX($AO$6:$BR$176,ROW()-5,COLUMN()-40-$AI71)))*IF($B71="Operacional",IFERROR(VLOOKUP($C71,SN_UGC,28,0),0),1)</f>
        <v>2</v>
      </c>
      <c r="AP71" s="140">
        <f t="array" ref="AP71">IF(ISBLANK($A71),0,IF(OR(AP$5-$AI71&lt;=0,$AM71="Não"),E71,E71+INDEX($AO$6:$BR$176,ROW()-5,COLUMN()-40-$AI71)))*IF($B71="Operacional",IFERROR(VLOOKUP($C71,SN_UGC,28,0),0),1)</f>
        <v>0</v>
      </c>
      <c r="AQ71" s="140">
        <f t="array" ref="AQ71">IF(ISBLANK($A71),0,IF(OR(AQ$5-$AI71&lt;=0,$AM71="Não"),F71,F71+INDEX($AO$6:$BR$176,ROW()-5,COLUMN()-40-$AI71)))*IF($B71="Operacional",IFERROR(VLOOKUP($C71,SN_UGC,28,0),0),1)</f>
        <v>0</v>
      </c>
      <c r="AR71" s="140">
        <f t="array" ref="AR71">IF(ISBLANK($A71),0,IF(OR(AR$5-$AI71&lt;=0,$AM71="Não"),G71,G71+INDEX($AO$6:$BR$176,ROW()-5,COLUMN()-40-$AI71)))*IF($B71="Operacional",IFERROR(VLOOKUP($C71,SN_UGC,28,0),0),1)</f>
        <v>0</v>
      </c>
      <c r="AS71" s="140">
        <f t="array" ref="AS71">IF(ISBLANK($A71),0,IF(OR(AS$5-$AI71&lt;=0,$AM71="Não"),H71,H71+INDEX($AO$6:$BR$176,ROW()-5,COLUMN()-40-$AI71)))*IF($B71="Operacional",IFERROR(VLOOKUP($C71,SN_UGC,28,0),0),1)</f>
        <v>0</v>
      </c>
      <c r="AT71" s="140">
        <f t="array" ref="AT71">IF(ISBLANK($A71),0,IF(OR(AT$5-$AI71&lt;=0,$AM71="Não"),I71,I71+INDEX($AO$6:$BR$176,ROW()-5,COLUMN()-40-$AI71)))*IF($B71="Operacional",IFERROR(VLOOKUP($C71,SN_UGC,28,0),0),1)</f>
        <v>0</v>
      </c>
      <c r="AU71" s="140">
        <f t="array" ref="AU71">IF(ISBLANK($A71),0,IF(OR(AU$5-$AI71&lt;=0,$AM71="Não"),J71,J71+INDEX($AO$6:$BR$176,ROW()-5,COLUMN()-40-$AI71)))*IF($B71="Operacional",IFERROR(VLOOKUP($C71,SN_UGC,28,0),0),1)</f>
        <v>0</v>
      </c>
      <c r="AV71" s="140">
        <f t="array" ref="AV71">IF(ISBLANK($A71),0,IF(OR(AV$5-$AI71&lt;=0,$AM71="Não"),K71,K71+INDEX($AO$6:$BR$176,ROW()-5,COLUMN()-40-$AI71)))*IF($B71="Operacional",IFERROR(VLOOKUP($C71,SN_UGC,28,0),0),1)</f>
        <v>0</v>
      </c>
      <c r="AW71" s="140">
        <f t="array" ref="AW71">IF(ISBLANK($A71),0,IF(OR(AW$5-$AI71&lt;=0,$AM71="Não"),L71,L71+INDEX($AO$6:$BR$176,ROW()-5,COLUMN()-40-$AI71)))*IF($B71="Operacional",IFERROR(VLOOKUP($C71,SN_UGC,28,0),0),1)</f>
        <v>0</v>
      </c>
      <c r="AX71" s="140">
        <f t="array" ref="AX71">IF(ISBLANK($A71),0,IF(OR(AX$5-$AI71&lt;=0,$AM71="Não"),M71,M71+INDEX($AO$6:$BR$176,ROW()-5,COLUMN()-40-$AI71)))*IF($B71="Operacional",IFERROR(VLOOKUP($C71,SN_UGC,28,0),0),1)</f>
        <v>0</v>
      </c>
      <c r="AY71" s="140">
        <f t="array" ref="AY71">IF(ISBLANK($A71),0,IF(OR(AY$5-$AI71&lt;=0,$AM71="Não"),N71,N71+INDEX($AO$6:$BR$176,ROW()-5,COLUMN()-40-$AI71)))*IF($B71="Operacional",IFERROR(VLOOKUP($C71,SN_UGC,28,0),0),1)</f>
        <v>2</v>
      </c>
      <c r="AZ71" s="140">
        <f t="array" ref="AZ71">IF(ISBLANK($A71),0,IF(OR(AZ$5-$AI71&lt;=0,$AM71="Não"),O71,O71+INDEX($AO$6:$BR$176,ROW()-5,COLUMN()-40-$AI71)))*IF($B71="Operacional",IFERROR(VLOOKUP($C71,SN_UGC,28,0),0),1)</f>
        <v>0</v>
      </c>
      <c r="BA71" s="140">
        <f t="array" ref="BA71">IF(ISBLANK($A71),0,IF(OR(BA$5-$AI71&lt;=0,$AM71="Não"),P71,P71+INDEX($AO$6:$BR$176,ROW()-5,COLUMN()-40-$AI71)))*IF($B71="Operacional",IFERROR(VLOOKUP($C71,SN_UGC,28,0),0),1)</f>
        <v>0</v>
      </c>
      <c r="BB71" s="140">
        <f t="array" ref="BB71">IF(ISBLANK($A71),0,IF(OR(BB$5-$AI71&lt;=0,$AM71="Não"),Q71,Q71+INDEX($AO$6:$BR$176,ROW()-5,COLUMN()-40-$AI71)))*IF($B71="Operacional",IFERROR(VLOOKUP($C71,SN_UGC,28,0),0),1)</f>
        <v>0</v>
      </c>
      <c r="BC71" s="140">
        <f t="array" ref="BC71">IF(ISBLANK($A71),0,IF(OR(BC$5-$AI71&lt;=0,$AM71="Não"),R71,R71+INDEX($AO$6:$BR$176,ROW()-5,COLUMN()-40-$AI71)))*IF($B71="Operacional",IFERROR(VLOOKUP($C71,SN_UGC,28,0),0),1)</f>
        <v>0</v>
      </c>
      <c r="BD71" s="140">
        <f t="array" ref="BD71">IF(ISBLANK($A71),0,IF(OR(BD$5-$AI71&lt;=0,$AM71="Não"),S71,S71+INDEX($AO$6:$BR$176,ROW()-5,COLUMN()-40-$AI71)))*IF($B71="Operacional",IFERROR(VLOOKUP($C71,SN_UGC,28,0),0),1)</f>
        <v>0</v>
      </c>
      <c r="BE71" s="140">
        <f t="array" ref="BE71">IF(ISBLANK($A71),0,IF(OR(BE$5-$AI71&lt;=0,$AM71="Não"),T71,T71+INDEX($AO$6:$BR$176,ROW()-5,COLUMN()-40-$AI71)))*IF($B71="Operacional",IFERROR(VLOOKUP($C71,SN_UGC,28,0),0),1)</f>
        <v>0</v>
      </c>
      <c r="BF71" s="140">
        <f t="array" ref="BF71">IF(ISBLANK($A71),0,IF(OR(BF$5-$AI71&lt;=0,$AM71="Não"),U71,U71+INDEX($AO$6:$BR$176,ROW()-5,COLUMN()-40-$AI71)))*IF($B71="Operacional",IFERROR(VLOOKUP($C71,SN_UGC,28,0),0),1)</f>
        <v>0</v>
      </c>
      <c r="BG71" s="140">
        <f t="array" ref="BG71">IF(ISBLANK($A71),0,IF(OR(BG$5-$AI71&lt;=0,$AM71="Não"),V71,V71+INDEX($AO$6:$BR$176,ROW()-5,COLUMN()-40-$AI71)))*IF($B71="Operacional",IFERROR(VLOOKUP($C71,SN_UGC,28,0),0),1)</f>
        <v>0</v>
      </c>
      <c r="BH71" s="140">
        <f t="array" ref="BH71">IF(ISBLANK($A71),0,IF(OR(BH$5-$AI71&lt;=0,$AM71="Não"),W71,W71+INDEX($AO$6:$BR$176,ROW()-5,COLUMN()-40-$AI71)))*IF($B71="Operacional",IFERROR(VLOOKUP($C71,SN_UGC,28,0),0),1)</f>
        <v>0</v>
      </c>
      <c r="BI71" s="140">
        <f t="array" ref="BI71">IF(ISBLANK($A71),0,IF(OR(BI$5-$AI71&lt;=0,$AM71="Não"),X71,X71+INDEX($AO$6:$BR$176,ROW()-5,COLUMN()-40-$AI71)))*IF($B71="Operacional",IFERROR(VLOOKUP($C71,SN_UGC,28,0),0),1)</f>
        <v>2</v>
      </c>
      <c r="BJ71" s="140">
        <f t="array" ref="BJ71">IF(ISBLANK($A71),0,IF(OR(BJ$5-$AI71&lt;=0,$AM71="Não"),Y71,Y71+INDEX($AO$6:$BR$176,ROW()-5,COLUMN()-40-$AI71)))*IF($B71="Operacional",IFERROR(VLOOKUP($C71,SN_UGC,28,0),0),1)</f>
        <v>0</v>
      </c>
      <c r="BK71" s="140">
        <f t="array" ref="BK71">IF(ISBLANK($A71),0,IF(OR(BK$5-$AI71&lt;=0,$AM71="Não"),Z71,Z71+INDEX($AO$6:$BR$176,ROW()-5,COLUMN()-40-$AI71)))*IF($B71="Operacional",IFERROR(VLOOKUP($C71,SN_UGC,28,0),0),1)</f>
        <v>0</v>
      </c>
      <c r="BL71" s="140">
        <f t="array" ref="BL71">IF(ISBLANK($A71),0,IF(OR(BL$5-$AI71&lt;=0,$AM71="Não"),AA71,AA71+INDEX($AO$6:$BR$176,ROW()-5,COLUMN()-40-$AI71)))*IF($B71="Operacional",IFERROR(VLOOKUP($C71,SN_UGC,28,0),0),1)</f>
        <v>0</v>
      </c>
      <c r="BM71" s="140">
        <f t="array" ref="BM71">IF(ISBLANK($A71),0,IF(OR(BM$5-$AI71&lt;=0,$AM71="Não"),AB71,AB71+INDEX($AO$6:$BR$176,ROW()-5,COLUMN()-40-$AI71)))*IF($B71="Operacional",IFERROR(VLOOKUP($C71,SN_UGC,28,0),0),1)</f>
        <v>0</v>
      </c>
      <c r="BN71" s="140">
        <f t="array" ref="BN71">IF(ISBLANK($A71),0,IF(OR(BN$5-$AI71&lt;=0,$AM71="Não"),AC71,AC71+INDEX($AO$6:$BR$176,ROW()-5,COLUMN()-40-$AI71)))*IF($B71="Operacional",IFERROR(VLOOKUP($C71,SN_UGC,28,0),0),1)</f>
        <v>0</v>
      </c>
      <c r="BO71" s="140">
        <f t="array" ref="BO71">IF(ISBLANK($A71),0,IF(OR(BO$5-$AI71&lt;=0,$AM71="Não"),AD71,AD71+INDEX($AO$6:$BR$176,ROW()-5,COLUMN()-40-$AI71)))*IF($B71="Operacional",IFERROR(VLOOKUP($C71,SN_UGC,28,0),0),1)</f>
        <v>0</v>
      </c>
      <c r="BP71" s="140">
        <f t="array" ref="BP71">IF(ISBLANK($A71),0,IF(OR(BP$5-$AI71&lt;=0,$AM71="Não"),AE71,AE71+INDEX($AO$6:$BR$176,ROW()-5,COLUMN()-40-$AI71)))*IF($B71="Operacional",IFERROR(VLOOKUP($C71,SN_UGC,28,0),0),1)</f>
        <v>0</v>
      </c>
      <c r="BQ71" s="140">
        <f t="array" ref="BQ71">IF(ISBLANK($A71),0,IF(OR(BQ$5-$AI71&lt;=0,$AM71="Não"),AF71,AF71+INDEX($AO$6:$BR$176,ROW()-5,COLUMN()-40-$AI71)))*IF($B71="Operacional",IFERROR(VLOOKUP($C71,SN_UGC,28,0),0),1)</f>
        <v>0</v>
      </c>
      <c r="BR71" s="140">
        <f t="array" ref="BR71">IF(ISBLANK($A71),0,IF(OR(BR$5-$AI71&lt;=0,$AM71="Não"),AG71,AG71+INDEX($AO$6:$BR$176,ROW()-5,COLUMN()-40-$AI71)))*IF($B71="Operacional",IFERROR(VLOOKUP($C71,SN_UGC,28,0),0),1)</f>
        <v>0</v>
      </c>
      <c r="BS71" s="141">
        <f t="shared" ref="BS71:CV71" si="371">IF(ISBLANK($A71),0,$AH71*AO71)</f>
        <v>3520.0000000000005</v>
      </c>
      <c r="BT71" s="141">
        <f t="shared" si="371"/>
        <v>0</v>
      </c>
      <c r="BU71" s="141">
        <f t="shared" si="371"/>
        <v>0</v>
      </c>
      <c r="BV71" s="141">
        <f t="shared" si="371"/>
        <v>0</v>
      </c>
      <c r="BW71" s="141">
        <f t="shared" si="371"/>
        <v>0</v>
      </c>
      <c r="BX71" s="141">
        <f t="shared" si="371"/>
        <v>0</v>
      </c>
      <c r="BY71" s="141">
        <f t="shared" si="371"/>
        <v>0</v>
      </c>
      <c r="BZ71" s="141">
        <f t="shared" si="371"/>
        <v>0</v>
      </c>
      <c r="CA71" s="141">
        <f t="shared" si="371"/>
        <v>0</v>
      </c>
      <c r="CB71" s="141">
        <f t="shared" si="371"/>
        <v>0</v>
      </c>
      <c r="CC71" s="141">
        <f t="shared" si="371"/>
        <v>3520.0000000000005</v>
      </c>
      <c r="CD71" s="141">
        <f t="shared" si="371"/>
        <v>0</v>
      </c>
      <c r="CE71" s="141">
        <f t="shared" si="371"/>
        <v>0</v>
      </c>
      <c r="CF71" s="141">
        <f t="shared" si="371"/>
        <v>0</v>
      </c>
      <c r="CG71" s="141">
        <f t="shared" si="371"/>
        <v>0</v>
      </c>
      <c r="CH71" s="141">
        <f t="shared" si="371"/>
        <v>0</v>
      </c>
      <c r="CI71" s="141">
        <f t="shared" si="371"/>
        <v>0</v>
      </c>
      <c r="CJ71" s="141">
        <f t="shared" si="371"/>
        <v>0</v>
      </c>
      <c r="CK71" s="141">
        <f t="shared" si="371"/>
        <v>0</v>
      </c>
      <c r="CL71" s="141">
        <f t="shared" si="371"/>
        <v>0</v>
      </c>
      <c r="CM71" s="141">
        <f t="shared" si="371"/>
        <v>3520.0000000000005</v>
      </c>
      <c r="CN71" s="141">
        <f t="shared" si="371"/>
        <v>0</v>
      </c>
      <c r="CO71" s="141">
        <f t="shared" si="371"/>
        <v>0</v>
      </c>
      <c r="CP71" s="141">
        <f t="shared" si="371"/>
        <v>0</v>
      </c>
      <c r="CQ71" s="141">
        <f t="shared" si="371"/>
        <v>0</v>
      </c>
      <c r="CR71" s="141">
        <f t="shared" si="371"/>
        <v>0</v>
      </c>
      <c r="CS71" s="141">
        <f t="shared" si="371"/>
        <v>0</v>
      </c>
      <c r="CT71" s="141">
        <f t="shared" si="371"/>
        <v>0</v>
      </c>
      <c r="CU71" s="141">
        <f t="shared" si="371"/>
        <v>0</v>
      </c>
      <c r="CV71" s="141">
        <f t="shared" si="371"/>
        <v>0</v>
      </c>
      <c r="CW71" s="142">
        <f t="shared" ref="CW71:DZ71" si="372">EA71*$AH71*$AJ71</f>
        <v>0</v>
      </c>
      <c r="CX71" s="142">
        <f t="shared" si="372"/>
        <v>0</v>
      </c>
      <c r="CY71" s="142">
        <f t="shared" si="372"/>
        <v>0</v>
      </c>
      <c r="CZ71" s="142">
        <f t="shared" si="372"/>
        <v>0</v>
      </c>
      <c r="DA71" s="142">
        <f t="shared" si="372"/>
        <v>0</v>
      </c>
      <c r="DB71" s="142">
        <f t="shared" si="372"/>
        <v>0</v>
      </c>
      <c r="DC71" s="142">
        <f t="shared" si="372"/>
        <v>0</v>
      </c>
      <c r="DD71" s="142">
        <f t="shared" si="372"/>
        <v>0</v>
      </c>
      <c r="DE71" s="142">
        <f t="shared" si="372"/>
        <v>0</v>
      </c>
      <c r="DF71" s="142">
        <f t="shared" si="372"/>
        <v>0</v>
      </c>
      <c r="DG71" s="142">
        <f t="shared" si="372"/>
        <v>0</v>
      </c>
      <c r="DH71" s="142">
        <f t="shared" si="372"/>
        <v>0</v>
      </c>
      <c r="DI71" s="142">
        <f t="shared" si="372"/>
        <v>0</v>
      </c>
      <c r="DJ71" s="142">
        <f t="shared" si="372"/>
        <v>0</v>
      </c>
      <c r="DK71" s="142">
        <f t="shared" si="372"/>
        <v>0</v>
      </c>
      <c r="DL71" s="142">
        <f t="shared" si="372"/>
        <v>0</v>
      </c>
      <c r="DM71" s="142">
        <f t="shared" si="372"/>
        <v>0</v>
      </c>
      <c r="DN71" s="142">
        <f t="shared" si="372"/>
        <v>0</v>
      </c>
      <c r="DO71" s="142">
        <f t="shared" si="372"/>
        <v>0</v>
      </c>
      <c r="DP71" s="142">
        <f t="shared" si="372"/>
        <v>0</v>
      </c>
      <c r="DQ71" s="142">
        <f t="shared" si="372"/>
        <v>0</v>
      </c>
      <c r="DR71" s="142">
        <f t="shared" si="372"/>
        <v>0</v>
      </c>
      <c r="DS71" s="142">
        <f t="shared" si="372"/>
        <v>0</v>
      </c>
      <c r="DT71" s="142">
        <f t="shared" si="372"/>
        <v>0</v>
      </c>
      <c r="DU71" s="142">
        <f t="shared" si="372"/>
        <v>0</v>
      </c>
      <c r="DV71" s="142">
        <f t="shared" si="372"/>
        <v>0</v>
      </c>
      <c r="DW71" s="142">
        <f t="shared" si="372"/>
        <v>0</v>
      </c>
      <c r="DX71" s="142">
        <f t="shared" si="372"/>
        <v>0</v>
      </c>
      <c r="DY71" s="142">
        <f t="shared" si="372"/>
        <v>0</v>
      </c>
      <c r="DZ71" s="142">
        <f t="shared" si="372"/>
        <v>0</v>
      </c>
      <c r="EA71" s="143">
        <f t="shared" si="339"/>
        <v>0</v>
      </c>
      <c r="EB71" s="143">
        <f t="shared" si="340"/>
        <v>0</v>
      </c>
      <c r="EC71" s="143">
        <f t="shared" si="341"/>
        <v>0</v>
      </c>
      <c r="ED71" s="143">
        <f t="shared" si="342"/>
        <v>0</v>
      </c>
      <c r="EE71" s="143">
        <f t="shared" si="343"/>
        <v>0</v>
      </c>
      <c r="EF71" s="143">
        <f t="shared" si="344"/>
        <v>0</v>
      </c>
      <c r="EG71" s="143">
        <f t="shared" si="345"/>
        <v>0</v>
      </c>
      <c r="EH71" s="143">
        <f t="shared" si="346"/>
        <v>0</v>
      </c>
      <c r="EI71" s="143">
        <f t="shared" si="347"/>
        <v>0</v>
      </c>
      <c r="EJ71" s="143">
        <f t="shared" si="348"/>
        <v>0</v>
      </c>
      <c r="EK71" s="143">
        <f t="shared" si="349"/>
        <v>2</v>
      </c>
      <c r="EL71" s="143">
        <f t="shared" si="350"/>
        <v>0</v>
      </c>
      <c r="EM71" s="143">
        <f t="shared" si="351"/>
        <v>0</v>
      </c>
      <c r="EN71" s="143">
        <f t="shared" si="352"/>
        <v>0</v>
      </c>
      <c r="EO71" s="143">
        <f t="shared" si="353"/>
        <v>0</v>
      </c>
      <c r="EP71" s="143">
        <f t="shared" si="354"/>
        <v>0</v>
      </c>
      <c r="EQ71" s="143">
        <f t="shared" si="355"/>
        <v>0</v>
      </c>
      <c r="ER71" s="143">
        <f t="shared" si="356"/>
        <v>0</v>
      </c>
      <c r="ES71" s="143">
        <f t="shared" si="357"/>
        <v>0</v>
      </c>
      <c r="ET71" s="143">
        <f t="shared" si="358"/>
        <v>0</v>
      </c>
      <c r="EU71" s="143">
        <f t="shared" si="359"/>
        <v>2</v>
      </c>
      <c r="EV71" s="143">
        <f t="shared" si="360"/>
        <v>0</v>
      </c>
      <c r="EW71" s="143">
        <f t="shared" si="361"/>
        <v>0</v>
      </c>
      <c r="EX71" s="143">
        <f t="shared" si="362"/>
        <v>0</v>
      </c>
      <c r="EY71" s="143">
        <f t="shared" si="363"/>
        <v>0</v>
      </c>
      <c r="EZ71" s="143">
        <f t="shared" si="364"/>
        <v>0</v>
      </c>
      <c r="FA71" s="143">
        <f t="shared" si="365"/>
        <v>0</v>
      </c>
      <c r="FB71" s="143">
        <f t="shared" si="366"/>
        <v>0</v>
      </c>
      <c r="FC71" s="143">
        <f t="shared" si="367"/>
        <v>0</v>
      </c>
      <c r="FD71" s="143">
        <f t="shared" si="368"/>
        <v>0</v>
      </c>
      <c r="FE71" s="140">
        <f>SUM($D71:D71)*IF($B71="Operacional",IFERROR(VLOOKUP($C71,SN_UGC,28,0),0),1)</f>
        <v>2</v>
      </c>
      <c r="FF71" s="140">
        <f>SUM($D71:E71)*IF($B71="Operacional",IFERROR(VLOOKUP($C71,SN_UGC,28,0),0),1)</f>
        <v>2</v>
      </c>
      <c r="FG71" s="140">
        <f>SUM($D71:F71)*IF($B71="Operacional",IFERROR(VLOOKUP($C71,SN_UGC,28,0),0),1)</f>
        <v>2</v>
      </c>
      <c r="FH71" s="140">
        <f>SUM($D71:G71)*IF($B71="Operacional",IFERROR(VLOOKUP($C71,SN_UGC,28,0),0),1)</f>
        <v>2</v>
      </c>
      <c r="FI71" s="140">
        <f>SUM($D71:H71)*IF($B71="Operacional",IFERROR(VLOOKUP($C71,SN_UGC,28,0),0),1)</f>
        <v>2</v>
      </c>
      <c r="FJ71" s="140">
        <f>SUM($D71:I71)*IF($B71="Operacional",IFERROR(VLOOKUP($C71,SN_UGC,28,0),0),1)</f>
        <v>2</v>
      </c>
      <c r="FK71" s="140">
        <f>SUM($D71:J71)*IF($B71="Operacional",IFERROR(VLOOKUP($C71,SN_UGC,28,0),0),1)</f>
        <v>2</v>
      </c>
      <c r="FL71" s="140">
        <f>SUM($D71:K71)*IF($B71="Operacional",IFERROR(VLOOKUP($C71,SN_UGC,28,0),0),1)</f>
        <v>2</v>
      </c>
      <c r="FM71" s="140">
        <f>SUM($D71:L71)*IF($B71="Operacional",IFERROR(VLOOKUP($C71,SN_UGC,28,0),0),1)</f>
        <v>2</v>
      </c>
      <c r="FN71" s="140">
        <f>SUM($D71:M71)*IF($B71="Operacional",IFERROR(VLOOKUP($C71,SN_UGC,28,0),0),1)</f>
        <v>2</v>
      </c>
      <c r="FO71" s="140">
        <f>SUM($D71:N71)*IF($B71="Operacional",IFERROR(VLOOKUP($C71,SN_UGC,28,0),0),1)</f>
        <v>2</v>
      </c>
      <c r="FP71" s="140">
        <f>SUM($D71:O71)*IF($B71="Operacional",IFERROR(VLOOKUP($C71,SN_UGC,28,0),0),1)</f>
        <v>2</v>
      </c>
      <c r="FQ71" s="140">
        <f>SUM($D71:P71)*IF($B71="Operacional",IFERROR(VLOOKUP($C71,SN_UGC,28,0),0),1)</f>
        <v>2</v>
      </c>
      <c r="FR71" s="140">
        <f>SUM($D71:Q71)*IF($B71="Operacional",IFERROR(VLOOKUP($C71,SN_UGC,28,0),0),1)</f>
        <v>2</v>
      </c>
      <c r="FS71" s="140">
        <f>SUM($D71:R71)*IF($B71="Operacional",IFERROR(VLOOKUP($C71,SN_UGC,28,0),0),1)</f>
        <v>2</v>
      </c>
      <c r="FT71" s="140">
        <f>SUM($D71:S71)*IF($B71="Operacional",IFERROR(VLOOKUP($C71,SN_UGC,28,0),0),1)</f>
        <v>2</v>
      </c>
      <c r="FU71" s="140">
        <f>SUM($D71:T71)*IF($B71="Operacional",IFERROR(VLOOKUP($C71,SN_UGC,28,0),0),1)</f>
        <v>2</v>
      </c>
      <c r="FV71" s="140">
        <f>SUM($D71:U71)*IF($B71="Operacional",IFERROR(VLOOKUP($C71,SN_UGC,28,0),0),1)</f>
        <v>2</v>
      </c>
      <c r="FW71" s="140">
        <f>SUM($D71:V71)*IF($B71="Operacional",IFERROR(VLOOKUP($C71,SN_UGC,28,0),0),1)</f>
        <v>2</v>
      </c>
      <c r="FX71" s="140">
        <f>SUM($D71:W71)*IF($B71="Operacional",IFERROR(VLOOKUP($C71,SN_UGC,28,0),0),1)</f>
        <v>2</v>
      </c>
      <c r="FY71" s="140">
        <f>SUM($D71:X71)*IF($B71="Operacional",IFERROR(VLOOKUP($C71,SN_UGC,28,0),0),1)</f>
        <v>2</v>
      </c>
      <c r="FZ71" s="140">
        <f>SUM($D71:Y71)*IF($B71="Operacional",IFERROR(VLOOKUP($C71,SN_UGC,28,0),0),1)</f>
        <v>2</v>
      </c>
      <c r="GA71" s="140">
        <f>SUM($D71:Z71)*IF($B71="Operacional",IFERROR(VLOOKUP($C71,SN_UGC,28,0),0),1)</f>
        <v>2</v>
      </c>
      <c r="GB71" s="140">
        <f>SUM($D71:AA71)*IF($B71="Operacional",IFERROR(VLOOKUP($C71,SN_UGC,28,0),0),1)</f>
        <v>2</v>
      </c>
      <c r="GC71" s="140">
        <f>SUM($D71:AB71)*IF($B71="Operacional",IFERROR(VLOOKUP($C71,SN_UGC,28,0),0),1)</f>
        <v>2</v>
      </c>
      <c r="GD71" s="140">
        <f>SUM($D71:AC71)*IF($B71="Operacional",IFERROR(VLOOKUP($C71,SN_UGC,28,0),0),1)</f>
        <v>2</v>
      </c>
      <c r="GE71" s="140">
        <f>SUM($D71:AD71)*IF($B71="Operacional",IFERROR(VLOOKUP($C71,SN_UGC,28,0),0),1)</f>
        <v>2</v>
      </c>
      <c r="GF71" s="140">
        <f>SUM($D71:AE71)*IF($B71="Operacional",IFERROR(VLOOKUP($C71,SN_UGC,28,0),0),1)</f>
        <v>2</v>
      </c>
      <c r="GG71" s="140">
        <f>SUM($D71:AF71)*IF($B71="Operacional",IFERROR(VLOOKUP($C71,SN_UGC,28,0),0),1)</f>
        <v>2</v>
      </c>
      <c r="GH71" s="140">
        <f>SUM($D71:AG71)*IF($B71="Operacional",IFERROR(VLOOKUP($C71,SN_UGC,28,0),0),1)</f>
        <v>2</v>
      </c>
      <c r="GI71" s="141">
        <f t="shared" ref="GI71:HL71" si="373">FE71*$AH71*$AL71</f>
        <v>176.00000000000003</v>
      </c>
      <c r="GJ71" s="141">
        <f t="shared" si="373"/>
        <v>176.00000000000003</v>
      </c>
      <c r="GK71" s="141">
        <f t="shared" si="373"/>
        <v>176.00000000000003</v>
      </c>
      <c r="GL71" s="141">
        <f t="shared" si="373"/>
        <v>176.00000000000003</v>
      </c>
      <c r="GM71" s="141">
        <f t="shared" si="373"/>
        <v>176.00000000000003</v>
      </c>
      <c r="GN71" s="141">
        <f t="shared" si="373"/>
        <v>176.00000000000003</v>
      </c>
      <c r="GO71" s="141">
        <f t="shared" si="373"/>
        <v>176.00000000000003</v>
      </c>
      <c r="GP71" s="141">
        <f t="shared" si="373"/>
        <v>176.00000000000003</v>
      </c>
      <c r="GQ71" s="141">
        <f t="shared" si="373"/>
        <v>176.00000000000003</v>
      </c>
      <c r="GR71" s="141">
        <f t="shared" si="373"/>
        <v>176.00000000000003</v>
      </c>
      <c r="GS71" s="141">
        <f t="shared" si="373"/>
        <v>176.00000000000003</v>
      </c>
      <c r="GT71" s="141">
        <f t="shared" si="373"/>
        <v>176.00000000000003</v>
      </c>
      <c r="GU71" s="141">
        <f t="shared" si="373"/>
        <v>176.00000000000003</v>
      </c>
      <c r="GV71" s="141">
        <f t="shared" si="373"/>
        <v>176.00000000000003</v>
      </c>
      <c r="GW71" s="141">
        <f t="shared" si="373"/>
        <v>176.00000000000003</v>
      </c>
      <c r="GX71" s="141">
        <f t="shared" si="373"/>
        <v>176.00000000000003</v>
      </c>
      <c r="GY71" s="141">
        <f t="shared" si="373"/>
        <v>176.00000000000003</v>
      </c>
      <c r="GZ71" s="141">
        <f t="shared" si="373"/>
        <v>176.00000000000003</v>
      </c>
      <c r="HA71" s="141">
        <f t="shared" si="373"/>
        <v>176.00000000000003</v>
      </c>
      <c r="HB71" s="141">
        <f t="shared" si="373"/>
        <v>176.00000000000003</v>
      </c>
      <c r="HC71" s="141">
        <f t="shared" si="373"/>
        <v>176.00000000000003</v>
      </c>
      <c r="HD71" s="141">
        <f t="shared" si="373"/>
        <v>176.00000000000003</v>
      </c>
      <c r="HE71" s="141">
        <f t="shared" si="373"/>
        <v>176.00000000000003</v>
      </c>
      <c r="HF71" s="141">
        <f t="shared" si="373"/>
        <v>176.00000000000003</v>
      </c>
      <c r="HG71" s="141">
        <f t="shared" si="373"/>
        <v>176.00000000000003</v>
      </c>
      <c r="HH71" s="141">
        <f t="shared" si="373"/>
        <v>176.00000000000003</v>
      </c>
      <c r="HI71" s="141">
        <f t="shared" si="373"/>
        <v>176.00000000000003</v>
      </c>
      <c r="HJ71" s="141">
        <f t="shared" si="373"/>
        <v>176.00000000000003</v>
      </c>
      <c r="HK71" s="141">
        <f t="shared" si="373"/>
        <v>176.00000000000003</v>
      </c>
      <c r="HL71" s="141">
        <f t="shared" si="373"/>
        <v>176.00000000000003</v>
      </c>
      <c r="HM71" s="142">
        <f t="shared" ref="HM71:IP71" si="374">IF(ISBLANK($A71),,FE71*($AH71-($AH71*$AJ71))/$AI71)</f>
        <v>352.00000000000006</v>
      </c>
      <c r="HN71" s="142">
        <f t="shared" si="374"/>
        <v>352.00000000000006</v>
      </c>
      <c r="HO71" s="142">
        <f t="shared" si="374"/>
        <v>352.00000000000006</v>
      </c>
      <c r="HP71" s="142">
        <f t="shared" si="374"/>
        <v>352.00000000000006</v>
      </c>
      <c r="HQ71" s="142">
        <f t="shared" si="374"/>
        <v>352.00000000000006</v>
      </c>
      <c r="HR71" s="142">
        <f t="shared" si="374"/>
        <v>352.00000000000006</v>
      </c>
      <c r="HS71" s="142">
        <f t="shared" si="374"/>
        <v>352.00000000000006</v>
      </c>
      <c r="HT71" s="142">
        <f t="shared" si="374"/>
        <v>352.00000000000006</v>
      </c>
      <c r="HU71" s="142">
        <f t="shared" si="374"/>
        <v>352.00000000000006</v>
      </c>
      <c r="HV71" s="142">
        <f t="shared" si="374"/>
        <v>352.00000000000006</v>
      </c>
      <c r="HW71" s="142">
        <f t="shared" si="374"/>
        <v>352.00000000000006</v>
      </c>
      <c r="HX71" s="142">
        <f t="shared" si="374"/>
        <v>352.00000000000006</v>
      </c>
      <c r="HY71" s="142">
        <f t="shared" si="374"/>
        <v>352.00000000000006</v>
      </c>
      <c r="HZ71" s="142">
        <f t="shared" si="374"/>
        <v>352.00000000000006</v>
      </c>
      <c r="IA71" s="142">
        <f t="shared" si="374"/>
        <v>352.00000000000006</v>
      </c>
      <c r="IB71" s="142">
        <f t="shared" si="374"/>
        <v>352.00000000000006</v>
      </c>
      <c r="IC71" s="142">
        <f t="shared" si="374"/>
        <v>352.00000000000006</v>
      </c>
      <c r="ID71" s="142">
        <f t="shared" si="374"/>
        <v>352.00000000000006</v>
      </c>
      <c r="IE71" s="142">
        <f t="shared" si="374"/>
        <v>352.00000000000006</v>
      </c>
      <c r="IF71" s="142">
        <f t="shared" si="374"/>
        <v>352.00000000000006</v>
      </c>
      <c r="IG71" s="142">
        <f t="shared" si="374"/>
        <v>352.00000000000006</v>
      </c>
      <c r="IH71" s="142">
        <f t="shared" si="374"/>
        <v>352.00000000000006</v>
      </c>
      <c r="II71" s="142">
        <f t="shared" si="374"/>
        <v>352.00000000000006</v>
      </c>
      <c r="IJ71" s="142">
        <f t="shared" si="374"/>
        <v>352.00000000000006</v>
      </c>
      <c r="IK71" s="142">
        <f t="shared" si="374"/>
        <v>352.00000000000006</v>
      </c>
      <c r="IL71" s="142">
        <f t="shared" si="374"/>
        <v>352.00000000000006</v>
      </c>
      <c r="IM71" s="142">
        <f t="shared" si="374"/>
        <v>352.00000000000006</v>
      </c>
      <c r="IN71" s="142">
        <f t="shared" si="374"/>
        <v>352.00000000000006</v>
      </c>
      <c r="IO71" s="142">
        <f t="shared" si="374"/>
        <v>352.00000000000006</v>
      </c>
      <c r="IP71" s="142">
        <f t="shared" si="374"/>
        <v>352.00000000000006</v>
      </c>
      <c r="IQ71" s="141">
        <f>IF(ISBLANK($A71),,IF($AN71="Não",0,(SUM($AO71:AO71)*$AH71)-SUM($HM71:HM71)-SUM($CW71:CW71)))</f>
        <v>0</v>
      </c>
      <c r="IR71" s="141">
        <f>IF(ISBLANK($A71),,IF($AN71="Não",0,(SUM($AO71:AP71)*$AH71)-SUM($HM71:HN71)-SUM($CW71:CX71)))</f>
        <v>0</v>
      </c>
      <c r="IS71" s="141">
        <f>IF(ISBLANK($A71),,IF($AN71="Não",0,(SUM($AO71:AQ71)*$AH71)-SUM($HM71:HO71)-SUM($CW71:CY71)))</f>
        <v>0</v>
      </c>
      <c r="IT71" s="141">
        <f>IF(ISBLANK($A71),,IF($AN71="Não",0,(SUM($AO71:AR71)*$AH71)-SUM($HM71:HP71)-SUM($CW71:CZ71)))</f>
        <v>0</v>
      </c>
      <c r="IU71" s="141">
        <f>IF(ISBLANK($A71),,IF($AN71="Não",0,(SUM($AO71:AS71)*$AH71)-SUM($HM71:HQ71)-SUM($CW71:DA71)))</f>
        <v>0</v>
      </c>
      <c r="IV71" s="141">
        <f>IF(ISBLANK($A71),,IF($AN71="Não",0,(SUM($AO71:AT71)*$AH71)-SUM($HM71:HR71)-SUM($CW71:DB71)))</f>
        <v>0</v>
      </c>
      <c r="IW71" s="141">
        <f>IF(ISBLANK($A71),,IF($AN71="Não",0,(SUM($AO71:AU71)*$AH71)-SUM($HM71:HS71)-SUM($CW71:DC71)))</f>
        <v>0</v>
      </c>
      <c r="IX71" s="141">
        <f>IF(ISBLANK($A71),,IF($AN71="Não",0,(SUM($AO71:AV71)*$AH71)-SUM($HM71:HT71)-SUM($CW71:DD71)))</f>
        <v>0</v>
      </c>
      <c r="IY71" s="141">
        <f>IF(ISBLANK($A71),,IF($AN71="Não",0,(SUM($AO71:AW71)*$AH71)-SUM($HM71:HU71)-SUM($CW71:DE71)))</f>
        <v>0</v>
      </c>
      <c r="IZ71" s="141">
        <f>IF(ISBLANK($A71),,IF($AN71="Não",0,(SUM($AO71:AX71)*$AH71)-SUM($HM71:HV71)-SUM($CW71:DF71)))</f>
        <v>0</v>
      </c>
      <c r="JA71" s="141">
        <f>IF(ISBLANK($A71),,IF($AN71="Não",0,(SUM($AO71:AY71)*$AH71)-SUM($HM71:HW71)-SUM($CW71:DG71)))</f>
        <v>0</v>
      </c>
      <c r="JB71" s="141">
        <f>IF(ISBLANK($A71),,IF($AN71="Não",0,(SUM($AO71:AZ71)*$AH71)-SUM($HM71:HX71)-SUM($CW71:DH71)))</f>
        <v>0</v>
      </c>
      <c r="JC71" s="141">
        <f>IF(ISBLANK($A71),,IF($AN71="Não",0,(SUM($AO71:BA71)*$AH71)-SUM($HM71:HY71)-SUM($CW71:DI71)))</f>
        <v>0</v>
      </c>
      <c r="JD71" s="141">
        <f>IF(ISBLANK($A71),,IF($AN71="Não",0,(SUM($AO71:BB71)*$AH71)-SUM($HM71:HZ71)-SUM($CW71:DJ71)))</f>
        <v>0</v>
      </c>
      <c r="JE71" s="141">
        <f>IF(ISBLANK($A71),,IF($AN71="Não",0,(SUM($AO71:BC71)*$AH71)-SUM($HM71:IA71)-SUM($CW71:DK71)))</f>
        <v>0</v>
      </c>
      <c r="JF71" s="141">
        <f>IF(ISBLANK($A71),,IF($AN71="Não",0,(SUM($AO71:BD71)*$AH71)-SUM($HM71:IB71)-SUM($CW71:DL71)))</f>
        <v>0</v>
      </c>
      <c r="JG71" s="141">
        <f>IF(ISBLANK($A71),,IF($AN71="Não",0,(SUM($AO71:BE71)*$AH71)-SUM($HM71:IC71)-SUM($CW71:DM71)))</f>
        <v>0</v>
      </c>
      <c r="JH71" s="141">
        <f>IF(ISBLANK($A71),,IF($AN71="Não",0,(SUM($AO71:BF71)*$AH71)-SUM($HM71:ID71)-SUM($CW71:DN71)))</f>
        <v>0</v>
      </c>
      <c r="JI71" s="141">
        <f>IF(ISBLANK($A71),,IF($AN71="Não",0,(SUM($AO71:BG71)*$AH71)-SUM($HM71:IE71)-SUM($CW71:DO71)))</f>
        <v>0</v>
      </c>
      <c r="JJ71" s="141">
        <f>IF(ISBLANK($A71),,IF($AN71="Não",0,(SUM($AO71:BH71)*$AH71)-SUM($HM71:IF71)-SUM($CW71:DP71)))</f>
        <v>0</v>
      </c>
      <c r="JK71" s="141">
        <f>IF(ISBLANK($A71),,IF($AN71="Não",0,(SUM($AO71:BI71)*$AH71)-SUM($HM71:IG71)-SUM($CW71:DQ71)))</f>
        <v>0</v>
      </c>
      <c r="JL71" s="141">
        <f>IF(ISBLANK($A71),,IF($AN71="Não",0,(SUM($AO71:BJ71)*$AH71)-SUM($HM71:IH71)-SUM($CW71:DR71)))</f>
        <v>0</v>
      </c>
      <c r="JM71" s="141">
        <f>IF(ISBLANK($A71),,IF($AN71="Não",0,(SUM($AO71:BK71)*$AH71)-SUM($HM71:II71)-SUM($CW71:DS71)))</f>
        <v>0</v>
      </c>
      <c r="JN71" s="141">
        <f>IF(ISBLANK($A71),,IF($AN71="Não",0,(SUM($AO71:BL71)*$AH71)-SUM($HM71:IJ71)-SUM($CW71:DT71)))</f>
        <v>0</v>
      </c>
      <c r="JO71" s="141">
        <f>IF(ISBLANK($A71),,IF($AN71="Não",0,(SUM($AO71:BM71)*$AH71)-SUM($HM71:IK71)-SUM($CW71:DU71)))</f>
        <v>0</v>
      </c>
      <c r="JP71" s="141">
        <f>IF(ISBLANK($A71),,IF($AN71="Não",0,(SUM($AO71:BN71)*$AH71)-SUM($HM71:IL71)-SUM($CW71:DV71)))</f>
        <v>0</v>
      </c>
      <c r="JQ71" s="141">
        <f>IF(ISBLANK($A71),,IF($AN71="Não",0,(SUM($AO71:BO71)*$AH71)-SUM($HM71:IM71)-SUM($CW71:DW71)))</f>
        <v>0</v>
      </c>
      <c r="JR71" s="141">
        <f>IF(ISBLANK($A71),,IF($AN71="Não",0,(SUM($AO71:BP71)*$AH71)-SUM($HM71:IN71)-SUM($CW71:DX71)))</f>
        <v>0</v>
      </c>
      <c r="JS71" s="141">
        <f>IF(ISBLANK($A71),,IF($AN71="Não",0,(SUM($AO71:BQ71)*$AH71)-SUM($HM71:IO71)-SUM($CW71:DY71)))</f>
        <v>0</v>
      </c>
      <c r="JT71" s="141">
        <f>IF(ISBLANK($A71),,IF($AN71="Não",0,(SUM($AO71:BR71)*$AH71)-SUM($HM71:IP71)-SUM($CW71:DZ71)))</f>
        <v>0</v>
      </c>
    </row>
    <row r="72" spans="1:280" ht="15.75" customHeight="1">
      <c r="A72" s="129" t="s">
        <v>385</v>
      </c>
      <c r="B72" s="129" t="s">
        <v>209</v>
      </c>
      <c r="C72" s="138" t="s">
        <v>95</v>
      </c>
      <c r="D72" s="139">
        <v>44</v>
      </c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607">
        <f t="shared" si="286"/>
        <v>5101.2060000000001</v>
      </c>
      <c r="AI72" s="608">
        <f t="shared" si="287"/>
        <v>10</v>
      </c>
      <c r="AJ72" s="609">
        <f t="shared" si="288"/>
        <v>0.4</v>
      </c>
      <c r="AK72" s="610" t="str">
        <f t="shared" si="289"/>
        <v>Equipamentos e instalações</v>
      </c>
      <c r="AL72" s="609">
        <f t="shared" si="290"/>
        <v>0.05</v>
      </c>
      <c r="AM72" s="611" t="str">
        <f t="shared" si="291"/>
        <v>Sim</v>
      </c>
      <c r="AN72" s="611" t="str">
        <f t="shared" si="292"/>
        <v>Sim</v>
      </c>
      <c r="AO72" s="140">
        <f t="array" ref="AO72">IF(ISBLANK($A72),0,IF(OR(AO$5-$AI72&lt;=0,$AM72="Não"),D72,D72+INDEX($AO$6:$BR$176,ROW()-5,COLUMN()-40-$AI72)))*IF($B72="Operacional",IFERROR(VLOOKUP($C72,SN_UGC,28,0),0),1)</f>
        <v>44</v>
      </c>
      <c r="AP72" s="140">
        <f t="array" ref="AP72">IF(ISBLANK($A72),0,IF(OR(AP$5-$AI72&lt;=0,$AM72="Não"),E72,E72+INDEX($AO$6:$BR$176,ROW()-5,COLUMN()-40-$AI72)))*IF($B72="Operacional",IFERROR(VLOOKUP($C72,SN_UGC,28,0),0),1)</f>
        <v>0</v>
      </c>
      <c r="AQ72" s="140">
        <f t="array" ref="AQ72">IF(ISBLANK($A72),0,IF(OR(AQ$5-$AI72&lt;=0,$AM72="Não"),F72,F72+INDEX($AO$6:$BR$176,ROW()-5,COLUMN()-40-$AI72)))*IF($B72="Operacional",IFERROR(VLOOKUP($C72,SN_UGC,28,0),0),1)</f>
        <v>0</v>
      </c>
      <c r="AR72" s="140">
        <f t="array" ref="AR72">IF(ISBLANK($A72),0,IF(OR(AR$5-$AI72&lt;=0,$AM72="Não"),G72,G72+INDEX($AO$6:$BR$176,ROW()-5,COLUMN()-40-$AI72)))*IF($B72="Operacional",IFERROR(VLOOKUP($C72,SN_UGC,28,0),0),1)</f>
        <v>0</v>
      </c>
      <c r="AS72" s="140">
        <f t="array" ref="AS72">IF(ISBLANK($A72),0,IF(OR(AS$5-$AI72&lt;=0,$AM72="Não"),H72,H72+INDEX($AO$6:$BR$176,ROW()-5,COLUMN()-40-$AI72)))*IF($B72="Operacional",IFERROR(VLOOKUP($C72,SN_UGC,28,0),0),1)</f>
        <v>0</v>
      </c>
      <c r="AT72" s="140">
        <f t="array" ref="AT72">IF(ISBLANK($A72),0,IF(OR(AT$5-$AI72&lt;=0,$AM72="Não"),I72,I72+INDEX($AO$6:$BR$176,ROW()-5,COLUMN()-40-$AI72)))*IF($B72="Operacional",IFERROR(VLOOKUP($C72,SN_UGC,28,0),0),1)</f>
        <v>0</v>
      </c>
      <c r="AU72" s="140">
        <f t="array" ref="AU72">IF(ISBLANK($A72),0,IF(OR(AU$5-$AI72&lt;=0,$AM72="Não"),J72,J72+INDEX($AO$6:$BR$176,ROW()-5,COLUMN()-40-$AI72)))*IF($B72="Operacional",IFERROR(VLOOKUP($C72,SN_UGC,28,0),0),1)</f>
        <v>0</v>
      </c>
      <c r="AV72" s="140">
        <f t="array" ref="AV72">IF(ISBLANK($A72),0,IF(OR(AV$5-$AI72&lt;=0,$AM72="Não"),K72,K72+INDEX($AO$6:$BR$176,ROW()-5,COLUMN()-40-$AI72)))*IF($B72="Operacional",IFERROR(VLOOKUP($C72,SN_UGC,28,0),0),1)</f>
        <v>0</v>
      </c>
      <c r="AW72" s="140">
        <f t="array" ref="AW72">IF(ISBLANK($A72),0,IF(OR(AW$5-$AI72&lt;=0,$AM72="Não"),L72,L72+INDEX($AO$6:$BR$176,ROW()-5,COLUMN()-40-$AI72)))*IF($B72="Operacional",IFERROR(VLOOKUP($C72,SN_UGC,28,0),0),1)</f>
        <v>0</v>
      </c>
      <c r="AX72" s="140">
        <f t="array" ref="AX72">IF(ISBLANK($A72),0,IF(OR(AX$5-$AI72&lt;=0,$AM72="Não"),M72,M72+INDEX($AO$6:$BR$176,ROW()-5,COLUMN()-40-$AI72)))*IF($B72="Operacional",IFERROR(VLOOKUP($C72,SN_UGC,28,0),0),1)</f>
        <v>0</v>
      </c>
      <c r="AY72" s="140">
        <f t="array" ref="AY72">IF(ISBLANK($A72),0,IF(OR(AY$5-$AI72&lt;=0,$AM72="Não"),N72,N72+INDEX($AO$6:$BR$176,ROW()-5,COLUMN()-40-$AI72)))*IF($B72="Operacional",IFERROR(VLOOKUP($C72,SN_UGC,28,0),0),1)</f>
        <v>44</v>
      </c>
      <c r="AZ72" s="140">
        <f t="array" ref="AZ72">IF(ISBLANK($A72),0,IF(OR(AZ$5-$AI72&lt;=0,$AM72="Não"),O72,O72+INDEX($AO$6:$BR$176,ROW()-5,COLUMN()-40-$AI72)))*IF($B72="Operacional",IFERROR(VLOOKUP($C72,SN_UGC,28,0),0),1)</f>
        <v>0</v>
      </c>
      <c r="BA72" s="140">
        <f t="array" ref="BA72">IF(ISBLANK($A72),0,IF(OR(BA$5-$AI72&lt;=0,$AM72="Não"),P72,P72+INDEX($AO$6:$BR$176,ROW()-5,COLUMN()-40-$AI72)))*IF($B72="Operacional",IFERROR(VLOOKUP($C72,SN_UGC,28,0),0),1)</f>
        <v>0</v>
      </c>
      <c r="BB72" s="140">
        <f t="array" ref="BB72">IF(ISBLANK($A72),0,IF(OR(BB$5-$AI72&lt;=0,$AM72="Não"),Q72,Q72+INDEX($AO$6:$BR$176,ROW()-5,COLUMN()-40-$AI72)))*IF($B72="Operacional",IFERROR(VLOOKUP($C72,SN_UGC,28,0),0),1)</f>
        <v>0</v>
      </c>
      <c r="BC72" s="140">
        <f t="array" ref="BC72">IF(ISBLANK($A72),0,IF(OR(BC$5-$AI72&lt;=0,$AM72="Não"),R72,R72+INDEX($AO$6:$BR$176,ROW()-5,COLUMN()-40-$AI72)))*IF($B72="Operacional",IFERROR(VLOOKUP($C72,SN_UGC,28,0),0),1)</f>
        <v>0</v>
      </c>
      <c r="BD72" s="140">
        <f t="array" ref="BD72">IF(ISBLANK($A72),0,IF(OR(BD$5-$AI72&lt;=0,$AM72="Não"),S72,S72+INDEX($AO$6:$BR$176,ROW()-5,COLUMN()-40-$AI72)))*IF($B72="Operacional",IFERROR(VLOOKUP($C72,SN_UGC,28,0),0),1)</f>
        <v>0</v>
      </c>
      <c r="BE72" s="140">
        <f t="array" ref="BE72">IF(ISBLANK($A72),0,IF(OR(BE$5-$AI72&lt;=0,$AM72="Não"),T72,T72+INDEX($AO$6:$BR$176,ROW()-5,COLUMN()-40-$AI72)))*IF($B72="Operacional",IFERROR(VLOOKUP($C72,SN_UGC,28,0),0),1)</f>
        <v>0</v>
      </c>
      <c r="BF72" s="140">
        <f t="array" ref="BF72">IF(ISBLANK($A72),0,IF(OR(BF$5-$AI72&lt;=0,$AM72="Não"),U72,U72+INDEX($AO$6:$BR$176,ROW()-5,COLUMN()-40-$AI72)))*IF($B72="Operacional",IFERROR(VLOOKUP($C72,SN_UGC,28,0),0),1)</f>
        <v>0</v>
      </c>
      <c r="BG72" s="140">
        <f t="array" ref="BG72">IF(ISBLANK($A72),0,IF(OR(BG$5-$AI72&lt;=0,$AM72="Não"),V72,V72+INDEX($AO$6:$BR$176,ROW()-5,COLUMN()-40-$AI72)))*IF($B72="Operacional",IFERROR(VLOOKUP($C72,SN_UGC,28,0),0),1)</f>
        <v>0</v>
      </c>
      <c r="BH72" s="140">
        <f t="array" ref="BH72">IF(ISBLANK($A72),0,IF(OR(BH$5-$AI72&lt;=0,$AM72="Não"),W72,W72+INDEX($AO$6:$BR$176,ROW()-5,COLUMN()-40-$AI72)))*IF($B72="Operacional",IFERROR(VLOOKUP($C72,SN_UGC,28,0),0),1)</f>
        <v>0</v>
      </c>
      <c r="BI72" s="140">
        <f t="array" ref="BI72">IF(ISBLANK($A72),0,IF(OR(BI$5-$AI72&lt;=0,$AM72="Não"),X72,X72+INDEX($AO$6:$BR$176,ROW()-5,COLUMN()-40-$AI72)))*IF($B72="Operacional",IFERROR(VLOOKUP($C72,SN_UGC,28,0),0),1)</f>
        <v>44</v>
      </c>
      <c r="BJ72" s="140">
        <f t="array" ref="BJ72">IF(ISBLANK($A72),0,IF(OR(BJ$5-$AI72&lt;=0,$AM72="Não"),Y72,Y72+INDEX($AO$6:$BR$176,ROW()-5,COLUMN()-40-$AI72)))*IF($B72="Operacional",IFERROR(VLOOKUP($C72,SN_UGC,28,0),0),1)</f>
        <v>0</v>
      </c>
      <c r="BK72" s="140">
        <f t="array" ref="BK72">IF(ISBLANK($A72),0,IF(OR(BK$5-$AI72&lt;=0,$AM72="Não"),Z72,Z72+INDEX($AO$6:$BR$176,ROW()-5,COLUMN()-40-$AI72)))*IF($B72="Operacional",IFERROR(VLOOKUP($C72,SN_UGC,28,0),0),1)</f>
        <v>0</v>
      </c>
      <c r="BL72" s="140">
        <f t="array" ref="BL72">IF(ISBLANK($A72),0,IF(OR(BL$5-$AI72&lt;=0,$AM72="Não"),AA72,AA72+INDEX($AO$6:$BR$176,ROW()-5,COLUMN()-40-$AI72)))*IF($B72="Operacional",IFERROR(VLOOKUP($C72,SN_UGC,28,0),0),1)</f>
        <v>0</v>
      </c>
      <c r="BM72" s="140">
        <f t="array" ref="BM72">IF(ISBLANK($A72),0,IF(OR(BM$5-$AI72&lt;=0,$AM72="Não"),AB72,AB72+INDEX($AO$6:$BR$176,ROW()-5,COLUMN()-40-$AI72)))*IF($B72="Operacional",IFERROR(VLOOKUP($C72,SN_UGC,28,0),0),1)</f>
        <v>0</v>
      </c>
      <c r="BN72" s="140">
        <f t="array" ref="BN72">IF(ISBLANK($A72),0,IF(OR(BN$5-$AI72&lt;=0,$AM72="Não"),AC72,AC72+INDEX($AO$6:$BR$176,ROW()-5,COLUMN()-40-$AI72)))*IF($B72="Operacional",IFERROR(VLOOKUP($C72,SN_UGC,28,0),0),1)</f>
        <v>0</v>
      </c>
      <c r="BO72" s="140">
        <f t="array" ref="BO72">IF(ISBLANK($A72),0,IF(OR(BO$5-$AI72&lt;=0,$AM72="Não"),AD72,AD72+INDEX($AO$6:$BR$176,ROW()-5,COLUMN()-40-$AI72)))*IF($B72="Operacional",IFERROR(VLOOKUP($C72,SN_UGC,28,0),0),1)</f>
        <v>0</v>
      </c>
      <c r="BP72" s="140">
        <f t="array" ref="BP72">IF(ISBLANK($A72),0,IF(OR(BP$5-$AI72&lt;=0,$AM72="Não"),AE72,AE72+INDEX($AO$6:$BR$176,ROW()-5,COLUMN()-40-$AI72)))*IF($B72="Operacional",IFERROR(VLOOKUP($C72,SN_UGC,28,0),0),1)</f>
        <v>0</v>
      </c>
      <c r="BQ72" s="140">
        <f t="array" ref="BQ72">IF(ISBLANK($A72),0,IF(OR(BQ$5-$AI72&lt;=0,$AM72="Não"),AF72,AF72+INDEX($AO$6:$BR$176,ROW()-5,COLUMN()-40-$AI72)))*IF($B72="Operacional",IFERROR(VLOOKUP($C72,SN_UGC,28,0),0),1)</f>
        <v>0</v>
      </c>
      <c r="BR72" s="140">
        <f t="array" ref="BR72">IF(ISBLANK($A72),0,IF(OR(BR$5-$AI72&lt;=0,$AM72="Não"),AG72,AG72+INDEX($AO$6:$BR$176,ROW()-5,COLUMN()-40-$AI72)))*IF($B72="Operacional",IFERROR(VLOOKUP($C72,SN_UGC,28,0),0),1)</f>
        <v>0</v>
      </c>
      <c r="BS72" s="141">
        <f t="shared" ref="BS72:CV72" si="375">IF(ISBLANK($A72),0,$AH72*AO72)</f>
        <v>224453.06400000001</v>
      </c>
      <c r="BT72" s="141">
        <f t="shared" si="375"/>
        <v>0</v>
      </c>
      <c r="BU72" s="141">
        <f t="shared" si="375"/>
        <v>0</v>
      </c>
      <c r="BV72" s="141">
        <f t="shared" si="375"/>
        <v>0</v>
      </c>
      <c r="BW72" s="141">
        <f t="shared" si="375"/>
        <v>0</v>
      </c>
      <c r="BX72" s="141">
        <f t="shared" si="375"/>
        <v>0</v>
      </c>
      <c r="BY72" s="141">
        <f t="shared" si="375"/>
        <v>0</v>
      </c>
      <c r="BZ72" s="141">
        <f t="shared" si="375"/>
        <v>0</v>
      </c>
      <c r="CA72" s="141">
        <f t="shared" si="375"/>
        <v>0</v>
      </c>
      <c r="CB72" s="141">
        <f t="shared" si="375"/>
        <v>0</v>
      </c>
      <c r="CC72" s="141">
        <f t="shared" si="375"/>
        <v>224453.06400000001</v>
      </c>
      <c r="CD72" s="141">
        <f t="shared" si="375"/>
        <v>0</v>
      </c>
      <c r="CE72" s="141">
        <f t="shared" si="375"/>
        <v>0</v>
      </c>
      <c r="CF72" s="141">
        <f t="shared" si="375"/>
        <v>0</v>
      </c>
      <c r="CG72" s="141">
        <f t="shared" si="375"/>
        <v>0</v>
      </c>
      <c r="CH72" s="141">
        <f t="shared" si="375"/>
        <v>0</v>
      </c>
      <c r="CI72" s="141">
        <f t="shared" si="375"/>
        <v>0</v>
      </c>
      <c r="CJ72" s="141">
        <f t="shared" si="375"/>
        <v>0</v>
      </c>
      <c r="CK72" s="141">
        <f t="shared" si="375"/>
        <v>0</v>
      </c>
      <c r="CL72" s="141">
        <f t="shared" si="375"/>
        <v>0</v>
      </c>
      <c r="CM72" s="141">
        <f t="shared" si="375"/>
        <v>224453.06400000001</v>
      </c>
      <c r="CN72" s="141">
        <f t="shared" si="375"/>
        <v>0</v>
      </c>
      <c r="CO72" s="141">
        <f t="shared" si="375"/>
        <v>0</v>
      </c>
      <c r="CP72" s="141">
        <f t="shared" si="375"/>
        <v>0</v>
      </c>
      <c r="CQ72" s="141">
        <f t="shared" si="375"/>
        <v>0</v>
      </c>
      <c r="CR72" s="141">
        <f t="shared" si="375"/>
        <v>0</v>
      </c>
      <c r="CS72" s="141">
        <f t="shared" si="375"/>
        <v>0</v>
      </c>
      <c r="CT72" s="141">
        <f t="shared" si="375"/>
        <v>0</v>
      </c>
      <c r="CU72" s="141">
        <f t="shared" si="375"/>
        <v>0</v>
      </c>
      <c r="CV72" s="141">
        <f t="shared" si="375"/>
        <v>0</v>
      </c>
      <c r="CW72" s="142">
        <f t="shared" ref="CW72:DZ72" si="376">EA72*$AH72*$AJ72</f>
        <v>0</v>
      </c>
      <c r="CX72" s="142">
        <f t="shared" si="376"/>
        <v>0</v>
      </c>
      <c r="CY72" s="142">
        <f t="shared" si="376"/>
        <v>0</v>
      </c>
      <c r="CZ72" s="142">
        <f t="shared" si="376"/>
        <v>0</v>
      </c>
      <c r="DA72" s="142">
        <f t="shared" si="376"/>
        <v>0</v>
      </c>
      <c r="DB72" s="142">
        <f t="shared" si="376"/>
        <v>0</v>
      </c>
      <c r="DC72" s="142">
        <f t="shared" si="376"/>
        <v>0</v>
      </c>
      <c r="DD72" s="142">
        <f t="shared" si="376"/>
        <v>0</v>
      </c>
      <c r="DE72" s="142">
        <f t="shared" si="376"/>
        <v>0</v>
      </c>
      <c r="DF72" s="142">
        <f t="shared" si="376"/>
        <v>0</v>
      </c>
      <c r="DG72" s="142">
        <f t="shared" si="376"/>
        <v>89781.225600000005</v>
      </c>
      <c r="DH72" s="142">
        <f t="shared" si="376"/>
        <v>0</v>
      </c>
      <c r="DI72" s="142">
        <f t="shared" si="376"/>
        <v>0</v>
      </c>
      <c r="DJ72" s="142">
        <f t="shared" si="376"/>
        <v>0</v>
      </c>
      <c r="DK72" s="142">
        <f t="shared" si="376"/>
        <v>0</v>
      </c>
      <c r="DL72" s="142">
        <f t="shared" si="376"/>
        <v>0</v>
      </c>
      <c r="DM72" s="142">
        <f t="shared" si="376"/>
        <v>0</v>
      </c>
      <c r="DN72" s="142">
        <f t="shared" si="376"/>
        <v>0</v>
      </c>
      <c r="DO72" s="142">
        <f t="shared" si="376"/>
        <v>0</v>
      </c>
      <c r="DP72" s="142">
        <f t="shared" si="376"/>
        <v>0</v>
      </c>
      <c r="DQ72" s="142">
        <f t="shared" si="376"/>
        <v>89781.225600000005</v>
      </c>
      <c r="DR72" s="142">
        <f t="shared" si="376"/>
        <v>0</v>
      </c>
      <c r="DS72" s="142">
        <f t="shared" si="376"/>
        <v>0</v>
      </c>
      <c r="DT72" s="142">
        <f t="shared" si="376"/>
        <v>0</v>
      </c>
      <c r="DU72" s="142">
        <f t="shared" si="376"/>
        <v>0</v>
      </c>
      <c r="DV72" s="142">
        <f t="shared" si="376"/>
        <v>0</v>
      </c>
      <c r="DW72" s="142">
        <f t="shared" si="376"/>
        <v>0</v>
      </c>
      <c r="DX72" s="142">
        <f t="shared" si="376"/>
        <v>0</v>
      </c>
      <c r="DY72" s="142">
        <f t="shared" si="376"/>
        <v>0</v>
      </c>
      <c r="DZ72" s="142">
        <f t="shared" si="376"/>
        <v>0</v>
      </c>
      <c r="EA72" s="143">
        <f t="shared" si="339"/>
        <v>0</v>
      </c>
      <c r="EB72" s="143">
        <f t="shared" si="340"/>
        <v>0</v>
      </c>
      <c r="EC72" s="143">
        <f t="shared" si="341"/>
        <v>0</v>
      </c>
      <c r="ED72" s="143">
        <f t="shared" si="342"/>
        <v>0</v>
      </c>
      <c r="EE72" s="143">
        <f t="shared" si="343"/>
        <v>0</v>
      </c>
      <c r="EF72" s="143">
        <f t="shared" si="344"/>
        <v>0</v>
      </c>
      <c r="EG72" s="143">
        <f t="shared" si="345"/>
        <v>0</v>
      </c>
      <c r="EH72" s="143">
        <f t="shared" si="346"/>
        <v>0</v>
      </c>
      <c r="EI72" s="143">
        <f t="shared" si="347"/>
        <v>0</v>
      </c>
      <c r="EJ72" s="143">
        <f t="shared" si="348"/>
        <v>0</v>
      </c>
      <c r="EK72" s="143">
        <f t="shared" si="349"/>
        <v>44</v>
      </c>
      <c r="EL72" s="143">
        <f t="shared" si="350"/>
        <v>0</v>
      </c>
      <c r="EM72" s="143">
        <f t="shared" si="351"/>
        <v>0</v>
      </c>
      <c r="EN72" s="143">
        <f t="shared" si="352"/>
        <v>0</v>
      </c>
      <c r="EO72" s="143">
        <f t="shared" si="353"/>
        <v>0</v>
      </c>
      <c r="EP72" s="143">
        <f t="shared" si="354"/>
        <v>0</v>
      </c>
      <c r="EQ72" s="143">
        <f t="shared" si="355"/>
        <v>0</v>
      </c>
      <c r="ER72" s="143">
        <f t="shared" si="356"/>
        <v>0</v>
      </c>
      <c r="ES72" s="143">
        <f t="shared" si="357"/>
        <v>0</v>
      </c>
      <c r="ET72" s="143">
        <f t="shared" si="358"/>
        <v>0</v>
      </c>
      <c r="EU72" s="143">
        <f t="shared" si="359"/>
        <v>44</v>
      </c>
      <c r="EV72" s="143">
        <f t="shared" si="360"/>
        <v>0</v>
      </c>
      <c r="EW72" s="143">
        <f t="shared" si="361"/>
        <v>0</v>
      </c>
      <c r="EX72" s="143">
        <f t="shared" si="362"/>
        <v>0</v>
      </c>
      <c r="EY72" s="143">
        <f t="shared" si="363"/>
        <v>0</v>
      </c>
      <c r="EZ72" s="143">
        <f t="shared" si="364"/>
        <v>0</v>
      </c>
      <c r="FA72" s="143">
        <f t="shared" si="365"/>
        <v>0</v>
      </c>
      <c r="FB72" s="143">
        <f t="shared" si="366"/>
        <v>0</v>
      </c>
      <c r="FC72" s="143">
        <f t="shared" si="367"/>
        <v>0</v>
      </c>
      <c r="FD72" s="143">
        <f t="shared" si="368"/>
        <v>0</v>
      </c>
      <c r="FE72" s="140">
        <f>SUM($D72:D72)*IF($B72="Operacional",IFERROR(VLOOKUP($C72,SN_UGC,28,0),0),1)</f>
        <v>44</v>
      </c>
      <c r="FF72" s="140">
        <f>SUM($D72:E72)*IF($B72="Operacional",IFERROR(VLOOKUP($C72,SN_UGC,28,0),0),1)</f>
        <v>44</v>
      </c>
      <c r="FG72" s="140">
        <f>SUM($D72:F72)*IF($B72="Operacional",IFERROR(VLOOKUP($C72,SN_UGC,28,0),0),1)</f>
        <v>44</v>
      </c>
      <c r="FH72" s="140">
        <f>SUM($D72:G72)*IF($B72="Operacional",IFERROR(VLOOKUP($C72,SN_UGC,28,0),0),1)</f>
        <v>44</v>
      </c>
      <c r="FI72" s="140">
        <f>SUM($D72:H72)*IF($B72="Operacional",IFERROR(VLOOKUP($C72,SN_UGC,28,0),0),1)</f>
        <v>44</v>
      </c>
      <c r="FJ72" s="140">
        <f>SUM($D72:I72)*IF($B72="Operacional",IFERROR(VLOOKUP($C72,SN_UGC,28,0),0),1)</f>
        <v>44</v>
      </c>
      <c r="FK72" s="140">
        <f>SUM($D72:J72)*IF($B72="Operacional",IFERROR(VLOOKUP($C72,SN_UGC,28,0),0),1)</f>
        <v>44</v>
      </c>
      <c r="FL72" s="140">
        <f>SUM($D72:K72)*IF($B72="Operacional",IFERROR(VLOOKUP($C72,SN_UGC,28,0),0),1)</f>
        <v>44</v>
      </c>
      <c r="FM72" s="140">
        <f>SUM($D72:L72)*IF($B72="Operacional",IFERROR(VLOOKUP($C72,SN_UGC,28,0),0),1)</f>
        <v>44</v>
      </c>
      <c r="FN72" s="140">
        <f>SUM($D72:M72)*IF($B72="Operacional",IFERROR(VLOOKUP($C72,SN_UGC,28,0),0),1)</f>
        <v>44</v>
      </c>
      <c r="FO72" s="140">
        <f>SUM($D72:N72)*IF($B72="Operacional",IFERROR(VLOOKUP($C72,SN_UGC,28,0),0),1)</f>
        <v>44</v>
      </c>
      <c r="FP72" s="140">
        <f>SUM($D72:O72)*IF($B72="Operacional",IFERROR(VLOOKUP($C72,SN_UGC,28,0),0),1)</f>
        <v>44</v>
      </c>
      <c r="FQ72" s="140">
        <f>SUM($D72:P72)*IF($B72="Operacional",IFERROR(VLOOKUP($C72,SN_UGC,28,0),0),1)</f>
        <v>44</v>
      </c>
      <c r="FR72" s="140">
        <f>SUM($D72:Q72)*IF($B72="Operacional",IFERROR(VLOOKUP($C72,SN_UGC,28,0),0),1)</f>
        <v>44</v>
      </c>
      <c r="FS72" s="140">
        <f>SUM($D72:R72)*IF($B72="Operacional",IFERROR(VLOOKUP($C72,SN_UGC,28,0),0),1)</f>
        <v>44</v>
      </c>
      <c r="FT72" s="140">
        <f>SUM($D72:S72)*IF($B72="Operacional",IFERROR(VLOOKUP($C72,SN_UGC,28,0),0),1)</f>
        <v>44</v>
      </c>
      <c r="FU72" s="140">
        <f>SUM($D72:T72)*IF($B72="Operacional",IFERROR(VLOOKUP($C72,SN_UGC,28,0),0),1)</f>
        <v>44</v>
      </c>
      <c r="FV72" s="140">
        <f>SUM($D72:U72)*IF($B72="Operacional",IFERROR(VLOOKUP($C72,SN_UGC,28,0),0),1)</f>
        <v>44</v>
      </c>
      <c r="FW72" s="140">
        <f>SUM($D72:V72)*IF($B72="Operacional",IFERROR(VLOOKUP($C72,SN_UGC,28,0),0),1)</f>
        <v>44</v>
      </c>
      <c r="FX72" s="140">
        <f>SUM($D72:W72)*IF($B72="Operacional",IFERROR(VLOOKUP($C72,SN_UGC,28,0),0),1)</f>
        <v>44</v>
      </c>
      <c r="FY72" s="140">
        <f>SUM($D72:X72)*IF($B72="Operacional",IFERROR(VLOOKUP($C72,SN_UGC,28,0),0),1)</f>
        <v>44</v>
      </c>
      <c r="FZ72" s="140">
        <f>SUM($D72:Y72)*IF($B72="Operacional",IFERROR(VLOOKUP($C72,SN_UGC,28,0),0),1)</f>
        <v>44</v>
      </c>
      <c r="GA72" s="140">
        <f>SUM($D72:Z72)*IF($B72="Operacional",IFERROR(VLOOKUP($C72,SN_UGC,28,0),0),1)</f>
        <v>44</v>
      </c>
      <c r="GB72" s="140">
        <f>SUM($D72:AA72)*IF($B72="Operacional",IFERROR(VLOOKUP($C72,SN_UGC,28,0),0),1)</f>
        <v>44</v>
      </c>
      <c r="GC72" s="140">
        <f>SUM($D72:AB72)*IF($B72="Operacional",IFERROR(VLOOKUP($C72,SN_UGC,28,0),0),1)</f>
        <v>44</v>
      </c>
      <c r="GD72" s="140">
        <f>SUM($D72:AC72)*IF($B72="Operacional",IFERROR(VLOOKUP($C72,SN_UGC,28,0),0),1)</f>
        <v>44</v>
      </c>
      <c r="GE72" s="140">
        <f>SUM($D72:AD72)*IF($B72="Operacional",IFERROR(VLOOKUP($C72,SN_UGC,28,0),0),1)</f>
        <v>44</v>
      </c>
      <c r="GF72" s="140">
        <f>SUM($D72:AE72)*IF($B72="Operacional",IFERROR(VLOOKUP($C72,SN_UGC,28,0),0),1)</f>
        <v>44</v>
      </c>
      <c r="GG72" s="140">
        <f>SUM($D72:AF72)*IF($B72="Operacional",IFERROR(VLOOKUP($C72,SN_UGC,28,0),0),1)</f>
        <v>44</v>
      </c>
      <c r="GH72" s="140">
        <f>SUM($D72:AG72)*IF($B72="Operacional",IFERROR(VLOOKUP($C72,SN_UGC,28,0),0),1)</f>
        <v>44</v>
      </c>
      <c r="GI72" s="141">
        <f t="shared" ref="GI72:HL72" si="377">FE72*$AH72*$AL72</f>
        <v>11222.653200000001</v>
      </c>
      <c r="GJ72" s="141">
        <f t="shared" si="377"/>
        <v>11222.653200000001</v>
      </c>
      <c r="GK72" s="141">
        <f t="shared" si="377"/>
        <v>11222.653200000001</v>
      </c>
      <c r="GL72" s="141">
        <f t="shared" si="377"/>
        <v>11222.653200000001</v>
      </c>
      <c r="GM72" s="141">
        <f t="shared" si="377"/>
        <v>11222.653200000001</v>
      </c>
      <c r="GN72" s="141">
        <f t="shared" si="377"/>
        <v>11222.653200000001</v>
      </c>
      <c r="GO72" s="141">
        <f t="shared" si="377"/>
        <v>11222.653200000001</v>
      </c>
      <c r="GP72" s="141">
        <f t="shared" si="377"/>
        <v>11222.653200000001</v>
      </c>
      <c r="GQ72" s="141">
        <f t="shared" si="377"/>
        <v>11222.653200000001</v>
      </c>
      <c r="GR72" s="141">
        <f t="shared" si="377"/>
        <v>11222.653200000001</v>
      </c>
      <c r="GS72" s="141">
        <f t="shared" si="377"/>
        <v>11222.653200000001</v>
      </c>
      <c r="GT72" s="141">
        <f t="shared" si="377"/>
        <v>11222.653200000001</v>
      </c>
      <c r="GU72" s="141">
        <f t="shared" si="377"/>
        <v>11222.653200000001</v>
      </c>
      <c r="GV72" s="141">
        <f t="shared" si="377"/>
        <v>11222.653200000001</v>
      </c>
      <c r="GW72" s="141">
        <f t="shared" si="377"/>
        <v>11222.653200000001</v>
      </c>
      <c r="GX72" s="141">
        <f t="shared" si="377"/>
        <v>11222.653200000001</v>
      </c>
      <c r="GY72" s="141">
        <f t="shared" si="377"/>
        <v>11222.653200000001</v>
      </c>
      <c r="GZ72" s="141">
        <f t="shared" si="377"/>
        <v>11222.653200000001</v>
      </c>
      <c r="HA72" s="141">
        <f t="shared" si="377"/>
        <v>11222.653200000001</v>
      </c>
      <c r="HB72" s="141">
        <f t="shared" si="377"/>
        <v>11222.653200000001</v>
      </c>
      <c r="HC72" s="141">
        <f t="shared" si="377"/>
        <v>11222.653200000001</v>
      </c>
      <c r="HD72" s="141">
        <f t="shared" si="377"/>
        <v>11222.653200000001</v>
      </c>
      <c r="HE72" s="141">
        <f t="shared" si="377"/>
        <v>11222.653200000001</v>
      </c>
      <c r="HF72" s="141">
        <f t="shared" si="377"/>
        <v>11222.653200000001</v>
      </c>
      <c r="HG72" s="141">
        <f t="shared" si="377"/>
        <v>11222.653200000001</v>
      </c>
      <c r="HH72" s="141">
        <f t="shared" si="377"/>
        <v>11222.653200000001</v>
      </c>
      <c r="HI72" s="141">
        <f t="shared" si="377"/>
        <v>11222.653200000001</v>
      </c>
      <c r="HJ72" s="141">
        <f t="shared" si="377"/>
        <v>11222.653200000001</v>
      </c>
      <c r="HK72" s="141">
        <f t="shared" si="377"/>
        <v>11222.653200000001</v>
      </c>
      <c r="HL72" s="141">
        <f t="shared" si="377"/>
        <v>11222.653200000001</v>
      </c>
      <c r="HM72" s="142">
        <f t="shared" ref="HM72:IP72" si="378">IF(ISBLANK($A72),,FE72*($AH72-($AH72*$AJ72))/$AI72)</f>
        <v>13467.183840000002</v>
      </c>
      <c r="HN72" s="142">
        <f t="shared" si="378"/>
        <v>13467.183840000002</v>
      </c>
      <c r="HO72" s="142">
        <f t="shared" si="378"/>
        <v>13467.183840000002</v>
      </c>
      <c r="HP72" s="142">
        <f t="shared" si="378"/>
        <v>13467.183840000002</v>
      </c>
      <c r="HQ72" s="142">
        <f t="shared" si="378"/>
        <v>13467.183840000002</v>
      </c>
      <c r="HR72" s="142">
        <f t="shared" si="378"/>
        <v>13467.183840000002</v>
      </c>
      <c r="HS72" s="142">
        <f t="shared" si="378"/>
        <v>13467.183840000002</v>
      </c>
      <c r="HT72" s="142">
        <f t="shared" si="378"/>
        <v>13467.183840000002</v>
      </c>
      <c r="HU72" s="142">
        <f t="shared" si="378"/>
        <v>13467.183840000002</v>
      </c>
      <c r="HV72" s="142">
        <f t="shared" si="378"/>
        <v>13467.183840000002</v>
      </c>
      <c r="HW72" s="142">
        <f t="shared" si="378"/>
        <v>13467.183840000002</v>
      </c>
      <c r="HX72" s="142">
        <f t="shared" si="378"/>
        <v>13467.183840000002</v>
      </c>
      <c r="HY72" s="142">
        <f t="shared" si="378"/>
        <v>13467.183840000002</v>
      </c>
      <c r="HZ72" s="142">
        <f t="shared" si="378"/>
        <v>13467.183840000002</v>
      </c>
      <c r="IA72" s="142">
        <f t="shared" si="378"/>
        <v>13467.183840000002</v>
      </c>
      <c r="IB72" s="142">
        <f t="shared" si="378"/>
        <v>13467.183840000002</v>
      </c>
      <c r="IC72" s="142">
        <f t="shared" si="378"/>
        <v>13467.183840000002</v>
      </c>
      <c r="ID72" s="142">
        <f t="shared" si="378"/>
        <v>13467.183840000002</v>
      </c>
      <c r="IE72" s="142">
        <f t="shared" si="378"/>
        <v>13467.183840000002</v>
      </c>
      <c r="IF72" s="142">
        <f t="shared" si="378"/>
        <v>13467.183840000002</v>
      </c>
      <c r="IG72" s="142">
        <f t="shared" si="378"/>
        <v>13467.183840000002</v>
      </c>
      <c r="IH72" s="142">
        <f t="shared" si="378"/>
        <v>13467.183840000002</v>
      </c>
      <c r="II72" s="142">
        <f t="shared" si="378"/>
        <v>13467.183840000002</v>
      </c>
      <c r="IJ72" s="142">
        <f t="shared" si="378"/>
        <v>13467.183840000002</v>
      </c>
      <c r="IK72" s="142">
        <f t="shared" si="378"/>
        <v>13467.183840000002</v>
      </c>
      <c r="IL72" s="142">
        <f t="shared" si="378"/>
        <v>13467.183840000002</v>
      </c>
      <c r="IM72" s="142">
        <f t="shared" si="378"/>
        <v>13467.183840000002</v>
      </c>
      <c r="IN72" s="142">
        <f t="shared" si="378"/>
        <v>13467.183840000002</v>
      </c>
      <c r="IO72" s="142">
        <f t="shared" si="378"/>
        <v>13467.183840000002</v>
      </c>
      <c r="IP72" s="142">
        <f t="shared" si="378"/>
        <v>13467.183840000002</v>
      </c>
      <c r="IQ72" s="141">
        <f>IF(ISBLANK($A72),,IF($AN72="Não",0,(SUM($AO72:AO72)*$AH72)-SUM($HM72:HM72)-SUM($CW72:CW72)))</f>
        <v>210985.88016</v>
      </c>
      <c r="IR72" s="141">
        <f>IF(ISBLANK($A72),,IF($AN72="Não",0,(SUM($AO72:AP72)*$AH72)-SUM($HM72:HN72)-SUM($CW72:CX72)))</f>
        <v>197518.69632000002</v>
      </c>
      <c r="IS72" s="141">
        <f>IF(ISBLANK($A72),,IF($AN72="Não",0,(SUM($AO72:AQ72)*$AH72)-SUM($HM72:HO72)-SUM($CW72:CY72)))</f>
        <v>184051.51248</v>
      </c>
      <c r="IT72" s="141">
        <f>IF(ISBLANK($A72),,IF($AN72="Não",0,(SUM($AO72:AR72)*$AH72)-SUM($HM72:HP72)-SUM($CW72:CZ72)))</f>
        <v>170584.32864000002</v>
      </c>
      <c r="IU72" s="141">
        <f>IF(ISBLANK($A72),,IF($AN72="Não",0,(SUM($AO72:AS72)*$AH72)-SUM($HM72:HQ72)-SUM($CW72:DA72)))</f>
        <v>157117.14480000001</v>
      </c>
      <c r="IV72" s="141">
        <f>IF(ISBLANK($A72),,IF($AN72="Não",0,(SUM($AO72:AT72)*$AH72)-SUM($HM72:HR72)-SUM($CW72:DB72)))</f>
        <v>143649.96096</v>
      </c>
      <c r="IW72" s="141">
        <f>IF(ISBLANK($A72),,IF($AN72="Não",0,(SUM($AO72:AU72)*$AH72)-SUM($HM72:HS72)-SUM($CW72:DC72)))</f>
        <v>130182.77712000001</v>
      </c>
      <c r="IX72" s="141">
        <f>IF(ISBLANK($A72),,IF($AN72="Não",0,(SUM($AO72:AV72)*$AH72)-SUM($HM72:HT72)-SUM($CW72:DD72)))</f>
        <v>116715.59328000002</v>
      </c>
      <c r="IY72" s="141">
        <f>IF(ISBLANK($A72),,IF($AN72="Não",0,(SUM($AO72:AW72)*$AH72)-SUM($HM72:HU72)-SUM($CW72:DE72)))</f>
        <v>103248.40944000002</v>
      </c>
      <c r="IZ72" s="141">
        <f>IF(ISBLANK($A72),,IF($AN72="Não",0,(SUM($AO72:AX72)*$AH72)-SUM($HM72:HV72)-SUM($CW72:DF72)))</f>
        <v>89781.225600000005</v>
      </c>
      <c r="JA72" s="141">
        <f>IF(ISBLANK($A72),,IF($AN72="Não",0,(SUM($AO72:AY72)*$AH72)-SUM($HM72:HW72)-SUM($CW72:DG72)))</f>
        <v>210985.88016</v>
      </c>
      <c r="JB72" s="141">
        <f>IF(ISBLANK($A72),,IF($AN72="Não",0,(SUM($AO72:AZ72)*$AH72)-SUM($HM72:HX72)-SUM($CW72:DH72)))</f>
        <v>197518.69631999999</v>
      </c>
      <c r="JC72" s="141">
        <f>IF(ISBLANK($A72),,IF($AN72="Não",0,(SUM($AO72:BA72)*$AH72)-SUM($HM72:HY72)-SUM($CW72:DI72)))</f>
        <v>184051.51247999998</v>
      </c>
      <c r="JD72" s="141">
        <f>IF(ISBLANK($A72),,IF($AN72="Não",0,(SUM($AO72:BB72)*$AH72)-SUM($HM72:HZ72)-SUM($CW72:DJ72)))</f>
        <v>170584.32863999996</v>
      </c>
      <c r="JE72" s="141">
        <f>IF(ISBLANK($A72),,IF($AN72="Não",0,(SUM($AO72:BC72)*$AH72)-SUM($HM72:IA72)-SUM($CW72:DK72)))</f>
        <v>157117.14479999995</v>
      </c>
      <c r="JF72" s="141">
        <f>IF(ISBLANK($A72),,IF($AN72="Não",0,(SUM($AO72:BD72)*$AH72)-SUM($HM72:IB72)-SUM($CW72:DL72)))</f>
        <v>143649.96095999994</v>
      </c>
      <c r="JG72" s="141">
        <f>IF(ISBLANK($A72),,IF($AN72="Não",0,(SUM($AO72:BE72)*$AH72)-SUM($HM72:IC72)-SUM($CW72:DM72)))</f>
        <v>130182.77711999993</v>
      </c>
      <c r="JH72" s="141">
        <f>IF(ISBLANK($A72),,IF($AN72="Não",0,(SUM($AO72:BF72)*$AH72)-SUM($HM72:ID72)-SUM($CW72:DN72)))</f>
        <v>116715.59327999991</v>
      </c>
      <c r="JI72" s="141">
        <f>IF(ISBLANK($A72),,IF($AN72="Não",0,(SUM($AO72:BG72)*$AH72)-SUM($HM72:IE72)-SUM($CW72:DO72)))</f>
        <v>103248.4094399999</v>
      </c>
      <c r="JJ72" s="141">
        <f>IF(ISBLANK($A72),,IF($AN72="Não",0,(SUM($AO72:BH72)*$AH72)-SUM($HM72:IF72)-SUM($CW72:DP72)))</f>
        <v>89781.225599999889</v>
      </c>
      <c r="JK72" s="141">
        <f>IF(ISBLANK($A72),,IF($AN72="Não",0,(SUM($AO72:BI72)*$AH72)-SUM($HM72:IG72)-SUM($CW72:DQ72)))</f>
        <v>210985.88015999988</v>
      </c>
      <c r="JL72" s="141">
        <f>IF(ISBLANK($A72),,IF($AN72="Não",0,(SUM($AO72:BJ72)*$AH72)-SUM($HM72:IH72)-SUM($CW72:DR72)))</f>
        <v>197518.69631999987</v>
      </c>
      <c r="JM72" s="141">
        <f>IF(ISBLANK($A72),,IF($AN72="Não",0,(SUM($AO72:BK72)*$AH72)-SUM($HM72:II72)-SUM($CW72:DS72)))</f>
        <v>184051.51247999986</v>
      </c>
      <c r="JN72" s="141">
        <f>IF(ISBLANK($A72),,IF($AN72="Não",0,(SUM($AO72:BL72)*$AH72)-SUM($HM72:IJ72)-SUM($CW72:DT72)))</f>
        <v>170584.32863999985</v>
      </c>
      <c r="JO72" s="141">
        <f>IF(ISBLANK($A72),,IF($AN72="Não",0,(SUM($AO72:BM72)*$AH72)-SUM($HM72:IK72)-SUM($CW72:DU72)))</f>
        <v>157117.14479999983</v>
      </c>
      <c r="JP72" s="141">
        <f>IF(ISBLANK($A72),,IF($AN72="Não",0,(SUM($AO72:BN72)*$AH72)-SUM($HM72:IL72)-SUM($CW72:DV72)))</f>
        <v>143649.96095999982</v>
      </c>
      <c r="JQ72" s="141">
        <f>IF(ISBLANK($A72),,IF($AN72="Não",0,(SUM($AO72:BO72)*$AH72)-SUM($HM72:IM72)-SUM($CW72:DW72)))</f>
        <v>130182.77711999981</v>
      </c>
      <c r="JR72" s="141">
        <f>IF(ISBLANK($A72),,IF($AN72="Não",0,(SUM($AO72:BP72)*$AH72)-SUM($HM72:IN72)-SUM($CW72:DX72)))</f>
        <v>116715.5932799998</v>
      </c>
      <c r="JS72" s="141">
        <f>IF(ISBLANK($A72),,IF($AN72="Não",0,(SUM($AO72:BQ72)*$AH72)-SUM($HM72:IO72)-SUM($CW72:DY72)))</f>
        <v>103248.40943999978</v>
      </c>
      <c r="JT72" s="141">
        <f>IF(ISBLANK($A72),,IF($AN72="Não",0,(SUM($AO72:BR72)*$AH72)-SUM($HM72:IP72)-SUM($CW72:DZ72)))</f>
        <v>89781.225599999772</v>
      </c>
    </row>
    <row r="73" spans="1:280" ht="15.75" customHeight="1">
      <c r="A73" s="129" t="s">
        <v>385</v>
      </c>
      <c r="B73" s="129" t="s">
        <v>209</v>
      </c>
      <c r="C73" s="138" t="s">
        <v>95</v>
      </c>
      <c r="D73" s="139">
        <v>2</v>
      </c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607">
        <f t="shared" si="286"/>
        <v>5101.2060000000001</v>
      </c>
      <c r="AI73" s="608">
        <f t="shared" si="287"/>
        <v>10</v>
      </c>
      <c r="AJ73" s="609">
        <f t="shared" si="288"/>
        <v>0.4</v>
      </c>
      <c r="AK73" s="610" t="str">
        <f t="shared" si="289"/>
        <v>Equipamentos e instalações</v>
      </c>
      <c r="AL73" s="609">
        <f t="shared" si="290"/>
        <v>0.05</v>
      </c>
      <c r="AM73" s="611" t="str">
        <f t="shared" si="291"/>
        <v>Sim</v>
      </c>
      <c r="AN73" s="611" t="str">
        <f t="shared" si="292"/>
        <v>Sim</v>
      </c>
      <c r="AO73" s="140">
        <f t="array" ref="AO73">IF(ISBLANK($A73),0,IF(OR(AO$5-$AI73&lt;=0,$AM73="Não"),D73,D73+INDEX($AO$6:$BR$176,ROW()-5,COLUMN()-40-$AI73)))*IF($B73="Operacional",IFERROR(VLOOKUP($C73,SN_UGC,28,0),0),1)</f>
        <v>2</v>
      </c>
      <c r="AP73" s="140">
        <f t="array" ref="AP73">IF(ISBLANK($A73),0,IF(OR(AP$5-$AI73&lt;=0,$AM73="Não"),E73,E73+INDEX($AO$6:$BR$176,ROW()-5,COLUMN()-40-$AI73)))*IF($B73="Operacional",IFERROR(VLOOKUP($C73,SN_UGC,28,0),0),1)</f>
        <v>0</v>
      </c>
      <c r="AQ73" s="140">
        <f t="array" ref="AQ73">IF(ISBLANK($A73),0,IF(OR(AQ$5-$AI73&lt;=0,$AM73="Não"),F73,F73+INDEX($AO$6:$BR$176,ROW()-5,COLUMN()-40-$AI73)))*IF($B73="Operacional",IFERROR(VLOOKUP($C73,SN_UGC,28,0),0),1)</f>
        <v>0</v>
      </c>
      <c r="AR73" s="140">
        <f t="array" ref="AR73">IF(ISBLANK($A73),0,IF(OR(AR$5-$AI73&lt;=0,$AM73="Não"),G73,G73+INDEX($AO$6:$BR$176,ROW()-5,COLUMN()-40-$AI73)))*IF($B73="Operacional",IFERROR(VLOOKUP($C73,SN_UGC,28,0),0),1)</f>
        <v>0</v>
      </c>
      <c r="AS73" s="140">
        <f t="array" ref="AS73">IF(ISBLANK($A73),0,IF(OR(AS$5-$AI73&lt;=0,$AM73="Não"),H73,H73+INDEX($AO$6:$BR$176,ROW()-5,COLUMN()-40-$AI73)))*IF($B73="Operacional",IFERROR(VLOOKUP($C73,SN_UGC,28,0),0),1)</f>
        <v>0</v>
      </c>
      <c r="AT73" s="140">
        <f t="array" ref="AT73">IF(ISBLANK($A73),0,IF(OR(AT$5-$AI73&lt;=0,$AM73="Não"),I73,I73+INDEX($AO$6:$BR$176,ROW()-5,COLUMN()-40-$AI73)))*IF($B73="Operacional",IFERROR(VLOOKUP($C73,SN_UGC,28,0),0),1)</f>
        <v>0</v>
      </c>
      <c r="AU73" s="140">
        <f t="array" ref="AU73">IF(ISBLANK($A73),0,IF(OR(AU$5-$AI73&lt;=0,$AM73="Não"),J73,J73+INDEX($AO$6:$BR$176,ROW()-5,COLUMN()-40-$AI73)))*IF($B73="Operacional",IFERROR(VLOOKUP($C73,SN_UGC,28,0),0),1)</f>
        <v>0</v>
      </c>
      <c r="AV73" s="140">
        <f t="array" ref="AV73">IF(ISBLANK($A73),0,IF(OR(AV$5-$AI73&lt;=0,$AM73="Não"),K73,K73+INDEX($AO$6:$BR$176,ROW()-5,COLUMN()-40-$AI73)))*IF($B73="Operacional",IFERROR(VLOOKUP($C73,SN_UGC,28,0),0),1)</f>
        <v>0</v>
      </c>
      <c r="AW73" s="140">
        <f t="array" ref="AW73">IF(ISBLANK($A73),0,IF(OR(AW$5-$AI73&lt;=0,$AM73="Não"),L73,L73+INDEX($AO$6:$BR$176,ROW()-5,COLUMN()-40-$AI73)))*IF($B73="Operacional",IFERROR(VLOOKUP($C73,SN_UGC,28,0),0),1)</f>
        <v>0</v>
      </c>
      <c r="AX73" s="140">
        <f t="array" ref="AX73">IF(ISBLANK($A73),0,IF(OR(AX$5-$AI73&lt;=0,$AM73="Não"),M73,M73+INDEX($AO$6:$BR$176,ROW()-5,COLUMN()-40-$AI73)))*IF($B73="Operacional",IFERROR(VLOOKUP($C73,SN_UGC,28,0),0),1)</f>
        <v>0</v>
      </c>
      <c r="AY73" s="140">
        <f t="array" ref="AY73">IF(ISBLANK($A73),0,IF(OR(AY$5-$AI73&lt;=0,$AM73="Não"),N73,N73+INDEX($AO$6:$BR$176,ROW()-5,COLUMN()-40-$AI73)))*IF($B73="Operacional",IFERROR(VLOOKUP($C73,SN_UGC,28,0),0),1)</f>
        <v>2</v>
      </c>
      <c r="AZ73" s="140">
        <f t="array" ref="AZ73">IF(ISBLANK($A73),0,IF(OR(AZ$5-$AI73&lt;=0,$AM73="Não"),O73,O73+INDEX($AO$6:$BR$176,ROW()-5,COLUMN()-40-$AI73)))*IF($B73="Operacional",IFERROR(VLOOKUP($C73,SN_UGC,28,0),0),1)</f>
        <v>0</v>
      </c>
      <c r="BA73" s="140">
        <f t="array" ref="BA73">IF(ISBLANK($A73),0,IF(OR(BA$5-$AI73&lt;=0,$AM73="Não"),P73,P73+INDEX($AO$6:$BR$176,ROW()-5,COLUMN()-40-$AI73)))*IF($B73="Operacional",IFERROR(VLOOKUP($C73,SN_UGC,28,0),0),1)</f>
        <v>0</v>
      </c>
      <c r="BB73" s="140">
        <f t="array" ref="BB73">IF(ISBLANK($A73),0,IF(OR(BB$5-$AI73&lt;=0,$AM73="Não"),Q73,Q73+INDEX($AO$6:$BR$176,ROW()-5,COLUMN()-40-$AI73)))*IF($B73="Operacional",IFERROR(VLOOKUP($C73,SN_UGC,28,0),0),1)</f>
        <v>0</v>
      </c>
      <c r="BC73" s="140">
        <f t="array" ref="BC73">IF(ISBLANK($A73),0,IF(OR(BC$5-$AI73&lt;=0,$AM73="Não"),R73,R73+INDEX($AO$6:$BR$176,ROW()-5,COLUMN()-40-$AI73)))*IF($B73="Operacional",IFERROR(VLOOKUP($C73,SN_UGC,28,0),0),1)</f>
        <v>0</v>
      </c>
      <c r="BD73" s="140">
        <f t="array" ref="BD73">IF(ISBLANK($A73),0,IF(OR(BD$5-$AI73&lt;=0,$AM73="Não"),S73,S73+INDEX($AO$6:$BR$176,ROW()-5,COLUMN()-40-$AI73)))*IF($B73="Operacional",IFERROR(VLOOKUP($C73,SN_UGC,28,0),0),1)</f>
        <v>0</v>
      </c>
      <c r="BE73" s="140">
        <f t="array" ref="BE73">IF(ISBLANK($A73),0,IF(OR(BE$5-$AI73&lt;=0,$AM73="Não"),T73,T73+INDEX($AO$6:$BR$176,ROW()-5,COLUMN()-40-$AI73)))*IF($B73="Operacional",IFERROR(VLOOKUP($C73,SN_UGC,28,0),0),1)</f>
        <v>0</v>
      </c>
      <c r="BF73" s="140">
        <f t="array" ref="BF73">IF(ISBLANK($A73),0,IF(OR(BF$5-$AI73&lt;=0,$AM73="Não"),U73,U73+INDEX($AO$6:$BR$176,ROW()-5,COLUMN()-40-$AI73)))*IF($B73="Operacional",IFERROR(VLOOKUP($C73,SN_UGC,28,0),0),1)</f>
        <v>0</v>
      </c>
      <c r="BG73" s="140">
        <f t="array" ref="BG73">IF(ISBLANK($A73),0,IF(OR(BG$5-$AI73&lt;=0,$AM73="Não"),V73,V73+INDEX($AO$6:$BR$176,ROW()-5,COLUMN()-40-$AI73)))*IF($B73="Operacional",IFERROR(VLOOKUP($C73,SN_UGC,28,0),0),1)</f>
        <v>0</v>
      </c>
      <c r="BH73" s="140">
        <f t="array" ref="BH73">IF(ISBLANK($A73),0,IF(OR(BH$5-$AI73&lt;=0,$AM73="Não"),W73,W73+INDEX($AO$6:$BR$176,ROW()-5,COLUMN()-40-$AI73)))*IF($B73="Operacional",IFERROR(VLOOKUP($C73,SN_UGC,28,0),0),1)</f>
        <v>0</v>
      </c>
      <c r="BI73" s="140">
        <f t="array" ref="BI73">IF(ISBLANK($A73),0,IF(OR(BI$5-$AI73&lt;=0,$AM73="Não"),X73,X73+INDEX($AO$6:$BR$176,ROW()-5,COLUMN()-40-$AI73)))*IF($B73="Operacional",IFERROR(VLOOKUP($C73,SN_UGC,28,0),0),1)</f>
        <v>2</v>
      </c>
      <c r="BJ73" s="140">
        <f t="array" ref="BJ73">IF(ISBLANK($A73),0,IF(OR(BJ$5-$AI73&lt;=0,$AM73="Não"),Y73,Y73+INDEX($AO$6:$BR$176,ROW()-5,COLUMN()-40-$AI73)))*IF($B73="Operacional",IFERROR(VLOOKUP($C73,SN_UGC,28,0),0),1)</f>
        <v>0</v>
      </c>
      <c r="BK73" s="140">
        <f t="array" ref="BK73">IF(ISBLANK($A73),0,IF(OR(BK$5-$AI73&lt;=0,$AM73="Não"),Z73,Z73+INDEX($AO$6:$BR$176,ROW()-5,COLUMN()-40-$AI73)))*IF($B73="Operacional",IFERROR(VLOOKUP($C73,SN_UGC,28,0),0),1)</f>
        <v>0</v>
      </c>
      <c r="BL73" s="140">
        <f t="array" ref="BL73">IF(ISBLANK($A73),0,IF(OR(BL$5-$AI73&lt;=0,$AM73="Não"),AA73,AA73+INDEX($AO$6:$BR$176,ROW()-5,COLUMN()-40-$AI73)))*IF($B73="Operacional",IFERROR(VLOOKUP($C73,SN_UGC,28,0),0),1)</f>
        <v>0</v>
      </c>
      <c r="BM73" s="140">
        <f t="array" ref="BM73">IF(ISBLANK($A73),0,IF(OR(BM$5-$AI73&lt;=0,$AM73="Não"),AB73,AB73+INDEX($AO$6:$BR$176,ROW()-5,COLUMN()-40-$AI73)))*IF($B73="Operacional",IFERROR(VLOOKUP($C73,SN_UGC,28,0),0),1)</f>
        <v>0</v>
      </c>
      <c r="BN73" s="140">
        <f t="array" ref="BN73">IF(ISBLANK($A73),0,IF(OR(BN$5-$AI73&lt;=0,$AM73="Não"),AC73,AC73+INDEX($AO$6:$BR$176,ROW()-5,COLUMN()-40-$AI73)))*IF($B73="Operacional",IFERROR(VLOOKUP($C73,SN_UGC,28,0),0),1)</f>
        <v>0</v>
      </c>
      <c r="BO73" s="140">
        <f t="array" ref="BO73">IF(ISBLANK($A73),0,IF(OR(BO$5-$AI73&lt;=0,$AM73="Não"),AD73,AD73+INDEX($AO$6:$BR$176,ROW()-5,COLUMN()-40-$AI73)))*IF($B73="Operacional",IFERROR(VLOOKUP($C73,SN_UGC,28,0),0),1)</f>
        <v>0</v>
      </c>
      <c r="BP73" s="140">
        <f t="array" ref="BP73">IF(ISBLANK($A73),0,IF(OR(BP$5-$AI73&lt;=0,$AM73="Não"),AE73,AE73+INDEX($AO$6:$BR$176,ROW()-5,COLUMN()-40-$AI73)))*IF($B73="Operacional",IFERROR(VLOOKUP($C73,SN_UGC,28,0),0),1)</f>
        <v>0</v>
      </c>
      <c r="BQ73" s="140">
        <f t="array" ref="BQ73">IF(ISBLANK($A73),0,IF(OR(BQ$5-$AI73&lt;=0,$AM73="Não"),AF73,AF73+INDEX($AO$6:$BR$176,ROW()-5,COLUMN()-40-$AI73)))*IF($B73="Operacional",IFERROR(VLOOKUP($C73,SN_UGC,28,0),0),1)</f>
        <v>0</v>
      </c>
      <c r="BR73" s="140">
        <f t="array" ref="BR73">IF(ISBLANK($A73),0,IF(OR(BR$5-$AI73&lt;=0,$AM73="Não"),AG73,AG73+INDEX($AO$6:$BR$176,ROW()-5,COLUMN()-40-$AI73)))*IF($B73="Operacional",IFERROR(VLOOKUP($C73,SN_UGC,28,0),0),1)</f>
        <v>0</v>
      </c>
      <c r="BS73" s="141">
        <f t="shared" ref="BS73:CV73" si="379">IF(ISBLANK($A73),0,$AH73*AO73)</f>
        <v>10202.412</v>
      </c>
      <c r="BT73" s="141">
        <f t="shared" si="379"/>
        <v>0</v>
      </c>
      <c r="BU73" s="141">
        <f t="shared" si="379"/>
        <v>0</v>
      </c>
      <c r="BV73" s="141">
        <f t="shared" si="379"/>
        <v>0</v>
      </c>
      <c r="BW73" s="141">
        <f t="shared" si="379"/>
        <v>0</v>
      </c>
      <c r="BX73" s="141">
        <f t="shared" si="379"/>
        <v>0</v>
      </c>
      <c r="BY73" s="141">
        <f t="shared" si="379"/>
        <v>0</v>
      </c>
      <c r="BZ73" s="141">
        <f t="shared" si="379"/>
        <v>0</v>
      </c>
      <c r="CA73" s="141">
        <f t="shared" si="379"/>
        <v>0</v>
      </c>
      <c r="CB73" s="141">
        <f t="shared" si="379"/>
        <v>0</v>
      </c>
      <c r="CC73" s="141">
        <f t="shared" si="379"/>
        <v>10202.412</v>
      </c>
      <c r="CD73" s="141">
        <f t="shared" si="379"/>
        <v>0</v>
      </c>
      <c r="CE73" s="141">
        <f t="shared" si="379"/>
        <v>0</v>
      </c>
      <c r="CF73" s="141">
        <f t="shared" si="379"/>
        <v>0</v>
      </c>
      <c r="CG73" s="141">
        <f t="shared" si="379"/>
        <v>0</v>
      </c>
      <c r="CH73" s="141">
        <f t="shared" si="379"/>
        <v>0</v>
      </c>
      <c r="CI73" s="141">
        <f t="shared" si="379"/>
        <v>0</v>
      </c>
      <c r="CJ73" s="141">
        <f t="shared" si="379"/>
        <v>0</v>
      </c>
      <c r="CK73" s="141">
        <f t="shared" si="379"/>
        <v>0</v>
      </c>
      <c r="CL73" s="141">
        <f t="shared" si="379"/>
        <v>0</v>
      </c>
      <c r="CM73" s="141">
        <f t="shared" si="379"/>
        <v>10202.412</v>
      </c>
      <c r="CN73" s="141">
        <f t="shared" si="379"/>
        <v>0</v>
      </c>
      <c r="CO73" s="141">
        <f t="shared" si="379"/>
        <v>0</v>
      </c>
      <c r="CP73" s="141">
        <f t="shared" si="379"/>
        <v>0</v>
      </c>
      <c r="CQ73" s="141">
        <f t="shared" si="379"/>
        <v>0</v>
      </c>
      <c r="CR73" s="141">
        <f t="shared" si="379"/>
        <v>0</v>
      </c>
      <c r="CS73" s="141">
        <f t="shared" si="379"/>
        <v>0</v>
      </c>
      <c r="CT73" s="141">
        <f t="shared" si="379"/>
        <v>0</v>
      </c>
      <c r="CU73" s="141">
        <f t="shared" si="379"/>
        <v>0</v>
      </c>
      <c r="CV73" s="141">
        <f t="shared" si="379"/>
        <v>0</v>
      </c>
      <c r="CW73" s="142">
        <f t="shared" ref="CW73:DZ73" si="380">EA73*$AH73*$AJ73</f>
        <v>0</v>
      </c>
      <c r="CX73" s="142">
        <f t="shared" si="380"/>
        <v>0</v>
      </c>
      <c r="CY73" s="142">
        <f t="shared" si="380"/>
        <v>0</v>
      </c>
      <c r="CZ73" s="142">
        <f t="shared" si="380"/>
        <v>0</v>
      </c>
      <c r="DA73" s="142">
        <f t="shared" si="380"/>
        <v>0</v>
      </c>
      <c r="DB73" s="142">
        <f t="shared" si="380"/>
        <v>0</v>
      </c>
      <c r="DC73" s="142">
        <f t="shared" si="380"/>
        <v>0</v>
      </c>
      <c r="DD73" s="142">
        <f t="shared" si="380"/>
        <v>0</v>
      </c>
      <c r="DE73" s="142">
        <f t="shared" si="380"/>
        <v>0</v>
      </c>
      <c r="DF73" s="142">
        <f t="shared" si="380"/>
        <v>0</v>
      </c>
      <c r="DG73" s="142">
        <f t="shared" si="380"/>
        <v>4080.9648000000002</v>
      </c>
      <c r="DH73" s="142">
        <f t="shared" si="380"/>
        <v>0</v>
      </c>
      <c r="DI73" s="142">
        <f t="shared" si="380"/>
        <v>0</v>
      </c>
      <c r="DJ73" s="142">
        <f t="shared" si="380"/>
        <v>0</v>
      </c>
      <c r="DK73" s="142">
        <f t="shared" si="380"/>
        <v>0</v>
      </c>
      <c r="DL73" s="142">
        <f t="shared" si="380"/>
        <v>0</v>
      </c>
      <c r="DM73" s="142">
        <f t="shared" si="380"/>
        <v>0</v>
      </c>
      <c r="DN73" s="142">
        <f t="shared" si="380"/>
        <v>0</v>
      </c>
      <c r="DO73" s="142">
        <f t="shared" si="380"/>
        <v>0</v>
      </c>
      <c r="DP73" s="142">
        <f t="shared" si="380"/>
        <v>0</v>
      </c>
      <c r="DQ73" s="142">
        <f t="shared" si="380"/>
        <v>4080.9648000000002</v>
      </c>
      <c r="DR73" s="142">
        <f t="shared" si="380"/>
        <v>0</v>
      </c>
      <c r="DS73" s="142">
        <f t="shared" si="380"/>
        <v>0</v>
      </c>
      <c r="DT73" s="142">
        <f t="shared" si="380"/>
        <v>0</v>
      </c>
      <c r="DU73" s="142">
        <f t="shared" si="380"/>
        <v>0</v>
      </c>
      <c r="DV73" s="142">
        <f t="shared" si="380"/>
        <v>0</v>
      </c>
      <c r="DW73" s="142">
        <f t="shared" si="380"/>
        <v>0</v>
      </c>
      <c r="DX73" s="142">
        <f t="shared" si="380"/>
        <v>0</v>
      </c>
      <c r="DY73" s="142">
        <f t="shared" si="380"/>
        <v>0</v>
      </c>
      <c r="DZ73" s="142">
        <f t="shared" si="380"/>
        <v>0</v>
      </c>
      <c r="EA73" s="143">
        <f t="shared" si="339"/>
        <v>0</v>
      </c>
      <c r="EB73" s="143">
        <f t="shared" si="340"/>
        <v>0</v>
      </c>
      <c r="EC73" s="143">
        <f t="shared" si="341"/>
        <v>0</v>
      </c>
      <c r="ED73" s="143">
        <f t="shared" si="342"/>
        <v>0</v>
      </c>
      <c r="EE73" s="143">
        <f t="shared" si="343"/>
        <v>0</v>
      </c>
      <c r="EF73" s="143">
        <f t="shared" si="344"/>
        <v>0</v>
      </c>
      <c r="EG73" s="143">
        <f t="shared" si="345"/>
        <v>0</v>
      </c>
      <c r="EH73" s="143">
        <f t="shared" si="346"/>
        <v>0</v>
      </c>
      <c r="EI73" s="143">
        <f t="shared" si="347"/>
        <v>0</v>
      </c>
      <c r="EJ73" s="143">
        <f t="shared" si="348"/>
        <v>0</v>
      </c>
      <c r="EK73" s="143">
        <f t="shared" si="349"/>
        <v>2</v>
      </c>
      <c r="EL73" s="143">
        <f t="shared" si="350"/>
        <v>0</v>
      </c>
      <c r="EM73" s="143">
        <f t="shared" si="351"/>
        <v>0</v>
      </c>
      <c r="EN73" s="143">
        <f t="shared" si="352"/>
        <v>0</v>
      </c>
      <c r="EO73" s="143">
        <f t="shared" si="353"/>
        <v>0</v>
      </c>
      <c r="EP73" s="143">
        <f t="shared" si="354"/>
        <v>0</v>
      </c>
      <c r="EQ73" s="143">
        <f t="shared" si="355"/>
        <v>0</v>
      </c>
      <c r="ER73" s="143">
        <f t="shared" si="356"/>
        <v>0</v>
      </c>
      <c r="ES73" s="143">
        <f t="shared" si="357"/>
        <v>0</v>
      </c>
      <c r="ET73" s="143">
        <f t="shared" si="358"/>
        <v>0</v>
      </c>
      <c r="EU73" s="143">
        <f t="shared" si="359"/>
        <v>2</v>
      </c>
      <c r="EV73" s="143">
        <f t="shared" si="360"/>
        <v>0</v>
      </c>
      <c r="EW73" s="143">
        <f t="shared" si="361"/>
        <v>0</v>
      </c>
      <c r="EX73" s="143">
        <f t="shared" si="362"/>
        <v>0</v>
      </c>
      <c r="EY73" s="143">
        <f t="shared" si="363"/>
        <v>0</v>
      </c>
      <c r="EZ73" s="143">
        <f t="shared" si="364"/>
        <v>0</v>
      </c>
      <c r="FA73" s="143">
        <f t="shared" si="365"/>
        <v>0</v>
      </c>
      <c r="FB73" s="143">
        <f t="shared" si="366"/>
        <v>0</v>
      </c>
      <c r="FC73" s="143">
        <f t="shared" si="367"/>
        <v>0</v>
      </c>
      <c r="FD73" s="143">
        <f t="shared" si="368"/>
        <v>0</v>
      </c>
      <c r="FE73" s="140">
        <f>SUM($D73:D73)*IF($B73="Operacional",IFERROR(VLOOKUP($C73,SN_UGC,28,0),0),1)</f>
        <v>2</v>
      </c>
      <c r="FF73" s="140">
        <f>SUM($D73:E73)*IF($B73="Operacional",IFERROR(VLOOKUP($C73,SN_UGC,28,0),0),1)</f>
        <v>2</v>
      </c>
      <c r="FG73" s="140">
        <f>SUM($D73:F73)*IF($B73="Operacional",IFERROR(VLOOKUP($C73,SN_UGC,28,0),0),1)</f>
        <v>2</v>
      </c>
      <c r="FH73" s="140">
        <f>SUM($D73:G73)*IF($B73="Operacional",IFERROR(VLOOKUP($C73,SN_UGC,28,0),0),1)</f>
        <v>2</v>
      </c>
      <c r="FI73" s="140">
        <f>SUM($D73:H73)*IF($B73="Operacional",IFERROR(VLOOKUP($C73,SN_UGC,28,0),0),1)</f>
        <v>2</v>
      </c>
      <c r="FJ73" s="140">
        <f>SUM($D73:I73)*IF($B73="Operacional",IFERROR(VLOOKUP($C73,SN_UGC,28,0),0),1)</f>
        <v>2</v>
      </c>
      <c r="FK73" s="140">
        <f>SUM($D73:J73)*IF($B73="Operacional",IFERROR(VLOOKUP($C73,SN_UGC,28,0),0),1)</f>
        <v>2</v>
      </c>
      <c r="FL73" s="140">
        <f>SUM($D73:K73)*IF($B73="Operacional",IFERROR(VLOOKUP($C73,SN_UGC,28,0),0),1)</f>
        <v>2</v>
      </c>
      <c r="FM73" s="140">
        <f>SUM($D73:L73)*IF($B73="Operacional",IFERROR(VLOOKUP($C73,SN_UGC,28,0),0),1)</f>
        <v>2</v>
      </c>
      <c r="FN73" s="140">
        <f>SUM($D73:M73)*IF($B73="Operacional",IFERROR(VLOOKUP($C73,SN_UGC,28,0),0),1)</f>
        <v>2</v>
      </c>
      <c r="FO73" s="140">
        <f>SUM($D73:N73)*IF($B73="Operacional",IFERROR(VLOOKUP($C73,SN_UGC,28,0),0),1)</f>
        <v>2</v>
      </c>
      <c r="FP73" s="140">
        <f>SUM($D73:O73)*IF($B73="Operacional",IFERROR(VLOOKUP($C73,SN_UGC,28,0),0),1)</f>
        <v>2</v>
      </c>
      <c r="FQ73" s="140">
        <f>SUM($D73:P73)*IF($B73="Operacional",IFERROR(VLOOKUP($C73,SN_UGC,28,0),0),1)</f>
        <v>2</v>
      </c>
      <c r="FR73" s="140">
        <f>SUM($D73:Q73)*IF($B73="Operacional",IFERROR(VLOOKUP($C73,SN_UGC,28,0),0),1)</f>
        <v>2</v>
      </c>
      <c r="FS73" s="140">
        <f>SUM($D73:R73)*IF($B73="Operacional",IFERROR(VLOOKUP($C73,SN_UGC,28,0),0),1)</f>
        <v>2</v>
      </c>
      <c r="FT73" s="140">
        <f>SUM($D73:S73)*IF($B73="Operacional",IFERROR(VLOOKUP($C73,SN_UGC,28,0),0),1)</f>
        <v>2</v>
      </c>
      <c r="FU73" s="140">
        <f>SUM($D73:T73)*IF($B73="Operacional",IFERROR(VLOOKUP($C73,SN_UGC,28,0),0),1)</f>
        <v>2</v>
      </c>
      <c r="FV73" s="140">
        <f>SUM($D73:U73)*IF($B73="Operacional",IFERROR(VLOOKUP($C73,SN_UGC,28,0),0),1)</f>
        <v>2</v>
      </c>
      <c r="FW73" s="140">
        <f>SUM($D73:V73)*IF($B73="Operacional",IFERROR(VLOOKUP($C73,SN_UGC,28,0),0),1)</f>
        <v>2</v>
      </c>
      <c r="FX73" s="140">
        <f>SUM($D73:W73)*IF($B73="Operacional",IFERROR(VLOOKUP($C73,SN_UGC,28,0),0),1)</f>
        <v>2</v>
      </c>
      <c r="FY73" s="140">
        <f>SUM($D73:X73)*IF($B73="Operacional",IFERROR(VLOOKUP($C73,SN_UGC,28,0),0),1)</f>
        <v>2</v>
      </c>
      <c r="FZ73" s="140">
        <f>SUM($D73:Y73)*IF($B73="Operacional",IFERROR(VLOOKUP($C73,SN_UGC,28,0),0),1)</f>
        <v>2</v>
      </c>
      <c r="GA73" s="140">
        <f>SUM($D73:Z73)*IF($B73="Operacional",IFERROR(VLOOKUP($C73,SN_UGC,28,0),0),1)</f>
        <v>2</v>
      </c>
      <c r="GB73" s="140">
        <f>SUM($D73:AA73)*IF($B73="Operacional",IFERROR(VLOOKUP($C73,SN_UGC,28,0),0),1)</f>
        <v>2</v>
      </c>
      <c r="GC73" s="140">
        <f>SUM($D73:AB73)*IF($B73="Operacional",IFERROR(VLOOKUP($C73,SN_UGC,28,0),0),1)</f>
        <v>2</v>
      </c>
      <c r="GD73" s="140">
        <f>SUM($D73:AC73)*IF($B73="Operacional",IFERROR(VLOOKUP($C73,SN_UGC,28,0),0),1)</f>
        <v>2</v>
      </c>
      <c r="GE73" s="140">
        <f>SUM($D73:AD73)*IF($B73="Operacional",IFERROR(VLOOKUP($C73,SN_UGC,28,0),0),1)</f>
        <v>2</v>
      </c>
      <c r="GF73" s="140">
        <f>SUM($D73:AE73)*IF($B73="Operacional",IFERROR(VLOOKUP($C73,SN_UGC,28,0),0),1)</f>
        <v>2</v>
      </c>
      <c r="GG73" s="140">
        <f>SUM($D73:AF73)*IF($B73="Operacional",IFERROR(VLOOKUP($C73,SN_UGC,28,0),0),1)</f>
        <v>2</v>
      </c>
      <c r="GH73" s="140">
        <f>SUM($D73:AG73)*IF($B73="Operacional",IFERROR(VLOOKUP($C73,SN_UGC,28,0),0),1)</f>
        <v>2</v>
      </c>
      <c r="GI73" s="141">
        <f t="shared" ref="GI73:HL73" si="381">FE73*$AH73*$AL73</f>
        <v>510.12060000000002</v>
      </c>
      <c r="GJ73" s="141">
        <f t="shared" si="381"/>
        <v>510.12060000000002</v>
      </c>
      <c r="GK73" s="141">
        <f t="shared" si="381"/>
        <v>510.12060000000002</v>
      </c>
      <c r="GL73" s="141">
        <f t="shared" si="381"/>
        <v>510.12060000000002</v>
      </c>
      <c r="GM73" s="141">
        <f t="shared" si="381"/>
        <v>510.12060000000002</v>
      </c>
      <c r="GN73" s="141">
        <f t="shared" si="381"/>
        <v>510.12060000000002</v>
      </c>
      <c r="GO73" s="141">
        <f t="shared" si="381"/>
        <v>510.12060000000002</v>
      </c>
      <c r="GP73" s="141">
        <f t="shared" si="381"/>
        <v>510.12060000000002</v>
      </c>
      <c r="GQ73" s="141">
        <f t="shared" si="381"/>
        <v>510.12060000000002</v>
      </c>
      <c r="GR73" s="141">
        <f t="shared" si="381"/>
        <v>510.12060000000002</v>
      </c>
      <c r="GS73" s="141">
        <f t="shared" si="381"/>
        <v>510.12060000000002</v>
      </c>
      <c r="GT73" s="141">
        <f t="shared" si="381"/>
        <v>510.12060000000002</v>
      </c>
      <c r="GU73" s="141">
        <f t="shared" si="381"/>
        <v>510.12060000000002</v>
      </c>
      <c r="GV73" s="141">
        <f t="shared" si="381"/>
        <v>510.12060000000002</v>
      </c>
      <c r="GW73" s="141">
        <f t="shared" si="381"/>
        <v>510.12060000000002</v>
      </c>
      <c r="GX73" s="141">
        <f t="shared" si="381"/>
        <v>510.12060000000002</v>
      </c>
      <c r="GY73" s="141">
        <f t="shared" si="381"/>
        <v>510.12060000000002</v>
      </c>
      <c r="GZ73" s="141">
        <f t="shared" si="381"/>
        <v>510.12060000000002</v>
      </c>
      <c r="HA73" s="141">
        <f t="shared" si="381"/>
        <v>510.12060000000002</v>
      </c>
      <c r="HB73" s="141">
        <f t="shared" si="381"/>
        <v>510.12060000000002</v>
      </c>
      <c r="HC73" s="141">
        <f t="shared" si="381"/>
        <v>510.12060000000002</v>
      </c>
      <c r="HD73" s="141">
        <f t="shared" si="381"/>
        <v>510.12060000000002</v>
      </c>
      <c r="HE73" s="141">
        <f t="shared" si="381"/>
        <v>510.12060000000002</v>
      </c>
      <c r="HF73" s="141">
        <f t="shared" si="381"/>
        <v>510.12060000000002</v>
      </c>
      <c r="HG73" s="141">
        <f t="shared" si="381"/>
        <v>510.12060000000002</v>
      </c>
      <c r="HH73" s="141">
        <f t="shared" si="381"/>
        <v>510.12060000000002</v>
      </c>
      <c r="HI73" s="141">
        <f t="shared" si="381"/>
        <v>510.12060000000002</v>
      </c>
      <c r="HJ73" s="141">
        <f t="shared" si="381"/>
        <v>510.12060000000002</v>
      </c>
      <c r="HK73" s="141">
        <f t="shared" si="381"/>
        <v>510.12060000000002</v>
      </c>
      <c r="HL73" s="141">
        <f t="shared" si="381"/>
        <v>510.12060000000002</v>
      </c>
      <c r="HM73" s="142">
        <f t="shared" ref="HM73:IP73" si="382">IF(ISBLANK($A73),,FE73*($AH73-($AH73*$AJ73))/$AI73)</f>
        <v>612.14472000000001</v>
      </c>
      <c r="HN73" s="142">
        <f t="shared" si="382"/>
        <v>612.14472000000001</v>
      </c>
      <c r="HO73" s="142">
        <f t="shared" si="382"/>
        <v>612.14472000000001</v>
      </c>
      <c r="HP73" s="142">
        <f t="shared" si="382"/>
        <v>612.14472000000001</v>
      </c>
      <c r="HQ73" s="142">
        <f t="shared" si="382"/>
        <v>612.14472000000001</v>
      </c>
      <c r="HR73" s="142">
        <f t="shared" si="382"/>
        <v>612.14472000000001</v>
      </c>
      <c r="HS73" s="142">
        <f t="shared" si="382"/>
        <v>612.14472000000001</v>
      </c>
      <c r="HT73" s="142">
        <f t="shared" si="382"/>
        <v>612.14472000000001</v>
      </c>
      <c r="HU73" s="142">
        <f t="shared" si="382"/>
        <v>612.14472000000001</v>
      </c>
      <c r="HV73" s="142">
        <f t="shared" si="382"/>
        <v>612.14472000000001</v>
      </c>
      <c r="HW73" s="142">
        <f t="shared" si="382"/>
        <v>612.14472000000001</v>
      </c>
      <c r="HX73" s="142">
        <f t="shared" si="382"/>
        <v>612.14472000000001</v>
      </c>
      <c r="HY73" s="142">
        <f t="shared" si="382"/>
        <v>612.14472000000001</v>
      </c>
      <c r="HZ73" s="142">
        <f t="shared" si="382"/>
        <v>612.14472000000001</v>
      </c>
      <c r="IA73" s="142">
        <f t="shared" si="382"/>
        <v>612.14472000000001</v>
      </c>
      <c r="IB73" s="142">
        <f t="shared" si="382"/>
        <v>612.14472000000001</v>
      </c>
      <c r="IC73" s="142">
        <f t="shared" si="382"/>
        <v>612.14472000000001</v>
      </c>
      <c r="ID73" s="142">
        <f t="shared" si="382"/>
        <v>612.14472000000001</v>
      </c>
      <c r="IE73" s="142">
        <f t="shared" si="382"/>
        <v>612.14472000000001</v>
      </c>
      <c r="IF73" s="142">
        <f t="shared" si="382"/>
        <v>612.14472000000001</v>
      </c>
      <c r="IG73" s="142">
        <f t="shared" si="382"/>
        <v>612.14472000000001</v>
      </c>
      <c r="IH73" s="142">
        <f t="shared" si="382"/>
        <v>612.14472000000001</v>
      </c>
      <c r="II73" s="142">
        <f t="shared" si="382"/>
        <v>612.14472000000001</v>
      </c>
      <c r="IJ73" s="142">
        <f t="shared" si="382"/>
        <v>612.14472000000001</v>
      </c>
      <c r="IK73" s="142">
        <f t="shared" si="382"/>
        <v>612.14472000000001</v>
      </c>
      <c r="IL73" s="142">
        <f t="shared" si="382"/>
        <v>612.14472000000001</v>
      </c>
      <c r="IM73" s="142">
        <f t="shared" si="382"/>
        <v>612.14472000000001</v>
      </c>
      <c r="IN73" s="142">
        <f t="shared" si="382"/>
        <v>612.14472000000001</v>
      </c>
      <c r="IO73" s="142">
        <f t="shared" si="382"/>
        <v>612.14472000000001</v>
      </c>
      <c r="IP73" s="142">
        <f t="shared" si="382"/>
        <v>612.14472000000001</v>
      </c>
      <c r="IQ73" s="141">
        <f>IF(ISBLANK($A73),,IF($AN73="Não",0,(SUM($AO73:AO73)*$AH73)-SUM($HM73:HM73)-SUM($CW73:CW73)))</f>
        <v>9590.26728</v>
      </c>
      <c r="IR73" s="141">
        <f>IF(ISBLANK($A73),,IF($AN73="Não",0,(SUM($AO73:AP73)*$AH73)-SUM($HM73:HN73)-SUM($CW73:CX73)))</f>
        <v>8978.1225599999998</v>
      </c>
      <c r="IS73" s="141">
        <f>IF(ISBLANK($A73),,IF($AN73="Não",0,(SUM($AO73:AQ73)*$AH73)-SUM($HM73:HO73)-SUM($CW73:CY73)))</f>
        <v>8365.9778399999996</v>
      </c>
      <c r="IT73" s="141">
        <f>IF(ISBLANK($A73),,IF($AN73="Não",0,(SUM($AO73:AR73)*$AH73)-SUM($HM73:HP73)-SUM($CW73:CZ73)))</f>
        <v>7753.8331200000002</v>
      </c>
      <c r="IU73" s="141">
        <f>IF(ISBLANK($A73),,IF($AN73="Não",0,(SUM($AO73:AS73)*$AH73)-SUM($HM73:HQ73)-SUM($CW73:DA73)))</f>
        <v>7141.6884</v>
      </c>
      <c r="IV73" s="141">
        <f>IF(ISBLANK($A73),,IF($AN73="Não",0,(SUM($AO73:AT73)*$AH73)-SUM($HM73:HR73)-SUM($CW73:DB73)))</f>
        <v>6529.5436799999998</v>
      </c>
      <c r="IW73" s="141">
        <f>IF(ISBLANK($A73),,IF($AN73="Não",0,(SUM($AO73:AU73)*$AH73)-SUM($HM73:HS73)-SUM($CW73:DC73)))</f>
        <v>5917.3989599999995</v>
      </c>
      <c r="IX73" s="141">
        <f>IF(ISBLANK($A73),,IF($AN73="Não",0,(SUM($AO73:AV73)*$AH73)-SUM($HM73:HT73)-SUM($CW73:DD73)))</f>
        <v>5305.2542399999993</v>
      </c>
      <c r="IY73" s="141">
        <f>IF(ISBLANK($A73),,IF($AN73="Não",0,(SUM($AO73:AW73)*$AH73)-SUM($HM73:HU73)-SUM($CW73:DE73)))</f>
        <v>4693.1095199999991</v>
      </c>
      <c r="IZ73" s="141">
        <f>IF(ISBLANK($A73),,IF($AN73="Não",0,(SUM($AO73:AX73)*$AH73)-SUM($HM73:HV73)-SUM($CW73:DF73)))</f>
        <v>4080.9647999999988</v>
      </c>
      <c r="JA73" s="141">
        <f>IF(ISBLANK($A73),,IF($AN73="Não",0,(SUM($AO73:AY73)*$AH73)-SUM($HM73:HW73)-SUM($CW73:DG73)))</f>
        <v>9590.2672799999982</v>
      </c>
      <c r="JB73" s="141">
        <f>IF(ISBLANK($A73),,IF($AN73="Não",0,(SUM($AO73:AZ73)*$AH73)-SUM($HM73:HX73)-SUM($CW73:DH73)))</f>
        <v>8978.122559999998</v>
      </c>
      <c r="JC73" s="141">
        <f>IF(ISBLANK($A73),,IF($AN73="Não",0,(SUM($AO73:BA73)*$AH73)-SUM($HM73:HY73)-SUM($CW73:DI73)))</f>
        <v>8365.9778399999977</v>
      </c>
      <c r="JD73" s="141">
        <f>IF(ISBLANK($A73),,IF($AN73="Não",0,(SUM($AO73:BB73)*$AH73)-SUM($HM73:HZ73)-SUM($CW73:DJ73)))</f>
        <v>7753.8331199999993</v>
      </c>
      <c r="JE73" s="141">
        <f>IF(ISBLANK($A73),,IF($AN73="Não",0,(SUM($AO73:BC73)*$AH73)-SUM($HM73:IA73)-SUM($CW73:DK73)))</f>
        <v>7141.6883999999991</v>
      </c>
      <c r="JF73" s="141">
        <f>IF(ISBLANK($A73),,IF($AN73="Não",0,(SUM($AO73:BD73)*$AH73)-SUM($HM73:IB73)-SUM($CW73:DL73)))</f>
        <v>6529.5436799999989</v>
      </c>
      <c r="JG73" s="141">
        <f>IF(ISBLANK($A73),,IF($AN73="Não",0,(SUM($AO73:BE73)*$AH73)-SUM($HM73:IC73)-SUM($CW73:DM73)))</f>
        <v>5917.3989599999986</v>
      </c>
      <c r="JH73" s="141">
        <f>IF(ISBLANK($A73),,IF($AN73="Não",0,(SUM($AO73:BF73)*$AH73)-SUM($HM73:ID73)-SUM($CW73:DN73)))</f>
        <v>5305.2542399999984</v>
      </c>
      <c r="JI73" s="141">
        <f>IF(ISBLANK($A73),,IF($AN73="Não",0,(SUM($AO73:BG73)*$AH73)-SUM($HM73:IE73)-SUM($CW73:DO73)))</f>
        <v>4693.1095199999982</v>
      </c>
      <c r="JJ73" s="141">
        <f>IF(ISBLANK($A73),,IF($AN73="Não",0,(SUM($AO73:BH73)*$AH73)-SUM($HM73:IF73)-SUM($CW73:DP73)))</f>
        <v>4080.9647999999975</v>
      </c>
      <c r="JK73" s="141">
        <f>IF(ISBLANK($A73),,IF($AN73="Não",0,(SUM($AO73:BI73)*$AH73)-SUM($HM73:IG73)-SUM($CW73:DQ73)))</f>
        <v>9590.2672799999964</v>
      </c>
      <c r="JL73" s="141">
        <f>IF(ISBLANK($A73),,IF($AN73="Não",0,(SUM($AO73:BJ73)*$AH73)-SUM($HM73:IH73)-SUM($CW73:DR73)))</f>
        <v>8978.1225599999998</v>
      </c>
      <c r="JM73" s="141">
        <f>IF(ISBLANK($A73),,IF($AN73="Não",0,(SUM($AO73:BK73)*$AH73)-SUM($HM73:II73)-SUM($CW73:DS73)))</f>
        <v>8365.9778399999959</v>
      </c>
      <c r="JN73" s="141">
        <f>IF(ISBLANK($A73),,IF($AN73="Não",0,(SUM($AO73:BL73)*$AH73)-SUM($HM73:IJ73)-SUM($CW73:DT73)))</f>
        <v>7753.8331199999966</v>
      </c>
      <c r="JO73" s="141">
        <f>IF(ISBLANK($A73),,IF($AN73="Não",0,(SUM($AO73:BM73)*$AH73)-SUM($HM73:IK73)-SUM($CW73:DU73)))</f>
        <v>7141.6883999999964</v>
      </c>
      <c r="JP73" s="141">
        <f>IF(ISBLANK($A73),,IF($AN73="Não",0,(SUM($AO73:BN73)*$AH73)-SUM($HM73:IL73)-SUM($CW73:DV73)))</f>
        <v>6529.5436799999961</v>
      </c>
      <c r="JQ73" s="141">
        <f>IF(ISBLANK($A73),,IF($AN73="Não",0,(SUM($AO73:BO73)*$AH73)-SUM($HM73:IM73)-SUM($CW73:DW73)))</f>
        <v>5917.3989599999977</v>
      </c>
      <c r="JR73" s="141">
        <f>IF(ISBLANK($A73),,IF($AN73="Não",0,(SUM($AO73:BP73)*$AH73)-SUM($HM73:IN73)-SUM($CW73:DX73)))</f>
        <v>5305.2542399999975</v>
      </c>
      <c r="JS73" s="141">
        <f>IF(ISBLANK($A73),,IF($AN73="Não",0,(SUM($AO73:BQ73)*$AH73)-SUM($HM73:IO73)-SUM($CW73:DY73)))</f>
        <v>4693.1095199999972</v>
      </c>
      <c r="JT73" s="141">
        <f>IF(ISBLANK($A73),,IF($AN73="Não",0,(SUM($AO73:BR73)*$AH73)-SUM($HM73:IP73)-SUM($CW73:DZ73)))</f>
        <v>4080.964799999997</v>
      </c>
    </row>
    <row r="74" spans="1:280" ht="15.75" customHeight="1">
      <c r="A74" s="129" t="s">
        <v>352</v>
      </c>
      <c r="B74" s="129" t="s">
        <v>209</v>
      </c>
      <c r="C74" s="138" t="s">
        <v>96</v>
      </c>
      <c r="D74" s="139">
        <v>1</v>
      </c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607">
        <f t="shared" si="286"/>
        <v>2372.59</v>
      </c>
      <c r="AI74" s="608">
        <f t="shared" si="287"/>
        <v>30</v>
      </c>
      <c r="AJ74" s="609">
        <f t="shared" si="288"/>
        <v>0</v>
      </c>
      <c r="AK74" s="610" t="str">
        <f t="shared" si="289"/>
        <v>Edificações</v>
      </c>
      <c r="AL74" s="609">
        <f t="shared" si="290"/>
        <v>0.05</v>
      </c>
      <c r="AM74" s="611" t="str">
        <f t="shared" si="291"/>
        <v>Sim</v>
      </c>
      <c r="AN74" s="611" t="str">
        <f t="shared" si="292"/>
        <v>Não</v>
      </c>
      <c r="AO74" s="140">
        <f t="array" ref="AO74">IF(ISBLANK($A74),0,IF(OR(AO$5-$AI74&lt;=0,$AM74="Não"),D74,D74+INDEX($AO$6:$BR$176,ROW()-5,COLUMN()-40-$AI74)))*IF($B74="Operacional",IFERROR(VLOOKUP($C74,SN_UGC,28,0),0),1)</f>
        <v>1</v>
      </c>
      <c r="AP74" s="140">
        <f t="array" ref="AP74">IF(ISBLANK($A74),0,IF(OR(AP$5-$AI74&lt;=0,$AM74="Não"),E74,E74+INDEX($AO$6:$BR$176,ROW()-5,COLUMN()-40-$AI74)))*IF($B74="Operacional",IFERROR(VLOOKUP($C74,SN_UGC,28,0),0),1)</f>
        <v>0</v>
      </c>
      <c r="AQ74" s="140">
        <f t="array" ref="AQ74">IF(ISBLANK($A74),0,IF(OR(AQ$5-$AI74&lt;=0,$AM74="Não"),F74,F74+INDEX($AO$6:$BR$176,ROW()-5,COLUMN()-40-$AI74)))*IF($B74="Operacional",IFERROR(VLOOKUP($C74,SN_UGC,28,0),0),1)</f>
        <v>0</v>
      </c>
      <c r="AR74" s="140">
        <f t="array" ref="AR74">IF(ISBLANK($A74),0,IF(OR(AR$5-$AI74&lt;=0,$AM74="Não"),G74,G74+INDEX($AO$6:$BR$176,ROW()-5,COLUMN()-40-$AI74)))*IF($B74="Operacional",IFERROR(VLOOKUP($C74,SN_UGC,28,0),0),1)</f>
        <v>0</v>
      </c>
      <c r="AS74" s="140">
        <f t="array" ref="AS74">IF(ISBLANK($A74),0,IF(OR(AS$5-$AI74&lt;=0,$AM74="Não"),H74,H74+INDEX($AO$6:$BR$176,ROW()-5,COLUMN()-40-$AI74)))*IF($B74="Operacional",IFERROR(VLOOKUP($C74,SN_UGC,28,0),0),1)</f>
        <v>0</v>
      </c>
      <c r="AT74" s="140">
        <f t="array" ref="AT74">IF(ISBLANK($A74),0,IF(OR(AT$5-$AI74&lt;=0,$AM74="Não"),I74,I74+INDEX($AO$6:$BR$176,ROW()-5,COLUMN()-40-$AI74)))*IF($B74="Operacional",IFERROR(VLOOKUP($C74,SN_UGC,28,0),0),1)</f>
        <v>0</v>
      </c>
      <c r="AU74" s="140">
        <f t="array" ref="AU74">IF(ISBLANK($A74),0,IF(OR(AU$5-$AI74&lt;=0,$AM74="Não"),J74,J74+INDEX($AO$6:$BR$176,ROW()-5,COLUMN()-40-$AI74)))*IF($B74="Operacional",IFERROR(VLOOKUP($C74,SN_UGC,28,0),0),1)</f>
        <v>0</v>
      </c>
      <c r="AV74" s="140">
        <f t="array" ref="AV74">IF(ISBLANK($A74),0,IF(OR(AV$5-$AI74&lt;=0,$AM74="Não"),K74,K74+INDEX($AO$6:$BR$176,ROW()-5,COLUMN()-40-$AI74)))*IF($B74="Operacional",IFERROR(VLOOKUP($C74,SN_UGC,28,0),0),1)</f>
        <v>0</v>
      </c>
      <c r="AW74" s="140">
        <f t="array" ref="AW74">IF(ISBLANK($A74),0,IF(OR(AW$5-$AI74&lt;=0,$AM74="Não"),L74,L74+INDEX($AO$6:$BR$176,ROW()-5,COLUMN()-40-$AI74)))*IF($B74="Operacional",IFERROR(VLOOKUP($C74,SN_UGC,28,0),0),1)</f>
        <v>0</v>
      </c>
      <c r="AX74" s="140">
        <f t="array" ref="AX74">IF(ISBLANK($A74),0,IF(OR(AX$5-$AI74&lt;=0,$AM74="Não"),M74,M74+INDEX($AO$6:$BR$176,ROW()-5,COLUMN()-40-$AI74)))*IF($B74="Operacional",IFERROR(VLOOKUP($C74,SN_UGC,28,0),0),1)</f>
        <v>0</v>
      </c>
      <c r="AY74" s="140">
        <f t="array" ref="AY74">IF(ISBLANK($A74),0,IF(OR(AY$5-$AI74&lt;=0,$AM74="Não"),N74,N74+INDEX($AO$6:$BR$176,ROW()-5,COLUMN()-40-$AI74)))*IF($B74="Operacional",IFERROR(VLOOKUP($C74,SN_UGC,28,0),0),1)</f>
        <v>0</v>
      </c>
      <c r="AZ74" s="140">
        <f t="array" ref="AZ74">IF(ISBLANK($A74),0,IF(OR(AZ$5-$AI74&lt;=0,$AM74="Não"),O74,O74+INDEX($AO$6:$BR$176,ROW()-5,COLUMN()-40-$AI74)))*IF($B74="Operacional",IFERROR(VLOOKUP($C74,SN_UGC,28,0),0),1)</f>
        <v>0</v>
      </c>
      <c r="BA74" s="140">
        <f t="array" ref="BA74">IF(ISBLANK($A74),0,IF(OR(BA$5-$AI74&lt;=0,$AM74="Não"),P74,P74+INDEX($AO$6:$BR$176,ROW()-5,COLUMN()-40-$AI74)))*IF($B74="Operacional",IFERROR(VLOOKUP($C74,SN_UGC,28,0),0),1)</f>
        <v>0</v>
      </c>
      <c r="BB74" s="140">
        <f t="array" ref="BB74">IF(ISBLANK($A74),0,IF(OR(BB$5-$AI74&lt;=0,$AM74="Não"),Q74,Q74+INDEX($AO$6:$BR$176,ROW()-5,COLUMN()-40-$AI74)))*IF($B74="Operacional",IFERROR(VLOOKUP($C74,SN_UGC,28,0),0),1)</f>
        <v>0</v>
      </c>
      <c r="BC74" s="140">
        <f t="array" ref="BC74">IF(ISBLANK($A74),0,IF(OR(BC$5-$AI74&lt;=0,$AM74="Não"),R74,R74+INDEX($AO$6:$BR$176,ROW()-5,COLUMN()-40-$AI74)))*IF($B74="Operacional",IFERROR(VLOOKUP($C74,SN_UGC,28,0),0),1)</f>
        <v>0</v>
      </c>
      <c r="BD74" s="140">
        <f t="array" ref="BD74">IF(ISBLANK($A74),0,IF(OR(BD$5-$AI74&lt;=0,$AM74="Não"),S74,S74+INDEX($AO$6:$BR$176,ROW()-5,COLUMN()-40-$AI74)))*IF($B74="Operacional",IFERROR(VLOOKUP($C74,SN_UGC,28,0),0),1)</f>
        <v>0</v>
      </c>
      <c r="BE74" s="140">
        <f t="array" ref="BE74">IF(ISBLANK($A74),0,IF(OR(BE$5-$AI74&lt;=0,$AM74="Não"),T74,T74+INDEX($AO$6:$BR$176,ROW()-5,COLUMN()-40-$AI74)))*IF($B74="Operacional",IFERROR(VLOOKUP($C74,SN_UGC,28,0),0),1)</f>
        <v>0</v>
      </c>
      <c r="BF74" s="140">
        <f t="array" ref="BF74">IF(ISBLANK($A74),0,IF(OR(BF$5-$AI74&lt;=0,$AM74="Não"),U74,U74+INDEX($AO$6:$BR$176,ROW()-5,COLUMN()-40-$AI74)))*IF($B74="Operacional",IFERROR(VLOOKUP($C74,SN_UGC,28,0),0),1)</f>
        <v>0</v>
      </c>
      <c r="BG74" s="140">
        <f t="array" ref="BG74">IF(ISBLANK($A74),0,IF(OR(BG$5-$AI74&lt;=0,$AM74="Não"),V74,V74+INDEX($AO$6:$BR$176,ROW()-5,COLUMN()-40-$AI74)))*IF($B74="Operacional",IFERROR(VLOOKUP($C74,SN_UGC,28,0),0),1)</f>
        <v>0</v>
      </c>
      <c r="BH74" s="140">
        <f t="array" ref="BH74">IF(ISBLANK($A74),0,IF(OR(BH$5-$AI74&lt;=0,$AM74="Não"),W74,W74+INDEX($AO$6:$BR$176,ROW()-5,COLUMN()-40-$AI74)))*IF($B74="Operacional",IFERROR(VLOOKUP($C74,SN_UGC,28,0),0),1)</f>
        <v>0</v>
      </c>
      <c r="BI74" s="140">
        <f t="array" ref="BI74">IF(ISBLANK($A74),0,IF(OR(BI$5-$AI74&lt;=0,$AM74="Não"),X74,X74+INDEX($AO$6:$BR$176,ROW()-5,COLUMN()-40-$AI74)))*IF($B74="Operacional",IFERROR(VLOOKUP($C74,SN_UGC,28,0),0),1)</f>
        <v>0</v>
      </c>
      <c r="BJ74" s="140">
        <f t="array" ref="BJ74">IF(ISBLANK($A74),0,IF(OR(BJ$5-$AI74&lt;=0,$AM74="Não"),Y74,Y74+INDEX($AO$6:$BR$176,ROW()-5,COLUMN()-40-$AI74)))*IF($B74="Operacional",IFERROR(VLOOKUP($C74,SN_UGC,28,0),0),1)</f>
        <v>0</v>
      </c>
      <c r="BK74" s="140">
        <f t="array" ref="BK74">IF(ISBLANK($A74),0,IF(OR(BK$5-$AI74&lt;=0,$AM74="Não"),Z74,Z74+INDEX($AO$6:$BR$176,ROW()-5,COLUMN()-40-$AI74)))*IF($B74="Operacional",IFERROR(VLOOKUP($C74,SN_UGC,28,0),0),1)</f>
        <v>0</v>
      </c>
      <c r="BL74" s="140">
        <f t="array" ref="BL74">IF(ISBLANK($A74),0,IF(OR(BL$5-$AI74&lt;=0,$AM74="Não"),AA74,AA74+INDEX($AO$6:$BR$176,ROW()-5,COLUMN()-40-$AI74)))*IF($B74="Operacional",IFERROR(VLOOKUP($C74,SN_UGC,28,0),0),1)</f>
        <v>0</v>
      </c>
      <c r="BM74" s="140">
        <f t="array" ref="BM74">IF(ISBLANK($A74),0,IF(OR(BM$5-$AI74&lt;=0,$AM74="Não"),AB74,AB74+INDEX($AO$6:$BR$176,ROW()-5,COLUMN()-40-$AI74)))*IF($B74="Operacional",IFERROR(VLOOKUP($C74,SN_UGC,28,0),0),1)</f>
        <v>0</v>
      </c>
      <c r="BN74" s="140">
        <f t="array" ref="BN74">IF(ISBLANK($A74),0,IF(OR(BN$5-$AI74&lt;=0,$AM74="Não"),AC74,AC74+INDEX($AO$6:$BR$176,ROW()-5,COLUMN()-40-$AI74)))*IF($B74="Operacional",IFERROR(VLOOKUP($C74,SN_UGC,28,0),0),1)</f>
        <v>0</v>
      </c>
      <c r="BO74" s="140">
        <f t="array" ref="BO74">IF(ISBLANK($A74),0,IF(OR(BO$5-$AI74&lt;=0,$AM74="Não"),AD74,AD74+INDEX($AO$6:$BR$176,ROW()-5,COLUMN()-40-$AI74)))*IF($B74="Operacional",IFERROR(VLOOKUP($C74,SN_UGC,28,0),0),1)</f>
        <v>0</v>
      </c>
      <c r="BP74" s="140">
        <f t="array" ref="BP74">IF(ISBLANK($A74),0,IF(OR(BP$5-$AI74&lt;=0,$AM74="Não"),AE74,AE74+INDEX($AO$6:$BR$176,ROW()-5,COLUMN()-40-$AI74)))*IF($B74="Operacional",IFERROR(VLOOKUP($C74,SN_UGC,28,0),0),1)</f>
        <v>0</v>
      </c>
      <c r="BQ74" s="140">
        <f t="array" ref="BQ74">IF(ISBLANK($A74),0,IF(OR(BQ$5-$AI74&lt;=0,$AM74="Não"),AF74,AF74+INDEX($AO$6:$BR$176,ROW()-5,COLUMN()-40-$AI74)))*IF($B74="Operacional",IFERROR(VLOOKUP($C74,SN_UGC,28,0),0),1)</f>
        <v>0</v>
      </c>
      <c r="BR74" s="140">
        <f t="array" ref="BR74">IF(ISBLANK($A74),0,IF(OR(BR$5-$AI74&lt;=0,$AM74="Não"),AG74,AG74+INDEX($AO$6:$BR$176,ROW()-5,COLUMN()-40-$AI74)))*IF($B74="Operacional",IFERROR(VLOOKUP($C74,SN_UGC,28,0),0),1)</f>
        <v>0</v>
      </c>
      <c r="BS74" s="141">
        <f t="shared" ref="BS74:CV74" si="383">IF(ISBLANK($A74),0,$AH74*AO74)</f>
        <v>2372.59</v>
      </c>
      <c r="BT74" s="141">
        <f t="shared" si="383"/>
        <v>0</v>
      </c>
      <c r="BU74" s="141">
        <f t="shared" si="383"/>
        <v>0</v>
      </c>
      <c r="BV74" s="141">
        <f t="shared" si="383"/>
        <v>0</v>
      </c>
      <c r="BW74" s="141">
        <f t="shared" si="383"/>
        <v>0</v>
      </c>
      <c r="BX74" s="141">
        <f t="shared" si="383"/>
        <v>0</v>
      </c>
      <c r="BY74" s="141">
        <f t="shared" si="383"/>
        <v>0</v>
      </c>
      <c r="BZ74" s="141">
        <f t="shared" si="383"/>
        <v>0</v>
      </c>
      <c r="CA74" s="141">
        <f t="shared" si="383"/>
        <v>0</v>
      </c>
      <c r="CB74" s="141">
        <f t="shared" si="383"/>
        <v>0</v>
      </c>
      <c r="CC74" s="141">
        <f t="shared" si="383"/>
        <v>0</v>
      </c>
      <c r="CD74" s="141">
        <f t="shared" si="383"/>
        <v>0</v>
      </c>
      <c r="CE74" s="141">
        <f t="shared" si="383"/>
        <v>0</v>
      </c>
      <c r="CF74" s="141">
        <f t="shared" si="383"/>
        <v>0</v>
      </c>
      <c r="CG74" s="141">
        <f t="shared" si="383"/>
        <v>0</v>
      </c>
      <c r="CH74" s="141">
        <f t="shared" si="383"/>
        <v>0</v>
      </c>
      <c r="CI74" s="141">
        <f t="shared" si="383"/>
        <v>0</v>
      </c>
      <c r="CJ74" s="141">
        <f t="shared" si="383"/>
        <v>0</v>
      </c>
      <c r="CK74" s="141">
        <f t="shared" si="383"/>
        <v>0</v>
      </c>
      <c r="CL74" s="141">
        <f t="shared" si="383"/>
        <v>0</v>
      </c>
      <c r="CM74" s="141">
        <f t="shared" si="383"/>
        <v>0</v>
      </c>
      <c r="CN74" s="141">
        <f t="shared" si="383"/>
        <v>0</v>
      </c>
      <c r="CO74" s="141">
        <f t="shared" si="383"/>
        <v>0</v>
      </c>
      <c r="CP74" s="141">
        <f t="shared" si="383"/>
        <v>0</v>
      </c>
      <c r="CQ74" s="141">
        <f t="shared" si="383"/>
        <v>0</v>
      </c>
      <c r="CR74" s="141">
        <f t="shared" si="383"/>
        <v>0</v>
      </c>
      <c r="CS74" s="141">
        <f t="shared" si="383"/>
        <v>0</v>
      </c>
      <c r="CT74" s="141">
        <f t="shared" si="383"/>
        <v>0</v>
      </c>
      <c r="CU74" s="141">
        <f t="shared" si="383"/>
        <v>0</v>
      </c>
      <c r="CV74" s="141">
        <f t="shared" si="383"/>
        <v>0</v>
      </c>
      <c r="CW74" s="142">
        <f t="shared" ref="CW74:DZ74" si="384">EA74*$AH74*$AJ74</f>
        <v>0</v>
      </c>
      <c r="CX74" s="142">
        <f t="shared" si="384"/>
        <v>0</v>
      </c>
      <c r="CY74" s="142">
        <f t="shared" si="384"/>
        <v>0</v>
      </c>
      <c r="CZ74" s="142">
        <f t="shared" si="384"/>
        <v>0</v>
      </c>
      <c r="DA74" s="142">
        <f t="shared" si="384"/>
        <v>0</v>
      </c>
      <c r="DB74" s="142">
        <f t="shared" si="384"/>
        <v>0</v>
      </c>
      <c r="DC74" s="142">
        <f t="shared" si="384"/>
        <v>0</v>
      </c>
      <c r="DD74" s="142">
        <f t="shared" si="384"/>
        <v>0</v>
      </c>
      <c r="DE74" s="142">
        <f t="shared" si="384"/>
        <v>0</v>
      </c>
      <c r="DF74" s="142">
        <f t="shared" si="384"/>
        <v>0</v>
      </c>
      <c r="DG74" s="142">
        <f t="shared" si="384"/>
        <v>0</v>
      </c>
      <c r="DH74" s="142">
        <f t="shared" si="384"/>
        <v>0</v>
      </c>
      <c r="DI74" s="142">
        <f t="shared" si="384"/>
        <v>0</v>
      </c>
      <c r="DJ74" s="142">
        <f t="shared" si="384"/>
        <v>0</v>
      </c>
      <c r="DK74" s="142">
        <f t="shared" si="384"/>
        <v>0</v>
      </c>
      <c r="DL74" s="142">
        <f t="shared" si="384"/>
        <v>0</v>
      </c>
      <c r="DM74" s="142">
        <f t="shared" si="384"/>
        <v>0</v>
      </c>
      <c r="DN74" s="142">
        <f t="shared" si="384"/>
        <v>0</v>
      </c>
      <c r="DO74" s="142">
        <f t="shared" si="384"/>
        <v>0</v>
      </c>
      <c r="DP74" s="142">
        <f t="shared" si="384"/>
        <v>0</v>
      </c>
      <c r="DQ74" s="142">
        <f t="shared" si="384"/>
        <v>0</v>
      </c>
      <c r="DR74" s="142">
        <f t="shared" si="384"/>
        <v>0</v>
      </c>
      <c r="DS74" s="142">
        <f t="shared" si="384"/>
        <v>0</v>
      </c>
      <c r="DT74" s="142">
        <f t="shared" si="384"/>
        <v>0</v>
      </c>
      <c r="DU74" s="142">
        <f t="shared" si="384"/>
        <v>0</v>
      </c>
      <c r="DV74" s="142">
        <f t="shared" si="384"/>
        <v>0</v>
      </c>
      <c r="DW74" s="142">
        <f t="shared" si="384"/>
        <v>0</v>
      </c>
      <c r="DX74" s="142">
        <f t="shared" si="384"/>
        <v>0</v>
      </c>
      <c r="DY74" s="142">
        <f t="shared" si="384"/>
        <v>0</v>
      </c>
      <c r="DZ74" s="142">
        <f t="shared" si="384"/>
        <v>0</v>
      </c>
      <c r="EA74" s="143">
        <f t="shared" si="339"/>
        <v>0</v>
      </c>
      <c r="EB74" s="143">
        <f t="shared" si="340"/>
        <v>0</v>
      </c>
      <c r="EC74" s="143">
        <f t="shared" si="341"/>
        <v>0</v>
      </c>
      <c r="ED74" s="143">
        <f t="shared" si="342"/>
        <v>0</v>
      </c>
      <c r="EE74" s="143">
        <f t="shared" si="343"/>
        <v>0</v>
      </c>
      <c r="EF74" s="143">
        <f t="shared" si="344"/>
        <v>0</v>
      </c>
      <c r="EG74" s="143">
        <f t="shared" si="345"/>
        <v>0</v>
      </c>
      <c r="EH74" s="143">
        <f t="shared" si="346"/>
        <v>0</v>
      </c>
      <c r="EI74" s="143">
        <f t="shared" si="347"/>
        <v>0</v>
      </c>
      <c r="EJ74" s="143">
        <f t="shared" si="348"/>
        <v>0</v>
      </c>
      <c r="EK74" s="143">
        <f t="shared" si="349"/>
        <v>0</v>
      </c>
      <c r="EL74" s="143">
        <f t="shared" si="350"/>
        <v>0</v>
      </c>
      <c r="EM74" s="143">
        <f t="shared" si="351"/>
        <v>0</v>
      </c>
      <c r="EN74" s="143">
        <f t="shared" si="352"/>
        <v>0</v>
      </c>
      <c r="EO74" s="143">
        <f t="shared" si="353"/>
        <v>0</v>
      </c>
      <c r="EP74" s="143">
        <f t="shared" si="354"/>
        <v>0</v>
      </c>
      <c r="EQ74" s="143">
        <f t="shared" si="355"/>
        <v>0</v>
      </c>
      <c r="ER74" s="143">
        <f t="shared" si="356"/>
        <v>0</v>
      </c>
      <c r="ES74" s="143">
        <f t="shared" si="357"/>
        <v>0</v>
      </c>
      <c r="ET74" s="143">
        <f t="shared" si="358"/>
        <v>0</v>
      </c>
      <c r="EU74" s="143">
        <f t="shared" si="359"/>
        <v>0</v>
      </c>
      <c r="EV74" s="143">
        <f t="shared" si="360"/>
        <v>0</v>
      </c>
      <c r="EW74" s="143">
        <f t="shared" si="361"/>
        <v>0</v>
      </c>
      <c r="EX74" s="143">
        <f t="shared" si="362"/>
        <v>0</v>
      </c>
      <c r="EY74" s="143">
        <f t="shared" si="363"/>
        <v>0</v>
      </c>
      <c r="EZ74" s="143">
        <f t="shared" si="364"/>
        <v>0</v>
      </c>
      <c r="FA74" s="143">
        <f t="shared" si="365"/>
        <v>0</v>
      </c>
      <c r="FB74" s="143">
        <f t="shared" si="366"/>
        <v>0</v>
      </c>
      <c r="FC74" s="143">
        <f t="shared" si="367"/>
        <v>0</v>
      </c>
      <c r="FD74" s="143">
        <f t="shared" si="368"/>
        <v>0</v>
      </c>
      <c r="FE74" s="140">
        <f>SUM($D74:D74)*IF($B74="Operacional",IFERROR(VLOOKUP($C74,SN_UGC,28,0),0),1)</f>
        <v>1</v>
      </c>
      <c r="FF74" s="140">
        <f>SUM($D74:E74)*IF($B74="Operacional",IFERROR(VLOOKUP($C74,SN_UGC,28,0),0),1)</f>
        <v>1</v>
      </c>
      <c r="FG74" s="140">
        <f>SUM($D74:F74)*IF($B74="Operacional",IFERROR(VLOOKUP($C74,SN_UGC,28,0),0),1)</f>
        <v>1</v>
      </c>
      <c r="FH74" s="140">
        <f>SUM($D74:G74)*IF($B74="Operacional",IFERROR(VLOOKUP($C74,SN_UGC,28,0),0),1)</f>
        <v>1</v>
      </c>
      <c r="FI74" s="140">
        <f>SUM($D74:H74)*IF($B74="Operacional",IFERROR(VLOOKUP($C74,SN_UGC,28,0),0),1)</f>
        <v>1</v>
      </c>
      <c r="FJ74" s="140">
        <f>SUM($D74:I74)*IF($B74="Operacional",IFERROR(VLOOKUP($C74,SN_UGC,28,0),0),1)</f>
        <v>1</v>
      </c>
      <c r="FK74" s="140">
        <f>SUM($D74:J74)*IF($B74="Operacional",IFERROR(VLOOKUP($C74,SN_UGC,28,0),0),1)</f>
        <v>1</v>
      </c>
      <c r="FL74" s="140">
        <f>SUM($D74:K74)*IF($B74="Operacional",IFERROR(VLOOKUP($C74,SN_UGC,28,0),0),1)</f>
        <v>1</v>
      </c>
      <c r="FM74" s="140">
        <f>SUM($D74:L74)*IF($B74="Operacional",IFERROR(VLOOKUP($C74,SN_UGC,28,0),0),1)</f>
        <v>1</v>
      </c>
      <c r="FN74" s="140">
        <f>SUM($D74:M74)*IF($B74="Operacional",IFERROR(VLOOKUP($C74,SN_UGC,28,0),0),1)</f>
        <v>1</v>
      </c>
      <c r="FO74" s="140">
        <f>SUM($D74:N74)*IF($B74="Operacional",IFERROR(VLOOKUP($C74,SN_UGC,28,0),0),1)</f>
        <v>1</v>
      </c>
      <c r="FP74" s="140">
        <f>SUM($D74:O74)*IF($B74="Operacional",IFERROR(VLOOKUP($C74,SN_UGC,28,0),0),1)</f>
        <v>1</v>
      </c>
      <c r="FQ74" s="140">
        <f>SUM($D74:P74)*IF($B74="Operacional",IFERROR(VLOOKUP($C74,SN_UGC,28,0),0),1)</f>
        <v>1</v>
      </c>
      <c r="FR74" s="140">
        <f>SUM($D74:Q74)*IF($B74="Operacional",IFERROR(VLOOKUP($C74,SN_UGC,28,0),0),1)</f>
        <v>1</v>
      </c>
      <c r="FS74" s="140">
        <f>SUM($D74:R74)*IF($B74="Operacional",IFERROR(VLOOKUP($C74,SN_UGC,28,0),0),1)</f>
        <v>1</v>
      </c>
      <c r="FT74" s="140">
        <f>SUM($D74:S74)*IF($B74="Operacional",IFERROR(VLOOKUP($C74,SN_UGC,28,0),0),1)</f>
        <v>1</v>
      </c>
      <c r="FU74" s="140">
        <f>SUM($D74:T74)*IF($B74="Operacional",IFERROR(VLOOKUP($C74,SN_UGC,28,0),0),1)</f>
        <v>1</v>
      </c>
      <c r="FV74" s="140">
        <f>SUM($D74:U74)*IF($B74="Operacional",IFERROR(VLOOKUP($C74,SN_UGC,28,0),0),1)</f>
        <v>1</v>
      </c>
      <c r="FW74" s="140">
        <f>SUM($D74:V74)*IF($B74="Operacional",IFERROR(VLOOKUP($C74,SN_UGC,28,0),0),1)</f>
        <v>1</v>
      </c>
      <c r="FX74" s="140">
        <f>SUM($D74:W74)*IF($B74="Operacional",IFERROR(VLOOKUP($C74,SN_UGC,28,0),0),1)</f>
        <v>1</v>
      </c>
      <c r="FY74" s="140">
        <f>SUM($D74:X74)*IF($B74="Operacional",IFERROR(VLOOKUP($C74,SN_UGC,28,0),0),1)</f>
        <v>1</v>
      </c>
      <c r="FZ74" s="140">
        <f>SUM($D74:Y74)*IF($B74="Operacional",IFERROR(VLOOKUP($C74,SN_UGC,28,0),0),1)</f>
        <v>1</v>
      </c>
      <c r="GA74" s="140">
        <f>SUM($D74:Z74)*IF($B74="Operacional",IFERROR(VLOOKUP($C74,SN_UGC,28,0),0),1)</f>
        <v>1</v>
      </c>
      <c r="GB74" s="140">
        <f>SUM($D74:AA74)*IF($B74="Operacional",IFERROR(VLOOKUP($C74,SN_UGC,28,0),0),1)</f>
        <v>1</v>
      </c>
      <c r="GC74" s="140">
        <f>SUM($D74:AB74)*IF($B74="Operacional",IFERROR(VLOOKUP($C74,SN_UGC,28,0),0),1)</f>
        <v>1</v>
      </c>
      <c r="GD74" s="140">
        <f>SUM($D74:AC74)*IF($B74="Operacional",IFERROR(VLOOKUP($C74,SN_UGC,28,0),0),1)</f>
        <v>1</v>
      </c>
      <c r="GE74" s="140">
        <f>SUM($D74:AD74)*IF($B74="Operacional",IFERROR(VLOOKUP($C74,SN_UGC,28,0),0),1)</f>
        <v>1</v>
      </c>
      <c r="GF74" s="140">
        <f>SUM($D74:AE74)*IF($B74="Operacional",IFERROR(VLOOKUP($C74,SN_UGC,28,0),0),1)</f>
        <v>1</v>
      </c>
      <c r="GG74" s="140">
        <f>SUM($D74:AF74)*IF($B74="Operacional",IFERROR(VLOOKUP($C74,SN_UGC,28,0),0),1)</f>
        <v>1</v>
      </c>
      <c r="GH74" s="140">
        <f>SUM($D74:AG74)*IF($B74="Operacional",IFERROR(VLOOKUP($C74,SN_UGC,28,0),0),1)</f>
        <v>1</v>
      </c>
      <c r="GI74" s="141">
        <f t="shared" ref="GI74:HL74" si="385">FE74*$AH74*$AL74</f>
        <v>118.62950000000001</v>
      </c>
      <c r="GJ74" s="141">
        <f t="shared" si="385"/>
        <v>118.62950000000001</v>
      </c>
      <c r="GK74" s="141">
        <f t="shared" si="385"/>
        <v>118.62950000000001</v>
      </c>
      <c r="GL74" s="141">
        <f t="shared" si="385"/>
        <v>118.62950000000001</v>
      </c>
      <c r="GM74" s="141">
        <f t="shared" si="385"/>
        <v>118.62950000000001</v>
      </c>
      <c r="GN74" s="141">
        <f t="shared" si="385"/>
        <v>118.62950000000001</v>
      </c>
      <c r="GO74" s="141">
        <f t="shared" si="385"/>
        <v>118.62950000000001</v>
      </c>
      <c r="GP74" s="141">
        <f t="shared" si="385"/>
        <v>118.62950000000001</v>
      </c>
      <c r="GQ74" s="141">
        <f t="shared" si="385"/>
        <v>118.62950000000001</v>
      </c>
      <c r="GR74" s="141">
        <f t="shared" si="385"/>
        <v>118.62950000000001</v>
      </c>
      <c r="GS74" s="141">
        <f t="shared" si="385"/>
        <v>118.62950000000001</v>
      </c>
      <c r="GT74" s="141">
        <f t="shared" si="385"/>
        <v>118.62950000000001</v>
      </c>
      <c r="GU74" s="141">
        <f t="shared" si="385"/>
        <v>118.62950000000001</v>
      </c>
      <c r="GV74" s="141">
        <f t="shared" si="385"/>
        <v>118.62950000000001</v>
      </c>
      <c r="GW74" s="141">
        <f t="shared" si="385"/>
        <v>118.62950000000001</v>
      </c>
      <c r="GX74" s="141">
        <f t="shared" si="385"/>
        <v>118.62950000000001</v>
      </c>
      <c r="GY74" s="141">
        <f t="shared" si="385"/>
        <v>118.62950000000001</v>
      </c>
      <c r="GZ74" s="141">
        <f t="shared" si="385"/>
        <v>118.62950000000001</v>
      </c>
      <c r="HA74" s="141">
        <f t="shared" si="385"/>
        <v>118.62950000000001</v>
      </c>
      <c r="HB74" s="141">
        <f t="shared" si="385"/>
        <v>118.62950000000001</v>
      </c>
      <c r="HC74" s="141">
        <f t="shared" si="385"/>
        <v>118.62950000000001</v>
      </c>
      <c r="HD74" s="141">
        <f t="shared" si="385"/>
        <v>118.62950000000001</v>
      </c>
      <c r="HE74" s="141">
        <f t="shared" si="385"/>
        <v>118.62950000000001</v>
      </c>
      <c r="HF74" s="141">
        <f t="shared" si="385"/>
        <v>118.62950000000001</v>
      </c>
      <c r="HG74" s="141">
        <f t="shared" si="385"/>
        <v>118.62950000000001</v>
      </c>
      <c r="HH74" s="141">
        <f t="shared" si="385"/>
        <v>118.62950000000001</v>
      </c>
      <c r="HI74" s="141">
        <f t="shared" si="385"/>
        <v>118.62950000000001</v>
      </c>
      <c r="HJ74" s="141">
        <f t="shared" si="385"/>
        <v>118.62950000000001</v>
      </c>
      <c r="HK74" s="141">
        <f t="shared" si="385"/>
        <v>118.62950000000001</v>
      </c>
      <c r="HL74" s="141">
        <f t="shared" si="385"/>
        <v>118.62950000000001</v>
      </c>
      <c r="HM74" s="142">
        <f t="shared" ref="HM74:IP74" si="386">IF(ISBLANK($A74),,FE74*($AH74-($AH74*$AJ74))/$AI74)</f>
        <v>79.086333333333343</v>
      </c>
      <c r="HN74" s="142">
        <f t="shared" si="386"/>
        <v>79.086333333333343</v>
      </c>
      <c r="HO74" s="142">
        <f t="shared" si="386"/>
        <v>79.086333333333343</v>
      </c>
      <c r="HP74" s="142">
        <f t="shared" si="386"/>
        <v>79.086333333333343</v>
      </c>
      <c r="HQ74" s="142">
        <f t="shared" si="386"/>
        <v>79.086333333333343</v>
      </c>
      <c r="HR74" s="142">
        <f t="shared" si="386"/>
        <v>79.086333333333343</v>
      </c>
      <c r="HS74" s="142">
        <f t="shared" si="386"/>
        <v>79.086333333333343</v>
      </c>
      <c r="HT74" s="142">
        <f t="shared" si="386"/>
        <v>79.086333333333343</v>
      </c>
      <c r="HU74" s="142">
        <f t="shared" si="386"/>
        <v>79.086333333333343</v>
      </c>
      <c r="HV74" s="142">
        <f t="shared" si="386"/>
        <v>79.086333333333343</v>
      </c>
      <c r="HW74" s="142">
        <f t="shared" si="386"/>
        <v>79.086333333333343</v>
      </c>
      <c r="HX74" s="142">
        <f t="shared" si="386"/>
        <v>79.086333333333343</v>
      </c>
      <c r="HY74" s="142">
        <f t="shared" si="386"/>
        <v>79.086333333333343</v>
      </c>
      <c r="HZ74" s="142">
        <f t="shared" si="386"/>
        <v>79.086333333333343</v>
      </c>
      <c r="IA74" s="142">
        <f t="shared" si="386"/>
        <v>79.086333333333343</v>
      </c>
      <c r="IB74" s="142">
        <f t="shared" si="386"/>
        <v>79.086333333333343</v>
      </c>
      <c r="IC74" s="142">
        <f t="shared" si="386"/>
        <v>79.086333333333343</v>
      </c>
      <c r="ID74" s="142">
        <f t="shared" si="386"/>
        <v>79.086333333333343</v>
      </c>
      <c r="IE74" s="142">
        <f t="shared" si="386"/>
        <v>79.086333333333343</v>
      </c>
      <c r="IF74" s="142">
        <f t="shared" si="386"/>
        <v>79.086333333333343</v>
      </c>
      <c r="IG74" s="142">
        <f t="shared" si="386"/>
        <v>79.086333333333343</v>
      </c>
      <c r="IH74" s="142">
        <f t="shared" si="386"/>
        <v>79.086333333333343</v>
      </c>
      <c r="II74" s="142">
        <f t="shared" si="386"/>
        <v>79.086333333333343</v>
      </c>
      <c r="IJ74" s="142">
        <f t="shared" si="386"/>
        <v>79.086333333333343</v>
      </c>
      <c r="IK74" s="142">
        <f t="shared" si="386"/>
        <v>79.086333333333343</v>
      </c>
      <c r="IL74" s="142">
        <f t="shared" si="386"/>
        <v>79.086333333333343</v>
      </c>
      <c r="IM74" s="142">
        <f t="shared" si="386"/>
        <v>79.086333333333343</v>
      </c>
      <c r="IN74" s="142">
        <f t="shared" si="386"/>
        <v>79.086333333333343</v>
      </c>
      <c r="IO74" s="142">
        <f t="shared" si="386"/>
        <v>79.086333333333343</v>
      </c>
      <c r="IP74" s="142">
        <f t="shared" si="386"/>
        <v>79.086333333333343</v>
      </c>
      <c r="IQ74" s="141">
        <f>IF(ISBLANK($A74),,IF($AN74="Não",0,(SUM($AO74:AO74)*$AH74)-SUM($HM74:HM74)-SUM($CW74:CW74)))</f>
        <v>0</v>
      </c>
      <c r="IR74" s="141">
        <f>IF(ISBLANK($A74),,IF($AN74="Não",0,(SUM($AO74:AP74)*$AH74)-SUM($HM74:HN74)-SUM($CW74:CX74)))</f>
        <v>0</v>
      </c>
      <c r="IS74" s="141">
        <f>IF(ISBLANK($A74),,IF($AN74="Não",0,(SUM($AO74:AQ74)*$AH74)-SUM($HM74:HO74)-SUM($CW74:CY74)))</f>
        <v>0</v>
      </c>
      <c r="IT74" s="141">
        <f>IF(ISBLANK($A74),,IF($AN74="Não",0,(SUM($AO74:AR74)*$AH74)-SUM($HM74:HP74)-SUM($CW74:CZ74)))</f>
        <v>0</v>
      </c>
      <c r="IU74" s="141">
        <f>IF(ISBLANK($A74),,IF($AN74="Não",0,(SUM($AO74:AS74)*$AH74)-SUM($HM74:HQ74)-SUM($CW74:DA74)))</f>
        <v>0</v>
      </c>
      <c r="IV74" s="141">
        <f>IF(ISBLANK($A74),,IF($AN74="Não",0,(SUM($AO74:AT74)*$AH74)-SUM($HM74:HR74)-SUM($CW74:DB74)))</f>
        <v>0</v>
      </c>
      <c r="IW74" s="141">
        <f>IF(ISBLANK($A74),,IF($AN74="Não",0,(SUM($AO74:AU74)*$AH74)-SUM($HM74:HS74)-SUM($CW74:DC74)))</f>
        <v>0</v>
      </c>
      <c r="IX74" s="141">
        <f>IF(ISBLANK($A74),,IF($AN74="Não",0,(SUM($AO74:AV74)*$AH74)-SUM($HM74:HT74)-SUM($CW74:DD74)))</f>
        <v>0</v>
      </c>
      <c r="IY74" s="141">
        <f>IF(ISBLANK($A74),,IF($AN74="Não",0,(SUM($AO74:AW74)*$AH74)-SUM($HM74:HU74)-SUM($CW74:DE74)))</f>
        <v>0</v>
      </c>
      <c r="IZ74" s="141">
        <f>IF(ISBLANK($A74),,IF($AN74="Não",0,(SUM($AO74:AX74)*$AH74)-SUM($HM74:HV74)-SUM($CW74:DF74)))</f>
        <v>0</v>
      </c>
      <c r="JA74" s="141">
        <f>IF(ISBLANK($A74),,IF($AN74="Não",0,(SUM($AO74:AY74)*$AH74)-SUM($HM74:HW74)-SUM($CW74:DG74)))</f>
        <v>0</v>
      </c>
      <c r="JB74" s="141">
        <f>IF(ISBLANK($A74),,IF($AN74="Não",0,(SUM($AO74:AZ74)*$AH74)-SUM($HM74:HX74)-SUM($CW74:DH74)))</f>
        <v>0</v>
      </c>
      <c r="JC74" s="141">
        <f>IF(ISBLANK($A74),,IF($AN74="Não",0,(SUM($AO74:BA74)*$AH74)-SUM($HM74:HY74)-SUM($CW74:DI74)))</f>
        <v>0</v>
      </c>
      <c r="JD74" s="141">
        <f>IF(ISBLANK($A74),,IF($AN74="Não",0,(SUM($AO74:BB74)*$AH74)-SUM($HM74:HZ74)-SUM($CW74:DJ74)))</f>
        <v>0</v>
      </c>
      <c r="JE74" s="141">
        <f>IF(ISBLANK($A74),,IF($AN74="Não",0,(SUM($AO74:BC74)*$AH74)-SUM($HM74:IA74)-SUM($CW74:DK74)))</f>
        <v>0</v>
      </c>
      <c r="JF74" s="141">
        <f>IF(ISBLANK($A74),,IF($AN74="Não",0,(SUM($AO74:BD74)*$AH74)-SUM($HM74:IB74)-SUM($CW74:DL74)))</f>
        <v>0</v>
      </c>
      <c r="JG74" s="141">
        <f>IF(ISBLANK($A74),,IF($AN74="Não",0,(SUM($AO74:BE74)*$AH74)-SUM($HM74:IC74)-SUM($CW74:DM74)))</f>
        <v>0</v>
      </c>
      <c r="JH74" s="141">
        <f>IF(ISBLANK($A74),,IF($AN74="Não",0,(SUM($AO74:BF74)*$AH74)-SUM($HM74:ID74)-SUM($CW74:DN74)))</f>
        <v>0</v>
      </c>
      <c r="JI74" s="141">
        <f>IF(ISBLANK($A74),,IF($AN74="Não",0,(SUM($AO74:BG74)*$AH74)-SUM($HM74:IE74)-SUM($CW74:DO74)))</f>
        <v>0</v>
      </c>
      <c r="JJ74" s="141">
        <f>IF(ISBLANK($A74),,IF($AN74="Não",0,(SUM($AO74:BH74)*$AH74)-SUM($HM74:IF74)-SUM($CW74:DP74)))</f>
        <v>0</v>
      </c>
      <c r="JK74" s="141">
        <f>IF(ISBLANK($A74),,IF($AN74="Não",0,(SUM($AO74:BI74)*$AH74)-SUM($HM74:IG74)-SUM($CW74:DQ74)))</f>
        <v>0</v>
      </c>
      <c r="JL74" s="141">
        <f>IF(ISBLANK($A74),,IF($AN74="Não",0,(SUM($AO74:BJ74)*$AH74)-SUM($HM74:IH74)-SUM($CW74:DR74)))</f>
        <v>0</v>
      </c>
      <c r="JM74" s="141">
        <f>IF(ISBLANK($A74),,IF($AN74="Não",0,(SUM($AO74:BK74)*$AH74)-SUM($HM74:II74)-SUM($CW74:DS74)))</f>
        <v>0</v>
      </c>
      <c r="JN74" s="141">
        <f>IF(ISBLANK($A74),,IF($AN74="Não",0,(SUM($AO74:BL74)*$AH74)-SUM($HM74:IJ74)-SUM($CW74:DT74)))</f>
        <v>0</v>
      </c>
      <c r="JO74" s="141">
        <f>IF(ISBLANK($A74),,IF($AN74="Não",0,(SUM($AO74:BM74)*$AH74)-SUM($HM74:IK74)-SUM($CW74:DU74)))</f>
        <v>0</v>
      </c>
      <c r="JP74" s="141">
        <f>IF(ISBLANK($A74),,IF($AN74="Não",0,(SUM($AO74:BN74)*$AH74)-SUM($HM74:IL74)-SUM($CW74:DV74)))</f>
        <v>0</v>
      </c>
      <c r="JQ74" s="141">
        <f>IF(ISBLANK($A74),,IF($AN74="Não",0,(SUM($AO74:BO74)*$AH74)-SUM($HM74:IM74)-SUM($CW74:DW74)))</f>
        <v>0</v>
      </c>
      <c r="JR74" s="141">
        <f>IF(ISBLANK($A74),,IF($AN74="Não",0,(SUM($AO74:BP74)*$AH74)-SUM($HM74:IN74)-SUM($CW74:DX74)))</f>
        <v>0</v>
      </c>
      <c r="JS74" s="141">
        <f>IF(ISBLANK($A74),,IF($AN74="Não",0,(SUM($AO74:BQ74)*$AH74)-SUM($HM74:IO74)-SUM($CW74:DY74)))</f>
        <v>0</v>
      </c>
      <c r="JT74" s="141">
        <f>IF(ISBLANK($A74),,IF($AN74="Não",0,(SUM($AO74:BR74)*$AH74)-SUM($HM74:IP74)-SUM($CW74:DZ74)))</f>
        <v>0</v>
      </c>
    </row>
    <row r="75" spans="1:280" ht="15.75" customHeight="1">
      <c r="A75" s="129" t="s">
        <v>357</v>
      </c>
      <c r="B75" s="129" t="s">
        <v>209</v>
      </c>
      <c r="C75" s="138" t="s">
        <v>96</v>
      </c>
      <c r="D75" s="139">
        <v>3</v>
      </c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  <c r="AA75" s="139"/>
      <c r="AB75" s="139"/>
      <c r="AC75" s="139"/>
      <c r="AD75" s="139"/>
      <c r="AE75" s="139"/>
      <c r="AF75" s="139"/>
      <c r="AG75" s="139"/>
      <c r="AH75" s="607">
        <f t="shared" si="286"/>
        <v>1760.0000000000002</v>
      </c>
      <c r="AI75" s="608">
        <f t="shared" si="287"/>
        <v>10</v>
      </c>
      <c r="AJ75" s="609">
        <f t="shared" si="288"/>
        <v>0</v>
      </c>
      <c r="AK75" s="610" t="str">
        <f t="shared" si="289"/>
        <v>Infraestrutura</v>
      </c>
      <c r="AL75" s="609">
        <f t="shared" si="290"/>
        <v>0.05</v>
      </c>
      <c r="AM75" s="611" t="str">
        <f t="shared" si="291"/>
        <v>Sim</v>
      </c>
      <c r="AN75" s="611" t="str">
        <f t="shared" si="292"/>
        <v>Não</v>
      </c>
      <c r="AO75" s="140">
        <f t="array" ref="AO75">IF(ISBLANK($A75),0,IF(OR(AO$5-$AI75&lt;=0,$AM75="Não"),D75,D75+INDEX($AO$6:$BR$176,ROW()-5,COLUMN()-40-$AI75)))*IF($B75="Operacional",IFERROR(VLOOKUP($C75,SN_UGC,28,0),0),1)</f>
        <v>3</v>
      </c>
      <c r="AP75" s="140">
        <f t="array" ref="AP75">IF(ISBLANK($A75),0,IF(OR(AP$5-$AI75&lt;=0,$AM75="Não"),E75,E75+INDEX($AO$6:$BR$176,ROW()-5,COLUMN()-40-$AI75)))*IF($B75="Operacional",IFERROR(VLOOKUP($C75,SN_UGC,28,0),0),1)</f>
        <v>0</v>
      </c>
      <c r="AQ75" s="140">
        <f t="array" ref="AQ75">IF(ISBLANK($A75),0,IF(OR(AQ$5-$AI75&lt;=0,$AM75="Não"),F75,F75+INDEX($AO$6:$BR$176,ROW()-5,COLUMN()-40-$AI75)))*IF($B75="Operacional",IFERROR(VLOOKUP($C75,SN_UGC,28,0),0),1)</f>
        <v>0</v>
      </c>
      <c r="AR75" s="140">
        <f t="array" ref="AR75">IF(ISBLANK($A75),0,IF(OR(AR$5-$AI75&lt;=0,$AM75="Não"),G75,G75+INDEX($AO$6:$BR$176,ROW()-5,COLUMN()-40-$AI75)))*IF($B75="Operacional",IFERROR(VLOOKUP($C75,SN_UGC,28,0),0),1)</f>
        <v>0</v>
      </c>
      <c r="AS75" s="140">
        <f t="array" ref="AS75">IF(ISBLANK($A75),0,IF(OR(AS$5-$AI75&lt;=0,$AM75="Não"),H75,H75+INDEX($AO$6:$BR$176,ROW()-5,COLUMN()-40-$AI75)))*IF($B75="Operacional",IFERROR(VLOOKUP($C75,SN_UGC,28,0),0),1)</f>
        <v>0</v>
      </c>
      <c r="AT75" s="140">
        <f t="array" ref="AT75">IF(ISBLANK($A75),0,IF(OR(AT$5-$AI75&lt;=0,$AM75="Não"),I75,I75+INDEX($AO$6:$BR$176,ROW()-5,COLUMN()-40-$AI75)))*IF($B75="Operacional",IFERROR(VLOOKUP($C75,SN_UGC,28,0),0),1)</f>
        <v>0</v>
      </c>
      <c r="AU75" s="140">
        <f t="array" ref="AU75">IF(ISBLANK($A75),0,IF(OR(AU$5-$AI75&lt;=0,$AM75="Não"),J75,J75+INDEX($AO$6:$BR$176,ROW()-5,COLUMN()-40-$AI75)))*IF($B75="Operacional",IFERROR(VLOOKUP($C75,SN_UGC,28,0),0),1)</f>
        <v>0</v>
      </c>
      <c r="AV75" s="140">
        <f t="array" ref="AV75">IF(ISBLANK($A75),0,IF(OR(AV$5-$AI75&lt;=0,$AM75="Não"),K75,K75+INDEX($AO$6:$BR$176,ROW()-5,COLUMN()-40-$AI75)))*IF($B75="Operacional",IFERROR(VLOOKUP($C75,SN_UGC,28,0),0),1)</f>
        <v>0</v>
      </c>
      <c r="AW75" s="140">
        <f t="array" ref="AW75">IF(ISBLANK($A75),0,IF(OR(AW$5-$AI75&lt;=0,$AM75="Não"),L75,L75+INDEX($AO$6:$BR$176,ROW()-5,COLUMN()-40-$AI75)))*IF($B75="Operacional",IFERROR(VLOOKUP($C75,SN_UGC,28,0),0),1)</f>
        <v>0</v>
      </c>
      <c r="AX75" s="140">
        <f t="array" ref="AX75">IF(ISBLANK($A75),0,IF(OR(AX$5-$AI75&lt;=0,$AM75="Não"),M75,M75+INDEX($AO$6:$BR$176,ROW()-5,COLUMN()-40-$AI75)))*IF($B75="Operacional",IFERROR(VLOOKUP($C75,SN_UGC,28,0),0),1)</f>
        <v>0</v>
      </c>
      <c r="AY75" s="140">
        <f t="array" ref="AY75">IF(ISBLANK($A75),0,IF(OR(AY$5-$AI75&lt;=0,$AM75="Não"),N75,N75+INDEX($AO$6:$BR$176,ROW()-5,COLUMN()-40-$AI75)))*IF($B75="Operacional",IFERROR(VLOOKUP($C75,SN_UGC,28,0),0),1)</f>
        <v>3</v>
      </c>
      <c r="AZ75" s="140">
        <f t="array" ref="AZ75">IF(ISBLANK($A75),0,IF(OR(AZ$5-$AI75&lt;=0,$AM75="Não"),O75,O75+INDEX($AO$6:$BR$176,ROW()-5,COLUMN()-40-$AI75)))*IF($B75="Operacional",IFERROR(VLOOKUP($C75,SN_UGC,28,0),0),1)</f>
        <v>0</v>
      </c>
      <c r="BA75" s="140">
        <f t="array" ref="BA75">IF(ISBLANK($A75),0,IF(OR(BA$5-$AI75&lt;=0,$AM75="Não"),P75,P75+INDEX($AO$6:$BR$176,ROW()-5,COLUMN()-40-$AI75)))*IF($B75="Operacional",IFERROR(VLOOKUP($C75,SN_UGC,28,0),0),1)</f>
        <v>0</v>
      </c>
      <c r="BB75" s="140">
        <f t="array" ref="BB75">IF(ISBLANK($A75),0,IF(OR(BB$5-$AI75&lt;=0,$AM75="Não"),Q75,Q75+INDEX($AO$6:$BR$176,ROW()-5,COLUMN()-40-$AI75)))*IF($B75="Operacional",IFERROR(VLOOKUP($C75,SN_UGC,28,0),0),1)</f>
        <v>0</v>
      </c>
      <c r="BC75" s="140">
        <f t="array" ref="BC75">IF(ISBLANK($A75),0,IF(OR(BC$5-$AI75&lt;=0,$AM75="Não"),R75,R75+INDEX($AO$6:$BR$176,ROW()-5,COLUMN()-40-$AI75)))*IF($B75="Operacional",IFERROR(VLOOKUP($C75,SN_UGC,28,0),0),1)</f>
        <v>0</v>
      </c>
      <c r="BD75" s="140">
        <f t="array" ref="BD75">IF(ISBLANK($A75),0,IF(OR(BD$5-$AI75&lt;=0,$AM75="Não"),S75,S75+INDEX($AO$6:$BR$176,ROW()-5,COLUMN()-40-$AI75)))*IF($B75="Operacional",IFERROR(VLOOKUP($C75,SN_UGC,28,0),0),1)</f>
        <v>0</v>
      </c>
      <c r="BE75" s="140">
        <f t="array" ref="BE75">IF(ISBLANK($A75),0,IF(OR(BE$5-$AI75&lt;=0,$AM75="Não"),T75,T75+INDEX($AO$6:$BR$176,ROW()-5,COLUMN()-40-$AI75)))*IF($B75="Operacional",IFERROR(VLOOKUP($C75,SN_UGC,28,0),0),1)</f>
        <v>0</v>
      </c>
      <c r="BF75" s="140">
        <f t="array" ref="BF75">IF(ISBLANK($A75),0,IF(OR(BF$5-$AI75&lt;=0,$AM75="Não"),U75,U75+INDEX($AO$6:$BR$176,ROW()-5,COLUMN()-40-$AI75)))*IF($B75="Operacional",IFERROR(VLOOKUP($C75,SN_UGC,28,0),0),1)</f>
        <v>0</v>
      </c>
      <c r="BG75" s="140">
        <f t="array" ref="BG75">IF(ISBLANK($A75),0,IF(OR(BG$5-$AI75&lt;=0,$AM75="Não"),V75,V75+INDEX($AO$6:$BR$176,ROW()-5,COLUMN()-40-$AI75)))*IF($B75="Operacional",IFERROR(VLOOKUP($C75,SN_UGC,28,0),0),1)</f>
        <v>0</v>
      </c>
      <c r="BH75" s="140">
        <f t="array" ref="BH75">IF(ISBLANK($A75),0,IF(OR(BH$5-$AI75&lt;=0,$AM75="Não"),W75,W75+INDEX($AO$6:$BR$176,ROW()-5,COLUMN()-40-$AI75)))*IF($B75="Operacional",IFERROR(VLOOKUP($C75,SN_UGC,28,0),0),1)</f>
        <v>0</v>
      </c>
      <c r="BI75" s="140">
        <f t="array" ref="BI75">IF(ISBLANK($A75),0,IF(OR(BI$5-$AI75&lt;=0,$AM75="Não"),X75,X75+INDEX($AO$6:$BR$176,ROW()-5,COLUMN()-40-$AI75)))*IF($B75="Operacional",IFERROR(VLOOKUP($C75,SN_UGC,28,0),0),1)</f>
        <v>3</v>
      </c>
      <c r="BJ75" s="140">
        <f t="array" ref="BJ75">IF(ISBLANK($A75),0,IF(OR(BJ$5-$AI75&lt;=0,$AM75="Não"),Y75,Y75+INDEX($AO$6:$BR$176,ROW()-5,COLUMN()-40-$AI75)))*IF($B75="Operacional",IFERROR(VLOOKUP($C75,SN_UGC,28,0),0),1)</f>
        <v>0</v>
      </c>
      <c r="BK75" s="140">
        <f t="array" ref="BK75">IF(ISBLANK($A75),0,IF(OR(BK$5-$AI75&lt;=0,$AM75="Não"),Z75,Z75+INDEX($AO$6:$BR$176,ROW()-5,COLUMN()-40-$AI75)))*IF($B75="Operacional",IFERROR(VLOOKUP($C75,SN_UGC,28,0),0),1)</f>
        <v>0</v>
      </c>
      <c r="BL75" s="140">
        <f t="array" ref="BL75">IF(ISBLANK($A75),0,IF(OR(BL$5-$AI75&lt;=0,$AM75="Não"),AA75,AA75+INDEX($AO$6:$BR$176,ROW()-5,COLUMN()-40-$AI75)))*IF($B75="Operacional",IFERROR(VLOOKUP($C75,SN_UGC,28,0),0),1)</f>
        <v>0</v>
      </c>
      <c r="BM75" s="140">
        <f t="array" ref="BM75">IF(ISBLANK($A75),0,IF(OR(BM$5-$AI75&lt;=0,$AM75="Não"),AB75,AB75+INDEX($AO$6:$BR$176,ROW()-5,COLUMN()-40-$AI75)))*IF($B75="Operacional",IFERROR(VLOOKUP($C75,SN_UGC,28,0),0),1)</f>
        <v>0</v>
      </c>
      <c r="BN75" s="140">
        <f t="array" ref="BN75">IF(ISBLANK($A75),0,IF(OR(BN$5-$AI75&lt;=0,$AM75="Não"),AC75,AC75+INDEX($AO$6:$BR$176,ROW()-5,COLUMN()-40-$AI75)))*IF($B75="Operacional",IFERROR(VLOOKUP($C75,SN_UGC,28,0),0),1)</f>
        <v>0</v>
      </c>
      <c r="BO75" s="140">
        <f t="array" ref="BO75">IF(ISBLANK($A75),0,IF(OR(BO$5-$AI75&lt;=0,$AM75="Não"),AD75,AD75+INDEX($AO$6:$BR$176,ROW()-5,COLUMN()-40-$AI75)))*IF($B75="Operacional",IFERROR(VLOOKUP($C75,SN_UGC,28,0),0),1)</f>
        <v>0</v>
      </c>
      <c r="BP75" s="140">
        <f t="array" ref="BP75">IF(ISBLANK($A75),0,IF(OR(BP$5-$AI75&lt;=0,$AM75="Não"),AE75,AE75+INDEX($AO$6:$BR$176,ROW()-5,COLUMN()-40-$AI75)))*IF($B75="Operacional",IFERROR(VLOOKUP($C75,SN_UGC,28,0),0),1)</f>
        <v>0</v>
      </c>
      <c r="BQ75" s="140">
        <f t="array" ref="BQ75">IF(ISBLANK($A75),0,IF(OR(BQ$5-$AI75&lt;=0,$AM75="Não"),AF75,AF75+INDEX($AO$6:$BR$176,ROW()-5,COLUMN()-40-$AI75)))*IF($B75="Operacional",IFERROR(VLOOKUP($C75,SN_UGC,28,0),0),1)</f>
        <v>0</v>
      </c>
      <c r="BR75" s="140">
        <f t="array" ref="BR75">IF(ISBLANK($A75),0,IF(OR(BR$5-$AI75&lt;=0,$AM75="Não"),AG75,AG75+INDEX($AO$6:$BR$176,ROW()-5,COLUMN()-40-$AI75)))*IF($B75="Operacional",IFERROR(VLOOKUP($C75,SN_UGC,28,0),0),1)</f>
        <v>0</v>
      </c>
      <c r="BS75" s="141">
        <f t="shared" ref="BS75:CV75" si="387">IF(ISBLANK($A75),0,$AH75*AO75)</f>
        <v>5280.0000000000009</v>
      </c>
      <c r="BT75" s="141">
        <f t="shared" si="387"/>
        <v>0</v>
      </c>
      <c r="BU75" s="141">
        <f t="shared" si="387"/>
        <v>0</v>
      </c>
      <c r="BV75" s="141">
        <f t="shared" si="387"/>
        <v>0</v>
      </c>
      <c r="BW75" s="141">
        <f t="shared" si="387"/>
        <v>0</v>
      </c>
      <c r="BX75" s="141">
        <f t="shared" si="387"/>
        <v>0</v>
      </c>
      <c r="BY75" s="141">
        <f t="shared" si="387"/>
        <v>0</v>
      </c>
      <c r="BZ75" s="141">
        <f t="shared" si="387"/>
        <v>0</v>
      </c>
      <c r="CA75" s="141">
        <f t="shared" si="387"/>
        <v>0</v>
      </c>
      <c r="CB75" s="141">
        <f t="shared" si="387"/>
        <v>0</v>
      </c>
      <c r="CC75" s="141">
        <f t="shared" si="387"/>
        <v>5280.0000000000009</v>
      </c>
      <c r="CD75" s="141">
        <f t="shared" si="387"/>
        <v>0</v>
      </c>
      <c r="CE75" s="141">
        <f t="shared" si="387"/>
        <v>0</v>
      </c>
      <c r="CF75" s="141">
        <f t="shared" si="387"/>
        <v>0</v>
      </c>
      <c r="CG75" s="141">
        <f t="shared" si="387"/>
        <v>0</v>
      </c>
      <c r="CH75" s="141">
        <f t="shared" si="387"/>
        <v>0</v>
      </c>
      <c r="CI75" s="141">
        <f t="shared" si="387"/>
        <v>0</v>
      </c>
      <c r="CJ75" s="141">
        <f t="shared" si="387"/>
        <v>0</v>
      </c>
      <c r="CK75" s="141">
        <f t="shared" si="387"/>
        <v>0</v>
      </c>
      <c r="CL75" s="141">
        <f t="shared" si="387"/>
        <v>0</v>
      </c>
      <c r="CM75" s="141">
        <f t="shared" si="387"/>
        <v>5280.0000000000009</v>
      </c>
      <c r="CN75" s="141">
        <f t="shared" si="387"/>
        <v>0</v>
      </c>
      <c r="CO75" s="141">
        <f t="shared" si="387"/>
        <v>0</v>
      </c>
      <c r="CP75" s="141">
        <f t="shared" si="387"/>
        <v>0</v>
      </c>
      <c r="CQ75" s="141">
        <f t="shared" si="387"/>
        <v>0</v>
      </c>
      <c r="CR75" s="141">
        <f t="shared" si="387"/>
        <v>0</v>
      </c>
      <c r="CS75" s="141">
        <f t="shared" si="387"/>
        <v>0</v>
      </c>
      <c r="CT75" s="141">
        <f t="shared" si="387"/>
        <v>0</v>
      </c>
      <c r="CU75" s="141">
        <f t="shared" si="387"/>
        <v>0</v>
      </c>
      <c r="CV75" s="141">
        <f t="shared" si="387"/>
        <v>0</v>
      </c>
      <c r="CW75" s="142">
        <f t="shared" ref="CW75:DZ75" si="388">EA75*$AH75*$AJ75</f>
        <v>0</v>
      </c>
      <c r="CX75" s="142">
        <f t="shared" si="388"/>
        <v>0</v>
      </c>
      <c r="CY75" s="142">
        <f t="shared" si="388"/>
        <v>0</v>
      </c>
      <c r="CZ75" s="142">
        <f t="shared" si="388"/>
        <v>0</v>
      </c>
      <c r="DA75" s="142">
        <f t="shared" si="388"/>
        <v>0</v>
      </c>
      <c r="DB75" s="142">
        <f t="shared" si="388"/>
        <v>0</v>
      </c>
      <c r="DC75" s="142">
        <f t="shared" si="388"/>
        <v>0</v>
      </c>
      <c r="DD75" s="142">
        <f t="shared" si="388"/>
        <v>0</v>
      </c>
      <c r="DE75" s="142">
        <f t="shared" si="388"/>
        <v>0</v>
      </c>
      <c r="DF75" s="142">
        <f t="shared" si="388"/>
        <v>0</v>
      </c>
      <c r="DG75" s="142">
        <f t="shared" si="388"/>
        <v>0</v>
      </c>
      <c r="DH75" s="142">
        <f t="shared" si="388"/>
        <v>0</v>
      </c>
      <c r="DI75" s="142">
        <f t="shared" si="388"/>
        <v>0</v>
      </c>
      <c r="DJ75" s="142">
        <f t="shared" si="388"/>
        <v>0</v>
      </c>
      <c r="DK75" s="142">
        <f t="shared" si="388"/>
        <v>0</v>
      </c>
      <c r="DL75" s="142">
        <f t="shared" si="388"/>
        <v>0</v>
      </c>
      <c r="DM75" s="142">
        <f t="shared" si="388"/>
        <v>0</v>
      </c>
      <c r="DN75" s="142">
        <f t="shared" si="388"/>
        <v>0</v>
      </c>
      <c r="DO75" s="142">
        <f t="shared" si="388"/>
        <v>0</v>
      </c>
      <c r="DP75" s="142">
        <f t="shared" si="388"/>
        <v>0</v>
      </c>
      <c r="DQ75" s="142">
        <f t="shared" si="388"/>
        <v>0</v>
      </c>
      <c r="DR75" s="142">
        <f t="shared" si="388"/>
        <v>0</v>
      </c>
      <c r="DS75" s="142">
        <f t="shared" si="388"/>
        <v>0</v>
      </c>
      <c r="DT75" s="142">
        <f t="shared" si="388"/>
        <v>0</v>
      </c>
      <c r="DU75" s="142">
        <f t="shared" si="388"/>
        <v>0</v>
      </c>
      <c r="DV75" s="142">
        <f t="shared" si="388"/>
        <v>0</v>
      </c>
      <c r="DW75" s="142">
        <f t="shared" si="388"/>
        <v>0</v>
      </c>
      <c r="DX75" s="142">
        <f t="shared" si="388"/>
        <v>0</v>
      </c>
      <c r="DY75" s="142">
        <f t="shared" si="388"/>
        <v>0</v>
      </c>
      <c r="DZ75" s="142">
        <f t="shared" si="388"/>
        <v>0</v>
      </c>
      <c r="EA75" s="143">
        <f t="shared" si="339"/>
        <v>0</v>
      </c>
      <c r="EB75" s="143">
        <f t="shared" si="340"/>
        <v>0</v>
      </c>
      <c r="EC75" s="143">
        <f t="shared" si="341"/>
        <v>0</v>
      </c>
      <c r="ED75" s="143">
        <f t="shared" si="342"/>
        <v>0</v>
      </c>
      <c r="EE75" s="143">
        <f t="shared" si="343"/>
        <v>0</v>
      </c>
      <c r="EF75" s="143">
        <f t="shared" si="344"/>
        <v>0</v>
      </c>
      <c r="EG75" s="143">
        <f t="shared" si="345"/>
        <v>0</v>
      </c>
      <c r="EH75" s="143">
        <f t="shared" si="346"/>
        <v>0</v>
      </c>
      <c r="EI75" s="143">
        <f t="shared" si="347"/>
        <v>0</v>
      </c>
      <c r="EJ75" s="143">
        <f t="shared" si="348"/>
        <v>0</v>
      </c>
      <c r="EK75" s="143">
        <f t="shared" si="349"/>
        <v>3</v>
      </c>
      <c r="EL75" s="143">
        <f t="shared" si="350"/>
        <v>0</v>
      </c>
      <c r="EM75" s="143">
        <f t="shared" si="351"/>
        <v>0</v>
      </c>
      <c r="EN75" s="143">
        <f t="shared" si="352"/>
        <v>0</v>
      </c>
      <c r="EO75" s="143">
        <f t="shared" si="353"/>
        <v>0</v>
      </c>
      <c r="EP75" s="143">
        <f t="shared" si="354"/>
        <v>0</v>
      </c>
      <c r="EQ75" s="143">
        <f t="shared" si="355"/>
        <v>0</v>
      </c>
      <c r="ER75" s="143">
        <f t="shared" si="356"/>
        <v>0</v>
      </c>
      <c r="ES75" s="143">
        <f t="shared" si="357"/>
        <v>0</v>
      </c>
      <c r="ET75" s="143">
        <f t="shared" si="358"/>
        <v>0</v>
      </c>
      <c r="EU75" s="143">
        <f t="shared" si="359"/>
        <v>3</v>
      </c>
      <c r="EV75" s="143">
        <f t="shared" si="360"/>
        <v>0</v>
      </c>
      <c r="EW75" s="143">
        <f t="shared" si="361"/>
        <v>0</v>
      </c>
      <c r="EX75" s="143">
        <f t="shared" si="362"/>
        <v>0</v>
      </c>
      <c r="EY75" s="143">
        <f t="shared" si="363"/>
        <v>0</v>
      </c>
      <c r="EZ75" s="143">
        <f t="shared" si="364"/>
        <v>0</v>
      </c>
      <c r="FA75" s="143">
        <f t="shared" si="365"/>
        <v>0</v>
      </c>
      <c r="FB75" s="143">
        <f t="shared" si="366"/>
        <v>0</v>
      </c>
      <c r="FC75" s="143">
        <f t="shared" si="367"/>
        <v>0</v>
      </c>
      <c r="FD75" s="143">
        <f t="shared" si="368"/>
        <v>0</v>
      </c>
      <c r="FE75" s="140">
        <f>SUM($D75:D75)*IF($B75="Operacional",IFERROR(VLOOKUP($C75,SN_UGC,28,0),0),1)</f>
        <v>3</v>
      </c>
      <c r="FF75" s="140">
        <f>SUM($D75:E75)*IF($B75="Operacional",IFERROR(VLOOKUP($C75,SN_UGC,28,0),0),1)</f>
        <v>3</v>
      </c>
      <c r="FG75" s="140">
        <f>SUM($D75:F75)*IF($B75="Operacional",IFERROR(VLOOKUP($C75,SN_UGC,28,0),0),1)</f>
        <v>3</v>
      </c>
      <c r="FH75" s="140">
        <f>SUM($D75:G75)*IF($B75="Operacional",IFERROR(VLOOKUP($C75,SN_UGC,28,0),0),1)</f>
        <v>3</v>
      </c>
      <c r="FI75" s="140">
        <f>SUM($D75:H75)*IF($B75="Operacional",IFERROR(VLOOKUP($C75,SN_UGC,28,0),0),1)</f>
        <v>3</v>
      </c>
      <c r="FJ75" s="140">
        <f>SUM($D75:I75)*IF($B75="Operacional",IFERROR(VLOOKUP($C75,SN_UGC,28,0),0),1)</f>
        <v>3</v>
      </c>
      <c r="FK75" s="140">
        <f>SUM($D75:J75)*IF($B75="Operacional",IFERROR(VLOOKUP($C75,SN_UGC,28,0),0),1)</f>
        <v>3</v>
      </c>
      <c r="FL75" s="140">
        <f>SUM($D75:K75)*IF($B75="Operacional",IFERROR(VLOOKUP($C75,SN_UGC,28,0),0),1)</f>
        <v>3</v>
      </c>
      <c r="FM75" s="140">
        <f>SUM($D75:L75)*IF($B75="Operacional",IFERROR(VLOOKUP($C75,SN_UGC,28,0),0),1)</f>
        <v>3</v>
      </c>
      <c r="FN75" s="140">
        <f>SUM($D75:M75)*IF($B75="Operacional",IFERROR(VLOOKUP($C75,SN_UGC,28,0),0),1)</f>
        <v>3</v>
      </c>
      <c r="FO75" s="140">
        <f>SUM($D75:N75)*IF($B75="Operacional",IFERROR(VLOOKUP($C75,SN_UGC,28,0),0),1)</f>
        <v>3</v>
      </c>
      <c r="FP75" s="140">
        <f>SUM($D75:O75)*IF($B75="Operacional",IFERROR(VLOOKUP($C75,SN_UGC,28,0),0),1)</f>
        <v>3</v>
      </c>
      <c r="FQ75" s="140">
        <f>SUM($D75:P75)*IF($B75="Operacional",IFERROR(VLOOKUP($C75,SN_UGC,28,0),0),1)</f>
        <v>3</v>
      </c>
      <c r="FR75" s="140">
        <f>SUM($D75:Q75)*IF($B75="Operacional",IFERROR(VLOOKUP($C75,SN_UGC,28,0),0),1)</f>
        <v>3</v>
      </c>
      <c r="FS75" s="140">
        <f>SUM($D75:R75)*IF($B75="Operacional",IFERROR(VLOOKUP($C75,SN_UGC,28,0),0),1)</f>
        <v>3</v>
      </c>
      <c r="FT75" s="140">
        <f>SUM($D75:S75)*IF($B75="Operacional",IFERROR(VLOOKUP($C75,SN_UGC,28,0),0),1)</f>
        <v>3</v>
      </c>
      <c r="FU75" s="140">
        <f>SUM($D75:T75)*IF($B75="Operacional",IFERROR(VLOOKUP($C75,SN_UGC,28,0),0),1)</f>
        <v>3</v>
      </c>
      <c r="FV75" s="140">
        <f>SUM($D75:U75)*IF($B75="Operacional",IFERROR(VLOOKUP($C75,SN_UGC,28,0),0),1)</f>
        <v>3</v>
      </c>
      <c r="FW75" s="140">
        <f>SUM($D75:V75)*IF($B75="Operacional",IFERROR(VLOOKUP($C75,SN_UGC,28,0),0),1)</f>
        <v>3</v>
      </c>
      <c r="FX75" s="140">
        <f>SUM($D75:W75)*IF($B75="Operacional",IFERROR(VLOOKUP($C75,SN_UGC,28,0),0),1)</f>
        <v>3</v>
      </c>
      <c r="FY75" s="140">
        <f>SUM($D75:X75)*IF($B75="Operacional",IFERROR(VLOOKUP($C75,SN_UGC,28,0),0),1)</f>
        <v>3</v>
      </c>
      <c r="FZ75" s="140">
        <f>SUM($D75:Y75)*IF($B75="Operacional",IFERROR(VLOOKUP($C75,SN_UGC,28,0),0),1)</f>
        <v>3</v>
      </c>
      <c r="GA75" s="140">
        <f>SUM($D75:Z75)*IF($B75="Operacional",IFERROR(VLOOKUP($C75,SN_UGC,28,0),0),1)</f>
        <v>3</v>
      </c>
      <c r="GB75" s="140">
        <f>SUM($D75:AA75)*IF($B75="Operacional",IFERROR(VLOOKUP($C75,SN_UGC,28,0),0),1)</f>
        <v>3</v>
      </c>
      <c r="GC75" s="140">
        <f>SUM($D75:AB75)*IF($B75="Operacional",IFERROR(VLOOKUP($C75,SN_UGC,28,0),0),1)</f>
        <v>3</v>
      </c>
      <c r="GD75" s="140">
        <f>SUM($D75:AC75)*IF($B75="Operacional",IFERROR(VLOOKUP($C75,SN_UGC,28,0),0),1)</f>
        <v>3</v>
      </c>
      <c r="GE75" s="140">
        <f>SUM($D75:AD75)*IF($B75="Operacional",IFERROR(VLOOKUP($C75,SN_UGC,28,0),0),1)</f>
        <v>3</v>
      </c>
      <c r="GF75" s="140">
        <f>SUM($D75:AE75)*IF($B75="Operacional",IFERROR(VLOOKUP($C75,SN_UGC,28,0),0),1)</f>
        <v>3</v>
      </c>
      <c r="GG75" s="140">
        <f>SUM($D75:AF75)*IF($B75="Operacional",IFERROR(VLOOKUP($C75,SN_UGC,28,0),0),1)</f>
        <v>3</v>
      </c>
      <c r="GH75" s="140">
        <f>SUM($D75:AG75)*IF($B75="Operacional",IFERROR(VLOOKUP($C75,SN_UGC,28,0),0),1)</f>
        <v>3</v>
      </c>
      <c r="GI75" s="141">
        <f t="shared" ref="GI75:HL75" si="389">FE75*$AH75*$AL75</f>
        <v>264.00000000000006</v>
      </c>
      <c r="GJ75" s="141">
        <f t="shared" si="389"/>
        <v>264.00000000000006</v>
      </c>
      <c r="GK75" s="141">
        <f t="shared" si="389"/>
        <v>264.00000000000006</v>
      </c>
      <c r="GL75" s="141">
        <f t="shared" si="389"/>
        <v>264.00000000000006</v>
      </c>
      <c r="GM75" s="141">
        <f t="shared" si="389"/>
        <v>264.00000000000006</v>
      </c>
      <c r="GN75" s="141">
        <f t="shared" si="389"/>
        <v>264.00000000000006</v>
      </c>
      <c r="GO75" s="141">
        <f t="shared" si="389"/>
        <v>264.00000000000006</v>
      </c>
      <c r="GP75" s="141">
        <f t="shared" si="389"/>
        <v>264.00000000000006</v>
      </c>
      <c r="GQ75" s="141">
        <f t="shared" si="389"/>
        <v>264.00000000000006</v>
      </c>
      <c r="GR75" s="141">
        <f t="shared" si="389"/>
        <v>264.00000000000006</v>
      </c>
      <c r="GS75" s="141">
        <f t="shared" si="389"/>
        <v>264.00000000000006</v>
      </c>
      <c r="GT75" s="141">
        <f t="shared" si="389"/>
        <v>264.00000000000006</v>
      </c>
      <c r="GU75" s="141">
        <f t="shared" si="389"/>
        <v>264.00000000000006</v>
      </c>
      <c r="GV75" s="141">
        <f t="shared" si="389"/>
        <v>264.00000000000006</v>
      </c>
      <c r="GW75" s="141">
        <f t="shared" si="389"/>
        <v>264.00000000000006</v>
      </c>
      <c r="GX75" s="141">
        <f t="shared" si="389"/>
        <v>264.00000000000006</v>
      </c>
      <c r="GY75" s="141">
        <f t="shared" si="389"/>
        <v>264.00000000000006</v>
      </c>
      <c r="GZ75" s="141">
        <f t="shared" si="389"/>
        <v>264.00000000000006</v>
      </c>
      <c r="HA75" s="141">
        <f t="shared" si="389"/>
        <v>264.00000000000006</v>
      </c>
      <c r="HB75" s="141">
        <f t="shared" si="389"/>
        <v>264.00000000000006</v>
      </c>
      <c r="HC75" s="141">
        <f t="shared" si="389"/>
        <v>264.00000000000006</v>
      </c>
      <c r="HD75" s="141">
        <f t="shared" si="389"/>
        <v>264.00000000000006</v>
      </c>
      <c r="HE75" s="141">
        <f t="shared" si="389"/>
        <v>264.00000000000006</v>
      </c>
      <c r="HF75" s="141">
        <f t="shared" si="389"/>
        <v>264.00000000000006</v>
      </c>
      <c r="HG75" s="141">
        <f t="shared" si="389"/>
        <v>264.00000000000006</v>
      </c>
      <c r="HH75" s="141">
        <f t="shared" si="389"/>
        <v>264.00000000000006</v>
      </c>
      <c r="HI75" s="141">
        <f t="shared" si="389"/>
        <v>264.00000000000006</v>
      </c>
      <c r="HJ75" s="141">
        <f t="shared" si="389"/>
        <v>264.00000000000006</v>
      </c>
      <c r="HK75" s="141">
        <f t="shared" si="389"/>
        <v>264.00000000000006</v>
      </c>
      <c r="HL75" s="141">
        <f t="shared" si="389"/>
        <v>264.00000000000006</v>
      </c>
      <c r="HM75" s="142">
        <f t="shared" ref="HM75:IP75" si="390">IF(ISBLANK($A75),,FE75*($AH75-($AH75*$AJ75))/$AI75)</f>
        <v>528.00000000000011</v>
      </c>
      <c r="HN75" s="142">
        <f t="shared" si="390"/>
        <v>528.00000000000011</v>
      </c>
      <c r="HO75" s="142">
        <f t="shared" si="390"/>
        <v>528.00000000000011</v>
      </c>
      <c r="HP75" s="142">
        <f t="shared" si="390"/>
        <v>528.00000000000011</v>
      </c>
      <c r="HQ75" s="142">
        <f t="shared" si="390"/>
        <v>528.00000000000011</v>
      </c>
      <c r="HR75" s="142">
        <f t="shared" si="390"/>
        <v>528.00000000000011</v>
      </c>
      <c r="HS75" s="142">
        <f t="shared" si="390"/>
        <v>528.00000000000011</v>
      </c>
      <c r="HT75" s="142">
        <f t="shared" si="390"/>
        <v>528.00000000000011</v>
      </c>
      <c r="HU75" s="142">
        <f t="shared" si="390"/>
        <v>528.00000000000011</v>
      </c>
      <c r="HV75" s="142">
        <f t="shared" si="390"/>
        <v>528.00000000000011</v>
      </c>
      <c r="HW75" s="142">
        <f t="shared" si="390"/>
        <v>528.00000000000011</v>
      </c>
      <c r="HX75" s="142">
        <f t="shared" si="390"/>
        <v>528.00000000000011</v>
      </c>
      <c r="HY75" s="142">
        <f t="shared" si="390"/>
        <v>528.00000000000011</v>
      </c>
      <c r="HZ75" s="142">
        <f t="shared" si="390"/>
        <v>528.00000000000011</v>
      </c>
      <c r="IA75" s="142">
        <f t="shared" si="390"/>
        <v>528.00000000000011</v>
      </c>
      <c r="IB75" s="142">
        <f t="shared" si="390"/>
        <v>528.00000000000011</v>
      </c>
      <c r="IC75" s="142">
        <f t="shared" si="390"/>
        <v>528.00000000000011</v>
      </c>
      <c r="ID75" s="142">
        <f t="shared" si="390"/>
        <v>528.00000000000011</v>
      </c>
      <c r="IE75" s="142">
        <f t="shared" si="390"/>
        <v>528.00000000000011</v>
      </c>
      <c r="IF75" s="142">
        <f t="shared" si="390"/>
        <v>528.00000000000011</v>
      </c>
      <c r="IG75" s="142">
        <f t="shared" si="390"/>
        <v>528.00000000000011</v>
      </c>
      <c r="IH75" s="142">
        <f t="shared" si="390"/>
        <v>528.00000000000011</v>
      </c>
      <c r="II75" s="142">
        <f t="shared" si="390"/>
        <v>528.00000000000011</v>
      </c>
      <c r="IJ75" s="142">
        <f t="shared" si="390"/>
        <v>528.00000000000011</v>
      </c>
      <c r="IK75" s="142">
        <f t="shared" si="390"/>
        <v>528.00000000000011</v>
      </c>
      <c r="IL75" s="142">
        <f t="shared" si="390"/>
        <v>528.00000000000011</v>
      </c>
      <c r="IM75" s="142">
        <f t="shared" si="390"/>
        <v>528.00000000000011</v>
      </c>
      <c r="IN75" s="142">
        <f t="shared" si="390"/>
        <v>528.00000000000011</v>
      </c>
      <c r="IO75" s="142">
        <f t="shared" si="390"/>
        <v>528.00000000000011</v>
      </c>
      <c r="IP75" s="142">
        <f t="shared" si="390"/>
        <v>528.00000000000011</v>
      </c>
      <c r="IQ75" s="141">
        <f>IF(ISBLANK($A75),,IF($AN75="Não",0,(SUM($AO75:AO75)*$AH75)-SUM($HM75:HM75)-SUM($CW75:CW75)))</f>
        <v>0</v>
      </c>
      <c r="IR75" s="141">
        <f>IF(ISBLANK($A75),,IF($AN75="Não",0,(SUM($AO75:AP75)*$AH75)-SUM($HM75:HN75)-SUM($CW75:CX75)))</f>
        <v>0</v>
      </c>
      <c r="IS75" s="141">
        <f>IF(ISBLANK($A75),,IF($AN75="Não",0,(SUM($AO75:AQ75)*$AH75)-SUM($HM75:HO75)-SUM($CW75:CY75)))</f>
        <v>0</v>
      </c>
      <c r="IT75" s="141">
        <f>IF(ISBLANK($A75),,IF($AN75="Não",0,(SUM($AO75:AR75)*$AH75)-SUM($HM75:HP75)-SUM($CW75:CZ75)))</f>
        <v>0</v>
      </c>
      <c r="IU75" s="141">
        <f>IF(ISBLANK($A75),,IF($AN75="Não",0,(SUM($AO75:AS75)*$AH75)-SUM($HM75:HQ75)-SUM($CW75:DA75)))</f>
        <v>0</v>
      </c>
      <c r="IV75" s="141">
        <f>IF(ISBLANK($A75),,IF($AN75="Não",0,(SUM($AO75:AT75)*$AH75)-SUM($HM75:HR75)-SUM($CW75:DB75)))</f>
        <v>0</v>
      </c>
      <c r="IW75" s="141">
        <f>IF(ISBLANK($A75),,IF($AN75="Não",0,(SUM($AO75:AU75)*$AH75)-SUM($HM75:HS75)-SUM($CW75:DC75)))</f>
        <v>0</v>
      </c>
      <c r="IX75" s="141">
        <f>IF(ISBLANK($A75),,IF($AN75="Não",0,(SUM($AO75:AV75)*$AH75)-SUM($HM75:HT75)-SUM($CW75:DD75)))</f>
        <v>0</v>
      </c>
      <c r="IY75" s="141">
        <f>IF(ISBLANK($A75),,IF($AN75="Não",0,(SUM($AO75:AW75)*$AH75)-SUM($HM75:HU75)-SUM($CW75:DE75)))</f>
        <v>0</v>
      </c>
      <c r="IZ75" s="141">
        <f>IF(ISBLANK($A75),,IF($AN75="Não",0,(SUM($AO75:AX75)*$AH75)-SUM($HM75:HV75)-SUM($CW75:DF75)))</f>
        <v>0</v>
      </c>
      <c r="JA75" s="141">
        <f>IF(ISBLANK($A75),,IF($AN75="Não",0,(SUM($AO75:AY75)*$AH75)-SUM($HM75:HW75)-SUM($CW75:DG75)))</f>
        <v>0</v>
      </c>
      <c r="JB75" s="141">
        <f>IF(ISBLANK($A75),,IF($AN75="Não",0,(SUM($AO75:AZ75)*$AH75)-SUM($HM75:HX75)-SUM($CW75:DH75)))</f>
        <v>0</v>
      </c>
      <c r="JC75" s="141">
        <f>IF(ISBLANK($A75),,IF($AN75="Não",0,(SUM($AO75:BA75)*$AH75)-SUM($HM75:HY75)-SUM($CW75:DI75)))</f>
        <v>0</v>
      </c>
      <c r="JD75" s="141">
        <f>IF(ISBLANK($A75),,IF($AN75="Não",0,(SUM($AO75:BB75)*$AH75)-SUM($HM75:HZ75)-SUM($CW75:DJ75)))</f>
        <v>0</v>
      </c>
      <c r="JE75" s="141">
        <f>IF(ISBLANK($A75),,IF($AN75="Não",0,(SUM($AO75:BC75)*$AH75)-SUM($HM75:IA75)-SUM($CW75:DK75)))</f>
        <v>0</v>
      </c>
      <c r="JF75" s="141">
        <f>IF(ISBLANK($A75),,IF($AN75="Não",0,(SUM($AO75:BD75)*$AH75)-SUM($HM75:IB75)-SUM($CW75:DL75)))</f>
        <v>0</v>
      </c>
      <c r="JG75" s="141">
        <f>IF(ISBLANK($A75),,IF($AN75="Não",0,(SUM($AO75:BE75)*$AH75)-SUM($HM75:IC75)-SUM($CW75:DM75)))</f>
        <v>0</v>
      </c>
      <c r="JH75" s="141">
        <f>IF(ISBLANK($A75),,IF($AN75="Não",0,(SUM($AO75:BF75)*$AH75)-SUM($HM75:ID75)-SUM($CW75:DN75)))</f>
        <v>0</v>
      </c>
      <c r="JI75" s="141">
        <f>IF(ISBLANK($A75),,IF($AN75="Não",0,(SUM($AO75:BG75)*$AH75)-SUM($HM75:IE75)-SUM($CW75:DO75)))</f>
        <v>0</v>
      </c>
      <c r="JJ75" s="141">
        <f>IF(ISBLANK($A75),,IF($AN75="Não",0,(SUM($AO75:BH75)*$AH75)-SUM($HM75:IF75)-SUM($CW75:DP75)))</f>
        <v>0</v>
      </c>
      <c r="JK75" s="141">
        <f>IF(ISBLANK($A75),,IF($AN75="Não",0,(SUM($AO75:BI75)*$AH75)-SUM($HM75:IG75)-SUM($CW75:DQ75)))</f>
        <v>0</v>
      </c>
      <c r="JL75" s="141">
        <f>IF(ISBLANK($A75),,IF($AN75="Não",0,(SUM($AO75:BJ75)*$AH75)-SUM($HM75:IH75)-SUM($CW75:DR75)))</f>
        <v>0</v>
      </c>
      <c r="JM75" s="141">
        <f>IF(ISBLANK($A75),,IF($AN75="Não",0,(SUM($AO75:BK75)*$AH75)-SUM($HM75:II75)-SUM($CW75:DS75)))</f>
        <v>0</v>
      </c>
      <c r="JN75" s="141">
        <f>IF(ISBLANK($A75),,IF($AN75="Não",0,(SUM($AO75:BL75)*$AH75)-SUM($HM75:IJ75)-SUM($CW75:DT75)))</f>
        <v>0</v>
      </c>
      <c r="JO75" s="141">
        <f>IF(ISBLANK($A75),,IF($AN75="Não",0,(SUM($AO75:BM75)*$AH75)-SUM($HM75:IK75)-SUM($CW75:DU75)))</f>
        <v>0</v>
      </c>
      <c r="JP75" s="141">
        <f>IF(ISBLANK($A75),,IF($AN75="Não",0,(SUM($AO75:BN75)*$AH75)-SUM($HM75:IL75)-SUM($CW75:DV75)))</f>
        <v>0</v>
      </c>
      <c r="JQ75" s="141">
        <f>IF(ISBLANK($A75),,IF($AN75="Não",0,(SUM($AO75:BO75)*$AH75)-SUM($HM75:IM75)-SUM($CW75:DW75)))</f>
        <v>0</v>
      </c>
      <c r="JR75" s="141">
        <f>IF(ISBLANK($A75),,IF($AN75="Não",0,(SUM($AO75:BP75)*$AH75)-SUM($HM75:IN75)-SUM($CW75:DX75)))</f>
        <v>0</v>
      </c>
      <c r="JS75" s="141">
        <f>IF(ISBLANK($A75),,IF($AN75="Não",0,(SUM($AO75:BQ75)*$AH75)-SUM($HM75:IO75)-SUM($CW75:DY75)))</f>
        <v>0</v>
      </c>
      <c r="JT75" s="141">
        <f>IF(ISBLANK($A75),,IF($AN75="Não",0,(SUM($AO75:BR75)*$AH75)-SUM($HM75:IP75)-SUM($CW75:DZ75)))</f>
        <v>0</v>
      </c>
    </row>
    <row r="76" spans="1:280" ht="15.75" customHeight="1">
      <c r="A76" s="129" t="s">
        <v>383</v>
      </c>
      <c r="B76" s="129" t="s">
        <v>209</v>
      </c>
      <c r="C76" s="138" t="s">
        <v>96</v>
      </c>
      <c r="D76" s="139">
        <v>1</v>
      </c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607">
        <f t="shared" si="286"/>
        <v>7014.161000000001</v>
      </c>
      <c r="AI76" s="608">
        <f t="shared" si="287"/>
        <v>10</v>
      </c>
      <c r="AJ76" s="609">
        <f t="shared" si="288"/>
        <v>0.4</v>
      </c>
      <c r="AK76" s="610" t="str">
        <f t="shared" si="289"/>
        <v>Equipamentos e instalações</v>
      </c>
      <c r="AL76" s="609">
        <f t="shared" si="290"/>
        <v>0.05</v>
      </c>
      <c r="AM76" s="611" t="str">
        <f t="shared" si="291"/>
        <v>Sim</v>
      </c>
      <c r="AN76" s="611" t="str">
        <f t="shared" si="292"/>
        <v>Sim</v>
      </c>
      <c r="AO76" s="140">
        <f t="array" ref="AO76">IF(ISBLANK($A76),0,IF(OR(AO$5-$AI76&lt;=0,$AM76="Não"),D76,D76+INDEX($AO$6:$BR$176,ROW()-5,COLUMN()-40-$AI76)))*IF($B76="Operacional",IFERROR(VLOOKUP($C76,SN_UGC,28,0),0),1)</f>
        <v>1</v>
      </c>
      <c r="AP76" s="140">
        <f t="array" ref="AP76">IF(ISBLANK($A76),0,IF(OR(AP$5-$AI76&lt;=0,$AM76="Não"),E76,E76+INDEX($AO$6:$BR$176,ROW()-5,COLUMN()-40-$AI76)))*IF($B76="Operacional",IFERROR(VLOOKUP($C76,SN_UGC,28,0),0),1)</f>
        <v>0</v>
      </c>
      <c r="AQ76" s="140">
        <f t="array" ref="AQ76">IF(ISBLANK($A76),0,IF(OR(AQ$5-$AI76&lt;=0,$AM76="Não"),F76,F76+INDEX($AO$6:$BR$176,ROW()-5,COLUMN()-40-$AI76)))*IF($B76="Operacional",IFERROR(VLOOKUP($C76,SN_UGC,28,0),0),1)</f>
        <v>0</v>
      </c>
      <c r="AR76" s="140">
        <f t="array" ref="AR76">IF(ISBLANK($A76),0,IF(OR(AR$5-$AI76&lt;=0,$AM76="Não"),G76,G76+INDEX($AO$6:$BR$176,ROW()-5,COLUMN()-40-$AI76)))*IF($B76="Operacional",IFERROR(VLOOKUP($C76,SN_UGC,28,0),0),1)</f>
        <v>0</v>
      </c>
      <c r="AS76" s="140">
        <f t="array" ref="AS76">IF(ISBLANK($A76),0,IF(OR(AS$5-$AI76&lt;=0,$AM76="Não"),H76,H76+INDEX($AO$6:$BR$176,ROW()-5,COLUMN()-40-$AI76)))*IF($B76="Operacional",IFERROR(VLOOKUP($C76,SN_UGC,28,0),0),1)</f>
        <v>0</v>
      </c>
      <c r="AT76" s="140">
        <f t="array" ref="AT76">IF(ISBLANK($A76),0,IF(OR(AT$5-$AI76&lt;=0,$AM76="Não"),I76,I76+INDEX($AO$6:$BR$176,ROW()-5,COLUMN()-40-$AI76)))*IF($B76="Operacional",IFERROR(VLOOKUP($C76,SN_UGC,28,0),0),1)</f>
        <v>0</v>
      </c>
      <c r="AU76" s="140">
        <f t="array" ref="AU76">IF(ISBLANK($A76),0,IF(OR(AU$5-$AI76&lt;=0,$AM76="Não"),J76,J76+INDEX($AO$6:$BR$176,ROW()-5,COLUMN()-40-$AI76)))*IF($B76="Operacional",IFERROR(VLOOKUP($C76,SN_UGC,28,0),0),1)</f>
        <v>0</v>
      </c>
      <c r="AV76" s="140">
        <f t="array" ref="AV76">IF(ISBLANK($A76),0,IF(OR(AV$5-$AI76&lt;=0,$AM76="Não"),K76,K76+INDEX($AO$6:$BR$176,ROW()-5,COLUMN()-40-$AI76)))*IF($B76="Operacional",IFERROR(VLOOKUP($C76,SN_UGC,28,0),0),1)</f>
        <v>0</v>
      </c>
      <c r="AW76" s="140">
        <f t="array" ref="AW76">IF(ISBLANK($A76),0,IF(OR(AW$5-$AI76&lt;=0,$AM76="Não"),L76,L76+INDEX($AO$6:$BR$176,ROW()-5,COLUMN()-40-$AI76)))*IF($B76="Operacional",IFERROR(VLOOKUP($C76,SN_UGC,28,0),0),1)</f>
        <v>0</v>
      </c>
      <c r="AX76" s="140">
        <f t="array" ref="AX76">IF(ISBLANK($A76),0,IF(OR(AX$5-$AI76&lt;=0,$AM76="Não"),M76,M76+INDEX($AO$6:$BR$176,ROW()-5,COLUMN()-40-$AI76)))*IF($B76="Operacional",IFERROR(VLOOKUP($C76,SN_UGC,28,0),0),1)</f>
        <v>0</v>
      </c>
      <c r="AY76" s="140">
        <f t="array" ref="AY76">IF(ISBLANK($A76),0,IF(OR(AY$5-$AI76&lt;=0,$AM76="Não"),N76,N76+INDEX($AO$6:$BR$176,ROW()-5,COLUMN()-40-$AI76)))*IF($B76="Operacional",IFERROR(VLOOKUP($C76,SN_UGC,28,0),0),1)</f>
        <v>1</v>
      </c>
      <c r="AZ76" s="140">
        <f t="array" ref="AZ76">IF(ISBLANK($A76),0,IF(OR(AZ$5-$AI76&lt;=0,$AM76="Não"),O76,O76+INDEX($AO$6:$BR$176,ROW()-5,COLUMN()-40-$AI76)))*IF($B76="Operacional",IFERROR(VLOOKUP($C76,SN_UGC,28,0),0),1)</f>
        <v>0</v>
      </c>
      <c r="BA76" s="140">
        <f t="array" ref="BA76">IF(ISBLANK($A76),0,IF(OR(BA$5-$AI76&lt;=0,$AM76="Não"),P76,P76+INDEX($AO$6:$BR$176,ROW()-5,COLUMN()-40-$AI76)))*IF($B76="Operacional",IFERROR(VLOOKUP($C76,SN_UGC,28,0),0),1)</f>
        <v>0</v>
      </c>
      <c r="BB76" s="140">
        <f t="array" ref="BB76">IF(ISBLANK($A76),0,IF(OR(BB$5-$AI76&lt;=0,$AM76="Não"),Q76,Q76+INDEX($AO$6:$BR$176,ROW()-5,COLUMN()-40-$AI76)))*IF($B76="Operacional",IFERROR(VLOOKUP($C76,SN_UGC,28,0),0),1)</f>
        <v>0</v>
      </c>
      <c r="BC76" s="140">
        <f t="array" ref="BC76">IF(ISBLANK($A76),0,IF(OR(BC$5-$AI76&lt;=0,$AM76="Não"),R76,R76+INDEX($AO$6:$BR$176,ROW()-5,COLUMN()-40-$AI76)))*IF($B76="Operacional",IFERROR(VLOOKUP($C76,SN_UGC,28,0),0),1)</f>
        <v>0</v>
      </c>
      <c r="BD76" s="140">
        <f t="array" ref="BD76">IF(ISBLANK($A76),0,IF(OR(BD$5-$AI76&lt;=0,$AM76="Não"),S76,S76+INDEX($AO$6:$BR$176,ROW()-5,COLUMN()-40-$AI76)))*IF($B76="Operacional",IFERROR(VLOOKUP($C76,SN_UGC,28,0),0),1)</f>
        <v>0</v>
      </c>
      <c r="BE76" s="140">
        <f t="array" ref="BE76">IF(ISBLANK($A76),0,IF(OR(BE$5-$AI76&lt;=0,$AM76="Não"),T76,T76+INDEX($AO$6:$BR$176,ROW()-5,COLUMN()-40-$AI76)))*IF($B76="Operacional",IFERROR(VLOOKUP($C76,SN_UGC,28,0),0),1)</f>
        <v>0</v>
      </c>
      <c r="BF76" s="140">
        <f t="array" ref="BF76">IF(ISBLANK($A76),0,IF(OR(BF$5-$AI76&lt;=0,$AM76="Não"),U76,U76+INDEX($AO$6:$BR$176,ROW()-5,COLUMN()-40-$AI76)))*IF($B76="Operacional",IFERROR(VLOOKUP($C76,SN_UGC,28,0),0),1)</f>
        <v>0</v>
      </c>
      <c r="BG76" s="140">
        <f t="array" ref="BG76">IF(ISBLANK($A76),0,IF(OR(BG$5-$AI76&lt;=0,$AM76="Não"),V76,V76+INDEX($AO$6:$BR$176,ROW()-5,COLUMN()-40-$AI76)))*IF($B76="Operacional",IFERROR(VLOOKUP($C76,SN_UGC,28,0),0),1)</f>
        <v>0</v>
      </c>
      <c r="BH76" s="140">
        <f t="array" ref="BH76">IF(ISBLANK($A76),0,IF(OR(BH$5-$AI76&lt;=0,$AM76="Não"),W76,W76+INDEX($AO$6:$BR$176,ROW()-5,COLUMN()-40-$AI76)))*IF($B76="Operacional",IFERROR(VLOOKUP($C76,SN_UGC,28,0),0),1)</f>
        <v>0</v>
      </c>
      <c r="BI76" s="140">
        <f t="array" ref="BI76">IF(ISBLANK($A76),0,IF(OR(BI$5-$AI76&lt;=0,$AM76="Não"),X76,X76+INDEX($AO$6:$BR$176,ROW()-5,COLUMN()-40-$AI76)))*IF($B76="Operacional",IFERROR(VLOOKUP($C76,SN_UGC,28,0),0),1)</f>
        <v>1</v>
      </c>
      <c r="BJ76" s="140">
        <f t="array" ref="BJ76">IF(ISBLANK($A76),0,IF(OR(BJ$5-$AI76&lt;=0,$AM76="Não"),Y76,Y76+INDEX($AO$6:$BR$176,ROW()-5,COLUMN()-40-$AI76)))*IF($B76="Operacional",IFERROR(VLOOKUP($C76,SN_UGC,28,0),0),1)</f>
        <v>0</v>
      </c>
      <c r="BK76" s="140">
        <f t="array" ref="BK76">IF(ISBLANK($A76),0,IF(OR(BK$5-$AI76&lt;=0,$AM76="Não"),Z76,Z76+INDEX($AO$6:$BR$176,ROW()-5,COLUMN()-40-$AI76)))*IF($B76="Operacional",IFERROR(VLOOKUP($C76,SN_UGC,28,0),0),1)</f>
        <v>0</v>
      </c>
      <c r="BL76" s="140">
        <f t="array" ref="BL76">IF(ISBLANK($A76),0,IF(OR(BL$5-$AI76&lt;=0,$AM76="Não"),AA76,AA76+INDEX($AO$6:$BR$176,ROW()-5,COLUMN()-40-$AI76)))*IF($B76="Operacional",IFERROR(VLOOKUP($C76,SN_UGC,28,0),0),1)</f>
        <v>0</v>
      </c>
      <c r="BM76" s="140">
        <f t="array" ref="BM76">IF(ISBLANK($A76),0,IF(OR(BM$5-$AI76&lt;=0,$AM76="Não"),AB76,AB76+INDEX($AO$6:$BR$176,ROW()-5,COLUMN()-40-$AI76)))*IF($B76="Operacional",IFERROR(VLOOKUP($C76,SN_UGC,28,0),0),1)</f>
        <v>0</v>
      </c>
      <c r="BN76" s="140">
        <f t="array" ref="BN76">IF(ISBLANK($A76),0,IF(OR(BN$5-$AI76&lt;=0,$AM76="Não"),AC76,AC76+INDEX($AO$6:$BR$176,ROW()-5,COLUMN()-40-$AI76)))*IF($B76="Operacional",IFERROR(VLOOKUP($C76,SN_UGC,28,0),0),1)</f>
        <v>0</v>
      </c>
      <c r="BO76" s="140">
        <f t="array" ref="BO76">IF(ISBLANK($A76),0,IF(OR(BO$5-$AI76&lt;=0,$AM76="Não"),AD76,AD76+INDEX($AO$6:$BR$176,ROW()-5,COLUMN()-40-$AI76)))*IF($B76="Operacional",IFERROR(VLOOKUP($C76,SN_UGC,28,0),0),1)</f>
        <v>0</v>
      </c>
      <c r="BP76" s="140">
        <f t="array" ref="BP76">IF(ISBLANK($A76),0,IF(OR(BP$5-$AI76&lt;=0,$AM76="Não"),AE76,AE76+INDEX($AO$6:$BR$176,ROW()-5,COLUMN()-40-$AI76)))*IF($B76="Operacional",IFERROR(VLOOKUP($C76,SN_UGC,28,0),0),1)</f>
        <v>0</v>
      </c>
      <c r="BQ76" s="140">
        <f t="array" ref="BQ76">IF(ISBLANK($A76),0,IF(OR(BQ$5-$AI76&lt;=0,$AM76="Não"),AF76,AF76+INDEX($AO$6:$BR$176,ROW()-5,COLUMN()-40-$AI76)))*IF($B76="Operacional",IFERROR(VLOOKUP($C76,SN_UGC,28,0),0),1)</f>
        <v>0</v>
      </c>
      <c r="BR76" s="140">
        <f t="array" ref="BR76">IF(ISBLANK($A76),0,IF(OR(BR$5-$AI76&lt;=0,$AM76="Não"),AG76,AG76+INDEX($AO$6:$BR$176,ROW()-5,COLUMN()-40-$AI76)))*IF($B76="Operacional",IFERROR(VLOOKUP($C76,SN_UGC,28,0),0),1)</f>
        <v>0</v>
      </c>
      <c r="BS76" s="141">
        <f t="shared" ref="BS76:CV76" si="391">IF(ISBLANK($A76),0,$AH76*AO76)</f>
        <v>7014.161000000001</v>
      </c>
      <c r="BT76" s="141">
        <f t="shared" si="391"/>
        <v>0</v>
      </c>
      <c r="BU76" s="141">
        <f t="shared" si="391"/>
        <v>0</v>
      </c>
      <c r="BV76" s="141">
        <f t="shared" si="391"/>
        <v>0</v>
      </c>
      <c r="BW76" s="141">
        <f t="shared" si="391"/>
        <v>0</v>
      </c>
      <c r="BX76" s="141">
        <f t="shared" si="391"/>
        <v>0</v>
      </c>
      <c r="BY76" s="141">
        <f t="shared" si="391"/>
        <v>0</v>
      </c>
      <c r="BZ76" s="141">
        <f t="shared" si="391"/>
        <v>0</v>
      </c>
      <c r="CA76" s="141">
        <f t="shared" si="391"/>
        <v>0</v>
      </c>
      <c r="CB76" s="141">
        <f t="shared" si="391"/>
        <v>0</v>
      </c>
      <c r="CC76" s="141">
        <f t="shared" si="391"/>
        <v>7014.161000000001</v>
      </c>
      <c r="CD76" s="141">
        <f t="shared" si="391"/>
        <v>0</v>
      </c>
      <c r="CE76" s="141">
        <f t="shared" si="391"/>
        <v>0</v>
      </c>
      <c r="CF76" s="141">
        <f t="shared" si="391"/>
        <v>0</v>
      </c>
      <c r="CG76" s="141">
        <f t="shared" si="391"/>
        <v>0</v>
      </c>
      <c r="CH76" s="141">
        <f t="shared" si="391"/>
        <v>0</v>
      </c>
      <c r="CI76" s="141">
        <f t="shared" si="391"/>
        <v>0</v>
      </c>
      <c r="CJ76" s="141">
        <f t="shared" si="391"/>
        <v>0</v>
      </c>
      <c r="CK76" s="141">
        <f t="shared" si="391"/>
        <v>0</v>
      </c>
      <c r="CL76" s="141">
        <f t="shared" si="391"/>
        <v>0</v>
      </c>
      <c r="CM76" s="141">
        <f t="shared" si="391"/>
        <v>7014.161000000001</v>
      </c>
      <c r="CN76" s="141">
        <f t="shared" si="391"/>
        <v>0</v>
      </c>
      <c r="CO76" s="141">
        <f t="shared" si="391"/>
        <v>0</v>
      </c>
      <c r="CP76" s="141">
        <f t="shared" si="391"/>
        <v>0</v>
      </c>
      <c r="CQ76" s="141">
        <f t="shared" si="391"/>
        <v>0</v>
      </c>
      <c r="CR76" s="141">
        <f t="shared" si="391"/>
        <v>0</v>
      </c>
      <c r="CS76" s="141">
        <f t="shared" si="391"/>
        <v>0</v>
      </c>
      <c r="CT76" s="141">
        <f t="shared" si="391"/>
        <v>0</v>
      </c>
      <c r="CU76" s="141">
        <f t="shared" si="391"/>
        <v>0</v>
      </c>
      <c r="CV76" s="141">
        <f t="shared" si="391"/>
        <v>0</v>
      </c>
      <c r="CW76" s="142">
        <f t="shared" ref="CW76:DZ76" si="392">EA76*$AH76*$AJ76</f>
        <v>0</v>
      </c>
      <c r="CX76" s="142">
        <f t="shared" si="392"/>
        <v>0</v>
      </c>
      <c r="CY76" s="142">
        <f t="shared" si="392"/>
        <v>0</v>
      </c>
      <c r="CZ76" s="142">
        <f t="shared" si="392"/>
        <v>0</v>
      </c>
      <c r="DA76" s="142">
        <f t="shared" si="392"/>
        <v>0</v>
      </c>
      <c r="DB76" s="142">
        <f t="shared" si="392"/>
        <v>0</v>
      </c>
      <c r="DC76" s="142">
        <f t="shared" si="392"/>
        <v>0</v>
      </c>
      <c r="DD76" s="142">
        <f t="shared" si="392"/>
        <v>0</v>
      </c>
      <c r="DE76" s="142">
        <f t="shared" si="392"/>
        <v>0</v>
      </c>
      <c r="DF76" s="142">
        <f t="shared" si="392"/>
        <v>0</v>
      </c>
      <c r="DG76" s="142">
        <f t="shared" si="392"/>
        <v>2805.6644000000006</v>
      </c>
      <c r="DH76" s="142">
        <f t="shared" si="392"/>
        <v>0</v>
      </c>
      <c r="DI76" s="142">
        <f t="shared" si="392"/>
        <v>0</v>
      </c>
      <c r="DJ76" s="142">
        <f t="shared" si="392"/>
        <v>0</v>
      </c>
      <c r="DK76" s="142">
        <f t="shared" si="392"/>
        <v>0</v>
      </c>
      <c r="DL76" s="142">
        <f t="shared" si="392"/>
        <v>0</v>
      </c>
      <c r="DM76" s="142">
        <f t="shared" si="392"/>
        <v>0</v>
      </c>
      <c r="DN76" s="142">
        <f t="shared" si="392"/>
        <v>0</v>
      </c>
      <c r="DO76" s="142">
        <f t="shared" si="392"/>
        <v>0</v>
      </c>
      <c r="DP76" s="142">
        <f t="shared" si="392"/>
        <v>0</v>
      </c>
      <c r="DQ76" s="142">
        <f t="shared" si="392"/>
        <v>2805.6644000000006</v>
      </c>
      <c r="DR76" s="142">
        <f t="shared" si="392"/>
        <v>0</v>
      </c>
      <c r="DS76" s="142">
        <f t="shared" si="392"/>
        <v>0</v>
      </c>
      <c r="DT76" s="142">
        <f t="shared" si="392"/>
        <v>0</v>
      </c>
      <c r="DU76" s="142">
        <f t="shared" si="392"/>
        <v>0</v>
      </c>
      <c r="DV76" s="142">
        <f t="shared" si="392"/>
        <v>0</v>
      </c>
      <c r="DW76" s="142">
        <f t="shared" si="392"/>
        <v>0</v>
      </c>
      <c r="DX76" s="142">
        <f t="shared" si="392"/>
        <v>0</v>
      </c>
      <c r="DY76" s="142">
        <f t="shared" si="392"/>
        <v>0</v>
      </c>
      <c r="DZ76" s="142">
        <f t="shared" si="392"/>
        <v>0</v>
      </c>
      <c r="EA76" s="143">
        <f t="shared" si="339"/>
        <v>0</v>
      </c>
      <c r="EB76" s="143">
        <f t="shared" si="340"/>
        <v>0</v>
      </c>
      <c r="EC76" s="143">
        <f t="shared" si="341"/>
        <v>0</v>
      </c>
      <c r="ED76" s="143">
        <f t="shared" si="342"/>
        <v>0</v>
      </c>
      <c r="EE76" s="143">
        <f t="shared" si="343"/>
        <v>0</v>
      </c>
      <c r="EF76" s="143">
        <f t="shared" si="344"/>
        <v>0</v>
      </c>
      <c r="EG76" s="143">
        <f t="shared" si="345"/>
        <v>0</v>
      </c>
      <c r="EH76" s="143">
        <f t="shared" si="346"/>
        <v>0</v>
      </c>
      <c r="EI76" s="143">
        <f t="shared" si="347"/>
        <v>0</v>
      </c>
      <c r="EJ76" s="143">
        <f t="shared" si="348"/>
        <v>0</v>
      </c>
      <c r="EK76" s="143">
        <f t="shared" si="349"/>
        <v>1</v>
      </c>
      <c r="EL76" s="143">
        <f t="shared" si="350"/>
        <v>0</v>
      </c>
      <c r="EM76" s="143">
        <f t="shared" si="351"/>
        <v>0</v>
      </c>
      <c r="EN76" s="143">
        <f t="shared" si="352"/>
        <v>0</v>
      </c>
      <c r="EO76" s="143">
        <f t="shared" si="353"/>
        <v>0</v>
      </c>
      <c r="EP76" s="143">
        <f t="shared" si="354"/>
        <v>0</v>
      </c>
      <c r="EQ76" s="143">
        <f t="shared" si="355"/>
        <v>0</v>
      </c>
      <c r="ER76" s="143">
        <f t="shared" si="356"/>
        <v>0</v>
      </c>
      <c r="ES76" s="143">
        <f t="shared" si="357"/>
        <v>0</v>
      </c>
      <c r="ET76" s="143">
        <f t="shared" si="358"/>
        <v>0</v>
      </c>
      <c r="EU76" s="143">
        <f t="shared" si="359"/>
        <v>1</v>
      </c>
      <c r="EV76" s="143">
        <f t="shared" si="360"/>
        <v>0</v>
      </c>
      <c r="EW76" s="143">
        <f t="shared" si="361"/>
        <v>0</v>
      </c>
      <c r="EX76" s="143">
        <f t="shared" si="362"/>
        <v>0</v>
      </c>
      <c r="EY76" s="143">
        <f t="shared" si="363"/>
        <v>0</v>
      </c>
      <c r="EZ76" s="143">
        <f t="shared" si="364"/>
        <v>0</v>
      </c>
      <c r="FA76" s="143">
        <f t="shared" si="365"/>
        <v>0</v>
      </c>
      <c r="FB76" s="143">
        <f t="shared" si="366"/>
        <v>0</v>
      </c>
      <c r="FC76" s="143">
        <f t="shared" si="367"/>
        <v>0</v>
      </c>
      <c r="FD76" s="143">
        <f t="shared" si="368"/>
        <v>0</v>
      </c>
      <c r="FE76" s="140">
        <f>SUM($D76:D76)*IF($B76="Operacional",IFERROR(VLOOKUP($C76,SN_UGC,28,0),0),1)</f>
        <v>1</v>
      </c>
      <c r="FF76" s="140">
        <f>SUM($D76:E76)*IF($B76="Operacional",IFERROR(VLOOKUP($C76,SN_UGC,28,0),0),1)</f>
        <v>1</v>
      </c>
      <c r="FG76" s="140">
        <f>SUM($D76:F76)*IF($B76="Operacional",IFERROR(VLOOKUP($C76,SN_UGC,28,0),0),1)</f>
        <v>1</v>
      </c>
      <c r="FH76" s="140">
        <f>SUM($D76:G76)*IF($B76="Operacional",IFERROR(VLOOKUP($C76,SN_UGC,28,0),0),1)</f>
        <v>1</v>
      </c>
      <c r="FI76" s="140">
        <f>SUM($D76:H76)*IF($B76="Operacional",IFERROR(VLOOKUP($C76,SN_UGC,28,0),0),1)</f>
        <v>1</v>
      </c>
      <c r="FJ76" s="140">
        <f>SUM($D76:I76)*IF($B76="Operacional",IFERROR(VLOOKUP($C76,SN_UGC,28,0),0),1)</f>
        <v>1</v>
      </c>
      <c r="FK76" s="140">
        <f>SUM($D76:J76)*IF($B76="Operacional",IFERROR(VLOOKUP($C76,SN_UGC,28,0),0),1)</f>
        <v>1</v>
      </c>
      <c r="FL76" s="140">
        <f>SUM($D76:K76)*IF($B76="Operacional",IFERROR(VLOOKUP($C76,SN_UGC,28,0),0),1)</f>
        <v>1</v>
      </c>
      <c r="FM76" s="140">
        <f>SUM($D76:L76)*IF($B76="Operacional",IFERROR(VLOOKUP($C76,SN_UGC,28,0),0),1)</f>
        <v>1</v>
      </c>
      <c r="FN76" s="140">
        <f>SUM($D76:M76)*IF($B76="Operacional",IFERROR(VLOOKUP($C76,SN_UGC,28,0),0),1)</f>
        <v>1</v>
      </c>
      <c r="FO76" s="140">
        <f>SUM($D76:N76)*IF($B76="Operacional",IFERROR(VLOOKUP($C76,SN_UGC,28,0),0),1)</f>
        <v>1</v>
      </c>
      <c r="FP76" s="140">
        <f>SUM($D76:O76)*IF($B76="Operacional",IFERROR(VLOOKUP($C76,SN_UGC,28,0),0),1)</f>
        <v>1</v>
      </c>
      <c r="FQ76" s="140">
        <f>SUM($D76:P76)*IF($B76="Operacional",IFERROR(VLOOKUP($C76,SN_UGC,28,0),0),1)</f>
        <v>1</v>
      </c>
      <c r="FR76" s="140">
        <f>SUM($D76:Q76)*IF($B76="Operacional",IFERROR(VLOOKUP($C76,SN_UGC,28,0),0),1)</f>
        <v>1</v>
      </c>
      <c r="FS76" s="140">
        <f>SUM($D76:R76)*IF($B76="Operacional",IFERROR(VLOOKUP($C76,SN_UGC,28,0),0),1)</f>
        <v>1</v>
      </c>
      <c r="FT76" s="140">
        <f>SUM($D76:S76)*IF($B76="Operacional",IFERROR(VLOOKUP($C76,SN_UGC,28,0),0),1)</f>
        <v>1</v>
      </c>
      <c r="FU76" s="140">
        <f>SUM($D76:T76)*IF($B76="Operacional",IFERROR(VLOOKUP($C76,SN_UGC,28,0),0),1)</f>
        <v>1</v>
      </c>
      <c r="FV76" s="140">
        <f>SUM($D76:U76)*IF($B76="Operacional",IFERROR(VLOOKUP($C76,SN_UGC,28,0),0),1)</f>
        <v>1</v>
      </c>
      <c r="FW76" s="140">
        <f>SUM($D76:V76)*IF($B76="Operacional",IFERROR(VLOOKUP($C76,SN_UGC,28,0),0),1)</f>
        <v>1</v>
      </c>
      <c r="FX76" s="140">
        <f>SUM($D76:W76)*IF($B76="Operacional",IFERROR(VLOOKUP($C76,SN_UGC,28,0),0),1)</f>
        <v>1</v>
      </c>
      <c r="FY76" s="140">
        <f>SUM($D76:X76)*IF($B76="Operacional",IFERROR(VLOOKUP($C76,SN_UGC,28,0),0),1)</f>
        <v>1</v>
      </c>
      <c r="FZ76" s="140">
        <f>SUM($D76:Y76)*IF($B76="Operacional",IFERROR(VLOOKUP($C76,SN_UGC,28,0),0),1)</f>
        <v>1</v>
      </c>
      <c r="GA76" s="140">
        <f>SUM($D76:Z76)*IF($B76="Operacional",IFERROR(VLOOKUP($C76,SN_UGC,28,0),0),1)</f>
        <v>1</v>
      </c>
      <c r="GB76" s="140">
        <f>SUM($D76:AA76)*IF($B76="Operacional",IFERROR(VLOOKUP($C76,SN_UGC,28,0),0),1)</f>
        <v>1</v>
      </c>
      <c r="GC76" s="140">
        <f>SUM($D76:AB76)*IF($B76="Operacional",IFERROR(VLOOKUP($C76,SN_UGC,28,0),0),1)</f>
        <v>1</v>
      </c>
      <c r="GD76" s="140">
        <f>SUM($D76:AC76)*IF($B76="Operacional",IFERROR(VLOOKUP($C76,SN_UGC,28,0),0),1)</f>
        <v>1</v>
      </c>
      <c r="GE76" s="140">
        <f>SUM($D76:AD76)*IF($B76="Operacional",IFERROR(VLOOKUP($C76,SN_UGC,28,0),0),1)</f>
        <v>1</v>
      </c>
      <c r="GF76" s="140">
        <f>SUM($D76:AE76)*IF($B76="Operacional",IFERROR(VLOOKUP($C76,SN_UGC,28,0),0),1)</f>
        <v>1</v>
      </c>
      <c r="GG76" s="140">
        <f>SUM($D76:AF76)*IF($B76="Operacional",IFERROR(VLOOKUP($C76,SN_UGC,28,0),0),1)</f>
        <v>1</v>
      </c>
      <c r="GH76" s="140">
        <f>SUM($D76:AG76)*IF($B76="Operacional",IFERROR(VLOOKUP($C76,SN_UGC,28,0),0),1)</f>
        <v>1</v>
      </c>
      <c r="GI76" s="141">
        <f t="shared" ref="GI76:HL76" si="393">FE76*$AH76*$AL76</f>
        <v>350.70805000000007</v>
      </c>
      <c r="GJ76" s="141">
        <f t="shared" si="393"/>
        <v>350.70805000000007</v>
      </c>
      <c r="GK76" s="141">
        <f t="shared" si="393"/>
        <v>350.70805000000007</v>
      </c>
      <c r="GL76" s="141">
        <f t="shared" si="393"/>
        <v>350.70805000000007</v>
      </c>
      <c r="GM76" s="141">
        <f t="shared" si="393"/>
        <v>350.70805000000007</v>
      </c>
      <c r="GN76" s="141">
        <f t="shared" si="393"/>
        <v>350.70805000000007</v>
      </c>
      <c r="GO76" s="141">
        <f t="shared" si="393"/>
        <v>350.70805000000007</v>
      </c>
      <c r="GP76" s="141">
        <f t="shared" si="393"/>
        <v>350.70805000000007</v>
      </c>
      <c r="GQ76" s="141">
        <f t="shared" si="393"/>
        <v>350.70805000000007</v>
      </c>
      <c r="GR76" s="141">
        <f t="shared" si="393"/>
        <v>350.70805000000007</v>
      </c>
      <c r="GS76" s="141">
        <f t="shared" si="393"/>
        <v>350.70805000000007</v>
      </c>
      <c r="GT76" s="141">
        <f t="shared" si="393"/>
        <v>350.70805000000007</v>
      </c>
      <c r="GU76" s="141">
        <f t="shared" si="393"/>
        <v>350.70805000000007</v>
      </c>
      <c r="GV76" s="141">
        <f t="shared" si="393"/>
        <v>350.70805000000007</v>
      </c>
      <c r="GW76" s="141">
        <f t="shared" si="393"/>
        <v>350.70805000000007</v>
      </c>
      <c r="GX76" s="141">
        <f t="shared" si="393"/>
        <v>350.70805000000007</v>
      </c>
      <c r="GY76" s="141">
        <f t="shared" si="393"/>
        <v>350.70805000000007</v>
      </c>
      <c r="GZ76" s="141">
        <f t="shared" si="393"/>
        <v>350.70805000000007</v>
      </c>
      <c r="HA76" s="141">
        <f t="shared" si="393"/>
        <v>350.70805000000007</v>
      </c>
      <c r="HB76" s="141">
        <f t="shared" si="393"/>
        <v>350.70805000000007</v>
      </c>
      <c r="HC76" s="141">
        <f t="shared" si="393"/>
        <v>350.70805000000007</v>
      </c>
      <c r="HD76" s="141">
        <f t="shared" si="393"/>
        <v>350.70805000000007</v>
      </c>
      <c r="HE76" s="141">
        <f t="shared" si="393"/>
        <v>350.70805000000007</v>
      </c>
      <c r="HF76" s="141">
        <f t="shared" si="393"/>
        <v>350.70805000000007</v>
      </c>
      <c r="HG76" s="141">
        <f t="shared" si="393"/>
        <v>350.70805000000007</v>
      </c>
      <c r="HH76" s="141">
        <f t="shared" si="393"/>
        <v>350.70805000000007</v>
      </c>
      <c r="HI76" s="141">
        <f t="shared" si="393"/>
        <v>350.70805000000007</v>
      </c>
      <c r="HJ76" s="141">
        <f t="shared" si="393"/>
        <v>350.70805000000007</v>
      </c>
      <c r="HK76" s="141">
        <f t="shared" si="393"/>
        <v>350.70805000000007</v>
      </c>
      <c r="HL76" s="141">
        <f t="shared" si="393"/>
        <v>350.70805000000007</v>
      </c>
      <c r="HM76" s="142">
        <f t="shared" ref="HM76:IP76" si="394">IF(ISBLANK($A76),,FE76*($AH76-($AH76*$AJ76))/$AI76)</f>
        <v>420.84966000000003</v>
      </c>
      <c r="HN76" s="142">
        <f t="shared" si="394"/>
        <v>420.84966000000003</v>
      </c>
      <c r="HO76" s="142">
        <f t="shared" si="394"/>
        <v>420.84966000000003</v>
      </c>
      <c r="HP76" s="142">
        <f t="shared" si="394"/>
        <v>420.84966000000003</v>
      </c>
      <c r="HQ76" s="142">
        <f t="shared" si="394"/>
        <v>420.84966000000003</v>
      </c>
      <c r="HR76" s="142">
        <f t="shared" si="394"/>
        <v>420.84966000000003</v>
      </c>
      <c r="HS76" s="142">
        <f t="shared" si="394"/>
        <v>420.84966000000003</v>
      </c>
      <c r="HT76" s="142">
        <f t="shared" si="394"/>
        <v>420.84966000000003</v>
      </c>
      <c r="HU76" s="142">
        <f t="shared" si="394"/>
        <v>420.84966000000003</v>
      </c>
      <c r="HV76" s="142">
        <f t="shared" si="394"/>
        <v>420.84966000000003</v>
      </c>
      <c r="HW76" s="142">
        <f t="shared" si="394"/>
        <v>420.84966000000003</v>
      </c>
      <c r="HX76" s="142">
        <f t="shared" si="394"/>
        <v>420.84966000000003</v>
      </c>
      <c r="HY76" s="142">
        <f t="shared" si="394"/>
        <v>420.84966000000003</v>
      </c>
      <c r="HZ76" s="142">
        <f t="shared" si="394"/>
        <v>420.84966000000003</v>
      </c>
      <c r="IA76" s="142">
        <f t="shared" si="394"/>
        <v>420.84966000000003</v>
      </c>
      <c r="IB76" s="142">
        <f t="shared" si="394"/>
        <v>420.84966000000003</v>
      </c>
      <c r="IC76" s="142">
        <f t="shared" si="394"/>
        <v>420.84966000000003</v>
      </c>
      <c r="ID76" s="142">
        <f t="shared" si="394"/>
        <v>420.84966000000003</v>
      </c>
      <c r="IE76" s="142">
        <f t="shared" si="394"/>
        <v>420.84966000000003</v>
      </c>
      <c r="IF76" s="142">
        <f t="shared" si="394"/>
        <v>420.84966000000003</v>
      </c>
      <c r="IG76" s="142">
        <f t="shared" si="394"/>
        <v>420.84966000000003</v>
      </c>
      <c r="IH76" s="142">
        <f t="shared" si="394"/>
        <v>420.84966000000003</v>
      </c>
      <c r="II76" s="142">
        <f t="shared" si="394"/>
        <v>420.84966000000003</v>
      </c>
      <c r="IJ76" s="142">
        <f t="shared" si="394"/>
        <v>420.84966000000003</v>
      </c>
      <c r="IK76" s="142">
        <f t="shared" si="394"/>
        <v>420.84966000000003</v>
      </c>
      <c r="IL76" s="142">
        <f t="shared" si="394"/>
        <v>420.84966000000003</v>
      </c>
      <c r="IM76" s="142">
        <f t="shared" si="394"/>
        <v>420.84966000000003</v>
      </c>
      <c r="IN76" s="142">
        <f t="shared" si="394"/>
        <v>420.84966000000003</v>
      </c>
      <c r="IO76" s="142">
        <f t="shared" si="394"/>
        <v>420.84966000000003</v>
      </c>
      <c r="IP76" s="142">
        <f t="shared" si="394"/>
        <v>420.84966000000003</v>
      </c>
      <c r="IQ76" s="141">
        <f>IF(ISBLANK($A76),,IF($AN76="Não",0,(SUM($AO76:AO76)*$AH76)-SUM($HM76:HM76)-SUM($CW76:CW76)))</f>
        <v>6593.3113400000011</v>
      </c>
      <c r="IR76" s="141">
        <f>IF(ISBLANK($A76),,IF($AN76="Não",0,(SUM($AO76:AP76)*$AH76)-SUM($HM76:HN76)-SUM($CW76:CX76)))</f>
        <v>6172.4616800000013</v>
      </c>
      <c r="IS76" s="141">
        <f>IF(ISBLANK($A76),,IF($AN76="Não",0,(SUM($AO76:AQ76)*$AH76)-SUM($HM76:HO76)-SUM($CW76:CY76)))</f>
        <v>5751.6120200000005</v>
      </c>
      <c r="IT76" s="141">
        <f>IF(ISBLANK($A76),,IF($AN76="Não",0,(SUM($AO76:AR76)*$AH76)-SUM($HM76:HP76)-SUM($CW76:CZ76)))</f>
        <v>5330.7623600000006</v>
      </c>
      <c r="IU76" s="141">
        <f>IF(ISBLANK($A76),,IF($AN76="Não",0,(SUM($AO76:AS76)*$AH76)-SUM($HM76:HQ76)-SUM($CW76:DA76)))</f>
        <v>4909.9127000000008</v>
      </c>
      <c r="IV76" s="141">
        <f>IF(ISBLANK($A76),,IF($AN76="Não",0,(SUM($AO76:AT76)*$AH76)-SUM($HM76:HR76)-SUM($CW76:DB76)))</f>
        <v>4489.0630400000009</v>
      </c>
      <c r="IW76" s="141">
        <f>IF(ISBLANK($A76),,IF($AN76="Não",0,(SUM($AO76:AU76)*$AH76)-SUM($HM76:HS76)-SUM($CW76:DC76)))</f>
        <v>4068.2133800000011</v>
      </c>
      <c r="IX76" s="141">
        <f>IF(ISBLANK($A76),,IF($AN76="Não",0,(SUM($AO76:AV76)*$AH76)-SUM($HM76:HT76)-SUM($CW76:DD76)))</f>
        <v>3647.3637200000012</v>
      </c>
      <c r="IY76" s="141">
        <f>IF(ISBLANK($A76),,IF($AN76="Não",0,(SUM($AO76:AW76)*$AH76)-SUM($HM76:HU76)-SUM($CW76:DE76)))</f>
        <v>3226.5140600000013</v>
      </c>
      <c r="IZ76" s="141">
        <f>IF(ISBLANK($A76),,IF($AN76="Não",0,(SUM($AO76:AX76)*$AH76)-SUM($HM76:HV76)-SUM($CW76:DF76)))</f>
        <v>2805.6644000000015</v>
      </c>
      <c r="JA76" s="141">
        <f>IF(ISBLANK($A76),,IF($AN76="Não",0,(SUM($AO76:AY76)*$AH76)-SUM($HM76:HW76)-SUM($CW76:DG76)))</f>
        <v>6593.3113400000011</v>
      </c>
      <c r="JB76" s="141">
        <f>IF(ISBLANK($A76),,IF($AN76="Não",0,(SUM($AO76:AZ76)*$AH76)-SUM($HM76:HX76)-SUM($CW76:DH76)))</f>
        <v>6172.4616800000013</v>
      </c>
      <c r="JC76" s="141">
        <f>IF(ISBLANK($A76),,IF($AN76="Não",0,(SUM($AO76:BA76)*$AH76)-SUM($HM76:HY76)-SUM($CW76:DI76)))</f>
        <v>5751.6120200000014</v>
      </c>
      <c r="JD76" s="141">
        <f>IF(ISBLANK($A76),,IF($AN76="Não",0,(SUM($AO76:BB76)*$AH76)-SUM($HM76:HZ76)-SUM($CW76:DJ76)))</f>
        <v>5330.7623600000024</v>
      </c>
      <c r="JE76" s="141">
        <f>IF(ISBLANK($A76),,IF($AN76="Não",0,(SUM($AO76:BC76)*$AH76)-SUM($HM76:IA76)-SUM($CW76:DK76)))</f>
        <v>4909.9127000000026</v>
      </c>
      <c r="JF76" s="141">
        <f>IF(ISBLANK($A76),,IF($AN76="Não",0,(SUM($AO76:BD76)*$AH76)-SUM($HM76:IB76)-SUM($CW76:DL76)))</f>
        <v>4489.0630400000027</v>
      </c>
      <c r="JG76" s="141">
        <f>IF(ISBLANK($A76),,IF($AN76="Não",0,(SUM($AO76:BE76)*$AH76)-SUM($HM76:IC76)-SUM($CW76:DM76)))</f>
        <v>4068.2133800000029</v>
      </c>
      <c r="JH76" s="141">
        <f>IF(ISBLANK($A76),,IF($AN76="Não",0,(SUM($AO76:BF76)*$AH76)-SUM($HM76:ID76)-SUM($CW76:DN76)))</f>
        <v>3647.363720000003</v>
      </c>
      <c r="JI76" s="141">
        <f>IF(ISBLANK($A76),,IF($AN76="Não",0,(SUM($AO76:BG76)*$AH76)-SUM($HM76:IE76)-SUM($CW76:DO76)))</f>
        <v>3226.5140600000032</v>
      </c>
      <c r="JJ76" s="141">
        <f>IF(ISBLANK($A76),,IF($AN76="Não",0,(SUM($AO76:BH76)*$AH76)-SUM($HM76:IF76)-SUM($CW76:DP76)))</f>
        <v>2805.6644000000024</v>
      </c>
      <c r="JK76" s="141">
        <f>IF(ISBLANK($A76),,IF($AN76="Não",0,(SUM($AO76:BI76)*$AH76)-SUM($HM76:IG76)-SUM($CW76:DQ76)))</f>
        <v>6593.3113400000038</v>
      </c>
      <c r="JL76" s="141">
        <f>IF(ISBLANK($A76),,IF($AN76="Não",0,(SUM($AO76:BJ76)*$AH76)-SUM($HM76:IH76)-SUM($CW76:DR76)))</f>
        <v>6172.461680000004</v>
      </c>
      <c r="JM76" s="141">
        <f>IF(ISBLANK($A76),,IF($AN76="Não",0,(SUM($AO76:BK76)*$AH76)-SUM($HM76:II76)-SUM($CW76:DS76)))</f>
        <v>5751.6120200000041</v>
      </c>
      <c r="JN76" s="141">
        <f>IF(ISBLANK($A76),,IF($AN76="Não",0,(SUM($AO76:BL76)*$AH76)-SUM($HM76:IJ76)-SUM($CW76:DT76)))</f>
        <v>5330.7623600000043</v>
      </c>
      <c r="JO76" s="141">
        <f>IF(ISBLANK($A76),,IF($AN76="Não",0,(SUM($AO76:BM76)*$AH76)-SUM($HM76:IK76)-SUM($CW76:DU76)))</f>
        <v>4909.9127000000044</v>
      </c>
      <c r="JP76" s="141">
        <f>IF(ISBLANK($A76),,IF($AN76="Não",0,(SUM($AO76:BN76)*$AH76)-SUM($HM76:IL76)-SUM($CW76:DV76)))</f>
        <v>4489.0630400000045</v>
      </c>
      <c r="JQ76" s="141">
        <f>IF(ISBLANK($A76),,IF($AN76="Não",0,(SUM($AO76:BO76)*$AH76)-SUM($HM76:IM76)-SUM($CW76:DW76)))</f>
        <v>4068.2133800000047</v>
      </c>
      <c r="JR76" s="141">
        <f>IF(ISBLANK($A76),,IF($AN76="Não",0,(SUM($AO76:BP76)*$AH76)-SUM($HM76:IN76)-SUM($CW76:DX76)))</f>
        <v>3647.3637200000048</v>
      </c>
      <c r="JS76" s="141">
        <f>IF(ISBLANK($A76),,IF($AN76="Não",0,(SUM($AO76:BQ76)*$AH76)-SUM($HM76:IO76)-SUM($CW76:DY76)))</f>
        <v>3226.514060000005</v>
      </c>
      <c r="JT76" s="141">
        <f>IF(ISBLANK($A76),,IF($AN76="Não",0,(SUM($AO76:BR76)*$AH76)-SUM($HM76:IP76)-SUM($CW76:DZ76)))</f>
        <v>2805.6644000000051</v>
      </c>
    </row>
    <row r="77" spans="1:280" ht="15.75" customHeight="1">
      <c r="A77" s="129" t="s">
        <v>383</v>
      </c>
      <c r="B77" s="129" t="s">
        <v>209</v>
      </c>
      <c r="C77" s="138" t="s">
        <v>96</v>
      </c>
      <c r="D77" s="139">
        <v>3</v>
      </c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607">
        <f t="shared" si="286"/>
        <v>7014.161000000001</v>
      </c>
      <c r="AI77" s="608">
        <f t="shared" si="287"/>
        <v>10</v>
      </c>
      <c r="AJ77" s="609">
        <f t="shared" si="288"/>
        <v>0.4</v>
      </c>
      <c r="AK77" s="610" t="str">
        <f t="shared" si="289"/>
        <v>Equipamentos e instalações</v>
      </c>
      <c r="AL77" s="609">
        <f t="shared" si="290"/>
        <v>0.05</v>
      </c>
      <c r="AM77" s="611" t="str">
        <f t="shared" si="291"/>
        <v>Sim</v>
      </c>
      <c r="AN77" s="611" t="str">
        <f t="shared" si="292"/>
        <v>Sim</v>
      </c>
      <c r="AO77" s="140">
        <f t="array" ref="AO77">IF(ISBLANK($A77),0,IF(OR(AO$5-$AI77&lt;=0,$AM77="Não"),D77,D77+INDEX($AO$6:$BR$176,ROW()-5,COLUMN()-40-$AI77)))*IF($B77="Operacional",IFERROR(VLOOKUP($C77,SN_UGC,28,0),0),1)</f>
        <v>3</v>
      </c>
      <c r="AP77" s="140">
        <f t="array" ref="AP77">IF(ISBLANK($A77),0,IF(OR(AP$5-$AI77&lt;=0,$AM77="Não"),E77,E77+INDEX($AO$6:$BR$176,ROW()-5,COLUMN()-40-$AI77)))*IF($B77="Operacional",IFERROR(VLOOKUP($C77,SN_UGC,28,0),0),1)</f>
        <v>0</v>
      </c>
      <c r="AQ77" s="140">
        <f t="array" ref="AQ77">IF(ISBLANK($A77),0,IF(OR(AQ$5-$AI77&lt;=0,$AM77="Não"),F77,F77+INDEX($AO$6:$BR$176,ROW()-5,COLUMN()-40-$AI77)))*IF($B77="Operacional",IFERROR(VLOOKUP($C77,SN_UGC,28,0),0),1)</f>
        <v>0</v>
      </c>
      <c r="AR77" s="140">
        <f t="array" ref="AR77">IF(ISBLANK($A77),0,IF(OR(AR$5-$AI77&lt;=0,$AM77="Não"),G77,G77+INDEX($AO$6:$BR$176,ROW()-5,COLUMN()-40-$AI77)))*IF($B77="Operacional",IFERROR(VLOOKUP($C77,SN_UGC,28,0),0),1)</f>
        <v>0</v>
      </c>
      <c r="AS77" s="140">
        <f t="array" ref="AS77">IF(ISBLANK($A77),0,IF(OR(AS$5-$AI77&lt;=0,$AM77="Não"),H77,H77+INDEX($AO$6:$BR$176,ROW()-5,COLUMN()-40-$AI77)))*IF($B77="Operacional",IFERROR(VLOOKUP($C77,SN_UGC,28,0),0),1)</f>
        <v>0</v>
      </c>
      <c r="AT77" s="140">
        <f t="array" ref="AT77">IF(ISBLANK($A77),0,IF(OR(AT$5-$AI77&lt;=0,$AM77="Não"),I77,I77+INDEX($AO$6:$BR$176,ROW()-5,COLUMN()-40-$AI77)))*IF($B77="Operacional",IFERROR(VLOOKUP($C77,SN_UGC,28,0),0),1)</f>
        <v>0</v>
      </c>
      <c r="AU77" s="140">
        <f t="array" ref="AU77">IF(ISBLANK($A77),0,IF(OR(AU$5-$AI77&lt;=0,$AM77="Não"),J77,J77+INDEX($AO$6:$BR$176,ROW()-5,COLUMN()-40-$AI77)))*IF($B77="Operacional",IFERROR(VLOOKUP($C77,SN_UGC,28,0),0),1)</f>
        <v>0</v>
      </c>
      <c r="AV77" s="140">
        <f t="array" ref="AV77">IF(ISBLANK($A77),0,IF(OR(AV$5-$AI77&lt;=0,$AM77="Não"),K77,K77+INDEX($AO$6:$BR$176,ROW()-5,COLUMN()-40-$AI77)))*IF($B77="Operacional",IFERROR(VLOOKUP($C77,SN_UGC,28,0),0),1)</f>
        <v>0</v>
      </c>
      <c r="AW77" s="140">
        <f t="array" ref="AW77">IF(ISBLANK($A77),0,IF(OR(AW$5-$AI77&lt;=0,$AM77="Não"),L77,L77+INDEX($AO$6:$BR$176,ROW()-5,COLUMN()-40-$AI77)))*IF($B77="Operacional",IFERROR(VLOOKUP($C77,SN_UGC,28,0),0),1)</f>
        <v>0</v>
      </c>
      <c r="AX77" s="140">
        <f t="array" ref="AX77">IF(ISBLANK($A77),0,IF(OR(AX$5-$AI77&lt;=0,$AM77="Não"),M77,M77+INDEX($AO$6:$BR$176,ROW()-5,COLUMN()-40-$AI77)))*IF($B77="Operacional",IFERROR(VLOOKUP($C77,SN_UGC,28,0),0),1)</f>
        <v>0</v>
      </c>
      <c r="AY77" s="140">
        <f t="array" ref="AY77">IF(ISBLANK($A77),0,IF(OR(AY$5-$AI77&lt;=0,$AM77="Não"),N77,N77+INDEX($AO$6:$BR$176,ROW()-5,COLUMN()-40-$AI77)))*IF($B77="Operacional",IFERROR(VLOOKUP($C77,SN_UGC,28,0),0),1)</f>
        <v>3</v>
      </c>
      <c r="AZ77" s="140">
        <f t="array" ref="AZ77">IF(ISBLANK($A77),0,IF(OR(AZ$5-$AI77&lt;=0,$AM77="Não"),O77,O77+INDEX($AO$6:$BR$176,ROW()-5,COLUMN()-40-$AI77)))*IF($B77="Operacional",IFERROR(VLOOKUP($C77,SN_UGC,28,0),0),1)</f>
        <v>0</v>
      </c>
      <c r="BA77" s="140">
        <f t="array" ref="BA77">IF(ISBLANK($A77),0,IF(OR(BA$5-$AI77&lt;=0,$AM77="Não"),P77,P77+INDEX($AO$6:$BR$176,ROW()-5,COLUMN()-40-$AI77)))*IF($B77="Operacional",IFERROR(VLOOKUP($C77,SN_UGC,28,0),0),1)</f>
        <v>0</v>
      </c>
      <c r="BB77" s="140">
        <f t="array" ref="BB77">IF(ISBLANK($A77),0,IF(OR(BB$5-$AI77&lt;=0,$AM77="Não"),Q77,Q77+INDEX($AO$6:$BR$176,ROW()-5,COLUMN()-40-$AI77)))*IF($B77="Operacional",IFERROR(VLOOKUP($C77,SN_UGC,28,0),0),1)</f>
        <v>0</v>
      </c>
      <c r="BC77" s="140">
        <f t="array" ref="BC77">IF(ISBLANK($A77),0,IF(OR(BC$5-$AI77&lt;=0,$AM77="Não"),R77,R77+INDEX($AO$6:$BR$176,ROW()-5,COLUMN()-40-$AI77)))*IF($B77="Operacional",IFERROR(VLOOKUP($C77,SN_UGC,28,0),0),1)</f>
        <v>0</v>
      </c>
      <c r="BD77" s="140">
        <f t="array" ref="BD77">IF(ISBLANK($A77),0,IF(OR(BD$5-$AI77&lt;=0,$AM77="Não"),S77,S77+INDEX($AO$6:$BR$176,ROW()-5,COLUMN()-40-$AI77)))*IF($B77="Operacional",IFERROR(VLOOKUP($C77,SN_UGC,28,0),0),1)</f>
        <v>0</v>
      </c>
      <c r="BE77" s="140">
        <f t="array" ref="BE77">IF(ISBLANK($A77),0,IF(OR(BE$5-$AI77&lt;=0,$AM77="Não"),T77,T77+INDEX($AO$6:$BR$176,ROW()-5,COLUMN()-40-$AI77)))*IF($B77="Operacional",IFERROR(VLOOKUP($C77,SN_UGC,28,0),0),1)</f>
        <v>0</v>
      </c>
      <c r="BF77" s="140">
        <f t="array" ref="BF77">IF(ISBLANK($A77),0,IF(OR(BF$5-$AI77&lt;=0,$AM77="Não"),U77,U77+INDEX($AO$6:$BR$176,ROW()-5,COLUMN()-40-$AI77)))*IF($B77="Operacional",IFERROR(VLOOKUP($C77,SN_UGC,28,0),0),1)</f>
        <v>0</v>
      </c>
      <c r="BG77" s="140">
        <f t="array" ref="BG77">IF(ISBLANK($A77),0,IF(OR(BG$5-$AI77&lt;=0,$AM77="Não"),V77,V77+INDEX($AO$6:$BR$176,ROW()-5,COLUMN()-40-$AI77)))*IF($B77="Operacional",IFERROR(VLOOKUP($C77,SN_UGC,28,0),0),1)</f>
        <v>0</v>
      </c>
      <c r="BH77" s="140">
        <f t="array" ref="BH77">IF(ISBLANK($A77),0,IF(OR(BH$5-$AI77&lt;=0,$AM77="Não"),W77,W77+INDEX($AO$6:$BR$176,ROW()-5,COLUMN()-40-$AI77)))*IF($B77="Operacional",IFERROR(VLOOKUP($C77,SN_UGC,28,0),0),1)</f>
        <v>0</v>
      </c>
      <c r="BI77" s="140">
        <f t="array" ref="BI77">IF(ISBLANK($A77),0,IF(OR(BI$5-$AI77&lt;=0,$AM77="Não"),X77,X77+INDEX($AO$6:$BR$176,ROW()-5,COLUMN()-40-$AI77)))*IF($B77="Operacional",IFERROR(VLOOKUP($C77,SN_UGC,28,0),0),1)</f>
        <v>3</v>
      </c>
      <c r="BJ77" s="140">
        <f t="array" ref="BJ77">IF(ISBLANK($A77),0,IF(OR(BJ$5-$AI77&lt;=0,$AM77="Não"),Y77,Y77+INDEX($AO$6:$BR$176,ROW()-5,COLUMN()-40-$AI77)))*IF($B77="Operacional",IFERROR(VLOOKUP($C77,SN_UGC,28,0),0),1)</f>
        <v>0</v>
      </c>
      <c r="BK77" s="140">
        <f t="array" ref="BK77">IF(ISBLANK($A77),0,IF(OR(BK$5-$AI77&lt;=0,$AM77="Não"),Z77,Z77+INDEX($AO$6:$BR$176,ROW()-5,COLUMN()-40-$AI77)))*IF($B77="Operacional",IFERROR(VLOOKUP($C77,SN_UGC,28,0),0),1)</f>
        <v>0</v>
      </c>
      <c r="BL77" s="140">
        <f t="array" ref="BL77">IF(ISBLANK($A77),0,IF(OR(BL$5-$AI77&lt;=0,$AM77="Não"),AA77,AA77+INDEX($AO$6:$BR$176,ROW()-5,COLUMN()-40-$AI77)))*IF($B77="Operacional",IFERROR(VLOOKUP($C77,SN_UGC,28,0),0),1)</f>
        <v>0</v>
      </c>
      <c r="BM77" s="140">
        <f t="array" ref="BM77">IF(ISBLANK($A77),0,IF(OR(BM$5-$AI77&lt;=0,$AM77="Não"),AB77,AB77+INDEX($AO$6:$BR$176,ROW()-5,COLUMN()-40-$AI77)))*IF($B77="Operacional",IFERROR(VLOOKUP($C77,SN_UGC,28,0),0),1)</f>
        <v>0</v>
      </c>
      <c r="BN77" s="140">
        <f t="array" ref="BN77">IF(ISBLANK($A77),0,IF(OR(BN$5-$AI77&lt;=0,$AM77="Não"),AC77,AC77+INDEX($AO$6:$BR$176,ROW()-5,COLUMN()-40-$AI77)))*IF($B77="Operacional",IFERROR(VLOOKUP($C77,SN_UGC,28,0),0),1)</f>
        <v>0</v>
      </c>
      <c r="BO77" s="140">
        <f t="array" ref="BO77">IF(ISBLANK($A77),0,IF(OR(BO$5-$AI77&lt;=0,$AM77="Não"),AD77,AD77+INDEX($AO$6:$BR$176,ROW()-5,COLUMN()-40-$AI77)))*IF($B77="Operacional",IFERROR(VLOOKUP($C77,SN_UGC,28,0),0),1)</f>
        <v>0</v>
      </c>
      <c r="BP77" s="140">
        <f t="array" ref="BP77">IF(ISBLANK($A77),0,IF(OR(BP$5-$AI77&lt;=0,$AM77="Não"),AE77,AE77+INDEX($AO$6:$BR$176,ROW()-5,COLUMN()-40-$AI77)))*IF($B77="Operacional",IFERROR(VLOOKUP($C77,SN_UGC,28,0),0),1)</f>
        <v>0</v>
      </c>
      <c r="BQ77" s="140">
        <f t="array" ref="BQ77">IF(ISBLANK($A77),0,IF(OR(BQ$5-$AI77&lt;=0,$AM77="Não"),AF77,AF77+INDEX($AO$6:$BR$176,ROW()-5,COLUMN()-40-$AI77)))*IF($B77="Operacional",IFERROR(VLOOKUP($C77,SN_UGC,28,0),0),1)</f>
        <v>0</v>
      </c>
      <c r="BR77" s="140">
        <f t="array" ref="BR77">IF(ISBLANK($A77),0,IF(OR(BR$5-$AI77&lt;=0,$AM77="Não"),AG77,AG77+INDEX($AO$6:$BR$176,ROW()-5,COLUMN()-40-$AI77)))*IF($B77="Operacional",IFERROR(VLOOKUP($C77,SN_UGC,28,0),0),1)</f>
        <v>0</v>
      </c>
      <c r="BS77" s="141">
        <f t="shared" ref="BS77:CV77" si="395">IF(ISBLANK($A77),0,$AH77*AO77)</f>
        <v>21042.483000000004</v>
      </c>
      <c r="BT77" s="141">
        <f t="shared" si="395"/>
        <v>0</v>
      </c>
      <c r="BU77" s="141">
        <f t="shared" si="395"/>
        <v>0</v>
      </c>
      <c r="BV77" s="141">
        <f t="shared" si="395"/>
        <v>0</v>
      </c>
      <c r="BW77" s="141">
        <f t="shared" si="395"/>
        <v>0</v>
      </c>
      <c r="BX77" s="141">
        <f t="shared" si="395"/>
        <v>0</v>
      </c>
      <c r="BY77" s="141">
        <f t="shared" si="395"/>
        <v>0</v>
      </c>
      <c r="BZ77" s="141">
        <f t="shared" si="395"/>
        <v>0</v>
      </c>
      <c r="CA77" s="141">
        <f t="shared" si="395"/>
        <v>0</v>
      </c>
      <c r="CB77" s="141">
        <f t="shared" si="395"/>
        <v>0</v>
      </c>
      <c r="CC77" s="141">
        <f t="shared" si="395"/>
        <v>21042.483000000004</v>
      </c>
      <c r="CD77" s="141">
        <f t="shared" si="395"/>
        <v>0</v>
      </c>
      <c r="CE77" s="141">
        <f t="shared" si="395"/>
        <v>0</v>
      </c>
      <c r="CF77" s="141">
        <f t="shared" si="395"/>
        <v>0</v>
      </c>
      <c r="CG77" s="141">
        <f t="shared" si="395"/>
        <v>0</v>
      </c>
      <c r="CH77" s="141">
        <f t="shared" si="395"/>
        <v>0</v>
      </c>
      <c r="CI77" s="141">
        <f t="shared" si="395"/>
        <v>0</v>
      </c>
      <c r="CJ77" s="141">
        <f t="shared" si="395"/>
        <v>0</v>
      </c>
      <c r="CK77" s="141">
        <f t="shared" si="395"/>
        <v>0</v>
      </c>
      <c r="CL77" s="141">
        <f t="shared" si="395"/>
        <v>0</v>
      </c>
      <c r="CM77" s="141">
        <f t="shared" si="395"/>
        <v>21042.483000000004</v>
      </c>
      <c r="CN77" s="141">
        <f t="shared" si="395"/>
        <v>0</v>
      </c>
      <c r="CO77" s="141">
        <f t="shared" si="395"/>
        <v>0</v>
      </c>
      <c r="CP77" s="141">
        <f t="shared" si="395"/>
        <v>0</v>
      </c>
      <c r="CQ77" s="141">
        <f t="shared" si="395"/>
        <v>0</v>
      </c>
      <c r="CR77" s="141">
        <f t="shared" si="395"/>
        <v>0</v>
      </c>
      <c r="CS77" s="141">
        <f t="shared" si="395"/>
        <v>0</v>
      </c>
      <c r="CT77" s="141">
        <f t="shared" si="395"/>
        <v>0</v>
      </c>
      <c r="CU77" s="141">
        <f t="shared" si="395"/>
        <v>0</v>
      </c>
      <c r="CV77" s="141">
        <f t="shared" si="395"/>
        <v>0</v>
      </c>
      <c r="CW77" s="142">
        <f t="shared" ref="CW77:DZ77" si="396">EA77*$AH77*$AJ77</f>
        <v>0</v>
      </c>
      <c r="CX77" s="142">
        <f t="shared" si="396"/>
        <v>0</v>
      </c>
      <c r="CY77" s="142">
        <f t="shared" si="396"/>
        <v>0</v>
      </c>
      <c r="CZ77" s="142">
        <f t="shared" si="396"/>
        <v>0</v>
      </c>
      <c r="DA77" s="142">
        <f t="shared" si="396"/>
        <v>0</v>
      </c>
      <c r="DB77" s="142">
        <f t="shared" si="396"/>
        <v>0</v>
      </c>
      <c r="DC77" s="142">
        <f t="shared" si="396"/>
        <v>0</v>
      </c>
      <c r="DD77" s="142">
        <f t="shared" si="396"/>
        <v>0</v>
      </c>
      <c r="DE77" s="142">
        <f t="shared" si="396"/>
        <v>0</v>
      </c>
      <c r="DF77" s="142">
        <f t="shared" si="396"/>
        <v>0</v>
      </c>
      <c r="DG77" s="142">
        <f t="shared" si="396"/>
        <v>8416.9932000000026</v>
      </c>
      <c r="DH77" s="142">
        <f t="shared" si="396"/>
        <v>0</v>
      </c>
      <c r="DI77" s="142">
        <f t="shared" si="396"/>
        <v>0</v>
      </c>
      <c r="DJ77" s="142">
        <f t="shared" si="396"/>
        <v>0</v>
      </c>
      <c r="DK77" s="142">
        <f t="shared" si="396"/>
        <v>0</v>
      </c>
      <c r="DL77" s="142">
        <f t="shared" si="396"/>
        <v>0</v>
      </c>
      <c r="DM77" s="142">
        <f t="shared" si="396"/>
        <v>0</v>
      </c>
      <c r="DN77" s="142">
        <f t="shared" si="396"/>
        <v>0</v>
      </c>
      <c r="DO77" s="142">
        <f t="shared" si="396"/>
        <v>0</v>
      </c>
      <c r="DP77" s="142">
        <f t="shared" si="396"/>
        <v>0</v>
      </c>
      <c r="DQ77" s="142">
        <f t="shared" si="396"/>
        <v>8416.9932000000026</v>
      </c>
      <c r="DR77" s="142">
        <f t="shared" si="396"/>
        <v>0</v>
      </c>
      <c r="DS77" s="142">
        <f t="shared" si="396"/>
        <v>0</v>
      </c>
      <c r="DT77" s="142">
        <f t="shared" si="396"/>
        <v>0</v>
      </c>
      <c r="DU77" s="142">
        <f t="shared" si="396"/>
        <v>0</v>
      </c>
      <c r="DV77" s="142">
        <f t="shared" si="396"/>
        <v>0</v>
      </c>
      <c r="DW77" s="142">
        <f t="shared" si="396"/>
        <v>0</v>
      </c>
      <c r="DX77" s="142">
        <f t="shared" si="396"/>
        <v>0</v>
      </c>
      <c r="DY77" s="142">
        <f t="shared" si="396"/>
        <v>0</v>
      </c>
      <c r="DZ77" s="142">
        <f t="shared" si="396"/>
        <v>0</v>
      </c>
      <c r="EA77" s="143">
        <f t="shared" si="339"/>
        <v>0</v>
      </c>
      <c r="EB77" s="143">
        <f t="shared" si="340"/>
        <v>0</v>
      </c>
      <c r="EC77" s="143">
        <f t="shared" si="341"/>
        <v>0</v>
      </c>
      <c r="ED77" s="143">
        <f t="shared" si="342"/>
        <v>0</v>
      </c>
      <c r="EE77" s="143">
        <f t="shared" si="343"/>
        <v>0</v>
      </c>
      <c r="EF77" s="143">
        <f t="shared" si="344"/>
        <v>0</v>
      </c>
      <c r="EG77" s="143">
        <f t="shared" si="345"/>
        <v>0</v>
      </c>
      <c r="EH77" s="143">
        <f t="shared" si="346"/>
        <v>0</v>
      </c>
      <c r="EI77" s="143">
        <f t="shared" si="347"/>
        <v>0</v>
      </c>
      <c r="EJ77" s="143">
        <f t="shared" si="348"/>
        <v>0</v>
      </c>
      <c r="EK77" s="143">
        <f t="shared" si="349"/>
        <v>3</v>
      </c>
      <c r="EL77" s="143">
        <f t="shared" si="350"/>
        <v>0</v>
      </c>
      <c r="EM77" s="143">
        <f t="shared" si="351"/>
        <v>0</v>
      </c>
      <c r="EN77" s="143">
        <f t="shared" si="352"/>
        <v>0</v>
      </c>
      <c r="EO77" s="143">
        <f t="shared" si="353"/>
        <v>0</v>
      </c>
      <c r="EP77" s="143">
        <f t="shared" si="354"/>
        <v>0</v>
      </c>
      <c r="EQ77" s="143">
        <f t="shared" si="355"/>
        <v>0</v>
      </c>
      <c r="ER77" s="143">
        <f t="shared" si="356"/>
        <v>0</v>
      </c>
      <c r="ES77" s="143">
        <f t="shared" si="357"/>
        <v>0</v>
      </c>
      <c r="ET77" s="143">
        <f t="shared" si="358"/>
        <v>0</v>
      </c>
      <c r="EU77" s="143">
        <f t="shared" si="359"/>
        <v>3</v>
      </c>
      <c r="EV77" s="143">
        <f t="shared" si="360"/>
        <v>0</v>
      </c>
      <c r="EW77" s="143">
        <f t="shared" si="361"/>
        <v>0</v>
      </c>
      <c r="EX77" s="143">
        <f t="shared" si="362"/>
        <v>0</v>
      </c>
      <c r="EY77" s="143">
        <f t="shared" si="363"/>
        <v>0</v>
      </c>
      <c r="EZ77" s="143">
        <f t="shared" si="364"/>
        <v>0</v>
      </c>
      <c r="FA77" s="143">
        <f t="shared" si="365"/>
        <v>0</v>
      </c>
      <c r="FB77" s="143">
        <f t="shared" si="366"/>
        <v>0</v>
      </c>
      <c r="FC77" s="143">
        <f t="shared" si="367"/>
        <v>0</v>
      </c>
      <c r="FD77" s="143">
        <f t="shared" si="368"/>
        <v>0</v>
      </c>
      <c r="FE77" s="140">
        <f>SUM($D77:D77)*IF($B77="Operacional",IFERROR(VLOOKUP($C77,SN_UGC,28,0),0),1)</f>
        <v>3</v>
      </c>
      <c r="FF77" s="140">
        <f>SUM($D77:E77)*IF($B77="Operacional",IFERROR(VLOOKUP($C77,SN_UGC,28,0),0),1)</f>
        <v>3</v>
      </c>
      <c r="FG77" s="140">
        <f>SUM($D77:F77)*IF($B77="Operacional",IFERROR(VLOOKUP($C77,SN_UGC,28,0),0),1)</f>
        <v>3</v>
      </c>
      <c r="FH77" s="140">
        <f>SUM($D77:G77)*IF($B77="Operacional",IFERROR(VLOOKUP($C77,SN_UGC,28,0),0),1)</f>
        <v>3</v>
      </c>
      <c r="FI77" s="140">
        <f>SUM($D77:H77)*IF($B77="Operacional",IFERROR(VLOOKUP($C77,SN_UGC,28,0),0),1)</f>
        <v>3</v>
      </c>
      <c r="FJ77" s="140">
        <f>SUM($D77:I77)*IF($B77="Operacional",IFERROR(VLOOKUP($C77,SN_UGC,28,0),0),1)</f>
        <v>3</v>
      </c>
      <c r="FK77" s="140">
        <f>SUM($D77:J77)*IF($B77="Operacional",IFERROR(VLOOKUP($C77,SN_UGC,28,0),0),1)</f>
        <v>3</v>
      </c>
      <c r="FL77" s="140">
        <f>SUM($D77:K77)*IF($B77="Operacional",IFERROR(VLOOKUP($C77,SN_UGC,28,0),0),1)</f>
        <v>3</v>
      </c>
      <c r="FM77" s="140">
        <f>SUM($D77:L77)*IF($B77="Operacional",IFERROR(VLOOKUP($C77,SN_UGC,28,0),0),1)</f>
        <v>3</v>
      </c>
      <c r="FN77" s="140">
        <f>SUM($D77:M77)*IF($B77="Operacional",IFERROR(VLOOKUP($C77,SN_UGC,28,0),0),1)</f>
        <v>3</v>
      </c>
      <c r="FO77" s="140">
        <f>SUM($D77:N77)*IF($B77="Operacional",IFERROR(VLOOKUP($C77,SN_UGC,28,0),0),1)</f>
        <v>3</v>
      </c>
      <c r="FP77" s="140">
        <f>SUM($D77:O77)*IF($B77="Operacional",IFERROR(VLOOKUP($C77,SN_UGC,28,0),0),1)</f>
        <v>3</v>
      </c>
      <c r="FQ77" s="140">
        <f>SUM($D77:P77)*IF($B77="Operacional",IFERROR(VLOOKUP($C77,SN_UGC,28,0),0),1)</f>
        <v>3</v>
      </c>
      <c r="FR77" s="140">
        <f>SUM($D77:Q77)*IF($B77="Operacional",IFERROR(VLOOKUP($C77,SN_UGC,28,0),0),1)</f>
        <v>3</v>
      </c>
      <c r="FS77" s="140">
        <f>SUM($D77:R77)*IF($B77="Operacional",IFERROR(VLOOKUP($C77,SN_UGC,28,0),0),1)</f>
        <v>3</v>
      </c>
      <c r="FT77" s="140">
        <f>SUM($D77:S77)*IF($B77="Operacional",IFERROR(VLOOKUP($C77,SN_UGC,28,0),0),1)</f>
        <v>3</v>
      </c>
      <c r="FU77" s="140">
        <f>SUM($D77:T77)*IF($B77="Operacional",IFERROR(VLOOKUP($C77,SN_UGC,28,0),0),1)</f>
        <v>3</v>
      </c>
      <c r="FV77" s="140">
        <f>SUM($D77:U77)*IF($B77="Operacional",IFERROR(VLOOKUP($C77,SN_UGC,28,0),0),1)</f>
        <v>3</v>
      </c>
      <c r="FW77" s="140">
        <f>SUM($D77:V77)*IF($B77="Operacional",IFERROR(VLOOKUP($C77,SN_UGC,28,0),0),1)</f>
        <v>3</v>
      </c>
      <c r="FX77" s="140">
        <f>SUM($D77:W77)*IF($B77="Operacional",IFERROR(VLOOKUP($C77,SN_UGC,28,0),0),1)</f>
        <v>3</v>
      </c>
      <c r="FY77" s="140">
        <f>SUM($D77:X77)*IF($B77="Operacional",IFERROR(VLOOKUP($C77,SN_UGC,28,0),0),1)</f>
        <v>3</v>
      </c>
      <c r="FZ77" s="140">
        <f>SUM($D77:Y77)*IF($B77="Operacional",IFERROR(VLOOKUP($C77,SN_UGC,28,0),0),1)</f>
        <v>3</v>
      </c>
      <c r="GA77" s="140">
        <f>SUM($D77:Z77)*IF($B77="Operacional",IFERROR(VLOOKUP($C77,SN_UGC,28,0),0),1)</f>
        <v>3</v>
      </c>
      <c r="GB77" s="140">
        <f>SUM($D77:AA77)*IF($B77="Operacional",IFERROR(VLOOKUP($C77,SN_UGC,28,0),0),1)</f>
        <v>3</v>
      </c>
      <c r="GC77" s="140">
        <f>SUM($D77:AB77)*IF($B77="Operacional",IFERROR(VLOOKUP($C77,SN_UGC,28,0),0),1)</f>
        <v>3</v>
      </c>
      <c r="GD77" s="140">
        <f>SUM($D77:AC77)*IF($B77="Operacional",IFERROR(VLOOKUP($C77,SN_UGC,28,0),0),1)</f>
        <v>3</v>
      </c>
      <c r="GE77" s="140">
        <f>SUM($D77:AD77)*IF($B77="Operacional",IFERROR(VLOOKUP($C77,SN_UGC,28,0),0),1)</f>
        <v>3</v>
      </c>
      <c r="GF77" s="140">
        <f>SUM($D77:AE77)*IF($B77="Operacional",IFERROR(VLOOKUP($C77,SN_UGC,28,0),0),1)</f>
        <v>3</v>
      </c>
      <c r="GG77" s="140">
        <f>SUM($D77:AF77)*IF($B77="Operacional",IFERROR(VLOOKUP($C77,SN_UGC,28,0),0),1)</f>
        <v>3</v>
      </c>
      <c r="GH77" s="140">
        <f>SUM($D77:AG77)*IF($B77="Operacional",IFERROR(VLOOKUP($C77,SN_UGC,28,0),0),1)</f>
        <v>3</v>
      </c>
      <c r="GI77" s="141">
        <f t="shared" ref="GI77:HL77" si="397">FE77*$AH77*$AL77</f>
        <v>1052.1241500000003</v>
      </c>
      <c r="GJ77" s="141">
        <f t="shared" si="397"/>
        <v>1052.1241500000003</v>
      </c>
      <c r="GK77" s="141">
        <f t="shared" si="397"/>
        <v>1052.1241500000003</v>
      </c>
      <c r="GL77" s="141">
        <f t="shared" si="397"/>
        <v>1052.1241500000003</v>
      </c>
      <c r="GM77" s="141">
        <f t="shared" si="397"/>
        <v>1052.1241500000003</v>
      </c>
      <c r="GN77" s="141">
        <f t="shared" si="397"/>
        <v>1052.1241500000003</v>
      </c>
      <c r="GO77" s="141">
        <f t="shared" si="397"/>
        <v>1052.1241500000003</v>
      </c>
      <c r="GP77" s="141">
        <f t="shared" si="397"/>
        <v>1052.1241500000003</v>
      </c>
      <c r="GQ77" s="141">
        <f t="shared" si="397"/>
        <v>1052.1241500000003</v>
      </c>
      <c r="GR77" s="141">
        <f t="shared" si="397"/>
        <v>1052.1241500000003</v>
      </c>
      <c r="GS77" s="141">
        <f t="shared" si="397"/>
        <v>1052.1241500000003</v>
      </c>
      <c r="GT77" s="141">
        <f t="shared" si="397"/>
        <v>1052.1241500000003</v>
      </c>
      <c r="GU77" s="141">
        <f t="shared" si="397"/>
        <v>1052.1241500000003</v>
      </c>
      <c r="GV77" s="141">
        <f t="shared" si="397"/>
        <v>1052.1241500000003</v>
      </c>
      <c r="GW77" s="141">
        <f t="shared" si="397"/>
        <v>1052.1241500000003</v>
      </c>
      <c r="GX77" s="141">
        <f t="shared" si="397"/>
        <v>1052.1241500000003</v>
      </c>
      <c r="GY77" s="141">
        <f t="shared" si="397"/>
        <v>1052.1241500000003</v>
      </c>
      <c r="GZ77" s="141">
        <f t="shared" si="397"/>
        <v>1052.1241500000003</v>
      </c>
      <c r="HA77" s="141">
        <f t="shared" si="397"/>
        <v>1052.1241500000003</v>
      </c>
      <c r="HB77" s="141">
        <f t="shared" si="397"/>
        <v>1052.1241500000003</v>
      </c>
      <c r="HC77" s="141">
        <f t="shared" si="397"/>
        <v>1052.1241500000003</v>
      </c>
      <c r="HD77" s="141">
        <f t="shared" si="397"/>
        <v>1052.1241500000003</v>
      </c>
      <c r="HE77" s="141">
        <f t="shared" si="397"/>
        <v>1052.1241500000003</v>
      </c>
      <c r="HF77" s="141">
        <f t="shared" si="397"/>
        <v>1052.1241500000003</v>
      </c>
      <c r="HG77" s="141">
        <f t="shared" si="397"/>
        <v>1052.1241500000003</v>
      </c>
      <c r="HH77" s="141">
        <f t="shared" si="397"/>
        <v>1052.1241500000003</v>
      </c>
      <c r="HI77" s="141">
        <f t="shared" si="397"/>
        <v>1052.1241500000003</v>
      </c>
      <c r="HJ77" s="141">
        <f t="shared" si="397"/>
        <v>1052.1241500000003</v>
      </c>
      <c r="HK77" s="141">
        <f t="shared" si="397"/>
        <v>1052.1241500000003</v>
      </c>
      <c r="HL77" s="141">
        <f t="shared" si="397"/>
        <v>1052.1241500000003</v>
      </c>
      <c r="HM77" s="142">
        <f t="shared" ref="HM77:IP77" si="398">IF(ISBLANK($A77),,FE77*($AH77-($AH77*$AJ77))/$AI77)</f>
        <v>1262.54898</v>
      </c>
      <c r="HN77" s="142">
        <f t="shared" si="398"/>
        <v>1262.54898</v>
      </c>
      <c r="HO77" s="142">
        <f t="shared" si="398"/>
        <v>1262.54898</v>
      </c>
      <c r="HP77" s="142">
        <f t="shared" si="398"/>
        <v>1262.54898</v>
      </c>
      <c r="HQ77" s="142">
        <f t="shared" si="398"/>
        <v>1262.54898</v>
      </c>
      <c r="HR77" s="142">
        <f t="shared" si="398"/>
        <v>1262.54898</v>
      </c>
      <c r="HS77" s="142">
        <f t="shared" si="398"/>
        <v>1262.54898</v>
      </c>
      <c r="HT77" s="142">
        <f t="shared" si="398"/>
        <v>1262.54898</v>
      </c>
      <c r="HU77" s="142">
        <f t="shared" si="398"/>
        <v>1262.54898</v>
      </c>
      <c r="HV77" s="142">
        <f t="shared" si="398"/>
        <v>1262.54898</v>
      </c>
      <c r="HW77" s="142">
        <f t="shared" si="398"/>
        <v>1262.54898</v>
      </c>
      <c r="HX77" s="142">
        <f t="shared" si="398"/>
        <v>1262.54898</v>
      </c>
      <c r="HY77" s="142">
        <f t="shared" si="398"/>
        <v>1262.54898</v>
      </c>
      <c r="HZ77" s="142">
        <f t="shared" si="398"/>
        <v>1262.54898</v>
      </c>
      <c r="IA77" s="142">
        <f t="shared" si="398"/>
        <v>1262.54898</v>
      </c>
      <c r="IB77" s="142">
        <f t="shared" si="398"/>
        <v>1262.54898</v>
      </c>
      <c r="IC77" s="142">
        <f t="shared" si="398"/>
        <v>1262.54898</v>
      </c>
      <c r="ID77" s="142">
        <f t="shared" si="398"/>
        <v>1262.54898</v>
      </c>
      <c r="IE77" s="142">
        <f t="shared" si="398"/>
        <v>1262.54898</v>
      </c>
      <c r="IF77" s="142">
        <f t="shared" si="398"/>
        <v>1262.54898</v>
      </c>
      <c r="IG77" s="142">
        <f t="shared" si="398"/>
        <v>1262.54898</v>
      </c>
      <c r="IH77" s="142">
        <f t="shared" si="398"/>
        <v>1262.54898</v>
      </c>
      <c r="II77" s="142">
        <f t="shared" si="398"/>
        <v>1262.54898</v>
      </c>
      <c r="IJ77" s="142">
        <f t="shared" si="398"/>
        <v>1262.54898</v>
      </c>
      <c r="IK77" s="142">
        <f t="shared" si="398"/>
        <v>1262.54898</v>
      </c>
      <c r="IL77" s="142">
        <f t="shared" si="398"/>
        <v>1262.54898</v>
      </c>
      <c r="IM77" s="142">
        <f t="shared" si="398"/>
        <v>1262.54898</v>
      </c>
      <c r="IN77" s="142">
        <f t="shared" si="398"/>
        <v>1262.54898</v>
      </c>
      <c r="IO77" s="142">
        <f t="shared" si="398"/>
        <v>1262.54898</v>
      </c>
      <c r="IP77" s="142">
        <f t="shared" si="398"/>
        <v>1262.54898</v>
      </c>
      <c r="IQ77" s="141">
        <f>IF(ISBLANK($A77),,IF($AN77="Não",0,(SUM($AO77:AO77)*$AH77)-SUM($HM77:HM77)-SUM($CW77:CW77)))</f>
        <v>19779.934020000004</v>
      </c>
      <c r="IR77" s="141">
        <f>IF(ISBLANK($A77),,IF($AN77="Não",0,(SUM($AO77:AP77)*$AH77)-SUM($HM77:HN77)-SUM($CW77:CX77)))</f>
        <v>18517.385040000005</v>
      </c>
      <c r="IS77" s="141">
        <f>IF(ISBLANK($A77),,IF($AN77="Não",0,(SUM($AO77:AQ77)*$AH77)-SUM($HM77:HO77)-SUM($CW77:CY77)))</f>
        <v>17254.836060000005</v>
      </c>
      <c r="IT77" s="141">
        <f>IF(ISBLANK($A77),,IF($AN77="Não",0,(SUM($AO77:AR77)*$AH77)-SUM($HM77:HP77)-SUM($CW77:CZ77)))</f>
        <v>15992.287080000004</v>
      </c>
      <c r="IU77" s="141">
        <f>IF(ISBLANK($A77),,IF($AN77="Não",0,(SUM($AO77:AS77)*$AH77)-SUM($HM77:HQ77)-SUM($CW77:DA77)))</f>
        <v>14729.738100000004</v>
      </c>
      <c r="IV77" s="141">
        <f>IF(ISBLANK($A77),,IF($AN77="Não",0,(SUM($AO77:AT77)*$AH77)-SUM($HM77:HR77)-SUM($CW77:DB77)))</f>
        <v>13467.189120000005</v>
      </c>
      <c r="IW77" s="141">
        <f>IF(ISBLANK($A77),,IF($AN77="Não",0,(SUM($AO77:AU77)*$AH77)-SUM($HM77:HS77)-SUM($CW77:DC77)))</f>
        <v>12204.640140000005</v>
      </c>
      <c r="IX77" s="141">
        <f>IF(ISBLANK($A77),,IF($AN77="Não",0,(SUM($AO77:AV77)*$AH77)-SUM($HM77:HT77)-SUM($CW77:DD77)))</f>
        <v>10942.091160000005</v>
      </c>
      <c r="IY77" s="141">
        <f>IF(ISBLANK($A77),,IF($AN77="Não",0,(SUM($AO77:AW77)*$AH77)-SUM($HM77:HU77)-SUM($CW77:DE77)))</f>
        <v>9679.5421800000058</v>
      </c>
      <c r="IZ77" s="141">
        <f>IF(ISBLANK($A77),,IF($AN77="Não",0,(SUM($AO77:AX77)*$AH77)-SUM($HM77:HV77)-SUM($CW77:DF77)))</f>
        <v>8416.9932000000063</v>
      </c>
      <c r="JA77" s="141">
        <f>IF(ISBLANK($A77),,IF($AN77="Não",0,(SUM($AO77:AY77)*$AH77)-SUM($HM77:HW77)-SUM($CW77:DG77)))</f>
        <v>19779.934020000008</v>
      </c>
      <c r="JB77" s="141">
        <f>IF(ISBLANK($A77),,IF($AN77="Não",0,(SUM($AO77:AZ77)*$AH77)-SUM($HM77:HX77)-SUM($CW77:DH77)))</f>
        <v>18517.385040000008</v>
      </c>
      <c r="JC77" s="141">
        <f>IF(ISBLANK($A77),,IF($AN77="Não",0,(SUM($AO77:BA77)*$AH77)-SUM($HM77:HY77)-SUM($CW77:DI77)))</f>
        <v>17254.836060000009</v>
      </c>
      <c r="JD77" s="141">
        <f>IF(ISBLANK($A77),,IF($AN77="Não",0,(SUM($AO77:BB77)*$AH77)-SUM($HM77:HZ77)-SUM($CW77:DJ77)))</f>
        <v>15992.287080000007</v>
      </c>
      <c r="JE77" s="141">
        <f>IF(ISBLANK($A77),,IF($AN77="Não",0,(SUM($AO77:BC77)*$AH77)-SUM($HM77:IA77)-SUM($CW77:DK77)))</f>
        <v>14729.738100000008</v>
      </c>
      <c r="JF77" s="141">
        <f>IF(ISBLANK($A77),,IF($AN77="Não",0,(SUM($AO77:BD77)*$AH77)-SUM($HM77:IB77)-SUM($CW77:DL77)))</f>
        <v>13467.189120000008</v>
      </c>
      <c r="JG77" s="141">
        <f>IF(ISBLANK($A77),,IF($AN77="Não",0,(SUM($AO77:BE77)*$AH77)-SUM($HM77:IC77)-SUM($CW77:DM77)))</f>
        <v>12204.640140000009</v>
      </c>
      <c r="JH77" s="141">
        <f>IF(ISBLANK($A77),,IF($AN77="Não",0,(SUM($AO77:BF77)*$AH77)-SUM($HM77:ID77)-SUM($CW77:DN77)))</f>
        <v>10942.091160000009</v>
      </c>
      <c r="JI77" s="141">
        <f>IF(ISBLANK($A77),,IF($AN77="Não",0,(SUM($AO77:BG77)*$AH77)-SUM($HM77:IE77)-SUM($CW77:DO77)))</f>
        <v>9679.5421800000095</v>
      </c>
      <c r="JJ77" s="141">
        <f>IF(ISBLANK($A77),,IF($AN77="Não",0,(SUM($AO77:BH77)*$AH77)-SUM($HM77:IF77)-SUM($CW77:DP77)))</f>
        <v>8416.9932000000099</v>
      </c>
      <c r="JK77" s="141">
        <f>IF(ISBLANK($A77),,IF($AN77="Não",0,(SUM($AO77:BI77)*$AH77)-SUM($HM77:IG77)-SUM($CW77:DQ77)))</f>
        <v>19779.934020000004</v>
      </c>
      <c r="JL77" s="141">
        <f>IF(ISBLANK($A77),,IF($AN77="Não",0,(SUM($AO77:BJ77)*$AH77)-SUM($HM77:IH77)-SUM($CW77:DR77)))</f>
        <v>18517.385040000012</v>
      </c>
      <c r="JM77" s="141">
        <f>IF(ISBLANK($A77),,IF($AN77="Não",0,(SUM($AO77:BK77)*$AH77)-SUM($HM77:II77)-SUM($CW77:DS77)))</f>
        <v>17254.836060000005</v>
      </c>
      <c r="JN77" s="141">
        <f>IF(ISBLANK($A77),,IF($AN77="Não",0,(SUM($AO77:BL77)*$AH77)-SUM($HM77:IJ77)-SUM($CW77:DT77)))</f>
        <v>15992.287080000013</v>
      </c>
      <c r="JO77" s="141">
        <f>IF(ISBLANK($A77),,IF($AN77="Não",0,(SUM($AO77:BM77)*$AH77)-SUM($HM77:IK77)-SUM($CW77:DU77)))</f>
        <v>14729.73810000001</v>
      </c>
      <c r="JP77" s="141">
        <f>IF(ISBLANK($A77),,IF($AN77="Não",0,(SUM($AO77:BN77)*$AH77)-SUM($HM77:IL77)-SUM($CW77:DV77)))</f>
        <v>13467.189120000006</v>
      </c>
      <c r="JQ77" s="141">
        <f>IF(ISBLANK($A77),,IF($AN77="Não",0,(SUM($AO77:BO77)*$AH77)-SUM($HM77:IM77)-SUM($CW77:DW77)))</f>
        <v>12204.640140000007</v>
      </c>
      <c r="JR77" s="141">
        <f>IF(ISBLANK($A77),,IF($AN77="Não",0,(SUM($AO77:BP77)*$AH77)-SUM($HM77:IN77)-SUM($CW77:DX77)))</f>
        <v>10942.091160000007</v>
      </c>
      <c r="JS77" s="141">
        <f>IF(ISBLANK($A77),,IF($AN77="Não",0,(SUM($AO77:BQ77)*$AH77)-SUM($HM77:IO77)-SUM($CW77:DY77)))</f>
        <v>9679.5421800000076</v>
      </c>
      <c r="JT77" s="141">
        <f>IF(ISBLANK($A77),,IF($AN77="Não",0,(SUM($AO77:BR77)*$AH77)-SUM($HM77:IP77)-SUM($CW77:DZ77)))</f>
        <v>8416.9932000000081</v>
      </c>
    </row>
    <row r="78" spans="1:280" ht="15.75" customHeight="1">
      <c r="A78" s="129" t="s">
        <v>400</v>
      </c>
      <c r="B78" s="129" t="s">
        <v>191</v>
      </c>
      <c r="C78" s="138" t="s">
        <v>196</v>
      </c>
      <c r="D78" s="139">
        <v>2</v>
      </c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607">
        <f t="shared" ref="AH78:AH104" si="399">IF(ISBLANK(A78),,VLOOKUP(A78,ListaInvestimentos,3,0)*(1+CorrInvest))</f>
        <v>412205.2</v>
      </c>
      <c r="AI78" s="608">
        <f t="shared" ref="AI78:AI104" si="400">IF(ISBLANK(A78),,VLOOKUP(A78,ListaInvestimentos,4,0))</f>
        <v>5</v>
      </c>
      <c r="AJ78" s="609">
        <f t="shared" ref="AJ78:AJ104" si="401">IF(ISBLANK(A78),,VLOOKUP(A78,ListaInvestimentos,5,0))</f>
        <v>0.4</v>
      </c>
      <c r="AK78" s="610" t="str">
        <f t="shared" ref="AK78:AK104" si="402">IF(ISBLANK(A78),"",VLOOKUP(A78,ListaInvestimentos,6,0))</f>
        <v>Veículos e embarcações</v>
      </c>
      <c r="AL78" s="609">
        <f t="shared" ref="AL78:AL104" si="403">IF(ISBLANK(A78),,VLOOKUP(A78,ListaInvestimentos,7,0))</f>
        <v>0.05</v>
      </c>
      <c r="AM78" s="611" t="str">
        <f t="shared" ref="AM78:AM104" si="404">IF(ISBLANK(A78),"",VLOOKUP(A78,ListaInvestimentos,8,0))</f>
        <v>Sim</v>
      </c>
      <c r="AN78" s="611" t="str">
        <f t="shared" ref="AN78:AN104" si="405">IF(ISBLANK(A78),"",VLOOKUP(A78,ListaInvestimentos,9,0))</f>
        <v>Sim</v>
      </c>
      <c r="AO78" s="140">
        <f t="array" ref="AO78">IF(ISBLANK($A78),0,IF(OR(AO$5-$AI78&lt;=0,$AM78="Não"),D78,D78+INDEX($AO$6:$BR$176,ROW()-5,COLUMN()-40-$AI78)))*IF($B78="Operacional",IFERROR(VLOOKUP($C78,SN_UGC,28,0),0),1)</f>
        <v>2</v>
      </c>
      <c r="AP78" s="140">
        <f t="array" ref="AP78">IF(ISBLANK($A78),0,IF(OR(AP$5-$AI78&lt;=0,$AM78="Não"),E78,E78+INDEX($AO$6:$BR$176,ROW()-5,COLUMN()-40-$AI78)))*IF($B78="Operacional",IFERROR(VLOOKUP($C78,SN_UGC,28,0),0),1)</f>
        <v>0</v>
      </c>
      <c r="AQ78" s="140">
        <f t="array" ref="AQ78">IF(ISBLANK($A78),0,IF(OR(AQ$5-$AI78&lt;=0,$AM78="Não"),F78,F78+INDEX($AO$6:$BR$176,ROW()-5,COLUMN()-40-$AI78)))*IF($B78="Operacional",IFERROR(VLOOKUP($C78,SN_UGC,28,0),0),1)</f>
        <v>0</v>
      </c>
      <c r="AR78" s="140">
        <f t="array" ref="AR78">IF(ISBLANK($A78),0,IF(OR(AR$5-$AI78&lt;=0,$AM78="Não"),G78,G78+INDEX($AO$6:$BR$176,ROW()-5,COLUMN()-40-$AI78)))*IF($B78="Operacional",IFERROR(VLOOKUP($C78,SN_UGC,28,0),0),1)</f>
        <v>0</v>
      </c>
      <c r="AS78" s="140">
        <f t="array" ref="AS78">IF(ISBLANK($A78),0,IF(OR(AS$5-$AI78&lt;=0,$AM78="Não"),H78,H78+INDEX($AO$6:$BR$176,ROW()-5,COLUMN()-40-$AI78)))*IF($B78="Operacional",IFERROR(VLOOKUP($C78,SN_UGC,28,0),0),1)</f>
        <v>0</v>
      </c>
      <c r="AT78" s="140">
        <f t="array" ref="AT78">IF(ISBLANK($A78),0,IF(OR(AT$5-$AI78&lt;=0,$AM78="Não"),I78,I78+INDEX($AO$6:$BR$176,ROW()-5,COLUMN()-40-$AI78)))*IF($B78="Operacional",IFERROR(VLOOKUP($C78,SN_UGC,28,0),0),1)</f>
        <v>2</v>
      </c>
      <c r="AU78" s="140">
        <f t="array" ref="AU78">IF(ISBLANK($A78),0,IF(OR(AU$5-$AI78&lt;=0,$AM78="Não"),J78,J78+INDEX($AO$6:$BR$176,ROW()-5,COLUMN()-40-$AI78)))*IF($B78="Operacional",IFERROR(VLOOKUP($C78,SN_UGC,28,0),0),1)</f>
        <v>0</v>
      </c>
      <c r="AV78" s="140">
        <f t="array" ref="AV78">IF(ISBLANK($A78),0,IF(OR(AV$5-$AI78&lt;=0,$AM78="Não"),K78,K78+INDEX($AO$6:$BR$176,ROW()-5,COLUMN()-40-$AI78)))*IF($B78="Operacional",IFERROR(VLOOKUP($C78,SN_UGC,28,0),0),1)</f>
        <v>0</v>
      </c>
      <c r="AW78" s="140">
        <f t="array" ref="AW78">IF(ISBLANK($A78),0,IF(OR(AW$5-$AI78&lt;=0,$AM78="Não"),L78,L78+INDEX($AO$6:$BR$176,ROW()-5,COLUMN()-40-$AI78)))*IF($B78="Operacional",IFERROR(VLOOKUP($C78,SN_UGC,28,0),0),1)</f>
        <v>0</v>
      </c>
      <c r="AX78" s="140">
        <f t="array" ref="AX78">IF(ISBLANK($A78),0,IF(OR(AX$5-$AI78&lt;=0,$AM78="Não"),M78,M78+INDEX($AO$6:$BR$176,ROW()-5,COLUMN()-40-$AI78)))*IF($B78="Operacional",IFERROR(VLOOKUP($C78,SN_UGC,28,0),0),1)</f>
        <v>0</v>
      </c>
      <c r="AY78" s="140">
        <f t="array" ref="AY78">IF(ISBLANK($A78),0,IF(OR(AY$5-$AI78&lt;=0,$AM78="Não"),N78,N78+INDEX($AO$6:$BR$176,ROW()-5,COLUMN()-40-$AI78)))*IF($B78="Operacional",IFERROR(VLOOKUP($C78,SN_UGC,28,0),0),1)</f>
        <v>2</v>
      </c>
      <c r="AZ78" s="140">
        <f t="array" ref="AZ78">IF(ISBLANK($A78),0,IF(OR(AZ$5-$AI78&lt;=0,$AM78="Não"),O78,O78+INDEX($AO$6:$BR$176,ROW()-5,COLUMN()-40-$AI78)))*IF($B78="Operacional",IFERROR(VLOOKUP($C78,SN_UGC,28,0),0),1)</f>
        <v>0</v>
      </c>
      <c r="BA78" s="140">
        <f t="array" ref="BA78">IF(ISBLANK($A78),0,IF(OR(BA$5-$AI78&lt;=0,$AM78="Não"),P78,P78+INDEX($AO$6:$BR$176,ROW()-5,COLUMN()-40-$AI78)))*IF($B78="Operacional",IFERROR(VLOOKUP($C78,SN_UGC,28,0),0),1)</f>
        <v>0</v>
      </c>
      <c r="BB78" s="140">
        <f t="array" ref="BB78">IF(ISBLANK($A78),0,IF(OR(BB$5-$AI78&lt;=0,$AM78="Não"),Q78,Q78+INDEX($AO$6:$BR$176,ROW()-5,COLUMN()-40-$AI78)))*IF($B78="Operacional",IFERROR(VLOOKUP($C78,SN_UGC,28,0),0),1)</f>
        <v>0</v>
      </c>
      <c r="BC78" s="140">
        <f t="array" ref="BC78">IF(ISBLANK($A78),0,IF(OR(BC$5-$AI78&lt;=0,$AM78="Não"),R78,R78+INDEX($AO$6:$BR$176,ROW()-5,COLUMN()-40-$AI78)))*IF($B78="Operacional",IFERROR(VLOOKUP($C78,SN_UGC,28,0),0),1)</f>
        <v>0</v>
      </c>
      <c r="BD78" s="140">
        <f t="array" ref="BD78">IF(ISBLANK($A78),0,IF(OR(BD$5-$AI78&lt;=0,$AM78="Não"),S78,S78+INDEX($AO$6:$BR$176,ROW()-5,COLUMN()-40-$AI78)))*IF($B78="Operacional",IFERROR(VLOOKUP($C78,SN_UGC,28,0),0),1)</f>
        <v>2</v>
      </c>
      <c r="BE78" s="140">
        <f t="array" ref="BE78">IF(ISBLANK($A78),0,IF(OR(BE$5-$AI78&lt;=0,$AM78="Não"),T78,T78+INDEX($AO$6:$BR$176,ROW()-5,COLUMN()-40-$AI78)))*IF($B78="Operacional",IFERROR(VLOOKUP($C78,SN_UGC,28,0),0),1)</f>
        <v>0</v>
      </c>
      <c r="BF78" s="140">
        <f t="array" ref="BF78">IF(ISBLANK($A78),0,IF(OR(BF$5-$AI78&lt;=0,$AM78="Não"),U78,U78+INDEX($AO$6:$BR$176,ROW()-5,COLUMN()-40-$AI78)))*IF($B78="Operacional",IFERROR(VLOOKUP($C78,SN_UGC,28,0),0),1)</f>
        <v>0</v>
      </c>
      <c r="BG78" s="140">
        <f t="array" ref="BG78">IF(ISBLANK($A78),0,IF(OR(BG$5-$AI78&lt;=0,$AM78="Não"),V78,V78+INDEX($AO$6:$BR$176,ROW()-5,COLUMN()-40-$AI78)))*IF($B78="Operacional",IFERROR(VLOOKUP($C78,SN_UGC,28,0),0),1)</f>
        <v>0</v>
      </c>
      <c r="BH78" s="140">
        <f t="array" ref="BH78">IF(ISBLANK($A78),0,IF(OR(BH$5-$AI78&lt;=0,$AM78="Não"),W78,W78+INDEX($AO$6:$BR$176,ROW()-5,COLUMN()-40-$AI78)))*IF($B78="Operacional",IFERROR(VLOOKUP($C78,SN_UGC,28,0),0),1)</f>
        <v>0</v>
      </c>
      <c r="BI78" s="140">
        <f t="array" ref="BI78">IF(ISBLANK($A78),0,IF(OR(BI$5-$AI78&lt;=0,$AM78="Não"),X78,X78+INDEX($AO$6:$BR$176,ROW()-5,COLUMN()-40-$AI78)))*IF($B78="Operacional",IFERROR(VLOOKUP($C78,SN_UGC,28,0),0),1)</f>
        <v>2</v>
      </c>
      <c r="BJ78" s="140">
        <f t="array" ref="BJ78">IF(ISBLANK($A78),0,IF(OR(BJ$5-$AI78&lt;=0,$AM78="Não"),Y78,Y78+INDEX($AO$6:$BR$176,ROW()-5,COLUMN()-40-$AI78)))*IF($B78="Operacional",IFERROR(VLOOKUP($C78,SN_UGC,28,0),0),1)</f>
        <v>0</v>
      </c>
      <c r="BK78" s="140">
        <f t="array" ref="BK78">IF(ISBLANK($A78),0,IF(OR(BK$5-$AI78&lt;=0,$AM78="Não"),Z78,Z78+INDEX($AO$6:$BR$176,ROW()-5,COLUMN()-40-$AI78)))*IF($B78="Operacional",IFERROR(VLOOKUP($C78,SN_UGC,28,0),0),1)</f>
        <v>0</v>
      </c>
      <c r="BL78" s="140">
        <f t="array" ref="BL78">IF(ISBLANK($A78),0,IF(OR(BL$5-$AI78&lt;=0,$AM78="Não"),AA78,AA78+INDEX($AO$6:$BR$176,ROW()-5,COLUMN()-40-$AI78)))*IF($B78="Operacional",IFERROR(VLOOKUP($C78,SN_UGC,28,0),0),1)</f>
        <v>0</v>
      </c>
      <c r="BM78" s="140">
        <f t="array" ref="BM78">IF(ISBLANK($A78),0,IF(OR(BM$5-$AI78&lt;=0,$AM78="Não"),AB78,AB78+INDEX($AO$6:$BR$176,ROW()-5,COLUMN()-40-$AI78)))*IF($B78="Operacional",IFERROR(VLOOKUP($C78,SN_UGC,28,0),0),1)</f>
        <v>0</v>
      </c>
      <c r="BN78" s="140">
        <f t="array" ref="BN78">IF(ISBLANK($A78),0,IF(OR(BN$5-$AI78&lt;=0,$AM78="Não"),AC78,AC78+INDEX($AO$6:$BR$176,ROW()-5,COLUMN()-40-$AI78)))*IF($B78="Operacional",IFERROR(VLOOKUP($C78,SN_UGC,28,0),0),1)</f>
        <v>2</v>
      </c>
      <c r="BO78" s="140">
        <f t="array" ref="BO78">IF(ISBLANK($A78),0,IF(OR(BO$5-$AI78&lt;=0,$AM78="Não"),AD78,AD78+INDEX($AO$6:$BR$176,ROW()-5,COLUMN()-40-$AI78)))*IF($B78="Operacional",IFERROR(VLOOKUP($C78,SN_UGC,28,0),0),1)</f>
        <v>0</v>
      </c>
      <c r="BP78" s="140">
        <f t="array" ref="BP78">IF(ISBLANK($A78),0,IF(OR(BP$5-$AI78&lt;=0,$AM78="Não"),AE78,AE78+INDEX($AO$6:$BR$176,ROW()-5,COLUMN()-40-$AI78)))*IF($B78="Operacional",IFERROR(VLOOKUP($C78,SN_UGC,28,0),0),1)</f>
        <v>0</v>
      </c>
      <c r="BQ78" s="140">
        <f t="array" ref="BQ78">IF(ISBLANK($A78),0,IF(OR(BQ$5-$AI78&lt;=0,$AM78="Não"),AF78,AF78+INDEX($AO$6:$BR$176,ROW()-5,COLUMN()-40-$AI78)))*IF($B78="Operacional",IFERROR(VLOOKUP($C78,SN_UGC,28,0),0),1)</f>
        <v>0</v>
      </c>
      <c r="BR78" s="140">
        <f t="array" ref="BR78">IF(ISBLANK($A78),0,IF(OR(BR$5-$AI78&lt;=0,$AM78="Não"),AG78,AG78+INDEX($AO$6:$BR$176,ROW()-5,COLUMN()-40-$AI78)))*IF($B78="Operacional",IFERROR(VLOOKUP($C78,SN_UGC,28,0),0),1)</f>
        <v>0</v>
      </c>
      <c r="BS78" s="141">
        <f t="shared" ref="BS78:CV78" si="406">IF(ISBLANK($A78),0,$AH78*AO78)</f>
        <v>824410.4</v>
      </c>
      <c r="BT78" s="141">
        <f t="shared" si="406"/>
        <v>0</v>
      </c>
      <c r="BU78" s="141">
        <f t="shared" si="406"/>
        <v>0</v>
      </c>
      <c r="BV78" s="141">
        <f t="shared" si="406"/>
        <v>0</v>
      </c>
      <c r="BW78" s="141">
        <f t="shared" si="406"/>
        <v>0</v>
      </c>
      <c r="BX78" s="141">
        <f t="shared" si="406"/>
        <v>824410.4</v>
      </c>
      <c r="BY78" s="141">
        <f t="shared" si="406"/>
        <v>0</v>
      </c>
      <c r="BZ78" s="141">
        <f t="shared" si="406"/>
        <v>0</v>
      </c>
      <c r="CA78" s="141">
        <f t="shared" si="406"/>
        <v>0</v>
      </c>
      <c r="CB78" s="141">
        <f t="shared" si="406"/>
        <v>0</v>
      </c>
      <c r="CC78" s="141">
        <f t="shared" si="406"/>
        <v>824410.4</v>
      </c>
      <c r="CD78" s="141">
        <f t="shared" si="406"/>
        <v>0</v>
      </c>
      <c r="CE78" s="141">
        <f t="shared" si="406"/>
        <v>0</v>
      </c>
      <c r="CF78" s="141">
        <f t="shared" si="406"/>
        <v>0</v>
      </c>
      <c r="CG78" s="141">
        <f t="shared" si="406"/>
        <v>0</v>
      </c>
      <c r="CH78" s="141">
        <f t="shared" si="406"/>
        <v>824410.4</v>
      </c>
      <c r="CI78" s="141">
        <f t="shared" si="406"/>
        <v>0</v>
      </c>
      <c r="CJ78" s="141">
        <f t="shared" si="406"/>
        <v>0</v>
      </c>
      <c r="CK78" s="141">
        <f t="shared" si="406"/>
        <v>0</v>
      </c>
      <c r="CL78" s="141">
        <f t="shared" si="406"/>
        <v>0</v>
      </c>
      <c r="CM78" s="141">
        <f t="shared" si="406"/>
        <v>824410.4</v>
      </c>
      <c r="CN78" s="141">
        <f t="shared" si="406"/>
        <v>0</v>
      </c>
      <c r="CO78" s="141">
        <f t="shared" si="406"/>
        <v>0</v>
      </c>
      <c r="CP78" s="141">
        <f t="shared" si="406"/>
        <v>0</v>
      </c>
      <c r="CQ78" s="141">
        <f t="shared" si="406"/>
        <v>0</v>
      </c>
      <c r="CR78" s="141">
        <f t="shared" si="406"/>
        <v>824410.4</v>
      </c>
      <c r="CS78" s="141">
        <f t="shared" si="406"/>
        <v>0</v>
      </c>
      <c r="CT78" s="141">
        <f t="shared" si="406"/>
        <v>0</v>
      </c>
      <c r="CU78" s="141">
        <f t="shared" si="406"/>
        <v>0</v>
      </c>
      <c r="CV78" s="141">
        <f t="shared" si="406"/>
        <v>0</v>
      </c>
      <c r="CW78" s="142">
        <f t="shared" ref="CW78:DZ78" si="407">EA78*$AH78*$AJ78</f>
        <v>0</v>
      </c>
      <c r="CX78" s="142">
        <f t="shared" si="407"/>
        <v>0</v>
      </c>
      <c r="CY78" s="142">
        <f t="shared" si="407"/>
        <v>0</v>
      </c>
      <c r="CZ78" s="142">
        <f t="shared" si="407"/>
        <v>0</v>
      </c>
      <c r="DA78" s="142">
        <f t="shared" si="407"/>
        <v>0</v>
      </c>
      <c r="DB78" s="142">
        <f t="shared" si="407"/>
        <v>329764.16000000003</v>
      </c>
      <c r="DC78" s="142">
        <f t="shared" si="407"/>
        <v>0</v>
      </c>
      <c r="DD78" s="142">
        <f t="shared" si="407"/>
        <v>0</v>
      </c>
      <c r="DE78" s="142">
        <f t="shared" si="407"/>
        <v>0</v>
      </c>
      <c r="DF78" s="142">
        <f t="shared" si="407"/>
        <v>0</v>
      </c>
      <c r="DG78" s="142">
        <f t="shared" si="407"/>
        <v>329764.16000000003</v>
      </c>
      <c r="DH78" s="142">
        <f t="shared" si="407"/>
        <v>0</v>
      </c>
      <c r="DI78" s="142">
        <f t="shared" si="407"/>
        <v>0</v>
      </c>
      <c r="DJ78" s="142">
        <f t="shared" si="407"/>
        <v>0</v>
      </c>
      <c r="DK78" s="142">
        <f t="shared" si="407"/>
        <v>0</v>
      </c>
      <c r="DL78" s="142">
        <f t="shared" si="407"/>
        <v>329764.16000000003</v>
      </c>
      <c r="DM78" s="142">
        <f t="shared" si="407"/>
        <v>0</v>
      </c>
      <c r="DN78" s="142">
        <f t="shared" si="407"/>
        <v>0</v>
      </c>
      <c r="DO78" s="142">
        <f t="shared" si="407"/>
        <v>0</v>
      </c>
      <c r="DP78" s="142">
        <f t="shared" si="407"/>
        <v>0</v>
      </c>
      <c r="DQ78" s="142">
        <f t="shared" si="407"/>
        <v>329764.16000000003</v>
      </c>
      <c r="DR78" s="142">
        <f t="shared" si="407"/>
        <v>0</v>
      </c>
      <c r="DS78" s="142">
        <f t="shared" si="407"/>
        <v>0</v>
      </c>
      <c r="DT78" s="142">
        <f t="shared" si="407"/>
        <v>0</v>
      </c>
      <c r="DU78" s="142">
        <f t="shared" si="407"/>
        <v>0</v>
      </c>
      <c r="DV78" s="142">
        <f t="shared" si="407"/>
        <v>329764.16000000003</v>
      </c>
      <c r="DW78" s="142">
        <f t="shared" si="407"/>
        <v>0</v>
      </c>
      <c r="DX78" s="142">
        <f t="shared" si="407"/>
        <v>0</v>
      </c>
      <c r="DY78" s="142">
        <f t="shared" si="407"/>
        <v>0</v>
      </c>
      <c r="DZ78" s="142">
        <f t="shared" si="407"/>
        <v>0</v>
      </c>
      <c r="EA78" s="143">
        <f t="shared" si="339"/>
        <v>0</v>
      </c>
      <c r="EB78" s="143">
        <f t="shared" si="340"/>
        <v>0</v>
      </c>
      <c r="EC78" s="143">
        <f t="shared" si="341"/>
        <v>0</v>
      </c>
      <c r="ED78" s="143">
        <f t="shared" si="342"/>
        <v>0</v>
      </c>
      <c r="EE78" s="143">
        <f t="shared" si="343"/>
        <v>0</v>
      </c>
      <c r="EF78" s="143">
        <f t="shared" si="344"/>
        <v>2</v>
      </c>
      <c r="EG78" s="143">
        <f t="shared" si="345"/>
        <v>0</v>
      </c>
      <c r="EH78" s="143">
        <f t="shared" si="346"/>
        <v>0</v>
      </c>
      <c r="EI78" s="143">
        <f t="shared" si="347"/>
        <v>0</v>
      </c>
      <c r="EJ78" s="143">
        <f t="shared" si="348"/>
        <v>0</v>
      </c>
      <c r="EK78" s="143">
        <f t="shared" si="349"/>
        <v>2</v>
      </c>
      <c r="EL78" s="143">
        <f t="shared" si="350"/>
        <v>0</v>
      </c>
      <c r="EM78" s="143">
        <f t="shared" si="351"/>
        <v>0</v>
      </c>
      <c r="EN78" s="143">
        <f t="shared" si="352"/>
        <v>0</v>
      </c>
      <c r="EO78" s="143">
        <f t="shared" si="353"/>
        <v>0</v>
      </c>
      <c r="EP78" s="143">
        <f t="shared" si="354"/>
        <v>2</v>
      </c>
      <c r="EQ78" s="143">
        <f t="shared" si="355"/>
        <v>0</v>
      </c>
      <c r="ER78" s="143">
        <f t="shared" si="356"/>
        <v>0</v>
      </c>
      <c r="ES78" s="143">
        <f t="shared" si="357"/>
        <v>0</v>
      </c>
      <c r="ET78" s="143">
        <f t="shared" si="358"/>
        <v>0</v>
      </c>
      <c r="EU78" s="143">
        <f t="shared" si="359"/>
        <v>2</v>
      </c>
      <c r="EV78" s="143">
        <f t="shared" si="360"/>
        <v>0</v>
      </c>
      <c r="EW78" s="143">
        <f t="shared" si="361"/>
        <v>0</v>
      </c>
      <c r="EX78" s="143">
        <f t="shared" si="362"/>
        <v>0</v>
      </c>
      <c r="EY78" s="143">
        <f t="shared" si="363"/>
        <v>0</v>
      </c>
      <c r="EZ78" s="143">
        <f t="shared" si="364"/>
        <v>2</v>
      </c>
      <c r="FA78" s="143">
        <f t="shared" si="365"/>
        <v>0</v>
      </c>
      <c r="FB78" s="143">
        <f t="shared" si="366"/>
        <v>0</v>
      </c>
      <c r="FC78" s="143">
        <f t="shared" si="367"/>
        <v>0</v>
      </c>
      <c r="FD78" s="143">
        <f t="shared" si="368"/>
        <v>0</v>
      </c>
      <c r="FE78" s="140">
        <f>SUM($D78:D78)*IF($B78="Operacional",IFERROR(VLOOKUP($C78,SN_UGC,28,0),0),1)</f>
        <v>2</v>
      </c>
      <c r="FF78" s="140">
        <f>SUM($D78:E78)*IF($B78="Operacional",IFERROR(VLOOKUP($C78,SN_UGC,28,0),0),1)</f>
        <v>2</v>
      </c>
      <c r="FG78" s="140">
        <f>SUM($D78:F78)*IF($B78="Operacional",IFERROR(VLOOKUP($C78,SN_UGC,28,0),0),1)</f>
        <v>2</v>
      </c>
      <c r="FH78" s="140">
        <f>SUM($D78:G78)*IF($B78="Operacional",IFERROR(VLOOKUP($C78,SN_UGC,28,0),0),1)</f>
        <v>2</v>
      </c>
      <c r="FI78" s="140">
        <f>SUM($D78:H78)*IF($B78="Operacional",IFERROR(VLOOKUP($C78,SN_UGC,28,0),0),1)</f>
        <v>2</v>
      </c>
      <c r="FJ78" s="140">
        <f>SUM($D78:I78)*IF($B78="Operacional",IFERROR(VLOOKUP($C78,SN_UGC,28,0),0),1)</f>
        <v>2</v>
      </c>
      <c r="FK78" s="140">
        <f>SUM($D78:J78)*IF($B78="Operacional",IFERROR(VLOOKUP($C78,SN_UGC,28,0),0),1)</f>
        <v>2</v>
      </c>
      <c r="FL78" s="140">
        <f>SUM($D78:K78)*IF($B78="Operacional",IFERROR(VLOOKUP($C78,SN_UGC,28,0),0),1)</f>
        <v>2</v>
      </c>
      <c r="FM78" s="140">
        <f>SUM($D78:L78)*IF($B78="Operacional",IFERROR(VLOOKUP($C78,SN_UGC,28,0),0),1)</f>
        <v>2</v>
      </c>
      <c r="FN78" s="140">
        <f>SUM($D78:M78)*IF($B78="Operacional",IFERROR(VLOOKUP($C78,SN_UGC,28,0),0),1)</f>
        <v>2</v>
      </c>
      <c r="FO78" s="140">
        <f>SUM($D78:N78)*IF($B78="Operacional",IFERROR(VLOOKUP($C78,SN_UGC,28,0),0),1)</f>
        <v>2</v>
      </c>
      <c r="FP78" s="140">
        <f>SUM($D78:O78)*IF($B78="Operacional",IFERROR(VLOOKUP($C78,SN_UGC,28,0),0),1)</f>
        <v>2</v>
      </c>
      <c r="FQ78" s="140">
        <f>SUM($D78:P78)*IF($B78="Operacional",IFERROR(VLOOKUP($C78,SN_UGC,28,0),0),1)</f>
        <v>2</v>
      </c>
      <c r="FR78" s="140">
        <f>SUM($D78:Q78)*IF($B78="Operacional",IFERROR(VLOOKUP($C78,SN_UGC,28,0),0),1)</f>
        <v>2</v>
      </c>
      <c r="FS78" s="140">
        <f>SUM($D78:R78)*IF($B78="Operacional",IFERROR(VLOOKUP($C78,SN_UGC,28,0),0),1)</f>
        <v>2</v>
      </c>
      <c r="FT78" s="140">
        <f>SUM($D78:S78)*IF($B78="Operacional",IFERROR(VLOOKUP($C78,SN_UGC,28,0),0),1)</f>
        <v>2</v>
      </c>
      <c r="FU78" s="140">
        <f>SUM($D78:T78)*IF($B78="Operacional",IFERROR(VLOOKUP($C78,SN_UGC,28,0),0),1)</f>
        <v>2</v>
      </c>
      <c r="FV78" s="140">
        <f>SUM($D78:U78)*IF($B78="Operacional",IFERROR(VLOOKUP($C78,SN_UGC,28,0),0),1)</f>
        <v>2</v>
      </c>
      <c r="FW78" s="140">
        <f>SUM($D78:V78)*IF($B78="Operacional",IFERROR(VLOOKUP($C78,SN_UGC,28,0),0),1)</f>
        <v>2</v>
      </c>
      <c r="FX78" s="140">
        <f>SUM($D78:W78)*IF($B78="Operacional",IFERROR(VLOOKUP($C78,SN_UGC,28,0),0),1)</f>
        <v>2</v>
      </c>
      <c r="FY78" s="140">
        <f>SUM($D78:X78)*IF($B78="Operacional",IFERROR(VLOOKUP($C78,SN_UGC,28,0),0),1)</f>
        <v>2</v>
      </c>
      <c r="FZ78" s="140">
        <f>SUM($D78:Y78)*IF($B78="Operacional",IFERROR(VLOOKUP($C78,SN_UGC,28,0),0),1)</f>
        <v>2</v>
      </c>
      <c r="GA78" s="140">
        <f>SUM($D78:Z78)*IF($B78="Operacional",IFERROR(VLOOKUP($C78,SN_UGC,28,0),0),1)</f>
        <v>2</v>
      </c>
      <c r="GB78" s="140">
        <f>SUM($D78:AA78)*IF($B78="Operacional",IFERROR(VLOOKUP($C78,SN_UGC,28,0),0),1)</f>
        <v>2</v>
      </c>
      <c r="GC78" s="140">
        <f>SUM($D78:AB78)*IF($B78="Operacional",IFERROR(VLOOKUP($C78,SN_UGC,28,0),0),1)</f>
        <v>2</v>
      </c>
      <c r="GD78" s="140">
        <f>SUM($D78:AC78)*IF($B78="Operacional",IFERROR(VLOOKUP($C78,SN_UGC,28,0),0),1)</f>
        <v>2</v>
      </c>
      <c r="GE78" s="140">
        <f>SUM($D78:AD78)*IF($B78="Operacional",IFERROR(VLOOKUP($C78,SN_UGC,28,0),0),1)</f>
        <v>2</v>
      </c>
      <c r="GF78" s="140">
        <f>SUM($D78:AE78)*IF($B78="Operacional",IFERROR(VLOOKUP($C78,SN_UGC,28,0),0),1)</f>
        <v>2</v>
      </c>
      <c r="GG78" s="140">
        <f>SUM($D78:AF78)*IF($B78="Operacional",IFERROR(VLOOKUP($C78,SN_UGC,28,0),0),1)</f>
        <v>2</v>
      </c>
      <c r="GH78" s="140">
        <f>SUM($D78:AG78)*IF($B78="Operacional",IFERROR(VLOOKUP($C78,SN_UGC,28,0),0),1)</f>
        <v>2</v>
      </c>
      <c r="GI78" s="141">
        <f t="shared" ref="GI78:HL78" si="408">FE78*$AH78*$AL78</f>
        <v>41220.520000000004</v>
      </c>
      <c r="GJ78" s="141">
        <f t="shared" si="408"/>
        <v>41220.520000000004</v>
      </c>
      <c r="GK78" s="141">
        <f t="shared" si="408"/>
        <v>41220.520000000004</v>
      </c>
      <c r="GL78" s="141">
        <f t="shared" si="408"/>
        <v>41220.520000000004</v>
      </c>
      <c r="GM78" s="141">
        <f t="shared" si="408"/>
        <v>41220.520000000004</v>
      </c>
      <c r="GN78" s="141">
        <f t="shared" si="408"/>
        <v>41220.520000000004</v>
      </c>
      <c r="GO78" s="141">
        <f t="shared" si="408"/>
        <v>41220.520000000004</v>
      </c>
      <c r="GP78" s="141">
        <f t="shared" si="408"/>
        <v>41220.520000000004</v>
      </c>
      <c r="GQ78" s="141">
        <f t="shared" si="408"/>
        <v>41220.520000000004</v>
      </c>
      <c r="GR78" s="141">
        <f t="shared" si="408"/>
        <v>41220.520000000004</v>
      </c>
      <c r="GS78" s="141">
        <f t="shared" si="408"/>
        <v>41220.520000000004</v>
      </c>
      <c r="GT78" s="141">
        <f t="shared" si="408"/>
        <v>41220.520000000004</v>
      </c>
      <c r="GU78" s="141">
        <f t="shared" si="408"/>
        <v>41220.520000000004</v>
      </c>
      <c r="GV78" s="141">
        <f t="shared" si="408"/>
        <v>41220.520000000004</v>
      </c>
      <c r="GW78" s="141">
        <f t="shared" si="408"/>
        <v>41220.520000000004</v>
      </c>
      <c r="GX78" s="141">
        <f t="shared" si="408"/>
        <v>41220.520000000004</v>
      </c>
      <c r="GY78" s="141">
        <f t="shared" si="408"/>
        <v>41220.520000000004</v>
      </c>
      <c r="GZ78" s="141">
        <f t="shared" si="408"/>
        <v>41220.520000000004</v>
      </c>
      <c r="HA78" s="141">
        <f t="shared" si="408"/>
        <v>41220.520000000004</v>
      </c>
      <c r="HB78" s="141">
        <f t="shared" si="408"/>
        <v>41220.520000000004</v>
      </c>
      <c r="HC78" s="141">
        <f t="shared" si="408"/>
        <v>41220.520000000004</v>
      </c>
      <c r="HD78" s="141">
        <f t="shared" si="408"/>
        <v>41220.520000000004</v>
      </c>
      <c r="HE78" s="141">
        <f t="shared" si="408"/>
        <v>41220.520000000004</v>
      </c>
      <c r="HF78" s="141">
        <f t="shared" si="408"/>
        <v>41220.520000000004</v>
      </c>
      <c r="HG78" s="141">
        <f t="shared" si="408"/>
        <v>41220.520000000004</v>
      </c>
      <c r="HH78" s="141">
        <f t="shared" si="408"/>
        <v>41220.520000000004</v>
      </c>
      <c r="HI78" s="141">
        <f t="shared" si="408"/>
        <v>41220.520000000004</v>
      </c>
      <c r="HJ78" s="141">
        <f t="shared" si="408"/>
        <v>41220.520000000004</v>
      </c>
      <c r="HK78" s="141">
        <f t="shared" si="408"/>
        <v>41220.520000000004</v>
      </c>
      <c r="HL78" s="141">
        <f t="shared" si="408"/>
        <v>41220.520000000004</v>
      </c>
      <c r="HM78" s="142">
        <f t="shared" ref="HM78:IP78" si="409">IF(ISBLANK($A78),,FE78*($AH78-($AH78*$AJ78))/$AI78)</f>
        <v>98929.247999999992</v>
      </c>
      <c r="HN78" s="142">
        <f t="shared" si="409"/>
        <v>98929.247999999992</v>
      </c>
      <c r="HO78" s="142">
        <f t="shared" si="409"/>
        <v>98929.247999999992</v>
      </c>
      <c r="HP78" s="142">
        <f t="shared" si="409"/>
        <v>98929.247999999992</v>
      </c>
      <c r="HQ78" s="142">
        <f t="shared" si="409"/>
        <v>98929.247999999992</v>
      </c>
      <c r="HR78" s="142">
        <f t="shared" si="409"/>
        <v>98929.247999999992</v>
      </c>
      <c r="HS78" s="142">
        <f t="shared" si="409"/>
        <v>98929.247999999992</v>
      </c>
      <c r="HT78" s="142">
        <f t="shared" si="409"/>
        <v>98929.247999999992</v>
      </c>
      <c r="HU78" s="142">
        <f t="shared" si="409"/>
        <v>98929.247999999992</v>
      </c>
      <c r="HV78" s="142">
        <f t="shared" si="409"/>
        <v>98929.247999999992</v>
      </c>
      <c r="HW78" s="142">
        <f t="shared" si="409"/>
        <v>98929.247999999992</v>
      </c>
      <c r="HX78" s="142">
        <f t="shared" si="409"/>
        <v>98929.247999999992</v>
      </c>
      <c r="HY78" s="142">
        <f t="shared" si="409"/>
        <v>98929.247999999992</v>
      </c>
      <c r="HZ78" s="142">
        <f t="shared" si="409"/>
        <v>98929.247999999992</v>
      </c>
      <c r="IA78" s="142">
        <f t="shared" si="409"/>
        <v>98929.247999999992</v>
      </c>
      <c r="IB78" s="142">
        <f t="shared" si="409"/>
        <v>98929.247999999992</v>
      </c>
      <c r="IC78" s="142">
        <f t="shared" si="409"/>
        <v>98929.247999999992</v>
      </c>
      <c r="ID78" s="142">
        <f t="shared" si="409"/>
        <v>98929.247999999992</v>
      </c>
      <c r="IE78" s="142">
        <f t="shared" si="409"/>
        <v>98929.247999999992</v>
      </c>
      <c r="IF78" s="142">
        <f t="shared" si="409"/>
        <v>98929.247999999992</v>
      </c>
      <c r="IG78" s="142">
        <f t="shared" si="409"/>
        <v>98929.247999999992</v>
      </c>
      <c r="IH78" s="142">
        <f t="shared" si="409"/>
        <v>98929.247999999992</v>
      </c>
      <c r="II78" s="142">
        <f t="shared" si="409"/>
        <v>98929.247999999992</v>
      </c>
      <c r="IJ78" s="142">
        <f t="shared" si="409"/>
        <v>98929.247999999992</v>
      </c>
      <c r="IK78" s="142">
        <f t="shared" si="409"/>
        <v>98929.247999999992</v>
      </c>
      <c r="IL78" s="142">
        <f t="shared" si="409"/>
        <v>98929.247999999992</v>
      </c>
      <c r="IM78" s="142">
        <f t="shared" si="409"/>
        <v>98929.247999999992</v>
      </c>
      <c r="IN78" s="142">
        <f t="shared" si="409"/>
        <v>98929.247999999992</v>
      </c>
      <c r="IO78" s="142">
        <f t="shared" si="409"/>
        <v>98929.247999999992</v>
      </c>
      <c r="IP78" s="142">
        <f t="shared" si="409"/>
        <v>98929.247999999992</v>
      </c>
      <c r="IQ78" s="141">
        <f>IF(ISBLANK($A78),,IF($AN78="Não",0,(SUM($AO78:AO78)*$AH78)-SUM($HM78:HM78)-SUM($CW78:CW78)))</f>
        <v>725481.152</v>
      </c>
      <c r="IR78" s="141">
        <f>IF(ISBLANK($A78),,IF($AN78="Não",0,(SUM($AO78:AP78)*$AH78)-SUM($HM78:HN78)-SUM($CW78:CX78)))</f>
        <v>626551.9040000001</v>
      </c>
      <c r="IS78" s="141">
        <f>IF(ISBLANK($A78),,IF($AN78="Não",0,(SUM($AO78:AQ78)*$AH78)-SUM($HM78:HO78)-SUM($CW78:CY78)))</f>
        <v>527622.65600000008</v>
      </c>
      <c r="IT78" s="141">
        <f>IF(ISBLANK($A78),,IF($AN78="Não",0,(SUM($AO78:AR78)*$AH78)-SUM($HM78:HP78)-SUM($CW78:CZ78)))</f>
        <v>428693.40800000005</v>
      </c>
      <c r="IU78" s="141">
        <f>IF(ISBLANK($A78),,IF($AN78="Não",0,(SUM($AO78:AS78)*$AH78)-SUM($HM78:HQ78)-SUM($CW78:DA78)))</f>
        <v>329764.16000000003</v>
      </c>
      <c r="IV78" s="141">
        <f>IF(ISBLANK($A78),,IF($AN78="Não",0,(SUM($AO78:AT78)*$AH78)-SUM($HM78:HR78)-SUM($CW78:DB78)))</f>
        <v>725481.15199999989</v>
      </c>
      <c r="IW78" s="141">
        <f>IF(ISBLANK($A78),,IF($AN78="Não",0,(SUM($AO78:AU78)*$AH78)-SUM($HM78:HS78)-SUM($CW78:DC78)))</f>
        <v>626551.90399999998</v>
      </c>
      <c r="IX78" s="141">
        <f>IF(ISBLANK($A78),,IF($AN78="Não",0,(SUM($AO78:AV78)*$AH78)-SUM($HM78:HT78)-SUM($CW78:DD78)))</f>
        <v>527622.65599999996</v>
      </c>
      <c r="IY78" s="141">
        <f>IF(ISBLANK($A78),,IF($AN78="Não",0,(SUM($AO78:AW78)*$AH78)-SUM($HM78:HU78)-SUM($CW78:DE78)))</f>
        <v>428693.40799999994</v>
      </c>
      <c r="IZ78" s="141">
        <f>IF(ISBLANK($A78),,IF($AN78="Não",0,(SUM($AO78:AX78)*$AH78)-SUM($HM78:HV78)-SUM($CW78:DF78)))</f>
        <v>329764.15999999992</v>
      </c>
      <c r="JA78" s="141">
        <f>IF(ISBLANK($A78),,IF($AN78="Não",0,(SUM($AO78:AY78)*$AH78)-SUM($HM78:HW78)-SUM($CW78:DG78)))</f>
        <v>725481.152</v>
      </c>
      <c r="JB78" s="141">
        <f>IF(ISBLANK($A78),,IF($AN78="Não",0,(SUM($AO78:AZ78)*$AH78)-SUM($HM78:HX78)-SUM($CW78:DH78)))</f>
        <v>626551.9040000001</v>
      </c>
      <c r="JC78" s="141">
        <f>IF(ISBLANK($A78),,IF($AN78="Não",0,(SUM($AO78:BA78)*$AH78)-SUM($HM78:HY78)-SUM($CW78:DI78)))</f>
        <v>527622.65600000019</v>
      </c>
      <c r="JD78" s="141">
        <f>IF(ISBLANK($A78),,IF($AN78="Não",0,(SUM($AO78:BB78)*$AH78)-SUM($HM78:HZ78)-SUM($CW78:DJ78)))</f>
        <v>428693.40800000029</v>
      </c>
      <c r="JE78" s="141">
        <f>IF(ISBLANK($A78),,IF($AN78="Não",0,(SUM($AO78:BC78)*$AH78)-SUM($HM78:IA78)-SUM($CW78:DK78)))</f>
        <v>329764.16000000038</v>
      </c>
      <c r="JF78" s="141">
        <f>IF(ISBLANK($A78),,IF($AN78="Não",0,(SUM($AO78:BD78)*$AH78)-SUM($HM78:IB78)-SUM($CW78:DL78)))</f>
        <v>725481.15200000035</v>
      </c>
      <c r="JG78" s="141">
        <f>IF(ISBLANK($A78),,IF($AN78="Não",0,(SUM($AO78:BE78)*$AH78)-SUM($HM78:IC78)-SUM($CW78:DM78)))</f>
        <v>626551.90400000045</v>
      </c>
      <c r="JH78" s="141">
        <f>IF(ISBLANK($A78),,IF($AN78="Não",0,(SUM($AO78:BF78)*$AH78)-SUM($HM78:ID78)-SUM($CW78:DN78)))</f>
        <v>527622.65600000054</v>
      </c>
      <c r="JI78" s="141">
        <f>IF(ISBLANK($A78),,IF($AN78="Não",0,(SUM($AO78:BG78)*$AH78)-SUM($HM78:IE78)-SUM($CW78:DO78)))</f>
        <v>428693.40800000064</v>
      </c>
      <c r="JJ78" s="141">
        <f>IF(ISBLANK($A78),,IF($AN78="Não",0,(SUM($AO78:BH78)*$AH78)-SUM($HM78:IF78)-SUM($CW78:DP78)))</f>
        <v>329764.16000000073</v>
      </c>
      <c r="JK78" s="141">
        <f>IF(ISBLANK($A78),,IF($AN78="Não",0,(SUM($AO78:BI78)*$AH78)-SUM($HM78:IG78)-SUM($CW78:DQ78)))</f>
        <v>725481.1520000007</v>
      </c>
      <c r="JL78" s="141">
        <f>IF(ISBLANK($A78),,IF($AN78="Não",0,(SUM($AO78:BJ78)*$AH78)-SUM($HM78:IH78)-SUM($CW78:DR78)))</f>
        <v>626551.90400000056</v>
      </c>
      <c r="JM78" s="141">
        <f>IF(ISBLANK($A78),,IF($AN78="Não",0,(SUM($AO78:BK78)*$AH78)-SUM($HM78:II78)-SUM($CW78:DS78)))</f>
        <v>527622.65600000042</v>
      </c>
      <c r="JN78" s="141">
        <f>IF(ISBLANK($A78),,IF($AN78="Não",0,(SUM($AO78:BL78)*$AH78)-SUM($HM78:IJ78)-SUM($CW78:DT78)))</f>
        <v>428693.40800000029</v>
      </c>
      <c r="JO78" s="141">
        <f>IF(ISBLANK($A78),,IF($AN78="Não",0,(SUM($AO78:BM78)*$AH78)-SUM($HM78:IK78)-SUM($CW78:DU78)))</f>
        <v>329764.16000000015</v>
      </c>
      <c r="JP78" s="141">
        <f>IF(ISBLANK($A78),,IF($AN78="Não",0,(SUM($AO78:BN78)*$AH78)-SUM($HM78:IL78)-SUM($CW78:DV78)))</f>
        <v>725481.15200000023</v>
      </c>
      <c r="JQ78" s="141">
        <f>IF(ISBLANK($A78),,IF($AN78="Não",0,(SUM($AO78:BO78)*$AH78)-SUM($HM78:IM78)-SUM($CW78:DW78)))</f>
        <v>626551.9040000001</v>
      </c>
      <c r="JR78" s="141">
        <f>IF(ISBLANK($A78),,IF($AN78="Não",0,(SUM($AO78:BP78)*$AH78)-SUM($HM78:IN78)-SUM($CW78:DX78)))</f>
        <v>527622.65599999996</v>
      </c>
      <c r="JS78" s="141">
        <f>IF(ISBLANK($A78),,IF($AN78="Não",0,(SUM($AO78:BQ78)*$AH78)-SUM($HM78:IO78)-SUM($CW78:DY78)))</f>
        <v>428693.40799999982</v>
      </c>
      <c r="JT78" s="141">
        <f>IF(ISBLANK($A78),,IF($AN78="Não",0,(SUM($AO78:BR78)*$AH78)-SUM($HM78:IP78)-SUM($CW78:DZ78)))</f>
        <v>329764.15999999968</v>
      </c>
    </row>
    <row r="79" spans="1:280" ht="15.75" customHeight="1">
      <c r="A79" s="129" t="s">
        <v>381</v>
      </c>
      <c r="B79" s="129" t="s">
        <v>191</v>
      </c>
      <c r="C79" s="138" t="s">
        <v>196</v>
      </c>
      <c r="D79" s="139">
        <v>10</v>
      </c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607">
        <f t="shared" si="399"/>
        <v>235061.2</v>
      </c>
      <c r="AI79" s="608">
        <f t="shared" si="400"/>
        <v>5</v>
      </c>
      <c r="AJ79" s="609">
        <f t="shared" si="401"/>
        <v>0.5</v>
      </c>
      <c r="AK79" s="610" t="str">
        <f t="shared" si="402"/>
        <v>Veículos e embarcações</v>
      </c>
      <c r="AL79" s="609">
        <f t="shared" si="403"/>
        <v>0.05</v>
      </c>
      <c r="AM79" s="611" t="str">
        <f t="shared" si="404"/>
        <v>Sim</v>
      </c>
      <c r="AN79" s="611" t="str">
        <f t="shared" si="405"/>
        <v>Sim</v>
      </c>
      <c r="AO79" s="140">
        <f t="array" ref="AO79">IF(ISBLANK($A79),0,IF(OR(AO$5-$AI79&lt;=0,$AM79="Não"),D79,D79+INDEX($AO$6:$BR$176,ROW()-5,COLUMN()-40-$AI79)))*IF($B79="Operacional",IFERROR(VLOOKUP($C79,SN_UGC,28,0),0),1)</f>
        <v>10</v>
      </c>
      <c r="AP79" s="140">
        <f t="array" ref="AP79">IF(ISBLANK($A79),0,IF(OR(AP$5-$AI79&lt;=0,$AM79="Não"),E79,E79+INDEX($AO$6:$BR$176,ROW()-5,COLUMN()-40-$AI79)))*IF($B79="Operacional",IFERROR(VLOOKUP($C79,SN_UGC,28,0),0),1)</f>
        <v>0</v>
      </c>
      <c r="AQ79" s="140">
        <f t="array" ref="AQ79">IF(ISBLANK($A79),0,IF(OR(AQ$5-$AI79&lt;=0,$AM79="Não"),F79,F79+INDEX($AO$6:$BR$176,ROW()-5,COLUMN()-40-$AI79)))*IF($B79="Operacional",IFERROR(VLOOKUP($C79,SN_UGC,28,0),0),1)</f>
        <v>0</v>
      </c>
      <c r="AR79" s="140">
        <f t="array" ref="AR79">IF(ISBLANK($A79),0,IF(OR(AR$5-$AI79&lt;=0,$AM79="Não"),G79,G79+INDEX($AO$6:$BR$176,ROW()-5,COLUMN()-40-$AI79)))*IF($B79="Operacional",IFERROR(VLOOKUP($C79,SN_UGC,28,0),0),1)</f>
        <v>0</v>
      </c>
      <c r="AS79" s="140">
        <f t="array" ref="AS79">IF(ISBLANK($A79),0,IF(OR(AS$5-$AI79&lt;=0,$AM79="Não"),H79,H79+INDEX($AO$6:$BR$176,ROW()-5,COLUMN()-40-$AI79)))*IF($B79="Operacional",IFERROR(VLOOKUP($C79,SN_UGC,28,0),0),1)</f>
        <v>0</v>
      </c>
      <c r="AT79" s="140">
        <f t="array" ref="AT79">IF(ISBLANK($A79),0,IF(OR(AT$5-$AI79&lt;=0,$AM79="Não"),I79,I79+INDEX($AO$6:$BR$176,ROW()-5,COLUMN()-40-$AI79)))*IF($B79="Operacional",IFERROR(VLOOKUP($C79,SN_UGC,28,0),0),1)</f>
        <v>10</v>
      </c>
      <c r="AU79" s="140">
        <f t="array" ref="AU79">IF(ISBLANK($A79),0,IF(OR(AU$5-$AI79&lt;=0,$AM79="Não"),J79,J79+INDEX($AO$6:$BR$176,ROW()-5,COLUMN()-40-$AI79)))*IF($B79="Operacional",IFERROR(VLOOKUP($C79,SN_UGC,28,0),0),1)</f>
        <v>0</v>
      </c>
      <c r="AV79" s="140">
        <f t="array" ref="AV79">IF(ISBLANK($A79),0,IF(OR(AV$5-$AI79&lt;=0,$AM79="Não"),K79,K79+INDEX($AO$6:$BR$176,ROW()-5,COLUMN()-40-$AI79)))*IF($B79="Operacional",IFERROR(VLOOKUP($C79,SN_UGC,28,0),0),1)</f>
        <v>0</v>
      </c>
      <c r="AW79" s="140">
        <f t="array" ref="AW79">IF(ISBLANK($A79),0,IF(OR(AW$5-$AI79&lt;=0,$AM79="Não"),L79,L79+INDEX($AO$6:$BR$176,ROW()-5,COLUMN()-40-$AI79)))*IF($B79="Operacional",IFERROR(VLOOKUP($C79,SN_UGC,28,0),0),1)</f>
        <v>0</v>
      </c>
      <c r="AX79" s="140">
        <f t="array" ref="AX79">IF(ISBLANK($A79),0,IF(OR(AX$5-$AI79&lt;=0,$AM79="Não"),M79,M79+INDEX($AO$6:$BR$176,ROW()-5,COLUMN()-40-$AI79)))*IF($B79="Operacional",IFERROR(VLOOKUP($C79,SN_UGC,28,0),0),1)</f>
        <v>0</v>
      </c>
      <c r="AY79" s="140">
        <f t="array" ref="AY79">IF(ISBLANK($A79),0,IF(OR(AY$5-$AI79&lt;=0,$AM79="Não"),N79,N79+INDEX($AO$6:$BR$176,ROW()-5,COLUMN()-40-$AI79)))*IF($B79="Operacional",IFERROR(VLOOKUP($C79,SN_UGC,28,0),0),1)</f>
        <v>10</v>
      </c>
      <c r="AZ79" s="140">
        <f t="array" ref="AZ79">IF(ISBLANK($A79),0,IF(OR(AZ$5-$AI79&lt;=0,$AM79="Não"),O79,O79+INDEX($AO$6:$BR$176,ROW()-5,COLUMN()-40-$AI79)))*IF($B79="Operacional",IFERROR(VLOOKUP($C79,SN_UGC,28,0),0),1)</f>
        <v>0</v>
      </c>
      <c r="BA79" s="140">
        <f t="array" ref="BA79">IF(ISBLANK($A79),0,IF(OR(BA$5-$AI79&lt;=0,$AM79="Não"),P79,P79+INDEX($AO$6:$BR$176,ROW()-5,COLUMN()-40-$AI79)))*IF($B79="Operacional",IFERROR(VLOOKUP($C79,SN_UGC,28,0),0),1)</f>
        <v>0</v>
      </c>
      <c r="BB79" s="140">
        <f t="array" ref="BB79">IF(ISBLANK($A79),0,IF(OR(BB$5-$AI79&lt;=0,$AM79="Não"),Q79,Q79+INDEX($AO$6:$BR$176,ROW()-5,COLUMN()-40-$AI79)))*IF($B79="Operacional",IFERROR(VLOOKUP($C79,SN_UGC,28,0),0),1)</f>
        <v>0</v>
      </c>
      <c r="BC79" s="140">
        <f t="array" ref="BC79">IF(ISBLANK($A79),0,IF(OR(BC$5-$AI79&lt;=0,$AM79="Não"),R79,R79+INDEX($AO$6:$BR$176,ROW()-5,COLUMN()-40-$AI79)))*IF($B79="Operacional",IFERROR(VLOOKUP($C79,SN_UGC,28,0),0),1)</f>
        <v>0</v>
      </c>
      <c r="BD79" s="140">
        <f t="array" ref="BD79">IF(ISBLANK($A79),0,IF(OR(BD$5-$AI79&lt;=0,$AM79="Não"),S79,S79+INDEX($AO$6:$BR$176,ROW()-5,COLUMN()-40-$AI79)))*IF($B79="Operacional",IFERROR(VLOOKUP($C79,SN_UGC,28,0),0),1)</f>
        <v>10</v>
      </c>
      <c r="BE79" s="140">
        <f t="array" ref="BE79">IF(ISBLANK($A79),0,IF(OR(BE$5-$AI79&lt;=0,$AM79="Não"),T79,T79+INDEX($AO$6:$BR$176,ROW()-5,COLUMN()-40-$AI79)))*IF($B79="Operacional",IFERROR(VLOOKUP($C79,SN_UGC,28,0),0),1)</f>
        <v>0</v>
      </c>
      <c r="BF79" s="140">
        <f t="array" ref="BF79">IF(ISBLANK($A79),0,IF(OR(BF$5-$AI79&lt;=0,$AM79="Não"),U79,U79+INDEX($AO$6:$BR$176,ROW()-5,COLUMN()-40-$AI79)))*IF($B79="Operacional",IFERROR(VLOOKUP($C79,SN_UGC,28,0),0),1)</f>
        <v>0</v>
      </c>
      <c r="BG79" s="140">
        <f t="array" ref="BG79">IF(ISBLANK($A79),0,IF(OR(BG$5-$AI79&lt;=0,$AM79="Não"),V79,V79+INDEX($AO$6:$BR$176,ROW()-5,COLUMN()-40-$AI79)))*IF($B79="Operacional",IFERROR(VLOOKUP($C79,SN_UGC,28,0),0),1)</f>
        <v>0</v>
      </c>
      <c r="BH79" s="140">
        <f t="array" ref="BH79">IF(ISBLANK($A79),0,IF(OR(BH$5-$AI79&lt;=0,$AM79="Não"),W79,W79+INDEX($AO$6:$BR$176,ROW()-5,COLUMN()-40-$AI79)))*IF($B79="Operacional",IFERROR(VLOOKUP($C79,SN_UGC,28,0),0),1)</f>
        <v>0</v>
      </c>
      <c r="BI79" s="140">
        <f t="array" ref="BI79">IF(ISBLANK($A79),0,IF(OR(BI$5-$AI79&lt;=0,$AM79="Não"),X79,X79+INDEX($AO$6:$BR$176,ROW()-5,COLUMN()-40-$AI79)))*IF($B79="Operacional",IFERROR(VLOOKUP($C79,SN_UGC,28,0),0),1)</f>
        <v>10</v>
      </c>
      <c r="BJ79" s="140">
        <f t="array" ref="BJ79">IF(ISBLANK($A79),0,IF(OR(BJ$5-$AI79&lt;=0,$AM79="Não"),Y79,Y79+INDEX($AO$6:$BR$176,ROW()-5,COLUMN()-40-$AI79)))*IF($B79="Operacional",IFERROR(VLOOKUP($C79,SN_UGC,28,0),0),1)</f>
        <v>0</v>
      </c>
      <c r="BK79" s="140">
        <f t="array" ref="BK79">IF(ISBLANK($A79),0,IF(OR(BK$5-$AI79&lt;=0,$AM79="Não"),Z79,Z79+INDEX($AO$6:$BR$176,ROW()-5,COLUMN()-40-$AI79)))*IF($B79="Operacional",IFERROR(VLOOKUP($C79,SN_UGC,28,0),0),1)</f>
        <v>0</v>
      </c>
      <c r="BL79" s="140">
        <f t="array" ref="BL79">IF(ISBLANK($A79),0,IF(OR(BL$5-$AI79&lt;=0,$AM79="Não"),AA79,AA79+INDEX($AO$6:$BR$176,ROW()-5,COLUMN()-40-$AI79)))*IF($B79="Operacional",IFERROR(VLOOKUP($C79,SN_UGC,28,0),0),1)</f>
        <v>0</v>
      </c>
      <c r="BM79" s="140">
        <f t="array" ref="BM79">IF(ISBLANK($A79),0,IF(OR(BM$5-$AI79&lt;=0,$AM79="Não"),AB79,AB79+INDEX($AO$6:$BR$176,ROW()-5,COLUMN()-40-$AI79)))*IF($B79="Operacional",IFERROR(VLOOKUP($C79,SN_UGC,28,0),0),1)</f>
        <v>0</v>
      </c>
      <c r="BN79" s="140">
        <f t="array" ref="BN79">IF(ISBLANK($A79),0,IF(OR(BN$5-$AI79&lt;=0,$AM79="Não"),AC79,AC79+INDEX($AO$6:$BR$176,ROW()-5,COLUMN()-40-$AI79)))*IF($B79="Operacional",IFERROR(VLOOKUP($C79,SN_UGC,28,0),0),1)</f>
        <v>10</v>
      </c>
      <c r="BO79" s="140">
        <f t="array" ref="BO79">IF(ISBLANK($A79),0,IF(OR(BO$5-$AI79&lt;=0,$AM79="Não"),AD79,AD79+INDEX($AO$6:$BR$176,ROW()-5,COLUMN()-40-$AI79)))*IF($B79="Operacional",IFERROR(VLOOKUP($C79,SN_UGC,28,0),0),1)</f>
        <v>0</v>
      </c>
      <c r="BP79" s="140">
        <f t="array" ref="BP79">IF(ISBLANK($A79),0,IF(OR(BP$5-$AI79&lt;=0,$AM79="Não"),AE79,AE79+INDEX($AO$6:$BR$176,ROW()-5,COLUMN()-40-$AI79)))*IF($B79="Operacional",IFERROR(VLOOKUP($C79,SN_UGC,28,0),0),1)</f>
        <v>0</v>
      </c>
      <c r="BQ79" s="140">
        <f t="array" ref="BQ79">IF(ISBLANK($A79),0,IF(OR(BQ$5-$AI79&lt;=0,$AM79="Não"),AF79,AF79+INDEX($AO$6:$BR$176,ROW()-5,COLUMN()-40-$AI79)))*IF($B79="Operacional",IFERROR(VLOOKUP($C79,SN_UGC,28,0),0),1)</f>
        <v>0</v>
      </c>
      <c r="BR79" s="140">
        <f t="array" ref="BR79">IF(ISBLANK($A79),0,IF(OR(BR$5-$AI79&lt;=0,$AM79="Não"),AG79,AG79+INDEX($AO$6:$BR$176,ROW()-5,COLUMN()-40-$AI79)))*IF($B79="Operacional",IFERROR(VLOOKUP($C79,SN_UGC,28,0),0),1)</f>
        <v>0</v>
      </c>
      <c r="BS79" s="141">
        <f t="shared" ref="BS79:CV79" si="410">IF(ISBLANK($A79),0,$AH79*AO79)</f>
        <v>2350612</v>
      </c>
      <c r="BT79" s="141">
        <f t="shared" si="410"/>
        <v>0</v>
      </c>
      <c r="BU79" s="141">
        <f t="shared" si="410"/>
        <v>0</v>
      </c>
      <c r="BV79" s="141">
        <f t="shared" si="410"/>
        <v>0</v>
      </c>
      <c r="BW79" s="141">
        <f t="shared" si="410"/>
        <v>0</v>
      </c>
      <c r="BX79" s="141">
        <f t="shared" si="410"/>
        <v>2350612</v>
      </c>
      <c r="BY79" s="141">
        <f t="shared" si="410"/>
        <v>0</v>
      </c>
      <c r="BZ79" s="141">
        <f t="shared" si="410"/>
        <v>0</v>
      </c>
      <c r="CA79" s="141">
        <f t="shared" si="410"/>
        <v>0</v>
      </c>
      <c r="CB79" s="141">
        <f t="shared" si="410"/>
        <v>0</v>
      </c>
      <c r="CC79" s="141">
        <f t="shared" si="410"/>
        <v>2350612</v>
      </c>
      <c r="CD79" s="141">
        <f t="shared" si="410"/>
        <v>0</v>
      </c>
      <c r="CE79" s="141">
        <f t="shared" si="410"/>
        <v>0</v>
      </c>
      <c r="CF79" s="141">
        <f t="shared" si="410"/>
        <v>0</v>
      </c>
      <c r="CG79" s="141">
        <f t="shared" si="410"/>
        <v>0</v>
      </c>
      <c r="CH79" s="141">
        <f t="shared" si="410"/>
        <v>2350612</v>
      </c>
      <c r="CI79" s="141">
        <f t="shared" si="410"/>
        <v>0</v>
      </c>
      <c r="CJ79" s="141">
        <f t="shared" si="410"/>
        <v>0</v>
      </c>
      <c r="CK79" s="141">
        <f t="shared" si="410"/>
        <v>0</v>
      </c>
      <c r="CL79" s="141">
        <f t="shared" si="410"/>
        <v>0</v>
      </c>
      <c r="CM79" s="141">
        <f t="shared" si="410"/>
        <v>2350612</v>
      </c>
      <c r="CN79" s="141">
        <f t="shared" si="410"/>
        <v>0</v>
      </c>
      <c r="CO79" s="141">
        <f t="shared" si="410"/>
        <v>0</v>
      </c>
      <c r="CP79" s="141">
        <f t="shared" si="410"/>
        <v>0</v>
      </c>
      <c r="CQ79" s="141">
        <f t="shared" si="410"/>
        <v>0</v>
      </c>
      <c r="CR79" s="141">
        <f t="shared" si="410"/>
        <v>2350612</v>
      </c>
      <c r="CS79" s="141">
        <f t="shared" si="410"/>
        <v>0</v>
      </c>
      <c r="CT79" s="141">
        <f t="shared" si="410"/>
        <v>0</v>
      </c>
      <c r="CU79" s="141">
        <f t="shared" si="410"/>
        <v>0</v>
      </c>
      <c r="CV79" s="141">
        <f t="shared" si="410"/>
        <v>0</v>
      </c>
      <c r="CW79" s="142">
        <f t="shared" ref="CW79:DZ79" si="411">EA79*$AH79*$AJ79</f>
        <v>0</v>
      </c>
      <c r="CX79" s="142">
        <f t="shared" si="411"/>
        <v>0</v>
      </c>
      <c r="CY79" s="142">
        <f t="shared" si="411"/>
        <v>0</v>
      </c>
      <c r="CZ79" s="142">
        <f t="shared" si="411"/>
        <v>0</v>
      </c>
      <c r="DA79" s="142">
        <f t="shared" si="411"/>
        <v>0</v>
      </c>
      <c r="DB79" s="142">
        <f t="shared" si="411"/>
        <v>1175306</v>
      </c>
      <c r="DC79" s="142">
        <f t="shared" si="411"/>
        <v>0</v>
      </c>
      <c r="DD79" s="142">
        <f t="shared" si="411"/>
        <v>0</v>
      </c>
      <c r="DE79" s="142">
        <f t="shared" si="411"/>
        <v>0</v>
      </c>
      <c r="DF79" s="142">
        <f t="shared" si="411"/>
        <v>0</v>
      </c>
      <c r="DG79" s="142">
        <f t="shared" si="411"/>
        <v>1175306</v>
      </c>
      <c r="DH79" s="142">
        <f t="shared" si="411"/>
        <v>0</v>
      </c>
      <c r="DI79" s="142">
        <f t="shared" si="411"/>
        <v>0</v>
      </c>
      <c r="DJ79" s="142">
        <f t="shared" si="411"/>
        <v>0</v>
      </c>
      <c r="DK79" s="142">
        <f t="shared" si="411"/>
        <v>0</v>
      </c>
      <c r="DL79" s="142">
        <f t="shared" si="411"/>
        <v>1175306</v>
      </c>
      <c r="DM79" s="142">
        <f t="shared" si="411"/>
        <v>0</v>
      </c>
      <c r="DN79" s="142">
        <f t="shared" si="411"/>
        <v>0</v>
      </c>
      <c r="DO79" s="142">
        <f t="shared" si="411"/>
        <v>0</v>
      </c>
      <c r="DP79" s="142">
        <f t="shared" si="411"/>
        <v>0</v>
      </c>
      <c r="DQ79" s="142">
        <f t="shared" si="411"/>
        <v>1175306</v>
      </c>
      <c r="DR79" s="142">
        <f t="shared" si="411"/>
        <v>0</v>
      </c>
      <c r="DS79" s="142">
        <f t="shared" si="411"/>
        <v>0</v>
      </c>
      <c r="DT79" s="142">
        <f t="shared" si="411"/>
        <v>0</v>
      </c>
      <c r="DU79" s="142">
        <f t="shared" si="411"/>
        <v>0</v>
      </c>
      <c r="DV79" s="142">
        <f t="shared" si="411"/>
        <v>1175306</v>
      </c>
      <c r="DW79" s="142">
        <f t="shared" si="411"/>
        <v>0</v>
      </c>
      <c r="DX79" s="142">
        <f t="shared" si="411"/>
        <v>0</v>
      </c>
      <c r="DY79" s="142">
        <f t="shared" si="411"/>
        <v>0</v>
      </c>
      <c r="DZ79" s="142">
        <f t="shared" si="411"/>
        <v>0</v>
      </c>
      <c r="EA79" s="143">
        <f t="shared" si="339"/>
        <v>0</v>
      </c>
      <c r="EB79" s="143">
        <f t="shared" si="340"/>
        <v>0</v>
      </c>
      <c r="EC79" s="143">
        <f t="shared" si="341"/>
        <v>0</v>
      </c>
      <c r="ED79" s="143">
        <f t="shared" si="342"/>
        <v>0</v>
      </c>
      <c r="EE79" s="143">
        <f t="shared" si="343"/>
        <v>0</v>
      </c>
      <c r="EF79" s="143">
        <f t="shared" si="344"/>
        <v>10</v>
      </c>
      <c r="EG79" s="143">
        <f t="shared" si="345"/>
        <v>0</v>
      </c>
      <c r="EH79" s="143">
        <f t="shared" si="346"/>
        <v>0</v>
      </c>
      <c r="EI79" s="143">
        <f t="shared" si="347"/>
        <v>0</v>
      </c>
      <c r="EJ79" s="143">
        <f t="shared" si="348"/>
        <v>0</v>
      </c>
      <c r="EK79" s="143">
        <f t="shared" si="349"/>
        <v>10</v>
      </c>
      <c r="EL79" s="143">
        <f t="shared" si="350"/>
        <v>0</v>
      </c>
      <c r="EM79" s="143">
        <f t="shared" si="351"/>
        <v>0</v>
      </c>
      <c r="EN79" s="143">
        <f t="shared" si="352"/>
        <v>0</v>
      </c>
      <c r="EO79" s="143">
        <f t="shared" si="353"/>
        <v>0</v>
      </c>
      <c r="EP79" s="143">
        <f t="shared" si="354"/>
        <v>10</v>
      </c>
      <c r="EQ79" s="143">
        <f t="shared" si="355"/>
        <v>0</v>
      </c>
      <c r="ER79" s="143">
        <f t="shared" si="356"/>
        <v>0</v>
      </c>
      <c r="ES79" s="143">
        <f t="shared" si="357"/>
        <v>0</v>
      </c>
      <c r="ET79" s="143">
        <f t="shared" si="358"/>
        <v>0</v>
      </c>
      <c r="EU79" s="143">
        <f t="shared" si="359"/>
        <v>10</v>
      </c>
      <c r="EV79" s="143">
        <f t="shared" si="360"/>
        <v>0</v>
      </c>
      <c r="EW79" s="143">
        <f t="shared" si="361"/>
        <v>0</v>
      </c>
      <c r="EX79" s="143">
        <f t="shared" si="362"/>
        <v>0</v>
      </c>
      <c r="EY79" s="143">
        <f t="shared" si="363"/>
        <v>0</v>
      </c>
      <c r="EZ79" s="143">
        <f t="shared" si="364"/>
        <v>10</v>
      </c>
      <c r="FA79" s="143">
        <f t="shared" si="365"/>
        <v>0</v>
      </c>
      <c r="FB79" s="143">
        <f t="shared" si="366"/>
        <v>0</v>
      </c>
      <c r="FC79" s="143">
        <f t="shared" si="367"/>
        <v>0</v>
      </c>
      <c r="FD79" s="143">
        <f t="shared" si="368"/>
        <v>0</v>
      </c>
      <c r="FE79" s="140">
        <f>SUM($D79:D79)*IF($B79="Operacional",IFERROR(VLOOKUP($C79,SN_UGC,28,0),0),1)</f>
        <v>10</v>
      </c>
      <c r="FF79" s="140">
        <f>SUM($D79:E79)*IF($B79="Operacional",IFERROR(VLOOKUP($C79,SN_UGC,28,0),0),1)</f>
        <v>10</v>
      </c>
      <c r="FG79" s="140">
        <f>SUM($D79:F79)*IF($B79="Operacional",IFERROR(VLOOKUP($C79,SN_UGC,28,0),0),1)</f>
        <v>10</v>
      </c>
      <c r="FH79" s="140">
        <f>SUM($D79:G79)*IF($B79="Operacional",IFERROR(VLOOKUP($C79,SN_UGC,28,0),0),1)</f>
        <v>10</v>
      </c>
      <c r="FI79" s="140">
        <f>SUM($D79:H79)*IF($B79="Operacional",IFERROR(VLOOKUP($C79,SN_UGC,28,0),0),1)</f>
        <v>10</v>
      </c>
      <c r="FJ79" s="140">
        <f>SUM($D79:I79)*IF($B79="Operacional",IFERROR(VLOOKUP($C79,SN_UGC,28,0),0),1)</f>
        <v>10</v>
      </c>
      <c r="FK79" s="140">
        <f>SUM($D79:J79)*IF($B79="Operacional",IFERROR(VLOOKUP($C79,SN_UGC,28,0),0),1)</f>
        <v>10</v>
      </c>
      <c r="FL79" s="140">
        <f>SUM($D79:K79)*IF($B79="Operacional",IFERROR(VLOOKUP($C79,SN_UGC,28,0),0),1)</f>
        <v>10</v>
      </c>
      <c r="FM79" s="140">
        <f>SUM($D79:L79)*IF($B79="Operacional",IFERROR(VLOOKUP($C79,SN_UGC,28,0),0),1)</f>
        <v>10</v>
      </c>
      <c r="FN79" s="140">
        <f>SUM($D79:M79)*IF($B79="Operacional",IFERROR(VLOOKUP($C79,SN_UGC,28,0),0),1)</f>
        <v>10</v>
      </c>
      <c r="FO79" s="140">
        <f>SUM($D79:N79)*IF($B79="Operacional",IFERROR(VLOOKUP($C79,SN_UGC,28,0),0),1)</f>
        <v>10</v>
      </c>
      <c r="FP79" s="140">
        <f>SUM($D79:O79)*IF($B79="Operacional",IFERROR(VLOOKUP($C79,SN_UGC,28,0),0),1)</f>
        <v>10</v>
      </c>
      <c r="FQ79" s="140">
        <f>SUM($D79:P79)*IF($B79="Operacional",IFERROR(VLOOKUP($C79,SN_UGC,28,0),0),1)</f>
        <v>10</v>
      </c>
      <c r="FR79" s="140">
        <f>SUM($D79:Q79)*IF($B79="Operacional",IFERROR(VLOOKUP($C79,SN_UGC,28,0),0),1)</f>
        <v>10</v>
      </c>
      <c r="FS79" s="140">
        <f>SUM($D79:R79)*IF($B79="Operacional",IFERROR(VLOOKUP($C79,SN_UGC,28,0),0),1)</f>
        <v>10</v>
      </c>
      <c r="FT79" s="140">
        <f>SUM($D79:S79)*IF($B79="Operacional",IFERROR(VLOOKUP($C79,SN_UGC,28,0),0),1)</f>
        <v>10</v>
      </c>
      <c r="FU79" s="140">
        <f>SUM($D79:T79)*IF($B79="Operacional",IFERROR(VLOOKUP($C79,SN_UGC,28,0),0),1)</f>
        <v>10</v>
      </c>
      <c r="FV79" s="140">
        <f>SUM($D79:U79)*IF($B79="Operacional",IFERROR(VLOOKUP($C79,SN_UGC,28,0),0),1)</f>
        <v>10</v>
      </c>
      <c r="FW79" s="140">
        <f>SUM($D79:V79)*IF($B79="Operacional",IFERROR(VLOOKUP($C79,SN_UGC,28,0),0),1)</f>
        <v>10</v>
      </c>
      <c r="FX79" s="140">
        <f>SUM($D79:W79)*IF($B79="Operacional",IFERROR(VLOOKUP($C79,SN_UGC,28,0),0),1)</f>
        <v>10</v>
      </c>
      <c r="FY79" s="140">
        <f>SUM($D79:X79)*IF($B79="Operacional",IFERROR(VLOOKUP($C79,SN_UGC,28,0),0),1)</f>
        <v>10</v>
      </c>
      <c r="FZ79" s="140">
        <f>SUM($D79:Y79)*IF($B79="Operacional",IFERROR(VLOOKUP($C79,SN_UGC,28,0),0),1)</f>
        <v>10</v>
      </c>
      <c r="GA79" s="140">
        <f>SUM($D79:Z79)*IF($B79="Operacional",IFERROR(VLOOKUP($C79,SN_UGC,28,0),0),1)</f>
        <v>10</v>
      </c>
      <c r="GB79" s="140">
        <f>SUM($D79:AA79)*IF($B79="Operacional",IFERROR(VLOOKUP($C79,SN_UGC,28,0),0),1)</f>
        <v>10</v>
      </c>
      <c r="GC79" s="140">
        <f>SUM($D79:AB79)*IF($B79="Operacional",IFERROR(VLOOKUP($C79,SN_UGC,28,0),0),1)</f>
        <v>10</v>
      </c>
      <c r="GD79" s="140">
        <f>SUM($D79:AC79)*IF($B79="Operacional",IFERROR(VLOOKUP($C79,SN_UGC,28,0),0),1)</f>
        <v>10</v>
      </c>
      <c r="GE79" s="140">
        <f>SUM($D79:AD79)*IF($B79="Operacional",IFERROR(VLOOKUP($C79,SN_UGC,28,0),0),1)</f>
        <v>10</v>
      </c>
      <c r="GF79" s="140">
        <f>SUM($D79:AE79)*IF($B79="Operacional",IFERROR(VLOOKUP($C79,SN_UGC,28,0),0),1)</f>
        <v>10</v>
      </c>
      <c r="GG79" s="140">
        <f>SUM($D79:AF79)*IF($B79="Operacional",IFERROR(VLOOKUP($C79,SN_UGC,28,0),0),1)</f>
        <v>10</v>
      </c>
      <c r="GH79" s="140">
        <f>SUM($D79:AG79)*IF($B79="Operacional",IFERROR(VLOOKUP($C79,SN_UGC,28,0),0),1)</f>
        <v>10</v>
      </c>
      <c r="GI79" s="141">
        <f t="shared" ref="GI79:HL79" si="412">FE79*$AH79*$AL79</f>
        <v>117530.6</v>
      </c>
      <c r="GJ79" s="141">
        <f t="shared" si="412"/>
        <v>117530.6</v>
      </c>
      <c r="GK79" s="141">
        <f t="shared" si="412"/>
        <v>117530.6</v>
      </c>
      <c r="GL79" s="141">
        <f t="shared" si="412"/>
        <v>117530.6</v>
      </c>
      <c r="GM79" s="141">
        <f t="shared" si="412"/>
        <v>117530.6</v>
      </c>
      <c r="GN79" s="141">
        <f t="shared" si="412"/>
        <v>117530.6</v>
      </c>
      <c r="GO79" s="141">
        <f t="shared" si="412"/>
        <v>117530.6</v>
      </c>
      <c r="GP79" s="141">
        <f t="shared" si="412"/>
        <v>117530.6</v>
      </c>
      <c r="GQ79" s="141">
        <f t="shared" si="412"/>
        <v>117530.6</v>
      </c>
      <c r="GR79" s="141">
        <f t="shared" si="412"/>
        <v>117530.6</v>
      </c>
      <c r="GS79" s="141">
        <f t="shared" si="412"/>
        <v>117530.6</v>
      </c>
      <c r="GT79" s="141">
        <f t="shared" si="412"/>
        <v>117530.6</v>
      </c>
      <c r="GU79" s="141">
        <f t="shared" si="412"/>
        <v>117530.6</v>
      </c>
      <c r="GV79" s="141">
        <f t="shared" si="412"/>
        <v>117530.6</v>
      </c>
      <c r="GW79" s="141">
        <f t="shared" si="412"/>
        <v>117530.6</v>
      </c>
      <c r="GX79" s="141">
        <f t="shared" si="412"/>
        <v>117530.6</v>
      </c>
      <c r="GY79" s="141">
        <f t="shared" si="412"/>
        <v>117530.6</v>
      </c>
      <c r="GZ79" s="141">
        <f t="shared" si="412"/>
        <v>117530.6</v>
      </c>
      <c r="HA79" s="141">
        <f t="shared" si="412"/>
        <v>117530.6</v>
      </c>
      <c r="HB79" s="141">
        <f t="shared" si="412"/>
        <v>117530.6</v>
      </c>
      <c r="HC79" s="141">
        <f t="shared" si="412"/>
        <v>117530.6</v>
      </c>
      <c r="HD79" s="141">
        <f t="shared" si="412"/>
        <v>117530.6</v>
      </c>
      <c r="HE79" s="141">
        <f t="shared" si="412"/>
        <v>117530.6</v>
      </c>
      <c r="HF79" s="141">
        <f t="shared" si="412"/>
        <v>117530.6</v>
      </c>
      <c r="HG79" s="141">
        <f t="shared" si="412"/>
        <v>117530.6</v>
      </c>
      <c r="HH79" s="141">
        <f t="shared" si="412"/>
        <v>117530.6</v>
      </c>
      <c r="HI79" s="141">
        <f t="shared" si="412"/>
        <v>117530.6</v>
      </c>
      <c r="HJ79" s="141">
        <f t="shared" si="412"/>
        <v>117530.6</v>
      </c>
      <c r="HK79" s="141">
        <f t="shared" si="412"/>
        <v>117530.6</v>
      </c>
      <c r="HL79" s="141">
        <f t="shared" si="412"/>
        <v>117530.6</v>
      </c>
      <c r="HM79" s="142">
        <f t="shared" ref="HM79:IP79" si="413">IF(ISBLANK($A79),,FE79*($AH79-($AH79*$AJ79))/$AI79)</f>
        <v>235061.2</v>
      </c>
      <c r="HN79" s="142">
        <f t="shared" si="413"/>
        <v>235061.2</v>
      </c>
      <c r="HO79" s="142">
        <f t="shared" si="413"/>
        <v>235061.2</v>
      </c>
      <c r="HP79" s="142">
        <f t="shared" si="413"/>
        <v>235061.2</v>
      </c>
      <c r="HQ79" s="142">
        <f t="shared" si="413"/>
        <v>235061.2</v>
      </c>
      <c r="HR79" s="142">
        <f t="shared" si="413"/>
        <v>235061.2</v>
      </c>
      <c r="HS79" s="142">
        <f t="shared" si="413"/>
        <v>235061.2</v>
      </c>
      <c r="HT79" s="142">
        <f t="shared" si="413"/>
        <v>235061.2</v>
      </c>
      <c r="HU79" s="142">
        <f t="shared" si="413"/>
        <v>235061.2</v>
      </c>
      <c r="HV79" s="142">
        <f t="shared" si="413"/>
        <v>235061.2</v>
      </c>
      <c r="HW79" s="142">
        <f t="shared" si="413"/>
        <v>235061.2</v>
      </c>
      <c r="HX79" s="142">
        <f t="shared" si="413"/>
        <v>235061.2</v>
      </c>
      <c r="HY79" s="142">
        <f t="shared" si="413"/>
        <v>235061.2</v>
      </c>
      <c r="HZ79" s="142">
        <f t="shared" si="413"/>
        <v>235061.2</v>
      </c>
      <c r="IA79" s="142">
        <f t="shared" si="413"/>
        <v>235061.2</v>
      </c>
      <c r="IB79" s="142">
        <f t="shared" si="413"/>
        <v>235061.2</v>
      </c>
      <c r="IC79" s="142">
        <f t="shared" si="413"/>
        <v>235061.2</v>
      </c>
      <c r="ID79" s="142">
        <f t="shared" si="413"/>
        <v>235061.2</v>
      </c>
      <c r="IE79" s="142">
        <f t="shared" si="413"/>
        <v>235061.2</v>
      </c>
      <c r="IF79" s="142">
        <f t="shared" si="413"/>
        <v>235061.2</v>
      </c>
      <c r="IG79" s="142">
        <f t="shared" si="413"/>
        <v>235061.2</v>
      </c>
      <c r="IH79" s="142">
        <f t="shared" si="413"/>
        <v>235061.2</v>
      </c>
      <c r="II79" s="142">
        <f t="shared" si="413"/>
        <v>235061.2</v>
      </c>
      <c r="IJ79" s="142">
        <f t="shared" si="413"/>
        <v>235061.2</v>
      </c>
      <c r="IK79" s="142">
        <f t="shared" si="413"/>
        <v>235061.2</v>
      </c>
      <c r="IL79" s="142">
        <f t="shared" si="413"/>
        <v>235061.2</v>
      </c>
      <c r="IM79" s="142">
        <f t="shared" si="413"/>
        <v>235061.2</v>
      </c>
      <c r="IN79" s="142">
        <f t="shared" si="413"/>
        <v>235061.2</v>
      </c>
      <c r="IO79" s="142">
        <f t="shared" si="413"/>
        <v>235061.2</v>
      </c>
      <c r="IP79" s="142">
        <f t="shared" si="413"/>
        <v>235061.2</v>
      </c>
      <c r="IQ79" s="141">
        <f>IF(ISBLANK($A79),,IF($AN79="Não",0,(SUM($AO79:AO79)*$AH79)-SUM($HM79:HM79)-SUM($CW79:CW79)))</f>
        <v>2115550.7999999998</v>
      </c>
      <c r="IR79" s="141">
        <f>IF(ISBLANK($A79),,IF($AN79="Não",0,(SUM($AO79:AP79)*$AH79)-SUM($HM79:HN79)-SUM($CW79:CX79)))</f>
        <v>1880489.6</v>
      </c>
      <c r="IS79" s="141">
        <f>IF(ISBLANK($A79),,IF($AN79="Não",0,(SUM($AO79:AQ79)*$AH79)-SUM($HM79:HO79)-SUM($CW79:CY79)))</f>
        <v>1645428.4</v>
      </c>
      <c r="IT79" s="141">
        <f>IF(ISBLANK($A79),,IF($AN79="Não",0,(SUM($AO79:AR79)*$AH79)-SUM($HM79:HP79)-SUM($CW79:CZ79)))</f>
        <v>1410367.2</v>
      </c>
      <c r="IU79" s="141">
        <f>IF(ISBLANK($A79),,IF($AN79="Não",0,(SUM($AO79:AS79)*$AH79)-SUM($HM79:HQ79)-SUM($CW79:DA79)))</f>
        <v>1175306</v>
      </c>
      <c r="IV79" s="141">
        <f>IF(ISBLANK($A79),,IF($AN79="Não",0,(SUM($AO79:AT79)*$AH79)-SUM($HM79:HR79)-SUM($CW79:DB79)))</f>
        <v>2115550.7999999998</v>
      </c>
      <c r="IW79" s="141">
        <f>IF(ISBLANK($A79),,IF($AN79="Não",0,(SUM($AO79:AU79)*$AH79)-SUM($HM79:HS79)-SUM($CW79:DC79)))</f>
        <v>1880489.6</v>
      </c>
      <c r="IX79" s="141">
        <f>IF(ISBLANK($A79),,IF($AN79="Não",0,(SUM($AO79:AV79)*$AH79)-SUM($HM79:HT79)-SUM($CW79:DD79)))</f>
        <v>1645428.4000000004</v>
      </c>
      <c r="IY79" s="141">
        <f>IF(ISBLANK($A79),,IF($AN79="Não",0,(SUM($AO79:AW79)*$AH79)-SUM($HM79:HU79)-SUM($CW79:DE79)))</f>
        <v>1410367.2000000002</v>
      </c>
      <c r="IZ79" s="141">
        <f>IF(ISBLANK($A79),,IF($AN79="Não",0,(SUM($AO79:AX79)*$AH79)-SUM($HM79:HV79)-SUM($CW79:DF79)))</f>
        <v>1175306</v>
      </c>
      <c r="JA79" s="141">
        <f>IF(ISBLANK($A79),,IF($AN79="Não",0,(SUM($AO79:AY79)*$AH79)-SUM($HM79:HW79)-SUM($CW79:DG79)))</f>
        <v>2115550.7999999998</v>
      </c>
      <c r="JB79" s="141">
        <f>IF(ISBLANK($A79),,IF($AN79="Não",0,(SUM($AO79:AZ79)*$AH79)-SUM($HM79:HX79)-SUM($CW79:DH79)))</f>
        <v>1880489.5999999996</v>
      </c>
      <c r="JC79" s="141">
        <f>IF(ISBLANK($A79),,IF($AN79="Não",0,(SUM($AO79:BA79)*$AH79)-SUM($HM79:HY79)-SUM($CW79:DI79)))</f>
        <v>1645428.3999999994</v>
      </c>
      <c r="JD79" s="141">
        <f>IF(ISBLANK($A79),,IF($AN79="Não",0,(SUM($AO79:BB79)*$AH79)-SUM($HM79:HZ79)-SUM($CW79:DJ79)))</f>
        <v>1410367.1999999993</v>
      </c>
      <c r="JE79" s="141">
        <f>IF(ISBLANK($A79),,IF($AN79="Não",0,(SUM($AO79:BC79)*$AH79)-SUM($HM79:IA79)-SUM($CW79:DK79)))</f>
        <v>1175305.9999999991</v>
      </c>
      <c r="JF79" s="141">
        <f>IF(ISBLANK($A79),,IF($AN79="Não",0,(SUM($AO79:BD79)*$AH79)-SUM($HM79:IB79)-SUM($CW79:DL79)))</f>
        <v>2115550.7999999989</v>
      </c>
      <c r="JG79" s="141">
        <f>IF(ISBLANK($A79),,IF($AN79="Não",0,(SUM($AO79:BE79)*$AH79)-SUM($HM79:IC79)-SUM($CW79:DM79)))</f>
        <v>1880489.5999999987</v>
      </c>
      <c r="JH79" s="141">
        <f>IF(ISBLANK($A79),,IF($AN79="Não",0,(SUM($AO79:BF79)*$AH79)-SUM($HM79:ID79)-SUM($CW79:DN79)))</f>
        <v>1645428.3999999985</v>
      </c>
      <c r="JI79" s="141">
        <f>IF(ISBLANK($A79),,IF($AN79="Não",0,(SUM($AO79:BG79)*$AH79)-SUM($HM79:IE79)-SUM($CW79:DO79)))</f>
        <v>1410367.1999999983</v>
      </c>
      <c r="JJ79" s="141">
        <f>IF(ISBLANK($A79),,IF($AN79="Não",0,(SUM($AO79:BH79)*$AH79)-SUM($HM79:IF79)-SUM($CW79:DP79)))</f>
        <v>1175305.9999999981</v>
      </c>
      <c r="JK79" s="141">
        <f>IF(ISBLANK($A79),,IF($AN79="Não",0,(SUM($AO79:BI79)*$AH79)-SUM($HM79:IG79)-SUM($CW79:DQ79)))</f>
        <v>2115550.799999998</v>
      </c>
      <c r="JL79" s="141">
        <f>IF(ISBLANK($A79),,IF($AN79="Não",0,(SUM($AO79:BJ79)*$AH79)-SUM($HM79:IH79)-SUM($CW79:DR79)))</f>
        <v>1880489.5999999978</v>
      </c>
      <c r="JM79" s="141">
        <f>IF(ISBLANK($A79),,IF($AN79="Não",0,(SUM($AO79:BK79)*$AH79)-SUM($HM79:II79)-SUM($CW79:DS79)))</f>
        <v>1645428.3999999976</v>
      </c>
      <c r="JN79" s="141">
        <f>IF(ISBLANK($A79),,IF($AN79="Não",0,(SUM($AO79:BL79)*$AH79)-SUM($HM79:IJ79)-SUM($CW79:DT79)))</f>
        <v>1410367.1999999974</v>
      </c>
      <c r="JO79" s="141">
        <f>IF(ISBLANK($A79),,IF($AN79="Não",0,(SUM($AO79:BM79)*$AH79)-SUM($HM79:IK79)-SUM($CW79:DU79)))</f>
        <v>1175305.9999999972</v>
      </c>
      <c r="JP79" s="141">
        <f>IF(ISBLANK($A79),,IF($AN79="Não",0,(SUM($AO79:BN79)*$AH79)-SUM($HM79:IL79)-SUM($CW79:DV79)))</f>
        <v>2115550.799999997</v>
      </c>
      <c r="JQ79" s="141">
        <f>IF(ISBLANK($A79),,IF($AN79="Não",0,(SUM($AO79:BO79)*$AH79)-SUM($HM79:IM79)-SUM($CW79:DW79)))</f>
        <v>1880489.5999999968</v>
      </c>
      <c r="JR79" s="141">
        <f>IF(ISBLANK($A79),,IF($AN79="Não",0,(SUM($AO79:BP79)*$AH79)-SUM($HM79:IN79)-SUM($CW79:DX79)))</f>
        <v>1645428.3999999966</v>
      </c>
      <c r="JS79" s="141">
        <f>IF(ISBLANK($A79),,IF($AN79="Não",0,(SUM($AO79:BQ79)*$AH79)-SUM($HM79:IO79)-SUM($CW79:DY79)))</f>
        <v>1410367.1999999965</v>
      </c>
      <c r="JT79" s="141">
        <f>IF(ISBLANK($A79),,IF($AN79="Não",0,(SUM($AO79:BR79)*$AH79)-SUM($HM79:IP79)-SUM($CW79:DZ79)))</f>
        <v>1175305.9999999963</v>
      </c>
    </row>
    <row r="80" spans="1:280" ht="15.75" customHeight="1">
      <c r="A80" s="129" t="s">
        <v>352</v>
      </c>
      <c r="B80" s="129" t="s">
        <v>191</v>
      </c>
      <c r="C80" s="138" t="s">
        <v>196</v>
      </c>
      <c r="D80" s="139">
        <v>400</v>
      </c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607">
        <f t="shared" si="399"/>
        <v>2372.59</v>
      </c>
      <c r="AI80" s="608">
        <f t="shared" si="400"/>
        <v>30</v>
      </c>
      <c r="AJ80" s="609">
        <f t="shared" si="401"/>
        <v>0</v>
      </c>
      <c r="AK80" s="610" t="str">
        <f t="shared" si="402"/>
        <v>Edificações</v>
      </c>
      <c r="AL80" s="609">
        <f t="shared" si="403"/>
        <v>0.05</v>
      </c>
      <c r="AM80" s="611" t="str">
        <f t="shared" si="404"/>
        <v>Sim</v>
      </c>
      <c r="AN80" s="611" t="str">
        <f t="shared" si="405"/>
        <v>Não</v>
      </c>
      <c r="AO80" s="140">
        <f t="array" ref="AO80">IF(ISBLANK($A80),0,IF(OR(AO$5-$AI80&lt;=0,$AM80="Não"),D80,D80+INDEX($AO$6:$BR$176,ROW()-5,COLUMN()-40-$AI80)))*IF($B80="Operacional",IFERROR(VLOOKUP($C80,SN_UGC,28,0),0),1)</f>
        <v>400</v>
      </c>
      <c r="AP80" s="140">
        <f t="array" ref="AP80">IF(ISBLANK($A80),0,IF(OR(AP$5-$AI80&lt;=0,$AM80="Não"),E80,E80+INDEX($AO$6:$BR$176,ROW()-5,COLUMN()-40-$AI80)))*IF($B80="Operacional",IFERROR(VLOOKUP($C80,SN_UGC,28,0),0),1)</f>
        <v>0</v>
      </c>
      <c r="AQ80" s="140">
        <f t="array" ref="AQ80">IF(ISBLANK($A80),0,IF(OR(AQ$5-$AI80&lt;=0,$AM80="Não"),F80,F80+INDEX($AO$6:$BR$176,ROW()-5,COLUMN()-40-$AI80)))*IF($B80="Operacional",IFERROR(VLOOKUP($C80,SN_UGC,28,0),0),1)</f>
        <v>0</v>
      </c>
      <c r="AR80" s="140">
        <f t="array" ref="AR80">IF(ISBLANK($A80),0,IF(OR(AR$5-$AI80&lt;=0,$AM80="Não"),G80,G80+INDEX($AO$6:$BR$176,ROW()-5,COLUMN()-40-$AI80)))*IF($B80="Operacional",IFERROR(VLOOKUP($C80,SN_UGC,28,0),0),1)</f>
        <v>0</v>
      </c>
      <c r="AS80" s="140">
        <f t="array" ref="AS80">IF(ISBLANK($A80),0,IF(OR(AS$5-$AI80&lt;=0,$AM80="Não"),H80,H80+INDEX($AO$6:$BR$176,ROW()-5,COLUMN()-40-$AI80)))*IF($B80="Operacional",IFERROR(VLOOKUP($C80,SN_UGC,28,0),0),1)</f>
        <v>0</v>
      </c>
      <c r="AT80" s="140">
        <f t="array" ref="AT80">IF(ISBLANK($A80),0,IF(OR(AT$5-$AI80&lt;=0,$AM80="Não"),I80,I80+INDEX($AO$6:$BR$176,ROW()-5,COLUMN()-40-$AI80)))*IF($B80="Operacional",IFERROR(VLOOKUP($C80,SN_UGC,28,0),0),1)</f>
        <v>0</v>
      </c>
      <c r="AU80" s="140">
        <f t="array" ref="AU80">IF(ISBLANK($A80),0,IF(OR(AU$5-$AI80&lt;=0,$AM80="Não"),J80,J80+INDEX($AO$6:$BR$176,ROW()-5,COLUMN()-40-$AI80)))*IF($B80="Operacional",IFERROR(VLOOKUP($C80,SN_UGC,28,0),0),1)</f>
        <v>0</v>
      </c>
      <c r="AV80" s="140">
        <f t="array" ref="AV80">IF(ISBLANK($A80),0,IF(OR(AV$5-$AI80&lt;=0,$AM80="Não"),K80,K80+INDEX($AO$6:$BR$176,ROW()-5,COLUMN()-40-$AI80)))*IF($B80="Operacional",IFERROR(VLOOKUP($C80,SN_UGC,28,0),0),1)</f>
        <v>0</v>
      </c>
      <c r="AW80" s="140">
        <f t="array" ref="AW80">IF(ISBLANK($A80),0,IF(OR(AW$5-$AI80&lt;=0,$AM80="Não"),L80,L80+INDEX($AO$6:$BR$176,ROW()-5,COLUMN()-40-$AI80)))*IF($B80="Operacional",IFERROR(VLOOKUP($C80,SN_UGC,28,0),0),1)</f>
        <v>0</v>
      </c>
      <c r="AX80" s="140">
        <f t="array" ref="AX80">IF(ISBLANK($A80),0,IF(OR(AX$5-$AI80&lt;=0,$AM80="Não"),M80,M80+INDEX($AO$6:$BR$176,ROW()-5,COLUMN()-40-$AI80)))*IF($B80="Operacional",IFERROR(VLOOKUP($C80,SN_UGC,28,0),0),1)</f>
        <v>0</v>
      </c>
      <c r="AY80" s="140">
        <f t="array" ref="AY80">IF(ISBLANK($A80),0,IF(OR(AY$5-$AI80&lt;=0,$AM80="Não"),N80,N80+INDEX($AO$6:$BR$176,ROW()-5,COLUMN()-40-$AI80)))*IF($B80="Operacional",IFERROR(VLOOKUP($C80,SN_UGC,28,0),0),1)</f>
        <v>0</v>
      </c>
      <c r="AZ80" s="140">
        <f t="array" ref="AZ80">IF(ISBLANK($A80),0,IF(OR(AZ$5-$AI80&lt;=0,$AM80="Não"),O80,O80+INDEX($AO$6:$BR$176,ROW()-5,COLUMN()-40-$AI80)))*IF($B80="Operacional",IFERROR(VLOOKUP($C80,SN_UGC,28,0),0),1)</f>
        <v>0</v>
      </c>
      <c r="BA80" s="140">
        <f t="array" ref="BA80">IF(ISBLANK($A80),0,IF(OR(BA$5-$AI80&lt;=0,$AM80="Não"),P80,P80+INDEX($AO$6:$BR$176,ROW()-5,COLUMN()-40-$AI80)))*IF($B80="Operacional",IFERROR(VLOOKUP($C80,SN_UGC,28,0),0),1)</f>
        <v>0</v>
      </c>
      <c r="BB80" s="140">
        <f t="array" ref="BB80">IF(ISBLANK($A80),0,IF(OR(BB$5-$AI80&lt;=0,$AM80="Não"),Q80,Q80+INDEX($AO$6:$BR$176,ROW()-5,COLUMN()-40-$AI80)))*IF($B80="Operacional",IFERROR(VLOOKUP($C80,SN_UGC,28,0),0),1)</f>
        <v>0</v>
      </c>
      <c r="BC80" s="140">
        <f t="array" ref="BC80">IF(ISBLANK($A80),0,IF(OR(BC$5-$AI80&lt;=0,$AM80="Não"),R80,R80+INDEX($AO$6:$BR$176,ROW()-5,COLUMN()-40-$AI80)))*IF($B80="Operacional",IFERROR(VLOOKUP($C80,SN_UGC,28,0),0),1)</f>
        <v>0</v>
      </c>
      <c r="BD80" s="140">
        <f t="array" ref="BD80">IF(ISBLANK($A80),0,IF(OR(BD$5-$AI80&lt;=0,$AM80="Não"),S80,S80+INDEX($AO$6:$BR$176,ROW()-5,COLUMN()-40-$AI80)))*IF($B80="Operacional",IFERROR(VLOOKUP($C80,SN_UGC,28,0),0),1)</f>
        <v>0</v>
      </c>
      <c r="BE80" s="140">
        <f t="array" ref="BE80">IF(ISBLANK($A80),0,IF(OR(BE$5-$AI80&lt;=0,$AM80="Não"),T80,T80+INDEX($AO$6:$BR$176,ROW()-5,COLUMN()-40-$AI80)))*IF($B80="Operacional",IFERROR(VLOOKUP($C80,SN_UGC,28,0),0),1)</f>
        <v>0</v>
      </c>
      <c r="BF80" s="140">
        <f t="array" ref="BF80">IF(ISBLANK($A80),0,IF(OR(BF$5-$AI80&lt;=0,$AM80="Não"),U80,U80+INDEX($AO$6:$BR$176,ROW()-5,COLUMN()-40-$AI80)))*IF($B80="Operacional",IFERROR(VLOOKUP($C80,SN_UGC,28,0),0),1)</f>
        <v>0</v>
      </c>
      <c r="BG80" s="140">
        <f t="array" ref="BG80">IF(ISBLANK($A80),0,IF(OR(BG$5-$AI80&lt;=0,$AM80="Não"),V80,V80+INDEX($AO$6:$BR$176,ROW()-5,COLUMN()-40-$AI80)))*IF($B80="Operacional",IFERROR(VLOOKUP($C80,SN_UGC,28,0),0),1)</f>
        <v>0</v>
      </c>
      <c r="BH80" s="140">
        <f t="array" ref="BH80">IF(ISBLANK($A80),0,IF(OR(BH$5-$AI80&lt;=0,$AM80="Não"),W80,W80+INDEX($AO$6:$BR$176,ROW()-5,COLUMN()-40-$AI80)))*IF($B80="Operacional",IFERROR(VLOOKUP($C80,SN_UGC,28,0),0),1)</f>
        <v>0</v>
      </c>
      <c r="BI80" s="140">
        <f t="array" ref="BI80">IF(ISBLANK($A80),0,IF(OR(BI$5-$AI80&lt;=0,$AM80="Não"),X80,X80+INDEX($AO$6:$BR$176,ROW()-5,COLUMN()-40-$AI80)))*IF($B80="Operacional",IFERROR(VLOOKUP($C80,SN_UGC,28,0),0),1)</f>
        <v>0</v>
      </c>
      <c r="BJ80" s="140">
        <f t="array" ref="BJ80">IF(ISBLANK($A80),0,IF(OR(BJ$5-$AI80&lt;=0,$AM80="Não"),Y80,Y80+INDEX($AO$6:$BR$176,ROW()-5,COLUMN()-40-$AI80)))*IF($B80="Operacional",IFERROR(VLOOKUP($C80,SN_UGC,28,0),0),1)</f>
        <v>0</v>
      </c>
      <c r="BK80" s="140">
        <f t="array" ref="BK80">IF(ISBLANK($A80),0,IF(OR(BK$5-$AI80&lt;=0,$AM80="Não"),Z80,Z80+INDEX($AO$6:$BR$176,ROW()-5,COLUMN()-40-$AI80)))*IF($B80="Operacional",IFERROR(VLOOKUP($C80,SN_UGC,28,0),0),1)</f>
        <v>0</v>
      </c>
      <c r="BL80" s="140">
        <f t="array" ref="BL80">IF(ISBLANK($A80),0,IF(OR(BL$5-$AI80&lt;=0,$AM80="Não"),AA80,AA80+INDEX($AO$6:$BR$176,ROW()-5,COLUMN()-40-$AI80)))*IF($B80="Operacional",IFERROR(VLOOKUP($C80,SN_UGC,28,0),0),1)</f>
        <v>0</v>
      </c>
      <c r="BM80" s="140">
        <f t="array" ref="BM80">IF(ISBLANK($A80),0,IF(OR(BM$5-$AI80&lt;=0,$AM80="Não"),AB80,AB80+INDEX($AO$6:$BR$176,ROW()-5,COLUMN()-40-$AI80)))*IF($B80="Operacional",IFERROR(VLOOKUP($C80,SN_UGC,28,0),0),1)</f>
        <v>0</v>
      </c>
      <c r="BN80" s="140">
        <f t="array" ref="BN80">IF(ISBLANK($A80),0,IF(OR(BN$5-$AI80&lt;=0,$AM80="Não"),AC80,AC80+INDEX($AO$6:$BR$176,ROW()-5,COLUMN()-40-$AI80)))*IF($B80="Operacional",IFERROR(VLOOKUP($C80,SN_UGC,28,0),0),1)</f>
        <v>0</v>
      </c>
      <c r="BO80" s="140">
        <f t="array" ref="BO80">IF(ISBLANK($A80),0,IF(OR(BO$5-$AI80&lt;=0,$AM80="Não"),AD80,AD80+INDEX($AO$6:$BR$176,ROW()-5,COLUMN()-40-$AI80)))*IF($B80="Operacional",IFERROR(VLOOKUP($C80,SN_UGC,28,0),0),1)</f>
        <v>0</v>
      </c>
      <c r="BP80" s="140">
        <f t="array" ref="BP80">IF(ISBLANK($A80),0,IF(OR(BP$5-$AI80&lt;=0,$AM80="Não"),AE80,AE80+INDEX($AO$6:$BR$176,ROW()-5,COLUMN()-40-$AI80)))*IF($B80="Operacional",IFERROR(VLOOKUP($C80,SN_UGC,28,0),0),1)</f>
        <v>0</v>
      </c>
      <c r="BQ80" s="140">
        <f t="array" ref="BQ80">IF(ISBLANK($A80),0,IF(OR(BQ$5-$AI80&lt;=0,$AM80="Não"),AF80,AF80+INDEX($AO$6:$BR$176,ROW()-5,COLUMN()-40-$AI80)))*IF($B80="Operacional",IFERROR(VLOOKUP($C80,SN_UGC,28,0),0),1)</f>
        <v>0</v>
      </c>
      <c r="BR80" s="140">
        <f t="array" ref="BR80">IF(ISBLANK($A80),0,IF(OR(BR$5-$AI80&lt;=0,$AM80="Não"),AG80,AG80+INDEX($AO$6:$BR$176,ROW()-5,COLUMN()-40-$AI80)))*IF($B80="Operacional",IFERROR(VLOOKUP($C80,SN_UGC,28,0),0),1)</f>
        <v>0</v>
      </c>
      <c r="BS80" s="141">
        <f t="shared" ref="BS80:CV80" si="414">IF(ISBLANK($A80),0,$AH80*AO80)</f>
        <v>949036</v>
      </c>
      <c r="BT80" s="141">
        <f t="shared" si="414"/>
        <v>0</v>
      </c>
      <c r="BU80" s="141">
        <f t="shared" si="414"/>
        <v>0</v>
      </c>
      <c r="BV80" s="141">
        <f t="shared" si="414"/>
        <v>0</v>
      </c>
      <c r="BW80" s="141">
        <f t="shared" si="414"/>
        <v>0</v>
      </c>
      <c r="BX80" s="141">
        <f t="shared" si="414"/>
        <v>0</v>
      </c>
      <c r="BY80" s="141">
        <f t="shared" si="414"/>
        <v>0</v>
      </c>
      <c r="BZ80" s="141">
        <f t="shared" si="414"/>
        <v>0</v>
      </c>
      <c r="CA80" s="141">
        <f t="shared" si="414"/>
        <v>0</v>
      </c>
      <c r="CB80" s="141">
        <f t="shared" si="414"/>
        <v>0</v>
      </c>
      <c r="CC80" s="141">
        <f t="shared" si="414"/>
        <v>0</v>
      </c>
      <c r="CD80" s="141">
        <f t="shared" si="414"/>
        <v>0</v>
      </c>
      <c r="CE80" s="141">
        <f t="shared" si="414"/>
        <v>0</v>
      </c>
      <c r="CF80" s="141">
        <f t="shared" si="414"/>
        <v>0</v>
      </c>
      <c r="CG80" s="141">
        <f t="shared" si="414"/>
        <v>0</v>
      </c>
      <c r="CH80" s="141">
        <f t="shared" si="414"/>
        <v>0</v>
      </c>
      <c r="CI80" s="141">
        <f t="shared" si="414"/>
        <v>0</v>
      </c>
      <c r="CJ80" s="141">
        <f t="shared" si="414"/>
        <v>0</v>
      </c>
      <c r="CK80" s="141">
        <f t="shared" si="414"/>
        <v>0</v>
      </c>
      <c r="CL80" s="141">
        <f t="shared" si="414"/>
        <v>0</v>
      </c>
      <c r="CM80" s="141">
        <f t="shared" si="414"/>
        <v>0</v>
      </c>
      <c r="CN80" s="141">
        <f t="shared" si="414"/>
        <v>0</v>
      </c>
      <c r="CO80" s="141">
        <f t="shared" si="414"/>
        <v>0</v>
      </c>
      <c r="CP80" s="141">
        <f t="shared" si="414"/>
        <v>0</v>
      </c>
      <c r="CQ80" s="141">
        <f t="shared" si="414"/>
        <v>0</v>
      </c>
      <c r="CR80" s="141">
        <f t="shared" si="414"/>
        <v>0</v>
      </c>
      <c r="CS80" s="141">
        <f t="shared" si="414"/>
        <v>0</v>
      </c>
      <c r="CT80" s="141">
        <f t="shared" si="414"/>
        <v>0</v>
      </c>
      <c r="CU80" s="141">
        <f t="shared" si="414"/>
        <v>0</v>
      </c>
      <c r="CV80" s="141">
        <f t="shared" si="414"/>
        <v>0</v>
      </c>
      <c r="CW80" s="142">
        <f t="shared" ref="CW80:DZ80" si="415">EA80*$AH80*$AJ80</f>
        <v>0</v>
      </c>
      <c r="CX80" s="142">
        <f t="shared" si="415"/>
        <v>0</v>
      </c>
      <c r="CY80" s="142">
        <f t="shared" si="415"/>
        <v>0</v>
      </c>
      <c r="CZ80" s="142">
        <f t="shared" si="415"/>
        <v>0</v>
      </c>
      <c r="DA80" s="142">
        <f t="shared" si="415"/>
        <v>0</v>
      </c>
      <c r="DB80" s="142">
        <f t="shared" si="415"/>
        <v>0</v>
      </c>
      <c r="DC80" s="142">
        <f t="shared" si="415"/>
        <v>0</v>
      </c>
      <c r="DD80" s="142">
        <f t="shared" si="415"/>
        <v>0</v>
      </c>
      <c r="DE80" s="142">
        <f t="shared" si="415"/>
        <v>0</v>
      </c>
      <c r="DF80" s="142">
        <f t="shared" si="415"/>
        <v>0</v>
      </c>
      <c r="DG80" s="142">
        <f t="shared" si="415"/>
        <v>0</v>
      </c>
      <c r="DH80" s="142">
        <f t="shared" si="415"/>
        <v>0</v>
      </c>
      <c r="DI80" s="142">
        <f t="shared" si="415"/>
        <v>0</v>
      </c>
      <c r="DJ80" s="142">
        <f t="shared" si="415"/>
        <v>0</v>
      </c>
      <c r="DK80" s="142">
        <f t="shared" si="415"/>
        <v>0</v>
      </c>
      <c r="DL80" s="142">
        <f t="shared" si="415"/>
        <v>0</v>
      </c>
      <c r="DM80" s="142">
        <f t="shared" si="415"/>
        <v>0</v>
      </c>
      <c r="DN80" s="142">
        <f t="shared" si="415"/>
        <v>0</v>
      </c>
      <c r="DO80" s="142">
        <f t="shared" si="415"/>
        <v>0</v>
      </c>
      <c r="DP80" s="142">
        <f t="shared" si="415"/>
        <v>0</v>
      </c>
      <c r="DQ80" s="142">
        <f t="shared" si="415"/>
        <v>0</v>
      </c>
      <c r="DR80" s="142">
        <f t="shared" si="415"/>
        <v>0</v>
      </c>
      <c r="DS80" s="142">
        <f t="shared" si="415"/>
        <v>0</v>
      </c>
      <c r="DT80" s="142">
        <f t="shared" si="415"/>
        <v>0</v>
      </c>
      <c r="DU80" s="142">
        <f t="shared" si="415"/>
        <v>0</v>
      </c>
      <c r="DV80" s="142">
        <f t="shared" si="415"/>
        <v>0</v>
      </c>
      <c r="DW80" s="142">
        <f t="shared" si="415"/>
        <v>0</v>
      </c>
      <c r="DX80" s="142">
        <f t="shared" si="415"/>
        <v>0</v>
      </c>
      <c r="DY80" s="142">
        <f t="shared" si="415"/>
        <v>0</v>
      </c>
      <c r="DZ80" s="142">
        <f t="shared" si="415"/>
        <v>0</v>
      </c>
      <c r="EA80" s="143">
        <f t="shared" si="339"/>
        <v>0</v>
      </c>
      <c r="EB80" s="143">
        <f t="shared" si="340"/>
        <v>0</v>
      </c>
      <c r="EC80" s="143">
        <f t="shared" si="341"/>
        <v>0</v>
      </c>
      <c r="ED80" s="143">
        <f t="shared" si="342"/>
        <v>0</v>
      </c>
      <c r="EE80" s="143">
        <f t="shared" si="343"/>
        <v>0</v>
      </c>
      <c r="EF80" s="143">
        <f t="shared" si="344"/>
        <v>0</v>
      </c>
      <c r="EG80" s="143">
        <f t="shared" si="345"/>
        <v>0</v>
      </c>
      <c r="EH80" s="143">
        <f t="shared" si="346"/>
        <v>0</v>
      </c>
      <c r="EI80" s="143">
        <f t="shared" si="347"/>
        <v>0</v>
      </c>
      <c r="EJ80" s="143">
        <f t="shared" si="348"/>
        <v>0</v>
      </c>
      <c r="EK80" s="143">
        <f t="shared" si="349"/>
        <v>0</v>
      </c>
      <c r="EL80" s="143">
        <f t="shared" si="350"/>
        <v>0</v>
      </c>
      <c r="EM80" s="143">
        <f t="shared" si="351"/>
        <v>0</v>
      </c>
      <c r="EN80" s="143">
        <f t="shared" si="352"/>
        <v>0</v>
      </c>
      <c r="EO80" s="143">
        <f t="shared" si="353"/>
        <v>0</v>
      </c>
      <c r="EP80" s="143">
        <f t="shared" si="354"/>
        <v>0</v>
      </c>
      <c r="EQ80" s="143">
        <f t="shared" si="355"/>
        <v>0</v>
      </c>
      <c r="ER80" s="143">
        <f t="shared" si="356"/>
        <v>0</v>
      </c>
      <c r="ES80" s="143">
        <f t="shared" si="357"/>
        <v>0</v>
      </c>
      <c r="ET80" s="143">
        <f t="shared" si="358"/>
        <v>0</v>
      </c>
      <c r="EU80" s="143">
        <f t="shared" si="359"/>
        <v>0</v>
      </c>
      <c r="EV80" s="143">
        <f t="shared" si="360"/>
        <v>0</v>
      </c>
      <c r="EW80" s="143">
        <f t="shared" si="361"/>
        <v>0</v>
      </c>
      <c r="EX80" s="143">
        <f t="shared" si="362"/>
        <v>0</v>
      </c>
      <c r="EY80" s="143">
        <f t="shared" si="363"/>
        <v>0</v>
      </c>
      <c r="EZ80" s="143">
        <f t="shared" si="364"/>
        <v>0</v>
      </c>
      <c r="FA80" s="143">
        <f t="shared" si="365"/>
        <v>0</v>
      </c>
      <c r="FB80" s="143">
        <f t="shared" si="366"/>
        <v>0</v>
      </c>
      <c r="FC80" s="143">
        <f t="shared" si="367"/>
        <v>0</v>
      </c>
      <c r="FD80" s="143">
        <f t="shared" si="368"/>
        <v>0</v>
      </c>
      <c r="FE80" s="140">
        <f>SUM($D80:D80)*IF($B80="Operacional",IFERROR(VLOOKUP($C80,SN_UGC,28,0),0),1)</f>
        <v>400</v>
      </c>
      <c r="FF80" s="140">
        <f>SUM($D80:E80)*IF($B80="Operacional",IFERROR(VLOOKUP($C80,SN_UGC,28,0),0),1)</f>
        <v>400</v>
      </c>
      <c r="FG80" s="140">
        <f>SUM($D80:F80)*IF($B80="Operacional",IFERROR(VLOOKUP($C80,SN_UGC,28,0),0),1)</f>
        <v>400</v>
      </c>
      <c r="FH80" s="140">
        <f>SUM($D80:G80)*IF($B80="Operacional",IFERROR(VLOOKUP($C80,SN_UGC,28,0),0),1)</f>
        <v>400</v>
      </c>
      <c r="FI80" s="140">
        <f>SUM($D80:H80)*IF($B80="Operacional",IFERROR(VLOOKUP($C80,SN_UGC,28,0),0),1)</f>
        <v>400</v>
      </c>
      <c r="FJ80" s="140">
        <f>SUM($D80:I80)*IF($B80="Operacional",IFERROR(VLOOKUP($C80,SN_UGC,28,0),0),1)</f>
        <v>400</v>
      </c>
      <c r="FK80" s="140">
        <f>SUM($D80:J80)*IF($B80="Operacional",IFERROR(VLOOKUP($C80,SN_UGC,28,0),0),1)</f>
        <v>400</v>
      </c>
      <c r="FL80" s="140">
        <f>SUM($D80:K80)*IF($B80="Operacional",IFERROR(VLOOKUP($C80,SN_UGC,28,0),0),1)</f>
        <v>400</v>
      </c>
      <c r="FM80" s="140">
        <f>SUM($D80:L80)*IF($B80="Operacional",IFERROR(VLOOKUP($C80,SN_UGC,28,0),0),1)</f>
        <v>400</v>
      </c>
      <c r="FN80" s="140">
        <f>SUM($D80:M80)*IF($B80="Operacional",IFERROR(VLOOKUP($C80,SN_UGC,28,0),0),1)</f>
        <v>400</v>
      </c>
      <c r="FO80" s="140">
        <f>SUM($D80:N80)*IF($B80="Operacional",IFERROR(VLOOKUP($C80,SN_UGC,28,0),0),1)</f>
        <v>400</v>
      </c>
      <c r="FP80" s="140">
        <f>SUM($D80:O80)*IF($B80="Operacional",IFERROR(VLOOKUP($C80,SN_UGC,28,0),0),1)</f>
        <v>400</v>
      </c>
      <c r="FQ80" s="140">
        <f>SUM($D80:P80)*IF($B80="Operacional",IFERROR(VLOOKUP($C80,SN_UGC,28,0),0),1)</f>
        <v>400</v>
      </c>
      <c r="FR80" s="140">
        <f>SUM($D80:Q80)*IF($B80="Operacional",IFERROR(VLOOKUP($C80,SN_UGC,28,0),0),1)</f>
        <v>400</v>
      </c>
      <c r="FS80" s="140">
        <f>SUM($D80:R80)*IF($B80="Operacional",IFERROR(VLOOKUP($C80,SN_UGC,28,0),0),1)</f>
        <v>400</v>
      </c>
      <c r="FT80" s="140">
        <f>SUM($D80:S80)*IF($B80="Operacional",IFERROR(VLOOKUP($C80,SN_UGC,28,0),0),1)</f>
        <v>400</v>
      </c>
      <c r="FU80" s="140">
        <f>SUM($D80:T80)*IF($B80="Operacional",IFERROR(VLOOKUP($C80,SN_UGC,28,0),0),1)</f>
        <v>400</v>
      </c>
      <c r="FV80" s="140">
        <f>SUM($D80:U80)*IF($B80="Operacional",IFERROR(VLOOKUP($C80,SN_UGC,28,0),0),1)</f>
        <v>400</v>
      </c>
      <c r="FW80" s="140">
        <f>SUM($D80:V80)*IF($B80="Operacional",IFERROR(VLOOKUP($C80,SN_UGC,28,0),0),1)</f>
        <v>400</v>
      </c>
      <c r="FX80" s="140">
        <f>SUM($D80:W80)*IF($B80="Operacional",IFERROR(VLOOKUP($C80,SN_UGC,28,0),0),1)</f>
        <v>400</v>
      </c>
      <c r="FY80" s="140">
        <f>SUM($D80:X80)*IF($B80="Operacional",IFERROR(VLOOKUP($C80,SN_UGC,28,0),0),1)</f>
        <v>400</v>
      </c>
      <c r="FZ80" s="140">
        <f>SUM($D80:Y80)*IF($B80="Operacional",IFERROR(VLOOKUP($C80,SN_UGC,28,0),0),1)</f>
        <v>400</v>
      </c>
      <c r="GA80" s="140">
        <f>SUM($D80:Z80)*IF($B80="Operacional",IFERROR(VLOOKUP($C80,SN_UGC,28,0),0),1)</f>
        <v>400</v>
      </c>
      <c r="GB80" s="140">
        <f>SUM($D80:AA80)*IF($B80="Operacional",IFERROR(VLOOKUP($C80,SN_UGC,28,0),0),1)</f>
        <v>400</v>
      </c>
      <c r="GC80" s="140">
        <f>SUM($D80:AB80)*IF($B80="Operacional",IFERROR(VLOOKUP($C80,SN_UGC,28,0),0),1)</f>
        <v>400</v>
      </c>
      <c r="GD80" s="140">
        <f>SUM($D80:AC80)*IF($B80="Operacional",IFERROR(VLOOKUP($C80,SN_UGC,28,0),0),1)</f>
        <v>400</v>
      </c>
      <c r="GE80" s="140">
        <f>SUM($D80:AD80)*IF($B80="Operacional",IFERROR(VLOOKUP($C80,SN_UGC,28,0),0),1)</f>
        <v>400</v>
      </c>
      <c r="GF80" s="140">
        <f>SUM($D80:AE80)*IF($B80="Operacional",IFERROR(VLOOKUP($C80,SN_UGC,28,0),0),1)</f>
        <v>400</v>
      </c>
      <c r="GG80" s="140">
        <f>SUM($D80:AF80)*IF($B80="Operacional",IFERROR(VLOOKUP($C80,SN_UGC,28,0),0),1)</f>
        <v>400</v>
      </c>
      <c r="GH80" s="140">
        <f>SUM($D80:AG80)*IF($B80="Operacional",IFERROR(VLOOKUP($C80,SN_UGC,28,0),0),1)</f>
        <v>400</v>
      </c>
      <c r="GI80" s="141">
        <f t="shared" ref="GI80:HL80" si="416">FE80*$AH80*$AL80</f>
        <v>47451.8</v>
      </c>
      <c r="GJ80" s="141">
        <f t="shared" si="416"/>
        <v>47451.8</v>
      </c>
      <c r="GK80" s="141">
        <f t="shared" si="416"/>
        <v>47451.8</v>
      </c>
      <c r="GL80" s="141">
        <f t="shared" si="416"/>
        <v>47451.8</v>
      </c>
      <c r="GM80" s="141">
        <f t="shared" si="416"/>
        <v>47451.8</v>
      </c>
      <c r="GN80" s="141">
        <f t="shared" si="416"/>
        <v>47451.8</v>
      </c>
      <c r="GO80" s="141">
        <f t="shared" si="416"/>
        <v>47451.8</v>
      </c>
      <c r="GP80" s="141">
        <f t="shared" si="416"/>
        <v>47451.8</v>
      </c>
      <c r="GQ80" s="141">
        <f t="shared" si="416"/>
        <v>47451.8</v>
      </c>
      <c r="GR80" s="141">
        <f t="shared" si="416"/>
        <v>47451.8</v>
      </c>
      <c r="GS80" s="141">
        <f t="shared" si="416"/>
        <v>47451.8</v>
      </c>
      <c r="GT80" s="141">
        <f t="shared" si="416"/>
        <v>47451.8</v>
      </c>
      <c r="GU80" s="141">
        <f t="shared" si="416"/>
        <v>47451.8</v>
      </c>
      <c r="GV80" s="141">
        <f t="shared" si="416"/>
        <v>47451.8</v>
      </c>
      <c r="GW80" s="141">
        <f t="shared" si="416"/>
        <v>47451.8</v>
      </c>
      <c r="GX80" s="141">
        <f t="shared" si="416"/>
        <v>47451.8</v>
      </c>
      <c r="GY80" s="141">
        <f t="shared" si="416"/>
        <v>47451.8</v>
      </c>
      <c r="GZ80" s="141">
        <f t="shared" si="416"/>
        <v>47451.8</v>
      </c>
      <c r="HA80" s="141">
        <f t="shared" si="416"/>
        <v>47451.8</v>
      </c>
      <c r="HB80" s="141">
        <f t="shared" si="416"/>
        <v>47451.8</v>
      </c>
      <c r="HC80" s="141">
        <f t="shared" si="416"/>
        <v>47451.8</v>
      </c>
      <c r="HD80" s="141">
        <f t="shared" si="416"/>
        <v>47451.8</v>
      </c>
      <c r="HE80" s="141">
        <f t="shared" si="416"/>
        <v>47451.8</v>
      </c>
      <c r="HF80" s="141">
        <f t="shared" si="416"/>
        <v>47451.8</v>
      </c>
      <c r="HG80" s="141">
        <f t="shared" si="416"/>
        <v>47451.8</v>
      </c>
      <c r="HH80" s="141">
        <f t="shared" si="416"/>
        <v>47451.8</v>
      </c>
      <c r="HI80" s="141">
        <f t="shared" si="416"/>
        <v>47451.8</v>
      </c>
      <c r="HJ80" s="141">
        <f t="shared" si="416"/>
        <v>47451.8</v>
      </c>
      <c r="HK80" s="141">
        <f t="shared" si="416"/>
        <v>47451.8</v>
      </c>
      <c r="HL80" s="141">
        <f t="shared" si="416"/>
        <v>47451.8</v>
      </c>
      <c r="HM80" s="142">
        <f t="shared" ref="HM80:IP80" si="417">IF(ISBLANK($A80),,FE80*($AH80-($AH80*$AJ80))/$AI80)</f>
        <v>31634.533333333333</v>
      </c>
      <c r="HN80" s="142">
        <f t="shared" si="417"/>
        <v>31634.533333333333</v>
      </c>
      <c r="HO80" s="142">
        <f t="shared" si="417"/>
        <v>31634.533333333333</v>
      </c>
      <c r="HP80" s="142">
        <f t="shared" si="417"/>
        <v>31634.533333333333</v>
      </c>
      <c r="HQ80" s="142">
        <f t="shared" si="417"/>
        <v>31634.533333333333</v>
      </c>
      <c r="HR80" s="142">
        <f t="shared" si="417"/>
        <v>31634.533333333333</v>
      </c>
      <c r="HS80" s="142">
        <f t="shared" si="417"/>
        <v>31634.533333333333</v>
      </c>
      <c r="HT80" s="142">
        <f t="shared" si="417"/>
        <v>31634.533333333333</v>
      </c>
      <c r="HU80" s="142">
        <f t="shared" si="417"/>
        <v>31634.533333333333</v>
      </c>
      <c r="HV80" s="142">
        <f t="shared" si="417"/>
        <v>31634.533333333333</v>
      </c>
      <c r="HW80" s="142">
        <f t="shared" si="417"/>
        <v>31634.533333333333</v>
      </c>
      <c r="HX80" s="142">
        <f t="shared" si="417"/>
        <v>31634.533333333333</v>
      </c>
      <c r="HY80" s="142">
        <f t="shared" si="417"/>
        <v>31634.533333333333</v>
      </c>
      <c r="HZ80" s="142">
        <f t="shared" si="417"/>
        <v>31634.533333333333</v>
      </c>
      <c r="IA80" s="142">
        <f t="shared" si="417"/>
        <v>31634.533333333333</v>
      </c>
      <c r="IB80" s="142">
        <f t="shared" si="417"/>
        <v>31634.533333333333</v>
      </c>
      <c r="IC80" s="142">
        <f t="shared" si="417"/>
        <v>31634.533333333333</v>
      </c>
      <c r="ID80" s="142">
        <f t="shared" si="417"/>
        <v>31634.533333333333</v>
      </c>
      <c r="IE80" s="142">
        <f t="shared" si="417"/>
        <v>31634.533333333333</v>
      </c>
      <c r="IF80" s="142">
        <f t="shared" si="417"/>
        <v>31634.533333333333</v>
      </c>
      <c r="IG80" s="142">
        <f t="shared" si="417"/>
        <v>31634.533333333333</v>
      </c>
      <c r="IH80" s="142">
        <f t="shared" si="417"/>
        <v>31634.533333333333</v>
      </c>
      <c r="II80" s="142">
        <f t="shared" si="417"/>
        <v>31634.533333333333</v>
      </c>
      <c r="IJ80" s="142">
        <f t="shared" si="417"/>
        <v>31634.533333333333</v>
      </c>
      <c r="IK80" s="142">
        <f t="shared" si="417"/>
        <v>31634.533333333333</v>
      </c>
      <c r="IL80" s="142">
        <f t="shared" si="417"/>
        <v>31634.533333333333</v>
      </c>
      <c r="IM80" s="142">
        <f t="shared" si="417"/>
        <v>31634.533333333333</v>
      </c>
      <c r="IN80" s="142">
        <f t="shared" si="417"/>
        <v>31634.533333333333</v>
      </c>
      <c r="IO80" s="142">
        <f t="shared" si="417"/>
        <v>31634.533333333333</v>
      </c>
      <c r="IP80" s="142">
        <f t="shared" si="417"/>
        <v>31634.533333333333</v>
      </c>
      <c r="IQ80" s="141">
        <f>IF(ISBLANK($A80),,IF($AN80="Não",0,(SUM($AO80:AO80)*$AH80)-SUM($HM80:HM80)-SUM($CW80:CW80)))</f>
        <v>0</v>
      </c>
      <c r="IR80" s="141">
        <f>IF(ISBLANK($A80),,IF($AN80="Não",0,(SUM($AO80:AP80)*$AH80)-SUM($HM80:HN80)-SUM($CW80:CX80)))</f>
        <v>0</v>
      </c>
      <c r="IS80" s="141">
        <f>IF(ISBLANK($A80),,IF($AN80="Não",0,(SUM($AO80:AQ80)*$AH80)-SUM($HM80:HO80)-SUM($CW80:CY80)))</f>
        <v>0</v>
      </c>
      <c r="IT80" s="141">
        <f>IF(ISBLANK($A80),,IF($AN80="Não",0,(SUM($AO80:AR80)*$AH80)-SUM($HM80:HP80)-SUM($CW80:CZ80)))</f>
        <v>0</v>
      </c>
      <c r="IU80" s="141">
        <f>IF(ISBLANK($A80),,IF($AN80="Não",0,(SUM($AO80:AS80)*$AH80)-SUM($HM80:HQ80)-SUM($CW80:DA80)))</f>
        <v>0</v>
      </c>
      <c r="IV80" s="141">
        <f>IF(ISBLANK($A80),,IF($AN80="Não",0,(SUM($AO80:AT80)*$AH80)-SUM($HM80:HR80)-SUM($CW80:DB80)))</f>
        <v>0</v>
      </c>
      <c r="IW80" s="141">
        <f>IF(ISBLANK($A80),,IF($AN80="Não",0,(SUM($AO80:AU80)*$AH80)-SUM($HM80:HS80)-SUM($CW80:DC80)))</f>
        <v>0</v>
      </c>
      <c r="IX80" s="141">
        <f>IF(ISBLANK($A80),,IF($AN80="Não",0,(SUM($AO80:AV80)*$AH80)-SUM($HM80:HT80)-SUM($CW80:DD80)))</f>
        <v>0</v>
      </c>
      <c r="IY80" s="141">
        <f>IF(ISBLANK($A80),,IF($AN80="Não",0,(SUM($AO80:AW80)*$AH80)-SUM($HM80:HU80)-SUM($CW80:DE80)))</f>
        <v>0</v>
      </c>
      <c r="IZ80" s="141">
        <f>IF(ISBLANK($A80),,IF($AN80="Não",0,(SUM($AO80:AX80)*$AH80)-SUM($HM80:HV80)-SUM($CW80:DF80)))</f>
        <v>0</v>
      </c>
      <c r="JA80" s="141">
        <f>IF(ISBLANK($A80),,IF($AN80="Não",0,(SUM($AO80:AY80)*$AH80)-SUM($HM80:HW80)-SUM($CW80:DG80)))</f>
        <v>0</v>
      </c>
      <c r="JB80" s="141">
        <f>IF(ISBLANK($A80),,IF($AN80="Não",0,(SUM($AO80:AZ80)*$AH80)-SUM($HM80:HX80)-SUM($CW80:DH80)))</f>
        <v>0</v>
      </c>
      <c r="JC80" s="141">
        <f>IF(ISBLANK($A80),,IF($AN80="Não",0,(SUM($AO80:BA80)*$AH80)-SUM($HM80:HY80)-SUM($CW80:DI80)))</f>
        <v>0</v>
      </c>
      <c r="JD80" s="141">
        <f>IF(ISBLANK($A80),,IF($AN80="Não",0,(SUM($AO80:BB80)*$AH80)-SUM($HM80:HZ80)-SUM($CW80:DJ80)))</f>
        <v>0</v>
      </c>
      <c r="JE80" s="141">
        <f>IF(ISBLANK($A80),,IF($AN80="Não",0,(SUM($AO80:BC80)*$AH80)-SUM($HM80:IA80)-SUM($CW80:DK80)))</f>
        <v>0</v>
      </c>
      <c r="JF80" s="141">
        <f>IF(ISBLANK($A80),,IF($AN80="Não",0,(SUM($AO80:BD80)*$AH80)-SUM($HM80:IB80)-SUM($CW80:DL80)))</f>
        <v>0</v>
      </c>
      <c r="JG80" s="141">
        <f>IF(ISBLANK($A80),,IF($AN80="Não",0,(SUM($AO80:BE80)*$AH80)-SUM($HM80:IC80)-SUM($CW80:DM80)))</f>
        <v>0</v>
      </c>
      <c r="JH80" s="141">
        <f>IF(ISBLANK($A80),,IF($AN80="Não",0,(SUM($AO80:BF80)*$AH80)-SUM($HM80:ID80)-SUM($CW80:DN80)))</f>
        <v>0</v>
      </c>
      <c r="JI80" s="141">
        <f>IF(ISBLANK($A80),,IF($AN80="Não",0,(SUM($AO80:BG80)*$AH80)-SUM($HM80:IE80)-SUM($CW80:DO80)))</f>
        <v>0</v>
      </c>
      <c r="JJ80" s="141">
        <f>IF(ISBLANK($A80),,IF($AN80="Não",0,(SUM($AO80:BH80)*$AH80)-SUM($HM80:IF80)-SUM($CW80:DP80)))</f>
        <v>0</v>
      </c>
      <c r="JK80" s="141">
        <f>IF(ISBLANK($A80),,IF($AN80="Não",0,(SUM($AO80:BI80)*$AH80)-SUM($HM80:IG80)-SUM($CW80:DQ80)))</f>
        <v>0</v>
      </c>
      <c r="JL80" s="141">
        <f>IF(ISBLANK($A80),,IF($AN80="Não",0,(SUM($AO80:BJ80)*$AH80)-SUM($HM80:IH80)-SUM($CW80:DR80)))</f>
        <v>0</v>
      </c>
      <c r="JM80" s="141">
        <f>IF(ISBLANK($A80),,IF($AN80="Não",0,(SUM($AO80:BK80)*$AH80)-SUM($HM80:II80)-SUM($CW80:DS80)))</f>
        <v>0</v>
      </c>
      <c r="JN80" s="141">
        <f>IF(ISBLANK($A80),,IF($AN80="Não",0,(SUM($AO80:BL80)*$AH80)-SUM($HM80:IJ80)-SUM($CW80:DT80)))</f>
        <v>0</v>
      </c>
      <c r="JO80" s="141">
        <f>IF(ISBLANK($A80),,IF($AN80="Não",0,(SUM($AO80:BM80)*$AH80)-SUM($HM80:IK80)-SUM($CW80:DU80)))</f>
        <v>0</v>
      </c>
      <c r="JP80" s="141">
        <f>IF(ISBLANK($A80),,IF($AN80="Não",0,(SUM($AO80:BN80)*$AH80)-SUM($HM80:IL80)-SUM($CW80:DV80)))</f>
        <v>0</v>
      </c>
      <c r="JQ80" s="141">
        <f>IF(ISBLANK($A80),,IF($AN80="Não",0,(SUM($AO80:BO80)*$AH80)-SUM($HM80:IM80)-SUM($CW80:DW80)))</f>
        <v>0</v>
      </c>
      <c r="JR80" s="141">
        <f>IF(ISBLANK($A80),,IF($AN80="Não",0,(SUM($AO80:BP80)*$AH80)-SUM($HM80:IN80)-SUM($CW80:DX80)))</f>
        <v>0</v>
      </c>
      <c r="JS80" s="141">
        <f>IF(ISBLANK($A80),,IF($AN80="Não",0,(SUM($AO80:BQ80)*$AH80)-SUM($HM80:IO80)-SUM($CW80:DY80)))</f>
        <v>0</v>
      </c>
      <c r="JT80" s="141">
        <f>IF(ISBLANK($A80),,IF($AN80="Não",0,(SUM($AO80:BR80)*$AH80)-SUM($HM80:IP80)-SUM($CW80:DZ80)))</f>
        <v>0</v>
      </c>
    </row>
    <row r="81" spans="1:280" ht="15.75" customHeight="1">
      <c r="A81" s="129" t="s">
        <v>406</v>
      </c>
      <c r="B81" s="129" t="s">
        <v>191</v>
      </c>
      <c r="C81" s="138" t="s">
        <v>196</v>
      </c>
      <c r="D81" s="139">
        <v>400</v>
      </c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607">
        <f t="shared" si="399"/>
        <v>407.00000000000006</v>
      </c>
      <c r="AI81" s="608">
        <f t="shared" si="400"/>
        <v>10</v>
      </c>
      <c r="AJ81" s="609">
        <f t="shared" si="401"/>
        <v>0.25</v>
      </c>
      <c r="AK81" s="610" t="str">
        <f t="shared" si="402"/>
        <v>Móveis e Utensílios</v>
      </c>
      <c r="AL81" s="609">
        <f t="shared" si="403"/>
        <v>0.05</v>
      </c>
      <c r="AM81" s="611" t="str">
        <f t="shared" si="404"/>
        <v>Sim</v>
      </c>
      <c r="AN81" s="611" t="str">
        <f t="shared" si="405"/>
        <v>Sim</v>
      </c>
      <c r="AO81" s="140">
        <f t="array" ref="AO81">IF(ISBLANK($A81),0,IF(OR(AO$5-$AI81&lt;=0,$AM81="Não"),D81,D81+INDEX($AO$6:$BR$176,ROW()-5,COLUMN()-40-$AI81)))*IF($B81="Operacional",IFERROR(VLOOKUP($C81,SN_UGC,28,0),0),1)</f>
        <v>400</v>
      </c>
      <c r="AP81" s="140">
        <f t="array" ref="AP81">IF(ISBLANK($A81),0,IF(OR(AP$5-$AI81&lt;=0,$AM81="Não"),E81,E81+INDEX($AO$6:$BR$176,ROW()-5,COLUMN()-40-$AI81)))*IF($B81="Operacional",IFERROR(VLOOKUP($C81,SN_UGC,28,0),0),1)</f>
        <v>0</v>
      </c>
      <c r="AQ81" s="140">
        <f t="array" ref="AQ81">IF(ISBLANK($A81),0,IF(OR(AQ$5-$AI81&lt;=0,$AM81="Não"),F81,F81+INDEX($AO$6:$BR$176,ROW()-5,COLUMN()-40-$AI81)))*IF($B81="Operacional",IFERROR(VLOOKUP($C81,SN_UGC,28,0),0),1)</f>
        <v>0</v>
      </c>
      <c r="AR81" s="140">
        <f t="array" ref="AR81">IF(ISBLANK($A81),0,IF(OR(AR$5-$AI81&lt;=0,$AM81="Não"),G81,G81+INDEX($AO$6:$BR$176,ROW()-5,COLUMN()-40-$AI81)))*IF($B81="Operacional",IFERROR(VLOOKUP($C81,SN_UGC,28,0),0),1)</f>
        <v>0</v>
      </c>
      <c r="AS81" s="140">
        <f t="array" ref="AS81">IF(ISBLANK($A81),0,IF(OR(AS$5-$AI81&lt;=0,$AM81="Não"),H81,H81+INDEX($AO$6:$BR$176,ROW()-5,COLUMN()-40-$AI81)))*IF($B81="Operacional",IFERROR(VLOOKUP($C81,SN_UGC,28,0),0),1)</f>
        <v>0</v>
      </c>
      <c r="AT81" s="140">
        <f t="array" ref="AT81">IF(ISBLANK($A81),0,IF(OR(AT$5-$AI81&lt;=0,$AM81="Não"),I81,I81+INDEX($AO$6:$BR$176,ROW()-5,COLUMN()-40-$AI81)))*IF($B81="Operacional",IFERROR(VLOOKUP($C81,SN_UGC,28,0),0),1)</f>
        <v>0</v>
      </c>
      <c r="AU81" s="140">
        <f t="array" ref="AU81">IF(ISBLANK($A81),0,IF(OR(AU$5-$AI81&lt;=0,$AM81="Não"),J81,J81+INDEX($AO$6:$BR$176,ROW()-5,COLUMN()-40-$AI81)))*IF($B81="Operacional",IFERROR(VLOOKUP($C81,SN_UGC,28,0),0),1)</f>
        <v>0</v>
      </c>
      <c r="AV81" s="140">
        <f t="array" ref="AV81">IF(ISBLANK($A81),0,IF(OR(AV$5-$AI81&lt;=0,$AM81="Não"),K81,K81+INDEX($AO$6:$BR$176,ROW()-5,COLUMN()-40-$AI81)))*IF($B81="Operacional",IFERROR(VLOOKUP($C81,SN_UGC,28,0),0),1)</f>
        <v>0</v>
      </c>
      <c r="AW81" s="140">
        <f t="array" ref="AW81">IF(ISBLANK($A81),0,IF(OR(AW$5-$AI81&lt;=0,$AM81="Não"),L81,L81+INDEX($AO$6:$BR$176,ROW()-5,COLUMN()-40-$AI81)))*IF($B81="Operacional",IFERROR(VLOOKUP($C81,SN_UGC,28,0),0),1)</f>
        <v>0</v>
      </c>
      <c r="AX81" s="140">
        <f t="array" ref="AX81">IF(ISBLANK($A81),0,IF(OR(AX$5-$AI81&lt;=0,$AM81="Não"),M81,M81+INDEX($AO$6:$BR$176,ROW()-5,COLUMN()-40-$AI81)))*IF($B81="Operacional",IFERROR(VLOOKUP($C81,SN_UGC,28,0),0),1)</f>
        <v>0</v>
      </c>
      <c r="AY81" s="140">
        <f t="array" ref="AY81">IF(ISBLANK($A81),0,IF(OR(AY$5-$AI81&lt;=0,$AM81="Não"),N81,N81+INDEX($AO$6:$BR$176,ROW()-5,COLUMN()-40-$AI81)))*IF($B81="Operacional",IFERROR(VLOOKUP($C81,SN_UGC,28,0),0),1)</f>
        <v>400</v>
      </c>
      <c r="AZ81" s="140">
        <f t="array" ref="AZ81">IF(ISBLANK($A81),0,IF(OR(AZ$5-$AI81&lt;=0,$AM81="Não"),O81,O81+INDEX($AO$6:$BR$176,ROW()-5,COLUMN()-40-$AI81)))*IF($B81="Operacional",IFERROR(VLOOKUP($C81,SN_UGC,28,0),0),1)</f>
        <v>0</v>
      </c>
      <c r="BA81" s="140">
        <f t="array" ref="BA81">IF(ISBLANK($A81),0,IF(OR(BA$5-$AI81&lt;=0,$AM81="Não"),P81,P81+INDEX($AO$6:$BR$176,ROW()-5,COLUMN()-40-$AI81)))*IF($B81="Operacional",IFERROR(VLOOKUP($C81,SN_UGC,28,0),0),1)</f>
        <v>0</v>
      </c>
      <c r="BB81" s="140">
        <f t="array" ref="BB81">IF(ISBLANK($A81),0,IF(OR(BB$5-$AI81&lt;=0,$AM81="Não"),Q81,Q81+INDEX($AO$6:$BR$176,ROW()-5,COLUMN()-40-$AI81)))*IF($B81="Operacional",IFERROR(VLOOKUP($C81,SN_UGC,28,0),0),1)</f>
        <v>0</v>
      </c>
      <c r="BC81" s="140">
        <f t="array" ref="BC81">IF(ISBLANK($A81),0,IF(OR(BC$5-$AI81&lt;=0,$AM81="Não"),R81,R81+INDEX($AO$6:$BR$176,ROW()-5,COLUMN()-40-$AI81)))*IF($B81="Operacional",IFERROR(VLOOKUP($C81,SN_UGC,28,0),0),1)</f>
        <v>0</v>
      </c>
      <c r="BD81" s="140">
        <f t="array" ref="BD81">IF(ISBLANK($A81),0,IF(OR(BD$5-$AI81&lt;=0,$AM81="Não"),S81,S81+INDEX($AO$6:$BR$176,ROW()-5,COLUMN()-40-$AI81)))*IF($B81="Operacional",IFERROR(VLOOKUP($C81,SN_UGC,28,0),0),1)</f>
        <v>0</v>
      </c>
      <c r="BE81" s="140">
        <f t="array" ref="BE81">IF(ISBLANK($A81),0,IF(OR(BE$5-$AI81&lt;=0,$AM81="Não"),T81,T81+INDEX($AO$6:$BR$176,ROW()-5,COLUMN()-40-$AI81)))*IF($B81="Operacional",IFERROR(VLOOKUP($C81,SN_UGC,28,0),0),1)</f>
        <v>0</v>
      </c>
      <c r="BF81" s="140">
        <f t="array" ref="BF81">IF(ISBLANK($A81),0,IF(OR(BF$5-$AI81&lt;=0,$AM81="Não"),U81,U81+INDEX($AO$6:$BR$176,ROW()-5,COLUMN()-40-$AI81)))*IF($B81="Operacional",IFERROR(VLOOKUP($C81,SN_UGC,28,0),0),1)</f>
        <v>0</v>
      </c>
      <c r="BG81" s="140">
        <f t="array" ref="BG81">IF(ISBLANK($A81),0,IF(OR(BG$5-$AI81&lt;=0,$AM81="Não"),V81,V81+INDEX($AO$6:$BR$176,ROW()-5,COLUMN()-40-$AI81)))*IF($B81="Operacional",IFERROR(VLOOKUP($C81,SN_UGC,28,0),0),1)</f>
        <v>0</v>
      </c>
      <c r="BH81" s="140">
        <f t="array" ref="BH81">IF(ISBLANK($A81),0,IF(OR(BH$5-$AI81&lt;=0,$AM81="Não"),W81,W81+INDEX($AO$6:$BR$176,ROW()-5,COLUMN()-40-$AI81)))*IF($B81="Operacional",IFERROR(VLOOKUP($C81,SN_UGC,28,0),0),1)</f>
        <v>0</v>
      </c>
      <c r="BI81" s="140">
        <f t="array" ref="BI81">IF(ISBLANK($A81),0,IF(OR(BI$5-$AI81&lt;=0,$AM81="Não"),X81,X81+INDEX($AO$6:$BR$176,ROW()-5,COLUMN()-40-$AI81)))*IF($B81="Operacional",IFERROR(VLOOKUP($C81,SN_UGC,28,0),0),1)</f>
        <v>400</v>
      </c>
      <c r="BJ81" s="140">
        <f t="array" ref="BJ81">IF(ISBLANK($A81),0,IF(OR(BJ$5-$AI81&lt;=0,$AM81="Não"),Y81,Y81+INDEX($AO$6:$BR$176,ROW()-5,COLUMN()-40-$AI81)))*IF($B81="Operacional",IFERROR(VLOOKUP($C81,SN_UGC,28,0),0),1)</f>
        <v>0</v>
      </c>
      <c r="BK81" s="140">
        <f t="array" ref="BK81">IF(ISBLANK($A81),0,IF(OR(BK$5-$AI81&lt;=0,$AM81="Não"),Z81,Z81+INDEX($AO$6:$BR$176,ROW()-5,COLUMN()-40-$AI81)))*IF($B81="Operacional",IFERROR(VLOOKUP($C81,SN_UGC,28,0),0),1)</f>
        <v>0</v>
      </c>
      <c r="BL81" s="140">
        <f t="array" ref="BL81">IF(ISBLANK($A81),0,IF(OR(BL$5-$AI81&lt;=0,$AM81="Não"),AA81,AA81+INDEX($AO$6:$BR$176,ROW()-5,COLUMN()-40-$AI81)))*IF($B81="Operacional",IFERROR(VLOOKUP($C81,SN_UGC,28,0),0),1)</f>
        <v>0</v>
      </c>
      <c r="BM81" s="140">
        <f t="array" ref="BM81">IF(ISBLANK($A81),0,IF(OR(BM$5-$AI81&lt;=0,$AM81="Não"),AB81,AB81+INDEX($AO$6:$BR$176,ROW()-5,COLUMN()-40-$AI81)))*IF($B81="Operacional",IFERROR(VLOOKUP($C81,SN_UGC,28,0),0),1)</f>
        <v>0</v>
      </c>
      <c r="BN81" s="140">
        <f t="array" ref="BN81">IF(ISBLANK($A81),0,IF(OR(BN$5-$AI81&lt;=0,$AM81="Não"),AC81,AC81+INDEX($AO$6:$BR$176,ROW()-5,COLUMN()-40-$AI81)))*IF($B81="Operacional",IFERROR(VLOOKUP($C81,SN_UGC,28,0),0),1)</f>
        <v>0</v>
      </c>
      <c r="BO81" s="140">
        <f t="array" ref="BO81">IF(ISBLANK($A81),0,IF(OR(BO$5-$AI81&lt;=0,$AM81="Não"),AD81,AD81+INDEX($AO$6:$BR$176,ROW()-5,COLUMN()-40-$AI81)))*IF($B81="Operacional",IFERROR(VLOOKUP($C81,SN_UGC,28,0),0),1)</f>
        <v>0</v>
      </c>
      <c r="BP81" s="140">
        <f t="array" ref="BP81">IF(ISBLANK($A81),0,IF(OR(BP$5-$AI81&lt;=0,$AM81="Não"),AE81,AE81+INDEX($AO$6:$BR$176,ROW()-5,COLUMN()-40-$AI81)))*IF($B81="Operacional",IFERROR(VLOOKUP($C81,SN_UGC,28,0),0),1)</f>
        <v>0</v>
      </c>
      <c r="BQ81" s="140">
        <f t="array" ref="BQ81">IF(ISBLANK($A81),0,IF(OR(BQ$5-$AI81&lt;=0,$AM81="Não"),AF81,AF81+INDEX($AO$6:$BR$176,ROW()-5,COLUMN()-40-$AI81)))*IF($B81="Operacional",IFERROR(VLOOKUP($C81,SN_UGC,28,0),0),1)</f>
        <v>0</v>
      </c>
      <c r="BR81" s="140">
        <f t="array" ref="BR81">IF(ISBLANK($A81),0,IF(OR(BR$5-$AI81&lt;=0,$AM81="Não"),AG81,AG81+INDEX($AO$6:$BR$176,ROW()-5,COLUMN()-40-$AI81)))*IF($B81="Operacional",IFERROR(VLOOKUP($C81,SN_UGC,28,0),0),1)</f>
        <v>0</v>
      </c>
      <c r="BS81" s="141">
        <f t="shared" ref="BS81:CV81" si="418">IF(ISBLANK($A81),0,$AH81*AO81)</f>
        <v>162800.00000000003</v>
      </c>
      <c r="BT81" s="141">
        <f t="shared" si="418"/>
        <v>0</v>
      </c>
      <c r="BU81" s="141">
        <f t="shared" si="418"/>
        <v>0</v>
      </c>
      <c r="BV81" s="141">
        <f t="shared" si="418"/>
        <v>0</v>
      </c>
      <c r="BW81" s="141">
        <f t="shared" si="418"/>
        <v>0</v>
      </c>
      <c r="BX81" s="141">
        <f t="shared" si="418"/>
        <v>0</v>
      </c>
      <c r="BY81" s="141">
        <f t="shared" si="418"/>
        <v>0</v>
      </c>
      <c r="BZ81" s="141">
        <f t="shared" si="418"/>
        <v>0</v>
      </c>
      <c r="CA81" s="141">
        <f t="shared" si="418"/>
        <v>0</v>
      </c>
      <c r="CB81" s="141">
        <f t="shared" si="418"/>
        <v>0</v>
      </c>
      <c r="CC81" s="141">
        <f t="shared" si="418"/>
        <v>162800.00000000003</v>
      </c>
      <c r="CD81" s="141">
        <f t="shared" si="418"/>
        <v>0</v>
      </c>
      <c r="CE81" s="141">
        <f t="shared" si="418"/>
        <v>0</v>
      </c>
      <c r="CF81" s="141">
        <f t="shared" si="418"/>
        <v>0</v>
      </c>
      <c r="CG81" s="141">
        <f t="shared" si="418"/>
        <v>0</v>
      </c>
      <c r="CH81" s="141">
        <f t="shared" si="418"/>
        <v>0</v>
      </c>
      <c r="CI81" s="141">
        <f t="shared" si="418"/>
        <v>0</v>
      </c>
      <c r="CJ81" s="141">
        <f t="shared" si="418"/>
        <v>0</v>
      </c>
      <c r="CK81" s="141">
        <f t="shared" si="418"/>
        <v>0</v>
      </c>
      <c r="CL81" s="141">
        <f t="shared" si="418"/>
        <v>0</v>
      </c>
      <c r="CM81" s="141">
        <f t="shared" si="418"/>
        <v>162800.00000000003</v>
      </c>
      <c r="CN81" s="141">
        <f t="shared" si="418"/>
        <v>0</v>
      </c>
      <c r="CO81" s="141">
        <f t="shared" si="418"/>
        <v>0</v>
      </c>
      <c r="CP81" s="141">
        <f t="shared" si="418"/>
        <v>0</v>
      </c>
      <c r="CQ81" s="141">
        <f t="shared" si="418"/>
        <v>0</v>
      </c>
      <c r="CR81" s="141">
        <f t="shared" si="418"/>
        <v>0</v>
      </c>
      <c r="CS81" s="141">
        <f t="shared" si="418"/>
        <v>0</v>
      </c>
      <c r="CT81" s="141">
        <f t="shared" si="418"/>
        <v>0</v>
      </c>
      <c r="CU81" s="141">
        <f t="shared" si="418"/>
        <v>0</v>
      </c>
      <c r="CV81" s="141">
        <f t="shared" si="418"/>
        <v>0</v>
      </c>
      <c r="CW81" s="142">
        <f t="shared" ref="CW81:DZ81" si="419">EA81*$AH81*$AJ81</f>
        <v>0</v>
      </c>
      <c r="CX81" s="142">
        <f t="shared" si="419"/>
        <v>0</v>
      </c>
      <c r="CY81" s="142">
        <f t="shared" si="419"/>
        <v>0</v>
      </c>
      <c r="CZ81" s="142">
        <f t="shared" si="419"/>
        <v>0</v>
      </c>
      <c r="DA81" s="142">
        <f t="shared" si="419"/>
        <v>0</v>
      </c>
      <c r="DB81" s="142">
        <f t="shared" si="419"/>
        <v>0</v>
      </c>
      <c r="DC81" s="142">
        <f t="shared" si="419"/>
        <v>0</v>
      </c>
      <c r="DD81" s="142">
        <f t="shared" si="419"/>
        <v>0</v>
      </c>
      <c r="DE81" s="142">
        <f t="shared" si="419"/>
        <v>0</v>
      </c>
      <c r="DF81" s="142">
        <f t="shared" si="419"/>
        <v>0</v>
      </c>
      <c r="DG81" s="142">
        <f t="shared" si="419"/>
        <v>40700.000000000007</v>
      </c>
      <c r="DH81" s="142">
        <f t="shared" si="419"/>
        <v>0</v>
      </c>
      <c r="DI81" s="142">
        <f t="shared" si="419"/>
        <v>0</v>
      </c>
      <c r="DJ81" s="142">
        <f t="shared" si="419"/>
        <v>0</v>
      </c>
      <c r="DK81" s="142">
        <f t="shared" si="419"/>
        <v>0</v>
      </c>
      <c r="DL81" s="142">
        <f t="shared" si="419"/>
        <v>0</v>
      </c>
      <c r="DM81" s="142">
        <f t="shared" si="419"/>
        <v>0</v>
      </c>
      <c r="DN81" s="142">
        <f t="shared" si="419"/>
        <v>0</v>
      </c>
      <c r="DO81" s="142">
        <f t="shared" si="419"/>
        <v>0</v>
      </c>
      <c r="DP81" s="142">
        <f t="shared" si="419"/>
        <v>0</v>
      </c>
      <c r="DQ81" s="142">
        <f t="shared" si="419"/>
        <v>40700.000000000007</v>
      </c>
      <c r="DR81" s="142">
        <f t="shared" si="419"/>
        <v>0</v>
      </c>
      <c r="DS81" s="142">
        <f t="shared" si="419"/>
        <v>0</v>
      </c>
      <c r="DT81" s="142">
        <f t="shared" si="419"/>
        <v>0</v>
      </c>
      <c r="DU81" s="142">
        <f t="shared" si="419"/>
        <v>0</v>
      </c>
      <c r="DV81" s="142">
        <f t="shared" si="419"/>
        <v>0</v>
      </c>
      <c r="DW81" s="142">
        <f t="shared" si="419"/>
        <v>0</v>
      </c>
      <c r="DX81" s="142">
        <f t="shared" si="419"/>
        <v>0</v>
      </c>
      <c r="DY81" s="142">
        <f t="shared" si="419"/>
        <v>0</v>
      </c>
      <c r="DZ81" s="142">
        <f t="shared" si="419"/>
        <v>0</v>
      </c>
      <c r="EA81" s="143">
        <f t="shared" si="339"/>
        <v>0</v>
      </c>
      <c r="EB81" s="143">
        <f t="shared" si="340"/>
        <v>0</v>
      </c>
      <c r="EC81" s="143">
        <f t="shared" si="341"/>
        <v>0</v>
      </c>
      <c r="ED81" s="143">
        <f t="shared" si="342"/>
        <v>0</v>
      </c>
      <c r="EE81" s="143">
        <f t="shared" si="343"/>
        <v>0</v>
      </c>
      <c r="EF81" s="143">
        <f t="shared" si="344"/>
        <v>0</v>
      </c>
      <c r="EG81" s="143">
        <f t="shared" si="345"/>
        <v>0</v>
      </c>
      <c r="EH81" s="143">
        <f t="shared" si="346"/>
        <v>0</v>
      </c>
      <c r="EI81" s="143">
        <f t="shared" si="347"/>
        <v>0</v>
      </c>
      <c r="EJ81" s="143">
        <f t="shared" si="348"/>
        <v>0</v>
      </c>
      <c r="EK81" s="143">
        <f t="shared" si="349"/>
        <v>400</v>
      </c>
      <c r="EL81" s="143">
        <f t="shared" si="350"/>
        <v>0</v>
      </c>
      <c r="EM81" s="143">
        <f t="shared" si="351"/>
        <v>0</v>
      </c>
      <c r="EN81" s="143">
        <f t="shared" si="352"/>
        <v>0</v>
      </c>
      <c r="EO81" s="143">
        <f t="shared" si="353"/>
        <v>0</v>
      </c>
      <c r="EP81" s="143">
        <f t="shared" si="354"/>
        <v>0</v>
      </c>
      <c r="EQ81" s="143">
        <f t="shared" si="355"/>
        <v>0</v>
      </c>
      <c r="ER81" s="143">
        <f t="shared" si="356"/>
        <v>0</v>
      </c>
      <c r="ES81" s="143">
        <f t="shared" si="357"/>
        <v>0</v>
      </c>
      <c r="ET81" s="143">
        <f t="shared" si="358"/>
        <v>0</v>
      </c>
      <c r="EU81" s="143">
        <f t="shared" si="359"/>
        <v>400</v>
      </c>
      <c r="EV81" s="143">
        <f t="shared" si="360"/>
        <v>0</v>
      </c>
      <c r="EW81" s="143">
        <f t="shared" si="361"/>
        <v>0</v>
      </c>
      <c r="EX81" s="143">
        <f t="shared" si="362"/>
        <v>0</v>
      </c>
      <c r="EY81" s="143">
        <f t="shared" si="363"/>
        <v>0</v>
      </c>
      <c r="EZ81" s="143">
        <f t="shared" si="364"/>
        <v>0</v>
      </c>
      <c r="FA81" s="143">
        <f t="shared" si="365"/>
        <v>0</v>
      </c>
      <c r="FB81" s="143">
        <f t="shared" si="366"/>
        <v>0</v>
      </c>
      <c r="FC81" s="143">
        <f t="shared" si="367"/>
        <v>0</v>
      </c>
      <c r="FD81" s="143">
        <f t="shared" si="368"/>
        <v>0</v>
      </c>
      <c r="FE81" s="140">
        <f>SUM($D81:D81)*IF($B81="Operacional",IFERROR(VLOOKUP($C81,SN_UGC,28,0),0),1)</f>
        <v>400</v>
      </c>
      <c r="FF81" s="140">
        <f>SUM($D81:E81)*IF($B81="Operacional",IFERROR(VLOOKUP($C81,SN_UGC,28,0),0),1)</f>
        <v>400</v>
      </c>
      <c r="FG81" s="140">
        <f>SUM($D81:F81)*IF($B81="Operacional",IFERROR(VLOOKUP($C81,SN_UGC,28,0),0),1)</f>
        <v>400</v>
      </c>
      <c r="FH81" s="140">
        <f>SUM($D81:G81)*IF($B81="Operacional",IFERROR(VLOOKUP($C81,SN_UGC,28,0),0),1)</f>
        <v>400</v>
      </c>
      <c r="FI81" s="140">
        <f>SUM($D81:H81)*IF($B81="Operacional",IFERROR(VLOOKUP($C81,SN_UGC,28,0),0),1)</f>
        <v>400</v>
      </c>
      <c r="FJ81" s="140">
        <f>SUM($D81:I81)*IF($B81="Operacional",IFERROR(VLOOKUP($C81,SN_UGC,28,0),0),1)</f>
        <v>400</v>
      </c>
      <c r="FK81" s="140">
        <f>SUM($D81:J81)*IF($B81="Operacional",IFERROR(VLOOKUP($C81,SN_UGC,28,0),0),1)</f>
        <v>400</v>
      </c>
      <c r="FL81" s="140">
        <f>SUM($D81:K81)*IF($B81="Operacional",IFERROR(VLOOKUP($C81,SN_UGC,28,0),0),1)</f>
        <v>400</v>
      </c>
      <c r="FM81" s="140">
        <f>SUM($D81:L81)*IF($B81="Operacional",IFERROR(VLOOKUP($C81,SN_UGC,28,0),0),1)</f>
        <v>400</v>
      </c>
      <c r="FN81" s="140">
        <f>SUM($D81:M81)*IF($B81="Operacional",IFERROR(VLOOKUP($C81,SN_UGC,28,0),0),1)</f>
        <v>400</v>
      </c>
      <c r="FO81" s="140">
        <f>SUM($D81:N81)*IF($B81="Operacional",IFERROR(VLOOKUP($C81,SN_UGC,28,0),0),1)</f>
        <v>400</v>
      </c>
      <c r="FP81" s="140">
        <f>SUM($D81:O81)*IF($B81="Operacional",IFERROR(VLOOKUP($C81,SN_UGC,28,0),0),1)</f>
        <v>400</v>
      </c>
      <c r="FQ81" s="140">
        <f>SUM($D81:P81)*IF($B81="Operacional",IFERROR(VLOOKUP($C81,SN_UGC,28,0),0),1)</f>
        <v>400</v>
      </c>
      <c r="FR81" s="140">
        <f>SUM($D81:Q81)*IF($B81="Operacional",IFERROR(VLOOKUP($C81,SN_UGC,28,0),0),1)</f>
        <v>400</v>
      </c>
      <c r="FS81" s="140">
        <f>SUM($D81:R81)*IF($B81="Operacional",IFERROR(VLOOKUP($C81,SN_UGC,28,0),0),1)</f>
        <v>400</v>
      </c>
      <c r="FT81" s="140">
        <f>SUM($D81:S81)*IF($B81="Operacional",IFERROR(VLOOKUP($C81,SN_UGC,28,0),0),1)</f>
        <v>400</v>
      </c>
      <c r="FU81" s="140">
        <f>SUM($D81:T81)*IF($B81="Operacional",IFERROR(VLOOKUP($C81,SN_UGC,28,0),0),1)</f>
        <v>400</v>
      </c>
      <c r="FV81" s="140">
        <f>SUM($D81:U81)*IF($B81="Operacional",IFERROR(VLOOKUP($C81,SN_UGC,28,0),0),1)</f>
        <v>400</v>
      </c>
      <c r="FW81" s="140">
        <f>SUM($D81:V81)*IF($B81="Operacional",IFERROR(VLOOKUP($C81,SN_UGC,28,0),0),1)</f>
        <v>400</v>
      </c>
      <c r="FX81" s="140">
        <f>SUM($D81:W81)*IF($B81="Operacional",IFERROR(VLOOKUP($C81,SN_UGC,28,0),0),1)</f>
        <v>400</v>
      </c>
      <c r="FY81" s="140">
        <f>SUM($D81:X81)*IF($B81="Operacional",IFERROR(VLOOKUP($C81,SN_UGC,28,0),0),1)</f>
        <v>400</v>
      </c>
      <c r="FZ81" s="140">
        <f>SUM($D81:Y81)*IF($B81="Operacional",IFERROR(VLOOKUP($C81,SN_UGC,28,0),0),1)</f>
        <v>400</v>
      </c>
      <c r="GA81" s="140">
        <f>SUM($D81:Z81)*IF($B81="Operacional",IFERROR(VLOOKUP($C81,SN_UGC,28,0),0),1)</f>
        <v>400</v>
      </c>
      <c r="GB81" s="140">
        <f>SUM($D81:AA81)*IF($B81="Operacional",IFERROR(VLOOKUP($C81,SN_UGC,28,0),0),1)</f>
        <v>400</v>
      </c>
      <c r="GC81" s="140">
        <f>SUM($D81:AB81)*IF($B81="Operacional",IFERROR(VLOOKUP($C81,SN_UGC,28,0),0),1)</f>
        <v>400</v>
      </c>
      <c r="GD81" s="140">
        <f>SUM($D81:AC81)*IF($B81="Operacional",IFERROR(VLOOKUP($C81,SN_UGC,28,0),0),1)</f>
        <v>400</v>
      </c>
      <c r="GE81" s="140">
        <f>SUM($D81:AD81)*IF($B81="Operacional",IFERROR(VLOOKUP($C81,SN_UGC,28,0),0),1)</f>
        <v>400</v>
      </c>
      <c r="GF81" s="140">
        <f>SUM($D81:AE81)*IF($B81="Operacional",IFERROR(VLOOKUP($C81,SN_UGC,28,0),0),1)</f>
        <v>400</v>
      </c>
      <c r="GG81" s="140">
        <f>SUM($D81:AF81)*IF($B81="Operacional",IFERROR(VLOOKUP($C81,SN_UGC,28,0),0),1)</f>
        <v>400</v>
      </c>
      <c r="GH81" s="140">
        <f>SUM($D81:AG81)*IF($B81="Operacional",IFERROR(VLOOKUP($C81,SN_UGC,28,0),0),1)</f>
        <v>400</v>
      </c>
      <c r="GI81" s="141">
        <f t="shared" ref="GI81:HL81" si="420">FE81*$AH81*$AL81</f>
        <v>8140.0000000000018</v>
      </c>
      <c r="GJ81" s="141">
        <f t="shared" si="420"/>
        <v>8140.0000000000018</v>
      </c>
      <c r="GK81" s="141">
        <f t="shared" si="420"/>
        <v>8140.0000000000018</v>
      </c>
      <c r="GL81" s="141">
        <f t="shared" si="420"/>
        <v>8140.0000000000018</v>
      </c>
      <c r="GM81" s="141">
        <f t="shared" si="420"/>
        <v>8140.0000000000018</v>
      </c>
      <c r="GN81" s="141">
        <f t="shared" si="420"/>
        <v>8140.0000000000018</v>
      </c>
      <c r="GO81" s="141">
        <f t="shared" si="420"/>
        <v>8140.0000000000018</v>
      </c>
      <c r="GP81" s="141">
        <f t="shared" si="420"/>
        <v>8140.0000000000018</v>
      </c>
      <c r="GQ81" s="141">
        <f t="shared" si="420"/>
        <v>8140.0000000000018</v>
      </c>
      <c r="GR81" s="141">
        <f t="shared" si="420"/>
        <v>8140.0000000000018</v>
      </c>
      <c r="GS81" s="141">
        <f t="shared" si="420"/>
        <v>8140.0000000000018</v>
      </c>
      <c r="GT81" s="141">
        <f t="shared" si="420"/>
        <v>8140.0000000000018</v>
      </c>
      <c r="GU81" s="141">
        <f t="shared" si="420"/>
        <v>8140.0000000000018</v>
      </c>
      <c r="GV81" s="141">
        <f t="shared" si="420"/>
        <v>8140.0000000000018</v>
      </c>
      <c r="GW81" s="141">
        <f t="shared" si="420"/>
        <v>8140.0000000000018</v>
      </c>
      <c r="GX81" s="141">
        <f t="shared" si="420"/>
        <v>8140.0000000000018</v>
      </c>
      <c r="GY81" s="141">
        <f t="shared" si="420"/>
        <v>8140.0000000000018</v>
      </c>
      <c r="GZ81" s="141">
        <f t="shared" si="420"/>
        <v>8140.0000000000018</v>
      </c>
      <c r="HA81" s="141">
        <f t="shared" si="420"/>
        <v>8140.0000000000018</v>
      </c>
      <c r="HB81" s="141">
        <f t="shared" si="420"/>
        <v>8140.0000000000018</v>
      </c>
      <c r="HC81" s="141">
        <f t="shared" si="420"/>
        <v>8140.0000000000018</v>
      </c>
      <c r="HD81" s="141">
        <f t="shared" si="420"/>
        <v>8140.0000000000018</v>
      </c>
      <c r="HE81" s="141">
        <f t="shared" si="420"/>
        <v>8140.0000000000018</v>
      </c>
      <c r="HF81" s="141">
        <f t="shared" si="420"/>
        <v>8140.0000000000018</v>
      </c>
      <c r="HG81" s="141">
        <f t="shared" si="420"/>
        <v>8140.0000000000018</v>
      </c>
      <c r="HH81" s="141">
        <f t="shared" si="420"/>
        <v>8140.0000000000018</v>
      </c>
      <c r="HI81" s="141">
        <f t="shared" si="420"/>
        <v>8140.0000000000018</v>
      </c>
      <c r="HJ81" s="141">
        <f t="shared" si="420"/>
        <v>8140.0000000000018</v>
      </c>
      <c r="HK81" s="141">
        <f t="shared" si="420"/>
        <v>8140.0000000000018</v>
      </c>
      <c r="HL81" s="141">
        <f t="shared" si="420"/>
        <v>8140.0000000000018</v>
      </c>
      <c r="HM81" s="142">
        <f t="shared" ref="HM81:IP81" si="421">IF(ISBLANK($A81),,FE81*($AH81-($AH81*$AJ81))/$AI81)</f>
        <v>12210.000000000004</v>
      </c>
      <c r="HN81" s="142">
        <f t="shared" si="421"/>
        <v>12210.000000000004</v>
      </c>
      <c r="HO81" s="142">
        <f t="shared" si="421"/>
        <v>12210.000000000004</v>
      </c>
      <c r="HP81" s="142">
        <f t="shared" si="421"/>
        <v>12210.000000000004</v>
      </c>
      <c r="HQ81" s="142">
        <f t="shared" si="421"/>
        <v>12210.000000000004</v>
      </c>
      <c r="HR81" s="142">
        <f t="shared" si="421"/>
        <v>12210.000000000004</v>
      </c>
      <c r="HS81" s="142">
        <f t="shared" si="421"/>
        <v>12210.000000000004</v>
      </c>
      <c r="HT81" s="142">
        <f t="shared" si="421"/>
        <v>12210.000000000004</v>
      </c>
      <c r="HU81" s="142">
        <f t="shared" si="421"/>
        <v>12210.000000000004</v>
      </c>
      <c r="HV81" s="142">
        <f t="shared" si="421"/>
        <v>12210.000000000004</v>
      </c>
      <c r="HW81" s="142">
        <f t="shared" si="421"/>
        <v>12210.000000000004</v>
      </c>
      <c r="HX81" s="142">
        <f t="shared" si="421"/>
        <v>12210.000000000004</v>
      </c>
      <c r="HY81" s="142">
        <f t="shared" si="421"/>
        <v>12210.000000000004</v>
      </c>
      <c r="HZ81" s="142">
        <f t="shared" si="421"/>
        <v>12210.000000000004</v>
      </c>
      <c r="IA81" s="142">
        <f t="shared" si="421"/>
        <v>12210.000000000004</v>
      </c>
      <c r="IB81" s="142">
        <f t="shared" si="421"/>
        <v>12210.000000000004</v>
      </c>
      <c r="IC81" s="142">
        <f t="shared" si="421"/>
        <v>12210.000000000004</v>
      </c>
      <c r="ID81" s="142">
        <f t="shared" si="421"/>
        <v>12210.000000000004</v>
      </c>
      <c r="IE81" s="142">
        <f t="shared" si="421"/>
        <v>12210.000000000004</v>
      </c>
      <c r="IF81" s="142">
        <f t="shared" si="421"/>
        <v>12210.000000000004</v>
      </c>
      <c r="IG81" s="142">
        <f t="shared" si="421"/>
        <v>12210.000000000004</v>
      </c>
      <c r="IH81" s="142">
        <f t="shared" si="421"/>
        <v>12210.000000000004</v>
      </c>
      <c r="II81" s="142">
        <f t="shared" si="421"/>
        <v>12210.000000000004</v>
      </c>
      <c r="IJ81" s="142">
        <f t="shared" si="421"/>
        <v>12210.000000000004</v>
      </c>
      <c r="IK81" s="142">
        <f t="shared" si="421"/>
        <v>12210.000000000004</v>
      </c>
      <c r="IL81" s="142">
        <f t="shared" si="421"/>
        <v>12210.000000000004</v>
      </c>
      <c r="IM81" s="142">
        <f t="shared" si="421"/>
        <v>12210.000000000004</v>
      </c>
      <c r="IN81" s="142">
        <f t="shared" si="421"/>
        <v>12210.000000000004</v>
      </c>
      <c r="IO81" s="142">
        <f t="shared" si="421"/>
        <v>12210.000000000004</v>
      </c>
      <c r="IP81" s="142">
        <f t="shared" si="421"/>
        <v>12210.000000000004</v>
      </c>
      <c r="IQ81" s="141">
        <f>IF(ISBLANK($A81),,IF($AN81="Não",0,(SUM($AO81:AO81)*$AH81)-SUM($HM81:HM81)-SUM($CW81:CW81)))</f>
        <v>150590.00000000003</v>
      </c>
      <c r="IR81" s="141">
        <f>IF(ISBLANK($A81),,IF($AN81="Não",0,(SUM($AO81:AP81)*$AH81)-SUM($HM81:HN81)-SUM($CW81:CX81)))</f>
        <v>138380.00000000003</v>
      </c>
      <c r="IS81" s="141">
        <f>IF(ISBLANK($A81),,IF($AN81="Não",0,(SUM($AO81:AQ81)*$AH81)-SUM($HM81:HO81)-SUM($CW81:CY81)))</f>
        <v>126170.00000000001</v>
      </c>
      <c r="IT81" s="141">
        <f>IF(ISBLANK($A81),,IF($AN81="Não",0,(SUM($AO81:AR81)*$AH81)-SUM($HM81:HP81)-SUM($CW81:CZ81)))</f>
        <v>113960.00000000001</v>
      </c>
      <c r="IU81" s="141">
        <f>IF(ISBLANK($A81),,IF($AN81="Não",0,(SUM($AO81:AS81)*$AH81)-SUM($HM81:HQ81)-SUM($CW81:DA81)))</f>
        <v>101750.00000000001</v>
      </c>
      <c r="IV81" s="141">
        <f>IF(ISBLANK($A81),,IF($AN81="Não",0,(SUM($AO81:AT81)*$AH81)-SUM($HM81:HR81)-SUM($CW81:DB81)))</f>
        <v>89540.000000000015</v>
      </c>
      <c r="IW81" s="141">
        <f>IF(ISBLANK($A81),,IF($AN81="Não",0,(SUM($AO81:AU81)*$AH81)-SUM($HM81:HS81)-SUM($CW81:DC81)))</f>
        <v>77330.000000000015</v>
      </c>
      <c r="IX81" s="141">
        <f>IF(ISBLANK($A81),,IF($AN81="Não",0,(SUM($AO81:AV81)*$AH81)-SUM($HM81:HT81)-SUM($CW81:DD81)))</f>
        <v>65120.000000000015</v>
      </c>
      <c r="IY81" s="141">
        <f>IF(ISBLANK($A81),,IF($AN81="Não",0,(SUM($AO81:AW81)*$AH81)-SUM($HM81:HU81)-SUM($CW81:DE81)))</f>
        <v>52910.000000000015</v>
      </c>
      <c r="IZ81" s="141">
        <f>IF(ISBLANK($A81),,IF($AN81="Não",0,(SUM($AO81:AX81)*$AH81)-SUM($HM81:HV81)-SUM($CW81:DF81)))</f>
        <v>40700.000000000015</v>
      </c>
      <c r="JA81" s="141">
        <f>IF(ISBLANK($A81),,IF($AN81="Não",0,(SUM($AO81:AY81)*$AH81)-SUM($HM81:HW81)-SUM($CW81:DG81)))</f>
        <v>150590.00000000003</v>
      </c>
      <c r="JB81" s="141">
        <f>IF(ISBLANK($A81),,IF($AN81="Não",0,(SUM($AO81:AZ81)*$AH81)-SUM($HM81:HX81)-SUM($CW81:DH81)))</f>
        <v>138380.00000000003</v>
      </c>
      <c r="JC81" s="141">
        <f>IF(ISBLANK($A81),,IF($AN81="Não",0,(SUM($AO81:BA81)*$AH81)-SUM($HM81:HY81)-SUM($CW81:DI81)))</f>
        <v>126170.00000000003</v>
      </c>
      <c r="JD81" s="141">
        <f>IF(ISBLANK($A81),,IF($AN81="Não",0,(SUM($AO81:BB81)*$AH81)-SUM($HM81:HZ81)-SUM($CW81:DJ81)))</f>
        <v>113960.00000000003</v>
      </c>
      <c r="JE81" s="141">
        <f>IF(ISBLANK($A81),,IF($AN81="Não",0,(SUM($AO81:BC81)*$AH81)-SUM($HM81:IA81)-SUM($CW81:DK81)))</f>
        <v>101750.00000000003</v>
      </c>
      <c r="JF81" s="141">
        <f>IF(ISBLANK($A81),,IF($AN81="Não",0,(SUM($AO81:BD81)*$AH81)-SUM($HM81:IB81)-SUM($CW81:DL81)))</f>
        <v>89540.000000000029</v>
      </c>
      <c r="JG81" s="141">
        <f>IF(ISBLANK($A81),,IF($AN81="Não",0,(SUM($AO81:BE81)*$AH81)-SUM($HM81:IC81)-SUM($CW81:DM81)))</f>
        <v>77330.000000000029</v>
      </c>
      <c r="JH81" s="141">
        <f>IF(ISBLANK($A81),,IF($AN81="Não",0,(SUM($AO81:BF81)*$AH81)-SUM($HM81:ID81)-SUM($CW81:DN81)))</f>
        <v>65120.000000000022</v>
      </c>
      <c r="JI81" s="141">
        <f>IF(ISBLANK($A81),,IF($AN81="Não",0,(SUM($AO81:BG81)*$AH81)-SUM($HM81:IE81)-SUM($CW81:DO81)))</f>
        <v>52910.000000000022</v>
      </c>
      <c r="JJ81" s="141">
        <f>IF(ISBLANK($A81),,IF($AN81="Não",0,(SUM($AO81:BH81)*$AH81)-SUM($HM81:IF81)-SUM($CW81:DP81)))</f>
        <v>40700.000000000022</v>
      </c>
      <c r="JK81" s="141">
        <f>IF(ISBLANK($A81),,IF($AN81="Não",0,(SUM($AO81:BI81)*$AH81)-SUM($HM81:IG81)-SUM($CW81:DQ81)))</f>
        <v>150590</v>
      </c>
      <c r="JL81" s="141">
        <f>IF(ISBLANK($A81),,IF($AN81="Não",0,(SUM($AO81:BJ81)*$AH81)-SUM($HM81:IH81)-SUM($CW81:DR81)))</f>
        <v>138380</v>
      </c>
      <c r="JM81" s="141">
        <f>IF(ISBLANK($A81),,IF($AN81="Não",0,(SUM($AO81:BK81)*$AH81)-SUM($HM81:II81)-SUM($CW81:DS81)))</f>
        <v>126169.99999999999</v>
      </c>
      <c r="JN81" s="141">
        <f>IF(ISBLANK($A81),,IF($AN81="Não",0,(SUM($AO81:BL81)*$AH81)-SUM($HM81:IJ81)-SUM($CW81:DT81)))</f>
        <v>113959.99999999999</v>
      </c>
      <c r="JO81" s="141">
        <f>IF(ISBLANK($A81),,IF($AN81="Não",0,(SUM($AO81:BM81)*$AH81)-SUM($HM81:IK81)-SUM($CW81:DU81)))</f>
        <v>101749.99999999999</v>
      </c>
      <c r="JP81" s="141">
        <f>IF(ISBLANK($A81),,IF($AN81="Não",0,(SUM($AO81:BN81)*$AH81)-SUM($HM81:IL81)-SUM($CW81:DV81)))</f>
        <v>89539.999999999985</v>
      </c>
      <c r="JQ81" s="141">
        <f>IF(ISBLANK($A81),,IF($AN81="Não",0,(SUM($AO81:BO81)*$AH81)-SUM($HM81:IM81)-SUM($CW81:DW81)))</f>
        <v>77329.999999999985</v>
      </c>
      <c r="JR81" s="141">
        <f>IF(ISBLANK($A81),,IF($AN81="Não",0,(SUM($AO81:BP81)*$AH81)-SUM($HM81:IN81)-SUM($CW81:DX81)))</f>
        <v>65119.999999999985</v>
      </c>
      <c r="JS81" s="141">
        <f>IF(ISBLANK($A81),,IF($AN81="Não",0,(SUM($AO81:BQ81)*$AH81)-SUM($HM81:IO81)-SUM($CW81:DY81)))</f>
        <v>52909.999999999985</v>
      </c>
      <c r="JT81" s="141">
        <f>IF(ISBLANK($A81),,IF($AN81="Não",0,(SUM($AO81:BR81)*$AH81)-SUM($HM81:IP81)-SUM($CW81:DZ81)))</f>
        <v>40699.999999999985</v>
      </c>
    </row>
    <row r="82" spans="1:280" ht="15.75" customHeight="1">
      <c r="A82" s="129" t="s">
        <v>409</v>
      </c>
      <c r="B82" s="129" t="s">
        <v>191</v>
      </c>
      <c r="C82" s="138" t="s">
        <v>234</v>
      </c>
      <c r="D82" s="139">
        <v>581.84</v>
      </c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607">
        <f t="shared" si="399"/>
        <v>3080.0000000000005</v>
      </c>
      <c r="AI82" s="608">
        <f t="shared" si="400"/>
        <v>10</v>
      </c>
      <c r="AJ82" s="609">
        <f t="shared" si="401"/>
        <v>0</v>
      </c>
      <c r="AK82" s="610" t="str">
        <f t="shared" si="402"/>
        <v>Infraestrutura</v>
      </c>
      <c r="AL82" s="609">
        <f t="shared" si="403"/>
        <v>0.05</v>
      </c>
      <c r="AM82" s="611" t="str">
        <f t="shared" si="404"/>
        <v>Sim</v>
      </c>
      <c r="AN82" s="611" t="str">
        <f t="shared" si="405"/>
        <v>Não</v>
      </c>
      <c r="AO82" s="140">
        <f t="array" ref="AO82">IF(ISBLANK($A82),0,IF(OR(AO$5-$AI82&lt;=0,$AM82="Não"),D82,D82+INDEX($AO$6:$BR$176,ROW()-5,COLUMN()-40-$AI82)))*IF($B82="Operacional",IFERROR(VLOOKUP($C82,SN_UGC,28,0),0),1)</f>
        <v>581.84</v>
      </c>
      <c r="AP82" s="140">
        <f t="array" ref="AP82">IF(ISBLANK($A82),0,IF(OR(AP$5-$AI82&lt;=0,$AM82="Não"),E82,E82+INDEX($AO$6:$BR$176,ROW()-5,COLUMN()-40-$AI82)))*IF($B82="Operacional",IFERROR(VLOOKUP($C82,SN_UGC,28,0),0),1)</f>
        <v>0</v>
      </c>
      <c r="AQ82" s="140">
        <f t="array" ref="AQ82">IF(ISBLANK($A82),0,IF(OR(AQ$5-$AI82&lt;=0,$AM82="Não"),F82,F82+INDEX($AO$6:$BR$176,ROW()-5,COLUMN()-40-$AI82)))*IF($B82="Operacional",IFERROR(VLOOKUP($C82,SN_UGC,28,0),0),1)</f>
        <v>0</v>
      </c>
      <c r="AR82" s="140">
        <f t="array" ref="AR82">IF(ISBLANK($A82),0,IF(OR(AR$5-$AI82&lt;=0,$AM82="Não"),G82,G82+INDEX($AO$6:$BR$176,ROW()-5,COLUMN()-40-$AI82)))*IF($B82="Operacional",IFERROR(VLOOKUP($C82,SN_UGC,28,0),0),1)</f>
        <v>0</v>
      </c>
      <c r="AS82" s="140">
        <f t="array" ref="AS82">IF(ISBLANK($A82),0,IF(OR(AS$5-$AI82&lt;=0,$AM82="Não"),H82,H82+INDEX($AO$6:$BR$176,ROW()-5,COLUMN()-40-$AI82)))*IF($B82="Operacional",IFERROR(VLOOKUP($C82,SN_UGC,28,0),0),1)</f>
        <v>0</v>
      </c>
      <c r="AT82" s="140">
        <f t="array" ref="AT82">IF(ISBLANK($A82),0,IF(OR(AT$5-$AI82&lt;=0,$AM82="Não"),I82,I82+INDEX($AO$6:$BR$176,ROW()-5,COLUMN()-40-$AI82)))*IF($B82="Operacional",IFERROR(VLOOKUP($C82,SN_UGC,28,0),0),1)</f>
        <v>0</v>
      </c>
      <c r="AU82" s="140">
        <f t="array" ref="AU82">IF(ISBLANK($A82),0,IF(OR(AU$5-$AI82&lt;=0,$AM82="Não"),J82,J82+INDEX($AO$6:$BR$176,ROW()-5,COLUMN()-40-$AI82)))*IF($B82="Operacional",IFERROR(VLOOKUP($C82,SN_UGC,28,0),0),1)</f>
        <v>0</v>
      </c>
      <c r="AV82" s="140">
        <f t="array" ref="AV82">IF(ISBLANK($A82),0,IF(OR(AV$5-$AI82&lt;=0,$AM82="Não"),K82,K82+INDEX($AO$6:$BR$176,ROW()-5,COLUMN()-40-$AI82)))*IF($B82="Operacional",IFERROR(VLOOKUP($C82,SN_UGC,28,0),0),1)</f>
        <v>0</v>
      </c>
      <c r="AW82" s="140">
        <f t="array" ref="AW82">IF(ISBLANK($A82),0,IF(OR(AW$5-$AI82&lt;=0,$AM82="Não"),L82,L82+INDEX($AO$6:$BR$176,ROW()-5,COLUMN()-40-$AI82)))*IF($B82="Operacional",IFERROR(VLOOKUP($C82,SN_UGC,28,0),0),1)</f>
        <v>0</v>
      </c>
      <c r="AX82" s="140">
        <f t="array" ref="AX82">IF(ISBLANK($A82),0,IF(OR(AX$5-$AI82&lt;=0,$AM82="Não"),M82,M82+INDEX($AO$6:$BR$176,ROW()-5,COLUMN()-40-$AI82)))*IF($B82="Operacional",IFERROR(VLOOKUP($C82,SN_UGC,28,0),0),1)</f>
        <v>0</v>
      </c>
      <c r="AY82" s="140">
        <f t="array" ref="AY82">IF(ISBLANK($A82),0,IF(OR(AY$5-$AI82&lt;=0,$AM82="Não"),N82,N82+INDEX($AO$6:$BR$176,ROW()-5,COLUMN()-40-$AI82)))*IF($B82="Operacional",IFERROR(VLOOKUP($C82,SN_UGC,28,0),0),1)</f>
        <v>581.84</v>
      </c>
      <c r="AZ82" s="140">
        <f t="array" ref="AZ82">IF(ISBLANK($A82),0,IF(OR(AZ$5-$AI82&lt;=0,$AM82="Não"),O82,O82+INDEX($AO$6:$BR$176,ROW()-5,COLUMN()-40-$AI82)))*IF($B82="Operacional",IFERROR(VLOOKUP($C82,SN_UGC,28,0),0),1)</f>
        <v>0</v>
      </c>
      <c r="BA82" s="140">
        <f t="array" ref="BA82">IF(ISBLANK($A82),0,IF(OR(BA$5-$AI82&lt;=0,$AM82="Não"),P82,P82+INDEX($AO$6:$BR$176,ROW()-5,COLUMN()-40-$AI82)))*IF($B82="Operacional",IFERROR(VLOOKUP($C82,SN_UGC,28,0),0),1)</f>
        <v>0</v>
      </c>
      <c r="BB82" s="140">
        <f t="array" ref="BB82">IF(ISBLANK($A82),0,IF(OR(BB$5-$AI82&lt;=0,$AM82="Não"),Q82,Q82+INDEX($AO$6:$BR$176,ROW()-5,COLUMN()-40-$AI82)))*IF($B82="Operacional",IFERROR(VLOOKUP($C82,SN_UGC,28,0),0),1)</f>
        <v>0</v>
      </c>
      <c r="BC82" s="140">
        <f t="array" ref="BC82">IF(ISBLANK($A82),0,IF(OR(BC$5-$AI82&lt;=0,$AM82="Não"),R82,R82+INDEX($AO$6:$BR$176,ROW()-5,COLUMN()-40-$AI82)))*IF($B82="Operacional",IFERROR(VLOOKUP($C82,SN_UGC,28,0),0),1)</f>
        <v>0</v>
      </c>
      <c r="BD82" s="140">
        <f t="array" ref="BD82">IF(ISBLANK($A82),0,IF(OR(BD$5-$AI82&lt;=0,$AM82="Não"),S82,S82+INDEX($AO$6:$BR$176,ROW()-5,COLUMN()-40-$AI82)))*IF($B82="Operacional",IFERROR(VLOOKUP($C82,SN_UGC,28,0),0),1)</f>
        <v>0</v>
      </c>
      <c r="BE82" s="140">
        <f t="array" ref="BE82">IF(ISBLANK($A82),0,IF(OR(BE$5-$AI82&lt;=0,$AM82="Não"),T82,T82+INDEX($AO$6:$BR$176,ROW()-5,COLUMN()-40-$AI82)))*IF($B82="Operacional",IFERROR(VLOOKUP($C82,SN_UGC,28,0),0),1)</f>
        <v>0</v>
      </c>
      <c r="BF82" s="140">
        <f t="array" ref="BF82">IF(ISBLANK($A82),0,IF(OR(BF$5-$AI82&lt;=0,$AM82="Não"),U82,U82+INDEX($AO$6:$BR$176,ROW()-5,COLUMN()-40-$AI82)))*IF($B82="Operacional",IFERROR(VLOOKUP($C82,SN_UGC,28,0),0),1)</f>
        <v>0</v>
      </c>
      <c r="BG82" s="140">
        <f t="array" ref="BG82">IF(ISBLANK($A82),0,IF(OR(BG$5-$AI82&lt;=0,$AM82="Não"),V82,V82+INDEX($AO$6:$BR$176,ROW()-5,COLUMN()-40-$AI82)))*IF($B82="Operacional",IFERROR(VLOOKUP($C82,SN_UGC,28,0),0),1)</f>
        <v>0</v>
      </c>
      <c r="BH82" s="140">
        <f t="array" ref="BH82">IF(ISBLANK($A82),0,IF(OR(BH$5-$AI82&lt;=0,$AM82="Não"),W82,W82+INDEX($AO$6:$BR$176,ROW()-5,COLUMN()-40-$AI82)))*IF($B82="Operacional",IFERROR(VLOOKUP($C82,SN_UGC,28,0),0),1)</f>
        <v>0</v>
      </c>
      <c r="BI82" s="140">
        <f t="array" ref="BI82">IF(ISBLANK($A82),0,IF(OR(BI$5-$AI82&lt;=0,$AM82="Não"),X82,X82+INDEX($AO$6:$BR$176,ROW()-5,COLUMN()-40-$AI82)))*IF($B82="Operacional",IFERROR(VLOOKUP($C82,SN_UGC,28,0),0),1)</f>
        <v>581.84</v>
      </c>
      <c r="BJ82" s="140">
        <f t="array" ref="BJ82">IF(ISBLANK($A82),0,IF(OR(BJ$5-$AI82&lt;=0,$AM82="Não"),Y82,Y82+INDEX($AO$6:$BR$176,ROW()-5,COLUMN()-40-$AI82)))*IF($B82="Operacional",IFERROR(VLOOKUP($C82,SN_UGC,28,0),0),1)</f>
        <v>0</v>
      </c>
      <c r="BK82" s="140">
        <f t="array" ref="BK82">IF(ISBLANK($A82),0,IF(OR(BK$5-$AI82&lt;=0,$AM82="Não"),Z82,Z82+INDEX($AO$6:$BR$176,ROW()-5,COLUMN()-40-$AI82)))*IF($B82="Operacional",IFERROR(VLOOKUP($C82,SN_UGC,28,0),0),1)</f>
        <v>0</v>
      </c>
      <c r="BL82" s="140">
        <f t="array" ref="BL82">IF(ISBLANK($A82),0,IF(OR(BL$5-$AI82&lt;=0,$AM82="Não"),AA82,AA82+INDEX($AO$6:$BR$176,ROW()-5,COLUMN()-40-$AI82)))*IF($B82="Operacional",IFERROR(VLOOKUP($C82,SN_UGC,28,0),0),1)</f>
        <v>0</v>
      </c>
      <c r="BM82" s="140">
        <f t="array" ref="BM82">IF(ISBLANK($A82),0,IF(OR(BM$5-$AI82&lt;=0,$AM82="Não"),AB82,AB82+INDEX($AO$6:$BR$176,ROW()-5,COLUMN()-40-$AI82)))*IF($B82="Operacional",IFERROR(VLOOKUP($C82,SN_UGC,28,0),0),1)</f>
        <v>0</v>
      </c>
      <c r="BN82" s="140">
        <f t="array" ref="BN82">IF(ISBLANK($A82),0,IF(OR(BN$5-$AI82&lt;=0,$AM82="Não"),AC82,AC82+INDEX($AO$6:$BR$176,ROW()-5,COLUMN()-40-$AI82)))*IF($B82="Operacional",IFERROR(VLOOKUP($C82,SN_UGC,28,0),0),1)</f>
        <v>0</v>
      </c>
      <c r="BO82" s="140">
        <f t="array" ref="BO82">IF(ISBLANK($A82),0,IF(OR(BO$5-$AI82&lt;=0,$AM82="Não"),AD82,AD82+INDEX($AO$6:$BR$176,ROW()-5,COLUMN()-40-$AI82)))*IF($B82="Operacional",IFERROR(VLOOKUP($C82,SN_UGC,28,0),0),1)</f>
        <v>0</v>
      </c>
      <c r="BP82" s="140">
        <f t="array" ref="BP82">IF(ISBLANK($A82),0,IF(OR(BP$5-$AI82&lt;=0,$AM82="Não"),AE82,AE82+INDEX($AO$6:$BR$176,ROW()-5,COLUMN()-40-$AI82)))*IF($B82="Operacional",IFERROR(VLOOKUP($C82,SN_UGC,28,0),0),1)</f>
        <v>0</v>
      </c>
      <c r="BQ82" s="140">
        <f t="array" ref="BQ82">IF(ISBLANK($A82),0,IF(OR(BQ$5-$AI82&lt;=0,$AM82="Não"),AF82,AF82+INDEX($AO$6:$BR$176,ROW()-5,COLUMN()-40-$AI82)))*IF($B82="Operacional",IFERROR(VLOOKUP($C82,SN_UGC,28,0),0),1)</f>
        <v>0</v>
      </c>
      <c r="BR82" s="140">
        <f t="array" ref="BR82">IF(ISBLANK($A82),0,IF(OR(BR$5-$AI82&lt;=0,$AM82="Não"),AG82,AG82+INDEX($AO$6:$BR$176,ROW()-5,COLUMN()-40-$AI82)))*IF($B82="Operacional",IFERROR(VLOOKUP($C82,SN_UGC,28,0),0),1)</f>
        <v>0</v>
      </c>
      <c r="BS82" s="141">
        <f t="shared" ref="BS82:CV82" si="422">IF(ISBLANK($A82),0,$AH82*AO82)</f>
        <v>1792067.2000000004</v>
      </c>
      <c r="BT82" s="141">
        <f t="shared" si="422"/>
        <v>0</v>
      </c>
      <c r="BU82" s="141">
        <f t="shared" si="422"/>
        <v>0</v>
      </c>
      <c r="BV82" s="141">
        <f t="shared" si="422"/>
        <v>0</v>
      </c>
      <c r="BW82" s="141">
        <f t="shared" si="422"/>
        <v>0</v>
      </c>
      <c r="BX82" s="141">
        <f t="shared" si="422"/>
        <v>0</v>
      </c>
      <c r="BY82" s="141">
        <f t="shared" si="422"/>
        <v>0</v>
      </c>
      <c r="BZ82" s="141">
        <f t="shared" si="422"/>
        <v>0</v>
      </c>
      <c r="CA82" s="141">
        <f t="shared" si="422"/>
        <v>0</v>
      </c>
      <c r="CB82" s="141">
        <f t="shared" si="422"/>
        <v>0</v>
      </c>
      <c r="CC82" s="141">
        <f t="shared" si="422"/>
        <v>1792067.2000000004</v>
      </c>
      <c r="CD82" s="141">
        <f t="shared" si="422"/>
        <v>0</v>
      </c>
      <c r="CE82" s="141">
        <f t="shared" si="422"/>
        <v>0</v>
      </c>
      <c r="CF82" s="141">
        <f t="shared" si="422"/>
        <v>0</v>
      </c>
      <c r="CG82" s="141">
        <f t="shared" si="422"/>
        <v>0</v>
      </c>
      <c r="CH82" s="141">
        <f t="shared" si="422"/>
        <v>0</v>
      </c>
      <c r="CI82" s="141">
        <f t="shared" si="422"/>
        <v>0</v>
      </c>
      <c r="CJ82" s="141">
        <f t="shared" si="422"/>
        <v>0</v>
      </c>
      <c r="CK82" s="141">
        <f t="shared" si="422"/>
        <v>0</v>
      </c>
      <c r="CL82" s="141">
        <f t="shared" si="422"/>
        <v>0</v>
      </c>
      <c r="CM82" s="141">
        <f t="shared" si="422"/>
        <v>1792067.2000000004</v>
      </c>
      <c r="CN82" s="141">
        <f t="shared" si="422"/>
        <v>0</v>
      </c>
      <c r="CO82" s="141">
        <f t="shared" si="422"/>
        <v>0</v>
      </c>
      <c r="CP82" s="141">
        <f t="shared" si="422"/>
        <v>0</v>
      </c>
      <c r="CQ82" s="141">
        <f t="shared" si="422"/>
        <v>0</v>
      </c>
      <c r="CR82" s="141">
        <f t="shared" si="422"/>
        <v>0</v>
      </c>
      <c r="CS82" s="141">
        <f t="shared" si="422"/>
        <v>0</v>
      </c>
      <c r="CT82" s="141">
        <f t="shared" si="422"/>
        <v>0</v>
      </c>
      <c r="CU82" s="141">
        <f t="shared" si="422"/>
        <v>0</v>
      </c>
      <c r="CV82" s="141">
        <f t="shared" si="422"/>
        <v>0</v>
      </c>
      <c r="CW82" s="142">
        <f t="shared" ref="CW82:DZ82" si="423">EA82*$AH82*$AJ82</f>
        <v>0</v>
      </c>
      <c r="CX82" s="142">
        <f t="shared" si="423"/>
        <v>0</v>
      </c>
      <c r="CY82" s="142">
        <f t="shared" si="423"/>
        <v>0</v>
      </c>
      <c r="CZ82" s="142">
        <f t="shared" si="423"/>
        <v>0</v>
      </c>
      <c r="DA82" s="142">
        <f t="shared" si="423"/>
        <v>0</v>
      </c>
      <c r="DB82" s="142">
        <f t="shared" si="423"/>
        <v>0</v>
      </c>
      <c r="DC82" s="142">
        <f t="shared" si="423"/>
        <v>0</v>
      </c>
      <c r="DD82" s="142">
        <f t="shared" si="423"/>
        <v>0</v>
      </c>
      <c r="DE82" s="142">
        <f t="shared" si="423"/>
        <v>0</v>
      </c>
      <c r="DF82" s="142">
        <f t="shared" si="423"/>
        <v>0</v>
      </c>
      <c r="DG82" s="142">
        <f t="shared" si="423"/>
        <v>0</v>
      </c>
      <c r="DH82" s="142">
        <f t="shared" si="423"/>
        <v>0</v>
      </c>
      <c r="DI82" s="142">
        <f t="shared" si="423"/>
        <v>0</v>
      </c>
      <c r="DJ82" s="142">
        <f t="shared" si="423"/>
        <v>0</v>
      </c>
      <c r="DK82" s="142">
        <f t="shared" si="423"/>
        <v>0</v>
      </c>
      <c r="DL82" s="142">
        <f t="shared" si="423"/>
        <v>0</v>
      </c>
      <c r="DM82" s="142">
        <f t="shared" si="423"/>
        <v>0</v>
      </c>
      <c r="DN82" s="142">
        <f t="shared" si="423"/>
        <v>0</v>
      </c>
      <c r="DO82" s="142">
        <f t="shared" si="423"/>
        <v>0</v>
      </c>
      <c r="DP82" s="142">
        <f t="shared" si="423"/>
        <v>0</v>
      </c>
      <c r="DQ82" s="142">
        <f t="shared" si="423"/>
        <v>0</v>
      </c>
      <c r="DR82" s="142">
        <f t="shared" si="423"/>
        <v>0</v>
      </c>
      <c r="DS82" s="142">
        <f t="shared" si="423"/>
        <v>0</v>
      </c>
      <c r="DT82" s="142">
        <f t="shared" si="423"/>
        <v>0</v>
      </c>
      <c r="DU82" s="142">
        <f t="shared" si="423"/>
        <v>0</v>
      </c>
      <c r="DV82" s="142">
        <f t="shared" si="423"/>
        <v>0</v>
      </c>
      <c r="DW82" s="142">
        <f t="shared" si="423"/>
        <v>0</v>
      </c>
      <c r="DX82" s="142">
        <f t="shared" si="423"/>
        <v>0</v>
      </c>
      <c r="DY82" s="142">
        <f t="shared" si="423"/>
        <v>0</v>
      </c>
      <c r="DZ82" s="142">
        <f t="shared" si="423"/>
        <v>0</v>
      </c>
      <c r="EA82" s="143">
        <f t="shared" si="339"/>
        <v>0</v>
      </c>
      <c r="EB82" s="143">
        <f t="shared" si="340"/>
        <v>0</v>
      </c>
      <c r="EC82" s="143">
        <f t="shared" si="341"/>
        <v>0</v>
      </c>
      <c r="ED82" s="143">
        <f t="shared" si="342"/>
        <v>0</v>
      </c>
      <c r="EE82" s="143">
        <f t="shared" si="343"/>
        <v>0</v>
      </c>
      <c r="EF82" s="143">
        <f t="shared" si="344"/>
        <v>0</v>
      </c>
      <c r="EG82" s="143">
        <f t="shared" si="345"/>
        <v>0</v>
      </c>
      <c r="EH82" s="143">
        <f t="shared" si="346"/>
        <v>0</v>
      </c>
      <c r="EI82" s="143">
        <f t="shared" si="347"/>
        <v>0</v>
      </c>
      <c r="EJ82" s="143">
        <f t="shared" si="348"/>
        <v>0</v>
      </c>
      <c r="EK82" s="143">
        <f t="shared" si="349"/>
        <v>581.84</v>
      </c>
      <c r="EL82" s="143">
        <f t="shared" si="350"/>
        <v>0</v>
      </c>
      <c r="EM82" s="143">
        <f t="shared" si="351"/>
        <v>0</v>
      </c>
      <c r="EN82" s="143">
        <f t="shared" si="352"/>
        <v>0</v>
      </c>
      <c r="EO82" s="143">
        <f t="shared" si="353"/>
        <v>0</v>
      </c>
      <c r="EP82" s="143">
        <f t="shared" si="354"/>
        <v>0</v>
      </c>
      <c r="EQ82" s="143">
        <f t="shared" si="355"/>
        <v>0</v>
      </c>
      <c r="ER82" s="143">
        <f t="shared" si="356"/>
        <v>0</v>
      </c>
      <c r="ES82" s="143">
        <f t="shared" si="357"/>
        <v>0</v>
      </c>
      <c r="ET82" s="143">
        <f t="shared" si="358"/>
        <v>0</v>
      </c>
      <c r="EU82" s="143">
        <f t="shared" si="359"/>
        <v>581.84</v>
      </c>
      <c r="EV82" s="143">
        <f t="shared" si="360"/>
        <v>0</v>
      </c>
      <c r="EW82" s="143">
        <f t="shared" si="361"/>
        <v>0</v>
      </c>
      <c r="EX82" s="143">
        <f t="shared" si="362"/>
        <v>0</v>
      </c>
      <c r="EY82" s="143">
        <f t="shared" si="363"/>
        <v>0</v>
      </c>
      <c r="EZ82" s="143">
        <f t="shared" si="364"/>
        <v>0</v>
      </c>
      <c r="FA82" s="143">
        <f t="shared" si="365"/>
        <v>0</v>
      </c>
      <c r="FB82" s="143">
        <f t="shared" si="366"/>
        <v>0</v>
      </c>
      <c r="FC82" s="143">
        <f t="shared" si="367"/>
        <v>0</v>
      </c>
      <c r="FD82" s="143">
        <f t="shared" si="368"/>
        <v>0</v>
      </c>
      <c r="FE82" s="140">
        <f>SUM($D82:D82)*IF($B82="Operacional",IFERROR(VLOOKUP($C82,SN_UGC,28,0),0),1)</f>
        <v>581.84</v>
      </c>
      <c r="FF82" s="140">
        <f>SUM($D82:E82)*IF($B82="Operacional",IFERROR(VLOOKUP($C82,SN_UGC,28,0),0),1)</f>
        <v>581.84</v>
      </c>
      <c r="FG82" s="140">
        <f>SUM($D82:F82)*IF($B82="Operacional",IFERROR(VLOOKUP($C82,SN_UGC,28,0),0),1)</f>
        <v>581.84</v>
      </c>
      <c r="FH82" s="140">
        <f>SUM($D82:G82)*IF($B82="Operacional",IFERROR(VLOOKUP($C82,SN_UGC,28,0),0),1)</f>
        <v>581.84</v>
      </c>
      <c r="FI82" s="140">
        <f>SUM($D82:H82)*IF($B82="Operacional",IFERROR(VLOOKUP($C82,SN_UGC,28,0),0),1)</f>
        <v>581.84</v>
      </c>
      <c r="FJ82" s="140">
        <f>SUM($D82:I82)*IF($B82="Operacional",IFERROR(VLOOKUP($C82,SN_UGC,28,0),0),1)</f>
        <v>581.84</v>
      </c>
      <c r="FK82" s="140">
        <f>SUM($D82:J82)*IF($B82="Operacional",IFERROR(VLOOKUP($C82,SN_UGC,28,0),0),1)</f>
        <v>581.84</v>
      </c>
      <c r="FL82" s="140">
        <f>SUM($D82:K82)*IF($B82="Operacional",IFERROR(VLOOKUP($C82,SN_UGC,28,0),0),1)</f>
        <v>581.84</v>
      </c>
      <c r="FM82" s="140">
        <f>SUM($D82:L82)*IF($B82="Operacional",IFERROR(VLOOKUP($C82,SN_UGC,28,0),0),1)</f>
        <v>581.84</v>
      </c>
      <c r="FN82" s="140">
        <f>SUM($D82:M82)*IF($B82="Operacional",IFERROR(VLOOKUP($C82,SN_UGC,28,0),0),1)</f>
        <v>581.84</v>
      </c>
      <c r="FO82" s="140">
        <f>SUM($D82:N82)*IF($B82="Operacional",IFERROR(VLOOKUP($C82,SN_UGC,28,0),0),1)</f>
        <v>581.84</v>
      </c>
      <c r="FP82" s="140">
        <f>SUM($D82:O82)*IF($B82="Operacional",IFERROR(VLOOKUP($C82,SN_UGC,28,0),0),1)</f>
        <v>581.84</v>
      </c>
      <c r="FQ82" s="140">
        <f>SUM($D82:P82)*IF($B82="Operacional",IFERROR(VLOOKUP($C82,SN_UGC,28,0),0),1)</f>
        <v>581.84</v>
      </c>
      <c r="FR82" s="140">
        <f>SUM($D82:Q82)*IF($B82="Operacional",IFERROR(VLOOKUP($C82,SN_UGC,28,0),0),1)</f>
        <v>581.84</v>
      </c>
      <c r="FS82" s="140">
        <f>SUM($D82:R82)*IF($B82="Operacional",IFERROR(VLOOKUP($C82,SN_UGC,28,0),0),1)</f>
        <v>581.84</v>
      </c>
      <c r="FT82" s="140">
        <f>SUM($D82:S82)*IF($B82="Operacional",IFERROR(VLOOKUP($C82,SN_UGC,28,0),0),1)</f>
        <v>581.84</v>
      </c>
      <c r="FU82" s="140">
        <f>SUM($D82:T82)*IF($B82="Operacional",IFERROR(VLOOKUP($C82,SN_UGC,28,0),0),1)</f>
        <v>581.84</v>
      </c>
      <c r="FV82" s="140">
        <f>SUM($D82:U82)*IF($B82="Operacional",IFERROR(VLOOKUP($C82,SN_UGC,28,0),0),1)</f>
        <v>581.84</v>
      </c>
      <c r="FW82" s="140">
        <f>SUM($D82:V82)*IF($B82="Operacional",IFERROR(VLOOKUP($C82,SN_UGC,28,0),0),1)</f>
        <v>581.84</v>
      </c>
      <c r="FX82" s="140">
        <f>SUM($D82:W82)*IF($B82="Operacional",IFERROR(VLOOKUP($C82,SN_UGC,28,0),0),1)</f>
        <v>581.84</v>
      </c>
      <c r="FY82" s="140">
        <f>SUM($D82:X82)*IF($B82="Operacional",IFERROR(VLOOKUP($C82,SN_UGC,28,0),0),1)</f>
        <v>581.84</v>
      </c>
      <c r="FZ82" s="140">
        <f>SUM($D82:Y82)*IF($B82="Operacional",IFERROR(VLOOKUP($C82,SN_UGC,28,0),0),1)</f>
        <v>581.84</v>
      </c>
      <c r="GA82" s="140">
        <f>SUM($D82:Z82)*IF($B82="Operacional",IFERROR(VLOOKUP($C82,SN_UGC,28,0),0),1)</f>
        <v>581.84</v>
      </c>
      <c r="GB82" s="140">
        <f>SUM($D82:AA82)*IF($B82="Operacional",IFERROR(VLOOKUP($C82,SN_UGC,28,0),0),1)</f>
        <v>581.84</v>
      </c>
      <c r="GC82" s="140">
        <f>SUM($D82:AB82)*IF($B82="Operacional",IFERROR(VLOOKUP($C82,SN_UGC,28,0),0),1)</f>
        <v>581.84</v>
      </c>
      <c r="GD82" s="140">
        <f>SUM($D82:AC82)*IF($B82="Operacional",IFERROR(VLOOKUP($C82,SN_UGC,28,0),0),1)</f>
        <v>581.84</v>
      </c>
      <c r="GE82" s="140">
        <f>SUM($D82:AD82)*IF($B82="Operacional",IFERROR(VLOOKUP($C82,SN_UGC,28,0),0),1)</f>
        <v>581.84</v>
      </c>
      <c r="GF82" s="140">
        <f>SUM($D82:AE82)*IF($B82="Operacional",IFERROR(VLOOKUP($C82,SN_UGC,28,0),0),1)</f>
        <v>581.84</v>
      </c>
      <c r="GG82" s="140">
        <f>SUM($D82:AF82)*IF($B82="Operacional",IFERROR(VLOOKUP($C82,SN_UGC,28,0),0),1)</f>
        <v>581.84</v>
      </c>
      <c r="GH82" s="140">
        <f>SUM($D82:AG82)*IF($B82="Operacional",IFERROR(VLOOKUP($C82,SN_UGC,28,0),0),1)</f>
        <v>581.84</v>
      </c>
      <c r="GI82" s="141">
        <f t="shared" ref="GI82:HL82" si="424">FE82*$AH82*$AL82</f>
        <v>89603.36000000003</v>
      </c>
      <c r="GJ82" s="141">
        <f t="shared" si="424"/>
        <v>89603.36000000003</v>
      </c>
      <c r="GK82" s="141">
        <f t="shared" si="424"/>
        <v>89603.36000000003</v>
      </c>
      <c r="GL82" s="141">
        <f t="shared" si="424"/>
        <v>89603.36000000003</v>
      </c>
      <c r="GM82" s="141">
        <f t="shared" si="424"/>
        <v>89603.36000000003</v>
      </c>
      <c r="GN82" s="141">
        <f t="shared" si="424"/>
        <v>89603.36000000003</v>
      </c>
      <c r="GO82" s="141">
        <f t="shared" si="424"/>
        <v>89603.36000000003</v>
      </c>
      <c r="GP82" s="141">
        <f t="shared" si="424"/>
        <v>89603.36000000003</v>
      </c>
      <c r="GQ82" s="141">
        <f t="shared" si="424"/>
        <v>89603.36000000003</v>
      </c>
      <c r="GR82" s="141">
        <f t="shared" si="424"/>
        <v>89603.36000000003</v>
      </c>
      <c r="GS82" s="141">
        <f t="shared" si="424"/>
        <v>89603.36000000003</v>
      </c>
      <c r="GT82" s="141">
        <f t="shared" si="424"/>
        <v>89603.36000000003</v>
      </c>
      <c r="GU82" s="141">
        <f t="shared" si="424"/>
        <v>89603.36000000003</v>
      </c>
      <c r="GV82" s="141">
        <f t="shared" si="424"/>
        <v>89603.36000000003</v>
      </c>
      <c r="GW82" s="141">
        <f t="shared" si="424"/>
        <v>89603.36000000003</v>
      </c>
      <c r="GX82" s="141">
        <f t="shared" si="424"/>
        <v>89603.36000000003</v>
      </c>
      <c r="GY82" s="141">
        <f t="shared" si="424"/>
        <v>89603.36000000003</v>
      </c>
      <c r="GZ82" s="141">
        <f t="shared" si="424"/>
        <v>89603.36000000003</v>
      </c>
      <c r="HA82" s="141">
        <f t="shared" si="424"/>
        <v>89603.36000000003</v>
      </c>
      <c r="HB82" s="141">
        <f t="shared" si="424"/>
        <v>89603.36000000003</v>
      </c>
      <c r="HC82" s="141">
        <f t="shared" si="424"/>
        <v>89603.36000000003</v>
      </c>
      <c r="HD82" s="141">
        <f t="shared" si="424"/>
        <v>89603.36000000003</v>
      </c>
      <c r="HE82" s="141">
        <f t="shared" si="424"/>
        <v>89603.36000000003</v>
      </c>
      <c r="HF82" s="141">
        <f t="shared" si="424"/>
        <v>89603.36000000003</v>
      </c>
      <c r="HG82" s="141">
        <f t="shared" si="424"/>
        <v>89603.36000000003</v>
      </c>
      <c r="HH82" s="141">
        <f t="shared" si="424"/>
        <v>89603.36000000003</v>
      </c>
      <c r="HI82" s="141">
        <f t="shared" si="424"/>
        <v>89603.36000000003</v>
      </c>
      <c r="HJ82" s="141">
        <f t="shared" si="424"/>
        <v>89603.36000000003</v>
      </c>
      <c r="HK82" s="141">
        <f t="shared" si="424"/>
        <v>89603.36000000003</v>
      </c>
      <c r="HL82" s="141">
        <f t="shared" si="424"/>
        <v>89603.36000000003</v>
      </c>
      <c r="HM82" s="142">
        <f t="shared" ref="HM82:IP82" si="425">IF(ISBLANK($A82),,FE82*($AH82-($AH82*$AJ82))/$AI82)</f>
        <v>179206.72000000003</v>
      </c>
      <c r="HN82" s="142">
        <f t="shared" si="425"/>
        <v>179206.72000000003</v>
      </c>
      <c r="HO82" s="142">
        <f t="shared" si="425"/>
        <v>179206.72000000003</v>
      </c>
      <c r="HP82" s="142">
        <f t="shared" si="425"/>
        <v>179206.72000000003</v>
      </c>
      <c r="HQ82" s="142">
        <f t="shared" si="425"/>
        <v>179206.72000000003</v>
      </c>
      <c r="HR82" s="142">
        <f t="shared" si="425"/>
        <v>179206.72000000003</v>
      </c>
      <c r="HS82" s="142">
        <f t="shared" si="425"/>
        <v>179206.72000000003</v>
      </c>
      <c r="HT82" s="142">
        <f t="shared" si="425"/>
        <v>179206.72000000003</v>
      </c>
      <c r="HU82" s="142">
        <f t="shared" si="425"/>
        <v>179206.72000000003</v>
      </c>
      <c r="HV82" s="142">
        <f t="shared" si="425"/>
        <v>179206.72000000003</v>
      </c>
      <c r="HW82" s="142">
        <f t="shared" si="425"/>
        <v>179206.72000000003</v>
      </c>
      <c r="HX82" s="142">
        <f t="shared" si="425"/>
        <v>179206.72000000003</v>
      </c>
      <c r="HY82" s="142">
        <f t="shared" si="425"/>
        <v>179206.72000000003</v>
      </c>
      <c r="HZ82" s="142">
        <f t="shared" si="425"/>
        <v>179206.72000000003</v>
      </c>
      <c r="IA82" s="142">
        <f t="shared" si="425"/>
        <v>179206.72000000003</v>
      </c>
      <c r="IB82" s="142">
        <f t="shared" si="425"/>
        <v>179206.72000000003</v>
      </c>
      <c r="IC82" s="142">
        <f t="shared" si="425"/>
        <v>179206.72000000003</v>
      </c>
      <c r="ID82" s="142">
        <f t="shared" si="425"/>
        <v>179206.72000000003</v>
      </c>
      <c r="IE82" s="142">
        <f t="shared" si="425"/>
        <v>179206.72000000003</v>
      </c>
      <c r="IF82" s="142">
        <f t="shared" si="425"/>
        <v>179206.72000000003</v>
      </c>
      <c r="IG82" s="142">
        <f t="shared" si="425"/>
        <v>179206.72000000003</v>
      </c>
      <c r="IH82" s="142">
        <f t="shared" si="425"/>
        <v>179206.72000000003</v>
      </c>
      <c r="II82" s="142">
        <f t="shared" si="425"/>
        <v>179206.72000000003</v>
      </c>
      <c r="IJ82" s="142">
        <f t="shared" si="425"/>
        <v>179206.72000000003</v>
      </c>
      <c r="IK82" s="142">
        <f t="shared" si="425"/>
        <v>179206.72000000003</v>
      </c>
      <c r="IL82" s="142">
        <f t="shared" si="425"/>
        <v>179206.72000000003</v>
      </c>
      <c r="IM82" s="142">
        <f t="shared" si="425"/>
        <v>179206.72000000003</v>
      </c>
      <c r="IN82" s="142">
        <f t="shared" si="425"/>
        <v>179206.72000000003</v>
      </c>
      <c r="IO82" s="142">
        <f t="shared" si="425"/>
        <v>179206.72000000003</v>
      </c>
      <c r="IP82" s="142">
        <f t="shared" si="425"/>
        <v>179206.72000000003</v>
      </c>
      <c r="IQ82" s="141">
        <f>IF(ISBLANK($A82),,IF($AN82="Não",0,(SUM($AO82:AO82)*$AH82)-SUM($HM82:HM82)-SUM($CW82:CW82)))</f>
        <v>0</v>
      </c>
      <c r="IR82" s="141">
        <f>IF(ISBLANK($A82),,IF($AN82="Não",0,(SUM($AO82:AP82)*$AH82)-SUM($HM82:HN82)-SUM($CW82:CX82)))</f>
        <v>0</v>
      </c>
      <c r="IS82" s="141">
        <f>IF(ISBLANK($A82),,IF($AN82="Não",0,(SUM($AO82:AQ82)*$AH82)-SUM($HM82:HO82)-SUM($CW82:CY82)))</f>
        <v>0</v>
      </c>
      <c r="IT82" s="141">
        <f>IF(ISBLANK($A82),,IF($AN82="Não",0,(SUM($AO82:AR82)*$AH82)-SUM($HM82:HP82)-SUM($CW82:CZ82)))</f>
        <v>0</v>
      </c>
      <c r="IU82" s="141">
        <f>IF(ISBLANK($A82),,IF($AN82="Não",0,(SUM($AO82:AS82)*$AH82)-SUM($HM82:HQ82)-SUM($CW82:DA82)))</f>
        <v>0</v>
      </c>
      <c r="IV82" s="141">
        <f>IF(ISBLANK($A82),,IF($AN82="Não",0,(SUM($AO82:AT82)*$AH82)-SUM($HM82:HR82)-SUM($CW82:DB82)))</f>
        <v>0</v>
      </c>
      <c r="IW82" s="141">
        <f>IF(ISBLANK($A82),,IF($AN82="Não",0,(SUM($AO82:AU82)*$AH82)-SUM($HM82:HS82)-SUM($CW82:DC82)))</f>
        <v>0</v>
      </c>
      <c r="IX82" s="141">
        <f>IF(ISBLANK($A82),,IF($AN82="Não",0,(SUM($AO82:AV82)*$AH82)-SUM($HM82:HT82)-SUM($CW82:DD82)))</f>
        <v>0</v>
      </c>
      <c r="IY82" s="141">
        <f>IF(ISBLANK($A82),,IF($AN82="Não",0,(SUM($AO82:AW82)*$AH82)-SUM($HM82:HU82)-SUM($CW82:DE82)))</f>
        <v>0</v>
      </c>
      <c r="IZ82" s="141">
        <f>IF(ISBLANK($A82),,IF($AN82="Não",0,(SUM($AO82:AX82)*$AH82)-SUM($HM82:HV82)-SUM($CW82:DF82)))</f>
        <v>0</v>
      </c>
      <c r="JA82" s="141">
        <f>IF(ISBLANK($A82),,IF($AN82="Não",0,(SUM($AO82:AY82)*$AH82)-SUM($HM82:HW82)-SUM($CW82:DG82)))</f>
        <v>0</v>
      </c>
      <c r="JB82" s="141">
        <f>IF(ISBLANK($A82),,IF($AN82="Não",0,(SUM($AO82:AZ82)*$AH82)-SUM($HM82:HX82)-SUM($CW82:DH82)))</f>
        <v>0</v>
      </c>
      <c r="JC82" s="141">
        <f>IF(ISBLANK($A82),,IF($AN82="Não",0,(SUM($AO82:BA82)*$AH82)-SUM($HM82:HY82)-SUM($CW82:DI82)))</f>
        <v>0</v>
      </c>
      <c r="JD82" s="141">
        <f>IF(ISBLANK($A82),,IF($AN82="Não",0,(SUM($AO82:BB82)*$AH82)-SUM($HM82:HZ82)-SUM($CW82:DJ82)))</f>
        <v>0</v>
      </c>
      <c r="JE82" s="141">
        <f>IF(ISBLANK($A82),,IF($AN82="Não",0,(SUM($AO82:BC82)*$AH82)-SUM($HM82:IA82)-SUM($CW82:DK82)))</f>
        <v>0</v>
      </c>
      <c r="JF82" s="141">
        <f>IF(ISBLANK($A82),,IF($AN82="Não",0,(SUM($AO82:BD82)*$AH82)-SUM($HM82:IB82)-SUM($CW82:DL82)))</f>
        <v>0</v>
      </c>
      <c r="JG82" s="141">
        <f>IF(ISBLANK($A82),,IF($AN82="Não",0,(SUM($AO82:BE82)*$AH82)-SUM($HM82:IC82)-SUM($CW82:DM82)))</f>
        <v>0</v>
      </c>
      <c r="JH82" s="141">
        <f>IF(ISBLANK($A82),,IF($AN82="Não",0,(SUM($AO82:BF82)*$AH82)-SUM($HM82:ID82)-SUM($CW82:DN82)))</f>
        <v>0</v>
      </c>
      <c r="JI82" s="141">
        <f>IF(ISBLANK($A82),,IF($AN82="Não",0,(SUM($AO82:BG82)*$AH82)-SUM($HM82:IE82)-SUM($CW82:DO82)))</f>
        <v>0</v>
      </c>
      <c r="JJ82" s="141">
        <f>IF(ISBLANK($A82),,IF($AN82="Não",0,(SUM($AO82:BH82)*$AH82)-SUM($HM82:IF82)-SUM($CW82:DP82)))</f>
        <v>0</v>
      </c>
      <c r="JK82" s="141">
        <f>IF(ISBLANK($A82),,IF($AN82="Não",0,(SUM($AO82:BI82)*$AH82)-SUM($HM82:IG82)-SUM($CW82:DQ82)))</f>
        <v>0</v>
      </c>
      <c r="JL82" s="141">
        <f>IF(ISBLANK($A82),,IF($AN82="Não",0,(SUM($AO82:BJ82)*$AH82)-SUM($HM82:IH82)-SUM($CW82:DR82)))</f>
        <v>0</v>
      </c>
      <c r="JM82" s="141">
        <f>IF(ISBLANK($A82),,IF($AN82="Não",0,(SUM($AO82:BK82)*$AH82)-SUM($HM82:II82)-SUM($CW82:DS82)))</f>
        <v>0</v>
      </c>
      <c r="JN82" s="141">
        <f>IF(ISBLANK($A82),,IF($AN82="Não",0,(SUM($AO82:BL82)*$AH82)-SUM($HM82:IJ82)-SUM($CW82:DT82)))</f>
        <v>0</v>
      </c>
      <c r="JO82" s="141">
        <f>IF(ISBLANK($A82),,IF($AN82="Não",0,(SUM($AO82:BM82)*$AH82)-SUM($HM82:IK82)-SUM($CW82:DU82)))</f>
        <v>0</v>
      </c>
      <c r="JP82" s="141">
        <f>IF(ISBLANK($A82),,IF($AN82="Não",0,(SUM($AO82:BN82)*$AH82)-SUM($HM82:IL82)-SUM($CW82:DV82)))</f>
        <v>0</v>
      </c>
      <c r="JQ82" s="141">
        <f>IF(ISBLANK($A82),,IF($AN82="Não",0,(SUM($AO82:BO82)*$AH82)-SUM($HM82:IM82)-SUM($CW82:DW82)))</f>
        <v>0</v>
      </c>
      <c r="JR82" s="141">
        <f>IF(ISBLANK($A82),,IF($AN82="Não",0,(SUM($AO82:BP82)*$AH82)-SUM($HM82:IN82)-SUM($CW82:DX82)))</f>
        <v>0</v>
      </c>
      <c r="JS82" s="141">
        <f>IF(ISBLANK($A82),,IF($AN82="Não",0,(SUM($AO82:BQ82)*$AH82)-SUM($HM82:IO82)-SUM($CW82:DY82)))</f>
        <v>0</v>
      </c>
      <c r="JT82" s="141">
        <f>IF(ISBLANK($A82),,IF($AN82="Não",0,(SUM($AO82:BR82)*$AH82)-SUM($HM82:IP82)-SUM($CW82:DZ82)))</f>
        <v>0</v>
      </c>
    </row>
    <row r="83" spans="1:280" ht="15.75" customHeight="1">
      <c r="A83" s="129" t="s">
        <v>410</v>
      </c>
      <c r="B83" s="129" t="s">
        <v>191</v>
      </c>
      <c r="C83" s="138" t="s">
        <v>234</v>
      </c>
      <c r="D83" s="302">
        <v>1772</v>
      </c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607">
        <f t="shared" si="399"/>
        <v>5500</v>
      </c>
      <c r="AI83" s="608">
        <f t="shared" si="400"/>
        <v>20</v>
      </c>
      <c r="AJ83" s="609">
        <f t="shared" si="401"/>
        <v>0.5</v>
      </c>
      <c r="AK83" s="610" t="str">
        <f t="shared" si="402"/>
        <v>Infraestrutura</v>
      </c>
      <c r="AL83" s="609">
        <f t="shared" si="403"/>
        <v>0.05</v>
      </c>
      <c r="AM83" s="611" t="str">
        <f t="shared" si="404"/>
        <v>Sim</v>
      </c>
      <c r="AN83" s="611" t="s">
        <v>355</v>
      </c>
      <c r="AO83" s="140">
        <f t="array" ref="AO83">IF(ISBLANK($A83),0,IF(OR(AO$5-$AI83&lt;=0,$AM83="Não"),D83,D83+INDEX($AO$6:$BR$176,ROW()-5,COLUMN()-40-$AI83)))*IF($B83="Operacional",IFERROR(VLOOKUP($C83,SN_UGC,28,0),0),1)</f>
        <v>1772</v>
      </c>
      <c r="AP83" s="140">
        <f t="array" ref="AP83">IF(ISBLANK($A83),0,IF(OR(AP$5-$AI83&lt;=0,$AM83="Não"),E83,E83+INDEX($AO$6:$BR$176,ROW()-5,COLUMN()-40-$AI83)))*IF($B83="Operacional",IFERROR(VLOOKUP($C83,SN_UGC,28,0),0),1)</f>
        <v>0</v>
      </c>
      <c r="AQ83" s="140">
        <f t="array" ref="AQ83">IF(ISBLANK($A83),0,IF(OR(AQ$5-$AI83&lt;=0,$AM83="Não"),F83,F83+INDEX($AO$6:$BR$176,ROW()-5,COLUMN()-40-$AI83)))*IF($B83="Operacional",IFERROR(VLOOKUP($C83,SN_UGC,28,0),0),1)</f>
        <v>0</v>
      </c>
      <c r="AR83" s="140">
        <f t="array" ref="AR83">IF(ISBLANK($A83),0,IF(OR(AR$5-$AI83&lt;=0,$AM83="Não"),G83,G83+INDEX($AO$6:$BR$176,ROW()-5,COLUMN()-40-$AI83)))*IF($B83="Operacional",IFERROR(VLOOKUP($C83,SN_UGC,28,0),0),1)</f>
        <v>0</v>
      </c>
      <c r="AS83" s="140">
        <f t="array" ref="AS83">IF(ISBLANK($A83),0,IF(OR(AS$5-$AI83&lt;=0,$AM83="Não"),H83,H83+INDEX($AO$6:$BR$176,ROW()-5,COLUMN()-40-$AI83)))*IF($B83="Operacional",IFERROR(VLOOKUP($C83,SN_UGC,28,0),0),1)</f>
        <v>0</v>
      </c>
      <c r="AT83" s="140">
        <f t="array" ref="AT83">IF(ISBLANK($A83),0,IF(OR(AT$5-$AI83&lt;=0,$AM83="Não"),I83,I83+INDEX($AO$6:$BR$176,ROW()-5,COLUMN()-40-$AI83)))*IF($B83="Operacional",IFERROR(VLOOKUP($C83,SN_UGC,28,0),0),1)</f>
        <v>0</v>
      </c>
      <c r="AU83" s="140">
        <f t="array" ref="AU83">IF(ISBLANK($A83),0,IF(OR(AU$5-$AI83&lt;=0,$AM83="Não"),J83,J83+INDEX($AO$6:$BR$176,ROW()-5,COLUMN()-40-$AI83)))*IF($B83="Operacional",IFERROR(VLOOKUP($C83,SN_UGC,28,0),0),1)</f>
        <v>0</v>
      </c>
      <c r="AV83" s="140">
        <f t="array" ref="AV83">IF(ISBLANK($A83),0,IF(OR(AV$5-$AI83&lt;=0,$AM83="Não"),K83,K83+INDEX($AO$6:$BR$176,ROW()-5,COLUMN()-40-$AI83)))*IF($B83="Operacional",IFERROR(VLOOKUP($C83,SN_UGC,28,0),0),1)</f>
        <v>0</v>
      </c>
      <c r="AW83" s="140">
        <f t="array" ref="AW83">IF(ISBLANK($A83),0,IF(OR(AW$5-$AI83&lt;=0,$AM83="Não"),L83,L83+INDEX($AO$6:$BR$176,ROW()-5,COLUMN()-40-$AI83)))*IF($B83="Operacional",IFERROR(VLOOKUP($C83,SN_UGC,28,0),0),1)</f>
        <v>0</v>
      </c>
      <c r="AX83" s="140">
        <f t="array" ref="AX83">IF(ISBLANK($A83),0,IF(OR(AX$5-$AI83&lt;=0,$AM83="Não"),M83,M83+INDEX($AO$6:$BR$176,ROW()-5,COLUMN()-40-$AI83)))*IF($B83="Operacional",IFERROR(VLOOKUP($C83,SN_UGC,28,0),0),1)</f>
        <v>0</v>
      </c>
      <c r="AY83" s="140">
        <f t="array" ref="AY83">IF(ISBLANK($A83),0,IF(OR(AY$5-$AI83&lt;=0,$AM83="Não"),N83,N83+INDEX($AO$6:$BR$176,ROW()-5,COLUMN()-40-$AI83)))*IF($B83="Operacional",IFERROR(VLOOKUP($C83,SN_UGC,28,0),0),1)</f>
        <v>0</v>
      </c>
      <c r="AZ83" s="140">
        <f t="array" ref="AZ83">IF(ISBLANK($A83),0,IF(OR(AZ$5-$AI83&lt;=0,$AM83="Não"),O83,O83+INDEX($AO$6:$BR$176,ROW()-5,COLUMN()-40-$AI83)))*IF($B83="Operacional",IFERROR(VLOOKUP($C83,SN_UGC,28,0),0),1)</f>
        <v>0</v>
      </c>
      <c r="BA83" s="140">
        <f t="array" ref="BA83">IF(ISBLANK($A83),0,IF(OR(BA$5-$AI83&lt;=0,$AM83="Não"),P83,P83+INDEX($AO$6:$BR$176,ROW()-5,COLUMN()-40-$AI83)))*IF($B83="Operacional",IFERROR(VLOOKUP($C83,SN_UGC,28,0),0),1)</f>
        <v>0</v>
      </c>
      <c r="BB83" s="140">
        <f t="array" ref="BB83">IF(ISBLANK($A83),0,IF(OR(BB$5-$AI83&lt;=0,$AM83="Não"),Q83,Q83+INDEX($AO$6:$BR$176,ROW()-5,COLUMN()-40-$AI83)))*IF($B83="Operacional",IFERROR(VLOOKUP($C83,SN_UGC,28,0),0),1)</f>
        <v>0</v>
      </c>
      <c r="BC83" s="140">
        <f t="array" ref="BC83">IF(ISBLANK($A83),0,IF(OR(BC$5-$AI83&lt;=0,$AM83="Não"),R83,R83+INDEX($AO$6:$BR$176,ROW()-5,COLUMN()-40-$AI83)))*IF($B83="Operacional",IFERROR(VLOOKUP($C83,SN_UGC,28,0),0),1)</f>
        <v>0</v>
      </c>
      <c r="BD83" s="140">
        <f t="array" ref="BD83">IF(ISBLANK($A83),0,IF(OR(BD$5-$AI83&lt;=0,$AM83="Não"),S83,S83+INDEX($AO$6:$BR$176,ROW()-5,COLUMN()-40-$AI83)))*IF($B83="Operacional",IFERROR(VLOOKUP($C83,SN_UGC,28,0),0),1)</f>
        <v>0</v>
      </c>
      <c r="BE83" s="140">
        <f t="array" ref="BE83">IF(ISBLANK($A83),0,IF(OR(BE$5-$AI83&lt;=0,$AM83="Não"),T83,T83+INDEX($AO$6:$BR$176,ROW()-5,COLUMN()-40-$AI83)))*IF($B83="Operacional",IFERROR(VLOOKUP($C83,SN_UGC,28,0),0),1)</f>
        <v>0</v>
      </c>
      <c r="BF83" s="140">
        <f t="array" ref="BF83">IF(ISBLANK($A83),0,IF(OR(BF$5-$AI83&lt;=0,$AM83="Não"),U83,U83+INDEX($AO$6:$BR$176,ROW()-5,COLUMN()-40-$AI83)))*IF($B83="Operacional",IFERROR(VLOOKUP($C83,SN_UGC,28,0),0),1)</f>
        <v>0</v>
      </c>
      <c r="BG83" s="140">
        <f t="array" ref="BG83">IF(ISBLANK($A83),0,IF(OR(BG$5-$AI83&lt;=0,$AM83="Não"),V83,V83+INDEX($AO$6:$BR$176,ROW()-5,COLUMN()-40-$AI83)))*IF($B83="Operacional",IFERROR(VLOOKUP($C83,SN_UGC,28,0),0),1)</f>
        <v>0</v>
      </c>
      <c r="BH83" s="140">
        <f t="array" ref="BH83">IF(ISBLANK($A83),0,IF(OR(BH$5-$AI83&lt;=0,$AM83="Não"),W83,W83+INDEX($AO$6:$BR$176,ROW()-5,COLUMN()-40-$AI83)))*IF($B83="Operacional",IFERROR(VLOOKUP($C83,SN_UGC,28,0),0),1)</f>
        <v>0</v>
      </c>
      <c r="BI83" s="140">
        <f t="array" ref="BI83">IF(ISBLANK($A83),0,IF(OR(BI$5-$AI83&lt;=0,$AM83="Não"),X83,X83+INDEX($AO$6:$BR$176,ROW()-5,COLUMN()-40-$AI83)))*IF($B83="Operacional",IFERROR(VLOOKUP($C83,SN_UGC,28,0),0),1)</f>
        <v>1772</v>
      </c>
      <c r="BJ83" s="140">
        <f t="array" ref="BJ83">IF(ISBLANK($A83),0,IF(OR(BJ$5-$AI83&lt;=0,$AM83="Não"),Y83,Y83+INDEX($AO$6:$BR$176,ROW()-5,COLUMN()-40-$AI83)))*IF($B83="Operacional",IFERROR(VLOOKUP($C83,SN_UGC,28,0),0),1)</f>
        <v>0</v>
      </c>
      <c r="BK83" s="140">
        <f t="array" ref="BK83">IF(ISBLANK($A83),0,IF(OR(BK$5-$AI83&lt;=0,$AM83="Não"),Z83,Z83+INDEX($AO$6:$BR$176,ROW()-5,COLUMN()-40-$AI83)))*IF($B83="Operacional",IFERROR(VLOOKUP($C83,SN_UGC,28,0),0),1)</f>
        <v>0</v>
      </c>
      <c r="BL83" s="140">
        <f t="array" ref="BL83">IF(ISBLANK($A83),0,IF(OR(BL$5-$AI83&lt;=0,$AM83="Não"),AA83,AA83+INDEX($AO$6:$BR$176,ROW()-5,COLUMN()-40-$AI83)))*IF($B83="Operacional",IFERROR(VLOOKUP($C83,SN_UGC,28,0),0),1)</f>
        <v>0</v>
      </c>
      <c r="BM83" s="140">
        <f t="array" ref="BM83">IF(ISBLANK($A83),0,IF(OR(BM$5-$AI83&lt;=0,$AM83="Não"),AB83,AB83+INDEX($AO$6:$BR$176,ROW()-5,COLUMN()-40-$AI83)))*IF($B83="Operacional",IFERROR(VLOOKUP($C83,SN_UGC,28,0),0),1)</f>
        <v>0</v>
      </c>
      <c r="BN83" s="140">
        <f t="array" ref="BN83">IF(ISBLANK($A83),0,IF(OR(BN$5-$AI83&lt;=0,$AM83="Não"),AC83,AC83+INDEX($AO$6:$BR$176,ROW()-5,COLUMN()-40-$AI83)))*IF($B83="Operacional",IFERROR(VLOOKUP($C83,SN_UGC,28,0),0),1)</f>
        <v>0</v>
      </c>
      <c r="BO83" s="140">
        <f t="array" ref="BO83">IF(ISBLANK($A83),0,IF(OR(BO$5-$AI83&lt;=0,$AM83="Não"),AD83,AD83+INDEX($AO$6:$BR$176,ROW()-5,COLUMN()-40-$AI83)))*IF($B83="Operacional",IFERROR(VLOOKUP($C83,SN_UGC,28,0),0),1)</f>
        <v>0</v>
      </c>
      <c r="BP83" s="140">
        <f t="array" ref="BP83">IF(ISBLANK($A83),0,IF(OR(BP$5-$AI83&lt;=0,$AM83="Não"),AE83,AE83+INDEX($AO$6:$BR$176,ROW()-5,COLUMN()-40-$AI83)))*IF($B83="Operacional",IFERROR(VLOOKUP($C83,SN_UGC,28,0),0),1)</f>
        <v>0</v>
      </c>
      <c r="BQ83" s="140">
        <f t="array" ref="BQ83">IF(ISBLANK($A83),0,IF(OR(BQ$5-$AI83&lt;=0,$AM83="Não"),AF83,AF83+INDEX($AO$6:$BR$176,ROW()-5,COLUMN()-40-$AI83)))*IF($B83="Operacional",IFERROR(VLOOKUP($C83,SN_UGC,28,0),0),1)</f>
        <v>0</v>
      </c>
      <c r="BR83" s="140">
        <f t="array" ref="BR83">IF(ISBLANK($A83),0,IF(OR(BR$5-$AI83&lt;=0,$AM83="Não"),AG83,AG83+INDEX($AO$6:$BR$176,ROW()-5,COLUMN()-40-$AI83)))*IF($B83="Operacional",IFERROR(VLOOKUP($C83,SN_UGC,28,0),0),1)</f>
        <v>0</v>
      </c>
      <c r="BS83" s="141">
        <f t="shared" ref="BS83:CV83" si="426">IF(ISBLANK($A83),0,$AH83*AO83)</f>
        <v>9746000</v>
      </c>
      <c r="BT83" s="141">
        <f t="shared" si="426"/>
        <v>0</v>
      </c>
      <c r="BU83" s="141">
        <f t="shared" si="426"/>
        <v>0</v>
      </c>
      <c r="BV83" s="141">
        <f t="shared" si="426"/>
        <v>0</v>
      </c>
      <c r="BW83" s="141">
        <f t="shared" si="426"/>
        <v>0</v>
      </c>
      <c r="BX83" s="141">
        <f t="shared" si="426"/>
        <v>0</v>
      </c>
      <c r="BY83" s="141">
        <f t="shared" si="426"/>
        <v>0</v>
      </c>
      <c r="BZ83" s="141">
        <f t="shared" si="426"/>
        <v>0</v>
      </c>
      <c r="CA83" s="141">
        <f t="shared" si="426"/>
        <v>0</v>
      </c>
      <c r="CB83" s="141">
        <f t="shared" si="426"/>
        <v>0</v>
      </c>
      <c r="CC83" s="141">
        <f t="shared" si="426"/>
        <v>0</v>
      </c>
      <c r="CD83" s="141">
        <f t="shared" si="426"/>
        <v>0</v>
      </c>
      <c r="CE83" s="141">
        <f t="shared" si="426"/>
        <v>0</v>
      </c>
      <c r="CF83" s="141">
        <f t="shared" si="426"/>
        <v>0</v>
      </c>
      <c r="CG83" s="141">
        <f t="shared" si="426"/>
        <v>0</v>
      </c>
      <c r="CH83" s="141">
        <f t="shared" si="426"/>
        <v>0</v>
      </c>
      <c r="CI83" s="141">
        <f t="shared" si="426"/>
        <v>0</v>
      </c>
      <c r="CJ83" s="141">
        <f t="shared" si="426"/>
        <v>0</v>
      </c>
      <c r="CK83" s="141">
        <f t="shared" si="426"/>
        <v>0</v>
      </c>
      <c r="CL83" s="141">
        <f t="shared" si="426"/>
        <v>0</v>
      </c>
      <c r="CM83" s="141">
        <f t="shared" si="426"/>
        <v>9746000</v>
      </c>
      <c r="CN83" s="141">
        <f t="shared" si="426"/>
        <v>0</v>
      </c>
      <c r="CO83" s="141">
        <f t="shared" si="426"/>
        <v>0</v>
      </c>
      <c r="CP83" s="141">
        <f t="shared" si="426"/>
        <v>0</v>
      </c>
      <c r="CQ83" s="141">
        <f t="shared" si="426"/>
        <v>0</v>
      </c>
      <c r="CR83" s="141">
        <f t="shared" si="426"/>
        <v>0</v>
      </c>
      <c r="CS83" s="141">
        <f t="shared" si="426"/>
        <v>0</v>
      </c>
      <c r="CT83" s="141">
        <f t="shared" si="426"/>
        <v>0</v>
      </c>
      <c r="CU83" s="141">
        <f t="shared" si="426"/>
        <v>0</v>
      </c>
      <c r="CV83" s="141">
        <f t="shared" si="426"/>
        <v>0</v>
      </c>
      <c r="CW83" s="142">
        <f t="shared" ref="CW83:DZ83" si="427">EA83*$AH83*$AJ83</f>
        <v>0</v>
      </c>
      <c r="CX83" s="142">
        <f t="shared" si="427"/>
        <v>0</v>
      </c>
      <c r="CY83" s="142">
        <f t="shared" si="427"/>
        <v>0</v>
      </c>
      <c r="CZ83" s="142">
        <f t="shared" si="427"/>
        <v>0</v>
      </c>
      <c r="DA83" s="142">
        <f t="shared" si="427"/>
        <v>0</v>
      </c>
      <c r="DB83" s="142">
        <f t="shared" si="427"/>
        <v>0</v>
      </c>
      <c r="DC83" s="142">
        <f t="shared" si="427"/>
        <v>0</v>
      </c>
      <c r="DD83" s="142">
        <f t="shared" si="427"/>
        <v>0</v>
      </c>
      <c r="DE83" s="142">
        <f t="shared" si="427"/>
        <v>0</v>
      </c>
      <c r="DF83" s="142">
        <f t="shared" si="427"/>
        <v>0</v>
      </c>
      <c r="DG83" s="142">
        <f t="shared" si="427"/>
        <v>0</v>
      </c>
      <c r="DH83" s="142">
        <f t="shared" si="427"/>
        <v>0</v>
      </c>
      <c r="DI83" s="142">
        <f t="shared" si="427"/>
        <v>0</v>
      </c>
      <c r="DJ83" s="142">
        <f t="shared" si="427"/>
        <v>0</v>
      </c>
      <c r="DK83" s="142">
        <f t="shared" si="427"/>
        <v>0</v>
      </c>
      <c r="DL83" s="142">
        <f t="shared" si="427"/>
        <v>0</v>
      </c>
      <c r="DM83" s="142">
        <f t="shared" si="427"/>
        <v>0</v>
      </c>
      <c r="DN83" s="142">
        <f t="shared" si="427"/>
        <v>0</v>
      </c>
      <c r="DO83" s="142">
        <f t="shared" si="427"/>
        <v>0</v>
      </c>
      <c r="DP83" s="142">
        <f t="shared" si="427"/>
        <v>0</v>
      </c>
      <c r="DQ83" s="142">
        <f t="shared" si="427"/>
        <v>4873000</v>
      </c>
      <c r="DR83" s="142">
        <f t="shared" si="427"/>
        <v>0</v>
      </c>
      <c r="DS83" s="142">
        <f t="shared" si="427"/>
        <v>0</v>
      </c>
      <c r="DT83" s="142">
        <f t="shared" si="427"/>
        <v>0</v>
      </c>
      <c r="DU83" s="142">
        <f t="shared" si="427"/>
        <v>0</v>
      </c>
      <c r="DV83" s="142">
        <f t="shared" si="427"/>
        <v>0</v>
      </c>
      <c r="DW83" s="142">
        <f t="shared" si="427"/>
        <v>0</v>
      </c>
      <c r="DX83" s="142">
        <f t="shared" si="427"/>
        <v>0</v>
      </c>
      <c r="DY83" s="142">
        <f t="shared" si="427"/>
        <v>0</v>
      </c>
      <c r="DZ83" s="142">
        <f t="shared" si="427"/>
        <v>0</v>
      </c>
      <c r="EA83" s="143">
        <f t="shared" si="339"/>
        <v>0</v>
      </c>
      <c r="EB83" s="143">
        <f t="shared" si="340"/>
        <v>0</v>
      </c>
      <c r="EC83" s="143">
        <f t="shared" si="341"/>
        <v>0</v>
      </c>
      <c r="ED83" s="143">
        <f t="shared" si="342"/>
        <v>0</v>
      </c>
      <c r="EE83" s="143">
        <f t="shared" si="343"/>
        <v>0</v>
      </c>
      <c r="EF83" s="143">
        <f t="shared" si="344"/>
        <v>0</v>
      </c>
      <c r="EG83" s="143">
        <f t="shared" si="345"/>
        <v>0</v>
      </c>
      <c r="EH83" s="143">
        <f t="shared" si="346"/>
        <v>0</v>
      </c>
      <c r="EI83" s="143">
        <f t="shared" si="347"/>
        <v>0</v>
      </c>
      <c r="EJ83" s="143">
        <f t="shared" si="348"/>
        <v>0</v>
      </c>
      <c r="EK83" s="143">
        <f t="shared" si="349"/>
        <v>0</v>
      </c>
      <c r="EL83" s="143">
        <f t="shared" si="350"/>
        <v>0</v>
      </c>
      <c r="EM83" s="143">
        <f t="shared" si="351"/>
        <v>0</v>
      </c>
      <c r="EN83" s="143">
        <f t="shared" si="352"/>
        <v>0</v>
      </c>
      <c r="EO83" s="143">
        <f t="shared" si="353"/>
        <v>0</v>
      </c>
      <c r="EP83" s="143">
        <f t="shared" si="354"/>
        <v>0</v>
      </c>
      <c r="EQ83" s="143">
        <f t="shared" si="355"/>
        <v>0</v>
      </c>
      <c r="ER83" s="143">
        <f t="shared" si="356"/>
        <v>0</v>
      </c>
      <c r="ES83" s="143">
        <f t="shared" si="357"/>
        <v>0</v>
      </c>
      <c r="ET83" s="143">
        <f t="shared" si="358"/>
        <v>0</v>
      </c>
      <c r="EU83" s="143">
        <f t="shared" si="359"/>
        <v>1772</v>
      </c>
      <c r="EV83" s="143">
        <f t="shared" si="360"/>
        <v>0</v>
      </c>
      <c r="EW83" s="143">
        <f t="shared" si="361"/>
        <v>0</v>
      </c>
      <c r="EX83" s="143">
        <f t="shared" si="362"/>
        <v>0</v>
      </c>
      <c r="EY83" s="143">
        <f t="shared" si="363"/>
        <v>0</v>
      </c>
      <c r="EZ83" s="143">
        <f t="shared" si="364"/>
        <v>0</v>
      </c>
      <c r="FA83" s="143">
        <f t="shared" si="365"/>
        <v>0</v>
      </c>
      <c r="FB83" s="143">
        <f t="shared" si="366"/>
        <v>0</v>
      </c>
      <c r="FC83" s="143">
        <f t="shared" si="367"/>
        <v>0</v>
      </c>
      <c r="FD83" s="143">
        <f t="shared" si="368"/>
        <v>0</v>
      </c>
      <c r="FE83" s="140">
        <f>SUM($D83:D83)*IF($B83="Operacional",IFERROR(VLOOKUP($C83,SN_UGC,28,0),0),1)</f>
        <v>1772</v>
      </c>
      <c r="FF83" s="140">
        <f>SUM($D83:E83)*IF($B83="Operacional",IFERROR(VLOOKUP($C83,SN_UGC,28,0),0),1)</f>
        <v>1772</v>
      </c>
      <c r="FG83" s="140">
        <f>SUM($D83:F83)*IF($B83="Operacional",IFERROR(VLOOKUP($C83,SN_UGC,28,0),0),1)</f>
        <v>1772</v>
      </c>
      <c r="FH83" s="140">
        <f>SUM($D83:G83)*IF($B83="Operacional",IFERROR(VLOOKUP($C83,SN_UGC,28,0),0),1)</f>
        <v>1772</v>
      </c>
      <c r="FI83" s="140">
        <f>SUM($D83:H83)*IF($B83="Operacional",IFERROR(VLOOKUP($C83,SN_UGC,28,0),0),1)</f>
        <v>1772</v>
      </c>
      <c r="FJ83" s="140">
        <f>SUM($D83:I83)*IF($B83="Operacional",IFERROR(VLOOKUP($C83,SN_UGC,28,0),0),1)</f>
        <v>1772</v>
      </c>
      <c r="FK83" s="140">
        <f>SUM($D83:J83)*IF($B83="Operacional",IFERROR(VLOOKUP($C83,SN_UGC,28,0),0),1)</f>
        <v>1772</v>
      </c>
      <c r="FL83" s="140">
        <f>SUM($D83:K83)*IF($B83="Operacional",IFERROR(VLOOKUP($C83,SN_UGC,28,0),0),1)</f>
        <v>1772</v>
      </c>
      <c r="FM83" s="140">
        <f>SUM($D83:L83)*IF($B83="Operacional",IFERROR(VLOOKUP($C83,SN_UGC,28,0),0),1)</f>
        <v>1772</v>
      </c>
      <c r="FN83" s="140">
        <f>SUM($D83:M83)*IF($B83="Operacional",IFERROR(VLOOKUP($C83,SN_UGC,28,0),0),1)</f>
        <v>1772</v>
      </c>
      <c r="FO83" s="140">
        <f>SUM($D83:N83)*IF($B83="Operacional",IFERROR(VLOOKUP($C83,SN_UGC,28,0),0),1)</f>
        <v>1772</v>
      </c>
      <c r="FP83" s="140">
        <f>SUM($D83:O83)*IF($B83="Operacional",IFERROR(VLOOKUP($C83,SN_UGC,28,0),0),1)</f>
        <v>1772</v>
      </c>
      <c r="FQ83" s="140">
        <f>SUM($D83:P83)*IF($B83="Operacional",IFERROR(VLOOKUP($C83,SN_UGC,28,0),0),1)</f>
        <v>1772</v>
      </c>
      <c r="FR83" s="140">
        <f>SUM($D83:Q83)*IF($B83="Operacional",IFERROR(VLOOKUP($C83,SN_UGC,28,0),0),1)</f>
        <v>1772</v>
      </c>
      <c r="FS83" s="140">
        <f>SUM($D83:R83)*IF($B83="Operacional",IFERROR(VLOOKUP($C83,SN_UGC,28,0),0),1)</f>
        <v>1772</v>
      </c>
      <c r="FT83" s="140">
        <f>SUM($D83:S83)*IF($B83="Operacional",IFERROR(VLOOKUP($C83,SN_UGC,28,0),0),1)</f>
        <v>1772</v>
      </c>
      <c r="FU83" s="140">
        <f>SUM($D83:T83)*IF($B83="Operacional",IFERROR(VLOOKUP($C83,SN_UGC,28,0),0),1)</f>
        <v>1772</v>
      </c>
      <c r="FV83" s="140">
        <f>SUM($D83:U83)*IF($B83="Operacional",IFERROR(VLOOKUP($C83,SN_UGC,28,0),0),1)</f>
        <v>1772</v>
      </c>
      <c r="FW83" s="140">
        <f>SUM($D83:V83)*IF($B83="Operacional",IFERROR(VLOOKUP($C83,SN_UGC,28,0),0),1)</f>
        <v>1772</v>
      </c>
      <c r="FX83" s="140">
        <f>SUM($D83:W83)*IF($B83="Operacional",IFERROR(VLOOKUP($C83,SN_UGC,28,0),0),1)</f>
        <v>1772</v>
      </c>
      <c r="FY83" s="140">
        <f>SUM($D83:X83)*IF($B83="Operacional",IFERROR(VLOOKUP($C83,SN_UGC,28,0),0),1)</f>
        <v>1772</v>
      </c>
      <c r="FZ83" s="140">
        <f>SUM($D83:Y83)*IF($B83="Operacional",IFERROR(VLOOKUP($C83,SN_UGC,28,0),0),1)</f>
        <v>1772</v>
      </c>
      <c r="GA83" s="140">
        <f>SUM($D83:Z83)*IF($B83="Operacional",IFERROR(VLOOKUP($C83,SN_UGC,28,0),0),1)</f>
        <v>1772</v>
      </c>
      <c r="GB83" s="140">
        <f>SUM($D83:AA83)*IF($B83="Operacional",IFERROR(VLOOKUP($C83,SN_UGC,28,0),0),1)</f>
        <v>1772</v>
      </c>
      <c r="GC83" s="140">
        <f>SUM($D83:AB83)*IF($B83="Operacional",IFERROR(VLOOKUP($C83,SN_UGC,28,0),0),1)</f>
        <v>1772</v>
      </c>
      <c r="GD83" s="140">
        <f>SUM($D83:AC83)*IF($B83="Operacional",IFERROR(VLOOKUP($C83,SN_UGC,28,0),0),1)</f>
        <v>1772</v>
      </c>
      <c r="GE83" s="140">
        <f>SUM($D83:AD83)*IF($B83="Operacional",IFERROR(VLOOKUP($C83,SN_UGC,28,0),0),1)</f>
        <v>1772</v>
      </c>
      <c r="GF83" s="140">
        <f>SUM($D83:AE83)*IF($B83="Operacional",IFERROR(VLOOKUP($C83,SN_UGC,28,0),0),1)</f>
        <v>1772</v>
      </c>
      <c r="GG83" s="140">
        <f>SUM($D83:AF83)*IF($B83="Operacional",IFERROR(VLOOKUP($C83,SN_UGC,28,0),0),1)</f>
        <v>1772</v>
      </c>
      <c r="GH83" s="140">
        <f>SUM($D83:AG83)*IF($B83="Operacional",IFERROR(VLOOKUP($C83,SN_UGC,28,0),0),1)</f>
        <v>1772</v>
      </c>
      <c r="GI83" s="141">
        <f t="shared" ref="GI83:HL83" si="428">FE83*$AH83*$AL83</f>
        <v>487300</v>
      </c>
      <c r="GJ83" s="141">
        <f t="shared" si="428"/>
        <v>487300</v>
      </c>
      <c r="GK83" s="141">
        <f t="shared" si="428"/>
        <v>487300</v>
      </c>
      <c r="GL83" s="141">
        <f t="shared" si="428"/>
        <v>487300</v>
      </c>
      <c r="GM83" s="141">
        <f t="shared" si="428"/>
        <v>487300</v>
      </c>
      <c r="GN83" s="141">
        <f t="shared" si="428"/>
        <v>487300</v>
      </c>
      <c r="GO83" s="141">
        <f t="shared" si="428"/>
        <v>487300</v>
      </c>
      <c r="GP83" s="141">
        <f t="shared" si="428"/>
        <v>487300</v>
      </c>
      <c r="GQ83" s="141">
        <f t="shared" si="428"/>
        <v>487300</v>
      </c>
      <c r="GR83" s="141">
        <f t="shared" si="428"/>
        <v>487300</v>
      </c>
      <c r="GS83" s="141">
        <f t="shared" si="428"/>
        <v>487300</v>
      </c>
      <c r="GT83" s="141">
        <f t="shared" si="428"/>
        <v>487300</v>
      </c>
      <c r="GU83" s="141">
        <f t="shared" si="428"/>
        <v>487300</v>
      </c>
      <c r="GV83" s="141">
        <f t="shared" si="428"/>
        <v>487300</v>
      </c>
      <c r="GW83" s="141">
        <f t="shared" si="428"/>
        <v>487300</v>
      </c>
      <c r="GX83" s="141">
        <f t="shared" si="428"/>
        <v>487300</v>
      </c>
      <c r="GY83" s="141">
        <f t="shared" si="428"/>
        <v>487300</v>
      </c>
      <c r="GZ83" s="141">
        <f t="shared" si="428"/>
        <v>487300</v>
      </c>
      <c r="HA83" s="141">
        <f t="shared" si="428"/>
        <v>487300</v>
      </c>
      <c r="HB83" s="141">
        <f t="shared" si="428"/>
        <v>487300</v>
      </c>
      <c r="HC83" s="141">
        <f t="shared" si="428"/>
        <v>487300</v>
      </c>
      <c r="HD83" s="141">
        <f t="shared" si="428"/>
        <v>487300</v>
      </c>
      <c r="HE83" s="141">
        <f t="shared" si="428"/>
        <v>487300</v>
      </c>
      <c r="HF83" s="141">
        <f t="shared" si="428"/>
        <v>487300</v>
      </c>
      <c r="HG83" s="141">
        <f t="shared" si="428"/>
        <v>487300</v>
      </c>
      <c r="HH83" s="141">
        <f t="shared" si="428"/>
        <v>487300</v>
      </c>
      <c r="HI83" s="141">
        <f t="shared" si="428"/>
        <v>487300</v>
      </c>
      <c r="HJ83" s="141">
        <f t="shared" si="428"/>
        <v>487300</v>
      </c>
      <c r="HK83" s="141">
        <f t="shared" si="428"/>
        <v>487300</v>
      </c>
      <c r="HL83" s="141">
        <f t="shared" si="428"/>
        <v>487300</v>
      </c>
      <c r="HM83" s="142">
        <f t="shared" ref="HM83:IP83" si="429">IF(ISBLANK($A83),,FE83*($AH83-($AH83*$AJ83))/$AI83)</f>
        <v>243650</v>
      </c>
      <c r="HN83" s="142">
        <f t="shared" si="429"/>
        <v>243650</v>
      </c>
      <c r="HO83" s="142">
        <f t="shared" si="429"/>
        <v>243650</v>
      </c>
      <c r="HP83" s="142">
        <f t="shared" si="429"/>
        <v>243650</v>
      </c>
      <c r="HQ83" s="142">
        <f t="shared" si="429"/>
        <v>243650</v>
      </c>
      <c r="HR83" s="142">
        <f t="shared" si="429"/>
        <v>243650</v>
      </c>
      <c r="HS83" s="142">
        <f t="shared" si="429"/>
        <v>243650</v>
      </c>
      <c r="HT83" s="142">
        <f t="shared" si="429"/>
        <v>243650</v>
      </c>
      <c r="HU83" s="142">
        <f t="shared" si="429"/>
        <v>243650</v>
      </c>
      <c r="HV83" s="142">
        <f t="shared" si="429"/>
        <v>243650</v>
      </c>
      <c r="HW83" s="142">
        <f t="shared" si="429"/>
        <v>243650</v>
      </c>
      <c r="HX83" s="142">
        <f t="shared" si="429"/>
        <v>243650</v>
      </c>
      <c r="HY83" s="142">
        <f t="shared" si="429"/>
        <v>243650</v>
      </c>
      <c r="HZ83" s="142">
        <f t="shared" si="429"/>
        <v>243650</v>
      </c>
      <c r="IA83" s="142">
        <f t="shared" si="429"/>
        <v>243650</v>
      </c>
      <c r="IB83" s="142">
        <f t="shared" si="429"/>
        <v>243650</v>
      </c>
      <c r="IC83" s="142">
        <f t="shared" si="429"/>
        <v>243650</v>
      </c>
      <c r="ID83" s="142">
        <f t="shared" si="429"/>
        <v>243650</v>
      </c>
      <c r="IE83" s="142">
        <f t="shared" si="429"/>
        <v>243650</v>
      </c>
      <c r="IF83" s="142">
        <f t="shared" si="429"/>
        <v>243650</v>
      </c>
      <c r="IG83" s="142">
        <f t="shared" si="429"/>
        <v>243650</v>
      </c>
      <c r="IH83" s="142">
        <f t="shared" si="429"/>
        <v>243650</v>
      </c>
      <c r="II83" s="142">
        <f t="shared" si="429"/>
        <v>243650</v>
      </c>
      <c r="IJ83" s="142">
        <f t="shared" si="429"/>
        <v>243650</v>
      </c>
      <c r="IK83" s="142">
        <f t="shared" si="429"/>
        <v>243650</v>
      </c>
      <c r="IL83" s="142">
        <f t="shared" si="429"/>
        <v>243650</v>
      </c>
      <c r="IM83" s="142">
        <f t="shared" si="429"/>
        <v>243650</v>
      </c>
      <c r="IN83" s="142">
        <f t="shared" si="429"/>
        <v>243650</v>
      </c>
      <c r="IO83" s="142">
        <f t="shared" si="429"/>
        <v>243650</v>
      </c>
      <c r="IP83" s="142">
        <f t="shared" si="429"/>
        <v>243650</v>
      </c>
      <c r="IQ83" s="141">
        <f>IF(ISBLANK($A83),,IF($AN83="Não",0,(SUM($AO83:AO83)*$AH83)-SUM($HM83:HM83)-SUM($CW83:CW83)))</f>
        <v>0</v>
      </c>
      <c r="IR83" s="141">
        <f>IF(ISBLANK($A83),,IF($AN83="Não",0,(SUM($AO83:AP83)*$AH83)-SUM($HM83:HN83)-SUM($CW83:CX83)))</f>
        <v>0</v>
      </c>
      <c r="IS83" s="141">
        <f>IF(ISBLANK($A83),,IF($AN83="Não",0,(SUM($AO83:AQ83)*$AH83)-SUM($HM83:HO83)-SUM($CW83:CY83)))</f>
        <v>0</v>
      </c>
      <c r="IT83" s="141">
        <f>IF(ISBLANK($A83),,IF($AN83="Não",0,(SUM($AO83:AR83)*$AH83)-SUM($HM83:HP83)-SUM($CW83:CZ83)))</f>
        <v>0</v>
      </c>
      <c r="IU83" s="141">
        <f>IF(ISBLANK($A83),,IF($AN83="Não",0,(SUM($AO83:AS83)*$AH83)-SUM($HM83:HQ83)-SUM($CW83:DA83)))</f>
        <v>0</v>
      </c>
      <c r="IV83" s="141">
        <f>IF(ISBLANK($A83),,IF($AN83="Não",0,(SUM($AO83:AT83)*$AH83)-SUM($HM83:HR83)-SUM($CW83:DB83)))</f>
        <v>0</v>
      </c>
      <c r="IW83" s="141">
        <f>IF(ISBLANK($A83),,IF($AN83="Não",0,(SUM($AO83:AU83)*$AH83)-SUM($HM83:HS83)-SUM($CW83:DC83)))</f>
        <v>0</v>
      </c>
      <c r="IX83" s="141">
        <f>IF(ISBLANK($A83),,IF($AN83="Não",0,(SUM($AO83:AV83)*$AH83)-SUM($HM83:HT83)-SUM($CW83:DD83)))</f>
        <v>0</v>
      </c>
      <c r="IY83" s="141">
        <f>IF(ISBLANK($A83),,IF($AN83="Não",0,(SUM($AO83:AW83)*$AH83)-SUM($HM83:HU83)-SUM($CW83:DE83)))</f>
        <v>0</v>
      </c>
      <c r="IZ83" s="141">
        <f>IF(ISBLANK($A83),,IF($AN83="Não",0,(SUM($AO83:AX83)*$AH83)-SUM($HM83:HV83)-SUM($CW83:DF83)))</f>
        <v>0</v>
      </c>
      <c r="JA83" s="141">
        <f>IF(ISBLANK($A83),,IF($AN83="Não",0,(SUM($AO83:AY83)*$AH83)-SUM($HM83:HW83)-SUM($CW83:DG83)))</f>
        <v>0</v>
      </c>
      <c r="JB83" s="141">
        <f>IF(ISBLANK($A83),,IF($AN83="Não",0,(SUM($AO83:AZ83)*$AH83)-SUM($HM83:HX83)-SUM($CW83:DH83)))</f>
        <v>0</v>
      </c>
      <c r="JC83" s="141">
        <f>IF(ISBLANK($A83),,IF($AN83="Não",0,(SUM($AO83:BA83)*$AH83)-SUM($HM83:HY83)-SUM($CW83:DI83)))</f>
        <v>0</v>
      </c>
      <c r="JD83" s="141">
        <f>IF(ISBLANK($A83),,IF($AN83="Não",0,(SUM($AO83:BB83)*$AH83)-SUM($HM83:HZ83)-SUM($CW83:DJ83)))</f>
        <v>0</v>
      </c>
      <c r="JE83" s="141">
        <f>IF(ISBLANK($A83),,IF($AN83="Não",0,(SUM($AO83:BC83)*$AH83)-SUM($HM83:IA83)-SUM($CW83:DK83)))</f>
        <v>0</v>
      </c>
      <c r="JF83" s="141">
        <f>IF(ISBLANK($A83),,IF($AN83="Não",0,(SUM($AO83:BD83)*$AH83)-SUM($HM83:IB83)-SUM($CW83:DL83)))</f>
        <v>0</v>
      </c>
      <c r="JG83" s="141">
        <f>IF(ISBLANK($A83),,IF($AN83="Não",0,(SUM($AO83:BE83)*$AH83)-SUM($HM83:IC83)-SUM($CW83:DM83)))</f>
        <v>0</v>
      </c>
      <c r="JH83" s="141">
        <f>IF(ISBLANK($A83),,IF($AN83="Não",0,(SUM($AO83:BF83)*$AH83)-SUM($HM83:ID83)-SUM($CW83:DN83)))</f>
        <v>0</v>
      </c>
      <c r="JI83" s="141">
        <f>IF(ISBLANK($A83),,IF($AN83="Não",0,(SUM($AO83:BG83)*$AH83)-SUM($HM83:IE83)-SUM($CW83:DO83)))</f>
        <v>0</v>
      </c>
      <c r="JJ83" s="141">
        <f>IF(ISBLANK($A83),,IF($AN83="Não",0,(SUM($AO83:BH83)*$AH83)-SUM($HM83:IF83)-SUM($CW83:DP83)))</f>
        <v>0</v>
      </c>
      <c r="JK83" s="141">
        <f>IF(ISBLANK($A83),,IF($AN83="Não",0,(SUM($AO83:BI83)*$AH83)-SUM($HM83:IG83)-SUM($CW83:DQ83)))</f>
        <v>0</v>
      </c>
      <c r="JL83" s="141">
        <f>IF(ISBLANK($A83),,IF($AN83="Não",0,(SUM($AO83:BJ83)*$AH83)-SUM($HM83:IH83)-SUM($CW83:DR83)))</f>
        <v>0</v>
      </c>
      <c r="JM83" s="141">
        <f>IF(ISBLANK($A83),,IF($AN83="Não",0,(SUM($AO83:BK83)*$AH83)-SUM($HM83:II83)-SUM($CW83:DS83)))</f>
        <v>0</v>
      </c>
      <c r="JN83" s="141">
        <f>IF(ISBLANK($A83),,IF($AN83="Não",0,(SUM($AO83:BL83)*$AH83)-SUM($HM83:IJ83)-SUM($CW83:DT83)))</f>
        <v>0</v>
      </c>
      <c r="JO83" s="141">
        <f>IF(ISBLANK($A83),,IF($AN83="Não",0,(SUM($AO83:BM83)*$AH83)-SUM($HM83:IK83)-SUM($CW83:DU83)))</f>
        <v>0</v>
      </c>
      <c r="JP83" s="141">
        <f>IF(ISBLANK($A83),,IF($AN83="Não",0,(SUM($AO83:BN83)*$AH83)-SUM($HM83:IL83)-SUM($CW83:DV83)))</f>
        <v>0</v>
      </c>
      <c r="JQ83" s="141">
        <f>IF(ISBLANK($A83),,IF($AN83="Não",0,(SUM($AO83:BO83)*$AH83)-SUM($HM83:IM83)-SUM($CW83:DW83)))</f>
        <v>0</v>
      </c>
      <c r="JR83" s="141">
        <f>IF(ISBLANK($A83),,IF($AN83="Não",0,(SUM($AO83:BP83)*$AH83)-SUM($HM83:IN83)-SUM($CW83:DX83)))</f>
        <v>0</v>
      </c>
      <c r="JS83" s="141">
        <f>IF(ISBLANK($A83),,IF($AN83="Não",0,(SUM($AO83:BQ83)*$AH83)-SUM($HM83:IO83)-SUM($CW83:DY83)))</f>
        <v>0</v>
      </c>
      <c r="JT83" s="141">
        <f>IF(ISBLANK($A83),,IF($AN83="Não",0,(SUM($AO83:BR83)*$AH83)-SUM($HM83:IP83)-SUM($CW83:DZ83)))</f>
        <v>0</v>
      </c>
    </row>
    <row r="84" spans="1:280" ht="15.75" customHeight="1">
      <c r="A84" s="129" t="s">
        <v>437</v>
      </c>
      <c r="B84" s="129" t="s">
        <v>191</v>
      </c>
      <c r="C84" s="138" t="s">
        <v>234</v>
      </c>
      <c r="D84" s="139"/>
      <c r="E84" s="144">
        <v>10000</v>
      </c>
      <c r="F84" s="144">
        <v>10000</v>
      </c>
      <c r="G84" s="144">
        <v>10000</v>
      </c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607">
        <f t="shared" si="399"/>
        <v>165</v>
      </c>
      <c r="AI84" s="608">
        <f t="shared" si="400"/>
        <v>30</v>
      </c>
      <c r="AJ84" s="609">
        <f t="shared" si="401"/>
        <v>1</v>
      </c>
      <c r="AK84" s="610" t="str">
        <f t="shared" si="402"/>
        <v>Infraestrutura</v>
      </c>
      <c r="AL84" s="609">
        <f t="shared" si="403"/>
        <v>0.1</v>
      </c>
      <c r="AM84" s="611" t="str">
        <f t="shared" si="404"/>
        <v>Sim</v>
      </c>
      <c r="AN84" s="611" t="str">
        <f t="shared" si="405"/>
        <v>Não</v>
      </c>
      <c r="AO84" s="140">
        <f t="array" ref="AO84">IF(ISBLANK($A84),0,IF(OR(AO$5-$AI84&lt;=0,$AM84="Não"),D84,D84+INDEX($AO$6:$BR$176,ROW()-5,COLUMN()-40-$AI84)))*IF($B84="Operacional",IFERROR(VLOOKUP($C84,SN_UGC,28,0),0),1)</f>
        <v>0</v>
      </c>
      <c r="AP84" s="140">
        <f t="array" ref="AP84">IF(ISBLANK($A84),0,IF(OR(AP$5-$AI84&lt;=0,$AM84="Não"),E84,E84+INDEX($AO$6:$BR$176,ROW()-5,COLUMN()-40-$AI84)))*IF($B84="Operacional",IFERROR(VLOOKUP($C84,SN_UGC,28,0),0),1)</f>
        <v>10000</v>
      </c>
      <c r="AQ84" s="140">
        <f t="array" ref="AQ84">IF(ISBLANK($A84),0,IF(OR(AQ$5-$AI84&lt;=0,$AM84="Não"),F84,F84+INDEX($AO$6:$BR$176,ROW()-5,COLUMN()-40-$AI84)))*IF($B84="Operacional",IFERROR(VLOOKUP($C84,SN_UGC,28,0),0),1)</f>
        <v>10000</v>
      </c>
      <c r="AR84" s="140">
        <f t="array" ref="AR84">IF(ISBLANK($A84),0,IF(OR(AR$5-$AI84&lt;=0,$AM84="Não"),G84,G84+INDEX($AO$6:$BR$176,ROW()-5,COLUMN()-40-$AI84)))*IF($B84="Operacional",IFERROR(VLOOKUP($C84,SN_UGC,28,0),0),1)</f>
        <v>10000</v>
      </c>
      <c r="AS84" s="140">
        <f t="array" ref="AS84">IF(ISBLANK($A84),0,IF(OR(AS$5-$AI84&lt;=0,$AM84="Não"),H84,H84+INDEX($AO$6:$BR$176,ROW()-5,COLUMN()-40-$AI84)))*IF($B84="Operacional",IFERROR(VLOOKUP($C84,SN_UGC,28,0),0),1)</f>
        <v>0</v>
      </c>
      <c r="AT84" s="140">
        <f t="array" ref="AT84">IF(ISBLANK($A84),0,IF(OR(AT$5-$AI84&lt;=0,$AM84="Não"),I84,I84+INDEX($AO$6:$BR$176,ROW()-5,COLUMN()-40-$AI84)))*IF($B84="Operacional",IFERROR(VLOOKUP($C84,SN_UGC,28,0),0),1)</f>
        <v>0</v>
      </c>
      <c r="AU84" s="140">
        <f t="array" ref="AU84">IF(ISBLANK($A84),0,IF(OR(AU$5-$AI84&lt;=0,$AM84="Não"),J84,J84+INDEX($AO$6:$BR$176,ROW()-5,COLUMN()-40-$AI84)))*IF($B84="Operacional",IFERROR(VLOOKUP($C84,SN_UGC,28,0),0),1)</f>
        <v>0</v>
      </c>
      <c r="AV84" s="140">
        <f t="array" ref="AV84">IF(ISBLANK($A84),0,IF(OR(AV$5-$AI84&lt;=0,$AM84="Não"),K84,K84+INDEX($AO$6:$BR$176,ROW()-5,COLUMN()-40-$AI84)))*IF($B84="Operacional",IFERROR(VLOOKUP($C84,SN_UGC,28,0),0),1)</f>
        <v>0</v>
      </c>
      <c r="AW84" s="140">
        <f t="array" ref="AW84">IF(ISBLANK($A84),0,IF(OR(AW$5-$AI84&lt;=0,$AM84="Não"),L84,L84+INDEX($AO$6:$BR$176,ROW()-5,COLUMN()-40-$AI84)))*IF($B84="Operacional",IFERROR(VLOOKUP($C84,SN_UGC,28,0),0),1)</f>
        <v>0</v>
      </c>
      <c r="AX84" s="140">
        <f t="array" ref="AX84">IF(ISBLANK($A84),0,IF(OR(AX$5-$AI84&lt;=0,$AM84="Não"),M84,M84+INDEX($AO$6:$BR$176,ROW()-5,COLUMN()-40-$AI84)))*IF($B84="Operacional",IFERROR(VLOOKUP($C84,SN_UGC,28,0),0),1)</f>
        <v>0</v>
      </c>
      <c r="AY84" s="140">
        <f t="array" ref="AY84">IF(ISBLANK($A84),0,IF(OR(AY$5-$AI84&lt;=0,$AM84="Não"),N84,N84+INDEX($AO$6:$BR$176,ROW()-5,COLUMN()-40-$AI84)))*IF($B84="Operacional",IFERROR(VLOOKUP($C84,SN_UGC,28,0),0),1)</f>
        <v>0</v>
      </c>
      <c r="AZ84" s="140">
        <f t="array" ref="AZ84">IF(ISBLANK($A84),0,IF(OR(AZ$5-$AI84&lt;=0,$AM84="Não"),O84,O84+INDEX($AO$6:$BR$176,ROW()-5,COLUMN()-40-$AI84)))*IF($B84="Operacional",IFERROR(VLOOKUP($C84,SN_UGC,28,0),0),1)</f>
        <v>0</v>
      </c>
      <c r="BA84" s="140">
        <f t="array" ref="BA84">IF(ISBLANK($A84),0,IF(OR(BA$5-$AI84&lt;=0,$AM84="Não"),P84,P84+INDEX($AO$6:$BR$176,ROW()-5,COLUMN()-40-$AI84)))*IF($B84="Operacional",IFERROR(VLOOKUP($C84,SN_UGC,28,0),0),1)</f>
        <v>0</v>
      </c>
      <c r="BB84" s="140">
        <f t="array" ref="BB84">IF(ISBLANK($A84),0,IF(OR(BB$5-$AI84&lt;=0,$AM84="Não"),Q84,Q84+INDEX($AO$6:$BR$176,ROW()-5,COLUMN()-40-$AI84)))*IF($B84="Operacional",IFERROR(VLOOKUP($C84,SN_UGC,28,0),0),1)</f>
        <v>0</v>
      </c>
      <c r="BC84" s="140">
        <f t="array" ref="BC84">IF(ISBLANK($A84),0,IF(OR(BC$5-$AI84&lt;=0,$AM84="Não"),R84,R84+INDEX($AO$6:$BR$176,ROW()-5,COLUMN()-40-$AI84)))*IF($B84="Operacional",IFERROR(VLOOKUP($C84,SN_UGC,28,0),0),1)</f>
        <v>0</v>
      </c>
      <c r="BD84" s="140">
        <f t="array" ref="BD84">IF(ISBLANK($A84),0,IF(OR(BD$5-$AI84&lt;=0,$AM84="Não"),S84,S84+INDEX($AO$6:$BR$176,ROW()-5,COLUMN()-40-$AI84)))*IF($B84="Operacional",IFERROR(VLOOKUP($C84,SN_UGC,28,0),0),1)</f>
        <v>0</v>
      </c>
      <c r="BE84" s="140">
        <f t="array" ref="BE84">IF(ISBLANK($A84),0,IF(OR(BE$5-$AI84&lt;=0,$AM84="Não"),T84,T84+INDEX($AO$6:$BR$176,ROW()-5,COLUMN()-40-$AI84)))*IF($B84="Operacional",IFERROR(VLOOKUP($C84,SN_UGC,28,0),0),1)</f>
        <v>0</v>
      </c>
      <c r="BF84" s="140">
        <f t="array" ref="BF84">IF(ISBLANK($A84),0,IF(OR(BF$5-$AI84&lt;=0,$AM84="Não"),U84,U84+INDEX($AO$6:$BR$176,ROW()-5,COLUMN()-40-$AI84)))*IF($B84="Operacional",IFERROR(VLOOKUP($C84,SN_UGC,28,0),0),1)</f>
        <v>0</v>
      </c>
      <c r="BG84" s="140">
        <f t="array" ref="BG84">IF(ISBLANK($A84),0,IF(OR(BG$5-$AI84&lt;=0,$AM84="Não"),V84,V84+INDEX($AO$6:$BR$176,ROW()-5,COLUMN()-40-$AI84)))*IF($B84="Operacional",IFERROR(VLOOKUP($C84,SN_UGC,28,0),0),1)</f>
        <v>0</v>
      </c>
      <c r="BH84" s="140">
        <f t="array" ref="BH84">IF(ISBLANK($A84),0,IF(OR(BH$5-$AI84&lt;=0,$AM84="Não"),W84,W84+INDEX($AO$6:$BR$176,ROW()-5,COLUMN()-40-$AI84)))*IF($B84="Operacional",IFERROR(VLOOKUP($C84,SN_UGC,28,0),0),1)</f>
        <v>0</v>
      </c>
      <c r="BI84" s="140">
        <f t="array" ref="BI84">IF(ISBLANK($A84),0,IF(OR(BI$5-$AI84&lt;=0,$AM84="Não"),X84,X84+INDEX($AO$6:$BR$176,ROW()-5,COLUMN()-40-$AI84)))*IF($B84="Operacional",IFERROR(VLOOKUP($C84,SN_UGC,28,0),0),1)</f>
        <v>0</v>
      </c>
      <c r="BJ84" s="140">
        <f t="array" ref="BJ84">IF(ISBLANK($A84),0,IF(OR(BJ$5-$AI84&lt;=0,$AM84="Não"),Y84,Y84+INDEX($AO$6:$BR$176,ROW()-5,COLUMN()-40-$AI84)))*IF($B84="Operacional",IFERROR(VLOOKUP($C84,SN_UGC,28,0),0),1)</f>
        <v>0</v>
      </c>
      <c r="BK84" s="140">
        <f t="array" ref="BK84">IF(ISBLANK($A84),0,IF(OR(BK$5-$AI84&lt;=0,$AM84="Não"),Z84,Z84+INDEX($AO$6:$BR$176,ROW()-5,COLUMN()-40-$AI84)))*IF($B84="Operacional",IFERROR(VLOOKUP($C84,SN_UGC,28,0),0),1)</f>
        <v>0</v>
      </c>
      <c r="BL84" s="140">
        <f t="array" ref="BL84">IF(ISBLANK($A84),0,IF(OR(BL$5-$AI84&lt;=0,$AM84="Não"),AA84,AA84+INDEX($AO$6:$BR$176,ROW()-5,COLUMN()-40-$AI84)))*IF($B84="Operacional",IFERROR(VLOOKUP($C84,SN_UGC,28,0),0),1)</f>
        <v>0</v>
      </c>
      <c r="BM84" s="140">
        <f t="array" ref="BM84">IF(ISBLANK($A84),0,IF(OR(BM$5-$AI84&lt;=0,$AM84="Não"),AB84,AB84+INDEX($AO$6:$BR$176,ROW()-5,COLUMN()-40-$AI84)))*IF($B84="Operacional",IFERROR(VLOOKUP($C84,SN_UGC,28,0),0),1)</f>
        <v>0</v>
      </c>
      <c r="BN84" s="140">
        <f t="array" ref="BN84">IF(ISBLANK($A84),0,IF(OR(BN$5-$AI84&lt;=0,$AM84="Não"),AC84,AC84+INDEX($AO$6:$BR$176,ROW()-5,COLUMN()-40-$AI84)))*IF($B84="Operacional",IFERROR(VLOOKUP($C84,SN_UGC,28,0),0),1)</f>
        <v>0</v>
      </c>
      <c r="BO84" s="140">
        <f t="array" ref="BO84">IF(ISBLANK($A84),0,IF(OR(BO$5-$AI84&lt;=0,$AM84="Não"),AD84,AD84+INDEX($AO$6:$BR$176,ROW()-5,COLUMN()-40-$AI84)))*IF($B84="Operacional",IFERROR(VLOOKUP($C84,SN_UGC,28,0),0),1)</f>
        <v>0</v>
      </c>
      <c r="BP84" s="140">
        <f t="array" ref="BP84">IF(ISBLANK($A84),0,IF(OR(BP$5-$AI84&lt;=0,$AM84="Não"),AE84,AE84+INDEX($AO$6:$BR$176,ROW()-5,COLUMN()-40-$AI84)))*IF($B84="Operacional",IFERROR(VLOOKUP($C84,SN_UGC,28,0),0),1)</f>
        <v>0</v>
      </c>
      <c r="BQ84" s="140">
        <f t="array" ref="BQ84">IF(ISBLANK($A84),0,IF(OR(BQ$5-$AI84&lt;=0,$AM84="Não"),AF84,AF84+INDEX($AO$6:$BR$176,ROW()-5,COLUMN()-40-$AI84)))*IF($B84="Operacional",IFERROR(VLOOKUP($C84,SN_UGC,28,0),0),1)</f>
        <v>0</v>
      </c>
      <c r="BR84" s="140">
        <f t="array" ref="BR84">IF(ISBLANK($A84),0,IF(OR(BR$5-$AI84&lt;=0,$AM84="Não"),AG84,AG84+INDEX($AO$6:$BR$176,ROW()-5,COLUMN()-40-$AI84)))*IF($B84="Operacional",IFERROR(VLOOKUP($C84,SN_UGC,28,0),0),1)</f>
        <v>0</v>
      </c>
      <c r="BS84" s="141">
        <f t="shared" ref="BS84:CV84" si="430">IF(ISBLANK($A84),0,$AH84*AO84)</f>
        <v>0</v>
      </c>
      <c r="BT84" s="141">
        <f t="shared" si="430"/>
        <v>1650000</v>
      </c>
      <c r="BU84" s="141">
        <f t="shared" si="430"/>
        <v>1650000</v>
      </c>
      <c r="BV84" s="141">
        <f t="shared" si="430"/>
        <v>1650000</v>
      </c>
      <c r="BW84" s="141">
        <f t="shared" si="430"/>
        <v>0</v>
      </c>
      <c r="BX84" s="141">
        <f t="shared" si="430"/>
        <v>0</v>
      </c>
      <c r="BY84" s="141">
        <f t="shared" si="430"/>
        <v>0</v>
      </c>
      <c r="BZ84" s="141">
        <f t="shared" si="430"/>
        <v>0</v>
      </c>
      <c r="CA84" s="141">
        <f t="shared" si="430"/>
        <v>0</v>
      </c>
      <c r="CB84" s="141">
        <f t="shared" si="430"/>
        <v>0</v>
      </c>
      <c r="CC84" s="141">
        <f t="shared" si="430"/>
        <v>0</v>
      </c>
      <c r="CD84" s="141">
        <f t="shared" si="430"/>
        <v>0</v>
      </c>
      <c r="CE84" s="141">
        <f t="shared" si="430"/>
        <v>0</v>
      </c>
      <c r="CF84" s="141">
        <f t="shared" si="430"/>
        <v>0</v>
      </c>
      <c r="CG84" s="141">
        <f t="shared" si="430"/>
        <v>0</v>
      </c>
      <c r="CH84" s="141">
        <f t="shared" si="430"/>
        <v>0</v>
      </c>
      <c r="CI84" s="141">
        <f t="shared" si="430"/>
        <v>0</v>
      </c>
      <c r="CJ84" s="141">
        <f t="shared" si="430"/>
        <v>0</v>
      </c>
      <c r="CK84" s="141">
        <f t="shared" si="430"/>
        <v>0</v>
      </c>
      <c r="CL84" s="141">
        <f t="shared" si="430"/>
        <v>0</v>
      </c>
      <c r="CM84" s="141">
        <f t="shared" si="430"/>
        <v>0</v>
      </c>
      <c r="CN84" s="141">
        <f t="shared" si="430"/>
        <v>0</v>
      </c>
      <c r="CO84" s="141">
        <f t="shared" si="430"/>
        <v>0</v>
      </c>
      <c r="CP84" s="141">
        <f t="shared" si="430"/>
        <v>0</v>
      </c>
      <c r="CQ84" s="141">
        <f t="shared" si="430"/>
        <v>0</v>
      </c>
      <c r="CR84" s="141">
        <f t="shared" si="430"/>
        <v>0</v>
      </c>
      <c r="CS84" s="141">
        <f t="shared" si="430"/>
        <v>0</v>
      </c>
      <c r="CT84" s="141">
        <f t="shared" si="430"/>
        <v>0</v>
      </c>
      <c r="CU84" s="141">
        <f t="shared" si="430"/>
        <v>0</v>
      </c>
      <c r="CV84" s="141">
        <f t="shared" si="430"/>
        <v>0</v>
      </c>
      <c r="CW84" s="142">
        <f t="shared" ref="CW84:DZ84" si="431">EA84*$AH84*$AJ84</f>
        <v>0</v>
      </c>
      <c r="CX84" s="142">
        <f t="shared" si="431"/>
        <v>0</v>
      </c>
      <c r="CY84" s="142">
        <f t="shared" si="431"/>
        <v>0</v>
      </c>
      <c r="CZ84" s="142">
        <f t="shared" si="431"/>
        <v>0</v>
      </c>
      <c r="DA84" s="142">
        <f t="shared" si="431"/>
        <v>0</v>
      </c>
      <c r="DB84" s="142">
        <f t="shared" si="431"/>
        <v>0</v>
      </c>
      <c r="DC84" s="142">
        <f t="shared" si="431"/>
        <v>0</v>
      </c>
      <c r="DD84" s="142">
        <f t="shared" si="431"/>
        <v>0</v>
      </c>
      <c r="DE84" s="142">
        <f t="shared" si="431"/>
        <v>0</v>
      </c>
      <c r="DF84" s="142">
        <f t="shared" si="431"/>
        <v>0</v>
      </c>
      <c r="DG84" s="142">
        <f t="shared" si="431"/>
        <v>0</v>
      </c>
      <c r="DH84" s="142">
        <f t="shared" si="431"/>
        <v>0</v>
      </c>
      <c r="DI84" s="142">
        <f t="shared" si="431"/>
        <v>0</v>
      </c>
      <c r="DJ84" s="142">
        <f t="shared" si="431"/>
        <v>0</v>
      </c>
      <c r="DK84" s="142">
        <f t="shared" si="431"/>
        <v>0</v>
      </c>
      <c r="DL84" s="142">
        <f t="shared" si="431"/>
        <v>0</v>
      </c>
      <c r="DM84" s="142">
        <f t="shared" si="431"/>
        <v>0</v>
      </c>
      <c r="DN84" s="142">
        <f t="shared" si="431"/>
        <v>0</v>
      </c>
      <c r="DO84" s="142">
        <f t="shared" si="431"/>
        <v>0</v>
      </c>
      <c r="DP84" s="142">
        <f t="shared" si="431"/>
        <v>0</v>
      </c>
      <c r="DQ84" s="142">
        <f t="shared" si="431"/>
        <v>0</v>
      </c>
      <c r="DR84" s="142">
        <f t="shared" si="431"/>
        <v>0</v>
      </c>
      <c r="DS84" s="142">
        <f t="shared" si="431"/>
        <v>0</v>
      </c>
      <c r="DT84" s="142">
        <f t="shared" si="431"/>
        <v>0</v>
      </c>
      <c r="DU84" s="142">
        <f t="shared" si="431"/>
        <v>0</v>
      </c>
      <c r="DV84" s="142">
        <f t="shared" si="431"/>
        <v>0</v>
      </c>
      <c r="DW84" s="142">
        <f t="shared" si="431"/>
        <v>0</v>
      </c>
      <c r="DX84" s="142">
        <f t="shared" si="431"/>
        <v>0</v>
      </c>
      <c r="DY84" s="142">
        <f t="shared" si="431"/>
        <v>0</v>
      </c>
      <c r="DZ84" s="142">
        <f t="shared" si="431"/>
        <v>0</v>
      </c>
      <c r="EA84" s="143">
        <f t="shared" si="339"/>
        <v>0</v>
      </c>
      <c r="EB84" s="143">
        <f t="shared" si="340"/>
        <v>0</v>
      </c>
      <c r="EC84" s="143">
        <f t="shared" si="341"/>
        <v>0</v>
      </c>
      <c r="ED84" s="143">
        <f t="shared" si="342"/>
        <v>0</v>
      </c>
      <c r="EE84" s="143">
        <f t="shared" si="343"/>
        <v>0</v>
      </c>
      <c r="EF84" s="143">
        <f t="shared" si="344"/>
        <v>0</v>
      </c>
      <c r="EG84" s="143">
        <f t="shared" si="345"/>
        <v>0</v>
      </c>
      <c r="EH84" s="143">
        <f t="shared" si="346"/>
        <v>0</v>
      </c>
      <c r="EI84" s="143">
        <f t="shared" si="347"/>
        <v>0</v>
      </c>
      <c r="EJ84" s="143">
        <f t="shared" si="348"/>
        <v>0</v>
      </c>
      <c r="EK84" s="143">
        <f t="shared" si="349"/>
        <v>0</v>
      </c>
      <c r="EL84" s="143">
        <f t="shared" si="350"/>
        <v>0</v>
      </c>
      <c r="EM84" s="143">
        <f t="shared" si="351"/>
        <v>0</v>
      </c>
      <c r="EN84" s="143">
        <f t="shared" si="352"/>
        <v>0</v>
      </c>
      <c r="EO84" s="143">
        <f t="shared" si="353"/>
        <v>0</v>
      </c>
      <c r="EP84" s="143">
        <f t="shared" si="354"/>
        <v>0</v>
      </c>
      <c r="EQ84" s="143">
        <f t="shared" si="355"/>
        <v>0</v>
      </c>
      <c r="ER84" s="143">
        <f t="shared" si="356"/>
        <v>0</v>
      </c>
      <c r="ES84" s="143">
        <f t="shared" si="357"/>
        <v>0</v>
      </c>
      <c r="ET84" s="143">
        <f t="shared" si="358"/>
        <v>0</v>
      </c>
      <c r="EU84" s="143">
        <f t="shared" si="359"/>
        <v>0</v>
      </c>
      <c r="EV84" s="143">
        <f t="shared" si="360"/>
        <v>0</v>
      </c>
      <c r="EW84" s="143">
        <f t="shared" si="361"/>
        <v>0</v>
      </c>
      <c r="EX84" s="143">
        <f t="shared" si="362"/>
        <v>0</v>
      </c>
      <c r="EY84" s="143">
        <f t="shared" si="363"/>
        <v>0</v>
      </c>
      <c r="EZ84" s="143">
        <f t="shared" si="364"/>
        <v>0</v>
      </c>
      <c r="FA84" s="143">
        <f t="shared" si="365"/>
        <v>0</v>
      </c>
      <c r="FB84" s="143">
        <f t="shared" si="366"/>
        <v>0</v>
      </c>
      <c r="FC84" s="143">
        <f t="shared" si="367"/>
        <v>0</v>
      </c>
      <c r="FD84" s="143">
        <f t="shared" si="368"/>
        <v>0</v>
      </c>
      <c r="FE84" s="140">
        <f>SUM($D84:D84)*IF($B84="Operacional",IFERROR(VLOOKUP($C84,SN_UGC,28,0),0),1)</f>
        <v>0</v>
      </c>
      <c r="FF84" s="140">
        <f>SUM($D84:E84)*IF($B84="Operacional",IFERROR(VLOOKUP($C84,SN_UGC,28,0),0),1)</f>
        <v>10000</v>
      </c>
      <c r="FG84" s="140">
        <f>SUM($D84:F84)*IF($B84="Operacional",IFERROR(VLOOKUP($C84,SN_UGC,28,0),0),1)</f>
        <v>20000</v>
      </c>
      <c r="FH84" s="140">
        <f>SUM($D84:G84)*IF($B84="Operacional",IFERROR(VLOOKUP($C84,SN_UGC,28,0),0),1)</f>
        <v>30000</v>
      </c>
      <c r="FI84" s="140">
        <f>SUM($D84:H84)*IF($B84="Operacional",IFERROR(VLOOKUP($C84,SN_UGC,28,0),0),1)</f>
        <v>30000</v>
      </c>
      <c r="FJ84" s="140">
        <f>SUM($D84:I84)*IF($B84="Operacional",IFERROR(VLOOKUP($C84,SN_UGC,28,0),0),1)</f>
        <v>30000</v>
      </c>
      <c r="FK84" s="140">
        <f>SUM($D84:J84)*IF($B84="Operacional",IFERROR(VLOOKUP($C84,SN_UGC,28,0),0),1)</f>
        <v>30000</v>
      </c>
      <c r="FL84" s="140">
        <f>SUM($D84:K84)*IF($B84="Operacional",IFERROR(VLOOKUP($C84,SN_UGC,28,0),0),1)</f>
        <v>30000</v>
      </c>
      <c r="FM84" s="140">
        <f>SUM($D84:L84)*IF($B84="Operacional",IFERROR(VLOOKUP($C84,SN_UGC,28,0),0),1)</f>
        <v>30000</v>
      </c>
      <c r="FN84" s="140">
        <f>SUM($D84:M84)*IF($B84="Operacional",IFERROR(VLOOKUP($C84,SN_UGC,28,0),0),1)</f>
        <v>30000</v>
      </c>
      <c r="FO84" s="140">
        <f>SUM($D84:N84)*IF($B84="Operacional",IFERROR(VLOOKUP($C84,SN_UGC,28,0),0),1)</f>
        <v>30000</v>
      </c>
      <c r="FP84" s="140">
        <f>SUM($D84:O84)*IF($B84="Operacional",IFERROR(VLOOKUP($C84,SN_UGC,28,0),0),1)</f>
        <v>30000</v>
      </c>
      <c r="FQ84" s="140">
        <f>SUM($D84:P84)*IF($B84="Operacional",IFERROR(VLOOKUP($C84,SN_UGC,28,0),0),1)</f>
        <v>30000</v>
      </c>
      <c r="FR84" s="140">
        <f>SUM($D84:Q84)*IF($B84="Operacional",IFERROR(VLOOKUP($C84,SN_UGC,28,0),0),1)</f>
        <v>30000</v>
      </c>
      <c r="FS84" s="140">
        <f>SUM($D84:R84)*IF($B84="Operacional",IFERROR(VLOOKUP($C84,SN_UGC,28,0),0),1)</f>
        <v>30000</v>
      </c>
      <c r="FT84" s="140">
        <f>SUM($D84:S84)*IF($B84="Operacional",IFERROR(VLOOKUP($C84,SN_UGC,28,0),0),1)</f>
        <v>30000</v>
      </c>
      <c r="FU84" s="140">
        <f>SUM($D84:T84)*IF($B84="Operacional",IFERROR(VLOOKUP($C84,SN_UGC,28,0),0),1)</f>
        <v>30000</v>
      </c>
      <c r="FV84" s="140">
        <f>SUM($D84:U84)*IF($B84="Operacional",IFERROR(VLOOKUP($C84,SN_UGC,28,0),0),1)</f>
        <v>30000</v>
      </c>
      <c r="FW84" s="140">
        <f>SUM($D84:V84)*IF($B84="Operacional",IFERROR(VLOOKUP($C84,SN_UGC,28,0),0),1)</f>
        <v>30000</v>
      </c>
      <c r="FX84" s="140">
        <f>SUM($D84:W84)*IF($B84="Operacional",IFERROR(VLOOKUP($C84,SN_UGC,28,0),0),1)</f>
        <v>30000</v>
      </c>
      <c r="FY84" s="140">
        <f>SUM($D84:X84)*IF($B84="Operacional",IFERROR(VLOOKUP($C84,SN_UGC,28,0),0),1)</f>
        <v>30000</v>
      </c>
      <c r="FZ84" s="140">
        <f>SUM($D84:Y84)*IF($B84="Operacional",IFERROR(VLOOKUP($C84,SN_UGC,28,0),0),1)</f>
        <v>30000</v>
      </c>
      <c r="GA84" s="140">
        <f>SUM($D84:Z84)*IF($B84="Operacional",IFERROR(VLOOKUP($C84,SN_UGC,28,0),0),1)</f>
        <v>30000</v>
      </c>
      <c r="GB84" s="140">
        <f>SUM($D84:AA84)*IF($B84="Operacional",IFERROR(VLOOKUP($C84,SN_UGC,28,0),0),1)</f>
        <v>30000</v>
      </c>
      <c r="GC84" s="140">
        <f>SUM($D84:AB84)*IF($B84="Operacional",IFERROR(VLOOKUP($C84,SN_UGC,28,0),0),1)</f>
        <v>30000</v>
      </c>
      <c r="GD84" s="140">
        <f>SUM($D84:AC84)*IF($B84="Operacional",IFERROR(VLOOKUP($C84,SN_UGC,28,0),0),1)</f>
        <v>30000</v>
      </c>
      <c r="GE84" s="140">
        <f>SUM($D84:AD84)*IF($B84="Operacional",IFERROR(VLOOKUP($C84,SN_UGC,28,0),0),1)</f>
        <v>30000</v>
      </c>
      <c r="GF84" s="140">
        <f>SUM($D84:AE84)*IF($B84="Operacional",IFERROR(VLOOKUP($C84,SN_UGC,28,0),0),1)</f>
        <v>30000</v>
      </c>
      <c r="GG84" s="140">
        <f>SUM($D84:AF84)*IF($B84="Operacional",IFERROR(VLOOKUP($C84,SN_UGC,28,0),0),1)</f>
        <v>30000</v>
      </c>
      <c r="GH84" s="140">
        <f>SUM($D84:AG84)*IF($B84="Operacional",IFERROR(VLOOKUP($C84,SN_UGC,28,0),0),1)</f>
        <v>30000</v>
      </c>
      <c r="GI84" s="141">
        <f t="shared" ref="GI84:HL84" si="432">FE84*$AH84*$AL84</f>
        <v>0</v>
      </c>
      <c r="GJ84" s="141">
        <f t="shared" si="432"/>
        <v>165000</v>
      </c>
      <c r="GK84" s="141">
        <f t="shared" si="432"/>
        <v>330000</v>
      </c>
      <c r="GL84" s="141">
        <f t="shared" si="432"/>
        <v>495000</v>
      </c>
      <c r="GM84" s="141">
        <f t="shared" si="432"/>
        <v>495000</v>
      </c>
      <c r="GN84" s="141">
        <f t="shared" si="432"/>
        <v>495000</v>
      </c>
      <c r="GO84" s="141">
        <f t="shared" si="432"/>
        <v>495000</v>
      </c>
      <c r="GP84" s="141">
        <f t="shared" si="432"/>
        <v>495000</v>
      </c>
      <c r="GQ84" s="141">
        <f t="shared" si="432"/>
        <v>495000</v>
      </c>
      <c r="GR84" s="141">
        <f t="shared" si="432"/>
        <v>495000</v>
      </c>
      <c r="GS84" s="141">
        <f t="shared" si="432"/>
        <v>495000</v>
      </c>
      <c r="GT84" s="141">
        <f t="shared" si="432"/>
        <v>495000</v>
      </c>
      <c r="GU84" s="141">
        <f t="shared" si="432"/>
        <v>495000</v>
      </c>
      <c r="GV84" s="141">
        <f t="shared" si="432"/>
        <v>495000</v>
      </c>
      <c r="GW84" s="141">
        <f t="shared" si="432"/>
        <v>495000</v>
      </c>
      <c r="GX84" s="141">
        <f t="shared" si="432"/>
        <v>495000</v>
      </c>
      <c r="GY84" s="141">
        <f t="shared" si="432"/>
        <v>495000</v>
      </c>
      <c r="GZ84" s="141">
        <f t="shared" si="432"/>
        <v>495000</v>
      </c>
      <c r="HA84" s="141">
        <f t="shared" si="432"/>
        <v>495000</v>
      </c>
      <c r="HB84" s="141">
        <f t="shared" si="432"/>
        <v>495000</v>
      </c>
      <c r="HC84" s="141">
        <f t="shared" si="432"/>
        <v>495000</v>
      </c>
      <c r="HD84" s="141">
        <f t="shared" si="432"/>
        <v>495000</v>
      </c>
      <c r="HE84" s="141">
        <f t="shared" si="432"/>
        <v>495000</v>
      </c>
      <c r="HF84" s="141">
        <f t="shared" si="432"/>
        <v>495000</v>
      </c>
      <c r="HG84" s="141">
        <f t="shared" si="432"/>
        <v>495000</v>
      </c>
      <c r="HH84" s="141">
        <f t="shared" si="432"/>
        <v>495000</v>
      </c>
      <c r="HI84" s="141">
        <f t="shared" si="432"/>
        <v>495000</v>
      </c>
      <c r="HJ84" s="141">
        <f t="shared" si="432"/>
        <v>495000</v>
      </c>
      <c r="HK84" s="141">
        <f t="shared" si="432"/>
        <v>495000</v>
      </c>
      <c r="HL84" s="141">
        <f t="shared" si="432"/>
        <v>495000</v>
      </c>
      <c r="HM84" s="142">
        <f t="shared" ref="HM84:IP84" si="433">IF(ISBLANK($A84),,FE84*($AH84-($AH84*$AJ84))/$AI84)</f>
        <v>0</v>
      </c>
      <c r="HN84" s="142">
        <f t="shared" si="433"/>
        <v>0</v>
      </c>
      <c r="HO84" s="142">
        <f t="shared" si="433"/>
        <v>0</v>
      </c>
      <c r="HP84" s="142">
        <f t="shared" si="433"/>
        <v>0</v>
      </c>
      <c r="HQ84" s="142">
        <f t="shared" si="433"/>
        <v>0</v>
      </c>
      <c r="HR84" s="142">
        <f t="shared" si="433"/>
        <v>0</v>
      </c>
      <c r="HS84" s="142">
        <f t="shared" si="433"/>
        <v>0</v>
      </c>
      <c r="HT84" s="142">
        <f t="shared" si="433"/>
        <v>0</v>
      </c>
      <c r="HU84" s="142">
        <f t="shared" si="433"/>
        <v>0</v>
      </c>
      <c r="HV84" s="142">
        <f t="shared" si="433"/>
        <v>0</v>
      </c>
      <c r="HW84" s="142">
        <f t="shared" si="433"/>
        <v>0</v>
      </c>
      <c r="HX84" s="142">
        <f t="shared" si="433"/>
        <v>0</v>
      </c>
      <c r="HY84" s="142">
        <f t="shared" si="433"/>
        <v>0</v>
      </c>
      <c r="HZ84" s="142">
        <f t="shared" si="433"/>
        <v>0</v>
      </c>
      <c r="IA84" s="142">
        <f t="shared" si="433"/>
        <v>0</v>
      </c>
      <c r="IB84" s="142">
        <f t="shared" si="433"/>
        <v>0</v>
      </c>
      <c r="IC84" s="142">
        <f t="shared" si="433"/>
        <v>0</v>
      </c>
      <c r="ID84" s="142">
        <f t="shared" si="433"/>
        <v>0</v>
      </c>
      <c r="IE84" s="142">
        <f t="shared" si="433"/>
        <v>0</v>
      </c>
      <c r="IF84" s="142">
        <f t="shared" si="433"/>
        <v>0</v>
      </c>
      <c r="IG84" s="142">
        <f t="shared" si="433"/>
        <v>0</v>
      </c>
      <c r="IH84" s="142">
        <f t="shared" si="433"/>
        <v>0</v>
      </c>
      <c r="II84" s="142">
        <f t="shared" si="433"/>
        <v>0</v>
      </c>
      <c r="IJ84" s="142">
        <f t="shared" si="433"/>
        <v>0</v>
      </c>
      <c r="IK84" s="142">
        <f t="shared" si="433"/>
        <v>0</v>
      </c>
      <c r="IL84" s="142">
        <f t="shared" si="433"/>
        <v>0</v>
      </c>
      <c r="IM84" s="142">
        <f t="shared" si="433"/>
        <v>0</v>
      </c>
      <c r="IN84" s="142">
        <f t="shared" si="433"/>
        <v>0</v>
      </c>
      <c r="IO84" s="142">
        <f t="shared" si="433"/>
        <v>0</v>
      </c>
      <c r="IP84" s="142">
        <f t="shared" si="433"/>
        <v>0</v>
      </c>
      <c r="IQ84" s="141">
        <f>IF(ISBLANK($A84),,IF($AN84="Não",0,(SUM($AO84:AO84)*$AH84)-SUM($HM84:HM84)-SUM($CW84:CW84)))</f>
        <v>0</v>
      </c>
      <c r="IR84" s="141">
        <f>IF(ISBLANK($A84),,IF($AN84="Não",0,(SUM($AO84:AP84)*$AH84)-SUM($HM84:HN84)-SUM($CW84:CX84)))</f>
        <v>0</v>
      </c>
      <c r="IS84" s="141">
        <f>IF(ISBLANK($A84),,IF($AN84="Não",0,(SUM($AO84:AQ84)*$AH84)-SUM($HM84:HO84)-SUM($CW84:CY84)))</f>
        <v>0</v>
      </c>
      <c r="IT84" s="141">
        <f>IF(ISBLANK($A84),,IF($AN84="Não",0,(SUM($AO84:AR84)*$AH84)-SUM($HM84:HP84)-SUM($CW84:CZ84)))</f>
        <v>0</v>
      </c>
      <c r="IU84" s="141">
        <f>IF(ISBLANK($A84),,IF($AN84="Não",0,(SUM($AO84:AS84)*$AH84)-SUM($HM84:HQ84)-SUM($CW84:DA84)))</f>
        <v>0</v>
      </c>
      <c r="IV84" s="141">
        <f>IF(ISBLANK($A84),,IF($AN84="Não",0,(SUM($AO84:AT84)*$AH84)-SUM($HM84:HR84)-SUM($CW84:DB84)))</f>
        <v>0</v>
      </c>
      <c r="IW84" s="141">
        <f>IF(ISBLANK($A84),,IF($AN84="Não",0,(SUM($AO84:AU84)*$AH84)-SUM($HM84:HS84)-SUM($CW84:DC84)))</f>
        <v>0</v>
      </c>
      <c r="IX84" s="141">
        <f>IF(ISBLANK($A84),,IF($AN84="Não",0,(SUM($AO84:AV84)*$AH84)-SUM($HM84:HT84)-SUM($CW84:DD84)))</f>
        <v>0</v>
      </c>
      <c r="IY84" s="141">
        <f>IF(ISBLANK($A84),,IF($AN84="Não",0,(SUM($AO84:AW84)*$AH84)-SUM($HM84:HU84)-SUM($CW84:DE84)))</f>
        <v>0</v>
      </c>
      <c r="IZ84" s="141">
        <f>IF(ISBLANK($A84),,IF($AN84="Não",0,(SUM($AO84:AX84)*$AH84)-SUM($HM84:HV84)-SUM($CW84:DF84)))</f>
        <v>0</v>
      </c>
      <c r="JA84" s="141">
        <f>IF(ISBLANK($A84),,IF($AN84="Não",0,(SUM($AO84:AY84)*$AH84)-SUM($HM84:HW84)-SUM($CW84:DG84)))</f>
        <v>0</v>
      </c>
      <c r="JB84" s="141">
        <f>IF(ISBLANK($A84),,IF($AN84="Não",0,(SUM($AO84:AZ84)*$AH84)-SUM($HM84:HX84)-SUM($CW84:DH84)))</f>
        <v>0</v>
      </c>
      <c r="JC84" s="141">
        <f>IF(ISBLANK($A84),,IF($AN84="Não",0,(SUM($AO84:BA84)*$AH84)-SUM($HM84:HY84)-SUM($CW84:DI84)))</f>
        <v>0</v>
      </c>
      <c r="JD84" s="141">
        <f>IF(ISBLANK($A84),,IF($AN84="Não",0,(SUM($AO84:BB84)*$AH84)-SUM($HM84:HZ84)-SUM($CW84:DJ84)))</f>
        <v>0</v>
      </c>
      <c r="JE84" s="141">
        <f>IF(ISBLANK($A84),,IF($AN84="Não",0,(SUM($AO84:BC84)*$AH84)-SUM($HM84:IA84)-SUM($CW84:DK84)))</f>
        <v>0</v>
      </c>
      <c r="JF84" s="141">
        <f>IF(ISBLANK($A84),,IF($AN84="Não",0,(SUM($AO84:BD84)*$AH84)-SUM($HM84:IB84)-SUM($CW84:DL84)))</f>
        <v>0</v>
      </c>
      <c r="JG84" s="141">
        <f>IF(ISBLANK($A84),,IF($AN84="Não",0,(SUM($AO84:BE84)*$AH84)-SUM($HM84:IC84)-SUM($CW84:DM84)))</f>
        <v>0</v>
      </c>
      <c r="JH84" s="141">
        <f>IF(ISBLANK($A84),,IF($AN84="Não",0,(SUM($AO84:BF84)*$AH84)-SUM($HM84:ID84)-SUM($CW84:DN84)))</f>
        <v>0</v>
      </c>
      <c r="JI84" s="141">
        <f>IF(ISBLANK($A84),,IF($AN84="Não",0,(SUM($AO84:BG84)*$AH84)-SUM($HM84:IE84)-SUM($CW84:DO84)))</f>
        <v>0</v>
      </c>
      <c r="JJ84" s="141">
        <f>IF(ISBLANK($A84),,IF($AN84="Não",0,(SUM($AO84:BH84)*$AH84)-SUM($HM84:IF84)-SUM($CW84:DP84)))</f>
        <v>0</v>
      </c>
      <c r="JK84" s="141">
        <f>IF(ISBLANK($A84),,IF($AN84="Não",0,(SUM($AO84:BI84)*$AH84)-SUM($HM84:IG84)-SUM($CW84:DQ84)))</f>
        <v>0</v>
      </c>
      <c r="JL84" s="141">
        <f>IF(ISBLANK($A84),,IF($AN84="Não",0,(SUM($AO84:BJ84)*$AH84)-SUM($HM84:IH84)-SUM($CW84:DR84)))</f>
        <v>0</v>
      </c>
      <c r="JM84" s="141">
        <f>IF(ISBLANK($A84),,IF($AN84="Não",0,(SUM($AO84:BK84)*$AH84)-SUM($HM84:II84)-SUM($CW84:DS84)))</f>
        <v>0</v>
      </c>
      <c r="JN84" s="141">
        <f>IF(ISBLANK($A84),,IF($AN84="Não",0,(SUM($AO84:BL84)*$AH84)-SUM($HM84:IJ84)-SUM($CW84:DT84)))</f>
        <v>0</v>
      </c>
      <c r="JO84" s="141">
        <f>IF(ISBLANK($A84),,IF($AN84="Não",0,(SUM($AO84:BM84)*$AH84)-SUM($HM84:IK84)-SUM($CW84:DU84)))</f>
        <v>0</v>
      </c>
      <c r="JP84" s="141">
        <f>IF(ISBLANK($A84),,IF($AN84="Não",0,(SUM($AO84:BN84)*$AH84)-SUM($HM84:IL84)-SUM($CW84:DV84)))</f>
        <v>0</v>
      </c>
      <c r="JQ84" s="141">
        <f>IF(ISBLANK($A84),,IF($AN84="Não",0,(SUM($AO84:BO84)*$AH84)-SUM($HM84:IM84)-SUM($CW84:DW84)))</f>
        <v>0</v>
      </c>
      <c r="JR84" s="141">
        <f>IF(ISBLANK($A84),,IF($AN84="Não",0,(SUM($AO84:BP84)*$AH84)-SUM($HM84:IN84)-SUM($CW84:DX84)))</f>
        <v>0</v>
      </c>
      <c r="JS84" s="141">
        <f>IF(ISBLANK($A84),,IF($AN84="Não",0,(SUM($AO84:BQ84)*$AH84)-SUM($HM84:IO84)-SUM($CW84:DY84)))</f>
        <v>0</v>
      </c>
      <c r="JT84" s="141">
        <f>IF(ISBLANK($A84),,IF($AN84="Não",0,(SUM($AO84:BR84)*$AH84)-SUM($HM84:IP84)-SUM($CW84:DZ84)))</f>
        <v>0</v>
      </c>
    </row>
    <row r="85" spans="1:280" ht="15.75" customHeight="1">
      <c r="A85" s="129" t="s">
        <v>425</v>
      </c>
      <c r="B85" s="129" t="s">
        <v>191</v>
      </c>
      <c r="C85" s="138" t="s">
        <v>234</v>
      </c>
      <c r="D85" s="139"/>
      <c r="E85" s="144">
        <v>11100</v>
      </c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607">
        <f t="shared" si="399"/>
        <v>550</v>
      </c>
      <c r="AI85" s="608">
        <f t="shared" si="400"/>
        <v>30</v>
      </c>
      <c r="AJ85" s="609">
        <f t="shared" si="401"/>
        <v>0.8</v>
      </c>
      <c r="AK85" s="610" t="str">
        <f t="shared" si="402"/>
        <v>Infraestrutura</v>
      </c>
      <c r="AL85" s="609">
        <f t="shared" si="403"/>
        <v>0.05</v>
      </c>
      <c r="AM85" s="611" t="str">
        <f t="shared" si="404"/>
        <v>Sim</v>
      </c>
      <c r="AN85" s="611" t="str">
        <f t="shared" si="405"/>
        <v>Não</v>
      </c>
      <c r="AO85" s="140">
        <f t="array" ref="AO85">IF(ISBLANK($A85),0,IF(OR(AO$5-$AI85&lt;=0,$AM85="Não"),D85,D85+INDEX($AO$6:$BR$176,ROW()-5,COLUMN()-40-$AI85)))*IF($B85="Operacional",IFERROR(VLOOKUP($C85,SN_UGC,28,0),0),1)</f>
        <v>0</v>
      </c>
      <c r="AP85" s="140">
        <f t="array" ref="AP85">IF(ISBLANK($A85),0,IF(OR(AP$5-$AI85&lt;=0,$AM85="Não"),E85,E85+INDEX($AO$6:$BR$176,ROW()-5,COLUMN()-40-$AI85)))*IF($B85="Operacional",IFERROR(VLOOKUP($C85,SN_UGC,28,0),0),1)</f>
        <v>11100</v>
      </c>
      <c r="AQ85" s="140">
        <f t="array" ref="AQ85">IF(ISBLANK($A85),0,IF(OR(AQ$5-$AI85&lt;=0,$AM85="Não"),F85,F85+INDEX($AO$6:$BR$176,ROW()-5,COLUMN()-40-$AI85)))*IF($B85="Operacional",IFERROR(VLOOKUP($C85,SN_UGC,28,0),0),1)</f>
        <v>0</v>
      </c>
      <c r="AR85" s="140">
        <f t="array" ref="AR85">IF(ISBLANK($A85),0,IF(OR(AR$5-$AI85&lt;=0,$AM85="Não"),G85,G85+INDEX($AO$6:$BR$176,ROW()-5,COLUMN()-40-$AI85)))*IF($B85="Operacional",IFERROR(VLOOKUP($C85,SN_UGC,28,0),0),1)</f>
        <v>0</v>
      </c>
      <c r="AS85" s="140">
        <f t="array" ref="AS85">IF(ISBLANK($A85),0,IF(OR(AS$5-$AI85&lt;=0,$AM85="Não"),H85,H85+INDEX($AO$6:$BR$176,ROW()-5,COLUMN()-40-$AI85)))*IF($B85="Operacional",IFERROR(VLOOKUP($C85,SN_UGC,28,0),0),1)</f>
        <v>0</v>
      </c>
      <c r="AT85" s="140">
        <f t="array" ref="AT85">IF(ISBLANK($A85),0,IF(OR(AT$5-$AI85&lt;=0,$AM85="Não"),I85,I85+INDEX($AO$6:$BR$176,ROW()-5,COLUMN()-40-$AI85)))*IF($B85="Operacional",IFERROR(VLOOKUP($C85,SN_UGC,28,0),0),1)</f>
        <v>0</v>
      </c>
      <c r="AU85" s="140">
        <f t="array" ref="AU85">IF(ISBLANK($A85),0,IF(OR(AU$5-$AI85&lt;=0,$AM85="Não"),J85,J85+INDEX($AO$6:$BR$176,ROW()-5,COLUMN()-40-$AI85)))*IF($B85="Operacional",IFERROR(VLOOKUP($C85,SN_UGC,28,0),0),1)</f>
        <v>0</v>
      </c>
      <c r="AV85" s="140">
        <f t="array" ref="AV85">IF(ISBLANK($A85),0,IF(OR(AV$5-$AI85&lt;=0,$AM85="Não"),K85,K85+INDEX($AO$6:$BR$176,ROW()-5,COLUMN()-40-$AI85)))*IF($B85="Operacional",IFERROR(VLOOKUP($C85,SN_UGC,28,0),0),1)</f>
        <v>0</v>
      </c>
      <c r="AW85" s="140">
        <f t="array" ref="AW85">IF(ISBLANK($A85),0,IF(OR(AW$5-$AI85&lt;=0,$AM85="Não"),L85,L85+INDEX($AO$6:$BR$176,ROW()-5,COLUMN()-40-$AI85)))*IF($B85="Operacional",IFERROR(VLOOKUP($C85,SN_UGC,28,0),0),1)</f>
        <v>0</v>
      </c>
      <c r="AX85" s="140">
        <f t="array" ref="AX85">IF(ISBLANK($A85),0,IF(OR(AX$5-$AI85&lt;=0,$AM85="Não"),M85,M85+INDEX($AO$6:$BR$176,ROW()-5,COLUMN()-40-$AI85)))*IF($B85="Operacional",IFERROR(VLOOKUP($C85,SN_UGC,28,0),0),1)</f>
        <v>0</v>
      </c>
      <c r="AY85" s="140">
        <f t="array" ref="AY85">IF(ISBLANK($A85),0,IF(OR(AY$5-$AI85&lt;=0,$AM85="Não"),N85,N85+INDEX($AO$6:$BR$176,ROW()-5,COLUMN()-40-$AI85)))*IF($B85="Operacional",IFERROR(VLOOKUP($C85,SN_UGC,28,0),0),1)</f>
        <v>0</v>
      </c>
      <c r="AZ85" s="140">
        <f t="array" ref="AZ85">IF(ISBLANK($A85),0,IF(OR(AZ$5-$AI85&lt;=0,$AM85="Não"),O85,O85+INDEX($AO$6:$BR$176,ROW()-5,COLUMN()-40-$AI85)))*IF($B85="Operacional",IFERROR(VLOOKUP($C85,SN_UGC,28,0),0),1)</f>
        <v>0</v>
      </c>
      <c r="BA85" s="140">
        <f t="array" ref="BA85">IF(ISBLANK($A85),0,IF(OR(BA$5-$AI85&lt;=0,$AM85="Não"),P85,P85+INDEX($AO$6:$BR$176,ROW()-5,COLUMN()-40-$AI85)))*IF($B85="Operacional",IFERROR(VLOOKUP($C85,SN_UGC,28,0),0),1)</f>
        <v>0</v>
      </c>
      <c r="BB85" s="140">
        <f t="array" ref="BB85">IF(ISBLANK($A85),0,IF(OR(BB$5-$AI85&lt;=0,$AM85="Não"),Q85,Q85+INDEX($AO$6:$BR$176,ROW()-5,COLUMN()-40-$AI85)))*IF($B85="Operacional",IFERROR(VLOOKUP($C85,SN_UGC,28,0),0),1)</f>
        <v>0</v>
      </c>
      <c r="BC85" s="140">
        <f t="array" ref="BC85">IF(ISBLANK($A85),0,IF(OR(BC$5-$AI85&lt;=0,$AM85="Não"),R85,R85+INDEX($AO$6:$BR$176,ROW()-5,COLUMN()-40-$AI85)))*IF($B85="Operacional",IFERROR(VLOOKUP($C85,SN_UGC,28,0),0),1)</f>
        <v>0</v>
      </c>
      <c r="BD85" s="140">
        <f t="array" ref="BD85">IF(ISBLANK($A85),0,IF(OR(BD$5-$AI85&lt;=0,$AM85="Não"),S85,S85+INDEX($AO$6:$BR$176,ROW()-5,COLUMN()-40-$AI85)))*IF($B85="Operacional",IFERROR(VLOOKUP($C85,SN_UGC,28,0),0),1)</f>
        <v>0</v>
      </c>
      <c r="BE85" s="140">
        <f t="array" ref="BE85">IF(ISBLANK($A85),0,IF(OR(BE$5-$AI85&lt;=0,$AM85="Não"),T85,T85+INDEX($AO$6:$BR$176,ROW()-5,COLUMN()-40-$AI85)))*IF($B85="Operacional",IFERROR(VLOOKUP($C85,SN_UGC,28,0),0),1)</f>
        <v>0</v>
      </c>
      <c r="BF85" s="140">
        <f t="array" ref="BF85">IF(ISBLANK($A85),0,IF(OR(BF$5-$AI85&lt;=0,$AM85="Não"),U85,U85+INDEX($AO$6:$BR$176,ROW()-5,COLUMN()-40-$AI85)))*IF($B85="Operacional",IFERROR(VLOOKUP($C85,SN_UGC,28,0),0),1)</f>
        <v>0</v>
      </c>
      <c r="BG85" s="140">
        <f t="array" ref="BG85">IF(ISBLANK($A85),0,IF(OR(BG$5-$AI85&lt;=0,$AM85="Não"),V85,V85+INDEX($AO$6:$BR$176,ROW()-5,COLUMN()-40-$AI85)))*IF($B85="Operacional",IFERROR(VLOOKUP($C85,SN_UGC,28,0),0),1)</f>
        <v>0</v>
      </c>
      <c r="BH85" s="140">
        <f t="array" ref="BH85">IF(ISBLANK($A85),0,IF(OR(BH$5-$AI85&lt;=0,$AM85="Não"),W85,W85+INDEX($AO$6:$BR$176,ROW()-5,COLUMN()-40-$AI85)))*IF($B85="Operacional",IFERROR(VLOOKUP($C85,SN_UGC,28,0),0),1)</f>
        <v>0</v>
      </c>
      <c r="BI85" s="140">
        <f t="array" ref="BI85">IF(ISBLANK($A85),0,IF(OR(BI$5-$AI85&lt;=0,$AM85="Não"),X85,X85+INDEX($AO$6:$BR$176,ROW()-5,COLUMN()-40-$AI85)))*IF($B85="Operacional",IFERROR(VLOOKUP($C85,SN_UGC,28,0),0),1)</f>
        <v>0</v>
      </c>
      <c r="BJ85" s="140">
        <f t="array" ref="BJ85">IF(ISBLANK($A85),0,IF(OR(BJ$5-$AI85&lt;=0,$AM85="Não"),Y85,Y85+INDEX($AO$6:$BR$176,ROW()-5,COLUMN()-40-$AI85)))*IF($B85="Operacional",IFERROR(VLOOKUP($C85,SN_UGC,28,0),0),1)</f>
        <v>0</v>
      </c>
      <c r="BK85" s="140">
        <f t="array" ref="BK85">IF(ISBLANK($A85),0,IF(OR(BK$5-$AI85&lt;=0,$AM85="Não"),Z85,Z85+INDEX($AO$6:$BR$176,ROW()-5,COLUMN()-40-$AI85)))*IF($B85="Operacional",IFERROR(VLOOKUP($C85,SN_UGC,28,0),0),1)</f>
        <v>0</v>
      </c>
      <c r="BL85" s="140">
        <f t="array" ref="BL85">IF(ISBLANK($A85),0,IF(OR(BL$5-$AI85&lt;=0,$AM85="Não"),AA85,AA85+INDEX($AO$6:$BR$176,ROW()-5,COLUMN()-40-$AI85)))*IF($B85="Operacional",IFERROR(VLOOKUP($C85,SN_UGC,28,0),0),1)</f>
        <v>0</v>
      </c>
      <c r="BM85" s="140">
        <f t="array" ref="BM85">IF(ISBLANK($A85),0,IF(OR(BM$5-$AI85&lt;=0,$AM85="Não"),AB85,AB85+INDEX($AO$6:$BR$176,ROW()-5,COLUMN()-40-$AI85)))*IF($B85="Operacional",IFERROR(VLOOKUP($C85,SN_UGC,28,0),0),1)</f>
        <v>0</v>
      </c>
      <c r="BN85" s="140">
        <f t="array" ref="BN85">IF(ISBLANK($A85),0,IF(OR(BN$5-$AI85&lt;=0,$AM85="Não"),AC85,AC85+INDEX($AO$6:$BR$176,ROW()-5,COLUMN()-40-$AI85)))*IF($B85="Operacional",IFERROR(VLOOKUP($C85,SN_UGC,28,0),0),1)</f>
        <v>0</v>
      </c>
      <c r="BO85" s="140">
        <f t="array" ref="BO85">IF(ISBLANK($A85),0,IF(OR(BO$5-$AI85&lt;=0,$AM85="Não"),AD85,AD85+INDEX($AO$6:$BR$176,ROW()-5,COLUMN()-40-$AI85)))*IF($B85="Operacional",IFERROR(VLOOKUP($C85,SN_UGC,28,0),0),1)</f>
        <v>0</v>
      </c>
      <c r="BP85" s="140">
        <f t="array" ref="BP85">IF(ISBLANK($A85),0,IF(OR(BP$5-$AI85&lt;=0,$AM85="Não"),AE85,AE85+INDEX($AO$6:$BR$176,ROW()-5,COLUMN()-40-$AI85)))*IF($B85="Operacional",IFERROR(VLOOKUP($C85,SN_UGC,28,0),0),1)</f>
        <v>0</v>
      </c>
      <c r="BQ85" s="140">
        <f t="array" ref="BQ85">IF(ISBLANK($A85),0,IF(OR(BQ$5-$AI85&lt;=0,$AM85="Não"),AF85,AF85+INDEX($AO$6:$BR$176,ROW()-5,COLUMN()-40-$AI85)))*IF($B85="Operacional",IFERROR(VLOOKUP($C85,SN_UGC,28,0),0),1)</f>
        <v>0</v>
      </c>
      <c r="BR85" s="140">
        <f t="array" ref="BR85">IF(ISBLANK($A85),0,IF(OR(BR$5-$AI85&lt;=0,$AM85="Não"),AG85,AG85+INDEX($AO$6:$BR$176,ROW()-5,COLUMN()-40-$AI85)))*IF($B85="Operacional",IFERROR(VLOOKUP($C85,SN_UGC,28,0),0),1)</f>
        <v>0</v>
      </c>
      <c r="BS85" s="141">
        <f t="shared" ref="BS85:CV85" si="434">IF(ISBLANK($A85),0,$AH85*AO85)</f>
        <v>0</v>
      </c>
      <c r="BT85" s="141">
        <f t="shared" si="434"/>
        <v>6105000</v>
      </c>
      <c r="BU85" s="141">
        <f t="shared" si="434"/>
        <v>0</v>
      </c>
      <c r="BV85" s="141">
        <f t="shared" si="434"/>
        <v>0</v>
      </c>
      <c r="BW85" s="141">
        <f t="shared" si="434"/>
        <v>0</v>
      </c>
      <c r="BX85" s="141">
        <f t="shared" si="434"/>
        <v>0</v>
      </c>
      <c r="BY85" s="141">
        <f t="shared" si="434"/>
        <v>0</v>
      </c>
      <c r="BZ85" s="141">
        <f t="shared" si="434"/>
        <v>0</v>
      </c>
      <c r="CA85" s="141">
        <f t="shared" si="434"/>
        <v>0</v>
      </c>
      <c r="CB85" s="141">
        <f t="shared" si="434"/>
        <v>0</v>
      </c>
      <c r="CC85" s="141">
        <f t="shared" si="434"/>
        <v>0</v>
      </c>
      <c r="CD85" s="141">
        <f t="shared" si="434"/>
        <v>0</v>
      </c>
      <c r="CE85" s="141">
        <f t="shared" si="434"/>
        <v>0</v>
      </c>
      <c r="CF85" s="141">
        <f t="shared" si="434"/>
        <v>0</v>
      </c>
      <c r="CG85" s="141">
        <f t="shared" si="434"/>
        <v>0</v>
      </c>
      <c r="CH85" s="141">
        <f t="shared" si="434"/>
        <v>0</v>
      </c>
      <c r="CI85" s="141">
        <f t="shared" si="434"/>
        <v>0</v>
      </c>
      <c r="CJ85" s="141">
        <f t="shared" si="434"/>
        <v>0</v>
      </c>
      <c r="CK85" s="141">
        <f t="shared" si="434"/>
        <v>0</v>
      </c>
      <c r="CL85" s="141">
        <f t="shared" si="434"/>
        <v>0</v>
      </c>
      <c r="CM85" s="141">
        <f t="shared" si="434"/>
        <v>0</v>
      </c>
      <c r="CN85" s="141">
        <f t="shared" si="434"/>
        <v>0</v>
      </c>
      <c r="CO85" s="141">
        <f t="shared" si="434"/>
        <v>0</v>
      </c>
      <c r="CP85" s="141">
        <f t="shared" si="434"/>
        <v>0</v>
      </c>
      <c r="CQ85" s="141">
        <f t="shared" si="434"/>
        <v>0</v>
      </c>
      <c r="CR85" s="141">
        <f t="shared" si="434"/>
        <v>0</v>
      </c>
      <c r="CS85" s="141">
        <f t="shared" si="434"/>
        <v>0</v>
      </c>
      <c r="CT85" s="141">
        <f t="shared" si="434"/>
        <v>0</v>
      </c>
      <c r="CU85" s="141">
        <f t="shared" si="434"/>
        <v>0</v>
      </c>
      <c r="CV85" s="141">
        <f t="shared" si="434"/>
        <v>0</v>
      </c>
      <c r="CW85" s="142">
        <f t="shared" ref="CW85:DZ85" si="435">EA85*$AH85*$AJ85</f>
        <v>0</v>
      </c>
      <c r="CX85" s="142">
        <f t="shared" si="435"/>
        <v>0</v>
      </c>
      <c r="CY85" s="142">
        <f t="shared" si="435"/>
        <v>0</v>
      </c>
      <c r="CZ85" s="142">
        <f t="shared" si="435"/>
        <v>0</v>
      </c>
      <c r="DA85" s="142">
        <f t="shared" si="435"/>
        <v>0</v>
      </c>
      <c r="DB85" s="142">
        <f t="shared" si="435"/>
        <v>0</v>
      </c>
      <c r="DC85" s="142">
        <f t="shared" si="435"/>
        <v>0</v>
      </c>
      <c r="DD85" s="142">
        <f t="shared" si="435"/>
        <v>0</v>
      </c>
      <c r="DE85" s="142">
        <f t="shared" si="435"/>
        <v>0</v>
      </c>
      <c r="DF85" s="142">
        <f t="shared" si="435"/>
        <v>0</v>
      </c>
      <c r="DG85" s="142">
        <f t="shared" si="435"/>
        <v>0</v>
      </c>
      <c r="DH85" s="142">
        <f t="shared" si="435"/>
        <v>0</v>
      </c>
      <c r="DI85" s="142">
        <f t="shared" si="435"/>
        <v>0</v>
      </c>
      <c r="DJ85" s="142">
        <f t="shared" si="435"/>
        <v>0</v>
      </c>
      <c r="DK85" s="142">
        <f t="shared" si="435"/>
        <v>0</v>
      </c>
      <c r="DL85" s="142">
        <f t="shared" si="435"/>
        <v>0</v>
      </c>
      <c r="DM85" s="142">
        <f t="shared" si="435"/>
        <v>0</v>
      </c>
      <c r="DN85" s="142">
        <f t="shared" si="435"/>
        <v>0</v>
      </c>
      <c r="DO85" s="142">
        <f t="shared" si="435"/>
        <v>0</v>
      </c>
      <c r="DP85" s="142">
        <f t="shared" si="435"/>
        <v>0</v>
      </c>
      <c r="DQ85" s="142">
        <f t="shared" si="435"/>
        <v>0</v>
      </c>
      <c r="DR85" s="142">
        <f t="shared" si="435"/>
        <v>0</v>
      </c>
      <c r="DS85" s="142">
        <f t="shared" si="435"/>
        <v>0</v>
      </c>
      <c r="DT85" s="142">
        <f t="shared" si="435"/>
        <v>0</v>
      </c>
      <c r="DU85" s="142">
        <f t="shared" si="435"/>
        <v>0</v>
      </c>
      <c r="DV85" s="142">
        <f t="shared" si="435"/>
        <v>0</v>
      </c>
      <c r="DW85" s="142">
        <f t="shared" si="435"/>
        <v>0</v>
      </c>
      <c r="DX85" s="142">
        <f t="shared" si="435"/>
        <v>0</v>
      </c>
      <c r="DY85" s="142">
        <f t="shared" si="435"/>
        <v>0</v>
      </c>
      <c r="DZ85" s="142">
        <f t="shared" si="435"/>
        <v>0</v>
      </c>
      <c r="EA85" s="143">
        <f t="shared" si="339"/>
        <v>0</v>
      </c>
      <c r="EB85" s="143">
        <f t="shared" si="340"/>
        <v>0</v>
      </c>
      <c r="EC85" s="143">
        <f t="shared" si="341"/>
        <v>0</v>
      </c>
      <c r="ED85" s="143">
        <f t="shared" si="342"/>
        <v>0</v>
      </c>
      <c r="EE85" s="143">
        <f t="shared" si="343"/>
        <v>0</v>
      </c>
      <c r="EF85" s="143">
        <f t="shared" si="344"/>
        <v>0</v>
      </c>
      <c r="EG85" s="143">
        <f t="shared" si="345"/>
        <v>0</v>
      </c>
      <c r="EH85" s="143">
        <f t="shared" si="346"/>
        <v>0</v>
      </c>
      <c r="EI85" s="143">
        <f t="shared" si="347"/>
        <v>0</v>
      </c>
      <c r="EJ85" s="143">
        <f t="shared" si="348"/>
        <v>0</v>
      </c>
      <c r="EK85" s="143">
        <f t="shared" si="349"/>
        <v>0</v>
      </c>
      <c r="EL85" s="143">
        <f t="shared" si="350"/>
        <v>0</v>
      </c>
      <c r="EM85" s="143">
        <f t="shared" si="351"/>
        <v>0</v>
      </c>
      <c r="EN85" s="143">
        <f t="shared" si="352"/>
        <v>0</v>
      </c>
      <c r="EO85" s="143">
        <f t="shared" si="353"/>
        <v>0</v>
      </c>
      <c r="EP85" s="143">
        <f t="shared" si="354"/>
        <v>0</v>
      </c>
      <c r="EQ85" s="143">
        <f t="shared" si="355"/>
        <v>0</v>
      </c>
      <c r="ER85" s="143">
        <f t="shared" si="356"/>
        <v>0</v>
      </c>
      <c r="ES85" s="143">
        <f t="shared" si="357"/>
        <v>0</v>
      </c>
      <c r="ET85" s="143">
        <f t="shared" si="358"/>
        <v>0</v>
      </c>
      <c r="EU85" s="143">
        <f t="shared" si="359"/>
        <v>0</v>
      </c>
      <c r="EV85" s="143">
        <f t="shared" si="360"/>
        <v>0</v>
      </c>
      <c r="EW85" s="143">
        <f t="shared" si="361"/>
        <v>0</v>
      </c>
      <c r="EX85" s="143">
        <f t="shared" si="362"/>
        <v>0</v>
      </c>
      <c r="EY85" s="143">
        <f t="shared" si="363"/>
        <v>0</v>
      </c>
      <c r="EZ85" s="143">
        <f t="shared" si="364"/>
        <v>0</v>
      </c>
      <c r="FA85" s="143">
        <f t="shared" si="365"/>
        <v>0</v>
      </c>
      <c r="FB85" s="143">
        <f t="shared" si="366"/>
        <v>0</v>
      </c>
      <c r="FC85" s="143">
        <f t="shared" si="367"/>
        <v>0</v>
      </c>
      <c r="FD85" s="143">
        <f t="shared" si="368"/>
        <v>0</v>
      </c>
      <c r="FE85" s="140">
        <f>SUM($D85:D85)*IF($B85="Operacional",IFERROR(VLOOKUP($C85,SN_UGC,28,0),0),1)</f>
        <v>0</v>
      </c>
      <c r="FF85" s="140">
        <f>SUM($D85:E85)*IF($B85="Operacional",IFERROR(VLOOKUP($C85,SN_UGC,28,0),0),1)</f>
        <v>11100</v>
      </c>
      <c r="FG85" s="140">
        <f>SUM($D85:F85)*IF($B85="Operacional",IFERROR(VLOOKUP($C85,SN_UGC,28,0),0),1)</f>
        <v>11100</v>
      </c>
      <c r="FH85" s="140">
        <f>SUM($D85:G85)*IF($B85="Operacional",IFERROR(VLOOKUP($C85,SN_UGC,28,0),0),1)</f>
        <v>11100</v>
      </c>
      <c r="FI85" s="140">
        <f>SUM($D85:H85)*IF($B85="Operacional",IFERROR(VLOOKUP($C85,SN_UGC,28,0),0),1)</f>
        <v>11100</v>
      </c>
      <c r="FJ85" s="140">
        <f>SUM($D85:I85)*IF($B85="Operacional",IFERROR(VLOOKUP($C85,SN_UGC,28,0),0),1)</f>
        <v>11100</v>
      </c>
      <c r="FK85" s="140">
        <f>SUM($D85:J85)*IF($B85="Operacional",IFERROR(VLOOKUP($C85,SN_UGC,28,0),0),1)</f>
        <v>11100</v>
      </c>
      <c r="FL85" s="140">
        <f>SUM($D85:K85)*IF($B85="Operacional",IFERROR(VLOOKUP($C85,SN_UGC,28,0),0),1)</f>
        <v>11100</v>
      </c>
      <c r="FM85" s="140">
        <f>SUM($D85:L85)*IF($B85="Operacional",IFERROR(VLOOKUP($C85,SN_UGC,28,0),0),1)</f>
        <v>11100</v>
      </c>
      <c r="FN85" s="140">
        <f>SUM($D85:M85)*IF($B85="Operacional",IFERROR(VLOOKUP($C85,SN_UGC,28,0),0),1)</f>
        <v>11100</v>
      </c>
      <c r="FO85" s="140">
        <f>SUM($D85:N85)*IF($B85="Operacional",IFERROR(VLOOKUP($C85,SN_UGC,28,0),0),1)</f>
        <v>11100</v>
      </c>
      <c r="FP85" s="140">
        <f>SUM($D85:O85)*IF($B85="Operacional",IFERROR(VLOOKUP($C85,SN_UGC,28,0),0),1)</f>
        <v>11100</v>
      </c>
      <c r="FQ85" s="140">
        <f>SUM($D85:P85)*IF($B85="Operacional",IFERROR(VLOOKUP($C85,SN_UGC,28,0),0),1)</f>
        <v>11100</v>
      </c>
      <c r="FR85" s="140">
        <f>SUM($D85:Q85)*IF($B85="Operacional",IFERROR(VLOOKUP($C85,SN_UGC,28,0),0),1)</f>
        <v>11100</v>
      </c>
      <c r="FS85" s="140">
        <f>SUM($D85:R85)*IF($B85="Operacional",IFERROR(VLOOKUP($C85,SN_UGC,28,0),0),1)</f>
        <v>11100</v>
      </c>
      <c r="FT85" s="140">
        <f>SUM($D85:S85)*IF($B85="Operacional",IFERROR(VLOOKUP($C85,SN_UGC,28,0),0),1)</f>
        <v>11100</v>
      </c>
      <c r="FU85" s="140">
        <f>SUM($D85:T85)*IF($B85="Operacional",IFERROR(VLOOKUP($C85,SN_UGC,28,0),0),1)</f>
        <v>11100</v>
      </c>
      <c r="FV85" s="140">
        <f>SUM($D85:U85)*IF($B85="Operacional",IFERROR(VLOOKUP($C85,SN_UGC,28,0),0),1)</f>
        <v>11100</v>
      </c>
      <c r="FW85" s="140">
        <f>SUM($D85:V85)*IF($B85="Operacional",IFERROR(VLOOKUP($C85,SN_UGC,28,0),0),1)</f>
        <v>11100</v>
      </c>
      <c r="FX85" s="140">
        <f>SUM($D85:W85)*IF($B85="Operacional",IFERROR(VLOOKUP($C85,SN_UGC,28,0),0),1)</f>
        <v>11100</v>
      </c>
      <c r="FY85" s="140">
        <f>SUM($D85:X85)*IF($B85="Operacional",IFERROR(VLOOKUP($C85,SN_UGC,28,0),0),1)</f>
        <v>11100</v>
      </c>
      <c r="FZ85" s="140">
        <f>SUM($D85:Y85)*IF($B85="Operacional",IFERROR(VLOOKUP($C85,SN_UGC,28,0),0),1)</f>
        <v>11100</v>
      </c>
      <c r="GA85" s="140">
        <f>SUM($D85:Z85)*IF($B85="Operacional",IFERROR(VLOOKUP($C85,SN_UGC,28,0),0),1)</f>
        <v>11100</v>
      </c>
      <c r="GB85" s="140">
        <f>SUM($D85:AA85)*IF($B85="Operacional",IFERROR(VLOOKUP($C85,SN_UGC,28,0),0),1)</f>
        <v>11100</v>
      </c>
      <c r="GC85" s="140">
        <f>SUM($D85:AB85)*IF($B85="Operacional",IFERROR(VLOOKUP($C85,SN_UGC,28,0),0),1)</f>
        <v>11100</v>
      </c>
      <c r="GD85" s="140">
        <f>SUM($D85:AC85)*IF($B85="Operacional",IFERROR(VLOOKUP($C85,SN_UGC,28,0),0),1)</f>
        <v>11100</v>
      </c>
      <c r="GE85" s="140">
        <f>SUM($D85:AD85)*IF($B85="Operacional",IFERROR(VLOOKUP($C85,SN_UGC,28,0),0),1)</f>
        <v>11100</v>
      </c>
      <c r="GF85" s="140">
        <f>SUM($D85:AE85)*IF($B85="Operacional",IFERROR(VLOOKUP($C85,SN_UGC,28,0),0),1)</f>
        <v>11100</v>
      </c>
      <c r="GG85" s="140">
        <f>SUM($D85:AF85)*IF($B85="Operacional",IFERROR(VLOOKUP($C85,SN_UGC,28,0),0),1)</f>
        <v>11100</v>
      </c>
      <c r="GH85" s="140">
        <f>SUM($D85:AG85)*IF($B85="Operacional",IFERROR(VLOOKUP($C85,SN_UGC,28,0),0),1)</f>
        <v>11100</v>
      </c>
      <c r="GI85" s="141">
        <f t="shared" ref="GI85:HL85" si="436">FE85*$AH85*$AL85</f>
        <v>0</v>
      </c>
      <c r="GJ85" s="141">
        <f t="shared" si="436"/>
        <v>305250</v>
      </c>
      <c r="GK85" s="141">
        <f t="shared" si="436"/>
        <v>305250</v>
      </c>
      <c r="GL85" s="141">
        <f t="shared" si="436"/>
        <v>305250</v>
      </c>
      <c r="GM85" s="141">
        <f t="shared" si="436"/>
        <v>305250</v>
      </c>
      <c r="GN85" s="141">
        <f t="shared" si="436"/>
        <v>305250</v>
      </c>
      <c r="GO85" s="141">
        <f t="shared" si="436"/>
        <v>305250</v>
      </c>
      <c r="GP85" s="141">
        <f t="shared" si="436"/>
        <v>305250</v>
      </c>
      <c r="GQ85" s="141">
        <f t="shared" si="436"/>
        <v>305250</v>
      </c>
      <c r="GR85" s="141">
        <f t="shared" si="436"/>
        <v>305250</v>
      </c>
      <c r="GS85" s="141">
        <f t="shared" si="436"/>
        <v>305250</v>
      </c>
      <c r="GT85" s="141">
        <f t="shared" si="436"/>
        <v>305250</v>
      </c>
      <c r="GU85" s="141">
        <f t="shared" si="436"/>
        <v>305250</v>
      </c>
      <c r="GV85" s="141">
        <f t="shared" si="436"/>
        <v>305250</v>
      </c>
      <c r="GW85" s="141">
        <f t="shared" si="436"/>
        <v>305250</v>
      </c>
      <c r="GX85" s="141">
        <f t="shared" si="436"/>
        <v>305250</v>
      </c>
      <c r="GY85" s="141">
        <f t="shared" si="436"/>
        <v>305250</v>
      </c>
      <c r="GZ85" s="141">
        <f t="shared" si="436"/>
        <v>305250</v>
      </c>
      <c r="HA85" s="141">
        <f t="shared" si="436"/>
        <v>305250</v>
      </c>
      <c r="HB85" s="141">
        <f t="shared" si="436"/>
        <v>305250</v>
      </c>
      <c r="HC85" s="141">
        <f t="shared" si="436"/>
        <v>305250</v>
      </c>
      <c r="HD85" s="141">
        <f t="shared" si="436"/>
        <v>305250</v>
      </c>
      <c r="HE85" s="141">
        <f t="shared" si="436"/>
        <v>305250</v>
      </c>
      <c r="HF85" s="141">
        <f t="shared" si="436"/>
        <v>305250</v>
      </c>
      <c r="HG85" s="141">
        <f t="shared" si="436"/>
        <v>305250</v>
      </c>
      <c r="HH85" s="141">
        <f t="shared" si="436"/>
        <v>305250</v>
      </c>
      <c r="HI85" s="141">
        <f t="shared" si="436"/>
        <v>305250</v>
      </c>
      <c r="HJ85" s="141">
        <f t="shared" si="436"/>
        <v>305250</v>
      </c>
      <c r="HK85" s="141">
        <f t="shared" si="436"/>
        <v>305250</v>
      </c>
      <c r="HL85" s="141">
        <f t="shared" si="436"/>
        <v>305250</v>
      </c>
      <c r="HM85" s="142">
        <f t="shared" ref="HM85:IP85" si="437">IF(ISBLANK($A85),,FE85*($AH85-($AH85*$AJ85))/$AI85)</f>
        <v>0</v>
      </c>
      <c r="HN85" s="142">
        <f t="shared" si="437"/>
        <v>40700</v>
      </c>
      <c r="HO85" s="142">
        <f t="shared" si="437"/>
        <v>40700</v>
      </c>
      <c r="HP85" s="142">
        <f t="shared" si="437"/>
        <v>40700</v>
      </c>
      <c r="HQ85" s="142">
        <f t="shared" si="437"/>
        <v>40700</v>
      </c>
      <c r="HR85" s="142">
        <f t="shared" si="437"/>
        <v>40700</v>
      </c>
      <c r="HS85" s="142">
        <f t="shared" si="437"/>
        <v>40700</v>
      </c>
      <c r="HT85" s="142">
        <f t="shared" si="437"/>
        <v>40700</v>
      </c>
      <c r="HU85" s="142">
        <f t="shared" si="437"/>
        <v>40700</v>
      </c>
      <c r="HV85" s="142">
        <f t="shared" si="437"/>
        <v>40700</v>
      </c>
      <c r="HW85" s="142">
        <f t="shared" si="437"/>
        <v>40700</v>
      </c>
      <c r="HX85" s="142">
        <f t="shared" si="437"/>
        <v>40700</v>
      </c>
      <c r="HY85" s="142">
        <f t="shared" si="437"/>
        <v>40700</v>
      </c>
      <c r="HZ85" s="142">
        <f t="shared" si="437"/>
        <v>40700</v>
      </c>
      <c r="IA85" s="142">
        <f t="shared" si="437"/>
        <v>40700</v>
      </c>
      <c r="IB85" s="142">
        <f t="shared" si="437"/>
        <v>40700</v>
      </c>
      <c r="IC85" s="142">
        <f t="shared" si="437"/>
        <v>40700</v>
      </c>
      <c r="ID85" s="142">
        <f t="shared" si="437"/>
        <v>40700</v>
      </c>
      <c r="IE85" s="142">
        <f t="shared" si="437"/>
        <v>40700</v>
      </c>
      <c r="IF85" s="142">
        <f t="shared" si="437"/>
        <v>40700</v>
      </c>
      <c r="IG85" s="142">
        <f t="shared" si="437"/>
        <v>40700</v>
      </c>
      <c r="IH85" s="142">
        <f t="shared" si="437"/>
        <v>40700</v>
      </c>
      <c r="II85" s="142">
        <f t="shared" si="437"/>
        <v>40700</v>
      </c>
      <c r="IJ85" s="142">
        <f t="shared" si="437"/>
        <v>40700</v>
      </c>
      <c r="IK85" s="142">
        <f t="shared" si="437"/>
        <v>40700</v>
      </c>
      <c r="IL85" s="142">
        <f t="shared" si="437"/>
        <v>40700</v>
      </c>
      <c r="IM85" s="142">
        <f t="shared" si="437"/>
        <v>40700</v>
      </c>
      <c r="IN85" s="142">
        <f t="shared" si="437"/>
        <v>40700</v>
      </c>
      <c r="IO85" s="142">
        <f t="shared" si="437"/>
        <v>40700</v>
      </c>
      <c r="IP85" s="142">
        <f t="shared" si="437"/>
        <v>40700</v>
      </c>
      <c r="IQ85" s="141">
        <f>IF(ISBLANK($A85),,IF($AN85="Não",0,(SUM($AO85:AO85)*$AH85)-SUM($HM85:HM85)-SUM($CW85:CW85)))</f>
        <v>0</v>
      </c>
      <c r="IR85" s="141">
        <f>IF(ISBLANK($A85),,IF($AN85="Não",0,(SUM($AO85:AP85)*$AH85)-SUM($HM85:HN85)-SUM($CW85:CX85)))</f>
        <v>0</v>
      </c>
      <c r="IS85" s="141">
        <f>IF(ISBLANK($A85),,IF($AN85="Não",0,(SUM($AO85:AQ85)*$AH85)-SUM($HM85:HO85)-SUM($CW85:CY85)))</f>
        <v>0</v>
      </c>
      <c r="IT85" s="141">
        <f>IF(ISBLANK($A85),,IF($AN85="Não",0,(SUM($AO85:AR85)*$AH85)-SUM($HM85:HP85)-SUM($CW85:CZ85)))</f>
        <v>0</v>
      </c>
      <c r="IU85" s="141">
        <f>IF(ISBLANK($A85),,IF($AN85="Não",0,(SUM($AO85:AS85)*$AH85)-SUM($HM85:HQ85)-SUM($CW85:DA85)))</f>
        <v>0</v>
      </c>
      <c r="IV85" s="141">
        <f>IF(ISBLANK($A85),,IF($AN85="Não",0,(SUM($AO85:AT85)*$AH85)-SUM($HM85:HR85)-SUM($CW85:DB85)))</f>
        <v>0</v>
      </c>
      <c r="IW85" s="141">
        <f>IF(ISBLANK($A85),,IF($AN85="Não",0,(SUM($AO85:AU85)*$AH85)-SUM($HM85:HS85)-SUM($CW85:DC85)))</f>
        <v>0</v>
      </c>
      <c r="IX85" s="141">
        <f>IF(ISBLANK($A85),,IF($AN85="Não",0,(SUM($AO85:AV85)*$AH85)-SUM($HM85:HT85)-SUM($CW85:DD85)))</f>
        <v>0</v>
      </c>
      <c r="IY85" s="141">
        <f>IF(ISBLANK($A85),,IF($AN85="Não",0,(SUM($AO85:AW85)*$AH85)-SUM($HM85:HU85)-SUM($CW85:DE85)))</f>
        <v>0</v>
      </c>
      <c r="IZ85" s="141">
        <f>IF(ISBLANK($A85),,IF($AN85="Não",0,(SUM($AO85:AX85)*$AH85)-SUM($HM85:HV85)-SUM($CW85:DF85)))</f>
        <v>0</v>
      </c>
      <c r="JA85" s="141">
        <f>IF(ISBLANK($A85),,IF($AN85="Não",0,(SUM($AO85:AY85)*$AH85)-SUM($HM85:HW85)-SUM($CW85:DG85)))</f>
        <v>0</v>
      </c>
      <c r="JB85" s="141">
        <f>IF(ISBLANK($A85),,IF($AN85="Não",0,(SUM($AO85:AZ85)*$AH85)-SUM($HM85:HX85)-SUM($CW85:DH85)))</f>
        <v>0</v>
      </c>
      <c r="JC85" s="141">
        <f>IF(ISBLANK($A85),,IF($AN85="Não",0,(SUM($AO85:BA85)*$AH85)-SUM($HM85:HY85)-SUM($CW85:DI85)))</f>
        <v>0</v>
      </c>
      <c r="JD85" s="141">
        <f>IF(ISBLANK($A85),,IF($AN85="Não",0,(SUM($AO85:BB85)*$AH85)-SUM($HM85:HZ85)-SUM($CW85:DJ85)))</f>
        <v>0</v>
      </c>
      <c r="JE85" s="141">
        <f>IF(ISBLANK($A85),,IF($AN85="Não",0,(SUM($AO85:BC85)*$AH85)-SUM($HM85:IA85)-SUM($CW85:DK85)))</f>
        <v>0</v>
      </c>
      <c r="JF85" s="141">
        <f>IF(ISBLANK($A85),,IF($AN85="Não",0,(SUM($AO85:BD85)*$AH85)-SUM($HM85:IB85)-SUM($CW85:DL85)))</f>
        <v>0</v>
      </c>
      <c r="JG85" s="141">
        <f>IF(ISBLANK($A85),,IF($AN85="Não",0,(SUM($AO85:BE85)*$AH85)-SUM($HM85:IC85)-SUM($CW85:DM85)))</f>
        <v>0</v>
      </c>
      <c r="JH85" s="141">
        <f>IF(ISBLANK($A85),,IF($AN85="Não",0,(SUM($AO85:BF85)*$AH85)-SUM($HM85:ID85)-SUM($CW85:DN85)))</f>
        <v>0</v>
      </c>
      <c r="JI85" s="141">
        <f>IF(ISBLANK($A85),,IF($AN85="Não",0,(SUM($AO85:BG85)*$AH85)-SUM($HM85:IE85)-SUM($CW85:DO85)))</f>
        <v>0</v>
      </c>
      <c r="JJ85" s="141">
        <f>IF(ISBLANK($A85),,IF($AN85="Não",0,(SUM($AO85:BH85)*$AH85)-SUM($HM85:IF85)-SUM($CW85:DP85)))</f>
        <v>0</v>
      </c>
      <c r="JK85" s="141">
        <f>IF(ISBLANK($A85),,IF($AN85="Não",0,(SUM($AO85:BI85)*$AH85)-SUM($HM85:IG85)-SUM($CW85:DQ85)))</f>
        <v>0</v>
      </c>
      <c r="JL85" s="141">
        <f>IF(ISBLANK($A85),,IF($AN85="Não",0,(SUM($AO85:BJ85)*$AH85)-SUM($HM85:IH85)-SUM($CW85:DR85)))</f>
        <v>0</v>
      </c>
      <c r="JM85" s="141">
        <f>IF(ISBLANK($A85),,IF($AN85="Não",0,(SUM($AO85:BK85)*$AH85)-SUM($HM85:II85)-SUM($CW85:DS85)))</f>
        <v>0</v>
      </c>
      <c r="JN85" s="141">
        <f>IF(ISBLANK($A85),,IF($AN85="Não",0,(SUM($AO85:BL85)*$AH85)-SUM($HM85:IJ85)-SUM($CW85:DT85)))</f>
        <v>0</v>
      </c>
      <c r="JO85" s="141">
        <f>IF(ISBLANK($A85),,IF($AN85="Não",0,(SUM($AO85:BM85)*$AH85)-SUM($HM85:IK85)-SUM($CW85:DU85)))</f>
        <v>0</v>
      </c>
      <c r="JP85" s="141">
        <f>IF(ISBLANK($A85),,IF($AN85="Não",0,(SUM($AO85:BN85)*$AH85)-SUM($HM85:IL85)-SUM($CW85:DV85)))</f>
        <v>0</v>
      </c>
      <c r="JQ85" s="141">
        <f>IF(ISBLANK($A85),,IF($AN85="Não",0,(SUM($AO85:BO85)*$AH85)-SUM($HM85:IM85)-SUM($CW85:DW85)))</f>
        <v>0</v>
      </c>
      <c r="JR85" s="141">
        <f>IF(ISBLANK($A85),,IF($AN85="Não",0,(SUM($AO85:BP85)*$AH85)-SUM($HM85:IN85)-SUM($CW85:DX85)))</f>
        <v>0</v>
      </c>
      <c r="JS85" s="141">
        <f>IF(ISBLANK($A85),,IF($AN85="Não",0,(SUM($AO85:BQ85)*$AH85)-SUM($HM85:IO85)-SUM($CW85:DY85)))</f>
        <v>0</v>
      </c>
      <c r="JT85" s="141">
        <f>IF(ISBLANK($A85),,IF($AN85="Não",0,(SUM($AO85:BR85)*$AH85)-SUM($HM85:IP85)-SUM($CW85:DZ85)))</f>
        <v>0</v>
      </c>
    </row>
    <row r="86" spans="1:280" ht="15.75" customHeight="1">
      <c r="A86" s="129" t="s">
        <v>398</v>
      </c>
      <c r="B86" s="129" t="s">
        <v>191</v>
      </c>
      <c r="C86" s="138" t="s">
        <v>234</v>
      </c>
      <c r="D86" s="139">
        <v>2</v>
      </c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  <c r="AA86" s="139"/>
      <c r="AB86" s="139"/>
      <c r="AC86" s="139"/>
      <c r="AD86" s="139"/>
      <c r="AE86" s="139"/>
      <c r="AF86" s="139"/>
      <c r="AG86" s="139"/>
      <c r="AH86" s="607">
        <f t="shared" si="399"/>
        <v>377435.52</v>
      </c>
      <c r="AI86" s="608">
        <f t="shared" si="400"/>
        <v>5</v>
      </c>
      <c r="AJ86" s="609">
        <f t="shared" si="401"/>
        <v>0.25</v>
      </c>
      <c r="AK86" s="610" t="str">
        <f t="shared" si="402"/>
        <v>Equipamentos e instalações</v>
      </c>
      <c r="AL86" s="609">
        <f t="shared" si="403"/>
        <v>0.05</v>
      </c>
      <c r="AM86" s="611" t="str">
        <f t="shared" si="404"/>
        <v>Sim</v>
      </c>
      <c r="AN86" s="611" t="str">
        <f t="shared" si="405"/>
        <v>Sim</v>
      </c>
      <c r="AO86" s="140">
        <f t="array" ref="AO86">IF(ISBLANK($A86),0,IF(OR(AO$5-$AI86&lt;=0,$AM86="Não"),D86,D86+INDEX($AO$6:$BR$176,ROW()-5,COLUMN()-40-$AI86)))*IF($B86="Operacional",IFERROR(VLOOKUP($C86,SN_UGC,28,0),0),1)</f>
        <v>2</v>
      </c>
      <c r="AP86" s="140">
        <f t="array" ref="AP86">IF(ISBLANK($A86),0,IF(OR(AP$5-$AI86&lt;=0,$AM86="Não"),E86,E86+INDEX($AO$6:$BR$176,ROW()-5,COLUMN()-40-$AI86)))*IF($B86="Operacional",IFERROR(VLOOKUP($C86,SN_UGC,28,0),0),1)</f>
        <v>0</v>
      </c>
      <c r="AQ86" s="140">
        <f t="array" ref="AQ86">IF(ISBLANK($A86),0,IF(OR(AQ$5-$AI86&lt;=0,$AM86="Não"),F86,F86+INDEX($AO$6:$BR$176,ROW()-5,COLUMN()-40-$AI86)))*IF($B86="Operacional",IFERROR(VLOOKUP($C86,SN_UGC,28,0),0),1)</f>
        <v>0</v>
      </c>
      <c r="AR86" s="140">
        <f t="array" ref="AR86">IF(ISBLANK($A86),0,IF(OR(AR$5-$AI86&lt;=0,$AM86="Não"),G86,G86+INDEX($AO$6:$BR$176,ROW()-5,COLUMN()-40-$AI86)))*IF($B86="Operacional",IFERROR(VLOOKUP($C86,SN_UGC,28,0),0),1)</f>
        <v>0</v>
      </c>
      <c r="AS86" s="140">
        <f t="array" ref="AS86">IF(ISBLANK($A86),0,IF(OR(AS$5-$AI86&lt;=0,$AM86="Não"),H86,H86+INDEX($AO$6:$BR$176,ROW()-5,COLUMN()-40-$AI86)))*IF($B86="Operacional",IFERROR(VLOOKUP($C86,SN_UGC,28,0),0),1)</f>
        <v>0</v>
      </c>
      <c r="AT86" s="140">
        <f t="array" ref="AT86">IF(ISBLANK($A86),0,IF(OR(AT$5-$AI86&lt;=0,$AM86="Não"),I86,I86+INDEX($AO$6:$BR$176,ROW()-5,COLUMN()-40-$AI86)))*IF($B86="Operacional",IFERROR(VLOOKUP($C86,SN_UGC,28,0),0),1)</f>
        <v>2</v>
      </c>
      <c r="AU86" s="140">
        <f t="array" ref="AU86">IF(ISBLANK($A86),0,IF(OR(AU$5-$AI86&lt;=0,$AM86="Não"),J86,J86+INDEX($AO$6:$BR$176,ROW()-5,COLUMN()-40-$AI86)))*IF($B86="Operacional",IFERROR(VLOOKUP($C86,SN_UGC,28,0),0),1)</f>
        <v>0</v>
      </c>
      <c r="AV86" s="140">
        <f t="array" ref="AV86">IF(ISBLANK($A86),0,IF(OR(AV$5-$AI86&lt;=0,$AM86="Não"),K86,K86+INDEX($AO$6:$BR$176,ROW()-5,COLUMN()-40-$AI86)))*IF($B86="Operacional",IFERROR(VLOOKUP($C86,SN_UGC,28,0),0),1)</f>
        <v>0</v>
      </c>
      <c r="AW86" s="140">
        <f t="array" ref="AW86">IF(ISBLANK($A86),0,IF(OR(AW$5-$AI86&lt;=0,$AM86="Não"),L86,L86+INDEX($AO$6:$BR$176,ROW()-5,COLUMN()-40-$AI86)))*IF($B86="Operacional",IFERROR(VLOOKUP($C86,SN_UGC,28,0),0),1)</f>
        <v>0</v>
      </c>
      <c r="AX86" s="140">
        <f t="array" ref="AX86">IF(ISBLANK($A86),0,IF(OR(AX$5-$AI86&lt;=0,$AM86="Não"),M86,M86+INDEX($AO$6:$BR$176,ROW()-5,COLUMN()-40-$AI86)))*IF($B86="Operacional",IFERROR(VLOOKUP($C86,SN_UGC,28,0),0),1)</f>
        <v>0</v>
      </c>
      <c r="AY86" s="140">
        <f t="array" ref="AY86">IF(ISBLANK($A86),0,IF(OR(AY$5-$AI86&lt;=0,$AM86="Não"),N86,N86+INDEX($AO$6:$BR$176,ROW()-5,COLUMN()-40-$AI86)))*IF($B86="Operacional",IFERROR(VLOOKUP($C86,SN_UGC,28,0),0),1)</f>
        <v>2</v>
      </c>
      <c r="AZ86" s="140">
        <f t="array" ref="AZ86">IF(ISBLANK($A86),0,IF(OR(AZ$5-$AI86&lt;=0,$AM86="Não"),O86,O86+INDEX($AO$6:$BR$176,ROW()-5,COLUMN()-40-$AI86)))*IF($B86="Operacional",IFERROR(VLOOKUP($C86,SN_UGC,28,0),0),1)</f>
        <v>0</v>
      </c>
      <c r="BA86" s="140">
        <f t="array" ref="BA86">IF(ISBLANK($A86),0,IF(OR(BA$5-$AI86&lt;=0,$AM86="Não"),P86,P86+INDEX($AO$6:$BR$176,ROW()-5,COLUMN()-40-$AI86)))*IF($B86="Operacional",IFERROR(VLOOKUP($C86,SN_UGC,28,0),0),1)</f>
        <v>0</v>
      </c>
      <c r="BB86" s="140">
        <f t="array" ref="BB86">IF(ISBLANK($A86),0,IF(OR(BB$5-$AI86&lt;=0,$AM86="Não"),Q86,Q86+INDEX($AO$6:$BR$176,ROW()-5,COLUMN()-40-$AI86)))*IF($B86="Operacional",IFERROR(VLOOKUP($C86,SN_UGC,28,0),0),1)</f>
        <v>0</v>
      </c>
      <c r="BC86" s="140">
        <f t="array" ref="BC86">IF(ISBLANK($A86),0,IF(OR(BC$5-$AI86&lt;=0,$AM86="Não"),R86,R86+INDEX($AO$6:$BR$176,ROW()-5,COLUMN()-40-$AI86)))*IF($B86="Operacional",IFERROR(VLOOKUP($C86,SN_UGC,28,0),0),1)</f>
        <v>0</v>
      </c>
      <c r="BD86" s="140">
        <f t="array" ref="BD86">IF(ISBLANK($A86),0,IF(OR(BD$5-$AI86&lt;=0,$AM86="Não"),S86,S86+INDEX($AO$6:$BR$176,ROW()-5,COLUMN()-40-$AI86)))*IF($B86="Operacional",IFERROR(VLOOKUP($C86,SN_UGC,28,0),0),1)</f>
        <v>2</v>
      </c>
      <c r="BE86" s="140">
        <f t="array" ref="BE86">IF(ISBLANK($A86),0,IF(OR(BE$5-$AI86&lt;=0,$AM86="Não"),T86,T86+INDEX($AO$6:$BR$176,ROW()-5,COLUMN()-40-$AI86)))*IF($B86="Operacional",IFERROR(VLOOKUP($C86,SN_UGC,28,0),0),1)</f>
        <v>0</v>
      </c>
      <c r="BF86" s="140">
        <f t="array" ref="BF86">IF(ISBLANK($A86),0,IF(OR(BF$5-$AI86&lt;=0,$AM86="Não"),U86,U86+INDEX($AO$6:$BR$176,ROW()-5,COLUMN()-40-$AI86)))*IF($B86="Operacional",IFERROR(VLOOKUP($C86,SN_UGC,28,0),0),1)</f>
        <v>0</v>
      </c>
      <c r="BG86" s="140">
        <f t="array" ref="BG86">IF(ISBLANK($A86),0,IF(OR(BG$5-$AI86&lt;=0,$AM86="Não"),V86,V86+INDEX($AO$6:$BR$176,ROW()-5,COLUMN()-40-$AI86)))*IF($B86="Operacional",IFERROR(VLOOKUP($C86,SN_UGC,28,0),0),1)</f>
        <v>0</v>
      </c>
      <c r="BH86" s="140">
        <f t="array" ref="BH86">IF(ISBLANK($A86),0,IF(OR(BH$5-$AI86&lt;=0,$AM86="Não"),W86,W86+INDEX($AO$6:$BR$176,ROW()-5,COLUMN()-40-$AI86)))*IF($B86="Operacional",IFERROR(VLOOKUP($C86,SN_UGC,28,0),0),1)</f>
        <v>0</v>
      </c>
      <c r="BI86" s="140">
        <f t="array" ref="BI86">IF(ISBLANK($A86),0,IF(OR(BI$5-$AI86&lt;=0,$AM86="Não"),X86,X86+INDEX($AO$6:$BR$176,ROW()-5,COLUMN()-40-$AI86)))*IF($B86="Operacional",IFERROR(VLOOKUP($C86,SN_UGC,28,0),0),1)</f>
        <v>2</v>
      </c>
      <c r="BJ86" s="140">
        <f t="array" ref="BJ86">IF(ISBLANK($A86),0,IF(OR(BJ$5-$AI86&lt;=0,$AM86="Não"),Y86,Y86+INDEX($AO$6:$BR$176,ROW()-5,COLUMN()-40-$AI86)))*IF($B86="Operacional",IFERROR(VLOOKUP($C86,SN_UGC,28,0),0),1)</f>
        <v>0</v>
      </c>
      <c r="BK86" s="140">
        <f t="array" ref="BK86">IF(ISBLANK($A86),0,IF(OR(BK$5-$AI86&lt;=0,$AM86="Não"),Z86,Z86+INDEX($AO$6:$BR$176,ROW()-5,COLUMN()-40-$AI86)))*IF($B86="Operacional",IFERROR(VLOOKUP($C86,SN_UGC,28,0),0),1)</f>
        <v>0</v>
      </c>
      <c r="BL86" s="140">
        <f t="array" ref="BL86">IF(ISBLANK($A86),0,IF(OR(BL$5-$AI86&lt;=0,$AM86="Não"),AA86,AA86+INDEX($AO$6:$BR$176,ROW()-5,COLUMN()-40-$AI86)))*IF($B86="Operacional",IFERROR(VLOOKUP($C86,SN_UGC,28,0),0),1)</f>
        <v>0</v>
      </c>
      <c r="BM86" s="140">
        <f t="array" ref="BM86">IF(ISBLANK($A86),0,IF(OR(BM$5-$AI86&lt;=0,$AM86="Não"),AB86,AB86+INDEX($AO$6:$BR$176,ROW()-5,COLUMN()-40-$AI86)))*IF($B86="Operacional",IFERROR(VLOOKUP($C86,SN_UGC,28,0),0),1)</f>
        <v>0</v>
      </c>
      <c r="BN86" s="140">
        <f t="array" ref="BN86">IF(ISBLANK($A86),0,IF(OR(BN$5-$AI86&lt;=0,$AM86="Não"),AC86,AC86+INDEX($AO$6:$BR$176,ROW()-5,COLUMN()-40-$AI86)))*IF($B86="Operacional",IFERROR(VLOOKUP($C86,SN_UGC,28,0),0),1)</f>
        <v>2</v>
      </c>
      <c r="BO86" s="140">
        <f t="array" ref="BO86">IF(ISBLANK($A86),0,IF(OR(BO$5-$AI86&lt;=0,$AM86="Não"),AD86,AD86+INDEX($AO$6:$BR$176,ROW()-5,COLUMN()-40-$AI86)))*IF($B86="Operacional",IFERROR(VLOOKUP($C86,SN_UGC,28,0),0),1)</f>
        <v>0</v>
      </c>
      <c r="BP86" s="140">
        <f t="array" ref="BP86">IF(ISBLANK($A86),0,IF(OR(BP$5-$AI86&lt;=0,$AM86="Não"),AE86,AE86+INDEX($AO$6:$BR$176,ROW()-5,COLUMN()-40-$AI86)))*IF($B86="Operacional",IFERROR(VLOOKUP($C86,SN_UGC,28,0),0),1)</f>
        <v>0</v>
      </c>
      <c r="BQ86" s="140">
        <f t="array" ref="BQ86">IF(ISBLANK($A86),0,IF(OR(BQ$5-$AI86&lt;=0,$AM86="Não"),AF86,AF86+INDEX($AO$6:$BR$176,ROW()-5,COLUMN()-40-$AI86)))*IF($B86="Operacional",IFERROR(VLOOKUP($C86,SN_UGC,28,0),0),1)</f>
        <v>0</v>
      </c>
      <c r="BR86" s="140">
        <f t="array" ref="BR86">IF(ISBLANK($A86),0,IF(OR(BR$5-$AI86&lt;=0,$AM86="Não"),AG86,AG86+INDEX($AO$6:$BR$176,ROW()-5,COLUMN()-40-$AI86)))*IF($B86="Operacional",IFERROR(VLOOKUP($C86,SN_UGC,28,0),0),1)</f>
        <v>0</v>
      </c>
      <c r="BS86" s="141">
        <f t="shared" ref="BS86:CV86" si="438">IF(ISBLANK($A86),0,$AH86*AO86)</f>
        <v>754871.04</v>
      </c>
      <c r="BT86" s="141">
        <f t="shared" si="438"/>
        <v>0</v>
      </c>
      <c r="BU86" s="141">
        <f t="shared" si="438"/>
        <v>0</v>
      </c>
      <c r="BV86" s="141">
        <f t="shared" si="438"/>
        <v>0</v>
      </c>
      <c r="BW86" s="141">
        <f t="shared" si="438"/>
        <v>0</v>
      </c>
      <c r="BX86" s="141">
        <f t="shared" si="438"/>
        <v>754871.04</v>
      </c>
      <c r="BY86" s="141">
        <f t="shared" si="438"/>
        <v>0</v>
      </c>
      <c r="BZ86" s="141">
        <f t="shared" si="438"/>
        <v>0</v>
      </c>
      <c r="CA86" s="141">
        <f t="shared" si="438"/>
        <v>0</v>
      </c>
      <c r="CB86" s="141">
        <f t="shared" si="438"/>
        <v>0</v>
      </c>
      <c r="CC86" s="141">
        <f t="shared" si="438"/>
        <v>754871.04</v>
      </c>
      <c r="CD86" s="141">
        <f t="shared" si="438"/>
        <v>0</v>
      </c>
      <c r="CE86" s="141">
        <f t="shared" si="438"/>
        <v>0</v>
      </c>
      <c r="CF86" s="141">
        <f t="shared" si="438"/>
        <v>0</v>
      </c>
      <c r="CG86" s="141">
        <f t="shared" si="438"/>
        <v>0</v>
      </c>
      <c r="CH86" s="141">
        <f t="shared" si="438"/>
        <v>754871.04</v>
      </c>
      <c r="CI86" s="141">
        <f t="shared" si="438"/>
        <v>0</v>
      </c>
      <c r="CJ86" s="141">
        <f t="shared" si="438"/>
        <v>0</v>
      </c>
      <c r="CK86" s="141">
        <f t="shared" si="438"/>
        <v>0</v>
      </c>
      <c r="CL86" s="141">
        <f t="shared" si="438"/>
        <v>0</v>
      </c>
      <c r="CM86" s="141">
        <f t="shared" si="438"/>
        <v>754871.04</v>
      </c>
      <c r="CN86" s="141">
        <f t="shared" si="438"/>
        <v>0</v>
      </c>
      <c r="CO86" s="141">
        <f t="shared" si="438"/>
        <v>0</v>
      </c>
      <c r="CP86" s="141">
        <f t="shared" si="438"/>
        <v>0</v>
      </c>
      <c r="CQ86" s="141">
        <f t="shared" si="438"/>
        <v>0</v>
      </c>
      <c r="CR86" s="141">
        <f t="shared" si="438"/>
        <v>754871.04</v>
      </c>
      <c r="CS86" s="141">
        <f t="shared" si="438"/>
        <v>0</v>
      </c>
      <c r="CT86" s="141">
        <f t="shared" si="438"/>
        <v>0</v>
      </c>
      <c r="CU86" s="141">
        <f t="shared" si="438"/>
        <v>0</v>
      </c>
      <c r="CV86" s="141">
        <f t="shared" si="438"/>
        <v>0</v>
      </c>
      <c r="CW86" s="142">
        <f t="shared" ref="CW86:DZ86" si="439">EA86*$AH86*$AJ86</f>
        <v>0</v>
      </c>
      <c r="CX86" s="142">
        <f t="shared" si="439"/>
        <v>0</v>
      </c>
      <c r="CY86" s="142">
        <f t="shared" si="439"/>
        <v>0</v>
      </c>
      <c r="CZ86" s="142">
        <f t="shared" si="439"/>
        <v>0</v>
      </c>
      <c r="DA86" s="142">
        <f t="shared" si="439"/>
        <v>0</v>
      </c>
      <c r="DB86" s="142">
        <f t="shared" si="439"/>
        <v>188717.76</v>
      </c>
      <c r="DC86" s="142">
        <f t="shared" si="439"/>
        <v>0</v>
      </c>
      <c r="DD86" s="142">
        <f t="shared" si="439"/>
        <v>0</v>
      </c>
      <c r="DE86" s="142">
        <f t="shared" si="439"/>
        <v>0</v>
      </c>
      <c r="DF86" s="142">
        <f t="shared" si="439"/>
        <v>0</v>
      </c>
      <c r="DG86" s="142">
        <f t="shared" si="439"/>
        <v>188717.76</v>
      </c>
      <c r="DH86" s="142">
        <f t="shared" si="439"/>
        <v>0</v>
      </c>
      <c r="DI86" s="142">
        <f t="shared" si="439"/>
        <v>0</v>
      </c>
      <c r="DJ86" s="142">
        <f t="shared" si="439"/>
        <v>0</v>
      </c>
      <c r="DK86" s="142">
        <f t="shared" si="439"/>
        <v>0</v>
      </c>
      <c r="DL86" s="142">
        <f t="shared" si="439"/>
        <v>188717.76</v>
      </c>
      <c r="DM86" s="142">
        <f t="shared" si="439"/>
        <v>0</v>
      </c>
      <c r="DN86" s="142">
        <f t="shared" si="439"/>
        <v>0</v>
      </c>
      <c r="DO86" s="142">
        <f t="shared" si="439"/>
        <v>0</v>
      </c>
      <c r="DP86" s="142">
        <f t="shared" si="439"/>
        <v>0</v>
      </c>
      <c r="DQ86" s="142">
        <f t="shared" si="439"/>
        <v>188717.76</v>
      </c>
      <c r="DR86" s="142">
        <f t="shared" si="439"/>
        <v>0</v>
      </c>
      <c r="DS86" s="142">
        <f t="shared" si="439"/>
        <v>0</v>
      </c>
      <c r="DT86" s="142">
        <f t="shared" si="439"/>
        <v>0</v>
      </c>
      <c r="DU86" s="142">
        <f t="shared" si="439"/>
        <v>0</v>
      </c>
      <c r="DV86" s="142">
        <f t="shared" si="439"/>
        <v>188717.76</v>
      </c>
      <c r="DW86" s="142">
        <f t="shared" si="439"/>
        <v>0</v>
      </c>
      <c r="DX86" s="142">
        <f t="shared" si="439"/>
        <v>0</v>
      </c>
      <c r="DY86" s="142">
        <f t="shared" si="439"/>
        <v>0</v>
      </c>
      <c r="DZ86" s="142">
        <f t="shared" si="439"/>
        <v>0</v>
      </c>
      <c r="EA86" s="143">
        <f t="shared" si="339"/>
        <v>0</v>
      </c>
      <c r="EB86" s="143">
        <f t="shared" si="340"/>
        <v>0</v>
      </c>
      <c r="EC86" s="143">
        <f t="shared" si="341"/>
        <v>0</v>
      </c>
      <c r="ED86" s="143">
        <f t="shared" si="342"/>
        <v>0</v>
      </c>
      <c r="EE86" s="143">
        <f t="shared" si="343"/>
        <v>0</v>
      </c>
      <c r="EF86" s="143">
        <f t="shared" si="344"/>
        <v>2</v>
      </c>
      <c r="EG86" s="143">
        <f t="shared" si="345"/>
        <v>0</v>
      </c>
      <c r="EH86" s="143">
        <f t="shared" si="346"/>
        <v>0</v>
      </c>
      <c r="EI86" s="143">
        <f t="shared" si="347"/>
        <v>0</v>
      </c>
      <c r="EJ86" s="143">
        <f t="shared" si="348"/>
        <v>0</v>
      </c>
      <c r="EK86" s="143">
        <f t="shared" si="349"/>
        <v>2</v>
      </c>
      <c r="EL86" s="143">
        <f t="shared" si="350"/>
        <v>0</v>
      </c>
      <c r="EM86" s="143">
        <f t="shared" si="351"/>
        <v>0</v>
      </c>
      <c r="EN86" s="143">
        <f t="shared" si="352"/>
        <v>0</v>
      </c>
      <c r="EO86" s="143">
        <f t="shared" si="353"/>
        <v>0</v>
      </c>
      <c r="EP86" s="143">
        <f t="shared" si="354"/>
        <v>2</v>
      </c>
      <c r="EQ86" s="143">
        <f t="shared" si="355"/>
        <v>0</v>
      </c>
      <c r="ER86" s="143">
        <f t="shared" si="356"/>
        <v>0</v>
      </c>
      <c r="ES86" s="143">
        <f t="shared" si="357"/>
        <v>0</v>
      </c>
      <c r="ET86" s="143">
        <f t="shared" si="358"/>
        <v>0</v>
      </c>
      <c r="EU86" s="143">
        <f t="shared" si="359"/>
        <v>2</v>
      </c>
      <c r="EV86" s="143">
        <f t="shared" si="360"/>
        <v>0</v>
      </c>
      <c r="EW86" s="143">
        <f t="shared" si="361"/>
        <v>0</v>
      </c>
      <c r="EX86" s="143">
        <f t="shared" si="362"/>
        <v>0</v>
      </c>
      <c r="EY86" s="143">
        <f t="shared" si="363"/>
        <v>0</v>
      </c>
      <c r="EZ86" s="143">
        <f t="shared" si="364"/>
        <v>2</v>
      </c>
      <c r="FA86" s="143">
        <f t="shared" si="365"/>
        <v>0</v>
      </c>
      <c r="FB86" s="143">
        <f t="shared" si="366"/>
        <v>0</v>
      </c>
      <c r="FC86" s="143">
        <f t="shared" si="367"/>
        <v>0</v>
      </c>
      <c r="FD86" s="143">
        <f t="shared" si="368"/>
        <v>0</v>
      </c>
      <c r="FE86" s="140">
        <f>SUM($D86:D86)*IF($B86="Operacional",IFERROR(VLOOKUP($C86,SN_UGC,28,0),0),1)</f>
        <v>2</v>
      </c>
      <c r="FF86" s="140">
        <f>SUM($D86:E86)*IF($B86="Operacional",IFERROR(VLOOKUP($C86,SN_UGC,28,0),0),1)</f>
        <v>2</v>
      </c>
      <c r="FG86" s="140">
        <f>SUM($D86:F86)*IF($B86="Operacional",IFERROR(VLOOKUP($C86,SN_UGC,28,0),0),1)</f>
        <v>2</v>
      </c>
      <c r="FH86" s="140">
        <f>SUM($D86:G86)*IF($B86="Operacional",IFERROR(VLOOKUP($C86,SN_UGC,28,0),0),1)</f>
        <v>2</v>
      </c>
      <c r="FI86" s="140">
        <f>SUM($D86:H86)*IF($B86="Operacional",IFERROR(VLOOKUP($C86,SN_UGC,28,0),0),1)</f>
        <v>2</v>
      </c>
      <c r="FJ86" s="140">
        <f>SUM($D86:I86)*IF($B86="Operacional",IFERROR(VLOOKUP($C86,SN_UGC,28,0),0),1)</f>
        <v>2</v>
      </c>
      <c r="FK86" s="140">
        <f>SUM($D86:J86)*IF($B86="Operacional",IFERROR(VLOOKUP($C86,SN_UGC,28,0),0),1)</f>
        <v>2</v>
      </c>
      <c r="FL86" s="140">
        <f>SUM($D86:K86)*IF($B86="Operacional",IFERROR(VLOOKUP($C86,SN_UGC,28,0),0),1)</f>
        <v>2</v>
      </c>
      <c r="FM86" s="140">
        <f>SUM($D86:L86)*IF($B86="Operacional",IFERROR(VLOOKUP($C86,SN_UGC,28,0),0),1)</f>
        <v>2</v>
      </c>
      <c r="FN86" s="140">
        <f>SUM($D86:M86)*IF($B86="Operacional",IFERROR(VLOOKUP($C86,SN_UGC,28,0),0),1)</f>
        <v>2</v>
      </c>
      <c r="FO86" s="140">
        <f>SUM($D86:N86)*IF($B86="Operacional",IFERROR(VLOOKUP($C86,SN_UGC,28,0),0),1)</f>
        <v>2</v>
      </c>
      <c r="FP86" s="140">
        <f>SUM($D86:O86)*IF($B86="Operacional",IFERROR(VLOOKUP($C86,SN_UGC,28,0),0),1)</f>
        <v>2</v>
      </c>
      <c r="FQ86" s="140">
        <f>SUM($D86:P86)*IF($B86="Operacional",IFERROR(VLOOKUP($C86,SN_UGC,28,0),0),1)</f>
        <v>2</v>
      </c>
      <c r="FR86" s="140">
        <f>SUM($D86:Q86)*IF($B86="Operacional",IFERROR(VLOOKUP($C86,SN_UGC,28,0),0),1)</f>
        <v>2</v>
      </c>
      <c r="FS86" s="140">
        <f>SUM($D86:R86)*IF($B86="Operacional",IFERROR(VLOOKUP($C86,SN_UGC,28,0),0),1)</f>
        <v>2</v>
      </c>
      <c r="FT86" s="140">
        <f>SUM($D86:S86)*IF($B86="Operacional",IFERROR(VLOOKUP($C86,SN_UGC,28,0),0),1)</f>
        <v>2</v>
      </c>
      <c r="FU86" s="140">
        <f>SUM($D86:T86)*IF($B86="Operacional",IFERROR(VLOOKUP($C86,SN_UGC,28,0),0),1)</f>
        <v>2</v>
      </c>
      <c r="FV86" s="140">
        <f>SUM($D86:U86)*IF($B86="Operacional",IFERROR(VLOOKUP($C86,SN_UGC,28,0),0),1)</f>
        <v>2</v>
      </c>
      <c r="FW86" s="140">
        <f>SUM($D86:V86)*IF($B86="Operacional",IFERROR(VLOOKUP($C86,SN_UGC,28,0),0),1)</f>
        <v>2</v>
      </c>
      <c r="FX86" s="140">
        <f>SUM($D86:W86)*IF($B86="Operacional",IFERROR(VLOOKUP($C86,SN_UGC,28,0),0),1)</f>
        <v>2</v>
      </c>
      <c r="FY86" s="140">
        <f>SUM($D86:X86)*IF($B86="Operacional",IFERROR(VLOOKUP($C86,SN_UGC,28,0),0),1)</f>
        <v>2</v>
      </c>
      <c r="FZ86" s="140">
        <f>SUM($D86:Y86)*IF($B86="Operacional",IFERROR(VLOOKUP($C86,SN_UGC,28,0),0),1)</f>
        <v>2</v>
      </c>
      <c r="GA86" s="140">
        <f>SUM($D86:Z86)*IF($B86="Operacional",IFERROR(VLOOKUP($C86,SN_UGC,28,0),0),1)</f>
        <v>2</v>
      </c>
      <c r="GB86" s="140">
        <f>SUM($D86:AA86)*IF($B86="Operacional",IFERROR(VLOOKUP($C86,SN_UGC,28,0),0),1)</f>
        <v>2</v>
      </c>
      <c r="GC86" s="140">
        <f>SUM($D86:AB86)*IF($B86="Operacional",IFERROR(VLOOKUP($C86,SN_UGC,28,0),0),1)</f>
        <v>2</v>
      </c>
      <c r="GD86" s="140">
        <f>SUM($D86:AC86)*IF($B86="Operacional",IFERROR(VLOOKUP($C86,SN_UGC,28,0),0),1)</f>
        <v>2</v>
      </c>
      <c r="GE86" s="140">
        <f>SUM($D86:AD86)*IF($B86="Operacional",IFERROR(VLOOKUP($C86,SN_UGC,28,0),0),1)</f>
        <v>2</v>
      </c>
      <c r="GF86" s="140">
        <f>SUM($D86:AE86)*IF($B86="Operacional",IFERROR(VLOOKUP($C86,SN_UGC,28,0),0),1)</f>
        <v>2</v>
      </c>
      <c r="GG86" s="140">
        <f>SUM($D86:AF86)*IF($B86="Operacional",IFERROR(VLOOKUP($C86,SN_UGC,28,0),0),1)</f>
        <v>2</v>
      </c>
      <c r="GH86" s="140">
        <f>SUM($D86:AG86)*IF($B86="Operacional",IFERROR(VLOOKUP($C86,SN_UGC,28,0),0),1)</f>
        <v>2</v>
      </c>
      <c r="GI86" s="141">
        <f t="shared" ref="GI86:HL86" si="440">FE86*$AH86*$AL86</f>
        <v>37743.552000000003</v>
      </c>
      <c r="GJ86" s="141">
        <f t="shared" si="440"/>
        <v>37743.552000000003</v>
      </c>
      <c r="GK86" s="141">
        <f t="shared" si="440"/>
        <v>37743.552000000003</v>
      </c>
      <c r="GL86" s="141">
        <f t="shared" si="440"/>
        <v>37743.552000000003</v>
      </c>
      <c r="GM86" s="141">
        <f t="shared" si="440"/>
        <v>37743.552000000003</v>
      </c>
      <c r="GN86" s="141">
        <f t="shared" si="440"/>
        <v>37743.552000000003</v>
      </c>
      <c r="GO86" s="141">
        <f t="shared" si="440"/>
        <v>37743.552000000003</v>
      </c>
      <c r="GP86" s="141">
        <f t="shared" si="440"/>
        <v>37743.552000000003</v>
      </c>
      <c r="GQ86" s="141">
        <f t="shared" si="440"/>
        <v>37743.552000000003</v>
      </c>
      <c r="GR86" s="141">
        <f t="shared" si="440"/>
        <v>37743.552000000003</v>
      </c>
      <c r="GS86" s="141">
        <f t="shared" si="440"/>
        <v>37743.552000000003</v>
      </c>
      <c r="GT86" s="141">
        <f t="shared" si="440"/>
        <v>37743.552000000003</v>
      </c>
      <c r="GU86" s="141">
        <f t="shared" si="440"/>
        <v>37743.552000000003</v>
      </c>
      <c r="GV86" s="141">
        <f t="shared" si="440"/>
        <v>37743.552000000003</v>
      </c>
      <c r="GW86" s="141">
        <f t="shared" si="440"/>
        <v>37743.552000000003</v>
      </c>
      <c r="GX86" s="141">
        <f t="shared" si="440"/>
        <v>37743.552000000003</v>
      </c>
      <c r="GY86" s="141">
        <f t="shared" si="440"/>
        <v>37743.552000000003</v>
      </c>
      <c r="GZ86" s="141">
        <f t="shared" si="440"/>
        <v>37743.552000000003</v>
      </c>
      <c r="HA86" s="141">
        <f t="shared" si="440"/>
        <v>37743.552000000003</v>
      </c>
      <c r="HB86" s="141">
        <f t="shared" si="440"/>
        <v>37743.552000000003</v>
      </c>
      <c r="HC86" s="141">
        <f t="shared" si="440"/>
        <v>37743.552000000003</v>
      </c>
      <c r="HD86" s="141">
        <f t="shared" si="440"/>
        <v>37743.552000000003</v>
      </c>
      <c r="HE86" s="141">
        <f t="shared" si="440"/>
        <v>37743.552000000003</v>
      </c>
      <c r="HF86" s="141">
        <f t="shared" si="440"/>
        <v>37743.552000000003</v>
      </c>
      <c r="HG86" s="141">
        <f t="shared" si="440"/>
        <v>37743.552000000003</v>
      </c>
      <c r="HH86" s="141">
        <f t="shared" si="440"/>
        <v>37743.552000000003</v>
      </c>
      <c r="HI86" s="141">
        <f t="shared" si="440"/>
        <v>37743.552000000003</v>
      </c>
      <c r="HJ86" s="141">
        <f t="shared" si="440"/>
        <v>37743.552000000003</v>
      </c>
      <c r="HK86" s="141">
        <f t="shared" si="440"/>
        <v>37743.552000000003</v>
      </c>
      <c r="HL86" s="141">
        <f t="shared" si="440"/>
        <v>37743.552000000003</v>
      </c>
      <c r="HM86" s="142">
        <f t="shared" ref="HM86:IP86" si="441">IF(ISBLANK($A86),,FE86*($AH86-($AH86*$AJ86))/$AI86)</f>
        <v>113230.656</v>
      </c>
      <c r="HN86" s="142">
        <f t="shared" si="441"/>
        <v>113230.656</v>
      </c>
      <c r="HO86" s="142">
        <f t="shared" si="441"/>
        <v>113230.656</v>
      </c>
      <c r="HP86" s="142">
        <f t="shared" si="441"/>
        <v>113230.656</v>
      </c>
      <c r="HQ86" s="142">
        <f t="shared" si="441"/>
        <v>113230.656</v>
      </c>
      <c r="HR86" s="142">
        <f t="shared" si="441"/>
        <v>113230.656</v>
      </c>
      <c r="HS86" s="142">
        <f t="shared" si="441"/>
        <v>113230.656</v>
      </c>
      <c r="HT86" s="142">
        <f t="shared" si="441"/>
        <v>113230.656</v>
      </c>
      <c r="HU86" s="142">
        <f t="shared" si="441"/>
        <v>113230.656</v>
      </c>
      <c r="HV86" s="142">
        <f t="shared" si="441"/>
        <v>113230.656</v>
      </c>
      <c r="HW86" s="142">
        <f t="shared" si="441"/>
        <v>113230.656</v>
      </c>
      <c r="HX86" s="142">
        <f t="shared" si="441"/>
        <v>113230.656</v>
      </c>
      <c r="HY86" s="142">
        <f t="shared" si="441"/>
        <v>113230.656</v>
      </c>
      <c r="HZ86" s="142">
        <f t="shared" si="441"/>
        <v>113230.656</v>
      </c>
      <c r="IA86" s="142">
        <f t="shared" si="441"/>
        <v>113230.656</v>
      </c>
      <c r="IB86" s="142">
        <f t="shared" si="441"/>
        <v>113230.656</v>
      </c>
      <c r="IC86" s="142">
        <f t="shared" si="441"/>
        <v>113230.656</v>
      </c>
      <c r="ID86" s="142">
        <f t="shared" si="441"/>
        <v>113230.656</v>
      </c>
      <c r="IE86" s="142">
        <f t="shared" si="441"/>
        <v>113230.656</v>
      </c>
      <c r="IF86" s="142">
        <f t="shared" si="441"/>
        <v>113230.656</v>
      </c>
      <c r="IG86" s="142">
        <f t="shared" si="441"/>
        <v>113230.656</v>
      </c>
      <c r="IH86" s="142">
        <f t="shared" si="441"/>
        <v>113230.656</v>
      </c>
      <c r="II86" s="142">
        <f t="shared" si="441"/>
        <v>113230.656</v>
      </c>
      <c r="IJ86" s="142">
        <f t="shared" si="441"/>
        <v>113230.656</v>
      </c>
      <c r="IK86" s="142">
        <f t="shared" si="441"/>
        <v>113230.656</v>
      </c>
      <c r="IL86" s="142">
        <f t="shared" si="441"/>
        <v>113230.656</v>
      </c>
      <c r="IM86" s="142">
        <f t="shared" si="441"/>
        <v>113230.656</v>
      </c>
      <c r="IN86" s="142">
        <f t="shared" si="441"/>
        <v>113230.656</v>
      </c>
      <c r="IO86" s="142">
        <f t="shared" si="441"/>
        <v>113230.656</v>
      </c>
      <c r="IP86" s="142">
        <f t="shared" si="441"/>
        <v>113230.656</v>
      </c>
      <c r="IQ86" s="141">
        <f>IF(ISBLANK($A86),,IF($AN86="Não",0,(SUM($AO86:AO86)*$AH86)-SUM($HM86:HM86)-SUM($CW86:CW86)))</f>
        <v>641640.38400000008</v>
      </c>
      <c r="IR86" s="141">
        <f>IF(ISBLANK($A86),,IF($AN86="Não",0,(SUM($AO86:AP86)*$AH86)-SUM($HM86:HN86)-SUM($CW86:CX86)))</f>
        <v>528409.728</v>
      </c>
      <c r="IS86" s="141">
        <f>IF(ISBLANK($A86),,IF($AN86="Não",0,(SUM($AO86:AQ86)*$AH86)-SUM($HM86:HO86)-SUM($CW86:CY86)))</f>
        <v>415179.07200000004</v>
      </c>
      <c r="IT86" s="141">
        <f>IF(ISBLANK($A86),,IF($AN86="Não",0,(SUM($AO86:AR86)*$AH86)-SUM($HM86:HP86)-SUM($CW86:CZ86)))</f>
        <v>301948.41600000003</v>
      </c>
      <c r="IU86" s="141">
        <f>IF(ISBLANK($A86),,IF($AN86="Não",0,(SUM($AO86:AS86)*$AH86)-SUM($HM86:HQ86)-SUM($CW86:DA86)))</f>
        <v>188717.76</v>
      </c>
      <c r="IV86" s="141">
        <f>IF(ISBLANK($A86),,IF($AN86="Não",0,(SUM($AO86:AT86)*$AH86)-SUM($HM86:HR86)-SUM($CW86:DB86)))</f>
        <v>641640.38400000008</v>
      </c>
      <c r="IW86" s="141">
        <f>IF(ISBLANK($A86),,IF($AN86="Não",0,(SUM($AO86:AU86)*$AH86)-SUM($HM86:HS86)-SUM($CW86:DC86)))</f>
        <v>528409.72800000012</v>
      </c>
      <c r="IX86" s="141">
        <f>IF(ISBLANK($A86),,IF($AN86="Não",0,(SUM($AO86:AV86)*$AH86)-SUM($HM86:HT86)-SUM($CW86:DD86)))</f>
        <v>415179.07200000016</v>
      </c>
      <c r="IY86" s="141">
        <f>IF(ISBLANK($A86),,IF($AN86="Não",0,(SUM($AO86:AW86)*$AH86)-SUM($HM86:HU86)-SUM($CW86:DE86)))</f>
        <v>301948.4160000002</v>
      </c>
      <c r="IZ86" s="141">
        <f>IF(ISBLANK($A86),,IF($AN86="Não",0,(SUM($AO86:AX86)*$AH86)-SUM($HM86:HV86)-SUM($CW86:DF86)))</f>
        <v>188717.76000000024</v>
      </c>
      <c r="JA86" s="141">
        <f>IF(ISBLANK($A86),,IF($AN86="Não",0,(SUM($AO86:AY86)*$AH86)-SUM($HM86:HW86)-SUM($CW86:DG86)))</f>
        <v>641640.38400000031</v>
      </c>
      <c r="JB86" s="141">
        <f>IF(ISBLANK($A86),,IF($AN86="Não",0,(SUM($AO86:AZ86)*$AH86)-SUM($HM86:HX86)-SUM($CW86:DH86)))</f>
        <v>528409.72800000035</v>
      </c>
      <c r="JC86" s="141">
        <f>IF(ISBLANK($A86),,IF($AN86="Não",0,(SUM($AO86:BA86)*$AH86)-SUM($HM86:HY86)-SUM($CW86:DI86)))</f>
        <v>415179.07200000039</v>
      </c>
      <c r="JD86" s="141">
        <f>IF(ISBLANK($A86),,IF($AN86="Não",0,(SUM($AO86:BB86)*$AH86)-SUM($HM86:HZ86)-SUM($CW86:DJ86)))</f>
        <v>301948.41600000043</v>
      </c>
      <c r="JE86" s="141">
        <f>IF(ISBLANK($A86),,IF($AN86="Não",0,(SUM($AO86:BC86)*$AH86)-SUM($HM86:IA86)-SUM($CW86:DK86)))</f>
        <v>188717.76000000047</v>
      </c>
      <c r="JF86" s="141">
        <f>IF(ISBLANK($A86),,IF($AN86="Não",0,(SUM($AO86:BD86)*$AH86)-SUM($HM86:IB86)-SUM($CW86:DL86)))</f>
        <v>641640.38400000054</v>
      </c>
      <c r="JG86" s="141">
        <f>IF(ISBLANK($A86),,IF($AN86="Não",0,(SUM($AO86:BE86)*$AH86)-SUM($HM86:IC86)-SUM($CW86:DM86)))</f>
        <v>528409.72800000058</v>
      </c>
      <c r="JH86" s="141">
        <f>IF(ISBLANK($A86),,IF($AN86="Não",0,(SUM($AO86:BF86)*$AH86)-SUM($HM86:ID86)-SUM($CW86:DN86)))</f>
        <v>415179.07200000063</v>
      </c>
      <c r="JI86" s="141">
        <f>IF(ISBLANK($A86),,IF($AN86="Não",0,(SUM($AO86:BG86)*$AH86)-SUM($HM86:IE86)-SUM($CW86:DO86)))</f>
        <v>301948.41600000043</v>
      </c>
      <c r="JJ86" s="141">
        <f>IF(ISBLANK($A86),,IF($AN86="Não",0,(SUM($AO86:BH86)*$AH86)-SUM($HM86:IF86)-SUM($CW86:DP86)))</f>
        <v>188717.76000000047</v>
      </c>
      <c r="JK86" s="141">
        <f>IF(ISBLANK($A86),,IF($AN86="Não",0,(SUM($AO86:BI86)*$AH86)-SUM($HM86:IG86)-SUM($CW86:DQ86)))</f>
        <v>641640.38400000054</v>
      </c>
      <c r="JL86" s="141">
        <f>IF(ISBLANK($A86),,IF($AN86="Não",0,(SUM($AO86:BJ86)*$AH86)-SUM($HM86:IH86)-SUM($CW86:DR86)))</f>
        <v>528409.72800000058</v>
      </c>
      <c r="JM86" s="141">
        <f>IF(ISBLANK($A86),,IF($AN86="Não",0,(SUM($AO86:BK86)*$AH86)-SUM($HM86:II86)-SUM($CW86:DS86)))</f>
        <v>415179.07200000063</v>
      </c>
      <c r="JN86" s="141">
        <f>IF(ISBLANK($A86),,IF($AN86="Não",0,(SUM($AO86:BL86)*$AH86)-SUM($HM86:IJ86)-SUM($CW86:DT86)))</f>
        <v>301948.41600000067</v>
      </c>
      <c r="JO86" s="141">
        <f>IF(ISBLANK($A86),,IF($AN86="Não",0,(SUM($AO86:BM86)*$AH86)-SUM($HM86:IK86)-SUM($CW86:DU86)))</f>
        <v>188717.76000000071</v>
      </c>
      <c r="JP86" s="141">
        <f>IF(ISBLANK($A86),,IF($AN86="Não",0,(SUM($AO86:BN86)*$AH86)-SUM($HM86:IL86)-SUM($CW86:DV86)))</f>
        <v>641640.38400000078</v>
      </c>
      <c r="JQ86" s="141">
        <f>IF(ISBLANK($A86),,IF($AN86="Não",0,(SUM($AO86:BO86)*$AH86)-SUM($HM86:IM86)-SUM($CW86:DW86)))</f>
        <v>528409.72800000082</v>
      </c>
      <c r="JR86" s="141">
        <f>IF(ISBLANK($A86),,IF($AN86="Não",0,(SUM($AO86:BP86)*$AH86)-SUM($HM86:IN86)-SUM($CW86:DX86)))</f>
        <v>415179.07200000086</v>
      </c>
      <c r="JS86" s="141">
        <f>IF(ISBLANK($A86),,IF($AN86="Não",0,(SUM($AO86:BQ86)*$AH86)-SUM($HM86:IO86)-SUM($CW86:DY86)))</f>
        <v>301948.4160000009</v>
      </c>
      <c r="JT86" s="141">
        <f>IF(ISBLANK($A86),,IF($AN86="Não",0,(SUM($AO86:BR86)*$AH86)-SUM($HM86:IP86)-SUM($CW86:DZ86)))</f>
        <v>188717.76000000094</v>
      </c>
    </row>
    <row r="87" spans="1:280" ht="15.75" customHeight="1">
      <c r="A87" s="129" t="s">
        <v>377</v>
      </c>
      <c r="B87" s="129" t="s">
        <v>191</v>
      </c>
      <c r="C87" s="138" t="s">
        <v>234</v>
      </c>
      <c r="D87" s="139">
        <v>2</v>
      </c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607">
        <f t="shared" si="399"/>
        <v>46321.000000000007</v>
      </c>
      <c r="AI87" s="608">
        <f t="shared" si="400"/>
        <v>5</v>
      </c>
      <c r="AJ87" s="609">
        <f t="shared" si="401"/>
        <v>0.4</v>
      </c>
      <c r="AK87" s="610" t="str">
        <f t="shared" si="402"/>
        <v>Veículos e embarcações</v>
      </c>
      <c r="AL87" s="609">
        <f t="shared" si="403"/>
        <v>0.05</v>
      </c>
      <c r="AM87" s="611" t="str">
        <f t="shared" si="404"/>
        <v>Sim</v>
      </c>
      <c r="AN87" s="611" t="str">
        <f t="shared" si="405"/>
        <v>Sim</v>
      </c>
      <c r="AO87" s="140">
        <f t="array" ref="AO87">IF(ISBLANK($A87),0,IF(OR(AO$5-$AI87&lt;=0,$AM87="Não"),D87,D87+INDEX($AO$6:$BR$176,ROW()-5,COLUMN()-40-$AI87)))*IF($B87="Operacional",IFERROR(VLOOKUP($C87,SN_UGC,28,0),0),1)</f>
        <v>2</v>
      </c>
      <c r="AP87" s="140">
        <f t="array" ref="AP87">IF(ISBLANK($A87),0,IF(OR(AP$5-$AI87&lt;=0,$AM87="Não"),E87,E87+INDEX($AO$6:$BR$176,ROW()-5,COLUMN()-40-$AI87)))*IF($B87="Operacional",IFERROR(VLOOKUP($C87,SN_UGC,28,0),0),1)</f>
        <v>0</v>
      </c>
      <c r="AQ87" s="140">
        <f t="array" ref="AQ87">IF(ISBLANK($A87),0,IF(OR(AQ$5-$AI87&lt;=0,$AM87="Não"),F87,F87+INDEX($AO$6:$BR$176,ROW()-5,COLUMN()-40-$AI87)))*IF($B87="Operacional",IFERROR(VLOOKUP($C87,SN_UGC,28,0),0),1)</f>
        <v>0</v>
      </c>
      <c r="AR87" s="140">
        <f t="array" ref="AR87">IF(ISBLANK($A87),0,IF(OR(AR$5-$AI87&lt;=0,$AM87="Não"),G87,G87+INDEX($AO$6:$BR$176,ROW()-5,COLUMN()-40-$AI87)))*IF($B87="Operacional",IFERROR(VLOOKUP($C87,SN_UGC,28,0),0),1)</f>
        <v>0</v>
      </c>
      <c r="AS87" s="140">
        <f t="array" ref="AS87">IF(ISBLANK($A87),0,IF(OR(AS$5-$AI87&lt;=0,$AM87="Não"),H87,H87+INDEX($AO$6:$BR$176,ROW()-5,COLUMN()-40-$AI87)))*IF($B87="Operacional",IFERROR(VLOOKUP($C87,SN_UGC,28,0),0),1)</f>
        <v>0</v>
      </c>
      <c r="AT87" s="140">
        <f t="array" ref="AT87">IF(ISBLANK($A87),0,IF(OR(AT$5-$AI87&lt;=0,$AM87="Não"),I87,I87+INDEX($AO$6:$BR$176,ROW()-5,COLUMN()-40-$AI87)))*IF($B87="Operacional",IFERROR(VLOOKUP($C87,SN_UGC,28,0),0),1)</f>
        <v>2</v>
      </c>
      <c r="AU87" s="140">
        <f t="array" ref="AU87">IF(ISBLANK($A87),0,IF(OR(AU$5-$AI87&lt;=0,$AM87="Não"),J87,J87+INDEX($AO$6:$BR$176,ROW()-5,COLUMN()-40-$AI87)))*IF($B87="Operacional",IFERROR(VLOOKUP($C87,SN_UGC,28,0),0),1)</f>
        <v>0</v>
      </c>
      <c r="AV87" s="140">
        <f t="array" ref="AV87">IF(ISBLANK($A87),0,IF(OR(AV$5-$AI87&lt;=0,$AM87="Não"),K87,K87+INDEX($AO$6:$BR$176,ROW()-5,COLUMN()-40-$AI87)))*IF($B87="Operacional",IFERROR(VLOOKUP($C87,SN_UGC,28,0),0),1)</f>
        <v>0</v>
      </c>
      <c r="AW87" s="140">
        <f t="array" ref="AW87">IF(ISBLANK($A87),0,IF(OR(AW$5-$AI87&lt;=0,$AM87="Não"),L87,L87+INDEX($AO$6:$BR$176,ROW()-5,COLUMN()-40-$AI87)))*IF($B87="Operacional",IFERROR(VLOOKUP($C87,SN_UGC,28,0),0),1)</f>
        <v>0</v>
      </c>
      <c r="AX87" s="140">
        <f t="array" ref="AX87">IF(ISBLANK($A87),0,IF(OR(AX$5-$AI87&lt;=0,$AM87="Não"),M87,M87+INDEX($AO$6:$BR$176,ROW()-5,COLUMN()-40-$AI87)))*IF($B87="Operacional",IFERROR(VLOOKUP($C87,SN_UGC,28,0),0),1)</f>
        <v>0</v>
      </c>
      <c r="AY87" s="140">
        <f t="array" ref="AY87">IF(ISBLANK($A87),0,IF(OR(AY$5-$AI87&lt;=0,$AM87="Não"),N87,N87+INDEX($AO$6:$BR$176,ROW()-5,COLUMN()-40-$AI87)))*IF($B87="Operacional",IFERROR(VLOOKUP($C87,SN_UGC,28,0),0),1)</f>
        <v>2</v>
      </c>
      <c r="AZ87" s="140">
        <f t="array" ref="AZ87">IF(ISBLANK($A87),0,IF(OR(AZ$5-$AI87&lt;=0,$AM87="Não"),O87,O87+INDEX($AO$6:$BR$176,ROW()-5,COLUMN()-40-$AI87)))*IF($B87="Operacional",IFERROR(VLOOKUP($C87,SN_UGC,28,0),0),1)</f>
        <v>0</v>
      </c>
      <c r="BA87" s="140">
        <f t="array" ref="BA87">IF(ISBLANK($A87),0,IF(OR(BA$5-$AI87&lt;=0,$AM87="Não"),P87,P87+INDEX($AO$6:$BR$176,ROW()-5,COLUMN()-40-$AI87)))*IF($B87="Operacional",IFERROR(VLOOKUP($C87,SN_UGC,28,0),0),1)</f>
        <v>0</v>
      </c>
      <c r="BB87" s="140">
        <f t="array" ref="BB87">IF(ISBLANK($A87),0,IF(OR(BB$5-$AI87&lt;=0,$AM87="Não"),Q87,Q87+INDEX($AO$6:$BR$176,ROW()-5,COLUMN()-40-$AI87)))*IF($B87="Operacional",IFERROR(VLOOKUP($C87,SN_UGC,28,0),0),1)</f>
        <v>0</v>
      </c>
      <c r="BC87" s="140">
        <f t="array" ref="BC87">IF(ISBLANK($A87),0,IF(OR(BC$5-$AI87&lt;=0,$AM87="Não"),R87,R87+INDEX($AO$6:$BR$176,ROW()-5,COLUMN()-40-$AI87)))*IF($B87="Operacional",IFERROR(VLOOKUP($C87,SN_UGC,28,0),0),1)</f>
        <v>0</v>
      </c>
      <c r="BD87" s="140">
        <f t="array" ref="BD87">IF(ISBLANK($A87),0,IF(OR(BD$5-$AI87&lt;=0,$AM87="Não"),S87,S87+INDEX($AO$6:$BR$176,ROW()-5,COLUMN()-40-$AI87)))*IF($B87="Operacional",IFERROR(VLOOKUP($C87,SN_UGC,28,0),0),1)</f>
        <v>2</v>
      </c>
      <c r="BE87" s="140">
        <f t="array" ref="BE87">IF(ISBLANK($A87),0,IF(OR(BE$5-$AI87&lt;=0,$AM87="Não"),T87,T87+INDEX($AO$6:$BR$176,ROW()-5,COLUMN()-40-$AI87)))*IF($B87="Operacional",IFERROR(VLOOKUP($C87,SN_UGC,28,0),0),1)</f>
        <v>0</v>
      </c>
      <c r="BF87" s="140">
        <f t="array" ref="BF87">IF(ISBLANK($A87),0,IF(OR(BF$5-$AI87&lt;=0,$AM87="Não"),U87,U87+INDEX($AO$6:$BR$176,ROW()-5,COLUMN()-40-$AI87)))*IF($B87="Operacional",IFERROR(VLOOKUP($C87,SN_UGC,28,0),0),1)</f>
        <v>0</v>
      </c>
      <c r="BG87" s="140">
        <f t="array" ref="BG87">IF(ISBLANK($A87),0,IF(OR(BG$5-$AI87&lt;=0,$AM87="Não"),V87,V87+INDEX($AO$6:$BR$176,ROW()-5,COLUMN()-40-$AI87)))*IF($B87="Operacional",IFERROR(VLOOKUP($C87,SN_UGC,28,0),0),1)</f>
        <v>0</v>
      </c>
      <c r="BH87" s="140">
        <f t="array" ref="BH87">IF(ISBLANK($A87),0,IF(OR(BH$5-$AI87&lt;=0,$AM87="Não"),W87,W87+INDEX($AO$6:$BR$176,ROW()-5,COLUMN()-40-$AI87)))*IF($B87="Operacional",IFERROR(VLOOKUP($C87,SN_UGC,28,0),0),1)</f>
        <v>0</v>
      </c>
      <c r="BI87" s="140">
        <f t="array" ref="BI87">IF(ISBLANK($A87),0,IF(OR(BI$5-$AI87&lt;=0,$AM87="Não"),X87,X87+INDEX($AO$6:$BR$176,ROW()-5,COLUMN()-40-$AI87)))*IF($B87="Operacional",IFERROR(VLOOKUP($C87,SN_UGC,28,0),0),1)</f>
        <v>2</v>
      </c>
      <c r="BJ87" s="140">
        <f t="array" ref="BJ87">IF(ISBLANK($A87),0,IF(OR(BJ$5-$AI87&lt;=0,$AM87="Não"),Y87,Y87+INDEX($AO$6:$BR$176,ROW()-5,COLUMN()-40-$AI87)))*IF($B87="Operacional",IFERROR(VLOOKUP($C87,SN_UGC,28,0),0),1)</f>
        <v>0</v>
      </c>
      <c r="BK87" s="140">
        <f t="array" ref="BK87">IF(ISBLANK($A87),0,IF(OR(BK$5-$AI87&lt;=0,$AM87="Não"),Z87,Z87+INDEX($AO$6:$BR$176,ROW()-5,COLUMN()-40-$AI87)))*IF($B87="Operacional",IFERROR(VLOOKUP($C87,SN_UGC,28,0),0),1)</f>
        <v>0</v>
      </c>
      <c r="BL87" s="140">
        <f t="array" ref="BL87">IF(ISBLANK($A87),0,IF(OR(BL$5-$AI87&lt;=0,$AM87="Não"),AA87,AA87+INDEX($AO$6:$BR$176,ROW()-5,COLUMN()-40-$AI87)))*IF($B87="Operacional",IFERROR(VLOOKUP($C87,SN_UGC,28,0),0),1)</f>
        <v>0</v>
      </c>
      <c r="BM87" s="140">
        <f t="array" ref="BM87">IF(ISBLANK($A87),0,IF(OR(BM$5-$AI87&lt;=0,$AM87="Não"),AB87,AB87+INDEX($AO$6:$BR$176,ROW()-5,COLUMN()-40-$AI87)))*IF($B87="Operacional",IFERROR(VLOOKUP($C87,SN_UGC,28,0),0),1)</f>
        <v>0</v>
      </c>
      <c r="BN87" s="140">
        <f t="array" ref="BN87">IF(ISBLANK($A87),0,IF(OR(BN$5-$AI87&lt;=0,$AM87="Não"),AC87,AC87+INDEX($AO$6:$BR$176,ROW()-5,COLUMN()-40-$AI87)))*IF($B87="Operacional",IFERROR(VLOOKUP($C87,SN_UGC,28,0),0),1)</f>
        <v>2</v>
      </c>
      <c r="BO87" s="140">
        <f t="array" ref="BO87">IF(ISBLANK($A87),0,IF(OR(BO$5-$AI87&lt;=0,$AM87="Não"),AD87,AD87+INDEX($AO$6:$BR$176,ROW()-5,COLUMN()-40-$AI87)))*IF($B87="Operacional",IFERROR(VLOOKUP($C87,SN_UGC,28,0),0),1)</f>
        <v>0</v>
      </c>
      <c r="BP87" s="140">
        <f t="array" ref="BP87">IF(ISBLANK($A87),0,IF(OR(BP$5-$AI87&lt;=0,$AM87="Não"),AE87,AE87+INDEX($AO$6:$BR$176,ROW()-5,COLUMN()-40-$AI87)))*IF($B87="Operacional",IFERROR(VLOOKUP($C87,SN_UGC,28,0),0),1)</f>
        <v>0</v>
      </c>
      <c r="BQ87" s="140">
        <f t="array" ref="BQ87">IF(ISBLANK($A87),0,IF(OR(BQ$5-$AI87&lt;=0,$AM87="Não"),AF87,AF87+INDEX($AO$6:$BR$176,ROW()-5,COLUMN()-40-$AI87)))*IF($B87="Operacional",IFERROR(VLOOKUP($C87,SN_UGC,28,0),0),1)</f>
        <v>0</v>
      </c>
      <c r="BR87" s="140">
        <f t="array" ref="BR87">IF(ISBLANK($A87),0,IF(OR(BR$5-$AI87&lt;=0,$AM87="Não"),AG87,AG87+INDEX($AO$6:$BR$176,ROW()-5,COLUMN()-40-$AI87)))*IF($B87="Operacional",IFERROR(VLOOKUP($C87,SN_UGC,28,0),0),1)</f>
        <v>0</v>
      </c>
      <c r="BS87" s="141">
        <f t="shared" ref="BS87:CV87" si="442">IF(ISBLANK($A87),0,$AH87*AO87)</f>
        <v>92642.000000000015</v>
      </c>
      <c r="BT87" s="141">
        <f t="shared" si="442"/>
        <v>0</v>
      </c>
      <c r="BU87" s="141">
        <f t="shared" si="442"/>
        <v>0</v>
      </c>
      <c r="BV87" s="141">
        <f t="shared" si="442"/>
        <v>0</v>
      </c>
      <c r="BW87" s="141">
        <f t="shared" si="442"/>
        <v>0</v>
      </c>
      <c r="BX87" s="141">
        <f t="shared" si="442"/>
        <v>92642.000000000015</v>
      </c>
      <c r="BY87" s="141">
        <f t="shared" si="442"/>
        <v>0</v>
      </c>
      <c r="BZ87" s="141">
        <f t="shared" si="442"/>
        <v>0</v>
      </c>
      <c r="CA87" s="141">
        <f t="shared" si="442"/>
        <v>0</v>
      </c>
      <c r="CB87" s="141">
        <f t="shared" si="442"/>
        <v>0</v>
      </c>
      <c r="CC87" s="141">
        <f t="shared" si="442"/>
        <v>92642.000000000015</v>
      </c>
      <c r="CD87" s="141">
        <f t="shared" si="442"/>
        <v>0</v>
      </c>
      <c r="CE87" s="141">
        <f t="shared" si="442"/>
        <v>0</v>
      </c>
      <c r="CF87" s="141">
        <f t="shared" si="442"/>
        <v>0</v>
      </c>
      <c r="CG87" s="141">
        <f t="shared" si="442"/>
        <v>0</v>
      </c>
      <c r="CH87" s="141">
        <f t="shared" si="442"/>
        <v>92642.000000000015</v>
      </c>
      <c r="CI87" s="141">
        <f t="shared" si="442"/>
        <v>0</v>
      </c>
      <c r="CJ87" s="141">
        <f t="shared" si="442"/>
        <v>0</v>
      </c>
      <c r="CK87" s="141">
        <f t="shared" si="442"/>
        <v>0</v>
      </c>
      <c r="CL87" s="141">
        <f t="shared" si="442"/>
        <v>0</v>
      </c>
      <c r="CM87" s="141">
        <f t="shared" si="442"/>
        <v>92642.000000000015</v>
      </c>
      <c r="CN87" s="141">
        <f t="shared" si="442"/>
        <v>0</v>
      </c>
      <c r="CO87" s="141">
        <f t="shared" si="442"/>
        <v>0</v>
      </c>
      <c r="CP87" s="141">
        <f t="shared" si="442"/>
        <v>0</v>
      </c>
      <c r="CQ87" s="141">
        <f t="shared" si="442"/>
        <v>0</v>
      </c>
      <c r="CR87" s="141">
        <f t="shared" si="442"/>
        <v>92642.000000000015</v>
      </c>
      <c r="CS87" s="141">
        <f t="shared" si="442"/>
        <v>0</v>
      </c>
      <c r="CT87" s="141">
        <f t="shared" si="442"/>
        <v>0</v>
      </c>
      <c r="CU87" s="141">
        <f t="shared" si="442"/>
        <v>0</v>
      </c>
      <c r="CV87" s="141">
        <f t="shared" si="442"/>
        <v>0</v>
      </c>
      <c r="CW87" s="142">
        <f t="shared" ref="CW87:DZ87" si="443">EA87*$AH87*$AJ87</f>
        <v>0</v>
      </c>
      <c r="CX87" s="142">
        <f t="shared" si="443"/>
        <v>0</v>
      </c>
      <c r="CY87" s="142">
        <f t="shared" si="443"/>
        <v>0</v>
      </c>
      <c r="CZ87" s="142">
        <f t="shared" si="443"/>
        <v>0</v>
      </c>
      <c r="DA87" s="142">
        <f t="shared" si="443"/>
        <v>0</v>
      </c>
      <c r="DB87" s="142">
        <f t="shared" si="443"/>
        <v>37056.80000000001</v>
      </c>
      <c r="DC87" s="142">
        <f t="shared" si="443"/>
        <v>0</v>
      </c>
      <c r="DD87" s="142">
        <f t="shared" si="443"/>
        <v>0</v>
      </c>
      <c r="DE87" s="142">
        <f t="shared" si="443"/>
        <v>0</v>
      </c>
      <c r="DF87" s="142">
        <f t="shared" si="443"/>
        <v>0</v>
      </c>
      <c r="DG87" s="142">
        <f t="shared" si="443"/>
        <v>37056.80000000001</v>
      </c>
      <c r="DH87" s="142">
        <f t="shared" si="443"/>
        <v>0</v>
      </c>
      <c r="DI87" s="142">
        <f t="shared" si="443"/>
        <v>0</v>
      </c>
      <c r="DJ87" s="142">
        <f t="shared" si="443"/>
        <v>0</v>
      </c>
      <c r="DK87" s="142">
        <f t="shared" si="443"/>
        <v>0</v>
      </c>
      <c r="DL87" s="142">
        <f t="shared" si="443"/>
        <v>37056.80000000001</v>
      </c>
      <c r="DM87" s="142">
        <f t="shared" si="443"/>
        <v>0</v>
      </c>
      <c r="DN87" s="142">
        <f t="shared" si="443"/>
        <v>0</v>
      </c>
      <c r="DO87" s="142">
        <f t="shared" si="443"/>
        <v>0</v>
      </c>
      <c r="DP87" s="142">
        <f t="shared" si="443"/>
        <v>0</v>
      </c>
      <c r="DQ87" s="142">
        <f t="shared" si="443"/>
        <v>37056.80000000001</v>
      </c>
      <c r="DR87" s="142">
        <f t="shared" si="443"/>
        <v>0</v>
      </c>
      <c r="DS87" s="142">
        <f t="shared" si="443"/>
        <v>0</v>
      </c>
      <c r="DT87" s="142">
        <f t="shared" si="443"/>
        <v>0</v>
      </c>
      <c r="DU87" s="142">
        <f t="shared" si="443"/>
        <v>0</v>
      </c>
      <c r="DV87" s="142">
        <f t="shared" si="443"/>
        <v>37056.80000000001</v>
      </c>
      <c r="DW87" s="142">
        <f t="shared" si="443"/>
        <v>0</v>
      </c>
      <c r="DX87" s="142">
        <f t="shared" si="443"/>
        <v>0</v>
      </c>
      <c r="DY87" s="142">
        <f t="shared" si="443"/>
        <v>0</v>
      </c>
      <c r="DZ87" s="142">
        <f t="shared" si="443"/>
        <v>0</v>
      </c>
      <c r="EA87" s="143">
        <f t="shared" si="339"/>
        <v>0</v>
      </c>
      <c r="EB87" s="143">
        <f t="shared" si="340"/>
        <v>0</v>
      </c>
      <c r="EC87" s="143">
        <f t="shared" si="341"/>
        <v>0</v>
      </c>
      <c r="ED87" s="143">
        <f t="shared" si="342"/>
        <v>0</v>
      </c>
      <c r="EE87" s="143">
        <f t="shared" si="343"/>
        <v>0</v>
      </c>
      <c r="EF87" s="143">
        <f t="shared" si="344"/>
        <v>2</v>
      </c>
      <c r="EG87" s="143">
        <f t="shared" si="345"/>
        <v>0</v>
      </c>
      <c r="EH87" s="143">
        <f t="shared" si="346"/>
        <v>0</v>
      </c>
      <c r="EI87" s="143">
        <f t="shared" si="347"/>
        <v>0</v>
      </c>
      <c r="EJ87" s="143">
        <f t="shared" si="348"/>
        <v>0</v>
      </c>
      <c r="EK87" s="143">
        <f t="shared" si="349"/>
        <v>2</v>
      </c>
      <c r="EL87" s="143">
        <f t="shared" si="350"/>
        <v>0</v>
      </c>
      <c r="EM87" s="143">
        <f t="shared" si="351"/>
        <v>0</v>
      </c>
      <c r="EN87" s="143">
        <f t="shared" si="352"/>
        <v>0</v>
      </c>
      <c r="EO87" s="143">
        <f t="shared" si="353"/>
        <v>0</v>
      </c>
      <c r="EP87" s="143">
        <f t="shared" si="354"/>
        <v>2</v>
      </c>
      <c r="EQ87" s="143">
        <f t="shared" si="355"/>
        <v>0</v>
      </c>
      <c r="ER87" s="143">
        <f t="shared" si="356"/>
        <v>0</v>
      </c>
      <c r="ES87" s="143">
        <f t="shared" si="357"/>
        <v>0</v>
      </c>
      <c r="ET87" s="143">
        <f t="shared" si="358"/>
        <v>0</v>
      </c>
      <c r="EU87" s="143">
        <f t="shared" si="359"/>
        <v>2</v>
      </c>
      <c r="EV87" s="143">
        <f t="shared" si="360"/>
        <v>0</v>
      </c>
      <c r="EW87" s="143">
        <f t="shared" si="361"/>
        <v>0</v>
      </c>
      <c r="EX87" s="143">
        <f t="shared" si="362"/>
        <v>0</v>
      </c>
      <c r="EY87" s="143">
        <f t="shared" si="363"/>
        <v>0</v>
      </c>
      <c r="EZ87" s="143">
        <f t="shared" si="364"/>
        <v>2</v>
      </c>
      <c r="FA87" s="143">
        <f t="shared" si="365"/>
        <v>0</v>
      </c>
      <c r="FB87" s="143">
        <f t="shared" si="366"/>
        <v>0</v>
      </c>
      <c r="FC87" s="143">
        <f t="shared" si="367"/>
        <v>0</v>
      </c>
      <c r="FD87" s="143">
        <f t="shared" si="368"/>
        <v>0</v>
      </c>
      <c r="FE87" s="140">
        <f>SUM($D87:D87)*IF($B87="Operacional",IFERROR(VLOOKUP($C87,SN_UGC,28,0),0),1)</f>
        <v>2</v>
      </c>
      <c r="FF87" s="140">
        <f>SUM($D87:E87)*IF($B87="Operacional",IFERROR(VLOOKUP($C87,SN_UGC,28,0),0),1)</f>
        <v>2</v>
      </c>
      <c r="FG87" s="140">
        <f>SUM($D87:F87)*IF($B87="Operacional",IFERROR(VLOOKUP($C87,SN_UGC,28,0),0),1)</f>
        <v>2</v>
      </c>
      <c r="FH87" s="140">
        <f>SUM($D87:G87)*IF($B87="Operacional",IFERROR(VLOOKUP($C87,SN_UGC,28,0),0),1)</f>
        <v>2</v>
      </c>
      <c r="FI87" s="140">
        <f>SUM($D87:H87)*IF($B87="Operacional",IFERROR(VLOOKUP($C87,SN_UGC,28,0),0),1)</f>
        <v>2</v>
      </c>
      <c r="FJ87" s="140">
        <f>SUM($D87:I87)*IF($B87="Operacional",IFERROR(VLOOKUP($C87,SN_UGC,28,0),0),1)</f>
        <v>2</v>
      </c>
      <c r="FK87" s="140">
        <f>SUM($D87:J87)*IF($B87="Operacional",IFERROR(VLOOKUP($C87,SN_UGC,28,0),0),1)</f>
        <v>2</v>
      </c>
      <c r="FL87" s="140">
        <f>SUM($D87:K87)*IF($B87="Operacional",IFERROR(VLOOKUP($C87,SN_UGC,28,0),0),1)</f>
        <v>2</v>
      </c>
      <c r="FM87" s="140">
        <f>SUM($D87:L87)*IF($B87="Operacional",IFERROR(VLOOKUP($C87,SN_UGC,28,0),0),1)</f>
        <v>2</v>
      </c>
      <c r="FN87" s="140">
        <f>SUM($D87:M87)*IF($B87="Operacional",IFERROR(VLOOKUP($C87,SN_UGC,28,0),0),1)</f>
        <v>2</v>
      </c>
      <c r="FO87" s="140">
        <f>SUM($D87:N87)*IF($B87="Operacional",IFERROR(VLOOKUP($C87,SN_UGC,28,0),0),1)</f>
        <v>2</v>
      </c>
      <c r="FP87" s="140">
        <f>SUM($D87:O87)*IF($B87="Operacional",IFERROR(VLOOKUP($C87,SN_UGC,28,0),0),1)</f>
        <v>2</v>
      </c>
      <c r="FQ87" s="140">
        <f>SUM($D87:P87)*IF($B87="Operacional",IFERROR(VLOOKUP($C87,SN_UGC,28,0),0),1)</f>
        <v>2</v>
      </c>
      <c r="FR87" s="140">
        <f>SUM($D87:Q87)*IF($B87="Operacional",IFERROR(VLOOKUP($C87,SN_UGC,28,0),0),1)</f>
        <v>2</v>
      </c>
      <c r="FS87" s="140">
        <f>SUM($D87:R87)*IF($B87="Operacional",IFERROR(VLOOKUP($C87,SN_UGC,28,0),0),1)</f>
        <v>2</v>
      </c>
      <c r="FT87" s="140">
        <f>SUM($D87:S87)*IF($B87="Operacional",IFERROR(VLOOKUP($C87,SN_UGC,28,0),0),1)</f>
        <v>2</v>
      </c>
      <c r="FU87" s="140">
        <f>SUM($D87:T87)*IF($B87="Operacional",IFERROR(VLOOKUP($C87,SN_UGC,28,0),0),1)</f>
        <v>2</v>
      </c>
      <c r="FV87" s="140">
        <f>SUM($D87:U87)*IF($B87="Operacional",IFERROR(VLOOKUP($C87,SN_UGC,28,0),0),1)</f>
        <v>2</v>
      </c>
      <c r="FW87" s="140">
        <f>SUM($D87:V87)*IF($B87="Operacional",IFERROR(VLOOKUP($C87,SN_UGC,28,0),0),1)</f>
        <v>2</v>
      </c>
      <c r="FX87" s="140">
        <f>SUM($D87:W87)*IF($B87="Operacional",IFERROR(VLOOKUP($C87,SN_UGC,28,0),0),1)</f>
        <v>2</v>
      </c>
      <c r="FY87" s="140">
        <f>SUM($D87:X87)*IF($B87="Operacional",IFERROR(VLOOKUP($C87,SN_UGC,28,0),0),1)</f>
        <v>2</v>
      </c>
      <c r="FZ87" s="140">
        <f>SUM($D87:Y87)*IF($B87="Operacional",IFERROR(VLOOKUP($C87,SN_UGC,28,0),0),1)</f>
        <v>2</v>
      </c>
      <c r="GA87" s="140">
        <f>SUM($D87:Z87)*IF($B87="Operacional",IFERROR(VLOOKUP($C87,SN_UGC,28,0),0),1)</f>
        <v>2</v>
      </c>
      <c r="GB87" s="140">
        <f>SUM($D87:AA87)*IF($B87="Operacional",IFERROR(VLOOKUP($C87,SN_UGC,28,0),0),1)</f>
        <v>2</v>
      </c>
      <c r="GC87" s="140">
        <f>SUM($D87:AB87)*IF($B87="Operacional",IFERROR(VLOOKUP($C87,SN_UGC,28,0),0),1)</f>
        <v>2</v>
      </c>
      <c r="GD87" s="140">
        <f>SUM($D87:AC87)*IF($B87="Operacional",IFERROR(VLOOKUP($C87,SN_UGC,28,0),0),1)</f>
        <v>2</v>
      </c>
      <c r="GE87" s="140">
        <f>SUM($D87:AD87)*IF($B87="Operacional",IFERROR(VLOOKUP($C87,SN_UGC,28,0),0),1)</f>
        <v>2</v>
      </c>
      <c r="GF87" s="140">
        <f>SUM($D87:AE87)*IF($B87="Operacional",IFERROR(VLOOKUP($C87,SN_UGC,28,0),0),1)</f>
        <v>2</v>
      </c>
      <c r="GG87" s="140">
        <f>SUM($D87:AF87)*IF($B87="Operacional",IFERROR(VLOOKUP($C87,SN_UGC,28,0),0),1)</f>
        <v>2</v>
      </c>
      <c r="GH87" s="140">
        <f>SUM($D87:AG87)*IF($B87="Operacional",IFERROR(VLOOKUP($C87,SN_UGC,28,0),0),1)</f>
        <v>2</v>
      </c>
      <c r="GI87" s="141">
        <f t="shared" ref="GI87:HL87" si="444">FE87*$AH87*$AL87</f>
        <v>4632.1000000000013</v>
      </c>
      <c r="GJ87" s="141">
        <f t="shared" si="444"/>
        <v>4632.1000000000013</v>
      </c>
      <c r="GK87" s="141">
        <f t="shared" si="444"/>
        <v>4632.1000000000013</v>
      </c>
      <c r="GL87" s="141">
        <f t="shared" si="444"/>
        <v>4632.1000000000013</v>
      </c>
      <c r="GM87" s="141">
        <f t="shared" si="444"/>
        <v>4632.1000000000013</v>
      </c>
      <c r="GN87" s="141">
        <f t="shared" si="444"/>
        <v>4632.1000000000013</v>
      </c>
      <c r="GO87" s="141">
        <f t="shared" si="444"/>
        <v>4632.1000000000013</v>
      </c>
      <c r="GP87" s="141">
        <f t="shared" si="444"/>
        <v>4632.1000000000013</v>
      </c>
      <c r="GQ87" s="141">
        <f t="shared" si="444"/>
        <v>4632.1000000000013</v>
      </c>
      <c r="GR87" s="141">
        <f t="shared" si="444"/>
        <v>4632.1000000000013</v>
      </c>
      <c r="GS87" s="141">
        <f t="shared" si="444"/>
        <v>4632.1000000000013</v>
      </c>
      <c r="GT87" s="141">
        <f t="shared" si="444"/>
        <v>4632.1000000000013</v>
      </c>
      <c r="GU87" s="141">
        <f t="shared" si="444"/>
        <v>4632.1000000000013</v>
      </c>
      <c r="GV87" s="141">
        <f t="shared" si="444"/>
        <v>4632.1000000000013</v>
      </c>
      <c r="GW87" s="141">
        <f t="shared" si="444"/>
        <v>4632.1000000000013</v>
      </c>
      <c r="GX87" s="141">
        <f t="shared" si="444"/>
        <v>4632.1000000000013</v>
      </c>
      <c r="GY87" s="141">
        <f t="shared" si="444"/>
        <v>4632.1000000000013</v>
      </c>
      <c r="GZ87" s="141">
        <f t="shared" si="444"/>
        <v>4632.1000000000013</v>
      </c>
      <c r="HA87" s="141">
        <f t="shared" si="444"/>
        <v>4632.1000000000013</v>
      </c>
      <c r="HB87" s="141">
        <f t="shared" si="444"/>
        <v>4632.1000000000013</v>
      </c>
      <c r="HC87" s="141">
        <f t="shared" si="444"/>
        <v>4632.1000000000013</v>
      </c>
      <c r="HD87" s="141">
        <f t="shared" si="444"/>
        <v>4632.1000000000013</v>
      </c>
      <c r="HE87" s="141">
        <f t="shared" si="444"/>
        <v>4632.1000000000013</v>
      </c>
      <c r="HF87" s="141">
        <f t="shared" si="444"/>
        <v>4632.1000000000013</v>
      </c>
      <c r="HG87" s="141">
        <f t="shared" si="444"/>
        <v>4632.1000000000013</v>
      </c>
      <c r="HH87" s="141">
        <f t="shared" si="444"/>
        <v>4632.1000000000013</v>
      </c>
      <c r="HI87" s="141">
        <f t="shared" si="444"/>
        <v>4632.1000000000013</v>
      </c>
      <c r="HJ87" s="141">
        <f t="shared" si="444"/>
        <v>4632.1000000000013</v>
      </c>
      <c r="HK87" s="141">
        <f t="shared" si="444"/>
        <v>4632.1000000000013</v>
      </c>
      <c r="HL87" s="141">
        <f t="shared" si="444"/>
        <v>4632.1000000000013</v>
      </c>
      <c r="HM87" s="142">
        <f t="shared" ref="HM87:IP87" si="445">IF(ISBLANK($A87),,FE87*($AH87-($AH87*$AJ87))/$AI87)</f>
        <v>11117.04</v>
      </c>
      <c r="HN87" s="142">
        <f t="shared" si="445"/>
        <v>11117.04</v>
      </c>
      <c r="HO87" s="142">
        <f t="shared" si="445"/>
        <v>11117.04</v>
      </c>
      <c r="HP87" s="142">
        <f t="shared" si="445"/>
        <v>11117.04</v>
      </c>
      <c r="HQ87" s="142">
        <f t="shared" si="445"/>
        <v>11117.04</v>
      </c>
      <c r="HR87" s="142">
        <f t="shared" si="445"/>
        <v>11117.04</v>
      </c>
      <c r="HS87" s="142">
        <f t="shared" si="445"/>
        <v>11117.04</v>
      </c>
      <c r="HT87" s="142">
        <f t="shared" si="445"/>
        <v>11117.04</v>
      </c>
      <c r="HU87" s="142">
        <f t="shared" si="445"/>
        <v>11117.04</v>
      </c>
      <c r="HV87" s="142">
        <f t="shared" si="445"/>
        <v>11117.04</v>
      </c>
      <c r="HW87" s="142">
        <f t="shared" si="445"/>
        <v>11117.04</v>
      </c>
      <c r="HX87" s="142">
        <f t="shared" si="445"/>
        <v>11117.04</v>
      </c>
      <c r="HY87" s="142">
        <f t="shared" si="445"/>
        <v>11117.04</v>
      </c>
      <c r="HZ87" s="142">
        <f t="shared" si="445"/>
        <v>11117.04</v>
      </c>
      <c r="IA87" s="142">
        <f t="shared" si="445"/>
        <v>11117.04</v>
      </c>
      <c r="IB87" s="142">
        <f t="shared" si="445"/>
        <v>11117.04</v>
      </c>
      <c r="IC87" s="142">
        <f t="shared" si="445"/>
        <v>11117.04</v>
      </c>
      <c r="ID87" s="142">
        <f t="shared" si="445"/>
        <v>11117.04</v>
      </c>
      <c r="IE87" s="142">
        <f t="shared" si="445"/>
        <v>11117.04</v>
      </c>
      <c r="IF87" s="142">
        <f t="shared" si="445"/>
        <v>11117.04</v>
      </c>
      <c r="IG87" s="142">
        <f t="shared" si="445"/>
        <v>11117.04</v>
      </c>
      <c r="IH87" s="142">
        <f t="shared" si="445"/>
        <v>11117.04</v>
      </c>
      <c r="II87" s="142">
        <f t="shared" si="445"/>
        <v>11117.04</v>
      </c>
      <c r="IJ87" s="142">
        <f t="shared" si="445"/>
        <v>11117.04</v>
      </c>
      <c r="IK87" s="142">
        <f t="shared" si="445"/>
        <v>11117.04</v>
      </c>
      <c r="IL87" s="142">
        <f t="shared" si="445"/>
        <v>11117.04</v>
      </c>
      <c r="IM87" s="142">
        <f t="shared" si="445"/>
        <v>11117.04</v>
      </c>
      <c r="IN87" s="142">
        <f t="shared" si="445"/>
        <v>11117.04</v>
      </c>
      <c r="IO87" s="142">
        <f t="shared" si="445"/>
        <v>11117.04</v>
      </c>
      <c r="IP87" s="142">
        <f t="shared" si="445"/>
        <v>11117.04</v>
      </c>
      <c r="IQ87" s="141">
        <f>IF(ISBLANK($A87),,IF($AN87="Não",0,(SUM($AO87:AO87)*$AH87)-SUM($HM87:HM87)-SUM($CW87:CW87)))</f>
        <v>81524.960000000021</v>
      </c>
      <c r="IR87" s="141">
        <f>IF(ISBLANK($A87),,IF($AN87="Não",0,(SUM($AO87:AP87)*$AH87)-SUM($HM87:HN87)-SUM($CW87:CX87)))</f>
        <v>70407.920000000013</v>
      </c>
      <c r="IS87" s="141">
        <f>IF(ISBLANK($A87),,IF($AN87="Não",0,(SUM($AO87:AQ87)*$AH87)-SUM($HM87:HO87)-SUM($CW87:CY87)))</f>
        <v>59290.880000000012</v>
      </c>
      <c r="IT87" s="141">
        <f>IF(ISBLANK($A87),,IF($AN87="Não",0,(SUM($AO87:AR87)*$AH87)-SUM($HM87:HP87)-SUM($CW87:CZ87)))</f>
        <v>48173.840000000011</v>
      </c>
      <c r="IU87" s="141">
        <f>IF(ISBLANK($A87),,IF($AN87="Não",0,(SUM($AO87:AS87)*$AH87)-SUM($HM87:HQ87)-SUM($CW87:DA87)))</f>
        <v>37056.80000000001</v>
      </c>
      <c r="IV87" s="141">
        <f>IF(ISBLANK($A87),,IF($AN87="Não",0,(SUM($AO87:AT87)*$AH87)-SUM($HM87:HR87)-SUM($CW87:DB87)))</f>
        <v>81524.960000000021</v>
      </c>
      <c r="IW87" s="141">
        <f>IF(ISBLANK($A87),,IF($AN87="Não",0,(SUM($AO87:AU87)*$AH87)-SUM($HM87:HS87)-SUM($CW87:DC87)))</f>
        <v>70407.920000000013</v>
      </c>
      <c r="IX87" s="141">
        <f>IF(ISBLANK($A87),,IF($AN87="Não",0,(SUM($AO87:AV87)*$AH87)-SUM($HM87:HT87)-SUM($CW87:DD87)))</f>
        <v>59290.880000000012</v>
      </c>
      <c r="IY87" s="141">
        <f>IF(ISBLANK($A87),,IF($AN87="Não",0,(SUM($AO87:AW87)*$AH87)-SUM($HM87:HU87)-SUM($CW87:DE87)))</f>
        <v>48173.840000000004</v>
      </c>
      <c r="IZ87" s="141">
        <f>IF(ISBLANK($A87),,IF($AN87="Não",0,(SUM($AO87:AX87)*$AH87)-SUM($HM87:HV87)-SUM($CW87:DF87)))</f>
        <v>37056.799999999996</v>
      </c>
      <c r="JA87" s="141">
        <f>IF(ISBLANK($A87),,IF($AN87="Não",0,(SUM($AO87:AY87)*$AH87)-SUM($HM87:HW87)-SUM($CW87:DG87)))</f>
        <v>81524.960000000006</v>
      </c>
      <c r="JB87" s="141">
        <f>IF(ISBLANK($A87),,IF($AN87="Não",0,(SUM($AO87:AZ87)*$AH87)-SUM($HM87:HX87)-SUM($CW87:DH87)))</f>
        <v>70407.92</v>
      </c>
      <c r="JC87" s="141">
        <f>IF(ISBLANK($A87),,IF($AN87="Não",0,(SUM($AO87:BA87)*$AH87)-SUM($HM87:HY87)-SUM($CW87:DI87)))</f>
        <v>59290.87999999999</v>
      </c>
      <c r="JD87" s="141">
        <f>IF(ISBLANK($A87),,IF($AN87="Não",0,(SUM($AO87:BB87)*$AH87)-SUM($HM87:HZ87)-SUM($CW87:DJ87)))</f>
        <v>48173.839999999982</v>
      </c>
      <c r="JE87" s="141">
        <f>IF(ISBLANK($A87),,IF($AN87="Não",0,(SUM($AO87:BC87)*$AH87)-SUM($HM87:IA87)-SUM($CW87:DK87)))</f>
        <v>37056.799999999974</v>
      </c>
      <c r="JF87" s="141">
        <f>IF(ISBLANK($A87),,IF($AN87="Não",0,(SUM($AO87:BD87)*$AH87)-SUM($HM87:IB87)-SUM($CW87:DL87)))</f>
        <v>81524.959999999963</v>
      </c>
      <c r="JG87" s="141">
        <f>IF(ISBLANK($A87),,IF($AN87="Não",0,(SUM($AO87:BE87)*$AH87)-SUM($HM87:IC87)-SUM($CW87:DM87)))</f>
        <v>70407.919999999955</v>
      </c>
      <c r="JH87" s="141">
        <f>IF(ISBLANK($A87),,IF($AN87="Não",0,(SUM($AO87:BF87)*$AH87)-SUM($HM87:ID87)-SUM($CW87:DN87)))</f>
        <v>59290.879999999946</v>
      </c>
      <c r="JI87" s="141">
        <f>IF(ISBLANK($A87),,IF($AN87="Não",0,(SUM($AO87:BG87)*$AH87)-SUM($HM87:IE87)-SUM($CW87:DO87)))</f>
        <v>48173.839999999938</v>
      </c>
      <c r="JJ87" s="141">
        <f>IF(ISBLANK($A87),,IF($AN87="Não",0,(SUM($AO87:BH87)*$AH87)-SUM($HM87:IF87)-SUM($CW87:DP87)))</f>
        <v>37056.79999999993</v>
      </c>
      <c r="JK87" s="141">
        <f>IF(ISBLANK($A87),,IF($AN87="Não",0,(SUM($AO87:BI87)*$AH87)-SUM($HM87:IG87)-SUM($CW87:DQ87)))</f>
        <v>81524.959999999905</v>
      </c>
      <c r="JL87" s="141">
        <f>IF(ISBLANK($A87),,IF($AN87="Não",0,(SUM($AO87:BJ87)*$AH87)-SUM($HM87:IH87)-SUM($CW87:DR87)))</f>
        <v>70407.919999999896</v>
      </c>
      <c r="JM87" s="141">
        <f>IF(ISBLANK($A87),,IF($AN87="Não",0,(SUM($AO87:BK87)*$AH87)-SUM($HM87:II87)-SUM($CW87:DS87)))</f>
        <v>59290.879999999888</v>
      </c>
      <c r="JN87" s="141">
        <f>IF(ISBLANK($A87),,IF($AN87="Não",0,(SUM($AO87:BL87)*$AH87)-SUM($HM87:IJ87)-SUM($CW87:DT87)))</f>
        <v>48173.83999999988</v>
      </c>
      <c r="JO87" s="141">
        <f>IF(ISBLANK($A87),,IF($AN87="Não",0,(SUM($AO87:BM87)*$AH87)-SUM($HM87:IK87)-SUM($CW87:DU87)))</f>
        <v>37056.799999999901</v>
      </c>
      <c r="JP87" s="141">
        <f>IF(ISBLANK($A87),,IF($AN87="Não",0,(SUM($AO87:BN87)*$AH87)-SUM($HM87:IL87)-SUM($CW87:DV87)))</f>
        <v>81524.959999999963</v>
      </c>
      <c r="JQ87" s="141">
        <f>IF(ISBLANK($A87),,IF($AN87="Não",0,(SUM($AO87:BO87)*$AH87)-SUM($HM87:IM87)-SUM($CW87:DW87)))</f>
        <v>70407.919999999984</v>
      </c>
      <c r="JR87" s="141">
        <f>IF(ISBLANK($A87),,IF($AN87="Não",0,(SUM($AO87:BP87)*$AH87)-SUM($HM87:IN87)-SUM($CW87:DX87)))</f>
        <v>59290.880000000005</v>
      </c>
      <c r="JS87" s="141">
        <f>IF(ISBLANK($A87),,IF($AN87="Não",0,(SUM($AO87:BQ87)*$AH87)-SUM($HM87:IO87)-SUM($CW87:DY87)))</f>
        <v>48173.840000000026</v>
      </c>
      <c r="JT87" s="141">
        <f>IF(ISBLANK($A87),,IF($AN87="Não",0,(SUM($AO87:BR87)*$AH87)-SUM($HM87:IP87)-SUM($CW87:DZ87)))</f>
        <v>37056.800000000047</v>
      </c>
    </row>
    <row r="88" spans="1:280" ht="15.75" customHeight="1">
      <c r="A88" s="129" t="s">
        <v>427</v>
      </c>
      <c r="B88" s="129" t="s">
        <v>191</v>
      </c>
      <c r="C88" s="138" t="s">
        <v>196</v>
      </c>
      <c r="D88" s="139">
        <v>1</v>
      </c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607">
        <f t="shared" si="399"/>
        <v>495000.00000000006</v>
      </c>
      <c r="AI88" s="608">
        <f t="shared" si="400"/>
        <v>30</v>
      </c>
      <c r="AJ88" s="609">
        <f t="shared" si="401"/>
        <v>1</v>
      </c>
      <c r="AK88" s="610" t="str">
        <f t="shared" si="402"/>
        <v>TI</v>
      </c>
      <c r="AL88" s="609">
        <f t="shared" si="403"/>
        <v>0</v>
      </c>
      <c r="AM88" s="611" t="str">
        <f t="shared" si="404"/>
        <v>Sim</v>
      </c>
      <c r="AN88" s="611" t="str">
        <f t="shared" si="405"/>
        <v>Sim</v>
      </c>
      <c r="AO88" s="140">
        <f t="array" ref="AO88">IF(ISBLANK($A88),0,IF(OR(AO$5-$AI88&lt;=0,$AM88="Não"),D88,D88+INDEX($AO$6:$BR$176,ROW()-5,COLUMN()-40-$AI88)))*IF($B88="Operacional",IFERROR(VLOOKUP($C88,SN_UGC,28,0),0),1)</f>
        <v>1</v>
      </c>
      <c r="AP88" s="140">
        <f t="array" ref="AP88">IF(ISBLANK($A88),0,IF(OR(AP$5-$AI88&lt;=0,$AM88="Não"),E88,E88+INDEX($AO$6:$BR$176,ROW()-5,COLUMN()-40-$AI88)))*IF($B88="Operacional",IFERROR(VLOOKUP($C88,SN_UGC,28,0),0),1)</f>
        <v>0</v>
      </c>
      <c r="AQ88" s="140">
        <f t="array" ref="AQ88">IF(ISBLANK($A88),0,IF(OR(AQ$5-$AI88&lt;=0,$AM88="Não"),F88,F88+INDEX($AO$6:$BR$176,ROW()-5,COLUMN()-40-$AI88)))*IF($B88="Operacional",IFERROR(VLOOKUP($C88,SN_UGC,28,0),0),1)</f>
        <v>0</v>
      </c>
      <c r="AR88" s="140">
        <f t="array" ref="AR88">IF(ISBLANK($A88),0,IF(OR(AR$5-$AI88&lt;=0,$AM88="Não"),G88,G88+INDEX($AO$6:$BR$176,ROW()-5,COLUMN()-40-$AI88)))*IF($B88="Operacional",IFERROR(VLOOKUP($C88,SN_UGC,28,0),0),1)</f>
        <v>0</v>
      </c>
      <c r="AS88" s="140">
        <f t="array" ref="AS88">IF(ISBLANK($A88),0,IF(OR(AS$5-$AI88&lt;=0,$AM88="Não"),H88,H88+INDEX($AO$6:$BR$176,ROW()-5,COLUMN()-40-$AI88)))*IF($B88="Operacional",IFERROR(VLOOKUP($C88,SN_UGC,28,0),0),1)</f>
        <v>0</v>
      </c>
      <c r="AT88" s="140">
        <f t="array" ref="AT88">IF(ISBLANK($A88),0,IF(OR(AT$5-$AI88&lt;=0,$AM88="Não"),I88,I88+INDEX($AO$6:$BR$176,ROW()-5,COLUMN()-40-$AI88)))*IF($B88="Operacional",IFERROR(VLOOKUP($C88,SN_UGC,28,0),0),1)</f>
        <v>0</v>
      </c>
      <c r="AU88" s="140">
        <f t="array" ref="AU88">IF(ISBLANK($A88),0,IF(OR(AU$5-$AI88&lt;=0,$AM88="Não"),J88,J88+INDEX($AO$6:$BR$176,ROW()-5,COLUMN()-40-$AI88)))*IF($B88="Operacional",IFERROR(VLOOKUP($C88,SN_UGC,28,0),0),1)</f>
        <v>0</v>
      </c>
      <c r="AV88" s="140">
        <f t="array" ref="AV88">IF(ISBLANK($A88),0,IF(OR(AV$5-$AI88&lt;=0,$AM88="Não"),K88,K88+INDEX($AO$6:$BR$176,ROW()-5,COLUMN()-40-$AI88)))*IF($B88="Operacional",IFERROR(VLOOKUP($C88,SN_UGC,28,0),0),1)</f>
        <v>0</v>
      </c>
      <c r="AW88" s="140">
        <f t="array" ref="AW88">IF(ISBLANK($A88),0,IF(OR(AW$5-$AI88&lt;=0,$AM88="Não"),L88,L88+INDEX($AO$6:$BR$176,ROW()-5,COLUMN()-40-$AI88)))*IF($B88="Operacional",IFERROR(VLOOKUP($C88,SN_UGC,28,0),0),1)</f>
        <v>0</v>
      </c>
      <c r="AX88" s="140">
        <f t="array" ref="AX88">IF(ISBLANK($A88),0,IF(OR(AX$5-$AI88&lt;=0,$AM88="Não"),M88,M88+INDEX($AO$6:$BR$176,ROW()-5,COLUMN()-40-$AI88)))*IF($B88="Operacional",IFERROR(VLOOKUP($C88,SN_UGC,28,0),0),1)</f>
        <v>0</v>
      </c>
      <c r="AY88" s="140">
        <f t="array" ref="AY88">IF(ISBLANK($A88),0,IF(OR(AY$5-$AI88&lt;=0,$AM88="Não"),N88,N88+INDEX($AO$6:$BR$176,ROW()-5,COLUMN()-40-$AI88)))*IF($B88="Operacional",IFERROR(VLOOKUP($C88,SN_UGC,28,0),0),1)</f>
        <v>0</v>
      </c>
      <c r="AZ88" s="140">
        <f t="array" ref="AZ88">IF(ISBLANK($A88),0,IF(OR(AZ$5-$AI88&lt;=0,$AM88="Não"),O88,O88+INDEX($AO$6:$BR$176,ROW()-5,COLUMN()-40-$AI88)))*IF($B88="Operacional",IFERROR(VLOOKUP($C88,SN_UGC,28,0),0),1)</f>
        <v>0</v>
      </c>
      <c r="BA88" s="140">
        <f t="array" ref="BA88">IF(ISBLANK($A88),0,IF(OR(BA$5-$AI88&lt;=0,$AM88="Não"),P88,P88+INDEX($AO$6:$BR$176,ROW()-5,COLUMN()-40-$AI88)))*IF($B88="Operacional",IFERROR(VLOOKUP($C88,SN_UGC,28,0),0),1)</f>
        <v>0</v>
      </c>
      <c r="BB88" s="140">
        <f t="array" ref="BB88">IF(ISBLANK($A88),0,IF(OR(BB$5-$AI88&lt;=0,$AM88="Não"),Q88,Q88+INDEX($AO$6:$BR$176,ROW()-5,COLUMN()-40-$AI88)))*IF($B88="Operacional",IFERROR(VLOOKUP($C88,SN_UGC,28,0),0),1)</f>
        <v>0</v>
      </c>
      <c r="BC88" s="140">
        <f t="array" ref="BC88">IF(ISBLANK($A88),0,IF(OR(BC$5-$AI88&lt;=0,$AM88="Não"),R88,R88+INDEX($AO$6:$BR$176,ROW()-5,COLUMN()-40-$AI88)))*IF($B88="Operacional",IFERROR(VLOOKUP($C88,SN_UGC,28,0),0),1)</f>
        <v>0</v>
      </c>
      <c r="BD88" s="140">
        <f t="array" ref="BD88">IF(ISBLANK($A88),0,IF(OR(BD$5-$AI88&lt;=0,$AM88="Não"),S88,S88+INDEX($AO$6:$BR$176,ROW()-5,COLUMN()-40-$AI88)))*IF($B88="Operacional",IFERROR(VLOOKUP($C88,SN_UGC,28,0),0),1)</f>
        <v>0</v>
      </c>
      <c r="BE88" s="140">
        <f t="array" ref="BE88">IF(ISBLANK($A88),0,IF(OR(BE$5-$AI88&lt;=0,$AM88="Não"),T88,T88+INDEX($AO$6:$BR$176,ROW()-5,COLUMN()-40-$AI88)))*IF($B88="Operacional",IFERROR(VLOOKUP($C88,SN_UGC,28,0),0),1)</f>
        <v>0</v>
      </c>
      <c r="BF88" s="140">
        <f t="array" ref="BF88">IF(ISBLANK($A88),0,IF(OR(BF$5-$AI88&lt;=0,$AM88="Não"),U88,U88+INDEX($AO$6:$BR$176,ROW()-5,COLUMN()-40-$AI88)))*IF($B88="Operacional",IFERROR(VLOOKUP($C88,SN_UGC,28,0),0),1)</f>
        <v>0</v>
      </c>
      <c r="BG88" s="140">
        <f t="array" ref="BG88">IF(ISBLANK($A88),0,IF(OR(BG$5-$AI88&lt;=0,$AM88="Não"),V88,V88+INDEX($AO$6:$BR$176,ROW()-5,COLUMN()-40-$AI88)))*IF($B88="Operacional",IFERROR(VLOOKUP($C88,SN_UGC,28,0),0),1)</f>
        <v>0</v>
      </c>
      <c r="BH88" s="140">
        <f t="array" ref="BH88">IF(ISBLANK($A88),0,IF(OR(BH$5-$AI88&lt;=0,$AM88="Não"),W88,W88+INDEX($AO$6:$BR$176,ROW()-5,COLUMN()-40-$AI88)))*IF($B88="Operacional",IFERROR(VLOOKUP($C88,SN_UGC,28,0),0),1)</f>
        <v>0</v>
      </c>
      <c r="BI88" s="140">
        <f t="array" ref="BI88">IF(ISBLANK($A88),0,IF(OR(BI$5-$AI88&lt;=0,$AM88="Não"),X88,X88+INDEX($AO$6:$BR$176,ROW()-5,COLUMN()-40-$AI88)))*IF($B88="Operacional",IFERROR(VLOOKUP($C88,SN_UGC,28,0),0),1)</f>
        <v>0</v>
      </c>
      <c r="BJ88" s="140">
        <f t="array" ref="BJ88">IF(ISBLANK($A88),0,IF(OR(BJ$5-$AI88&lt;=0,$AM88="Não"),Y88,Y88+INDEX($AO$6:$BR$176,ROW()-5,COLUMN()-40-$AI88)))*IF($B88="Operacional",IFERROR(VLOOKUP($C88,SN_UGC,28,0),0),1)</f>
        <v>0</v>
      </c>
      <c r="BK88" s="140">
        <f t="array" ref="BK88">IF(ISBLANK($A88),0,IF(OR(BK$5-$AI88&lt;=0,$AM88="Não"),Z88,Z88+INDEX($AO$6:$BR$176,ROW()-5,COLUMN()-40-$AI88)))*IF($B88="Operacional",IFERROR(VLOOKUP($C88,SN_UGC,28,0),0),1)</f>
        <v>0</v>
      </c>
      <c r="BL88" s="140">
        <f t="array" ref="BL88">IF(ISBLANK($A88),0,IF(OR(BL$5-$AI88&lt;=0,$AM88="Não"),AA88,AA88+INDEX($AO$6:$BR$176,ROW()-5,COLUMN()-40-$AI88)))*IF($B88="Operacional",IFERROR(VLOOKUP($C88,SN_UGC,28,0),0),1)</f>
        <v>0</v>
      </c>
      <c r="BM88" s="140">
        <f t="array" ref="BM88">IF(ISBLANK($A88),0,IF(OR(BM$5-$AI88&lt;=0,$AM88="Não"),AB88,AB88+INDEX($AO$6:$BR$176,ROW()-5,COLUMN()-40-$AI88)))*IF($B88="Operacional",IFERROR(VLOOKUP($C88,SN_UGC,28,0),0),1)</f>
        <v>0</v>
      </c>
      <c r="BN88" s="140">
        <f t="array" ref="BN88">IF(ISBLANK($A88),0,IF(OR(BN$5-$AI88&lt;=0,$AM88="Não"),AC88,AC88+INDEX($AO$6:$BR$176,ROW()-5,COLUMN()-40-$AI88)))*IF($B88="Operacional",IFERROR(VLOOKUP($C88,SN_UGC,28,0),0),1)</f>
        <v>0</v>
      </c>
      <c r="BO88" s="140">
        <f t="array" ref="BO88">IF(ISBLANK($A88),0,IF(OR(BO$5-$AI88&lt;=0,$AM88="Não"),AD88,AD88+INDEX($AO$6:$BR$176,ROW()-5,COLUMN()-40-$AI88)))*IF($B88="Operacional",IFERROR(VLOOKUP($C88,SN_UGC,28,0),0),1)</f>
        <v>0</v>
      </c>
      <c r="BP88" s="140">
        <f t="array" ref="BP88">IF(ISBLANK($A88),0,IF(OR(BP$5-$AI88&lt;=0,$AM88="Não"),AE88,AE88+INDEX($AO$6:$BR$176,ROW()-5,COLUMN()-40-$AI88)))*IF($B88="Operacional",IFERROR(VLOOKUP($C88,SN_UGC,28,0),0),1)</f>
        <v>0</v>
      </c>
      <c r="BQ88" s="140">
        <f t="array" ref="BQ88">IF(ISBLANK($A88),0,IF(OR(BQ$5-$AI88&lt;=0,$AM88="Não"),AF88,AF88+INDEX($AO$6:$BR$176,ROW()-5,COLUMN()-40-$AI88)))*IF($B88="Operacional",IFERROR(VLOOKUP($C88,SN_UGC,28,0),0),1)</f>
        <v>0</v>
      </c>
      <c r="BR88" s="140">
        <f t="array" ref="BR88">IF(ISBLANK($A88),0,IF(OR(BR$5-$AI88&lt;=0,$AM88="Não"),AG88,AG88+INDEX($AO$6:$BR$176,ROW()-5,COLUMN()-40-$AI88)))*IF($B88="Operacional",IFERROR(VLOOKUP($C88,SN_UGC,28,0),0),1)</f>
        <v>0</v>
      </c>
      <c r="BS88" s="141">
        <f t="shared" ref="BS88:CV88" si="446">IF(ISBLANK($A88),0,$AH88*AO88)</f>
        <v>495000.00000000006</v>
      </c>
      <c r="BT88" s="141">
        <f t="shared" si="446"/>
        <v>0</v>
      </c>
      <c r="BU88" s="141">
        <f t="shared" si="446"/>
        <v>0</v>
      </c>
      <c r="BV88" s="141">
        <f t="shared" si="446"/>
        <v>0</v>
      </c>
      <c r="BW88" s="141">
        <f t="shared" si="446"/>
        <v>0</v>
      </c>
      <c r="BX88" s="141">
        <f t="shared" si="446"/>
        <v>0</v>
      </c>
      <c r="BY88" s="141">
        <f t="shared" si="446"/>
        <v>0</v>
      </c>
      <c r="BZ88" s="141">
        <f t="shared" si="446"/>
        <v>0</v>
      </c>
      <c r="CA88" s="141">
        <f t="shared" si="446"/>
        <v>0</v>
      </c>
      <c r="CB88" s="141">
        <f t="shared" si="446"/>
        <v>0</v>
      </c>
      <c r="CC88" s="141">
        <f t="shared" si="446"/>
        <v>0</v>
      </c>
      <c r="CD88" s="141">
        <f t="shared" si="446"/>
        <v>0</v>
      </c>
      <c r="CE88" s="141">
        <f t="shared" si="446"/>
        <v>0</v>
      </c>
      <c r="CF88" s="141">
        <f t="shared" si="446"/>
        <v>0</v>
      </c>
      <c r="CG88" s="141">
        <f t="shared" si="446"/>
        <v>0</v>
      </c>
      <c r="CH88" s="141">
        <f t="shared" si="446"/>
        <v>0</v>
      </c>
      <c r="CI88" s="141">
        <f t="shared" si="446"/>
        <v>0</v>
      </c>
      <c r="CJ88" s="141">
        <f t="shared" si="446"/>
        <v>0</v>
      </c>
      <c r="CK88" s="141">
        <f t="shared" si="446"/>
        <v>0</v>
      </c>
      <c r="CL88" s="141">
        <f t="shared" si="446"/>
        <v>0</v>
      </c>
      <c r="CM88" s="141">
        <f t="shared" si="446"/>
        <v>0</v>
      </c>
      <c r="CN88" s="141">
        <f t="shared" si="446"/>
        <v>0</v>
      </c>
      <c r="CO88" s="141">
        <f t="shared" si="446"/>
        <v>0</v>
      </c>
      <c r="CP88" s="141">
        <f t="shared" si="446"/>
        <v>0</v>
      </c>
      <c r="CQ88" s="141">
        <f t="shared" si="446"/>
        <v>0</v>
      </c>
      <c r="CR88" s="141">
        <f t="shared" si="446"/>
        <v>0</v>
      </c>
      <c r="CS88" s="141">
        <f t="shared" si="446"/>
        <v>0</v>
      </c>
      <c r="CT88" s="141">
        <f t="shared" si="446"/>
        <v>0</v>
      </c>
      <c r="CU88" s="141">
        <f t="shared" si="446"/>
        <v>0</v>
      </c>
      <c r="CV88" s="141">
        <f t="shared" si="446"/>
        <v>0</v>
      </c>
      <c r="CW88" s="142">
        <f t="shared" ref="CW88:DZ88" si="447">EA88*$AH88*$AJ88</f>
        <v>0</v>
      </c>
      <c r="CX88" s="142">
        <f t="shared" si="447"/>
        <v>0</v>
      </c>
      <c r="CY88" s="142">
        <f t="shared" si="447"/>
        <v>0</v>
      </c>
      <c r="CZ88" s="142">
        <f t="shared" si="447"/>
        <v>0</v>
      </c>
      <c r="DA88" s="142">
        <f t="shared" si="447"/>
        <v>0</v>
      </c>
      <c r="DB88" s="142">
        <f t="shared" si="447"/>
        <v>0</v>
      </c>
      <c r="DC88" s="142">
        <f t="shared" si="447"/>
        <v>0</v>
      </c>
      <c r="DD88" s="142">
        <f t="shared" si="447"/>
        <v>0</v>
      </c>
      <c r="DE88" s="142">
        <f t="shared" si="447"/>
        <v>0</v>
      </c>
      <c r="DF88" s="142">
        <f t="shared" si="447"/>
        <v>0</v>
      </c>
      <c r="DG88" s="142">
        <f t="shared" si="447"/>
        <v>0</v>
      </c>
      <c r="DH88" s="142">
        <f t="shared" si="447"/>
        <v>0</v>
      </c>
      <c r="DI88" s="142">
        <f t="shared" si="447"/>
        <v>0</v>
      </c>
      <c r="DJ88" s="142">
        <f t="shared" si="447"/>
        <v>0</v>
      </c>
      <c r="DK88" s="142">
        <f t="shared" si="447"/>
        <v>0</v>
      </c>
      <c r="DL88" s="142">
        <f t="shared" si="447"/>
        <v>0</v>
      </c>
      <c r="DM88" s="142">
        <f t="shared" si="447"/>
        <v>0</v>
      </c>
      <c r="DN88" s="142">
        <f t="shared" si="447"/>
        <v>0</v>
      </c>
      <c r="DO88" s="142">
        <f t="shared" si="447"/>
        <v>0</v>
      </c>
      <c r="DP88" s="142">
        <f t="shared" si="447"/>
        <v>0</v>
      </c>
      <c r="DQ88" s="142">
        <f t="shared" si="447"/>
        <v>0</v>
      </c>
      <c r="DR88" s="142">
        <f t="shared" si="447"/>
        <v>0</v>
      </c>
      <c r="DS88" s="142">
        <f t="shared" si="447"/>
        <v>0</v>
      </c>
      <c r="DT88" s="142">
        <f t="shared" si="447"/>
        <v>0</v>
      </c>
      <c r="DU88" s="142">
        <f t="shared" si="447"/>
        <v>0</v>
      </c>
      <c r="DV88" s="142">
        <f t="shared" si="447"/>
        <v>0</v>
      </c>
      <c r="DW88" s="142">
        <f t="shared" si="447"/>
        <v>0</v>
      </c>
      <c r="DX88" s="142">
        <f t="shared" si="447"/>
        <v>0</v>
      </c>
      <c r="DY88" s="142">
        <f t="shared" si="447"/>
        <v>0</v>
      </c>
      <c r="DZ88" s="142">
        <f t="shared" si="447"/>
        <v>0</v>
      </c>
      <c r="EA88" s="143">
        <f t="shared" si="339"/>
        <v>0</v>
      </c>
      <c r="EB88" s="143">
        <f t="shared" si="340"/>
        <v>0</v>
      </c>
      <c r="EC88" s="143">
        <f t="shared" si="341"/>
        <v>0</v>
      </c>
      <c r="ED88" s="143">
        <f t="shared" si="342"/>
        <v>0</v>
      </c>
      <c r="EE88" s="143">
        <f t="shared" si="343"/>
        <v>0</v>
      </c>
      <c r="EF88" s="143">
        <f t="shared" si="344"/>
        <v>0</v>
      </c>
      <c r="EG88" s="143">
        <f t="shared" si="345"/>
        <v>0</v>
      </c>
      <c r="EH88" s="143">
        <f t="shared" si="346"/>
        <v>0</v>
      </c>
      <c r="EI88" s="143">
        <f t="shared" si="347"/>
        <v>0</v>
      </c>
      <c r="EJ88" s="143">
        <f t="shared" si="348"/>
        <v>0</v>
      </c>
      <c r="EK88" s="143">
        <f t="shared" si="349"/>
        <v>0</v>
      </c>
      <c r="EL88" s="143">
        <f t="shared" si="350"/>
        <v>0</v>
      </c>
      <c r="EM88" s="143">
        <f t="shared" si="351"/>
        <v>0</v>
      </c>
      <c r="EN88" s="143">
        <f t="shared" si="352"/>
        <v>0</v>
      </c>
      <c r="EO88" s="143">
        <f t="shared" si="353"/>
        <v>0</v>
      </c>
      <c r="EP88" s="143">
        <f t="shared" si="354"/>
        <v>0</v>
      </c>
      <c r="EQ88" s="143">
        <f t="shared" si="355"/>
        <v>0</v>
      </c>
      <c r="ER88" s="143">
        <f t="shared" si="356"/>
        <v>0</v>
      </c>
      <c r="ES88" s="143">
        <f t="shared" si="357"/>
        <v>0</v>
      </c>
      <c r="ET88" s="143">
        <f t="shared" si="358"/>
        <v>0</v>
      </c>
      <c r="EU88" s="143">
        <f t="shared" si="359"/>
        <v>0</v>
      </c>
      <c r="EV88" s="143">
        <f t="shared" si="360"/>
        <v>0</v>
      </c>
      <c r="EW88" s="143">
        <f t="shared" si="361"/>
        <v>0</v>
      </c>
      <c r="EX88" s="143">
        <f t="shared" si="362"/>
        <v>0</v>
      </c>
      <c r="EY88" s="143">
        <f t="shared" si="363"/>
        <v>0</v>
      </c>
      <c r="EZ88" s="143">
        <f t="shared" si="364"/>
        <v>0</v>
      </c>
      <c r="FA88" s="143">
        <f t="shared" si="365"/>
        <v>0</v>
      </c>
      <c r="FB88" s="143">
        <f t="shared" si="366"/>
        <v>0</v>
      </c>
      <c r="FC88" s="143">
        <f t="shared" si="367"/>
        <v>0</v>
      </c>
      <c r="FD88" s="143">
        <f t="shared" si="368"/>
        <v>0</v>
      </c>
      <c r="FE88" s="140">
        <f>SUM($D88:D88)*IF($B88="Operacional",IFERROR(VLOOKUP($C88,SN_UGC,28,0),0),1)</f>
        <v>1</v>
      </c>
      <c r="FF88" s="140">
        <f>SUM($D88:E88)*IF($B88="Operacional",IFERROR(VLOOKUP($C88,SN_UGC,28,0),0),1)</f>
        <v>1</v>
      </c>
      <c r="FG88" s="140">
        <f>SUM($D88:F88)*IF($B88="Operacional",IFERROR(VLOOKUP($C88,SN_UGC,28,0),0),1)</f>
        <v>1</v>
      </c>
      <c r="FH88" s="140">
        <f>SUM($D88:G88)*IF($B88="Operacional",IFERROR(VLOOKUP($C88,SN_UGC,28,0),0),1)</f>
        <v>1</v>
      </c>
      <c r="FI88" s="140">
        <f>SUM($D88:H88)*IF($B88="Operacional",IFERROR(VLOOKUP($C88,SN_UGC,28,0),0),1)</f>
        <v>1</v>
      </c>
      <c r="FJ88" s="140">
        <f>SUM($D88:I88)*IF($B88="Operacional",IFERROR(VLOOKUP($C88,SN_UGC,28,0),0),1)</f>
        <v>1</v>
      </c>
      <c r="FK88" s="140">
        <f>SUM($D88:J88)*IF($B88="Operacional",IFERROR(VLOOKUP($C88,SN_UGC,28,0),0),1)</f>
        <v>1</v>
      </c>
      <c r="FL88" s="140">
        <f>SUM($D88:K88)*IF($B88="Operacional",IFERROR(VLOOKUP($C88,SN_UGC,28,0),0),1)</f>
        <v>1</v>
      </c>
      <c r="FM88" s="140">
        <f>SUM($D88:L88)*IF($B88="Operacional",IFERROR(VLOOKUP($C88,SN_UGC,28,0),0),1)</f>
        <v>1</v>
      </c>
      <c r="FN88" s="140">
        <f>SUM($D88:M88)*IF($B88="Operacional",IFERROR(VLOOKUP($C88,SN_UGC,28,0),0),1)</f>
        <v>1</v>
      </c>
      <c r="FO88" s="140">
        <f>SUM($D88:N88)*IF($B88="Operacional",IFERROR(VLOOKUP($C88,SN_UGC,28,0),0),1)</f>
        <v>1</v>
      </c>
      <c r="FP88" s="140">
        <f>SUM($D88:O88)*IF($B88="Operacional",IFERROR(VLOOKUP($C88,SN_UGC,28,0),0),1)</f>
        <v>1</v>
      </c>
      <c r="FQ88" s="140">
        <f>SUM($D88:P88)*IF($B88="Operacional",IFERROR(VLOOKUP($C88,SN_UGC,28,0),0),1)</f>
        <v>1</v>
      </c>
      <c r="FR88" s="140">
        <f>SUM($D88:Q88)*IF($B88="Operacional",IFERROR(VLOOKUP($C88,SN_UGC,28,0),0),1)</f>
        <v>1</v>
      </c>
      <c r="FS88" s="140">
        <f>SUM($D88:R88)*IF($B88="Operacional",IFERROR(VLOOKUP($C88,SN_UGC,28,0),0),1)</f>
        <v>1</v>
      </c>
      <c r="FT88" s="140">
        <f>SUM($D88:S88)*IF($B88="Operacional",IFERROR(VLOOKUP($C88,SN_UGC,28,0),0),1)</f>
        <v>1</v>
      </c>
      <c r="FU88" s="140">
        <f>SUM($D88:T88)*IF($B88="Operacional",IFERROR(VLOOKUP($C88,SN_UGC,28,0),0),1)</f>
        <v>1</v>
      </c>
      <c r="FV88" s="140">
        <f>SUM($D88:U88)*IF($B88="Operacional",IFERROR(VLOOKUP($C88,SN_UGC,28,0),0),1)</f>
        <v>1</v>
      </c>
      <c r="FW88" s="140">
        <f>SUM($D88:V88)*IF($B88="Operacional",IFERROR(VLOOKUP($C88,SN_UGC,28,0),0),1)</f>
        <v>1</v>
      </c>
      <c r="FX88" s="140">
        <f>SUM($D88:W88)*IF($B88="Operacional",IFERROR(VLOOKUP($C88,SN_UGC,28,0),0),1)</f>
        <v>1</v>
      </c>
      <c r="FY88" s="140">
        <f>SUM($D88:X88)*IF($B88="Operacional",IFERROR(VLOOKUP($C88,SN_UGC,28,0),0),1)</f>
        <v>1</v>
      </c>
      <c r="FZ88" s="140">
        <f>SUM($D88:Y88)*IF($B88="Operacional",IFERROR(VLOOKUP($C88,SN_UGC,28,0),0),1)</f>
        <v>1</v>
      </c>
      <c r="GA88" s="140">
        <f>SUM($D88:Z88)*IF($B88="Operacional",IFERROR(VLOOKUP($C88,SN_UGC,28,0),0),1)</f>
        <v>1</v>
      </c>
      <c r="GB88" s="140">
        <f>SUM($D88:AA88)*IF($B88="Operacional",IFERROR(VLOOKUP($C88,SN_UGC,28,0),0),1)</f>
        <v>1</v>
      </c>
      <c r="GC88" s="140">
        <f>SUM($D88:AB88)*IF($B88="Operacional",IFERROR(VLOOKUP($C88,SN_UGC,28,0),0),1)</f>
        <v>1</v>
      </c>
      <c r="GD88" s="140">
        <f>SUM($D88:AC88)*IF($B88="Operacional",IFERROR(VLOOKUP($C88,SN_UGC,28,0),0),1)</f>
        <v>1</v>
      </c>
      <c r="GE88" s="140">
        <f>SUM($D88:AD88)*IF($B88="Operacional",IFERROR(VLOOKUP($C88,SN_UGC,28,0),0),1)</f>
        <v>1</v>
      </c>
      <c r="GF88" s="140">
        <f>SUM($D88:AE88)*IF($B88="Operacional",IFERROR(VLOOKUP($C88,SN_UGC,28,0),0),1)</f>
        <v>1</v>
      </c>
      <c r="GG88" s="140">
        <f>SUM($D88:AF88)*IF($B88="Operacional",IFERROR(VLOOKUP($C88,SN_UGC,28,0),0),1)</f>
        <v>1</v>
      </c>
      <c r="GH88" s="140">
        <f>SUM($D88:AG88)*IF($B88="Operacional",IFERROR(VLOOKUP($C88,SN_UGC,28,0),0),1)</f>
        <v>1</v>
      </c>
      <c r="GI88" s="141">
        <f t="shared" ref="GI88:HL88" si="448">FE88*$AH88*$AL88</f>
        <v>0</v>
      </c>
      <c r="GJ88" s="141">
        <f t="shared" si="448"/>
        <v>0</v>
      </c>
      <c r="GK88" s="141">
        <f t="shared" si="448"/>
        <v>0</v>
      </c>
      <c r="GL88" s="141">
        <f t="shared" si="448"/>
        <v>0</v>
      </c>
      <c r="GM88" s="141">
        <f t="shared" si="448"/>
        <v>0</v>
      </c>
      <c r="GN88" s="141">
        <f t="shared" si="448"/>
        <v>0</v>
      </c>
      <c r="GO88" s="141">
        <f t="shared" si="448"/>
        <v>0</v>
      </c>
      <c r="GP88" s="141">
        <f t="shared" si="448"/>
        <v>0</v>
      </c>
      <c r="GQ88" s="141">
        <f t="shared" si="448"/>
        <v>0</v>
      </c>
      <c r="GR88" s="141">
        <f t="shared" si="448"/>
        <v>0</v>
      </c>
      <c r="GS88" s="141">
        <f t="shared" si="448"/>
        <v>0</v>
      </c>
      <c r="GT88" s="141">
        <f t="shared" si="448"/>
        <v>0</v>
      </c>
      <c r="GU88" s="141">
        <f t="shared" si="448"/>
        <v>0</v>
      </c>
      <c r="GV88" s="141">
        <f t="shared" si="448"/>
        <v>0</v>
      </c>
      <c r="GW88" s="141">
        <f t="shared" si="448"/>
        <v>0</v>
      </c>
      <c r="GX88" s="141">
        <f t="shared" si="448"/>
        <v>0</v>
      </c>
      <c r="GY88" s="141">
        <f t="shared" si="448"/>
        <v>0</v>
      </c>
      <c r="GZ88" s="141">
        <f t="shared" si="448"/>
        <v>0</v>
      </c>
      <c r="HA88" s="141">
        <f t="shared" si="448"/>
        <v>0</v>
      </c>
      <c r="HB88" s="141">
        <f t="shared" si="448"/>
        <v>0</v>
      </c>
      <c r="HC88" s="141">
        <f t="shared" si="448"/>
        <v>0</v>
      </c>
      <c r="HD88" s="141">
        <f t="shared" si="448"/>
        <v>0</v>
      </c>
      <c r="HE88" s="141">
        <f t="shared" si="448"/>
        <v>0</v>
      </c>
      <c r="HF88" s="141">
        <f t="shared" si="448"/>
        <v>0</v>
      </c>
      <c r="HG88" s="141">
        <f t="shared" si="448"/>
        <v>0</v>
      </c>
      <c r="HH88" s="141">
        <f t="shared" si="448"/>
        <v>0</v>
      </c>
      <c r="HI88" s="141">
        <f t="shared" si="448"/>
        <v>0</v>
      </c>
      <c r="HJ88" s="141">
        <f t="shared" si="448"/>
        <v>0</v>
      </c>
      <c r="HK88" s="141">
        <f t="shared" si="448"/>
        <v>0</v>
      </c>
      <c r="HL88" s="141">
        <f t="shared" si="448"/>
        <v>0</v>
      </c>
      <c r="HM88" s="142">
        <f t="shared" ref="HM88:IP88" si="449">IF(ISBLANK($A88),,FE88*($AH88-($AH88*$AJ88))/$AI88)</f>
        <v>0</v>
      </c>
      <c r="HN88" s="142">
        <f t="shared" si="449"/>
        <v>0</v>
      </c>
      <c r="HO88" s="142">
        <f t="shared" si="449"/>
        <v>0</v>
      </c>
      <c r="HP88" s="142">
        <f t="shared" si="449"/>
        <v>0</v>
      </c>
      <c r="HQ88" s="142">
        <f t="shared" si="449"/>
        <v>0</v>
      </c>
      <c r="HR88" s="142">
        <f t="shared" si="449"/>
        <v>0</v>
      </c>
      <c r="HS88" s="142">
        <f t="shared" si="449"/>
        <v>0</v>
      </c>
      <c r="HT88" s="142">
        <f t="shared" si="449"/>
        <v>0</v>
      </c>
      <c r="HU88" s="142">
        <f t="shared" si="449"/>
        <v>0</v>
      </c>
      <c r="HV88" s="142">
        <f t="shared" si="449"/>
        <v>0</v>
      </c>
      <c r="HW88" s="142">
        <f t="shared" si="449"/>
        <v>0</v>
      </c>
      <c r="HX88" s="142">
        <f t="shared" si="449"/>
        <v>0</v>
      </c>
      <c r="HY88" s="142">
        <f t="shared" si="449"/>
        <v>0</v>
      </c>
      <c r="HZ88" s="142">
        <f t="shared" si="449"/>
        <v>0</v>
      </c>
      <c r="IA88" s="142">
        <f t="shared" si="449"/>
        <v>0</v>
      </c>
      <c r="IB88" s="142">
        <f t="shared" si="449"/>
        <v>0</v>
      </c>
      <c r="IC88" s="142">
        <f t="shared" si="449"/>
        <v>0</v>
      </c>
      <c r="ID88" s="142">
        <f t="shared" si="449"/>
        <v>0</v>
      </c>
      <c r="IE88" s="142">
        <f t="shared" si="449"/>
        <v>0</v>
      </c>
      <c r="IF88" s="142">
        <f t="shared" si="449"/>
        <v>0</v>
      </c>
      <c r="IG88" s="142">
        <f t="shared" si="449"/>
        <v>0</v>
      </c>
      <c r="IH88" s="142">
        <f t="shared" si="449"/>
        <v>0</v>
      </c>
      <c r="II88" s="142">
        <f t="shared" si="449"/>
        <v>0</v>
      </c>
      <c r="IJ88" s="142">
        <f t="shared" si="449"/>
        <v>0</v>
      </c>
      <c r="IK88" s="142">
        <f t="shared" si="449"/>
        <v>0</v>
      </c>
      <c r="IL88" s="142">
        <f t="shared" si="449"/>
        <v>0</v>
      </c>
      <c r="IM88" s="142">
        <f t="shared" si="449"/>
        <v>0</v>
      </c>
      <c r="IN88" s="142">
        <f t="shared" si="449"/>
        <v>0</v>
      </c>
      <c r="IO88" s="142">
        <f t="shared" si="449"/>
        <v>0</v>
      </c>
      <c r="IP88" s="142">
        <f t="shared" si="449"/>
        <v>0</v>
      </c>
      <c r="IQ88" s="141">
        <f>IF(ISBLANK($A88),,IF($AN88="Não",0,(SUM($AO88:AO88)*$AH88)-SUM($HM88:HM88)-SUM($CW88:CW88)))</f>
        <v>495000.00000000006</v>
      </c>
      <c r="IR88" s="141">
        <f>IF(ISBLANK($A88),,IF($AN88="Não",0,(SUM($AO88:AP88)*$AH88)-SUM($HM88:HN88)-SUM($CW88:CX88)))</f>
        <v>495000.00000000006</v>
      </c>
      <c r="IS88" s="141">
        <f>IF(ISBLANK($A88),,IF($AN88="Não",0,(SUM($AO88:AQ88)*$AH88)-SUM($HM88:HO88)-SUM($CW88:CY88)))</f>
        <v>495000.00000000006</v>
      </c>
      <c r="IT88" s="141">
        <f>IF(ISBLANK($A88),,IF($AN88="Não",0,(SUM($AO88:AR88)*$AH88)-SUM($HM88:HP88)-SUM($CW88:CZ88)))</f>
        <v>495000.00000000006</v>
      </c>
      <c r="IU88" s="141">
        <f>IF(ISBLANK($A88),,IF($AN88="Não",0,(SUM($AO88:AS88)*$AH88)-SUM($HM88:HQ88)-SUM($CW88:DA88)))</f>
        <v>495000.00000000006</v>
      </c>
      <c r="IV88" s="141">
        <f>IF(ISBLANK($A88),,IF($AN88="Não",0,(SUM($AO88:AT88)*$AH88)-SUM($HM88:HR88)-SUM($CW88:DB88)))</f>
        <v>495000.00000000006</v>
      </c>
      <c r="IW88" s="141">
        <f>IF(ISBLANK($A88),,IF($AN88="Não",0,(SUM($AO88:AU88)*$AH88)-SUM($HM88:HS88)-SUM($CW88:DC88)))</f>
        <v>495000.00000000006</v>
      </c>
      <c r="IX88" s="141">
        <f>IF(ISBLANK($A88),,IF($AN88="Não",0,(SUM($AO88:AV88)*$AH88)-SUM($HM88:HT88)-SUM($CW88:DD88)))</f>
        <v>495000.00000000006</v>
      </c>
      <c r="IY88" s="141">
        <f>IF(ISBLANK($A88),,IF($AN88="Não",0,(SUM($AO88:AW88)*$AH88)-SUM($HM88:HU88)-SUM($CW88:DE88)))</f>
        <v>495000.00000000006</v>
      </c>
      <c r="IZ88" s="141">
        <f>IF(ISBLANK($A88),,IF($AN88="Não",0,(SUM($AO88:AX88)*$AH88)-SUM($HM88:HV88)-SUM($CW88:DF88)))</f>
        <v>495000.00000000006</v>
      </c>
      <c r="JA88" s="141">
        <f>IF(ISBLANK($A88),,IF($AN88="Não",0,(SUM($AO88:AY88)*$AH88)-SUM($HM88:HW88)-SUM($CW88:DG88)))</f>
        <v>495000.00000000006</v>
      </c>
      <c r="JB88" s="141">
        <f>IF(ISBLANK($A88),,IF($AN88="Não",0,(SUM($AO88:AZ88)*$AH88)-SUM($HM88:HX88)-SUM($CW88:DH88)))</f>
        <v>495000.00000000006</v>
      </c>
      <c r="JC88" s="141">
        <f>IF(ISBLANK($A88),,IF($AN88="Não",0,(SUM($AO88:BA88)*$AH88)-SUM($HM88:HY88)-SUM($CW88:DI88)))</f>
        <v>495000.00000000006</v>
      </c>
      <c r="JD88" s="141">
        <f>IF(ISBLANK($A88),,IF($AN88="Não",0,(SUM($AO88:BB88)*$AH88)-SUM($HM88:HZ88)-SUM($CW88:DJ88)))</f>
        <v>495000.00000000006</v>
      </c>
      <c r="JE88" s="141">
        <f>IF(ISBLANK($A88),,IF($AN88="Não",0,(SUM($AO88:BC88)*$AH88)-SUM($HM88:IA88)-SUM($CW88:DK88)))</f>
        <v>495000.00000000006</v>
      </c>
      <c r="JF88" s="141">
        <f>IF(ISBLANK($A88),,IF($AN88="Não",0,(SUM($AO88:BD88)*$AH88)-SUM($HM88:IB88)-SUM($CW88:DL88)))</f>
        <v>495000.00000000006</v>
      </c>
      <c r="JG88" s="141">
        <f>IF(ISBLANK($A88),,IF($AN88="Não",0,(SUM($AO88:BE88)*$AH88)-SUM($HM88:IC88)-SUM($CW88:DM88)))</f>
        <v>495000.00000000006</v>
      </c>
      <c r="JH88" s="141">
        <f>IF(ISBLANK($A88),,IF($AN88="Não",0,(SUM($AO88:BF88)*$AH88)-SUM($HM88:ID88)-SUM($CW88:DN88)))</f>
        <v>495000.00000000006</v>
      </c>
      <c r="JI88" s="141">
        <f>IF(ISBLANK($A88),,IF($AN88="Não",0,(SUM($AO88:BG88)*$AH88)-SUM($HM88:IE88)-SUM($CW88:DO88)))</f>
        <v>495000.00000000006</v>
      </c>
      <c r="JJ88" s="141">
        <f>IF(ISBLANK($A88),,IF($AN88="Não",0,(SUM($AO88:BH88)*$AH88)-SUM($HM88:IF88)-SUM($CW88:DP88)))</f>
        <v>495000.00000000006</v>
      </c>
      <c r="JK88" s="141">
        <f>IF(ISBLANK($A88),,IF($AN88="Não",0,(SUM($AO88:BI88)*$AH88)-SUM($HM88:IG88)-SUM($CW88:DQ88)))</f>
        <v>495000.00000000006</v>
      </c>
      <c r="JL88" s="141">
        <f>IF(ISBLANK($A88),,IF($AN88="Não",0,(SUM($AO88:BJ88)*$AH88)-SUM($HM88:IH88)-SUM($CW88:DR88)))</f>
        <v>495000.00000000006</v>
      </c>
      <c r="JM88" s="141">
        <f>IF(ISBLANK($A88),,IF($AN88="Não",0,(SUM($AO88:BK88)*$AH88)-SUM($HM88:II88)-SUM($CW88:DS88)))</f>
        <v>495000.00000000006</v>
      </c>
      <c r="JN88" s="141">
        <f>IF(ISBLANK($A88),,IF($AN88="Não",0,(SUM($AO88:BL88)*$AH88)-SUM($HM88:IJ88)-SUM($CW88:DT88)))</f>
        <v>495000.00000000006</v>
      </c>
      <c r="JO88" s="141">
        <f>IF(ISBLANK($A88),,IF($AN88="Não",0,(SUM($AO88:BM88)*$AH88)-SUM($HM88:IK88)-SUM($CW88:DU88)))</f>
        <v>495000.00000000006</v>
      </c>
      <c r="JP88" s="141">
        <f>IF(ISBLANK($A88),,IF($AN88="Não",0,(SUM($AO88:BN88)*$AH88)-SUM($HM88:IL88)-SUM($CW88:DV88)))</f>
        <v>495000.00000000006</v>
      </c>
      <c r="JQ88" s="141">
        <f>IF(ISBLANK($A88),,IF($AN88="Não",0,(SUM($AO88:BO88)*$AH88)-SUM($HM88:IM88)-SUM($CW88:DW88)))</f>
        <v>495000.00000000006</v>
      </c>
      <c r="JR88" s="141">
        <f>IF(ISBLANK($A88),,IF($AN88="Não",0,(SUM($AO88:BP88)*$AH88)-SUM($HM88:IN88)-SUM($CW88:DX88)))</f>
        <v>495000.00000000006</v>
      </c>
      <c r="JS88" s="141">
        <f>IF(ISBLANK($A88),,IF($AN88="Não",0,(SUM($AO88:BQ88)*$AH88)-SUM($HM88:IO88)-SUM($CW88:DY88)))</f>
        <v>495000.00000000006</v>
      </c>
      <c r="JT88" s="141">
        <f>IF(ISBLANK($A88),,IF($AN88="Não",0,(SUM($AO88:BR88)*$AH88)-SUM($HM88:IP88)-SUM($CW88:DZ88)))</f>
        <v>495000.00000000006</v>
      </c>
    </row>
    <row r="89" spans="1:280" ht="15.75" customHeight="1">
      <c r="A89" s="296" t="s">
        <v>362</v>
      </c>
      <c r="B89" s="129" t="s">
        <v>191</v>
      </c>
      <c r="C89" s="138" t="s">
        <v>234</v>
      </c>
      <c r="D89" s="301">
        <f>mc_piso_intertravado!D7</f>
        <v>35200</v>
      </c>
      <c r="E89" s="301">
        <f>mc_piso_intertravado!E7</f>
        <v>35200</v>
      </c>
      <c r="F89" s="301">
        <f>mc_piso_intertravado!F7</f>
        <v>35200</v>
      </c>
      <c r="G89" s="301">
        <f>mc_piso_intertravado!G7</f>
        <v>0</v>
      </c>
      <c r="H89" s="301">
        <f>mc_piso_intertravado!H7</f>
        <v>0</v>
      </c>
      <c r="I89" s="301">
        <f>mc_piso_intertravado!I7</f>
        <v>0</v>
      </c>
      <c r="J89" s="301">
        <f>mc_piso_intertravado!J7</f>
        <v>0</v>
      </c>
      <c r="K89" s="301">
        <f>mc_piso_intertravado!K7</f>
        <v>0</v>
      </c>
      <c r="L89" s="301">
        <f>mc_piso_intertravado!L7</f>
        <v>0</v>
      </c>
      <c r="M89" s="301">
        <f>mc_piso_intertravado!M7</f>
        <v>0</v>
      </c>
      <c r="N89" s="301">
        <f>mc_piso_intertravado!N7</f>
        <v>0</v>
      </c>
      <c r="O89" s="301">
        <f>mc_piso_intertravado!O7</f>
        <v>0</v>
      </c>
      <c r="P89" s="301">
        <f>mc_piso_intertravado!P7</f>
        <v>0</v>
      </c>
      <c r="Q89" s="301">
        <f>mc_piso_intertravado!Q7</f>
        <v>0</v>
      </c>
      <c r="R89" s="301">
        <f>mc_piso_intertravado!R7</f>
        <v>0</v>
      </c>
      <c r="S89" s="301">
        <f>mc_piso_intertravado!S7</f>
        <v>0</v>
      </c>
      <c r="T89" s="301">
        <f>mc_piso_intertravado!T7</f>
        <v>0</v>
      </c>
      <c r="U89" s="301">
        <f>mc_piso_intertravado!U7</f>
        <v>0</v>
      </c>
      <c r="V89" s="301">
        <f>mc_piso_intertravado!V7</f>
        <v>0</v>
      </c>
      <c r="W89" s="301">
        <f>mc_piso_intertravado!W7</f>
        <v>0</v>
      </c>
      <c r="X89" s="301">
        <f>mc_piso_intertravado!X7</f>
        <v>0</v>
      </c>
      <c r="Y89" s="301">
        <f>mc_piso_intertravado!Y7</f>
        <v>0</v>
      </c>
      <c r="Z89" s="301">
        <f>mc_piso_intertravado!Z7</f>
        <v>0</v>
      </c>
      <c r="AA89" s="301">
        <f>mc_piso_intertravado!AA7</f>
        <v>0</v>
      </c>
      <c r="AB89" s="301">
        <f>mc_piso_intertravado!AB7</f>
        <v>0</v>
      </c>
      <c r="AC89" s="301">
        <f>mc_piso_intertravado!AC7</f>
        <v>0</v>
      </c>
      <c r="AD89" s="301">
        <f>mc_piso_intertravado!AD7</f>
        <v>0</v>
      </c>
      <c r="AE89" s="301">
        <f>mc_piso_intertravado!AE7</f>
        <v>0</v>
      </c>
      <c r="AF89" s="301">
        <f>mc_piso_intertravado!AF7</f>
        <v>0</v>
      </c>
      <c r="AG89" s="301">
        <f>mc_piso_intertravado!AG7</f>
        <v>0</v>
      </c>
      <c r="AH89" s="607">
        <f t="shared" si="399"/>
        <v>47.300000000000004</v>
      </c>
      <c r="AI89" s="608">
        <f t="shared" si="400"/>
        <v>30</v>
      </c>
      <c r="AJ89" s="609">
        <f t="shared" si="401"/>
        <v>1</v>
      </c>
      <c r="AK89" s="610" t="str">
        <f t="shared" si="402"/>
        <v>Infraestrutura</v>
      </c>
      <c r="AL89" s="609">
        <f t="shared" si="403"/>
        <v>0.1</v>
      </c>
      <c r="AM89" s="611" t="str">
        <f t="shared" si="404"/>
        <v>Sim</v>
      </c>
      <c r="AN89" s="611" t="str">
        <f t="shared" si="405"/>
        <v>Não</v>
      </c>
      <c r="AO89" s="140">
        <f t="array" ref="AO89">IF(ISBLANK($A89),0,IF(OR(AO$5-$AI89&lt;=0,$AM89="Não"),D89,D89+INDEX($AO$6:$BR$176,ROW()-5,COLUMN()-40-$AI89)))*IF($B89="Operacional",IFERROR(VLOOKUP($C89,SN_UGC,28,0),0),1)</f>
        <v>35200</v>
      </c>
      <c r="AP89" s="140">
        <f t="array" ref="AP89">IF(ISBLANK($A89),0,IF(OR(AP$5-$AI89&lt;=0,$AM89="Não"),E89,E89+INDEX($AO$6:$BR$176,ROW()-5,COLUMN()-40-$AI89)))*IF($B89="Operacional",IFERROR(VLOOKUP($C89,SN_UGC,28,0),0),1)</f>
        <v>35200</v>
      </c>
      <c r="AQ89" s="140">
        <f t="array" ref="AQ89">IF(ISBLANK($A89),0,IF(OR(AQ$5-$AI89&lt;=0,$AM89="Não"),F89,F89+INDEX($AO$6:$BR$176,ROW()-5,COLUMN()-40-$AI89)))*IF($B89="Operacional",IFERROR(VLOOKUP($C89,SN_UGC,28,0),0),1)</f>
        <v>35200</v>
      </c>
      <c r="AR89" s="140">
        <f t="array" ref="AR89">IF(ISBLANK($A89),0,IF(OR(AR$5-$AI89&lt;=0,$AM89="Não"),G89,G89+INDEX($AO$6:$BR$176,ROW()-5,COLUMN()-40-$AI89)))*IF($B89="Operacional",IFERROR(VLOOKUP($C89,SN_UGC,28,0),0),1)</f>
        <v>0</v>
      </c>
      <c r="AS89" s="140">
        <f t="array" ref="AS89">IF(ISBLANK($A89),0,IF(OR(AS$5-$AI89&lt;=0,$AM89="Não"),H89,H89+INDEX($AO$6:$BR$176,ROW()-5,COLUMN()-40-$AI89)))*IF($B89="Operacional",IFERROR(VLOOKUP($C89,SN_UGC,28,0),0),1)</f>
        <v>0</v>
      </c>
      <c r="AT89" s="140">
        <f t="array" ref="AT89">IF(ISBLANK($A89),0,IF(OR(AT$5-$AI89&lt;=0,$AM89="Não"),I89,I89+INDEX($AO$6:$BR$176,ROW()-5,COLUMN()-40-$AI89)))*IF($B89="Operacional",IFERROR(VLOOKUP($C89,SN_UGC,28,0),0),1)</f>
        <v>0</v>
      </c>
      <c r="AU89" s="140">
        <f t="array" ref="AU89">IF(ISBLANK($A89),0,IF(OR(AU$5-$AI89&lt;=0,$AM89="Não"),J89,J89+INDEX($AO$6:$BR$176,ROW()-5,COLUMN()-40-$AI89)))*IF($B89="Operacional",IFERROR(VLOOKUP($C89,SN_UGC,28,0),0),1)</f>
        <v>0</v>
      </c>
      <c r="AV89" s="140">
        <f t="array" ref="AV89">IF(ISBLANK($A89),0,IF(OR(AV$5-$AI89&lt;=0,$AM89="Não"),K89,K89+INDEX($AO$6:$BR$176,ROW()-5,COLUMN()-40-$AI89)))*IF($B89="Operacional",IFERROR(VLOOKUP($C89,SN_UGC,28,0),0),1)</f>
        <v>0</v>
      </c>
      <c r="AW89" s="140">
        <f t="array" ref="AW89">IF(ISBLANK($A89),0,IF(OR(AW$5-$AI89&lt;=0,$AM89="Não"),L89,L89+INDEX($AO$6:$BR$176,ROW()-5,COLUMN()-40-$AI89)))*IF($B89="Operacional",IFERROR(VLOOKUP($C89,SN_UGC,28,0),0),1)</f>
        <v>0</v>
      </c>
      <c r="AX89" s="140">
        <f t="array" ref="AX89">IF(ISBLANK($A89),0,IF(OR(AX$5-$AI89&lt;=0,$AM89="Não"),M89,M89+INDEX($AO$6:$BR$176,ROW()-5,COLUMN()-40-$AI89)))*IF($B89="Operacional",IFERROR(VLOOKUP($C89,SN_UGC,28,0),0),1)</f>
        <v>0</v>
      </c>
      <c r="AY89" s="140">
        <f t="array" ref="AY89">IF(ISBLANK($A89),0,IF(OR(AY$5-$AI89&lt;=0,$AM89="Não"),N89,N89+INDEX($AO$6:$BR$176,ROW()-5,COLUMN()-40-$AI89)))*IF($B89="Operacional",IFERROR(VLOOKUP($C89,SN_UGC,28,0),0),1)</f>
        <v>0</v>
      </c>
      <c r="AZ89" s="140">
        <f t="array" ref="AZ89">IF(ISBLANK($A89),0,IF(OR(AZ$5-$AI89&lt;=0,$AM89="Não"),O89,O89+INDEX($AO$6:$BR$176,ROW()-5,COLUMN()-40-$AI89)))*IF($B89="Operacional",IFERROR(VLOOKUP($C89,SN_UGC,28,0),0),1)</f>
        <v>0</v>
      </c>
      <c r="BA89" s="140">
        <f t="array" ref="BA89">IF(ISBLANK($A89),0,IF(OR(BA$5-$AI89&lt;=0,$AM89="Não"),P89,P89+INDEX($AO$6:$BR$176,ROW()-5,COLUMN()-40-$AI89)))*IF($B89="Operacional",IFERROR(VLOOKUP($C89,SN_UGC,28,0),0),1)</f>
        <v>0</v>
      </c>
      <c r="BB89" s="140">
        <f t="array" ref="BB89">IF(ISBLANK($A89),0,IF(OR(BB$5-$AI89&lt;=0,$AM89="Não"),Q89,Q89+INDEX($AO$6:$BR$176,ROW()-5,COLUMN()-40-$AI89)))*IF($B89="Operacional",IFERROR(VLOOKUP($C89,SN_UGC,28,0),0),1)</f>
        <v>0</v>
      </c>
      <c r="BC89" s="140">
        <f t="array" ref="BC89">IF(ISBLANK($A89),0,IF(OR(BC$5-$AI89&lt;=0,$AM89="Não"),R89,R89+INDEX($AO$6:$BR$176,ROW()-5,COLUMN()-40-$AI89)))*IF($B89="Operacional",IFERROR(VLOOKUP($C89,SN_UGC,28,0),0),1)</f>
        <v>0</v>
      </c>
      <c r="BD89" s="140">
        <f t="array" ref="BD89">IF(ISBLANK($A89),0,IF(OR(BD$5-$AI89&lt;=0,$AM89="Não"),S89,S89+INDEX($AO$6:$BR$176,ROW()-5,COLUMN()-40-$AI89)))*IF($B89="Operacional",IFERROR(VLOOKUP($C89,SN_UGC,28,0),0),1)</f>
        <v>0</v>
      </c>
      <c r="BE89" s="140">
        <f t="array" ref="BE89">IF(ISBLANK($A89),0,IF(OR(BE$5-$AI89&lt;=0,$AM89="Não"),T89,T89+INDEX($AO$6:$BR$176,ROW()-5,COLUMN()-40-$AI89)))*IF($B89="Operacional",IFERROR(VLOOKUP($C89,SN_UGC,28,0),0),1)</f>
        <v>0</v>
      </c>
      <c r="BF89" s="140">
        <f t="array" ref="BF89">IF(ISBLANK($A89),0,IF(OR(BF$5-$AI89&lt;=0,$AM89="Não"),U89,U89+INDEX($AO$6:$BR$176,ROW()-5,COLUMN()-40-$AI89)))*IF($B89="Operacional",IFERROR(VLOOKUP($C89,SN_UGC,28,0),0),1)</f>
        <v>0</v>
      </c>
      <c r="BG89" s="140">
        <f t="array" ref="BG89">IF(ISBLANK($A89),0,IF(OR(BG$5-$AI89&lt;=0,$AM89="Não"),V89,V89+INDEX($AO$6:$BR$176,ROW()-5,COLUMN()-40-$AI89)))*IF($B89="Operacional",IFERROR(VLOOKUP($C89,SN_UGC,28,0),0),1)</f>
        <v>0</v>
      </c>
      <c r="BH89" s="140">
        <f t="array" ref="BH89">IF(ISBLANK($A89),0,IF(OR(BH$5-$AI89&lt;=0,$AM89="Não"),W89,W89+INDEX($AO$6:$BR$176,ROW()-5,COLUMN()-40-$AI89)))*IF($B89="Operacional",IFERROR(VLOOKUP($C89,SN_UGC,28,0),0),1)</f>
        <v>0</v>
      </c>
      <c r="BI89" s="140">
        <f t="array" ref="BI89">IF(ISBLANK($A89),0,IF(OR(BI$5-$AI89&lt;=0,$AM89="Não"),X89,X89+INDEX($AO$6:$BR$176,ROW()-5,COLUMN()-40-$AI89)))*IF($B89="Operacional",IFERROR(VLOOKUP($C89,SN_UGC,28,0),0),1)</f>
        <v>0</v>
      </c>
      <c r="BJ89" s="140">
        <f t="array" ref="BJ89">IF(ISBLANK($A89),0,IF(OR(BJ$5-$AI89&lt;=0,$AM89="Não"),Y89,Y89+INDEX($AO$6:$BR$176,ROW()-5,COLUMN()-40-$AI89)))*IF($B89="Operacional",IFERROR(VLOOKUP($C89,SN_UGC,28,0),0),1)</f>
        <v>0</v>
      </c>
      <c r="BK89" s="140">
        <f t="array" ref="BK89">IF(ISBLANK($A89),0,IF(OR(BK$5-$AI89&lt;=0,$AM89="Não"),Z89,Z89+INDEX($AO$6:$BR$176,ROW()-5,COLUMN()-40-$AI89)))*IF($B89="Operacional",IFERROR(VLOOKUP($C89,SN_UGC,28,0),0),1)</f>
        <v>0</v>
      </c>
      <c r="BL89" s="140">
        <f t="array" ref="BL89">IF(ISBLANK($A89),0,IF(OR(BL$5-$AI89&lt;=0,$AM89="Não"),AA89,AA89+INDEX($AO$6:$BR$176,ROW()-5,COLUMN()-40-$AI89)))*IF($B89="Operacional",IFERROR(VLOOKUP($C89,SN_UGC,28,0),0),1)</f>
        <v>0</v>
      </c>
      <c r="BM89" s="140">
        <f t="array" ref="BM89">IF(ISBLANK($A89),0,IF(OR(BM$5-$AI89&lt;=0,$AM89="Não"),AB89,AB89+INDEX($AO$6:$BR$176,ROW()-5,COLUMN()-40-$AI89)))*IF($B89="Operacional",IFERROR(VLOOKUP($C89,SN_UGC,28,0),0),1)</f>
        <v>0</v>
      </c>
      <c r="BN89" s="140">
        <f t="array" ref="BN89">IF(ISBLANK($A89),0,IF(OR(BN$5-$AI89&lt;=0,$AM89="Não"),AC89,AC89+INDEX($AO$6:$BR$176,ROW()-5,COLUMN()-40-$AI89)))*IF($B89="Operacional",IFERROR(VLOOKUP($C89,SN_UGC,28,0),0),1)</f>
        <v>0</v>
      </c>
      <c r="BO89" s="140">
        <f t="array" ref="BO89">IF(ISBLANK($A89),0,IF(OR(BO$5-$AI89&lt;=0,$AM89="Não"),AD89,AD89+INDEX($AO$6:$BR$176,ROW()-5,COLUMN()-40-$AI89)))*IF($B89="Operacional",IFERROR(VLOOKUP($C89,SN_UGC,28,0),0),1)</f>
        <v>0</v>
      </c>
      <c r="BP89" s="140">
        <f t="array" ref="BP89">IF(ISBLANK($A89),0,IF(OR(BP$5-$AI89&lt;=0,$AM89="Não"),AE89,AE89+INDEX($AO$6:$BR$176,ROW()-5,COLUMN()-40-$AI89)))*IF($B89="Operacional",IFERROR(VLOOKUP($C89,SN_UGC,28,0),0),1)</f>
        <v>0</v>
      </c>
      <c r="BQ89" s="140">
        <f t="array" ref="BQ89">IF(ISBLANK($A89),0,IF(OR(BQ$5-$AI89&lt;=0,$AM89="Não"),AF89,AF89+INDEX($AO$6:$BR$176,ROW()-5,COLUMN()-40-$AI89)))*IF($B89="Operacional",IFERROR(VLOOKUP($C89,SN_UGC,28,0),0),1)</f>
        <v>0</v>
      </c>
      <c r="BR89" s="140">
        <f t="array" ref="BR89">IF(ISBLANK($A89),0,IF(OR(BR$5-$AI89&lt;=0,$AM89="Não"),AG89,AG89+INDEX($AO$6:$BR$176,ROW()-5,COLUMN()-40-$AI89)))*IF($B89="Operacional",IFERROR(VLOOKUP($C89,SN_UGC,28,0),0),1)</f>
        <v>0</v>
      </c>
      <c r="BS89" s="141">
        <f t="shared" ref="BS89:CV89" si="450">IF(ISBLANK($A89),0,$AH89*AO89)</f>
        <v>1664960.0000000002</v>
      </c>
      <c r="BT89" s="141">
        <f t="shared" si="450"/>
        <v>1664960.0000000002</v>
      </c>
      <c r="BU89" s="141">
        <f t="shared" si="450"/>
        <v>1664960.0000000002</v>
      </c>
      <c r="BV89" s="141">
        <f t="shared" si="450"/>
        <v>0</v>
      </c>
      <c r="BW89" s="141">
        <f t="shared" si="450"/>
        <v>0</v>
      </c>
      <c r="BX89" s="141">
        <f t="shared" si="450"/>
        <v>0</v>
      </c>
      <c r="BY89" s="141">
        <f t="shared" si="450"/>
        <v>0</v>
      </c>
      <c r="BZ89" s="141">
        <f t="shared" si="450"/>
        <v>0</v>
      </c>
      <c r="CA89" s="141">
        <f t="shared" si="450"/>
        <v>0</v>
      </c>
      <c r="CB89" s="141">
        <f t="shared" si="450"/>
        <v>0</v>
      </c>
      <c r="CC89" s="141">
        <f t="shared" si="450"/>
        <v>0</v>
      </c>
      <c r="CD89" s="141">
        <f t="shared" si="450"/>
        <v>0</v>
      </c>
      <c r="CE89" s="141">
        <f t="shared" si="450"/>
        <v>0</v>
      </c>
      <c r="CF89" s="141">
        <f t="shared" si="450"/>
        <v>0</v>
      </c>
      <c r="CG89" s="141">
        <f t="shared" si="450"/>
        <v>0</v>
      </c>
      <c r="CH89" s="141">
        <f t="shared" si="450"/>
        <v>0</v>
      </c>
      <c r="CI89" s="141">
        <f t="shared" si="450"/>
        <v>0</v>
      </c>
      <c r="CJ89" s="141">
        <f t="shared" si="450"/>
        <v>0</v>
      </c>
      <c r="CK89" s="141">
        <f t="shared" si="450"/>
        <v>0</v>
      </c>
      <c r="CL89" s="141">
        <f t="shared" si="450"/>
        <v>0</v>
      </c>
      <c r="CM89" s="141">
        <f t="shared" si="450"/>
        <v>0</v>
      </c>
      <c r="CN89" s="141">
        <f t="shared" si="450"/>
        <v>0</v>
      </c>
      <c r="CO89" s="141">
        <f t="shared" si="450"/>
        <v>0</v>
      </c>
      <c r="CP89" s="141">
        <f t="shared" si="450"/>
        <v>0</v>
      </c>
      <c r="CQ89" s="141">
        <f t="shared" si="450"/>
        <v>0</v>
      </c>
      <c r="CR89" s="141">
        <f t="shared" si="450"/>
        <v>0</v>
      </c>
      <c r="CS89" s="141">
        <f t="shared" si="450"/>
        <v>0</v>
      </c>
      <c r="CT89" s="141">
        <f t="shared" si="450"/>
        <v>0</v>
      </c>
      <c r="CU89" s="141">
        <f t="shared" si="450"/>
        <v>0</v>
      </c>
      <c r="CV89" s="141">
        <f t="shared" si="450"/>
        <v>0</v>
      </c>
      <c r="CW89" s="142">
        <f t="shared" ref="CW89:DZ89" si="451">EA89*$AH89*$AJ89</f>
        <v>0</v>
      </c>
      <c r="CX89" s="142">
        <f t="shared" si="451"/>
        <v>0</v>
      </c>
      <c r="CY89" s="142">
        <f t="shared" si="451"/>
        <v>0</v>
      </c>
      <c r="CZ89" s="142">
        <f t="shared" si="451"/>
        <v>0</v>
      </c>
      <c r="DA89" s="142">
        <f t="shared" si="451"/>
        <v>0</v>
      </c>
      <c r="DB89" s="142">
        <f t="shared" si="451"/>
        <v>0</v>
      </c>
      <c r="DC89" s="142">
        <f t="shared" si="451"/>
        <v>0</v>
      </c>
      <c r="DD89" s="142">
        <f t="shared" si="451"/>
        <v>0</v>
      </c>
      <c r="DE89" s="142">
        <f t="shared" si="451"/>
        <v>0</v>
      </c>
      <c r="DF89" s="142">
        <f t="shared" si="451"/>
        <v>0</v>
      </c>
      <c r="DG89" s="142">
        <f t="shared" si="451"/>
        <v>0</v>
      </c>
      <c r="DH89" s="142">
        <f t="shared" si="451"/>
        <v>0</v>
      </c>
      <c r="DI89" s="142">
        <f t="shared" si="451"/>
        <v>0</v>
      </c>
      <c r="DJ89" s="142">
        <f t="shared" si="451"/>
        <v>0</v>
      </c>
      <c r="DK89" s="142">
        <f t="shared" si="451"/>
        <v>0</v>
      </c>
      <c r="DL89" s="142">
        <f t="shared" si="451"/>
        <v>0</v>
      </c>
      <c r="DM89" s="142">
        <f t="shared" si="451"/>
        <v>0</v>
      </c>
      <c r="DN89" s="142">
        <f t="shared" si="451"/>
        <v>0</v>
      </c>
      <c r="DO89" s="142">
        <f t="shared" si="451"/>
        <v>0</v>
      </c>
      <c r="DP89" s="142">
        <f t="shared" si="451"/>
        <v>0</v>
      </c>
      <c r="DQ89" s="142">
        <f t="shared" si="451"/>
        <v>0</v>
      </c>
      <c r="DR89" s="142">
        <f t="shared" si="451"/>
        <v>0</v>
      </c>
      <c r="DS89" s="142">
        <f t="shared" si="451"/>
        <v>0</v>
      </c>
      <c r="DT89" s="142">
        <f t="shared" si="451"/>
        <v>0</v>
      </c>
      <c r="DU89" s="142">
        <f t="shared" si="451"/>
        <v>0</v>
      </c>
      <c r="DV89" s="142">
        <f t="shared" si="451"/>
        <v>0</v>
      </c>
      <c r="DW89" s="142">
        <f t="shared" si="451"/>
        <v>0</v>
      </c>
      <c r="DX89" s="142">
        <f t="shared" si="451"/>
        <v>0</v>
      </c>
      <c r="DY89" s="142">
        <f t="shared" si="451"/>
        <v>0</v>
      </c>
      <c r="DZ89" s="142">
        <f t="shared" si="451"/>
        <v>0</v>
      </c>
      <c r="EA89" s="143">
        <f t="shared" si="339"/>
        <v>0</v>
      </c>
      <c r="EB89" s="143">
        <f t="shared" si="340"/>
        <v>0</v>
      </c>
      <c r="EC89" s="143">
        <f t="shared" si="341"/>
        <v>0</v>
      </c>
      <c r="ED89" s="143">
        <f t="shared" si="342"/>
        <v>0</v>
      </c>
      <c r="EE89" s="143">
        <f t="shared" si="343"/>
        <v>0</v>
      </c>
      <c r="EF89" s="143">
        <f t="shared" si="344"/>
        <v>0</v>
      </c>
      <c r="EG89" s="143">
        <f t="shared" si="345"/>
        <v>0</v>
      </c>
      <c r="EH89" s="143">
        <f t="shared" si="346"/>
        <v>0</v>
      </c>
      <c r="EI89" s="143">
        <f t="shared" si="347"/>
        <v>0</v>
      </c>
      <c r="EJ89" s="143">
        <f t="shared" si="348"/>
        <v>0</v>
      </c>
      <c r="EK89" s="143">
        <f t="shared" si="349"/>
        <v>0</v>
      </c>
      <c r="EL89" s="143">
        <f t="shared" si="350"/>
        <v>0</v>
      </c>
      <c r="EM89" s="143">
        <f t="shared" si="351"/>
        <v>0</v>
      </c>
      <c r="EN89" s="143">
        <f t="shared" si="352"/>
        <v>0</v>
      </c>
      <c r="EO89" s="143">
        <f t="shared" si="353"/>
        <v>0</v>
      </c>
      <c r="EP89" s="143">
        <f t="shared" si="354"/>
        <v>0</v>
      </c>
      <c r="EQ89" s="143">
        <f t="shared" si="355"/>
        <v>0</v>
      </c>
      <c r="ER89" s="143">
        <f t="shared" si="356"/>
        <v>0</v>
      </c>
      <c r="ES89" s="143">
        <f t="shared" si="357"/>
        <v>0</v>
      </c>
      <c r="ET89" s="143">
        <f t="shared" si="358"/>
        <v>0</v>
      </c>
      <c r="EU89" s="143">
        <f t="shared" si="359"/>
        <v>0</v>
      </c>
      <c r="EV89" s="143">
        <f t="shared" si="360"/>
        <v>0</v>
      </c>
      <c r="EW89" s="143">
        <f t="shared" si="361"/>
        <v>0</v>
      </c>
      <c r="EX89" s="143">
        <f t="shared" si="362"/>
        <v>0</v>
      </c>
      <c r="EY89" s="143">
        <f t="shared" si="363"/>
        <v>0</v>
      </c>
      <c r="EZ89" s="143">
        <f t="shared" si="364"/>
        <v>0</v>
      </c>
      <c r="FA89" s="143">
        <f t="shared" si="365"/>
        <v>0</v>
      </c>
      <c r="FB89" s="143">
        <f t="shared" si="366"/>
        <v>0</v>
      </c>
      <c r="FC89" s="143">
        <f t="shared" si="367"/>
        <v>0</v>
      </c>
      <c r="FD89" s="143">
        <f t="shared" si="368"/>
        <v>0</v>
      </c>
      <c r="FE89" s="140">
        <f>SUM($D89:D89)*IF($B89="Operacional",IFERROR(VLOOKUP($C89,SN_UGC,28,0),0),1)</f>
        <v>35200</v>
      </c>
      <c r="FF89" s="140">
        <f>SUM($D89:E89)*IF($B89="Operacional",IFERROR(VLOOKUP($C89,SN_UGC,28,0),0),1)</f>
        <v>70400</v>
      </c>
      <c r="FG89" s="140">
        <f>SUM($D89:F89)*IF($B89="Operacional",IFERROR(VLOOKUP($C89,SN_UGC,28,0),0),1)</f>
        <v>105600</v>
      </c>
      <c r="FH89" s="140">
        <f>SUM($D89:G89)*IF($B89="Operacional",IFERROR(VLOOKUP($C89,SN_UGC,28,0),0),1)</f>
        <v>105600</v>
      </c>
      <c r="FI89" s="140">
        <f>SUM($D89:H89)*IF($B89="Operacional",IFERROR(VLOOKUP($C89,SN_UGC,28,0),0),1)</f>
        <v>105600</v>
      </c>
      <c r="FJ89" s="140">
        <f>SUM($D89:I89)*IF($B89="Operacional",IFERROR(VLOOKUP($C89,SN_UGC,28,0),0),1)</f>
        <v>105600</v>
      </c>
      <c r="FK89" s="140">
        <f>SUM($D89:J89)*IF($B89="Operacional",IFERROR(VLOOKUP($C89,SN_UGC,28,0),0),1)</f>
        <v>105600</v>
      </c>
      <c r="FL89" s="140">
        <f>SUM($D89:K89)*IF($B89="Operacional",IFERROR(VLOOKUP($C89,SN_UGC,28,0),0),1)</f>
        <v>105600</v>
      </c>
      <c r="FM89" s="140">
        <f>SUM($D89:L89)*IF($B89="Operacional",IFERROR(VLOOKUP($C89,SN_UGC,28,0),0),1)</f>
        <v>105600</v>
      </c>
      <c r="FN89" s="140">
        <f>SUM($D89:M89)*IF($B89="Operacional",IFERROR(VLOOKUP($C89,SN_UGC,28,0),0),1)</f>
        <v>105600</v>
      </c>
      <c r="FO89" s="140">
        <f>SUM($D89:N89)*IF($B89="Operacional",IFERROR(VLOOKUP($C89,SN_UGC,28,0),0),1)</f>
        <v>105600</v>
      </c>
      <c r="FP89" s="140">
        <f>SUM($D89:O89)*IF($B89="Operacional",IFERROR(VLOOKUP($C89,SN_UGC,28,0),0),1)</f>
        <v>105600</v>
      </c>
      <c r="FQ89" s="140">
        <f>SUM($D89:P89)*IF($B89="Operacional",IFERROR(VLOOKUP($C89,SN_UGC,28,0),0),1)</f>
        <v>105600</v>
      </c>
      <c r="FR89" s="140">
        <f>SUM($D89:Q89)*IF($B89="Operacional",IFERROR(VLOOKUP($C89,SN_UGC,28,0),0),1)</f>
        <v>105600</v>
      </c>
      <c r="FS89" s="140">
        <f>SUM($D89:R89)*IF($B89="Operacional",IFERROR(VLOOKUP($C89,SN_UGC,28,0),0),1)</f>
        <v>105600</v>
      </c>
      <c r="FT89" s="140">
        <f>SUM($D89:S89)*IF($B89="Operacional",IFERROR(VLOOKUP($C89,SN_UGC,28,0),0),1)</f>
        <v>105600</v>
      </c>
      <c r="FU89" s="140">
        <f>SUM($D89:T89)*IF($B89="Operacional",IFERROR(VLOOKUP($C89,SN_UGC,28,0),0),1)</f>
        <v>105600</v>
      </c>
      <c r="FV89" s="140">
        <f>SUM($D89:U89)*IF($B89="Operacional",IFERROR(VLOOKUP($C89,SN_UGC,28,0),0),1)</f>
        <v>105600</v>
      </c>
      <c r="FW89" s="140">
        <f>SUM($D89:V89)*IF($B89="Operacional",IFERROR(VLOOKUP($C89,SN_UGC,28,0),0),1)</f>
        <v>105600</v>
      </c>
      <c r="FX89" s="140">
        <f>SUM($D89:W89)*IF($B89="Operacional",IFERROR(VLOOKUP($C89,SN_UGC,28,0),0),1)</f>
        <v>105600</v>
      </c>
      <c r="FY89" s="140">
        <f>SUM($D89:X89)*IF($B89="Operacional",IFERROR(VLOOKUP($C89,SN_UGC,28,0),0),1)</f>
        <v>105600</v>
      </c>
      <c r="FZ89" s="140">
        <f>SUM($D89:Y89)*IF($B89="Operacional",IFERROR(VLOOKUP($C89,SN_UGC,28,0),0),1)</f>
        <v>105600</v>
      </c>
      <c r="GA89" s="140">
        <f>SUM($D89:Z89)*IF($B89="Operacional",IFERROR(VLOOKUP($C89,SN_UGC,28,0),0),1)</f>
        <v>105600</v>
      </c>
      <c r="GB89" s="140">
        <f>SUM($D89:AA89)*IF($B89="Operacional",IFERROR(VLOOKUP($C89,SN_UGC,28,0),0),1)</f>
        <v>105600</v>
      </c>
      <c r="GC89" s="140">
        <f>SUM($D89:AB89)*IF($B89="Operacional",IFERROR(VLOOKUP($C89,SN_UGC,28,0),0),1)</f>
        <v>105600</v>
      </c>
      <c r="GD89" s="140">
        <f>SUM($D89:AC89)*IF($B89="Operacional",IFERROR(VLOOKUP($C89,SN_UGC,28,0),0),1)</f>
        <v>105600</v>
      </c>
      <c r="GE89" s="140">
        <f>SUM($D89:AD89)*IF($B89="Operacional",IFERROR(VLOOKUP($C89,SN_UGC,28,0),0),1)</f>
        <v>105600</v>
      </c>
      <c r="GF89" s="140">
        <f>SUM($D89:AE89)*IF($B89="Operacional",IFERROR(VLOOKUP($C89,SN_UGC,28,0),0),1)</f>
        <v>105600</v>
      </c>
      <c r="GG89" s="140">
        <f>SUM($D89:AF89)*IF($B89="Operacional",IFERROR(VLOOKUP($C89,SN_UGC,28,0),0),1)</f>
        <v>105600</v>
      </c>
      <c r="GH89" s="140">
        <f>SUM($D89:AG89)*IF($B89="Operacional",IFERROR(VLOOKUP($C89,SN_UGC,28,0),0),1)</f>
        <v>105600</v>
      </c>
      <c r="GI89" s="141">
        <f t="shared" ref="GI89:HL89" si="452">FE89*$AH89*$AL89</f>
        <v>166496.00000000003</v>
      </c>
      <c r="GJ89" s="141">
        <f t="shared" si="452"/>
        <v>332992.00000000006</v>
      </c>
      <c r="GK89" s="141">
        <f t="shared" si="452"/>
        <v>499488</v>
      </c>
      <c r="GL89" s="141">
        <f t="shared" si="452"/>
        <v>499488</v>
      </c>
      <c r="GM89" s="141">
        <f t="shared" si="452"/>
        <v>499488</v>
      </c>
      <c r="GN89" s="141">
        <f t="shared" si="452"/>
        <v>499488</v>
      </c>
      <c r="GO89" s="141">
        <f t="shared" si="452"/>
        <v>499488</v>
      </c>
      <c r="GP89" s="141">
        <f t="shared" si="452"/>
        <v>499488</v>
      </c>
      <c r="GQ89" s="141">
        <f t="shared" si="452"/>
        <v>499488</v>
      </c>
      <c r="GR89" s="141">
        <f t="shared" si="452"/>
        <v>499488</v>
      </c>
      <c r="GS89" s="141">
        <f t="shared" si="452"/>
        <v>499488</v>
      </c>
      <c r="GT89" s="141">
        <f t="shared" si="452"/>
        <v>499488</v>
      </c>
      <c r="GU89" s="141">
        <f t="shared" si="452"/>
        <v>499488</v>
      </c>
      <c r="GV89" s="141">
        <f t="shared" si="452"/>
        <v>499488</v>
      </c>
      <c r="GW89" s="141">
        <f t="shared" si="452"/>
        <v>499488</v>
      </c>
      <c r="GX89" s="141">
        <f t="shared" si="452"/>
        <v>499488</v>
      </c>
      <c r="GY89" s="141">
        <f t="shared" si="452"/>
        <v>499488</v>
      </c>
      <c r="GZ89" s="141">
        <f t="shared" si="452"/>
        <v>499488</v>
      </c>
      <c r="HA89" s="141">
        <f t="shared" si="452"/>
        <v>499488</v>
      </c>
      <c r="HB89" s="141">
        <f t="shared" si="452"/>
        <v>499488</v>
      </c>
      <c r="HC89" s="141">
        <f t="shared" si="452"/>
        <v>499488</v>
      </c>
      <c r="HD89" s="141">
        <f t="shared" si="452"/>
        <v>499488</v>
      </c>
      <c r="HE89" s="141">
        <f t="shared" si="452"/>
        <v>499488</v>
      </c>
      <c r="HF89" s="141">
        <f t="shared" si="452"/>
        <v>499488</v>
      </c>
      <c r="HG89" s="141">
        <f t="shared" si="452"/>
        <v>499488</v>
      </c>
      <c r="HH89" s="141">
        <f t="shared" si="452"/>
        <v>499488</v>
      </c>
      <c r="HI89" s="141">
        <f t="shared" si="452"/>
        <v>499488</v>
      </c>
      <c r="HJ89" s="141">
        <f t="shared" si="452"/>
        <v>499488</v>
      </c>
      <c r="HK89" s="141">
        <f t="shared" si="452"/>
        <v>499488</v>
      </c>
      <c r="HL89" s="141">
        <f t="shared" si="452"/>
        <v>499488</v>
      </c>
      <c r="HM89" s="142">
        <f t="shared" ref="HM89:IP89" si="453">IF(ISBLANK($A89),,FE89*($AH89-($AH89*$AJ89))/$AI89)</f>
        <v>0</v>
      </c>
      <c r="HN89" s="142">
        <f t="shared" si="453"/>
        <v>0</v>
      </c>
      <c r="HO89" s="142">
        <f t="shared" si="453"/>
        <v>0</v>
      </c>
      <c r="HP89" s="142">
        <f t="shared" si="453"/>
        <v>0</v>
      </c>
      <c r="HQ89" s="142">
        <f t="shared" si="453"/>
        <v>0</v>
      </c>
      <c r="HR89" s="142">
        <f t="shared" si="453"/>
        <v>0</v>
      </c>
      <c r="HS89" s="142">
        <f t="shared" si="453"/>
        <v>0</v>
      </c>
      <c r="HT89" s="142">
        <f t="shared" si="453"/>
        <v>0</v>
      </c>
      <c r="HU89" s="142">
        <f t="shared" si="453"/>
        <v>0</v>
      </c>
      <c r="HV89" s="142">
        <f t="shared" si="453"/>
        <v>0</v>
      </c>
      <c r="HW89" s="142">
        <f t="shared" si="453"/>
        <v>0</v>
      </c>
      <c r="HX89" s="142">
        <f t="shared" si="453"/>
        <v>0</v>
      </c>
      <c r="HY89" s="142">
        <f t="shared" si="453"/>
        <v>0</v>
      </c>
      <c r="HZ89" s="142">
        <f t="shared" si="453"/>
        <v>0</v>
      </c>
      <c r="IA89" s="142">
        <f t="shared" si="453"/>
        <v>0</v>
      </c>
      <c r="IB89" s="142">
        <f t="shared" si="453"/>
        <v>0</v>
      </c>
      <c r="IC89" s="142">
        <f t="shared" si="453"/>
        <v>0</v>
      </c>
      <c r="ID89" s="142">
        <f t="shared" si="453"/>
        <v>0</v>
      </c>
      <c r="IE89" s="142">
        <f t="shared" si="453"/>
        <v>0</v>
      </c>
      <c r="IF89" s="142">
        <f t="shared" si="453"/>
        <v>0</v>
      </c>
      <c r="IG89" s="142">
        <f t="shared" si="453"/>
        <v>0</v>
      </c>
      <c r="IH89" s="142">
        <f t="shared" si="453"/>
        <v>0</v>
      </c>
      <c r="II89" s="142">
        <f t="shared" si="453"/>
        <v>0</v>
      </c>
      <c r="IJ89" s="142">
        <f t="shared" si="453"/>
        <v>0</v>
      </c>
      <c r="IK89" s="142">
        <f t="shared" si="453"/>
        <v>0</v>
      </c>
      <c r="IL89" s="142">
        <f t="shared" si="453"/>
        <v>0</v>
      </c>
      <c r="IM89" s="142">
        <f t="shared" si="453"/>
        <v>0</v>
      </c>
      <c r="IN89" s="142">
        <f t="shared" si="453"/>
        <v>0</v>
      </c>
      <c r="IO89" s="142">
        <f t="shared" si="453"/>
        <v>0</v>
      </c>
      <c r="IP89" s="142">
        <f t="shared" si="453"/>
        <v>0</v>
      </c>
      <c r="IQ89" s="141">
        <f>IF(ISBLANK($A89),,IF($AN89="Não",0,(SUM($AO89:AO89)*$AH89)-SUM($HM89:HM89)-SUM($CW89:CW89)))</f>
        <v>0</v>
      </c>
      <c r="IR89" s="141">
        <f>IF(ISBLANK($A89),,IF($AN89="Não",0,(SUM($AO89:AP89)*$AH89)-SUM($HM89:HN89)-SUM($CW89:CX89)))</f>
        <v>0</v>
      </c>
      <c r="IS89" s="141">
        <f>IF(ISBLANK($A89),,IF($AN89="Não",0,(SUM($AO89:AQ89)*$AH89)-SUM($HM89:HO89)-SUM($CW89:CY89)))</f>
        <v>0</v>
      </c>
      <c r="IT89" s="141">
        <f>IF(ISBLANK($A89),,IF($AN89="Não",0,(SUM($AO89:AR89)*$AH89)-SUM($HM89:HP89)-SUM($CW89:CZ89)))</f>
        <v>0</v>
      </c>
      <c r="IU89" s="141">
        <f>IF(ISBLANK($A89),,IF($AN89="Não",0,(SUM($AO89:AS89)*$AH89)-SUM($HM89:HQ89)-SUM($CW89:DA89)))</f>
        <v>0</v>
      </c>
      <c r="IV89" s="141">
        <f>IF(ISBLANK($A89),,IF($AN89="Não",0,(SUM($AO89:AT89)*$AH89)-SUM($HM89:HR89)-SUM($CW89:DB89)))</f>
        <v>0</v>
      </c>
      <c r="IW89" s="141">
        <f>IF(ISBLANK($A89),,IF($AN89="Não",0,(SUM($AO89:AU89)*$AH89)-SUM($HM89:HS89)-SUM($CW89:DC89)))</f>
        <v>0</v>
      </c>
      <c r="IX89" s="141">
        <f>IF(ISBLANK($A89),,IF($AN89="Não",0,(SUM($AO89:AV89)*$AH89)-SUM($HM89:HT89)-SUM($CW89:DD89)))</f>
        <v>0</v>
      </c>
      <c r="IY89" s="141">
        <f>IF(ISBLANK($A89),,IF($AN89="Não",0,(SUM($AO89:AW89)*$AH89)-SUM($HM89:HU89)-SUM($CW89:DE89)))</f>
        <v>0</v>
      </c>
      <c r="IZ89" s="141">
        <f>IF(ISBLANK($A89),,IF($AN89="Não",0,(SUM($AO89:AX89)*$AH89)-SUM($HM89:HV89)-SUM($CW89:DF89)))</f>
        <v>0</v>
      </c>
      <c r="JA89" s="141">
        <f>IF(ISBLANK($A89),,IF($AN89="Não",0,(SUM($AO89:AY89)*$AH89)-SUM($HM89:HW89)-SUM($CW89:DG89)))</f>
        <v>0</v>
      </c>
      <c r="JB89" s="141">
        <f>IF(ISBLANK($A89),,IF($AN89="Não",0,(SUM($AO89:AZ89)*$AH89)-SUM($HM89:HX89)-SUM($CW89:DH89)))</f>
        <v>0</v>
      </c>
      <c r="JC89" s="141">
        <f>IF(ISBLANK($A89),,IF($AN89="Não",0,(SUM($AO89:BA89)*$AH89)-SUM($HM89:HY89)-SUM($CW89:DI89)))</f>
        <v>0</v>
      </c>
      <c r="JD89" s="141">
        <f>IF(ISBLANK($A89),,IF($AN89="Não",0,(SUM($AO89:BB89)*$AH89)-SUM($HM89:HZ89)-SUM($CW89:DJ89)))</f>
        <v>0</v>
      </c>
      <c r="JE89" s="141">
        <f>IF(ISBLANK($A89),,IF($AN89="Não",0,(SUM($AO89:BC89)*$AH89)-SUM($HM89:IA89)-SUM($CW89:DK89)))</f>
        <v>0</v>
      </c>
      <c r="JF89" s="141">
        <f>IF(ISBLANK($A89),,IF($AN89="Não",0,(SUM($AO89:BD89)*$AH89)-SUM($HM89:IB89)-SUM($CW89:DL89)))</f>
        <v>0</v>
      </c>
      <c r="JG89" s="141">
        <f>IF(ISBLANK($A89),,IF($AN89="Não",0,(SUM($AO89:BE89)*$AH89)-SUM($HM89:IC89)-SUM($CW89:DM89)))</f>
        <v>0</v>
      </c>
      <c r="JH89" s="141">
        <f>IF(ISBLANK($A89),,IF($AN89="Não",0,(SUM($AO89:BF89)*$AH89)-SUM($HM89:ID89)-SUM($CW89:DN89)))</f>
        <v>0</v>
      </c>
      <c r="JI89" s="141">
        <f>IF(ISBLANK($A89),,IF($AN89="Não",0,(SUM($AO89:BG89)*$AH89)-SUM($HM89:IE89)-SUM($CW89:DO89)))</f>
        <v>0</v>
      </c>
      <c r="JJ89" s="141">
        <f>IF(ISBLANK($A89),,IF($AN89="Não",0,(SUM($AO89:BH89)*$AH89)-SUM($HM89:IF89)-SUM($CW89:DP89)))</f>
        <v>0</v>
      </c>
      <c r="JK89" s="141">
        <f>IF(ISBLANK($A89),,IF($AN89="Não",0,(SUM($AO89:BI89)*$AH89)-SUM($HM89:IG89)-SUM($CW89:DQ89)))</f>
        <v>0</v>
      </c>
      <c r="JL89" s="141">
        <f>IF(ISBLANK($A89),,IF($AN89="Não",0,(SUM($AO89:BJ89)*$AH89)-SUM($HM89:IH89)-SUM($CW89:DR89)))</f>
        <v>0</v>
      </c>
      <c r="JM89" s="141">
        <f>IF(ISBLANK($A89),,IF($AN89="Não",0,(SUM($AO89:BK89)*$AH89)-SUM($HM89:II89)-SUM($CW89:DS89)))</f>
        <v>0</v>
      </c>
      <c r="JN89" s="141">
        <f>IF(ISBLANK($A89),,IF($AN89="Não",0,(SUM($AO89:BL89)*$AH89)-SUM($HM89:IJ89)-SUM($CW89:DT89)))</f>
        <v>0</v>
      </c>
      <c r="JO89" s="141">
        <f>IF(ISBLANK($A89),,IF($AN89="Não",0,(SUM($AO89:BM89)*$AH89)-SUM($HM89:IK89)-SUM($CW89:DU89)))</f>
        <v>0</v>
      </c>
      <c r="JP89" s="141">
        <f>IF(ISBLANK($A89),,IF($AN89="Não",0,(SUM($AO89:BN89)*$AH89)-SUM($HM89:IL89)-SUM($CW89:DV89)))</f>
        <v>0</v>
      </c>
      <c r="JQ89" s="141">
        <f>IF(ISBLANK($A89),,IF($AN89="Não",0,(SUM($AO89:BO89)*$AH89)-SUM($HM89:IM89)-SUM($CW89:DW89)))</f>
        <v>0</v>
      </c>
      <c r="JR89" s="141">
        <f>IF(ISBLANK($A89),,IF($AN89="Não",0,(SUM($AO89:BP89)*$AH89)-SUM($HM89:IN89)-SUM($CW89:DX89)))</f>
        <v>0</v>
      </c>
      <c r="JS89" s="141">
        <f>IF(ISBLANK($A89),,IF($AN89="Não",0,(SUM($AO89:BQ89)*$AH89)-SUM($HM89:IO89)-SUM($CW89:DY89)))</f>
        <v>0</v>
      </c>
      <c r="JT89" s="141">
        <f>IF(ISBLANK($A89),,IF($AN89="Não",0,(SUM($AO89:BR89)*$AH89)-SUM($HM89:IP89)-SUM($CW89:DZ89)))</f>
        <v>0</v>
      </c>
    </row>
    <row r="90" spans="1:280" ht="15.75" customHeight="1">
      <c r="A90" s="129" t="s">
        <v>352</v>
      </c>
      <c r="B90" s="129" t="s">
        <v>209</v>
      </c>
      <c r="C90" s="138" t="s">
        <v>101</v>
      </c>
      <c r="D90" s="139">
        <v>31</v>
      </c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  <c r="AA90" s="139"/>
      <c r="AB90" s="139"/>
      <c r="AC90" s="139"/>
      <c r="AD90" s="139"/>
      <c r="AE90" s="139"/>
      <c r="AF90" s="139"/>
      <c r="AG90" s="139"/>
      <c r="AH90" s="607">
        <f t="shared" si="399"/>
        <v>2372.59</v>
      </c>
      <c r="AI90" s="608">
        <f t="shared" si="400"/>
        <v>30</v>
      </c>
      <c r="AJ90" s="609">
        <f t="shared" si="401"/>
        <v>0</v>
      </c>
      <c r="AK90" s="610" t="str">
        <f t="shared" si="402"/>
        <v>Edificações</v>
      </c>
      <c r="AL90" s="609">
        <f t="shared" si="403"/>
        <v>0.05</v>
      </c>
      <c r="AM90" s="611" t="str">
        <f t="shared" si="404"/>
        <v>Sim</v>
      </c>
      <c r="AN90" s="611" t="str">
        <f t="shared" si="405"/>
        <v>Não</v>
      </c>
      <c r="AO90" s="140">
        <f t="array" ref="AO90">IF(ISBLANK($A90),0,IF(OR(AO$5-$AI90&lt;=0,$AM90="Não"),D90,D90+INDEX($AO$6:$BR$176,ROW()-5,COLUMN()-40-$AI90)))*IF($B90="Operacional",IFERROR(VLOOKUP($C90,SN_UGC,28,0),0),1)</f>
        <v>31</v>
      </c>
      <c r="AP90" s="140">
        <f t="array" ref="AP90">IF(ISBLANK($A90),0,IF(OR(AP$5-$AI90&lt;=0,$AM90="Não"),E90,E90+INDEX($AO$6:$BR$176,ROW()-5,COLUMN()-40-$AI90)))*IF($B90="Operacional",IFERROR(VLOOKUP($C90,SN_UGC,28,0),0),1)</f>
        <v>0</v>
      </c>
      <c r="AQ90" s="140">
        <f t="array" ref="AQ90">IF(ISBLANK($A90),0,IF(OR(AQ$5-$AI90&lt;=0,$AM90="Não"),F90,F90+INDEX($AO$6:$BR$176,ROW()-5,COLUMN()-40-$AI90)))*IF($B90="Operacional",IFERROR(VLOOKUP($C90,SN_UGC,28,0),0),1)</f>
        <v>0</v>
      </c>
      <c r="AR90" s="140">
        <f t="array" ref="AR90">IF(ISBLANK($A90),0,IF(OR(AR$5-$AI90&lt;=0,$AM90="Não"),G90,G90+INDEX($AO$6:$BR$176,ROW()-5,COLUMN()-40-$AI90)))*IF($B90="Operacional",IFERROR(VLOOKUP($C90,SN_UGC,28,0),0),1)</f>
        <v>0</v>
      </c>
      <c r="AS90" s="140">
        <f t="array" ref="AS90">IF(ISBLANK($A90),0,IF(OR(AS$5-$AI90&lt;=0,$AM90="Não"),H90,H90+INDEX($AO$6:$BR$176,ROW()-5,COLUMN()-40-$AI90)))*IF($B90="Operacional",IFERROR(VLOOKUP($C90,SN_UGC,28,0),0),1)</f>
        <v>0</v>
      </c>
      <c r="AT90" s="140">
        <f t="array" ref="AT90">IF(ISBLANK($A90),0,IF(OR(AT$5-$AI90&lt;=0,$AM90="Não"),I90,I90+INDEX($AO$6:$BR$176,ROW()-5,COLUMN()-40-$AI90)))*IF($B90="Operacional",IFERROR(VLOOKUP($C90,SN_UGC,28,0),0),1)</f>
        <v>0</v>
      </c>
      <c r="AU90" s="140">
        <f t="array" ref="AU90">IF(ISBLANK($A90),0,IF(OR(AU$5-$AI90&lt;=0,$AM90="Não"),J90,J90+INDEX($AO$6:$BR$176,ROW()-5,COLUMN()-40-$AI90)))*IF($B90="Operacional",IFERROR(VLOOKUP($C90,SN_UGC,28,0),0),1)</f>
        <v>0</v>
      </c>
      <c r="AV90" s="140">
        <f t="array" ref="AV90">IF(ISBLANK($A90),0,IF(OR(AV$5-$AI90&lt;=0,$AM90="Não"),K90,K90+INDEX($AO$6:$BR$176,ROW()-5,COLUMN()-40-$AI90)))*IF($B90="Operacional",IFERROR(VLOOKUP($C90,SN_UGC,28,0),0),1)</f>
        <v>0</v>
      </c>
      <c r="AW90" s="140">
        <f t="array" ref="AW90">IF(ISBLANK($A90),0,IF(OR(AW$5-$AI90&lt;=0,$AM90="Não"),L90,L90+INDEX($AO$6:$BR$176,ROW()-5,COLUMN()-40-$AI90)))*IF($B90="Operacional",IFERROR(VLOOKUP($C90,SN_UGC,28,0),0),1)</f>
        <v>0</v>
      </c>
      <c r="AX90" s="140">
        <f t="array" ref="AX90">IF(ISBLANK($A90),0,IF(OR(AX$5-$AI90&lt;=0,$AM90="Não"),M90,M90+INDEX($AO$6:$BR$176,ROW()-5,COLUMN()-40-$AI90)))*IF($B90="Operacional",IFERROR(VLOOKUP($C90,SN_UGC,28,0),0),1)</f>
        <v>0</v>
      </c>
      <c r="AY90" s="140">
        <f t="array" ref="AY90">IF(ISBLANK($A90),0,IF(OR(AY$5-$AI90&lt;=0,$AM90="Não"),N90,N90+INDEX($AO$6:$BR$176,ROW()-5,COLUMN()-40-$AI90)))*IF($B90="Operacional",IFERROR(VLOOKUP($C90,SN_UGC,28,0),0),1)</f>
        <v>0</v>
      </c>
      <c r="AZ90" s="140">
        <f t="array" ref="AZ90">IF(ISBLANK($A90),0,IF(OR(AZ$5-$AI90&lt;=0,$AM90="Não"),O90,O90+INDEX($AO$6:$BR$176,ROW()-5,COLUMN()-40-$AI90)))*IF($B90="Operacional",IFERROR(VLOOKUP($C90,SN_UGC,28,0),0),1)</f>
        <v>0</v>
      </c>
      <c r="BA90" s="140">
        <f t="array" ref="BA90">IF(ISBLANK($A90),0,IF(OR(BA$5-$AI90&lt;=0,$AM90="Não"),P90,P90+INDEX($AO$6:$BR$176,ROW()-5,COLUMN()-40-$AI90)))*IF($B90="Operacional",IFERROR(VLOOKUP($C90,SN_UGC,28,0),0),1)</f>
        <v>0</v>
      </c>
      <c r="BB90" s="140">
        <f t="array" ref="BB90">IF(ISBLANK($A90),0,IF(OR(BB$5-$AI90&lt;=0,$AM90="Não"),Q90,Q90+INDEX($AO$6:$BR$176,ROW()-5,COLUMN()-40-$AI90)))*IF($B90="Operacional",IFERROR(VLOOKUP($C90,SN_UGC,28,0),0),1)</f>
        <v>0</v>
      </c>
      <c r="BC90" s="140">
        <f t="array" ref="BC90">IF(ISBLANK($A90),0,IF(OR(BC$5-$AI90&lt;=0,$AM90="Não"),R90,R90+INDEX($AO$6:$BR$176,ROW()-5,COLUMN()-40-$AI90)))*IF($B90="Operacional",IFERROR(VLOOKUP($C90,SN_UGC,28,0),0),1)</f>
        <v>0</v>
      </c>
      <c r="BD90" s="140">
        <f t="array" ref="BD90">IF(ISBLANK($A90),0,IF(OR(BD$5-$AI90&lt;=0,$AM90="Não"),S90,S90+INDEX($AO$6:$BR$176,ROW()-5,COLUMN()-40-$AI90)))*IF($B90="Operacional",IFERROR(VLOOKUP($C90,SN_UGC,28,0),0),1)</f>
        <v>0</v>
      </c>
      <c r="BE90" s="140">
        <f t="array" ref="BE90">IF(ISBLANK($A90),0,IF(OR(BE$5-$AI90&lt;=0,$AM90="Não"),T90,T90+INDEX($AO$6:$BR$176,ROW()-5,COLUMN()-40-$AI90)))*IF($B90="Operacional",IFERROR(VLOOKUP($C90,SN_UGC,28,0),0),1)</f>
        <v>0</v>
      </c>
      <c r="BF90" s="140">
        <f t="array" ref="BF90">IF(ISBLANK($A90),0,IF(OR(BF$5-$AI90&lt;=0,$AM90="Não"),U90,U90+INDEX($AO$6:$BR$176,ROW()-5,COLUMN()-40-$AI90)))*IF($B90="Operacional",IFERROR(VLOOKUP($C90,SN_UGC,28,0),0),1)</f>
        <v>0</v>
      </c>
      <c r="BG90" s="140">
        <f t="array" ref="BG90">IF(ISBLANK($A90),0,IF(OR(BG$5-$AI90&lt;=0,$AM90="Não"),V90,V90+INDEX($AO$6:$BR$176,ROW()-5,COLUMN()-40-$AI90)))*IF($B90="Operacional",IFERROR(VLOOKUP($C90,SN_UGC,28,0),0),1)</f>
        <v>0</v>
      </c>
      <c r="BH90" s="140">
        <f t="array" ref="BH90">IF(ISBLANK($A90),0,IF(OR(BH$5-$AI90&lt;=0,$AM90="Não"),W90,W90+INDEX($AO$6:$BR$176,ROW()-5,COLUMN()-40-$AI90)))*IF($B90="Operacional",IFERROR(VLOOKUP($C90,SN_UGC,28,0),0),1)</f>
        <v>0</v>
      </c>
      <c r="BI90" s="140">
        <f t="array" ref="BI90">IF(ISBLANK($A90),0,IF(OR(BI$5-$AI90&lt;=0,$AM90="Não"),X90,X90+INDEX($AO$6:$BR$176,ROW()-5,COLUMN()-40-$AI90)))*IF($B90="Operacional",IFERROR(VLOOKUP($C90,SN_UGC,28,0),0),1)</f>
        <v>0</v>
      </c>
      <c r="BJ90" s="140">
        <f t="array" ref="BJ90">IF(ISBLANK($A90),0,IF(OR(BJ$5-$AI90&lt;=0,$AM90="Não"),Y90,Y90+INDEX($AO$6:$BR$176,ROW()-5,COLUMN()-40-$AI90)))*IF($B90="Operacional",IFERROR(VLOOKUP($C90,SN_UGC,28,0),0),1)</f>
        <v>0</v>
      </c>
      <c r="BK90" s="140">
        <f t="array" ref="BK90">IF(ISBLANK($A90),0,IF(OR(BK$5-$AI90&lt;=0,$AM90="Não"),Z90,Z90+INDEX($AO$6:$BR$176,ROW()-5,COLUMN()-40-$AI90)))*IF($B90="Operacional",IFERROR(VLOOKUP($C90,SN_UGC,28,0),0),1)</f>
        <v>0</v>
      </c>
      <c r="BL90" s="140">
        <f t="array" ref="BL90">IF(ISBLANK($A90),0,IF(OR(BL$5-$AI90&lt;=0,$AM90="Não"),AA90,AA90+INDEX($AO$6:$BR$176,ROW()-5,COLUMN()-40-$AI90)))*IF($B90="Operacional",IFERROR(VLOOKUP($C90,SN_UGC,28,0),0),1)</f>
        <v>0</v>
      </c>
      <c r="BM90" s="140">
        <f t="array" ref="BM90">IF(ISBLANK($A90),0,IF(OR(BM$5-$AI90&lt;=0,$AM90="Não"),AB90,AB90+INDEX($AO$6:$BR$176,ROW()-5,COLUMN()-40-$AI90)))*IF($B90="Operacional",IFERROR(VLOOKUP($C90,SN_UGC,28,0),0),1)</f>
        <v>0</v>
      </c>
      <c r="BN90" s="140">
        <f t="array" ref="BN90">IF(ISBLANK($A90),0,IF(OR(BN$5-$AI90&lt;=0,$AM90="Não"),AC90,AC90+INDEX($AO$6:$BR$176,ROW()-5,COLUMN()-40-$AI90)))*IF($B90="Operacional",IFERROR(VLOOKUP($C90,SN_UGC,28,0),0),1)</f>
        <v>0</v>
      </c>
      <c r="BO90" s="140">
        <f t="array" ref="BO90">IF(ISBLANK($A90),0,IF(OR(BO$5-$AI90&lt;=0,$AM90="Não"),AD90,AD90+INDEX($AO$6:$BR$176,ROW()-5,COLUMN()-40-$AI90)))*IF($B90="Operacional",IFERROR(VLOOKUP($C90,SN_UGC,28,0),0),1)</f>
        <v>0</v>
      </c>
      <c r="BP90" s="140">
        <f t="array" ref="BP90">IF(ISBLANK($A90),0,IF(OR(BP$5-$AI90&lt;=0,$AM90="Não"),AE90,AE90+INDEX($AO$6:$BR$176,ROW()-5,COLUMN()-40-$AI90)))*IF($B90="Operacional",IFERROR(VLOOKUP($C90,SN_UGC,28,0),0),1)</f>
        <v>0</v>
      </c>
      <c r="BQ90" s="140">
        <f t="array" ref="BQ90">IF(ISBLANK($A90),0,IF(OR(BQ$5-$AI90&lt;=0,$AM90="Não"),AF90,AF90+INDEX($AO$6:$BR$176,ROW()-5,COLUMN()-40-$AI90)))*IF($B90="Operacional",IFERROR(VLOOKUP($C90,SN_UGC,28,0),0),1)</f>
        <v>0</v>
      </c>
      <c r="BR90" s="140">
        <f t="array" ref="BR90">IF(ISBLANK($A90),0,IF(OR(BR$5-$AI90&lt;=0,$AM90="Não"),AG90,AG90+INDEX($AO$6:$BR$176,ROW()-5,COLUMN()-40-$AI90)))*IF($B90="Operacional",IFERROR(VLOOKUP($C90,SN_UGC,28,0),0),1)</f>
        <v>0</v>
      </c>
      <c r="BS90" s="141">
        <f t="shared" ref="BS90:CV90" si="454">IF(ISBLANK($A90),0,$AH90*AO90)</f>
        <v>73550.290000000008</v>
      </c>
      <c r="BT90" s="141">
        <f t="shared" si="454"/>
        <v>0</v>
      </c>
      <c r="BU90" s="141">
        <f t="shared" si="454"/>
        <v>0</v>
      </c>
      <c r="BV90" s="141">
        <f t="shared" si="454"/>
        <v>0</v>
      </c>
      <c r="BW90" s="141">
        <f t="shared" si="454"/>
        <v>0</v>
      </c>
      <c r="BX90" s="141">
        <f t="shared" si="454"/>
        <v>0</v>
      </c>
      <c r="BY90" s="141">
        <f t="shared" si="454"/>
        <v>0</v>
      </c>
      <c r="BZ90" s="141">
        <f t="shared" si="454"/>
        <v>0</v>
      </c>
      <c r="CA90" s="141">
        <f t="shared" si="454"/>
        <v>0</v>
      </c>
      <c r="CB90" s="141">
        <f t="shared" si="454"/>
        <v>0</v>
      </c>
      <c r="CC90" s="141">
        <f t="shared" si="454"/>
        <v>0</v>
      </c>
      <c r="CD90" s="141">
        <f t="shared" si="454"/>
        <v>0</v>
      </c>
      <c r="CE90" s="141">
        <f t="shared" si="454"/>
        <v>0</v>
      </c>
      <c r="CF90" s="141">
        <f t="shared" si="454"/>
        <v>0</v>
      </c>
      <c r="CG90" s="141">
        <f t="shared" si="454"/>
        <v>0</v>
      </c>
      <c r="CH90" s="141">
        <f t="shared" si="454"/>
        <v>0</v>
      </c>
      <c r="CI90" s="141">
        <f t="shared" si="454"/>
        <v>0</v>
      </c>
      <c r="CJ90" s="141">
        <f t="shared" si="454"/>
        <v>0</v>
      </c>
      <c r="CK90" s="141">
        <f t="shared" si="454"/>
        <v>0</v>
      </c>
      <c r="CL90" s="141">
        <f t="shared" si="454"/>
        <v>0</v>
      </c>
      <c r="CM90" s="141">
        <f t="shared" si="454"/>
        <v>0</v>
      </c>
      <c r="CN90" s="141">
        <f t="shared" si="454"/>
        <v>0</v>
      </c>
      <c r="CO90" s="141">
        <f t="shared" si="454"/>
        <v>0</v>
      </c>
      <c r="CP90" s="141">
        <f t="shared" si="454"/>
        <v>0</v>
      </c>
      <c r="CQ90" s="141">
        <f t="shared" si="454"/>
        <v>0</v>
      </c>
      <c r="CR90" s="141">
        <f t="shared" si="454"/>
        <v>0</v>
      </c>
      <c r="CS90" s="141">
        <f t="shared" si="454"/>
        <v>0</v>
      </c>
      <c r="CT90" s="141">
        <f t="shared" si="454"/>
        <v>0</v>
      </c>
      <c r="CU90" s="141">
        <f t="shared" si="454"/>
        <v>0</v>
      </c>
      <c r="CV90" s="141">
        <f t="shared" si="454"/>
        <v>0</v>
      </c>
      <c r="CW90" s="142">
        <f t="shared" ref="CW90:DZ90" si="455">EA90*$AH90*$AJ90</f>
        <v>0</v>
      </c>
      <c r="CX90" s="142">
        <f t="shared" si="455"/>
        <v>0</v>
      </c>
      <c r="CY90" s="142">
        <f t="shared" si="455"/>
        <v>0</v>
      </c>
      <c r="CZ90" s="142">
        <f t="shared" si="455"/>
        <v>0</v>
      </c>
      <c r="DA90" s="142">
        <f t="shared" si="455"/>
        <v>0</v>
      </c>
      <c r="DB90" s="142">
        <f t="shared" si="455"/>
        <v>0</v>
      </c>
      <c r="DC90" s="142">
        <f t="shared" si="455"/>
        <v>0</v>
      </c>
      <c r="DD90" s="142">
        <f t="shared" si="455"/>
        <v>0</v>
      </c>
      <c r="DE90" s="142">
        <f t="shared" si="455"/>
        <v>0</v>
      </c>
      <c r="DF90" s="142">
        <f t="shared" si="455"/>
        <v>0</v>
      </c>
      <c r="DG90" s="142">
        <f t="shared" si="455"/>
        <v>0</v>
      </c>
      <c r="DH90" s="142">
        <f t="shared" si="455"/>
        <v>0</v>
      </c>
      <c r="DI90" s="142">
        <f t="shared" si="455"/>
        <v>0</v>
      </c>
      <c r="DJ90" s="142">
        <f t="shared" si="455"/>
        <v>0</v>
      </c>
      <c r="DK90" s="142">
        <f t="shared" si="455"/>
        <v>0</v>
      </c>
      <c r="DL90" s="142">
        <f t="shared" si="455"/>
        <v>0</v>
      </c>
      <c r="DM90" s="142">
        <f t="shared" si="455"/>
        <v>0</v>
      </c>
      <c r="DN90" s="142">
        <f t="shared" si="455"/>
        <v>0</v>
      </c>
      <c r="DO90" s="142">
        <f t="shared" si="455"/>
        <v>0</v>
      </c>
      <c r="DP90" s="142">
        <f t="shared" si="455"/>
        <v>0</v>
      </c>
      <c r="DQ90" s="142">
        <f t="shared" si="455"/>
        <v>0</v>
      </c>
      <c r="DR90" s="142">
        <f t="shared" si="455"/>
        <v>0</v>
      </c>
      <c r="DS90" s="142">
        <f t="shared" si="455"/>
        <v>0</v>
      </c>
      <c r="DT90" s="142">
        <f t="shared" si="455"/>
        <v>0</v>
      </c>
      <c r="DU90" s="142">
        <f t="shared" si="455"/>
        <v>0</v>
      </c>
      <c r="DV90" s="142">
        <f t="shared" si="455"/>
        <v>0</v>
      </c>
      <c r="DW90" s="142">
        <f t="shared" si="455"/>
        <v>0</v>
      </c>
      <c r="DX90" s="142">
        <f t="shared" si="455"/>
        <v>0</v>
      </c>
      <c r="DY90" s="142">
        <f t="shared" si="455"/>
        <v>0</v>
      </c>
      <c r="DZ90" s="142">
        <f t="shared" si="455"/>
        <v>0</v>
      </c>
      <c r="EA90" s="143">
        <f t="shared" si="339"/>
        <v>0</v>
      </c>
      <c r="EB90" s="143">
        <f t="shared" si="340"/>
        <v>0</v>
      </c>
      <c r="EC90" s="143">
        <f t="shared" si="341"/>
        <v>0</v>
      </c>
      <c r="ED90" s="143">
        <f t="shared" si="342"/>
        <v>0</v>
      </c>
      <c r="EE90" s="143">
        <f t="shared" si="343"/>
        <v>0</v>
      </c>
      <c r="EF90" s="143">
        <f t="shared" si="344"/>
        <v>0</v>
      </c>
      <c r="EG90" s="143">
        <f t="shared" si="345"/>
        <v>0</v>
      </c>
      <c r="EH90" s="143">
        <f t="shared" si="346"/>
        <v>0</v>
      </c>
      <c r="EI90" s="143">
        <f t="shared" si="347"/>
        <v>0</v>
      </c>
      <c r="EJ90" s="143">
        <f t="shared" si="348"/>
        <v>0</v>
      </c>
      <c r="EK90" s="143">
        <f t="shared" si="349"/>
        <v>0</v>
      </c>
      <c r="EL90" s="143">
        <f t="shared" si="350"/>
        <v>0</v>
      </c>
      <c r="EM90" s="143">
        <f t="shared" si="351"/>
        <v>0</v>
      </c>
      <c r="EN90" s="143">
        <f t="shared" si="352"/>
        <v>0</v>
      </c>
      <c r="EO90" s="143">
        <f t="shared" si="353"/>
        <v>0</v>
      </c>
      <c r="EP90" s="143">
        <f t="shared" si="354"/>
        <v>0</v>
      </c>
      <c r="EQ90" s="143">
        <f t="shared" si="355"/>
        <v>0</v>
      </c>
      <c r="ER90" s="143">
        <f t="shared" si="356"/>
        <v>0</v>
      </c>
      <c r="ES90" s="143">
        <f t="shared" si="357"/>
        <v>0</v>
      </c>
      <c r="ET90" s="143">
        <f t="shared" si="358"/>
        <v>0</v>
      </c>
      <c r="EU90" s="143">
        <f t="shared" si="359"/>
        <v>0</v>
      </c>
      <c r="EV90" s="143">
        <f t="shared" si="360"/>
        <v>0</v>
      </c>
      <c r="EW90" s="143">
        <f t="shared" si="361"/>
        <v>0</v>
      </c>
      <c r="EX90" s="143">
        <f t="shared" si="362"/>
        <v>0</v>
      </c>
      <c r="EY90" s="143">
        <f t="shared" si="363"/>
        <v>0</v>
      </c>
      <c r="EZ90" s="143">
        <f t="shared" si="364"/>
        <v>0</v>
      </c>
      <c r="FA90" s="143">
        <f t="shared" si="365"/>
        <v>0</v>
      </c>
      <c r="FB90" s="143">
        <f t="shared" si="366"/>
        <v>0</v>
      </c>
      <c r="FC90" s="143">
        <f t="shared" si="367"/>
        <v>0</v>
      </c>
      <c r="FD90" s="143">
        <f t="shared" si="368"/>
        <v>0</v>
      </c>
      <c r="FE90" s="140">
        <f>SUM($D90:D90)*IF($B90="Operacional",IFERROR(VLOOKUP($C90,SN_UGC,28,0),0),1)</f>
        <v>31</v>
      </c>
      <c r="FF90" s="140">
        <f>SUM($D90:E90)*IF($B90="Operacional",IFERROR(VLOOKUP($C90,SN_UGC,28,0),0),1)</f>
        <v>31</v>
      </c>
      <c r="FG90" s="140">
        <f>SUM($D90:F90)*IF($B90="Operacional",IFERROR(VLOOKUP($C90,SN_UGC,28,0),0),1)</f>
        <v>31</v>
      </c>
      <c r="FH90" s="140">
        <f>SUM($D90:G90)*IF($B90="Operacional",IFERROR(VLOOKUP($C90,SN_UGC,28,0),0),1)</f>
        <v>31</v>
      </c>
      <c r="FI90" s="140">
        <f>SUM($D90:H90)*IF($B90="Operacional",IFERROR(VLOOKUP($C90,SN_UGC,28,0),0),1)</f>
        <v>31</v>
      </c>
      <c r="FJ90" s="140">
        <f>SUM($D90:I90)*IF($B90="Operacional",IFERROR(VLOOKUP($C90,SN_UGC,28,0),0),1)</f>
        <v>31</v>
      </c>
      <c r="FK90" s="140">
        <f>SUM($D90:J90)*IF($B90="Operacional",IFERROR(VLOOKUP($C90,SN_UGC,28,0),0),1)</f>
        <v>31</v>
      </c>
      <c r="FL90" s="140">
        <f>SUM($D90:K90)*IF($B90="Operacional",IFERROR(VLOOKUP($C90,SN_UGC,28,0),0),1)</f>
        <v>31</v>
      </c>
      <c r="FM90" s="140">
        <f>SUM($D90:L90)*IF($B90="Operacional",IFERROR(VLOOKUP($C90,SN_UGC,28,0),0),1)</f>
        <v>31</v>
      </c>
      <c r="FN90" s="140">
        <f>SUM($D90:M90)*IF($B90="Operacional",IFERROR(VLOOKUP($C90,SN_UGC,28,0),0),1)</f>
        <v>31</v>
      </c>
      <c r="FO90" s="140">
        <f>SUM($D90:N90)*IF($B90="Operacional",IFERROR(VLOOKUP($C90,SN_UGC,28,0),0),1)</f>
        <v>31</v>
      </c>
      <c r="FP90" s="140">
        <f>SUM($D90:O90)*IF($B90="Operacional",IFERROR(VLOOKUP($C90,SN_UGC,28,0),0),1)</f>
        <v>31</v>
      </c>
      <c r="FQ90" s="140">
        <f>SUM($D90:P90)*IF($B90="Operacional",IFERROR(VLOOKUP($C90,SN_UGC,28,0),0),1)</f>
        <v>31</v>
      </c>
      <c r="FR90" s="140">
        <f>SUM($D90:Q90)*IF($B90="Operacional",IFERROR(VLOOKUP($C90,SN_UGC,28,0),0),1)</f>
        <v>31</v>
      </c>
      <c r="FS90" s="140">
        <f>SUM($D90:R90)*IF($B90="Operacional",IFERROR(VLOOKUP($C90,SN_UGC,28,0),0),1)</f>
        <v>31</v>
      </c>
      <c r="FT90" s="140">
        <f>SUM($D90:S90)*IF($B90="Operacional",IFERROR(VLOOKUP($C90,SN_UGC,28,0),0),1)</f>
        <v>31</v>
      </c>
      <c r="FU90" s="140">
        <f>SUM($D90:T90)*IF($B90="Operacional",IFERROR(VLOOKUP($C90,SN_UGC,28,0),0),1)</f>
        <v>31</v>
      </c>
      <c r="FV90" s="140">
        <f>SUM($D90:U90)*IF($B90="Operacional",IFERROR(VLOOKUP($C90,SN_UGC,28,0),0),1)</f>
        <v>31</v>
      </c>
      <c r="FW90" s="140">
        <f>SUM($D90:V90)*IF($B90="Operacional",IFERROR(VLOOKUP($C90,SN_UGC,28,0),0),1)</f>
        <v>31</v>
      </c>
      <c r="FX90" s="140">
        <f>SUM($D90:W90)*IF($B90="Operacional",IFERROR(VLOOKUP($C90,SN_UGC,28,0),0),1)</f>
        <v>31</v>
      </c>
      <c r="FY90" s="140">
        <f>SUM($D90:X90)*IF($B90="Operacional",IFERROR(VLOOKUP($C90,SN_UGC,28,0),0),1)</f>
        <v>31</v>
      </c>
      <c r="FZ90" s="140">
        <f>SUM($D90:Y90)*IF($B90="Operacional",IFERROR(VLOOKUP($C90,SN_UGC,28,0),0),1)</f>
        <v>31</v>
      </c>
      <c r="GA90" s="140">
        <f>SUM($D90:Z90)*IF($B90="Operacional",IFERROR(VLOOKUP($C90,SN_UGC,28,0),0),1)</f>
        <v>31</v>
      </c>
      <c r="GB90" s="140">
        <f>SUM($D90:AA90)*IF($B90="Operacional",IFERROR(VLOOKUP($C90,SN_UGC,28,0),0),1)</f>
        <v>31</v>
      </c>
      <c r="GC90" s="140">
        <f>SUM($D90:AB90)*IF($B90="Operacional",IFERROR(VLOOKUP($C90,SN_UGC,28,0),0),1)</f>
        <v>31</v>
      </c>
      <c r="GD90" s="140">
        <f>SUM($D90:AC90)*IF($B90="Operacional",IFERROR(VLOOKUP($C90,SN_UGC,28,0),0),1)</f>
        <v>31</v>
      </c>
      <c r="GE90" s="140">
        <f>SUM($D90:AD90)*IF($B90="Operacional",IFERROR(VLOOKUP($C90,SN_UGC,28,0),0),1)</f>
        <v>31</v>
      </c>
      <c r="GF90" s="140">
        <f>SUM($D90:AE90)*IF($B90="Operacional",IFERROR(VLOOKUP($C90,SN_UGC,28,0),0),1)</f>
        <v>31</v>
      </c>
      <c r="GG90" s="140">
        <f>SUM($D90:AF90)*IF($B90="Operacional",IFERROR(VLOOKUP($C90,SN_UGC,28,0),0),1)</f>
        <v>31</v>
      </c>
      <c r="GH90" s="140">
        <f>SUM($D90:AG90)*IF($B90="Operacional",IFERROR(VLOOKUP($C90,SN_UGC,28,0),0),1)</f>
        <v>31</v>
      </c>
      <c r="GI90" s="141">
        <f t="shared" ref="GI90:HL90" si="456">FE90*$AH90*$AL90</f>
        <v>3677.5145000000007</v>
      </c>
      <c r="GJ90" s="141">
        <f t="shared" si="456"/>
        <v>3677.5145000000007</v>
      </c>
      <c r="GK90" s="141">
        <f t="shared" si="456"/>
        <v>3677.5145000000007</v>
      </c>
      <c r="GL90" s="141">
        <f t="shared" si="456"/>
        <v>3677.5145000000007</v>
      </c>
      <c r="GM90" s="141">
        <f t="shared" si="456"/>
        <v>3677.5145000000007</v>
      </c>
      <c r="GN90" s="141">
        <f t="shared" si="456"/>
        <v>3677.5145000000007</v>
      </c>
      <c r="GO90" s="141">
        <f t="shared" si="456"/>
        <v>3677.5145000000007</v>
      </c>
      <c r="GP90" s="141">
        <f t="shared" si="456"/>
        <v>3677.5145000000007</v>
      </c>
      <c r="GQ90" s="141">
        <f t="shared" si="456"/>
        <v>3677.5145000000007</v>
      </c>
      <c r="GR90" s="141">
        <f t="shared" si="456"/>
        <v>3677.5145000000007</v>
      </c>
      <c r="GS90" s="141">
        <f t="shared" si="456"/>
        <v>3677.5145000000007</v>
      </c>
      <c r="GT90" s="141">
        <f t="shared" si="456"/>
        <v>3677.5145000000007</v>
      </c>
      <c r="GU90" s="141">
        <f t="shared" si="456"/>
        <v>3677.5145000000007</v>
      </c>
      <c r="GV90" s="141">
        <f t="shared" si="456"/>
        <v>3677.5145000000007</v>
      </c>
      <c r="GW90" s="141">
        <f t="shared" si="456"/>
        <v>3677.5145000000007</v>
      </c>
      <c r="GX90" s="141">
        <f t="shared" si="456"/>
        <v>3677.5145000000007</v>
      </c>
      <c r="GY90" s="141">
        <f t="shared" si="456"/>
        <v>3677.5145000000007</v>
      </c>
      <c r="GZ90" s="141">
        <f t="shared" si="456"/>
        <v>3677.5145000000007</v>
      </c>
      <c r="HA90" s="141">
        <f t="shared" si="456"/>
        <v>3677.5145000000007</v>
      </c>
      <c r="HB90" s="141">
        <f t="shared" si="456"/>
        <v>3677.5145000000007</v>
      </c>
      <c r="HC90" s="141">
        <f t="shared" si="456"/>
        <v>3677.5145000000007</v>
      </c>
      <c r="HD90" s="141">
        <f t="shared" si="456"/>
        <v>3677.5145000000007</v>
      </c>
      <c r="HE90" s="141">
        <f t="shared" si="456"/>
        <v>3677.5145000000007</v>
      </c>
      <c r="HF90" s="141">
        <f t="shared" si="456"/>
        <v>3677.5145000000007</v>
      </c>
      <c r="HG90" s="141">
        <f t="shared" si="456"/>
        <v>3677.5145000000007</v>
      </c>
      <c r="HH90" s="141">
        <f t="shared" si="456"/>
        <v>3677.5145000000007</v>
      </c>
      <c r="HI90" s="141">
        <f t="shared" si="456"/>
        <v>3677.5145000000007</v>
      </c>
      <c r="HJ90" s="141">
        <f t="shared" si="456"/>
        <v>3677.5145000000007</v>
      </c>
      <c r="HK90" s="141">
        <f t="shared" si="456"/>
        <v>3677.5145000000007</v>
      </c>
      <c r="HL90" s="141">
        <f t="shared" si="456"/>
        <v>3677.5145000000007</v>
      </c>
      <c r="HM90" s="142">
        <f t="shared" ref="HM90:IP90" si="457">IF(ISBLANK($A90),,FE90*($AH90-($AH90*$AJ90))/$AI90)</f>
        <v>2451.6763333333338</v>
      </c>
      <c r="HN90" s="142">
        <f t="shared" si="457"/>
        <v>2451.6763333333338</v>
      </c>
      <c r="HO90" s="142">
        <f t="shared" si="457"/>
        <v>2451.6763333333338</v>
      </c>
      <c r="HP90" s="142">
        <f t="shared" si="457"/>
        <v>2451.6763333333338</v>
      </c>
      <c r="HQ90" s="142">
        <f t="shared" si="457"/>
        <v>2451.6763333333338</v>
      </c>
      <c r="HR90" s="142">
        <f t="shared" si="457"/>
        <v>2451.6763333333338</v>
      </c>
      <c r="HS90" s="142">
        <f t="shared" si="457"/>
        <v>2451.6763333333338</v>
      </c>
      <c r="HT90" s="142">
        <f t="shared" si="457"/>
        <v>2451.6763333333338</v>
      </c>
      <c r="HU90" s="142">
        <f t="shared" si="457"/>
        <v>2451.6763333333338</v>
      </c>
      <c r="HV90" s="142">
        <f t="shared" si="457"/>
        <v>2451.6763333333338</v>
      </c>
      <c r="HW90" s="142">
        <f t="shared" si="457"/>
        <v>2451.6763333333338</v>
      </c>
      <c r="HX90" s="142">
        <f t="shared" si="457"/>
        <v>2451.6763333333338</v>
      </c>
      <c r="HY90" s="142">
        <f t="shared" si="457"/>
        <v>2451.6763333333338</v>
      </c>
      <c r="HZ90" s="142">
        <f t="shared" si="457"/>
        <v>2451.6763333333338</v>
      </c>
      <c r="IA90" s="142">
        <f t="shared" si="457"/>
        <v>2451.6763333333338</v>
      </c>
      <c r="IB90" s="142">
        <f t="shared" si="457"/>
        <v>2451.6763333333338</v>
      </c>
      <c r="IC90" s="142">
        <f t="shared" si="457"/>
        <v>2451.6763333333338</v>
      </c>
      <c r="ID90" s="142">
        <f t="shared" si="457"/>
        <v>2451.6763333333338</v>
      </c>
      <c r="IE90" s="142">
        <f t="shared" si="457"/>
        <v>2451.6763333333338</v>
      </c>
      <c r="IF90" s="142">
        <f t="shared" si="457"/>
        <v>2451.6763333333338</v>
      </c>
      <c r="IG90" s="142">
        <f t="shared" si="457"/>
        <v>2451.6763333333338</v>
      </c>
      <c r="IH90" s="142">
        <f t="shared" si="457"/>
        <v>2451.6763333333338</v>
      </c>
      <c r="II90" s="142">
        <f t="shared" si="457"/>
        <v>2451.6763333333338</v>
      </c>
      <c r="IJ90" s="142">
        <f t="shared" si="457"/>
        <v>2451.6763333333338</v>
      </c>
      <c r="IK90" s="142">
        <f t="shared" si="457"/>
        <v>2451.6763333333338</v>
      </c>
      <c r="IL90" s="142">
        <f t="shared" si="457"/>
        <v>2451.6763333333338</v>
      </c>
      <c r="IM90" s="142">
        <f t="shared" si="457"/>
        <v>2451.6763333333338</v>
      </c>
      <c r="IN90" s="142">
        <f t="shared" si="457"/>
        <v>2451.6763333333338</v>
      </c>
      <c r="IO90" s="142">
        <f t="shared" si="457"/>
        <v>2451.6763333333338</v>
      </c>
      <c r="IP90" s="142">
        <f t="shared" si="457"/>
        <v>2451.6763333333338</v>
      </c>
      <c r="IQ90" s="141">
        <f>IF(ISBLANK($A90),,IF($AN90="Não",0,(SUM($AO90:AO90)*$AH90)-SUM($HM90:HM90)-SUM($CW90:CW90)))</f>
        <v>0</v>
      </c>
      <c r="IR90" s="141">
        <f>IF(ISBLANK($A90),,IF($AN90="Não",0,(SUM($AO90:AP90)*$AH90)-SUM($HM90:HN90)-SUM($CW90:CX90)))</f>
        <v>0</v>
      </c>
      <c r="IS90" s="141">
        <f>IF(ISBLANK($A90),,IF($AN90="Não",0,(SUM($AO90:AQ90)*$AH90)-SUM($HM90:HO90)-SUM($CW90:CY90)))</f>
        <v>0</v>
      </c>
      <c r="IT90" s="141">
        <f>IF(ISBLANK($A90),,IF($AN90="Não",0,(SUM($AO90:AR90)*$AH90)-SUM($HM90:HP90)-SUM($CW90:CZ90)))</f>
        <v>0</v>
      </c>
      <c r="IU90" s="141">
        <f>IF(ISBLANK($A90),,IF($AN90="Não",0,(SUM($AO90:AS90)*$AH90)-SUM($HM90:HQ90)-SUM($CW90:DA90)))</f>
        <v>0</v>
      </c>
      <c r="IV90" s="141">
        <f>IF(ISBLANK($A90),,IF($AN90="Não",0,(SUM($AO90:AT90)*$AH90)-SUM($HM90:HR90)-SUM($CW90:DB90)))</f>
        <v>0</v>
      </c>
      <c r="IW90" s="141">
        <f>IF(ISBLANK($A90),,IF($AN90="Não",0,(SUM($AO90:AU90)*$AH90)-SUM($HM90:HS90)-SUM($CW90:DC90)))</f>
        <v>0</v>
      </c>
      <c r="IX90" s="141">
        <f>IF(ISBLANK($A90),,IF($AN90="Não",0,(SUM($AO90:AV90)*$AH90)-SUM($HM90:HT90)-SUM($CW90:DD90)))</f>
        <v>0</v>
      </c>
      <c r="IY90" s="141">
        <f>IF(ISBLANK($A90),,IF($AN90="Não",0,(SUM($AO90:AW90)*$AH90)-SUM($HM90:HU90)-SUM($CW90:DE90)))</f>
        <v>0</v>
      </c>
      <c r="IZ90" s="141">
        <f>IF(ISBLANK($A90),,IF($AN90="Não",0,(SUM($AO90:AX90)*$AH90)-SUM($HM90:HV90)-SUM($CW90:DF90)))</f>
        <v>0</v>
      </c>
      <c r="JA90" s="141">
        <f>IF(ISBLANK($A90),,IF($AN90="Não",0,(SUM($AO90:AY90)*$AH90)-SUM($HM90:HW90)-SUM($CW90:DG90)))</f>
        <v>0</v>
      </c>
      <c r="JB90" s="141">
        <f>IF(ISBLANK($A90),,IF($AN90="Não",0,(SUM($AO90:AZ90)*$AH90)-SUM($HM90:HX90)-SUM($CW90:DH90)))</f>
        <v>0</v>
      </c>
      <c r="JC90" s="141">
        <f>IF(ISBLANK($A90),,IF($AN90="Não",0,(SUM($AO90:BA90)*$AH90)-SUM($HM90:HY90)-SUM($CW90:DI90)))</f>
        <v>0</v>
      </c>
      <c r="JD90" s="141">
        <f>IF(ISBLANK($A90),,IF($AN90="Não",0,(SUM($AO90:BB90)*$AH90)-SUM($HM90:HZ90)-SUM($CW90:DJ90)))</f>
        <v>0</v>
      </c>
      <c r="JE90" s="141">
        <f>IF(ISBLANK($A90),,IF($AN90="Não",0,(SUM($AO90:BC90)*$AH90)-SUM($HM90:IA90)-SUM($CW90:DK90)))</f>
        <v>0</v>
      </c>
      <c r="JF90" s="141">
        <f>IF(ISBLANK($A90),,IF($AN90="Não",0,(SUM($AO90:BD90)*$AH90)-SUM($HM90:IB90)-SUM($CW90:DL90)))</f>
        <v>0</v>
      </c>
      <c r="JG90" s="141">
        <f>IF(ISBLANK($A90),,IF($AN90="Não",0,(SUM($AO90:BE90)*$AH90)-SUM($HM90:IC90)-SUM($CW90:DM90)))</f>
        <v>0</v>
      </c>
      <c r="JH90" s="141">
        <f>IF(ISBLANK($A90),,IF($AN90="Não",0,(SUM($AO90:BF90)*$AH90)-SUM($HM90:ID90)-SUM($CW90:DN90)))</f>
        <v>0</v>
      </c>
      <c r="JI90" s="141">
        <f>IF(ISBLANK($A90),,IF($AN90="Não",0,(SUM($AO90:BG90)*$AH90)-SUM($HM90:IE90)-SUM($CW90:DO90)))</f>
        <v>0</v>
      </c>
      <c r="JJ90" s="141">
        <f>IF(ISBLANK($A90),,IF($AN90="Não",0,(SUM($AO90:BH90)*$AH90)-SUM($HM90:IF90)-SUM($CW90:DP90)))</f>
        <v>0</v>
      </c>
      <c r="JK90" s="141">
        <f>IF(ISBLANK($A90),,IF($AN90="Não",0,(SUM($AO90:BI90)*$AH90)-SUM($HM90:IG90)-SUM($CW90:DQ90)))</f>
        <v>0</v>
      </c>
      <c r="JL90" s="141">
        <f>IF(ISBLANK($A90),,IF($AN90="Não",0,(SUM($AO90:BJ90)*$AH90)-SUM($HM90:IH90)-SUM($CW90:DR90)))</f>
        <v>0</v>
      </c>
      <c r="JM90" s="141">
        <f>IF(ISBLANK($A90),,IF($AN90="Não",0,(SUM($AO90:BK90)*$AH90)-SUM($HM90:II90)-SUM($CW90:DS90)))</f>
        <v>0</v>
      </c>
      <c r="JN90" s="141">
        <f>IF(ISBLANK($A90),,IF($AN90="Não",0,(SUM($AO90:BL90)*$AH90)-SUM($HM90:IJ90)-SUM($CW90:DT90)))</f>
        <v>0</v>
      </c>
      <c r="JO90" s="141">
        <f>IF(ISBLANK($A90),,IF($AN90="Não",0,(SUM($AO90:BM90)*$AH90)-SUM($HM90:IK90)-SUM($CW90:DU90)))</f>
        <v>0</v>
      </c>
      <c r="JP90" s="141">
        <f>IF(ISBLANK($A90),,IF($AN90="Não",0,(SUM($AO90:BN90)*$AH90)-SUM($HM90:IL90)-SUM($CW90:DV90)))</f>
        <v>0</v>
      </c>
      <c r="JQ90" s="141">
        <f>IF(ISBLANK($A90),,IF($AN90="Não",0,(SUM($AO90:BO90)*$AH90)-SUM($HM90:IM90)-SUM($CW90:DW90)))</f>
        <v>0</v>
      </c>
      <c r="JR90" s="141">
        <f>IF(ISBLANK($A90),,IF($AN90="Não",0,(SUM($AO90:BP90)*$AH90)-SUM($HM90:IN90)-SUM($CW90:DX90)))</f>
        <v>0</v>
      </c>
      <c r="JS90" s="141">
        <f>IF(ISBLANK($A90),,IF($AN90="Não",0,(SUM($AO90:BQ90)*$AH90)-SUM($HM90:IO90)-SUM($CW90:DY90)))</f>
        <v>0</v>
      </c>
      <c r="JT90" s="141">
        <f>IF(ISBLANK($A90),,IF($AN90="Não",0,(SUM($AO90:BR90)*$AH90)-SUM($HM90:IP90)-SUM($CW90:DZ90)))</f>
        <v>0</v>
      </c>
    </row>
    <row r="91" spans="1:280" ht="15.75" customHeight="1">
      <c r="A91" s="129" t="s">
        <v>352</v>
      </c>
      <c r="B91" s="129" t="s">
        <v>209</v>
      </c>
      <c r="C91" s="138" t="s">
        <v>102</v>
      </c>
      <c r="D91" s="139">
        <v>31</v>
      </c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  <c r="AA91" s="139"/>
      <c r="AB91" s="139"/>
      <c r="AC91" s="139"/>
      <c r="AD91" s="139"/>
      <c r="AE91" s="139"/>
      <c r="AF91" s="139"/>
      <c r="AG91" s="139"/>
      <c r="AH91" s="607">
        <f t="shared" si="399"/>
        <v>2372.59</v>
      </c>
      <c r="AI91" s="608">
        <f t="shared" si="400"/>
        <v>30</v>
      </c>
      <c r="AJ91" s="609">
        <f t="shared" si="401"/>
        <v>0</v>
      </c>
      <c r="AK91" s="610" t="str">
        <f t="shared" si="402"/>
        <v>Edificações</v>
      </c>
      <c r="AL91" s="609">
        <f t="shared" si="403"/>
        <v>0.05</v>
      </c>
      <c r="AM91" s="611" t="str">
        <f t="shared" si="404"/>
        <v>Sim</v>
      </c>
      <c r="AN91" s="611" t="str">
        <f t="shared" si="405"/>
        <v>Não</v>
      </c>
      <c r="AO91" s="140">
        <f t="array" ref="AO91">IF(ISBLANK($A91),0,IF(OR(AO$5-$AI91&lt;=0,$AM91="Não"),D91,D91+INDEX($AO$6:$BR$176,ROW()-5,COLUMN()-40-$AI91)))*IF($B91="Operacional",IFERROR(VLOOKUP($C91,SN_UGC,28,0),0),1)</f>
        <v>31</v>
      </c>
      <c r="AP91" s="140">
        <f t="array" ref="AP91">IF(ISBLANK($A91),0,IF(OR(AP$5-$AI91&lt;=0,$AM91="Não"),E91,E91+INDEX($AO$6:$BR$176,ROW()-5,COLUMN()-40-$AI91)))*IF($B91="Operacional",IFERROR(VLOOKUP($C91,SN_UGC,28,0),0),1)</f>
        <v>0</v>
      </c>
      <c r="AQ91" s="140">
        <f t="array" ref="AQ91">IF(ISBLANK($A91),0,IF(OR(AQ$5-$AI91&lt;=0,$AM91="Não"),F91,F91+INDEX($AO$6:$BR$176,ROW()-5,COLUMN()-40-$AI91)))*IF($B91="Operacional",IFERROR(VLOOKUP($C91,SN_UGC,28,0),0),1)</f>
        <v>0</v>
      </c>
      <c r="AR91" s="140">
        <f t="array" ref="AR91">IF(ISBLANK($A91),0,IF(OR(AR$5-$AI91&lt;=0,$AM91="Não"),G91,G91+INDEX($AO$6:$BR$176,ROW()-5,COLUMN()-40-$AI91)))*IF($B91="Operacional",IFERROR(VLOOKUP($C91,SN_UGC,28,0),0),1)</f>
        <v>0</v>
      </c>
      <c r="AS91" s="140">
        <f t="array" ref="AS91">IF(ISBLANK($A91),0,IF(OR(AS$5-$AI91&lt;=0,$AM91="Não"),H91,H91+INDEX($AO$6:$BR$176,ROW()-5,COLUMN()-40-$AI91)))*IF($B91="Operacional",IFERROR(VLOOKUP($C91,SN_UGC,28,0),0),1)</f>
        <v>0</v>
      </c>
      <c r="AT91" s="140">
        <f t="array" ref="AT91">IF(ISBLANK($A91),0,IF(OR(AT$5-$AI91&lt;=0,$AM91="Não"),I91,I91+INDEX($AO$6:$BR$176,ROW()-5,COLUMN()-40-$AI91)))*IF($B91="Operacional",IFERROR(VLOOKUP($C91,SN_UGC,28,0),0),1)</f>
        <v>0</v>
      </c>
      <c r="AU91" s="140">
        <f t="array" ref="AU91">IF(ISBLANK($A91),0,IF(OR(AU$5-$AI91&lt;=0,$AM91="Não"),J91,J91+INDEX($AO$6:$BR$176,ROW()-5,COLUMN()-40-$AI91)))*IF($B91="Operacional",IFERROR(VLOOKUP($C91,SN_UGC,28,0),0),1)</f>
        <v>0</v>
      </c>
      <c r="AV91" s="140">
        <f t="array" ref="AV91">IF(ISBLANK($A91),0,IF(OR(AV$5-$AI91&lt;=0,$AM91="Não"),K91,K91+INDEX($AO$6:$BR$176,ROW()-5,COLUMN()-40-$AI91)))*IF($B91="Operacional",IFERROR(VLOOKUP($C91,SN_UGC,28,0),0),1)</f>
        <v>0</v>
      </c>
      <c r="AW91" s="140">
        <f t="array" ref="AW91">IF(ISBLANK($A91),0,IF(OR(AW$5-$AI91&lt;=0,$AM91="Não"),L91,L91+INDEX($AO$6:$BR$176,ROW()-5,COLUMN()-40-$AI91)))*IF($B91="Operacional",IFERROR(VLOOKUP($C91,SN_UGC,28,0),0),1)</f>
        <v>0</v>
      </c>
      <c r="AX91" s="140">
        <f t="array" ref="AX91">IF(ISBLANK($A91),0,IF(OR(AX$5-$AI91&lt;=0,$AM91="Não"),M91,M91+INDEX($AO$6:$BR$176,ROW()-5,COLUMN()-40-$AI91)))*IF($B91="Operacional",IFERROR(VLOOKUP($C91,SN_UGC,28,0),0),1)</f>
        <v>0</v>
      </c>
      <c r="AY91" s="140">
        <f t="array" ref="AY91">IF(ISBLANK($A91),0,IF(OR(AY$5-$AI91&lt;=0,$AM91="Não"),N91,N91+INDEX($AO$6:$BR$176,ROW()-5,COLUMN()-40-$AI91)))*IF($B91="Operacional",IFERROR(VLOOKUP($C91,SN_UGC,28,0),0),1)</f>
        <v>0</v>
      </c>
      <c r="AZ91" s="140">
        <f t="array" ref="AZ91">IF(ISBLANK($A91),0,IF(OR(AZ$5-$AI91&lt;=0,$AM91="Não"),O91,O91+INDEX($AO$6:$BR$176,ROW()-5,COLUMN()-40-$AI91)))*IF($B91="Operacional",IFERROR(VLOOKUP($C91,SN_UGC,28,0),0),1)</f>
        <v>0</v>
      </c>
      <c r="BA91" s="140">
        <f t="array" ref="BA91">IF(ISBLANK($A91),0,IF(OR(BA$5-$AI91&lt;=0,$AM91="Não"),P91,P91+INDEX($AO$6:$BR$176,ROW()-5,COLUMN()-40-$AI91)))*IF($B91="Operacional",IFERROR(VLOOKUP($C91,SN_UGC,28,0),0),1)</f>
        <v>0</v>
      </c>
      <c r="BB91" s="140">
        <f t="array" ref="BB91">IF(ISBLANK($A91),0,IF(OR(BB$5-$AI91&lt;=0,$AM91="Não"),Q91,Q91+INDEX($AO$6:$BR$176,ROW()-5,COLUMN()-40-$AI91)))*IF($B91="Operacional",IFERROR(VLOOKUP($C91,SN_UGC,28,0),0),1)</f>
        <v>0</v>
      </c>
      <c r="BC91" s="140">
        <f t="array" ref="BC91">IF(ISBLANK($A91),0,IF(OR(BC$5-$AI91&lt;=0,$AM91="Não"),R91,R91+INDEX($AO$6:$BR$176,ROW()-5,COLUMN()-40-$AI91)))*IF($B91="Operacional",IFERROR(VLOOKUP($C91,SN_UGC,28,0),0),1)</f>
        <v>0</v>
      </c>
      <c r="BD91" s="140">
        <f t="array" ref="BD91">IF(ISBLANK($A91),0,IF(OR(BD$5-$AI91&lt;=0,$AM91="Não"),S91,S91+INDEX($AO$6:$BR$176,ROW()-5,COLUMN()-40-$AI91)))*IF($B91="Operacional",IFERROR(VLOOKUP($C91,SN_UGC,28,0),0),1)</f>
        <v>0</v>
      </c>
      <c r="BE91" s="140">
        <f t="array" ref="BE91">IF(ISBLANK($A91),0,IF(OR(BE$5-$AI91&lt;=0,$AM91="Não"),T91,T91+INDEX($AO$6:$BR$176,ROW()-5,COLUMN()-40-$AI91)))*IF($B91="Operacional",IFERROR(VLOOKUP($C91,SN_UGC,28,0),0),1)</f>
        <v>0</v>
      </c>
      <c r="BF91" s="140">
        <f t="array" ref="BF91">IF(ISBLANK($A91),0,IF(OR(BF$5-$AI91&lt;=0,$AM91="Não"),U91,U91+INDEX($AO$6:$BR$176,ROW()-5,COLUMN()-40-$AI91)))*IF($B91="Operacional",IFERROR(VLOOKUP($C91,SN_UGC,28,0),0),1)</f>
        <v>0</v>
      </c>
      <c r="BG91" s="140">
        <f t="array" ref="BG91">IF(ISBLANK($A91),0,IF(OR(BG$5-$AI91&lt;=0,$AM91="Não"),V91,V91+INDEX($AO$6:$BR$176,ROW()-5,COLUMN()-40-$AI91)))*IF($B91="Operacional",IFERROR(VLOOKUP($C91,SN_UGC,28,0),0),1)</f>
        <v>0</v>
      </c>
      <c r="BH91" s="140">
        <f t="array" ref="BH91">IF(ISBLANK($A91),0,IF(OR(BH$5-$AI91&lt;=0,$AM91="Não"),W91,W91+INDEX($AO$6:$BR$176,ROW()-5,COLUMN()-40-$AI91)))*IF($B91="Operacional",IFERROR(VLOOKUP($C91,SN_UGC,28,0),0),1)</f>
        <v>0</v>
      </c>
      <c r="BI91" s="140">
        <f t="array" ref="BI91">IF(ISBLANK($A91),0,IF(OR(BI$5-$AI91&lt;=0,$AM91="Não"),X91,X91+INDEX($AO$6:$BR$176,ROW()-5,COLUMN()-40-$AI91)))*IF($B91="Operacional",IFERROR(VLOOKUP($C91,SN_UGC,28,0),0),1)</f>
        <v>0</v>
      </c>
      <c r="BJ91" s="140">
        <f t="array" ref="BJ91">IF(ISBLANK($A91),0,IF(OR(BJ$5-$AI91&lt;=0,$AM91="Não"),Y91,Y91+INDEX($AO$6:$BR$176,ROW()-5,COLUMN()-40-$AI91)))*IF($B91="Operacional",IFERROR(VLOOKUP($C91,SN_UGC,28,0),0),1)</f>
        <v>0</v>
      </c>
      <c r="BK91" s="140">
        <f t="array" ref="BK91">IF(ISBLANK($A91),0,IF(OR(BK$5-$AI91&lt;=0,$AM91="Não"),Z91,Z91+INDEX($AO$6:$BR$176,ROW()-5,COLUMN()-40-$AI91)))*IF($B91="Operacional",IFERROR(VLOOKUP($C91,SN_UGC,28,0),0),1)</f>
        <v>0</v>
      </c>
      <c r="BL91" s="140">
        <f t="array" ref="BL91">IF(ISBLANK($A91),0,IF(OR(BL$5-$AI91&lt;=0,$AM91="Não"),AA91,AA91+INDEX($AO$6:$BR$176,ROW()-5,COLUMN()-40-$AI91)))*IF($B91="Operacional",IFERROR(VLOOKUP($C91,SN_UGC,28,0),0),1)</f>
        <v>0</v>
      </c>
      <c r="BM91" s="140">
        <f t="array" ref="BM91">IF(ISBLANK($A91),0,IF(OR(BM$5-$AI91&lt;=0,$AM91="Não"),AB91,AB91+INDEX($AO$6:$BR$176,ROW()-5,COLUMN()-40-$AI91)))*IF($B91="Operacional",IFERROR(VLOOKUP($C91,SN_UGC,28,0),0),1)</f>
        <v>0</v>
      </c>
      <c r="BN91" s="140">
        <f t="array" ref="BN91">IF(ISBLANK($A91),0,IF(OR(BN$5-$AI91&lt;=0,$AM91="Não"),AC91,AC91+INDEX($AO$6:$BR$176,ROW()-5,COLUMN()-40-$AI91)))*IF($B91="Operacional",IFERROR(VLOOKUP($C91,SN_UGC,28,0),0),1)</f>
        <v>0</v>
      </c>
      <c r="BO91" s="140">
        <f t="array" ref="BO91">IF(ISBLANK($A91),0,IF(OR(BO$5-$AI91&lt;=0,$AM91="Não"),AD91,AD91+INDEX($AO$6:$BR$176,ROW()-5,COLUMN()-40-$AI91)))*IF($B91="Operacional",IFERROR(VLOOKUP($C91,SN_UGC,28,0),0),1)</f>
        <v>0</v>
      </c>
      <c r="BP91" s="140">
        <f t="array" ref="BP91">IF(ISBLANK($A91),0,IF(OR(BP$5-$AI91&lt;=0,$AM91="Não"),AE91,AE91+INDEX($AO$6:$BR$176,ROW()-5,COLUMN()-40-$AI91)))*IF($B91="Operacional",IFERROR(VLOOKUP($C91,SN_UGC,28,0),0),1)</f>
        <v>0</v>
      </c>
      <c r="BQ91" s="140">
        <f t="array" ref="BQ91">IF(ISBLANK($A91),0,IF(OR(BQ$5-$AI91&lt;=0,$AM91="Não"),AF91,AF91+INDEX($AO$6:$BR$176,ROW()-5,COLUMN()-40-$AI91)))*IF($B91="Operacional",IFERROR(VLOOKUP($C91,SN_UGC,28,0),0),1)</f>
        <v>0</v>
      </c>
      <c r="BR91" s="140">
        <f t="array" ref="BR91">IF(ISBLANK($A91),0,IF(OR(BR$5-$AI91&lt;=0,$AM91="Não"),AG91,AG91+INDEX($AO$6:$BR$176,ROW()-5,COLUMN()-40-$AI91)))*IF($B91="Operacional",IFERROR(VLOOKUP($C91,SN_UGC,28,0),0),1)</f>
        <v>0</v>
      </c>
      <c r="BS91" s="141">
        <f t="shared" ref="BS91:CV91" si="458">IF(ISBLANK($A91),0,$AH91*AO91)</f>
        <v>73550.290000000008</v>
      </c>
      <c r="BT91" s="141">
        <f t="shared" si="458"/>
        <v>0</v>
      </c>
      <c r="BU91" s="141">
        <f t="shared" si="458"/>
        <v>0</v>
      </c>
      <c r="BV91" s="141">
        <f t="shared" si="458"/>
        <v>0</v>
      </c>
      <c r="BW91" s="141">
        <f t="shared" si="458"/>
        <v>0</v>
      </c>
      <c r="BX91" s="141">
        <f t="shared" si="458"/>
        <v>0</v>
      </c>
      <c r="BY91" s="141">
        <f t="shared" si="458"/>
        <v>0</v>
      </c>
      <c r="BZ91" s="141">
        <f t="shared" si="458"/>
        <v>0</v>
      </c>
      <c r="CA91" s="141">
        <f t="shared" si="458"/>
        <v>0</v>
      </c>
      <c r="CB91" s="141">
        <f t="shared" si="458"/>
        <v>0</v>
      </c>
      <c r="CC91" s="141">
        <f t="shared" si="458"/>
        <v>0</v>
      </c>
      <c r="CD91" s="141">
        <f t="shared" si="458"/>
        <v>0</v>
      </c>
      <c r="CE91" s="141">
        <f t="shared" si="458"/>
        <v>0</v>
      </c>
      <c r="CF91" s="141">
        <f t="shared" si="458"/>
        <v>0</v>
      </c>
      <c r="CG91" s="141">
        <f t="shared" si="458"/>
        <v>0</v>
      </c>
      <c r="CH91" s="141">
        <f t="shared" si="458"/>
        <v>0</v>
      </c>
      <c r="CI91" s="141">
        <f t="shared" si="458"/>
        <v>0</v>
      </c>
      <c r="CJ91" s="141">
        <f t="shared" si="458"/>
        <v>0</v>
      </c>
      <c r="CK91" s="141">
        <f t="shared" si="458"/>
        <v>0</v>
      </c>
      <c r="CL91" s="141">
        <f t="shared" si="458"/>
        <v>0</v>
      </c>
      <c r="CM91" s="141">
        <f t="shared" si="458"/>
        <v>0</v>
      </c>
      <c r="CN91" s="141">
        <f t="shared" si="458"/>
        <v>0</v>
      </c>
      <c r="CO91" s="141">
        <f t="shared" si="458"/>
        <v>0</v>
      </c>
      <c r="CP91" s="141">
        <f t="shared" si="458"/>
        <v>0</v>
      </c>
      <c r="CQ91" s="141">
        <f t="shared" si="458"/>
        <v>0</v>
      </c>
      <c r="CR91" s="141">
        <f t="shared" si="458"/>
        <v>0</v>
      </c>
      <c r="CS91" s="141">
        <f t="shared" si="458"/>
        <v>0</v>
      </c>
      <c r="CT91" s="141">
        <f t="shared" si="458"/>
        <v>0</v>
      </c>
      <c r="CU91" s="141">
        <f t="shared" si="458"/>
        <v>0</v>
      </c>
      <c r="CV91" s="141">
        <f t="shared" si="458"/>
        <v>0</v>
      </c>
      <c r="CW91" s="142">
        <f t="shared" ref="CW91:DZ91" si="459">EA91*$AH91*$AJ91</f>
        <v>0</v>
      </c>
      <c r="CX91" s="142">
        <f t="shared" si="459"/>
        <v>0</v>
      </c>
      <c r="CY91" s="142">
        <f t="shared" si="459"/>
        <v>0</v>
      </c>
      <c r="CZ91" s="142">
        <f t="shared" si="459"/>
        <v>0</v>
      </c>
      <c r="DA91" s="142">
        <f t="shared" si="459"/>
        <v>0</v>
      </c>
      <c r="DB91" s="142">
        <f t="shared" si="459"/>
        <v>0</v>
      </c>
      <c r="DC91" s="142">
        <f t="shared" si="459"/>
        <v>0</v>
      </c>
      <c r="DD91" s="142">
        <f t="shared" si="459"/>
        <v>0</v>
      </c>
      <c r="DE91" s="142">
        <f t="shared" si="459"/>
        <v>0</v>
      </c>
      <c r="DF91" s="142">
        <f t="shared" si="459"/>
        <v>0</v>
      </c>
      <c r="DG91" s="142">
        <f t="shared" si="459"/>
        <v>0</v>
      </c>
      <c r="DH91" s="142">
        <f t="shared" si="459"/>
        <v>0</v>
      </c>
      <c r="DI91" s="142">
        <f t="shared" si="459"/>
        <v>0</v>
      </c>
      <c r="DJ91" s="142">
        <f t="shared" si="459"/>
        <v>0</v>
      </c>
      <c r="DK91" s="142">
        <f t="shared" si="459"/>
        <v>0</v>
      </c>
      <c r="DL91" s="142">
        <f t="shared" si="459"/>
        <v>0</v>
      </c>
      <c r="DM91" s="142">
        <f t="shared" si="459"/>
        <v>0</v>
      </c>
      <c r="DN91" s="142">
        <f t="shared" si="459"/>
        <v>0</v>
      </c>
      <c r="DO91" s="142">
        <f t="shared" si="459"/>
        <v>0</v>
      </c>
      <c r="DP91" s="142">
        <f t="shared" si="459"/>
        <v>0</v>
      </c>
      <c r="DQ91" s="142">
        <f t="shared" si="459"/>
        <v>0</v>
      </c>
      <c r="DR91" s="142">
        <f t="shared" si="459"/>
        <v>0</v>
      </c>
      <c r="DS91" s="142">
        <f t="shared" si="459"/>
        <v>0</v>
      </c>
      <c r="DT91" s="142">
        <f t="shared" si="459"/>
        <v>0</v>
      </c>
      <c r="DU91" s="142">
        <f t="shared" si="459"/>
        <v>0</v>
      </c>
      <c r="DV91" s="142">
        <f t="shared" si="459"/>
        <v>0</v>
      </c>
      <c r="DW91" s="142">
        <f t="shared" si="459"/>
        <v>0</v>
      </c>
      <c r="DX91" s="142">
        <f t="shared" si="459"/>
        <v>0</v>
      </c>
      <c r="DY91" s="142">
        <f t="shared" si="459"/>
        <v>0</v>
      </c>
      <c r="DZ91" s="142">
        <f t="shared" si="459"/>
        <v>0</v>
      </c>
      <c r="EA91" s="143">
        <f t="shared" si="339"/>
        <v>0</v>
      </c>
      <c r="EB91" s="143">
        <f t="shared" si="340"/>
        <v>0</v>
      </c>
      <c r="EC91" s="143">
        <f t="shared" si="341"/>
        <v>0</v>
      </c>
      <c r="ED91" s="143">
        <f t="shared" si="342"/>
        <v>0</v>
      </c>
      <c r="EE91" s="143">
        <f t="shared" si="343"/>
        <v>0</v>
      </c>
      <c r="EF91" s="143">
        <f t="shared" si="344"/>
        <v>0</v>
      </c>
      <c r="EG91" s="143">
        <f t="shared" si="345"/>
        <v>0</v>
      </c>
      <c r="EH91" s="143">
        <f t="shared" si="346"/>
        <v>0</v>
      </c>
      <c r="EI91" s="143">
        <f t="shared" si="347"/>
        <v>0</v>
      </c>
      <c r="EJ91" s="143">
        <f t="shared" si="348"/>
        <v>0</v>
      </c>
      <c r="EK91" s="143">
        <f t="shared" si="349"/>
        <v>0</v>
      </c>
      <c r="EL91" s="143">
        <f t="shared" si="350"/>
        <v>0</v>
      </c>
      <c r="EM91" s="143">
        <f t="shared" si="351"/>
        <v>0</v>
      </c>
      <c r="EN91" s="143">
        <f t="shared" si="352"/>
        <v>0</v>
      </c>
      <c r="EO91" s="143">
        <f t="shared" si="353"/>
        <v>0</v>
      </c>
      <c r="EP91" s="143">
        <f t="shared" si="354"/>
        <v>0</v>
      </c>
      <c r="EQ91" s="143">
        <f t="shared" si="355"/>
        <v>0</v>
      </c>
      <c r="ER91" s="143">
        <f t="shared" si="356"/>
        <v>0</v>
      </c>
      <c r="ES91" s="143">
        <f t="shared" si="357"/>
        <v>0</v>
      </c>
      <c r="ET91" s="143">
        <f t="shared" si="358"/>
        <v>0</v>
      </c>
      <c r="EU91" s="143">
        <f t="shared" si="359"/>
        <v>0</v>
      </c>
      <c r="EV91" s="143">
        <f t="shared" si="360"/>
        <v>0</v>
      </c>
      <c r="EW91" s="143">
        <f t="shared" si="361"/>
        <v>0</v>
      </c>
      <c r="EX91" s="143">
        <f t="shared" si="362"/>
        <v>0</v>
      </c>
      <c r="EY91" s="143">
        <f t="shared" si="363"/>
        <v>0</v>
      </c>
      <c r="EZ91" s="143">
        <f t="shared" si="364"/>
        <v>0</v>
      </c>
      <c r="FA91" s="143">
        <f t="shared" si="365"/>
        <v>0</v>
      </c>
      <c r="FB91" s="143">
        <f t="shared" si="366"/>
        <v>0</v>
      </c>
      <c r="FC91" s="143">
        <f t="shared" si="367"/>
        <v>0</v>
      </c>
      <c r="FD91" s="143">
        <f t="shared" si="368"/>
        <v>0</v>
      </c>
      <c r="FE91" s="140">
        <f>SUM($D91:D91)*IF($B91="Operacional",IFERROR(VLOOKUP($C91,SN_UGC,28,0),0),1)</f>
        <v>31</v>
      </c>
      <c r="FF91" s="140">
        <f>SUM($D91:E91)*IF($B91="Operacional",IFERROR(VLOOKUP($C91,SN_UGC,28,0),0),1)</f>
        <v>31</v>
      </c>
      <c r="FG91" s="140">
        <f>SUM($D91:F91)*IF($B91="Operacional",IFERROR(VLOOKUP($C91,SN_UGC,28,0),0),1)</f>
        <v>31</v>
      </c>
      <c r="FH91" s="140">
        <f>SUM($D91:G91)*IF($B91="Operacional",IFERROR(VLOOKUP($C91,SN_UGC,28,0),0),1)</f>
        <v>31</v>
      </c>
      <c r="FI91" s="140">
        <f>SUM($D91:H91)*IF($B91="Operacional",IFERROR(VLOOKUP($C91,SN_UGC,28,0),0),1)</f>
        <v>31</v>
      </c>
      <c r="FJ91" s="140">
        <f>SUM($D91:I91)*IF($B91="Operacional",IFERROR(VLOOKUP($C91,SN_UGC,28,0),0),1)</f>
        <v>31</v>
      </c>
      <c r="FK91" s="140">
        <f>SUM($D91:J91)*IF($B91="Operacional",IFERROR(VLOOKUP($C91,SN_UGC,28,0),0),1)</f>
        <v>31</v>
      </c>
      <c r="FL91" s="140">
        <f>SUM($D91:K91)*IF($B91="Operacional",IFERROR(VLOOKUP($C91,SN_UGC,28,0),0),1)</f>
        <v>31</v>
      </c>
      <c r="FM91" s="140">
        <f>SUM($D91:L91)*IF($B91="Operacional",IFERROR(VLOOKUP($C91,SN_UGC,28,0),0),1)</f>
        <v>31</v>
      </c>
      <c r="FN91" s="140">
        <f>SUM($D91:M91)*IF($B91="Operacional",IFERROR(VLOOKUP($C91,SN_UGC,28,0),0),1)</f>
        <v>31</v>
      </c>
      <c r="FO91" s="140">
        <f>SUM($D91:N91)*IF($B91="Operacional",IFERROR(VLOOKUP($C91,SN_UGC,28,0),0),1)</f>
        <v>31</v>
      </c>
      <c r="FP91" s="140">
        <f>SUM($D91:O91)*IF($B91="Operacional",IFERROR(VLOOKUP($C91,SN_UGC,28,0),0),1)</f>
        <v>31</v>
      </c>
      <c r="FQ91" s="140">
        <f>SUM($D91:P91)*IF($B91="Operacional",IFERROR(VLOOKUP($C91,SN_UGC,28,0),0),1)</f>
        <v>31</v>
      </c>
      <c r="FR91" s="140">
        <f>SUM($D91:Q91)*IF($B91="Operacional",IFERROR(VLOOKUP($C91,SN_UGC,28,0),0),1)</f>
        <v>31</v>
      </c>
      <c r="FS91" s="140">
        <f>SUM($D91:R91)*IF($B91="Operacional",IFERROR(VLOOKUP($C91,SN_UGC,28,0),0),1)</f>
        <v>31</v>
      </c>
      <c r="FT91" s="140">
        <f>SUM($D91:S91)*IF($B91="Operacional",IFERROR(VLOOKUP($C91,SN_UGC,28,0),0),1)</f>
        <v>31</v>
      </c>
      <c r="FU91" s="140">
        <f>SUM($D91:T91)*IF($B91="Operacional",IFERROR(VLOOKUP($C91,SN_UGC,28,0),0),1)</f>
        <v>31</v>
      </c>
      <c r="FV91" s="140">
        <f>SUM($D91:U91)*IF($B91="Operacional",IFERROR(VLOOKUP($C91,SN_UGC,28,0),0),1)</f>
        <v>31</v>
      </c>
      <c r="FW91" s="140">
        <f>SUM($D91:V91)*IF($B91="Operacional",IFERROR(VLOOKUP($C91,SN_UGC,28,0),0),1)</f>
        <v>31</v>
      </c>
      <c r="FX91" s="140">
        <f>SUM($D91:W91)*IF($B91="Operacional",IFERROR(VLOOKUP($C91,SN_UGC,28,0),0),1)</f>
        <v>31</v>
      </c>
      <c r="FY91" s="140">
        <f>SUM($D91:X91)*IF($B91="Operacional",IFERROR(VLOOKUP($C91,SN_UGC,28,0),0),1)</f>
        <v>31</v>
      </c>
      <c r="FZ91" s="140">
        <f>SUM($D91:Y91)*IF($B91="Operacional",IFERROR(VLOOKUP($C91,SN_UGC,28,0),0),1)</f>
        <v>31</v>
      </c>
      <c r="GA91" s="140">
        <f>SUM($D91:Z91)*IF($B91="Operacional",IFERROR(VLOOKUP($C91,SN_UGC,28,0),0),1)</f>
        <v>31</v>
      </c>
      <c r="GB91" s="140">
        <f>SUM($D91:AA91)*IF($B91="Operacional",IFERROR(VLOOKUP($C91,SN_UGC,28,0),0),1)</f>
        <v>31</v>
      </c>
      <c r="GC91" s="140">
        <f>SUM($D91:AB91)*IF($B91="Operacional",IFERROR(VLOOKUP($C91,SN_UGC,28,0),0),1)</f>
        <v>31</v>
      </c>
      <c r="GD91" s="140">
        <f>SUM($D91:AC91)*IF($B91="Operacional",IFERROR(VLOOKUP($C91,SN_UGC,28,0),0),1)</f>
        <v>31</v>
      </c>
      <c r="GE91" s="140">
        <f>SUM($D91:AD91)*IF($B91="Operacional",IFERROR(VLOOKUP($C91,SN_UGC,28,0),0),1)</f>
        <v>31</v>
      </c>
      <c r="GF91" s="140">
        <f>SUM($D91:AE91)*IF($B91="Operacional",IFERROR(VLOOKUP($C91,SN_UGC,28,0),0),1)</f>
        <v>31</v>
      </c>
      <c r="GG91" s="140">
        <f>SUM($D91:AF91)*IF($B91="Operacional",IFERROR(VLOOKUP($C91,SN_UGC,28,0),0),1)</f>
        <v>31</v>
      </c>
      <c r="GH91" s="140">
        <f>SUM($D91:AG91)*IF($B91="Operacional",IFERROR(VLOOKUP($C91,SN_UGC,28,0),0),1)</f>
        <v>31</v>
      </c>
      <c r="GI91" s="141">
        <f t="shared" ref="GI91:HL91" si="460">FE91*$AH91*$AL91</f>
        <v>3677.5145000000007</v>
      </c>
      <c r="GJ91" s="141">
        <f t="shared" si="460"/>
        <v>3677.5145000000007</v>
      </c>
      <c r="GK91" s="141">
        <f t="shared" si="460"/>
        <v>3677.5145000000007</v>
      </c>
      <c r="GL91" s="141">
        <f t="shared" si="460"/>
        <v>3677.5145000000007</v>
      </c>
      <c r="GM91" s="141">
        <f t="shared" si="460"/>
        <v>3677.5145000000007</v>
      </c>
      <c r="GN91" s="141">
        <f t="shared" si="460"/>
        <v>3677.5145000000007</v>
      </c>
      <c r="GO91" s="141">
        <f t="shared" si="460"/>
        <v>3677.5145000000007</v>
      </c>
      <c r="GP91" s="141">
        <f t="shared" si="460"/>
        <v>3677.5145000000007</v>
      </c>
      <c r="GQ91" s="141">
        <f t="shared" si="460"/>
        <v>3677.5145000000007</v>
      </c>
      <c r="GR91" s="141">
        <f t="shared" si="460"/>
        <v>3677.5145000000007</v>
      </c>
      <c r="GS91" s="141">
        <f t="shared" si="460"/>
        <v>3677.5145000000007</v>
      </c>
      <c r="GT91" s="141">
        <f t="shared" si="460"/>
        <v>3677.5145000000007</v>
      </c>
      <c r="GU91" s="141">
        <f t="shared" si="460"/>
        <v>3677.5145000000007</v>
      </c>
      <c r="GV91" s="141">
        <f t="shared" si="460"/>
        <v>3677.5145000000007</v>
      </c>
      <c r="GW91" s="141">
        <f t="shared" si="460"/>
        <v>3677.5145000000007</v>
      </c>
      <c r="GX91" s="141">
        <f t="shared" si="460"/>
        <v>3677.5145000000007</v>
      </c>
      <c r="GY91" s="141">
        <f t="shared" si="460"/>
        <v>3677.5145000000007</v>
      </c>
      <c r="GZ91" s="141">
        <f t="shared" si="460"/>
        <v>3677.5145000000007</v>
      </c>
      <c r="HA91" s="141">
        <f t="shared" si="460"/>
        <v>3677.5145000000007</v>
      </c>
      <c r="HB91" s="141">
        <f t="shared" si="460"/>
        <v>3677.5145000000007</v>
      </c>
      <c r="HC91" s="141">
        <f t="shared" si="460"/>
        <v>3677.5145000000007</v>
      </c>
      <c r="HD91" s="141">
        <f t="shared" si="460"/>
        <v>3677.5145000000007</v>
      </c>
      <c r="HE91" s="141">
        <f t="shared" si="460"/>
        <v>3677.5145000000007</v>
      </c>
      <c r="HF91" s="141">
        <f t="shared" si="460"/>
        <v>3677.5145000000007</v>
      </c>
      <c r="HG91" s="141">
        <f t="shared" si="460"/>
        <v>3677.5145000000007</v>
      </c>
      <c r="HH91" s="141">
        <f t="shared" si="460"/>
        <v>3677.5145000000007</v>
      </c>
      <c r="HI91" s="141">
        <f t="shared" si="460"/>
        <v>3677.5145000000007</v>
      </c>
      <c r="HJ91" s="141">
        <f t="shared" si="460"/>
        <v>3677.5145000000007</v>
      </c>
      <c r="HK91" s="141">
        <f t="shared" si="460"/>
        <v>3677.5145000000007</v>
      </c>
      <c r="HL91" s="141">
        <f t="shared" si="460"/>
        <v>3677.5145000000007</v>
      </c>
      <c r="HM91" s="142">
        <f t="shared" ref="HM91:IP91" si="461">IF(ISBLANK($A91),,FE91*($AH91-($AH91*$AJ91))/$AI91)</f>
        <v>2451.6763333333338</v>
      </c>
      <c r="HN91" s="142">
        <f t="shared" si="461"/>
        <v>2451.6763333333338</v>
      </c>
      <c r="HO91" s="142">
        <f t="shared" si="461"/>
        <v>2451.6763333333338</v>
      </c>
      <c r="HP91" s="142">
        <f t="shared" si="461"/>
        <v>2451.6763333333338</v>
      </c>
      <c r="HQ91" s="142">
        <f t="shared" si="461"/>
        <v>2451.6763333333338</v>
      </c>
      <c r="HR91" s="142">
        <f t="shared" si="461"/>
        <v>2451.6763333333338</v>
      </c>
      <c r="HS91" s="142">
        <f t="shared" si="461"/>
        <v>2451.6763333333338</v>
      </c>
      <c r="HT91" s="142">
        <f t="shared" si="461"/>
        <v>2451.6763333333338</v>
      </c>
      <c r="HU91" s="142">
        <f t="shared" si="461"/>
        <v>2451.6763333333338</v>
      </c>
      <c r="HV91" s="142">
        <f t="shared" si="461"/>
        <v>2451.6763333333338</v>
      </c>
      <c r="HW91" s="142">
        <f t="shared" si="461"/>
        <v>2451.6763333333338</v>
      </c>
      <c r="HX91" s="142">
        <f t="shared" si="461"/>
        <v>2451.6763333333338</v>
      </c>
      <c r="HY91" s="142">
        <f t="shared" si="461"/>
        <v>2451.6763333333338</v>
      </c>
      <c r="HZ91" s="142">
        <f t="shared" si="461"/>
        <v>2451.6763333333338</v>
      </c>
      <c r="IA91" s="142">
        <f t="shared" si="461"/>
        <v>2451.6763333333338</v>
      </c>
      <c r="IB91" s="142">
        <f t="shared" si="461"/>
        <v>2451.6763333333338</v>
      </c>
      <c r="IC91" s="142">
        <f t="shared" si="461"/>
        <v>2451.6763333333338</v>
      </c>
      <c r="ID91" s="142">
        <f t="shared" si="461"/>
        <v>2451.6763333333338</v>
      </c>
      <c r="IE91" s="142">
        <f t="shared" si="461"/>
        <v>2451.6763333333338</v>
      </c>
      <c r="IF91" s="142">
        <f t="shared" si="461"/>
        <v>2451.6763333333338</v>
      </c>
      <c r="IG91" s="142">
        <f t="shared" si="461"/>
        <v>2451.6763333333338</v>
      </c>
      <c r="IH91" s="142">
        <f t="shared" si="461"/>
        <v>2451.6763333333338</v>
      </c>
      <c r="II91" s="142">
        <f t="shared" si="461"/>
        <v>2451.6763333333338</v>
      </c>
      <c r="IJ91" s="142">
        <f t="shared" si="461"/>
        <v>2451.6763333333338</v>
      </c>
      <c r="IK91" s="142">
        <f t="shared" si="461"/>
        <v>2451.6763333333338</v>
      </c>
      <c r="IL91" s="142">
        <f t="shared" si="461"/>
        <v>2451.6763333333338</v>
      </c>
      <c r="IM91" s="142">
        <f t="shared" si="461"/>
        <v>2451.6763333333338</v>
      </c>
      <c r="IN91" s="142">
        <f t="shared" si="461"/>
        <v>2451.6763333333338</v>
      </c>
      <c r="IO91" s="142">
        <f t="shared" si="461"/>
        <v>2451.6763333333338</v>
      </c>
      <c r="IP91" s="142">
        <f t="shared" si="461"/>
        <v>2451.6763333333338</v>
      </c>
      <c r="IQ91" s="141">
        <f>IF(ISBLANK($A91),,IF($AN91="Não",0,(SUM($AO91:AO91)*$AH91)-SUM($HM91:HM91)-SUM($CW91:CW91)))</f>
        <v>0</v>
      </c>
      <c r="IR91" s="141">
        <f>IF(ISBLANK($A91),,IF($AN91="Não",0,(SUM($AO91:AP91)*$AH91)-SUM($HM91:HN91)-SUM($CW91:CX91)))</f>
        <v>0</v>
      </c>
      <c r="IS91" s="141">
        <f>IF(ISBLANK($A91),,IF($AN91="Não",0,(SUM($AO91:AQ91)*$AH91)-SUM($HM91:HO91)-SUM($CW91:CY91)))</f>
        <v>0</v>
      </c>
      <c r="IT91" s="141">
        <f>IF(ISBLANK($A91),,IF($AN91="Não",0,(SUM($AO91:AR91)*$AH91)-SUM($HM91:HP91)-SUM($CW91:CZ91)))</f>
        <v>0</v>
      </c>
      <c r="IU91" s="141">
        <f>IF(ISBLANK($A91),,IF($AN91="Não",0,(SUM($AO91:AS91)*$AH91)-SUM($HM91:HQ91)-SUM($CW91:DA91)))</f>
        <v>0</v>
      </c>
      <c r="IV91" s="141">
        <f>IF(ISBLANK($A91),,IF($AN91="Não",0,(SUM($AO91:AT91)*$AH91)-SUM($HM91:HR91)-SUM($CW91:DB91)))</f>
        <v>0</v>
      </c>
      <c r="IW91" s="141">
        <f>IF(ISBLANK($A91),,IF($AN91="Não",0,(SUM($AO91:AU91)*$AH91)-SUM($HM91:HS91)-SUM($CW91:DC91)))</f>
        <v>0</v>
      </c>
      <c r="IX91" s="141">
        <f>IF(ISBLANK($A91),,IF($AN91="Não",0,(SUM($AO91:AV91)*$AH91)-SUM($HM91:HT91)-SUM($CW91:DD91)))</f>
        <v>0</v>
      </c>
      <c r="IY91" s="141">
        <f>IF(ISBLANK($A91),,IF($AN91="Não",0,(SUM($AO91:AW91)*$AH91)-SUM($HM91:HU91)-SUM($CW91:DE91)))</f>
        <v>0</v>
      </c>
      <c r="IZ91" s="141">
        <f>IF(ISBLANK($A91),,IF($AN91="Não",0,(SUM($AO91:AX91)*$AH91)-SUM($HM91:HV91)-SUM($CW91:DF91)))</f>
        <v>0</v>
      </c>
      <c r="JA91" s="141">
        <f>IF(ISBLANK($A91),,IF($AN91="Não",0,(SUM($AO91:AY91)*$AH91)-SUM($HM91:HW91)-SUM($CW91:DG91)))</f>
        <v>0</v>
      </c>
      <c r="JB91" s="141">
        <f>IF(ISBLANK($A91),,IF($AN91="Não",0,(SUM($AO91:AZ91)*$AH91)-SUM($HM91:HX91)-SUM($CW91:DH91)))</f>
        <v>0</v>
      </c>
      <c r="JC91" s="141">
        <f>IF(ISBLANK($A91),,IF($AN91="Não",0,(SUM($AO91:BA91)*$AH91)-SUM($HM91:HY91)-SUM($CW91:DI91)))</f>
        <v>0</v>
      </c>
      <c r="JD91" s="141">
        <f>IF(ISBLANK($A91),,IF($AN91="Não",0,(SUM($AO91:BB91)*$AH91)-SUM($HM91:HZ91)-SUM($CW91:DJ91)))</f>
        <v>0</v>
      </c>
      <c r="JE91" s="141">
        <f>IF(ISBLANK($A91),,IF($AN91="Não",0,(SUM($AO91:BC91)*$AH91)-SUM($HM91:IA91)-SUM($CW91:DK91)))</f>
        <v>0</v>
      </c>
      <c r="JF91" s="141">
        <f>IF(ISBLANK($A91),,IF($AN91="Não",0,(SUM($AO91:BD91)*$AH91)-SUM($HM91:IB91)-SUM($CW91:DL91)))</f>
        <v>0</v>
      </c>
      <c r="JG91" s="141">
        <f>IF(ISBLANK($A91),,IF($AN91="Não",0,(SUM($AO91:BE91)*$AH91)-SUM($HM91:IC91)-SUM($CW91:DM91)))</f>
        <v>0</v>
      </c>
      <c r="JH91" s="141">
        <f>IF(ISBLANK($A91),,IF($AN91="Não",0,(SUM($AO91:BF91)*$AH91)-SUM($HM91:ID91)-SUM($CW91:DN91)))</f>
        <v>0</v>
      </c>
      <c r="JI91" s="141">
        <f>IF(ISBLANK($A91),,IF($AN91="Não",0,(SUM($AO91:BG91)*$AH91)-SUM($HM91:IE91)-SUM($CW91:DO91)))</f>
        <v>0</v>
      </c>
      <c r="JJ91" s="141">
        <f>IF(ISBLANK($A91),,IF($AN91="Não",0,(SUM($AO91:BH91)*$AH91)-SUM($HM91:IF91)-SUM($CW91:DP91)))</f>
        <v>0</v>
      </c>
      <c r="JK91" s="141">
        <f>IF(ISBLANK($A91),,IF($AN91="Não",0,(SUM($AO91:BI91)*$AH91)-SUM($HM91:IG91)-SUM($CW91:DQ91)))</f>
        <v>0</v>
      </c>
      <c r="JL91" s="141">
        <f>IF(ISBLANK($A91),,IF($AN91="Não",0,(SUM($AO91:BJ91)*$AH91)-SUM($HM91:IH91)-SUM($CW91:DR91)))</f>
        <v>0</v>
      </c>
      <c r="JM91" s="141">
        <f>IF(ISBLANK($A91),,IF($AN91="Não",0,(SUM($AO91:BK91)*$AH91)-SUM($HM91:II91)-SUM($CW91:DS91)))</f>
        <v>0</v>
      </c>
      <c r="JN91" s="141">
        <f>IF(ISBLANK($A91),,IF($AN91="Não",0,(SUM($AO91:BL91)*$AH91)-SUM($HM91:IJ91)-SUM($CW91:DT91)))</f>
        <v>0</v>
      </c>
      <c r="JO91" s="141">
        <f>IF(ISBLANK($A91),,IF($AN91="Não",0,(SUM($AO91:BM91)*$AH91)-SUM($HM91:IK91)-SUM($CW91:DU91)))</f>
        <v>0</v>
      </c>
      <c r="JP91" s="141">
        <f>IF(ISBLANK($A91),,IF($AN91="Não",0,(SUM($AO91:BN91)*$AH91)-SUM($HM91:IL91)-SUM($CW91:DV91)))</f>
        <v>0</v>
      </c>
      <c r="JQ91" s="141">
        <f>IF(ISBLANK($A91),,IF($AN91="Não",0,(SUM($AO91:BO91)*$AH91)-SUM($HM91:IM91)-SUM($CW91:DW91)))</f>
        <v>0</v>
      </c>
      <c r="JR91" s="141">
        <f>IF(ISBLANK($A91),,IF($AN91="Não",0,(SUM($AO91:BP91)*$AH91)-SUM($HM91:IN91)-SUM($CW91:DX91)))</f>
        <v>0</v>
      </c>
      <c r="JS91" s="141">
        <f>IF(ISBLANK($A91),,IF($AN91="Não",0,(SUM($AO91:BQ91)*$AH91)-SUM($HM91:IO91)-SUM($CW91:DY91)))</f>
        <v>0</v>
      </c>
      <c r="JT91" s="141">
        <f>IF(ISBLANK($A91),,IF($AN91="Não",0,(SUM($AO91:BR91)*$AH91)-SUM($HM91:IP91)-SUM($CW91:DZ91)))</f>
        <v>0</v>
      </c>
    </row>
    <row r="92" spans="1:280" ht="15.75" customHeight="1">
      <c r="A92" s="296" t="s">
        <v>431</v>
      </c>
      <c r="B92" s="296" t="s">
        <v>191</v>
      </c>
      <c r="C92" s="303" t="s">
        <v>234</v>
      </c>
      <c r="D92" s="139">
        <v>600</v>
      </c>
      <c r="E92" s="139">
        <v>600</v>
      </c>
      <c r="F92" s="139">
        <v>600</v>
      </c>
      <c r="G92" s="139"/>
      <c r="H92" s="139"/>
      <c r="I92" s="139"/>
      <c r="J92" s="301">
        <v>0</v>
      </c>
      <c r="K92" s="301">
        <v>0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  <c r="AA92" s="139"/>
      <c r="AB92" s="139"/>
      <c r="AC92" s="139"/>
      <c r="AD92" s="139"/>
      <c r="AE92" s="139"/>
      <c r="AF92" s="139"/>
      <c r="AG92" s="139"/>
      <c r="AH92" s="607">
        <f t="shared" si="399"/>
        <v>5500</v>
      </c>
      <c r="AI92" s="608">
        <f t="shared" si="400"/>
        <v>30</v>
      </c>
      <c r="AJ92" s="609">
        <f t="shared" si="401"/>
        <v>0.5</v>
      </c>
      <c r="AK92" s="610" t="str">
        <f t="shared" si="402"/>
        <v>Infraestrutura</v>
      </c>
      <c r="AL92" s="609">
        <f t="shared" si="403"/>
        <v>0.05</v>
      </c>
      <c r="AM92" s="611" t="str">
        <f t="shared" si="404"/>
        <v>Sim</v>
      </c>
      <c r="AN92" s="611" t="str">
        <f t="shared" si="405"/>
        <v>Não</v>
      </c>
      <c r="AO92" s="140">
        <f t="array" ref="AO92">IF(ISBLANK($A92),0,IF(OR(AO$5-$AI92&lt;=0,$AM92="Não"),D92,D92+INDEX($AO$6:$BR$176,ROW()-5,COLUMN()-40-$AI92)))*IF($B92="Operacional",IFERROR(VLOOKUP($C92,SN_UGC,28,0),0),1)</f>
        <v>600</v>
      </c>
      <c r="AP92" s="140">
        <f t="array" ref="AP92">IF(ISBLANK($A92),0,IF(OR(AP$5-$AI92&lt;=0,$AM92="Não"),E92,E92+INDEX($AO$6:$BR$176,ROW()-5,COLUMN()-40-$AI92)))*IF($B92="Operacional",IFERROR(VLOOKUP($C92,SN_UGC,28,0),0),1)</f>
        <v>600</v>
      </c>
      <c r="AQ92" s="140">
        <f t="array" ref="AQ92">IF(ISBLANK($A92),0,IF(OR(AQ$5-$AI92&lt;=0,$AM92="Não"),F92,F92+INDEX($AO$6:$BR$176,ROW()-5,COLUMN()-40-$AI92)))*IF($B92="Operacional",IFERROR(VLOOKUP($C92,SN_UGC,28,0),0),1)</f>
        <v>600</v>
      </c>
      <c r="AR92" s="140">
        <f t="array" ref="AR92">IF(ISBLANK($A92),0,IF(OR(AR$5-$AI92&lt;=0,$AM92="Não"),G92,G92+INDEX($AO$6:$BR$176,ROW()-5,COLUMN()-40-$AI92)))*IF($B92="Operacional",IFERROR(VLOOKUP($C92,SN_UGC,28,0),0),1)</f>
        <v>0</v>
      </c>
      <c r="AS92" s="140">
        <f t="array" ref="AS92">IF(ISBLANK($A92),0,IF(OR(AS$5-$AI92&lt;=0,$AM92="Não"),H92,H92+INDEX($AO$6:$BR$176,ROW()-5,COLUMN()-40-$AI92)))*IF($B92="Operacional",IFERROR(VLOOKUP($C92,SN_UGC,28,0),0),1)</f>
        <v>0</v>
      </c>
      <c r="AT92" s="140">
        <f t="array" ref="AT92">IF(ISBLANK($A92),0,IF(OR(AT$5-$AI92&lt;=0,$AM92="Não"),I92,I92+INDEX($AO$6:$BR$176,ROW()-5,COLUMN()-40-$AI92)))*IF($B92="Operacional",IFERROR(VLOOKUP($C92,SN_UGC,28,0),0),1)</f>
        <v>0</v>
      </c>
      <c r="AU92" s="140">
        <f t="array" ref="AU92">IF(ISBLANK($A92),0,IF(OR(AU$5-$AI92&lt;=0,$AM92="Não"),J92,J92+INDEX($AO$6:$BR$176,ROW()-5,COLUMN()-40-$AI92)))*IF($B92="Operacional",IFERROR(VLOOKUP($C92,SN_UGC,28,0),0),1)</f>
        <v>0</v>
      </c>
      <c r="AV92" s="140">
        <f t="array" ref="AV92">IF(ISBLANK($A92),0,IF(OR(AV$5-$AI92&lt;=0,$AM92="Não"),K92,K92+INDEX($AO$6:$BR$176,ROW()-5,COLUMN()-40-$AI92)))*IF($B92="Operacional",IFERROR(VLOOKUP($C92,SN_UGC,28,0),0),1)</f>
        <v>0</v>
      </c>
      <c r="AW92" s="140">
        <f t="array" ref="AW92">IF(ISBLANK($A92),0,IF(OR(AW$5-$AI92&lt;=0,$AM92="Não"),L92,L92+INDEX($AO$6:$BR$176,ROW()-5,COLUMN()-40-$AI92)))*IF($B92="Operacional",IFERROR(VLOOKUP($C92,SN_UGC,28,0),0),1)</f>
        <v>0</v>
      </c>
      <c r="AX92" s="140">
        <f t="array" ref="AX92">IF(ISBLANK($A92),0,IF(OR(AX$5-$AI92&lt;=0,$AM92="Não"),M92,M92+INDEX($AO$6:$BR$176,ROW()-5,COLUMN()-40-$AI92)))*IF($B92="Operacional",IFERROR(VLOOKUP($C92,SN_UGC,28,0),0),1)</f>
        <v>0</v>
      </c>
      <c r="AY92" s="140">
        <f t="array" ref="AY92">IF(ISBLANK($A92),0,IF(OR(AY$5-$AI92&lt;=0,$AM92="Não"),N92,N92+INDEX($AO$6:$BR$176,ROW()-5,COLUMN()-40-$AI92)))*IF($B92="Operacional",IFERROR(VLOOKUP($C92,SN_UGC,28,0),0),1)</f>
        <v>0</v>
      </c>
      <c r="AZ92" s="140">
        <f t="array" ref="AZ92">IF(ISBLANK($A92),0,IF(OR(AZ$5-$AI92&lt;=0,$AM92="Não"),O92,O92+INDEX($AO$6:$BR$176,ROW()-5,COLUMN()-40-$AI92)))*IF($B92="Operacional",IFERROR(VLOOKUP($C92,SN_UGC,28,0),0),1)</f>
        <v>0</v>
      </c>
      <c r="BA92" s="140">
        <f t="array" ref="BA92">IF(ISBLANK($A92),0,IF(OR(BA$5-$AI92&lt;=0,$AM92="Não"),P92,P92+INDEX($AO$6:$BR$176,ROW()-5,COLUMN()-40-$AI92)))*IF($B92="Operacional",IFERROR(VLOOKUP($C92,SN_UGC,28,0),0),1)</f>
        <v>0</v>
      </c>
      <c r="BB92" s="140">
        <f t="array" ref="BB92">IF(ISBLANK($A92),0,IF(OR(BB$5-$AI92&lt;=0,$AM92="Não"),Q92,Q92+INDEX($AO$6:$BR$176,ROW()-5,COLUMN()-40-$AI92)))*IF($B92="Operacional",IFERROR(VLOOKUP($C92,SN_UGC,28,0),0),1)</f>
        <v>0</v>
      </c>
      <c r="BC92" s="140">
        <f t="array" ref="BC92">IF(ISBLANK($A92),0,IF(OR(BC$5-$AI92&lt;=0,$AM92="Não"),R92,R92+INDEX($AO$6:$BR$176,ROW()-5,COLUMN()-40-$AI92)))*IF($B92="Operacional",IFERROR(VLOOKUP($C92,SN_UGC,28,0),0),1)</f>
        <v>0</v>
      </c>
      <c r="BD92" s="140">
        <f t="array" ref="BD92">IF(ISBLANK($A92),0,IF(OR(BD$5-$AI92&lt;=0,$AM92="Não"),S92,S92+INDEX($AO$6:$BR$176,ROW()-5,COLUMN()-40-$AI92)))*IF($B92="Operacional",IFERROR(VLOOKUP($C92,SN_UGC,28,0),0),1)</f>
        <v>0</v>
      </c>
      <c r="BE92" s="140">
        <f t="array" ref="BE92">IF(ISBLANK($A92),0,IF(OR(BE$5-$AI92&lt;=0,$AM92="Não"),T92,T92+INDEX($AO$6:$BR$176,ROW()-5,COLUMN()-40-$AI92)))*IF($B92="Operacional",IFERROR(VLOOKUP($C92,SN_UGC,28,0),0),1)</f>
        <v>0</v>
      </c>
      <c r="BF92" s="140">
        <f t="array" ref="BF92">IF(ISBLANK($A92),0,IF(OR(BF$5-$AI92&lt;=0,$AM92="Não"),U92,U92+INDEX($AO$6:$BR$176,ROW()-5,COLUMN()-40-$AI92)))*IF($B92="Operacional",IFERROR(VLOOKUP($C92,SN_UGC,28,0),0),1)</f>
        <v>0</v>
      </c>
      <c r="BG92" s="140">
        <f t="array" ref="BG92">IF(ISBLANK($A92),0,IF(OR(BG$5-$AI92&lt;=0,$AM92="Não"),V92,V92+INDEX($AO$6:$BR$176,ROW()-5,COLUMN()-40-$AI92)))*IF($B92="Operacional",IFERROR(VLOOKUP($C92,SN_UGC,28,0),0),1)</f>
        <v>0</v>
      </c>
      <c r="BH92" s="140">
        <f t="array" ref="BH92">IF(ISBLANK($A92),0,IF(OR(BH$5-$AI92&lt;=0,$AM92="Não"),W92,W92+INDEX($AO$6:$BR$176,ROW()-5,COLUMN()-40-$AI92)))*IF($B92="Operacional",IFERROR(VLOOKUP($C92,SN_UGC,28,0),0),1)</f>
        <v>0</v>
      </c>
      <c r="BI92" s="140">
        <f t="array" ref="BI92">IF(ISBLANK($A92),0,IF(OR(BI$5-$AI92&lt;=0,$AM92="Não"),X92,X92+INDEX($AO$6:$BR$176,ROW()-5,COLUMN()-40-$AI92)))*IF($B92="Operacional",IFERROR(VLOOKUP($C92,SN_UGC,28,0),0),1)</f>
        <v>0</v>
      </c>
      <c r="BJ92" s="140">
        <f t="array" ref="BJ92">IF(ISBLANK($A92),0,IF(OR(BJ$5-$AI92&lt;=0,$AM92="Não"),Y92,Y92+INDEX($AO$6:$BR$176,ROW()-5,COLUMN()-40-$AI92)))*IF($B92="Operacional",IFERROR(VLOOKUP($C92,SN_UGC,28,0),0),1)</f>
        <v>0</v>
      </c>
      <c r="BK92" s="140">
        <f t="array" ref="BK92">IF(ISBLANK($A92),0,IF(OR(BK$5-$AI92&lt;=0,$AM92="Não"),Z92,Z92+INDEX($AO$6:$BR$176,ROW()-5,COLUMN()-40-$AI92)))*IF($B92="Operacional",IFERROR(VLOOKUP($C92,SN_UGC,28,0),0),1)</f>
        <v>0</v>
      </c>
      <c r="BL92" s="140">
        <f t="array" ref="BL92">IF(ISBLANK($A92),0,IF(OR(BL$5-$AI92&lt;=0,$AM92="Não"),AA92,AA92+INDEX($AO$6:$BR$176,ROW()-5,COLUMN()-40-$AI92)))*IF($B92="Operacional",IFERROR(VLOOKUP($C92,SN_UGC,28,0),0),1)</f>
        <v>0</v>
      </c>
      <c r="BM92" s="140">
        <f t="array" ref="BM92">IF(ISBLANK($A92),0,IF(OR(BM$5-$AI92&lt;=0,$AM92="Não"),AB92,AB92+INDEX($AO$6:$BR$176,ROW()-5,COLUMN()-40-$AI92)))*IF($B92="Operacional",IFERROR(VLOOKUP($C92,SN_UGC,28,0),0),1)</f>
        <v>0</v>
      </c>
      <c r="BN92" s="140">
        <f t="array" ref="BN92">IF(ISBLANK($A92),0,IF(OR(BN$5-$AI92&lt;=0,$AM92="Não"),AC92,AC92+INDEX($AO$6:$BR$176,ROW()-5,COLUMN()-40-$AI92)))*IF($B92="Operacional",IFERROR(VLOOKUP($C92,SN_UGC,28,0),0),1)</f>
        <v>0</v>
      </c>
      <c r="BO92" s="140">
        <f t="array" ref="BO92">IF(ISBLANK($A92),0,IF(OR(BO$5-$AI92&lt;=0,$AM92="Não"),AD92,AD92+INDEX($AO$6:$BR$176,ROW()-5,COLUMN()-40-$AI92)))*IF($B92="Operacional",IFERROR(VLOOKUP($C92,SN_UGC,28,0),0),1)</f>
        <v>0</v>
      </c>
      <c r="BP92" s="140">
        <f t="array" ref="BP92">IF(ISBLANK($A92),0,IF(OR(BP$5-$AI92&lt;=0,$AM92="Não"),AE92,AE92+INDEX($AO$6:$BR$176,ROW()-5,COLUMN()-40-$AI92)))*IF($B92="Operacional",IFERROR(VLOOKUP($C92,SN_UGC,28,0),0),1)</f>
        <v>0</v>
      </c>
      <c r="BQ92" s="140">
        <f t="array" ref="BQ92">IF(ISBLANK($A92),0,IF(OR(BQ$5-$AI92&lt;=0,$AM92="Não"),AF92,AF92+INDEX($AO$6:$BR$176,ROW()-5,COLUMN()-40-$AI92)))*IF($B92="Operacional",IFERROR(VLOOKUP($C92,SN_UGC,28,0),0),1)</f>
        <v>0</v>
      </c>
      <c r="BR92" s="140">
        <f t="array" ref="BR92">IF(ISBLANK($A92),0,IF(OR(BR$5-$AI92&lt;=0,$AM92="Não"),AG92,AG92+INDEX($AO$6:$BR$176,ROW()-5,COLUMN()-40-$AI92)))*IF($B92="Operacional",IFERROR(VLOOKUP($C92,SN_UGC,28,0),0),1)</f>
        <v>0</v>
      </c>
      <c r="BS92" s="141">
        <f t="shared" ref="BS92:CV92" si="462">IF(ISBLANK($A92),0,$AH92*AO92)</f>
        <v>3300000</v>
      </c>
      <c r="BT92" s="141">
        <f t="shared" si="462"/>
        <v>3300000</v>
      </c>
      <c r="BU92" s="141">
        <f t="shared" si="462"/>
        <v>3300000</v>
      </c>
      <c r="BV92" s="141">
        <f t="shared" si="462"/>
        <v>0</v>
      </c>
      <c r="BW92" s="141">
        <f t="shared" si="462"/>
        <v>0</v>
      </c>
      <c r="BX92" s="141">
        <f t="shared" si="462"/>
        <v>0</v>
      </c>
      <c r="BY92" s="141">
        <f t="shared" si="462"/>
        <v>0</v>
      </c>
      <c r="BZ92" s="141">
        <f t="shared" si="462"/>
        <v>0</v>
      </c>
      <c r="CA92" s="141">
        <f t="shared" si="462"/>
        <v>0</v>
      </c>
      <c r="CB92" s="141">
        <f t="shared" si="462"/>
        <v>0</v>
      </c>
      <c r="CC92" s="141">
        <f t="shared" si="462"/>
        <v>0</v>
      </c>
      <c r="CD92" s="141">
        <f t="shared" si="462"/>
        <v>0</v>
      </c>
      <c r="CE92" s="141">
        <f t="shared" si="462"/>
        <v>0</v>
      </c>
      <c r="CF92" s="141">
        <f t="shared" si="462"/>
        <v>0</v>
      </c>
      <c r="CG92" s="141">
        <f t="shared" si="462"/>
        <v>0</v>
      </c>
      <c r="CH92" s="141">
        <f t="shared" si="462"/>
        <v>0</v>
      </c>
      <c r="CI92" s="141">
        <f t="shared" si="462"/>
        <v>0</v>
      </c>
      <c r="CJ92" s="141">
        <f t="shared" si="462"/>
        <v>0</v>
      </c>
      <c r="CK92" s="141">
        <f t="shared" si="462"/>
        <v>0</v>
      </c>
      <c r="CL92" s="141">
        <f t="shared" si="462"/>
        <v>0</v>
      </c>
      <c r="CM92" s="141">
        <f t="shared" si="462"/>
        <v>0</v>
      </c>
      <c r="CN92" s="141">
        <f t="shared" si="462"/>
        <v>0</v>
      </c>
      <c r="CO92" s="141">
        <f t="shared" si="462"/>
        <v>0</v>
      </c>
      <c r="CP92" s="141">
        <f t="shared" si="462"/>
        <v>0</v>
      </c>
      <c r="CQ92" s="141">
        <f t="shared" si="462"/>
        <v>0</v>
      </c>
      <c r="CR92" s="141">
        <f t="shared" si="462"/>
        <v>0</v>
      </c>
      <c r="CS92" s="141">
        <f t="shared" si="462"/>
        <v>0</v>
      </c>
      <c r="CT92" s="141">
        <f t="shared" si="462"/>
        <v>0</v>
      </c>
      <c r="CU92" s="141">
        <f t="shared" si="462"/>
        <v>0</v>
      </c>
      <c r="CV92" s="141">
        <f t="shared" si="462"/>
        <v>0</v>
      </c>
      <c r="CW92" s="142">
        <f t="shared" ref="CW92:DZ92" si="463">EA92*$AH92*$AJ92</f>
        <v>0</v>
      </c>
      <c r="CX92" s="142">
        <f t="shared" si="463"/>
        <v>0</v>
      </c>
      <c r="CY92" s="142">
        <f t="shared" si="463"/>
        <v>0</v>
      </c>
      <c r="CZ92" s="142">
        <f t="shared" si="463"/>
        <v>0</v>
      </c>
      <c r="DA92" s="142">
        <f t="shared" si="463"/>
        <v>0</v>
      </c>
      <c r="DB92" s="142">
        <f t="shared" si="463"/>
        <v>0</v>
      </c>
      <c r="DC92" s="142">
        <f t="shared" si="463"/>
        <v>0</v>
      </c>
      <c r="DD92" s="142">
        <f t="shared" si="463"/>
        <v>0</v>
      </c>
      <c r="DE92" s="142">
        <f t="shared" si="463"/>
        <v>0</v>
      </c>
      <c r="DF92" s="142">
        <f t="shared" si="463"/>
        <v>0</v>
      </c>
      <c r="DG92" s="142">
        <f t="shared" si="463"/>
        <v>0</v>
      </c>
      <c r="DH92" s="142">
        <f t="shared" si="463"/>
        <v>0</v>
      </c>
      <c r="DI92" s="142">
        <f t="shared" si="463"/>
        <v>0</v>
      </c>
      <c r="DJ92" s="142">
        <f t="shared" si="463"/>
        <v>0</v>
      </c>
      <c r="DK92" s="142">
        <f t="shared" si="463"/>
        <v>0</v>
      </c>
      <c r="DL92" s="142">
        <f t="shared" si="463"/>
        <v>0</v>
      </c>
      <c r="DM92" s="142">
        <f t="shared" si="463"/>
        <v>0</v>
      </c>
      <c r="DN92" s="142">
        <f t="shared" si="463"/>
        <v>0</v>
      </c>
      <c r="DO92" s="142">
        <f t="shared" si="463"/>
        <v>0</v>
      </c>
      <c r="DP92" s="142">
        <f t="shared" si="463"/>
        <v>0</v>
      </c>
      <c r="DQ92" s="142">
        <f t="shared" si="463"/>
        <v>0</v>
      </c>
      <c r="DR92" s="142">
        <f t="shared" si="463"/>
        <v>0</v>
      </c>
      <c r="DS92" s="142">
        <f t="shared" si="463"/>
        <v>0</v>
      </c>
      <c r="DT92" s="142">
        <f t="shared" si="463"/>
        <v>0</v>
      </c>
      <c r="DU92" s="142">
        <f t="shared" si="463"/>
        <v>0</v>
      </c>
      <c r="DV92" s="142">
        <f t="shared" si="463"/>
        <v>0</v>
      </c>
      <c r="DW92" s="142">
        <f t="shared" si="463"/>
        <v>0</v>
      </c>
      <c r="DX92" s="142">
        <f t="shared" si="463"/>
        <v>0</v>
      </c>
      <c r="DY92" s="142">
        <f t="shared" si="463"/>
        <v>0</v>
      </c>
      <c r="DZ92" s="142">
        <f t="shared" si="463"/>
        <v>0</v>
      </c>
      <c r="EA92" s="143">
        <f t="shared" si="339"/>
        <v>0</v>
      </c>
      <c r="EB92" s="143">
        <f t="shared" si="340"/>
        <v>0</v>
      </c>
      <c r="EC92" s="143">
        <f t="shared" si="341"/>
        <v>0</v>
      </c>
      <c r="ED92" s="143">
        <f t="shared" si="342"/>
        <v>0</v>
      </c>
      <c r="EE92" s="143">
        <f t="shared" si="343"/>
        <v>0</v>
      </c>
      <c r="EF92" s="143">
        <f t="shared" si="344"/>
        <v>0</v>
      </c>
      <c r="EG92" s="143">
        <f t="shared" si="345"/>
        <v>0</v>
      </c>
      <c r="EH92" s="143">
        <f t="shared" si="346"/>
        <v>0</v>
      </c>
      <c r="EI92" s="143">
        <f t="shared" si="347"/>
        <v>0</v>
      </c>
      <c r="EJ92" s="143">
        <f t="shared" si="348"/>
        <v>0</v>
      </c>
      <c r="EK92" s="143">
        <f t="shared" si="349"/>
        <v>0</v>
      </c>
      <c r="EL92" s="143">
        <f t="shared" si="350"/>
        <v>0</v>
      </c>
      <c r="EM92" s="143">
        <f t="shared" si="351"/>
        <v>0</v>
      </c>
      <c r="EN92" s="143">
        <f t="shared" si="352"/>
        <v>0</v>
      </c>
      <c r="EO92" s="143">
        <f t="shared" si="353"/>
        <v>0</v>
      </c>
      <c r="EP92" s="143">
        <f t="shared" si="354"/>
        <v>0</v>
      </c>
      <c r="EQ92" s="143">
        <f t="shared" si="355"/>
        <v>0</v>
      </c>
      <c r="ER92" s="143">
        <f t="shared" si="356"/>
        <v>0</v>
      </c>
      <c r="ES92" s="143">
        <f t="shared" si="357"/>
        <v>0</v>
      </c>
      <c r="ET92" s="143">
        <f t="shared" si="358"/>
        <v>0</v>
      </c>
      <c r="EU92" s="143">
        <f t="shared" si="359"/>
        <v>0</v>
      </c>
      <c r="EV92" s="143">
        <f t="shared" si="360"/>
        <v>0</v>
      </c>
      <c r="EW92" s="143">
        <f t="shared" si="361"/>
        <v>0</v>
      </c>
      <c r="EX92" s="143">
        <f t="shared" si="362"/>
        <v>0</v>
      </c>
      <c r="EY92" s="143">
        <f t="shared" si="363"/>
        <v>0</v>
      </c>
      <c r="EZ92" s="143">
        <f t="shared" si="364"/>
        <v>0</v>
      </c>
      <c r="FA92" s="143">
        <f t="shared" si="365"/>
        <v>0</v>
      </c>
      <c r="FB92" s="143">
        <f t="shared" si="366"/>
        <v>0</v>
      </c>
      <c r="FC92" s="143">
        <f t="shared" si="367"/>
        <v>0</v>
      </c>
      <c r="FD92" s="143">
        <f t="shared" si="368"/>
        <v>0</v>
      </c>
      <c r="FE92" s="140">
        <f>SUM($D92:D92)*IF($B92="Operacional",IFERROR(VLOOKUP($C92,SN_UGC,28,0),0),1)</f>
        <v>600</v>
      </c>
      <c r="FF92" s="140">
        <f>SUM($D92:E92)*IF($B92="Operacional",IFERROR(VLOOKUP($C92,SN_UGC,28,0),0),1)</f>
        <v>1200</v>
      </c>
      <c r="FG92" s="140">
        <f>SUM($D92:F92)*IF($B92="Operacional",IFERROR(VLOOKUP($C92,SN_UGC,28,0),0),1)</f>
        <v>1800</v>
      </c>
      <c r="FH92" s="140">
        <f>SUM($D92:G92)*IF($B92="Operacional",IFERROR(VLOOKUP($C92,SN_UGC,28,0),0),1)</f>
        <v>1800</v>
      </c>
      <c r="FI92" s="140">
        <f>SUM($D92:H92)*IF($B92="Operacional",IFERROR(VLOOKUP($C92,SN_UGC,28,0),0),1)</f>
        <v>1800</v>
      </c>
      <c r="FJ92" s="140">
        <f>SUM($D92:I92)*IF($B92="Operacional",IFERROR(VLOOKUP($C92,SN_UGC,28,0),0),1)</f>
        <v>1800</v>
      </c>
      <c r="FK92" s="140">
        <f>SUM($D92:J92)*IF($B92="Operacional",IFERROR(VLOOKUP($C92,SN_UGC,28,0),0),1)</f>
        <v>1800</v>
      </c>
      <c r="FL92" s="140">
        <f>SUM($D92:K92)*IF($B92="Operacional",IFERROR(VLOOKUP($C92,SN_UGC,28,0),0),1)</f>
        <v>1800</v>
      </c>
      <c r="FM92" s="140">
        <f>SUM($D92:L92)*IF($B92="Operacional",IFERROR(VLOOKUP($C92,SN_UGC,28,0),0),1)</f>
        <v>1800</v>
      </c>
      <c r="FN92" s="140">
        <f>SUM($D92:M92)*IF($B92="Operacional",IFERROR(VLOOKUP($C92,SN_UGC,28,0),0),1)</f>
        <v>1800</v>
      </c>
      <c r="FO92" s="140">
        <f>SUM($D92:N92)*IF($B92="Operacional",IFERROR(VLOOKUP($C92,SN_UGC,28,0),0),1)</f>
        <v>1800</v>
      </c>
      <c r="FP92" s="140">
        <f>SUM($D92:O92)*IF($B92="Operacional",IFERROR(VLOOKUP($C92,SN_UGC,28,0),0),1)</f>
        <v>1800</v>
      </c>
      <c r="FQ92" s="140">
        <f>SUM($D92:P92)*IF($B92="Operacional",IFERROR(VLOOKUP($C92,SN_UGC,28,0),0),1)</f>
        <v>1800</v>
      </c>
      <c r="FR92" s="140">
        <f>SUM($D92:Q92)*IF($B92="Operacional",IFERROR(VLOOKUP($C92,SN_UGC,28,0),0),1)</f>
        <v>1800</v>
      </c>
      <c r="FS92" s="140">
        <f>SUM($D92:R92)*IF($B92="Operacional",IFERROR(VLOOKUP($C92,SN_UGC,28,0),0),1)</f>
        <v>1800</v>
      </c>
      <c r="FT92" s="140">
        <f>SUM($D92:S92)*IF($B92="Operacional",IFERROR(VLOOKUP($C92,SN_UGC,28,0),0),1)</f>
        <v>1800</v>
      </c>
      <c r="FU92" s="140">
        <f>SUM($D92:T92)*IF($B92="Operacional",IFERROR(VLOOKUP($C92,SN_UGC,28,0),0),1)</f>
        <v>1800</v>
      </c>
      <c r="FV92" s="140">
        <f>SUM($D92:U92)*IF($B92="Operacional",IFERROR(VLOOKUP($C92,SN_UGC,28,0),0),1)</f>
        <v>1800</v>
      </c>
      <c r="FW92" s="140">
        <f>SUM($D92:V92)*IF($B92="Operacional",IFERROR(VLOOKUP($C92,SN_UGC,28,0),0),1)</f>
        <v>1800</v>
      </c>
      <c r="FX92" s="140">
        <f>SUM($D92:W92)*IF($B92="Operacional",IFERROR(VLOOKUP($C92,SN_UGC,28,0),0),1)</f>
        <v>1800</v>
      </c>
      <c r="FY92" s="140">
        <f>SUM($D92:X92)*IF($B92="Operacional",IFERROR(VLOOKUP($C92,SN_UGC,28,0),0),1)</f>
        <v>1800</v>
      </c>
      <c r="FZ92" s="140">
        <f>SUM($D92:Y92)*IF($B92="Operacional",IFERROR(VLOOKUP($C92,SN_UGC,28,0),0),1)</f>
        <v>1800</v>
      </c>
      <c r="GA92" s="140">
        <f>SUM($D92:Z92)*IF($B92="Operacional",IFERROR(VLOOKUP($C92,SN_UGC,28,0),0),1)</f>
        <v>1800</v>
      </c>
      <c r="GB92" s="140">
        <f>SUM($D92:AA92)*IF($B92="Operacional",IFERROR(VLOOKUP($C92,SN_UGC,28,0),0),1)</f>
        <v>1800</v>
      </c>
      <c r="GC92" s="140">
        <f>SUM($D92:AB92)*IF($B92="Operacional",IFERROR(VLOOKUP($C92,SN_UGC,28,0),0),1)</f>
        <v>1800</v>
      </c>
      <c r="GD92" s="140">
        <f>SUM($D92:AC92)*IF($B92="Operacional",IFERROR(VLOOKUP($C92,SN_UGC,28,0),0),1)</f>
        <v>1800</v>
      </c>
      <c r="GE92" s="140">
        <f>SUM($D92:AD92)*IF($B92="Operacional",IFERROR(VLOOKUP($C92,SN_UGC,28,0),0),1)</f>
        <v>1800</v>
      </c>
      <c r="GF92" s="140">
        <f>SUM($D92:AE92)*IF($B92="Operacional",IFERROR(VLOOKUP($C92,SN_UGC,28,0),0),1)</f>
        <v>1800</v>
      </c>
      <c r="GG92" s="140">
        <f>SUM($D92:AF92)*IF($B92="Operacional",IFERROR(VLOOKUP($C92,SN_UGC,28,0),0),1)</f>
        <v>1800</v>
      </c>
      <c r="GH92" s="140">
        <f>SUM($D92:AG92)*IF($B92="Operacional",IFERROR(VLOOKUP($C92,SN_UGC,28,0),0),1)</f>
        <v>1800</v>
      </c>
      <c r="GI92" s="141">
        <f t="shared" ref="GI92:HL92" si="464">FE92*$AH92*$AL92</f>
        <v>165000</v>
      </c>
      <c r="GJ92" s="141">
        <f t="shared" si="464"/>
        <v>330000</v>
      </c>
      <c r="GK92" s="141">
        <f t="shared" si="464"/>
        <v>495000</v>
      </c>
      <c r="GL92" s="141">
        <f t="shared" si="464"/>
        <v>495000</v>
      </c>
      <c r="GM92" s="141">
        <f t="shared" si="464"/>
        <v>495000</v>
      </c>
      <c r="GN92" s="141">
        <f t="shared" si="464"/>
        <v>495000</v>
      </c>
      <c r="GO92" s="141">
        <f t="shared" si="464"/>
        <v>495000</v>
      </c>
      <c r="GP92" s="141">
        <f t="shared" si="464"/>
        <v>495000</v>
      </c>
      <c r="GQ92" s="141">
        <f t="shared" si="464"/>
        <v>495000</v>
      </c>
      <c r="GR92" s="141">
        <f t="shared" si="464"/>
        <v>495000</v>
      </c>
      <c r="GS92" s="141">
        <f t="shared" si="464"/>
        <v>495000</v>
      </c>
      <c r="GT92" s="141">
        <f t="shared" si="464"/>
        <v>495000</v>
      </c>
      <c r="GU92" s="141">
        <f t="shared" si="464"/>
        <v>495000</v>
      </c>
      <c r="GV92" s="141">
        <f t="shared" si="464"/>
        <v>495000</v>
      </c>
      <c r="GW92" s="141">
        <f t="shared" si="464"/>
        <v>495000</v>
      </c>
      <c r="GX92" s="141">
        <f t="shared" si="464"/>
        <v>495000</v>
      </c>
      <c r="GY92" s="141">
        <f t="shared" si="464"/>
        <v>495000</v>
      </c>
      <c r="GZ92" s="141">
        <f t="shared" si="464"/>
        <v>495000</v>
      </c>
      <c r="HA92" s="141">
        <f t="shared" si="464"/>
        <v>495000</v>
      </c>
      <c r="HB92" s="141">
        <f t="shared" si="464"/>
        <v>495000</v>
      </c>
      <c r="HC92" s="141">
        <f t="shared" si="464"/>
        <v>495000</v>
      </c>
      <c r="HD92" s="141">
        <f t="shared" si="464"/>
        <v>495000</v>
      </c>
      <c r="HE92" s="141">
        <f t="shared" si="464"/>
        <v>495000</v>
      </c>
      <c r="HF92" s="141">
        <f t="shared" si="464"/>
        <v>495000</v>
      </c>
      <c r="HG92" s="141">
        <f t="shared" si="464"/>
        <v>495000</v>
      </c>
      <c r="HH92" s="141">
        <f t="shared" si="464"/>
        <v>495000</v>
      </c>
      <c r="HI92" s="141">
        <f t="shared" si="464"/>
        <v>495000</v>
      </c>
      <c r="HJ92" s="141">
        <f t="shared" si="464"/>
        <v>495000</v>
      </c>
      <c r="HK92" s="141">
        <f t="shared" si="464"/>
        <v>495000</v>
      </c>
      <c r="HL92" s="141">
        <f t="shared" si="464"/>
        <v>495000</v>
      </c>
      <c r="HM92" s="142">
        <f t="shared" ref="HM92:IP92" si="465">IF(ISBLANK($A92),,FE92*($AH92-($AH92*$AJ92))/$AI92)</f>
        <v>55000</v>
      </c>
      <c r="HN92" s="142">
        <f t="shared" si="465"/>
        <v>110000</v>
      </c>
      <c r="HO92" s="142">
        <f t="shared" si="465"/>
        <v>165000</v>
      </c>
      <c r="HP92" s="142">
        <f t="shared" si="465"/>
        <v>165000</v>
      </c>
      <c r="HQ92" s="142">
        <f t="shared" si="465"/>
        <v>165000</v>
      </c>
      <c r="HR92" s="142">
        <f t="shared" si="465"/>
        <v>165000</v>
      </c>
      <c r="HS92" s="142">
        <f t="shared" si="465"/>
        <v>165000</v>
      </c>
      <c r="HT92" s="142">
        <f t="shared" si="465"/>
        <v>165000</v>
      </c>
      <c r="HU92" s="142">
        <f t="shared" si="465"/>
        <v>165000</v>
      </c>
      <c r="HV92" s="142">
        <f t="shared" si="465"/>
        <v>165000</v>
      </c>
      <c r="HW92" s="142">
        <f t="shared" si="465"/>
        <v>165000</v>
      </c>
      <c r="HX92" s="142">
        <f t="shared" si="465"/>
        <v>165000</v>
      </c>
      <c r="HY92" s="142">
        <f t="shared" si="465"/>
        <v>165000</v>
      </c>
      <c r="HZ92" s="142">
        <f t="shared" si="465"/>
        <v>165000</v>
      </c>
      <c r="IA92" s="142">
        <f t="shared" si="465"/>
        <v>165000</v>
      </c>
      <c r="IB92" s="142">
        <f t="shared" si="465"/>
        <v>165000</v>
      </c>
      <c r="IC92" s="142">
        <f t="shared" si="465"/>
        <v>165000</v>
      </c>
      <c r="ID92" s="142">
        <f t="shared" si="465"/>
        <v>165000</v>
      </c>
      <c r="IE92" s="142">
        <f t="shared" si="465"/>
        <v>165000</v>
      </c>
      <c r="IF92" s="142">
        <f t="shared" si="465"/>
        <v>165000</v>
      </c>
      <c r="IG92" s="142">
        <f t="shared" si="465"/>
        <v>165000</v>
      </c>
      <c r="IH92" s="142">
        <f t="shared" si="465"/>
        <v>165000</v>
      </c>
      <c r="II92" s="142">
        <f t="shared" si="465"/>
        <v>165000</v>
      </c>
      <c r="IJ92" s="142">
        <f t="shared" si="465"/>
        <v>165000</v>
      </c>
      <c r="IK92" s="142">
        <f t="shared" si="465"/>
        <v>165000</v>
      </c>
      <c r="IL92" s="142">
        <f t="shared" si="465"/>
        <v>165000</v>
      </c>
      <c r="IM92" s="142">
        <f t="shared" si="465"/>
        <v>165000</v>
      </c>
      <c r="IN92" s="142">
        <f t="shared" si="465"/>
        <v>165000</v>
      </c>
      <c r="IO92" s="142">
        <f t="shared" si="465"/>
        <v>165000</v>
      </c>
      <c r="IP92" s="142">
        <f t="shared" si="465"/>
        <v>165000</v>
      </c>
      <c r="IQ92" s="141">
        <f>IF(ISBLANK($A92),,IF($AN92="Não",0,(SUM($AO92:AO92)*$AH92)-SUM($HM92:HM92)-SUM($CW92:CW92)))</f>
        <v>0</v>
      </c>
      <c r="IR92" s="141">
        <f>IF(ISBLANK($A92),,IF($AN92="Não",0,(SUM($AO92:AP92)*$AH92)-SUM($HM92:HN92)-SUM($CW92:CX92)))</f>
        <v>0</v>
      </c>
      <c r="IS92" s="141">
        <f>IF(ISBLANK($A92),,IF($AN92="Não",0,(SUM($AO92:AQ92)*$AH92)-SUM($HM92:HO92)-SUM($CW92:CY92)))</f>
        <v>0</v>
      </c>
      <c r="IT92" s="141">
        <f>IF(ISBLANK($A92),,IF($AN92="Não",0,(SUM($AO92:AR92)*$AH92)-SUM($HM92:HP92)-SUM($CW92:CZ92)))</f>
        <v>0</v>
      </c>
      <c r="IU92" s="141">
        <f>IF(ISBLANK($A92),,IF($AN92="Não",0,(SUM($AO92:AS92)*$AH92)-SUM($HM92:HQ92)-SUM($CW92:DA92)))</f>
        <v>0</v>
      </c>
      <c r="IV92" s="141">
        <f>IF(ISBLANK($A92),,IF($AN92="Não",0,(SUM($AO92:AT92)*$AH92)-SUM($HM92:HR92)-SUM($CW92:DB92)))</f>
        <v>0</v>
      </c>
      <c r="IW92" s="141">
        <f>IF(ISBLANK($A92),,IF($AN92="Não",0,(SUM($AO92:AU92)*$AH92)-SUM($HM92:HS92)-SUM($CW92:DC92)))</f>
        <v>0</v>
      </c>
      <c r="IX92" s="141">
        <f>IF(ISBLANK($A92),,IF($AN92="Não",0,(SUM($AO92:AV92)*$AH92)-SUM($HM92:HT92)-SUM($CW92:DD92)))</f>
        <v>0</v>
      </c>
      <c r="IY92" s="141">
        <f>IF(ISBLANK($A92),,IF($AN92="Não",0,(SUM($AO92:AW92)*$AH92)-SUM($HM92:HU92)-SUM($CW92:DE92)))</f>
        <v>0</v>
      </c>
      <c r="IZ92" s="141">
        <f>IF(ISBLANK($A92),,IF($AN92="Não",0,(SUM($AO92:AX92)*$AH92)-SUM($HM92:HV92)-SUM($CW92:DF92)))</f>
        <v>0</v>
      </c>
      <c r="JA92" s="141">
        <f>IF(ISBLANK($A92),,IF($AN92="Não",0,(SUM($AO92:AY92)*$AH92)-SUM($HM92:HW92)-SUM($CW92:DG92)))</f>
        <v>0</v>
      </c>
      <c r="JB92" s="141">
        <f>IF(ISBLANK($A92),,IF($AN92="Não",0,(SUM($AO92:AZ92)*$AH92)-SUM($HM92:HX92)-SUM($CW92:DH92)))</f>
        <v>0</v>
      </c>
      <c r="JC92" s="141">
        <f>IF(ISBLANK($A92),,IF($AN92="Não",0,(SUM($AO92:BA92)*$AH92)-SUM($HM92:HY92)-SUM($CW92:DI92)))</f>
        <v>0</v>
      </c>
      <c r="JD92" s="141">
        <f>IF(ISBLANK($A92),,IF($AN92="Não",0,(SUM($AO92:BB92)*$AH92)-SUM($HM92:HZ92)-SUM($CW92:DJ92)))</f>
        <v>0</v>
      </c>
      <c r="JE92" s="141">
        <f>IF(ISBLANK($A92),,IF($AN92="Não",0,(SUM($AO92:BC92)*$AH92)-SUM($HM92:IA92)-SUM($CW92:DK92)))</f>
        <v>0</v>
      </c>
      <c r="JF92" s="141">
        <f>IF(ISBLANK($A92),,IF($AN92="Não",0,(SUM($AO92:BD92)*$AH92)-SUM($HM92:IB92)-SUM($CW92:DL92)))</f>
        <v>0</v>
      </c>
      <c r="JG92" s="141">
        <f>IF(ISBLANK($A92),,IF($AN92="Não",0,(SUM($AO92:BE92)*$AH92)-SUM($HM92:IC92)-SUM($CW92:DM92)))</f>
        <v>0</v>
      </c>
      <c r="JH92" s="141">
        <f>IF(ISBLANK($A92),,IF($AN92="Não",0,(SUM($AO92:BF92)*$AH92)-SUM($HM92:ID92)-SUM($CW92:DN92)))</f>
        <v>0</v>
      </c>
      <c r="JI92" s="141">
        <f>IF(ISBLANK($A92),,IF($AN92="Não",0,(SUM($AO92:BG92)*$AH92)-SUM($HM92:IE92)-SUM($CW92:DO92)))</f>
        <v>0</v>
      </c>
      <c r="JJ92" s="141">
        <f>IF(ISBLANK($A92),,IF($AN92="Não",0,(SUM($AO92:BH92)*$AH92)-SUM($HM92:IF92)-SUM($CW92:DP92)))</f>
        <v>0</v>
      </c>
      <c r="JK92" s="141">
        <f>IF(ISBLANK($A92),,IF($AN92="Não",0,(SUM($AO92:BI92)*$AH92)-SUM($HM92:IG92)-SUM($CW92:DQ92)))</f>
        <v>0</v>
      </c>
      <c r="JL92" s="141">
        <f>IF(ISBLANK($A92),,IF($AN92="Não",0,(SUM($AO92:BJ92)*$AH92)-SUM($HM92:IH92)-SUM($CW92:DR92)))</f>
        <v>0</v>
      </c>
      <c r="JM92" s="141">
        <f>IF(ISBLANK($A92),,IF($AN92="Não",0,(SUM($AO92:BK92)*$AH92)-SUM($HM92:II92)-SUM($CW92:DS92)))</f>
        <v>0</v>
      </c>
      <c r="JN92" s="141">
        <f>IF(ISBLANK($A92),,IF($AN92="Não",0,(SUM($AO92:BL92)*$AH92)-SUM($HM92:IJ92)-SUM($CW92:DT92)))</f>
        <v>0</v>
      </c>
      <c r="JO92" s="141">
        <f>IF(ISBLANK($A92),,IF($AN92="Não",0,(SUM($AO92:BM92)*$AH92)-SUM($HM92:IK92)-SUM($CW92:DU92)))</f>
        <v>0</v>
      </c>
      <c r="JP92" s="141">
        <f>IF(ISBLANK($A92),,IF($AN92="Não",0,(SUM($AO92:BN92)*$AH92)-SUM($HM92:IL92)-SUM($CW92:DV92)))</f>
        <v>0</v>
      </c>
      <c r="JQ92" s="141">
        <f>IF(ISBLANK($A92),,IF($AN92="Não",0,(SUM($AO92:BO92)*$AH92)-SUM($HM92:IM92)-SUM($CW92:DW92)))</f>
        <v>0</v>
      </c>
      <c r="JR92" s="141">
        <f>IF(ISBLANK($A92),,IF($AN92="Não",0,(SUM($AO92:BP92)*$AH92)-SUM($HM92:IN92)-SUM($CW92:DX92)))</f>
        <v>0</v>
      </c>
      <c r="JS92" s="141">
        <f>IF(ISBLANK($A92),,IF($AN92="Não",0,(SUM($AO92:BQ92)*$AH92)-SUM($HM92:IO92)-SUM($CW92:DY92)))</f>
        <v>0</v>
      </c>
      <c r="JT92" s="141">
        <f>IF(ISBLANK($A92),,IF($AN92="Não",0,(SUM($AO92:BR92)*$AH92)-SUM($HM92:IP92)-SUM($CW92:DZ92)))</f>
        <v>0</v>
      </c>
    </row>
    <row r="93" spans="1:280" ht="15.75" customHeight="1">
      <c r="A93" s="129" t="s">
        <v>412</v>
      </c>
      <c r="B93" s="129" t="s">
        <v>209</v>
      </c>
      <c r="C93" s="138" t="s">
        <v>79</v>
      </c>
      <c r="D93" s="139">
        <v>3056</v>
      </c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  <c r="AA93" s="139"/>
      <c r="AB93" s="139"/>
      <c r="AC93" s="139"/>
      <c r="AD93" s="139"/>
      <c r="AE93" s="139"/>
      <c r="AF93" s="139"/>
      <c r="AG93" s="139"/>
      <c r="AH93" s="607">
        <f t="shared" si="399"/>
        <v>550</v>
      </c>
      <c r="AI93" s="608">
        <f t="shared" si="400"/>
        <v>10</v>
      </c>
      <c r="AJ93" s="609">
        <f t="shared" si="401"/>
        <v>0.25</v>
      </c>
      <c r="AK93" s="610" t="str">
        <f t="shared" si="402"/>
        <v>Infraestrutura</v>
      </c>
      <c r="AL93" s="609">
        <f t="shared" si="403"/>
        <v>0.05</v>
      </c>
      <c r="AM93" s="611" t="str">
        <f t="shared" si="404"/>
        <v>Sim</v>
      </c>
      <c r="AN93" s="611" t="str">
        <f t="shared" si="405"/>
        <v>Não</v>
      </c>
      <c r="AO93" s="140">
        <f t="array" ref="AO93">IF(ISBLANK($A93),0,IF(OR(AO$5-$AI93&lt;=0,$AM93="Não"),D93,D93+INDEX($AO$6:$BR$176,ROW()-5,COLUMN()-40-$AI93)))*IF($B93="Operacional",IFERROR(VLOOKUP($C93,SN_UGC,28,0),0),1)</f>
        <v>3056</v>
      </c>
      <c r="AP93" s="140">
        <f t="array" ref="AP93">IF(ISBLANK($A93),0,IF(OR(AP$5-$AI93&lt;=0,$AM93="Não"),E93,E93+INDEX($AO$6:$BR$176,ROW()-5,COLUMN()-40-$AI93)))*IF($B93="Operacional",IFERROR(VLOOKUP($C93,SN_UGC,28,0),0),1)</f>
        <v>0</v>
      </c>
      <c r="AQ93" s="140">
        <f t="array" ref="AQ93">IF(ISBLANK($A93),0,IF(OR(AQ$5-$AI93&lt;=0,$AM93="Não"),F93,F93+INDEX($AO$6:$BR$176,ROW()-5,COLUMN()-40-$AI93)))*IF($B93="Operacional",IFERROR(VLOOKUP($C93,SN_UGC,28,0),0),1)</f>
        <v>0</v>
      </c>
      <c r="AR93" s="140">
        <f t="array" ref="AR93">IF(ISBLANK($A93),0,IF(OR(AR$5-$AI93&lt;=0,$AM93="Não"),G93,G93+INDEX($AO$6:$BR$176,ROW()-5,COLUMN()-40-$AI93)))*IF($B93="Operacional",IFERROR(VLOOKUP($C93,SN_UGC,28,0),0),1)</f>
        <v>0</v>
      </c>
      <c r="AS93" s="140">
        <f t="array" ref="AS93">IF(ISBLANK($A93),0,IF(OR(AS$5-$AI93&lt;=0,$AM93="Não"),H93,H93+INDEX($AO$6:$BR$176,ROW()-5,COLUMN()-40-$AI93)))*IF($B93="Operacional",IFERROR(VLOOKUP($C93,SN_UGC,28,0),0),1)</f>
        <v>0</v>
      </c>
      <c r="AT93" s="140">
        <f t="array" ref="AT93">IF(ISBLANK($A93),0,IF(OR(AT$5-$AI93&lt;=0,$AM93="Não"),I93,I93+INDEX($AO$6:$BR$176,ROW()-5,COLUMN()-40-$AI93)))*IF($B93="Operacional",IFERROR(VLOOKUP($C93,SN_UGC,28,0),0),1)</f>
        <v>0</v>
      </c>
      <c r="AU93" s="140">
        <f t="array" ref="AU93">IF(ISBLANK($A93),0,IF(OR(AU$5-$AI93&lt;=0,$AM93="Não"),J93,J93+INDEX($AO$6:$BR$176,ROW()-5,COLUMN()-40-$AI93)))*IF($B93="Operacional",IFERROR(VLOOKUP($C93,SN_UGC,28,0),0),1)</f>
        <v>0</v>
      </c>
      <c r="AV93" s="140">
        <f t="array" ref="AV93">IF(ISBLANK($A93),0,IF(OR(AV$5-$AI93&lt;=0,$AM93="Não"),K93,K93+INDEX($AO$6:$BR$176,ROW()-5,COLUMN()-40-$AI93)))*IF($B93="Operacional",IFERROR(VLOOKUP($C93,SN_UGC,28,0),0),1)</f>
        <v>0</v>
      </c>
      <c r="AW93" s="140">
        <f t="array" ref="AW93">IF(ISBLANK($A93),0,IF(OR(AW$5-$AI93&lt;=0,$AM93="Não"),L93,L93+INDEX($AO$6:$BR$176,ROW()-5,COLUMN()-40-$AI93)))*IF($B93="Operacional",IFERROR(VLOOKUP($C93,SN_UGC,28,0),0),1)</f>
        <v>0</v>
      </c>
      <c r="AX93" s="140">
        <f t="array" ref="AX93">IF(ISBLANK($A93),0,IF(OR(AX$5-$AI93&lt;=0,$AM93="Não"),M93,M93+INDEX($AO$6:$BR$176,ROW()-5,COLUMN()-40-$AI93)))*IF($B93="Operacional",IFERROR(VLOOKUP($C93,SN_UGC,28,0),0),1)</f>
        <v>0</v>
      </c>
      <c r="AY93" s="140">
        <f t="array" ref="AY93">IF(ISBLANK($A93),0,IF(OR(AY$5-$AI93&lt;=0,$AM93="Não"),N93,N93+INDEX($AO$6:$BR$176,ROW()-5,COLUMN()-40-$AI93)))*IF($B93="Operacional",IFERROR(VLOOKUP($C93,SN_UGC,28,0),0),1)</f>
        <v>3056</v>
      </c>
      <c r="AZ93" s="140">
        <f t="array" ref="AZ93">IF(ISBLANK($A93),0,IF(OR(AZ$5-$AI93&lt;=0,$AM93="Não"),O93,O93+INDEX($AO$6:$BR$176,ROW()-5,COLUMN()-40-$AI93)))*IF($B93="Operacional",IFERROR(VLOOKUP($C93,SN_UGC,28,0),0),1)</f>
        <v>0</v>
      </c>
      <c r="BA93" s="140">
        <f t="array" ref="BA93">IF(ISBLANK($A93),0,IF(OR(BA$5-$AI93&lt;=0,$AM93="Não"),P93,P93+INDEX($AO$6:$BR$176,ROW()-5,COLUMN()-40-$AI93)))*IF($B93="Operacional",IFERROR(VLOOKUP($C93,SN_UGC,28,0),0),1)</f>
        <v>0</v>
      </c>
      <c r="BB93" s="140">
        <f t="array" ref="BB93">IF(ISBLANK($A93),0,IF(OR(BB$5-$AI93&lt;=0,$AM93="Não"),Q93,Q93+INDEX($AO$6:$BR$176,ROW()-5,COLUMN()-40-$AI93)))*IF($B93="Operacional",IFERROR(VLOOKUP($C93,SN_UGC,28,0),0),1)</f>
        <v>0</v>
      </c>
      <c r="BC93" s="140">
        <f t="array" ref="BC93">IF(ISBLANK($A93),0,IF(OR(BC$5-$AI93&lt;=0,$AM93="Não"),R93,R93+INDEX($AO$6:$BR$176,ROW()-5,COLUMN()-40-$AI93)))*IF($B93="Operacional",IFERROR(VLOOKUP($C93,SN_UGC,28,0),0),1)</f>
        <v>0</v>
      </c>
      <c r="BD93" s="140">
        <f t="array" ref="BD93">IF(ISBLANK($A93),0,IF(OR(BD$5-$AI93&lt;=0,$AM93="Não"),S93,S93+INDEX($AO$6:$BR$176,ROW()-5,COLUMN()-40-$AI93)))*IF($B93="Operacional",IFERROR(VLOOKUP($C93,SN_UGC,28,0),0),1)</f>
        <v>0</v>
      </c>
      <c r="BE93" s="140">
        <f t="array" ref="BE93">IF(ISBLANK($A93),0,IF(OR(BE$5-$AI93&lt;=0,$AM93="Não"),T93,T93+INDEX($AO$6:$BR$176,ROW()-5,COLUMN()-40-$AI93)))*IF($B93="Operacional",IFERROR(VLOOKUP($C93,SN_UGC,28,0),0),1)</f>
        <v>0</v>
      </c>
      <c r="BF93" s="140">
        <f t="array" ref="BF93">IF(ISBLANK($A93),0,IF(OR(BF$5-$AI93&lt;=0,$AM93="Não"),U93,U93+INDEX($AO$6:$BR$176,ROW()-5,COLUMN()-40-$AI93)))*IF($B93="Operacional",IFERROR(VLOOKUP($C93,SN_UGC,28,0),0),1)</f>
        <v>0</v>
      </c>
      <c r="BG93" s="140">
        <f t="array" ref="BG93">IF(ISBLANK($A93),0,IF(OR(BG$5-$AI93&lt;=0,$AM93="Não"),V93,V93+INDEX($AO$6:$BR$176,ROW()-5,COLUMN()-40-$AI93)))*IF($B93="Operacional",IFERROR(VLOOKUP($C93,SN_UGC,28,0),0),1)</f>
        <v>0</v>
      </c>
      <c r="BH93" s="140">
        <f t="array" ref="BH93">IF(ISBLANK($A93),0,IF(OR(BH$5-$AI93&lt;=0,$AM93="Não"),W93,W93+INDEX($AO$6:$BR$176,ROW()-5,COLUMN()-40-$AI93)))*IF($B93="Operacional",IFERROR(VLOOKUP($C93,SN_UGC,28,0),0),1)</f>
        <v>0</v>
      </c>
      <c r="BI93" s="140">
        <f t="array" ref="BI93">IF(ISBLANK($A93),0,IF(OR(BI$5-$AI93&lt;=0,$AM93="Não"),X93,X93+INDEX($AO$6:$BR$176,ROW()-5,COLUMN()-40-$AI93)))*IF($B93="Operacional",IFERROR(VLOOKUP($C93,SN_UGC,28,0),0),1)</f>
        <v>3056</v>
      </c>
      <c r="BJ93" s="140">
        <f t="array" ref="BJ93">IF(ISBLANK($A93),0,IF(OR(BJ$5-$AI93&lt;=0,$AM93="Não"),Y93,Y93+INDEX($AO$6:$BR$176,ROW()-5,COLUMN()-40-$AI93)))*IF($B93="Operacional",IFERROR(VLOOKUP($C93,SN_UGC,28,0),0),1)</f>
        <v>0</v>
      </c>
      <c r="BK93" s="140">
        <f t="array" ref="BK93">IF(ISBLANK($A93),0,IF(OR(BK$5-$AI93&lt;=0,$AM93="Não"),Z93,Z93+INDEX($AO$6:$BR$176,ROW()-5,COLUMN()-40-$AI93)))*IF($B93="Operacional",IFERROR(VLOOKUP($C93,SN_UGC,28,0),0),1)</f>
        <v>0</v>
      </c>
      <c r="BL93" s="140">
        <f t="array" ref="BL93">IF(ISBLANK($A93),0,IF(OR(BL$5-$AI93&lt;=0,$AM93="Não"),AA93,AA93+INDEX($AO$6:$BR$176,ROW()-5,COLUMN()-40-$AI93)))*IF($B93="Operacional",IFERROR(VLOOKUP($C93,SN_UGC,28,0),0),1)</f>
        <v>0</v>
      </c>
      <c r="BM93" s="140">
        <f t="array" ref="BM93">IF(ISBLANK($A93),0,IF(OR(BM$5-$AI93&lt;=0,$AM93="Não"),AB93,AB93+INDEX($AO$6:$BR$176,ROW()-5,COLUMN()-40-$AI93)))*IF($B93="Operacional",IFERROR(VLOOKUP($C93,SN_UGC,28,0),0),1)</f>
        <v>0</v>
      </c>
      <c r="BN93" s="140">
        <f t="array" ref="BN93">IF(ISBLANK($A93),0,IF(OR(BN$5-$AI93&lt;=0,$AM93="Não"),AC93,AC93+INDEX($AO$6:$BR$176,ROW()-5,COLUMN()-40-$AI93)))*IF($B93="Operacional",IFERROR(VLOOKUP($C93,SN_UGC,28,0),0),1)</f>
        <v>0</v>
      </c>
      <c r="BO93" s="140">
        <f t="array" ref="BO93">IF(ISBLANK($A93),0,IF(OR(BO$5-$AI93&lt;=0,$AM93="Não"),AD93,AD93+INDEX($AO$6:$BR$176,ROW()-5,COLUMN()-40-$AI93)))*IF($B93="Operacional",IFERROR(VLOOKUP($C93,SN_UGC,28,0),0),1)</f>
        <v>0</v>
      </c>
      <c r="BP93" s="140">
        <f t="array" ref="BP93">IF(ISBLANK($A93),0,IF(OR(BP$5-$AI93&lt;=0,$AM93="Não"),AE93,AE93+INDEX($AO$6:$BR$176,ROW()-5,COLUMN()-40-$AI93)))*IF($B93="Operacional",IFERROR(VLOOKUP($C93,SN_UGC,28,0),0),1)</f>
        <v>0</v>
      </c>
      <c r="BQ93" s="140">
        <f t="array" ref="BQ93">IF(ISBLANK($A93),0,IF(OR(BQ$5-$AI93&lt;=0,$AM93="Não"),AF93,AF93+INDEX($AO$6:$BR$176,ROW()-5,COLUMN()-40-$AI93)))*IF($B93="Operacional",IFERROR(VLOOKUP($C93,SN_UGC,28,0),0),1)</f>
        <v>0</v>
      </c>
      <c r="BR93" s="140">
        <f t="array" ref="BR93">IF(ISBLANK($A93),0,IF(OR(BR$5-$AI93&lt;=0,$AM93="Não"),AG93,AG93+INDEX($AO$6:$BR$176,ROW()-5,COLUMN()-40-$AI93)))*IF($B93="Operacional",IFERROR(VLOOKUP($C93,SN_UGC,28,0),0),1)</f>
        <v>0</v>
      </c>
      <c r="BS93" s="141">
        <f t="shared" ref="BS93:CV93" si="466">IF(ISBLANK($A93),0,$AH93*AO93)</f>
        <v>1680800</v>
      </c>
      <c r="BT93" s="141">
        <f t="shared" si="466"/>
        <v>0</v>
      </c>
      <c r="BU93" s="141">
        <f t="shared" si="466"/>
        <v>0</v>
      </c>
      <c r="BV93" s="141">
        <f t="shared" si="466"/>
        <v>0</v>
      </c>
      <c r="BW93" s="141">
        <f t="shared" si="466"/>
        <v>0</v>
      </c>
      <c r="BX93" s="141">
        <f t="shared" si="466"/>
        <v>0</v>
      </c>
      <c r="BY93" s="141">
        <f t="shared" si="466"/>
        <v>0</v>
      </c>
      <c r="BZ93" s="141">
        <f t="shared" si="466"/>
        <v>0</v>
      </c>
      <c r="CA93" s="141">
        <f t="shared" si="466"/>
        <v>0</v>
      </c>
      <c r="CB93" s="141">
        <f t="shared" si="466"/>
        <v>0</v>
      </c>
      <c r="CC93" s="141">
        <f t="shared" si="466"/>
        <v>1680800</v>
      </c>
      <c r="CD93" s="141">
        <f t="shared" si="466"/>
        <v>0</v>
      </c>
      <c r="CE93" s="141">
        <f t="shared" si="466"/>
        <v>0</v>
      </c>
      <c r="CF93" s="141">
        <f t="shared" si="466"/>
        <v>0</v>
      </c>
      <c r="CG93" s="141">
        <f t="shared" si="466"/>
        <v>0</v>
      </c>
      <c r="CH93" s="141">
        <f t="shared" si="466"/>
        <v>0</v>
      </c>
      <c r="CI93" s="141">
        <f t="shared" si="466"/>
        <v>0</v>
      </c>
      <c r="CJ93" s="141">
        <f t="shared" si="466"/>
        <v>0</v>
      </c>
      <c r="CK93" s="141">
        <f t="shared" si="466"/>
        <v>0</v>
      </c>
      <c r="CL93" s="141">
        <f t="shared" si="466"/>
        <v>0</v>
      </c>
      <c r="CM93" s="141">
        <f t="shared" si="466"/>
        <v>1680800</v>
      </c>
      <c r="CN93" s="141">
        <f t="shared" si="466"/>
        <v>0</v>
      </c>
      <c r="CO93" s="141">
        <f t="shared" si="466"/>
        <v>0</v>
      </c>
      <c r="CP93" s="141">
        <f t="shared" si="466"/>
        <v>0</v>
      </c>
      <c r="CQ93" s="141">
        <f t="shared" si="466"/>
        <v>0</v>
      </c>
      <c r="CR93" s="141">
        <f t="shared" si="466"/>
        <v>0</v>
      </c>
      <c r="CS93" s="141">
        <f t="shared" si="466"/>
        <v>0</v>
      </c>
      <c r="CT93" s="141">
        <f t="shared" si="466"/>
        <v>0</v>
      </c>
      <c r="CU93" s="141">
        <f t="shared" si="466"/>
        <v>0</v>
      </c>
      <c r="CV93" s="141">
        <f t="shared" si="466"/>
        <v>0</v>
      </c>
      <c r="CW93" s="142">
        <f t="shared" ref="CW93:DZ93" si="467">EA93*$AH93*$AJ93</f>
        <v>0</v>
      </c>
      <c r="CX93" s="142">
        <f t="shared" si="467"/>
        <v>0</v>
      </c>
      <c r="CY93" s="142">
        <f t="shared" si="467"/>
        <v>0</v>
      </c>
      <c r="CZ93" s="142">
        <f t="shared" si="467"/>
        <v>0</v>
      </c>
      <c r="DA93" s="142">
        <f t="shared" si="467"/>
        <v>0</v>
      </c>
      <c r="DB93" s="142">
        <f t="shared" si="467"/>
        <v>0</v>
      </c>
      <c r="DC93" s="142">
        <f t="shared" si="467"/>
        <v>0</v>
      </c>
      <c r="DD93" s="142">
        <f t="shared" si="467"/>
        <v>0</v>
      </c>
      <c r="DE93" s="142">
        <f t="shared" si="467"/>
        <v>0</v>
      </c>
      <c r="DF93" s="142">
        <f t="shared" si="467"/>
        <v>0</v>
      </c>
      <c r="DG93" s="142">
        <f t="shared" si="467"/>
        <v>420200</v>
      </c>
      <c r="DH93" s="142">
        <f t="shared" si="467"/>
        <v>0</v>
      </c>
      <c r="DI93" s="142">
        <f t="shared" si="467"/>
        <v>0</v>
      </c>
      <c r="DJ93" s="142">
        <f t="shared" si="467"/>
        <v>0</v>
      </c>
      <c r="DK93" s="142">
        <f t="shared" si="467"/>
        <v>0</v>
      </c>
      <c r="DL93" s="142">
        <f t="shared" si="467"/>
        <v>0</v>
      </c>
      <c r="DM93" s="142">
        <f t="shared" si="467"/>
        <v>0</v>
      </c>
      <c r="DN93" s="142">
        <f t="shared" si="467"/>
        <v>0</v>
      </c>
      <c r="DO93" s="142">
        <f t="shared" si="467"/>
        <v>0</v>
      </c>
      <c r="DP93" s="142">
        <f t="shared" si="467"/>
        <v>0</v>
      </c>
      <c r="DQ93" s="142">
        <f t="shared" si="467"/>
        <v>420200</v>
      </c>
      <c r="DR93" s="142">
        <f t="shared" si="467"/>
        <v>0</v>
      </c>
      <c r="DS93" s="142">
        <f t="shared" si="467"/>
        <v>0</v>
      </c>
      <c r="DT93" s="142">
        <f t="shared" si="467"/>
        <v>0</v>
      </c>
      <c r="DU93" s="142">
        <f t="shared" si="467"/>
        <v>0</v>
      </c>
      <c r="DV93" s="142">
        <f t="shared" si="467"/>
        <v>0</v>
      </c>
      <c r="DW93" s="142">
        <f t="shared" si="467"/>
        <v>0</v>
      </c>
      <c r="DX93" s="142">
        <f t="shared" si="467"/>
        <v>0</v>
      </c>
      <c r="DY93" s="142">
        <f t="shared" si="467"/>
        <v>0</v>
      </c>
      <c r="DZ93" s="142">
        <f t="shared" si="467"/>
        <v>0</v>
      </c>
      <c r="EA93" s="143">
        <f t="shared" si="339"/>
        <v>0</v>
      </c>
      <c r="EB93" s="143">
        <f t="shared" si="340"/>
        <v>0</v>
      </c>
      <c r="EC93" s="143">
        <f t="shared" si="341"/>
        <v>0</v>
      </c>
      <c r="ED93" s="143">
        <f t="shared" si="342"/>
        <v>0</v>
      </c>
      <c r="EE93" s="143">
        <f t="shared" si="343"/>
        <v>0</v>
      </c>
      <c r="EF93" s="143">
        <f t="shared" si="344"/>
        <v>0</v>
      </c>
      <c r="EG93" s="143">
        <f t="shared" si="345"/>
        <v>0</v>
      </c>
      <c r="EH93" s="143">
        <f t="shared" si="346"/>
        <v>0</v>
      </c>
      <c r="EI93" s="143">
        <f t="shared" si="347"/>
        <v>0</v>
      </c>
      <c r="EJ93" s="143">
        <f t="shared" si="348"/>
        <v>0</v>
      </c>
      <c r="EK93" s="143">
        <f t="shared" si="349"/>
        <v>3056</v>
      </c>
      <c r="EL93" s="143">
        <f t="shared" si="350"/>
        <v>0</v>
      </c>
      <c r="EM93" s="143">
        <f t="shared" si="351"/>
        <v>0</v>
      </c>
      <c r="EN93" s="143">
        <f t="shared" si="352"/>
        <v>0</v>
      </c>
      <c r="EO93" s="143">
        <f t="shared" si="353"/>
        <v>0</v>
      </c>
      <c r="EP93" s="143">
        <f t="shared" si="354"/>
        <v>0</v>
      </c>
      <c r="EQ93" s="143">
        <f t="shared" si="355"/>
        <v>0</v>
      </c>
      <c r="ER93" s="143">
        <f t="shared" si="356"/>
        <v>0</v>
      </c>
      <c r="ES93" s="143">
        <f t="shared" si="357"/>
        <v>0</v>
      </c>
      <c r="ET93" s="143">
        <f t="shared" si="358"/>
        <v>0</v>
      </c>
      <c r="EU93" s="143">
        <f t="shared" si="359"/>
        <v>3056</v>
      </c>
      <c r="EV93" s="143">
        <f t="shared" si="360"/>
        <v>0</v>
      </c>
      <c r="EW93" s="143">
        <f t="shared" si="361"/>
        <v>0</v>
      </c>
      <c r="EX93" s="143">
        <f t="shared" si="362"/>
        <v>0</v>
      </c>
      <c r="EY93" s="143">
        <f t="shared" si="363"/>
        <v>0</v>
      </c>
      <c r="EZ93" s="143">
        <f t="shared" si="364"/>
        <v>0</v>
      </c>
      <c r="FA93" s="143">
        <f t="shared" si="365"/>
        <v>0</v>
      </c>
      <c r="FB93" s="143">
        <f t="shared" si="366"/>
        <v>0</v>
      </c>
      <c r="FC93" s="143">
        <f t="shared" si="367"/>
        <v>0</v>
      </c>
      <c r="FD93" s="143">
        <f t="shared" si="368"/>
        <v>0</v>
      </c>
      <c r="FE93" s="140">
        <f>SUM($D93:D93)*IF($B93="Operacional",IFERROR(VLOOKUP($C93,SN_UGC,28,0),0),1)</f>
        <v>3056</v>
      </c>
      <c r="FF93" s="140">
        <f>SUM($D93:E93)*IF($B93="Operacional",IFERROR(VLOOKUP($C93,SN_UGC,28,0),0),1)</f>
        <v>3056</v>
      </c>
      <c r="FG93" s="140">
        <f>SUM($D93:F93)*IF($B93="Operacional",IFERROR(VLOOKUP($C93,SN_UGC,28,0),0),1)</f>
        <v>3056</v>
      </c>
      <c r="FH93" s="140">
        <f>SUM($D93:G93)*IF($B93="Operacional",IFERROR(VLOOKUP($C93,SN_UGC,28,0),0),1)</f>
        <v>3056</v>
      </c>
      <c r="FI93" s="140">
        <f>SUM($D93:H93)*IF($B93="Operacional",IFERROR(VLOOKUP($C93,SN_UGC,28,0),0),1)</f>
        <v>3056</v>
      </c>
      <c r="FJ93" s="140">
        <f>SUM($D93:I93)*IF($B93="Operacional",IFERROR(VLOOKUP($C93,SN_UGC,28,0),0),1)</f>
        <v>3056</v>
      </c>
      <c r="FK93" s="140">
        <f>SUM($D93:J93)*IF($B93="Operacional",IFERROR(VLOOKUP($C93,SN_UGC,28,0),0),1)</f>
        <v>3056</v>
      </c>
      <c r="FL93" s="140">
        <f>SUM($D93:K93)*IF($B93="Operacional",IFERROR(VLOOKUP($C93,SN_UGC,28,0),0),1)</f>
        <v>3056</v>
      </c>
      <c r="FM93" s="140">
        <f>SUM($D93:L93)*IF($B93="Operacional",IFERROR(VLOOKUP($C93,SN_UGC,28,0),0),1)</f>
        <v>3056</v>
      </c>
      <c r="FN93" s="140">
        <f>SUM($D93:M93)*IF($B93="Operacional",IFERROR(VLOOKUP($C93,SN_UGC,28,0),0),1)</f>
        <v>3056</v>
      </c>
      <c r="FO93" s="140">
        <f>SUM($D93:N93)*IF($B93="Operacional",IFERROR(VLOOKUP($C93,SN_UGC,28,0),0),1)</f>
        <v>3056</v>
      </c>
      <c r="FP93" s="140">
        <f>SUM($D93:O93)*IF($B93="Operacional",IFERROR(VLOOKUP($C93,SN_UGC,28,0),0),1)</f>
        <v>3056</v>
      </c>
      <c r="FQ93" s="140">
        <f>SUM($D93:P93)*IF($B93="Operacional",IFERROR(VLOOKUP($C93,SN_UGC,28,0),0),1)</f>
        <v>3056</v>
      </c>
      <c r="FR93" s="140">
        <f>SUM($D93:Q93)*IF($B93="Operacional",IFERROR(VLOOKUP($C93,SN_UGC,28,0),0),1)</f>
        <v>3056</v>
      </c>
      <c r="FS93" s="140">
        <f>SUM($D93:R93)*IF($B93="Operacional",IFERROR(VLOOKUP($C93,SN_UGC,28,0),0),1)</f>
        <v>3056</v>
      </c>
      <c r="FT93" s="140">
        <f>SUM($D93:S93)*IF($B93="Operacional",IFERROR(VLOOKUP($C93,SN_UGC,28,0),0),1)</f>
        <v>3056</v>
      </c>
      <c r="FU93" s="140">
        <f>SUM($D93:T93)*IF($B93="Operacional",IFERROR(VLOOKUP($C93,SN_UGC,28,0),0),1)</f>
        <v>3056</v>
      </c>
      <c r="FV93" s="140">
        <f>SUM($D93:U93)*IF($B93="Operacional",IFERROR(VLOOKUP($C93,SN_UGC,28,0),0),1)</f>
        <v>3056</v>
      </c>
      <c r="FW93" s="140">
        <f>SUM($D93:V93)*IF($B93="Operacional",IFERROR(VLOOKUP($C93,SN_UGC,28,0),0),1)</f>
        <v>3056</v>
      </c>
      <c r="FX93" s="140">
        <f>SUM($D93:W93)*IF($B93="Operacional",IFERROR(VLOOKUP($C93,SN_UGC,28,0),0),1)</f>
        <v>3056</v>
      </c>
      <c r="FY93" s="140">
        <f>SUM($D93:X93)*IF($B93="Operacional",IFERROR(VLOOKUP($C93,SN_UGC,28,0),0),1)</f>
        <v>3056</v>
      </c>
      <c r="FZ93" s="140">
        <f>SUM($D93:Y93)*IF($B93="Operacional",IFERROR(VLOOKUP($C93,SN_UGC,28,0),0),1)</f>
        <v>3056</v>
      </c>
      <c r="GA93" s="140">
        <f>SUM($D93:Z93)*IF($B93="Operacional",IFERROR(VLOOKUP($C93,SN_UGC,28,0),0),1)</f>
        <v>3056</v>
      </c>
      <c r="GB93" s="140">
        <f>SUM($D93:AA93)*IF($B93="Operacional",IFERROR(VLOOKUP($C93,SN_UGC,28,0),0),1)</f>
        <v>3056</v>
      </c>
      <c r="GC93" s="140">
        <f>SUM($D93:AB93)*IF($B93="Operacional",IFERROR(VLOOKUP($C93,SN_UGC,28,0),0),1)</f>
        <v>3056</v>
      </c>
      <c r="GD93" s="140">
        <f>SUM($D93:AC93)*IF($B93="Operacional",IFERROR(VLOOKUP($C93,SN_UGC,28,0),0),1)</f>
        <v>3056</v>
      </c>
      <c r="GE93" s="140">
        <f>SUM($D93:AD93)*IF($B93="Operacional",IFERROR(VLOOKUP($C93,SN_UGC,28,0),0),1)</f>
        <v>3056</v>
      </c>
      <c r="GF93" s="140">
        <f>SUM($D93:AE93)*IF($B93="Operacional",IFERROR(VLOOKUP($C93,SN_UGC,28,0),0),1)</f>
        <v>3056</v>
      </c>
      <c r="GG93" s="140">
        <f>SUM($D93:AF93)*IF($B93="Operacional",IFERROR(VLOOKUP($C93,SN_UGC,28,0),0),1)</f>
        <v>3056</v>
      </c>
      <c r="GH93" s="140">
        <f>SUM($D93:AG93)*IF($B93="Operacional",IFERROR(VLOOKUP($C93,SN_UGC,28,0),0),1)</f>
        <v>3056</v>
      </c>
      <c r="GI93" s="141">
        <f t="shared" ref="GI93:HL93" si="468">FE93*$AH93*$AL93</f>
        <v>84040</v>
      </c>
      <c r="GJ93" s="141">
        <f t="shared" si="468"/>
        <v>84040</v>
      </c>
      <c r="GK93" s="141">
        <f t="shared" si="468"/>
        <v>84040</v>
      </c>
      <c r="GL93" s="141">
        <f t="shared" si="468"/>
        <v>84040</v>
      </c>
      <c r="GM93" s="141">
        <f t="shared" si="468"/>
        <v>84040</v>
      </c>
      <c r="GN93" s="141">
        <f t="shared" si="468"/>
        <v>84040</v>
      </c>
      <c r="GO93" s="141">
        <f t="shared" si="468"/>
        <v>84040</v>
      </c>
      <c r="GP93" s="141">
        <f t="shared" si="468"/>
        <v>84040</v>
      </c>
      <c r="GQ93" s="141">
        <f t="shared" si="468"/>
        <v>84040</v>
      </c>
      <c r="GR93" s="141">
        <f t="shared" si="468"/>
        <v>84040</v>
      </c>
      <c r="GS93" s="141">
        <f t="shared" si="468"/>
        <v>84040</v>
      </c>
      <c r="GT93" s="141">
        <f t="shared" si="468"/>
        <v>84040</v>
      </c>
      <c r="GU93" s="141">
        <f t="shared" si="468"/>
        <v>84040</v>
      </c>
      <c r="GV93" s="141">
        <f t="shared" si="468"/>
        <v>84040</v>
      </c>
      <c r="GW93" s="141">
        <f t="shared" si="468"/>
        <v>84040</v>
      </c>
      <c r="GX93" s="141">
        <f t="shared" si="468"/>
        <v>84040</v>
      </c>
      <c r="GY93" s="141">
        <f t="shared" si="468"/>
        <v>84040</v>
      </c>
      <c r="GZ93" s="141">
        <f t="shared" si="468"/>
        <v>84040</v>
      </c>
      <c r="HA93" s="141">
        <f t="shared" si="468"/>
        <v>84040</v>
      </c>
      <c r="HB93" s="141">
        <f t="shared" si="468"/>
        <v>84040</v>
      </c>
      <c r="HC93" s="141">
        <f t="shared" si="468"/>
        <v>84040</v>
      </c>
      <c r="HD93" s="141">
        <f t="shared" si="468"/>
        <v>84040</v>
      </c>
      <c r="HE93" s="141">
        <f t="shared" si="468"/>
        <v>84040</v>
      </c>
      <c r="HF93" s="141">
        <f t="shared" si="468"/>
        <v>84040</v>
      </c>
      <c r="HG93" s="141">
        <f t="shared" si="468"/>
        <v>84040</v>
      </c>
      <c r="HH93" s="141">
        <f t="shared" si="468"/>
        <v>84040</v>
      </c>
      <c r="HI93" s="141">
        <f t="shared" si="468"/>
        <v>84040</v>
      </c>
      <c r="HJ93" s="141">
        <f t="shared" si="468"/>
        <v>84040</v>
      </c>
      <c r="HK93" s="141">
        <f t="shared" si="468"/>
        <v>84040</v>
      </c>
      <c r="HL93" s="141">
        <f t="shared" si="468"/>
        <v>84040</v>
      </c>
      <c r="HM93" s="142">
        <f t="shared" ref="HM93:IP93" si="469">IF(ISBLANK($A93),,FE93*($AH93-($AH93*$AJ93))/$AI93)</f>
        <v>126060</v>
      </c>
      <c r="HN93" s="142">
        <f t="shared" si="469"/>
        <v>126060</v>
      </c>
      <c r="HO93" s="142">
        <f t="shared" si="469"/>
        <v>126060</v>
      </c>
      <c r="HP93" s="142">
        <f t="shared" si="469"/>
        <v>126060</v>
      </c>
      <c r="HQ93" s="142">
        <f t="shared" si="469"/>
        <v>126060</v>
      </c>
      <c r="HR93" s="142">
        <f t="shared" si="469"/>
        <v>126060</v>
      </c>
      <c r="HS93" s="142">
        <f t="shared" si="469"/>
        <v>126060</v>
      </c>
      <c r="HT93" s="142">
        <f t="shared" si="469"/>
        <v>126060</v>
      </c>
      <c r="HU93" s="142">
        <f t="shared" si="469"/>
        <v>126060</v>
      </c>
      <c r="HV93" s="142">
        <f t="shared" si="469"/>
        <v>126060</v>
      </c>
      <c r="HW93" s="142">
        <f t="shared" si="469"/>
        <v>126060</v>
      </c>
      <c r="HX93" s="142">
        <f t="shared" si="469"/>
        <v>126060</v>
      </c>
      <c r="HY93" s="142">
        <f t="shared" si="469"/>
        <v>126060</v>
      </c>
      <c r="HZ93" s="142">
        <f t="shared" si="469"/>
        <v>126060</v>
      </c>
      <c r="IA93" s="142">
        <f t="shared" si="469"/>
        <v>126060</v>
      </c>
      <c r="IB93" s="142">
        <f t="shared" si="469"/>
        <v>126060</v>
      </c>
      <c r="IC93" s="142">
        <f t="shared" si="469"/>
        <v>126060</v>
      </c>
      <c r="ID93" s="142">
        <f t="shared" si="469"/>
        <v>126060</v>
      </c>
      <c r="IE93" s="142">
        <f t="shared" si="469"/>
        <v>126060</v>
      </c>
      <c r="IF93" s="142">
        <f t="shared" si="469"/>
        <v>126060</v>
      </c>
      <c r="IG93" s="142">
        <f t="shared" si="469"/>
        <v>126060</v>
      </c>
      <c r="IH93" s="142">
        <f t="shared" si="469"/>
        <v>126060</v>
      </c>
      <c r="II93" s="142">
        <f t="shared" si="469"/>
        <v>126060</v>
      </c>
      <c r="IJ93" s="142">
        <f t="shared" si="469"/>
        <v>126060</v>
      </c>
      <c r="IK93" s="142">
        <f t="shared" si="469"/>
        <v>126060</v>
      </c>
      <c r="IL93" s="142">
        <f t="shared" si="469"/>
        <v>126060</v>
      </c>
      <c r="IM93" s="142">
        <f t="shared" si="469"/>
        <v>126060</v>
      </c>
      <c r="IN93" s="142">
        <f t="shared" si="469"/>
        <v>126060</v>
      </c>
      <c r="IO93" s="142">
        <f t="shared" si="469"/>
        <v>126060</v>
      </c>
      <c r="IP93" s="142">
        <f t="shared" si="469"/>
        <v>126060</v>
      </c>
      <c r="IQ93" s="141">
        <f>IF(ISBLANK($A93),,IF($AN93="Não",0,(SUM($AO93:AO93)*$AH93)-SUM($HM93:HM93)-SUM($CW93:CW93)))</f>
        <v>0</v>
      </c>
      <c r="IR93" s="141">
        <f>IF(ISBLANK($A93),,IF($AN93="Não",0,(SUM($AO93:AP93)*$AH93)-SUM($HM93:HN93)-SUM($CW93:CX93)))</f>
        <v>0</v>
      </c>
      <c r="IS93" s="141">
        <f>IF(ISBLANK($A93),,IF($AN93="Não",0,(SUM($AO93:AQ93)*$AH93)-SUM($HM93:HO93)-SUM($CW93:CY93)))</f>
        <v>0</v>
      </c>
      <c r="IT93" s="141">
        <f>IF(ISBLANK($A93),,IF($AN93="Não",0,(SUM($AO93:AR93)*$AH93)-SUM($HM93:HP93)-SUM($CW93:CZ93)))</f>
        <v>0</v>
      </c>
      <c r="IU93" s="141">
        <f>IF(ISBLANK($A93),,IF($AN93="Não",0,(SUM($AO93:AS93)*$AH93)-SUM($HM93:HQ93)-SUM($CW93:DA93)))</f>
        <v>0</v>
      </c>
      <c r="IV93" s="141">
        <f>IF(ISBLANK($A93),,IF($AN93="Não",0,(SUM($AO93:AT93)*$AH93)-SUM($HM93:HR93)-SUM($CW93:DB93)))</f>
        <v>0</v>
      </c>
      <c r="IW93" s="141">
        <f>IF(ISBLANK($A93),,IF($AN93="Não",0,(SUM($AO93:AU93)*$AH93)-SUM($HM93:HS93)-SUM($CW93:DC93)))</f>
        <v>0</v>
      </c>
      <c r="IX93" s="141">
        <f>IF(ISBLANK($A93),,IF($AN93="Não",0,(SUM($AO93:AV93)*$AH93)-SUM($HM93:HT93)-SUM($CW93:DD93)))</f>
        <v>0</v>
      </c>
      <c r="IY93" s="141">
        <f>IF(ISBLANK($A93),,IF($AN93="Não",0,(SUM($AO93:AW93)*$AH93)-SUM($HM93:HU93)-SUM($CW93:DE93)))</f>
        <v>0</v>
      </c>
      <c r="IZ93" s="141">
        <f>IF(ISBLANK($A93),,IF($AN93="Não",0,(SUM($AO93:AX93)*$AH93)-SUM($HM93:HV93)-SUM($CW93:DF93)))</f>
        <v>0</v>
      </c>
      <c r="JA93" s="141">
        <f>IF(ISBLANK($A93),,IF($AN93="Não",0,(SUM($AO93:AY93)*$AH93)-SUM($HM93:HW93)-SUM($CW93:DG93)))</f>
        <v>0</v>
      </c>
      <c r="JB93" s="141">
        <f>IF(ISBLANK($A93),,IF($AN93="Não",0,(SUM($AO93:AZ93)*$AH93)-SUM($HM93:HX93)-SUM($CW93:DH93)))</f>
        <v>0</v>
      </c>
      <c r="JC93" s="141">
        <f>IF(ISBLANK($A93),,IF($AN93="Não",0,(SUM($AO93:BA93)*$AH93)-SUM($HM93:HY93)-SUM($CW93:DI93)))</f>
        <v>0</v>
      </c>
      <c r="JD93" s="141">
        <f>IF(ISBLANK($A93),,IF($AN93="Não",0,(SUM($AO93:BB93)*$AH93)-SUM($HM93:HZ93)-SUM($CW93:DJ93)))</f>
        <v>0</v>
      </c>
      <c r="JE93" s="141">
        <f>IF(ISBLANK($A93),,IF($AN93="Não",0,(SUM($AO93:BC93)*$AH93)-SUM($HM93:IA93)-SUM($CW93:DK93)))</f>
        <v>0</v>
      </c>
      <c r="JF93" s="141">
        <f>IF(ISBLANK($A93),,IF($AN93="Não",0,(SUM($AO93:BD93)*$AH93)-SUM($HM93:IB93)-SUM($CW93:DL93)))</f>
        <v>0</v>
      </c>
      <c r="JG93" s="141">
        <f>IF(ISBLANK($A93),,IF($AN93="Não",0,(SUM($AO93:BE93)*$AH93)-SUM($HM93:IC93)-SUM($CW93:DM93)))</f>
        <v>0</v>
      </c>
      <c r="JH93" s="141">
        <f>IF(ISBLANK($A93),,IF($AN93="Não",0,(SUM($AO93:BF93)*$AH93)-SUM($HM93:ID93)-SUM($CW93:DN93)))</f>
        <v>0</v>
      </c>
      <c r="JI93" s="141">
        <f>IF(ISBLANK($A93),,IF($AN93="Não",0,(SUM($AO93:BG93)*$AH93)-SUM($HM93:IE93)-SUM($CW93:DO93)))</f>
        <v>0</v>
      </c>
      <c r="JJ93" s="141">
        <f>IF(ISBLANK($A93),,IF($AN93="Não",0,(SUM($AO93:BH93)*$AH93)-SUM($HM93:IF93)-SUM($CW93:DP93)))</f>
        <v>0</v>
      </c>
      <c r="JK93" s="141">
        <f>IF(ISBLANK($A93),,IF($AN93="Não",0,(SUM($AO93:BI93)*$AH93)-SUM($HM93:IG93)-SUM($CW93:DQ93)))</f>
        <v>0</v>
      </c>
      <c r="JL93" s="141">
        <f>IF(ISBLANK($A93),,IF($AN93="Não",0,(SUM($AO93:BJ93)*$AH93)-SUM($HM93:IH93)-SUM($CW93:DR93)))</f>
        <v>0</v>
      </c>
      <c r="JM93" s="141">
        <f>IF(ISBLANK($A93),,IF($AN93="Não",0,(SUM($AO93:BK93)*$AH93)-SUM($HM93:II93)-SUM($CW93:DS93)))</f>
        <v>0</v>
      </c>
      <c r="JN93" s="141">
        <f>IF(ISBLANK($A93),,IF($AN93="Não",0,(SUM($AO93:BL93)*$AH93)-SUM($HM93:IJ93)-SUM($CW93:DT93)))</f>
        <v>0</v>
      </c>
      <c r="JO93" s="141">
        <f>IF(ISBLANK($A93),,IF($AN93="Não",0,(SUM($AO93:BM93)*$AH93)-SUM($HM93:IK93)-SUM($CW93:DU93)))</f>
        <v>0</v>
      </c>
      <c r="JP93" s="141">
        <f>IF(ISBLANK($A93),,IF($AN93="Não",0,(SUM($AO93:BN93)*$AH93)-SUM($HM93:IL93)-SUM($CW93:DV93)))</f>
        <v>0</v>
      </c>
      <c r="JQ93" s="141">
        <f>IF(ISBLANK($A93),,IF($AN93="Não",0,(SUM($AO93:BO93)*$AH93)-SUM($HM93:IM93)-SUM($CW93:DW93)))</f>
        <v>0</v>
      </c>
      <c r="JR93" s="141">
        <f>IF(ISBLANK($A93),,IF($AN93="Não",0,(SUM($AO93:BP93)*$AH93)-SUM($HM93:IN93)-SUM($CW93:DX93)))</f>
        <v>0</v>
      </c>
      <c r="JS93" s="141">
        <f>IF(ISBLANK($A93),,IF($AN93="Não",0,(SUM($AO93:BQ93)*$AH93)-SUM($HM93:IO93)-SUM($CW93:DY93)))</f>
        <v>0</v>
      </c>
      <c r="JT93" s="141">
        <f>IF(ISBLANK($A93),,IF($AN93="Não",0,(SUM($AO93:BR93)*$AH93)-SUM($HM93:IP93)-SUM($CW93:DZ93)))</f>
        <v>0</v>
      </c>
    </row>
    <row r="94" spans="1:280" ht="15.75" customHeight="1">
      <c r="A94" s="129" t="s">
        <v>432</v>
      </c>
      <c r="B94" s="129" t="s">
        <v>209</v>
      </c>
      <c r="C94" s="138" t="s">
        <v>79</v>
      </c>
      <c r="D94" s="139">
        <v>1</v>
      </c>
      <c r="E94" s="139"/>
      <c r="F94" s="139"/>
      <c r="G94" s="139"/>
      <c r="H94" s="139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  <c r="AA94" s="139"/>
      <c r="AB94" s="139"/>
      <c r="AC94" s="139"/>
      <c r="AD94" s="139"/>
      <c r="AE94" s="139"/>
      <c r="AF94" s="139"/>
      <c r="AG94" s="139"/>
      <c r="AH94" s="607">
        <f t="shared" si="399"/>
        <v>275000</v>
      </c>
      <c r="AI94" s="608">
        <f t="shared" si="400"/>
        <v>30</v>
      </c>
      <c r="AJ94" s="609">
        <f t="shared" si="401"/>
        <v>0.5</v>
      </c>
      <c r="AK94" s="610" t="str">
        <f t="shared" si="402"/>
        <v>Infraestrutura</v>
      </c>
      <c r="AL94" s="609">
        <f t="shared" si="403"/>
        <v>0.05</v>
      </c>
      <c r="AM94" s="611" t="str">
        <f t="shared" si="404"/>
        <v>Sim</v>
      </c>
      <c r="AN94" s="611" t="str">
        <f t="shared" si="405"/>
        <v>Não</v>
      </c>
      <c r="AO94" s="140">
        <f t="array" ref="AO94">IF(ISBLANK($A94),0,IF(OR(AO$5-$AI94&lt;=0,$AM94="Não"),D94,D94+INDEX($AO$6:$BR$176,ROW()-5,COLUMN()-40-$AI94)))*IF($B94="Operacional",IFERROR(VLOOKUP($C94,SN_UGC,28,0),0),1)</f>
        <v>1</v>
      </c>
      <c r="AP94" s="140">
        <f t="array" ref="AP94">IF(ISBLANK($A94),0,IF(OR(AP$5-$AI94&lt;=0,$AM94="Não"),E94,E94+INDEX($AO$6:$BR$176,ROW()-5,COLUMN()-40-$AI94)))*IF($B94="Operacional",IFERROR(VLOOKUP($C94,SN_UGC,28,0),0),1)</f>
        <v>0</v>
      </c>
      <c r="AQ94" s="140">
        <f t="array" ref="AQ94">IF(ISBLANK($A94),0,IF(OR(AQ$5-$AI94&lt;=0,$AM94="Não"),F94,F94+INDEX($AO$6:$BR$176,ROW()-5,COLUMN()-40-$AI94)))*IF($B94="Operacional",IFERROR(VLOOKUP($C94,SN_UGC,28,0),0),1)</f>
        <v>0</v>
      </c>
      <c r="AR94" s="140">
        <f t="array" ref="AR94">IF(ISBLANK($A94),0,IF(OR(AR$5-$AI94&lt;=0,$AM94="Não"),G94,G94+INDEX($AO$6:$BR$176,ROW()-5,COLUMN()-40-$AI94)))*IF($B94="Operacional",IFERROR(VLOOKUP($C94,SN_UGC,28,0),0),1)</f>
        <v>0</v>
      </c>
      <c r="AS94" s="140">
        <f t="array" ref="AS94">IF(ISBLANK($A94),0,IF(OR(AS$5-$AI94&lt;=0,$AM94="Não"),H94,H94+INDEX($AO$6:$BR$176,ROW()-5,COLUMN()-40-$AI94)))*IF($B94="Operacional",IFERROR(VLOOKUP($C94,SN_UGC,28,0),0),1)</f>
        <v>0</v>
      </c>
      <c r="AT94" s="140">
        <f t="array" ref="AT94">IF(ISBLANK($A94),0,IF(OR(AT$5-$AI94&lt;=0,$AM94="Não"),I94,I94+INDEX($AO$6:$BR$176,ROW()-5,COLUMN()-40-$AI94)))*IF($B94="Operacional",IFERROR(VLOOKUP($C94,SN_UGC,28,0),0),1)</f>
        <v>0</v>
      </c>
      <c r="AU94" s="140">
        <f t="array" ref="AU94">IF(ISBLANK($A94),0,IF(OR(AU$5-$AI94&lt;=0,$AM94="Não"),J94,J94+INDEX($AO$6:$BR$176,ROW()-5,COLUMN()-40-$AI94)))*IF($B94="Operacional",IFERROR(VLOOKUP($C94,SN_UGC,28,0),0),1)</f>
        <v>0</v>
      </c>
      <c r="AV94" s="140">
        <f t="array" ref="AV94">IF(ISBLANK($A94),0,IF(OR(AV$5-$AI94&lt;=0,$AM94="Não"),K94,K94+INDEX($AO$6:$BR$176,ROW()-5,COLUMN()-40-$AI94)))*IF($B94="Operacional",IFERROR(VLOOKUP($C94,SN_UGC,28,0),0),1)</f>
        <v>0</v>
      </c>
      <c r="AW94" s="140">
        <f t="array" ref="AW94">IF(ISBLANK($A94),0,IF(OR(AW$5-$AI94&lt;=0,$AM94="Não"),L94,L94+INDEX($AO$6:$BR$176,ROW()-5,COLUMN()-40-$AI94)))*IF($B94="Operacional",IFERROR(VLOOKUP($C94,SN_UGC,28,0),0),1)</f>
        <v>0</v>
      </c>
      <c r="AX94" s="140">
        <f t="array" ref="AX94">IF(ISBLANK($A94),0,IF(OR(AX$5-$AI94&lt;=0,$AM94="Não"),M94,M94+INDEX($AO$6:$BR$176,ROW()-5,COLUMN()-40-$AI94)))*IF($B94="Operacional",IFERROR(VLOOKUP($C94,SN_UGC,28,0),0),1)</f>
        <v>0</v>
      </c>
      <c r="AY94" s="140">
        <f t="array" ref="AY94">IF(ISBLANK($A94),0,IF(OR(AY$5-$AI94&lt;=0,$AM94="Não"),N94,N94+INDEX($AO$6:$BR$176,ROW()-5,COLUMN()-40-$AI94)))*IF($B94="Operacional",IFERROR(VLOOKUP($C94,SN_UGC,28,0),0),1)</f>
        <v>0</v>
      </c>
      <c r="AZ94" s="140">
        <f t="array" ref="AZ94">IF(ISBLANK($A94),0,IF(OR(AZ$5-$AI94&lt;=0,$AM94="Não"),O94,O94+INDEX($AO$6:$BR$176,ROW()-5,COLUMN()-40-$AI94)))*IF($B94="Operacional",IFERROR(VLOOKUP($C94,SN_UGC,28,0),0),1)</f>
        <v>0</v>
      </c>
      <c r="BA94" s="140">
        <f t="array" ref="BA94">IF(ISBLANK($A94),0,IF(OR(BA$5-$AI94&lt;=0,$AM94="Não"),P94,P94+INDEX($AO$6:$BR$176,ROW()-5,COLUMN()-40-$AI94)))*IF($B94="Operacional",IFERROR(VLOOKUP($C94,SN_UGC,28,0),0),1)</f>
        <v>0</v>
      </c>
      <c r="BB94" s="140">
        <f t="array" ref="BB94">IF(ISBLANK($A94),0,IF(OR(BB$5-$AI94&lt;=0,$AM94="Não"),Q94,Q94+INDEX($AO$6:$BR$176,ROW()-5,COLUMN()-40-$AI94)))*IF($B94="Operacional",IFERROR(VLOOKUP($C94,SN_UGC,28,0),0),1)</f>
        <v>0</v>
      </c>
      <c r="BC94" s="140">
        <f t="array" ref="BC94">IF(ISBLANK($A94),0,IF(OR(BC$5-$AI94&lt;=0,$AM94="Não"),R94,R94+INDEX($AO$6:$BR$176,ROW()-5,COLUMN()-40-$AI94)))*IF($B94="Operacional",IFERROR(VLOOKUP($C94,SN_UGC,28,0),0),1)</f>
        <v>0</v>
      </c>
      <c r="BD94" s="140">
        <f t="array" ref="BD94">IF(ISBLANK($A94),0,IF(OR(BD$5-$AI94&lt;=0,$AM94="Não"),S94,S94+INDEX($AO$6:$BR$176,ROW()-5,COLUMN()-40-$AI94)))*IF($B94="Operacional",IFERROR(VLOOKUP($C94,SN_UGC,28,0),0),1)</f>
        <v>0</v>
      </c>
      <c r="BE94" s="140">
        <f t="array" ref="BE94">IF(ISBLANK($A94),0,IF(OR(BE$5-$AI94&lt;=0,$AM94="Não"),T94,T94+INDEX($AO$6:$BR$176,ROW()-5,COLUMN()-40-$AI94)))*IF($B94="Operacional",IFERROR(VLOOKUP($C94,SN_UGC,28,0),0),1)</f>
        <v>0</v>
      </c>
      <c r="BF94" s="140">
        <f t="array" ref="BF94">IF(ISBLANK($A94),0,IF(OR(BF$5-$AI94&lt;=0,$AM94="Não"),U94,U94+INDEX($AO$6:$BR$176,ROW()-5,COLUMN()-40-$AI94)))*IF($B94="Operacional",IFERROR(VLOOKUP($C94,SN_UGC,28,0),0),1)</f>
        <v>0</v>
      </c>
      <c r="BG94" s="140">
        <f t="array" ref="BG94">IF(ISBLANK($A94),0,IF(OR(BG$5-$AI94&lt;=0,$AM94="Não"),V94,V94+INDEX($AO$6:$BR$176,ROW()-5,COLUMN()-40-$AI94)))*IF($B94="Operacional",IFERROR(VLOOKUP($C94,SN_UGC,28,0),0),1)</f>
        <v>0</v>
      </c>
      <c r="BH94" s="140">
        <f t="array" ref="BH94">IF(ISBLANK($A94),0,IF(OR(BH$5-$AI94&lt;=0,$AM94="Não"),W94,W94+INDEX($AO$6:$BR$176,ROW()-5,COLUMN()-40-$AI94)))*IF($B94="Operacional",IFERROR(VLOOKUP($C94,SN_UGC,28,0),0),1)</f>
        <v>0</v>
      </c>
      <c r="BI94" s="140">
        <f t="array" ref="BI94">IF(ISBLANK($A94),0,IF(OR(BI$5-$AI94&lt;=0,$AM94="Não"),X94,X94+INDEX($AO$6:$BR$176,ROW()-5,COLUMN()-40-$AI94)))*IF($B94="Operacional",IFERROR(VLOOKUP($C94,SN_UGC,28,0),0),1)</f>
        <v>0</v>
      </c>
      <c r="BJ94" s="140">
        <f t="array" ref="BJ94">IF(ISBLANK($A94),0,IF(OR(BJ$5-$AI94&lt;=0,$AM94="Não"),Y94,Y94+INDEX($AO$6:$BR$176,ROW()-5,COLUMN()-40-$AI94)))*IF($B94="Operacional",IFERROR(VLOOKUP($C94,SN_UGC,28,0),0),1)</f>
        <v>0</v>
      </c>
      <c r="BK94" s="140">
        <f t="array" ref="BK94">IF(ISBLANK($A94),0,IF(OR(BK$5-$AI94&lt;=0,$AM94="Não"),Z94,Z94+INDEX($AO$6:$BR$176,ROW()-5,COLUMN()-40-$AI94)))*IF($B94="Operacional",IFERROR(VLOOKUP($C94,SN_UGC,28,0),0),1)</f>
        <v>0</v>
      </c>
      <c r="BL94" s="140">
        <f t="array" ref="BL94">IF(ISBLANK($A94),0,IF(OR(BL$5-$AI94&lt;=0,$AM94="Não"),AA94,AA94+INDEX($AO$6:$BR$176,ROW()-5,COLUMN()-40-$AI94)))*IF($B94="Operacional",IFERROR(VLOOKUP($C94,SN_UGC,28,0),0),1)</f>
        <v>0</v>
      </c>
      <c r="BM94" s="140">
        <f t="array" ref="BM94">IF(ISBLANK($A94),0,IF(OR(BM$5-$AI94&lt;=0,$AM94="Não"),AB94,AB94+INDEX($AO$6:$BR$176,ROW()-5,COLUMN()-40-$AI94)))*IF($B94="Operacional",IFERROR(VLOOKUP($C94,SN_UGC,28,0),0),1)</f>
        <v>0</v>
      </c>
      <c r="BN94" s="140">
        <f t="array" ref="BN94">IF(ISBLANK($A94),0,IF(OR(BN$5-$AI94&lt;=0,$AM94="Não"),AC94,AC94+INDEX($AO$6:$BR$176,ROW()-5,COLUMN()-40-$AI94)))*IF($B94="Operacional",IFERROR(VLOOKUP($C94,SN_UGC,28,0),0),1)</f>
        <v>0</v>
      </c>
      <c r="BO94" s="140">
        <f t="array" ref="BO94">IF(ISBLANK($A94),0,IF(OR(BO$5-$AI94&lt;=0,$AM94="Não"),AD94,AD94+INDEX($AO$6:$BR$176,ROW()-5,COLUMN()-40-$AI94)))*IF($B94="Operacional",IFERROR(VLOOKUP($C94,SN_UGC,28,0),0),1)</f>
        <v>0</v>
      </c>
      <c r="BP94" s="140">
        <f t="array" ref="BP94">IF(ISBLANK($A94),0,IF(OR(BP$5-$AI94&lt;=0,$AM94="Não"),AE94,AE94+INDEX($AO$6:$BR$176,ROW()-5,COLUMN()-40-$AI94)))*IF($B94="Operacional",IFERROR(VLOOKUP($C94,SN_UGC,28,0),0),1)</f>
        <v>0</v>
      </c>
      <c r="BQ94" s="140">
        <f t="array" ref="BQ94">IF(ISBLANK($A94),0,IF(OR(BQ$5-$AI94&lt;=0,$AM94="Não"),AF94,AF94+INDEX($AO$6:$BR$176,ROW()-5,COLUMN()-40-$AI94)))*IF($B94="Operacional",IFERROR(VLOOKUP($C94,SN_UGC,28,0),0),1)</f>
        <v>0</v>
      </c>
      <c r="BR94" s="140">
        <f t="array" ref="BR94">IF(ISBLANK($A94),0,IF(OR(BR$5-$AI94&lt;=0,$AM94="Não"),AG94,AG94+INDEX($AO$6:$BR$176,ROW()-5,COLUMN()-40-$AI94)))*IF($B94="Operacional",IFERROR(VLOOKUP($C94,SN_UGC,28,0),0),1)</f>
        <v>0</v>
      </c>
      <c r="BS94" s="141">
        <f t="shared" ref="BS94:CV94" si="470">IF(ISBLANK($A94),0,$AH94*AO94)</f>
        <v>275000</v>
      </c>
      <c r="BT94" s="141">
        <f t="shared" si="470"/>
        <v>0</v>
      </c>
      <c r="BU94" s="141">
        <f t="shared" si="470"/>
        <v>0</v>
      </c>
      <c r="BV94" s="141">
        <f t="shared" si="470"/>
        <v>0</v>
      </c>
      <c r="BW94" s="141">
        <f t="shared" si="470"/>
        <v>0</v>
      </c>
      <c r="BX94" s="141">
        <f t="shared" si="470"/>
        <v>0</v>
      </c>
      <c r="BY94" s="141">
        <f t="shared" si="470"/>
        <v>0</v>
      </c>
      <c r="BZ94" s="141">
        <f t="shared" si="470"/>
        <v>0</v>
      </c>
      <c r="CA94" s="141">
        <f t="shared" si="470"/>
        <v>0</v>
      </c>
      <c r="CB94" s="141">
        <f t="shared" si="470"/>
        <v>0</v>
      </c>
      <c r="CC94" s="141">
        <f t="shared" si="470"/>
        <v>0</v>
      </c>
      <c r="CD94" s="141">
        <f t="shared" si="470"/>
        <v>0</v>
      </c>
      <c r="CE94" s="141">
        <f t="shared" si="470"/>
        <v>0</v>
      </c>
      <c r="CF94" s="141">
        <f t="shared" si="470"/>
        <v>0</v>
      </c>
      <c r="CG94" s="141">
        <f t="shared" si="470"/>
        <v>0</v>
      </c>
      <c r="CH94" s="141">
        <f t="shared" si="470"/>
        <v>0</v>
      </c>
      <c r="CI94" s="141">
        <f t="shared" si="470"/>
        <v>0</v>
      </c>
      <c r="CJ94" s="141">
        <f t="shared" si="470"/>
        <v>0</v>
      </c>
      <c r="CK94" s="141">
        <f t="shared" si="470"/>
        <v>0</v>
      </c>
      <c r="CL94" s="141">
        <f t="shared" si="470"/>
        <v>0</v>
      </c>
      <c r="CM94" s="141">
        <f t="shared" si="470"/>
        <v>0</v>
      </c>
      <c r="CN94" s="141">
        <f t="shared" si="470"/>
        <v>0</v>
      </c>
      <c r="CO94" s="141">
        <f t="shared" si="470"/>
        <v>0</v>
      </c>
      <c r="CP94" s="141">
        <f t="shared" si="470"/>
        <v>0</v>
      </c>
      <c r="CQ94" s="141">
        <f t="shared" si="470"/>
        <v>0</v>
      </c>
      <c r="CR94" s="141">
        <f t="shared" si="470"/>
        <v>0</v>
      </c>
      <c r="CS94" s="141">
        <f t="shared" si="470"/>
        <v>0</v>
      </c>
      <c r="CT94" s="141">
        <f t="shared" si="470"/>
        <v>0</v>
      </c>
      <c r="CU94" s="141">
        <f t="shared" si="470"/>
        <v>0</v>
      </c>
      <c r="CV94" s="141">
        <f t="shared" si="470"/>
        <v>0</v>
      </c>
      <c r="CW94" s="142">
        <f t="shared" ref="CW94:DZ94" si="471">EA94*$AH94*$AJ94</f>
        <v>0</v>
      </c>
      <c r="CX94" s="142">
        <f t="shared" si="471"/>
        <v>0</v>
      </c>
      <c r="CY94" s="142">
        <f t="shared" si="471"/>
        <v>0</v>
      </c>
      <c r="CZ94" s="142">
        <f t="shared" si="471"/>
        <v>0</v>
      </c>
      <c r="DA94" s="142">
        <f t="shared" si="471"/>
        <v>0</v>
      </c>
      <c r="DB94" s="142">
        <f t="shared" si="471"/>
        <v>0</v>
      </c>
      <c r="DC94" s="142">
        <f t="shared" si="471"/>
        <v>0</v>
      </c>
      <c r="DD94" s="142">
        <f t="shared" si="471"/>
        <v>0</v>
      </c>
      <c r="DE94" s="142">
        <f t="shared" si="471"/>
        <v>0</v>
      </c>
      <c r="DF94" s="142">
        <f t="shared" si="471"/>
        <v>0</v>
      </c>
      <c r="DG94" s="142">
        <f t="shared" si="471"/>
        <v>0</v>
      </c>
      <c r="DH94" s="142">
        <f t="shared" si="471"/>
        <v>0</v>
      </c>
      <c r="DI94" s="142">
        <f t="shared" si="471"/>
        <v>0</v>
      </c>
      <c r="DJ94" s="142">
        <f t="shared" si="471"/>
        <v>0</v>
      </c>
      <c r="DK94" s="142">
        <f t="shared" si="471"/>
        <v>0</v>
      </c>
      <c r="DL94" s="142">
        <f t="shared" si="471"/>
        <v>0</v>
      </c>
      <c r="DM94" s="142">
        <f t="shared" si="471"/>
        <v>0</v>
      </c>
      <c r="DN94" s="142">
        <f t="shared" si="471"/>
        <v>0</v>
      </c>
      <c r="DO94" s="142">
        <f t="shared" si="471"/>
        <v>0</v>
      </c>
      <c r="DP94" s="142">
        <f t="shared" si="471"/>
        <v>0</v>
      </c>
      <c r="DQ94" s="142">
        <f t="shared" si="471"/>
        <v>0</v>
      </c>
      <c r="DR94" s="142">
        <f t="shared" si="471"/>
        <v>0</v>
      </c>
      <c r="DS94" s="142">
        <f t="shared" si="471"/>
        <v>0</v>
      </c>
      <c r="DT94" s="142">
        <f t="shared" si="471"/>
        <v>0</v>
      </c>
      <c r="DU94" s="142">
        <f t="shared" si="471"/>
        <v>0</v>
      </c>
      <c r="DV94" s="142">
        <f t="shared" si="471"/>
        <v>0</v>
      </c>
      <c r="DW94" s="142">
        <f t="shared" si="471"/>
        <v>0</v>
      </c>
      <c r="DX94" s="142">
        <f t="shared" si="471"/>
        <v>0</v>
      </c>
      <c r="DY94" s="142">
        <f t="shared" si="471"/>
        <v>0</v>
      </c>
      <c r="DZ94" s="142">
        <f t="shared" si="471"/>
        <v>0</v>
      </c>
      <c r="EA94" s="143">
        <f t="shared" si="339"/>
        <v>0</v>
      </c>
      <c r="EB94" s="143">
        <f t="shared" si="340"/>
        <v>0</v>
      </c>
      <c r="EC94" s="143">
        <f t="shared" si="341"/>
        <v>0</v>
      </c>
      <c r="ED94" s="143">
        <f t="shared" si="342"/>
        <v>0</v>
      </c>
      <c r="EE94" s="143">
        <f t="shared" si="343"/>
        <v>0</v>
      </c>
      <c r="EF94" s="143">
        <f t="shared" si="344"/>
        <v>0</v>
      </c>
      <c r="EG94" s="143">
        <f t="shared" si="345"/>
        <v>0</v>
      </c>
      <c r="EH94" s="143">
        <f t="shared" si="346"/>
        <v>0</v>
      </c>
      <c r="EI94" s="143">
        <f t="shared" si="347"/>
        <v>0</v>
      </c>
      <c r="EJ94" s="143">
        <f t="shared" si="348"/>
        <v>0</v>
      </c>
      <c r="EK94" s="143">
        <f t="shared" si="349"/>
        <v>0</v>
      </c>
      <c r="EL94" s="143">
        <f t="shared" si="350"/>
        <v>0</v>
      </c>
      <c r="EM94" s="143">
        <f t="shared" si="351"/>
        <v>0</v>
      </c>
      <c r="EN94" s="143">
        <f t="shared" si="352"/>
        <v>0</v>
      </c>
      <c r="EO94" s="143">
        <f t="shared" si="353"/>
        <v>0</v>
      </c>
      <c r="EP94" s="143">
        <f t="shared" si="354"/>
        <v>0</v>
      </c>
      <c r="EQ94" s="143">
        <f t="shared" si="355"/>
        <v>0</v>
      </c>
      <c r="ER94" s="143">
        <f t="shared" si="356"/>
        <v>0</v>
      </c>
      <c r="ES94" s="143">
        <f t="shared" si="357"/>
        <v>0</v>
      </c>
      <c r="ET94" s="143">
        <f t="shared" si="358"/>
        <v>0</v>
      </c>
      <c r="EU94" s="143">
        <f t="shared" si="359"/>
        <v>0</v>
      </c>
      <c r="EV94" s="143">
        <f t="shared" si="360"/>
        <v>0</v>
      </c>
      <c r="EW94" s="143">
        <f t="shared" si="361"/>
        <v>0</v>
      </c>
      <c r="EX94" s="143">
        <f t="shared" si="362"/>
        <v>0</v>
      </c>
      <c r="EY94" s="143">
        <f t="shared" si="363"/>
        <v>0</v>
      </c>
      <c r="EZ94" s="143">
        <f t="shared" si="364"/>
        <v>0</v>
      </c>
      <c r="FA94" s="143">
        <f t="shared" si="365"/>
        <v>0</v>
      </c>
      <c r="FB94" s="143">
        <f t="shared" si="366"/>
        <v>0</v>
      </c>
      <c r="FC94" s="143">
        <f t="shared" si="367"/>
        <v>0</v>
      </c>
      <c r="FD94" s="143">
        <f t="shared" si="368"/>
        <v>0</v>
      </c>
      <c r="FE94" s="140">
        <f>SUM($D94:D94)*IF($B94="Operacional",IFERROR(VLOOKUP($C94,SN_UGC,28,0),0),1)</f>
        <v>1</v>
      </c>
      <c r="FF94" s="140">
        <f>SUM($D94:E94)*IF($B94="Operacional",IFERROR(VLOOKUP($C94,SN_UGC,28,0),0),1)</f>
        <v>1</v>
      </c>
      <c r="FG94" s="140">
        <f>SUM($D94:F94)*IF($B94="Operacional",IFERROR(VLOOKUP($C94,SN_UGC,28,0),0),1)</f>
        <v>1</v>
      </c>
      <c r="FH94" s="140">
        <f>SUM($D94:G94)*IF($B94="Operacional",IFERROR(VLOOKUP($C94,SN_UGC,28,0),0),1)</f>
        <v>1</v>
      </c>
      <c r="FI94" s="140">
        <f>SUM($D94:H94)*IF($B94="Operacional",IFERROR(VLOOKUP($C94,SN_UGC,28,0),0),1)</f>
        <v>1</v>
      </c>
      <c r="FJ94" s="140">
        <f>SUM($D94:I94)*IF($B94="Operacional",IFERROR(VLOOKUP($C94,SN_UGC,28,0),0),1)</f>
        <v>1</v>
      </c>
      <c r="FK94" s="140">
        <f>SUM($D94:J94)*IF($B94="Operacional",IFERROR(VLOOKUP($C94,SN_UGC,28,0),0),1)</f>
        <v>1</v>
      </c>
      <c r="FL94" s="140">
        <f>SUM($D94:K94)*IF($B94="Operacional",IFERROR(VLOOKUP($C94,SN_UGC,28,0),0),1)</f>
        <v>1</v>
      </c>
      <c r="FM94" s="140">
        <f>SUM($D94:L94)*IF($B94="Operacional",IFERROR(VLOOKUP($C94,SN_UGC,28,0),0),1)</f>
        <v>1</v>
      </c>
      <c r="FN94" s="140">
        <f>SUM($D94:M94)*IF($B94="Operacional",IFERROR(VLOOKUP($C94,SN_UGC,28,0),0),1)</f>
        <v>1</v>
      </c>
      <c r="FO94" s="140">
        <f>SUM($D94:N94)*IF($B94="Operacional",IFERROR(VLOOKUP($C94,SN_UGC,28,0),0),1)</f>
        <v>1</v>
      </c>
      <c r="FP94" s="140">
        <f>SUM($D94:O94)*IF($B94="Operacional",IFERROR(VLOOKUP($C94,SN_UGC,28,0),0),1)</f>
        <v>1</v>
      </c>
      <c r="FQ94" s="140">
        <f>SUM($D94:P94)*IF($B94="Operacional",IFERROR(VLOOKUP($C94,SN_UGC,28,0),0),1)</f>
        <v>1</v>
      </c>
      <c r="FR94" s="140">
        <f>SUM($D94:Q94)*IF($B94="Operacional",IFERROR(VLOOKUP($C94,SN_UGC,28,0),0),1)</f>
        <v>1</v>
      </c>
      <c r="FS94" s="140">
        <f>SUM($D94:R94)*IF($B94="Operacional",IFERROR(VLOOKUP($C94,SN_UGC,28,0),0),1)</f>
        <v>1</v>
      </c>
      <c r="FT94" s="140">
        <f>SUM($D94:S94)*IF($B94="Operacional",IFERROR(VLOOKUP($C94,SN_UGC,28,0),0),1)</f>
        <v>1</v>
      </c>
      <c r="FU94" s="140">
        <f>SUM($D94:T94)*IF($B94="Operacional",IFERROR(VLOOKUP($C94,SN_UGC,28,0),0),1)</f>
        <v>1</v>
      </c>
      <c r="FV94" s="140">
        <f>SUM($D94:U94)*IF($B94="Operacional",IFERROR(VLOOKUP($C94,SN_UGC,28,0),0),1)</f>
        <v>1</v>
      </c>
      <c r="FW94" s="140">
        <f>SUM($D94:V94)*IF($B94="Operacional",IFERROR(VLOOKUP($C94,SN_UGC,28,0),0),1)</f>
        <v>1</v>
      </c>
      <c r="FX94" s="140">
        <f>SUM($D94:W94)*IF($B94="Operacional",IFERROR(VLOOKUP($C94,SN_UGC,28,0),0),1)</f>
        <v>1</v>
      </c>
      <c r="FY94" s="140">
        <f>SUM($D94:X94)*IF($B94="Operacional",IFERROR(VLOOKUP($C94,SN_UGC,28,0),0),1)</f>
        <v>1</v>
      </c>
      <c r="FZ94" s="140">
        <f>SUM($D94:Y94)*IF($B94="Operacional",IFERROR(VLOOKUP($C94,SN_UGC,28,0),0),1)</f>
        <v>1</v>
      </c>
      <c r="GA94" s="140">
        <f>SUM($D94:Z94)*IF($B94="Operacional",IFERROR(VLOOKUP($C94,SN_UGC,28,0),0),1)</f>
        <v>1</v>
      </c>
      <c r="GB94" s="140">
        <f>SUM($D94:AA94)*IF($B94="Operacional",IFERROR(VLOOKUP($C94,SN_UGC,28,0),0),1)</f>
        <v>1</v>
      </c>
      <c r="GC94" s="140">
        <f>SUM($D94:AB94)*IF($B94="Operacional",IFERROR(VLOOKUP($C94,SN_UGC,28,0),0),1)</f>
        <v>1</v>
      </c>
      <c r="GD94" s="140">
        <f>SUM($D94:AC94)*IF($B94="Operacional",IFERROR(VLOOKUP($C94,SN_UGC,28,0),0),1)</f>
        <v>1</v>
      </c>
      <c r="GE94" s="140">
        <f>SUM($D94:AD94)*IF($B94="Operacional",IFERROR(VLOOKUP($C94,SN_UGC,28,0),0),1)</f>
        <v>1</v>
      </c>
      <c r="GF94" s="140">
        <f>SUM($D94:AE94)*IF($B94="Operacional",IFERROR(VLOOKUP($C94,SN_UGC,28,0),0),1)</f>
        <v>1</v>
      </c>
      <c r="GG94" s="140">
        <f>SUM($D94:AF94)*IF($B94="Operacional",IFERROR(VLOOKUP($C94,SN_UGC,28,0),0),1)</f>
        <v>1</v>
      </c>
      <c r="GH94" s="140">
        <f>SUM($D94:AG94)*IF($B94="Operacional",IFERROR(VLOOKUP($C94,SN_UGC,28,0),0),1)</f>
        <v>1</v>
      </c>
      <c r="GI94" s="141">
        <f t="shared" ref="GI94:HL94" si="472">FE94*$AH94*$AL94</f>
        <v>13750</v>
      </c>
      <c r="GJ94" s="141">
        <f t="shared" si="472"/>
        <v>13750</v>
      </c>
      <c r="GK94" s="141">
        <f t="shared" si="472"/>
        <v>13750</v>
      </c>
      <c r="GL94" s="141">
        <f t="shared" si="472"/>
        <v>13750</v>
      </c>
      <c r="GM94" s="141">
        <f t="shared" si="472"/>
        <v>13750</v>
      </c>
      <c r="GN94" s="141">
        <f t="shared" si="472"/>
        <v>13750</v>
      </c>
      <c r="GO94" s="141">
        <f t="shared" si="472"/>
        <v>13750</v>
      </c>
      <c r="GP94" s="141">
        <f t="shared" si="472"/>
        <v>13750</v>
      </c>
      <c r="GQ94" s="141">
        <f t="shared" si="472"/>
        <v>13750</v>
      </c>
      <c r="GR94" s="141">
        <f t="shared" si="472"/>
        <v>13750</v>
      </c>
      <c r="GS94" s="141">
        <f t="shared" si="472"/>
        <v>13750</v>
      </c>
      <c r="GT94" s="141">
        <f t="shared" si="472"/>
        <v>13750</v>
      </c>
      <c r="GU94" s="141">
        <f t="shared" si="472"/>
        <v>13750</v>
      </c>
      <c r="GV94" s="141">
        <f t="shared" si="472"/>
        <v>13750</v>
      </c>
      <c r="GW94" s="141">
        <f t="shared" si="472"/>
        <v>13750</v>
      </c>
      <c r="GX94" s="141">
        <f t="shared" si="472"/>
        <v>13750</v>
      </c>
      <c r="GY94" s="141">
        <f t="shared" si="472"/>
        <v>13750</v>
      </c>
      <c r="GZ94" s="141">
        <f t="shared" si="472"/>
        <v>13750</v>
      </c>
      <c r="HA94" s="141">
        <f t="shared" si="472"/>
        <v>13750</v>
      </c>
      <c r="HB94" s="141">
        <f t="shared" si="472"/>
        <v>13750</v>
      </c>
      <c r="HC94" s="141">
        <f t="shared" si="472"/>
        <v>13750</v>
      </c>
      <c r="HD94" s="141">
        <f t="shared" si="472"/>
        <v>13750</v>
      </c>
      <c r="HE94" s="141">
        <f t="shared" si="472"/>
        <v>13750</v>
      </c>
      <c r="HF94" s="141">
        <f t="shared" si="472"/>
        <v>13750</v>
      </c>
      <c r="HG94" s="141">
        <f t="shared" si="472"/>
        <v>13750</v>
      </c>
      <c r="HH94" s="141">
        <f t="shared" si="472"/>
        <v>13750</v>
      </c>
      <c r="HI94" s="141">
        <f t="shared" si="472"/>
        <v>13750</v>
      </c>
      <c r="HJ94" s="141">
        <f t="shared" si="472"/>
        <v>13750</v>
      </c>
      <c r="HK94" s="141">
        <f t="shared" si="472"/>
        <v>13750</v>
      </c>
      <c r="HL94" s="141">
        <f t="shared" si="472"/>
        <v>13750</v>
      </c>
      <c r="HM94" s="142">
        <f t="shared" ref="HM94:IP94" si="473">IF(ISBLANK($A94),,FE94*($AH94-($AH94*$AJ94))/$AI94)</f>
        <v>4583.333333333333</v>
      </c>
      <c r="HN94" s="142">
        <f t="shared" si="473"/>
        <v>4583.333333333333</v>
      </c>
      <c r="HO94" s="142">
        <f t="shared" si="473"/>
        <v>4583.333333333333</v>
      </c>
      <c r="HP94" s="142">
        <f t="shared" si="473"/>
        <v>4583.333333333333</v>
      </c>
      <c r="HQ94" s="142">
        <f t="shared" si="473"/>
        <v>4583.333333333333</v>
      </c>
      <c r="HR94" s="142">
        <f t="shared" si="473"/>
        <v>4583.333333333333</v>
      </c>
      <c r="HS94" s="142">
        <f t="shared" si="473"/>
        <v>4583.333333333333</v>
      </c>
      <c r="HT94" s="142">
        <f t="shared" si="473"/>
        <v>4583.333333333333</v>
      </c>
      <c r="HU94" s="142">
        <f t="shared" si="473"/>
        <v>4583.333333333333</v>
      </c>
      <c r="HV94" s="142">
        <f t="shared" si="473"/>
        <v>4583.333333333333</v>
      </c>
      <c r="HW94" s="142">
        <f t="shared" si="473"/>
        <v>4583.333333333333</v>
      </c>
      <c r="HX94" s="142">
        <f t="shared" si="473"/>
        <v>4583.333333333333</v>
      </c>
      <c r="HY94" s="142">
        <f t="shared" si="473"/>
        <v>4583.333333333333</v>
      </c>
      <c r="HZ94" s="142">
        <f t="shared" si="473"/>
        <v>4583.333333333333</v>
      </c>
      <c r="IA94" s="142">
        <f t="shared" si="473"/>
        <v>4583.333333333333</v>
      </c>
      <c r="IB94" s="142">
        <f t="shared" si="473"/>
        <v>4583.333333333333</v>
      </c>
      <c r="IC94" s="142">
        <f t="shared" si="473"/>
        <v>4583.333333333333</v>
      </c>
      <c r="ID94" s="142">
        <f t="shared" si="473"/>
        <v>4583.333333333333</v>
      </c>
      <c r="IE94" s="142">
        <f t="shared" si="473"/>
        <v>4583.333333333333</v>
      </c>
      <c r="IF94" s="142">
        <f t="shared" si="473"/>
        <v>4583.333333333333</v>
      </c>
      <c r="IG94" s="142">
        <f t="shared" si="473"/>
        <v>4583.333333333333</v>
      </c>
      <c r="IH94" s="142">
        <f t="shared" si="473"/>
        <v>4583.333333333333</v>
      </c>
      <c r="II94" s="142">
        <f t="shared" si="473"/>
        <v>4583.333333333333</v>
      </c>
      <c r="IJ94" s="142">
        <f t="shared" si="473"/>
        <v>4583.333333333333</v>
      </c>
      <c r="IK94" s="142">
        <f t="shared" si="473"/>
        <v>4583.333333333333</v>
      </c>
      <c r="IL94" s="142">
        <f t="shared" si="473"/>
        <v>4583.333333333333</v>
      </c>
      <c r="IM94" s="142">
        <f t="shared" si="473"/>
        <v>4583.333333333333</v>
      </c>
      <c r="IN94" s="142">
        <f t="shared" si="473"/>
        <v>4583.333333333333</v>
      </c>
      <c r="IO94" s="142">
        <f t="shared" si="473"/>
        <v>4583.333333333333</v>
      </c>
      <c r="IP94" s="142">
        <f t="shared" si="473"/>
        <v>4583.333333333333</v>
      </c>
      <c r="IQ94" s="141">
        <f>IF(ISBLANK($A94),,IF($AN94="Não",0,(SUM($AO94:AO94)*$AH94)-SUM($HM94:HM94)-SUM($CW94:CW94)))</f>
        <v>0</v>
      </c>
      <c r="IR94" s="141">
        <f>IF(ISBLANK($A94),,IF($AN94="Não",0,(SUM($AO94:AP94)*$AH94)-SUM($HM94:HN94)-SUM($CW94:CX94)))</f>
        <v>0</v>
      </c>
      <c r="IS94" s="141">
        <f>IF(ISBLANK($A94),,IF($AN94="Não",0,(SUM($AO94:AQ94)*$AH94)-SUM($HM94:HO94)-SUM($CW94:CY94)))</f>
        <v>0</v>
      </c>
      <c r="IT94" s="141">
        <f>IF(ISBLANK($A94),,IF($AN94="Não",0,(SUM($AO94:AR94)*$AH94)-SUM($HM94:HP94)-SUM($CW94:CZ94)))</f>
        <v>0</v>
      </c>
      <c r="IU94" s="141">
        <f>IF(ISBLANK($A94),,IF($AN94="Não",0,(SUM($AO94:AS94)*$AH94)-SUM($HM94:HQ94)-SUM($CW94:DA94)))</f>
        <v>0</v>
      </c>
      <c r="IV94" s="141">
        <f>IF(ISBLANK($A94),,IF($AN94="Não",0,(SUM($AO94:AT94)*$AH94)-SUM($HM94:HR94)-SUM($CW94:DB94)))</f>
        <v>0</v>
      </c>
      <c r="IW94" s="141">
        <f>IF(ISBLANK($A94),,IF($AN94="Não",0,(SUM($AO94:AU94)*$AH94)-SUM($HM94:HS94)-SUM($CW94:DC94)))</f>
        <v>0</v>
      </c>
      <c r="IX94" s="141">
        <f>IF(ISBLANK($A94),,IF($AN94="Não",0,(SUM($AO94:AV94)*$AH94)-SUM($HM94:HT94)-SUM($CW94:DD94)))</f>
        <v>0</v>
      </c>
      <c r="IY94" s="141">
        <f>IF(ISBLANK($A94),,IF($AN94="Não",0,(SUM($AO94:AW94)*$AH94)-SUM($HM94:HU94)-SUM($CW94:DE94)))</f>
        <v>0</v>
      </c>
      <c r="IZ94" s="141">
        <f>IF(ISBLANK($A94),,IF($AN94="Não",0,(SUM($AO94:AX94)*$AH94)-SUM($HM94:HV94)-SUM($CW94:DF94)))</f>
        <v>0</v>
      </c>
      <c r="JA94" s="141">
        <f>IF(ISBLANK($A94),,IF($AN94="Não",0,(SUM($AO94:AY94)*$AH94)-SUM($HM94:HW94)-SUM($CW94:DG94)))</f>
        <v>0</v>
      </c>
      <c r="JB94" s="141">
        <f>IF(ISBLANK($A94),,IF($AN94="Não",0,(SUM($AO94:AZ94)*$AH94)-SUM($HM94:HX94)-SUM($CW94:DH94)))</f>
        <v>0</v>
      </c>
      <c r="JC94" s="141">
        <f>IF(ISBLANK($A94),,IF($AN94="Não",0,(SUM($AO94:BA94)*$AH94)-SUM($HM94:HY94)-SUM($CW94:DI94)))</f>
        <v>0</v>
      </c>
      <c r="JD94" s="141">
        <f>IF(ISBLANK($A94),,IF($AN94="Não",0,(SUM($AO94:BB94)*$AH94)-SUM($HM94:HZ94)-SUM($CW94:DJ94)))</f>
        <v>0</v>
      </c>
      <c r="JE94" s="141">
        <f>IF(ISBLANK($A94),,IF($AN94="Não",0,(SUM($AO94:BC94)*$AH94)-SUM($HM94:IA94)-SUM($CW94:DK94)))</f>
        <v>0</v>
      </c>
      <c r="JF94" s="141">
        <f>IF(ISBLANK($A94),,IF($AN94="Não",0,(SUM($AO94:BD94)*$AH94)-SUM($HM94:IB94)-SUM($CW94:DL94)))</f>
        <v>0</v>
      </c>
      <c r="JG94" s="141">
        <f>IF(ISBLANK($A94),,IF($AN94="Não",0,(SUM($AO94:BE94)*$AH94)-SUM($HM94:IC94)-SUM($CW94:DM94)))</f>
        <v>0</v>
      </c>
      <c r="JH94" s="141">
        <f>IF(ISBLANK($A94),,IF($AN94="Não",0,(SUM($AO94:BF94)*$AH94)-SUM($HM94:ID94)-SUM($CW94:DN94)))</f>
        <v>0</v>
      </c>
      <c r="JI94" s="141">
        <f>IF(ISBLANK($A94),,IF($AN94="Não",0,(SUM($AO94:BG94)*$AH94)-SUM($HM94:IE94)-SUM($CW94:DO94)))</f>
        <v>0</v>
      </c>
      <c r="JJ94" s="141">
        <f>IF(ISBLANK($A94),,IF($AN94="Não",0,(SUM($AO94:BH94)*$AH94)-SUM($HM94:IF94)-SUM($CW94:DP94)))</f>
        <v>0</v>
      </c>
      <c r="JK94" s="141">
        <f>IF(ISBLANK($A94),,IF($AN94="Não",0,(SUM($AO94:BI94)*$AH94)-SUM($HM94:IG94)-SUM($CW94:DQ94)))</f>
        <v>0</v>
      </c>
      <c r="JL94" s="141">
        <f>IF(ISBLANK($A94),,IF($AN94="Não",0,(SUM($AO94:BJ94)*$AH94)-SUM($HM94:IH94)-SUM($CW94:DR94)))</f>
        <v>0</v>
      </c>
      <c r="JM94" s="141">
        <f>IF(ISBLANK($A94),,IF($AN94="Não",0,(SUM($AO94:BK94)*$AH94)-SUM($HM94:II94)-SUM($CW94:DS94)))</f>
        <v>0</v>
      </c>
      <c r="JN94" s="141">
        <f>IF(ISBLANK($A94),,IF($AN94="Não",0,(SUM($AO94:BL94)*$AH94)-SUM($HM94:IJ94)-SUM($CW94:DT94)))</f>
        <v>0</v>
      </c>
      <c r="JO94" s="141">
        <f>IF(ISBLANK($A94),,IF($AN94="Não",0,(SUM($AO94:BM94)*$AH94)-SUM($HM94:IK94)-SUM($CW94:DU94)))</f>
        <v>0</v>
      </c>
      <c r="JP94" s="141">
        <f>IF(ISBLANK($A94),,IF($AN94="Não",0,(SUM($AO94:BN94)*$AH94)-SUM($HM94:IL94)-SUM($CW94:DV94)))</f>
        <v>0</v>
      </c>
      <c r="JQ94" s="141">
        <f>IF(ISBLANK($A94),,IF($AN94="Não",0,(SUM($AO94:BO94)*$AH94)-SUM($HM94:IM94)-SUM($CW94:DW94)))</f>
        <v>0</v>
      </c>
      <c r="JR94" s="141">
        <f>IF(ISBLANK($A94),,IF($AN94="Não",0,(SUM($AO94:BP94)*$AH94)-SUM($HM94:IN94)-SUM($CW94:DX94)))</f>
        <v>0</v>
      </c>
      <c r="JS94" s="141">
        <f>IF(ISBLANK($A94),,IF($AN94="Não",0,(SUM($AO94:BQ94)*$AH94)-SUM($HM94:IO94)-SUM($CW94:DY94)))</f>
        <v>0</v>
      </c>
      <c r="JT94" s="141">
        <f>IF(ISBLANK($A94),,IF($AN94="Não",0,(SUM($AO94:BR94)*$AH94)-SUM($HM94:IP94)-SUM($CW94:DZ94)))</f>
        <v>0</v>
      </c>
    </row>
    <row r="95" spans="1:280" ht="15.75" customHeight="1">
      <c r="A95" s="129" t="s">
        <v>434</v>
      </c>
      <c r="B95" s="129" t="s">
        <v>191</v>
      </c>
      <c r="C95" s="138" t="s">
        <v>234</v>
      </c>
      <c r="D95" s="139">
        <v>1</v>
      </c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607">
        <f t="shared" si="399"/>
        <v>330000</v>
      </c>
      <c r="AI95" s="608">
        <f t="shared" si="400"/>
        <v>1</v>
      </c>
      <c r="AJ95" s="609">
        <f t="shared" si="401"/>
        <v>0</v>
      </c>
      <c r="AK95" s="610" t="str">
        <f t="shared" si="402"/>
        <v>Outros</v>
      </c>
      <c r="AL95" s="609">
        <f t="shared" si="403"/>
        <v>0</v>
      </c>
      <c r="AM95" s="611" t="str">
        <f t="shared" si="404"/>
        <v>Não</v>
      </c>
      <c r="AN95" s="611" t="str">
        <f t="shared" si="405"/>
        <v>Não</v>
      </c>
      <c r="AO95" s="140">
        <f t="array" ref="AO95">IF(ISBLANK($A95),0,IF(OR(AO$5-$AI95&lt;=0,$AM95="Não"),D95,D95+INDEX($AO$6:$BR$176,ROW()-5,COLUMN()-40-$AI95)))*IF($B95="Operacional",IFERROR(VLOOKUP($C95,SN_UGC,28,0),0),1)</f>
        <v>1</v>
      </c>
      <c r="AP95" s="140">
        <f t="array" ref="AP95">IF(ISBLANK($A95),0,IF(OR(AP$5-$AI95&lt;=0,$AM95="Não"),E95,E95+INDEX($AO$6:$BR$176,ROW()-5,COLUMN()-40-$AI95)))*IF($B95="Operacional",IFERROR(VLOOKUP($C95,SN_UGC,28,0),0),1)</f>
        <v>0</v>
      </c>
      <c r="AQ95" s="140">
        <f t="array" ref="AQ95">IF(ISBLANK($A95),0,IF(OR(AQ$5-$AI95&lt;=0,$AM95="Não"),F95,F95+INDEX($AO$6:$BR$176,ROW()-5,COLUMN()-40-$AI95)))*IF($B95="Operacional",IFERROR(VLOOKUP($C95,SN_UGC,28,0),0),1)</f>
        <v>0</v>
      </c>
      <c r="AR95" s="140">
        <f t="array" ref="AR95">IF(ISBLANK($A95),0,IF(OR(AR$5-$AI95&lt;=0,$AM95="Não"),G95,G95+INDEX($AO$6:$BR$176,ROW()-5,COLUMN()-40-$AI95)))*IF($B95="Operacional",IFERROR(VLOOKUP($C95,SN_UGC,28,0),0),1)</f>
        <v>0</v>
      </c>
      <c r="AS95" s="140">
        <f t="array" ref="AS95">IF(ISBLANK($A95),0,IF(OR(AS$5-$AI95&lt;=0,$AM95="Não"),H95,H95+INDEX($AO$6:$BR$176,ROW()-5,COLUMN()-40-$AI95)))*IF($B95="Operacional",IFERROR(VLOOKUP($C95,SN_UGC,28,0),0),1)</f>
        <v>0</v>
      </c>
      <c r="AT95" s="140">
        <f t="array" ref="AT95">IF(ISBLANK($A95),0,IF(OR(AT$5-$AI95&lt;=0,$AM95="Não"),I95,I95+INDEX($AO$6:$BR$176,ROW()-5,COLUMN()-40-$AI95)))*IF($B95="Operacional",IFERROR(VLOOKUP($C95,SN_UGC,28,0),0),1)</f>
        <v>0</v>
      </c>
      <c r="AU95" s="140">
        <f t="array" ref="AU95">IF(ISBLANK($A95),0,IF(OR(AU$5-$AI95&lt;=0,$AM95="Não"),J95,J95+INDEX($AO$6:$BR$176,ROW()-5,COLUMN()-40-$AI95)))*IF($B95="Operacional",IFERROR(VLOOKUP($C95,SN_UGC,28,0),0),1)</f>
        <v>0</v>
      </c>
      <c r="AV95" s="140">
        <f t="array" ref="AV95">IF(ISBLANK($A95),0,IF(OR(AV$5-$AI95&lt;=0,$AM95="Não"),K95,K95+INDEX($AO$6:$BR$176,ROW()-5,COLUMN()-40-$AI95)))*IF($B95="Operacional",IFERROR(VLOOKUP($C95,SN_UGC,28,0),0),1)</f>
        <v>0</v>
      </c>
      <c r="AW95" s="140">
        <f t="array" ref="AW95">IF(ISBLANK($A95),0,IF(OR(AW$5-$AI95&lt;=0,$AM95="Não"),L95,L95+INDEX($AO$6:$BR$176,ROW()-5,COLUMN()-40-$AI95)))*IF($B95="Operacional",IFERROR(VLOOKUP($C95,SN_UGC,28,0),0),1)</f>
        <v>0</v>
      </c>
      <c r="AX95" s="140">
        <f t="array" ref="AX95">IF(ISBLANK($A95),0,IF(OR(AX$5-$AI95&lt;=0,$AM95="Não"),M95,M95+INDEX($AO$6:$BR$176,ROW()-5,COLUMN()-40-$AI95)))*IF($B95="Operacional",IFERROR(VLOOKUP($C95,SN_UGC,28,0),0),1)</f>
        <v>0</v>
      </c>
      <c r="AY95" s="140">
        <f t="array" ref="AY95">IF(ISBLANK($A95),0,IF(OR(AY$5-$AI95&lt;=0,$AM95="Não"),N95,N95+INDEX($AO$6:$BR$176,ROW()-5,COLUMN()-40-$AI95)))*IF($B95="Operacional",IFERROR(VLOOKUP($C95,SN_UGC,28,0),0),1)</f>
        <v>0</v>
      </c>
      <c r="AZ95" s="140">
        <f t="array" ref="AZ95">IF(ISBLANK($A95),0,IF(OR(AZ$5-$AI95&lt;=0,$AM95="Não"),O95,O95+INDEX($AO$6:$BR$176,ROW()-5,COLUMN()-40-$AI95)))*IF($B95="Operacional",IFERROR(VLOOKUP($C95,SN_UGC,28,0),0),1)</f>
        <v>0</v>
      </c>
      <c r="BA95" s="140">
        <f t="array" ref="BA95">IF(ISBLANK($A95),0,IF(OR(BA$5-$AI95&lt;=0,$AM95="Não"),P95,P95+INDEX($AO$6:$BR$176,ROW()-5,COLUMN()-40-$AI95)))*IF($B95="Operacional",IFERROR(VLOOKUP($C95,SN_UGC,28,0),0),1)</f>
        <v>0</v>
      </c>
      <c r="BB95" s="140">
        <f t="array" ref="BB95">IF(ISBLANK($A95),0,IF(OR(BB$5-$AI95&lt;=0,$AM95="Não"),Q95,Q95+INDEX($AO$6:$BR$176,ROW()-5,COLUMN()-40-$AI95)))*IF($B95="Operacional",IFERROR(VLOOKUP($C95,SN_UGC,28,0),0),1)</f>
        <v>0</v>
      </c>
      <c r="BC95" s="140">
        <f t="array" ref="BC95">IF(ISBLANK($A95),0,IF(OR(BC$5-$AI95&lt;=0,$AM95="Não"),R95,R95+INDEX($AO$6:$BR$176,ROW()-5,COLUMN()-40-$AI95)))*IF($B95="Operacional",IFERROR(VLOOKUP($C95,SN_UGC,28,0),0),1)</f>
        <v>0</v>
      </c>
      <c r="BD95" s="140">
        <f t="array" ref="BD95">IF(ISBLANK($A95),0,IF(OR(BD$5-$AI95&lt;=0,$AM95="Não"),S95,S95+INDEX($AO$6:$BR$176,ROW()-5,COLUMN()-40-$AI95)))*IF($B95="Operacional",IFERROR(VLOOKUP($C95,SN_UGC,28,0),0),1)</f>
        <v>0</v>
      </c>
      <c r="BE95" s="140">
        <f t="array" ref="BE95">IF(ISBLANK($A95),0,IF(OR(BE$5-$AI95&lt;=0,$AM95="Não"),T95,T95+INDEX($AO$6:$BR$176,ROW()-5,COLUMN()-40-$AI95)))*IF($B95="Operacional",IFERROR(VLOOKUP($C95,SN_UGC,28,0),0),1)</f>
        <v>0</v>
      </c>
      <c r="BF95" s="140">
        <f t="array" ref="BF95">IF(ISBLANK($A95),0,IF(OR(BF$5-$AI95&lt;=0,$AM95="Não"),U95,U95+INDEX($AO$6:$BR$176,ROW()-5,COLUMN()-40-$AI95)))*IF($B95="Operacional",IFERROR(VLOOKUP($C95,SN_UGC,28,0),0),1)</f>
        <v>0</v>
      </c>
      <c r="BG95" s="140">
        <f t="array" ref="BG95">IF(ISBLANK($A95),0,IF(OR(BG$5-$AI95&lt;=0,$AM95="Não"),V95,V95+INDEX($AO$6:$BR$176,ROW()-5,COLUMN()-40-$AI95)))*IF($B95="Operacional",IFERROR(VLOOKUP($C95,SN_UGC,28,0),0),1)</f>
        <v>0</v>
      </c>
      <c r="BH95" s="140">
        <f t="array" ref="BH95">IF(ISBLANK($A95),0,IF(OR(BH$5-$AI95&lt;=0,$AM95="Não"),W95,W95+INDEX($AO$6:$BR$176,ROW()-5,COLUMN()-40-$AI95)))*IF($B95="Operacional",IFERROR(VLOOKUP($C95,SN_UGC,28,0),0),1)</f>
        <v>0</v>
      </c>
      <c r="BI95" s="140">
        <f t="array" ref="BI95">IF(ISBLANK($A95),0,IF(OR(BI$5-$AI95&lt;=0,$AM95="Não"),X95,X95+INDEX($AO$6:$BR$176,ROW()-5,COLUMN()-40-$AI95)))*IF($B95="Operacional",IFERROR(VLOOKUP($C95,SN_UGC,28,0),0),1)</f>
        <v>0</v>
      </c>
      <c r="BJ95" s="140">
        <f t="array" ref="BJ95">IF(ISBLANK($A95),0,IF(OR(BJ$5-$AI95&lt;=0,$AM95="Não"),Y95,Y95+INDEX($AO$6:$BR$176,ROW()-5,COLUMN()-40-$AI95)))*IF($B95="Operacional",IFERROR(VLOOKUP($C95,SN_UGC,28,0),0),1)</f>
        <v>0</v>
      </c>
      <c r="BK95" s="140">
        <f t="array" ref="BK95">IF(ISBLANK($A95),0,IF(OR(BK$5-$AI95&lt;=0,$AM95="Não"),Z95,Z95+INDEX($AO$6:$BR$176,ROW()-5,COLUMN()-40-$AI95)))*IF($B95="Operacional",IFERROR(VLOOKUP($C95,SN_UGC,28,0),0),1)</f>
        <v>0</v>
      </c>
      <c r="BL95" s="140">
        <f t="array" ref="BL95">IF(ISBLANK($A95),0,IF(OR(BL$5-$AI95&lt;=0,$AM95="Não"),AA95,AA95+INDEX($AO$6:$BR$176,ROW()-5,COLUMN()-40-$AI95)))*IF($B95="Operacional",IFERROR(VLOOKUP($C95,SN_UGC,28,0),0),1)</f>
        <v>0</v>
      </c>
      <c r="BM95" s="140">
        <f t="array" ref="BM95">IF(ISBLANK($A95),0,IF(OR(BM$5-$AI95&lt;=0,$AM95="Não"),AB95,AB95+INDEX($AO$6:$BR$176,ROW()-5,COLUMN()-40-$AI95)))*IF($B95="Operacional",IFERROR(VLOOKUP($C95,SN_UGC,28,0),0),1)</f>
        <v>0</v>
      </c>
      <c r="BN95" s="140">
        <f t="array" ref="BN95">IF(ISBLANK($A95),0,IF(OR(BN$5-$AI95&lt;=0,$AM95="Não"),AC95,AC95+INDEX($AO$6:$BR$176,ROW()-5,COLUMN()-40-$AI95)))*IF($B95="Operacional",IFERROR(VLOOKUP($C95,SN_UGC,28,0),0),1)</f>
        <v>0</v>
      </c>
      <c r="BO95" s="140">
        <f t="array" ref="BO95">IF(ISBLANK($A95),0,IF(OR(BO$5-$AI95&lt;=0,$AM95="Não"),AD95,AD95+INDEX($AO$6:$BR$176,ROW()-5,COLUMN()-40-$AI95)))*IF($B95="Operacional",IFERROR(VLOOKUP($C95,SN_UGC,28,0),0),1)</f>
        <v>0</v>
      </c>
      <c r="BP95" s="140">
        <f t="array" ref="BP95">IF(ISBLANK($A95),0,IF(OR(BP$5-$AI95&lt;=0,$AM95="Não"),AE95,AE95+INDEX($AO$6:$BR$176,ROW()-5,COLUMN()-40-$AI95)))*IF($B95="Operacional",IFERROR(VLOOKUP($C95,SN_UGC,28,0),0),1)</f>
        <v>0</v>
      </c>
      <c r="BQ95" s="140">
        <f t="array" ref="BQ95">IF(ISBLANK($A95),0,IF(OR(BQ$5-$AI95&lt;=0,$AM95="Não"),AF95,AF95+INDEX($AO$6:$BR$176,ROW()-5,COLUMN()-40-$AI95)))*IF($B95="Operacional",IFERROR(VLOOKUP($C95,SN_UGC,28,0),0),1)</f>
        <v>0</v>
      </c>
      <c r="BR95" s="140">
        <f t="array" ref="BR95">IF(ISBLANK($A95),0,IF(OR(BR$5-$AI95&lt;=0,$AM95="Não"),AG95,AG95+INDEX($AO$6:$BR$176,ROW()-5,COLUMN()-40-$AI95)))*IF($B95="Operacional",IFERROR(VLOOKUP($C95,SN_UGC,28,0),0),1)</f>
        <v>0</v>
      </c>
      <c r="BS95" s="141">
        <f t="shared" ref="BS95:CV95" si="474">IF(ISBLANK($A95),0,$AH95*AO95)</f>
        <v>330000</v>
      </c>
      <c r="BT95" s="141">
        <f t="shared" si="474"/>
        <v>0</v>
      </c>
      <c r="BU95" s="141">
        <f t="shared" si="474"/>
        <v>0</v>
      </c>
      <c r="BV95" s="141">
        <f t="shared" si="474"/>
        <v>0</v>
      </c>
      <c r="BW95" s="141">
        <f t="shared" si="474"/>
        <v>0</v>
      </c>
      <c r="BX95" s="141">
        <f t="shared" si="474"/>
        <v>0</v>
      </c>
      <c r="BY95" s="141">
        <f t="shared" si="474"/>
        <v>0</v>
      </c>
      <c r="BZ95" s="141">
        <f t="shared" si="474"/>
        <v>0</v>
      </c>
      <c r="CA95" s="141">
        <f t="shared" si="474"/>
        <v>0</v>
      </c>
      <c r="CB95" s="141">
        <f t="shared" si="474"/>
        <v>0</v>
      </c>
      <c r="CC95" s="141">
        <f t="shared" si="474"/>
        <v>0</v>
      </c>
      <c r="CD95" s="141">
        <f t="shared" si="474"/>
        <v>0</v>
      </c>
      <c r="CE95" s="141">
        <f t="shared" si="474"/>
        <v>0</v>
      </c>
      <c r="CF95" s="141">
        <f t="shared" si="474"/>
        <v>0</v>
      </c>
      <c r="CG95" s="141">
        <f t="shared" si="474"/>
        <v>0</v>
      </c>
      <c r="CH95" s="141">
        <f t="shared" si="474"/>
        <v>0</v>
      </c>
      <c r="CI95" s="141">
        <f t="shared" si="474"/>
        <v>0</v>
      </c>
      <c r="CJ95" s="141">
        <f t="shared" si="474"/>
        <v>0</v>
      </c>
      <c r="CK95" s="141">
        <f t="shared" si="474"/>
        <v>0</v>
      </c>
      <c r="CL95" s="141">
        <f t="shared" si="474"/>
        <v>0</v>
      </c>
      <c r="CM95" s="141">
        <f t="shared" si="474"/>
        <v>0</v>
      </c>
      <c r="CN95" s="141">
        <f t="shared" si="474"/>
        <v>0</v>
      </c>
      <c r="CO95" s="141">
        <f t="shared" si="474"/>
        <v>0</v>
      </c>
      <c r="CP95" s="141">
        <f t="shared" si="474"/>
        <v>0</v>
      </c>
      <c r="CQ95" s="141">
        <f t="shared" si="474"/>
        <v>0</v>
      </c>
      <c r="CR95" s="141">
        <f t="shared" si="474"/>
        <v>0</v>
      </c>
      <c r="CS95" s="141">
        <f t="shared" si="474"/>
        <v>0</v>
      </c>
      <c r="CT95" s="141">
        <f t="shared" si="474"/>
        <v>0</v>
      </c>
      <c r="CU95" s="141">
        <f t="shared" si="474"/>
        <v>0</v>
      </c>
      <c r="CV95" s="141">
        <f t="shared" si="474"/>
        <v>0</v>
      </c>
      <c r="CW95" s="142">
        <f t="shared" ref="CW95:DZ95" si="475">EA95*$AH95*$AJ95</f>
        <v>0</v>
      </c>
      <c r="CX95" s="142">
        <f t="shared" si="475"/>
        <v>0</v>
      </c>
      <c r="CY95" s="142">
        <f t="shared" si="475"/>
        <v>0</v>
      </c>
      <c r="CZ95" s="142">
        <f t="shared" si="475"/>
        <v>0</v>
      </c>
      <c r="DA95" s="142">
        <f t="shared" si="475"/>
        <v>0</v>
      </c>
      <c r="DB95" s="142">
        <f t="shared" si="475"/>
        <v>0</v>
      </c>
      <c r="DC95" s="142">
        <f t="shared" si="475"/>
        <v>0</v>
      </c>
      <c r="DD95" s="142">
        <f t="shared" si="475"/>
        <v>0</v>
      </c>
      <c r="DE95" s="142">
        <f t="shared" si="475"/>
        <v>0</v>
      </c>
      <c r="DF95" s="142">
        <f t="shared" si="475"/>
        <v>0</v>
      </c>
      <c r="DG95" s="142">
        <f t="shared" si="475"/>
        <v>0</v>
      </c>
      <c r="DH95" s="142">
        <f t="shared" si="475"/>
        <v>0</v>
      </c>
      <c r="DI95" s="142">
        <f t="shared" si="475"/>
        <v>0</v>
      </c>
      <c r="DJ95" s="142">
        <f t="shared" si="475"/>
        <v>0</v>
      </c>
      <c r="DK95" s="142">
        <f t="shared" si="475"/>
        <v>0</v>
      </c>
      <c r="DL95" s="142">
        <f t="shared" si="475"/>
        <v>0</v>
      </c>
      <c r="DM95" s="142">
        <f t="shared" si="475"/>
        <v>0</v>
      </c>
      <c r="DN95" s="142">
        <f t="shared" si="475"/>
        <v>0</v>
      </c>
      <c r="DO95" s="142">
        <f t="shared" si="475"/>
        <v>0</v>
      </c>
      <c r="DP95" s="142">
        <f t="shared" si="475"/>
        <v>0</v>
      </c>
      <c r="DQ95" s="142">
        <f t="shared" si="475"/>
        <v>0</v>
      </c>
      <c r="DR95" s="142">
        <f t="shared" si="475"/>
        <v>0</v>
      </c>
      <c r="DS95" s="142">
        <f t="shared" si="475"/>
        <v>0</v>
      </c>
      <c r="DT95" s="142">
        <f t="shared" si="475"/>
        <v>0</v>
      </c>
      <c r="DU95" s="142">
        <f t="shared" si="475"/>
        <v>0</v>
      </c>
      <c r="DV95" s="142">
        <f t="shared" si="475"/>
        <v>0</v>
      </c>
      <c r="DW95" s="142">
        <f t="shared" si="475"/>
        <v>0</v>
      </c>
      <c r="DX95" s="142">
        <f t="shared" si="475"/>
        <v>0</v>
      </c>
      <c r="DY95" s="142">
        <f t="shared" si="475"/>
        <v>0</v>
      </c>
      <c r="DZ95" s="142">
        <f t="shared" si="475"/>
        <v>0</v>
      </c>
      <c r="EA95" s="143">
        <f t="shared" si="339"/>
        <v>0</v>
      </c>
      <c r="EB95" s="143">
        <f t="shared" si="340"/>
        <v>1</v>
      </c>
      <c r="EC95" s="143">
        <f t="shared" si="341"/>
        <v>0</v>
      </c>
      <c r="ED95" s="143">
        <f t="shared" si="342"/>
        <v>0</v>
      </c>
      <c r="EE95" s="143">
        <f t="shared" si="343"/>
        <v>0</v>
      </c>
      <c r="EF95" s="143">
        <f t="shared" si="344"/>
        <v>0</v>
      </c>
      <c r="EG95" s="143">
        <f t="shared" si="345"/>
        <v>0</v>
      </c>
      <c r="EH95" s="143">
        <f t="shared" si="346"/>
        <v>0</v>
      </c>
      <c r="EI95" s="143">
        <f t="shared" si="347"/>
        <v>0</v>
      </c>
      <c r="EJ95" s="143">
        <f t="shared" si="348"/>
        <v>0</v>
      </c>
      <c r="EK95" s="143">
        <f t="shared" si="349"/>
        <v>0</v>
      </c>
      <c r="EL95" s="143">
        <f t="shared" si="350"/>
        <v>0</v>
      </c>
      <c r="EM95" s="143">
        <f t="shared" si="351"/>
        <v>0</v>
      </c>
      <c r="EN95" s="143">
        <f t="shared" si="352"/>
        <v>0</v>
      </c>
      <c r="EO95" s="143">
        <f t="shared" si="353"/>
        <v>0</v>
      </c>
      <c r="EP95" s="143">
        <f t="shared" si="354"/>
        <v>0</v>
      </c>
      <c r="EQ95" s="143">
        <f t="shared" si="355"/>
        <v>0</v>
      </c>
      <c r="ER95" s="143">
        <f t="shared" si="356"/>
        <v>0</v>
      </c>
      <c r="ES95" s="143">
        <f t="shared" si="357"/>
        <v>0</v>
      </c>
      <c r="ET95" s="143">
        <f t="shared" si="358"/>
        <v>0</v>
      </c>
      <c r="EU95" s="143">
        <f t="shared" si="359"/>
        <v>0</v>
      </c>
      <c r="EV95" s="143">
        <f t="shared" si="360"/>
        <v>0</v>
      </c>
      <c r="EW95" s="143">
        <f t="shared" si="361"/>
        <v>0</v>
      </c>
      <c r="EX95" s="143">
        <f t="shared" si="362"/>
        <v>0</v>
      </c>
      <c r="EY95" s="143">
        <f t="shared" si="363"/>
        <v>0</v>
      </c>
      <c r="EZ95" s="143">
        <f t="shared" si="364"/>
        <v>0</v>
      </c>
      <c r="FA95" s="143">
        <f t="shared" si="365"/>
        <v>0</v>
      </c>
      <c r="FB95" s="143">
        <f t="shared" si="366"/>
        <v>0</v>
      </c>
      <c r="FC95" s="143">
        <f t="shared" si="367"/>
        <v>0</v>
      </c>
      <c r="FD95" s="143">
        <f t="shared" si="368"/>
        <v>0</v>
      </c>
      <c r="FE95" s="140">
        <f>SUM($D95:D95)*IF($B95="Operacional",IFERROR(VLOOKUP($C95,SN_UGC,28,0),0),1)</f>
        <v>1</v>
      </c>
      <c r="FF95" s="140">
        <f>SUM($D95:E95)*IF($B95="Operacional",IFERROR(VLOOKUP($C95,SN_UGC,28,0),0),1)</f>
        <v>1</v>
      </c>
      <c r="FG95" s="140">
        <f>SUM($D95:F95)*IF($B95="Operacional",IFERROR(VLOOKUP($C95,SN_UGC,28,0),0),1)</f>
        <v>1</v>
      </c>
      <c r="FH95" s="140">
        <f>SUM($D95:G95)*IF($B95="Operacional",IFERROR(VLOOKUP($C95,SN_UGC,28,0),0),1)</f>
        <v>1</v>
      </c>
      <c r="FI95" s="140">
        <f>SUM($D95:H95)*IF($B95="Operacional",IFERROR(VLOOKUP($C95,SN_UGC,28,0),0),1)</f>
        <v>1</v>
      </c>
      <c r="FJ95" s="140">
        <f>SUM($D95:I95)*IF($B95="Operacional",IFERROR(VLOOKUP($C95,SN_UGC,28,0),0),1)</f>
        <v>1</v>
      </c>
      <c r="FK95" s="140">
        <f>SUM($D95:J95)*IF($B95="Operacional",IFERROR(VLOOKUP($C95,SN_UGC,28,0),0),1)</f>
        <v>1</v>
      </c>
      <c r="FL95" s="140">
        <f>SUM($D95:K95)*IF($B95="Operacional",IFERROR(VLOOKUP($C95,SN_UGC,28,0),0),1)</f>
        <v>1</v>
      </c>
      <c r="FM95" s="140">
        <f>SUM($D95:L95)*IF($B95="Operacional",IFERROR(VLOOKUP($C95,SN_UGC,28,0),0),1)</f>
        <v>1</v>
      </c>
      <c r="FN95" s="140">
        <f>SUM($D95:M95)*IF($B95="Operacional",IFERROR(VLOOKUP($C95,SN_UGC,28,0),0),1)</f>
        <v>1</v>
      </c>
      <c r="FO95" s="140">
        <f>SUM($D95:N95)*IF($B95="Operacional",IFERROR(VLOOKUP($C95,SN_UGC,28,0),0),1)</f>
        <v>1</v>
      </c>
      <c r="FP95" s="140">
        <f>SUM($D95:O95)*IF($B95="Operacional",IFERROR(VLOOKUP($C95,SN_UGC,28,0),0),1)</f>
        <v>1</v>
      </c>
      <c r="FQ95" s="140">
        <f>SUM($D95:P95)*IF($B95="Operacional",IFERROR(VLOOKUP($C95,SN_UGC,28,0),0),1)</f>
        <v>1</v>
      </c>
      <c r="FR95" s="140">
        <f>SUM($D95:Q95)*IF($B95="Operacional",IFERROR(VLOOKUP($C95,SN_UGC,28,0),0),1)</f>
        <v>1</v>
      </c>
      <c r="FS95" s="140">
        <f>SUM($D95:R95)*IF($B95="Operacional",IFERROR(VLOOKUP($C95,SN_UGC,28,0),0),1)</f>
        <v>1</v>
      </c>
      <c r="FT95" s="140">
        <f>SUM($D95:S95)*IF($B95="Operacional",IFERROR(VLOOKUP($C95,SN_UGC,28,0),0),1)</f>
        <v>1</v>
      </c>
      <c r="FU95" s="140">
        <f>SUM($D95:T95)*IF($B95="Operacional",IFERROR(VLOOKUP($C95,SN_UGC,28,0),0),1)</f>
        <v>1</v>
      </c>
      <c r="FV95" s="140">
        <f>SUM($D95:U95)*IF($B95="Operacional",IFERROR(VLOOKUP($C95,SN_UGC,28,0),0),1)</f>
        <v>1</v>
      </c>
      <c r="FW95" s="140">
        <f>SUM($D95:V95)*IF($B95="Operacional",IFERROR(VLOOKUP($C95,SN_UGC,28,0),0),1)</f>
        <v>1</v>
      </c>
      <c r="FX95" s="140">
        <f>SUM($D95:W95)*IF($B95="Operacional",IFERROR(VLOOKUP($C95,SN_UGC,28,0),0),1)</f>
        <v>1</v>
      </c>
      <c r="FY95" s="140">
        <f>SUM($D95:X95)*IF($B95="Operacional",IFERROR(VLOOKUP($C95,SN_UGC,28,0),0),1)</f>
        <v>1</v>
      </c>
      <c r="FZ95" s="140">
        <f>SUM($D95:Y95)*IF($B95="Operacional",IFERROR(VLOOKUP($C95,SN_UGC,28,0),0),1)</f>
        <v>1</v>
      </c>
      <c r="GA95" s="140">
        <f>SUM($D95:Z95)*IF($B95="Operacional",IFERROR(VLOOKUP($C95,SN_UGC,28,0),0),1)</f>
        <v>1</v>
      </c>
      <c r="GB95" s="140">
        <f>SUM($D95:AA95)*IF($B95="Operacional",IFERROR(VLOOKUP($C95,SN_UGC,28,0),0),1)</f>
        <v>1</v>
      </c>
      <c r="GC95" s="140">
        <f>SUM($D95:AB95)*IF($B95="Operacional",IFERROR(VLOOKUP($C95,SN_UGC,28,0),0),1)</f>
        <v>1</v>
      </c>
      <c r="GD95" s="140">
        <f>SUM($D95:AC95)*IF($B95="Operacional",IFERROR(VLOOKUP($C95,SN_UGC,28,0),0),1)</f>
        <v>1</v>
      </c>
      <c r="GE95" s="140">
        <f>SUM($D95:AD95)*IF($B95="Operacional",IFERROR(VLOOKUP($C95,SN_UGC,28,0),0),1)</f>
        <v>1</v>
      </c>
      <c r="GF95" s="140">
        <f>SUM($D95:AE95)*IF($B95="Operacional",IFERROR(VLOOKUP($C95,SN_UGC,28,0),0),1)</f>
        <v>1</v>
      </c>
      <c r="GG95" s="140">
        <f>SUM($D95:AF95)*IF($B95="Operacional",IFERROR(VLOOKUP($C95,SN_UGC,28,0),0),1)</f>
        <v>1</v>
      </c>
      <c r="GH95" s="140">
        <f>SUM($D95:AG95)*IF($B95="Operacional",IFERROR(VLOOKUP($C95,SN_UGC,28,0),0),1)</f>
        <v>1</v>
      </c>
      <c r="GI95" s="141">
        <f t="shared" ref="GI95:HL95" si="476">FE95*$AH95*$AL95</f>
        <v>0</v>
      </c>
      <c r="GJ95" s="141">
        <f t="shared" si="476"/>
        <v>0</v>
      </c>
      <c r="GK95" s="141">
        <f t="shared" si="476"/>
        <v>0</v>
      </c>
      <c r="GL95" s="141">
        <f t="shared" si="476"/>
        <v>0</v>
      </c>
      <c r="GM95" s="141">
        <f t="shared" si="476"/>
        <v>0</v>
      </c>
      <c r="GN95" s="141">
        <f t="shared" si="476"/>
        <v>0</v>
      </c>
      <c r="GO95" s="141">
        <f t="shared" si="476"/>
        <v>0</v>
      </c>
      <c r="GP95" s="141">
        <f t="shared" si="476"/>
        <v>0</v>
      </c>
      <c r="GQ95" s="141">
        <f t="shared" si="476"/>
        <v>0</v>
      </c>
      <c r="GR95" s="141">
        <f t="shared" si="476"/>
        <v>0</v>
      </c>
      <c r="GS95" s="141">
        <f t="shared" si="476"/>
        <v>0</v>
      </c>
      <c r="GT95" s="141">
        <f t="shared" si="476"/>
        <v>0</v>
      </c>
      <c r="GU95" s="141">
        <f t="shared" si="476"/>
        <v>0</v>
      </c>
      <c r="GV95" s="141">
        <f t="shared" si="476"/>
        <v>0</v>
      </c>
      <c r="GW95" s="141">
        <f t="shared" si="476"/>
        <v>0</v>
      </c>
      <c r="GX95" s="141">
        <f t="shared" si="476"/>
        <v>0</v>
      </c>
      <c r="GY95" s="141">
        <f t="shared" si="476"/>
        <v>0</v>
      </c>
      <c r="GZ95" s="141">
        <f t="shared" si="476"/>
        <v>0</v>
      </c>
      <c r="HA95" s="141">
        <f t="shared" si="476"/>
        <v>0</v>
      </c>
      <c r="HB95" s="141">
        <f t="shared" si="476"/>
        <v>0</v>
      </c>
      <c r="HC95" s="141">
        <f t="shared" si="476"/>
        <v>0</v>
      </c>
      <c r="HD95" s="141">
        <f t="shared" si="476"/>
        <v>0</v>
      </c>
      <c r="HE95" s="141">
        <f t="shared" si="476"/>
        <v>0</v>
      </c>
      <c r="HF95" s="141">
        <f t="shared" si="476"/>
        <v>0</v>
      </c>
      <c r="HG95" s="141">
        <f t="shared" si="476"/>
        <v>0</v>
      </c>
      <c r="HH95" s="141">
        <f t="shared" si="476"/>
        <v>0</v>
      </c>
      <c r="HI95" s="141">
        <f t="shared" si="476"/>
        <v>0</v>
      </c>
      <c r="HJ95" s="141">
        <f t="shared" si="476"/>
        <v>0</v>
      </c>
      <c r="HK95" s="141">
        <f t="shared" si="476"/>
        <v>0</v>
      </c>
      <c r="HL95" s="141">
        <f t="shared" si="476"/>
        <v>0</v>
      </c>
      <c r="HM95" s="142">
        <f t="shared" ref="HM95:IP95" si="477">IF(ISBLANK($A95),,FE95*($AH95-($AH95*$AJ95))/$AI95)</f>
        <v>330000</v>
      </c>
      <c r="HN95" s="142">
        <f t="shared" si="477"/>
        <v>330000</v>
      </c>
      <c r="HO95" s="142">
        <f t="shared" si="477"/>
        <v>330000</v>
      </c>
      <c r="HP95" s="142">
        <f t="shared" si="477"/>
        <v>330000</v>
      </c>
      <c r="HQ95" s="142">
        <f t="shared" si="477"/>
        <v>330000</v>
      </c>
      <c r="HR95" s="142">
        <f t="shared" si="477"/>
        <v>330000</v>
      </c>
      <c r="HS95" s="142">
        <f t="shared" si="477"/>
        <v>330000</v>
      </c>
      <c r="HT95" s="142">
        <f t="shared" si="477"/>
        <v>330000</v>
      </c>
      <c r="HU95" s="142">
        <f t="shared" si="477"/>
        <v>330000</v>
      </c>
      <c r="HV95" s="142">
        <f t="shared" si="477"/>
        <v>330000</v>
      </c>
      <c r="HW95" s="142">
        <f t="shared" si="477"/>
        <v>330000</v>
      </c>
      <c r="HX95" s="142">
        <f t="shared" si="477"/>
        <v>330000</v>
      </c>
      <c r="HY95" s="142">
        <f t="shared" si="477"/>
        <v>330000</v>
      </c>
      <c r="HZ95" s="142">
        <f t="shared" si="477"/>
        <v>330000</v>
      </c>
      <c r="IA95" s="142">
        <f t="shared" si="477"/>
        <v>330000</v>
      </c>
      <c r="IB95" s="142">
        <f t="shared" si="477"/>
        <v>330000</v>
      </c>
      <c r="IC95" s="142">
        <f t="shared" si="477"/>
        <v>330000</v>
      </c>
      <c r="ID95" s="142">
        <f t="shared" si="477"/>
        <v>330000</v>
      </c>
      <c r="IE95" s="142">
        <f t="shared" si="477"/>
        <v>330000</v>
      </c>
      <c r="IF95" s="142">
        <f t="shared" si="477"/>
        <v>330000</v>
      </c>
      <c r="IG95" s="142">
        <f t="shared" si="477"/>
        <v>330000</v>
      </c>
      <c r="IH95" s="142">
        <f t="shared" si="477"/>
        <v>330000</v>
      </c>
      <c r="II95" s="142">
        <f t="shared" si="477"/>
        <v>330000</v>
      </c>
      <c r="IJ95" s="142">
        <f t="shared" si="477"/>
        <v>330000</v>
      </c>
      <c r="IK95" s="142">
        <f t="shared" si="477"/>
        <v>330000</v>
      </c>
      <c r="IL95" s="142">
        <f t="shared" si="477"/>
        <v>330000</v>
      </c>
      <c r="IM95" s="142">
        <f t="shared" si="477"/>
        <v>330000</v>
      </c>
      <c r="IN95" s="142">
        <f t="shared" si="477"/>
        <v>330000</v>
      </c>
      <c r="IO95" s="142">
        <f t="shared" si="477"/>
        <v>330000</v>
      </c>
      <c r="IP95" s="142">
        <f t="shared" si="477"/>
        <v>330000</v>
      </c>
      <c r="IQ95" s="141">
        <f>IF(ISBLANK($A95),,IF($AN95="Não",0,(SUM($AO95:AO95)*$AH95)-SUM($HM95:HM95)-SUM($CW95:CW95)))</f>
        <v>0</v>
      </c>
      <c r="IR95" s="141">
        <f>IF(ISBLANK($A95),,IF($AN95="Não",0,(SUM($AO95:AP95)*$AH95)-SUM($HM95:HN95)-SUM($CW95:CX95)))</f>
        <v>0</v>
      </c>
      <c r="IS95" s="141">
        <f>IF(ISBLANK($A95),,IF($AN95="Não",0,(SUM($AO95:AQ95)*$AH95)-SUM($HM95:HO95)-SUM($CW95:CY95)))</f>
        <v>0</v>
      </c>
      <c r="IT95" s="141">
        <f>IF(ISBLANK($A95),,IF($AN95="Não",0,(SUM($AO95:AR95)*$AH95)-SUM($HM95:HP95)-SUM($CW95:CZ95)))</f>
        <v>0</v>
      </c>
      <c r="IU95" s="141">
        <f>IF(ISBLANK($A95),,IF($AN95="Não",0,(SUM($AO95:AS95)*$AH95)-SUM($HM95:HQ95)-SUM($CW95:DA95)))</f>
        <v>0</v>
      </c>
      <c r="IV95" s="141">
        <f>IF(ISBLANK($A95),,IF($AN95="Não",0,(SUM($AO95:AT95)*$AH95)-SUM($HM95:HR95)-SUM($CW95:DB95)))</f>
        <v>0</v>
      </c>
      <c r="IW95" s="141">
        <f>IF(ISBLANK($A95),,IF($AN95="Não",0,(SUM($AO95:AU95)*$AH95)-SUM($HM95:HS95)-SUM($CW95:DC95)))</f>
        <v>0</v>
      </c>
      <c r="IX95" s="141">
        <f>IF(ISBLANK($A95),,IF($AN95="Não",0,(SUM($AO95:AV95)*$AH95)-SUM($HM95:HT95)-SUM($CW95:DD95)))</f>
        <v>0</v>
      </c>
      <c r="IY95" s="141">
        <f>IF(ISBLANK($A95),,IF($AN95="Não",0,(SUM($AO95:AW95)*$AH95)-SUM($HM95:HU95)-SUM($CW95:DE95)))</f>
        <v>0</v>
      </c>
      <c r="IZ95" s="141">
        <f>IF(ISBLANK($A95),,IF($AN95="Não",0,(SUM($AO95:AX95)*$AH95)-SUM($HM95:HV95)-SUM($CW95:DF95)))</f>
        <v>0</v>
      </c>
      <c r="JA95" s="141">
        <f>IF(ISBLANK($A95),,IF($AN95="Não",0,(SUM($AO95:AY95)*$AH95)-SUM($HM95:HW95)-SUM($CW95:DG95)))</f>
        <v>0</v>
      </c>
      <c r="JB95" s="141">
        <f>IF(ISBLANK($A95),,IF($AN95="Não",0,(SUM($AO95:AZ95)*$AH95)-SUM($HM95:HX95)-SUM($CW95:DH95)))</f>
        <v>0</v>
      </c>
      <c r="JC95" s="141">
        <f>IF(ISBLANK($A95),,IF($AN95="Não",0,(SUM($AO95:BA95)*$AH95)-SUM($HM95:HY95)-SUM($CW95:DI95)))</f>
        <v>0</v>
      </c>
      <c r="JD95" s="141">
        <f>IF(ISBLANK($A95),,IF($AN95="Não",0,(SUM($AO95:BB95)*$AH95)-SUM($HM95:HZ95)-SUM($CW95:DJ95)))</f>
        <v>0</v>
      </c>
      <c r="JE95" s="141">
        <f>IF(ISBLANK($A95),,IF($AN95="Não",0,(SUM($AO95:BC95)*$AH95)-SUM($HM95:IA95)-SUM($CW95:DK95)))</f>
        <v>0</v>
      </c>
      <c r="JF95" s="141">
        <f>IF(ISBLANK($A95),,IF($AN95="Não",0,(SUM($AO95:BD95)*$AH95)-SUM($HM95:IB95)-SUM($CW95:DL95)))</f>
        <v>0</v>
      </c>
      <c r="JG95" s="141">
        <f>IF(ISBLANK($A95),,IF($AN95="Não",0,(SUM($AO95:BE95)*$AH95)-SUM($HM95:IC95)-SUM($CW95:DM95)))</f>
        <v>0</v>
      </c>
      <c r="JH95" s="141">
        <f>IF(ISBLANK($A95),,IF($AN95="Não",0,(SUM($AO95:BF95)*$AH95)-SUM($HM95:ID95)-SUM($CW95:DN95)))</f>
        <v>0</v>
      </c>
      <c r="JI95" s="141">
        <f>IF(ISBLANK($A95),,IF($AN95="Não",0,(SUM($AO95:BG95)*$AH95)-SUM($HM95:IE95)-SUM($CW95:DO95)))</f>
        <v>0</v>
      </c>
      <c r="JJ95" s="141">
        <f>IF(ISBLANK($A95),,IF($AN95="Não",0,(SUM($AO95:BH95)*$AH95)-SUM($HM95:IF95)-SUM($CW95:DP95)))</f>
        <v>0</v>
      </c>
      <c r="JK95" s="141">
        <f>IF(ISBLANK($A95),,IF($AN95="Não",0,(SUM($AO95:BI95)*$AH95)-SUM($HM95:IG95)-SUM($CW95:DQ95)))</f>
        <v>0</v>
      </c>
      <c r="JL95" s="141">
        <f>IF(ISBLANK($A95),,IF($AN95="Não",0,(SUM($AO95:BJ95)*$AH95)-SUM($HM95:IH95)-SUM($CW95:DR95)))</f>
        <v>0</v>
      </c>
      <c r="JM95" s="141">
        <f>IF(ISBLANK($A95),,IF($AN95="Não",0,(SUM($AO95:BK95)*$AH95)-SUM($HM95:II95)-SUM($CW95:DS95)))</f>
        <v>0</v>
      </c>
      <c r="JN95" s="141">
        <f>IF(ISBLANK($A95),,IF($AN95="Não",0,(SUM($AO95:BL95)*$AH95)-SUM($HM95:IJ95)-SUM($CW95:DT95)))</f>
        <v>0</v>
      </c>
      <c r="JO95" s="141">
        <f>IF(ISBLANK($A95),,IF($AN95="Não",0,(SUM($AO95:BM95)*$AH95)-SUM($HM95:IK95)-SUM($CW95:DU95)))</f>
        <v>0</v>
      </c>
      <c r="JP95" s="141">
        <f>IF(ISBLANK($A95),,IF($AN95="Não",0,(SUM($AO95:BN95)*$AH95)-SUM($HM95:IL95)-SUM($CW95:DV95)))</f>
        <v>0</v>
      </c>
      <c r="JQ95" s="141">
        <f>IF(ISBLANK($A95),,IF($AN95="Não",0,(SUM($AO95:BO95)*$AH95)-SUM($HM95:IM95)-SUM($CW95:DW95)))</f>
        <v>0</v>
      </c>
      <c r="JR95" s="141">
        <f>IF(ISBLANK($A95),,IF($AN95="Não",0,(SUM($AO95:BP95)*$AH95)-SUM($HM95:IN95)-SUM($CW95:DX95)))</f>
        <v>0</v>
      </c>
      <c r="JS95" s="141">
        <f>IF(ISBLANK($A95),,IF($AN95="Não",0,(SUM($AO95:BQ95)*$AH95)-SUM($HM95:IO95)-SUM($CW95:DY95)))</f>
        <v>0</v>
      </c>
      <c r="JT95" s="141">
        <f>IF(ISBLANK($A95),,IF($AN95="Não",0,(SUM($AO95:BR95)*$AH95)-SUM($HM95:IP95)-SUM($CW95:DZ95)))</f>
        <v>0</v>
      </c>
    </row>
    <row r="96" spans="1:280" ht="15.75" customHeight="1">
      <c r="A96" s="129" t="s">
        <v>436</v>
      </c>
      <c r="B96" s="129" t="s">
        <v>191</v>
      </c>
      <c r="C96" s="138" t="s">
        <v>200</v>
      </c>
      <c r="D96" s="139">
        <v>9</v>
      </c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  <c r="AA96" s="139"/>
      <c r="AB96" s="139"/>
      <c r="AC96" s="139"/>
      <c r="AD96" s="139"/>
      <c r="AE96" s="139"/>
      <c r="AF96" s="139"/>
      <c r="AG96" s="139"/>
      <c r="AH96" s="607">
        <f t="shared" si="399"/>
        <v>16500</v>
      </c>
      <c r="AI96" s="608">
        <f t="shared" si="400"/>
        <v>30</v>
      </c>
      <c r="AJ96" s="609">
        <f t="shared" si="401"/>
        <v>1</v>
      </c>
      <c r="AK96" s="610" t="str">
        <f t="shared" si="402"/>
        <v>Infraestrutura</v>
      </c>
      <c r="AL96" s="609">
        <f t="shared" si="403"/>
        <v>0.05</v>
      </c>
      <c r="AM96" s="611" t="str">
        <f t="shared" si="404"/>
        <v>Sim</v>
      </c>
      <c r="AN96" s="611" t="str">
        <f t="shared" si="405"/>
        <v>Não</v>
      </c>
      <c r="AO96" s="140">
        <f t="array" ref="AO96">IF(ISBLANK($A96),0,IF(OR(AO$5-$AI96&lt;=0,$AM96="Não"),D96,D96+INDEX($AO$6:$BR$176,ROW()-5,COLUMN()-40-$AI96)))*IF($B96="Operacional",IFERROR(VLOOKUP($C96,SN_UGC,28,0),0),1)</f>
        <v>9</v>
      </c>
      <c r="AP96" s="140">
        <f t="array" ref="AP96">IF(ISBLANK($A96),0,IF(OR(AP$5-$AI96&lt;=0,$AM96="Não"),E96,E96+INDEX($AO$6:$BR$176,ROW()-5,COLUMN()-40-$AI96)))*IF($B96="Operacional",IFERROR(VLOOKUP($C96,SN_UGC,28,0),0),1)</f>
        <v>0</v>
      </c>
      <c r="AQ96" s="140">
        <f t="array" ref="AQ96">IF(ISBLANK($A96),0,IF(OR(AQ$5-$AI96&lt;=0,$AM96="Não"),F96,F96+INDEX($AO$6:$BR$176,ROW()-5,COLUMN()-40-$AI96)))*IF($B96="Operacional",IFERROR(VLOOKUP($C96,SN_UGC,28,0),0),1)</f>
        <v>0</v>
      </c>
      <c r="AR96" s="140">
        <f t="array" ref="AR96">IF(ISBLANK($A96),0,IF(OR(AR$5-$AI96&lt;=0,$AM96="Não"),G96,G96+INDEX($AO$6:$BR$176,ROW()-5,COLUMN()-40-$AI96)))*IF($B96="Operacional",IFERROR(VLOOKUP($C96,SN_UGC,28,0),0),1)</f>
        <v>0</v>
      </c>
      <c r="AS96" s="140">
        <f t="array" ref="AS96">IF(ISBLANK($A96),0,IF(OR(AS$5-$AI96&lt;=0,$AM96="Não"),H96,H96+INDEX($AO$6:$BR$176,ROW()-5,COLUMN()-40-$AI96)))*IF($B96="Operacional",IFERROR(VLOOKUP($C96,SN_UGC,28,0),0),1)</f>
        <v>0</v>
      </c>
      <c r="AT96" s="140">
        <f t="array" ref="AT96">IF(ISBLANK($A96),0,IF(OR(AT$5-$AI96&lt;=0,$AM96="Não"),I96,I96+INDEX($AO$6:$BR$176,ROW()-5,COLUMN()-40-$AI96)))*IF($B96="Operacional",IFERROR(VLOOKUP($C96,SN_UGC,28,0),0),1)</f>
        <v>0</v>
      </c>
      <c r="AU96" s="140">
        <f t="array" ref="AU96">IF(ISBLANK($A96),0,IF(OR(AU$5-$AI96&lt;=0,$AM96="Não"),J96,J96+INDEX($AO$6:$BR$176,ROW()-5,COLUMN()-40-$AI96)))*IF($B96="Operacional",IFERROR(VLOOKUP($C96,SN_UGC,28,0),0),1)</f>
        <v>0</v>
      </c>
      <c r="AV96" s="140">
        <f t="array" ref="AV96">IF(ISBLANK($A96),0,IF(OR(AV$5-$AI96&lt;=0,$AM96="Não"),K96,K96+INDEX($AO$6:$BR$176,ROW()-5,COLUMN()-40-$AI96)))*IF($B96="Operacional",IFERROR(VLOOKUP($C96,SN_UGC,28,0),0),1)</f>
        <v>0</v>
      </c>
      <c r="AW96" s="140">
        <f t="array" ref="AW96">IF(ISBLANK($A96),0,IF(OR(AW$5-$AI96&lt;=0,$AM96="Não"),L96,L96+INDEX($AO$6:$BR$176,ROW()-5,COLUMN()-40-$AI96)))*IF($B96="Operacional",IFERROR(VLOOKUP($C96,SN_UGC,28,0),0),1)</f>
        <v>0</v>
      </c>
      <c r="AX96" s="140">
        <f t="array" ref="AX96">IF(ISBLANK($A96),0,IF(OR(AX$5-$AI96&lt;=0,$AM96="Não"),M96,M96+INDEX($AO$6:$BR$176,ROW()-5,COLUMN()-40-$AI96)))*IF($B96="Operacional",IFERROR(VLOOKUP($C96,SN_UGC,28,0),0),1)</f>
        <v>0</v>
      </c>
      <c r="AY96" s="140">
        <f t="array" ref="AY96">IF(ISBLANK($A96),0,IF(OR(AY$5-$AI96&lt;=0,$AM96="Não"),N96,N96+INDEX($AO$6:$BR$176,ROW()-5,COLUMN()-40-$AI96)))*IF($B96="Operacional",IFERROR(VLOOKUP($C96,SN_UGC,28,0),0),1)</f>
        <v>0</v>
      </c>
      <c r="AZ96" s="140">
        <f t="array" ref="AZ96">IF(ISBLANK($A96),0,IF(OR(AZ$5-$AI96&lt;=0,$AM96="Não"),O96,O96+INDEX($AO$6:$BR$176,ROW()-5,COLUMN()-40-$AI96)))*IF($B96="Operacional",IFERROR(VLOOKUP($C96,SN_UGC,28,0),0),1)</f>
        <v>0</v>
      </c>
      <c r="BA96" s="140">
        <f t="array" ref="BA96">IF(ISBLANK($A96),0,IF(OR(BA$5-$AI96&lt;=0,$AM96="Não"),P96,P96+INDEX($AO$6:$BR$176,ROW()-5,COLUMN()-40-$AI96)))*IF($B96="Operacional",IFERROR(VLOOKUP($C96,SN_UGC,28,0),0),1)</f>
        <v>0</v>
      </c>
      <c r="BB96" s="140">
        <f t="array" ref="BB96">IF(ISBLANK($A96),0,IF(OR(BB$5-$AI96&lt;=0,$AM96="Não"),Q96,Q96+INDEX($AO$6:$BR$176,ROW()-5,COLUMN()-40-$AI96)))*IF($B96="Operacional",IFERROR(VLOOKUP($C96,SN_UGC,28,0),0),1)</f>
        <v>0</v>
      </c>
      <c r="BC96" s="140">
        <f t="array" ref="BC96">IF(ISBLANK($A96),0,IF(OR(BC$5-$AI96&lt;=0,$AM96="Não"),R96,R96+INDEX($AO$6:$BR$176,ROW()-5,COLUMN()-40-$AI96)))*IF($B96="Operacional",IFERROR(VLOOKUP($C96,SN_UGC,28,0),0),1)</f>
        <v>0</v>
      </c>
      <c r="BD96" s="140">
        <f t="array" ref="BD96">IF(ISBLANK($A96),0,IF(OR(BD$5-$AI96&lt;=0,$AM96="Não"),S96,S96+INDEX($AO$6:$BR$176,ROW()-5,COLUMN()-40-$AI96)))*IF($B96="Operacional",IFERROR(VLOOKUP($C96,SN_UGC,28,0),0),1)</f>
        <v>0</v>
      </c>
      <c r="BE96" s="140">
        <f t="array" ref="BE96">IF(ISBLANK($A96),0,IF(OR(BE$5-$AI96&lt;=0,$AM96="Não"),T96,T96+INDEX($AO$6:$BR$176,ROW()-5,COLUMN()-40-$AI96)))*IF($B96="Operacional",IFERROR(VLOOKUP($C96,SN_UGC,28,0),0),1)</f>
        <v>0</v>
      </c>
      <c r="BF96" s="140">
        <f t="array" ref="BF96">IF(ISBLANK($A96),0,IF(OR(BF$5-$AI96&lt;=0,$AM96="Não"),U96,U96+INDEX($AO$6:$BR$176,ROW()-5,COLUMN()-40-$AI96)))*IF($B96="Operacional",IFERROR(VLOOKUP($C96,SN_UGC,28,0),0),1)</f>
        <v>0</v>
      </c>
      <c r="BG96" s="140">
        <f t="array" ref="BG96">IF(ISBLANK($A96),0,IF(OR(BG$5-$AI96&lt;=0,$AM96="Não"),V96,V96+INDEX($AO$6:$BR$176,ROW()-5,COLUMN()-40-$AI96)))*IF($B96="Operacional",IFERROR(VLOOKUP($C96,SN_UGC,28,0),0),1)</f>
        <v>0</v>
      </c>
      <c r="BH96" s="140">
        <f t="array" ref="BH96">IF(ISBLANK($A96),0,IF(OR(BH$5-$AI96&lt;=0,$AM96="Não"),W96,W96+INDEX($AO$6:$BR$176,ROW()-5,COLUMN()-40-$AI96)))*IF($B96="Operacional",IFERROR(VLOOKUP($C96,SN_UGC,28,0),0),1)</f>
        <v>0</v>
      </c>
      <c r="BI96" s="140">
        <f t="array" ref="BI96">IF(ISBLANK($A96),0,IF(OR(BI$5-$AI96&lt;=0,$AM96="Não"),X96,X96+INDEX($AO$6:$BR$176,ROW()-5,COLUMN()-40-$AI96)))*IF($B96="Operacional",IFERROR(VLOOKUP($C96,SN_UGC,28,0),0),1)</f>
        <v>0</v>
      </c>
      <c r="BJ96" s="140">
        <f t="array" ref="BJ96">IF(ISBLANK($A96),0,IF(OR(BJ$5-$AI96&lt;=0,$AM96="Não"),Y96,Y96+INDEX($AO$6:$BR$176,ROW()-5,COLUMN()-40-$AI96)))*IF($B96="Operacional",IFERROR(VLOOKUP($C96,SN_UGC,28,0),0),1)</f>
        <v>0</v>
      </c>
      <c r="BK96" s="140">
        <f t="array" ref="BK96">IF(ISBLANK($A96),0,IF(OR(BK$5-$AI96&lt;=0,$AM96="Não"),Z96,Z96+INDEX($AO$6:$BR$176,ROW()-5,COLUMN()-40-$AI96)))*IF($B96="Operacional",IFERROR(VLOOKUP($C96,SN_UGC,28,0),0),1)</f>
        <v>0</v>
      </c>
      <c r="BL96" s="140">
        <f t="array" ref="BL96">IF(ISBLANK($A96),0,IF(OR(BL$5-$AI96&lt;=0,$AM96="Não"),AA96,AA96+INDEX($AO$6:$BR$176,ROW()-5,COLUMN()-40-$AI96)))*IF($B96="Operacional",IFERROR(VLOOKUP($C96,SN_UGC,28,0),0),1)</f>
        <v>0</v>
      </c>
      <c r="BM96" s="140">
        <f t="array" ref="BM96">IF(ISBLANK($A96),0,IF(OR(BM$5-$AI96&lt;=0,$AM96="Não"),AB96,AB96+INDEX($AO$6:$BR$176,ROW()-5,COLUMN()-40-$AI96)))*IF($B96="Operacional",IFERROR(VLOOKUP($C96,SN_UGC,28,0),0),1)</f>
        <v>0</v>
      </c>
      <c r="BN96" s="140">
        <f t="array" ref="BN96">IF(ISBLANK($A96),0,IF(OR(BN$5-$AI96&lt;=0,$AM96="Não"),AC96,AC96+INDEX($AO$6:$BR$176,ROW()-5,COLUMN()-40-$AI96)))*IF($B96="Operacional",IFERROR(VLOOKUP($C96,SN_UGC,28,0),0),1)</f>
        <v>0</v>
      </c>
      <c r="BO96" s="140">
        <f t="array" ref="BO96">IF(ISBLANK($A96),0,IF(OR(BO$5-$AI96&lt;=0,$AM96="Não"),AD96,AD96+INDEX($AO$6:$BR$176,ROW()-5,COLUMN()-40-$AI96)))*IF($B96="Operacional",IFERROR(VLOOKUP($C96,SN_UGC,28,0),0),1)</f>
        <v>0</v>
      </c>
      <c r="BP96" s="140">
        <f t="array" ref="BP96">IF(ISBLANK($A96),0,IF(OR(BP$5-$AI96&lt;=0,$AM96="Não"),AE96,AE96+INDEX($AO$6:$BR$176,ROW()-5,COLUMN()-40-$AI96)))*IF($B96="Operacional",IFERROR(VLOOKUP($C96,SN_UGC,28,0),0),1)</f>
        <v>0</v>
      </c>
      <c r="BQ96" s="140">
        <f t="array" ref="BQ96">IF(ISBLANK($A96),0,IF(OR(BQ$5-$AI96&lt;=0,$AM96="Não"),AF96,AF96+INDEX($AO$6:$BR$176,ROW()-5,COLUMN()-40-$AI96)))*IF($B96="Operacional",IFERROR(VLOOKUP($C96,SN_UGC,28,0),0),1)</f>
        <v>0</v>
      </c>
      <c r="BR96" s="140">
        <f t="array" ref="BR96">IF(ISBLANK($A96),0,IF(OR(BR$5-$AI96&lt;=0,$AM96="Não"),AG96,AG96+INDEX($AO$6:$BR$176,ROW()-5,COLUMN()-40-$AI96)))*IF($B96="Operacional",IFERROR(VLOOKUP($C96,SN_UGC,28,0),0),1)</f>
        <v>0</v>
      </c>
      <c r="BS96" s="141">
        <f t="shared" ref="BS96:CV96" si="478">IF(ISBLANK($A96),0,$AH96*AO96)</f>
        <v>148500</v>
      </c>
      <c r="BT96" s="141">
        <f t="shared" si="478"/>
        <v>0</v>
      </c>
      <c r="BU96" s="141">
        <f t="shared" si="478"/>
        <v>0</v>
      </c>
      <c r="BV96" s="141">
        <f t="shared" si="478"/>
        <v>0</v>
      </c>
      <c r="BW96" s="141">
        <f t="shared" si="478"/>
        <v>0</v>
      </c>
      <c r="BX96" s="141">
        <f t="shared" si="478"/>
        <v>0</v>
      </c>
      <c r="BY96" s="141">
        <f t="shared" si="478"/>
        <v>0</v>
      </c>
      <c r="BZ96" s="141">
        <f t="shared" si="478"/>
        <v>0</v>
      </c>
      <c r="CA96" s="141">
        <f t="shared" si="478"/>
        <v>0</v>
      </c>
      <c r="CB96" s="141">
        <f t="shared" si="478"/>
        <v>0</v>
      </c>
      <c r="CC96" s="141">
        <f t="shared" si="478"/>
        <v>0</v>
      </c>
      <c r="CD96" s="141">
        <f t="shared" si="478"/>
        <v>0</v>
      </c>
      <c r="CE96" s="141">
        <f t="shared" si="478"/>
        <v>0</v>
      </c>
      <c r="CF96" s="141">
        <f t="shared" si="478"/>
        <v>0</v>
      </c>
      <c r="CG96" s="141">
        <f t="shared" si="478"/>
        <v>0</v>
      </c>
      <c r="CH96" s="141">
        <f t="shared" si="478"/>
        <v>0</v>
      </c>
      <c r="CI96" s="141">
        <f t="shared" si="478"/>
        <v>0</v>
      </c>
      <c r="CJ96" s="141">
        <f t="shared" si="478"/>
        <v>0</v>
      </c>
      <c r="CK96" s="141">
        <f t="shared" si="478"/>
        <v>0</v>
      </c>
      <c r="CL96" s="141">
        <f t="shared" si="478"/>
        <v>0</v>
      </c>
      <c r="CM96" s="141">
        <f t="shared" si="478"/>
        <v>0</v>
      </c>
      <c r="CN96" s="141">
        <f t="shared" si="478"/>
        <v>0</v>
      </c>
      <c r="CO96" s="141">
        <f t="shared" si="478"/>
        <v>0</v>
      </c>
      <c r="CP96" s="141">
        <f t="shared" si="478"/>
        <v>0</v>
      </c>
      <c r="CQ96" s="141">
        <f t="shared" si="478"/>
        <v>0</v>
      </c>
      <c r="CR96" s="141">
        <f t="shared" si="478"/>
        <v>0</v>
      </c>
      <c r="CS96" s="141">
        <f t="shared" si="478"/>
        <v>0</v>
      </c>
      <c r="CT96" s="141">
        <f t="shared" si="478"/>
        <v>0</v>
      </c>
      <c r="CU96" s="141">
        <f t="shared" si="478"/>
        <v>0</v>
      </c>
      <c r="CV96" s="141">
        <f t="shared" si="478"/>
        <v>0</v>
      </c>
      <c r="CW96" s="142">
        <f t="shared" ref="CW96:DZ96" si="479">EA96*$AH96*$AJ96</f>
        <v>0</v>
      </c>
      <c r="CX96" s="142">
        <f t="shared" si="479"/>
        <v>0</v>
      </c>
      <c r="CY96" s="142">
        <f t="shared" si="479"/>
        <v>0</v>
      </c>
      <c r="CZ96" s="142">
        <f t="shared" si="479"/>
        <v>0</v>
      </c>
      <c r="DA96" s="142">
        <f t="shared" si="479"/>
        <v>0</v>
      </c>
      <c r="DB96" s="142">
        <f t="shared" si="479"/>
        <v>0</v>
      </c>
      <c r="DC96" s="142">
        <f t="shared" si="479"/>
        <v>0</v>
      </c>
      <c r="DD96" s="142">
        <f t="shared" si="479"/>
        <v>0</v>
      </c>
      <c r="DE96" s="142">
        <f t="shared" si="479"/>
        <v>0</v>
      </c>
      <c r="DF96" s="142">
        <f t="shared" si="479"/>
        <v>0</v>
      </c>
      <c r="DG96" s="142">
        <f t="shared" si="479"/>
        <v>0</v>
      </c>
      <c r="DH96" s="142">
        <f t="shared" si="479"/>
        <v>0</v>
      </c>
      <c r="DI96" s="142">
        <f t="shared" si="479"/>
        <v>0</v>
      </c>
      <c r="DJ96" s="142">
        <f t="shared" si="479"/>
        <v>0</v>
      </c>
      <c r="DK96" s="142">
        <f t="shared" si="479"/>
        <v>0</v>
      </c>
      <c r="DL96" s="142">
        <f t="shared" si="479"/>
        <v>0</v>
      </c>
      <c r="DM96" s="142">
        <f t="shared" si="479"/>
        <v>0</v>
      </c>
      <c r="DN96" s="142">
        <f t="shared" si="479"/>
        <v>0</v>
      </c>
      <c r="DO96" s="142">
        <f t="shared" si="479"/>
        <v>0</v>
      </c>
      <c r="DP96" s="142">
        <f t="shared" si="479"/>
        <v>0</v>
      </c>
      <c r="DQ96" s="142">
        <f t="shared" si="479"/>
        <v>0</v>
      </c>
      <c r="DR96" s="142">
        <f t="shared" si="479"/>
        <v>0</v>
      </c>
      <c r="DS96" s="142">
        <f t="shared" si="479"/>
        <v>0</v>
      </c>
      <c r="DT96" s="142">
        <f t="shared" si="479"/>
        <v>0</v>
      </c>
      <c r="DU96" s="142">
        <f t="shared" si="479"/>
        <v>0</v>
      </c>
      <c r="DV96" s="142">
        <f t="shared" si="479"/>
        <v>0</v>
      </c>
      <c r="DW96" s="142">
        <f t="shared" si="479"/>
        <v>0</v>
      </c>
      <c r="DX96" s="142">
        <f t="shared" si="479"/>
        <v>0</v>
      </c>
      <c r="DY96" s="142">
        <f t="shared" si="479"/>
        <v>0</v>
      </c>
      <c r="DZ96" s="142">
        <f t="shared" si="479"/>
        <v>0</v>
      </c>
      <c r="EA96" s="143">
        <f t="shared" si="339"/>
        <v>0</v>
      </c>
      <c r="EB96" s="143">
        <f t="shared" si="340"/>
        <v>0</v>
      </c>
      <c r="EC96" s="143">
        <f t="shared" si="341"/>
        <v>0</v>
      </c>
      <c r="ED96" s="143">
        <f t="shared" si="342"/>
        <v>0</v>
      </c>
      <c r="EE96" s="143">
        <f t="shared" si="343"/>
        <v>0</v>
      </c>
      <c r="EF96" s="143">
        <f t="shared" si="344"/>
        <v>0</v>
      </c>
      <c r="EG96" s="143">
        <f t="shared" si="345"/>
        <v>0</v>
      </c>
      <c r="EH96" s="143">
        <f t="shared" si="346"/>
        <v>0</v>
      </c>
      <c r="EI96" s="143">
        <f t="shared" si="347"/>
        <v>0</v>
      </c>
      <c r="EJ96" s="143">
        <f t="shared" si="348"/>
        <v>0</v>
      </c>
      <c r="EK96" s="143">
        <f t="shared" si="349"/>
        <v>0</v>
      </c>
      <c r="EL96" s="143">
        <f t="shared" si="350"/>
        <v>0</v>
      </c>
      <c r="EM96" s="143">
        <f t="shared" si="351"/>
        <v>0</v>
      </c>
      <c r="EN96" s="143">
        <f t="shared" si="352"/>
        <v>0</v>
      </c>
      <c r="EO96" s="143">
        <f t="shared" si="353"/>
        <v>0</v>
      </c>
      <c r="EP96" s="143">
        <f t="shared" si="354"/>
        <v>0</v>
      </c>
      <c r="EQ96" s="143">
        <f t="shared" si="355"/>
        <v>0</v>
      </c>
      <c r="ER96" s="143">
        <f t="shared" si="356"/>
        <v>0</v>
      </c>
      <c r="ES96" s="143">
        <f t="shared" si="357"/>
        <v>0</v>
      </c>
      <c r="ET96" s="143">
        <f t="shared" si="358"/>
        <v>0</v>
      </c>
      <c r="EU96" s="143">
        <f t="shared" si="359"/>
        <v>0</v>
      </c>
      <c r="EV96" s="143">
        <f t="shared" si="360"/>
        <v>0</v>
      </c>
      <c r="EW96" s="143">
        <f t="shared" si="361"/>
        <v>0</v>
      </c>
      <c r="EX96" s="143">
        <f t="shared" si="362"/>
        <v>0</v>
      </c>
      <c r="EY96" s="143">
        <f t="shared" si="363"/>
        <v>0</v>
      </c>
      <c r="EZ96" s="143">
        <f t="shared" si="364"/>
        <v>0</v>
      </c>
      <c r="FA96" s="143">
        <f t="shared" si="365"/>
        <v>0</v>
      </c>
      <c r="FB96" s="143">
        <f t="shared" si="366"/>
        <v>0</v>
      </c>
      <c r="FC96" s="143">
        <f t="shared" si="367"/>
        <v>0</v>
      </c>
      <c r="FD96" s="143">
        <f t="shared" si="368"/>
        <v>0</v>
      </c>
      <c r="FE96" s="140">
        <f>SUM($D96:D96)*IF($B96="Operacional",IFERROR(VLOOKUP($C96,SN_UGC,28,0),0),1)</f>
        <v>9</v>
      </c>
      <c r="FF96" s="140">
        <f>SUM($D96:E96)*IF($B96="Operacional",IFERROR(VLOOKUP($C96,SN_UGC,28,0),0),1)</f>
        <v>9</v>
      </c>
      <c r="FG96" s="140">
        <f>SUM($D96:F96)*IF($B96="Operacional",IFERROR(VLOOKUP($C96,SN_UGC,28,0),0),1)</f>
        <v>9</v>
      </c>
      <c r="FH96" s="140">
        <f>SUM($D96:G96)*IF($B96="Operacional",IFERROR(VLOOKUP($C96,SN_UGC,28,0),0),1)</f>
        <v>9</v>
      </c>
      <c r="FI96" s="140">
        <f>SUM($D96:H96)*IF($B96="Operacional",IFERROR(VLOOKUP($C96,SN_UGC,28,0),0),1)</f>
        <v>9</v>
      </c>
      <c r="FJ96" s="140">
        <f>SUM($D96:I96)*IF($B96="Operacional",IFERROR(VLOOKUP($C96,SN_UGC,28,0),0),1)</f>
        <v>9</v>
      </c>
      <c r="FK96" s="140">
        <f>SUM($D96:J96)*IF($B96="Operacional",IFERROR(VLOOKUP($C96,SN_UGC,28,0),0),1)</f>
        <v>9</v>
      </c>
      <c r="FL96" s="140">
        <f>SUM($D96:K96)*IF($B96="Operacional",IFERROR(VLOOKUP($C96,SN_UGC,28,0),0),1)</f>
        <v>9</v>
      </c>
      <c r="FM96" s="140">
        <f>SUM($D96:L96)*IF($B96="Operacional",IFERROR(VLOOKUP($C96,SN_UGC,28,0),0),1)</f>
        <v>9</v>
      </c>
      <c r="FN96" s="140">
        <f>SUM($D96:M96)*IF($B96="Operacional",IFERROR(VLOOKUP($C96,SN_UGC,28,0),0),1)</f>
        <v>9</v>
      </c>
      <c r="FO96" s="140">
        <f>SUM($D96:N96)*IF($B96="Operacional",IFERROR(VLOOKUP($C96,SN_UGC,28,0),0),1)</f>
        <v>9</v>
      </c>
      <c r="FP96" s="140">
        <f>SUM($D96:O96)*IF($B96="Operacional",IFERROR(VLOOKUP($C96,SN_UGC,28,0),0),1)</f>
        <v>9</v>
      </c>
      <c r="FQ96" s="140">
        <f>SUM($D96:P96)*IF($B96="Operacional",IFERROR(VLOOKUP($C96,SN_UGC,28,0),0),1)</f>
        <v>9</v>
      </c>
      <c r="FR96" s="140">
        <f>SUM($D96:Q96)*IF($B96="Operacional",IFERROR(VLOOKUP($C96,SN_UGC,28,0),0),1)</f>
        <v>9</v>
      </c>
      <c r="FS96" s="140">
        <f>SUM($D96:R96)*IF($B96="Operacional",IFERROR(VLOOKUP($C96,SN_UGC,28,0),0),1)</f>
        <v>9</v>
      </c>
      <c r="FT96" s="140">
        <f>SUM($D96:S96)*IF($B96="Operacional",IFERROR(VLOOKUP($C96,SN_UGC,28,0),0),1)</f>
        <v>9</v>
      </c>
      <c r="FU96" s="140">
        <f>SUM($D96:T96)*IF($B96="Operacional",IFERROR(VLOOKUP($C96,SN_UGC,28,0),0),1)</f>
        <v>9</v>
      </c>
      <c r="FV96" s="140">
        <f>SUM($D96:U96)*IF($B96="Operacional",IFERROR(VLOOKUP($C96,SN_UGC,28,0),0),1)</f>
        <v>9</v>
      </c>
      <c r="FW96" s="140">
        <f>SUM($D96:V96)*IF($B96="Operacional",IFERROR(VLOOKUP($C96,SN_UGC,28,0),0),1)</f>
        <v>9</v>
      </c>
      <c r="FX96" s="140">
        <f>SUM($D96:W96)*IF($B96="Operacional",IFERROR(VLOOKUP($C96,SN_UGC,28,0),0),1)</f>
        <v>9</v>
      </c>
      <c r="FY96" s="140">
        <f>SUM($D96:X96)*IF($B96="Operacional",IFERROR(VLOOKUP($C96,SN_UGC,28,0),0),1)</f>
        <v>9</v>
      </c>
      <c r="FZ96" s="140">
        <f>SUM($D96:Y96)*IF($B96="Operacional",IFERROR(VLOOKUP($C96,SN_UGC,28,0),0),1)</f>
        <v>9</v>
      </c>
      <c r="GA96" s="140">
        <f>SUM($D96:Z96)*IF($B96="Operacional",IFERROR(VLOOKUP($C96,SN_UGC,28,0),0),1)</f>
        <v>9</v>
      </c>
      <c r="GB96" s="140">
        <f>SUM($D96:AA96)*IF($B96="Operacional",IFERROR(VLOOKUP($C96,SN_UGC,28,0),0),1)</f>
        <v>9</v>
      </c>
      <c r="GC96" s="140">
        <f>SUM($D96:AB96)*IF($B96="Operacional",IFERROR(VLOOKUP($C96,SN_UGC,28,0),0),1)</f>
        <v>9</v>
      </c>
      <c r="GD96" s="140">
        <f>SUM($D96:AC96)*IF($B96="Operacional",IFERROR(VLOOKUP($C96,SN_UGC,28,0),0),1)</f>
        <v>9</v>
      </c>
      <c r="GE96" s="140">
        <f>SUM($D96:AD96)*IF($B96="Operacional",IFERROR(VLOOKUP($C96,SN_UGC,28,0),0),1)</f>
        <v>9</v>
      </c>
      <c r="GF96" s="140">
        <f>SUM($D96:AE96)*IF($B96="Operacional",IFERROR(VLOOKUP($C96,SN_UGC,28,0),0),1)</f>
        <v>9</v>
      </c>
      <c r="GG96" s="140">
        <f>SUM($D96:AF96)*IF($B96="Operacional",IFERROR(VLOOKUP($C96,SN_UGC,28,0),0),1)</f>
        <v>9</v>
      </c>
      <c r="GH96" s="140">
        <f>SUM($D96:AG96)*IF($B96="Operacional",IFERROR(VLOOKUP($C96,SN_UGC,28,0),0),1)</f>
        <v>9</v>
      </c>
      <c r="GI96" s="141">
        <f t="shared" ref="GI96:HL96" si="480">FE96*$AH96*$AL96</f>
        <v>7425</v>
      </c>
      <c r="GJ96" s="141">
        <f t="shared" si="480"/>
        <v>7425</v>
      </c>
      <c r="GK96" s="141">
        <f t="shared" si="480"/>
        <v>7425</v>
      </c>
      <c r="GL96" s="141">
        <f t="shared" si="480"/>
        <v>7425</v>
      </c>
      <c r="GM96" s="141">
        <f t="shared" si="480"/>
        <v>7425</v>
      </c>
      <c r="GN96" s="141">
        <f t="shared" si="480"/>
        <v>7425</v>
      </c>
      <c r="GO96" s="141">
        <f t="shared" si="480"/>
        <v>7425</v>
      </c>
      <c r="GP96" s="141">
        <f t="shared" si="480"/>
        <v>7425</v>
      </c>
      <c r="GQ96" s="141">
        <f t="shared" si="480"/>
        <v>7425</v>
      </c>
      <c r="GR96" s="141">
        <f t="shared" si="480"/>
        <v>7425</v>
      </c>
      <c r="GS96" s="141">
        <f t="shared" si="480"/>
        <v>7425</v>
      </c>
      <c r="GT96" s="141">
        <f t="shared" si="480"/>
        <v>7425</v>
      </c>
      <c r="GU96" s="141">
        <f t="shared" si="480"/>
        <v>7425</v>
      </c>
      <c r="GV96" s="141">
        <f t="shared" si="480"/>
        <v>7425</v>
      </c>
      <c r="GW96" s="141">
        <f t="shared" si="480"/>
        <v>7425</v>
      </c>
      <c r="GX96" s="141">
        <f t="shared" si="480"/>
        <v>7425</v>
      </c>
      <c r="GY96" s="141">
        <f t="shared" si="480"/>
        <v>7425</v>
      </c>
      <c r="GZ96" s="141">
        <f t="shared" si="480"/>
        <v>7425</v>
      </c>
      <c r="HA96" s="141">
        <f t="shared" si="480"/>
        <v>7425</v>
      </c>
      <c r="HB96" s="141">
        <f t="shared" si="480"/>
        <v>7425</v>
      </c>
      <c r="HC96" s="141">
        <f t="shared" si="480"/>
        <v>7425</v>
      </c>
      <c r="HD96" s="141">
        <f t="shared" si="480"/>
        <v>7425</v>
      </c>
      <c r="HE96" s="141">
        <f t="shared" si="480"/>
        <v>7425</v>
      </c>
      <c r="HF96" s="141">
        <f t="shared" si="480"/>
        <v>7425</v>
      </c>
      <c r="HG96" s="141">
        <f t="shared" si="480"/>
        <v>7425</v>
      </c>
      <c r="HH96" s="141">
        <f t="shared" si="480"/>
        <v>7425</v>
      </c>
      <c r="HI96" s="141">
        <f t="shared" si="480"/>
        <v>7425</v>
      </c>
      <c r="HJ96" s="141">
        <f t="shared" si="480"/>
        <v>7425</v>
      </c>
      <c r="HK96" s="141">
        <f t="shared" si="480"/>
        <v>7425</v>
      </c>
      <c r="HL96" s="141">
        <f t="shared" si="480"/>
        <v>7425</v>
      </c>
      <c r="HM96" s="142">
        <f t="shared" ref="HM96:IP96" si="481">IF(ISBLANK($A96),,FE96*($AH96-($AH96*$AJ96))/$AI96)</f>
        <v>0</v>
      </c>
      <c r="HN96" s="142">
        <f t="shared" si="481"/>
        <v>0</v>
      </c>
      <c r="HO96" s="142">
        <f t="shared" si="481"/>
        <v>0</v>
      </c>
      <c r="HP96" s="142">
        <f t="shared" si="481"/>
        <v>0</v>
      </c>
      <c r="HQ96" s="142">
        <f t="shared" si="481"/>
        <v>0</v>
      </c>
      <c r="HR96" s="142">
        <f t="shared" si="481"/>
        <v>0</v>
      </c>
      <c r="HS96" s="142">
        <f t="shared" si="481"/>
        <v>0</v>
      </c>
      <c r="HT96" s="142">
        <f t="shared" si="481"/>
        <v>0</v>
      </c>
      <c r="HU96" s="142">
        <f t="shared" si="481"/>
        <v>0</v>
      </c>
      <c r="HV96" s="142">
        <f t="shared" si="481"/>
        <v>0</v>
      </c>
      <c r="HW96" s="142">
        <f t="shared" si="481"/>
        <v>0</v>
      </c>
      <c r="HX96" s="142">
        <f t="shared" si="481"/>
        <v>0</v>
      </c>
      <c r="HY96" s="142">
        <f t="shared" si="481"/>
        <v>0</v>
      </c>
      <c r="HZ96" s="142">
        <f t="shared" si="481"/>
        <v>0</v>
      </c>
      <c r="IA96" s="142">
        <f t="shared" si="481"/>
        <v>0</v>
      </c>
      <c r="IB96" s="142">
        <f t="shared" si="481"/>
        <v>0</v>
      </c>
      <c r="IC96" s="142">
        <f t="shared" si="481"/>
        <v>0</v>
      </c>
      <c r="ID96" s="142">
        <f t="shared" si="481"/>
        <v>0</v>
      </c>
      <c r="IE96" s="142">
        <f t="shared" si="481"/>
        <v>0</v>
      </c>
      <c r="IF96" s="142">
        <f t="shared" si="481"/>
        <v>0</v>
      </c>
      <c r="IG96" s="142">
        <f t="shared" si="481"/>
        <v>0</v>
      </c>
      <c r="IH96" s="142">
        <f t="shared" si="481"/>
        <v>0</v>
      </c>
      <c r="II96" s="142">
        <f t="shared" si="481"/>
        <v>0</v>
      </c>
      <c r="IJ96" s="142">
        <f t="shared" si="481"/>
        <v>0</v>
      </c>
      <c r="IK96" s="142">
        <f t="shared" si="481"/>
        <v>0</v>
      </c>
      <c r="IL96" s="142">
        <f t="shared" si="481"/>
        <v>0</v>
      </c>
      <c r="IM96" s="142">
        <f t="shared" si="481"/>
        <v>0</v>
      </c>
      <c r="IN96" s="142">
        <f t="shared" si="481"/>
        <v>0</v>
      </c>
      <c r="IO96" s="142">
        <f t="shared" si="481"/>
        <v>0</v>
      </c>
      <c r="IP96" s="142">
        <f t="shared" si="481"/>
        <v>0</v>
      </c>
      <c r="IQ96" s="141">
        <f>IF(ISBLANK($A96),,IF($AN96="Não",0,(SUM($AO96:AO96)*$AH96)-SUM($HM96:HM96)-SUM($CW96:CW96)))</f>
        <v>0</v>
      </c>
      <c r="IR96" s="141">
        <f>IF(ISBLANK($A96),,IF($AN96="Não",0,(SUM($AO96:AP96)*$AH96)-SUM($HM96:HN96)-SUM($CW96:CX96)))</f>
        <v>0</v>
      </c>
      <c r="IS96" s="141">
        <f>IF(ISBLANK($A96),,IF($AN96="Não",0,(SUM($AO96:AQ96)*$AH96)-SUM($HM96:HO96)-SUM($CW96:CY96)))</f>
        <v>0</v>
      </c>
      <c r="IT96" s="141">
        <f>IF(ISBLANK($A96),,IF($AN96="Não",0,(SUM($AO96:AR96)*$AH96)-SUM($HM96:HP96)-SUM($CW96:CZ96)))</f>
        <v>0</v>
      </c>
      <c r="IU96" s="141">
        <f>IF(ISBLANK($A96),,IF($AN96="Não",0,(SUM($AO96:AS96)*$AH96)-SUM($HM96:HQ96)-SUM($CW96:DA96)))</f>
        <v>0</v>
      </c>
      <c r="IV96" s="141">
        <f>IF(ISBLANK($A96),,IF($AN96="Não",0,(SUM($AO96:AT96)*$AH96)-SUM($HM96:HR96)-SUM($CW96:DB96)))</f>
        <v>0</v>
      </c>
      <c r="IW96" s="141">
        <f>IF(ISBLANK($A96),,IF($AN96="Não",0,(SUM($AO96:AU96)*$AH96)-SUM($HM96:HS96)-SUM($CW96:DC96)))</f>
        <v>0</v>
      </c>
      <c r="IX96" s="141">
        <f>IF(ISBLANK($A96),,IF($AN96="Não",0,(SUM($AO96:AV96)*$AH96)-SUM($HM96:HT96)-SUM($CW96:DD96)))</f>
        <v>0</v>
      </c>
      <c r="IY96" s="141">
        <f>IF(ISBLANK($A96),,IF($AN96="Não",0,(SUM($AO96:AW96)*$AH96)-SUM($HM96:HU96)-SUM($CW96:DE96)))</f>
        <v>0</v>
      </c>
      <c r="IZ96" s="141">
        <f>IF(ISBLANK($A96),,IF($AN96="Não",0,(SUM($AO96:AX96)*$AH96)-SUM($HM96:HV96)-SUM($CW96:DF96)))</f>
        <v>0</v>
      </c>
      <c r="JA96" s="141">
        <f>IF(ISBLANK($A96),,IF($AN96="Não",0,(SUM($AO96:AY96)*$AH96)-SUM($HM96:HW96)-SUM($CW96:DG96)))</f>
        <v>0</v>
      </c>
      <c r="JB96" s="141">
        <f>IF(ISBLANK($A96),,IF($AN96="Não",0,(SUM($AO96:AZ96)*$AH96)-SUM($HM96:HX96)-SUM($CW96:DH96)))</f>
        <v>0</v>
      </c>
      <c r="JC96" s="141">
        <f>IF(ISBLANK($A96),,IF($AN96="Não",0,(SUM($AO96:BA96)*$AH96)-SUM($HM96:HY96)-SUM($CW96:DI96)))</f>
        <v>0</v>
      </c>
      <c r="JD96" s="141">
        <f>IF(ISBLANK($A96),,IF($AN96="Não",0,(SUM($AO96:BB96)*$AH96)-SUM($HM96:HZ96)-SUM($CW96:DJ96)))</f>
        <v>0</v>
      </c>
      <c r="JE96" s="141">
        <f>IF(ISBLANK($A96),,IF($AN96="Não",0,(SUM($AO96:BC96)*$AH96)-SUM($HM96:IA96)-SUM($CW96:DK96)))</f>
        <v>0</v>
      </c>
      <c r="JF96" s="141">
        <f>IF(ISBLANK($A96),,IF($AN96="Não",0,(SUM($AO96:BD96)*$AH96)-SUM($HM96:IB96)-SUM($CW96:DL96)))</f>
        <v>0</v>
      </c>
      <c r="JG96" s="141">
        <f>IF(ISBLANK($A96),,IF($AN96="Não",0,(SUM($AO96:BE96)*$AH96)-SUM($HM96:IC96)-SUM($CW96:DM96)))</f>
        <v>0</v>
      </c>
      <c r="JH96" s="141">
        <f>IF(ISBLANK($A96),,IF($AN96="Não",0,(SUM($AO96:BF96)*$AH96)-SUM($HM96:ID96)-SUM($CW96:DN96)))</f>
        <v>0</v>
      </c>
      <c r="JI96" s="141">
        <f>IF(ISBLANK($A96),,IF($AN96="Não",0,(SUM($AO96:BG96)*$AH96)-SUM($HM96:IE96)-SUM($CW96:DO96)))</f>
        <v>0</v>
      </c>
      <c r="JJ96" s="141">
        <f>IF(ISBLANK($A96),,IF($AN96="Não",0,(SUM($AO96:BH96)*$AH96)-SUM($HM96:IF96)-SUM($CW96:DP96)))</f>
        <v>0</v>
      </c>
      <c r="JK96" s="141">
        <f>IF(ISBLANK($A96),,IF($AN96="Não",0,(SUM($AO96:BI96)*$AH96)-SUM($HM96:IG96)-SUM($CW96:DQ96)))</f>
        <v>0</v>
      </c>
      <c r="JL96" s="141">
        <f>IF(ISBLANK($A96),,IF($AN96="Não",0,(SUM($AO96:BJ96)*$AH96)-SUM($HM96:IH96)-SUM($CW96:DR96)))</f>
        <v>0</v>
      </c>
      <c r="JM96" s="141">
        <f>IF(ISBLANK($A96),,IF($AN96="Não",0,(SUM($AO96:BK96)*$AH96)-SUM($HM96:II96)-SUM($CW96:DS96)))</f>
        <v>0</v>
      </c>
      <c r="JN96" s="141">
        <f>IF(ISBLANK($A96),,IF($AN96="Não",0,(SUM($AO96:BL96)*$AH96)-SUM($HM96:IJ96)-SUM($CW96:DT96)))</f>
        <v>0</v>
      </c>
      <c r="JO96" s="141">
        <f>IF(ISBLANK($A96),,IF($AN96="Não",0,(SUM($AO96:BM96)*$AH96)-SUM($HM96:IK96)-SUM($CW96:DU96)))</f>
        <v>0</v>
      </c>
      <c r="JP96" s="141">
        <f>IF(ISBLANK($A96),,IF($AN96="Não",0,(SUM($AO96:BN96)*$AH96)-SUM($HM96:IL96)-SUM($CW96:DV96)))</f>
        <v>0</v>
      </c>
      <c r="JQ96" s="141">
        <f>IF(ISBLANK($A96),,IF($AN96="Não",0,(SUM($AO96:BO96)*$AH96)-SUM($HM96:IM96)-SUM($CW96:DW96)))</f>
        <v>0</v>
      </c>
      <c r="JR96" s="141">
        <f>IF(ISBLANK($A96),,IF($AN96="Não",0,(SUM($AO96:BP96)*$AH96)-SUM($HM96:IN96)-SUM($CW96:DX96)))</f>
        <v>0</v>
      </c>
      <c r="JS96" s="141">
        <f>IF(ISBLANK($A96),,IF($AN96="Não",0,(SUM($AO96:BQ96)*$AH96)-SUM($HM96:IO96)-SUM($CW96:DY96)))</f>
        <v>0</v>
      </c>
      <c r="JT96" s="141">
        <f>IF(ISBLANK($A96),,IF($AN96="Não",0,(SUM($AO96:BR96)*$AH96)-SUM($HM96:IP96)-SUM($CW96:DZ96)))</f>
        <v>0</v>
      </c>
    </row>
    <row r="97" spans="1:280" ht="15.75" customHeight="1">
      <c r="A97" s="129" t="s">
        <v>435</v>
      </c>
      <c r="B97" s="129" t="s">
        <v>191</v>
      </c>
      <c r="C97" s="138" t="s">
        <v>234</v>
      </c>
      <c r="D97" s="139">
        <v>730</v>
      </c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607">
        <f t="shared" si="399"/>
        <v>2372.59</v>
      </c>
      <c r="AI97" s="608">
        <f t="shared" si="400"/>
        <v>30</v>
      </c>
      <c r="AJ97" s="609">
        <f t="shared" si="401"/>
        <v>0</v>
      </c>
      <c r="AK97" s="610" t="str">
        <f t="shared" si="402"/>
        <v>Edificações</v>
      </c>
      <c r="AL97" s="609">
        <f t="shared" si="403"/>
        <v>0.05</v>
      </c>
      <c r="AM97" s="611" t="str">
        <f t="shared" si="404"/>
        <v>Sim</v>
      </c>
      <c r="AN97" s="611" t="str">
        <f t="shared" si="405"/>
        <v>Não</v>
      </c>
      <c r="AO97" s="140">
        <f t="array" ref="AO97">IF(ISBLANK($A97),0,IF(OR(AO$5-$AI97&lt;=0,$AM97="Não"),D97,D97+INDEX($AO$6:$BR$176,ROW()-5,COLUMN()-40-$AI97)))*IF($B97="Operacional",IFERROR(VLOOKUP($C97,SN_UGC,28,0),0),1)</f>
        <v>730</v>
      </c>
      <c r="AP97" s="140">
        <f t="array" ref="AP97">IF(ISBLANK($A97),0,IF(OR(AP$5-$AI97&lt;=0,$AM97="Não"),E97,E97+INDEX($AO$6:$BR$176,ROW()-5,COLUMN()-40-$AI97)))*IF($B97="Operacional",IFERROR(VLOOKUP($C97,SN_UGC,28,0),0),1)</f>
        <v>0</v>
      </c>
      <c r="AQ97" s="140">
        <f t="array" ref="AQ97">IF(ISBLANK($A97),0,IF(OR(AQ$5-$AI97&lt;=0,$AM97="Não"),F97,F97+INDEX($AO$6:$BR$176,ROW()-5,COLUMN()-40-$AI97)))*IF($B97="Operacional",IFERROR(VLOOKUP($C97,SN_UGC,28,0),0),1)</f>
        <v>0</v>
      </c>
      <c r="AR97" s="140">
        <f t="array" ref="AR97">IF(ISBLANK($A97),0,IF(OR(AR$5-$AI97&lt;=0,$AM97="Não"),G97,G97+INDEX($AO$6:$BR$176,ROW()-5,COLUMN()-40-$AI97)))*IF($B97="Operacional",IFERROR(VLOOKUP($C97,SN_UGC,28,0),0),1)</f>
        <v>0</v>
      </c>
      <c r="AS97" s="140">
        <f t="array" ref="AS97">IF(ISBLANK($A97),0,IF(OR(AS$5-$AI97&lt;=0,$AM97="Não"),H97,H97+INDEX($AO$6:$BR$176,ROW()-5,COLUMN()-40-$AI97)))*IF($B97="Operacional",IFERROR(VLOOKUP($C97,SN_UGC,28,0),0),1)</f>
        <v>0</v>
      </c>
      <c r="AT97" s="140">
        <f t="array" ref="AT97">IF(ISBLANK($A97),0,IF(OR(AT$5-$AI97&lt;=0,$AM97="Não"),I97,I97+INDEX($AO$6:$BR$176,ROW()-5,COLUMN()-40-$AI97)))*IF($B97="Operacional",IFERROR(VLOOKUP($C97,SN_UGC,28,0),0),1)</f>
        <v>0</v>
      </c>
      <c r="AU97" s="140">
        <f t="array" ref="AU97">IF(ISBLANK($A97),0,IF(OR(AU$5-$AI97&lt;=0,$AM97="Não"),J97,J97+INDEX($AO$6:$BR$176,ROW()-5,COLUMN()-40-$AI97)))*IF($B97="Operacional",IFERROR(VLOOKUP($C97,SN_UGC,28,0),0),1)</f>
        <v>0</v>
      </c>
      <c r="AV97" s="140">
        <f t="array" ref="AV97">IF(ISBLANK($A97),0,IF(OR(AV$5-$AI97&lt;=0,$AM97="Não"),K97,K97+INDEX($AO$6:$BR$176,ROW()-5,COLUMN()-40-$AI97)))*IF($B97="Operacional",IFERROR(VLOOKUP($C97,SN_UGC,28,0),0),1)</f>
        <v>0</v>
      </c>
      <c r="AW97" s="140">
        <f t="array" ref="AW97">IF(ISBLANK($A97),0,IF(OR(AW$5-$AI97&lt;=0,$AM97="Não"),L97,L97+INDEX($AO$6:$BR$176,ROW()-5,COLUMN()-40-$AI97)))*IF($B97="Operacional",IFERROR(VLOOKUP($C97,SN_UGC,28,0),0),1)</f>
        <v>0</v>
      </c>
      <c r="AX97" s="140">
        <f t="array" ref="AX97">IF(ISBLANK($A97),0,IF(OR(AX$5-$AI97&lt;=0,$AM97="Não"),M97,M97+INDEX($AO$6:$BR$176,ROW()-5,COLUMN()-40-$AI97)))*IF($B97="Operacional",IFERROR(VLOOKUP($C97,SN_UGC,28,0),0),1)</f>
        <v>0</v>
      </c>
      <c r="AY97" s="140">
        <f t="array" ref="AY97">IF(ISBLANK($A97),0,IF(OR(AY$5-$AI97&lt;=0,$AM97="Não"),N97,N97+INDEX($AO$6:$BR$176,ROW()-5,COLUMN()-40-$AI97)))*IF($B97="Operacional",IFERROR(VLOOKUP($C97,SN_UGC,28,0),0),1)</f>
        <v>0</v>
      </c>
      <c r="AZ97" s="140">
        <f t="array" ref="AZ97">IF(ISBLANK($A97),0,IF(OR(AZ$5-$AI97&lt;=0,$AM97="Não"),O97,O97+INDEX($AO$6:$BR$176,ROW()-5,COLUMN()-40-$AI97)))*IF($B97="Operacional",IFERROR(VLOOKUP($C97,SN_UGC,28,0),0),1)</f>
        <v>0</v>
      </c>
      <c r="BA97" s="140">
        <f t="array" ref="BA97">IF(ISBLANK($A97),0,IF(OR(BA$5-$AI97&lt;=0,$AM97="Não"),P97,P97+INDEX($AO$6:$BR$176,ROW()-5,COLUMN()-40-$AI97)))*IF($B97="Operacional",IFERROR(VLOOKUP($C97,SN_UGC,28,0),0),1)</f>
        <v>0</v>
      </c>
      <c r="BB97" s="140">
        <f t="array" ref="BB97">IF(ISBLANK($A97),0,IF(OR(BB$5-$AI97&lt;=0,$AM97="Não"),Q97,Q97+INDEX($AO$6:$BR$176,ROW()-5,COLUMN()-40-$AI97)))*IF($B97="Operacional",IFERROR(VLOOKUP($C97,SN_UGC,28,0),0),1)</f>
        <v>0</v>
      </c>
      <c r="BC97" s="140">
        <f t="array" ref="BC97">IF(ISBLANK($A97),0,IF(OR(BC$5-$AI97&lt;=0,$AM97="Não"),R97,R97+INDEX($AO$6:$BR$176,ROW()-5,COLUMN()-40-$AI97)))*IF($B97="Operacional",IFERROR(VLOOKUP($C97,SN_UGC,28,0),0),1)</f>
        <v>0</v>
      </c>
      <c r="BD97" s="140">
        <f t="array" ref="BD97">IF(ISBLANK($A97),0,IF(OR(BD$5-$AI97&lt;=0,$AM97="Não"),S97,S97+INDEX($AO$6:$BR$176,ROW()-5,COLUMN()-40-$AI97)))*IF($B97="Operacional",IFERROR(VLOOKUP($C97,SN_UGC,28,0),0),1)</f>
        <v>0</v>
      </c>
      <c r="BE97" s="140">
        <f t="array" ref="BE97">IF(ISBLANK($A97),0,IF(OR(BE$5-$AI97&lt;=0,$AM97="Não"),T97,T97+INDEX($AO$6:$BR$176,ROW()-5,COLUMN()-40-$AI97)))*IF($B97="Operacional",IFERROR(VLOOKUP($C97,SN_UGC,28,0),0),1)</f>
        <v>0</v>
      </c>
      <c r="BF97" s="140">
        <f t="array" ref="BF97">IF(ISBLANK($A97),0,IF(OR(BF$5-$AI97&lt;=0,$AM97="Não"),U97,U97+INDEX($AO$6:$BR$176,ROW()-5,COLUMN()-40-$AI97)))*IF($B97="Operacional",IFERROR(VLOOKUP($C97,SN_UGC,28,0),0),1)</f>
        <v>0</v>
      </c>
      <c r="BG97" s="140">
        <f t="array" ref="BG97">IF(ISBLANK($A97),0,IF(OR(BG$5-$AI97&lt;=0,$AM97="Não"),V97,V97+INDEX($AO$6:$BR$176,ROW()-5,COLUMN()-40-$AI97)))*IF($B97="Operacional",IFERROR(VLOOKUP($C97,SN_UGC,28,0),0),1)</f>
        <v>0</v>
      </c>
      <c r="BH97" s="140">
        <f t="array" ref="BH97">IF(ISBLANK($A97),0,IF(OR(BH$5-$AI97&lt;=0,$AM97="Não"),W97,W97+INDEX($AO$6:$BR$176,ROW()-5,COLUMN()-40-$AI97)))*IF($B97="Operacional",IFERROR(VLOOKUP($C97,SN_UGC,28,0),0),1)</f>
        <v>0</v>
      </c>
      <c r="BI97" s="140">
        <f t="array" ref="BI97">IF(ISBLANK($A97),0,IF(OR(BI$5-$AI97&lt;=0,$AM97="Não"),X97,X97+INDEX($AO$6:$BR$176,ROW()-5,COLUMN()-40-$AI97)))*IF($B97="Operacional",IFERROR(VLOOKUP($C97,SN_UGC,28,0),0),1)</f>
        <v>0</v>
      </c>
      <c r="BJ97" s="140">
        <f t="array" ref="BJ97">IF(ISBLANK($A97),0,IF(OR(BJ$5-$AI97&lt;=0,$AM97="Não"),Y97,Y97+INDEX($AO$6:$BR$176,ROW()-5,COLUMN()-40-$AI97)))*IF($B97="Operacional",IFERROR(VLOOKUP($C97,SN_UGC,28,0),0),1)</f>
        <v>0</v>
      </c>
      <c r="BK97" s="140">
        <f t="array" ref="BK97">IF(ISBLANK($A97),0,IF(OR(BK$5-$AI97&lt;=0,$AM97="Não"),Z97,Z97+INDEX($AO$6:$BR$176,ROW()-5,COLUMN()-40-$AI97)))*IF($B97="Operacional",IFERROR(VLOOKUP($C97,SN_UGC,28,0),0),1)</f>
        <v>0</v>
      </c>
      <c r="BL97" s="140">
        <f t="array" ref="BL97">IF(ISBLANK($A97),0,IF(OR(BL$5-$AI97&lt;=0,$AM97="Não"),AA97,AA97+INDEX($AO$6:$BR$176,ROW()-5,COLUMN()-40-$AI97)))*IF($B97="Operacional",IFERROR(VLOOKUP($C97,SN_UGC,28,0),0),1)</f>
        <v>0</v>
      </c>
      <c r="BM97" s="140">
        <f t="array" ref="BM97">IF(ISBLANK($A97),0,IF(OR(BM$5-$AI97&lt;=0,$AM97="Não"),AB97,AB97+INDEX($AO$6:$BR$176,ROW()-5,COLUMN()-40-$AI97)))*IF($B97="Operacional",IFERROR(VLOOKUP($C97,SN_UGC,28,0),0),1)</f>
        <v>0</v>
      </c>
      <c r="BN97" s="140">
        <f t="array" ref="BN97">IF(ISBLANK($A97),0,IF(OR(BN$5-$AI97&lt;=0,$AM97="Não"),AC97,AC97+INDEX($AO$6:$BR$176,ROW()-5,COLUMN()-40-$AI97)))*IF($B97="Operacional",IFERROR(VLOOKUP($C97,SN_UGC,28,0),0),1)</f>
        <v>0</v>
      </c>
      <c r="BO97" s="140">
        <f t="array" ref="BO97">IF(ISBLANK($A97),0,IF(OR(BO$5-$AI97&lt;=0,$AM97="Não"),AD97,AD97+INDEX($AO$6:$BR$176,ROW()-5,COLUMN()-40-$AI97)))*IF($B97="Operacional",IFERROR(VLOOKUP($C97,SN_UGC,28,0),0),1)</f>
        <v>0</v>
      </c>
      <c r="BP97" s="140">
        <f t="array" ref="BP97">IF(ISBLANK($A97),0,IF(OR(BP$5-$AI97&lt;=0,$AM97="Não"),AE97,AE97+INDEX($AO$6:$BR$176,ROW()-5,COLUMN()-40-$AI97)))*IF($B97="Operacional",IFERROR(VLOOKUP($C97,SN_UGC,28,0),0),1)</f>
        <v>0</v>
      </c>
      <c r="BQ97" s="140">
        <f t="array" ref="BQ97">IF(ISBLANK($A97),0,IF(OR(BQ$5-$AI97&lt;=0,$AM97="Não"),AF97,AF97+INDEX($AO$6:$BR$176,ROW()-5,COLUMN()-40-$AI97)))*IF($B97="Operacional",IFERROR(VLOOKUP($C97,SN_UGC,28,0),0),1)</f>
        <v>0</v>
      </c>
      <c r="BR97" s="140">
        <f t="array" ref="BR97">IF(ISBLANK($A97),0,IF(OR(BR$5-$AI97&lt;=0,$AM97="Não"),AG97,AG97+INDEX($AO$6:$BR$176,ROW()-5,COLUMN()-40-$AI97)))*IF($B97="Operacional",IFERROR(VLOOKUP($C97,SN_UGC,28,0),0),1)</f>
        <v>0</v>
      </c>
      <c r="BS97" s="141">
        <f t="shared" ref="BS97:CV97" si="482">IF(ISBLANK($A97),0,$AH97*AO97)</f>
        <v>1731990.7000000002</v>
      </c>
      <c r="BT97" s="141">
        <f t="shared" si="482"/>
        <v>0</v>
      </c>
      <c r="BU97" s="141">
        <f t="shared" si="482"/>
        <v>0</v>
      </c>
      <c r="BV97" s="141">
        <f t="shared" si="482"/>
        <v>0</v>
      </c>
      <c r="BW97" s="141">
        <f t="shared" si="482"/>
        <v>0</v>
      </c>
      <c r="BX97" s="141">
        <f t="shared" si="482"/>
        <v>0</v>
      </c>
      <c r="BY97" s="141">
        <f t="shared" si="482"/>
        <v>0</v>
      </c>
      <c r="BZ97" s="141">
        <f t="shared" si="482"/>
        <v>0</v>
      </c>
      <c r="CA97" s="141">
        <f t="shared" si="482"/>
        <v>0</v>
      </c>
      <c r="CB97" s="141">
        <f t="shared" si="482"/>
        <v>0</v>
      </c>
      <c r="CC97" s="141">
        <f t="shared" si="482"/>
        <v>0</v>
      </c>
      <c r="CD97" s="141">
        <f t="shared" si="482"/>
        <v>0</v>
      </c>
      <c r="CE97" s="141">
        <f t="shared" si="482"/>
        <v>0</v>
      </c>
      <c r="CF97" s="141">
        <f t="shared" si="482"/>
        <v>0</v>
      </c>
      <c r="CG97" s="141">
        <f t="shared" si="482"/>
        <v>0</v>
      </c>
      <c r="CH97" s="141">
        <f t="shared" si="482"/>
        <v>0</v>
      </c>
      <c r="CI97" s="141">
        <f t="shared" si="482"/>
        <v>0</v>
      </c>
      <c r="CJ97" s="141">
        <f t="shared" si="482"/>
        <v>0</v>
      </c>
      <c r="CK97" s="141">
        <f t="shared" si="482"/>
        <v>0</v>
      </c>
      <c r="CL97" s="141">
        <f t="shared" si="482"/>
        <v>0</v>
      </c>
      <c r="CM97" s="141">
        <f t="shared" si="482"/>
        <v>0</v>
      </c>
      <c r="CN97" s="141">
        <f t="shared" si="482"/>
        <v>0</v>
      </c>
      <c r="CO97" s="141">
        <f t="shared" si="482"/>
        <v>0</v>
      </c>
      <c r="CP97" s="141">
        <f t="shared" si="482"/>
        <v>0</v>
      </c>
      <c r="CQ97" s="141">
        <f t="shared" si="482"/>
        <v>0</v>
      </c>
      <c r="CR97" s="141">
        <f t="shared" si="482"/>
        <v>0</v>
      </c>
      <c r="CS97" s="141">
        <f t="shared" si="482"/>
        <v>0</v>
      </c>
      <c r="CT97" s="141">
        <f t="shared" si="482"/>
        <v>0</v>
      </c>
      <c r="CU97" s="141">
        <f t="shared" si="482"/>
        <v>0</v>
      </c>
      <c r="CV97" s="141">
        <f t="shared" si="482"/>
        <v>0</v>
      </c>
      <c r="CW97" s="142">
        <f t="shared" ref="CW97:DZ97" si="483">EA97*$AH97*$AJ97</f>
        <v>0</v>
      </c>
      <c r="CX97" s="142">
        <f t="shared" si="483"/>
        <v>0</v>
      </c>
      <c r="CY97" s="142">
        <f t="shared" si="483"/>
        <v>0</v>
      </c>
      <c r="CZ97" s="142">
        <f t="shared" si="483"/>
        <v>0</v>
      </c>
      <c r="DA97" s="142">
        <f t="shared" si="483"/>
        <v>0</v>
      </c>
      <c r="DB97" s="142">
        <f t="shared" si="483"/>
        <v>0</v>
      </c>
      <c r="DC97" s="142">
        <f t="shared" si="483"/>
        <v>0</v>
      </c>
      <c r="DD97" s="142">
        <f t="shared" si="483"/>
        <v>0</v>
      </c>
      <c r="DE97" s="142">
        <f t="shared" si="483"/>
        <v>0</v>
      </c>
      <c r="DF97" s="142">
        <f t="shared" si="483"/>
        <v>0</v>
      </c>
      <c r="DG97" s="142">
        <f t="shared" si="483"/>
        <v>0</v>
      </c>
      <c r="DH97" s="142">
        <f t="shared" si="483"/>
        <v>0</v>
      </c>
      <c r="DI97" s="142">
        <f t="shared" si="483"/>
        <v>0</v>
      </c>
      <c r="DJ97" s="142">
        <f t="shared" si="483"/>
        <v>0</v>
      </c>
      <c r="DK97" s="142">
        <f t="shared" si="483"/>
        <v>0</v>
      </c>
      <c r="DL97" s="142">
        <f t="shared" si="483"/>
        <v>0</v>
      </c>
      <c r="DM97" s="142">
        <f t="shared" si="483"/>
        <v>0</v>
      </c>
      <c r="DN97" s="142">
        <f t="shared" si="483"/>
        <v>0</v>
      </c>
      <c r="DO97" s="142">
        <f t="shared" si="483"/>
        <v>0</v>
      </c>
      <c r="DP97" s="142">
        <f t="shared" si="483"/>
        <v>0</v>
      </c>
      <c r="DQ97" s="142">
        <f t="shared" si="483"/>
        <v>0</v>
      </c>
      <c r="DR97" s="142">
        <f t="shared" si="483"/>
        <v>0</v>
      </c>
      <c r="DS97" s="142">
        <f t="shared" si="483"/>
        <v>0</v>
      </c>
      <c r="DT97" s="142">
        <f t="shared" si="483"/>
        <v>0</v>
      </c>
      <c r="DU97" s="142">
        <f t="shared" si="483"/>
        <v>0</v>
      </c>
      <c r="DV97" s="142">
        <f t="shared" si="483"/>
        <v>0</v>
      </c>
      <c r="DW97" s="142">
        <f t="shared" si="483"/>
        <v>0</v>
      </c>
      <c r="DX97" s="142">
        <f t="shared" si="483"/>
        <v>0</v>
      </c>
      <c r="DY97" s="142">
        <f t="shared" si="483"/>
        <v>0</v>
      </c>
      <c r="DZ97" s="142">
        <f t="shared" si="483"/>
        <v>0</v>
      </c>
      <c r="EA97" s="143">
        <f t="shared" si="339"/>
        <v>0</v>
      </c>
      <c r="EB97" s="143">
        <f t="shared" si="340"/>
        <v>0</v>
      </c>
      <c r="EC97" s="143">
        <f t="shared" si="341"/>
        <v>0</v>
      </c>
      <c r="ED97" s="143">
        <f t="shared" si="342"/>
        <v>0</v>
      </c>
      <c r="EE97" s="143">
        <f t="shared" si="343"/>
        <v>0</v>
      </c>
      <c r="EF97" s="143">
        <f t="shared" si="344"/>
        <v>0</v>
      </c>
      <c r="EG97" s="143">
        <f t="shared" si="345"/>
        <v>0</v>
      </c>
      <c r="EH97" s="143">
        <f t="shared" si="346"/>
        <v>0</v>
      </c>
      <c r="EI97" s="143">
        <f t="shared" si="347"/>
        <v>0</v>
      </c>
      <c r="EJ97" s="143">
        <f t="shared" si="348"/>
        <v>0</v>
      </c>
      <c r="EK97" s="143">
        <f t="shared" si="349"/>
        <v>0</v>
      </c>
      <c r="EL97" s="143">
        <f t="shared" si="350"/>
        <v>0</v>
      </c>
      <c r="EM97" s="143">
        <f t="shared" si="351"/>
        <v>0</v>
      </c>
      <c r="EN97" s="143">
        <f t="shared" si="352"/>
        <v>0</v>
      </c>
      <c r="EO97" s="143">
        <f t="shared" si="353"/>
        <v>0</v>
      </c>
      <c r="EP97" s="143">
        <f t="shared" si="354"/>
        <v>0</v>
      </c>
      <c r="EQ97" s="143">
        <f t="shared" si="355"/>
        <v>0</v>
      </c>
      <c r="ER97" s="143">
        <f t="shared" si="356"/>
        <v>0</v>
      </c>
      <c r="ES97" s="143">
        <f t="shared" si="357"/>
        <v>0</v>
      </c>
      <c r="ET97" s="143">
        <f t="shared" si="358"/>
        <v>0</v>
      </c>
      <c r="EU97" s="143">
        <f t="shared" si="359"/>
        <v>0</v>
      </c>
      <c r="EV97" s="143">
        <f t="shared" si="360"/>
        <v>0</v>
      </c>
      <c r="EW97" s="143">
        <f t="shared" si="361"/>
        <v>0</v>
      </c>
      <c r="EX97" s="143">
        <f t="shared" si="362"/>
        <v>0</v>
      </c>
      <c r="EY97" s="143">
        <f t="shared" si="363"/>
        <v>0</v>
      </c>
      <c r="EZ97" s="143">
        <f t="shared" si="364"/>
        <v>0</v>
      </c>
      <c r="FA97" s="143">
        <f t="shared" si="365"/>
        <v>0</v>
      </c>
      <c r="FB97" s="143">
        <f t="shared" si="366"/>
        <v>0</v>
      </c>
      <c r="FC97" s="143">
        <f t="shared" si="367"/>
        <v>0</v>
      </c>
      <c r="FD97" s="143">
        <f t="shared" si="368"/>
        <v>0</v>
      </c>
      <c r="FE97" s="140">
        <f>SUM($D97:D97)*IF($B97="Operacional",IFERROR(VLOOKUP($C97,SN_UGC,28,0),0),1)</f>
        <v>730</v>
      </c>
      <c r="FF97" s="140">
        <f>SUM($D97:E97)*IF($B97="Operacional",IFERROR(VLOOKUP($C97,SN_UGC,28,0),0),1)</f>
        <v>730</v>
      </c>
      <c r="FG97" s="140">
        <f>SUM($D97:F97)*IF($B97="Operacional",IFERROR(VLOOKUP($C97,SN_UGC,28,0),0),1)</f>
        <v>730</v>
      </c>
      <c r="FH97" s="140">
        <f>SUM($D97:G97)*IF($B97="Operacional",IFERROR(VLOOKUP($C97,SN_UGC,28,0),0),1)</f>
        <v>730</v>
      </c>
      <c r="FI97" s="140">
        <f>SUM($D97:H97)*IF($B97="Operacional",IFERROR(VLOOKUP($C97,SN_UGC,28,0),0),1)</f>
        <v>730</v>
      </c>
      <c r="FJ97" s="140">
        <f>SUM($D97:I97)*IF($B97="Operacional",IFERROR(VLOOKUP($C97,SN_UGC,28,0),0),1)</f>
        <v>730</v>
      </c>
      <c r="FK97" s="140">
        <f>SUM($D97:J97)*IF($B97="Operacional",IFERROR(VLOOKUP($C97,SN_UGC,28,0),0),1)</f>
        <v>730</v>
      </c>
      <c r="FL97" s="140">
        <f>SUM($D97:K97)*IF($B97="Operacional",IFERROR(VLOOKUP($C97,SN_UGC,28,0),0),1)</f>
        <v>730</v>
      </c>
      <c r="FM97" s="140">
        <f>SUM($D97:L97)*IF($B97="Operacional",IFERROR(VLOOKUP($C97,SN_UGC,28,0),0),1)</f>
        <v>730</v>
      </c>
      <c r="FN97" s="140">
        <f>SUM($D97:M97)*IF($B97="Operacional",IFERROR(VLOOKUP($C97,SN_UGC,28,0),0),1)</f>
        <v>730</v>
      </c>
      <c r="FO97" s="140">
        <f>SUM($D97:N97)*IF($B97="Operacional",IFERROR(VLOOKUP($C97,SN_UGC,28,0),0),1)</f>
        <v>730</v>
      </c>
      <c r="FP97" s="140">
        <f>SUM($D97:O97)*IF($B97="Operacional",IFERROR(VLOOKUP($C97,SN_UGC,28,0),0),1)</f>
        <v>730</v>
      </c>
      <c r="FQ97" s="140">
        <f>SUM($D97:P97)*IF($B97="Operacional",IFERROR(VLOOKUP($C97,SN_UGC,28,0),0),1)</f>
        <v>730</v>
      </c>
      <c r="FR97" s="140">
        <f>SUM($D97:Q97)*IF($B97="Operacional",IFERROR(VLOOKUP($C97,SN_UGC,28,0),0),1)</f>
        <v>730</v>
      </c>
      <c r="FS97" s="140">
        <f>SUM($D97:R97)*IF($B97="Operacional",IFERROR(VLOOKUP($C97,SN_UGC,28,0),0),1)</f>
        <v>730</v>
      </c>
      <c r="FT97" s="140">
        <f>SUM($D97:S97)*IF($B97="Operacional",IFERROR(VLOOKUP($C97,SN_UGC,28,0),0),1)</f>
        <v>730</v>
      </c>
      <c r="FU97" s="140">
        <f>SUM($D97:T97)*IF($B97="Operacional",IFERROR(VLOOKUP($C97,SN_UGC,28,0),0),1)</f>
        <v>730</v>
      </c>
      <c r="FV97" s="140">
        <f>SUM($D97:U97)*IF($B97="Operacional",IFERROR(VLOOKUP($C97,SN_UGC,28,0),0),1)</f>
        <v>730</v>
      </c>
      <c r="FW97" s="140">
        <f>SUM($D97:V97)*IF($B97="Operacional",IFERROR(VLOOKUP($C97,SN_UGC,28,0),0),1)</f>
        <v>730</v>
      </c>
      <c r="FX97" s="140">
        <f>SUM($D97:W97)*IF($B97="Operacional",IFERROR(VLOOKUP($C97,SN_UGC,28,0),0),1)</f>
        <v>730</v>
      </c>
      <c r="FY97" s="140">
        <f>SUM($D97:X97)*IF($B97="Operacional",IFERROR(VLOOKUP($C97,SN_UGC,28,0),0),1)</f>
        <v>730</v>
      </c>
      <c r="FZ97" s="140">
        <f>SUM($D97:Y97)*IF($B97="Operacional",IFERROR(VLOOKUP($C97,SN_UGC,28,0),0),1)</f>
        <v>730</v>
      </c>
      <c r="GA97" s="140">
        <f>SUM($D97:Z97)*IF($B97="Operacional",IFERROR(VLOOKUP($C97,SN_UGC,28,0),0),1)</f>
        <v>730</v>
      </c>
      <c r="GB97" s="140">
        <f>SUM($D97:AA97)*IF($B97="Operacional",IFERROR(VLOOKUP($C97,SN_UGC,28,0),0),1)</f>
        <v>730</v>
      </c>
      <c r="GC97" s="140">
        <f>SUM($D97:AB97)*IF($B97="Operacional",IFERROR(VLOOKUP($C97,SN_UGC,28,0),0),1)</f>
        <v>730</v>
      </c>
      <c r="GD97" s="140">
        <f>SUM($D97:AC97)*IF($B97="Operacional",IFERROR(VLOOKUP($C97,SN_UGC,28,0),0),1)</f>
        <v>730</v>
      </c>
      <c r="GE97" s="140">
        <f>SUM($D97:AD97)*IF($B97="Operacional",IFERROR(VLOOKUP($C97,SN_UGC,28,0),0),1)</f>
        <v>730</v>
      </c>
      <c r="GF97" s="140">
        <f>SUM($D97:AE97)*IF($B97="Operacional",IFERROR(VLOOKUP($C97,SN_UGC,28,0),0),1)</f>
        <v>730</v>
      </c>
      <c r="GG97" s="140">
        <f>SUM($D97:AF97)*IF($B97="Operacional",IFERROR(VLOOKUP($C97,SN_UGC,28,0),0),1)</f>
        <v>730</v>
      </c>
      <c r="GH97" s="140">
        <f>SUM($D97:AG97)*IF($B97="Operacional",IFERROR(VLOOKUP($C97,SN_UGC,28,0),0),1)</f>
        <v>730</v>
      </c>
      <c r="GI97" s="141">
        <f t="shared" ref="GI97:HL97" si="484">FE97*$AH97*$AL97</f>
        <v>86599.535000000018</v>
      </c>
      <c r="GJ97" s="141">
        <f t="shared" si="484"/>
        <v>86599.535000000018</v>
      </c>
      <c r="GK97" s="141">
        <f t="shared" si="484"/>
        <v>86599.535000000018</v>
      </c>
      <c r="GL97" s="141">
        <f t="shared" si="484"/>
        <v>86599.535000000018</v>
      </c>
      <c r="GM97" s="141">
        <f t="shared" si="484"/>
        <v>86599.535000000018</v>
      </c>
      <c r="GN97" s="141">
        <f t="shared" si="484"/>
        <v>86599.535000000018</v>
      </c>
      <c r="GO97" s="141">
        <f t="shared" si="484"/>
        <v>86599.535000000018</v>
      </c>
      <c r="GP97" s="141">
        <f t="shared" si="484"/>
        <v>86599.535000000018</v>
      </c>
      <c r="GQ97" s="141">
        <f t="shared" si="484"/>
        <v>86599.535000000018</v>
      </c>
      <c r="GR97" s="141">
        <f t="shared" si="484"/>
        <v>86599.535000000018</v>
      </c>
      <c r="GS97" s="141">
        <f t="shared" si="484"/>
        <v>86599.535000000018</v>
      </c>
      <c r="GT97" s="141">
        <f t="shared" si="484"/>
        <v>86599.535000000018</v>
      </c>
      <c r="GU97" s="141">
        <f t="shared" si="484"/>
        <v>86599.535000000018</v>
      </c>
      <c r="GV97" s="141">
        <f t="shared" si="484"/>
        <v>86599.535000000018</v>
      </c>
      <c r="GW97" s="141">
        <f t="shared" si="484"/>
        <v>86599.535000000018</v>
      </c>
      <c r="GX97" s="141">
        <f t="shared" si="484"/>
        <v>86599.535000000018</v>
      </c>
      <c r="GY97" s="141">
        <f t="shared" si="484"/>
        <v>86599.535000000018</v>
      </c>
      <c r="GZ97" s="141">
        <f t="shared" si="484"/>
        <v>86599.535000000018</v>
      </c>
      <c r="HA97" s="141">
        <f t="shared" si="484"/>
        <v>86599.535000000018</v>
      </c>
      <c r="HB97" s="141">
        <f t="shared" si="484"/>
        <v>86599.535000000018</v>
      </c>
      <c r="HC97" s="141">
        <f t="shared" si="484"/>
        <v>86599.535000000018</v>
      </c>
      <c r="HD97" s="141">
        <f t="shared" si="484"/>
        <v>86599.535000000018</v>
      </c>
      <c r="HE97" s="141">
        <f t="shared" si="484"/>
        <v>86599.535000000018</v>
      </c>
      <c r="HF97" s="141">
        <f t="shared" si="484"/>
        <v>86599.535000000018</v>
      </c>
      <c r="HG97" s="141">
        <f t="shared" si="484"/>
        <v>86599.535000000018</v>
      </c>
      <c r="HH97" s="141">
        <f t="shared" si="484"/>
        <v>86599.535000000018</v>
      </c>
      <c r="HI97" s="141">
        <f t="shared" si="484"/>
        <v>86599.535000000018</v>
      </c>
      <c r="HJ97" s="141">
        <f t="shared" si="484"/>
        <v>86599.535000000018</v>
      </c>
      <c r="HK97" s="141">
        <f t="shared" si="484"/>
        <v>86599.535000000018</v>
      </c>
      <c r="HL97" s="141">
        <f t="shared" si="484"/>
        <v>86599.535000000018</v>
      </c>
      <c r="HM97" s="142">
        <f t="shared" ref="HM97:IP97" si="485">IF(ISBLANK($A97),,FE97*($AH97-($AH97*$AJ97))/$AI97)</f>
        <v>57733.023333333338</v>
      </c>
      <c r="HN97" s="142">
        <f t="shared" si="485"/>
        <v>57733.023333333338</v>
      </c>
      <c r="HO97" s="142">
        <f t="shared" si="485"/>
        <v>57733.023333333338</v>
      </c>
      <c r="HP97" s="142">
        <f t="shared" si="485"/>
        <v>57733.023333333338</v>
      </c>
      <c r="HQ97" s="142">
        <f t="shared" si="485"/>
        <v>57733.023333333338</v>
      </c>
      <c r="HR97" s="142">
        <f t="shared" si="485"/>
        <v>57733.023333333338</v>
      </c>
      <c r="HS97" s="142">
        <f t="shared" si="485"/>
        <v>57733.023333333338</v>
      </c>
      <c r="HT97" s="142">
        <f t="shared" si="485"/>
        <v>57733.023333333338</v>
      </c>
      <c r="HU97" s="142">
        <f t="shared" si="485"/>
        <v>57733.023333333338</v>
      </c>
      <c r="HV97" s="142">
        <f t="shared" si="485"/>
        <v>57733.023333333338</v>
      </c>
      <c r="HW97" s="142">
        <f t="shared" si="485"/>
        <v>57733.023333333338</v>
      </c>
      <c r="HX97" s="142">
        <f t="shared" si="485"/>
        <v>57733.023333333338</v>
      </c>
      <c r="HY97" s="142">
        <f t="shared" si="485"/>
        <v>57733.023333333338</v>
      </c>
      <c r="HZ97" s="142">
        <f t="shared" si="485"/>
        <v>57733.023333333338</v>
      </c>
      <c r="IA97" s="142">
        <f t="shared" si="485"/>
        <v>57733.023333333338</v>
      </c>
      <c r="IB97" s="142">
        <f t="shared" si="485"/>
        <v>57733.023333333338</v>
      </c>
      <c r="IC97" s="142">
        <f t="shared" si="485"/>
        <v>57733.023333333338</v>
      </c>
      <c r="ID97" s="142">
        <f t="shared" si="485"/>
        <v>57733.023333333338</v>
      </c>
      <c r="IE97" s="142">
        <f t="shared" si="485"/>
        <v>57733.023333333338</v>
      </c>
      <c r="IF97" s="142">
        <f t="shared" si="485"/>
        <v>57733.023333333338</v>
      </c>
      <c r="IG97" s="142">
        <f t="shared" si="485"/>
        <v>57733.023333333338</v>
      </c>
      <c r="IH97" s="142">
        <f t="shared" si="485"/>
        <v>57733.023333333338</v>
      </c>
      <c r="II97" s="142">
        <f t="shared" si="485"/>
        <v>57733.023333333338</v>
      </c>
      <c r="IJ97" s="142">
        <f t="shared" si="485"/>
        <v>57733.023333333338</v>
      </c>
      <c r="IK97" s="142">
        <f t="shared" si="485"/>
        <v>57733.023333333338</v>
      </c>
      <c r="IL97" s="142">
        <f t="shared" si="485"/>
        <v>57733.023333333338</v>
      </c>
      <c r="IM97" s="142">
        <f t="shared" si="485"/>
        <v>57733.023333333338</v>
      </c>
      <c r="IN97" s="142">
        <f t="shared" si="485"/>
        <v>57733.023333333338</v>
      </c>
      <c r="IO97" s="142">
        <f t="shared" si="485"/>
        <v>57733.023333333338</v>
      </c>
      <c r="IP97" s="142">
        <f t="shared" si="485"/>
        <v>57733.023333333338</v>
      </c>
      <c r="IQ97" s="141">
        <f>IF(ISBLANK($A97),,IF($AN97="Não",0,(SUM($AO97:AO97)*$AH97)-SUM($HM97:HM97)-SUM($CW97:CW97)))</f>
        <v>0</v>
      </c>
      <c r="IR97" s="141">
        <f>IF(ISBLANK($A97),,IF($AN97="Não",0,(SUM($AO97:AP97)*$AH97)-SUM($HM97:HN97)-SUM($CW97:CX97)))</f>
        <v>0</v>
      </c>
      <c r="IS97" s="141">
        <f>IF(ISBLANK($A97),,IF($AN97="Não",0,(SUM($AO97:AQ97)*$AH97)-SUM($HM97:HO97)-SUM($CW97:CY97)))</f>
        <v>0</v>
      </c>
      <c r="IT97" s="141">
        <f>IF(ISBLANK($A97),,IF($AN97="Não",0,(SUM($AO97:AR97)*$AH97)-SUM($HM97:HP97)-SUM($CW97:CZ97)))</f>
        <v>0</v>
      </c>
      <c r="IU97" s="141">
        <f>IF(ISBLANK($A97),,IF($AN97="Não",0,(SUM($AO97:AS97)*$AH97)-SUM($HM97:HQ97)-SUM($CW97:DA97)))</f>
        <v>0</v>
      </c>
      <c r="IV97" s="141">
        <f>IF(ISBLANK($A97),,IF($AN97="Não",0,(SUM($AO97:AT97)*$AH97)-SUM($HM97:HR97)-SUM($CW97:DB97)))</f>
        <v>0</v>
      </c>
      <c r="IW97" s="141">
        <f>IF(ISBLANK($A97),,IF($AN97="Não",0,(SUM($AO97:AU97)*$AH97)-SUM($HM97:HS97)-SUM($CW97:DC97)))</f>
        <v>0</v>
      </c>
      <c r="IX97" s="141">
        <f>IF(ISBLANK($A97),,IF($AN97="Não",0,(SUM($AO97:AV97)*$AH97)-SUM($HM97:HT97)-SUM($CW97:DD97)))</f>
        <v>0</v>
      </c>
      <c r="IY97" s="141">
        <f>IF(ISBLANK($A97),,IF($AN97="Não",0,(SUM($AO97:AW97)*$AH97)-SUM($HM97:HU97)-SUM($CW97:DE97)))</f>
        <v>0</v>
      </c>
      <c r="IZ97" s="141">
        <f>IF(ISBLANK($A97),,IF($AN97="Não",0,(SUM($AO97:AX97)*$AH97)-SUM($HM97:HV97)-SUM($CW97:DF97)))</f>
        <v>0</v>
      </c>
      <c r="JA97" s="141">
        <f>IF(ISBLANK($A97),,IF($AN97="Não",0,(SUM($AO97:AY97)*$AH97)-SUM($HM97:HW97)-SUM($CW97:DG97)))</f>
        <v>0</v>
      </c>
      <c r="JB97" s="141">
        <f>IF(ISBLANK($A97),,IF($AN97="Não",0,(SUM($AO97:AZ97)*$AH97)-SUM($HM97:HX97)-SUM($CW97:DH97)))</f>
        <v>0</v>
      </c>
      <c r="JC97" s="141">
        <f>IF(ISBLANK($A97),,IF($AN97="Não",0,(SUM($AO97:BA97)*$AH97)-SUM($HM97:HY97)-SUM($CW97:DI97)))</f>
        <v>0</v>
      </c>
      <c r="JD97" s="141">
        <f>IF(ISBLANK($A97),,IF($AN97="Não",0,(SUM($AO97:BB97)*$AH97)-SUM($HM97:HZ97)-SUM($CW97:DJ97)))</f>
        <v>0</v>
      </c>
      <c r="JE97" s="141">
        <f>IF(ISBLANK($A97),,IF($AN97="Não",0,(SUM($AO97:BC97)*$AH97)-SUM($HM97:IA97)-SUM($CW97:DK97)))</f>
        <v>0</v>
      </c>
      <c r="JF97" s="141">
        <f>IF(ISBLANK($A97),,IF($AN97="Não",0,(SUM($AO97:BD97)*$AH97)-SUM($HM97:IB97)-SUM($CW97:DL97)))</f>
        <v>0</v>
      </c>
      <c r="JG97" s="141">
        <f>IF(ISBLANK($A97),,IF($AN97="Não",0,(SUM($AO97:BE97)*$AH97)-SUM($HM97:IC97)-SUM($CW97:DM97)))</f>
        <v>0</v>
      </c>
      <c r="JH97" s="141">
        <f>IF(ISBLANK($A97),,IF($AN97="Não",0,(SUM($AO97:BF97)*$AH97)-SUM($HM97:ID97)-SUM($CW97:DN97)))</f>
        <v>0</v>
      </c>
      <c r="JI97" s="141">
        <f>IF(ISBLANK($A97),,IF($AN97="Não",0,(SUM($AO97:BG97)*$AH97)-SUM($HM97:IE97)-SUM($CW97:DO97)))</f>
        <v>0</v>
      </c>
      <c r="JJ97" s="141">
        <f>IF(ISBLANK($A97),,IF($AN97="Não",0,(SUM($AO97:BH97)*$AH97)-SUM($HM97:IF97)-SUM($CW97:DP97)))</f>
        <v>0</v>
      </c>
      <c r="JK97" s="141">
        <f>IF(ISBLANK($A97),,IF($AN97="Não",0,(SUM($AO97:BI97)*$AH97)-SUM($HM97:IG97)-SUM($CW97:DQ97)))</f>
        <v>0</v>
      </c>
      <c r="JL97" s="141">
        <f>IF(ISBLANK($A97),,IF($AN97="Não",0,(SUM($AO97:BJ97)*$AH97)-SUM($HM97:IH97)-SUM($CW97:DR97)))</f>
        <v>0</v>
      </c>
      <c r="JM97" s="141">
        <f>IF(ISBLANK($A97),,IF($AN97="Não",0,(SUM($AO97:BK97)*$AH97)-SUM($HM97:II97)-SUM($CW97:DS97)))</f>
        <v>0</v>
      </c>
      <c r="JN97" s="141">
        <f>IF(ISBLANK($A97),,IF($AN97="Não",0,(SUM($AO97:BL97)*$AH97)-SUM($HM97:IJ97)-SUM($CW97:DT97)))</f>
        <v>0</v>
      </c>
      <c r="JO97" s="141">
        <f>IF(ISBLANK($A97),,IF($AN97="Não",0,(SUM($AO97:BM97)*$AH97)-SUM($HM97:IK97)-SUM($CW97:DU97)))</f>
        <v>0</v>
      </c>
      <c r="JP97" s="141">
        <f>IF(ISBLANK($A97),,IF($AN97="Não",0,(SUM($AO97:BN97)*$AH97)-SUM($HM97:IL97)-SUM($CW97:DV97)))</f>
        <v>0</v>
      </c>
      <c r="JQ97" s="141">
        <f>IF(ISBLANK($A97),,IF($AN97="Não",0,(SUM($AO97:BO97)*$AH97)-SUM($HM97:IM97)-SUM($CW97:DW97)))</f>
        <v>0</v>
      </c>
      <c r="JR97" s="141">
        <f>IF(ISBLANK($A97),,IF($AN97="Não",0,(SUM($AO97:BP97)*$AH97)-SUM($HM97:IN97)-SUM($CW97:DX97)))</f>
        <v>0</v>
      </c>
      <c r="JS97" s="141">
        <f>IF(ISBLANK($A97),,IF($AN97="Não",0,(SUM($AO97:BQ97)*$AH97)-SUM($HM97:IO97)-SUM($CW97:DY97)))</f>
        <v>0</v>
      </c>
      <c r="JT97" s="141">
        <f>IF(ISBLANK($A97),,IF($AN97="Não",0,(SUM($AO97:BR97)*$AH97)-SUM($HM97:IP97)-SUM($CW97:DZ97)))</f>
        <v>0</v>
      </c>
    </row>
    <row r="98" spans="1:280" ht="15.75" customHeight="1">
      <c r="A98" s="129" t="s">
        <v>352</v>
      </c>
      <c r="B98" s="129" t="s">
        <v>191</v>
      </c>
      <c r="C98" s="138" t="s">
        <v>234</v>
      </c>
      <c r="D98" s="139">
        <v>100</v>
      </c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607">
        <f t="shared" si="399"/>
        <v>2372.59</v>
      </c>
      <c r="AI98" s="608">
        <f t="shared" si="400"/>
        <v>30</v>
      </c>
      <c r="AJ98" s="609">
        <f t="shared" si="401"/>
        <v>0</v>
      </c>
      <c r="AK98" s="610" t="str">
        <f t="shared" si="402"/>
        <v>Edificações</v>
      </c>
      <c r="AL98" s="609">
        <f t="shared" si="403"/>
        <v>0.05</v>
      </c>
      <c r="AM98" s="611" t="str">
        <f t="shared" si="404"/>
        <v>Sim</v>
      </c>
      <c r="AN98" s="611" t="str">
        <f t="shared" si="405"/>
        <v>Não</v>
      </c>
      <c r="AO98" s="140">
        <f t="array" ref="AO98">IF(ISBLANK($A98),0,IF(OR(AO$5-$AI98&lt;=0,$AM98="Não"),D98,D98+INDEX($AO$6:$BR$176,ROW()-5,COLUMN()-40-$AI98)))*IF($B98="Operacional",IFERROR(VLOOKUP($C98,SN_UGC,28,0),0),1)</f>
        <v>100</v>
      </c>
      <c r="AP98" s="140">
        <f t="array" ref="AP98">IF(ISBLANK($A98),0,IF(OR(AP$5-$AI98&lt;=0,$AM98="Não"),E98,E98+INDEX($AO$6:$BR$176,ROW()-5,COLUMN()-40-$AI98)))*IF($B98="Operacional",IFERROR(VLOOKUP($C98,SN_UGC,28,0),0),1)</f>
        <v>0</v>
      </c>
      <c r="AQ98" s="140">
        <f t="array" ref="AQ98">IF(ISBLANK($A98),0,IF(OR(AQ$5-$AI98&lt;=0,$AM98="Não"),F98,F98+INDEX($AO$6:$BR$176,ROW()-5,COLUMN()-40-$AI98)))*IF($B98="Operacional",IFERROR(VLOOKUP($C98,SN_UGC,28,0),0),1)</f>
        <v>0</v>
      </c>
      <c r="AR98" s="140">
        <f t="array" ref="AR98">IF(ISBLANK($A98),0,IF(OR(AR$5-$AI98&lt;=0,$AM98="Não"),G98,G98+INDEX($AO$6:$BR$176,ROW()-5,COLUMN()-40-$AI98)))*IF($B98="Operacional",IFERROR(VLOOKUP($C98,SN_UGC,28,0),0),1)</f>
        <v>0</v>
      </c>
      <c r="AS98" s="140">
        <f t="array" ref="AS98">IF(ISBLANK($A98),0,IF(OR(AS$5-$AI98&lt;=0,$AM98="Não"),H98,H98+INDEX($AO$6:$BR$176,ROW()-5,COLUMN()-40-$AI98)))*IF($B98="Operacional",IFERROR(VLOOKUP($C98,SN_UGC,28,0),0),1)</f>
        <v>0</v>
      </c>
      <c r="AT98" s="140">
        <f t="array" ref="AT98">IF(ISBLANK($A98),0,IF(OR(AT$5-$AI98&lt;=0,$AM98="Não"),I98,I98+INDEX($AO$6:$BR$176,ROW()-5,COLUMN()-40-$AI98)))*IF($B98="Operacional",IFERROR(VLOOKUP($C98,SN_UGC,28,0),0),1)</f>
        <v>0</v>
      </c>
      <c r="AU98" s="140">
        <f t="array" ref="AU98">IF(ISBLANK($A98),0,IF(OR(AU$5-$AI98&lt;=0,$AM98="Não"),J98,J98+INDEX($AO$6:$BR$176,ROW()-5,COLUMN()-40-$AI98)))*IF($B98="Operacional",IFERROR(VLOOKUP($C98,SN_UGC,28,0),0),1)</f>
        <v>0</v>
      </c>
      <c r="AV98" s="140">
        <f t="array" ref="AV98">IF(ISBLANK($A98),0,IF(OR(AV$5-$AI98&lt;=0,$AM98="Não"),K98,K98+INDEX($AO$6:$BR$176,ROW()-5,COLUMN()-40-$AI98)))*IF($B98="Operacional",IFERROR(VLOOKUP($C98,SN_UGC,28,0),0),1)</f>
        <v>0</v>
      </c>
      <c r="AW98" s="140">
        <f t="array" ref="AW98">IF(ISBLANK($A98),0,IF(OR(AW$5-$AI98&lt;=0,$AM98="Não"),L98,L98+INDEX($AO$6:$BR$176,ROW()-5,COLUMN()-40-$AI98)))*IF($B98="Operacional",IFERROR(VLOOKUP($C98,SN_UGC,28,0),0),1)</f>
        <v>0</v>
      </c>
      <c r="AX98" s="140">
        <f t="array" ref="AX98">IF(ISBLANK($A98),0,IF(OR(AX$5-$AI98&lt;=0,$AM98="Não"),M98,M98+INDEX($AO$6:$BR$176,ROW()-5,COLUMN()-40-$AI98)))*IF($B98="Operacional",IFERROR(VLOOKUP($C98,SN_UGC,28,0),0),1)</f>
        <v>0</v>
      </c>
      <c r="AY98" s="140">
        <f t="array" ref="AY98">IF(ISBLANK($A98),0,IF(OR(AY$5-$AI98&lt;=0,$AM98="Não"),N98,N98+INDEX($AO$6:$BR$176,ROW()-5,COLUMN()-40-$AI98)))*IF($B98="Operacional",IFERROR(VLOOKUP($C98,SN_UGC,28,0),0),1)</f>
        <v>0</v>
      </c>
      <c r="AZ98" s="140">
        <f t="array" ref="AZ98">IF(ISBLANK($A98),0,IF(OR(AZ$5-$AI98&lt;=0,$AM98="Não"),O98,O98+INDEX($AO$6:$BR$176,ROW()-5,COLUMN()-40-$AI98)))*IF($B98="Operacional",IFERROR(VLOOKUP($C98,SN_UGC,28,0),0),1)</f>
        <v>0</v>
      </c>
      <c r="BA98" s="140">
        <f t="array" ref="BA98">IF(ISBLANK($A98),0,IF(OR(BA$5-$AI98&lt;=0,$AM98="Não"),P98,P98+INDEX($AO$6:$BR$176,ROW()-5,COLUMN()-40-$AI98)))*IF($B98="Operacional",IFERROR(VLOOKUP($C98,SN_UGC,28,0),0),1)</f>
        <v>0</v>
      </c>
      <c r="BB98" s="140">
        <f t="array" ref="BB98">IF(ISBLANK($A98),0,IF(OR(BB$5-$AI98&lt;=0,$AM98="Não"),Q98,Q98+INDEX($AO$6:$BR$176,ROW()-5,COLUMN()-40-$AI98)))*IF($B98="Operacional",IFERROR(VLOOKUP($C98,SN_UGC,28,0),0),1)</f>
        <v>0</v>
      </c>
      <c r="BC98" s="140">
        <f t="array" ref="BC98">IF(ISBLANK($A98),0,IF(OR(BC$5-$AI98&lt;=0,$AM98="Não"),R98,R98+INDEX($AO$6:$BR$176,ROW()-5,COLUMN()-40-$AI98)))*IF($B98="Operacional",IFERROR(VLOOKUP($C98,SN_UGC,28,0),0),1)</f>
        <v>0</v>
      </c>
      <c r="BD98" s="140">
        <f t="array" ref="BD98">IF(ISBLANK($A98),0,IF(OR(BD$5-$AI98&lt;=0,$AM98="Não"),S98,S98+INDEX($AO$6:$BR$176,ROW()-5,COLUMN()-40-$AI98)))*IF($B98="Operacional",IFERROR(VLOOKUP($C98,SN_UGC,28,0),0),1)</f>
        <v>0</v>
      </c>
      <c r="BE98" s="140">
        <f t="array" ref="BE98">IF(ISBLANK($A98),0,IF(OR(BE$5-$AI98&lt;=0,$AM98="Não"),T98,T98+INDEX($AO$6:$BR$176,ROW()-5,COLUMN()-40-$AI98)))*IF($B98="Operacional",IFERROR(VLOOKUP($C98,SN_UGC,28,0),0),1)</f>
        <v>0</v>
      </c>
      <c r="BF98" s="140">
        <f t="array" ref="BF98">IF(ISBLANK($A98),0,IF(OR(BF$5-$AI98&lt;=0,$AM98="Não"),U98,U98+INDEX($AO$6:$BR$176,ROW()-5,COLUMN()-40-$AI98)))*IF($B98="Operacional",IFERROR(VLOOKUP($C98,SN_UGC,28,0),0),1)</f>
        <v>0</v>
      </c>
      <c r="BG98" s="140">
        <f t="array" ref="BG98">IF(ISBLANK($A98),0,IF(OR(BG$5-$AI98&lt;=0,$AM98="Não"),V98,V98+INDEX($AO$6:$BR$176,ROW()-5,COLUMN()-40-$AI98)))*IF($B98="Operacional",IFERROR(VLOOKUP($C98,SN_UGC,28,0),0),1)</f>
        <v>0</v>
      </c>
      <c r="BH98" s="140">
        <f t="array" ref="BH98">IF(ISBLANK($A98),0,IF(OR(BH$5-$AI98&lt;=0,$AM98="Não"),W98,W98+INDEX($AO$6:$BR$176,ROW()-5,COLUMN()-40-$AI98)))*IF($B98="Operacional",IFERROR(VLOOKUP($C98,SN_UGC,28,0),0),1)</f>
        <v>0</v>
      </c>
      <c r="BI98" s="140">
        <f t="array" ref="BI98">IF(ISBLANK($A98),0,IF(OR(BI$5-$AI98&lt;=0,$AM98="Não"),X98,X98+INDEX($AO$6:$BR$176,ROW()-5,COLUMN()-40-$AI98)))*IF($B98="Operacional",IFERROR(VLOOKUP($C98,SN_UGC,28,0),0),1)</f>
        <v>0</v>
      </c>
      <c r="BJ98" s="140">
        <f t="array" ref="BJ98">IF(ISBLANK($A98),0,IF(OR(BJ$5-$AI98&lt;=0,$AM98="Não"),Y98,Y98+INDEX($AO$6:$BR$176,ROW()-5,COLUMN()-40-$AI98)))*IF($B98="Operacional",IFERROR(VLOOKUP($C98,SN_UGC,28,0),0),1)</f>
        <v>0</v>
      </c>
      <c r="BK98" s="140">
        <f t="array" ref="BK98">IF(ISBLANK($A98),0,IF(OR(BK$5-$AI98&lt;=0,$AM98="Não"),Z98,Z98+INDEX($AO$6:$BR$176,ROW()-5,COLUMN()-40-$AI98)))*IF($B98="Operacional",IFERROR(VLOOKUP($C98,SN_UGC,28,0),0),1)</f>
        <v>0</v>
      </c>
      <c r="BL98" s="140">
        <f t="array" ref="BL98">IF(ISBLANK($A98),0,IF(OR(BL$5-$AI98&lt;=0,$AM98="Não"),AA98,AA98+INDEX($AO$6:$BR$176,ROW()-5,COLUMN()-40-$AI98)))*IF($B98="Operacional",IFERROR(VLOOKUP($C98,SN_UGC,28,0),0),1)</f>
        <v>0</v>
      </c>
      <c r="BM98" s="140">
        <f t="array" ref="BM98">IF(ISBLANK($A98),0,IF(OR(BM$5-$AI98&lt;=0,$AM98="Não"),AB98,AB98+INDEX($AO$6:$BR$176,ROW()-5,COLUMN()-40-$AI98)))*IF($B98="Operacional",IFERROR(VLOOKUP($C98,SN_UGC,28,0),0),1)</f>
        <v>0</v>
      </c>
      <c r="BN98" s="140">
        <f t="array" ref="BN98">IF(ISBLANK($A98),0,IF(OR(BN$5-$AI98&lt;=0,$AM98="Não"),AC98,AC98+INDEX($AO$6:$BR$176,ROW()-5,COLUMN()-40-$AI98)))*IF($B98="Operacional",IFERROR(VLOOKUP($C98,SN_UGC,28,0),0),1)</f>
        <v>0</v>
      </c>
      <c r="BO98" s="140">
        <f t="array" ref="BO98">IF(ISBLANK($A98),0,IF(OR(BO$5-$AI98&lt;=0,$AM98="Não"),AD98,AD98+INDEX($AO$6:$BR$176,ROW()-5,COLUMN()-40-$AI98)))*IF($B98="Operacional",IFERROR(VLOOKUP($C98,SN_UGC,28,0),0),1)</f>
        <v>0</v>
      </c>
      <c r="BP98" s="140">
        <f t="array" ref="BP98">IF(ISBLANK($A98),0,IF(OR(BP$5-$AI98&lt;=0,$AM98="Não"),AE98,AE98+INDEX($AO$6:$BR$176,ROW()-5,COLUMN()-40-$AI98)))*IF($B98="Operacional",IFERROR(VLOOKUP($C98,SN_UGC,28,0),0),1)</f>
        <v>0</v>
      </c>
      <c r="BQ98" s="140">
        <f t="array" ref="BQ98">IF(ISBLANK($A98),0,IF(OR(BQ$5-$AI98&lt;=0,$AM98="Não"),AF98,AF98+INDEX($AO$6:$BR$176,ROW()-5,COLUMN()-40-$AI98)))*IF($B98="Operacional",IFERROR(VLOOKUP($C98,SN_UGC,28,0),0),1)</f>
        <v>0</v>
      </c>
      <c r="BR98" s="140">
        <f t="array" ref="BR98">IF(ISBLANK($A98),0,IF(OR(BR$5-$AI98&lt;=0,$AM98="Não"),AG98,AG98+INDEX($AO$6:$BR$176,ROW()-5,COLUMN()-40-$AI98)))*IF($B98="Operacional",IFERROR(VLOOKUP($C98,SN_UGC,28,0),0),1)</f>
        <v>0</v>
      </c>
      <c r="BS98" s="141">
        <f t="shared" ref="BS98:CV98" si="486">IF(ISBLANK($A98),0,$AH98*AO98)</f>
        <v>237259</v>
      </c>
      <c r="BT98" s="141">
        <f t="shared" si="486"/>
        <v>0</v>
      </c>
      <c r="BU98" s="141">
        <f t="shared" si="486"/>
        <v>0</v>
      </c>
      <c r="BV98" s="141">
        <f t="shared" si="486"/>
        <v>0</v>
      </c>
      <c r="BW98" s="141">
        <f t="shared" si="486"/>
        <v>0</v>
      </c>
      <c r="BX98" s="141">
        <f t="shared" si="486"/>
        <v>0</v>
      </c>
      <c r="BY98" s="141">
        <f t="shared" si="486"/>
        <v>0</v>
      </c>
      <c r="BZ98" s="141">
        <f t="shared" si="486"/>
        <v>0</v>
      </c>
      <c r="CA98" s="141">
        <f t="shared" si="486"/>
        <v>0</v>
      </c>
      <c r="CB98" s="141">
        <f t="shared" si="486"/>
        <v>0</v>
      </c>
      <c r="CC98" s="141">
        <f t="shared" si="486"/>
        <v>0</v>
      </c>
      <c r="CD98" s="141">
        <f t="shared" si="486"/>
        <v>0</v>
      </c>
      <c r="CE98" s="141">
        <f t="shared" si="486"/>
        <v>0</v>
      </c>
      <c r="CF98" s="141">
        <f t="shared" si="486"/>
        <v>0</v>
      </c>
      <c r="CG98" s="141">
        <f t="shared" si="486"/>
        <v>0</v>
      </c>
      <c r="CH98" s="141">
        <f t="shared" si="486"/>
        <v>0</v>
      </c>
      <c r="CI98" s="141">
        <f t="shared" si="486"/>
        <v>0</v>
      </c>
      <c r="CJ98" s="141">
        <f t="shared" si="486"/>
        <v>0</v>
      </c>
      <c r="CK98" s="141">
        <f t="shared" si="486"/>
        <v>0</v>
      </c>
      <c r="CL98" s="141">
        <f t="shared" si="486"/>
        <v>0</v>
      </c>
      <c r="CM98" s="141">
        <f t="shared" si="486"/>
        <v>0</v>
      </c>
      <c r="CN98" s="141">
        <f t="shared" si="486"/>
        <v>0</v>
      </c>
      <c r="CO98" s="141">
        <f t="shared" si="486"/>
        <v>0</v>
      </c>
      <c r="CP98" s="141">
        <f t="shared" si="486"/>
        <v>0</v>
      </c>
      <c r="CQ98" s="141">
        <f t="shared" si="486"/>
        <v>0</v>
      </c>
      <c r="CR98" s="141">
        <f t="shared" si="486"/>
        <v>0</v>
      </c>
      <c r="CS98" s="141">
        <f t="shared" si="486"/>
        <v>0</v>
      </c>
      <c r="CT98" s="141">
        <f t="shared" si="486"/>
        <v>0</v>
      </c>
      <c r="CU98" s="141">
        <f t="shared" si="486"/>
        <v>0</v>
      </c>
      <c r="CV98" s="141">
        <f t="shared" si="486"/>
        <v>0</v>
      </c>
      <c r="CW98" s="142">
        <f t="shared" ref="CW98:DZ98" si="487">EA98*$AH98*$AJ98</f>
        <v>0</v>
      </c>
      <c r="CX98" s="142">
        <f t="shared" si="487"/>
        <v>0</v>
      </c>
      <c r="CY98" s="142">
        <f t="shared" si="487"/>
        <v>0</v>
      </c>
      <c r="CZ98" s="142">
        <f t="shared" si="487"/>
        <v>0</v>
      </c>
      <c r="DA98" s="142">
        <f t="shared" si="487"/>
        <v>0</v>
      </c>
      <c r="DB98" s="142">
        <f t="shared" si="487"/>
        <v>0</v>
      </c>
      <c r="DC98" s="142">
        <f t="shared" si="487"/>
        <v>0</v>
      </c>
      <c r="DD98" s="142">
        <f t="shared" si="487"/>
        <v>0</v>
      </c>
      <c r="DE98" s="142">
        <f t="shared" si="487"/>
        <v>0</v>
      </c>
      <c r="DF98" s="142">
        <f t="shared" si="487"/>
        <v>0</v>
      </c>
      <c r="DG98" s="142">
        <f t="shared" si="487"/>
        <v>0</v>
      </c>
      <c r="DH98" s="142">
        <f t="shared" si="487"/>
        <v>0</v>
      </c>
      <c r="DI98" s="142">
        <f t="shared" si="487"/>
        <v>0</v>
      </c>
      <c r="DJ98" s="142">
        <f t="shared" si="487"/>
        <v>0</v>
      </c>
      <c r="DK98" s="142">
        <f t="shared" si="487"/>
        <v>0</v>
      </c>
      <c r="DL98" s="142">
        <f t="shared" si="487"/>
        <v>0</v>
      </c>
      <c r="DM98" s="142">
        <f t="shared" si="487"/>
        <v>0</v>
      </c>
      <c r="DN98" s="142">
        <f t="shared" si="487"/>
        <v>0</v>
      </c>
      <c r="DO98" s="142">
        <f t="shared" si="487"/>
        <v>0</v>
      </c>
      <c r="DP98" s="142">
        <f t="shared" si="487"/>
        <v>0</v>
      </c>
      <c r="DQ98" s="142">
        <f t="shared" si="487"/>
        <v>0</v>
      </c>
      <c r="DR98" s="142">
        <f t="shared" si="487"/>
        <v>0</v>
      </c>
      <c r="DS98" s="142">
        <f t="shared" si="487"/>
        <v>0</v>
      </c>
      <c r="DT98" s="142">
        <f t="shared" si="487"/>
        <v>0</v>
      </c>
      <c r="DU98" s="142">
        <f t="shared" si="487"/>
        <v>0</v>
      </c>
      <c r="DV98" s="142">
        <f t="shared" si="487"/>
        <v>0</v>
      </c>
      <c r="DW98" s="142">
        <f t="shared" si="487"/>
        <v>0</v>
      </c>
      <c r="DX98" s="142">
        <f t="shared" si="487"/>
        <v>0</v>
      </c>
      <c r="DY98" s="142">
        <f t="shared" si="487"/>
        <v>0</v>
      </c>
      <c r="DZ98" s="142">
        <f t="shared" si="487"/>
        <v>0</v>
      </c>
      <c r="EA98" s="143">
        <f t="shared" si="339"/>
        <v>0</v>
      </c>
      <c r="EB98" s="143">
        <f t="shared" si="340"/>
        <v>0</v>
      </c>
      <c r="EC98" s="143">
        <f t="shared" si="341"/>
        <v>0</v>
      </c>
      <c r="ED98" s="143">
        <f t="shared" si="342"/>
        <v>0</v>
      </c>
      <c r="EE98" s="143">
        <f t="shared" si="343"/>
        <v>0</v>
      </c>
      <c r="EF98" s="143">
        <f t="shared" si="344"/>
        <v>0</v>
      </c>
      <c r="EG98" s="143">
        <f t="shared" si="345"/>
        <v>0</v>
      </c>
      <c r="EH98" s="143">
        <f t="shared" si="346"/>
        <v>0</v>
      </c>
      <c r="EI98" s="143">
        <f t="shared" si="347"/>
        <v>0</v>
      </c>
      <c r="EJ98" s="143">
        <f t="shared" si="348"/>
        <v>0</v>
      </c>
      <c r="EK98" s="143">
        <f t="shared" si="349"/>
        <v>0</v>
      </c>
      <c r="EL98" s="143">
        <f t="shared" si="350"/>
        <v>0</v>
      </c>
      <c r="EM98" s="143">
        <f t="shared" si="351"/>
        <v>0</v>
      </c>
      <c r="EN98" s="143">
        <f t="shared" si="352"/>
        <v>0</v>
      </c>
      <c r="EO98" s="143">
        <f t="shared" si="353"/>
        <v>0</v>
      </c>
      <c r="EP98" s="143">
        <f t="shared" si="354"/>
        <v>0</v>
      </c>
      <c r="EQ98" s="143">
        <f t="shared" si="355"/>
        <v>0</v>
      </c>
      <c r="ER98" s="143">
        <f t="shared" si="356"/>
        <v>0</v>
      </c>
      <c r="ES98" s="143">
        <f t="shared" si="357"/>
        <v>0</v>
      </c>
      <c r="ET98" s="143">
        <f t="shared" si="358"/>
        <v>0</v>
      </c>
      <c r="EU98" s="143">
        <f t="shared" si="359"/>
        <v>0</v>
      </c>
      <c r="EV98" s="143">
        <f t="shared" si="360"/>
        <v>0</v>
      </c>
      <c r="EW98" s="143">
        <f t="shared" si="361"/>
        <v>0</v>
      </c>
      <c r="EX98" s="143">
        <f t="shared" si="362"/>
        <v>0</v>
      </c>
      <c r="EY98" s="143">
        <f t="shared" si="363"/>
        <v>0</v>
      </c>
      <c r="EZ98" s="143">
        <f t="shared" si="364"/>
        <v>0</v>
      </c>
      <c r="FA98" s="143">
        <f t="shared" si="365"/>
        <v>0</v>
      </c>
      <c r="FB98" s="143">
        <f t="shared" si="366"/>
        <v>0</v>
      </c>
      <c r="FC98" s="143">
        <f t="shared" si="367"/>
        <v>0</v>
      </c>
      <c r="FD98" s="143">
        <f t="shared" si="368"/>
        <v>0</v>
      </c>
      <c r="FE98" s="140">
        <f>SUM($D98:D98)*IF($B98="Operacional",IFERROR(VLOOKUP($C98,SN_UGC,28,0),0),1)</f>
        <v>100</v>
      </c>
      <c r="FF98" s="140">
        <f>SUM($D98:E98)*IF($B98="Operacional",IFERROR(VLOOKUP($C98,SN_UGC,28,0),0),1)</f>
        <v>100</v>
      </c>
      <c r="FG98" s="140">
        <f>SUM($D98:F98)*IF($B98="Operacional",IFERROR(VLOOKUP($C98,SN_UGC,28,0),0),1)</f>
        <v>100</v>
      </c>
      <c r="FH98" s="140">
        <f>SUM($D98:G98)*IF($B98="Operacional",IFERROR(VLOOKUP($C98,SN_UGC,28,0),0),1)</f>
        <v>100</v>
      </c>
      <c r="FI98" s="140">
        <f>SUM($D98:H98)*IF($B98="Operacional",IFERROR(VLOOKUP($C98,SN_UGC,28,0),0),1)</f>
        <v>100</v>
      </c>
      <c r="FJ98" s="140">
        <f>SUM($D98:I98)*IF($B98="Operacional",IFERROR(VLOOKUP($C98,SN_UGC,28,0),0),1)</f>
        <v>100</v>
      </c>
      <c r="FK98" s="140">
        <f>SUM($D98:J98)*IF($B98="Operacional",IFERROR(VLOOKUP($C98,SN_UGC,28,0),0),1)</f>
        <v>100</v>
      </c>
      <c r="FL98" s="140">
        <f>SUM($D98:K98)*IF($B98="Operacional",IFERROR(VLOOKUP($C98,SN_UGC,28,0),0),1)</f>
        <v>100</v>
      </c>
      <c r="FM98" s="140">
        <f>SUM($D98:L98)*IF($B98="Operacional",IFERROR(VLOOKUP($C98,SN_UGC,28,0),0),1)</f>
        <v>100</v>
      </c>
      <c r="FN98" s="140">
        <f>SUM($D98:M98)*IF($B98="Operacional",IFERROR(VLOOKUP($C98,SN_UGC,28,0),0),1)</f>
        <v>100</v>
      </c>
      <c r="FO98" s="140">
        <f>SUM($D98:N98)*IF($B98="Operacional",IFERROR(VLOOKUP($C98,SN_UGC,28,0),0),1)</f>
        <v>100</v>
      </c>
      <c r="FP98" s="140">
        <f>SUM($D98:O98)*IF($B98="Operacional",IFERROR(VLOOKUP($C98,SN_UGC,28,0),0),1)</f>
        <v>100</v>
      </c>
      <c r="FQ98" s="140">
        <f>SUM($D98:P98)*IF($B98="Operacional",IFERROR(VLOOKUP($C98,SN_UGC,28,0),0),1)</f>
        <v>100</v>
      </c>
      <c r="FR98" s="140">
        <f>SUM($D98:Q98)*IF($B98="Operacional",IFERROR(VLOOKUP($C98,SN_UGC,28,0),0),1)</f>
        <v>100</v>
      </c>
      <c r="FS98" s="140">
        <f>SUM($D98:R98)*IF($B98="Operacional",IFERROR(VLOOKUP($C98,SN_UGC,28,0),0),1)</f>
        <v>100</v>
      </c>
      <c r="FT98" s="140">
        <f>SUM($D98:S98)*IF($B98="Operacional",IFERROR(VLOOKUP($C98,SN_UGC,28,0),0),1)</f>
        <v>100</v>
      </c>
      <c r="FU98" s="140">
        <f>SUM($D98:T98)*IF($B98="Operacional",IFERROR(VLOOKUP($C98,SN_UGC,28,0),0),1)</f>
        <v>100</v>
      </c>
      <c r="FV98" s="140">
        <f>SUM($D98:U98)*IF($B98="Operacional",IFERROR(VLOOKUP($C98,SN_UGC,28,0),0),1)</f>
        <v>100</v>
      </c>
      <c r="FW98" s="140">
        <f>SUM($D98:V98)*IF($B98="Operacional",IFERROR(VLOOKUP($C98,SN_UGC,28,0),0),1)</f>
        <v>100</v>
      </c>
      <c r="FX98" s="140">
        <f>SUM($D98:W98)*IF($B98="Operacional",IFERROR(VLOOKUP($C98,SN_UGC,28,0),0),1)</f>
        <v>100</v>
      </c>
      <c r="FY98" s="140">
        <f>SUM($D98:X98)*IF($B98="Operacional",IFERROR(VLOOKUP($C98,SN_UGC,28,0),0),1)</f>
        <v>100</v>
      </c>
      <c r="FZ98" s="140">
        <f>SUM($D98:Y98)*IF($B98="Operacional",IFERROR(VLOOKUP($C98,SN_UGC,28,0),0),1)</f>
        <v>100</v>
      </c>
      <c r="GA98" s="140">
        <f>SUM($D98:Z98)*IF($B98="Operacional",IFERROR(VLOOKUP($C98,SN_UGC,28,0),0),1)</f>
        <v>100</v>
      </c>
      <c r="GB98" s="140">
        <f>SUM($D98:AA98)*IF($B98="Operacional",IFERROR(VLOOKUP($C98,SN_UGC,28,0),0),1)</f>
        <v>100</v>
      </c>
      <c r="GC98" s="140">
        <f>SUM($D98:AB98)*IF($B98="Operacional",IFERROR(VLOOKUP($C98,SN_UGC,28,0),0),1)</f>
        <v>100</v>
      </c>
      <c r="GD98" s="140">
        <f>SUM($D98:AC98)*IF($B98="Operacional",IFERROR(VLOOKUP($C98,SN_UGC,28,0),0),1)</f>
        <v>100</v>
      </c>
      <c r="GE98" s="140">
        <f>SUM($D98:AD98)*IF($B98="Operacional",IFERROR(VLOOKUP($C98,SN_UGC,28,0),0),1)</f>
        <v>100</v>
      </c>
      <c r="GF98" s="140">
        <f>SUM($D98:AE98)*IF($B98="Operacional",IFERROR(VLOOKUP($C98,SN_UGC,28,0),0),1)</f>
        <v>100</v>
      </c>
      <c r="GG98" s="140">
        <f>SUM($D98:AF98)*IF($B98="Operacional",IFERROR(VLOOKUP($C98,SN_UGC,28,0),0),1)</f>
        <v>100</v>
      </c>
      <c r="GH98" s="140">
        <f>SUM($D98:AG98)*IF($B98="Operacional",IFERROR(VLOOKUP($C98,SN_UGC,28,0),0),1)</f>
        <v>100</v>
      </c>
      <c r="GI98" s="141">
        <f t="shared" ref="GI98:HL98" si="488">FE98*$AH98*$AL98</f>
        <v>11862.95</v>
      </c>
      <c r="GJ98" s="141">
        <f t="shared" si="488"/>
        <v>11862.95</v>
      </c>
      <c r="GK98" s="141">
        <f t="shared" si="488"/>
        <v>11862.95</v>
      </c>
      <c r="GL98" s="141">
        <f t="shared" si="488"/>
        <v>11862.95</v>
      </c>
      <c r="GM98" s="141">
        <f t="shared" si="488"/>
        <v>11862.95</v>
      </c>
      <c r="GN98" s="141">
        <f t="shared" si="488"/>
        <v>11862.95</v>
      </c>
      <c r="GO98" s="141">
        <f t="shared" si="488"/>
        <v>11862.95</v>
      </c>
      <c r="GP98" s="141">
        <f t="shared" si="488"/>
        <v>11862.95</v>
      </c>
      <c r="GQ98" s="141">
        <f t="shared" si="488"/>
        <v>11862.95</v>
      </c>
      <c r="GR98" s="141">
        <f t="shared" si="488"/>
        <v>11862.95</v>
      </c>
      <c r="GS98" s="141">
        <f t="shared" si="488"/>
        <v>11862.95</v>
      </c>
      <c r="GT98" s="141">
        <f t="shared" si="488"/>
        <v>11862.95</v>
      </c>
      <c r="GU98" s="141">
        <f t="shared" si="488"/>
        <v>11862.95</v>
      </c>
      <c r="GV98" s="141">
        <f t="shared" si="488"/>
        <v>11862.95</v>
      </c>
      <c r="GW98" s="141">
        <f t="shared" si="488"/>
        <v>11862.95</v>
      </c>
      <c r="GX98" s="141">
        <f t="shared" si="488"/>
        <v>11862.95</v>
      </c>
      <c r="GY98" s="141">
        <f t="shared" si="488"/>
        <v>11862.95</v>
      </c>
      <c r="GZ98" s="141">
        <f t="shared" si="488"/>
        <v>11862.95</v>
      </c>
      <c r="HA98" s="141">
        <f t="shared" si="488"/>
        <v>11862.95</v>
      </c>
      <c r="HB98" s="141">
        <f t="shared" si="488"/>
        <v>11862.95</v>
      </c>
      <c r="HC98" s="141">
        <f t="shared" si="488"/>
        <v>11862.95</v>
      </c>
      <c r="HD98" s="141">
        <f t="shared" si="488"/>
        <v>11862.95</v>
      </c>
      <c r="HE98" s="141">
        <f t="shared" si="488"/>
        <v>11862.95</v>
      </c>
      <c r="HF98" s="141">
        <f t="shared" si="488"/>
        <v>11862.95</v>
      </c>
      <c r="HG98" s="141">
        <f t="shared" si="488"/>
        <v>11862.95</v>
      </c>
      <c r="HH98" s="141">
        <f t="shared" si="488"/>
        <v>11862.95</v>
      </c>
      <c r="HI98" s="141">
        <f t="shared" si="488"/>
        <v>11862.95</v>
      </c>
      <c r="HJ98" s="141">
        <f t="shared" si="488"/>
        <v>11862.95</v>
      </c>
      <c r="HK98" s="141">
        <f t="shared" si="488"/>
        <v>11862.95</v>
      </c>
      <c r="HL98" s="141">
        <f t="shared" si="488"/>
        <v>11862.95</v>
      </c>
      <c r="HM98" s="142">
        <f t="shared" ref="HM98:IP98" si="489">IF(ISBLANK($A98),,FE98*($AH98-($AH98*$AJ98))/$AI98)</f>
        <v>7908.6333333333332</v>
      </c>
      <c r="HN98" s="142">
        <f t="shared" si="489"/>
        <v>7908.6333333333332</v>
      </c>
      <c r="HO98" s="142">
        <f t="shared" si="489"/>
        <v>7908.6333333333332</v>
      </c>
      <c r="HP98" s="142">
        <f t="shared" si="489"/>
        <v>7908.6333333333332</v>
      </c>
      <c r="HQ98" s="142">
        <f t="shared" si="489"/>
        <v>7908.6333333333332</v>
      </c>
      <c r="HR98" s="142">
        <f t="shared" si="489"/>
        <v>7908.6333333333332</v>
      </c>
      <c r="HS98" s="142">
        <f t="shared" si="489"/>
        <v>7908.6333333333332</v>
      </c>
      <c r="HT98" s="142">
        <f t="shared" si="489"/>
        <v>7908.6333333333332</v>
      </c>
      <c r="HU98" s="142">
        <f t="shared" si="489"/>
        <v>7908.6333333333332</v>
      </c>
      <c r="HV98" s="142">
        <f t="shared" si="489"/>
        <v>7908.6333333333332</v>
      </c>
      <c r="HW98" s="142">
        <f t="shared" si="489"/>
        <v>7908.6333333333332</v>
      </c>
      <c r="HX98" s="142">
        <f t="shared" si="489"/>
        <v>7908.6333333333332</v>
      </c>
      <c r="HY98" s="142">
        <f t="shared" si="489"/>
        <v>7908.6333333333332</v>
      </c>
      <c r="HZ98" s="142">
        <f t="shared" si="489"/>
        <v>7908.6333333333332</v>
      </c>
      <c r="IA98" s="142">
        <f t="shared" si="489"/>
        <v>7908.6333333333332</v>
      </c>
      <c r="IB98" s="142">
        <f t="shared" si="489"/>
        <v>7908.6333333333332</v>
      </c>
      <c r="IC98" s="142">
        <f t="shared" si="489"/>
        <v>7908.6333333333332</v>
      </c>
      <c r="ID98" s="142">
        <f t="shared" si="489"/>
        <v>7908.6333333333332</v>
      </c>
      <c r="IE98" s="142">
        <f t="shared" si="489"/>
        <v>7908.6333333333332</v>
      </c>
      <c r="IF98" s="142">
        <f t="shared" si="489"/>
        <v>7908.6333333333332</v>
      </c>
      <c r="IG98" s="142">
        <f t="shared" si="489"/>
        <v>7908.6333333333332</v>
      </c>
      <c r="IH98" s="142">
        <f t="shared" si="489"/>
        <v>7908.6333333333332</v>
      </c>
      <c r="II98" s="142">
        <f t="shared" si="489"/>
        <v>7908.6333333333332</v>
      </c>
      <c r="IJ98" s="142">
        <f t="shared" si="489"/>
        <v>7908.6333333333332</v>
      </c>
      <c r="IK98" s="142">
        <f t="shared" si="489"/>
        <v>7908.6333333333332</v>
      </c>
      <c r="IL98" s="142">
        <f t="shared" si="489"/>
        <v>7908.6333333333332</v>
      </c>
      <c r="IM98" s="142">
        <f t="shared" si="489"/>
        <v>7908.6333333333332</v>
      </c>
      <c r="IN98" s="142">
        <f t="shared" si="489"/>
        <v>7908.6333333333332</v>
      </c>
      <c r="IO98" s="142">
        <f t="shared" si="489"/>
        <v>7908.6333333333332</v>
      </c>
      <c r="IP98" s="142">
        <f t="shared" si="489"/>
        <v>7908.6333333333332</v>
      </c>
      <c r="IQ98" s="141">
        <f>IF(ISBLANK($A98),,IF($AN98="Não",0,(SUM($AO98:AO98)*$AH98)-SUM($HM98:HM98)-SUM($CW98:CW98)))</f>
        <v>0</v>
      </c>
      <c r="IR98" s="141">
        <f>IF(ISBLANK($A98),,IF($AN98="Não",0,(SUM($AO98:AP98)*$AH98)-SUM($HM98:HN98)-SUM($CW98:CX98)))</f>
        <v>0</v>
      </c>
      <c r="IS98" s="141">
        <f>IF(ISBLANK($A98),,IF($AN98="Não",0,(SUM($AO98:AQ98)*$AH98)-SUM($HM98:HO98)-SUM($CW98:CY98)))</f>
        <v>0</v>
      </c>
      <c r="IT98" s="141">
        <f>IF(ISBLANK($A98),,IF($AN98="Não",0,(SUM($AO98:AR98)*$AH98)-SUM($HM98:HP98)-SUM($CW98:CZ98)))</f>
        <v>0</v>
      </c>
      <c r="IU98" s="141">
        <f>IF(ISBLANK($A98),,IF($AN98="Não",0,(SUM($AO98:AS98)*$AH98)-SUM($HM98:HQ98)-SUM($CW98:DA98)))</f>
        <v>0</v>
      </c>
      <c r="IV98" s="141">
        <f>IF(ISBLANK($A98),,IF($AN98="Não",0,(SUM($AO98:AT98)*$AH98)-SUM($HM98:HR98)-SUM($CW98:DB98)))</f>
        <v>0</v>
      </c>
      <c r="IW98" s="141">
        <f>IF(ISBLANK($A98),,IF($AN98="Não",0,(SUM($AO98:AU98)*$AH98)-SUM($HM98:HS98)-SUM($CW98:DC98)))</f>
        <v>0</v>
      </c>
      <c r="IX98" s="141">
        <f>IF(ISBLANK($A98),,IF($AN98="Não",0,(SUM($AO98:AV98)*$AH98)-SUM($HM98:HT98)-SUM($CW98:DD98)))</f>
        <v>0</v>
      </c>
      <c r="IY98" s="141">
        <f>IF(ISBLANK($A98),,IF($AN98="Não",0,(SUM($AO98:AW98)*$AH98)-SUM($HM98:HU98)-SUM($CW98:DE98)))</f>
        <v>0</v>
      </c>
      <c r="IZ98" s="141">
        <f>IF(ISBLANK($A98),,IF($AN98="Não",0,(SUM($AO98:AX98)*$AH98)-SUM($HM98:HV98)-SUM($CW98:DF98)))</f>
        <v>0</v>
      </c>
      <c r="JA98" s="141">
        <f>IF(ISBLANK($A98),,IF($AN98="Não",0,(SUM($AO98:AY98)*$AH98)-SUM($HM98:HW98)-SUM($CW98:DG98)))</f>
        <v>0</v>
      </c>
      <c r="JB98" s="141">
        <f>IF(ISBLANK($A98),,IF($AN98="Não",0,(SUM($AO98:AZ98)*$AH98)-SUM($HM98:HX98)-SUM($CW98:DH98)))</f>
        <v>0</v>
      </c>
      <c r="JC98" s="141">
        <f>IF(ISBLANK($A98),,IF($AN98="Não",0,(SUM($AO98:BA98)*$AH98)-SUM($HM98:HY98)-SUM($CW98:DI98)))</f>
        <v>0</v>
      </c>
      <c r="JD98" s="141">
        <f>IF(ISBLANK($A98),,IF($AN98="Não",0,(SUM($AO98:BB98)*$AH98)-SUM($HM98:HZ98)-SUM($CW98:DJ98)))</f>
        <v>0</v>
      </c>
      <c r="JE98" s="141">
        <f>IF(ISBLANK($A98),,IF($AN98="Não",0,(SUM($AO98:BC98)*$AH98)-SUM($HM98:IA98)-SUM($CW98:DK98)))</f>
        <v>0</v>
      </c>
      <c r="JF98" s="141">
        <f>IF(ISBLANK($A98),,IF($AN98="Não",0,(SUM($AO98:BD98)*$AH98)-SUM($HM98:IB98)-SUM($CW98:DL98)))</f>
        <v>0</v>
      </c>
      <c r="JG98" s="141">
        <f>IF(ISBLANK($A98),,IF($AN98="Não",0,(SUM($AO98:BE98)*$AH98)-SUM($HM98:IC98)-SUM($CW98:DM98)))</f>
        <v>0</v>
      </c>
      <c r="JH98" s="141">
        <f>IF(ISBLANK($A98),,IF($AN98="Não",0,(SUM($AO98:BF98)*$AH98)-SUM($HM98:ID98)-SUM($CW98:DN98)))</f>
        <v>0</v>
      </c>
      <c r="JI98" s="141">
        <f>IF(ISBLANK($A98),,IF($AN98="Não",0,(SUM($AO98:BG98)*$AH98)-SUM($HM98:IE98)-SUM($CW98:DO98)))</f>
        <v>0</v>
      </c>
      <c r="JJ98" s="141">
        <f>IF(ISBLANK($A98),,IF($AN98="Não",0,(SUM($AO98:BH98)*$AH98)-SUM($HM98:IF98)-SUM($CW98:DP98)))</f>
        <v>0</v>
      </c>
      <c r="JK98" s="141">
        <f>IF(ISBLANK($A98),,IF($AN98="Não",0,(SUM($AO98:BI98)*$AH98)-SUM($HM98:IG98)-SUM($CW98:DQ98)))</f>
        <v>0</v>
      </c>
      <c r="JL98" s="141">
        <f>IF(ISBLANK($A98),,IF($AN98="Não",0,(SUM($AO98:BJ98)*$AH98)-SUM($HM98:IH98)-SUM($CW98:DR98)))</f>
        <v>0</v>
      </c>
      <c r="JM98" s="141">
        <f>IF(ISBLANK($A98),,IF($AN98="Não",0,(SUM($AO98:BK98)*$AH98)-SUM($HM98:II98)-SUM($CW98:DS98)))</f>
        <v>0</v>
      </c>
      <c r="JN98" s="141">
        <f>IF(ISBLANK($A98),,IF($AN98="Não",0,(SUM($AO98:BL98)*$AH98)-SUM($HM98:IJ98)-SUM($CW98:DT98)))</f>
        <v>0</v>
      </c>
      <c r="JO98" s="141">
        <f>IF(ISBLANK($A98),,IF($AN98="Não",0,(SUM($AO98:BM98)*$AH98)-SUM($HM98:IK98)-SUM($CW98:DU98)))</f>
        <v>0</v>
      </c>
      <c r="JP98" s="141">
        <f>IF(ISBLANK($A98),,IF($AN98="Não",0,(SUM($AO98:BN98)*$AH98)-SUM($HM98:IL98)-SUM($CW98:DV98)))</f>
        <v>0</v>
      </c>
      <c r="JQ98" s="141">
        <f>IF(ISBLANK($A98),,IF($AN98="Não",0,(SUM($AO98:BO98)*$AH98)-SUM($HM98:IM98)-SUM($CW98:DW98)))</f>
        <v>0</v>
      </c>
      <c r="JR98" s="141">
        <f>IF(ISBLANK($A98),,IF($AN98="Não",0,(SUM($AO98:BP98)*$AH98)-SUM($HM98:IN98)-SUM($CW98:DX98)))</f>
        <v>0</v>
      </c>
      <c r="JS98" s="141">
        <f>IF(ISBLANK($A98),,IF($AN98="Não",0,(SUM($AO98:BQ98)*$AH98)-SUM($HM98:IO98)-SUM($CW98:DY98)))</f>
        <v>0</v>
      </c>
      <c r="JT98" s="141">
        <f>IF(ISBLANK($A98),,IF($AN98="Não",0,(SUM($AO98:BR98)*$AH98)-SUM($HM98:IP98)-SUM($CW98:DZ98)))</f>
        <v>0</v>
      </c>
    </row>
    <row r="99" spans="1:280" ht="15.75" customHeight="1">
      <c r="A99" s="129" t="s">
        <v>422</v>
      </c>
      <c r="B99" s="129" t="s">
        <v>191</v>
      </c>
      <c r="C99" s="138" t="s">
        <v>192</v>
      </c>
      <c r="D99" s="139">
        <v>8.4</v>
      </c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607">
        <f t="shared" si="399"/>
        <v>77000</v>
      </c>
      <c r="AI99" s="608">
        <f t="shared" si="400"/>
        <v>30</v>
      </c>
      <c r="AJ99" s="609">
        <f t="shared" si="401"/>
        <v>0.5</v>
      </c>
      <c r="AK99" s="610" t="str">
        <f t="shared" si="402"/>
        <v>Infraestrutura</v>
      </c>
      <c r="AL99" s="609">
        <f t="shared" si="403"/>
        <v>0.05</v>
      </c>
      <c r="AM99" s="611" t="str">
        <f t="shared" si="404"/>
        <v>Sim</v>
      </c>
      <c r="AN99" s="611" t="str">
        <f t="shared" si="405"/>
        <v>Não</v>
      </c>
      <c r="AO99" s="140">
        <f t="array" ref="AO99">IF(ISBLANK($A99),0,IF(OR(AO$5-$AI99&lt;=0,$AM99="Não"),D99,D99+INDEX($AO$6:$BR$176,ROW()-5,COLUMN()-40-$AI99)))*IF($B99="Operacional",IFERROR(VLOOKUP($C99,SN_UGC,28,0),0),1)</f>
        <v>8.4</v>
      </c>
      <c r="AP99" s="140">
        <f t="array" ref="AP99">IF(ISBLANK($A99),0,IF(OR(AP$5-$AI99&lt;=0,$AM99="Não"),E99,E99+INDEX($AO$6:$BR$176,ROW()-5,COLUMN()-40-$AI99)))*IF($B99="Operacional",IFERROR(VLOOKUP($C99,SN_UGC,28,0),0),1)</f>
        <v>0</v>
      </c>
      <c r="AQ99" s="140">
        <f t="array" ref="AQ99">IF(ISBLANK($A99),0,IF(OR(AQ$5-$AI99&lt;=0,$AM99="Não"),F99,F99+INDEX($AO$6:$BR$176,ROW()-5,COLUMN()-40-$AI99)))*IF($B99="Operacional",IFERROR(VLOOKUP($C99,SN_UGC,28,0),0),1)</f>
        <v>0</v>
      </c>
      <c r="AR99" s="140">
        <f t="array" ref="AR99">IF(ISBLANK($A99),0,IF(OR(AR$5-$AI99&lt;=0,$AM99="Não"),G99,G99+INDEX($AO$6:$BR$176,ROW()-5,COLUMN()-40-$AI99)))*IF($B99="Operacional",IFERROR(VLOOKUP($C99,SN_UGC,28,0),0),1)</f>
        <v>0</v>
      </c>
      <c r="AS99" s="140">
        <f t="array" ref="AS99">IF(ISBLANK($A99),0,IF(OR(AS$5-$AI99&lt;=0,$AM99="Não"),H99,H99+INDEX($AO$6:$BR$176,ROW()-5,COLUMN()-40-$AI99)))*IF($B99="Operacional",IFERROR(VLOOKUP($C99,SN_UGC,28,0),0),1)</f>
        <v>0</v>
      </c>
      <c r="AT99" s="140">
        <f t="array" ref="AT99">IF(ISBLANK($A99),0,IF(OR(AT$5-$AI99&lt;=0,$AM99="Não"),I99,I99+INDEX($AO$6:$BR$176,ROW()-5,COLUMN()-40-$AI99)))*IF($B99="Operacional",IFERROR(VLOOKUP($C99,SN_UGC,28,0),0),1)</f>
        <v>0</v>
      </c>
      <c r="AU99" s="140">
        <f t="array" ref="AU99">IF(ISBLANK($A99),0,IF(OR(AU$5-$AI99&lt;=0,$AM99="Não"),J99,J99+INDEX($AO$6:$BR$176,ROW()-5,COLUMN()-40-$AI99)))*IF($B99="Operacional",IFERROR(VLOOKUP($C99,SN_UGC,28,0),0),1)</f>
        <v>0</v>
      </c>
      <c r="AV99" s="140">
        <f t="array" ref="AV99">IF(ISBLANK($A99),0,IF(OR(AV$5-$AI99&lt;=0,$AM99="Não"),K99,K99+INDEX($AO$6:$BR$176,ROW()-5,COLUMN()-40-$AI99)))*IF($B99="Operacional",IFERROR(VLOOKUP($C99,SN_UGC,28,0),0),1)</f>
        <v>0</v>
      </c>
      <c r="AW99" s="140">
        <f t="array" ref="AW99">IF(ISBLANK($A99),0,IF(OR(AW$5-$AI99&lt;=0,$AM99="Não"),L99,L99+INDEX($AO$6:$BR$176,ROW()-5,COLUMN()-40-$AI99)))*IF($B99="Operacional",IFERROR(VLOOKUP($C99,SN_UGC,28,0),0),1)</f>
        <v>0</v>
      </c>
      <c r="AX99" s="140">
        <f t="array" ref="AX99">IF(ISBLANK($A99),0,IF(OR(AX$5-$AI99&lt;=0,$AM99="Não"),M99,M99+INDEX($AO$6:$BR$176,ROW()-5,COLUMN()-40-$AI99)))*IF($B99="Operacional",IFERROR(VLOOKUP($C99,SN_UGC,28,0),0),1)</f>
        <v>0</v>
      </c>
      <c r="AY99" s="140">
        <f t="array" ref="AY99">IF(ISBLANK($A99),0,IF(OR(AY$5-$AI99&lt;=0,$AM99="Não"),N99,N99+INDEX($AO$6:$BR$176,ROW()-5,COLUMN()-40-$AI99)))*IF($B99="Operacional",IFERROR(VLOOKUP($C99,SN_UGC,28,0),0),1)</f>
        <v>0</v>
      </c>
      <c r="AZ99" s="140">
        <f t="array" ref="AZ99">IF(ISBLANK($A99),0,IF(OR(AZ$5-$AI99&lt;=0,$AM99="Não"),O99,O99+INDEX($AO$6:$BR$176,ROW()-5,COLUMN()-40-$AI99)))*IF($B99="Operacional",IFERROR(VLOOKUP($C99,SN_UGC,28,0),0),1)</f>
        <v>0</v>
      </c>
      <c r="BA99" s="140">
        <f t="array" ref="BA99">IF(ISBLANK($A99),0,IF(OR(BA$5-$AI99&lt;=0,$AM99="Não"),P99,P99+INDEX($AO$6:$BR$176,ROW()-5,COLUMN()-40-$AI99)))*IF($B99="Operacional",IFERROR(VLOOKUP($C99,SN_UGC,28,0),0),1)</f>
        <v>0</v>
      </c>
      <c r="BB99" s="140">
        <f t="array" ref="BB99">IF(ISBLANK($A99),0,IF(OR(BB$5-$AI99&lt;=0,$AM99="Não"),Q99,Q99+INDEX($AO$6:$BR$176,ROW()-5,COLUMN()-40-$AI99)))*IF($B99="Operacional",IFERROR(VLOOKUP($C99,SN_UGC,28,0),0),1)</f>
        <v>0</v>
      </c>
      <c r="BC99" s="140">
        <f t="array" ref="BC99">IF(ISBLANK($A99),0,IF(OR(BC$5-$AI99&lt;=0,$AM99="Não"),R99,R99+INDEX($AO$6:$BR$176,ROW()-5,COLUMN()-40-$AI99)))*IF($B99="Operacional",IFERROR(VLOOKUP($C99,SN_UGC,28,0),0),1)</f>
        <v>0</v>
      </c>
      <c r="BD99" s="140">
        <f t="array" ref="BD99">IF(ISBLANK($A99),0,IF(OR(BD$5-$AI99&lt;=0,$AM99="Não"),S99,S99+INDEX($AO$6:$BR$176,ROW()-5,COLUMN()-40-$AI99)))*IF($B99="Operacional",IFERROR(VLOOKUP($C99,SN_UGC,28,0),0),1)</f>
        <v>0</v>
      </c>
      <c r="BE99" s="140">
        <f t="array" ref="BE99">IF(ISBLANK($A99),0,IF(OR(BE$5-$AI99&lt;=0,$AM99="Não"),T99,T99+INDEX($AO$6:$BR$176,ROW()-5,COLUMN()-40-$AI99)))*IF($B99="Operacional",IFERROR(VLOOKUP($C99,SN_UGC,28,0),0),1)</f>
        <v>0</v>
      </c>
      <c r="BF99" s="140">
        <f t="array" ref="BF99">IF(ISBLANK($A99),0,IF(OR(BF$5-$AI99&lt;=0,$AM99="Não"),U99,U99+INDEX($AO$6:$BR$176,ROW()-5,COLUMN()-40-$AI99)))*IF($B99="Operacional",IFERROR(VLOOKUP($C99,SN_UGC,28,0),0),1)</f>
        <v>0</v>
      </c>
      <c r="BG99" s="140">
        <f t="array" ref="BG99">IF(ISBLANK($A99),0,IF(OR(BG$5-$AI99&lt;=0,$AM99="Não"),V99,V99+INDEX($AO$6:$BR$176,ROW()-5,COLUMN()-40-$AI99)))*IF($B99="Operacional",IFERROR(VLOOKUP($C99,SN_UGC,28,0),0),1)</f>
        <v>0</v>
      </c>
      <c r="BH99" s="140">
        <f t="array" ref="BH99">IF(ISBLANK($A99),0,IF(OR(BH$5-$AI99&lt;=0,$AM99="Não"),W99,W99+INDEX($AO$6:$BR$176,ROW()-5,COLUMN()-40-$AI99)))*IF($B99="Operacional",IFERROR(VLOOKUP($C99,SN_UGC,28,0),0),1)</f>
        <v>0</v>
      </c>
      <c r="BI99" s="140">
        <f t="array" ref="BI99">IF(ISBLANK($A99),0,IF(OR(BI$5-$AI99&lt;=0,$AM99="Não"),X99,X99+INDEX($AO$6:$BR$176,ROW()-5,COLUMN()-40-$AI99)))*IF($B99="Operacional",IFERROR(VLOOKUP($C99,SN_UGC,28,0),0),1)</f>
        <v>0</v>
      </c>
      <c r="BJ99" s="140">
        <f t="array" ref="BJ99">IF(ISBLANK($A99),0,IF(OR(BJ$5-$AI99&lt;=0,$AM99="Não"),Y99,Y99+INDEX($AO$6:$BR$176,ROW()-5,COLUMN()-40-$AI99)))*IF($B99="Operacional",IFERROR(VLOOKUP($C99,SN_UGC,28,0),0),1)</f>
        <v>0</v>
      </c>
      <c r="BK99" s="140">
        <f t="array" ref="BK99">IF(ISBLANK($A99),0,IF(OR(BK$5-$AI99&lt;=0,$AM99="Não"),Z99,Z99+INDEX($AO$6:$BR$176,ROW()-5,COLUMN()-40-$AI99)))*IF($B99="Operacional",IFERROR(VLOOKUP($C99,SN_UGC,28,0),0),1)</f>
        <v>0</v>
      </c>
      <c r="BL99" s="140">
        <f t="array" ref="BL99">IF(ISBLANK($A99),0,IF(OR(BL$5-$AI99&lt;=0,$AM99="Não"),AA99,AA99+INDEX($AO$6:$BR$176,ROW()-5,COLUMN()-40-$AI99)))*IF($B99="Operacional",IFERROR(VLOOKUP($C99,SN_UGC,28,0),0),1)</f>
        <v>0</v>
      </c>
      <c r="BM99" s="140">
        <f t="array" ref="BM99">IF(ISBLANK($A99),0,IF(OR(BM$5-$AI99&lt;=0,$AM99="Não"),AB99,AB99+INDEX($AO$6:$BR$176,ROW()-5,COLUMN()-40-$AI99)))*IF($B99="Operacional",IFERROR(VLOOKUP($C99,SN_UGC,28,0),0),1)</f>
        <v>0</v>
      </c>
      <c r="BN99" s="140">
        <f t="array" ref="BN99">IF(ISBLANK($A99),0,IF(OR(BN$5-$AI99&lt;=0,$AM99="Não"),AC99,AC99+INDEX($AO$6:$BR$176,ROW()-5,COLUMN()-40-$AI99)))*IF($B99="Operacional",IFERROR(VLOOKUP($C99,SN_UGC,28,0),0),1)</f>
        <v>0</v>
      </c>
      <c r="BO99" s="140">
        <f t="array" ref="BO99">IF(ISBLANK($A99),0,IF(OR(BO$5-$AI99&lt;=0,$AM99="Não"),AD99,AD99+INDEX($AO$6:$BR$176,ROW()-5,COLUMN()-40-$AI99)))*IF($B99="Operacional",IFERROR(VLOOKUP($C99,SN_UGC,28,0),0),1)</f>
        <v>0</v>
      </c>
      <c r="BP99" s="140">
        <f t="array" ref="BP99">IF(ISBLANK($A99),0,IF(OR(BP$5-$AI99&lt;=0,$AM99="Não"),AE99,AE99+INDEX($AO$6:$BR$176,ROW()-5,COLUMN()-40-$AI99)))*IF($B99="Operacional",IFERROR(VLOOKUP($C99,SN_UGC,28,0),0),1)</f>
        <v>0</v>
      </c>
      <c r="BQ99" s="140">
        <f t="array" ref="BQ99">IF(ISBLANK($A99),0,IF(OR(BQ$5-$AI99&lt;=0,$AM99="Não"),AF99,AF99+INDEX($AO$6:$BR$176,ROW()-5,COLUMN()-40-$AI99)))*IF($B99="Operacional",IFERROR(VLOOKUP($C99,SN_UGC,28,0),0),1)</f>
        <v>0</v>
      </c>
      <c r="BR99" s="140">
        <f t="array" ref="BR99">IF(ISBLANK($A99),0,IF(OR(BR$5-$AI99&lt;=0,$AM99="Não"),AG99,AG99+INDEX($AO$6:$BR$176,ROW()-5,COLUMN()-40-$AI99)))*IF($B99="Operacional",IFERROR(VLOOKUP($C99,SN_UGC,28,0),0),1)</f>
        <v>0</v>
      </c>
      <c r="BS99" s="141">
        <f t="shared" ref="BS99:CV99" si="490">IF(ISBLANK($A99),0,$AH99*AO99)</f>
        <v>646800</v>
      </c>
      <c r="BT99" s="141">
        <f t="shared" si="490"/>
        <v>0</v>
      </c>
      <c r="BU99" s="141">
        <f t="shared" si="490"/>
        <v>0</v>
      </c>
      <c r="BV99" s="141">
        <f t="shared" si="490"/>
        <v>0</v>
      </c>
      <c r="BW99" s="141">
        <f t="shared" si="490"/>
        <v>0</v>
      </c>
      <c r="BX99" s="141">
        <f t="shared" si="490"/>
        <v>0</v>
      </c>
      <c r="BY99" s="141">
        <f t="shared" si="490"/>
        <v>0</v>
      </c>
      <c r="BZ99" s="141">
        <f t="shared" si="490"/>
        <v>0</v>
      </c>
      <c r="CA99" s="141">
        <f t="shared" si="490"/>
        <v>0</v>
      </c>
      <c r="CB99" s="141">
        <f t="shared" si="490"/>
        <v>0</v>
      </c>
      <c r="CC99" s="141">
        <f t="shared" si="490"/>
        <v>0</v>
      </c>
      <c r="CD99" s="141">
        <f t="shared" si="490"/>
        <v>0</v>
      </c>
      <c r="CE99" s="141">
        <f t="shared" si="490"/>
        <v>0</v>
      </c>
      <c r="CF99" s="141">
        <f t="shared" si="490"/>
        <v>0</v>
      </c>
      <c r="CG99" s="141">
        <f t="shared" si="490"/>
        <v>0</v>
      </c>
      <c r="CH99" s="141">
        <f t="shared" si="490"/>
        <v>0</v>
      </c>
      <c r="CI99" s="141">
        <f t="shared" si="490"/>
        <v>0</v>
      </c>
      <c r="CJ99" s="141">
        <f t="shared" si="490"/>
        <v>0</v>
      </c>
      <c r="CK99" s="141">
        <f t="shared" si="490"/>
        <v>0</v>
      </c>
      <c r="CL99" s="141">
        <f t="shared" si="490"/>
        <v>0</v>
      </c>
      <c r="CM99" s="141">
        <f t="shared" si="490"/>
        <v>0</v>
      </c>
      <c r="CN99" s="141">
        <f t="shared" si="490"/>
        <v>0</v>
      </c>
      <c r="CO99" s="141">
        <f t="shared" si="490"/>
        <v>0</v>
      </c>
      <c r="CP99" s="141">
        <f t="shared" si="490"/>
        <v>0</v>
      </c>
      <c r="CQ99" s="141">
        <f t="shared" si="490"/>
        <v>0</v>
      </c>
      <c r="CR99" s="141">
        <f t="shared" si="490"/>
        <v>0</v>
      </c>
      <c r="CS99" s="141">
        <f t="shared" si="490"/>
        <v>0</v>
      </c>
      <c r="CT99" s="141">
        <f t="shared" si="490"/>
        <v>0</v>
      </c>
      <c r="CU99" s="141">
        <f t="shared" si="490"/>
        <v>0</v>
      </c>
      <c r="CV99" s="141">
        <f t="shared" si="490"/>
        <v>0</v>
      </c>
      <c r="CW99" s="142">
        <f t="shared" ref="CW99:DZ99" si="491">EA99*$AH99*$AJ99</f>
        <v>0</v>
      </c>
      <c r="CX99" s="142">
        <f t="shared" si="491"/>
        <v>0</v>
      </c>
      <c r="CY99" s="142">
        <f t="shared" si="491"/>
        <v>0</v>
      </c>
      <c r="CZ99" s="142">
        <f t="shared" si="491"/>
        <v>0</v>
      </c>
      <c r="DA99" s="142">
        <f t="shared" si="491"/>
        <v>0</v>
      </c>
      <c r="DB99" s="142">
        <f t="shared" si="491"/>
        <v>0</v>
      </c>
      <c r="DC99" s="142">
        <f t="shared" si="491"/>
        <v>0</v>
      </c>
      <c r="DD99" s="142">
        <f t="shared" si="491"/>
        <v>0</v>
      </c>
      <c r="DE99" s="142">
        <f t="shared" si="491"/>
        <v>0</v>
      </c>
      <c r="DF99" s="142">
        <f t="shared" si="491"/>
        <v>0</v>
      </c>
      <c r="DG99" s="142">
        <f t="shared" si="491"/>
        <v>0</v>
      </c>
      <c r="DH99" s="142">
        <f t="shared" si="491"/>
        <v>0</v>
      </c>
      <c r="DI99" s="142">
        <f t="shared" si="491"/>
        <v>0</v>
      </c>
      <c r="DJ99" s="142">
        <f t="shared" si="491"/>
        <v>0</v>
      </c>
      <c r="DK99" s="142">
        <f t="shared" si="491"/>
        <v>0</v>
      </c>
      <c r="DL99" s="142">
        <f t="shared" si="491"/>
        <v>0</v>
      </c>
      <c r="DM99" s="142">
        <f t="shared" si="491"/>
        <v>0</v>
      </c>
      <c r="DN99" s="142">
        <f t="shared" si="491"/>
        <v>0</v>
      </c>
      <c r="DO99" s="142">
        <f t="shared" si="491"/>
        <v>0</v>
      </c>
      <c r="DP99" s="142">
        <f t="shared" si="491"/>
        <v>0</v>
      </c>
      <c r="DQ99" s="142">
        <f t="shared" si="491"/>
        <v>0</v>
      </c>
      <c r="DR99" s="142">
        <f t="shared" si="491"/>
        <v>0</v>
      </c>
      <c r="DS99" s="142">
        <f t="shared" si="491"/>
        <v>0</v>
      </c>
      <c r="DT99" s="142">
        <f t="shared" si="491"/>
        <v>0</v>
      </c>
      <c r="DU99" s="142">
        <f t="shared" si="491"/>
        <v>0</v>
      </c>
      <c r="DV99" s="142">
        <f t="shared" si="491"/>
        <v>0</v>
      </c>
      <c r="DW99" s="142">
        <f t="shared" si="491"/>
        <v>0</v>
      </c>
      <c r="DX99" s="142">
        <f t="shared" si="491"/>
        <v>0</v>
      </c>
      <c r="DY99" s="142">
        <f t="shared" si="491"/>
        <v>0</v>
      </c>
      <c r="DZ99" s="142">
        <f t="shared" si="491"/>
        <v>0</v>
      </c>
      <c r="EA99" s="143">
        <f t="shared" si="339"/>
        <v>0</v>
      </c>
      <c r="EB99" s="143">
        <f t="shared" si="340"/>
        <v>0</v>
      </c>
      <c r="EC99" s="143">
        <f t="shared" si="341"/>
        <v>0</v>
      </c>
      <c r="ED99" s="143">
        <f t="shared" si="342"/>
        <v>0</v>
      </c>
      <c r="EE99" s="143">
        <f t="shared" si="343"/>
        <v>0</v>
      </c>
      <c r="EF99" s="143">
        <f t="shared" si="344"/>
        <v>0</v>
      </c>
      <c r="EG99" s="143">
        <f t="shared" si="345"/>
        <v>0</v>
      </c>
      <c r="EH99" s="143">
        <f t="shared" si="346"/>
        <v>0</v>
      </c>
      <c r="EI99" s="143">
        <f t="shared" si="347"/>
        <v>0</v>
      </c>
      <c r="EJ99" s="143">
        <f t="shared" si="348"/>
        <v>0</v>
      </c>
      <c r="EK99" s="143">
        <f t="shared" si="349"/>
        <v>0</v>
      </c>
      <c r="EL99" s="143">
        <f t="shared" si="350"/>
        <v>0</v>
      </c>
      <c r="EM99" s="143">
        <f t="shared" si="351"/>
        <v>0</v>
      </c>
      <c r="EN99" s="143">
        <f t="shared" si="352"/>
        <v>0</v>
      </c>
      <c r="EO99" s="143">
        <f t="shared" si="353"/>
        <v>0</v>
      </c>
      <c r="EP99" s="143">
        <f t="shared" si="354"/>
        <v>0</v>
      </c>
      <c r="EQ99" s="143">
        <f t="shared" si="355"/>
        <v>0</v>
      </c>
      <c r="ER99" s="143">
        <f t="shared" si="356"/>
        <v>0</v>
      </c>
      <c r="ES99" s="143">
        <f t="shared" si="357"/>
        <v>0</v>
      </c>
      <c r="ET99" s="143">
        <f t="shared" si="358"/>
        <v>0</v>
      </c>
      <c r="EU99" s="143">
        <f t="shared" si="359"/>
        <v>0</v>
      </c>
      <c r="EV99" s="143">
        <f t="shared" si="360"/>
        <v>0</v>
      </c>
      <c r="EW99" s="143">
        <f t="shared" si="361"/>
        <v>0</v>
      </c>
      <c r="EX99" s="143">
        <f t="shared" si="362"/>
        <v>0</v>
      </c>
      <c r="EY99" s="143">
        <f t="shared" si="363"/>
        <v>0</v>
      </c>
      <c r="EZ99" s="143">
        <f t="shared" si="364"/>
        <v>0</v>
      </c>
      <c r="FA99" s="143">
        <f t="shared" si="365"/>
        <v>0</v>
      </c>
      <c r="FB99" s="143">
        <f t="shared" si="366"/>
        <v>0</v>
      </c>
      <c r="FC99" s="143">
        <f t="shared" si="367"/>
        <v>0</v>
      </c>
      <c r="FD99" s="143">
        <f t="shared" si="368"/>
        <v>0</v>
      </c>
      <c r="FE99" s="140">
        <f>SUM($D99:D99)*IF($B99="Operacional",IFERROR(VLOOKUP($C99,SN_UGC,28,0),0),1)</f>
        <v>8.4</v>
      </c>
      <c r="FF99" s="140">
        <f>SUM($D99:E99)*IF($B99="Operacional",IFERROR(VLOOKUP($C99,SN_UGC,28,0),0),1)</f>
        <v>8.4</v>
      </c>
      <c r="FG99" s="140">
        <f>SUM($D99:F99)*IF($B99="Operacional",IFERROR(VLOOKUP($C99,SN_UGC,28,0),0),1)</f>
        <v>8.4</v>
      </c>
      <c r="FH99" s="140">
        <f>SUM($D99:G99)*IF($B99="Operacional",IFERROR(VLOOKUP($C99,SN_UGC,28,0),0),1)</f>
        <v>8.4</v>
      </c>
      <c r="FI99" s="140">
        <f>SUM($D99:H99)*IF($B99="Operacional",IFERROR(VLOOKUP($C99,SN_UGC,28,0),0),1)</f>
        <v>8.4</v>
      </c>
      <c r="FJ99" s="140">
        <f>SUM($D99:I99)*IF($B99="Operacional",IFERROR(VLOOKUP($C99,SN_UGC,28,0),0),1)</f>
        <v>8.4</v>
      </c>
      <c r="FK99" s="140">
        <f>SUM($D99:J99)*IF($B99="Operacional",IFERROR(VLOOKUP($C99,SN_UGC,28,0),0),1)</f>
        <v>8.4</v>
      </c>
      <c r="FL99" s="140">
        <f>SUM($D99:K99)*IF($B99="Operacional",IFERROR(VLOOKUP($C99,SN_UGC,28,0),0),1)</f>
        <v>8.4</v>
      </c>
      <c r="FM99" s="140">
        <f>SUM($D99:L99)*IF($B99="Operacional",IFERROR(VLOOKUP($C99,SN_UGC,28,0),0),1)</f>
        <v>8.4</v>
      </c>
      <c r="FN99" s="140">
        <f>SUM($D99:M99)*IF($B99="Operacional",IFERROR(VLOOKUP($C99,SN_UGC,28,0),0),1)</f>
        <v>8.4</v>
      </c>
      <c r="FO99" s="140">
        <f>SUM($D99:N99)*IF($B99="Operacional",IFERROR(VLOOKUP($C99,SN_UGC,28,0),0),1)</f>
        <v>8.4</v>
      </c>
      <c r="FP99" s="140">
        <f>SUM($D99:O99)*IF($B99="Operacional",IFERROR(VLOOKUP($C99,SN_UGC,28,0),0),1)</f>
        <v>8.4</v>
      </c>
      <c r="FQ99" s="140">
        <f>SUM($D99:P99)*IF($B99="Operacional",IFERROR(VLOOKUP($C99,SN_UGC,28,0),0),1)</f>
        <v>8.4</v>
      </c>
      <c r="FR99" s="140">
        <f>SUM($D99:Q99)*IF($B99="Operacional",IFERROR(VLOOKUP($C99,SN_UGC,28,0),0),1)</f>
        <v>8.4</v>
      </c>
      <c r="FS99" s="140">
        <f>SUM($D99:R99)*IF($B99="Operacional",IFERROR(VLOOKUP($C99,SN_UGC,28,0),0),1)</f>
        <v>8.4</v>
      </c>
      <c r="FT99" s="140">
        <f>SUM($D99:S99)*IF($B99="Operacional",IFERROR(VLOOKUP($C99,SN_UGC,28,0),0),1)</f>
        <v>8.4</v>
      </c>
      <c r="FU99" s="140">
        <f>SUM($D99:T99)*IF($B99="Operacional",IFERROR(VLOOKUP($C99,SN_UGC,28,0),0),1)</f>
        <v>8.4</v>
      </c>
      <c r="FV99" s="140">
        <f>SUM($D99:U99)*IF($B99="Operacional",IFERROR(VLOOKUP($C99,SN_UGC,28,0),0),1)</f>
        <v>8.4</v>
      </c>
      <c r="FW99" s="140">
        <f>SUM($D99:V99)*IF($B99="Operacional",IFERROR(VLOOKUP($C99,SN_UGC,28,0),0),1)</f>
        <v>8.4</v>
      </c>
      <c r="FX99" s="140">
        <f>SUM($D99:W99)*IF($B99="Operacional",IFERROR(VLOOKUP($C99,SN_UGC,28,0),0),1)</f>
        <v>8.4</v>
      </c>
      <c r="FY99" s="140">
        <f>SUM($D99:X99)*IF($B99="Operacional",IFERROR(VLOOKUP($C99,SN_UGC,28,0),0),1)</f>
        <v>8.4</v>
      </c>
      <c r="FZ99" s="140">
        <f>SUM($D99:Y99)*IF($B99="Operacional",IFERROR(VLOOKUP($C99,SN_UGC,28,0),0),1)</f>
        <v>8.4</v>
      </c>
      <c r="GA99" s="140">
        <f>SUM($D99:Z99)*IF($B99="Operacional",IFERROR(VLOOKUP($C99,SN_UGC,28,0),0),1)</f>
        <v>8.4</v>
      </c>
      <c r="GB99" s="140">
        <f>SUM($D99:AA99)*IF($B99="Operacional",IFERROR(VLOOKUP($C99,SN_UGC,28,0),0),1)</f>
        <v>8.4</v>
      </c>
      <c r="GC99" s="140">
        <f>SUM($D99:AB99)*IF($B99="Operacional",IFERROR(VLOOKUP($C99,SN_UGC,28,0),0),1)</f>
        <v>8.4</v>
      </c>
      <c r="GD99" s="140">
        <f>SUM($D99:AC99)*IF($B99="Operacional",IFERROR(VLOOKUP($C99,SN_UGC,28,0),0),1)</f>
        <v>8.4</v>
      </c>
      <c r="GE99" s="140">
        <f>SUM($D99:AD99)*IF($B99="Operacional",IFERROR(VLOOKUP($C99,SN_UGC,28,0),0),1)</f>
        <v>8.4</v>
      </c>
      <c r="GF99" s="140">
        <f>SUM($D99:AE99)*IF($B99="Operacional",IFERROR(VLOOKUP($C99,SN_UGC,28,0),0),1)</f>
        <v>8.4</v>
      </c>
      <c r="GG99" s="140">
        <f>SUM($D99:AF99)*IF($B99="Operacional",IFERROR(VLOOKUP($C99,SN_UGC,28,0),0),1)</f>
        <v>8.4</v>
      </c>
      <c r="GH99" s="140">
        <f>SUM($D99:AG99)*IF($B99="Operacional",IFERROR(VLOOKUP($C99,SN_UGC,28,0),0),1)</f>
        <v>8.4</v>
      </c>
      <c r="GI99" s="141">
        <f t="shared" ref="GI99:HL99" si="492">FE99*$AH99*$AL99</f>
        <v>32340</v>
      </c>
      <c r="GJ99" s="141">
        <f t="shared" si="492"/>
        <v>32340</v>
      </c>
      <c r="GK99" s="141">
        <f t="shared" si="492"/>
        <v>32340</v>
      </c>
      <c r="GL99" s="141">
        <f t="shared" si="492"/>
        <v>32340</v>
      </c>
      <c r="GM99" s="141">
        <f t="shared" si="492"/>
        <v>32340</v>
      </c>
      <c r="GN99" s="141">
        <f t="shared" si="492"/>
        <v>32340</v>
      </c>
      <c r="GO99" s="141">
        <f t="shared" si="492"/>
        <v>32340</v>
      </c>
      <c r="GP99" s="141">
        <f t="shared" si="492"/>
        <v>32340</v>
      </c>
      <c r="GQ99" s="141">
        <f t="shared" si="492"/>
        <v>32340</v>
      </c>
      <c r="GR99" s="141">
        <f t="shared" si="492"/>
        <v>32340</v>
      </c>
      <c r="GS99" s="141">
        <f t="shared" si="492"/>
        <v>32340</v>
      </c>
      <c r="GT99" s="141">
        <f t="shared" si="492"/>
        <v>32340</v>
      </c>
      <c r="GU99" s="141">
        <f t="shared" si="492"/>
        <v>32340</v>
      </c>
      <c r="GV99" s="141">
        <f t="shared" si="492"/>
        <v>32340</v>
      </c>
      <c r="GW99" s="141">
        <f t="shared" si="492"/>
        <v>32340</v>
      </c>
      <c r="GX99" s="141">
        <f t="shared" si="492"/>
        <v>32340</v>
      </c>
      <c r="GY99" s="141">
        <f t="shared" si="492"/>
        <v>32340</v>
      </c>
      <c r="GZ99" s="141">
        <f t="shared" si="492"/>
        <v>32340</v>
      </c>
      <c r="HA99" s="141">
        <f t="shared" si="492"/>
        <v>32340</v>
      </c>
      <c r="HB99" s="141">
        <f t="shared" si="492"/>
        <v>32340</v>
      </c>
      <c r="HC99" s="141">
        <f t="shared" si="492"/>
        <v>32340</v>
      </c>
      <c r="HD99" s="141">
        <f t="shared" si="492"/>
        <v>32340</v>
      </c>
      <c r="HE99" s="141">
        <f t="shared" si="492"/>
        <v>32340</v>
      </c>
      <c r="HF99" s="141">
        <f t="shared" si="492"/>
        <v>32340</v>
      </c>
      <c r="HG99" s="141">
        <f t="shared" si="492"/>
        <v>32340</v>
      </c>
      <c r="HH99" s="141">
        <f t="shared" si="492"/>
        <v>32340</v>
      </c>
      <c r="HI99" s="141">
        <f t="shared" si="492"/>
        <v>32340</v>
      </c>
      <c r="HJ99" s="141">
        <f t="shared" si="492"/>
        <v>32340</v>
      </c>
      <c r="HK99" s="141">
        <f t="shared" si="492"/>
        <v>32340</v>
      </c>
      <c r="HL99" s="141">
        <f t="shared" si="492"/>
        <v>32340</v>
      </c>
      <c r="HM99" s="142">
        <f t="shared" ref="HM99:IP99" si="493">IF(ISBLANK($A99),,FE99*($AH99-($AH99*$AJ99))/$AI99)</f>
        <v>10780</v>
      </c>
      <c r="HN99" s="142">
        <f t="shared" si="493"/>
        <v>10780</v>
      </c>
      <c r="HO99" s="142">
        <f t="shared" si="493"/>
        <v>10780</v>
      </c>
      <c r="HP99" s="142">
        <f t="shared" si="493"/>
        <v>10780</v>
      </c>
      <c r="HQ99" s="142">
        <f t="shared" si="493"/>
        <v>10780</v>
      </c>
      <c r="HR99" s="142">
        <f t="shared" si="493"/>
        <v>10780</v>
      </c>
      <c r="HS99" s="142">
        <f t="shared" si="493"/>
        <v>10780</v>
      </c>
      <c r="HT99" s="142">
        <f t="shared" si="493"/>
        <v>10780</v>
      </c>
      <c r="HU99" s="142">
        <f t="shared" si="493"/>
        <v>10780</v>
      </c>
      <c r="HV99" s="142">
        <f t="shared" si="493"/>
        <v>10780</v>
      </c>
      <c r="HW99" s="142">
        <f t="shared" si="493"/>
        <v>10780</v>
      </c>
      <c r="HX99" s="142">
        <f t="shared" si="493"/>
        <v>10780</v>
      </c>
      <c r="HY99" s="142">
        <f t="shared" si="493"/>
        <v>10780</v>
      </c>
      <c r="HZ99" s="142">
        <f t="shared" si="493"/>
        <v>10780</v>
      </c>
      <c r="IA99" s="142">
        <f t="shared" si="493"/>
        <v>10780</v>
      </c>
      <c r="IB99" s="142">
        <f t="shared" si="493"/>
        <v>10780</v>
      </c>
      <c r="IC99" s="142">
        <f t="shared" si="493"/>
        <v>10780</v>
      </c>
      <c r="ID99" s="142">
        <f t="shared" si="493"/>
        <v>10780</v>
      </c>
      <c r="IE99" s="142">
        <f t="shared" si="493"/>
        <v>10780</v>
      </c>
      <c r="IF99" s="142">
        <f t="shared" si="493"/>
        <v>10780</v>
      </c>
      <c r="IG99" s="142">
        <f t="shared" si="493"/>
        <v>10780</v>
      </c>
      <c r="IH99" s="142">
        <f t="shared" si="493"/>
        <v>10780</v>
      </c>
      <c r="II99" s="142">
        <f t="shared" si="493"/>
        <v>10780</v>
      </c>
      <c r="IJ99" s="142">
        <f t="shared" si="493"/>
        <v>10780</v>
      </c>
      <c r="IK99" s="142">
        <f t="shared" si="493"/>
        <v>10780</v>
      </c>
      <c r="IL99" s="142">
        <f t="shared" si="493"/>
        <v>10780</v>
      </c>
      <c r="IM99" s="142">
        <f t="shared" si="493"/>
        <v>10780</v>
      </c>
      <c r="IN99" s="142">
        <f t="shared" si="493"/>
        <v>10780</v>
      </c>
      <c r="IO99" s="142">
        <f t="shared" si="493"/>
        <v>10780</v>
      </c>
      <c r="IP99" s="142">
        <f t="shared" si="493"/>
        <v>10780</v>
      </c>
      <c r="IQ99" s="141">
        <f>IF(ISBLANK($A99),,IF($AN99="Não",0,(SUM($AO99:AO99)*$AH99)-SUM($HM99:HM99)-SUM($CW99:CW99)))</f>
        <v>0</v>
      </c>
      <c r="IR99" s="141">
        <f>IF(ISBLANK($A99),,IF($AN99="Não",0,(SUM($AO99:AP99)*$AH99)-SUM($HM99:HN99)-SUM($CW99:CX99)))</f>
        <v>0</v>
      </c>
      <c r="IS99" s="141">
        <f>IF(ISBLANK($A99),,IF($AN99="Não",0,(SUM($AO99:AQ99)*$AH99)-SUM($HM99:HO99)-SUM($CW99:CY99)))</f>
        <v>0</v>
      </c>
      <c r="IT99" s="141">
        <f>IF(ISBLANK($A99),,IF($AN99="Não",0,(SUM($AO99:AR99)*$AH99)-SUM($HM99:HP99)-SUM($CW99:CZ99)))</f>
        <v>0</v>
      </c>
      <c r="IU99" s="141">
        <f>IF(ISBLANK($A99),,IF($AN99="Não",0,(SUM($AO99:AS99)*$AH99)-SUM($HM99:HQ99)-SUM($CW99:DA99)))</f>
        <v>0</v>
      </c>
      <c r="IV99" s="141">
        <f>IF(ISBLANK($A99),,IF($AN99="Não",0,(SUM($AO99:AT99)*$AH99)-SUM($HM99:HR99)-SUM($CW99:DB99)))</f>
        <v>0</v>
      </c>
      <c r="IW99" s="141">
        <f>IF(ISBLANK($A99),,IF($AN99="Não",0,(SUM($AO99:AU99)*$AH99)-SUM($HM99:HS99)-SUM($CW99:DC99)))</f>
        <v>0</v>
      </c>
      <c r="IX99" s="141">
        <f>IF(ISBLANK($A99),,IF($AN99="Não",0,(SUM($AO99:AV99)*$AH99)-SUM($HM99:HT99)-SUM($CW99:DD99)))</f>
        <v>0</v>
      </c>
      <c r="IY99" s="141">
        <f>IF(ISBLANK($A99),,IF($AN99="Não",0,(SUM($AO99:AW99)*$AH99)-SUM($HM99:HU99)-SUM($CW99:DE99)))</f>
        <v>0</v>
      </c>
      <c r="IZ99" s="141">
        <f>IF(ISBLANK($A99),,IF($AN99="Não",0,(SUM($AO99:AX99)*$AH99)-SUM($HM99:HV99)-SUM($CW99:DF99)))</f>
        <v>0</v>
      </c>
      <c r="JA99" s="141">
        <f>IF(ISBLANK($A99),,IF($AN99="Não",0,(SUM($AO99:AY99)*$AH99)-SUM($HM99:HW99)-SUM($CW99:DG99)))</f>
        <v>0</v>
      </c>
      <c r="JB99" s="141">
        <f>IF(ISBLANK($A99),,IF($AN99="Não",0,(SUM($AO99:AZ99)*$AH99)-SUM($HM99:HX99)-SUM($CW99:DH99)))</f>
        <v>0</v>
      </c>
      <c r="JC99" s="141">
        <f>IF(ISBLANK($A99),,IF($AN99="Não",0,(SUM($AO99:BA99)*$AH99)-SUM($HM99:HY99)-SUM($CW99:DI99)))</f>
        <v>0</v>
      </c>
      <c r="JD99" s="141">
        <f>IF(ISBLANK($A99),,IF($AN99="Não",0,(SUM($AO99:BB99)*$AH99)-SUM($HM99:HZ99)-SUM($CW99:DJ99)))</f>
        <v>0</v>
      </c>
      <c r="JE99" s="141">
        <f>IF(ISBLANK($A99),,IF($AN99="Não",0,(SUM($AO99:BC99)*$AH99)-SUM($HM99:IA99)-SUM($CW99:DK99)))</f>
        <v>0</v>
      </c>
      <c r="JF99" s="141">
        <f>IF(ISBLANK($A99),,IF($AN99="Não",0,(SUM($AO99:BD99)*$AH99)-SUM($HM99:IB99)-SUM($CW99:DL99)))</f>
        <v>0</v>
      </c>
      <c r="JG99" s="141">
        <f>IF(ISBLANK($A99),,IF($AN99="Não",0,(SUM($AO99:BE99)*$AH99)-SUM($HM99:IC99)-SUM($CW99:DM99)))</f>
        <v>0</v>
      </c>
      <c r="JH99" s="141">
        <f>IF(ISBLANK($A99),,IF($AN99="Não",0,(SUM($AO99:BF99)*$AH99)-SUM($HM99:ID99)-SUM($CW99:DN99)))</f>
        <v>0</v>
      </c>
      <c r="JI99" s="141">
        <f>IF(ISBLANK($A99),,IF($AN99="Não",0,(SUM($AO99:BG99)*$AH99)-SUM($HM99:IE99)-SUM($CW99:DO99)))</f>
        <v>0</v>
      </c>
      <c r="JJ99" s="141">
        <f>IF(ISBLANK($A99),,IF($AN99="Não",0,(SUM($AO99:BH99)*$AH99)-SUM($HM99:IF99)-SUM($CW99:DP99)))</f>
        <v>0</v>
      </c>
      <c r="JK99" s="141">
        <f>IF(ISBLANK($A99),,IF($AN99="Não",0,(SUM($AO99:BI99)*$AH99)-SUM($HM99:IG99)-SUM($CW99:DQ99)))</f>
        <v>0</v>
      </c>
      <c r="JL99" s="141">
        <f>IF(ISBLANK($A99),,IF($AN99="Não",0,(SUM($AO99:BJ99)*$AH99)-SUM($HM99:IH99)-SUM($CW99:DR99)))</f>
        <v>0</v>
      </c>
      <c r="JM99" s="141">
        <f>IF(ISBLANK($A99),,IF($AN99="Não",0,(SUM($AO99:BK99)*$AH99)-SUM($HM99:II99)-SUM($CW99:DS99)))</f>
        <v>0</v>
      </c>
      <c r="JN99" s="141">
        <f>IF(ISBLANK($A99),,IF($AN99="Não",0,(SUM($AO99:BL99)*$AH99)-SUM($HM99:IJ99)-SUM($CW99:DT99)))</f>
        <v>0</v>
      </c>
      <c r="JO99" s="141">
        <f>IF(ISBLANK($A99),,IF($AN99="Não",0,(SUM($AO99:BM99)*$AH99)-SUM($HM99:IK99)-SUM($CW99:DU99)))</f>
        <v>0</v>
      </c>
      <c r="JP99" s="141">
        <f>IF(ISBLANK($A99),,IF($AN99="Não",0,(SUM($AO99:BN99)*$AH99)-SUM($HM99:IL99)-SUM($CW99:DV99)))</f>
        <v>0</v>
      </c>
      <c r="JQ99" s="141">
        <f>IF(ISBLANK($A99),,IF($AN99="Não",0,(SUM($AO99:BO99)*$AH99)-SUM($HM99:IM99)-SUM($CW99:DW99)))</f>
        <v>0</v>
      </c>
      <c r="JR99" s="141">
        <f>IF(ISBLANK($A99),,IF($AN99="Não",0,(SUM($AO99:BP99)*$AH99)-SUM($HM99:IN99)-SUM($CW99:DX99)))</f>
        <v>0</v>
      </c>
      <c r="JS99" s="141">
        <f>IF(ISBLANK($A99),,IF($AN99="Não",0,(SUM($AO99:BQ99)*$AH99)-SUM($HM99:IO99)-SUM($CW99:DY99)))</f>
        <v>0</v>
      </c>
      <c r="JT99" s="141">
        <f>IF(ISBLANK($A99),,IF($AN99="Não",0,(SUM($AO99:BR99)*$AH99)-SUM($HM99:IP99)-SUM($CW99:DZ99)))</f>
        <v>0</v>
      </c>
    </row>
    <row r="100" spans="1:280" ht="15.75" customHeight="1">
      <c r="A100" s="129" t="s">
        <v>352</v>
      </c>
      <c r="B100" s="129" t="s">
        <v>191</v>
      </c>
      <c r="C100" s="138" t="s">
        <v>234</v>
      </c>
      <c r="D100" s="139">
        <v>31</v>
      </c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607">
        <f t="shared" si="399"/>
        <v>2372.59</v>
      </c>
      <c r="AI100" s="608">
        <f t="shared" si="400"/>
        <v>30</v>
      </c>
      <c r="AJ100" s="609">
        <f t="shared" si="401"/>
        <v>0</v>
      </c>
      <c r="AK100" s="610" t="str">
        <f t="shared" si="402"/>
        <v>Edificações</v>
      </c>
      <c r="AL100" s="609">
        <f t="shared" si="403"/>
        <v>0.05</v>
      </c>
      <c r="AM100" s="611" t="str">
        <f t="shared" si="404"/>
        <v>Sim</v>
      </c>
      <c r="AN100" s="611" t="str">
        <f t="shared" si="405"/>
        <v>Não</v>
      </c>
      <c r="AO100" s="140">
        <f t="array" ref="AO100">IF(ISBLANK($A100),0,IF(OR(AO$5-$AI100&lt;=0,$AM100="Não"),D100,D100+INDEX($AO$6:$BR$176,ROW()-5,COLUMN()-40-$AI100)))*IF($B100="Operacional",IFERROR(VLOOKUP($C100,SN_UGC,28,0),0),1)</f>
        <v>31</v>
      </c>
      <c r="AP100" s="140">
        <f t="array" ref="AP100">IF(ISBLANK($A100),0,IF(OR(AP$5-$AI100&lt;=0,$AM100="Não"),E100,E100+INDEX($AO$6:$BR$176,ROW()-5,COLUMN()-40-$AI100)))*IF($B100="Operacional",IFERROR(VLOOKUP($C100,SN_UGC,28,0),0),1)</f>
        <v>0</v>
      </c>
      <c r="AQ100" s="140">
        <f t="array" ref="AQ100">IF(ISBLANK($A100),0,IF(OR(AQ$5-$AI100&lt;=0,$AM100="Não"),F100,F100+INDEX($AO$6:$BR$176,ROW()-5,COLUMN()-40-$AI100)))*IF($B100="Operacional",IFERROR(VLOOKUP($C100,SN_UGC,28,0),0),1)</f>
        <v>0</v>
      </c>
      <c r="AR100" s="140">
        <f t="array" ref="AR100">IF(ISBLANK($A100),0,IF(OR(AR$5-$AI100&lt;=0,$AM100="Não"),G100,G100+INDEX($AO$6:$BR$176,ROW()-5,COLUMN()-40-$AI100)))*IF($B100="Operacional",IFERROR(VLOOKUP($C100,SN_UGC,28,0),0),1)</f>
        <v>0</v>
      </c>
      <c r="AS100" s="140">
        <f t="array" ref="AS100">IF(ISBLANK($A100),0,IF(OR(AS$5-$AI100&lt;=0,$AM100="Não"),H100,H100+INDEX($AO$6:$BR$176,ROW()-5,COLUMN()-40-$AI100)))*IF($B100="Operacional",IFERROR(VLOOKUP($C100,SN_UGC,28,0),0),1)</f>
        <v>0</v>
      </c>
      <c r="AT100" s="140">
        <f t="array" ref="AT100">IF(ISBLANK($A100),0,IF(OR(AT$5-$AI100&lt;=0,$AM100="Não"),I100,I100+INDEX($AO$6:$BR$176,ROW()-5,COLUMN()-40-$AI100)))*IF($B100="Operacional",IFERROR(VLOOKUP($C100,SN_UGC,28,0),0),1)</f>
        <v>0</v>
      </c>
      <c r="AU100" s="140">
        <f t="array" ref="AU100">IF(ISBLANK($A100),0,IF(OR(AU$5-$AI100&lt;=0,$AM100="Não"),J100,J100+INDEX($AO$6:$BR$176,ROW()-5,COLUMN()-40-$AI100)))*IF($B100="Operacional",IFERROR(VLOOKUP($C100,SN_UGC,28,0),0),1)</f>
        <v>0</v>
      </c>
      <c r="AV100" s="140">
        <f t="array" ref="AV100">IF(ISBLANK($A100),0,IF(OR(AV$5-$AI100&lt;=0,$AM100="Não"),K100,K100+INDEX($AO$6:$BR$176,ROW()-5,COLUMN()-40-$AI100)))*IF($B100="Operacional",IFERROR(VLOOKUP($C100,SN_UGC,28,0),0),1)</f>
        <v>0</v>
      </c>
      <c r="AW100" s="140">
        <f t="array" ref="AW100">IF(ISBLANK($A100),0,IF(OR(AW$5-$AI100&lt;=0,$AM100="Não"),L100,L100+INDEX($AO$6:$BR$176,ROW()-5,COLUMN()-40-$AI100)))*IF($B100="Operacional",IFERROR(VLOOKUP($C100,SN_UGC,28,0),0),1)</f>
        <v>0</v>
      </c>
      <c r="AX100" s="140">
        <f t="array" ref="AX100">IF(ISBLANK($A100),0,IF(OR(AX$5-$AI100&lt;=0,$AM100="Não"),M100,M100+INDEX($AO$6:$BR$176,ROW()-5,COLUMN()-40-$AI100)))*IF($B100="Operacional",IFERROR(VLOOKUP($C100,SN_UGC,28,0),0),1)</f>
        <v>0</v>
      </c>
      <c r="AY100" s="140">
        <f t="array" ref="AY100">IF(ISBLANK($A100),0,IF(OR(AY$5-$AI100&lt;=0,$AM100="Não"),N100,N100+INDEX($AO$6:$BR$176,ROW()-5,COLUMN()-40-$AI100)))*IF($B100="Operacional",IFERROR(VLOOKUP($C100,SN_UGC,28,0),0),1)</f>
        <v>0</v>
      </c>
      <c r="AZ100" s="140">
        <f t="array" ref="AZ100">IF(ISBLANK($A100),0,IF(OR(AZ$5-$AI100&lt;=0,$AM100="Não"),O100,O100+INDEX($AO$6:$BR$176,ROW()-5,COLUMN()-40-$AI100)))*IF($B100="Operacional",IFERROR(VLOOKUP($C100,SN_UGC,28,0),0),1)</f>
        <v>0</v>
      </c>
      <c r="BA100" s="140">
        <f t="array" ref="BA100">IF(ISBLANK($A100),0,IF(OR(BA$5-$AI100&lt;=0,$AM100="Não"),P100,P100+INDEX($AO$6:$BR$176,ROW()-5,COLUMN()-40-$AI100)))*IF($B100="Operacional",IFERROR(VLOOKUP($C100,SN_UGC,28,0),0),1)</f>
        <v>0</v>
      </c>
      <c r="BB100" s="140">
        <f t="array" ref="BB100">IF(ISBLANK($A100),0,IF(OR(BB$5-$AI100&lt;=0,$AM100="Não"),Q100,Q100+INDEX($AO$6:$BR$176,ROW()-5,COLUMN()-40-$AI100)))*IF($B100="Operacional",IFERROR(VLOOKUP($C100,SN_UGC,28,0),0),1)</f>
        <v>0</v>
      </c>
      <c r="BC100" s="140">
        <f t="array" ref="BC100">IF(ISBLANK($A100),0,IF(OR(BC$5-$AI100&lt;=0,$AM100="Não"),R100,R100+INDEX($AO$6:$BR$176,ROW()-5,COLUMN()-40-$AI100)))*IF($B100="Operacional",IFERROR(VLOOKUP($C100,SN_UGC,28,0),0),1)</f>
        <v>0</v>
      </c>
      <c r="BD100" s="140">
        <f t="array" ref="BD100">IF(ISBLANK($A100),0,IF(OR(BD$5-$AI100&lt;=0,$AM100="Não"),S100,S100+INDEX($AO$6:$BR$176,ROW()-5,COLUMN()-40-$AI100)))*IF($B100="Operacional",IFERROR(VLOOKUP($C100,SN_UGC,28,0),0),1)</f>
        <v>0</v>
      </c>
      <c r="BE100" s="140">
        <f t="array" ref="BE100">IF(ISBLANK($A100),0,IF(OR(BE$5-$AI100&lt;=0,$AM100="Não"),T100,T100+INDEX($AO$6:$BR$176,ROW()-5,COLUMN()-40-$AI100)))*IF($B100="Operacional",IFERROR(VLOOKUP($C100,SN_UGC,28,0),0),1)</f>
        <v>0</v>
      </c>
      <c r="BF100" s="140">
        <f t="array" ref="BF100">IF(ISBLANK($A100),0,IF(OR(BF$5-$AI100&lt;=0,$AM100="Não"),U100,U100+INDEX($AO$6:$BR$176,ROW()-5,COLUMN()-40-$AI100)))*IF($B100="Operacional",IFERROR(VLOOKUP($C100,SN_UGC,28,0),0),1)</f>
        <v>0</v>
      </c>
      <c r="BG100" s="140">
        <f t="array" ref="BG100">IF(ISBLANK($A100),0,IF(OR(BG$5-$AI100&lt;=0,$AM100="Não"),V100,V100+INDEX($AO$6:$BR$176,ROW()-5,COLUMN()-40-$AI100)))*IF($B100="Operacional",IFERROR(VLOOKUP($C100,SN_UGC,28,0),0),1)</f>
        <v>0</v>
      </c>
      <c r="BH100" s="140">
        <f t="array" ref="BH100">IF(ISBLANK($A100),0,IF(OR(BH$5-$AI100&lt;=0,$AM100="Não"),W100,W100+INDEX($AO$6:$BR$176,ROW()-5,COLUMN()-40-$AI100)))*IF($B100="Operacional",IFERROR(VLOOKUP($C100,SN_UGC,28,0),0),1)</f>
        <v>0</v>
      </c>
      <c r="BI100" s="140">
        <f t="array" ref="BI100">IF(ISBLANK($A100),0,IF(OR(BI$5-$AI100&lt;=0,$AM100="Não"),X100,X100+INDEX($AO$6:$BR$176,ROW()-5,COLUMN()-40-$AI100)))*IF($B100="Operacional",IFERROR(VLOOKUP($C100,SN_UGC,28,0),0),1)</f>
        <v>0</v>
      </c>
      <c r="BJ100" s="140">
        <f t="array" ref="BJ100">IF(ISBLANK($A100),0,IF(OR(BJ$5-$AI100&lt;=0,$AM100="Não"),Y100,Y100+INDEX($AO$6:$BR$176,ROW()-5,COLUMN()-40-$AI100)))*IF($B100="Operacional",IFERROR(VLOOKUP($C100,SN_UGC,28,0),0),1)</f>
        <v>0</v>
      </c>
      <c r="BK100" s="140">
        <f t="array" ref="BK100">IF(ISBLANK($A100),0,IF(OR(BK$5-$AI100&lt;=0,$AM100="Não"),Z100,Z100+INDEX($AO$6:$BR$176,ROW()-5,COLUMN()-40-$AI100)))*IF($B100="Operacional",IFERROR(VLOOKUP($C100,SN_UGC,28,0),0),1)</f>
        <v>0</v>
      </c>
      <c r="BL100" s="140">
        <f t="array" ref="BL100">IF(ISBLANK($A100),0,IF(OR(BL$5-$AI100&lt;=0,$AM100="Não"),AA100,AA100+INDEX($AO$6:$BR$176,ROW()-5,COLUMN()-40-$AI100)))*IF($B100="Operacional",IFERROR(VLOOKUP($C100,SN_UGC,28,0),0),1)</f>
        <v>0</v>
      </c>
      <c r="BM100" s="140">
        <f t="array" ref="BM100">IF(ISBLANK($A100),0,IF(OR(BM$5-$AI100&lt;=0,$AM100="Não"),AB100,AB100+INDEX($AO$6:$BR$176,ROW()-5,COLUMN()-40-$AI100)))*IF($B100="Operacional",IFERROR(VLOOKUP($C100,SN_UGC,28,0),0),1)</f>
        <v>0</v>
      </c>
      <c r="BN100" s="140">
        <f t="array" ref="BN100">IF(ISBLANK($A100),0,IF(OR(BN$5-$AI100&lt;=0,$AM100="Não"),AC100,AC100+INDEX($AO$6:$BR$176,ROW()-5,COLUMN()-40-$AI100)))*IF($B100="Operacional",IFERROR(VLOOKUP($C100,SN_UGC,28,0),0),1)</f>
        <v>0</v>
      </c>
      <c r="BO100" s="140">
        <f t="array" ref="BO100">IF(ISBLANK($A100),0,IF(OR(BO$5-$AI100&lt;=0,$AM100="Não"),AD100,AD100+INDEX($AO$6:$BR$176,ROW()-5,COLUMN()-40-$AI100)))*IF($B100="Operacional",IFERROR(VLOOKUP($C100,SN_UGC,28,0),0),1)</f>
        <v>0</v>
      </c>
      <c r="BP100" s="140">
        <f t="array" ref="BP100">IF(ISBLANK($A100),0,IF(OR(BP$5-$AI100&lt;=0,$AM100="Não"),AE100,AE100+INDEX($AO$6:$BR$176,ROW()-5,COLUMN()-40-$AI100)))*IF($B100="Operacional",IFERROR(VLOOKUP($C100,SN_UGC,28,0),0),1)</f>
        <v>0</v>
      </c>
      <c r="BQ100" s="140">
        <f t="array" ref="BQ100">IF(ISBLANK($A100),0,IF(OR(BQ$5-$AI100&lt;=0,$AM100="Não"),AF100,AF100+INDEX($AO$6:$BR$176,ROW()-5,COLUMN()-40-$AI100)))*IF($B100="Operacional",IFERROR(VLOOKUP($C100,SN_UGC,28,0),0),1)</f>
        <v>0</v>
      </c>
      <c r="BR100" s="140">
        <f t="array" ref="BR100">IF(ISBLANK($A100),0,IF(OR(BR$5-$AI100&lt;=0,$AM100="Não"),AG100,AG100+INDEX($AO$6:$BR$176,ROW()-5,COLUMN()-40-$AI100)))*IF($B100="Operacional",IFERROR(VLOOKUP($C100,SN_UGC,28,0),0),1)</f>
        <v>0</v>
      </c>
      <c r="BS100" s="141">
        <f t="shared" ref="BS100:CV100" si="494">IF(ISBLANK($A100),0,$AH100*AO100)</f>
        <v>73550.290000000008</v>
      </c>
      <c r="BT100" s="141">
        <f t="shared" si="494"/>
        <v>0</v>
      </c>
      <c r="BU100" s="141">
        <f t="shared" si="494"/>
        <v>0</v>
      </c>
      <c r="BV100" s="141">
        <f t="shared" si="494"/>
        <v>0</v>
      </c>
      <c r="BW100" s="141">
        <f t="shared" si="494"/>
        <v>0</v>
      </c>
      <c r="BX100" s="141">
        <f t="shared" si="494"/>
        <v>0</v>
      </c>
      <c r="BY100" s="141">
        <f t="shared" si="494"/>
        <v>0</v>
      </c>
      <c r="BZ100" s="141">
        <f t="shared" si="494"/>
        <v>0</v>
      </c>
      <c r="CA100" s="141">
        <f t="shared" si="494"/>
        <v>0</v>
      </c>
      <c r="CB100" s="141">
        <f t="shared" si="494"/>
        <v>0</v>
      </c>
      <c r="CC100" s="141">
        <f t="shared" si="494"/>
        <v>0</v>
      </c>
      <c r="CD100" s="141">
        <f t="shared" si="494"/>
        <v>0</v>
      </c>
      <c r="CE100" s="141">
        <f t="shared" si="494"/>
        <v>0</v>
      </c>
      <c r="CF100" s="141">
        <f t="shared" si="494"/>
        <v>0</v>
      </c>
      <c r="CG100" s="141">
        <f t="shared" si="494"/>
        <v>0</v>
      </c>
      <c r="CH100" s="141">
        <f t="shared" si="494"/>
        <v>0</v>
      </c>
      <c r="CI100" s="141">
        <f t="shared" si="494"/>
        <v>0</v>
      </c>
      <c r="CJ100" s="141">
        <f t="shared" si="494"/>
        <v>0</v>
      </c>
      <c r="CK100" s="141">
        <f t="shared" si="494"/>
        <v>0</v>
      </c>
      <c r="CL100" s="141">
        <f t="shared" si="494"/>
        <v>0</v>
      </c>
      <c r="CM100" s="141">
        <f t="shared" si="494"/>
        <v>0</v>
      </c>
      <c r="CN100" s="141">
        <f t="shared" si="494"/>
        <v>0</v>
      </c>
      <c r="CO100" s="141">
        <f t="shared" si="494"/>
        <v>0</v>
      </c>
      <c r="CP100" s="141">
        <f t="shared" si="494"/>
        <v>0</v>
      </c>
      <c r="CQ100" s="141">
        <f t="shared" si="494"/>
        <v>0</v>
      </c>
      <c r="CR100" s="141">
        <f t="shared" si="494"/>
        <v>0</v>
      </c>
      <c r="CS100" s="141">
        <f t="shared" si="494"/>
        <v>0</v>
      </c>
      <c r="CT100" s="141">
        <f t="shared" si="494"/>
        <v>0</v>
      </c>
      <c r="CU100" s="141">
        <f t="shared" si="494"/>
        <v>0</v>
      </c>
      <c r="CV100" s="141">
        <f t="shared" si="494"/>
        <v>0</v>
      </c>
      <c r="CW100" s="142">
        <f t="shared" ref="CW100:DZ100" si="495">EA100*$AH100*$AJ100</f>
        <v>0</v>
      </c>
      <c r="CX100" s="142">
        <f t="shared" si="495"/>
        <v>0</v>
      </c>
      <c r="CY100" s="142">
        <f t="shared" si="495"/>
        <v>0</v>
      </c>
      <c r="CZ100" s="142">
        <f t="shared" si="495"/>
        <v>0</v>
      </c>
      <c r="DA100" s="142">
        <f t="shared" si="495"/>
        <v>0</v>
      </c>
      <c r="DB100" s="142">
        <f t="shared" si="495"/>
        <v>0</v>
      </c>
      <c r="DC100" s="142">
        <f t="shared" si="495"/>
        <v>0</v>
      </c>
      <c r="DD100" s="142">
        <f t="shared" si="495"/>
        <v>0</v>
      </c>
      <c r="DE100" s="142">
        <f t="shared" si="495"/>
        <v>0</v>
      </c>
      <c r="DF100" s="142">
        <f t="shared" si="495"/>
        <v>0</v>
      </c>
      <c r="DG100" s="142">
        <f t="shared" si="495"/>
        <v>0</v>
      </c>
      <c r="DH100" s="142">
        <f t="shared" si="495"/>
        <v>0</v>
      </c>
      <c r="DI100" s="142">
        <f t="shared" si="495"/>
        <v>0</v>
      </c>
      <c r="DJ100" s="142">
        <f t="shared" si="495"/>
        <v>0</v>
      </c>
      <c r="DK100" s="142">
        <f t="shared" si="495"/>
        <v>0</v>
      </c>
      <c r="DL100" s="142">
        <f t="shared" si="495"/>
        <v>0</v>
      </c>
      <c r="DM100" s="142">
        <f t="shared" si="495"/>
        <v>0</v>
      </c>
      <c r="DN100" s="142">
        <f t="shared" si="495"/>
        <v>0</v>
      </c>
      <c r="DO100" s="142">
        <f t="shared" si="495"/>
        <v>0</v>
      </c>
      <c r="DP100" s="142">
        <f t="shared" si="495"/>
        <v>0</v>
      </c>
      <c r="DQ100" s="142">
        <f t="shared" si="495"/>
        <v>0</v>
      </c>
      <c r="DR100" s="142">
        <f t="shared" si="495"/>
        <v>0</v>
      </c>
      <c r="DS100" s="142">
        <f t="shared" si="495"/>
        <v>0</v>
      </c>
      <c r="DT100" s="142">
        <f t="shared" si="495"/>
        <v>0</v>
      </c>
      <c r="DU100" s="142">
        <f t="shared" si="495"/>
        <v>0</v>
      </c>
      <c r="DV100" s="142">
        <f t="shared" si="495"/>
        <v>0</v>
      </c>
      <c r="DW100" s="142">
        <f t="shared" si="495"/>
        <v>0</v>
      </c>
      <c r="DX100" s="142">
        <f t="shared" si="495"/>
        <v>0</v>
      </c>
      <c r="DY100" s="142">
        <f t="shared" si="495"/>
        <v>0</v>
      </c>
      <c r="DZ100" s="142">
        <f t="shared" si="495"/>
        <v>0</v>
      </c>
      <c r="EA100" s="143">
        <f t="shared" si="339"/>
        <v>0</v>
      </c>
      <c r="EB100" s="143">
        <f t="shared" si="340"/>
        <v>0</v>
      </c>
      <c r="EC100" s="143">
        <f t="shared" si="341"/>
        <v>0</v>
      </c>
      <c r="ED100" s="143">
        <f t="shared" si="342"/>
        <v>0</v>
      </c>
      <c r="EE100" s="143">
        <f t="shared" si="343"/>
        <v>0</v>
      </c>
      <c r="EF100" s="143">
        <f t="shared" si="344"/>
        <v>0</v>
      </c>
      <c r="EG100" s="143">
        <f t="shared" si="345"/>
        <v>0</v>
      </c>
      <c r="EH100" s="143">
        <f t="shared" si="346"/>
        <v>0</v>
      </c>
      <c r="EI100" s="143">
        <f t="shared" si="347"/>
        <v>0</v>
      </c>
      <c r="EJ100" s="143">
        <f t="shared" si="348"/>
        <v>0</v>
      </c>
      <c r="EK100" s="143">
        <f t="shared" si="349"/>
        <v>0</v>
      </c>
      <c r="EL100" s="143">
        <f t="shared" si="350"/>
        <v>0</v>
      </c>
      <c r="EM100" s="143">
        <f t="shared" si="351"/>
        <v>0</v>
      </c>
      <c r="EN100" s="143">
        <f t="shared" si="352"/>
        <v>0</v>
      </c>
      <c r="EO100" s="143">
        <f t="shared" si="353"/>
        <v>0</v>
      </c>
      <c r="EP100" s="143">
        <f t="shared" si="354"/>
        <v>0</v>
      </c>
      <c r="EQ100" s="143">
        <f t="shared" si="355"/>
        <v>0</v>
      </c>
      <c r="ER100" s="143">
        <f t="shared" si="356"/>
        <v>0</v>
      </c>
      <c r="ES100" s="143">
        <f t="shared" si="357"/>
        <v>0</v>
      </c>
      <c r="ET100" s="143">
        <f t="shared" si="358"/>
        <v>0</v>
      </c>
      <c r="EU100" s="143">
        <f t="shared" si="359"/>
        <v>0</v>
      </c>
      <c r="EV100" s="143">
        <f t="shared" si="360"/>
        <v>0</v>
      </c>
      <c r="EW100" s="143">
        <f t="shared" si="361"/>
        <v>0</v>
      </c>
      <c r="EX100" s="143">
        <f t="shared" si="362"/>
        <v>0</v>
      </c>
      <c r="EY100" s="143">
        <f t="shared" si="363"/>
        <v>0</v>
      </c>
      <c r="EZ100" s="143">
        <f t="shared" si="364"/>
        <v>0</v>
      </c>
      <c r="FA100" s="143">
        <f t="shared" si="365"/>
        <v>0</v>
      </c>
      <c r="FB100" s="143">
        <f t="shared" si="366"/>
        <v>0</v>
      </c>
      <c r="FC100" s="143">
        <f t="shared" si="367"/>
        <v>0</v>
      </c>
      <c r="FD100" s="143">
        <f t="shared" si="368"/>
        <v>0</v>
      </c>
      <c r="FE100" s="140">
        <f>SUM($D100:D100)*IF($B100="Operacional",IFERROR(VLOOKUP($C100,SN_UGC,28,0),0),1)</f>
        <v>31</v>
      </c>
      <c r="FF100" s="140">
        <f>SUM($D100:E100)*IF($B100="Operacional",IFERROR(VLOOKUP($C100,SN_UGC,28,0),0),1)</f>
        <v>31</v>
      </c>
      <c r="FG100" s="140">
        <f>SUM($D100:F100)*IF($B100="Operacional",IFERROR(VLOOKUP($C100,SN_UGC,28,0),0),1)</f>
        <v>31</v>
      </c>
      <c r="FH100" s="140">
        <f>SUM($D100:G100)*IF($B100="Operacional",IFERROR(VLOOKUP($C100,SN_UGC,28,0),0),1)</f>
        <v>31</v>
      </c>
      <c r="FI100" s="140">
        <f>SUM($D100:H100)*IF($B100="Operacional",IFERROR(VLOOKUP($C100,SN_UGC,28,0),0),1)</f>
        <v>31</v>
      </c>
      <c r="FJ100" s="140">
        <f>SUM($D100:I100)*IF($B100="Operacional",IFERROR(VLOOKUP($C100,SN_UGC,28,0),0),1)</f>
        <v>31</v>
      </c>
      <c r="FK100" s="140">
        <f>SUM($D100:J100)*IF($B100="Operacional",IFERROR(VLOOKUP($C100,SN_UGC,28,0),0),1)</f>
        <v>31</v>
      </c>
      <c r="FL100" s="140">
        <f>SUM($D100:K100)*IF($B100="Operacional",IFERROR(VLOOKUP($C100,SN_UGC,28,0),0),1)</f>
        <v>31</v>
      </c>
      <c r="FM100" s="140">
        <f>SUM($D100:L100)*IF($B100="Operacional",IFERROR(VLOOKUP($C100,SN_UGC,28,0),0),1)</f>
        <v>31</v>
      </c>
      <c r="FN100" s="140">
        <f>SUM($D100:M100)*IF($B100="Operacional",IFERROR(VLOOKUP($C100,SN_UGC,28,0),0),1)</f>
        <v>31</v>
      </c>
      <c r="FO100" s="140">
        <f>SUM($D100:N100)*IF($B100="Operacional",IFERROR(VLOOKUP($C100,SN_UGC,28,0),0),1)</f>
        <v>31</v>
      </c>
      <c r="FP100" s="140">
        <f>SUM($D100:O100)*IF($B100="Operacional",IFERROR(VLOOKUP($C100,SN_UGC,28,0),0),1)</f>
        <v>31</v>
      </c>
      <c r="FQ100" s="140">
        <f>SUM($D100:P100)*IF($B100="Operacional",IFERROR(VLOOKUP($C100,SN_UGC,28,0),0),1)</f>
        <v>31</v>
      </c>
      <c r="FR100" s="140">
        <f>SUM($D100:Q100)*IF($B100="Operacional",IFERROR(VLOOKUP($C100,SN_UGC,28,0),0),1)</f>
        <v>31</v>
      </c>
      <c r="FS100" s="140">
        <f>SUM($D100:R100)*IF($B100="Operacional",IFERROR(VLOOKUP($C100,SN_UGC,28,0),0),1)</f>
        <v>31</v>
      </c>
      <c r="FT100" s="140">
        <f>SUM($D100:S100)*IF($B100="Operacional",IFERROR(VLOOKUP($C100,SN_UGC,28,0),0),1)</f>
        <v>31</v>
      </c>
      <c r="FU100" s="140">
        <f>SUM($D100:T100)*IF($B100="Operacional",IFERROR(VLOOKUP($C100,SN_UGC,28,0),0),1)</f>
        <v>31</v>
      </c>
      <c r="FV100" s="140">
        <f>SUM($D100:U100)*IF($B100="Operacional",IFERROR(VLOOKUP($C100,SN_UGC,28,0),0),1)</f>
        <v>31</v>
      </c>
      <c r="FW100" s="140">
        <f>SUM($D100:V100)*IF($B100="Operacional",IFERROR(VLOOKUP($C100,SN_UGC,28,0),0),1)</f>
        <v>31</v>
      </c>
      <c r="FX100" s="140">
        <f>SUM($D100:W100)*IF($B100="Operacional",IFERROR(VLOOKUP($C100,SN_UGC,28,0),0),1)</f>
        <v>31</v>
      </c>
      <c r="FY100" s="140">
        <f>SUM($D100:X100)*IF($B100="Operacional",IFERROR(VLOOKUP($C100,SN_UGC,28,0),0),1)</f>
        <v>31</v>
      </c>
      <c r="FZ100" s="140">
        <f>SUM($D100:Y100)*IF($B100="Operacional",IFERROR(VLOOKUP($C100,SN_UGC,28,0),0),1)</f>
        <v>31</v>
      </c>
      <c r="GA100" s="140">
        <f>SUM($D100:Z100)*IF($B100="Operacional",IFERROR(VLOOKUP($C100,SN_UGC,28,0),0),1)</f>
        <v>31</v>
      </c>
      <c r="GB100" s="140">
        <f>SUM($D100:AA100)*IF($B100="Operacional",IFERROR(VLOOKUP($C100,SN_UGC,28,0),0),1)</f>
        <v>31</v>
      </c>
      <c r="GC100" s="140">
        <f>SUM($D100:AB100)*IF($B100="Operacional",IFERROR(VLOOKUP($C100,SN_UGC,28,0),0),1)</f>
        <v>31</v>
      </c>
      <c r="GD100" s="140">
        <f>SUM($D100:AC100)*IF($B100="Operacional",IFERROR(VLOOKUP($C100,SN_UGC,28,0),0),1)</f>
        <v>31</v>
      </c>
      <c r="GE100" s="140">
        <f>SUM($D100:AD100)*IF($B100="Operacional",IFERROR(VLOOKUP($C100,SN_UGC,28,0),0),1)</f>
        <v>31</v>
      </c>
      <c r="GF100" s="140">
        <f>SUM($D100:AE100)*IF($B100="Operacional",IFERROR(VLOOKUP($C100,SN_UGC,28,0),0),1)</f>
        <v>31</v>
      </c>
      <c r="GG100" s="140">
        <f>SUM($D100:AF100)*IF($B100="Operacional",IFERROR(VLOOKUP($C100,SN_UGC,28,0),0),1)</f>
        <v>31</v>
      </c>
      <c r="GH100" s="140">
        <f>SUM($D100:AG100)*IF($B100="Operacional",IFERROR(VLOOKUP($C100,SN_UGC,28,0),0),1)</f>
        <v>31</v>
      </c>
      <c r="GI100" s="141">
        <f t="shared" ref="GI100:HL100" si="496">FE100*$AH100*$AL100</f>
        <v>3677.5145000000007</v>
      </c>
      <c r="GJ100" s="141">
        <f t="shared" si="496"/>
        <v>3677.5145000000007</v>
      </c>
      <c r="GK100" s="141">
        <f t="shared" si="496"/>
        <v>3677.5145000000007</v>
      </c>
      <c r="GL100" s="141">
        <f t="shared" si="496"/>
        <v>3677.5145000000007</v>
      </c>
      <c r="GM100" s="141">
        <f t="shared" si="496"/>
        <v>3677.5145000000007</v>
      </c>
      <c r="GN100" s="141">
        <f t="shared" si="496"/>
        <v>3677.5145000000007</v>
      </c>
      <c r="GO100" s="141">
        <f t="shared" si="496"/>
        <v>3677.5145000000007</v>
      </c>
      <c r="GP100" s="141">
        <f t="shared" si="496"/>
        <v>3677.5145000000007</v>
      </c>
      <c r="GQ100" s="141">
        <f t="shared" si="496"/>
        <v>3677.5145000000007</v>
      </c>
      <c r="GR100" s="141">
        <f t="shared" si="496"/>
        <v>3677.5145000000007</v>
      </c>
      <c r="GS100" s="141">
        <f t="shared" si="496"/>
        <v>3677.5145000000007</v>
      </c>
      <c r="GT100" s="141">
        <f t="shared" si="496"/>
        <v>3677.5145000000007</v>
      </c>
      <c r="GU100" s="141">
        <f t="shared" si="496"/>
        <v>3677.5145000000007</v>
      </c>
      <c r="GV100" s="141">
        <f t="shared" si="496"/>
        <v>3677.5145000000007</v>
      </c>
      <c r="GW100" s="141">
        <f t="shared" si="496"/>
        <v>3677.5145000000007</v>
      </c>
      <c r="GX100" s="141">
        <f t="shared" si="496"/>
        <v>3677.5145000000007</v>
      </c>
      <c r="GY100" s="141">
        <f t="shared" si="496"/>
        <v>3677.5145000000007</v>
      </c>
      <c r="GZ100" s="141">
        <f t="shared" si="496"/>
        <v>3677.5145000000007</v>
      </c>
      <c r="HA100" s="141">
        <f t="shared" si="496"/>
        <v>3677.5145000000007</v>
      </c>
      <c r="HB100" s="141">
        <f t="shared" si="496"/>
        <v>3677.5145000000007</v>
      </c>
      <c r="HC100" s="141">
        <f t="shared" si="496"/>
        <v>3677.5145000000007</v>
      </c>
      <c r="HD100" s="141">
        <f t="shared" si="496"/>
        <v>3677.5145000000007</v>
      </c>
      <c r="HE100" s="141">
        <f t="shared" si="496"/>
        <v>3677.5145000000007</v>
      </c>
      <c r="HF100" s="141">
        <f t="shared" si="496"/>
        <v>3677.5145000000007</v>
      </c>
      <c r="HG100" s="141">
        <f t="shared" si="496"/>
        <v>3677.5145000000007</v>
      </c>
      <c r="HH100" s="141">
        <f t="shared" si="496"/>
        <v>3677.5145000000007</v>
      </c>
      <c r="HI100" s="141">
        <f t="shared" si="496"/>
        <v>3677.5145000000007</v>
      </c>
      <c r="HJ100" s="141">
        <f t="shared" si="496"/>
        <v>3677.5145000000007</v>
      </c>
      <c r="HK100" s="141">
        <f t="shared" si="496"/>
        <v>3677.5145000000007</v>
      </c>
      <c r="HL100" s="141">
        <f t="shared" si="496"/>
        <v>3677.5145000000007</v>
      </c>
      <c r="HM100" s="142">
        <f t="shared" ref="HM100:IP100" si="497">IF(ISBLANK($A100),,FE100*($AH100-($AH100*$AJ100))/$AI100)</f>
        <v>2451.6763333333338</v>
      </c>
      <c r="HN100" s="142">
        <f t="shared" si="497"/>
        <v>2451.6763333333338</v>
      </c>
      <c r="HO100" s="142">
        <f t="shared" si="497"/>
        <v>2451.6763333333338</v>
      </c>
      <c r="HP100" s="142">
        <f t="shared" si="497"/>
        <v>2451.6763333333338</v>
      </c>
      <c r="HQ100" s="142">
        <f t="shared" si="497"/>
        <v>2451.6763333333338</v>
      </c>
      <c r="HR100" s="142">
        <f t="shared" si="497"/>
        <v>2451.6763333333338</v>
      </c>
      <c r="HS100" s="142">
        <f t="shared" si="497"/>
        <v>2451.6763333333338</v>
      </c>
      <c r="HT100" s="142">
        <f t="shared" si="497"/>
        <v>2451.6763333333338</v>
      </c>
      <c r="HU100" s="142">
        <f t="shared" si="497"/>
        <v>2451.6763333333338</v>
      </c>
      <c r="HV100" s="142">
        <f t="shared" si="497"/>
        <v>2451.6763333333338</v>
      </c>
      <c r="HW100" s="142">
        <f t="shared" si="497"/>
        <v>2451.6763333333338</v>
      </c>
      <c r="HX100" s="142">
        <f t="shared" si="497"/>
        <v>2451.6763333333338</v>
      </c>
      <c r="HY100" s="142">
        <f t="shared" si="497"/>
        <v>2451.6763333333338</v>
      </c>
      <c r="HZ100" s="142">
        <f t="shared" si="497"/>
        <v>2451.6763333333338</v>
      </c>
      <c r="IA100" s="142">
        <f t="shared" si="497"/>
        <v>2451.6763333333338</v>
      </c>
      <c r="IB100" s="142">
        <f t="shared" si="497"/>
        <v>2451.6763333333338</v>
      </c>
      <c r="IC100" s="142">
        <f t="shared" si="497"/>
        <v>2451.6763333333338</v>
      </c>
      <c r="ID100" s="142">
        <f t="shared" si="497"/>
        <v>2451.6763333333338</v>
      </c>
      <c r="IE100" s="142">
        <f t="shared" si="497"/>
        <v>2451.6763333333338</v>
      </c>
      <c r="IF100" s="142">
        <f t="shared" si="497"/>
        <v>2451.6763333333338</v>
      </c>
      <c r="IG100" s="142">
        <f t="shared" si="497"/>
        <v>2451.6763333333338</v>
      </c>
      <c r="IH100" s="142">
        <f t="shared" si="497"/>
        <v>2451.6763333333338</v>
      </c>
      <c r="II100" s="142">
        <f t="shared" si="497"/>
        <v>2451.6763333333338</v>
      </c>
      <c r="IJ100" s="142">
        <f t="shared" si="497"/>
        <v>2451.6763333333338</v>
      </c>
      <c r="IK100" s="142">
        <f t="shared" si="497"/>
        <v>2451.6763333333338</v>
      </c>
      <c r="IL100" s="142">
        <f t="shared" si="497"/>
        <v>2451.6763333333338</v>
      </c>
      <c r="IM100" s="142">
        <f t="shared" si="497"/>
        <v>2451.6763333333338</v>
      </c>
      <c r="IN100" s="142">
        <f t="shared" si="497"/>
        <v>2451.6763333333338</v>
      </c>
      <c r="IO100" s="142">
        <f t="shared" si="497"/>
        <v>2451.6763333333338</v>
      </c>
      <c r="IP100" s="142">
        <f t="shared" si="497"/>
        <v>2451.6763333333338</v>
      </c>
      <c r="IQ100" s="141">
        <f>IF(ISBLANK($A100),,IF($AN100="Não",0,(SUM($AO100:AO100)*$AH100)-SUM($HM100:HM100)-SUM($CW100:CW100)))</f>
        <v>0</v>
      </c>
      <c r="IR100" s="141">
        <f>IF(ISBLANK($A100),,IF($AN100="Não",0,(SUM($AO100:AP100)*$AH100)-SUM($HM100:HN100)-SUM($CW100:CX100)))</f>
        <v>0</v>
      </c>
      <c r="IS100" s="141">
        <f>IF(ISBLANK($A100),,IF($AN100="Não",0,(SUM($AO100:AQ100)*$AH100)-SUM($HM100:HO100)-SUM($CW100:CY100)))</f>
        <v>0</v>
      </c>
      <c r="IT100" s="141">
        <f>IF(ISBLANK($A100),,IF($AN100="Não",0,(SUM($AO100:AR100)*$AH100)-SUM($HM100:HP100)-SUM($CW100:CZ100)))</f>
        <v>0</v>
      </c>
      <c r="IU100" s="141">
        <f>IF(ISBLANK($A100),,IF($AN100="Não",0,(SUM($AO100:AS100)*$AH100)-SUM($HM100:HQ100)-SUM($CW100:DA100)))</f>
        <v>0</v>
      </c>
      <c r="IV100" s="141">
        <f>IF(ISBLANK($A100),,IF($AN100="Não",0,(SUM($AO100:AT100)*$AH100)-SUM($HM100:HR100)-SUM($CW100:DB100)))</f>
        <v>0</v>
      </c>
      <c r="IW100" s="141">
        <f>IF(ISBLANK($A100),,IF($AN100="Não",0,(SUM($AO100:AU100)*$AH100)-SUM($HM100:HS100)-SUM($CW100:DC100)))</f>
        <v>0</v>
      </c>
      <c r="IX100" s="141">
        <f>IF(ISBLANK($A100),,IF($AN100="Não",0,(SUM($AO100:AV100)*$AH100)-SUM($HM100:HT100)-SUM($CW100:DD100)))</f>
        <v>0</v>
      </c>
      <c r="IY100" s="141">
        <f>IF(ISBLANK($A100),,IF($AN100="Não",0,(SUM($AO100:AW100)*$AH100)-SUM($HM100:HU100)-SUM($CW100:DE100)))</f>
        <v>0</v>
      </c>
      <c r="IZ100" s="141">
        <f>IF(ISBLANK($A100),,IF($AN100="Não",0,(SUM($AO100:AX100)*$AH100)-SUM($HM100:HV100)-SUM($CW100:DF100)))</f>
        <v>0</v>
      </c>
      <c r="JA100" s="141">
        <f>IF(ISBLANK($A100),,IF($AN100="Não",0,(SUM($AO100:AY100)*$AH100)-SUM($HM100:HW100)-SUM($CW100:DG100)))</f>
        <v>0</v>
      </c>
      <c r="JB100" s="141">
        <f>IF(ISBLANK($A100),,IF($AN100="Não",0,(SUM($AO100:AZ100)*$AH100)-SUM($HM100:HX100)-SUM($CW100:DH100)))</f>
        <v>0</v>
      </c>
      <c r="JC100" s="141">
        <f>IF(ISBLANK($A100),,IF($AN100="Não",0,(SUM($AO100:BA100)*$AH100)-SUM($HM100:HY100)-SUM($CW100:DI100)))</f>
        <v>0</v>
      </c>
      <c r="JD100" s="141">
        <f>IF(ISBLANK($A100),,IF($AN100="Não",0,(SUM($AO100:BB100)*$AH100)-SUM($HM100:HZ100)-SUM($CW100:DJ100)))</f>
        <v>0</v>
      </c>
      <c r="JE100" s="141">
        <f>IF(ISBLANK($A100),,IF($AN100="Não",0,(SUM($AO100:BC100)*$AH100)-SUM($HM100:IA100)-SUM($CW100:DK100)))</f>
        <v>0</v>
      </c>
      <c r="JF100" s="141">
        <f>IF(ISBLANK($A100),,IF($AN100="Não",0,(SUM($AO100:BD100)*$AH100)-SUM($HM100:IB100)-SUM($CW100:DL100)))</f>
        <v>0</v>
      </c>
      <c r="JG100" s="141">
        <f>IF(ISBLANK($A100),,IF($AN100="Não",0,(SUM($AO100:BE100)*$AH100)-SUM($HM100:IC100)-SUM($CW100:DM100)))</f>
        <v>0</v>
      </c>
      <c r="JH100" s="141">
        <f>IF(ISBLANK($A100),,IF($AN100="Não",0,(SUM($AO100:BF100)*$AH100)-SUM($HM100:ID100)-SUM($CW100:DN100)))</f>
        <v>0</v>
      </c>
      <c r="JI100" s="141">
        <f>IF(ISBLANK($A100),,IF($AN100="Não",0,(SUM($AO100:BG100)*$AH100)-SUM($HM100:IE100)-SUM($CW100:DO100)))</f>
        <v>0</v>
      </c>
      <c r="JJ100" s="141">
        <f>IF(ISBLANK($A100),,IF($AN100="Não",0,(SUM($AO100:BH100)*$AH100)-SUM($HM100:IF100)-SUM($CW100:DP100)))</f>
        <v>0</v>
      </c>
      <c r="JK100" s="141">
        <f>IF(ISBLANK($A100),,IF($AN100="Não",0,(SUM($AO100:BI100)*$AH100)-SUM($HM100:IG100)-SUM($CW100:DQ100)))</f>
        <v>0</v>
      </c>
      <c r="JL100" s="141">
        <f>IF(ISBLANK($A100),,IF($AN100="Não",0,(SUM($AO100:BJ100)*$AH100)-SUM($HM100:IH100)-SUM($CW100:DR100)))</f>
        <v>0</v>
      </c>
      <c r="JM100" s="141">
        <f>IF(ISBLANK($A100),,IF($AN100="Não",0,(SUM($AO100:BK100)*$AH100)-SUM($HM100:II100)-SUM($CW100:DS100)))</f>
        <v>0</v>
      </c>
      <c r="JN100" s="141">
        <f>IF(ISBLANK($A100),,IF($AN100="Não",0,(SUM($AO100:BL100)*$AH100)-SUM($HM100:IJ100)-SUM($CW100:DT100)))</f>
        <v>0</v>
      </c>
      <c r="JO100" s="141">
        <f>IF(ISBLANK($A100),,IF($AN100="Não",0,(SUM($AO100:BM100)*$AH100)-SUM($HM100:IK100)-SUM($CW100:DU100)))</f>
        <v>0</v>
      </c>
      <c r="JP100" s="141">
        <f>IF(ISBLANK($A100),,IF($AN100="Não",0,(SUM($AO100:BN100)*$AH100)-SUM($HM100:IL100)-SUM($CW100:DV100)))</f>
        <v>0</v>
      </c>
      <c r="JQ100" s="141">
        <f>IF(ISBLANK($A100),,IF($AN100="Não",0,(SUM($AO100:BO100)*$AH100)-SUM($HM100:IM100)-SUM($CW100:DW100)))</f>
        <v>0</v>
      </c>
      <c r="JR100" s="141">
        <f>IF(ISBLANK($A100),,IF($AN100="Não",0,(SUM($AO100:BP100)*$AH100)-SUM($HM100:IN100)-SUM($CW100:DX100)))</f>
        <v>0</v>
      </c>
      <c r="JS100" s="141">
        <f>IF(ISBLANK($A100),,IF($AN100="Não",0,(SUM($AO100:BQ100)*$AH100)-SUM($HM100:IO100)-SUM($CW100:DY100)))</f>
        <v>0</v>
      </c>
      <c r="JT100" s="141">
        <f>IF(ISBLANK($A100),,IF($AN100="Não",0,(SUM($AO100:BR100)*$AH100)-SUM($HM100:IP100)-SUM($CW100:DZ100)))</f>
        <v>0</v>
      </c>
    </row>
    <row r="101" spans="1:280" ht="15.75" customHeight="1">
      <c r="A101" s="129" t="s">
        <v>435</v>
      </c>
      <c r="B101" s="129" t="s">
        <v>191</v>
      </c>
      <c r="C101" s="138" t="s">
        <v>234</v>
      </c>
      <c r="D101" s="139">
        <v>16</v>
      </c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607">
        <f t="shared" si="399"/>
        <v>2372.59</v>
      </c>
      <c r="AI101" s="608">
        <f t="shared" si="400"/>
        <v>30</v>
      </c>
      <c r="AJ101" s="609">
        <f t="shared" si="401"/>
        <v>0</v>
      </c>
      <c r="AK101" s="610" t="str">
        <f t="shared" si="402"/>
        <v>Edificações</v>
      </c>
      <c r="AL101" s="609">
        <f t="shared" si="403"/>
        <v>0.05</v>
      </c>
      <c r="AM101" s="611" t="str">
        <f t="shared" si="404"/>
        <v>Sim</v>
      </c>
      <c r="AN101" s="611" t="str">
        <f t="shared" si="405"/>
        <v>Não</v>
      </c>
      <c r="AO101" s="140">
        <f t="array" ref="AO101">IF(ISBLANK($A101),0,IF(OR(AO$5-$AI101&lt;=0,$AM101="Não"),D101,D101+INDEX($AO$6:$BR$176,ROW()-5,COLUMN()-40-$AI101)))*IF($B101="Operacional",IFERROR(VLOOKUP($C101,SN_UGC,28,0),0),1)</f>
        <v>16</v>
      </c>
      <c r="AP101" s="140">
        <f t="array" ref="AP101">IF(ISBLANK($A101),0,IF(OR(AP$5-$AI101&lt;=0,$AM101="Não"),E101,E101+INDEX($AO$6:$BR$176,ROW()-5,COLUMN()-40-$AI101)))*IF($B101="Operacional",IFERROR(VLOOKUP($C101,SN_UGC,28,0),0),1)</f>
        <v>0</v>
      </c>
      <c r="AQ101" s="140">
        <f t="array" ref="AQ101">IF(ISBLANK($A101),0,IF(OR(AQ$5-$AI101&lt;=0,$AM101="Não"),F101,F101+INDEX($AO$6:$BR$176,ROW()-5,COLUMN()-40-$AI101)))*IF($B101="Operacional",IFERROR(VLOOKUP($C101,SN_UGC,28,0),0),1)</f>
        <v>0</v>
      </c>
      <c r="AR101" s="140">
        <f t="array" ref="AR101">IF(ISBLANK($A101),0,IF(OR(AR$5-$AI101&lt;=0,$AM101="Não"),G101,G101+INDEX($AO$6:$BR$176,ROW()-5,COLUMN()-40-$AI101)))*IF($B101="Operacional",IFERROR(VLOOKUP($C101,SN_UGC,28,0),0),1)</f>
        <v>0</v>
      </c>
      <c r="AS101" s="140">
        <f t="array" ref="AS101">IF(ISBLANK($A101),0,IF(OR(AS$5-$AI101&lt;=0,$AM101="Não"),H101,H101+INDEX($AO$6:$BR$176,ROW()-5,COLUMN()-40-$AI101)))*IF($B101="Operacional",IFERROR(VLOOKUP($C101,SN_UGC,28,0),0),1)</f>
        <v>0</v>
      </c>
      <c r="AT101" s="140">
        <f t="array" ref="AT101">IF(ISBLANK($A101),0,IF(OR(AT$5-$AI101&lt;=0,$AM101="Não"),I101,I101+INDEX($AO$6:$BR$176,ROW()-5,COLUMN()-40-$AI101)))*IF($B101="Operacional",IFERROR(VLOOKUP($C101,SN_UGC,28,0),0),1)</f>
        <v>0</v>
      </c>
      <c r="AU101" s="140">
        <f t="array" ref="AU101">IF(ISBLANK($A101),0,IF(OR(AU$5-$AI101&lt;=0,$AM101="Não"),J101,J101+INDEX($AO$6:$BR$176,ROW()-5,COLUMN()-40-$AI101)))*IF($B101="Operacional",IFERROR(VLOOKUP($C101,SN_UGC,28,0),0),1)</f>
        <v>0</v>
      </c>
      <c r="AV101" s="140">
        <f t="array" ref="AV101">IF(ISBLANK($A101),0,IF(OR(AV$5-$AI101&lt;=0,$AM101="Não"),K101,K101+INDEX($AO$6:$BR$176,ROW()-5,COLUMN()-40-$AI101)))*IF($B101="Operacional",IFERROR(VLOOKUP($C101,SN_UGC,28,0),0),1)</f>
        <v>0</v>
      </c>
      <c r="AW101" s="140">
        <f t="array" ref="AW101">IF(ISBLANK($A101),0,IF(OR(AW$5-$AI101&lt;=0,$AM101="Não"),L101,L101+INDEX($AO$6:$BR$176,ROW()-5,COLUMN()-40-$AI101)))*IF($B101="Operacional",IFERROR(VLOOKUP($C101,SN_UGC,28,0),0),1)</f>
        <v>0</v>
      </c>
      <c r="AX101" s="140">
        <f t="array" ref="AX101">IF(ISBLANK($A101),0,IF(OR(AX$5-$AI101&lt;=0,$AM101="Não"),M101,M101+INDEX($AO$6:$BR$176,ROW()-5,COLUMN()-40-$AI101)))*IF($B101="Operacional",IFERROR(VLOOKUP($C101,SN_UGC,28,0),0),1)</f>
        <v>0</v>
      </c>
      <c r="AY101" s="140">
        <f t="array" ref="AY101">IF(ISBLANK($A101),0,IF(OR(AY$5-$AI101&lt;=0,$AM101="Não"),N101,N101+INDEX($AO$6:$BR$176,ROW()-5,COLUMN()-40-$AI101)))*IF($B101="Operacional",IFERROR(VLOOKUP($C101,SN_UGC,28,0),0),1)</f>
        <v>0</v>
      </c>
      <c r="AZ101" s="140">
        <f t="array" ref="AZ101">IF(ISBLANK($A101),0,IF(OR(AZ$5-$AI101&lt;=0,$AM101="Não"),O101,O101+INDEX($AO$6:$BR$176,ROW()-5,COLUMN()-40-$AI101)))*IF($B101="Operacional",IFERROR(VLOOKUP($C101,SN_UGC,28,0),0),1)</f>
        <v>0</v>
      </c>
      <c r="BA101" s="140">
        <f t="array" ref="BA101">IF(ISBLANK($A101),0,IF(OR(BA$5-$AI101&lt;=0,$AM101="Não"),P101,P101+INDEX($AO$6:$BR$176,ROW()-5,COLUMN()-40-$AI101)))*IF($B101="Operacional",IFERROR(VLOOKUP($C101,SN_UGC,28,0),0),1)</f>
        <v>0</v>
      </c>
      <c r="BB101" s="140">
        <f t="array" ref="BB101">IF(ISBLANK($A101),0,IF(OR(BB$5-$AI101&lt;=0,$AM101="Não"),Q101,Q101+INDEX($AO$6:$BR$176,ROW()-5,COLUMN()-40-$AI101)))*IF($B101="Operacional",IFERROR(VLOOKUP($C101,SN_UGC,28,0),0),1)</f>
        <v>0</v>
      </c>
      <c r="BC101" s="140">
        <f t="array" ref="BC101">IF(ISBLANK($A101),0,IF(OR(BC$5-$AI101&lt;=0,$AM101="Não"),R101,R101+INDEX($AO$6:$BR$176,ROW()-5,COLUMN()-40-$AI101)))*IF($B101="Operacional",IFERROR(VLOOKUP($C101,SN_UGC,28,0),0),1)</f>
        <v>0</v>
      </c>
      <c r="BD101" s="140">
        <f t="array" ref="BD101">IF(ISBLANK($A101),0,IF(OR(BD$5-$AI101&lt;=0,$AM101="Não"),S101,S101+INDEX($AO$6:$BR$176,ROW()-5,COLUMN()-40-$AI101)))*IF($B101="Operacional",IFERROR(VLOOKUP($C101,SN_UGC,28,0),0),1)</f>
        <v>0</v>
      </c>
      <c r="BE101" s="140">
        <f t="array" ref="BE101">IF(ISBLANK($A101),0,IF(OR(BE$5-$AI101&lt;=0,$AM101="Não"),T101,T101+INDEX($AO$6:$BR$176,ROW()-5,COLUMN()-40-$AI101)))*IF($B101="Operacional",IFERROR(VLOOKUP($C101,SN_UGC,28,0),0),1)</f>
        <v>0</v>
      </c>
      <c r="BF101" s="140">
        <f t="array" ref="BF101">IF(ISBLANK($A101),0,IF(OR(BF$5-$AI101&lt;=0,$AM101="Não"),U101,U101+INDEX($AO$6:$BR$176,ROW()-5,COLUMN()-40-$AI101)))*IF($B101="Operacional",IFERROR(VLOOKUP($C101,SN_UGC,28,0),0),1)</f>
        <v>0</v>
      </c>
      <c r="BG101" s="140">
        <f t="array" ref="BG101">IF(ISBLANK($A101),0,IF(OR(BG$5-$AI101&lt;=0,$AM101="Não"),V101,V101+INDEX($AO$6:$BR$176,ROW()-5,COLUMN()-40-$AI101)))*IF($B101="Operacional",IFERROR(VLOOKUP($C101,SN_UGC,28,0),0),1)</f>
        <v>0</v>
      </c>
      <c r="BH101" s="140">
        <f t="array" ref="BH101">IF(ISBLANK($A101),0,IF(OR(BH$5-$AI101&lt;=0,$AM101="Não"),W101,W101+INDEX($AO$6:$BR$176,ROW()-5,COLUMN()-40-$AI101)))*IF($B101="Operacional",IFERROR(VLOOKUP($C101,SN_UGC,28,0),0),1)</f>
        <v>0</v>
      </c>
      <c r="BI101" s="140">
        <f t="array" ref="BI101">IF(ISBLANK($A101),0,IF(OR(BI$5-$AI101&lt;=0,$AM101="Não"),X101,X101+INDEX($AO$6:$BR$176,ROW()-5,COLUMN()-40-$AI101)))*IF($B101="Operacional",IFERROR(VLOOKUP($C101,SN_UGC,28,0),0),1)</f>
        <v>0</v>
      </c>
      <c r="BJ101" s="140">
        <f t="array" ref="BJ101">IF(ISBLANK($A101),0,IF(OR(BJ$5-$AI101&lt;=0,$AM101="Não"),Y101,Y101+INDEX($AO$6:$BR$176,ROW()-5,COLUMN()-40-$AI101)))*IF($B101="Operacional",IFERROR(VLOOKUP($C101,SN_UGC,28,0),0),1)</f>
        <v>0</v>
      </c>
      <c r="BK101" s="140">
        <f t="array" ref="BK101">IF(ISBLANK($A101),0,IF(OR(BK$5-$AI101&lt;=0,$AM101="Não"),Z101,Z101+INDEX($AO$6:$BR$176,ROW()-5,COLUMN()-40-$AI101)))*IF($B101="Operacional",IFERROR(VLOOKUP($C101,SN_UGC,28,0),0),1)</f>
        <v>0</v>
      </c>
      <c r="BL101" s="140">
        <f t="array" ref="BL101">IF(ISBLANK($A101),0,IF(OR(BL$5-$AI101&lt;=0,$AM101="Não"),AA101,AA101+INDEX($AO$6:$BR$176,ROW()-5,COLUMN()-40-$AI101)))*IF($B101="Operacional",IFERROR(VLOOKUP($C101,SN_UGC,28,0),0),1)</f>
        <v>0</v>
      </c>
      <c r="BM101" s="140">
        <f t="array" ref="BM101">IF(ISBLANK($A101),0,IF(OR(BM$5-$AI101&lt;=0,$AM101="Não"),AB101,AB101+INDEX($AO$6:$BR$176,ROW()-5,COLUMN()-40-$AI101)))*IF($B101="Operacional",IFERROR(VLOOKUP($C101,SN_UGC,28,0),0),1)</f>
        <v>0</v>
      </c>
      <c r="BN101" s="140">
        <f t="array" ref="BN101">IF(ISBLANK($A101),0,IF(OR(BN$5-$AI101&lt;=0,$AM101="Não"),AC101,AC101+INDEX($AO$6:$BR$176,ROW()-5,COLUMN()-40-$AI101)))*IF($B101="Operacional",IFERROR(VLOOKUP($C101,SN_UGC,28,0),0),1)</f>
        <v>0</v>
      </c>
      <c r="BO101" s="140">
        <f t="array" ref="BO101">IF(ISBLANK($A101),0,IF(OR(BO$5-$AI101&lt;=0,$AM101="Não"),AD101,AD101+INDEX($AO$6:$BR$176,ROW()-5,COLUMN()-40-$AI101)))*IF($B101="Operacional",IFERROR(VLOOKUP($C101,SN_UGC,28,0),0),1)</f>
        <v>0</v>
      </c>
      <c r="BP101" s="140">
        <f t="array" ref="BP101">IF(ISBLANK($A101),0,IF(OR(BP$5-$AI101&lt;=0,$AM101="Não"),AE101,AE101+INDEX($AO$6:$BR$176,ROW()-5,COLUMN()-40-$AI101)))*IF($B101="Operacional",IFERROR(VLOOKUP($C101,SN_UGC,28,0),0),1)</f>
        <v>0</v>
      </c>
      <c r="BQ101" s="140">
        <f t="array" ref="BQ101">IF(ISBLANK($A101),0,IF(OR(BQ$5-$AI101&lt;=0,$AM101="Não"),AF101,AF101+INDEX($AO$6:$BR$176,ROW()-5,COLUMN()-40-$AI101)))*IF($B101="Operacional",IFERROR(VLOOKUP($C101,SN_UGC,28,0),0),1)</f>
        <v>0</v>
      </c>
      <c r="BR101" s="140">
        <f t="array" ref="BR101">IF(ISBLANK($A101),0,IF(OR(BR$5-$AI101&lt;=0,$AM101="Não"),AG101,AG101+INDEX($AO$6:$BR$176,ROW()-5,COLUMN()-40-$AI101)))*IF($B101="Operacional",IFERROR(VLOOKUP($C101,SN_UGC,28,0),0),1)</f>
        <v>0</v>
      </c>
      <c r="BS101" s="141">
        <f t="shared" ref="BS101:CV101" si="498">IF(ISBLANK($A101),0,$AH101*AO101)</f>
        <v>37961.440000000002</v>
      </c>
      <c r="BT101" s="141">
        <f t="shared" si="498"/>
        <v>0</v>
      </c>
      <c r="BU101" s="141">
        <f t="shared" si="498"/>
        <v>0</v>
      </c>
      <c r="BV101" s="141">
        <f t="shared" si="498"/>
        <v>0</v>
      </c>
      <c r="BW101" s="141">
        <f t="shared" si="498"/>
        <v>0</v>
      </c>
      <c r="BX101" s="141">
        <f t="shared" si="498"/>
        <v>0</v>
      </c>
      <c r="BY101" s="141">
        <f t="shared" si="498"/>
        <v>0</v>
      </c>
      <c r="BZ101" s="141">
        <f t="shared" si="498"/>
        <v>0</v>
      </c>
      <c r="CA101" s="141">
        <f t="shared" si="498"/>
        <v>0</v>
      </c>
      <c r="CB101" s="141">
        <f t="shared" si="498"/>
        <v>0</v>
      </c>
      <c r="CC101" s="141">
        <f t="shared" si="498"/>
        <v>0</v>
      </c>
      <c r="CD101" s="141">
        <f t="shared" si="498"/>
        <v>0</v>
      </c>
      <c r="CE101" s="141">
        <f t="shared" si="498"/>
        <v>0</v>
      </c>
      <c r="CF101" s="141">
        <f t="shared" si="498"/>
        <v>0</v>
      </c>
      <c r="CG101" s="141">
        <f t="shared" si="498"/>
        <v>0</v>
      </c>
      <c r="CH101" s="141">
        <f t="shared" si="498"/>
        <v>0</v>
      </c>
      <c r="CI101" s="141">
        <f t="shared" si="498"/>
        <v>0</v>
      </c>
      <c r="CJ101" s="141">
        <f t="shared" si="498"/>
        <v>0</v>
      </c>
      <c r="CK101" s="141">
        <f t="shared" si="498"/>
        <v>0</v>
      </c>
      <c r="CL101" s="141">
        <f t="shared" si="498"/>
        <v>0</v>
      </c>
      <c r="CM101" s="141">
        <f t="shared" si="498"/>
        <v>0</v>
      </c>
      <c r="CN101" s="141">
        <f t="shared" si="498"/>
        <v>0</v>
      </c>
      <c r="CO101" s="141">
        <f t="shared" si="498"/>
        <v>0</v>
      </c>
      <c r="CP101" s="141">
        <f t="shared" si="498"/>
        <v>0</v>
      </c>
      <c r="CQ101" s="141">
        <f t="shared" si="498"/>
        <v>0</v>
      </c>
      <c r="CR101" s="141">
        <f t="shared" si="498"/>
        <v>0</v>
      </c>
      <c r="CS101" s="141">
        <f t="shared" si="498"/>
        <v>0</v>
      </c>
      <c r="CT101" s="141">
        <f t="shared" si="498"/>
        <v>0</v>
      </c>
      <c r="CU101" s="141">
        <f t="shared" si="498"/>
        <v>0</v>
      </c>
      <c r="CV101" s="141">
        <f t="shared" si="498"/>
        <v>0</v>
      </c>
      <c r="CW101" s="142">
        <f t="shared" ref="CW101:DZ101" si="499">EA101*$AH101*$AJ101</f>
        <v>0</v>
      </c>
      <c r="CX101" s="142">
        <f t="shared" si="499"/>
        <v>0</v>
      </c>
      <c r="CY101" s="142">
        <f t="shared" si="499"/>
        <v>0</v>
      </c>
      <c r="CZ101" s="142">
        <f t="shared" si="499"/>
        <v>0</v>
      </c>
      <c r="DA101" s="142">
        <f t="shared" si="499"/>
        <v>0</v>
      </c>
      <c r="DB101" s="142">
        <f t="shared" si="499"/>
        <v>0</v>
      </c>
      <c r="DC101" s="142">
        <f t="shared" si="499"/>
        <v>0</v>
      </c>
      <c r="DD101" s="142">
        <f t="shared" si="499"/>
        <v>0</v>
      </c>
      <c r="DE101" s="142">
        <f t="shared" si="499"/>
        <v>0</v>
      </c>
      <c r="DF101" s="142">
        <f t="shared" si="499"/>
        <v>0</v>
      </c>
      <c r="DG101" s="142">
        <f t="shared" si="499"/>
        <v>0</v>
      </c>
      <c r="DH101" s="142">
        <f t="shared" si="499"/>
        <v>0</v>
      </c>
      <c r="DI101" s="142">
        <f t="shared" si="499"/>
        <v>0</v>
      </c>
      <c r="DJ101" s="142">
        <f t="shared" si="499"/>
        <v>0</v>
      </c>
      <c r="DK101" s="142">
        <f t="shared" si="499"/>
        <v>0</v>
      </c>
      <c r="DL101" s="142">
        <f t="shared" si="499"/>
        <v>0</v>
      </c>
      <c r="DM101" s="142">
        <f t="shared" si="499"/>
        <v>0</v>
      </c>
      <c r="DN101" s="142">
        <f t="shared" si="499"/>
        <v>0</v>
      </c>
      <c r="DO101" s="142">
        <f t="shared" si="499"/>
        <v>0</v>
      </c>
      <c r="DP101" s="142">
        <f t="shared" si="499"/>
        <v>0</v>
      </c>
      <c r="DQ101" s="142">
        <f t="shared" si="499"/>
        <v>0</v>
      </c>
      <c r="DR101" s="142">
        <f t="shared" si="499"/>
        <v>0</v>
      </c>
      <c r="DS101" s="142">
        <f t="shared" si="499"/>
        <v>0</v>
      </c>
      <c r="DT101" s="142">
        <f t="shared" si="499"/>
        <v>0</v>
      </c>
      <c r="DU101" s="142">
        <f t="shared" si="499"/>
        <v>0</v>
      </c>
      <c r="DV101" s="142">
        <f t="shared" si="499"/>
        <v>0</v>
      </c>
      <c r="DW101" s="142">
        <f t="shared" si="499"/>
        <v>0</v>
      </c>
      <c r="DX101" s="142">
        <f t="shared" si="499"/>
        <v>0</v>
      </c>
      <c r="DY101" s="142">
        <f t="shared" si="499"/>
        <v>0</v>
      </c>
      <c r="DZ101" s="142">
        <f t="shared" si="499"/>
        <v>0</v>
      </c>
      <c r="EA101" s="143">
        <f t="shared" si="339"/>
        <v>0</v>
      </c>
      <c r="EB101" s="143">
        <f t="shared" si="340"/>
        <v>0</v>
      </c>
      <c r="EC101" s="143">
        <f t="shared" si="341"/>
        <v>0</v>
      </c>
      <c r="ED101" s="143">
        <f t="shared" si="342"/>
        <v>0</v>
      </c>
      <c r="EE101" s="143">
        <f t="shared" si="343"/>
        <v>0</v>
      </c>
      <c r="EF101" s="143">
        <f t="shared" si="344"/>
        <v>0</v>
      </c>
      <c r="EG101" s="143">
        <f t="shared" si="345"/>
        <v>0</v>
      </c>
      <c r="EH101" s="143">
        <f t="shared" si="346"/>
        <v>0</v>
      </c>
      <c r="EI101" s="143">
        <f t="shared" si="347"/>
        <v>0</v>
      </c>
      <c r="EJ101" s="143">
        <f t="shared" si="348"/>
        <v>0</v>
      </c>
      <c r="EK101" s="143">
        <f t="shared" si="349"/>
        <v>0</v>
      </c>
      <c r="EL101" s="143">
        <f t="shared" si="350"/>
        <v>0</v>
      </c>
      <c r="EM101" s="143">
        <f t="shared" si="351"/>
        <v>0</v>
      </c>
      <c r="EN101" s="143">
        <f t="shared" si="352"/>
        <v>0</v>
      </c>
      <c r="EO101" s="143">
        <f t="shared" si="353"/>
        <v>0</v>
      </c>
      <c r="EP101" s="143">
        <f t="shared" si="354"/>
        <v>0</v>
      </c>
      <c r="EQ101" s="143">
        <f t="shared" si="355"/>
        <v>0</v>
      </c>
      <c r="ER101" s="143">
        <f t="shared" si="356"/>
        <v>0</v>
      </c>
      <c r="ES101" s="143">
        <f t="shared" si="357"/>
        <v>0</v>
      </c>
      <c r="ET101" s="143">
        <f t="shared" si="358"/>
        <v>0</v>
      </c>
      <c r="EU101" s="143">
        <f t="shared" si="359"/>
        <v>0</v>
      </c>
      <c r="EV101" s="143">
        <f t="shared" si="360"/>
        <v>0</v>
      </c>
      <c r="EW101" s="143">
        <f t="shared" si="361"/>
        <v>0</v>
      </c>
      <c r="EX101" s="143">
        <f t="shared" si="362"/>
        <v>0</v>
      </c>
      <c r="EY101" s="143">
        <f t="shared" si="363"/>
        <v>0</v>
      </c>
      <c r="EZ101" s="143">
        <f t="shared" si="364"/>
        <v>0</v>
      </c>
      <c r="FA101" s="143">
        <f t="shared" si="365"/>
        <v>0</v>
      </c>
      <c r="FB101" s="143">
        <f t="shared" si="366"/>
        <v>0</v>
      </c>
      <c r="FC101" s="143">
        <f t="shared" si="367"/>
        <v>0</v>
      </c>
      <c r="FD101" s="143">
        <f t="shared" si="368"/>
        <v>0</v>
      </c>
      <c r="FE101" s="140">
        <f>SUM($D101:D101)*IF($B101="Operacional",IFERROR(VLOOKUP($C101,SN_UGC,28,0),0),1)</f>
        <v>16</v>
      </c>
      <c r="FF101" s="140">
        <f>SUM($D101:E101)*IF($B101="Operacional",IFERROR(VLOOKUP($C101,SN_UGC,28,0),0),1)</f>
        <v>16</v>
      </c>
      <c r="FG101" s="140">
        <f>SUM($D101:F101)*IF($B101="Operacional",IFERROR(VLOOKUP($C101,SN_UGC,28,0),0),1)</f>
        <v>16</v>
      </c>
      <c r="FH101" s="140">
        <f>SUM($D101:G101)*IF($B101="Operacional",IFERROR(VLOOKUP($C101,SN_UGC,28,0),0),1)</f>
        <v>16</v>
      </c>
      <c r="FI101" s="140">
        <f>SUM($D101:H101)*IF($B101="Operacional",IFERROR(VLOOKUP($C101,SN_UGC,28,0),0),1)</f>
        <v>16</v>
      </c>
      <c r="FJ101" s="140">
        <f>SUM($D101:I101)*IF($B101="Operacional",IFERROR(VLOOKUP($C101,SN_UGC,28,0),0),1)</f>
        <v>16</v>
      </c>
      <c r="FK101" s="140">
        <f>SUM($D101:J101)*IF($B101="Operacional",IFERROR(VLOOKUP($C101,SN_UGC,28,0),0),1)</f>
        <v>16</v>
      </c>
      <c r="FL101" s="140">
        <f>SUM($D101:K101)*IF($B101="Operacional",IFERROR(VLOOKUP($C101,SN_UGC,28,0),0),1)</f>
        <v>16</v>
      </c>
      <c r="FM101" s="140">
        <f>SUM($D101:L101)*IF($B101="Operacional",IFERROR(VLOOKUP($C101,SN_UGC,28,0),0),1)</f>
        <v>16</v>
      </c>
      <c r="FN101" s="140">
        <f>SUM($D101:M101)*IF($B101="Operacional",IFERROR(VLOOKUP($C101,SN_UGC,28,0),0),1)</f>
        <v>16</v>
      </c>
      <c r="FO101" s="140">
        <f>SUM($D101:N101)*IF($B101="Operacional",IFERROR(VLOOKUP($C101,SN_UGC,28,0),0),1)</f>
        <v>16</v>
      </c>
      <c r="FP101" s="140">
        <f>SUM($D101:O101)*IF($B101="Operacional",IFERROR(VLOOKUP($C101,SN_UGC,28,0),0),1)</f>
        <v>16</v>
      </c>
      <c r="FQ101" s="140">
        <f>SUM($D101:P101)*IF($B101="Operacional",IFERROR(VLOOKUP($C101,SN_UGC,28,0),0),1)</f>
        <v>16</v>
      </c>
      <c r="FR101" s="140">
        <f>SUM($D101:Q101)*IF($B101="Operacional",IFERROR(VLOOKUP($C101,SN_UGC,28,0),0),1)</f>
        <v>16</v>
      </c>
      <c r="FS101" s="140">
        <f>SUM($D101:R101)*IF($B101="Operacional",IFERROR(VLOOKUP($C101,SN_UGC,28,0),0),1)</f>
        <v>16</v>
      </c>
      <c r="FT101" s="140">
        <f>SUM($D101:S101)*IF($B101="Operacional",IFERROR(VLOOKUP($C101,SN_UGC,28,0),0),1)</f>
        <v>16</v>
      </c>
      <c r="FU101" s="140">
        <f>SUM($D101:T101)*IF($B101="Operacional",IFERROR(VLOOKUP($C101,SN_UGC,28,0),0),1)</f>
        <v>16</v>
      </c>
      <c r="FV101" s="140">
        <f>SUM($D101:U101)*IF($B101="Operacional",IFERROR(VLOOKUP($C101,SN_UGC,28,0),0),1)</f>
        <v>16</v>
      </c>
      <c r="FW101" s="140">
        <f>SUM($D101:V101)*IF($B101="Operacional",IFERROR(VLOOKUP($C101,SN_UGC,28,0),0),1)</f>
        <v>16</v>
      </c>
      <c r="FX101" s="140">
        <f>SUM($D101:W101)*IF($B101="Operacional",IFERROR(VLOOKUP($C101,SN_UGC,28,0),0),1)</f>
        <v>16</v>
      </c>
      <c r="FY101" s="140">
        <f>SUM($D101:X101)*IF($B101="Operacional",IFERROR(VLOOKUP($C101,SN_UGC,28,0),0),1)</f>
        <v>16</v>
      </c>
      <c r="FZ101" s="140">
        <f>SUM($D101:Y101)*IF($B101="Operacional",IFERROR(VLOOKUP($C101,SN_UGC,28,0),0),1)</f>
        <v>16</v>
      </c>
      <c r="GA101" s="140">
        <f>SUM($D101:Z101)*IF($B101="Operacional",IFERROR(VLOOKUP($C101,SN_UGC,28,0),0),1)</f>
        <v>16</v>
      </c>
      <c r="GB101" s="140">
        <f>SUM($D101:AA101)*IF($B101="Operacional",IFERROR(VLOOKUP($C101,SN_UGC,28,0),0),1)</f>
        <v>16</v>
      </c>
      <c r="GC101" s="140">
        <f>SUM($D101:AB101)*IF($B101="Operacional",IFERROR(VLOOKUP($C101,SN_UGC,28,0),0),1)</f>
        <v>16</v>
      </c>
      <c r="GD101" s="140">
        <f>SUM($D101:AC101)*IF($B101="Operacional",IFERROR(VLOOKUP($C101,SN_UGC,28,0),0),1)</f>
        <v>16</v>
      </c>
      <c r="GE101" s="140">
        <f>SUM($D101:AD101)*IF($B101="Operacional",IFERROR(VLOOKUP($C101,SN_UGC,28,0),0),1)</f>
        <v>16</v>
      </c>
      <c r="GF101" s="140">
        <f>SUM($D101:AE101)*IF($B101="Operacional",IFERROR(VLOOKUP($C101,SN_UGC,28,0),0),1)</f>
        <v>16</v>
      </c>
      <c r="GG101" s="140">
        <f>SUM($D101:AF101)*IF($B101="Operacional",IFERROR(VLOOKUP($C101,SN_UGC,28,0),0),1)</f>
        <v>16</v>
      </c>
      <c r="GH101" s="140">
        <f>SUM($D101:AG101)*IF($B101="Operacional",IFERROR(VLOOKUP($C101,SN_UGC,28,0),0),1)</f>
        <v>16</v>
      </c>
      <c r="GI101" s="141">
        <f t="shared" ref="GI101:HL101" si="500">FE101*$AH101*$AL101</f>
        <v>1898.0720000000001</v>
      </c>
      <c r="GJ101" s="141">
        <f t="shared" si="500"/>
        <v>1898.0720000000001</v>
      </c>
      <c r="GK101" s="141">
        <f t="shared" si="500"/>
        <v>1898.0720000000001</v>
      </c>
      <c r="GL101" s="141">
        <f t="shared" si="500"/>
        <v>1898.0720000000001</v>
      </c>
      <c r="GM101" s="141">
        <f t="shared" si="500"/>
        <v>1898.0720000000001</v>
      </c>
      <c r="GN101" s="141">
        <f t="shared" si="500"/>
        <v>1898.0720000000001</v>
      </c>
      <c r="GO101" s="141">
        <f t="shared" si="500"/>
        <v>1898.0720000000001</v>
      </c>
      <c r="GP101" s="141">
        <f t="shared" si="500"/>
        <v>1898.0720000000001</v>
      </c>
      <c r="GQ101" s="141">
        <f t="shared" si="500"/>
        <v>1898.0720000000001</v>
      </c>
      <c r="GR101" s="141">
        <f t="shared" si="500"/>
        <v>1898.0720000000001</v>
      </c>
      <c r="GS101" s="141">
        <f t="shared" si="500"/>
        <v>1898.0720000000001</v>
      </c>
      <c r="GT101" s="141">
        <f t="shared" si="500"/>
        <v>1898.0720000000001</v>
      </c>
      <c r="GU101" s="141">
        <f t="shared" si="500"/>
        <v>1898.0720000000001</v>
      </c>
      <c r="GV101" s="141">
        <f t="shared" si="500"/>
        <v>1898.0720000000001</v>
      </c>
      <c r="GW101" s="141">
        <f t="shared" si="500"/>
        <v>1898.0720000000001</v>
      </c>
      <c r="GX101" s="141">
        <f t="shared" si="500"/>
        <v>1898.0720000000001</v>
      </c>
      <c r="GY101" s="141">
        <f t="shared" si="500"/>
        <v>1898.0720000000001</v>
      </c>
      <c r="GZ101" s="141">
        <f t="shared" si="500"/>
        <v>1898.0720000000001</v>
      </c>
      <c r="HA101" s="141">
        <f t="shared" si="500"/>
        <v>1898.0720000000001</v>
      </c>
      <c r="HB101" s="141">
        <f t="shared" si="500"/>
        <v>1898.0720000000001</v>
      </c>
      <c r="HC101" s="141">
        <f t="shared" si="500"/>
        <v>1898.0720000000001</v>
      </c>
      <c r="HD101" s="141">
        <f t="shared" si="500"/>
        <v>1898.0720000000001</v>
      </c>
      <c r="HE101" s="141">
        <f t="shared" si="500"/>
        <v>1898.0720000000001</v>
      </c>
      <c r="HF101" s="141">
        <f t="shared" si="500"/>
        <v>1898.0720000000001</v>
      </c>
      <c r="HG101" s="141">
        <f t="shared" si="500"/>
        <v>1898.0720000000001</v>
      </c>
      <c r="HH101" s="141">
        <f t="shared" si="500"/>
        <v>1898.0720000000001</v>
      </c>
      <c r="HI101" s="141">
        <f t="shared" si="500"/>
        <v>1898.0720000000001</v>
      </c>
      <c r="HJ101" s="141">
        <f t="shared" si="500"/>
        <v>1898.0720000000001</v>
      </c>
      <c r="HK101" s="141">
        <f t="shared" si="500"/>
        <v>1898.0720000000001</v>
      </c>
      <c r="HL101" s="141">
        <f t="shared" si="500"/>
        <v>1898.0720000000001</v>
      </c>
      <c r="HM101" s="142">
        <f t="shared" ref="HM101:IP101" si="501">IF(ISBLANK($A101),,FE101*($AH101-($AH101*$AJ101))/$AI101)</f>
        <v>1265.3813333333335</v>
      </c>
      <c r="HN101" s="142">
        <f t="shared" si="501"/>
        <v>1265.3813333333335</v>
      </c>
      <c r="HO101" s="142">
        <f t="shared" si="501"/>
        <v>1265.3813333333335</v>
      </c>
      <c r="HP101" s="142">
        <f t="shared" si="501"/>
        <v>1265.3813333333335</v>
      </c>
      <c r="HQ101" s="142">
        <f t="shared" si="501"/>
        <v>1265.3813333333335</v>
      </c>
      <c r="HR101" s="142">
        <f t="shared" si="501"/>
        <v>1265.3813333333335</v>
      </c>
      <c r="HS101" s="142">
        <f t="shared" si="501"/>
        <v>1265.3813333333335</v>
      </c>
      <c r="HT101" s="142">
        <f t="shared" si="501"/>
        <v>1265.3813333333335</v>
      </c>
      <c r="HU101" s="142">
        <f t="shared" si="501"/>
        <v>1265.3813333333335</v>
      </c>
      <c r="HV101" s="142">
        <f t="shared" si="501"/>
        <v>1265.3813333333335</v>
      </c>
      <c r="HW101" s="142">
        <f t="shared" si="501"/>
        <v>1265.3813333333335</v>
      </c>
      <c r="HX101" s="142">
        <f t="shared" si="501"/>
        <v>1265.3813333333335</v>
      </c>
      <c r="HY101" s="142">
        <f t="shared" si="501"/>
        <v>1265.3813333333335</v>
      </c>
      <c r="HZ101" s="142">
        <f t="shared" si="501"/>
        <v>1265.3813333333335</v>
      </c>
      <c r="IA101" s="142">
        <f t="shared" si="501"/>
        <v>1265.3813333333335</v>
      </c>
      <c r="IB101" s="142">
        <f t="shared" si="501"/>
        <v>1265.3813333333335</v>
      </c>
      <c r="IC101" s="142">
        <f t="shared" si="501"/>
        <v>1265.3813333333335</v>
      </c>
      <c r="ID101" s="142">
        <f t="shared" si="501"/>
        <v>1265.3813333333335</v>
      </c>
      <c r="IE101" s="142">
        <f t="shared" si="501"/>
        <v>1265.3813333333335</v>
      </c>
      <c r="IF101" s="142">
        <f t="shared" si="501"/>
        <v>1265.3813333333335</v>
      </c>
      <c r="IG101" s="142">
        <f t="shared" si="501"/>
        <v>1265.3813333333335</v>
      </c>
      <c r="IH101" s="142">
        <f t="shared" si="501"/>
        <v>1265.3813333333335</v>
      </c>
      <c r="II101" s="142">
        <f t="shared" si="501"/>
        <v>1265.3813333333335</v>
      </c>
      <c r="IJ101" s="142">
        <f t="shared" si="501"/>
        <v>1265.3813333333335</v>
      </c>
      <c r="IK101" s="142">
        <f t="shared" si="501"/>
        <v>1265.3813333333335</v>
      </c>
      <c r="IL101" s="142">
        <f t="shared" si="501"/>
        <v>1265.3813333333335</v>
      </c>
      <c r="IM101" s="142">
        <f t="shared" si="501"/>
        <v>1265.3813333333335</v>
      </c>
      <c r="IN101" s="142">
        <f t="shared" si="501"/>
        <v>1265.3813333333335</v>
      </c>
      <c r="IO101" s="142">
        <f t="shared" si="501"/>
        <v>1265.3813333333335</v>
      </c>
      <c r="IP101" s="142">
        <f t="shared" si="501"/>
        <v>1265.3813333333335</v>
      </c>
      <c r="IQ101" s="141">
        <f>IF(ISBLANK($A101),,IF($AN101="Não",0,(SUM($AO101:AO101)*$AH101)-SUM($HM101:HM101)-SUM($CW101:CW101)))</f>
        <v>0</v>
      </c>
      <c r="IR101" s="141">
        <f>IF(ISBLANK($A101),,IF($AN101="Não",0,(SUM($AO101:AP101)*$AH101)-SUM($HM101:HN101)-SUM($CW101:CX101)))</f>
        <v>0</v>
      </c>
      <c r="IS101" s="141">
        <f>IF(ISBLANK($A101),,IF($AN101="Não",0,(SUM($AO101:AQ101)*$AH101)-SUM($HM101:HO101)-SUM($CW101:CY101)))</f>
        <v>0</v>
      </c>
      <c r="IT101" s="141">
        <f>IF(ISBLANK($A101),,IF($AN101="Não",0,(SUM($AO101:AR101)*$AH101)-SUM($HM101:HP101)-SUM($CW101:CZ101)))</f>
        <v>0</v>
      </c>
      <c r="IU101" s="141">
        <f>IF(ISBLANK($A101),,IF($AN101="Não",0,(SUM($AO101:AS101)*$AH101)-SUM($HM101:HQ101)-SUM($CW101:DA101)))</f>
        <v>0</v>
      </c>
      <c r="IV101" s="141">
        <f>IF(ISBLANK($A101),,IF($AN101="Não",0,(SUM($AO101:AT101)*$AH101)-SUM($HM101:HR101)-SUM($CW101:DB101)))</f>
        <v>0</v>
      </c>
      <c r="IW101" s="141">
        <f>IF(ISBLANK($A101),,IF($AN101="Não",0,(SUM($AO101:AU101)*$AH101)-SUM($HM101:HS101)-SUM($CW101:DC101)))</f>
        <v>0</v>
      </c>
      <c r="IX101" s="141">
        <f>IF(ISBLANK($A101),,IF($AN101="Não",0,(SUM($AO101:AV101)*$AH101)-SUM($HM101:HT101)-SUM($CW101:DD101)))</f>
        <v>0</v>
      </c>
      <c r="IY101" s="141">
        <f>IF(ISBLANK($A101),,IF($AN101="Não",0,(SUM($AO101:AW101)*$AH101)-SUM($HM101:HU101)-SUM($CW101:DE101)))</f>
        <v>0</v>
      </c>
      <c r="IZ101" s="141">
        <f>IF(ISBLANK($A101),,IF($AN101="Não",0,(SUM($AO101:AX101)*$AH101)-SUM($HM101:HV101)-SUM($CW101:DF101)))</f>
        <v>0</v>
      </c>
      <c r="JA101" s="141">
        <f>IF(ISBLANK($A101),,IF($AN101="Não",0,(SUM($AO101:AY101)*$AH101)-SUM($HM101:HW101)-SUM($CW101:DG101)))</f>
        <v>0</v>
      </c>
      <c r="JB101" s="141">
        <f>IF(ISBLANK($A101),,IF($AN101="Não",0,(SUM($AO101:AZ101)*$AH101)-SUM($HM101:HX101)-SUM($CW101:DH101)))</f>
        <v>0</v>
      </c>
      <c r="JC101" s="141">
        <f>IF(ISBLANK($A101),,IF($AN101="Não",0,(SUM($AO101:BA101)*$AH101)-SUM($HM101:HY101)-SUM($CW101:DI101)))</f>
        <v>0</v>
      </c>
      <c r="JD101" s="141">
        <f>IF(ISBLANK($A101),,IF($AN101="Não",0,(SUM($AO101:BB101)*$AH101)-SUM($HM101:HZ101)-SUM($CW101:DJ101)))</f>
        <v>0</v>
      </c>
      <c r="JE101" s="141">
        <f>IF(ISBLANK($A101),,IF($AN101="Não",0,(SUM($AO101:BC101)*$AH101)-SUM($HM101:IA101)-SUM($CW101:DK101)))</f>
        <v>0</v>
      </c>
      <c r="JF101" s="141">
        <f>IF(ISBLANK($A101),,IF($AN101="Não",0,(SUM($AO101:BD101)*$AH101)-SUM($HM101:IB101)-SUM($CW101:DL101)))</f>
        <v>0</v>
      </c>
      <c r="JG101" s="141">
        <f>IF(ISBLANK($A101),,IF($AN101="Não",0,(SUM($AO101:BE101)*$AH101)-SUM($HM101:IC101)-SUM($CW101:DM101)))</f>
        <v>0</v>
      </c>
      <c r="JH101" s="141">
        <f>IF(ISBLANK($A101),,IF($AN101="Não",0,(SUM($AO101:BF101)*$AH101)-SUM($HM101:ID101)-SUM($CW101:DN101)))</f>
        <v>0</v>
      </c>
      <c r="JI101" s="141">
        <f>IF(ISBLANK($A101),,IF($AN101="Não",0,(SUM($AO101:BG101)*$AH101)-SUM($HM101:IE101)-SUM($CW101:DO101)))</f>
        <v>0</v>
      </c>
      <c r="JJ101" s="141">
        <f>IF(ISBLANK($A101),,IF($AN101="Não",0,(SUM($AO101:BH101)*$AH101)-SUM($HM101:IF101)-SUM($CW101:DP101)))</f>
        <v>0</v>
      </c>
      <c r="JK101" s="141">
        <f>IF(ISBLANK($A101),,IF($AN101="Não",0,(SUM($AO101:BI101)*$AH101)-SUM($HM101:IG101)-SUM($CW101:DQ101)))</f>
        <v>0</v>
      </c>
      <c r="JL101" s="141">
        <f>IF(ISBLANK($A101),,IF($AN101="Não",0,(SUM($AO101:BJ101)*$AH101)-SUM($HM101:IH101)-SUM($CW101:DR101)))</f>
        <v>0</v>
      </c>
      <c r="JM101" s="141">
        <f>IF(ISBLANK($A101),,IF($AN101="Não",0,(SUM($AO101:BK101)*$AH101)-SUM($HM101:II101)-SUM($CW101:DS101)))</f>
        <v>0</v>
      </c>
      <c r="JN101" s="141">
        <f>IF(ISBLANK($A101),,IF($AN101="Não",0,(SUM($AO101:BL101)*$AH101)-SUM($HM101:IJ101)-SUM($CW101:DT101)))</f>
        <v>0</v>
      </c>
      <c r="JO101" s="141">
        <f>IF(ISBLANK($A101),,IF($AN101="Não",0,(SUM($AO101:BM101)*$AH101)-SUM($HM101:IK101)-SUM($CW101:DU101)))</f>
        <v>0</v>
      </c>
      <c r="JP101" s="141">
        <f>IF(ISBLANK($A101),,IF($AN101="Não",0,(SUM($AO101:BN101)*$AH101)-SUM($HM101:IL101)-SUM($CW101:DV101)))</f>
        <v>0</v>
      </c>
      <c r="JQ101" s="141">
        <f>IF(ISBLANK($A101),,IF($AN101="Não",0,(SUM($AO101:BO101)*$AH101)-SUM($HM101:IM101)-SUM($CW101:DW101)))</f>
        <v>0</v>
      </c>
      <c r="JR101" s="141">
        <f>IF(ISBLANK($A101),,IF($AN101="Não",0,(SUM($AO101:BP101)*$AH101)-SUM($HM101:IN101)-SUM($CW101:DX101)))</f>
        <v>0</v>
      </c>
      <c r="JS101" s="141">
        <f>IF(ISBLANK($A101),,IF($AN101="Não",0,(SUM($AO101:BQ101)*$AH101)-SUM($HM101:IO101)-SUM($CW101:DY101)))</f>
        <v>0</v>
      </c>
      <c r="JT101" s="141">
        <f>IF(ISBLANK($A101),,IF($AN101="Não",0,(SUM($AO101:BR101)*$AH101)-SUM($HM101:IP101)-SUM($CW101:DZ101)))</f>
        <v>0</v>
      </c>
    </row>
    <row r="102" spans="1:280" ht="15.75" customHeight="1">
      <c r="A102" s="129" t="s">
        <v>408</v>
      </c>
      <c r="B102" s="129" t="s">
        <v>191</v>
      </c>
      <c r="C102" s="138" t="s">
        <v>234</v>
      </c>
      <c r="D102" s="139">
        <v>600</v>
      </c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607">
        <f t="shared" si="399"/>
        <v>72.600000000000009</v>
      </c>
      <c r="AI102" s="608">
        <f t="shared" si="400"/>
        <v>3</v>
      </c>
      <c r="AJ102" s="609">
        <f t="shared" si="401"/>
        <v>0</v>
      </c>
      <c r="AK102" s="610" t="str">
        <f t="shared" si="402"/>
        <v>Outros</v>
      </c>
      <c r="AL102" s="609">
        <f t="shared" si="403"/>
        <v>0.05</v>
      </c>
      <c r="AM102" s="611" t="str">
        <f t="shared" si="404"/>
        <v>Sim</v>
      </c>
      <c r="AN102" s="611" t="str">
        <f t="shared" si="405"/>
        <v>Sim</v>
      </c>
      <c r="AO102" s="140">
        <f t="array" ref="AO102">IF(ISBLANK($A102),0,IF(OR(AO$5-$AI102&lt;=0,$AM102="Não"),D102,D102+INDEX($AO$6:$BR$176,ROW()-5,COLUMN()-40-$AI102)))*IF($B102="Operacional",IFERROR(VLOOKUP($C102,SN_UGC,28,0),0),1)</f>
        <v>600</v>
      </c>
      <c r="AP102" s="140">
        <f t="array" ref="AP102">IF(ISBLANK($A102),0,IF(OR(AP$5-$AI102&lt;=0,$AM102="Não"),E102,E102+INDEX($AO$6:$BR$176,ROW()-5,COLUMN()-40-$AI102)))*IF($B102="Operacional",IFERROR(VLOOKUP($C102,SN_UGC,28,0),0),1)</f>
        <v>0</v>
      </c>
      <c r="AQ102" s="140">
        <f t="array" ref="AQ102">IF(ISBLANK($A102),0,IF(OR(AQ$5-$AI102&lt;=0,$AM102="Não"),F102,F102+INDEX($AO$6:$BR$176,ROW()-5,COLUMN()-40-$AI102)))*IF($B102="Operacional",IFERROR(VLOOKUP($C102,SN_UGC,28,0),0),1)</f>
        <v>0</v>
      </c>
      <c r="AR102" s="140">
        <f t="array" ref="AR102">IF(ISBLANK($A102),0,IF(OR(AR$5-$AI102&lt;=0,$AM102="Não"),G102,G102+INDEX($AO$6:$BR$176,ROW()-5,COLUMN()-40-$AI102)))*IF($B102="Operacional",IFERROR(VLOOKUP($C102,SN_UGC,28,0),0),1)</f>
        <v>600</v>
      </c>
      <c r="AS102" s="140">
        <f t="array" ref="AS102">IF(ISBLANK($A102),0,IF(OR(AS$5-$AI102&lt;=0,$AM102="Não"),H102,H102+INDEX($AO$6:$BR$176,ROW()-5,COLUMN()-40-$AI102)))*IF($B102="Operacional",IFERROR(VLOOKUP($C102,SN_UGC,28,0),0),1)</f>
        <v>0</v>
      </c>
      <c r="AT102" s="140">
        <f t="array" ref="AT102">IF(ISBLANK($A102),0,IF(OR(AT$5-$AI102&lt;=0,$AM102="Não"),I102,I102+INDEX($AO$6:$BR$176,ROW()-5,COLUMN()-40-$AI102)))*IF($B102="Operacional",IFERROR(VLOOKUP($C102,SN_UGC,28,0),0),1)</f>
        <v>0</v>
      </c>
      <c r="AU102" s="140">
        <f t="array" ref="AU102">IF(ISBLANK($A102),0,IF(OR(AU$5-$AI102&lt;=0,$AM102="Não"),J102,J102+INDEX($AO$6:$BR$176,ROW()-5,COLUMN()-40-$AI102)))*IF($B102="Operacional",IFERROR(VLOOKUP($C102,SN_UGC,28,0),0),1)</f>
        <v>600</v>
      </c>
      <c r="AV102" s="140">
        <f t="array" ref="AV102">IF(ISBLANK($A102),0,IF(OR(AV$5-$AI102&lt;=0,$AM102="Não"),K102,K102+INDEX($AO$6:$BR$176,ROW()-5,COLUMN()-40-$AI102)))*IF($B102="Operacional",IFERROR(VLOOKUP($C102,SN_UGC,28,0),0),1)</f>
        <v>0</v>
      </c>
      <c r="AW102" s="140">
        <f t="array" ref="AW102">IF(ISBLANK($A102),0,IF(OR(AW$5-$AI102&lt;=0,$AM102="Não"),L102,L102+INDEX($AO$6:$BR$176,ROW()-5,COLUMN()-40-$AI102)))*IF($B102="Operacional",IFERROR(VLOOKUP($C102,SN_UGC,28,0),0),1)</f>
        <v>0</v>
      </c>
      <c r="AX102" s="140">
        <f t="array" ref="AX102">IF(ISBLANK($A102),0,IF(OR(AX$5-$AI102&lt;=0,$AM102="Não"),M102,M102+INDEX($AO$6:$BR$176,ROW()-5,COLUMN()-40-$AI102)))*IF($B102="Operacional",IFERROR(VLOOKUP($C102,SN_UGC,28,0),0),1)</f>
        <v>600</v>
      </c>
      <c r="AY102" s="140">
        <f t="array" ref="AY102">IF(ISBLANK($A102),0,IF(OR(AY$5-$AI102&lt;=0,$AM102="Não"),N102,N102+INDEX($AO$6:$BR$176,ROW()-5,COLUMN()-40-$AI102)))*IF($B102="Operacional",IFERROR(VLOOKUP($C102,SN_UGC,28,0),0),1)</f>
        <v>0</v>
      </c>
      <c r="AZ102" s="140">
        <f t="array" ref="AZ102">IF(ISBLANK($A102),0,IF(OR(AZ$5-$AI102&lt;=0,$AM102="Não"),O102,O102+INDEX($AO$6:$BR$176,ROW()-5,COLUMN()-40-$AI102)))*IF($B102="Operacional",IFERROR(VLOOKUP($C102,SN_UGC,28,0),0),1)</f>
        <v>0</v>
      </c>
      <c r="BA102" s="140">
        <f t="array" ref="BA102">IF(ISBLANK($A102),0,IF(OR(BA$5-$AI102&lt;=0,$AM102="Não"),P102,P102+INDEX($AO$6:$BR$176,ROW()-5,COLUMN()-40-$AI102)))*IF($B102="Operacional",IFERROR(VLOOKUP($C102,SN_UGC,28,0),0),1)</f>
        <v>600</v>
      </c>
      <c r="BB102" s="140">
        <f t="array" ref="BB102">IF(ISBLANK($A102),0,IF(OR(BB$5-$AI102&lt;=0,$AM102="Não"),Q102,Q102+INDEX($AO$6:$BR$176,ROW()-5,COLUMN()-40-$AI102)))*IF($B102="Operacional",IFERROR(VLOOKUP($C102,SN_UGC,28,0),0),1)</f>
        <v>0</v>
      </c>
      <c r="BC102" s="140">
        <f t="array" ref="BC102">IF(ISBLANK($A102),0,IF(OR(BC$5-$AI102&lt;=0,$AM102="Não"),R102,R102+INDEX($AO$6:$BR$176,ROW()-5,COLUMN()-40-$AI102)))*IF($B102="Operacional",IFERROR(VLOOKUP($C102,SN_UGC,28,0),0),1)</f>
        <v>0</v>
      </c>
      <c r="BD102" s="140">
        <f t="array" ref="BD102">IF(ISBLANK($A102),0,IF(OR(BD$5-$AI102&lt;=0,$AM102="Não"),S102,S102+INDEX($AO$6:$BR$176,ROW()-5,COLUMN()-40-$AI102)))*IF($B102="Operacional",IFERROR(VLOOKUP($C102,SN_UGC,28,0),0),1)</f>
        <v>600</v>
      </c>
      <c r="BE102" s="140">
        <f t="array" ref="BE102">IF(ISBLANK($A102),0,IF(OR(BE$5-$AI102&lt;=0,$AM102="Não"),T102,T102+INDEX($AO$6:$BR$176,ROW()-5,COLUMN()-40-$AI102)))*IF($B102="Operacional",IFERROR(VLOOKUP($C102,SN_UGC,28,0),0),1)</f>
        <v>0</v>
      </c>
      <c r="BF102" s="140">
        <f t="array" ref="BF102">IF(ISBLANK($A102),0,IF(OR(BF$5-$AI102&lt;=0,$AM102="Não"),U102,U102+INDEX($AO$6:$BR$176,ROW()-5,COLUMN()-40-$AI102)))*IF($B102="Operacional",IFERROR(VLOOKUP($C102,SN_UGC,28,0),0),1)</f>
        <v>0</v>
      </c>
      <c r="BG102" s="140">
        <f t="array" ref="BG102">IF(ISBLANK($A102),0,IF(OR(BG$5-$AI102&lt;=0,$AM102="Não"),V102,V102+INDEX($AO$6:$BR$176,ROW()-5,COLUMN()-40-$AI102)))*IF($B102="Operacional",IFERROR(VLOOKUP($C102,SN_UGC,28,0),0),1)</f>
        <v>600</v>
      </c>
      <c r="BH102" s="140">
        <f t="array" ref="BH102">IF(ISBLANK($A102),0,IF(OR(BH$5-$AI102&lt;=0,$AM102="Não"),W102,W102+INDEX($AO$6:$BR$176,ROW()-5,COLUMN()-40-$AI102)))*IF($B102="Operacional",IFERROR(VLOOKUP($C102,SN_UGC,28,0),0),1)</f>
        <v>0</v>
      </c>
      <c r="BI102" s="140">
        <f t="array" ref="BI102">IF(ISBLANK($A102),0,IF(OR(BI$5-$AI102&lt;=0,$AM102="Não"),X102,X102+INDEX($AO$6:$BR$176,ROW()-5,COLUMN()-40-$AI102)))*IF($B102="Operacional",IFERROR(VLOOKUP($C102,SN_UGC,28,0),0),1)</f>
        <v>0</v>
      </c>
      <c r="BJ102" s="140">
        <f t="array" ref="BJ102">IF(ISBLANK($A102),0,IF(OR(BJ$5-$AI102&lt;=0,$AM102="Não"),Y102,Y102+INDEX($AO$6:$BR$176,ROW()-5,COLUMN()-40-$AI102)))*IF($B102="Operacional",IFERROR(VLOOKUP($C102,SN_UGC,28,0),0),1)</f>
        <v>600</v>
      </c>
      <c r="BK102" s="140">
        <f t="array" ref="BK102">IF(ISBLANK($A102),0,IF(OR(BK$5-$AI102&lt;=0,$AM102="Não"),Z102,Z102+INDEX($AO$6:$BR$176,ROW()-5,COLUMN()-40-$AI102)))*IF($B102="Operacional",IFERROR(VLOOKUP($C102,SN_UGC,28,0),0),1)</f>
        <v>0</v>
      </c>
      <c r="BL102" s="140">
        <f t="array" ref="BL102">IF(ISBLANK($A102),0,IF(OR(BL$5-$AI102&lt;=0,$AM102="Não"),AA102,AA102+INDEX($AO$6:$BR$176,ROW()-5,COLUMN()-40-$AI102)))*IF($B102="Operacional",IFERROR(VLOOKUP($C102,SN_UGC,28,0),0),1)</f>
        <v>0</v>
      </c>
      <c r="BM102" s="140">
        <f t="array" ref="BM102">IF(ISBLANK($A102),0,IF(OR(BM$5-$AI102&lt;=0,$AM102="Não"),AB102,AB102+INDEX($AO$6:$BR$176,ROW()-5,COLUMN()-40-$AI102)))*IF($B102="Operacional",IFERROR(VLOOKUP($C102,SN_UGC,28,0),0),1)</f>
        <v>600</v>
      </c>
      <c r="BN102" s="140">
        <f t="array" ref="BN102">IF(ISBLANK($A102),0,IF(OR(BN$5-$AI102&lt;=0,$AM102="Não"),AC102,AC102+INDEX($AO$6:$BR$176,ROW()-5,COLUMN()-40-$AI102)))*IF($B102="Operacional",IFERROR(VLOOKUP($C102,SN_UGC,28,0),0),1)</f>
        <v>0</v>
      </c>
      <c r="BO102" s="140">
        <f t="array" ref="BO102">IF(ISBLANK($A102),0,IF(OR(BO$5-$AI102&lt;=0,$AM102="Não"),AD102,AD102+INDEX($AO$6:$BR$176,ROW()-5,COLUMN()-40-$AI102)))*IF($B102="Operacional",IFERROR(VLOOKUP($C102,SN_UGC,28,0),0),1)</f>
        <v>0</v>
      </c>
      <c r="BP102" s="140">
        <f t="array" ref="BP102">IF(ISBLANK($A102),0,IF(OR(BP$5-$AI102&lt;=0,$AM102="Não"),AE102,AE102+INDEX($AO$6:$BR$176,ROW()-5,COLUMN()-40-$AI102)))*IF($B102="Operacional",IFERROR(VLOOKUP($C102,SN_UGC,28,0),0),1)</f>
        <v>600</v>
      </c>
      <c r="BQ102" s="140">
        <f t="array" ref="BQ102">IF(ISBLANK($A102),0,IF(OR(BQ$5-$AI102&lt;=0,$AM102="Não"),AF102,AF102+INDEX($AO$6:$BR$176,ROW()-5,COLUMN()-40-$AI102)))*IF($B102="Operacional",IFERROR(VLOOKUP($C102,SN_UGC,28,0),0),1)</f>
        <v>0</v>
      </c>
      <c r="BR102" s="140">
        <f t="array" ref="BR102">IF(ISBLANK($A102),0,IF(OR(BR$5-$AI102&lt;=0,$AM102="Não"),AG102,AG102+INDEX($AO$6:$BR$176,ROW()-5,COLUMN()-40-$AI102)))*IF($B102="Operacional",IFERROR(VLOOKUP($C102,SN_UGC,28,0),0),1)</f>
        <v>0</v>
      </c>
      <c r="BS102" s="141">
        <f t="shared" ref="BS102:CV102" si="502">IF(ISBLANK($A102),0,$AH102*AO102)</f>
        <v>43560.000000000007</v>
      </c>
      <c r="BT102" s="141">
        <f t="shared" si="502"/>
        <v>0</v>
      </c>
      <c r="BU102" s="141">
        <f t="shared" si="502"/>
        <v>0</v>
      </c>
      <c r="BV102" s="141">
        <f t="shared" si="502"/>
        <v>43560.000000000007</v>
      </c>
      <c r="BW102" s="141">
        <f t="shared" si="502"/>
        <v>0</v>
      </c>
      <c r="BX102" s="141">
        <f t="shared" si="502"/>
        <v>0</v>
      </c>
      <c r="BY102" s="141">
        <f t="shared" si="502"/>
        <v>43560.000000000007</v>
      </c>
      <c r="BZ102" s="141">
        <f t="shared" si="502"/>
        <v>0</v>
      </c>
      <c r="CA102" s="141">
        <f t="shared" si="502"/>
        <v>0</v>
      </c>
      <c r="CB102" s="141">
        <f t="shared" si="502"/>
        <v>43560.000000000007</v>
      </c>
      <c r="CC102" s="141">
        <f t="shared" si="502"/>
        <v>0</v>
      </c>
      <c r="CD102" s="141">
        <f t="shared" si="502"/>
        <v>0</v>
      </c>
      <c r="CE102" s="141">
        <f t="shared" si="502"/>
        <v>43560.000000000007</v>
      </c>
      <c r="CF102" s="141">
        <f t="shared" si="502"/>
        <v>0</v>
      </c>
      <c r="CG102" s="141">
        <f t="shared" si="502"/>
        <v>0</v>
      </c>
      <c r="CH102" s="141">
        <f t="shared" si="502"/>
        <v>43560.000000000007</v>
      </c>
      <c r="CI102" s="141">
        <f t="shared" si="502"/>
        <v>0</v>
      </c>
      <c r="CJ102" s="141">
        <f t="shared" si="502"/>
        <v>0</v>
      </c>
      <c r="CK102" s="141">
        <f t="shared" si="502"/>
        <v>43560.000000000007</v>
      </c>
      <c r="CL102" s="141">
        <f t="shared" si="502"/>
        <v>0</v>
      </c>
      <c r="CM102" s="141">
        <f t="shared" si="502"/>
        <v>0</v>
      </c>
      <c r="CN102" s="141">
        <f t="shared" si="502"/>
        <v>43560.000000000007</v>
      </c>
      <c r="CO102" s="141">
        <f t="shared" si="502"/>
        <v>0</v>
      </c>
      <c r="CP102" s="141">
        <f t="shared" si="502"/>
        <v>0</v>
      </c>
      <c r="CQ102" s="141">
        <f t="shared" si="502"/>
        <v>43560.000000000007</v>
      </c>
      <c r="CR102" s="141">
        <f t="shared" si="502"/>
        <v>0</v>
      </c>
      <c r="CS102" s="141">
        <f t="shared" si="502"/>
        <v>0</v>
      </c>
      <c r="CT102" s="141">
        <f t="shared" si="502"/>
        <v>43560.000000000007</v>
      </c>
      <c r="CU102" s="141">
        <f t="shared" si="502"/>
        <v>0</v>
      </c>
      <c r="CV102" s="141">
        <f t="shared" si="502"/>
        <v>0</v>
      </c>
      <c r="CW102" s="142">
        <f t="shared" ref="CW102:DZ102" si="503">EA102*$AH102*$AJ102</f>
        <v>0</v>
      </c>
      <c r="CX102" s="142">
        <f t="shared" si="503"/>
        <v>0</v>
      </c>
      <c r="CY102" s="142">
        <f t="shared" si="503"/>
        <v>0</v>
      </c>
      <c r="CZ102" s="142">
        <f t="shared" si="503"/>
        <v>0</v>
      </c>
      <c r="DA102" s="142">
        <f t="shared" si="503"/>
        <v>0</v>
      </c>
      <c r="DB102" s="142">
        <f t="shared" si="503"/>
        <v>0</v>
      </c>
      <c r="DC102" s="142">
        <f t="shared" si="503"/>
        <v>0</v>
      </c>
      <c r="DD102" s="142">
        <f t="shared" si="503"/>
        <v>0</v>
      </c>
      <c r="DE102" s="142">
        <f t="shared" si="503"/>
        <v>0</v>
      </c>
      <c r="DF102" s="142">
        <f t="shared" si="503"/>
        <v>0</v>
      </c>
      <c r="DG102" s="142">
        <f t="shared" si="503"/>
        <v>0</v>
      </c>
      <c r="DH102" s="142">
        <f t="shared" si="503"/>
        <v>0</v>
      </c>
      <c r="DI102" s="142">
        <f t="shared" si="503"/>
        <v>0</v>
      </c>
      <c r="DJ102" s="142">
        <f t="shared" si="503"/>
        <v>0</v>
      </c>
      <c r="DK102" s="142">
        <f t="shared" si="503"/>
        <v>0</v>
      </c>
      <c r="DL102" s="142">
        <f t="shared" si="503"/>
        <v>0</v>
      </c>
      <c r="DM102" s="142">
        <f t="shared" si="503"/>
        <v>0</v>
      </c>
      <c r="DN102" s="142">
        <f t="shared" si="503"/>
        <v>0</v>
      </c>
      <c r="DO102" s="142">
        <f t="shared" si="503"/>
        <v>0</v>
      </c>
      <c r="DP102" s="142">
        <f t="shared" si="503"/>
        <v>0</v>
      </c>
      <c r="DQ102" s="142">
        <f t="shared" si="503"/>
        <v>0</v>
      </c>
      <c r="DR102" s="142">
        <f t="shared" si="503"/>
        <v>0</v>
      </c>
      <c r="DS102" s="142">
        <f t="shared" si="503"/>
        <v>0</v>
      </c>
      <c r="DT102" s="142">
        <f t="shared" si="503"/>
        <v>0</v>
      </c>
      <c r="DU102" s="142">
        <f t="shared" si="503"/>
        <v>0</v>
      </c>
      <c r="DV102" s="142">
        <f t="shared" si="503"/>
        <v>0</v>
      </c>
      <c r="DW102" s="142">
        <f t="shared" si="503"/>
        <v>0</v>
      </c>
      <c r="DX102" s="142">
        <f t="shared" si="503"/>
        <v>0</v>
      </c>
      <c r="DY102" s="142">
        <f t="shared" si="503"/>
        <v>0</v>
      </c>
      <c r="DZ102" s="142">
        <f t="shared" si="503"/>
        <v>0</v>
      </c>
      <c r="EA102" s="143">
        <f t="shared" ref="EA102:EA133" si="504">IF(OR(EA$5-$AI102&lt;=0,ISBLANK($A102)),0,INDEX($AO$6:$BR$176,ROW()-5,COLUMN(AP102)-41-$AI102))</f>
        <v>0</v>
      </c>
      <c r="EB102" s="143">
        <f t="shared" ref="EB102:EB133" si="505">IF(OR(EB$5-$AI102&lt;=0,ISBLANK($A102)),0,INDEX($AO$6:$BR$176,ROW()-5,COLUMN(AQ102)-41-$AI102))</f>
        <v>0</v>
      </c>
      <c r="EC102" s="143">
        <f t="shared" ref="EC102:EC133" si="506">IF(OR(EC$5-$AI102&lt;=0,ISBLANK($A102)),0,INDEX($AO$6:$BR$176,ROW()-5,COLUMN(AR102)-41-$AI102))</f>
        <v>0</v>
      </c>
      <c r="ED102" s="143">
        <f t="shared" ref="ED102:ED133" si="507">IF(OR(ED$5-$AI102&lt;=0,ISBLANK($A102)),0,INDEX($AO$6:$BR$176,ROW()-5,COLUMN(AS102)-41-$AI102))</f>
        <v>600</v>
      </c>
      <c r="EE102" s="143">
        <f t="shared" ref="EE102:EE133" si="508">IF(OR(EE$5-$AI102&lt;=0,ISBLANK($A102)),0,INDEX($AO$6:$BR$176,ROW()-5,COLUMN(AT102)-41-$AI102))</f>
        <v>0</v>
      </c>
      <c r="EF102" s="143">
        <f t="shared" ref="EF102:EF133" si="509">IF(OR(EF$5-$AI102&lt;=0,ISBLANK($A102)),0,INDEX($AO$6:$BR$176,ROW()-5,COLUMN(AU102)-41-$AI102))</f>
        <v>0</v>
      </c>
      <c r="EG102" s="143">
        <f t="shared" ref="EG102:EG133" si="510">IF(OR(EG$5-$AI102&lt;=0,ISBLANK($A102)),0,INDEX($AO$6:$BR$176,ROW()-5,COLUMN(AV102)-41-$AI102))</f>
        <v>600</v>
      </c>
      <c r="EH102" s="143">
        <f t="shared" ref="EH102:EH133" si="511">IF(OR(EH$5-$AI102&lt;=0,ISBLANK($A102)),0,INDEX($AO$6:$BR$176,ROW()-5,COLUMN(AW102)-41-$AI102))</f>
        <v>0</v>
      </c>
      <c r="EI102" s="143">
        <f t="shared" ref="EI102:EI133" si="512">IF(OR(EI$5-$AI102&lt;=0,ISBLANK($A102)),0,INDEX($AO$6:$BR$176,ROW()-5,COLUMN(AX102)-41-$AI102))</f>
        <v>0</v>
      </c>
      <c r="EJ102" s="143">
        <f t="shared" ref="EJ102:EJ133" si="513">IF(OR(EJ$5-$AI102&lt;=0,ISBLANK($A102)),0,INDEX($AO$6:$BR$176,ROW()-5,COLUMN(AY102)-41-$AI102))</f>
        <v>600</v>
      </c>
      <c r="EK102" s="143">
        <f t="shared" ref="EK102:EK133" si="514">IF(OR(EK$5-$AI102&lt;=0,ISBLANK($A102)),0,INDEX($AO$6:$BR$176,ROW()-5,COLUMN(AZ102)-41-$AI102))</f>
        <v>0</v>
      </c>
      <c r="EL102" s="143">
        <f t="shared" ref="EL102:EL133" si="515">IF(OR(EL$5-$AI102&lt;=0,ISBLANK($A102)),0,INDEX($AO$6:$BR$176,ROW()-5,COLUMN(BA102)-41-$AI102))</f>
        <v>0</v>
      </c>
      <c r="EM102" s="143">
        <f t="shared" ref="EM102:EM133" si="516">IF(OR(EM$5-$AI102&lt;=0,ISBLANK($A102)),0,INDEX($AO$6:$BR$176,ROW()-5,COLUMN(BB102)-41-$AI102))</f>
        <v>600</v>
      </c>
      <c r="EN102" s="143">
        <f t="shared" ref="EN102:EN133" si="517">IF(OR(EN$5-$AI102&lt;=0,ISBLANK($A102)),0,INDEX($AO$6:$BR$176,ROW()-5,COLUMN(BC102)-41-$AI102))</f>
        <v>0</v>
      </c>
      <c r="EO102" s="143">
        <f t="shared" ref="EO102:EO133" si="518">IF(OR(EO$5-$AI102&lt;=0,ISBLANK($A102)),0,INDEX($AO$6:$BR$176,ROW()-5,COLUMN(BD102)-41-$AI102))</f>
        <v>0</v>
      </c>
      <c r="EP102" s="143">
        <f t="shared" ref="EP102:EP133" si="519">IF(OR(EP$5-$AI102&lt;=0,ISBLANK($A102)),0,INDEX($AO$6:$BR$176,ROW()-5,COLUMN(BE102)-41-$AI102))</f>
        <v>600</v>
      </c>
      <c r="EQ102" s="143">
        <f t="shared" ref="EQ102:EQ133" si="520">IF(OR(EQ$5-$AI102&lt;=0,ISBLANK($A102)),0,INDEX($AO$6:$BR$176,ROW()-5,COLUMN(BF102)-41-$AI102))</f>
        <v>0</v>
      </c>
      <c r="ER102" s="143">
        <f t="shared" ref="ER102:ER133" si="521">IF(OR(ER$5-$AI102&lt;=0,ISBLANK($A102)),0,INDEX($AO$6:$BR$176,ROW()-5,COLUMN(BG102)-41-$AI102))</f>
        <v>0</v>
      </c>
      <c r="ES102" s="143">
        <f t="shared" ref="ES102:ES133" si="522">IF(OR(ES$5-$AI102&lt;=0,ISBLANK($A102)),0,INDEX($AO$6:$BR$176,ROW()-5,COLUMN(BH102)-41-$AI102))</f>
        <v>600</v>
      </c>
      <c r="ET102" s="143">
        <f t="shared" ref="ET102:ET133" si="523">IF(OR(ET$5-$AI102&lt;=0,ISBLANK($A102)),0,INDEX($AO$6:$BR$176,ROW()-5,COLUMN(BI102)-41-$AI102))</f>
        <v>0</v>
      </c>
      <c r="EU102" s="143">
        <f t="shared" ref="EU102:EU133" si="524">IF(OR(EU$5-$AI102&lt;=0,ISBLANK($A102)),0,INDEX($AO$6:$BR$176,ROW()-5,COLUMN(BJ102)-41-$AI102))</f>
        <v>0</v>
      </c>
      <c r="EV102" s="143">
        <f t="shared" ref="EV102:EV133" si="525">IF(OR(EV$5-$AI102&lt;=0,ISBLANK($A102)),0,INDEX($AO$6:$BR$176,ROW()-5,COLUMN(BK102)-41-$AI102))</f>
        <v>600</v>
      </c>
      <c r="EW102" s="143">
        <f t="shared" ref="EW102:EW133" si="526">IF(OR(EW$5-$AI102&lt;=0,ISBLANK($A102)),0,INDEX($AO$6:$BR$176,ROW()-5,COLUMN(BL102)-41-$AI102))</f>
        <v>0</v>
      </c>
      <c r="EX102" s="143">
        <f t="shared" ref="EX102:EX133" si="527">IF(OR(EX$5-$AI102&lt;=0,ISBLANK($A102)),0,INDEX($AO$6:$BR$176,ROW()-5,COLUMN(BM102)-41-$AI102))</f>
        <v>0</v>
      </c>
      <c r="EY102" s="143">
        <f t="shared" ref="EY102:EY133" si="528">IF(OR(EY$5-$AI102&lt;=0,ISBLANK($A102)),0,INDEX($AO$6:$BR$176,ROW()-5,COLUMN(BN102)-41-$AI102))</f>
        <v>600</v>
      </c>
      <c r="EZ102" s="143">
        <f t="shared" ref="EZ102:EZ133" si="529">IF(OR(EZ$5-$AI102&lt;=0,ISBLANK($A102)),0,INDEX($AO$6:$BR$176,ROW()-5,COLUMN(BO102)-41-$AI102))</f>
        <v>0</v>
      </c>
      <c r="FA102" s="143">
        <f t="shared" ref="FA102:FA133" si="530">IF(OR(FA$5-$AI102&lt;=0,ISBLANK($A102)),0,INDEX($AO$6:$BR$176,ROW()-5,COLUMN(BP102)-41-$AI102))</f>
        <v>0</v>
      </c>
      <c r="FB102" s="143">
        <f t="shared" ref="FB102:FB133" si="531">IF(OR(FB$5-$AI102&lt;=0,ISBLANK($A102)),0,INDEX($AO$6:$BR$176,ROW()-5,COLUMN(BQ102)-41-$AI102))</f>
        <v>600</v>
      </c>
      <c r="FC102" s="143">
        <f t="shared" ref="FC102:FC133" si="532">IF(OR(FC$5-$AI102&lt;=0,ISBLANK($A102)),0,INDEX($AO$6:$BR$176,ROW()-5,COLUMN(BR102)-41-$AI102))</f>
        <v>0</v>
      </c>
      <c r="FD102" s="143">
        <f t="shared" ref="FD102:FD133" si="533">IF(OR(FD$5-$AI102&lt;=0,ISBLANK($A102)),0,INDEX($AO$6:$BR$176,ROW()-5,COLUMN(BS102)-41-$AI102))</f>
        <v>0</v>
      </c>
      <c r="FE102" s="140">
        <f>SUM($D102:D102)*IF($B102="Operacional",IFERROR(VLOOKUP($C102,SN_UGC,28,0),0),1)</f>
        <v>600</v>
      </c>
      <c r="FF102" s="140">
        <f>SUM($D102:E102)*IF($B102="Operacional",IFERROR(VLOOKUP($C102,SN_UGC,28,0),0),1)</f>
        <v>600</v>
      </c>
      <c r="FG102" s="140">
        <f>SUM($D102:F102)*IF($B102="Operacional",IFERROR(VLOOKUP($C102,SN_UGC,28,0),0),1)</f>
        <v>600</v>
      </c>
      <c r="FH102" s="140">
        <f>SUM($D102:G102)*IF($B102="Operacional",IFERROR(VLOOKUP($C102,SN_UGC,28,0),0),1)</f>
        <v>600</v>
      </c>
      <c r="FI102" s="140">
        <f>SUM($D102:H102)*IF($B102="Operacional",IFERROR(VLOOKUP($C102,SN_UGC,28,0),0),1)</f>
        <v>600</v>
      </c>
      <c r="FJ102" s="140">
        <f>SUM($D102:I102)*IF($B102="Operacional",IFERROR(VLOOKUP($C102,SN_UGC,28,0),0),1)</f>
        <v>600</v>
      </c>
      <c r="FK102" s="140">
        <f>SUM($D102:J102)*IF($B102="Operacional",IFERROR(VLOOKUP($C102,SN_UGC,28,0),0),1)</f>
        <v>600</v>
      </c>
      <c r="FL102" s="140">
        <f>SUM($D102:K102)*IF($B102="Operacional",IFERROR(VLOOKUP($C102,SN_UGC,28,0),0),1)</f>
        <v>600</v>
      </c>
      <c r="FM102" s="140">
        <f>SUM($D102:L102)*IF($B102="Operacional",IFERROR(VLOOKUP($C102,SN_UGC,28,0),0),1)</f>
        <v>600</v>
      </c>
      <c r="FN102" s="140">
        <f>SUM($D102:M102)*IF($B102="Operacional",IFERROR(VLOOKUP($C102,SN_UGC,28,0),0),1)</f>
        <v>600</v>
      </c>
      <c r="FO102" s="140">
        <f>SUM($D102:N102)*IF($B102="Operacional",IFERROR(VLOOKUP($C102,SN_UGC,28,0),0),1)</f>
        <v>600</v>
      </c>
      <c r="FP102" s="140">
        <f>SUM($D102:O102)*IF($B102="Operacional",IFERROR(VLOOKUP($C102,SN_UGC,28,0),0),1)</f>
        <v>600</v>
      </c>
      <c r="FQ102" s="140">
        <f>SUM($D102:P102)*IF($B102="Operacional",IFERROR(VLOOKUP($C102,SN_UGC,28,0),0),1)</f>
        <v>600</v>
      </c>
      <c r="FR102" s="140">
        <f>SUM($D102:Q102)*IF($B102="Operacional",IFERROR(VLOOKUP($C102,SN_UGC,28,0),0),1)</f>
        <v>600</v>
      </c>
      <c r="FS102" s="140">
        <f>SUM($D102:R102)*IF($B102="Operacional",IFERROR(VLOOKUP($C102,SN_UGC,28,0),0),1)</f>
        <v>600</v>
      </c>
      <c r="FT102" s="140">
        <f>SUM($D102:S102)*IF($B102="Operacional",IFERROR(VLOOKUP($C102,SN_UGC,28,0),0),1)</f>
        <v>600</v>
      </c>
      <c r="FU102" s="140">
        <f>SUM($D102:T102)*IF($B102="Operacional",IFERROR(VLOOKUP($C102,SN_UGC,28,0),0),1)</f>
        <v>600</v>
      </c>
      <c r="FV102" s="140">
        <f>SUM($D102:U102)*IF($B102="Operacional",IFERROR(VLOOKUP($C102,SN_UGC,28,0),0),1)</f>
        <v>600</v>
      </c>
      <c r="FW102" s="140">
        <f>SUM($D102:V102)*IF($B102="Operacional",IFERROR(VLOOKUP($C102,SN_UGC,28,0),0),1)</f>
        <v>600</v>
      </c>
      <c r="FX102" s="140">
        <f>SUM($D102:W102)*IF($B102="Operacional",IFERROR(VLOOKUP($C102,SN_UGC,28,0),0),1)</f>
        <v>600</v>
      </c>
      <c r="FY102" s="140">
        <f>SUM($D102:X102)*IF($B102="Operacional",IFERROR(VLOOKUP($C102,SN_UGC,28,0),0),1)</f>
        <v>600</v>
      </c>
      <c r="FZ102" s="140">
        <f>SUM($D102:Y102)*IF($B102="Operacional",IFERROR(VLOOKUP($C102,SN_UGC,28,0),0),1)</f>
        <v>600</v>
      </c>
      <c r="GA102" s="140">
        <f>SUM($D102:Z102)*IF($B102="Operacional",IFERROR(VLOOKUP($C102,SN_UGC,28,0),0),1)</f>
        <v>600</v>
      </c>
      <c r="GB102" s="140">
        <f>SUM($D102:AA102)*IF($B102="Operacional",IFERROR(VLOOKUP($C102,SN_UGC,28,0),0),1)</f>
        <v>600</v>
      </c>
      <c r="GC102" s="140">
        <f>SUM($D102:AB102)*IF($B102="Operacional",IFERROR(VLOOKUP($C102,SN_UGC,28,0),0),1)</f>
        <v>600</v>
      </c>
      <c r="GD102" s="140">
        <f>SUM($D102:AC102)*IF($B102="Operacional",IFERROR(VLOOKUP($C102,SN_UGC,28,0),0),1)</f>
        <v>600</v>
      </c>
      <c r="GE102" s="140">
        <f>SUM($D102:AD102)*IF($B102="Operacional",IFERROR(VLOOKUP($C102,SN_UGC,28,0),0),1)</f>
        <v>600</v>
      </c>
      <c r="GF102" s="140">
        <f>SUM($D102:AE102)*IF($B102="Operacional",IFERROR(VLOOKUP($C102,SN_UGC,28,0),0),1)</f>
        <v>600</v>
      </c>
      <c r="GG102" s="140">
        <f>SUM($D102:AF102)*IF($B102="Operacional",IFERROR(VLOOKUP($C102,SN_UGC,28,0),0),1)</f>
        <v>600</v>
      </c>
      <c r="GH102" s="140">
        <f>SUM($D102:AG102)*IF($B102="Operacional",IFERROR(VLOOKUP($C102,SN_UGC,28,0),0),1)</f>
        <v>600</v>
      </c>
      <c r="GI102" s="141">
        <f t="shared" ref="GI102:HL102" si="534">FE102*$AH102*$AL102</f>
        <v>2178.0000000000005</v>
      </c>
      <c r="GJ102" s="141">
        <f t="shared" si="534"/>
        <v>2178.0000000000005</v>
      </c>
      <c r="GK102" s="141">
        <f t="shared" si="534"/>
        <v>2178.0000000000005</v>
      </c>
      <c r="GL102" s="141">
        <f t="shared" si="534"/>
        <v>2178.0000000000005</v>
      </c>
      <c r="GM102" s="141">
        <f t="shared" si="534"/>
        <v>2178.0000000000005</v>
      </c>
      <c r="GN102" s="141">
        <f t="shared" si="534"/>
        <v>2178.0000000000005</v>
      </c>
      <c r="GO102" s="141">
        <f t="shared" si="534"/>
        <v>2178.0000000000005</v>
      </c>
      <c r="GP102" s="141">
        <f t="shared" si="534"/>
        <v>2178.0000000000005</v>
      </c>
      <c r="GQ102" s="141">
        <f t="shared" si="534"/>
        <v>2178.0000000000005</v>
      </c>
      <c r="GR102" s="141">
        <f t="shared" si="534"/>
        <v>2178.0000000000005</v>
      </c>
      <c r="GS102" s="141">
        <f t="shared" si="534"/>
        <v>2178.0000000000005</v>
      </c>
      <c r="GT102" s="141">
        <f t="shared" si="534"/>
        <v>2178.0000000000005</v>
      </c>
      <c r="GU102" s="141">
        <f t="shared" si="534"/>
        <v>2178.0000000000005</v>
      </c>
      <c r="GV102" s="141">
        <f t="shared" si="534"/>
        <v>2178.0000000000005</v>
      </c>
      <c r="GW102" s="141">
        <f t="shared" si="534"/>
        <v>2178.0000000000005</v>
      </c>
      <c r="GX102" s="141">
        <f t="shared" si="534"/>
        <v>2178.0000000000005</v>
      </c>
      <c r="GY102" s="141">
        <f t="shared" si="534"/>
        <v>2178.0000000000005</v>
      </c>
      <c r="GZ102" s="141">
        <f t="shared" si="534"/>
        <v>2178.0000000000005</v>
      </c>
      <c r="HA102" s="141">
        <f t="shared" si="534"/>
        <v>2178.0000000000005</v>
      </c>
      <c r="HB102" s="141">
        <f t="shared" si="534"/>
        <v>2178.0000000000005</v>
      </c>
      <c r="HC102" s="141">
        <f t="shared" si="534"/>
        <v>2178.0000000000005</v>
      </c>
      <c r="HD102" s="141">
        <f t="shared" si="534"/>
        <v>2178.0000000000005</v>
      </c>
      <c r="HE102" s="141">
        <f t="shared" si="534"/>
        <v>2178.0000000000005</v>
      </c>
      <c r="HF102" s="141">
        <f t="shared" si="534"/>
        <v>2178.0000000000005</v>
      </c>
      <c r="HG102" s="141">
        <f t="shared" si="534"/>
        <v>2178.0000000000005</v>
      </c>
      <c r="HH102" s="141">
        <f t="shared" si="534"/>
        <v>2178.0000000000005</v>
      </c>
      <c r="HI102" s="141">
        <f t="shared" si="534"/>
        <v>2178.0000000000005</v>
      </c>
      <c r="HJ102" s="141">
        <f t="shared" si="534"/>
        <v>2178.0000000000005</v>
      </c>
      <c r="HK102" s="141">
        <f t="shared" si="534"/>
        <v>2178.0000000000005</v>
      </c>
      <c r="HL102" s="141">
        <f t="shared" si="534"/>
        <v>2178.0000000000005</v>
      </c>
      <c r="HM102" s="142">
        <f t="shared" ref="HM102:IP102" si="535">IF(ISBLANK($A102),,FE102*($AH102-($AH102*$AJ102))/$AI102)</f>
        <v>14520.000000000002</v>
      </c>
      <c r="HN102" s="142">
        <f t="shared" si="535"/>
        <v>14520.000000000002</v>
      </c>
      <c r="HO102" s="142">
        <f t="shared" si="535"/>
        <v>14520.000000000002</v>
      </c>
      <c r="HP102" s="142">
        <f t="shared" si="535"/>
        <v>14520.000000000002</v>
      </c>
      <c r="HQ102" s="142">
        <f t="shared" si="535"/>
        <v>14520.000000000002</v>
      </c>
      <c r="HR102" s="142">
        <f t="shared" si="535"/>
        <v>14520.000000000002</v>
      </c>
      <c r="HS102" s="142">
        <f t="shared" si="535"/>
        <v>14520.000000000002</v>
      </c>
      <c r="HT102" s="142">
        <f t="shared" si="535"/>
        <v>14520.000000000002</v>
      </c>
      <c r="HU102" s="142">
        <f t="shared" si="535"/>
        <v>14520.000000000002</v>
      </c>
      <c r="HV102" s="142">
        <f t="shared" si="535"/>
        <v>14520.000000000002</v>
      </c>
      <c r="HW102" s="142">
        <f t="shared" si="535"/>
        <v>14520.000000000002</v>
      </c>
      <c r="HX102" s="142">
        <f t="shared" si="535"/>
        <v>14520.000000000002</v>
      </c>
      <c r="HY102" s="142">
        <f t="shared" si="535"/>
        <v>14520.000000000002</v>
      </c>
      <c r="HZ102" s="142">
        <f t="shared" si="535"/>
        <v>14520.000000000002</v>
      </c>
      <c r="IA102" s="142">
        <f t="shared" si="535"/>
        <v>14520.000000000002</v>
      </c>
      <c r="IB102" s="142">
        <f t="shared" si="535"/>
        <v>14520.000000000002</v>
      </c>
      <c r="IC102" s="142">
        <f t="shared" si="535"/>
        <v>14520.000000000002</v>
      </c>
      <c r="ID102" s="142">
        <f t="shared" si="535"/>
        <v>14520.000000000002</v>
      </c>
      <c r="IE102" s="142">
        <f t="shared" si="535"/>
        <v>14520.000000000002</v>
      </c>
      <c r="IF102" s="142">
        <f t="shared" si="535"/>
        <v>14520.000000000002</v>
      </c>
      <c r="IG102" s="142">
        <f t="shared" si="535"/>
        <v>14520.000000000002</v>
      </c>
      <c r="IH102" s="142">
        <f t="shared" si="535"/>
        <v>14520.000000000002</v>
      </c>
      <c r="II102" s="142">
        <f t="shared" si="535"/>
        <v>14520.000000000002</v>
      </c>
      <c r="IJ102" s="142">
        <f t="shared" si="535"/>
        <v>14520.000000000002</v>
      </c>
      <c r="IK102" s="142">
        <f t="shared" si="535"/>
        <v>14520.000000000002</v>
      </c>
      <c r="IL102" s="142">
        <f t="shared" si="535"/>
        <v>14520.000000000002</v>
      </c>
      <c r="IM102" s="142">
        <f t="shared" si="535"/>
        <v>14520.000000000002</v>
      </c>
      <c r="IN102" s="142">
        <f t="shared" si="535"/>
        <v>14520.000000000002</v>
      </c>
      <c r="IO102" s="142">
        <f t="shared" si="535"/>
        <v>14520.000000000002</v>
      </c>
      <c r="IP102" s="142">
        <f t="shared" si="535"/>
        <v>14520.000000000002</v>
      </c>
      <c r="IQ102" s="141">
        <f>IF(ISBLANK($A102),,IF($AN102="Não",0,(SUM($AO102:AO102)*$AH102)-SUM($HM102:HM102)-SUM($CW102:CW102)))</f>
        <v>29040.000000000007</v>
      </c>
      <c r="IR102" s="141">
        <f>IF(ISBLANK($A102),,IF($AN102="Não",0,(SUM($AO102:AP102)*$AH102)-SUM($HM102:HN102)-SUM($CW102:CX102)))</f>
        <v>14520.000000000004</v>
      </c>
      <c r="IS102" s="141">
        <f>IF(ISBLANK($A102),,IF($AN102="Não",0,(SUM($AO102:AQ102)*$AH102)-SUM($HM102:HO102)-SUM($CW102:CY102)))</f>
        <v>0</v>
      </c>
      <c r="IT102" s="141">
        <f>IF(ISBLANK($A102),,IF($AN102="Não",0,(SUM($AO102:AR102)*$AH102)-SUM($HM102:HP102)-SUM($CW102:CZ102)))</f>
        <v>29040.000000000007</v>
      </c>
      <c r="IU102" s="141">
        <f>IF(ISBLANK($A102),,IF($AN102="Não",0,(SUM($AO102:AS102)*$AH102)-SUM($HM102:HQ102)-SUM($CW102:DA102)))</f>
        <v>14520</v>
      </c>
      <c r="IV102" s="141">
        <f>IF(ISBLANK($A102),,IF($AN102="Não",0,(SUM($AO102:AT102)*$AH102)-SUM($HM102:HR102)-SUM($CW102:DB102)))</f>
        <v>0</v>
      </c>
      <c r="IW102" s="141">
        <f>IF(ISBLANK($A102),,IF($AN102="Não",0,(SUM($AO102:AU102)*$AH102)-SUM($HM102:HS102)-SUM($CW102:DC102)))</f>
        <v>29040</v>
      </c>
      <c r="IX102" s="141">
        <f>IF(ISBLANK($A102),,IF($AN102="Não",0,(SUM($AO102:AV102)*$AH102)-SUM($HM102:HT102)-SUM($CW102:DD102)))</f>
        <v>14520</v>
      </c>
      <c r="IY102" s="141">
        <f>IF(ISBLANK($A102),,IF($AN102="Não",0,(SUM($AO102:AW102)*$AH102)-SUM($HM102:HU102)-SUM($CW102:DE102)))</f>
        <v>0</v>
      </c>
      <c r="IZ102" s="141">
        <f>IF(ISBLANK($A102),,IF($AN102="Não",0,(SUM($AO102:AX102)*$AH102)-SUM($HM102:HV102)-SUM($CW102:DF102)))</f>
        <v>29040</v>
      </c>
      <c r="JA102" s="141">
        <f>IF(ISBLANK($A102),,IF($AN102="Não",0,(SUM($AO102:AY102)*$AH102)-SUM($HM102:HW102)-SUM($CW102:DG102)))</f>
        <v>14520</v>
      </c>
      <c r="JB102" s="141">
        <f>IF(ISBLANK($A102),,IF($AN102="Não",0,(SUM($AO102:AZ102)*$AH102)-SUM($HM102:HX102)-SUM($CW102:DH102)))</f>
        <v>0</v>
      </c>
      <c r="JC102" s="141">
        <f>IF(ISBLANK($A102),,IF($AN102="Não",0,(SUM($AO102:BA102)*$AH102)-SUM($HM102:HY102)-SUM($CW102:DI102)))</f>
        <v>29040</v>
      </c>
      <c r="JD102" s="141">
        <f>IF(ISBLANK($A102),,IF($AN102="Não",0,(SUM($AO102:BB102)*$AH102)-SUM($HM102:HZ102)-SUM($CW102:DJ102)))</f>
        <v>14520</v>
      </c>
      <c r="JE102" s="141">
        <f>IF(ISBLANK($A102),,IF($AN102="Não",0,(SUM($AO102:BC102)*$AH102)-SUM($HM102:IA102)-SUM($CW102:DK102)))</f>
        <v>0</v>
      </c>
      <c r="JF102" s="141">
        <f>IF(ISBLANK($A102),,IF($AN102="Não",0,(SUM($AO102:BD102)*$AH102)-SUM($HM102:IB102)-SUM($CW102:DL102)))</f>
        <v>29040</v>
      </c>
      <c r="JG102" s="141">
        <f>IF(ISBLANK($A102),,IF($AN102="Não",0,(SUM($AO102:BE102)*$AH102)-SUM($HM102:IC102)-SUM($CW102:DM102)))</f>
        <v>14520</v>
      </c>
      <c r="JH102" s="141">
        <f>IF(ISBLANK($A102),,IF($AN102="Não",0,(SUM($AO102:BF102)*$AH102)-SUM($HM102:ID102)-SUM($CW102:DN102)))</f>
        <v>0</v>
      </c>
      <c r="JI102" s="141">
        <f>IF(ISBLANK($A102),,IF($AN102="Não",0,(SUM($AO102:BG102)*$AH102)-SUM($HM102:IE102)-SUM($CW102:DO102)))</f>
        <v>29040</v>
      </c>
      <c r="JJ102" s="141">
        <f>IF(ISBLANK($A102),,IF($AN102="Não",0,(SUM($AO102:BH102)*$AH102)-SUM($HM102:IF102)-SUM($CW102:DP102)))</f>
        <v>14520</v>
      </c>
      <c r="JK102" s="141">
        <f>IF(ISBLANK($A102),,IF($AN102="Não",0,(SUM($AO102:BI102)*$AH102)-SUM($HM102:IG102)-SUM($CW102:DQ102)))</f>
        <v>0</v>
      </c>
      <c r="JL102" s="141">
        <f>IF(ISBLANK($A102),,IF($AN102="Não",0,(SUM($AO102:BJ102)*$AH102)-SUM($HM102:IH102)-SUM($CW102:DR102)))</f>
        <v>29040</v>
      </c>
      <c r="JM102" s="141">
        <f>IF(ISBLANK($A102),,IF($AN102="Não",0,(SUM($AO102:BK102)*$AH102)-SUM($HM102:II102)-SUM($CW102:DS102)))</f>
        <v>14520</v>
      </c>
      <c r="JN102" s="141">
        <f>IF(ISBLANK($A102),,IF($AN102="Não",0,(SUM($AO102:BL102)*$AH102)-SUM($HM102:IJ102)-SUM($CW102:DT102)))</f>
        <v>0</v>
      </c>
      <c r="JO102" s="141">
        <f>IF(ISBLANK($A102),,IF($AN102="Não",0,(SUM($AO102:BM102)*$AH102)-SUM($HM102:IK102)-SUM($CW102:DU102)))</f>
        <v>29040</v>
      </c>
      <c r="JP102" s="141">
        <f>IF(ISBLANK($A102),,IF($AN102="Não",0,(SUM($AO102:BN102)*$AH102)-SUM($HM102:IL102)-SUM($CW102:DV102)))</f>
        <v>14520</v>
      </c>
      <c r="JQ102" s="141">
        <f>IF(ISBLANK($A102),,IF($AN102="Não",0,(SUM($AO102:BO102)*$AH102)-SUM($HM102:IM102)-SUM($CW102:DW102)))</f>
        <v>0</v>
      </c>
      <c r="JR102" s="141">
        <f>IF(ISBLANK($A102),,IF($AN102="Não",0,(SUM($AO102:BP102)*$AH102)-SUM($HM102:IN102)-SUM($CW102:DX102)))</f>
        <v>29040</v>
      </c>
      <c r="JS102" s="141">
        <f>IF(ISBLANK($A102),,IF($AN102="Não",0,(SUM($AO102:BQ102)*$AH102)-SUM($HM102:IO102)-SUM($CW102:DY102)))</f>
        <v>14520</v>
      </c>
      <c r="JT102" s="141">
        <f>IF(ISBLANK($A102),,IF($AN102="Não",0,(SUM($AO102:BR102)*$AH102)-SUM($HM102:IP102)-SUM($CW102:DZ102)))</f>
        <v>0</v>
      </c>
    </row>
    <row r="103" spans="1:280" ht="15.75" customHeight="1">
      <c r="A103" s="129" t="s">
        <v>404</v>
      </c>
      <c r="B103" s="129" t="s">
        <v>209</v>
      </c>
      <c r="C103" s="138" t="s">
        <v>79</v>
      </c>
      <c r="D103" s="139">
        <v>300</v>
      </c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607">
        <f t="shared" si="399"/>
        <v>1100</v>
      </c>
      <c r="AI103" s="608">
        <f t="shared" si="400"/>
        <v>10</v>
      </c>
      <c r="AJ103" s="609">
        <f t="shared" si="401"/>
        <v>0.25</v>
      </c>
      <c r="AK103" s="610" t="str">
        <f t="shared" si="402"/>
        <v>Equipamentos e instalações</v>
      </c>
      <c r="AL103" s="609">
        <f t="shared" si="403"/>
        <v>0.05</v>
      </c>
      <c r="AM103" s="611" t="str">
        <f t="shared" si="404"/>
        <v>Sim</v>
      </c>
      <c r="AN103" s="611" t="str">
        <f t="shared" si="405"/>
        <v>Sim</v>
      </c>
      <c r="AO103" s="140">
        <f t="array" ref="AO103">IF(ISBLANK($A103),0,IF(OR(AO$5-$AI103&lt;=0,$AM103="Não"),D103,D103+INDEX($AO$6:$BR$176,ROW()-5,COLUMN()-40-$AI103)))*IF($B103="Operacional",IFERROR(VLOOKUP($C103,SN_UGC,28,0),0),1)</f>
        <v>300</v>
      </c>
      <c r="AP103" s="140">
        <f t="array" ref="AP103">IF(ISBLANK($A103),0,IF(OR(AP$5-$AI103&lt;=0,$AM103="Não"),E103,E103+INDEX($AO$6:$BR$176,ROW()-5,COLUMN()-40-$AI103)))*IF($B103="Operacional",IFERROR(VLOOKUP($C103,SN_UGC,28,0),0),1)</f>
        <v>0</v>
      </c>
      <c r="AQ103" s="140">
        <f t="array" ref="AQ103">IF(ISBLANK($A103),0,IF(OR(AQ$5-$AI103&lt;=0,$AM103="Não"),F103,F103+INDEX($AO$6:$BR$176,ROW()-5,COLUMN()-40-$AI103)))*IF($B103="Operacional",IFERROR(VLOOKUP($C103,SN_UGC,28,0),0),1)</f>
        <v>0</v>
      </c>
      <c r="AR103" s="140">
        <f t="array" ref="AR103">IF(ISBLANK($A103),0,IF(OR(AR$5-$AI103&lt;=0,$AM103="Não"),G103,G103+INDEX($AO$6:$BR$176,ROW()-5,COLUMN()-40-$AI103)))*IF($B103="Operacional",IFERROR(VLOOKUP($C103,SN_UGC,28,0),0),1)</f>
        <v>0</v>
      </c>
      <c r="AS103" s="140">
        <f t="array" ref="AS103">IF(ISBLANK($A103),0,IF(OR(AS$5-$AI103&lt;=0,$AM103="Não"),H103,H103+INDEX($AO$6:$BR$176,ROW()-5,COLUMN()-40-$AI103)))*IF($B103="Operacional",IFERROR(VLOOKUP($C103,SN_UGC,28,0),0),1)</f>
        <v>0</v>
      </c>
      <c r="AT103" s="140">
        <f t="array" ref="AT103">IF(ISBLANK($A103),0,IF(OR(AT$5-$AI103&lt;=0,$AM103="Não"),I103,I103+INDEX($AO$6:$BR$176,ROW()-5,COLUMN()-40-$AI103)))*IF($B103="Operacional",IFERROR(VLOOKUP($C103,SN_UGC,28,0),0),1)</f>
        <v>0</v>
      </c>
      <c r="AU103" s="140">
        <f t="array" ref="AU103">IF(ISBLANK($A103),0,IF(OR(AU$5-$AI103&lt;=0,$AM103="Não"),J103,J103+INDEX($AO$6:$BR$176,ROW()-5,COLUMN()-40-$AI103)))*IF($B103="Operacional",IFERROR(VLOOKUP($C103,SN_UGC,28,0),0),1)</f>
        <v>0</v>
      </c>
      <c r="AV103" s="140">
        <f t="array" ref="AV103">IF(ISBLANK($A103),0,IF(OR(AV$5-$AI103&lt;=0,$AM103="Não"),K103,K103+INDEX($AO$6:$BR$176,ROW()-5,COLUMN()-40-$AI103)))*IF($B103="Operacional",IFERROR(VLOOKUP($C103,SN_UGC,28,0),0),1)</f>
        <v>0</v>
      </c>
      <c r="AW103" s="140">
        <f t="array" ref="AW103">IF(ISBLANK($A103),0,IF(OR(AW$5-$AI103&lt;=0,$AM103="Não"),L103,L103+INDEX($AO$6:$BR$176,ROW()-5,COLUMN()-40-$AI103)))*IF($B103="Operacional",IFERROR(VLOOKUP($C103,SN_UGC,28,0),0),1)</f>
        <v>0</v>
      </c>
      <c r="AX103" s="140">
        <f t="array" ref="AX103">IF(ISBLANK($A103),0,IF(OR(AX$5-$AI103&lt;=0,$AM103="Não"),M103,M103+INDEX($AO$6:$BR$176,ROW()-5,COLUMN()-40-$AI103)))*IF($B103="Operacional",IFERROR(VLOOKUP($C103,SN_UGC,28,0),0),1)</f>
        <v>0</v>
      </c>
      <c r="AY103" s="140">
        <f t="array" ref="AY103">IF(ISBLANK($A103),0,IF(OR(AY$5-$AI103&lt;=0,$AM103="Não"),N103,N103+INDEX($AO$6:$BR$176,ROW()-5,COLUMN()-40-$AI103)))*IF($B103="Operacional",IFERROR(VLOOKUP($C103,SN_UGC,28,0),0),1)</f>
        <v>300</v>
      </c>
      <c r="AZ103" s="140">
        <f t="array" ref="AZ103">IF(ISBLANK($A103),0,IF(OR(AZ$5-$AI103&lt;=0,$AM103="Não"),O103,O103+INDEX($AO$6:$BR$176,ROW()-5,COLUMN()-40-$AI103)))*IF($B103="Operacional",IFERROR(VLOOKUP($C103,SN_UGC,28,0),0),1)</f>
        <v>0</v>
      </c>
      <c r="BA103" s="140">
        <f t="array" ref="BA103">IF(ISBLANK($A103),0,IF(OR(BA$5-$AI103&lt;=0,$AM103="Não"),P103,P103+INDEX($AO$6:$BR$176,ROW()-5,COLUMN()-40-$AI103)))*IF($B103="Operacional",IFERROR(VLOOKUP($C103,SN_UGC,28,0),0),1)</f>
        <v>0</v>
      </c>
      <c r="BB103" s="140">
        <f t="array" ref="BB103">IF(ISBLANK($A103),0,IF(OR(BB$5-$AI103&lt;=0,$AM103="Não"),Q103,Q103+INDEX($AO$6:$BR$176,ROW()-5,COLUMN()-40-$AI103)))*IF($B103="Operacional",IFERROR(VLOOKUP($C103,SN_UGC,28,0),0),1)</f>
        <v>0</v>
      </c>
      <c r="BC103" s="140">
        <f t="array" ref="BC103">IF(ISBLANK($A103),0,IF(OR(BC$5-$AI103&lt;=0,$AM103="Não"),R103,R103+INDEX($AO$6:$BR$176,ROW()-5,COLUMN()-40-$AI103)))*IF($B103="Operacional",IFERROR(VLOOKUP($C103,SN_UGC,28,0),0),1)</f>
        <v>0</v>
      </c>
      <c r="BD103" s="140">
        <f t="array" ref="BD103">IF(ISBLANK($A103),0,IF(OR(BD$5-$AI103&lt;=0,$AM103="Não"),S103,S103+INDEX($AO$6:$BR$176,ROW()-5,COLUMN()-40-$AI103)))*IF($B103="Operacional",IFERROR(VLOOKUP($C103,SN_UGC,28,0),0),1)</f>
        <v>0</v>
      </c>
      <c r="BE103" s="140">
        <f t="array" ref="BE103">IF(ISBLANK($A103),0,IF(OR(BE$5-$AI103&lt;=0,$AM103="Não"),T103,T103+INDEX($AO$6:$BR$176,ROW()-5,COLUMN()-40-$AI103)))*IF($B103="Operacional",IFERROR(VLOOKUP($C103,SN_UGC,28,0),0),1)</f>
        <v>0</v>
      </c>
      <c r="BF103" s="140">
        <f t="array" ref="BF103">IF(ISBLANK($A103),0,IF(OR(BF$5-$AI103&lt;=0,$AM103="Não"),U103,U103+INDEX($AO$6:$BR$176,ROW()-5,COLUMN()-40-$AI103)))*IF($B103="Operacional",IFERROR(VLOOKUP($C103,SN_UGC,28,0),0),1)</f>
        <v>0</v>
      </c>
      <c r="BG103" s="140">
        <f t="array" ref="BG103">IF(ISBLANK($A103),0,IF(OR(BG$5-$AI103&lt;=0,$AM103="Não"),V103,V103+INDEX($AO$6:$BR$176,ROW()-5,COLUMN()-40-$AI103)))*IF($B103="Operacional",IFERROR(VLOOKUP($C103,SN_UGC,28,0),0),1)</f>
        <v>0</v>
      </c>
      <c r="BH103" s="140">
        <f t="array" ref="BH103">IF(ISBLANK($A103),0,IF(OR(BH$5-$AI103&lt;=0,$AM103="Não"),W103,W103+INDEX($AO$6:$BR$176,ROW()-5,COLUMN()-40-$AI103)))*IF($B103="Operacional",IFERROR(VLOOKUP($C103,SN_UGC,28,0),0),1)</f>
        <v>0</v>
      </c>
      <c r="BI103" s="140">
        <f t="array" ref="BI103">IF(ISBLANK($A103),0,IF(OR(BI$5-$AI103&lt;=0,$AM103="Não"),X103,X103+INDEX($AO$6:$BR$176,ROW()-5,COLUMN()-40-$AI103)))*IF($B103="Operacional",IFERROR(VLOOKUP($C103,SN_UGC,28,0),0),1)</f>
        <v>300</v>
      </c>
      <c r="BJ103" s="140">
        <f t="array" ref="BJ103">IF(ISBLANK($A103),0,IF(OR(BJ$5-$AI103&lt;=0,$AM103="Não"),Y103,Y103+INDEX($AO$6:$BR$176,ROW()-5,COLUMN()-40-$AI103)))*IF($B103="Operacional",IFERROR(VLOOKUP($C103,SN_UGC,28,0),0),1)</f>
        <v>0</v>
      </c>
      <c r="BK103" s="140">
        <f t="array" ref="BK103">IF(ISBLANK($A103),0,IF(OR(BK$5-$AI103&lt;=0,$AM103="Não"),Z103,Z103+INDEX($AO$6:$BR$176,ROW()-5,COLUMN()-40-$AI103)))*IF($B103="Operacional",IFERROR(VLOOKUP($C103,SN_UGC,28,0),0),1)</f>
        <v>0</v>
      </c>
      <c r="BL103" s="140">
        <f t="array" ref="BL103">IF(ISBLANK($A103),0,IF(OR(BL$5-$AI103&lt;=0,$AM103="Não"),AA103,AA103+INDEX($AO$6:$BR$176,ROW()-5,COLUMN()-40-$AI103)))*IF($B103="Operacional",IFERROR(VLOOKUP($C103,SN_UGC,28,0),0),1)</f>
        <v>0</v>
      </c>
      <c r="BM103" s="140">
        <f t="array" ref="BM103">IF(ISBLANK($A103),0,IF(OR(BM$5-$AI103&lt;=0,$AM103="Não"),AB103,AB103+INDEX($AO$6:$BR$176,ROW()-5,COLUMN()-40-$AI103)))*IF($B103="Operacional",IFERROR(VLOOKUP($C103,SN_UGC,28,0),0),1)</f>
        <v>0</v>
      </c>
      <c r="BN103" s="140">
        <f t="array" ref="BN103">IF(ISBLANK($A103),0,IF(OR(BN$5-$AI103&lt;=0,$AM103="Não"),AC103,AC103+INDEX($AO$6:$BR$176,ROW()-5,COLUMN()-40-$AI103)))*IF($B103="Operacional",IFERROR(VLOOKUP($C103,SN_UGC,28,0),0),1)</f>
        <v>0</v>
      </c>
      <c r="BO103" s="140">
        <f t="array" ref="BO103">IF(ISBLANK($A103),0,IF(OR(BO$5-$AI103&lt;=0,$AM103="Não"),AD103,AD103+INDEX($AO$6:$BR$176,ROW()-5,COLUMN()-40-$AI103)))*IF($B103="Operacional",IFERROR(VLOOKUP($C103,SN_UGC,28,0),0),1)</f>
        <v>0</v>
      </c>
      <c r="BP103" s="140">
        <f t="array" ref="BP103">IF(ISBLANK($A103),0,IF(OR(BP$5-$AI103&lt;=0,$AM103="Não"),AE103,AE103+INDEX($AO$6:$BR$176,ROW()-5,COLUMN()-40-$AI103)))*IF($B103="Operacional",IFERROR(VLOOKUP($C103,SN_UGC,28,0),0),1)</f>
        <v>0</v>
      </c>
      <c r="BQ103" s="140">
        <f t="array" ref="BQ103">IF(ISBLANK($A103),0,IF(OR(BQ$5-$AI103&lt;=0,$AM103="Não"),AF103,AF103+INDEX($AO$6:$BR$176,ROW()-5,COLUMN()-40-$AI103)))*IF($B103="Operacional",IFERROR(VLOOKUP($C103,SN_UGC,28,0),0),1)</f>
        <v>0</v>
      </c>
      <c r="BR103" s="140">
        <f t="array" ref="BR103">IF(ISBLANK($A103),0,IF(OR(BR$5-$AI103&lt;=0,$AM103="Não"),AG103,AG103+INDEX($AO$6:$BR$176,ROW()-5,COLUMN()-40-$AI103)))*IF($B103="Operacional",IFERROR(VLOOKUP($C103,SN_UGC,28,0),0),1)</f>
        <v>0</v>
      </c>
      <c r="BS103" s="141">
        <f t="shared" ref="BS103:CV103" si="536">IF(ISBLANK($A103),0,$AH103*AO103)</f>
        <v>330000</v>
      </c>
      <c r="BT103" s="141">
        <f t="shared" si="536"/>
        <v>0</v>
      </c>
      <c r="BU103" s="141">
        <f t="shared" si="536"/>
        <v>0</v>
      </c>
      <c r="BV103" s="141">
        <f t="shared" si="536"/>
        <v>0</v>
      </c>
      <c r="BW103" s="141">
        <f t="shared" si="536"/>
        <v>0</v>
      </c>
      <c r="BX103" s="141">
        <f t="shared" si="536"/>
        <v>0</v>
      </c>
      <c r="BY103" s="141">
        <f t="shared" si="536"/>
        <v>0</v>
      </c>
      <c r="BZ103" s="141">
        <f t="shared" si="536"/>
        <v>0</v>
      </c>
      <c r="CA103" s="141">
        <f t="shared" si="536"/>
        <v>0</v>
      </c>
      <c r="CB103" s="141">
        <f t="shared" si="536"/>
        <v>0</v>
      </c>
      <c r="CC103" s="141">
        <f t="shared" si="536"/>
        <v>330000</v>
      </c>
      <c r="CD103" s="141">
        <f t="shared" si="536"/>
        <v>0</v>
      </c>
      <c r="CE103" s="141">
        <f t="shared" si="536"/>
        <v>0</v>
      </c>
      <c r="CF103" s="141">
        <f t="shared" si="536"/>
        <v>0</v>
      </c>
      <c r="CG103" s="141">
        <f t="shared" si="536"/>
        <v>0</v>
      </c>
      <c r="CH103" s="141">
        <f t="shared" si="536"/>
        <v>0</v>
      </c>
      <c r="CI103" s="141">
        <f t="shared" si="536"/>
        <v>0</v>
      </c>
      <c r="CJ103" s="141">
        <f t="shared" si="536"/>
        <v>0</v>
      </c>
      <c r="CK103" s="141">
        <f t="shared" si="536"/>
        <v>0</v>
      </c>
      <c r="CL103" s="141">
        <f t="shared" si="536"/>
        <v>0</v>
      </c>
      <c r="CM103" s="141">
        <f t="shared" si="536"/>
        <v>330000</v>
      </c>
      <c r="CN103" s="141">
        <f t="shared" si="536"/>
        <v>0</v>
      </c>
      <c r="CO103" s="141">
        <f t="shared" si="536"/>
        <v>0</v>
      </c>
      <c r="CP103" s="141">
        <f t="shared" si="536"/>
        <v>0</v>
      </c>
      <c r="CQ103" s="141">
        <f t="shared" si="536"/>
        <v>0</v>
      </c>
      <c r="CR103" s="141">
        <f t="shared" si="536"/>
        <v>0</v>
      </c>
      <c r="CS103" s="141">
        <f t="shared" si="536"/>
        <v>0</v>
      </c>
      <c r="CT103" s="141">
        <f t="shared" si="536"/>
        <v>0</v>
      </c>
      <c r="CU103" s="141">
        <f t="shared" si="536"/>
        <v>0</v>
      </c>
      <c r="CV103" s="141">
        <f t="shared" si="536"/>
        <v>0</v>
      </c>
      <c r="CW103" s="142">
        <f t="shared" ref="CW103:DZ103" si="537">EA103*$AH103*$AJ103</f>
        <v>0</v>
      </c>
      <c r="CX103" s="142">
        <f t="shared" si="537"/>
        <v>0</v>
      </c>
      <c r="CY103" s="142">
        <f t="shared" si="537"/>
        <v>0</v>
      </c>
      <c r="CZ103" s="142">
        <f t="shared" si="537"/>
        <v>0</v>
      </c>
      <c r="DA103" s="142">
        <f t="shared" si="537"/>
        <v>0</v>
      </c>
      <c r="DB103" s="142">
        <f t="shared" si="537"/>
        <v>0</v>
      </c>
      <c r="DC103" s="142">
        <f t="shared" si="537"/>
        <v>0</v>
      </c>
      <c r="DD103" s="142">
        <f t="shared" si="537"/>
        <v>0</v>
      </c>
      <c r="DE103" s="142">
        <f t="shared" si="537"/>
        <v>0</v>
      </c>
      <c r="DF103" s="142">
        <f t="shared" si="537"/>
        <v>0</v>
      </c>
      <c r="DG103" s="142">
        <f t="shared" si="537"/>
        <v>82500</v>
      </c>
      <c r="DH103" s="142">
        <f t="shared" si="537"/>
        <v>0</v>
      </c>
      <c r="DI103" s="142">
        <f t="shared" si="537"/>
        <v>0</v>
      </c>
      <c r="DJ103" s="142">
        <f t="shared" si="537"/>
        <v>0</v>
      </c>
      <c r="DK103" s="142">
        <f t="shared" si="537"/>
        <v>0</v>
      </c>
      <c r="DL103" s="142">
        <f t="shared" si="537"/>
        <v>0</v>
      </c>
      <c r="DM103" s="142">
        <f t="shared" si="537"/>
        <v>0</v>
      </c>
      <c r="DN103" s="142">
        <f t="shared" si="537"/>
        <v>0</v>
      </c>
      <c r="DO103" s="142">
        <f t="shared" si="537"/>
        <v>0</v>
      </c>
      <c r="DP103" s="142">
        <f t="shared" si="537"/>
        <v>0</v>
      </c>
      <c r="DQ103" s="142">
        <f t="shared" si="537"/>
        <v>82500</v>
      </c>
      <c r="DR103" s="142">
        <f t="shared" si="537"/>
        <v>0</v>
      </c>
      <c r="DS103" s="142">
        <f t="shared" si="537"/>
        <v>0</v>
      </c>
      <c r="DT103" s="142">
        <f t="shared" si="537"/>
        <v>0</v>
      </c>
      <c r="DU103" s="142">
        <f t="shared" si="537"/>
        <v>0</v>
      </c>
      <c r="DV103" s="142">
        <f t="shared" si="537"/>
        <v>0</v>
      </c>
      <c r="DW103" s="142">
        <f t="shared" si="537"/>
        <v>0</v>
      </c>
      <c r="DX103" s="142">
        <f t="shared" si="537"/>
        <v>0</v>
      </c>
      <c r="DY103" s="142">
        <f t="shared" si="537"/>
        <v>0</v>
      </c>
      <c r="DZ103" s="142">
        <f t="shared" si="537"/>
        <v>0</v>
      </c>
      <c r="EA103" s="143">
        <f t="shared" si="504"/>
        <v>0</v>
      </c>
      <c r="EB103" s="143">
        <f t="shared" si="505"/>
        <v>0</v>
      </c>
      <c r="EC103" s="143">
        <f t="shared" si="506"/>
        <v>0</v>
      </c>
      <c r="ED103" s="143">
        <f t="shared" si="507"/>
        <v>0</v>
      </c>
      <c r="EE103" s="143">
        <f t="shared" si="508"/>
        <v>0</v>
      </c>
      <c r="EF103" s="143">
        <f t="shared" si="509"/>
        <v>0</v>
      </c>
      <c r="EG103" s="143">
        <f t="shared" si="510"/>
        <v>0</v>
      </c>
      <c r="EH103" s="143">
        <f t="shared" si="511"/>
        <v>0</v>
      </c>
      <c r="EI103" s="143">
        <f t="shared" si="512"/>
        <v>0</v>
      </c>
      <c r="EJ103" s="143">
        <f t="shared" si="513"/>
        <v>0</v>
      </c>
      <c r="EK103" s="143">
        <f t="shared" si="514"/>
        <v>300</v>
      </c>
      <c r="EL103" s="143">
        <f t="shared" si="515"/>
        <v>0</v>
      </c>
      <c r="EM103" s="143">
        <f t="shared" si="516"/>
        <v>0</v>
      </c>
      <c r="EN103" s="143">
        <f t="shared" si="517"/>
        <v>0</v>
      </c>
      <c r="EO103" s="143">
        <f t="shared" si="518"/>
        <v>0</v>
      </c>
      <c r="EP103" s="143">
        <f t="shared" si="519"/>
        <v>0</v>
      </c>
      <c r="EQ103" s="143">
        <f t="shared" si="520"/>
        <v>0</v>
      </c>
      <c r="ER103" s="143">
        <f t="shared" si="521"/>
        <v>0</v>
      </c>
      <c r="ES103" s="143">
        <f t="shared" si="522"/>
        <v>0</v>
      </c>
      <c r="ET103" s="143">
        <f t="shared" si="523"/>
        <v>0</v>
      </c>
      <c r="EU103" s="143">
        <f t="shared" si="524"/>
        <v>300</v>
      </c>
      <c r="EV103" s="143">
        <f t="shared" si="525"/>
        <v>0</v>
      </c>
      <c r="EW103" s="143">
        <f t="shared" si="526"/>
        <v>0</v>
      </c>
      <c r="EX103" s="143">
        <f t="shared" si="527"/>
        <v>0</v>
      </c>
      <c r="EY103" s="143">
        <f t="shared" si="528"/>
        <v>0</v>
      </c>
      <c r="EZ103" s="143">
        <f t="shared" si="529"/>
        <v>0</v>
      </c>
      <c r="FA103" s="143">
        <f t="shared" si="530"/>
        <v>0</v>
      </c>
      <c r="FB103" s="143">
        <f t="shared" si="531"/>
        <v>0</v>
      </c>
      <c r="FC103" s="143">
        <f t="shared" si="532"/>
        <v>0</v>
      </c>
      <c r="FD103" s="143">
        <f t="shared" si="533"/>
        <v>0</v>
      </c>
      <c r="FE103" s="140">
        <f>SUM($D103:D103)*IF($B103="Operacional",IFERROR(VLOOKUP($C103,SN_UGC,28,0),0),1)</f>
        <v>300</v>
      </c>
      <c r="FF103" s="140">
        <f>SUM($D103:E103)*IF($B103="Operacional",IFERROR(VLOOKUP($C103,SN_UGC,28,0),0),1)</f>
        <v>300</v>
      </c>
      <c r="FG103" s="140">
        <f>SUM($D103:F103)*IF($B103="Operacional",IFERROR(VLOOKUP($C103,SN_UGC,28,0),0),1)</f>
        <v>300</v>
      </c>
      <c r="FH103" s="140">
        <f>SUM($D103:G103)*IF($B103="Operacional",IFERROR(VLOOKUP($C103,SN_UGC,28,0),0),1)</f>
        <v>300</v>
      </c>
      <c r="FI103" s="140">
        <f>SUM($D103:H103)*IF($B103="Operacional",IFERROR(VLOOKUP($C103,SN_UGC,28,0),0),1)</f>
        <v>300</v>
      </c>
      <c r="FJ103" s="140">
        <f>SUM($D103:I103)*IF($B103="Operacional",IFERROR(VLOOKUP($C103,SN_UGC,28,0),0),1)</f>
        <v>300</v>
      </c>
      <c r="FK103" s="140">
        <f>SUM($D103:J103)*IF($B103="Operacional",IFERROR(VLOOKUP($C103,SN_UGC,28,0),0),1)</f>
        <v>300</v>
      </c>
      <c r="FL103" s="140">
        <f>SUM($D103:K103)*IF($B103="Operacional",IFERROR(VLOOKUP($C103,SN_UGC,28,0),0),1)</f>
        <v>300</v>
      </c>
      <c r="FM103" s="140">
        <f>SUM($D103:L103)*IF($B103="Operacional",IFERROR(VLOOKUP($C103,SN_UGC,28,0),0),1)</f>
        <v>300</v>
      </c>
      <c r="FN103" s="140">
        <f>SUM($D103:M103)*IF($B103="Operacional",IFERROR(VLOOKUP($C103,SN_UGC,28,0),0),1)</f>
        <v>300</v>
      </c>
      <c r="FO103" s="140">
        <f>SUM($D103:N103)*IF($B103="Operacional",IFERROR(VLOOKUP($C103,SN_UGC,28,0),0),1)</f>
        <v>300</v>
      </c>
      <c r="FP103" s="140">
        <f>SUM($D103:O103)*IF($B103="Operacional",IFERROR(VLOOKUP($C103,SN_UGC,28,0),0),1)</f>
        <v>300</v>
      </c>
      <c r="FQ103" s="140">
        <f>SUM($D103:P103)*IF($B103="Operacional",IFERROR(VLOOKUP($C103,SN_UGC,28,0),0),1)</f>
        <v>300</v>
      </c>
      <c r="FR103" s="140">
        <f>SUM($D103:Q103)*IF($B103="Operacional",IFERROR(VLOOKUP($C103,SN_UGC,28,0),0),1)</f>
        <v>300</v>
      </c>
      <c r="FS103" s="140">
        <f>SUM($D103:R103)*IF($B103="Operacional",IFERROR(VLOOKUP($C103,SN_UGC,28,0),0),1)</f>
        <v>300</v>
      </c>
      <c r="FT103" s="140">
        <f>SUM($D103:S103)*IF($B103="Operacional",IFERROR(VLOOKUP($C103,SN_UGC,28,0),0),1)</f>
        <v>300</v>
      </c>
      <c r="FU103" s="140">
        <f>SUM($D103:T103)*IF($B103="Operacional",IFERROR(VLOOKUP($C103,SN_UGC,28,0),0),1)</f>
        <v>300</v>
      </c>
      <c r="FV103" s="140">
        <f>SUM($D103:U103)*IF($B103="Operacional",IFERROR(VLOOKUP($C103,SN_UGC,28,0),0),1)</f>
        <v>300</v>
      </c>
      <c r="FW103" s="140">
        <f>SUM($D103:V103)*IF($B103="Operacional",IFERROR(VLOOKUP($C103,SN_UGC,28,0),0),1)</f>
        <v>300</v>
      </c>
      <c r="FX103" s="140">
        <f>SUM($D103:W103)*IF($B103="Operacional",IFERROR(VLOOKUP($C103,SN_UGC,28,0),0),1)</f>
        <v>300</v>
      </c>
      <c r="FY103" s="140">
        <f>SUM($D103:X103)*IF($B103="Operacional",IFERROR(VLOOKUP($C103,SN_UGC,28,0),0),1)</f>
        <v>300</v>
      </c>
      <c r="FZ103" s="140">
        <f>SUM($D103:Y103)*IF($B103="Operacional",IFERROR(VLOOKUP($C103,SN_UGC,28,0),0),1)</f>
        <v>300</v>
      </c>
      <c r="GA103" s="140">
        <f>SUM($D103:Z103)*IF($B103="Operacional",IFERROR(VLOOKUP($C103,SN_UGC,28,0),0),1)</f>
        <v>300</v>
      </c>
      <c r="GB103" s="140">
        <f>SUM($D103:AA103)*IF($B103="Operacional",IFERROR(VLOOKUP($C103,SN_UGC,28,0),0),1)</f>
        <v>300</v>
      </c>
      <c r="GC103" s="140">
        <f>SUM($D103:AB103)*IF($B103="Operacional",IFERROR(VLOOKUP($C103,SN_UGC,28,0),0),1)</f>
        <v>300</v>
      </c>
      <c r="GD103" s="140">
        <f>SUM($D103:AC103)*IF($B103="Operacional",IFERROR(VLOOKUP($C103,SN_UGC,28,0),0),1)</f>
        <v>300</v>
      </c>
      <c r="GE103" s="140">
        <f>SUM($D103:AD103)*IF($B103="Operacional",IFERROR(VLOOKUP($C103,SN_UGC,28,0),0),1)</f>
        <v>300</v>
      </c>
      <c r="GF103" s="140">
        <f>SUM($D103:AE103)*IF($B103="Operacional",IFERROR(VLOOKUP($C103,SN_UGC,28,0),0),1)</f>
        <v>300</v>
      </c>
      <c r="GG103" s="140">
        <f>SUM($D103:AF103)*IF($B103="Operacional",IFERROR(VLOOKUP($C103,SN_UGC,28,0),0),1)</f>
        <v>300</v>
      </c>
      <c r="GH103" s="140">
        <f>SUM($D103:AG103)*IF($B103="Operacional",IFERROR(VLOOKUP($C103,SN_UGC,28,0),0),1)</f>
        <v>300</v>
      </c>
      <c r="GI103" s="141">
        <f t="shared" ref="GI103:HL103" si="538">FE103*$AH103*$AL103</f>
        <v>16500</v>
      </c>
      <c r="GJ103" s="141">
        <f t="shared" si="538"/>
        <v>16500</v>
      </c>
      <c r="GK103" s="141">
        <f t="shared" si="538"/>
        <v>16500</v>
      </c>
      <c r="GL103" s="141">
        <f t="shared" si="538"/>
        <v>16500</v>
      </c>
      <c r="GM103" s="141">
        <f t="shared" si="538"/>
        <v>16500</v>
      </c>
      <c r="GN103" s="141">
        <f t="shared" si="538"/>
        <v>16500</v>
      </c>
      <c r="GO103" s="141">
        <f t="shared" si="538"/>
        <v>16500</v>
      </c>
      <c r="GP103" s="141">
        <f t="shared" si="538"/>
        <v>16500</v>
      </c>
      <c r="GQ103" s="141">
        <f t="shared" si="538"/>
        <v>16500</v>
      </c>
      <c r="GR103" s="141">
        <f t="shared" si="538"/>
        <v>16500</v>
      </c>
      <c r="GS103" s="141">
        <f t="shared" si="538"/>
        <v>16500</v>
      </c>
      <c r="GT103" s="141">
        <f t="shared" si="538"/>
        <v>16500</v>
      </c>
      <c r="GU103" s="141">
        <f t="shared" si="538"/>
        <v>16500</v>
      </c>
      <c r="GV103" s="141">
        <f t="shared" si="538"/>
        <v>16500</v>
      </c>
      <c r="GW103" s="141">
        <f t="shared" si="538"/>
        <v>16500</v>
      </c>
      <c r="GX103" s="141">
        <f t="shared" si="538"/>
        <v>16500</v>
      </c>
      <c r="GY103" s="141">
        <f t="shared" si="538"/>
        <v>16500</v>
      </c>
      <c r="GZ103" s="141">
        <f t="shared" si="538"/>
        <v>16500</v>
      </c>
      <c r="HA103" s="141">
        <f t="shared" si="538"/>
        <v>16500</v>
      </c>
      <c r="HB103" s="141">
        <f t="shared" si="538"/>
        <v>16500</v>
      </c>
      <c r="HC103" s="141">
        <f t="shared" si="538"/>
        <v>16500</v>
      </c>
      <c r="HD103" s="141">
        <f t="shared" si="538"/>
        <v>16500</v>
      </c>
      <c r="HE103" s="141">
        <f t="shared" si="538"/>
        <v>16500</v>
      </c>
      <c r="HF103" s="141">
        <f t="shared" si="538"/>
        <v>16500</v>
      </c>
      <c r="HG103" s="141">
        <f t="shared" si="538"/>
        <v>16500</v>
      </c>
      <c r="HH103" s="141">
        <f t="shared" si="538"/>
        <v>16500</v>
      </c>
      <c r="HI103" s="141">
        <f t="shared" si="538"/>
        <v>16500</v>
      </c>
      <c r="HJ103" s="141">
        <f t="shared" si="538"/>
        <v>16500</v>
      </c>
      <c r="HK103" s="141">
        <f t="shared" si="538"/>
        <v>16500</v>
      </c>
      <c r="HL103" s="141">
        <f t="shared" si="538"/>
        <v>16500</v>
      </c>
      <c r="HM103" s="142">
        <f t="shared" ref="HM103:IP103" si="539">IF(ISBLANK($A103),,FE103*($AH103-($AH103*$AJ103))/$AI103)</f>
        <v>24750</v>
      </c>
      <c r="HN103" s="142">
        <f t="shared" si="539"/>
        <v>24750</v>
      </c>
      <c r="HO103" s="142">
        <f t="shared" si="539"/>
        <v>24750</v>
      </c>
      <c r="HP103" s="142">
        <f t="shared" si="539"/>
        <v>24750</v>
      </c>
      <c r="HQ103" s="142">
        <f t="shared" si="539"/>
        <v>24750</v>
      </c>
      <c r="HR103" s="142">
        <f t="shared" si="539"/>
        <v>24750</v>
      </c>
      <c r="HS103" s="142">
        <f t="shared" si="539"/>
        <v>24750</v>
      </c>
      <c r="HT103" s="142">
        <f t="shared" si="539"/>
        <v>24750</v>
      </c>
      <c r="HU103" s="142">
        <f t="shared" si="539"/>
        <v>24750</v>
      </c>
      <c r="HV103" s="142">
        <f t="shared" si="539"/>
        <v>24750</v>
      </c>
      <c r="HW103" s="142">
        <f t="shared" si="539"/>
        <v>24750</v>
      </c>
      <c r="HX103" s="142">
        <f t="shared" si="539"/>
        <v>24750</v>
      </c>
      <c r="HY103" s="142">
        <f t="shared" si="539"/>
        <v>24750</v>
      </c>
      <c r="HZ103" s="142">
        <f t="shared" si="539"/>
        <v>24750</v>
      </c>
      <c r="IA103" s="142">
        <f t="shared" si="539"/>
        <v>24750</v>
      </c>
      <c r="IB103" s="142">
        <f t="shared" si="539"/>
        <v>24750</v>
      </c>
      <c r="IC103" s="142">
        <f t="shared" si="539"/>
        <v>24750</v>
      </c>
      <c r="ID103" s="142">
        <f t="shared" si="539"/>
        <v>24750</v>
      </c>
      <c r="IE103" s="142">
        <f t="shared" si="539"/>
        <v>24750</v>
      </c>
      <c r="IF103" s="142">
        <f t="shared" si="539"/>
        <v>24750</v>
      </c>
      <c r="IG103" s="142">
        <f t="shared" si="539"/>
        <v>24750</v>
      </c>
      <c r="IH103" s="142">
        <f t="shared" si="539"/>
        <v>24750</v>
      </c>
      <c r="II103" s="142">
        <f t="shared" si="539"/>
        <v>24750</v>
      </c>
      <c r="IJ103" s="142">
        <f t="shared" si="539"/>
        <v>24750</v>
      </c>
      <c r="IK103" s="142">
        <f t="shared" si="539"/>
        <v>24750</v>
      </c>
      <c r="IL103" s="142">
        <f t="shared" si="539"/>
        <v>24750</v>
      </c>
      <c r="IM103" s="142">
        <f t="shared" si="539"/>
        <v>24750</v>
      </c>
      <c r="IN103" s="142">
        <f t="shared" si="539"/>
        <v>24750</v>
      </c>
      <c r="IO103" s="142">
        <f t="shared" si="539"/>
        <v>24750</v>
      </c>
      <c r="IP103" s="142">
        <f t="shared" si="539"/>
        <v>24750</v>
      </c>
      <c r="IQ103" s="141">
        <f>IF(ISBLANK($A103),,IF($AN103="Não",0,(SUM($AO103:AO103)*$AH103)-SUM($HM103:HM103)-SUM($CW103:CW103)))</f>
        <v>305250</v>
      </c>
      <c r="IR103" s="141">
        <f>IF(ISBLANK($A103),,IF($AN103="Não",0,(SUM($AO103:AP103)*$AH103)-SUM($HM103:HN103)-SUM($CW103:CX103)))</f>
        <v>280500</v>
      </c>
      <c r="IS103" s="141">
        <f>IF(ISBLANK($A103),,IF($AN103="Não",0,(SUM($AO103:AQ103)*$AH103)-SUM($HM103:HO103)-SUM($CW103:CY103)))</f>
        <v>255750</v>
      </c>
      <c r="IT103" s="141">
        <f>IF(ISBLANK($A103),,IF($AN103="Não",0,(SUM($AO103:AR103)*$AH103)-SUM($HM103:HP103)-SUM($CW103:CZ103)))</f>
        <v>231000</v>
      </c>
      <c r="IU103" s="141">
        <f>IF(ISBLANK($A103),,IF($AN103="Não",0,(SUM($AO103:AS103)*$AH103)-SUM($HM103:HQ103)-SUM($CW103:DA103)))</f>
        <v>206250</v>
      </c>
      <c r="IV103" s="141">
        <f>IF(ISBLANK($A103),,IF($AN103="Não",0,(SUM($AO103:AT103)*$AH103)-SUM($HM103:HR103)-SUM($CW103:DB103)))</f>
        <v>181500</v>
      </c>
      <c r="IW103" s="141">
        <f>IF(ISBLANK($A103),,IF($AN103="Não",0,(SUM($AO103:AU103)*$AH103)-SUM($HM103:HS103)-SUM($CW103:DC103)))</f>
        <v>156750</v>
      </c>
      <c r="IX103" s="141">
        <f>IF(ISBLANK($A103),,IF($AN103="Não",0,(SUM($AO103:AV103)*$AH103)-SUM($HM103:HT103)-SUM($CW103:DD103)))</f>
        <v>132000</v>
      </c>
      <c r="IY103" s="141">
        <f>IF(ISBLANK($A103),,IF($AN103="Não",0,(SUM($AO103:AW103)*$AH103)-SUM($HM103:HU103)-SUM($CW103:DE103)))</f>
        <v>107250</v>
      </c>
      <c r="IZ103" s="141">
        <f>IF(ISBLANK($A103),,IF($AN103="Não",0,(SUM($AO103:AX103)*$AH103)-SUM($HM103:HV103)-SUM($CW103:DF103)))</f>
        <v>82500</v>
      </c>
      <c r="JA103" s="141">
        <f>IF(ISBLANK($A103),,IF($AN103="Não",0,(SUM($AO103:AY103)*$AH103)-SUM($HM103:HW103)-SUM($CW103:DG103)))</f>
        <v>305250</v>
      </c>
      <c r="JB103" s="141">
        <f>IF(ISBLANK($A103),,IF($AN103="Não",0,(SUM($AO103:AZ103)*$AH103)-SUM($HM103:HX103)-SUM($CW103:DH103)))</f>
        <v>280500</v>
      </c>
      <c r="JC103" s="141">
        <f>IF(ISBLANK($A103),,IF($AN103="Não",0,(SUM($AO103:BA103)*$AH103)-SUM($HM103:HY103)-SUM($CW103:DI103)))</f>
        <v>255750</v>
      </c>
      <c r="JD103" s="141">
        <f>IF(ISBLANK($A103),,IF($AN103="Não",0,(SUM($AO103:BB103)*$AH103)-SUM($HM103:HZ103)-SUM($CW103:DJ103)))</f>
        <v>231000</v>
      </c>
      <c r="JE103" s="141">
        <f>IF(ISBLANK($A103),,IF($AN103="Não",0,(SUM($AO103:BC103)*$AH103)-SUM($HM103:IA103)-SUM($CW103:DK103)))</f>
        <v>206250</v>
      </c>
      <c r="JF103" s="141">
        <f>IF(ISBLANK($A103),,IF($AN103="Não",0,(SUM($AO103:BD103)*$AH103)-SUM($HM103:IB103)-SUM($CW103:DL103)))</f>
        <v>181500</v>
      </c>
      <c r="JG103" s="141">
        <f>IF(ISBLANK($A103),,IF($AN103="Não",0,(SUM($AO103:BE103)*$AH103)-SUM($HM103:IC103)-SUM($CW103:DM103)))</f>
        <v>156750</v>
      </c>
      <c r="JH103" s="141">
        <f>IF(ISBLANK($A103),,IF($AN103="Não",0,(SUM($AO103:BF103)*$AH103)-SUM($HM103:ID103)-SUM($CW103:DN103)))</f>
        <v>132000</v>
      </c>
      <c r="JI103" s="141">
        <f>IF(ISBLANK($A103),,IF($AN103="Não",0,(SUM($AO103:BG103)*$AH103)-SUM($HM103:IE103)-SUM($CW103:DO103)))</f>
        <v>107250</v>
      </c>
      <c r="JJ103" s="141">
        <f>IF(ISBLANK($A103),,IF($AN103="Não",0,(SUM($AO103:BH103)*$AH103)-SUM($HM103:IF103)-SUM($CW103:DP103)))</f>
        <v>82500</v>
      </c>
      <c r="JK103" s="141">
        <f>IF(ISBLANK($A103),,IF($AN103="Não",0,(SUM($AO103:BI103)*$AH103)-SUM($HM103:IG103)-SUM($CW103:DQ103)))</f>
        <v>305250</v>
      </c>
      <c r="JL103" s="141">
        <f>IF(ISBLANK($A103),,IF($AN103="Não",0,(SUM($AO103:BJ103)*$AH103)-SUM($HM103:IH103)-SUM($CW103:DR103)))</f>
        <v>280500</v>
      </c>
      <c r="JM103" s="141">
        <f>IF(ISBLANK($A103),,IF($AN103="Não",0,(SUM($AO103:BK103)*$AH103)-SUM($HM103:II103)-SUM($CW103:DS103)))</f>
        <v>255750</v>
      </c>
      <c r="JN103" s="141">
        <f>IF(ISBLANK($A103),,IF($AN103="Não",0,(SUM($AO103:BL103)*$AH103)-SUM($HM103:IJ103)-SUM($CW103:DT103)))</f>
        <v>231000</v>
      </c>
      <c r="JO103" s="141">
        <f>IF(ISBLANK($A103),,IF($AN103="Não",0,(SUM($AO103:BM103)*$AH103)-SUM($HM103:IK103)-SUM($CW103:DU103)))</f>
        <v>206250</v>
      </c>
      <c r="JP103" s="141">
        <f>IF(ISBLANK($A103),,IF($AN103="Não",0,(SUM($AO103:BN103)*$AH103)-SUM($HM103:IL103)-SUM($CW103:DV103)))</f>
        <v>181500</v>
      </c>
      <c r="JQ103" s="141">
        <f>IF(ISBLANK($A103),,IF($AN103="Não",0,(SUM($AO103:BO103)*$AH103)-SUM($HM103:IM103)-SUM($CW103:DW103)))</f>
        <v>156750</v>
      </c>
      <c r="JR103" s="141">
        <f>IF(ISBLANK($A103),,IF($AN103="Não",0,(SUM($AO103:BP103)*$AH103)-SUM($HM103:IN103)-SUM($CW103:DX103)))</f>
        <v>132000</v>
      </c>
      <c r="JS103" s="141">
        <f>IF(ISBLANK($A103),,IF($AN103="Não",0,(SUM($AO103:BQ103)*$AH103)-SUM($HM103:IO103)-SUM($CW103:DY103)))</f>
        <v>107250</v>
      </c>
      <c r="JT103" s="141">
        <f>IF(ISBLANK($A103),,IF($AN103="Não",0,(SUM($AO103:BR103)*$AH103)-SUM($HM103:IP103)-SUM($CW103:DZ103)))</f>
        <v>82500</v>
      </c>
    </row>
    <row r="104" spans="1:280" ht="15.75" customHeight="1">
      <c r="A104" s="129" t="s">
        <v>419</v>
      </c>
      <c r="B104" s="129" t="s">
        <v>191</v>
      </c>
      <c r="C104" s="138" t="s">
        <v>200</v>
      </c>
      <c r="D104" s="139">
        <v>31</v>
      </c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607">
        <f t="shared" si="399"/>
        <v>8030.0000000000009</v>
      </c>
      <c r="AI104" s="608">
        <f t="shared" si="400"/>
        <v>30</v>
      </c>
      <c r="AJ104" s="609">
        <f t="shared" si="401"/>
        <v>0</v>
      </c>
      <c r="AK104" s="610" t="str">
        <f t="shared" si="402"/>
        <v>Edificações</v>
      </c>
      <c r="AL104" s="609">
        <f t="shared" si="403"/>
        <v>0.05</v>
      </c>
      <c r="AM104" s="611" t="str">
        <f t="shared" si="404"/>
        <v>Sim</v>
      </c>
      <c r="AN104" s="611" t="str">
        <f t="shared" si="405"/>
        <v>Não</v>
      </c>
      <c r="AO104" s="140">
        <f t="array" ref="AO104">IF(ISBLANK($A104),0,IF(OR(AO$5-$AI104&lt;=0,$AM104="Não"),D104,D104+INDEX($AO$6:$BR$176,ROW()-5,COLUMN()-40-$AI104)))*IF($B104="Operacional",IFERROR(VLOOKUP($C104,SN_UGC,28,0),0),1)</f>
        <v>31</v>
      </c>
      <c r="AP104" s="140">
        <f t="array" ref="AP104">IF(ISBLANK($A104),0,IF(OR(AP$5-$AI104&lt;=0,$AM104="Não"),E104,E104+INDEX($AO$6:$BR$176,ROW()-5,COLUMN()-40-$AI104)))*IF($B104="Operacional",IFERROR(VLOOKUP($C104,SN_UGC,28,0),0),1)</f>
        <v>0</v>
      </c>
      <c r="AQ104" s="140">
        <f t="array" ref="AQ104">IF(ISBLANK($A104),0,IF(OR(AQ$5-$AI104&lt;=0,$AM104="Não"),F104,F104+INDEX($AO$6:$BR$176,ROW()-5,COLUMN()-40-$AI104)))*IF($B104="Operacional",IFERROR(VLOOKUP($C104,SN_UGC,28,0),0),1)</f>
        <v>0</v>
      </c>
      <c r="AR104" s="140">
        <f t="array" ref="AR104">IF(ISBLANK($A104),0,IF(OR(AR$5-$AI104&lt;=0,$AM104="Não"),G104,G104+INDEX($AO$6:$BR$176,ROW()-5,COLUMN()-40-$AI104)))*IF($B104="Operacional",IFERROR(VLOOKUP($C104,SN_UGC,28,0),0),1)</f>
        <v>0</v>
      </c>
      <c r="AS104" s="140">
        <f t="array" ref="AS104">IF(ISBLANK($A104),0,IF(OR(AS$5-$AI104&lt;=0,$AM104="Não"),H104,H104+INDEX($AO$6:$BR$176,ROW()-5,COLUMN()-40-$AI104)))*IF($B104="Operacional",IFERROR(VLOOKUP($C104,SN_UGC,28,0),0),1)</f>
        <v>0</v>
      </c>
      <c r="AT104" s="140">
        <f t="array" ref="AT104">IF(ISBLANK($A104),0,IF(OR(AT$5-$AI104&lt;=0,$AM104="Não"),I104,I104+INDEX($AO$6:$BR$176,ROW()-5,COLUMN()-40-$AI104)))*IF($B104="Operacional",IFERROR(VLOOKUP($C104,SN_UGC,28,0),0),1)</f>
        <v>0</v>
      </c>
      <c r="AU104" s="140">
        <f t="array" ref="AU104">IF(ISBLANK($A104),0,IF(OR(AU$5-$AI104&lt;=0,$AM104="Não"),J104,J104+INDEX($AO$6:$BR$176,ROW()-5,COLUMN()-40-$AI104)))*IF($B104="Operacional",IFERROR(VLOOKUP($C104,SN_UGC,28,0),0),1)</f>
        <v>0</v>
      </c>
      <c r="AV104" s="140">
        <f t="array" ref="AV104">IF(ISBLANK($A104),0,IF(OR(AV$5-$AI104&lt;=0,$AM104="Não"),K104,K104+INDEX($AO$6:$BR$176,ROW()-5,COLUMN()-40-$AI104)))*IF($B104="Operacional",IFERROR(VLOOKUP($C104,SN_UGC,28,0),0),1)</f>
        <v>0</v>
      </c>
      <c r="AW104" s="140">
        <f t="array" ref="AW104">IF(ISBLANK($A104),0,IF(OR(AW$5-$AI104&lt;=0,$AM104="Não"),L104,L104+INDEX($AO$6:$BR$176,ROW()-5,COLUMN()-40-$AI104)))*IF($B104="Operacional",IFERROR(VLOOKUP($C104,SN_UGC,28,0),0),1)</f>
        <v>0</v>
      </c>
      <c r="AX104" s="140">
        <f t="array" ref="AX104">IF(ISBLANK($A104),0,IF(OR(AX$5-$AI104&lt;=0,$AM104="Não"),M104,M104+INDEX($AO$6:$BR$176,ROW()-5,COLUMN()-40-$AI104)))*IF($B104="Operacional",IFERROR(VLOOKUP($C104,SN_UGC,28,0),0),1)</f>
        <v>0</v>
      </c>
      <c r="AY104" s="140">
        <f t="array" ref="AY104">IF(ISBLANK($A104),0,IF(OR(AY$5-$AI104&lt;=0,$AM104="Não"),N104,N104+INDEX($AO$6:$BR$176,ROW()-5,COLUMN()-40-$AI104)))*IF($B104="Operacional",IFERROR(VLOOKUP($C104,SN_UGC,28,0),0),1)</f>
        <v>0</v>
      </c>
      <c r="AZ104" s="140">
        <f t="array" ref="AZ104">IF(ISBLANK($A104),0,IF(OR(AZ$5-$AI104&lt;=0,$AM104="Não"),O104,O104+INDEX($AO$6:$BR$176,ROW()-5,COLUMN()-40-$AI104)))*IF($B104="Operacional",IFERROR(VLOOKUP($C104,SN_UGC,28,0),0),1)</f>
        <v>0</v>
      </c>
      <c r="BA104" s="140">
        <f t="array" ref="BA104">IF(ISBLANK($A104),0,IF(OR(BA$5-$AI104&lt;=0,$AM104="Não"),P104,P104+INDEX($AO$6:$BR$176,ROW()-5,COLUMN()-40-$AI104)))*IF($B104="Operacional",IFERROR(VLOOKUP($C104,SN_UGC,28,0),0),1)</f>
        <v>0</v>
      </c>
      <c r="BB104" s="140">
        <f t="array" ref="BB104">IF(ISBLANK($A104),0,IF(OR(BB$5-$AI104&lt;=0,$AM104="Não"),Q104,Q104+INDEX($AO$6:$BR$176,ROW()-5,COLUMN()-40-$AI104)))*IF($B104="Operacional",IFERROR(VLOOKUP($C104,SN_UGC,28,0),0),1)</f>
        <v>0</v>
      </c>
      <c r="BC104" s="140">
        <f t="array" ref="BC104">IF(ISBLANK($A104),0,IF(OR(BC$5-$AI104&lt;=0,$AM104="Não"),R104,R104+INDEX($AO$6:$BR$176,ROW()-5,COLUMN()-40-$AI104)))*IF($B104="Operacional",IFERROR(VLOOKUP($C104,SN_UGC,28,0),0),1)</f>
        <v>0</v>
      </c>
      <c r="BD104" s="140">
        <f t="array" ref="BD104">IF(ISBLANK($A104),0,IF(OR(BD$5-$AI104&lt;=0,$AM104="Não"),S104,S104+INDEX($AO$6:$BR$176,ROW()-5,COLUMN()-40-$AI104)))*IF($B104="Operacional",IFERROR(VLOOKUP($C104,SN_UGC,28,0),0),1)</f>
        <v>0</v>
      </c>
      <c r="BE104" s="140">
        <f t="array" ref="BE104">IF(ISBLANK($A104),0,IF(OR(BE$5-$AI104&lt;=0,$AM104="Não"),T104,T104+INDEX($AO$6:$BR$176,ROW()-5,COLUMN()-40-$AI104)))*IF($B104="Operacional",IFERROR(VLOOKUP($C104,SN_UGC,28,0),0),1)</f>
        <v>0</v>
      </c>
      <c r="BF104" s="140">
        <f t="array" ref="BF104">IF(ISBLANK($A104),0,IF(OR(BF$5-$AI104&lt;=0,$AM104="Não"),U104,U104+INDEX($AO$6:$BR$176,ROW()-5,COLUMN()-40-$AI104)))*IF($B104="Operacional",IFERROR(VLOOKUP($C104,SN_UGC,28,0),0),1)</f>
        <v>0</v>
      </c>
      <c r="BG104" s="140">
        <f t="array" ref="BG104">IF(ISBLANK($A104),0,IF(OR(BG$5-$AI104&lt;=0,$AM104="Não"),V104,V104+INDEX($AO$6:$BR$176,ROW()-5,COLUMN()-40-$AI104)))*IF($B104="Operacional",IFERROR(VLOOKUP($C104,SN_UGC,28,0),0),1)</f>
        <v>0</v>
      </c>
      <c r="BH104" s="140">
        <f t="array" ref="BH104">IF(ISBLANK($A104),0,IF(OR(BH$5-$AI104&lt;=0,$AM104="Não"),W104,W104+INDEX($AO$6:$BR$176,ROW()-5,COLUMN()-40-$AI104)))*IF($B104="Operacional",IFERROR(VLOOKUP($C104,SN_UGC,28,0),0),1)</f>
        <v>0</v>
      </c>
      <c r="BI104" s="140">
        <f t="array" ref="BI104">IF(ISBLANK($A104),0,IF(OR(BI$5-$AI104&lt;=0,$AM104="Não"),X104,X104+INDEX($AO$6:$BR$176,ROW()-5,COLUMN()-40-$AI104)))*IF($B104="Operacional",IFERROR(VLOOKUP($C104,SN_UGC,28,0),0),1)</f>
        <v>0</v>
      </c>
      <c r="BJ104" s="140">
        <f t="array" ref="BJ104">IF(ISBLANK($A104),0,IF(OR(BJ$5-$AI104&lt;=0,$AM104="Não"),Y104,Y104+INDEX($AO$6:$BR$176,ROW()-5,COLUMN()-40-$AI104)))*IF($B104="Operacional",IFERROR(VLOOKUP($C104,SN_UGC,28,0),0),1)</f>
        <v>0</v>
      </c>
      <c r="BK104" s="140">
        <f t="array" ref="BK104">IF(ISBLANK($A104),0,IF(OR(BK$5-$AI104&lt;=0,$AM104="Não"),Z104,Z104+INDEX($AO$6:$BR$176,ROW()-5,COLUMN()-40-$AI104)))*IF($B104="Operacional",IFERROR(VLOOKUP($C104,SN_UGC,28,0),0),1)</f>
        <v>0</v>
      </c>
      <c r="BL104" s="140">
        <f t="array" ref="BL104">IF(ISBLANK($A104),0,IF(OR(BL$5-$AI104&lt;=0,$AM104="Não"),AA104,AA104+INDEX($AO$6:$BR$176,ROW()-5,COLUMN()-40-$AI104)))*IF($B104="Operacional",IFERROR(VLOOKUP($C104,SN_UGC,28,0),0),1)</f>
        <v>0</v>
      </c>
      <c r="BM104" s="140">
        <f t="array" ref="BM104">IF(ISBLANK($A104),0,IF(OR(BM$5-$AI104&lt;=0,$AM104="Não"),AB104,AB104+INDEX($AO$6:$BR$176,ROW()-5,COLUMN()-40-$AI104)))*IF($B104="Operacional",IFERROR(VLOOKUP($C104,SN_UGC,28,0),0),1)</f>
        <v>0</v>
      </c>
      <c r="BN104" s="140">
        <f t="array" ref="BN104">IF(ISBLANK($A104),0,IF(OR(BN$5-$AI104&lt;=0,$AM104="Não"),AC104,AC104+INDEX($AO$6:$BR$176,ROW()-5,COLUMN()-40-$AI104)))*IF($B104="Operacional",IFERROR(VLOOKUP($C104,SN_UGC,28,0),0),1)</f>
        <v>0</v>
      </c>
      <c r="BO104" s="140">
        <f t="array" ref="BO104">IF(ISBLANK($A104),0,IF(OR(BO$5-$AI104&lt;=0,$AM104="Não"),AD104,AD104+INDEX($AO$6:$BR$176,ROW()-5,COLUMN()-40-$AI104)))*IF($B104="Operacional",IFERROR(VLOOKUP($C104,SN_UGC,28,0),0),1)</f>
        <v>0</v>
      </c>
      <c r="BP104" s="140">
        <f t="array" ref="BP104">IF(ISBLANK($A104),0,IF(OR(BP$5-$AI104&lt;=0,$AM104="Não"),AE104,AE104+INDEX($AO$6:$BR$176,ROW()-5,COLUMN()-40-$AI104)))*IF($B104="Operacional",IFERROR(VLOOKUP($C104,SN_UGC,28,0),0),1)</f>
        <v>0</v>
      </c>
      <c r="BQ104" s="140">
        <f t="array" ref="BQ104">IF(ISBLANK($A104),0,IF(OR(BQ$5-$AI104&lt;=0,$AM104="Não"),AF104,AF104+INDEX($AO$6:$BR$176,ROW()-5,COLUMN()-40-$AI104)))*IF($B104="Operacional",IFERROR(VLOOKUP($C104,SN_UGC,28,0),0),1)</f>
        <v>0</v>
      </c>
      <c r="BR104" s="140">
        <f t="array" ref="BR104">IF(ISBLANK($A104),0,IF(OR(BR$5-$AI104&lt;=0,$AM104="Não"),AG104,AG104+INDEX($AO$6:$BR$176,ROW()-5,COLUMN()-40-$AI104)))*IF($B104="Operacional",IFERROR(VLOOKUP($C104,SN_UGC,28,0),0),1)</f>
        <v>0</v>
      </c>
      <c r="BS104" s="141">
        <f t="shared" ref="BS104:CV104" si="540">IF(ISBLANK($A104),0,$AH104*AO104)</f>
        <v>248930.00000000003</v>
      </c>
      <c r="BT104" s="141">
        <f t="shared" si="540"/>
        <v>0</v>
      </c>
      <c r="BU104" s="141">
        <f t="shared" si="540"/>
        <v>0</v>
      </c>
      <c r="BV104" s="141">
        <f t="shared" si="540"/>
        <v>0</v>
      </c>
      <c r="BW104" s="141">
        <f t="shared" si="540"/>
        <v>0</v>
      </c>
      <c r="BX104" s="141">
        <f t="shared" si="540"/>
        <v>0</v>
      </c>
      <c r="BY104" s="141">
        <f t="shared" si="540"/>
        <v>0</v>
      </c>
      <c r="BZ104" s="141">
        <f t="shared" si="540"/>
        <v>0</v>
      </c>
      <c r="CA104" s="141">
        <f t="shared" si="540"/>
        <v>0</v>
      </c>
      <c r="CB104" s="141">
        <f t="shared" si="540"/>
        <v>0</v>
      </c>
      <c r="CC104" s="141">
        <f t="shared" si="540"/>
        <v>0</v>
      </c>
      <c r="CD104" s="141">
        <f t="shared" si="540"/>
        <v>0</v>
      </c>
      <c r="CE104" s="141">
        <f t="shared" si="540"/>
        <v>0</v>
      </c>
      <c r="CF104" s="141">
        <f t="shared" si="540"/>
        <v>0</v>
      </c>
      <c r="CG104" s="141">
        <f t="shared" si="540"/>
        <v>0</v>
      </c>
      <c r="CH104" s="141">
        <f t="shared" si="540"/>
        <v>0</v>
      </c>
      <c r="CI104" s="141">
        <f t="shared" si="540"/>
        <v>0</v>
      </c>
      <c r="CJ104" s="141">
        <f t="shared" si="540"/>
        <v>0</v>
      </c>
      <c r="CK104" s="141">
        <f t="shared" si="540"/>
        <v>0</v>
      </c>
      <c r="CL104" s="141">
        <f t="shared" si="540"/>
        <v>0</v>
      </c>
      <c r="CM104" s="141">
        <f t="shared" si="540"/>
        <v>0</v>
      </c>
      <c r="CN104" s="141">
        <f t="shared" si="540"/>
        <v>0</v>
      </c>
      <c r="CO104" s="141">
        <f t="shared" si="540"/>
        <v>0</v>
      </c>
      <c r="CP104" s="141">
        <f t="shared" si="540"/>
        <v>0</v>
      </c>
      <c r="CQ104" s="141">
        <f t="shared" si="540"/>
        <v>0</v>
      </c>
      <c r="CR104" s="141">
        <f t="shared" si="540"/>
        <v>0</v>
      </c>
      <c r="CS104" s="141">
        <f t="shared" si="540"/>
        <v>0</v>
      </c>
      <c r="CT104" s="141">
        <f t="shared" si="540"/>
        <v>0</v>
      </c>
      <c r="CU104" s="141">
        <f t="shared" si="540"/>
        <v>0</v>
      </c>
      <c r="CV104" s="141">
        <f t="shared" si="540"/>
        <v>0</v>
      </c>
      <c r="CW104" s="142">
        <f t="shared" ref="CW104:DZ104" si="541">EA104*$AH104*$AJ104</f>
        <v>0</v>
      </c>
      <c r="CX104" s="142">
        <f t="shared" si="541"/>
        <v>0</v>
      </c>
      <c r="CY104" s="142">
        <f t="shared" si="541"/>
        <v>0</v>
      </c>
      <c r="CZ104" s="142">
        <f t="shared" si="541"/>
        <v>0</v>
      </c>
      <c r="DA104" s="142">
        <f t="shared" si="541"/>
        <v>0</v>
      </c>
      <c r="DB104" s="142">
        <f t="shared" si="541"/>
        <v>0</v>
      </c>
      <c r="DC104" s="142">
        <f t="shared" si="541"/>
        <v>0</v>
      </c>
      <c r="DD104" s="142">
        <f t="shared" si="541"/>
        <v>0</v>
      </c>
      <c r="DE104" s="142">
        <f t="shared" si="541"/>
        <v>0</v>
      </c>
      <c r="DF104" s="142">
        <f t="shared" si="541"/>
        <v>0</v>
      </c>
      <c r="DG104" s="142">
        <f t="shared" si="541"/>
        <v>0</v>
      </c>
      <c r="DH104" s="142">
        <f t="shared" si="541"/>
        <v>0</v>
      </c>
      <c r="DI104" s="142">
        <f t="shared" si="541"/>
        <v>0</v>
      </c>
      <c r="DJ104" s="142">
        <f t="shared" si="541"/>
        <v>0</v>
      </c>
      <c r="DK104" s="142">
        <f t="shared" si="541"/>
        <v>0</v>
      </c>
      <c r="DL104" s="142">
        <f t="shared" si="541"/>
        <v>0</v>
      </c>
      <c r="DM104" s="142">
        <f t="shared" si="541"/>
        <v>0</v>
      </c>
      <c r="DN104" s="142">
        <f t="shared" si="541"/>
        <v>0</v>
      </c>
      <c r="DO104" s="142">
        <f t="shared" si="541"/>
        <v>0</v>
      </c>
      <c r="DP104" s="142">
        <f t="shared" si="541"/>
        <v>0</v>
      </c>
      <c r="DQ104" s="142">
        <f t="shared" si="541"/>
        <v>0</v>
      </c>
      <c r="DR104" s="142">
        <f t="shared" si="541"/>
        <v>0</v>
      </c>
      <c r="DS104" s="142">
        <f t="shared" si="541"/>
        <v>0</v>
      </c>
      <c r="DT104" s="142">
        <f t="shared" si="541"/>
        <v>0</v>
      </c>
      <c r="DU104" s="142">
        <f t="shared" si="541"/>
        <v>0</v>
      </c>
      <c r="DV104" s="142">
        <f t="shared" si="541"/>
        <v>0</v>
      </c>
      <c r="DW104" s="142">
        <f t="shared" si="541"/>
        <v>0</v>
      </c>
      <c r="DX104" s="142">
        <f t="shared" si="541"/>
        <v>0</v>
      </c>
      <c r="DY104" s="142">
        <f t="shared" si="541"/>
        <v>0</v>
      </c>
      <c r="DZ104" s="142">
        <f t="shared" si="541"/>
        <v>0</v>
      </c>
      <c r="EA104" s="143">
        <f t="shared" si="504"/>
        <v>0</v>
      </c>
      <c r="EB104" s="143">
        <f t="shared" si="505"/>
        <v>0</v>
      </c>
      <c r="EC104" s="143">
        <f t="shared" si="506"/>
        <v>0</v>
      </c>
      <c r="ED104" s="143">
        <f t="shared" si="507"/>
        <v>0</v>
      </c>
      <c r="EE104" s="143">
        <f t="shared" si="508"/>
        <v>0</v>
      </c>
      <c r="EF104" s="143">
        <f t="shared" si="509"/>
        <v>0</v>
      </c>
      <c r="EG104" s="143">
        <f t="shared" si="510"/>
        <v>0</v>
      </c>
      <c r="EH104" s="143">
        <f t="shared" si="511"/>
        <v>0</v>
      </c>
      <c r="EI104" s="143">
        <f t="shared" si="512"/>
        <v>0</v>
      </c>
      <c r="EJ104" s="143">
        <f t="shared" si="513"/>
        <v>0</v>
      </c>
      <c r="EK104" s="143">
        <f t="shared" si="514"/>
        <v>0</v>
      </c>
      <c r="EL104" s="143">
        <f t="shared" si="515"/>
        <v>0</v>
      </c>
      <c r="EM104" s="143">
        <f t="shared" si="516"/>
        <v>0</v>
      </c>
      <c r="EN104" s="143">
        <f t="shared" si="517"/>
        <v>0</v>
      </c>
      <c r="EO104" s="143">
        <f t="shared" si="518"/>
        <v>0</v>
      </c>
      <c r="EP104" s="143">
        <f t="shared" si="519"/>
        <v>0</v>
      </c>
      <c r="EQ104" s="143">
        <f t="shared" si="520"/>
        <v>0</v>
      </c>
      <c r="ER104" s="143">
        <f t="shared" si="521"/>
        <v>0</v>
      </c>
      <c r="ES104" s="143">
        <f t="shared" si="522"/>
        <v>0</v>
      </c>
      <c r="ET104" s="143">
        <f t="shared" si="523"/>
        <v>0</v>
      </c>
      <c r="EU104" s="143">
        <f t="shared" si="524"/>
        <v>0</v>
      </c>
      <c r="EV104" s="143">
        <f t="shared" si="525"/>
        <v>0</v>
      </c>
      <c r="EW104" s="143">
        <f t="shared" si="526"/>
        <v>0</v>
      </c>
      <c r="EX104" s="143">
        <f t="shared" si="527"/>
        <v>0</v>
      </c>
      <c r="EY104" s="143">
        <f t="shared" si="528"/>
        <v>0</v>
      </c>
      <c r="EZ104" s="143">
        <f t="shared" si="529"/>
        <v>0</v>
      </c>
      <c r="FA104" s="143">
        <f t="shared" si="530"/>
        <v>0</v>
      </c>
      <c r="FB104" s="143">
        <f t="shared" si="531"/>
        <v>0</v>
      </c>
      <c r="FC104" s="143">
        <f t="shared" si="532"/>
        <v>0</v>
      </c>
      <c r="FD104" s="143">
        <f t="shared" si="533"/>
        <v>0</v>
      </c>
      <c r="FE104" s="140">
        <f>SUM($D104:D104)*IF($B104="Operacional",IFERROR(VLOOKUP($C104,SN_UGC,28,0),0),1)</f>
        <v>31</v>
      </c>
      <c r="FF104" s="140">
        <f>SUM($D104:E104)*IF($B104="Operacional",IFERROR(VLOOKUP($C104,SN_UGC,28,0),0),1)</f>
        <v>31</v>
      </c>
      <c r="FG104" s="140">
        <f>SUM($D104:F104)*IF($B104="Operacional",IFERROR(VLOOKUP($C104,SN_UGC,28,0),0),1)</f>
        <v>31</v>
      </c>
      <c r="FH104" s="140">
        <f>SUM($D104:G104)*IF($B104="Operacional",IFERROR(VLOOKUP($C104,SN_UGC,28,0),0),1)</f>
        <v>31</v>
      </c>
      <c r="FI104" s="140">
        <f>SUM($D104:H104)*IF($B104="Operacional",IFERROR(VLOOKUP($C104,SN_UGC,28,0),0),1)</f>
        <v>31</v>
      </c>
      <c r="FJ104" s="140">
        <f>SUM($D104:I104)*IF($B104="Operacional",IFERROR(VLOOKUP($C104,SN_UGC,28,0),0),1)</f>
        <v>31</v>
      </c>
      <c r="FK104" s="140">
        <f>SUM($D104:J104)*IF($B104="Operacional",IFERROR(VLOOKUP($C104,SN_UGC,28,0),0),1)</f>
        <v>31</v>
      </c>
      <c r="FL104" s="140">
        <f>SUM($D104:K104)*IF($B104="Operacional",IFERROR(VLOOKUP($C104,SN_UGC,28,0),0),1)</f>
        <v>31</v>
      </c>
      <c r="FM104" s="140">
        <f>SUM($D104:L104)*IF($B104="Operacional",IFERROR(VLOOKUP($C104,SN_UGC,28,0),0),1)</f>
        <v>31</v>
      </c>
      <c r="FN104" s="140">
        <f>SUM($D104:M104)*IF($B104="Operacional",IFERROR(VLOOKUP($C104,SN_UGC,28,0),0),1)</f>
        <v>31</v>
      </c>
      <c r="FO104" s="140">
        <f>SUM($D104:N104)*IF($B104="Operacional",IFERROR(VLOOKUP($C104,SN_UGC,28,0),0),1)</f>
        <v>31</v>
      </c>
      <c r="FP104" s="140">
        <f>SUM($D104:O104)*IF($B104="Operacional",IFERROR(VLOOKUP($C104,SN_UGC,28,0),0),1)</f>
        <v>31</v>
      </c>
      <c r="FQ104" s="140">
        <f>SUM($D104:P104)*IF($B104="Operacional",IFERROR(VLOOKUP($C104,SN_UGC,28,0),0),1)</f>
        <v>31</v>
      </c>
      <c r="FR104" s="140">
        <f>SUM($D104:Q104)*IF($B104="Operacional",IFERROR(VLOOKUP($C104,SN_UGC,28,0),0),1)</f>
        <v>31</v>
      </c>
      <c r="FS104" s="140">
        <f>SUM($D104:R104)*IF($B104="Operacional",IFERROR(VLOOKUP($C104,SN_UGC,28,0),0),1)</f>
        <v>31</v>
      </c>
      <c r="FT104" s="140">
        <f>SUM($D104:S104)*IF($B104="Operacional",IFERROR(VLOOKUP($C104,SN_UGC,28,0),0),1)</f>
        <v>31</v>
      </c>
      <c r="FU104" s="140">
        <f>SUM($D104:T104)*IF($B104="Operacional",IFERROR(VLOOKUP($C104,SN_UGC,28,0),0),1)</f>
        <v>31</v>
      </c>
      <c r="FV104" s="140">
        <f>SUM($D104:U104)*IF($B104="Operacional",IFERROR(VLOOKUP($C104,SN_UGC,28,0),0),1)</f>
        <v>31</v>
      </c>
      <c r="FW104" s="140">
        <f>SUM($D104:V104)*IF($B104="Operacional",IFERROR(VLOOKUP($C104,SN_UGC,28,0),0),1)</f>
        <v>31</v>
      </c>
      <c r="FX104" s="140">
        <f>SUM($D104:W104)*IF($B104="Operacional",IFERROR(VLOOKUP($C104,SN_UGC,28,0),0),1)</f>
        <v>31</v>
      </c>
      <c r="FY104" s="140">
        <f>SUM($D104:X104)*IF($B104="Operacional",IFERROR(VLOOKUP($C104,SN_UGC,28,0),0),1)</f>
        <v>31</v>
      </c>
      <c r="FZ104" s="140">
        <f>SUM($D104:Y104)*IF($B104="Operacional",IFERROR(VLOOKUP($C104,SN_UGC,28,0),0),1)</f>
        <v>31</v>
      </c>
      <c r="GA104" s="140">
        <f>SUM($D104:Z104)*IF($B104="Operacional",IFERROR(VLOOKUP($C104,SN_UGC,28,0),0),1)</f>
        <v>31</v>
      </c>
      <c r="GB104" s="140">
        <f>SUM($D104:AA104)*IF($B104="Operacional",IFERROR(VLOOKUP($C104,SN_UGC,28,0),0),1)</f>
        <v>31</v>
      </c>
      <c r="GC104" s="140">
        <f>SUM($D104:AB104)*IF($B104="Operacional",IFERROR(VLOOKUP($C104,SN_UGC,28,0),0),1)</f>
        <v>31</v>
      </c>
      <c r="GD104" s="140">
        <f>SUM($D104:AC104)*IF($B104="Operacional",IFERROR(VLOOKUP($C104,SN_UGC,28,0),0),1)</f>
        <v>31</v>
      </c>
      <c r="GE104" s="140">
        <f>SUM($D104:AD104)*IF($B104="Operacional",IFERROR(VLOOKUP($C104,SN_UGC,28,0),0),1)</f>
        <v>31</v>
      </c>
      <c r="GF104" s="140">
        <f>SUM($D104:AE104)*IF($B104="Operacional",IFERROR(VLOOKUP($C104,SN_UGC,28,0),0),1)</f>
        <v>31</v>
      </c>
      <c r="GG104" s="140">
        <f>SUM($D104:AF104)*IF($B104="Operacional",IFERROR(VLOOKUP($C104,SN_UGC,28,0),0),1)</f>
        <v>31</v>
      </c>
      <c r="GH104" s="140">
        <f>SUM($D104:AG104)*IF($B104="Operacional",IFERROR(VLOOKUP($C104,SN_UGC,28,0),0),1)</f>
        <v>31</v>
      </c>
      <c r="GI104" s="141">
        <f t="shared" ref="GI104:HL104" si="542">FE104*$AH104*$AL104</f>
        <v>12446.500000000002</v>
      </c>
      <c r="GJ104" s="141">
        <f t="shared" si="542"/>
        <v>12446.500000000002</v>
      </c>
      <c r="GK104" s="141">
        <f t="shared" si="542"/>
        <v>12446.500000000002</v>
      </c>
      <c r="GL104" s="141">
        <f t="shared" si="542"/>
        <v>12446.500000000002</v>
      </c>
      <c r="GM104" s="141">
        <f t="shared" si="542"/>
        <v>12446.500000000002</v>
      </c>
      <c r="GN104" s="141">
        <f t="shared" si="542"/>
        <v>12446.500000000002</v>
      </c>
      <c r="GO104" s="141">
        <f t="shared" si="542"/>
        <v>12446.500000000002</v>
      </c>
      <c r="GP104" s="141">
        <f t="shared" si="542"/>
        <v>12446.500000000002</v>
      </c>
      <c r="GQ104" s="141">
        <f t="shared" si="542"/>
        <v>12446.500000000002</v>
      </c>
      <c r="GR104" s="141">
        <f t="shared" si="542"/>
        <v>12446.500000000002</v>
      </c>
      <c r="GS104" s="141">
        <f t="shared" si="542"/>
        <v>12446.500000000002</v>
      </c>
      <c r="GT104" s="141">
        <f t="shared" si="542"/>
        <v>12446.500000000002</v>
      </c>
      <c r="GU104" s="141">
        <f t="shared" si="542"/>
        <v>12446.500000000002</v>
      </c>
      <c r="GV104" s="141">
        <f t="shared" si="542"/>
        <v>12446.500000000002</v>
      </c>
      <c r="GW104" s="141">
        <f t="shared" si="542"/>
        <v>12446.500000000002</v>
      </c>
      <c r="GX104" s="141">
        <f t="shared" si="542"/>
        <v>12446.500000000002</v>
      </c>
      <c r="GY104" s="141">
        <f t="shared" si="542"/>
        <v>12446.500000000002</v>
      </c>
      <c r="GZ104" s="141">
        <f t="shared" si="542"/>
        <v>12446.500000000002</v>
      </c>
      <c r="HA104" s="141">
        <f t="shared" si="542"/>
        <v>12446.500000000002</v>
      </c>
      <c r="HB104" s="141">
        <f t="shared" si="542"/>
        <v>12446.500000000002</v>
      </c>
      <c r="HC104" s="141">
        <f t="shared" si="542"/>
        <v>12446.500000000002</v>
      </c>
      <c r="HD104" s="141">
        <f t="shared" si="542"/>
        <v>12446.500000000002</v>
      </c>
      <c r="HE104" s="141">
        <f t="shared" si="542"/>
        <v>12446.500000000002</v>
      </c>
      <c r="HF104" s="141">
        <f t="shared" si="542"/>
        <v>12446.500000000002</v>
      </c>
      <c r="HG104" s="141">
        <f t="shared" si="542"/>
        <v>12446.500000000002</v>
      </c>
      <c r="HH104" s="141">
        <f t="shared" si="542"/>
        <v>12446.500000000002</v>
      </c>
      <c r="HI104" s="141">
        <f t="shared" si="542"/>
        <v>12446.500000000002</v>
      </c>
      <c r="HJ104" s="141">
        <f t="shared" si="542"/>
        <v>12446.500000000002</v>
      </c>
      <c r="HK104" s="141">
        <f t="shared" si="542"/>
        <v>12446.500000000002</v>
      </c>
      <c r="HL104" s="141">
        <f t="shared" si="542"/>
        <v>12446.500000000002</v>
      </c>
      <c r="HM104" s="142">
        <f t="shared" ref="HM104:IP104" si="543">IF(ISBLANK($A104),,FE104*($AH104-($AH104*$AJ104))/$AI104)</f>
        <v>8297.6666666666679</v>
      </c>
      <c r="HN104" s="142">
        <f t="shared" si="543"/>
        <v>8297.6666666666679</v>
      </c>
      <c r="HO104" s="142">
        <f t="shared" si="543"/>
        <v>8297.6666666666679</v>
      </c>
      <c r="HP104" s="142">
        <f t="shared" si="543"/>
        <v>8297.6666666666679</v>
      </c>
      <c r="HQ104" s="142">
        <f t="shared" si="543"/>
        <v>8297.6666666666679</v>
      </c>
      <c r="HR104" s="142">
        <f t="shared" si="543"/>
        <v>8297.6666666666679</v>
      </c>
      <c r="HS104" s="142">
        <f t="shared" si="543"/>
        <v>8297.6666666666679</v>
      </c>
      <c r="HT104" s="142">
        <f t="shared" si="543"/>
        <v>8297.6666666666679</v>
      </c>
      <c r="HU104" s="142">
        <f t="shared" si="543"/>
        <v>8297.6666666666679</v>
      </c>
      <c r="HV104" s="142">
        <f t="shared" si="543"/>
        <v>8297.6666666666679</v>
      </c>
      <c r="HW104" s="142">
        <f t="shared" si="543"/>
        <v>8297.6666666666679</v>
      </c>
      <c r="HX104" s="142">
        <f t="shared" si="543"/>
        <v>8297.6666666666679</v>
      </c>
      <c r="HY104" s="142">
        <f t="shared" si="543"/>
        <v>8297.6666666666679</v>
      </c>
      <c r="HZ104" s="142">
        <f t="shared" si="543"/>
        <v>8297.6666666666679</v>
      </c>
      <c r="IA104" s="142">
        <f t="shared" si="543"/>
        <v>8297.6666666666679</v>
      </c>
      <c r="IB104" s="142">
        <f t="shared" si="543"/>
        <v>8297.6666666666679</v>
      </c>
      <c r="IC104" s="142">
        <f t="shared" si="543"/>
        <v>8297.6666666666679</v>
      </c>
      <c r="ID104" s="142">
        <f t="shared" si="543"/>
        <v>8297.6666666666679</v>
      </c>
      <c r="IE104" s="142">
        <f t="shared" si="543"/>
        <v>8297.6666666666679</v>
      </c>
      <c r="IF104" s="142">
        <f t="shared" si="543"/>
        <v>8297.6666666666679</v>
      </c>
      <c r="IG104" s="142">
        <f t="shared" si="543"/>
        <v>8297.6666666666679</v>
      </c>
      <c r="IH104" s="142">
        <f t="shared" si="543"/>
        <v>8297.6666666666679</v>
      </c>
      <c r="II104" s="142">
        <f t="shared" si="543"/>
        <v>8297.6666666666679</v>
      </c>
      <c r="IJ104" s="142">
        <f t="shared" si="543"/>
        <v>8297.6666666666679</v>
      </c>
      <c r="IK104" s="142">
        <f t="shared" si="543"/>
        <v>8297.6666666666679</v>
      </c>
      <c r="IL104" s="142">
        <f t="shared" si="543"/>
        <v>8297.6666666666679</v>
      </c>
      <c r="IM104" s="142">
        <f t="shared" si="543"/>
        <v>8297.6666666666679</v>
      </c>
      <c r="IN104" s="142">
        <f t="shared" si="543"/>
        <v>8297.6666666666679</v>
      </c>
      <c r="IO104" s="142">
        <f t="shared" si="543"/>
        <v>8297.6666666666679</v>
      </c>
      <c r="IP104" s="142">
        <f t="shared" si="543"/>
        <v>8297.6666666666679</v>
      </c>
      <c r="IQ104" s="141">
        <f>IF(ISBLANK($A104),,IF($AN104="Não",0,(SUM($AO104:AO104)*$AH104)-SUM($HM104:HM104)-SUM($CW104:CW104)))</f>
        <v>0</v>
      </c>
      <c r="IR104" s="141">
        <f>IF(ISBLANK($A104),,IF($AN104="Não",0,(SUM($AO104:AP104)*$AH104)-SUM($HM104:HN104)-SUM($CW104:CX104)))</f>
        <v>0</v>
      </c>
      <c r="IS104" s="141">
        <f>IF(ISBLANK($A104),,IF($AN104="Não",0,(SUM($AO104:AQ104)*$AH104)-SUM($HM104:HO104)-SUM($CW104:CY104)))</f>
        <v>0</v>
      </c>
      <c r="IT104" s="141">
        <f>IF(ISBLANK($A104),,IF($AN104="Não",0,(SUM($AO104:AR104)*$AH104)-SUM($HM104:HP104)-SUM($CW104:CZ104)))</f>
        <v>0</v>
      </c>
      <c r="IU104" s="141">
        <f>IF(ISBLANK($A104),,IF($AN104="Não",0,(SUM($AO104:AS104)*$AH104)-SUM($HM104:HQ104)-SUM($CW104:DA104)))</f>
        <v>0</v>
      </c>
      <c r="IV104" s="141">
        <f>IF(ISBLANK($A104),,IF($AN104="Não",0,(SUM($AO104:AT104)*$AH104)-SUM($HM104:HR104)-SUM($CW104:DB104)))</f>
        <v>0</v>
      </c>
      <c r="IW104" s="141">
        <f>IF(ISBLANK($A104),,IF($AN104="Não",0,(SUM($AO104:AU104)*$AH104)-SUM($HM104:HS104)-SUM($CW104:DC104)))</f>
        <v>0</v>
      </c>
      <c r="IX104" s="141">
        <f>IF(ISBLANK($A104),,IF($AN104="Não",0,(SUM($AO104:AV104)*$AH104)-SUM($HM104:HT104)-SUM($CW104:DD104)))</f>
        <v>0</v>
      </c>
      <c r="IY104" s="141">
        <f>IF(ISBLANK($A104),,IF($AN104="Não",0,(SUM($AO104:AW104)*$AH104)-SUM($HM104:HU104)-SUM($CW104:DE104)))</f>
        <v>0</v>
      </c>
      <c r="IZ104" s="141">
        <f>IF(ISBLANK($A104),,IF($AN104="Não",0,(SUM($AO104:AX104)*$AH104)-SUM($HM104:HV104)-SUM($CW104:DF104)))</f>
        <v>0</v>
      </c>
      <c r="JA104" s="141">
        <f>IF(ISBLANK($A104),,IF($AN104="Não",0,(SUM($AO104:AY104)*$AH104)-SUM($HM104:HW104)-SUM($CW104:DG104)))</f>
        <v>0</v>
      </c>
      <c r="JB104" s="141">
        <f>IF(ISBLANK($A104),,IF($AN104="Não",0,(SUM($AO104:AZ104)*$AH104)-SUM($HM104:HX104)-SUM($CW104:DH104)))</f>
        <v>0</v>
      </c>
      <c r="JC104" s="141">
        <f>IF(ISBLANK($A104),,IF($AN104="Não",0,(SUM($AO104:BA104)*$AH104)-SUM($HM104:HY104)-SUM($CW104:DI104)))</f>
        <v>0</v>
      </c>
      <c r="JD104" s="141">
        <f>IF(ISBLANK($A104),,IF($AN104="Não",0,(SUM($AO104:BB104)*$AH104)-SUM($HM104:HZ104)-SUM($CW104:DJ104)))</f>
        <v>0</v>
      </c>
      <c r="JE104" s="141">
        <f>IF(ISBLANK($A104),,IF($AN104="Não",0,(SUM($AO104:BC104)*$AH104)-SUM($HM104:IA104)-SUM($CW104:DK104)))</f>
        <v>0</v>
      </c>
      <c r="JF104" s="141">
        <f>IF(ISBLANK($A104),,IF($AN104="Não",0,(SUM($AO104:BD104)*$AH104)-SUM($HM104:IB104)-SUM($CW104:DL104)))</f>
        <v>0</v>
      </c>
      <c r="JG104" s="141">
        <f>IF(ISBLANK($A104),,IF($AN104="Não",0,(SUM($AO104:BE104)*$AH104)-SUM($HM104:IC104)-SUM($CW104:DM104)))</f>
        <v>0</v>
      </c>
      <c r="JH104" s="141">
        <f>IF(ISBLANK($A104),,IF($AN104="Não",0,(SUM($AO104:BF104)*$AH104)-SUM($HM104:ID104)-SUM($CW104:DN104)))</f>
        <v>0</v>
      </c>
      <c r="JI104" s="141">
        <f>IF(ISBLANK($A104),,IF($AN104="Não",0,(SUM($AO104:BG104)*$AH104)-SUM($HM104:IE104)-SUM($CW104:DO104)))</f>
        <v>0</v>
      </c>
      <c r="JJ104" s="141">
        <f>IF(ISBLANK($A104),,IF($AN104="Não",0,(SUM($AO104:BH104)*$AH104)-SUM($HM104:IF104)-SUM($CW104:DP104)))</f>
        <v>0</v>
      </c>
      <c r="JK104" s="141">
        <f>IF(ISBLANK($A104),,IF($AN104="Não",0,(SUM($AO104:BI104)*$AH104)-SUM($HM104:IG104)-SUM($CW104:DQ104)))</f>
        <v>0</v>
      </c>
      <c r="JL104" s="141">
        <f>IF(ISBLANK($A104),,IF($AN104="Não",0,(SUM($AO104:BJ104)*$AH104)-SUM($HM104:IH104)-SUM($CW104:DR104)))</f>
        <v>0</v>
      </c>
      <c r="JM104" s="141">
        <f>IF(ISBLANK($A104),,IF($AN104="Não",0,(SUM($AO104:BK104)*$AH104)-SUM($HM104:II104)-SUM($CW104:DS104)))</f>
        <v>0</v>
      </c>
      <c r="JN104" s="141">
        <f>IF(ISBLANK($A104),,IF($AN104="Não",0,(SUM($AO104:BL104)*$AH104)-SUM($HM104:IJ104)-SUM($CW104:DT104)))</f>
        <v>0</v>
      </c>
      <c r="JO104" s="141">
        <f>IF(ISBLANK($A104),,IF($AN104="Não",0,(SUM($AO104:BM104)*$AH104)-SUM($HM104:IK104)-SUM($CW104:DU104)))</f>
        <v>0</v>
      </c>
      <c r="JP104" s="141">
        <f>IF(ISBLANK($A104),,IF($AN104="Não",0,(SUM($AO104:BN104)*$AH104)-SUM($HM104:IL104)-SUM($CW104:DV104)))</f>
        <v>0</v>
      </c>
      <c r="JQ104" s="141">
        <f>IF(ISBLANK($A104),,IF($AN104="Não",0,(SUM($AO104:BO104)*$AH104)-SUM($HM104:IM104)-SUM($CW104:DW104)))</f>
        <v>0</v>
      </c>
      <c r="JR104" s="141">
        <f>IF(ISBLANK($A104),,IF($AN104="Não",0,(SUM($AO104:BP104)*$AH104)-SUM($HM104:IN104)-SUM($CW104:DX104)))</f>
        <v>0</v>
      </c>
      <c r="JS104" s="141">
        <f>IF(ISBLANK($A104),,IF($AN104="Não",0,(SUM($AO104:BQ104)*$AH104)-SUM($HM104:IO104)-SUM($CW104:DY104)))</f>
        <v>0</v>
      </c>
      <c r="JT104" s="141">
        <f>IF(ISBLANK($A104),,IF($AN104="Não",0,(SUM($AO104:BR104)*$AH104)-SUM($HM104:IP104)-SUM($CW104:DZ104)))</f>
        <v>0</v>
      </c>
    </row>
    <row r="105" spans="1:280" ht="15.75" customHeight="1">
      <c r="A105" s="129" t="s">
        <v>416</v>
      </c>
      <c r="B105" s="129" t="s">
        <v>191</v>
      </c>
      <c r="C105" s="138" t="s">
        <v>200</v>
      </c>
      <c r="D105" s="139">
        <v>4</v>
      </c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607">
        <f t="shared" ref="AH105:AH136" si="544">IF(ISBLANK(A105),,VLOOKUP(A105,ListaInvestimentos,3,0)*(1+CorrInvest))</f>
        <v>2125.2000000000003</v>
      </c>
      <c r="AI105" s="608">
        <f t="shared" ref="AI105:AI136" si="545">IF(ISBLANK(A105),,VLOOKUP(A105,ListaInvestimentos,4,0))</f>
        <v>30</v>
      </c>
      <c r="AJ105" s="609">
        <f t="shared" ref="AJ105:AJ136" si="546">IF(ISBLANK(A105),,VLOOKUP(A105,ListaInvestimentos,5,0))</f>
        <v>0</v>
      </c>
      <c r="AK105" s="610" t="str">
        <f t="shared" ref="AK105:AK136" si="547">IF(ISBLANK(A105),"",VLOOKUP(A105,ListaInvestimentos,6,0))</f>
        <v>Edificações</v>
      </c>
      <c r="AL105" s="609">
        <f t="shared" ref="AL105:AL136" si="548">IF(ISBLANK(A105),,VLOOKUP(A105,ListaInvestimentos,7,0))</f>
        <v>0.05</v>
      </c>
      <c r="AM105" s="611" t="str">
        <f t="shared" ref="AM105:AM136" si="549">IF(ISBLANK(A105),"",VLOOKUP(A105,ListaInvestimentos,8,0))</f>
        <v>Sim</v>
      </c>
      <c r="AN105" s="611" t="str">
        <f t="shared" ref="AN105:AN136" si="550">IF(ISBLANK(A105),"",VLOOKUP(A105,ListaInvestimentos,9,0))</f>
        <v>Não</v>
      </c>
      <c r="AO105" s="140">
        <f t="array" ref="AO105">IF(ISBLANK($A105),0,IF(OR(AO$5-$AI105&lt;=0,$AM105="Não"),D105,D105+INDEX($AO$6:$BR$176,ROW()-5,COLUMN()-40-$AI105)))*IF($B105="Operacional",IFERROR(VLOOKUP($C105,SN_UGC,28,0),0),1)</f>
        <v>4</v>
      </c>
      <c r="AP105" s="140">
        <f t="array" ref="AP105">IF(ISBLANK($A105),0,IF(OR(AP$5-$AI105&lt;=0,$AM105="Não"),E105,E105+INDEX($AO$6:$BR$176,ROW()-5,COLUMN()-40-$AI105)))*IF($B105="Operacional",IFERROR(VLOOKUP($C105,SN_UGC,28,0),0),1)</f>
        <v>0</v>
      </c>
      <c r="AQ105" s="140">
        <f t="array" ref="AQ105">IF(ISBLANK($A105),0,IF(OR(AQ$5-$AI105&lt;=0,$AM105="Não"),F105,F105+INDEX($AO$6:$BR$176,ROW()-5,COLUMN()-40-$AI105)))*IF($B105="Operacional",IFERROR(VLOOKUP($C105,SN_UGC,28,0),0),1)</f>
        <v>0</v>
      </c>
      <c r="AR105" s="140">
        <f t="array" ref="AR105">IF(ISBLANK($A105),0,IF(OR(AR$5-$AI105&lt;=0,$AM105="Não"),G105,G105+INDEX($AO$6:$BR$176,ROW()-5,COLUMN()-40-$AI105)))*IF($B105="Operacional",IFERROR(VLOOKUP($C105,SN_UGC,28,0),0),1)</f>
        <v>0</v>
      </c>
      <c r="AS105" s="140">
        <f t="array" ref="AS105">IF(ISBLANK($A105),0,IF(OR(AS$5-$AI105&lt;=0,$AM105="Não"),H105,H105+INDEX($AO$6:$BR$176,ROW()-5,COLUMN()-40-$AI105)))*IF($B105="Operacional",IFERROR(VLOOKUP($C105,SN_UGC,28,0),0),1)</f>
        <v>0</v>
      </c>
      <c r="AT105" s="140">
        <f t="array" ref="AT105">IF(ISBLANK($A105),0,IF(OR(AT$5-$AI105&lt;=0,$AM105="Não"),I105,I105+INDEX($AO$6:$BR$176,ROW()-5,COLUMN()-40-$AI105)))*IF($B105="Operacional",IFERROR(VLOOKUP($C105,SN_UGC,28,0),0),1)</f>
        <v>0</v>
      </c>
      <c r="AU105" s="140">
        <f t="array" ref="AU105">IF(ISBLANK($A105),0,IF(OR(AU$5-$AI105&lt;=0,$AM105="Não"),J105,J105+INDEX($AO$6:$BR$176,ROW()-5,COLUMN()-40-$AI105)))*IF($B105="Operacional",IFERROR(VLOOKUP($C105,SN_UGC,28,0),0),1)</f>
        <v>0</v>
      </c>
      <c r="AV105" s="140">
        <f t="array" ref="AV105">IF(ISBLANK($A105),0,IF(OR(AV$5-$AI105&lt;=0,$AM105="Não"),K105,K105+INDEX($AO$6:$BR$176,ROW()-5,COLUMN()-40-$AI105)))*IF($B105="Operacional",IFERROR(VLOOKUP($C105,SN_UGC,28,0),0),1)</f>
        <v>0</v>
      </c>
      <c r="AW105" s="140">
        <f t="array" ref="AW105">IF(ISBLANK($A105),0,IF(OR(AW$5-$AI105&lt;=0,$AM105="Não"),L105,L105+INDEX($AO$6:$BR$176,ROW()-5,COLUMN()-40-$AI105)))*IF($B105="Operacional",IFERROR(VLOOKUP($C105,SN_UGC,28,0),0),1)</f>
        <v>0</v>
      </c>
      <c r="AX105" s="140">
        <f t="array" ref="AX105">IF(ISBLANK($A105),0,IF(OR(AX$5-$AI105&lt;=0,$AM105="Não"),M105,M105+INDEX($AO$6:$BR$176,ROW()-5,COLUMN()-40-$AI105)))*IF($B105="Operacional",IFERROR(VLOOKUP($C105,SN_UGC,28,0),0),1)</f>
        <v>0</v>
      </c>
      <c r="AY105" s="140">
        <f t="array" ref="AY105">IF(ISBLANK($A105),0,IF(OR(AY$5-$AI105&lt;=0,$AM105="Não"),N105,N105+INDEX($AO$6:$BR$176,ROW()-5,COLUMN()-40-$AI105)))*IF($B105="Operacional",IFERROR(VLOOKUP($C105,SN_UGC,28,0),0),1)</f>
        <v>0</v>
      </c>
      <c r="AZ105" s="140">
        <f t="array" ref="AZ105">IF(ISBLANK($A105),0,IF(OR(AZ$5-$AI105&lt;=0,$AM105="Não"),O105,O105+INDEX($AO$6:$BR$176,ROW()-5,COLUMN()-40-$AI105)))*IF($B105="Operacional",IFERROR(VLOOKUP($C105,SN_UGC,28,0),0),1)</f>
        <v>0</v>
      </c>
      <c r="BA105" s="140">
        <f t="array" ref="BA105">IF(ISBLANK($A105),0,IF(OR(BA$5-$AI105&lt;=0,$AM105="Não"),P105,P105+INDEX($AO$6:$BR$176,ROW()-5,COLUMN()-40-$AI105)))*IF($B105="Operacional",IFERROR(VLOOKUP($C105,SN_UGC,28,0),0),1)</f>
        <v>0</v>
      </c>
      <c r="BB105" s="140">
        <f t="array" ref="BB105">IF(ISBLANK($A105),0,IF(OR(BB$5-$AI105&lt;=0,$AM105="Não"),Q105,Q105+INDEX($AO$6:$BR$176,ROW()-5,COLUMN()-40-$AI105)))*IF($B105="Operacional",IFERROR(VLOOKUP($C105,SN_UGC,28,0),0),1)</f>
        <v>0</v>
      </c>
      <c r="BC105" s="140">
        <f t="array" ref="BC105">IF(ISBLANK($A105),0,IF(OR(BC$5-$AI105&lt;=0,$AM105="Não"),R105,R105+INDEX($AO$6:$BR$176,ROW()-5,COLUMN()-40-$AI105)))*IF($B105="Operacional",IFERROR(VLOOKUP($C105,SN_UGC,28,0),0),1)</f>
        <v>0</v>
      </c>
      <c r="BD105" s="140">
        <f t="array" ref="BD105">IF(ISBLANK($A105),0,IF(OR(BD$5-$AI105&lt;=0,$AM105="Não"),S105,S105+INDEX($AO$6:$BR$176,ROW()-5,COLUMN()-40-$AI105)))*IF($B105="Operacional",IFERROR(VLOOKUP($C105,SN_UGC,28,0),0),1)</f>
        <v>0</v>
      </c>
      <c r="BE105" s="140">
        <f t="array" ref="BE105">IF(ISBLANK($A105),0,IF(OR(BE$5-$AI105&lt;=0,$AM105="Não"),T105,T105+INDEX($AO$6:$BR$176,ROW()-5,COLUMN()-40-$AI105)))*IF($B105="Operacional",IFERROR(VLOOKUP($C105,SN_UGC,28,0),0),1)</f>
        <v>0</v>
      </c>
      <c r="BF105" s="140">
        <f t="array" ref="BF105">IF(ISBLANK($A105),0,IF(OR(BF$5-$AI105&lt;=0,$AM105="Não"),U105,U105+INDEX($AO$6:$BR$176,ROW()-5,COLUMN()-40-$AI105)))*IF($B105="Operacional",IFERROR(VLOOKUP($C105,SN_UGC,28,0),0),1)</f>
        <v>0</v>
      </c>
      <c r="BG105" s="140">
        <f t="array" ref="BG105">IF(ISBLANK($A105),0,IF(OR(BG$5-$AI105&lt;=0,$AM105="Não"),V105,V105+INDEX($AO$6:$BR$176,ROW()-5,COLUMN()-40-$AI105)))*IF($B105="Operacional",IFERROR(VLOOKUP($C105,SN_UGC,28,0),0),1)</f>
        <v>0</v>
      </c>
      <c r="BH105" s="140">
        <f t="array" ref="BH105">IF(ISBLANK($A105),0,IF(OR(BH$5-$AI105&lt;=0,$AM105="Não"),W105,W105+INDEX($AO$6:$BR$176,ROW()-5,COLUMN()-40-$AI105)))*IF($B105="Operacional",IFERROR(VLOOKUP($C105,SN_UGC,28,0),0),1)</f>
        <v>0</v>
      </c>
      <c r="BI105" s="140">
        <f t="array" ref="BI105">IF(ISBLANK($A105),0,IF(OR(BI$5-$AI105&lt;=0,$AM105="Não"),X105,X105+INDEX($AO$6:$BR$176,ROW()-5,COLUMN()-40-$AI105)))*IF($B105="Operacional",IFERROR(VLOOKUP($C105,SN_UGC,28,0),0),1)</f>
        <v>0</v>
      </c>
      <c r="BJ105" s="140">
        <f t="array" ref="BJ105">IF(ISBLANK($A105),0,IF(OR(BJ$5-$AI105&lt;=0,$AM105="Não"),Y105,Y105+INDEX($AO$6:$BR$176,ROW()-5,COLUMN()-40-$AI105)))*IF($B105="Operacional",IFERROR(VLOOKUP($C105,SN_UGC,28,0),0),1)</f>
        <v>0</v>
      </c>
      <c r="BK105" s="140">
        <f t="array" ref="BK105">IF(ISBLANK($A105),0,IF(OR(BK$5-$AI105&lt;=0,$AM105="Não"),Z105,Z105+INDEX($AO$6:$BR$176,ROW()-5,COLUMN()-40-$AI105)))*IF($B105="Operacional",IFERROR(VLOOKUP($C105,SN_UGC,28,0),0),1)</f>
        <v>0</v>
      </c>
      <c r="BL105" s="140">
        <f t="array" ref="BL105">IF(ISBLANK($A105),0,IF(OR(BL$5-$AI105&lt;=0,$AM105="Não"),AA105,AA105+INDEX($AO$6:$BR$176,ROW()-5,COLUMN()-40-$AI105)))*IF($B105="Operacional",IFERROR(VLOOKUP($C105,SN_UGC,28,0),0),1)</f>
        <v>0</v>
      </c>
      <c r="BM105" s="140">
        <f t="array" ref="BM105">IF(ISBLANK($A105),0,IF(OR(BM$5-$AI105&lt;=0,$AM105="Não"),AB105,AB105+INDEX($AO$6:$BR$176,ROW()-5,COLUMN()-40-$AI105)))*IF($B105="Operacional",IFERROR(VLOOKUP($C105,SN_UGC,28,0),0),1)</f>
        <v>0</v>
      </c>
      <c r="BN105" s="140">
        <f t="array" ref="BN105">IF(ISBLANK($A105),0,IF(OR(BN$5-$AI105&lt;=0,$AM105="Não"),AC105,AC105+INDEX($AO$6:$BR$176,ROW()-5,COLUMN()-40-$AI105)))*IF($B105="Operacional",IFERROR(VLOOKUP($C105,SN_UGC,28,0),0),1)</f>
        <v>0</v>
      </c>
      <c r="BO105" s="140">
        <f t="array" ref="BO105">IF(ISBLANK($A105),0,IF(OR(BO$5-$AI105&lt;=0,$AM105="Não"),AD105,AD105+INDEX($AO$6:$BR$176,ROW()-5,COLUMN()-40-$AI105)))*IF($B105="Operacional",IFERROR(VLOOKUP($C105,SN_UGC,28,0),0),1)</f>
        <v>0</v>
      </c>
      <c r="BP105" s="140">
        <f t="array" ref="BP105">IF(ISBLANK($A105),0,IF(OR(BP$5-$AI105&lt;=0,$AM105="Não"),AE105,AE105+INDEX($AO$6:$BR$176,ROW()-5,COLUMN()-40-$AI105)))*IF($B105="Operacional",IFERROR(VLOOKUP($C105,SN_UGC,28,0),0),1)</f>
        <v>0</v>
      </c>
      <c r="BQ105" s="140">
        <f t="array" ref="BQ105">IF(ISBLANK($A105),0,IF(OR(BQ$5-$AI105&lt;=0,$AM105="Não"),AF105,AF105+INDEX($AO$6:$BR$176,ROW()-5,COLUMN()-40-$AI105)))*IF($B105="Operacional",IFERROR(VLOOKUP($C105,SN_UGC,28,0),0),1)</f>
        <v>0</v>
      </c>
      <c r="BR105" s="140">
        <f t="array" ref="BR105">IF(ISBLANK($A105),0,IF(OR(BR$5-$AI105&lt;=0,$AM105="Não"),AG105,AG105+INDEX($AO$6:$BR$176,ROW()-5,COLUMN()-40-$AI105)))*IF($B105="Operacional",IFERROR(VLOOKUP($C105,SN_UGC,28,0),0),1)</f>
        <v>0</v>
      </c>
      <c r="BS105" s="141">
        <f t="shared" ref="BS105:CV105" si="551">IF(ISBLANK($A105),0,$AH105*AO105)</f>
        <v>8500.8000000000011</v>
      </c>
      <c r="BT105" s="141">
        <f t="shared" si="551"/>
        <v>0</v>
      </c>
      <c r="BU105" s="141">
        <f t="shared" si="551"/>
        <v>0</v>
      </c>
      <c r="BV105" s="141">
        <f t="shared" si="551"/>
        <v>0</v>
      </c>
      <c r="BW105" s="141">
        <f t="shared" si="551"/>
        <v>0</v>
      </c>
      <c r="BX105" s="141">
        <f t="shared" si="551"/>
        <v>0</v>
      </c>
      <c r="BY105" s="141">
        <f t="shared" si="551"/>
        <v>0</v>
      </c>
      <c r="BZ105" s="141">
        <f t="shared" si="551"/>
        <v>0</v>
      </c>
      <c r="CA105" s="141">
        <f t="shared" si="551"/>
        <v>0</v>
      </c>
      <c r="CB105" s="141">
        <f t="shared" si="551"/>
        <v>0</v>
      </c>
      <c r="CC105" s="141">
        <f t="shared" si="551"/>
        <v>0</v>
      </c>
      <c r="CD105" s="141">
        <f t="shared" si="551"/>
        <v>0</v>
      </c>
      <c r="CE105" s="141">
        <f t="shared" si="551"/>
        <v>0</v>
      </c>
      <c r="CF105" s="141">
        <f t="shared" si="551"/>
        <v>0</v>
      </c>
      <c r="CG105" s="141">
        <f t="shared" si="551"/>
        <v>0</v>
      </c>
      <c r="CH105" s="141">
        <f t="shared" si="551"/>
        <v>0</v>
      </c>
      <c r="CI105" s="141">
        <f t="shared" si="551"/>
        <v>0</v>
      </c>
      <c r="CJ105" s="141">
        <f t="shared" si="551"/>
        <v>0</v>
      </c>
      <c r="CK105" s="141">
        <f t="shared" si="551"/>
        <v>0</v>
      </c>
      <c r="CL105" s="141">
        <f t="shared" si="551"/>
        <v>0</v>
      </c>
      <c r="CM105" s="141">
        <f t="shared" si="551"/>
        <v>0</v>
      </c>
      <c r="CN105" s="141">
        <f t="shared" si="551"/>
        <v>0</v>
      </c>
      <c r="CO105" s="141">
        <f t="shared" si="551"/>
        <v>0</v>
      </c>
      <c r="CP105" s="141">
        <f t="shared" si="551"/>
        <v>0</v>
      </c>
      <c r="CQ105" s="141">
        <f t="shared" si="551"/>
        <v>0</v>
      </c>
      <c r="CR105" s="141">
        <f t="shared" si="551"/>
        <v>0</v>
      </c>
      <c r="CS105" s="141">
        <f t="shared" si="551"/>
        <v>0</v>
      </c>
      <c r="CT105" s="141">
        <f t="shared" si="551"/>
        <v>0</v>
      </c>
      <c r="CU105" s="141">
        <f t="shared" si="551"/>
        <v>0</v>
      </c>
      <c r="CV105" s="141">
        <f t="shared" si="551"/>
        <v>0</v>
      </c>
      <c r="CW105" s="142">
        <f t="shared" ref="CW105:DZ105" si="552">EA105*$AH105*$AJ105</f>
        <v>0</v>
      </c>
      <c r="CX105" s="142">
        <f t="shared" si="552"/>
        <v>0</v>
      </c>
      <c r="CY105" s="142">
        <f t="shared" si="552"/>
        <v>0</v>
      </c>
      <c r="CZ105" s="142">
        <f t="shared" si="552"/>
        <v>0</v>
      </c>
      <c r="DA105" s="142">
        <f t="shared" si="552"/>
        <v>0</v>
      </c>
      <c r="DB105" s="142">
        <f t="shared" si="552"/>
        <v>0</v>
      </c>
      <c r="DC105" s="142">
        <f t="shared" si="552"/>
        <v>0</v>
      </c>
      <c r="DD105" s="142">
        <f t="shared" si="552"/>
        <v>0</v>
      </c>
      <c r="DE105" s="142">
        <f t="shared" si="552"/>
        <v>0</v>
      </c>
      <c r="DF105" s="142">
        <f t="shared" si="552"/>
        <v>0</v>
      </c>
      <c r="DG105" s="142">
        <f t="shared" si="552"/>
        <v>0</v>
      </c>
      <c r="DH105" s="142">
        <f t="shared" si="552"/>
        <v>0</v>
      </c>
      <c r="DI105" s="142">
        <f t="shared" si="552"/>
        <v>0</v>
      </c>
      <c r="DJ105" s="142">
        <f t="shared" si="552"/>
        <v>0</v>
      </c>
      <c r="DK105" s="142">
        <f t="shared" si="552"/>
        <v>0</v>
      </c>
      <c r="DL105" s="142">
        <f t="shared" si="552"/>
        <v>0</v>
      </c>
      <c r="DM105" s="142">
        <f t="shared" si="552"/>
        <v>0</v>
      </c>
      <c r="DN105" s="142">
        <f t="shared" si="552"/>
        <v>0</v>
      </c>
      <c r="DO105" s="142">
        <f t="shared" si="552"/>
        <v>0</v>
      </c>
      <c r="DP105" s="142">
        <f t="shared" si="552"/>
        <v>0</v>
      </c>
      <c r="DQ105" s="142">
        <f t="shared" si="552"/>
        <v>0</v>
      </c>
      <c r="DR105" s="142">
        <f t="shared" si="552"/>
        <v>0</v>
      </c>
      <c r="DS105" s="142">
        <f t="shared" si="552"/>
        <v>0</v>
      </c>
      <c r="DT105" s="142">
        <f t="shared" si="552"/>
        <v>0</v>
      </c>
      <c r="DU105" s="142">
        <f t="shared" si="552"/>
        <v>0</v>
      </c>
      <c r="DV105" s="142">
        <f t="shared" si="552"/>
        <v>0</v>
      </c>
      <c r="DW105" s="142">
        <f t="shared" si="552"/>
        <v>0</v>
      </c>
      <c r="DX105" s="142">
        <f t="shared" si="552"/>
        <v>0</v>
      </c>
      <c r="DY105" s="142">
        <f t="shared" si="552"/>
        <v>0</v>
      </c>
      <c r="DZ105" s="142">
        <f t="shared" si="552"/>
        <v>0</v>
      </c>
      <c r="EA105" s="143">
        <f t="shared" si="504"/>
        <v>0</v>
      </c>
      <c r="EB105" s="143">
        <f t="shared" si="505"/>
        <v>0</v>
      </c>
      <c r="EC105" s="143">
        <f t="shared" si="506"/>
        <v>0</v>
      </c>
      <c r="ED105" s="143">
        <f t="shared" si="507"/>
        <v>0</v>
      </c>
      <c r="EE105" s="143">
        <f t="shared" si="508"/>
        <v>0</v>
      </c>
      <c r="EF105" s="143">
        <f t="shared" si="509"/>
        <v>0</v>
      </c>
      <c r="EG105" s="143">
        <f t="shared" si="510"/>
        <v>0</v>
      </c>
      <c r="EH105" s="143">
        <f t="shared" si="511"/>
        <v>0</v>
      </c>
      <c r="EI105" s="143">
        <f t="shared" si="512"/>
        <v>0</v>
      </c>
      <c r="EJ105" s="143">
        <f t="shared" si="513"/>
        <v>0</v>
      </c>
      <c r="EK105" s="143">
        <f t="shared" si="514"/>
        <v>0</v>
      </c>
      <c r="EL105" s="143">
        <f t="shared" si="515"/>
        <v>0</v>
      </c>
      <c r="EM105" s="143">
        <f t="shared" si="516"/>
        <v>0</v>
      </c>
      <c r="EN105" s="143">
        <f t="shared" si="517"/>
        <v>0</v>
      </c>
      <c r="EO105" s="143">
        <f t="shared" si="518"/>
        <v>0</v>
      </c>
      <c r="EP105" s="143">
        <f t="shared" si="519"/>
        <v>0</v>
      </c>
      <c r="EQ105" s="143">
        <f t="shared" si="520"/>
        <v>0</v>
      </c>
      <c r="ER105" s="143">
        <f t="shared" si="521"/>
        <v>0</v>
      </c>
      <c r="ES105" s="143">
        <f t="shared" si="522"/>
        <v>0</v>
      </c>
      <c r="ET105" s="143">
        <f t="shared" si="523"/>
        <v>0</v>
      </c>
      <c r="EU105" s="143">
        <f t="shared" si="524"/>
        <v>0</v>
      </c>
      <c r="EV105" s="143">
        <f t="shared" si="525"/>
        <v>0</v>
      </c>
      <c r="EW105" s="143">
        <f t="shared" si="526"/>
        <v>0</v>
      </c>
      <c r="EX105" s="143">
        <f t="shared" si="527"/>
        <v>0</v>
      </c>
      <c r="EY105" s="143">
        <f t="shared" si="528"/>
        <v>0</v>
      </c>
      <c r="EZ105" s="143">
        <f t="shared" si="529"/>
        <v>0</v>
      </c>
      <c r="FA105" s="143">
        <f t="shared" si="530"/>
        <v>0</v>
      </c>
      <c r="FB105" s="143">
        <f t="shared" si="531"/>
        <v>0</v>
      </c>
      <c r="FC105" s="143">
        <f t="shared" si="532"/>
        <v>0</v>
      </c>
      <c r="FD105" s="143">
        <f t="shared" si="533"/>
        <v>0</v>
      </c>
      <c r="FE105" s="140">
        <f>SUM($D105:D105)*IF($B105="Operacional",IFERROR(VLOOKUP($C105,SN_UGC,28,0),0),1)</f>
        <v>4</v>
      </c>
      <c r="FF105" s="140">
        <f>SUM($D105:E105)*IF($B105="Operacional",IFERROR(VLOOKUP($C105,SN_UGC,28,0),0),1)</f>
        <v>4</v>
      </c>
      <c r="FG105" s="140">
        <f>SUM($D105:F105)*IF($B105="Operacional",IFERROR(VLOOKUP($C105,SN_UGC,28,0),0),1)</f>
        <v>4</v>
      </c>
      <c r="FH105" s="140">
        <f>SUM($D105:G105)*IF($B105="Operacional",IFERROR(VLOOKUP($C105,SN_UGC,28,0),0),1)</f>
        <v>4</v>
      </c>
      <c r="FI105" s="140">
        <f>SUM($D105:H105)*IF($B105="Operacional",IFERROR(VLOOKUP($C105,SN_UGC,28,0),0),1)</f>
        <v>4</v>
      </c>
      <c r="FJ105" s="140">
        <f>SUM($D105:I105)*IF($B105="Operacional",IFERROR(VLOOKUP($C105,SN_UGC,28,0),0),1)</f>
        <v>4</v>
      </c>
      <c r="FK105" s="140">
        <f>SUM($D105:J105)*IF($B105="Operacional",IFERROR(VLOOKUP($C105,SN_UGC,28,0),0),1)</f>
        <v>4</v>
      </c>
      <c r="FL105" s="140">
        <f>SUM($D105:K105)*IF($B105="Operacional",IFERROR(VLOOKUP($C105,SN_UGC,28,0),0),1)</f>
        <v>4</v>
      </c>
      <c r="FM105" s="140">
        <f>SUM($D105:L105)*IF($B105="Operacional",IFERROR(VLOOKUP($C105,SN_UGC,28,0),0),1)</f>
        <v>4</v>
      </c>
      <c r="FN105" s="140">
        <f>SUM($D105:M105)*IF($B105="Operacional",IFERROR(VLOOKUP($C105,SN_UGC,28,0),0),1)</f>
        <v>4</v>
      </c>
      <c r="FO105" s="140">
        <f>SUM($D105:N105)*IF($B105="Operacional",IFERROR(VLOOKUP($C105,SN_UGC,28,0),0),1)</f>
        <v>4</v>
      </c>
      <c r="FP105" s="140">
        <f>SUM($D105:O105)*IF($B105="Operacional",IFERROR(VLOOKUP($C105,SN_UGC,28,0),0),1)</f>
        <v>4</v>
      </c>
      <c r="FQ105" s="140">
        <f>SUM($D105:P105)*IF($B105="Operacional",IFERROR(VLOOKUP($C105,SN_UGC,28,0),0),1)</f>
        <v>4</v>
      </c>
      <c r="FR105" s="140">
        <f>SUM($D105:Q105)*IF($B105="Operacional",IFERROR(VLOOKUP($C105,SN_UGC,28,0),0),1)</f>
        <v>4</v>
      </c>
      <c r="FS105" s="140">
        <f>SUM($D105:R105)*IF($B105="Operacional",IFERROR(VLOOKUP($C105,SN_UGC,28,0),0),1)</f>
        <v>4</v>
      </c>
      <c r="FT105" s="140">
        <f>SUM($D105:S105)*IF($B105="Operacional",IFERROR(VLOOKUP($C105,SN_UGC,28,0),0),1)</f>
        <v>4</v>
      </c>
      <c r="FU105" s="140">
        <f>SUM($D105:T105)*IF($B105="Operacional",IFERROR(VLOOKUP($C105,SN_UGC,28,0),0),1)</f>
        <v>4</v>
      </c>
      <c r="FV105" s="140">
        <f>SUM($D105:U105)*IF($B105="Operacional",IFERROR(VLOOKUP($C105,SN_UGC,28,0),0),1)</f>
        <v>4</v>
      </c>
      <c r="FW105" s="140">
        <f>SUM($D105:V105)*IF($B105="Operacional",IFERROR(VLOOKUP($C105,SN_UGC,28,0),0),1)</f>
        <v>4</v>
      </c>
      <c r="FX105" s="140">
        <f>SUM($D105:W105)*IF($B105="Operacional",IFERROR(VLOOKUP($C105,SN_UGC,28,0),0),1)</f>
        <v>4</v>
      </c>
      <c r="FY105" s="140">
        <f>SUM($D105:X105)*IF($B105="Operacional",IFERROR(VLOOKUP($C105,SN_UGC,28,0),0),1)</f>
        <v>4</v>
      </c>
      <c r="FZ105" s="140">
        <f>SUM($D105:Y105)*IF($B105="Operacional",IFERROR(VLOOKUP($C105,SN_UGC,28,0),0),1)</f>
        <v>4</v>
      </c>
      <c r="GA105" s="140">
        <f>SUM($D105:Z105)*IF($B105="Operacional",IFERROR(VLOOKUP($C105,SN_UGC,28,0),0),1)</f>
        <v>4</v>
      </c>
      <c r="GB105" s="140">
        <f>SUM($D105:AA105)*IF($B105="Operacional",IFERROR(VLOOKUP($C105,SN_UGC,28,0),0),1)</f>
        <v>4</v>
      </c>
      <c r="GC105" s="140">
        <f>SUM($D105:AB105)*IF($B105="Operacional",IFERROR(VLOOKUP($C105,SN_UGC,28,0),0),1)</f>
        <v>4</v>
      </c>
      <c r="GD105" s="140">
        <f>SUM($D105:AC105)*IF($B105="Operacional",IFERROR(VLOOKUP($C105,SN_UGC,28,0),0),1)</f>
        <v>4</v>
      </c>
      <c r="GE105" s="140">
        <f>SUM($D105:AD105)*IF($B105="Operacional",IFERROR(VLOOKUP($C105,SN_UGC,28,0),0),1)</f>
        <v>4</v>
      </c>
      <c r="GF105" s="140">
        <f>SUM($D105:AE105)*IF($B105="Operacional",IFERROR(VLOOKUP($C105,SN_UGC,28,0),0),1)</f>
        <v>4</v>
      </c>
      <c r="GG105" s="140">
        <f>SUM($D105:AF105)*IF($B105="Operacional",IFERROR(VLOOKUP($C105,SN_UGC,28,0),0),1)</f>
        <v>4</v>
      </c>
      <c r="GH105" s="140">
        <f>SUM($D105:AG105)*IF($B105="Operacional",IFERROR(VLOOKUP($C105,SN_UGC,28,0),0),1)</f>
        <v>4</v>
      </c>
      <c r="GI105" s="141">
        <f t="shared" ref="GI105:HL105" si="553">FE105*$AH105*$AL105</f>
        <v>425.04000000000008</v>
      </c>
      <c r="GJ105" s="141">
        <f t="shared" si="553"/>
        <v>425.04000000000008</v>
      </c>
      <c r="GK105" s="141">
        <f t="shared" si="553"/>
        <v>425.04000000000008</v>
      </c>
      <c r="GL105" s="141">
        <f t="shared" si="553"/>
        <v>425.04000000000008</v>
      </c>
      <c r="GM105" s="141">
        <f t="shared" si="553"/>
        <v>425.04000000000008</v>
      </c>
      <c r="GN105" s="141">
        <f t="shared" si="553"/>
        <v>425.04000000000008</v>
      </c>
      <c r="GO105" s="141">
        <f t="shared" si="553"/>
        <v>425.04000000000008</v>
      </c>
      <c r="GP105" s="141">
        <f t="shared" si="553"/>
        <v>425.04000000000008</v>
      </c>
      <c r="GQ105" s="141">
        <f t="shared" si="553"/>
        <v>425.04000000000008</v>
      </c>
      <c r="GR105" s="141">
        <f t="shared" si="553"/>
        <v>425.04000000000008</v>
      </c>
      <c r="GS105" s="141">
        <f t="shared" si="553"/>
        <v>425.04000000000008</v>
      </c>
      <c r="GT105" s="141">
        <f t="shared" si="553"/>
        <v>425.04000000000008</v>
      </c>
      <c r="GU105" s="141">
        <f t="shared" si="553"/>
        <v>425.04000000000008</v>
      </c>
      <c r="GV105" s="141">
        <f t="shared" si="553"/>
        <v>425.04000000000008</v>
      </c>
      <c r="GW105" s="141">
        <f t="shared" si="553"/>
        <v>425.04000000000008</v>
      </c>
      <c r="GX105" s="141">
        <f t="shared" si="553"/>
        <v>425.04000000000008</v>
      </c>
      <c r="GY105" s="141">
        <f t="shared" si="553"/>
        <v>425.04000000000008</v>
      </c>
      <c r="GZ105" s="141">
        <f t="shared" si="553"/>
        <v>425.04000000000008</v>
      </c>
      <c r="HA105" s="141">
        <f t="shared" si="553"/>
        <v>425.04000000000008</v>
      </c>
      <c r="HB105" s="141">
        <f t="shared" si="553"/>
        <v>425.04000000000008</v>
      </c>
      <c r="HC105" s="141">
        <f t="shared" si="553"/>
        <v>425.04000000000008</v>
      </c>
      <c r="HD105" s="141">
        <f t="shared" si="553"/>
        <v>425.04000000000008</v>
      </c>
      <c r="HE105" s="141">
        <f t="shared" si="553"/>
        <v>425.04000000000008</v>
      </c>
      <c r="HF105" s="141">
        <f t="shared" si="553"/>
        <v>425.04000000000008</v>
      </c>
      <c r="HG105" s="141">
        <f t="shared" si="553"/>
        <v>425.04000000000008</v>
      </c>
      <c r="HH105" s="141">
        <f t="shared" si="553"/>
        <v>425.04000000000008</v>
      </c>
      <c r="HI105" s="141">
        <f t="shared" si="553"/>
        <v>425.04000000000008</v>
      </c>
      <c r="HJ105" s="141">
        <f t="shared" si="553"/>
        <v>425.04000000000008</v>
      </c>
      <c r="HK105" s="141">
        <f t="shared" si="553"/>
        <v>425.04000000000008</v>
      </c>
      <c r="HL105" s="141">
        <f t="shared" si="553"/>
        <v>425.04000000000008</v>
      </c>
      <c r="HM105" s="142">
        <f t="shared" ref="HM105:IP105" si="554">IF(ISBLANK($A105),,FE105*($AH105-($AH105*$AJ105))/$AI105)</f>
        <v>283.36</v>
      </c>
      <c r="HN105" s="142">
        <f t="shared" si="554"/>
        <v>283.36</v>
      </c>
      <c r="HO105" s="142">
        <f t="shared" si="554"/>
        <v>283.36</v>
      </c>
      <c r="HP105" s="142">
        <f t="shared" si="554"/>
        <v>283.36</v>
      </c>
      <c r="HQ105" s="142">
        <f t="shared" si="554"/>
        <v>283.36</v>
      </c>
      <c r="HR105" s="142">
        <f t="shared" si="554"/>
        <v>283.36</v>
      </c>
      <c r="HS105" s="142">
        <f t="shared" si="554"/>
        <v>283.36</v>
      </c>
      <c r="HT105" s="142">
        <f t="shared" si="554"/>
        <v>283.36</v>
      </c>
      <c r="HU105" s="142">
        <f t="shared" si="554"/>
        <v>283.36</v>
      </c>
      <c r="HV105" s="142">
        <f t="shared" si="554"/>
        <v>283.36</v>
      </c>
      <c r="HW105" s="142">
        <f t="shared" si="554"/>
        <v>283.36</v>
      </c>
      <c r="HX105" s="142">
        <f t="shared" si="554"/>
        <v>283.36</v>
      </c>
      <c r="HY105" s="142">
        <f t="shared" si="554"/>
        <v>283.36</v>
      </c>
      <c r="HZ105" s="142">
        <f t="shared" si="554"/>
        <v>283.36</v>
      </c>
      <c r="IA105" s="142">
        <f t="shared" si="554"/>
        <v>283.36</v>
      </c>
      <c r="IB105" s="142">
        <f t="shared" si="554"/>
        <v>283.36</v>
      </c>
      <c r="IC105" s="142">
        <f t="shared" si="554"/>
        <v>283.36</v>
      </c>
      <c r="ID105" s="142">
        <f t="shared" si="554"/>
        <v>283.36</v>
      </c>
      <c r="IE105" s="142">
        <f t="shared" si="554"/>
        <v>283.36</v>
      </c>
      <c r="IF105" s="142">
        <f t="shared" si="554"/>
        <v>283.36</v>
      </c>
      <c r="IG105" s="142">
        <f t="shared" si="554"/>
        <v>283.36</v>
      </c>
      <c r="IH105" s="142">
        <f t="shared" si="554"/>
        <v>283.36</v>
      </c>
      <c r="II105" s="142">
        <f t="shared" si="554"/>
        <v>283.36</v>
      </c>
      <c r="IJ105" s="142">
        <f t="shared" si="554"/>
        <v>283.36</v>
      </c>
      <c r="IK105" s="142">
        <f t="shared" si="554"/>
        <v>283.36</v>
      </c>
      <c r="IL105" s="142">
        <f t="shared" si="554"/>
        <v>283.36</v>
      </c>
      <c r="IM105" s="142">
        <f t="shared" si="554"/>
        <v>283.36</v>
      </c>
      <c r="IN105" s="142">
        <f t="shared" si="554"/>
        <v>283.36</v>
      </c>
      <c r="IO105" s="142">
        <f t="shared" si="554"/>
        <v>283.36</v>
      </c>
      <c r="IP105" s="142">
        <f t="shared" si="554"/>
        <v>283.36</v>
      </c>
      <c r="IQ105" s="141">
        <f>IF(ISBLANK($A105),,IF($AN105="Não",0,(SUM($AO105:AO105)*$AH105)-SUM($HM105:HM105)-SUM($CW105:CW105)))</f>
        <v>0</v>
      </c>
      <c r="IR105" s="141">
        <f>IF(ISBLANK($A105),,IF($AN105="Não",0,(SUM($AO105:AP105)*$AH105)-SUM($HM105:HN105)-SUM($CW105:CX105)))</f>
        <v>0</v>
      </c>
      <c r="IS105" s="141">
        <f>IF(ISBLANK($A105),,IF($AN105="Não",0,(SUM($AO105:AQ105)*$AH105)-SUM($HM105:HO105)-SUM($CW105:CY105)))</f>
        <v>0</v>
      </c>
      <c r="IT105" s="141">
        <f>IF(ISBLANK($A105),,IF($AN105="Não",0,(SUM($AO105:AR105)*$AH105)-SUM($HM105:HP105)-SUM($CW105:CZ105)))</f>
        <v>0</v>
      </c>
      <c r="IU105" s="141">
        <f>IF(ISBLANK($A105),,IF($AN105="Não",0,(SUM($AO105:AS105)*$AH105)-SUM($HM105:HQ105)-SUM($CW105:DA105)))</f>
        <v>0</v>
      </c>
      <c r="IV105" s="141">
        <f>IF(ISBLANK($A105),,IF($AN105="Não",0,(SUM($AO105:AT105)*$AH105)-SUM($HM105:HR105)-SUM($CW105:DB105)))</f>
        <v>0</v>
      </c>
      <c r="IW105" s="141">
        <f>IF(ISBLANK($A105),,IF($AN105="Não",0,(SUM($AO105:AU105)*$AH105)-SUM($HM105:HS105)-SUM($CW105:DC105)))</f>
        <v>0</v>
      </c>
      <c r="IX105" s="141">
        <f>IF(ISBLANK($A105),,IF($AN105="Não",0,(SUM($AO105:AV105)*$AH105)-SUM($HM105:HT105)-SUM($CW105:DD105)))</f>
        <v>0</v>
      </c>
      <c r="IY105" s="141">
        <f>IF(ISBLANK($A105),,IF($AN105="Não",0,(SUM($AO105:AW105)*$AH105)-SUM($HM105:HU105)-SUM($CW105:DE105)))</f>
        <v>0</v>
      </c>
      <c r="IZ105" s="141">
        <f>IF(ISBLANK($A105),,IF($AN105="Não",0,(SUM($AO105:AX105)*$AH105)-SUM($HM105:HV105)-SUM($CW105:DF105)))</f>
        <v>0</v>
      </c>
      <c r="JA105" s="141">
        <f>IF(ISBLANK($A105),,IF($AN105="Não",0,(SUM($AO105:AY105)*$AH105)-SUM($HM105:HW105)-SUM($CW105:DG105)))</f>
        <v>0</v>
      </c>
      <c r="JB105" s="141">
        <f>IF(ISBLANK($A105),,IF($AN105="Não",0,(SUM($AO105:AZ105)*$AH105)-SUM($HM105:HX105)-SUM($CW105:DH105)))</f>
        <v>0</v>
      </c>
      <c r="JC105" s="141">
        <f>IF(ISBLANK($A105),,IF($AN105="Não",0,(SUM($AO105:BA105)*$AH105)-SUM($HM105:HY105)-SUM($CW105:DI105)))</f>
        <v>0</v>
      </c>
      <c r="JD105" s="141">
        <f>IF(ISBLANK($A105),,IF($AN105="Não",0,(SUM($AO105:BB105)*$AH105)-SUM($HM105:HZ105)-SUM($CW105:DJ105)))</f>
        <v>0</v>
      </c>
      <c r="JE105" s="141">
        <f>IF(ISBLANK($A105),,IF($AN105="Não",0,(SUM($AO105:BC105)*$AH105)-SUM($HM105:IA105)-SUM($CW105:DK105)))</f>
        <v>0</v>
      </c>
      <c r="JF105" s="141">
        <f>IF(ISBLANK($A105),,IF($AN105="Não",0,(SUM($AO105:BD105)*$AH105)-SUM($HM105:IB105)-SUM($CW105:DL105)))</f>
        <v>0</v>
      </c>
      <c r="JG105" s="141">
        <f>IF(ISBLANK($A105),,IF($AN105="Não",0,(SUM($AO105:BE105)*$AH105)-SUM($HM105:IC105)-SUM($CW105:DM105)))</f>
        <v>0</v>
      </c>
      <c r="JH105" s="141">
        <f>IF(ISBLANK($A105),,IF($AN105="Não",0,(SUM($AO105:BF105)*$AH105)-SUM($HM105:ID105)-SUM($CW105:DN105)))</f>
        <v>0</v>
      </c>
      <c r="JI105" s="141">
        <f>IF(ISBLANK($A105),,IF($AN105="Não",0,(SUM($AO105:BG105)*$AH105)-SUM($HM105:IE105)-SUM($CW105:DO105)))</f>
        <v>0</v>
      </c>
      <c r="JJ105" s="141">
        <f>IF(ISBLANK($A105),,IF($AN105="Não",0,(SUM($AO105:BH105)*$AH105)-SUM($HM105:IF105)-SUM($CW105:DP105)))</f>
        <v>0</v>
      </c>
      <c r="JK105" s="141">
        <f>IF(ISBLANK($A105),,IF($AN105="Não",0,(SUM($AO105:BI105)*$AH105)-SUM($HM105:IG105)-SUM($CW105:DQ105)))</f>
        <v>0</v>
      </c>
      <c r="JL105" s="141">
        <f>IF(ISBLANK($A105),,IF($AN105="Não",0,(SUM($AO105:BJ105)*$AH105)-SUM($HM105:IH105)-SUM($CW105:DR105)))</f>
        <v>0</v>
      </c>
      <c r="JM105" s="141">
        <f>IF(ISBLANK($A105),,IF($AN105="Não",0,(SUM($AO105:BK105)*$AH105)-SUM($HM105:II105)-SUM($CW105:DS105)))</f>
        <v>0</v>
      </c>
      <c r="JN105" s="141">
        <f>IF(ISBLANK($A105),,IF($AN105="Não",0,(SUM($AO105:BL105)*$AH105)-SUM($HM105:IJ105)-SUM($CW105:DT105)))</f>
        <v>0</v>
      </c>
      <c r="JO105" s="141">
        <f>IF(ISBLANK($A105),,IF($AN105="Não",0,(SUM($AO105:BM105)*$AH105)-SUM($HM105:IK105)-SUM($CW105:DU105)))</f>
        <v>0</v>
      </c>
      <c r="JP105" s="141">
        <f>IF(ISBLANK($A105),,IF($AN105="Não",0,(SUM($AO105:BN105)*$AH105)-SUM($HM105:IL105)-SUM($CW105:DV105)))</f>
        <v>0</v>
      </c>
      <c r="JQ105" s="141">
        <f>IF(ISBLANK($A105),,IF($AN105="Não",0,(SUM($AO105:BO105)*$AH105)-SUM($HM105:IM105)-SUM($CW105:DW105)))</f>
        <v>0</v>
      </c>
      <c r="JR105" s="141">
        <f>IF(ISBLANK($A105),,IF($AN105="Não",0,(SUM($AO105:BP105)*$AH105)-SUM($HM105:IN105)-SUM($CW105:DX105)))</f>
        <v>0</v>
      </c>
      <c r="JS105" s="141">
        <f>IF(ISBLANK($A105),,IF($AN105="Não",0,(SUM($AO105:BQ105)*$AH105)-SUM($HM105:IO105)-SUM($CW105:DY105)))</f>
        <v>0</v>
      </c>
      <c r="JT105" s="141">
        <f>IF(ISBLANK($A105),,IF($AN105="Não",0,(SUM($AO105:BR105)*$AH105)-SUM($HM105:IP105)-SUM($CW105:DZ105)))</f>
        <v>0</v>
      </c>
    </row>
    <row r="106" spans="1:280" ht="15.75" customHeight="1">
      <c r="A106" s="296" t="s">
        <v>430</v>
      </c>
      <c r="B106" s="296" t="s">
        <v>191</v>
      </c>
      <c r="C106" s="303" t="s">
        <v>234</v>
      </c>
      <c r="D106" s="301">
        <f>34/3</f>
        <v>11.333333333333334</v>
      </c>
      <c r="E106" s="301">
        <f>34/3</f>
        <v>11.333333333333334</v>
      </c>
      <c r="F106" s="301">
        <f>34/3</f>
        <v>11.333333333333334</v>
      </c>
      <c r="G106" s="301"/>
      <c r="H106" s="301"/>
      <c r="I106" s="301"/>
      <c r="J106" s="301"/>
      <c r="K106" s="301"/>
      <c r="L106" s="301"/>
      <c r="M106" s="301"/>
      <c r="N106" s="301"/>
      <c r="O106" s="301"/>
      <c r="P106" s="301"/>
      <c r="Q106" s="301"/>
      <c r="R106" s="301"/>
      <c r="S106" s="301"/>
      <c r="T106" s="301"/>
      <c r="U106" s="301"/>
      <c r="V106" s="301"/>
      <c r="W106" s="301"/>
      <c r="X106" s="301"/>
      <c r="Y106" s="301"/>
      <c r="Z106" s="301"/>
      <c r="AA106" s="301"/>
      <c r="AB106" s="301"/>
      <c r="AC106" s="301"/>
      <c r="AD106" s="301"/>
      <c r="AE106" s="301"/>
      <c r="AF106" s="301"/>
      <c r="AG106" s="301"/>
      <c r="AH106" s="612">
        <f t="shared" si="544"/>
        <v>210100.00000000003</v>
      </c>
      <c r="AI106" s="613">
        <f t="shared" si="545"/>
        <v>30</v>
      </c>
      <c r="AJ106" s="614">
        <f t="shared" si="546"/>
        <v>1</v>
      </c>
      <c r="AK106" s="615" t="str">
        <f t="shared" si="547"/>
        <v>Infraestrutura</v>
      </c>
      <c r="AL106" s="614">
        <f t="shared" si="548"/>
        <v>0.05</v>
      </c>
      <c r="AM106" s="616" t="str">
        <f t="shared" si="549"/>
        <v>Sim</v>
      </c>
      <c r="AN106" s="616" t="str">
        <f t="shared" si="550"/>
        <v>Não</v>
      </c>
      <c r="AO106" s="304">
        <f t="array" ref="AO106">IF(ISBLANK($A106),0,IF(OR(AO$5-$AI106&lt;=0,$AM106="Não"),D106,D106+INDEX($AO$6:$BR$176,ROW()-5,COLUMN()-40-$AI106)))*IF($B106="Operacional",IFERROR(VLOOKUP($C106,SN_UGC,28,0),0),1)</f>
        <v>11.333333333333334</v>
      </c>
      <c r="AP106" s="304">
        <f t="array" ref="AP106">IF(ISBLANK($A106),0,IF(OR(AP$5-$AI106&lt;=0,$AM106="Não"),E106,E106+INDEX($AO$6:$BR$176,ROW()-5,COLUMN()-40-$AI106)))*IF($B106="Operacional",IFERROR(VLOOKUP($C106,SN_UGC,28,0),0),1)</f>
        <v>11.333333333333334</v>
      </c>
      <c r="AQ106" s="304">
        <f t="array" ref="AQ106">IF(ISBLANK($A106),0,IF(OR(AQ$5-$AI106&lt;=0,$AM106="Não"),F106,F106+INDEX($AO$6:$BR$176,ROW()-5,COLUMN()-40-$AI106)))*IF($B106="Operacional",IFERROR(VLOOKUP($C106,SN_UGC,28,0),0),1)</f>
        <v>11.333333333333334</v>
      </c>
      <c r="AR106" s="304">
        <f t="array" ref="AR106">IF(ISBLANK($A106),0,IF(OR(AR$5-$AI106&lt;=0,$AM106="Não"),G106,G106+INDEX($AO$6:$BR$176,ROW()-5,COLUMN()-40-$AI106)))*IF($B106="Operacional",IFERROR(VLOOKUP($C106,SN_UGC,28,0),0),1)</f>
        <v>0</v>
      </c>
      <c r="AS106" s="304">
        <f t="array" ref="AS106">IF(ISBLANK($A106),0,IF(OR(AS$5-$AI106&lt;=0,$AM106="Não"),H106,H106+INDEX($AO$6:$BR$176,ROW()-5,COLUMN()-40-$AI106)))*IF($B106="Operacional",IFERROR(VLOOKUP($C106,SN_UGC,28,0),0),1)</f>
        <v>0</v>
      </c>
      <c r="AT106" s="304">
        <f t="array" ref="AT106">IF(ISBLANK($A106),0,IF(OR(AT$5-$AI106&lt;=0,$AM106="Não"),I106,I106+INDEX($AO$6:$BR$176,ROW()-5,COLUMN()-40-$AI106)))*IF($B106="Operacional",IFERROR(VLOOKUP($C106,SN_UGC,28,0),0),1)</f>
        <v>0</v>
      </c>
      <c r="AU106" s="304">
        <f t="array" ref="AU106">IF(ISBLANK($A106),0,IF(OR(AU$5-$AI106&lt;=0,$AM106="Não"),J106,J106+INDEX($AO$6:$BR$176,ROW()-5,COLUMN()-40-$AI106)))*IF($B106="Operacional",IFERROR(VLOOKUP($C106,SN_UGC,28,0),0),1)</f>
        <v>0</v>
      </c>
      <c r="AV106" s="304">
        <f t="array" ref="AV106">IF(ISBLANK($A106),0,IF(OR(AV$5-$AI106&lt;=0,$AM106="Não"),K106,K106+INDEX($AO$6:$BR$176,ROW()-5,COLUMN()-40-$AI106)))*IF($B106="Operacional",IFERROR(VLOOKUP($C106,SN_UGC,28,0),0),1)</f>
        <v>0</v>
      </c>
      <c r="AW106" s="304">
        <f t="array" ref="AW106">IF(ISBLANK($A106),0,IF(OR(AW$5-$AI106&lt;=0,$AM106="Não"),L106,L106+INDEX($AO$6:$BR$176,ROW()-5,COLUMN()-40-$AI106)))*IF($B106="Operacional",IFERROR(VLOOKUP($C106,SN_UGC,28,0),0),1)</f>
        <v>0</v>
      </c>
      <c r="AX106" s="304">
        <f t="array" ref="AX106">IF(ISBLANK($A106),0,IF(OR(AX$5-$AI106&lt;=0,$AM106="Não"),M106,M106+INDEX($AO$6:$BR$176,ROW()-5,COLUMN()-40-$AI106)))*IF($B106="Operacional",IFERROR(VLOOKUP($C106,SN_UGC,28,0),0),1)</f>
        <v>0</v>
      </c>
      <c r="AY106" s="304">
        <f t="array" ref="AY106">IF(ISBLANK($A106),0,IF(OR(AY$5-$AI106&lt;=0,$AM106="Não"),N106,N106+INDEX($AO$6:$BR$176,ROW()-5,COLUMN()-40-$AI106)))*IF($B106="Operacional",IFERROR(VLOOKUP($C106,SN_UGC,28,0),0),1)</f>
        <v>0</v>
      </c>
      <c r="AZ106" s="304">
        <f t="array" ref="AZ106">IF(ISBLANK($A106),0,IF(OR(AZ$5-$AI106&lt;=0,$AM106="Não"),O106,O106+INDEX($AO$6:$BR$176,ROW()-5,COLUMN()-40-$AI106)))*IF($B106="Operacional",IFERROR(VLOOKUP($C106,SN_UGC,28,0),0),1)</f>
        <v>0</v>
      </c>
      <c r="BA106" s="304">
        <f t="array" ref="BA106">IF(ISBLANK($A106),0,IF(OR(BA$5-$AI106&lt;=0,$AM106="Não"),P106,P106+INDEX($AO$6:$BR$176,ROW()-5,COLUMN()-40-$AI106)))*IF($B106="Operacional",IFERROR(VLOOKUP($C106,SN_UGC,28,0),0),1)</f>
        <v>0</v>
      </c>
      <c r="BB106" s="304">
        <f t="array" ref="BB106">IF(ISBLANK($A106),0,IF(OR(BB$5-$AI106&lt;=0,$AM106="Não"),Q106,Q106+INDEX($AO$6:$BR$176,ROW()-5,COLUMN()-40-$AI106)))*IF($B106="Operacional",IFERROR(VLOOKUP($C106,SN_UGC,28,0),0),1)</f>
        <v>0</v>
      </c>
      <c r="BC106" s="304">
        <f t="array" ref="BC106">IF(ISBLANK($A106),0,IF(OR(BC$5-$AI106&lt;=0,$AM106="Não"),R106,R106+INDEX($AO$6:$BR$176,ROW()-5,COLUMN()-40-$AI106)))*IF($B106="Operacional",IFERROR(VLOOKUP($C106,SN_UGC,28,0),0),1)</f>
        <v>0</v>
      </c>
      <c r="BD106" s="304">
        <f t="array" ref="BD106">IF(ISBLANK($A106),0,IF(OR(BD$5-$AI106&lt;=0,$AM106="Não"),S106,S106+INDEX($AO$6:$BR$176,ROW()-5,COLUMN()-40-$AI106)))*IF($B106="Operacional",IFERROR(VLOOKUP($C106,SN_UGC,28,0),0),1)</f>
        <v>0</v>
      </c>
      <c r="BE106" s="304">
        <f t="array" ref="BE106">IF(ISBLANK($A106),0,IF(OR(BE$5-$AI106&lt;=0,$AM106="Não"),T106,T106+INDEX($AO$6:$BR$176,ROW()-5,COLUMN()-40-$AI106)))*IF($B106="Operacional",IFERROR(VLOOKUP($C106,SN_UGC,28,0),0),1)</f>
        <v>0</v>
      </c>
      <c r="BF106" s="304">
        <f t="array" ref="BF106">IF(ISBLANK($A106),0,IF(OR(BF$5-$AI106&lt;=0,$AM106="Não"),U106,U106+INDEX($AO$6:$BR$176,ROW()-5,COLUMN()-40-$AI106)))*IF($B106="Operacional",IFERROR(VLOOKUP($C106,SN_UGC,28,0),0),1)</f>
        <v>0</v>
      </c>
      <c r="BG106" s="304">
        <f t="array" ref="BG106">IF(ISBLANK($A106),0,IF(OR(BG$5-$AI106&lt;=0,$AM106="Não"),V106,V106+INDEX($AO$6:$BR$176,ROW()-5,COLUMN()-40-$AI106)))*IF($B106="Operacional",IFERROR(VLOOKUP($C106,SN_UGC,28,0),0),1)</f>
        <v>0</v>
      </c>
      <c r="BH106" s="304">
        <f t="array" ref="BH106">IF(ISBLANK($A106),0,IF(OR(BH$5-$AI106&lt;=0,$AM106="Não"),W106,W106+INDEX($AO$6:$BR$176,ROW()-5,COLUMN()-40-$AI106)))*IF($B106="Operacional",IFERROR(VLOOKUP($C106,SN_UGC,28,0),0),1)</f>
        <v>0</v>
      </c>
      <c r="BI106" s="304">
        <f t="array" ref="BI106">IF(ISBLANK($A106),0,IF(OR(BI$5-$AI106&lt;=0,$AM106="Não"),X106,X106+INDEX($AO$6:$BR$176,ROW()-5,COLUMN()-40-$AI106)))*IF($B106="Operacional",IFERROR(VLOOKUP($C106,SN_UGC,28,0),0),1)</f>
        <v>0</v>
      </c>
      <c r="BJ106" s="304">
        <f t="array" ref="BJ106">IF(ISBLANK($A106),0,IF(OR(BJ$5-$AI106&lt;=0,$AM106="Não"),Y106,Y106+INDEX($AO$6:$BR$176,ROW()-5,COLUMN()-40-$AI106)))*IF($B106="Operacional",IFERROR(VLOOKUP($C106,SN_UGC,28,0),0),1)</f>
        <v>0</v>
      </c>
      <c r="BK106" s="304">
        <f t="array" ref="BK106">IF(ISBLANK($A106),0,IF(OR(BK$5-$AI106&lt;=0,$AM106="Não"),Z106,Z106+INDEX($AO$6:$BR$176,ROW()-5,COLUMN()-40-$AI106)))*IF($B106="Operacional",IFERROR(VLOOKUP($C106,SN_UGC,28,0),0),1)</f>
        <v>0</v>
      </c>
      <c r="BL106" s="304">
        <f t="array" ref="BL106">IF(ISBLANK($A106),0,IF(OR(BL$5-$AI106&lt;=0,$AM106="Não"),AA106,AA106+INDEX($AO$6:$BR$176,ROW()-5,COLUMN()-40-$AI106)))*IF($B106="Operacional",IFERROR(VLOOKUP($C106,SN_UGC,28,0),0),1)</f>
        <v>0</v>
      </c>
      <c r="BM106" s="304">
        <f t="array" ref="BM106">IF(ISBLANK($A106),0,IF(OR(BM$5-$AI106&lt;=0,$AM106="Não"),AB106,AB106+INDEX($AO$6:$BR$176,ROW()-5,COLUMN()-40-$AI106)))*IF($B106="Operacional",IFERROR(VLOOKUP($C106,SN_UGC,28,0),0),1)</f>
        <v>0</v>
      </c>
      <c r="BN106" s="304">
        <f t="array" ref="BN106">IF(ISBLANK($A106),0,IF(OR(BN$5-$AI106&lt;=0,$AM106="Não"),AC106,AC106+INDEX($AO$6:$BR$176,ROW()-5,COLUMN()-40-$AI106)))*IF($B106="Operacional",IFERROR(VLOOKUP($C106,SN_UGC,28,0),0),1)</f>
        <v>0</v>
      </c>
      <c r="BO106" s="304">
        <f t="array" ref="BO106">IF(ISBLANK($A106),0,IF(OR(BO$5-$AI106&lt;=0,$AM106="Não"),AD106,AD106+INDEX($AO$6:$BR$176,ROW()-5,COLUMN()-40-$AI106)))*IF($B106="Operacional",IFERROR(VLOOKUP($C106,SN_UGC,28,0),0),1)</f>
        <v>0</v>
      </c>
      <c r="BP106" s="304">
        <f t="array" ref="BP106">IF(ISBLANK($A106),0,IF(OR(BP$5-$AI106&lt;=0,$AM106="Não"),AE106,AE106+INDEX($AO$6:$BR$176,ROW()-5,COLUMN()-40-$AI106)))*IF($B106="Operacional",IFERROR(VLOOKUP($C106,SN_UGC,28,0),0),1)</f>
        <v>0</v>
      </c>
      <c r="BQ106" s="304">
        <f t="array" ref="BQ106">IF(ISBLANK($A106),0,IF(OR(BQ$5-$AI106&lt;=0,$AM106="Não"),AF106,AF106+INDEX($AO$6:$BR$176,ROW()-5,COLUMN()-40-$AI106)))*IF($B106="Operacional",IFERROR(VLOOKUP($C106,SN_UGC,28,0),0),1)</f>
        <v>0</v>
      </c>
      <c r="BR106" s="304">
        <f t="array" ref="BR106">IF(ISBLANK($A106),0,IF(OR(BR$5-$AI106&lt;=0,$AM106="Não"),AG106,AG106+INDEX($AO$6:$BR$176,ROW()-5,COLUMN()-40-$AI106)))*IF($B106="Operacional",IFERROR(VLOOKUP($C106,SN_UGC,28,0),0),1)</f>
        <v>0</v>
      </c>
      <c r="BS106" s="305">
        <f t="shared" ref="BS106:CV106" si="555">IF(ISBLANK($A106),0,$AH106*AO106)</f>
        <v>2381133.333333334</v>
      </c>
      <c r="BT106" s="305">
        <f t="shared" si="555"/>
        <v>2381133.333333334</v>
      </c>
      <c r="BU106" s="305">
        <f t="shared" si="555"/>
        <v>2381133.333333334</v>
      </c>
      <c r="BV106" s="305">
        <f t="shared" si="555"/>
        <v>0</v>
      </c>
      <c r="BW106" s="305">
        <f t="shared" si="555"/>
        <v>0</v>
      </c>
      <c r="BX106" s="305">
        <f t="shared" si="555"/>
        <v>0</v>
      </c>
      <c r="BY106" s="305">
        <f t="shared" si="555"/>
        <v>0</v>
      </c>
      <c r="BZ106" s="305">
        <f t="shared" si="555"/>
        <v>0</v>
      </c>
      <c r="CA106" s="305">
        <f t="shared" si="555"/>
        <v>0</v>
      </c>
      <c r="CB106" s="305">
        <f t="shared" si="555"/>
        <v>0</v>
      </c>
      <c r="CC106" s="305">
        <f t="shared" si="555"/>
        <v>0</v>
      </c>
      <c r="CD106" s="305">
        <f t="shared" si="555"/>
        <v>0</v>
      </c>
      <c r="CE106" s="305">
        <f t="shared" si="555"/>
        <v>0</v>
      </c>
      <c r="CF106" s="305">
        <f t="shared" si="555"/>
        <v>0</v>
      </c>
      <c r="CG106" s="305">
        <f t="shared" si="555"/>
        <v>0</v>
      </c>
      <c r="CH106" s="305">
        <f t="shared" si="555"/>
        <v>0</v>
      </c>
      <c r="CI106" s="305">
        <f t="shared" si="555"/>
        <v>0</v>
      </c>
      <c r="CJ106" s="305">
        <f t="shared" si="555"/>
        <v>0</v>
      </c>
      <c r="CK106" s="305">
        <f t="shared" si="555"/>
        <v>0</v>
      </c>
      <c r="CL106" s="305">
        <f t="shared" si="555"/>
        <v>0</v>
      </c>
      <c r="CM106" s="305">
        <f t="shared" si="555"/>
        <v>0</v>
      </c>
      <c r="CN106" s="305">
        <f t="shared" si="555"/>
        <v>0</v>
      </c>
      <c r="CO106" s="305">
        <f t="shared" si="555"/>
        <v>0</v>
      </c>
      <c r="CP106" s="305">
        <f t="shared" si="555"/>
        <v>0</v>
      </c>
      <c r="CQ106" s="305">
        <f t="shared" si="555"/>
        <v>0</v>
      </c>
      <c r="CR106" s="305">
        <f t="shared" si="555"/>
        <v>0</v>
      </c>
      <c r="CS106" s="305">
        <f t="shared" si="555"/>
        <v>0</v>
      </c>
      <c r="CT106" s="305">
        <f t="shared" si="555"/>
        <v>0</v>
      </c>
      <c r="CU106" s="305">
        <f t="shared" si="555"/>
        <v>0</v>
      </c>
      <c r="CV106" s="305">
        <f t="shared" si="555"/>
        <v>0</v>
      </c>
      <c r="CW106" s="306">
        <f t="shared" ref="CW106:DZ106" si="556">EA106*$AH106*$AJ106</f>
        <v>0</v>
      </c>
      <c r="CX106" s="306">
        <f t="shared" si="556"/>
        <v>0</v>
      </c>
      <c r="CY106" s="306">
        <f t="shared" si="556"/>
        <v>0</v>
      </c>
      <c r="CZ106" s="306">
        <f t="shared" si="556"/>
        <v>0</v>
      </c>
      <c r="DA106" s="306">
        <f t="shared" si="556"/>
        <v>0</v>
      </c>
      <c r="DB106" s="306">
        <f t="shared" si="556"/>
        <v>0</v>
      </c>
      <c r="DC106" s="306">
        <f t="shared" si="556"/>
        <v>0</v>
      </c>
      <c r="DD106" s="306">
        <f t="shared" si="556"/>
        <v>0</v>
      </c>
      <c r="DE106" s="306">
        <f t="shared" si="556"/>
        <v>0</v>
      </c>
      <c r="DF106" s="306">
        <f t="shared" si="556"/>
        <v>0</v>
      </c>
      <c r="DG106" s="306">
        <f t="shared" si="556"/>
        <v>0</v>
      </c>
      <c r="DH106" s="306">
        <f t="shared" si="556"/>
        <v>0</v>
      </c>
      <c r="DI106" s="306">
        <f t="shared" si="556"/>
        <v>0</v>
      </c>
      <c r="DJ106" s="306">
        <f t="shared" si="556"/>
        <v>0</v>
      </c>
      <c r="DK106" s="306">
        <f t="shared" si="556"/>
        <v>0</v>
      </c>
      <c r="DL106" s="306">
        <f t="shared" si="556"/>
        <v>0</v>
      </c>
      <c r="DM106" s="306">
        <f t="shared" si="556"/>
        <v>0</v>
      </c>
      <c r="DN106" s="306">
        <f t="shared" si="556"/>
        <v>0</v>
      </c>
      <c r="DO106" s="306">
        <f t="shared" si="556"/>
        <v>0</v>
      </c>
      <c r="DP106" s="306">
        <f t="shared" si="556"/>
        <v>0</v>
      </c>
      <c r="DQ106" s="306">
        <f t="shared" si="556"/>
        <v>0</v>
      </c>
      <c r="DR106" s="306">
        <f t="shared" si="556"/>
        <v>0</v>
      </c>
      <c r="DS106" s="306">
        <f t="shared" si="556"/>
        <v>0</v>
      </c>
      <c r="DT106" s="306">
        <f t="shared" si="556"/>
        <v>0</v>
      </c>
      <c r="DU106" s="306">
        <f t="shared" si="556"/>
        <v>0</v>
      </c>
      <c r="DV106" s="306">
        <f t="shared" si="556"/>
        <v>0</v>
      </c>
      <c r="DW106" s="306">
        <f t="shared" si="556"/>
        <v>0</v>
      </c>
      <c r="DX106" s="306">
        <f t="shared" si="556"/>
        <v>0</v>
      </c>
      <c r="DY106" s="306">
        <f t="shared" si="556"/>
        <v>0</v>
      </c>
      <c r="DZ106" s="306">
        <f t="shared" si="556"/>
        <v>0</v>
      </c>
      <c r="EA106" s="307">
        <f t="shared" si="504"/>
        <v>0</v>
      </c>
      <c r="EB106" s="307">
        <f t="shared" si="505"/>
        <v>0</v>
      </c>
      <c r="EC106" s="307">
        <f t="shared" si="506"/>
        <v>0</v>
      </c>
      <c r="ED106" s="307">
        <f t="shared" si="507"/>
        <v>0</v>
      </c>
      <c r="EE106" s="307">
        <f t="shared" si="508"/>
        <v>0</v>
      </c>
      <c r="EF106" s="307">
        <f t="shared" si="509"/>
        <v>0</v>
      </c>
      <c r="EG106" s="307">
        <f t="shared" si="510"/>
        <v>0</v>
      </c>
      <c r="EH106" s="307">
        <f t="shared" si="511"/>
        <v>0</v>
      </c>
      <c r="EI106" s="307">
        <f t="shared" si="512"/>
        <v>0</v>
      </c>
      <c r="EJ106" s="307">
        <f t="shared" si="513"/>
        <v>0</v>
      </c>
      <c r="EK106" s="307">
        <f t="shared" si="514"/>
        <v>0</v>
      </c>
      <c r="EL106" s="307">
        <f t="shared" si="515"/>
        <v>0</v>
      </c>
      <c r="EM106" s="307">
        <f t="shared" si="516"/>
        <v>0</v>
      </c>
      <c r="EN106" s="307">
        <f t="shared" si="517"/>
        <v>0</v>
      </c>
      <c r="EO106" s="307">
        <f t="shared" si="518"/>
        <v>0</v>
      </c>
      <c r="EP106" s="307">
        <f t="shared" si="519"/>
        <v>0</v>
      </c>
      <c r="EQ106" s="307">
        <f t="shared" si="520"/>
        <v>0</v>
      </c>
      <c r="ER106" s="307">
        <f t="shared" si="521"/>
        <v>0</v>
      </c>
      <c r="ES106" s="307">
        <f t="shared" si="522"/>
        <v>0</v>
      </c>
      <c r="ET106" s="307">
        <f t="shared" si="523"/>
        <v>0</v>
      </c>
      <c r="EU106" s="307">
        <f t="shared" si="524"/>
        <v>0</v>
      </c>
      <c r="EV106" s="307">
        <f t="shared" si="525"/>
        <v>0</v>
      </c>
      <c r="EW106" s="307">
        <f t="shared" si="526"/>
        <v>0</v>
      </c>
      <c r="EX106" s="307">
        <f t="shared" si="527"/>
        <v>0</v>
      </c>
      <c r="EY106" s="307">
        <f t="shared" si="528"/>
        <v>0</v>
      </c>
      <c r="EZ106" s="307">
        <f t="shared" si="529"/>
        <v>0</v>
      </c>
      <c r="FA106" s="307">
        <f t="shared" si="530"/>
        <v>0</v>
      </c>
      <c r="FB106" s="307">
        <f t="shared" si="531"/>
        <v>0</v>
      </c>
      <c r="FC106" s="307">
        <f t="shared" si="532"/>
        <v>0</v>
      </c>
      <c r="FD106" s="307">
        <f t="shared" si="533"/>
        <v>0</v>
      </c>
      <c r="FE106" s="304">
        <f>SUM($D106:D106)*IF($B106="Operacional",IFERROR(VLOOKUP($C106,SN_UGC,28,0),0),1)</f>
        <v>11.333333333333334</v>
      </c>
      <c r="FF106" s="304">
        <f>SUM($D106:E106)*IF($B106="Operacional",IFERROR(VLOOKUP($C106,SN_UGC,28,0),0),1)</f>
        <v>22.666666666666668</v>
      </c>
      <c r="FG106" s="304">
        <f>SUM($D106:F106)*IF($B106="Operacional",IFERROR(VLOOKUP($C106,SN_UGC,28,0),0),1)</f>
        <v>34</v>
      </c>
      <c r="FH106" s="304">
        <f>SUM($D106:G106)*IF($B106="Operacional",IFERROR(VLOOKUP($C106,SN_UGC,28,0),0),1)</f>
        <v>34</v>
      </c>
      <c r="FI106" s="304">
        <f>SUM($D106:H106)*IF($B106="Operacional",IFERROR(VLOOKUP($C106,SN_UGC,28,0),0),1)</f>
        <v>34</v>
      </c>
      <c r="FJ106" s="304">
        <f>SUM($D106:I106)*IF($B106="Operacional",IFERROR(VLOOKUP($C106,SN_UGC,28,0),0),1)</f>
        <v>34</v>
      </c>
      <c r="FK106" s="304">
        <f>SUM($D106:J106)*IF($B106="Operacional",IFERROR(VLOOKUP($C106,SN_UGC,28,0),0),1)</f>
        <v>34</v>
      </c>
      <c r="FL106" s="304">
        <f>SUM($D106:K106)*IF($B106="Operacional",IFERROR(VLOOKUP($C106,SN_UGC,28,0),0),1)</f>
        <v>34</v>
      </c>
      <c r="FM106" s="304">
        <f>SUM($D106:L106)*IF($B106="Operacional",IFERROR(VLOOKUP($C106,SN_UGC,28,0),0),1)</f>
        <v>34</v>
      </c>
      <c r="FN106" s="304">
        <f>SUM($D106:M106)*IF($B106="Operacional",IFERROR(VLOOKUP($C106,SN_UGC,28,0),0),1)</f>
        <v>34</v>
      </c>
      <c r="FO106" s="304">
        <f>SUM($D106:N106)*IF($B106="Operacional",IFERROR(VLOOKUP($C106,SN_UGC,28,0),0),1)</f>
        <v>34</v>
      </c>
      <c r="FP106" s="304">
        <f>SUM($D106:O106)*IF($B106="Operacional",IFERROR(VLOOKUP($C106,SN_UGC,28,0),0),1)</f>
        <v>34</v>
      </c>
      <c r="FQ106" s="304">
        <f>SUM($D106:P106)*IF($B106="Operacional",IFERROR(VLOOKUP($C106,SN_UGC,28,0),0),1)</f>
        <v>34</v>
      </c>
      <c r="FR106" s="304">
        <f>SUM($D106:Q106)*IF($B106="Operacional",IFERROR(VLOOKUP($C106,SN_UGC,28,0),0),1)</f>
        <v>34</v>
      </c>
      <c r="FS106" s="304">
        <f>SUM($D106:R106)*IF($B106="Operacional",IFERROR(VLOOKUP($C106,SN_UGC,28,0),0),1)</f>
        <v>34</v>
      </c>
      <c r="FT106" s="304">
        <f>SUM($D106:S106)*IF($B106="Operacional",IFERROR(VLOOKUP($C106,SN_UGC,28,0),0),1)</f>
        <v>34</v>
      </c>
      <c r="FU106" s="304">
        <f>SUM($D106:T106)*IF($B106="Operacional",IFERROR(VLOOKUP($C106,SN_UGC,28,0),0),1)</f>
        <v>34</v>
      </c>
      <c r="FV106" s="304">
        <f>SUM($D106:U106)*IF($B106="Operacional",IFERROR(VLOOKUP($C106,SN_UGC,28,0),0),1)</f>
        <v>34</v>
      </c>
      <c r="FW106" s="304">
        <f>SUM($D106:V106)*IF($B106="Operacional",IFERROR(VLOOKUP($C106,SN_UGC,28,0),0),1)</f>
        <v>34</v>
      </c>
      <c r="FX106" s="304">
        <f>SUM($D106:W106)*IF($B106="Operacional",IFERROR(VLOOKUP($C106,SN_UGC,28,0),0),1)</f>
        <v>34</v>
      </c>
      <c r="FY106" s="304">
        <f>SUM($D106:X106)*IF($B106="Operacional",IFERROR(VLOOKUP($C106,SN_UGC,28,0),0),1)</f>
        <v>34</v>
      </c>
      <c r="FZ106" s="304">
        <f>SUM($D106:Y106)*IF($B106="Operacional",IFERROR(VLOOKUP($C106,SN_UGC,28,0),0),1)</f>
        <v>34</v>
      </c>
      <c r="GA106" s="304">
        <f>SUM($D106:Z106)*IF($B106="Operacional",IFERROR(VLOOKUP($C106,SN_UGC,28,0),0),1)</f>
        <v>34</v>
      </c>
      <c r="GB106" s="304">
        <f>SUM($D106:AA106)*IF($B106="Operacional",IFERROR(VLOOKUP($C106,SN_UGC,28,0),0),1)</f>
        <v>34</v>
      </c>
      <c r="GC106" s="304">
        <f>SUM($D106:AB106)*IF($B106="Operacional",IFERROR(VLOOKUP($C106,SN_UGC,28,0),0),1)</f>
        <v>34</v>
      </c>
      <c r="GD106" s="304">
        <f>SUM($D106:AC106)*IF($B106="Operacional",IFERROR(VLOOKUP($C106,SN_UGC,28,0),0),1)</f>
        <v>34</v>
      </c>
      <c r="GE106" s="304">
        <f>SUM($D106:AD106)*IF($B106="Operacional",IFERROR(VLOOKUP($C106,SN_UGC,28,0),0),1)</f>
        <v>34</v>
      </c>
      <c r="GF106" s="304">
        <f>SUM($D106:AE106)*IF($B106="Operacional",IFERROR(VLOOKUP($C106,SN_UGC,28,0),0),1)</f>
        <v>34</v>
      </c>
      <c r="GG106" s="304">
        <f>SUM($D106:AF106)*IF($B106="Operacional",IFERROR(VLOOKUP($C106,SN_UGC,28,0),0),1)</f>
        <v>34</v>
      </c>
      <c r="GH106" s="304">
        <f>SUM($D106:AG106)*IF($B106="Operacional",IFERROR(VLOOKUP($C106,SN_UGC,28,0),0),1)</f>
        <v>34</v>
      </c>
      <c r="GI106" s="305">
        <f t="shared" ref="GI106:HL106" si="557">FE106*$AH106*$AL106</f>
        <v>119056.6666666667</v>
      </c>
      <c r="GJ106" s="305">
        <f t="shared" si="557"/>
        <v>238113.3333333334</v>
      </c>
      <c r="GK106" s="305">
        <f t="shared" si="557"/>
        <v>357170.00000000006</v>
      </c>
      <c r="GL106" s="305">
        <f t="shared" si="557"/>
        <v>357170.00000000006</v>
      </c>
      <c r="GM106" s="305">
        <f t="shared" si="557"/>
        <v>357170.00000000006</v>
      </c>
      <c r="GN106" s="305">
        <f t="shared" si="557"/>
        <v>357170.00000000006</v>
      </c>
      <c r="GO106" s="305">
        <f t="shared" si="557"/>
        <v>357170.00000000006</v>
      </c>
      <c r="GP106" s="305">
        <f t="shared" si="557"/>
        <v>357170.00000000006</v>
      </c>
      <c r="GQ106" s="305">
        <f t="shared" si="557"/>
        <v>357170.00000000006</v>
      </c>
      <c r="GR106" s="305">
        <f t="shared" si="557"/>
        <v>357170.00000000006</v>
      </c>
      <c r="GS106" s="305">
        <f t="shared" si="557"/>
        <v>357170.00000000006</v>
      </c>
      <c r="GT106" s="305">
        <f t="shared" si="557"/>
        <v>357170.00000000006</v>
      </c>
      <c r="GU106" s="305">
        <f t="shared" si="557"/>
        <v>357170.00000000006</v>
      </c>
      <c r="GV106" s="305">
        <f t="shared" si="557"/>
        <v>357170.00000000006</v>
      </c>
      <c r="GW106" s="305">
        <f t="shared" si="557"/>
        <v>357170.00000000006</v>
      </c>
      <c r="GX106" s="305">
        <f t="shared" si="557"/>
        <v>357170.00000000006</v>
      </c>
      <c r="GY106" s="305">
        <f t="shared" si="557"/>
        <v>357170.00000000006</v>
      </c>
      <c r="GZ106" s="305">
        <f t="shared" si="557"/>
        <v>357170.00000000006</v>
      </c>
      <c r="HA106" s="305">
        <f t="shared" si="557"/>
        <v>357170.00000000006</v>
      </c>
      <c r="HB106" s="305">
        <f t="shared" si="557"/>
        <v>357170.00000000006</v>
      </c>
      <c r="HC106" s="305">
        <f t="shared" si="557"/>
        <v>357170.00000000006</v>
      </c>
      <c r="HD106" s="305">
        <f t="shared" si="557"/>
        <v>357170.00000000006</v>
      </c>
      <c r="HE106" s="305">
        <f t="shared" si="557"/>
        <v>357170.00000000006</v>
      </c>
      <c r="HF106" s="305">
        <f t="shared" si="557"/>
        <v>357170.00000000006</v>
      </c>
      <c r="HG106" s="305">
        <f t="shared" si="557"/>
        <v>357170.00000000006</v>
      </c>
      <c r="HH106" s="305">
        <f t="shared" si="557"/>
        <v>357170.00000000006</v>
      </c>
      <c r="HI106" s="305">
        <f t="shared" si="557"/>
        <v>357170.00000000006</v>
      </c>
      <c r="HJ106" s="305">
        <f t="shared" si="557"/>
        <v>357170.00000000006</v>
      </c>
      <c r="HK106" s="305">
        <f t="shared" si="557"/>
        <v>357170.00000000006</v>
      </c>
      <c r="HL106" s="305">
        <f t="shared" si="557"/>
        <v>357170.00000000006</v>
      </c>
      <c r="HM106" s="306">
        <f t="shared" ref="HM106:IP106" si="558">IF(ISBLANK($A106),,FE106*($AH106-($AH106*$AJ106))/$AI106)</f>
        <v>0</v>
      </c>
      <c r="HN106" s="306">
        <f t="shared" si="558"/>
        <v>0</v>
      </c>
      <c r="HO106" s="306">
        <f t="shared" si="558"/>
        <v>0</v>
      </c>
      <c r="HP106" s="306">
        <f t="shared" si="558"/>
        <v>0</v>
      </c>
      <c r="HQ106" s="306">
        <f t="shared" si="558"/>
        <v>0</v>
      </c>
      <c r="HR106" s="306">
        <f t="shared" si="558"/>
        <v>0</v>
      </c>
      <c r="HS106" s="306">
        <f t="shared" si="558"/>
        <v>0</v>
      </c>
      <c r="HT106" s="306">
        <f t="shared" si="558"/>
        <v>0</v>
      </c>
      <c r="HU106" s="306">
        <f t="shared" si="558"/>
        <v>0</v>
      </c>
      <c r="HV106" s="306">
        <f t="shared" si="558"/>
        <v>0</v>
      </c>
      <c r="HW106" s="306">
        <f t="shared" si="558"/>
        <v>0</v>
      </c>
      <c r="HX106" s="306">
        <f t="shared" si="558"/>
        <v>0</v>
      </c>
      <c r="HY106" s="306">
        <f t="shared" si="558"/>
        <v>0</v>
      </c>
      <c r="HZ106" s="306">
        <f t="shared" si="558"/>
        <v>0</v>
      </c>
      <c r="IA106" s="306">
        <f t="shared" si="558"/>
        <v>0</v>
      </c>
      <c r="IB106" s="306">
        <f t="shared" si="558"/>
        <v>0</v>
      </c>
      <c r="IC106" s="306">
        <f t="shared" si="558"/>
        <v>0</v>
      </c>
      <c r="ID106" s="306">
        <f t="shared" si="558"/>
        <v>0</v>
      </c>
      <c r="IE106" s="306">
        <f t="shared" si="558"/>
        <v>0</v>
      </c>
      <c r="IF106" s="306">
        <f t="shared" si="558"/>
        <v>0</v>
      </c>
      <c r="IG106" s="306">
        <f t="shared" si="558"/>
        <v>0</v>
      </c>
      <c r="IH106" s="306">
        <f t="shared" si="558"/>
        <v>0</v>
      </c>
      <c r="II106" s="306">
        <f t="shared" si="558"/>
        <v>0</v>
      </c>
      <c r="IJ106" s="306">
        <f t="shared" si="558"/>
        <v>0</v>
      </c>
      <c r="IK106" s="306">
        <f t="shared" si="558"/>
        <v>0</v>
      </c>
      <c r="IL106" s="306">
        <f t="shared" si="558"/>
        <v>0</v>
      </c>
      <c r="IM106" s="306">
        <f t="shared" si="558"/>
        <v>0</v>
      </c>
      <c r="IN106" s="306">
        <f t="shared" si="558"/>
        <v>0</v>
      </c>
      <c r="IO106" s="306">
        <f t="shared" si="558"/>
        <v>0</v>
      </c>
      <c r="IP106" s="306">
        <f t="shared" si="558"/>
        <v>0</v>
      </c>
      <c r="IQ106" s="305">
        <f>IF(ISBLANK($A106),,IF($AN106="Não",0,(SUM($AO106:AO106)*$AH106)-SUM($HM106:HM106)-SUM($CW106:CW106)))</f>
        <v>0</v>
      </c>
      <c r="IR106" s="305">
        <f>IF(ISBLANK($A106),,IF($AN106="Não",0,(SUM($AO106:AP106)*$AH106)-SUM($HM106:HN106)-SUM($CW106:CX106)))</f>
        <v>0</v>
      </c>
      <c r="IS106" s="305">
        <f>IF(ISBLANK($A106),,IF($AN106="Não",0,(SUM($AO106:AQ106)*$AH106)-SUM($HM106:HO106)-SUM($CW106:CY106)))</f>
        <v>0</v>
      </c>
      <c r="IT106" s="305">
        <f>IF(ISBLANK($A106),,IF($AN106="Não",0,(SUM($AO106:AR106)*$AH106)-SUM($HM106:HP106)-SUM($CW106:CZ106)))</f>
        <v>0</v>
      </c>
      <c r="IU106" s="305">
        <f>IF(ISBLANK($A106),,IF($AN106="Não",0,(SUM($AO106:AS106)*$AH106)-SUM($HM106:HQ106)-SUM($CW106:DA106)))</f>
        <v>0</v>
      </c>
      <c r="IV106" s="305">
        <f>IF(ISBLANK($A106),,IF($AN106="Não",0,(SUM($AO106:AT106)*$AH106)-SUM($HM106:HR106)-SUM($CW106:DB106)))</f>
        <v>0</v>
      </c>
      <c r="IW106" s="305">
        <f>IF(ISBLANK($A106),,IF($AN106="Não",0,(SUM($AO106:AU106)*$AH106)-SUM($HM106:HS106)-SUM($CW106:DC106)))</f>
        <v>0</v>
      </c>
      <c r="IX106" s="305">
        <f>IF(ISBLANK($A106),,IF($AN106="Não",0,(SUM($AO106:AV106)*$AH106)-SUM($HM106:HT106)-SUM($CW106:DD106)))</f>
        <v>0</v>
      </c>
      <c r="IY106" s="305">
        <f>IF(ISBLANK($A106),,IF($AN106="Não",0,(SUM($AO106:AW106)*$AH106)-SUM($HM106:HU106)-SUM($CW106:DE106)))</f>
        <v>0</v>
      </c>
      <c r="IZ106" s="305">
        <f>IF(ISBLANK($A106),,IF($AN106="Não",0,(SUM($AO106:AX106)*$AH106)-SUM($HM106:HV106)-SUM($CW106:DF106)))</f>
        <v>0</v>
      </c>
      <c r="JA106" s="305">
        <f>IF(ISBLANK($A106),,IF($AN106="Não",0,(SUM($AO106:AY106)*$AH106)-SUM($HM106:HW106)-SUM($CW106:DG106)))</f>
        <v>0</v>
      </c>
      <c r="JB106" s="305">
        <f>IF(ISBLANK($A106),,IF($AN106="Não",0,(SUM($AO106:AZ106)*$AH106)-SUM($HM106:HX106)-SUM($CW106:DH106)))</f>
        <v>0</v>
      </c>
      <c r="JC106" s="305">
        <f>IF(ISBLANK($A106),,IF($AN106="Não",0,(SUM($AO106:BA106)*$AH106)-SUM($HM106:HY106)-SUM($CW106:DI106)))</f>
        <v>0</v>
      </c>
      <c r="JD106" s="305">
        <f>IF(ISBLANK($A106),,IF($AN106="Não",0,(SUM($AO106:BB106)*$AH106)-SUM($HM106:HZ106)-SUM($CW106:DJ106)))</f>
        <v>0</v>
      </c>
      <c r="JE106" s="305">
        <f>IF(ISBLANK($A106),,IF($AN106="Não",0,(SUM($AO106:BC106)*$AH106)-SUM($HM106:IA106)-SUM($CW106:DK106)))</f>
        <v>0</v>
      </c>
      <c r="JF106" s="305">
        <f>IF(ISBLANK($A106),,IF($AN106="Não",0,(SUM($AO106:BD106)*$AH106)-SUM($HM106:IB106)-SUM($CW106:DL106)))</f>
        <v>0</v>
      </c>
      <c r="JG106" s="305">
        <f>IF(ISBLANK($A106),,IF($AN106="Não",0,(SUM($AO106:BE106)*$AH106)-SUM($HM106:IC106)-SUM($CW106:DM106)))</f>
        <v>0</v>
      </c>
      <c r="JH106" s="305">
        <f>IF(ISBLANK($A106),,IF($AN106="Não",0,(SUM($AO106:BF106)*$AH106)-SUM($HM106:ID106)-SUM($CW106:DN106)))</f>
        <v>0</v>
      </c>
      <c r="JI106" s="305">
        <f>IF(ISBLANK($A106),,IF($AN106="Não",0,(SUM($AO106:BG106)*$AH106)-SUM($HM106:IE106)-SUM($CW106:DO106)))</f>
        <v>0</v>
      </c>
      <c r="JJ106" s="305">
        <f>IF(ISBLANK($A106),,IF($AN106="Não",0,(SUM($AO106:BH106)*$AH106)-SUM($HM106:IF106)-SUM($CW106:DP106)))</f>
        <v>0</v>
      </c>
      <c r="JK106" s="305">
        <f>IF(ISBLANK($A106),,IF($AN106="Não",0,(SUM($AO106:BI106)*$AH106)-SUM($HM106:IG106)-SUM($CW106:DQ106)))</f>
        <v>0</v>
      </c>
      <c r="JL106" s="305">
        <f>IF(ISBLANK($A106),,IF($AN106="Não",0,(SUM($AO106:BJ106)*$AH106)-SUM($HM106:IH106)-SUM($CW106:DR106)))</f>
        <v>0</v>
      </c>
      <c r="JM106" s="305">
        <f>IF(ISBLANK($A106),,IF($AN106="Não",0,(SUM($AO106:BK106)*$AH106)-SUM($HM106:II106)-SUM($CW106:DS106)))</f>
        <v>0</v>
      </c>
      <c r="JN106" s="305">
        <f>IF(ISBLANK($A106),,IF($AN106="Não",0,(SUM($AO106:BL106)*$AH106)-SUM($HM106:IJ106)-SUM($CW106:DT106)))</f>
        <v>0</v>
      </c>
      <c r="JO106" s="305">
        <f>IF(ISBLANK($A106),,IF($AN106="Não",0,(SUM($AO106:BM106)*$AH106)-SUM($HM106:IK106)-SUM($CW106:DU106)))</f>
        <v>0</v>
      </c>
      <c r="JP106" s="305">
        <f>IF(ISBLANK($A106),,IF($AN106="Não",0,(SUM($AO106:BN106)*$AH106)-SUM($HM106:IL106)-SUM($CW106:DV106)))</f>
        <v>0</v>
      </c>
      <c r="JQ106" s="305">
        <f>IF(ISBLANK($A106),,IF($AN106="Não",0,(SUM($AO106:BO106)*$AH106)-SUM($HM106:IM106)-SUM($CW106:DW106)))</f>
        <v>0</v>
      </c>
      <c r="JR106" s="305">
        <f>IF(ISBLANK($A106),,IF($AN106="Não",0,(SUM($AO106:BP106)*$AH106)-SUM($HM106:IN106)-SUM($CW106:DX106)))</f>
        <v>0</v>
      </c>
      <c r="JS106" s="305">
        <f>IF(ISBLANK($A106),,IF($AN106="Não",0,(SUM($AO106:BQ106)*$AH106)-SUM($HM106:IO106)-SUM($CW106:DY106)))</f>
        <v>0</v>
      </c>
      <c r="JT106" s="305">
        <f>IF(ISBLANK($A106),,IF($AN106="Não",0,(SUM($AO106:BR106)*$AH106)-SUM($HM106:IP106)-SUM($CW106:DZ106)))</f>
        <v>0</v>
      </c>
    </row>
    <row r="107" spans="1:280" ht="15.75" customHeight="1">
      <c r="A107" s="296" t="s">
        <v>352</v>
      </c>
      <c r="B107" s="296" t="s">
        <v>191</v>
      </c>
      <c r="C107" s="303" t="s">
        <v>196</v>
      </c>
      <c r="D107" s="301">
        <f>1300/3</f>
        <v>433.33333333333331</v>
      </c>
      <c r="E107" s="301">
        <f t="shared" ref="E107:F107" si="559">1300/3</f>
        <v>433.33333333333331</v>
      </c>
      <c r="F107" s="301">
        <f t="shared" si="559"/>
        <v>433.33333333333331</v>
      </c>
      <c r="G107" s="301"/>
      <c r="H107" s="301"/>
      <c r="I107" s="301"/>
      <c r="J107" s="301"/>
      <c r="K107" s="301"/>
      <c r="L107" s="301"/>
      <c r="M107" s="301"/>
      <c r="N107" s="301"/>
      <c r="O107" s="301"/>
      <c r="P107" s="301"/>
      <c r="Q107" s="301"/>
      <c r="R107" s="301"/>
      <c r="S107" s="301"/>
      <c r="T107" s="301"/>
      <c r="U107" s="301"/>
      <c r="V107" s="301"/>
      <c r="W107" s="301"/>
      <c r="X107" s="301"/>
      <c r="Y107" s="301"/>
      <c r="Z107" s="301"/>
      <c r="AA107" s="301"/>
      <c r="AB107" s="301"/>
      <c r="AC107" s="301"/>
      <c r="AD107" s="301"/>
      <c r="AE107" s="301"/>
      <c r="AF107" s="301"/>
      <c r="AG107" s="301"/>
      <c r="AH107" s="612">
        <f t="shared" si="544"/>
        <v>2372.59</v>
      </c>
      <c r="AI107" s="613">
        <f t="shared" si="545"/>
        <v>30</v>
      </c>
      <c r="AJ107" s="614">
        <f t="shared" si="546"/>
        <v>0</v>
      </c>
      <c r="AK107" s="615" t="str">
        <f t="shared" si="547"/>
        <v>Edificações</v>
      </c>
      <c r="AL107" s="614">
        <f t="shared" si="548"/>
        <v>0.05</v>
      </c>
      <c r="AM107" s="616" t="str">
        <f t="shared" si="549"/>
        <v>Sim</v>
      </c>
      <c r="AN107" s="616" t="str">
        <f t="shared" si="550"/>
        <v>Não</v>
      </c>
      <c r="AO107" s="304">
        <f t="array" ref="AO107">IF(ISBLANK($A107),0,IF(OR(AO$5-$AI107&lt;=0,$AM107="Não"),D107,D107+INDEX($AO$6:$BR$176,ROW()-5,COLUMN()-40-$AI107)))*IF($B107="Operacional",IFERROR(VLOOKUP($C107,SN_UGC,28,0),0),1)</f>
        <v>433.33333333333331</v>
      </c>
      <c r="AP107" s="304">
        <f t="array" ref="AP107">IF(ISBLANK($A107),0,IF(OR(AP$5-$AI107&lt;=0,$AM107="Não"),E107,E107+INDEX($AO$6:$BR$176,ROW()-5,COLUMN()-40-$AI107)))*IF($B107="Operacional",IFERROR(VLOOKUP($C107,SN_UGC,28,0),0),1)</f>
        <v>433.33333333333331</v>
      </c>
      <c r="AQ107" s="304">
        <f t="array" ref="AQ107">IF(ISBLANK($A107),0,IF(OR(AQ$5-$AI107&lt;=0,$AM107="Não"),F107,F107+INDEX($AO$6:$BR$176,ROW()-5,COLUMN()-40-$AI107)))*IF($B107="Operacional",IFERROR(VLOOKUP($C107,SN_UGC,28,0),0),1)</f>
        <v>433.33333333333331</v>
      </c>
      <c r="AR107" s="304">
        <f t="array" ref="AR107">IF(ISBLANK($A107),0,IF(OR(AR$5-$AI107&lt;=0,$AM107="Não"),G107,G107+INDEX($AO$6:$BR$176,ROW()-5,COLUMN()-40-$AI107)))*IF($B107="Operacional",IFERROR(VLOOKUP($C107,SN_UGC,28,0),0),1)</f>
        <v>0</v>
      </c>
      <c r="AS107" s="304">
        <f t="array" ref="AS107">IF(ISBLANK($A107),0,IF(OR(AS$5-$AI107&lt;=0,$AM107="Não"),H107,H107+INDEX($AO$6:$BR$176,ROW()-5,COLUMN()-40-$AI107)))*IF($B107="Operacional",IFERROR(VLOOKUP($C107,SN_UGC,28,0),0),1)</f>
        <v>0</v>
      </c>
      <c r="AT107" s="304">
        <f t="array" ref="AT107">IF(ISBLANK($A107),0,IF(OR(AT$5-$AI107&lt;=0,$AM107="Não"),I107,I107+INDEX($AO$6:$BR$176,ROW()-5,COLUMN()-40-$AI107)))*IF($B107="Operacional",IFERROR(VLOOKUP($C107,SN_UGC,28,0),0),1)</f>
        <v>0</v>
      </c>
      <c r="AU107" s="304">
        <f t="array" ref="AU107">IF(ISBLANK($A107),0,IF(OR(AU$5-$AI107&lt;=0,$AM107="Não"),J107,J107+INDEX($AO$6:$BR$176,ROW()-5,COLUMN()-40-$AI107)))*IF($B107="Operacional",IFERROR(VLOOKUP($C107,SN_UGC,28,0),0),1)</f>
        <v>0</v>
      </c>
      <c r="AV107" s="304">
        <f t="array" ref="AV107">IF(ISBLANK($A107),0,IF(OR(AV$5-$AI107&lt;=0,$AM107="Não"),K107,K107+INDEX($AO$6:$BR$176,ROW()-5,COLUMN()-40-$AI107)))*IF($B107="Operacional",IFERROR(VLOOKUP($C107,SN_UGC,28,0),0),1)</f>
        <v>0</v>
      </c>
      <c r="AW107" s="304">
        <f t="array" ref="AW107">IF(ISBLANK($A107),0,IF(OR(AW$5-$AI107&lt;=0,$AM107="Não"),L107,L107+INDEX($AO$6:$BR$176,ROW()-5,COLUMN()-40-$AI107)))*IF($B107="Operacional",IFERROR(VLOOKUP($C107,SN_UGC,28,0),0),1)</f>
        <v>0</v>
      </c>
      <c r="AX107" s="304">
        <f t="array" ref="AX107">IF(ISBLANK($A107),0,IF(OR(AX$5-$AI107&lt;=0,$AM107="Não"),M107,M107+INDEX($AO$6:$BR$176,ROW()-5,COLUMN()-40-$AI107)))*IF($B107="Operacional",IFERROR(VLOOKUP($C107,SN_UGC,28,0),0),1)</f>
        <v>0</v>
      </c>
      <c r="AY107" s="304">
        <f t="array" ref="AY107">IF(ISBLANK($A107),0,IF(OR(AY$5-$AI107&lt;=0,$AM107="Não"),N107,N107+INDEX($AO$6:$BR$176,ROW()-5,COLUMN()-40-$AI107)))*IF($B107="Operacional",IFERROR(VLOOKUP($C107,SN_UGC,28,0),0),1)</f>
        <v>0</v>
      </c>
      <c r="AZ107" s="304">
        <f t="array" ref="AZ107">IF(ISBLANK($A107),0,IF(OR(AZ$5-$AI107&lt;=0,$AM107="Não"),O107,O107+INDEX($AO$6:$BR$176,ROW()-5,COLUMN()-40-$AI107)))*IF($B107="Operacional",IFERROR(VLOOKUP($C107,SN_UGC,28,0),0),1)</f>
        <v>0</v>
      </c>
      <c r="BA107" s="304">
        <f t="array" ref="BA107">IF(ISBLANK($A107),0,IF(OR(BA$5-$AI107&lt;=0,$AM107="Não"),P107,P107+INDEX($AO$6:$BR$176,ROW()-5,COLUMN()-40-$AI107)))*IF($B107="Operacional",IFERROR(VLOOKUP($C107,SN_UGC,28,0),0),1)</f>
        <v>0</v>
      </c>
      <c r="BB107" s="304">
        <f t="array" ref="BB107">IF(ISBLANK($A107),0,IF(OR(BB$5-$AI107&lt;=0,$AM107="Não"),Q107,Q107+INDEX($AO$6:$BR$176,ROW()-5,COLUMN()-40-$AI107)))*IF($B107="Operacional",IFERROR(VLOOKUP($C107,SN_UGC,28,0),0),1)</f>
        <v>0</v>
      </c>
      <c r="BC107" s="304">
        <f t="array" ref="BC107">IF(ISBLANK($A107),0,IF(OR(BC$5-$AI107&lt;=0,$AM107="Não"),R107,R107+INDEX($AO$6:$BR$176,ROW()-5,COLUMN()-40-$AI107)))*IF($B107="Operacional",IFERROR(VLOOKUP($C107,SN_UGC,28,0),0),1)</f>
        <v>0</v>
      </c>
      <c r="BD107" s="304">
        <f t="array" ref="BD107">IF(ISBLANK($A107),0,IF(OR(BD$5-$AI107&lt;=0,$AM107="Não"),S107,S107+INDEX($AO$6:$BR$176,ROW()-5,COLUMN()-40-$AI107)))*IF($B107="Operacional",IFERROR(VLOOKUP($C107,SN_UGC,28,0),0),1)</f>
        <v>0</v>
      </c>
      <c r="BE107" s="304">
        <f t="array" ref="BE107">IF(ISBLANK($A107),0,IF(OR(BE$5-$AI107&lt;=0,$AM107="Não"),T107,T107+INDEX($AO$6:$BR$176,ROW()-5,COLUMN()-40-$AI107)))*IF($B107="Operacional",IFERROR(VLOOKUP($C107,SN_UGC,28,0),0),1)</f>
        <v>0</v>
      </c>
      <c r="BF107" s="304">
        <f t="array" ref="BF107">IF(ISBLANK($A107),0,IF(OR(BF$5-$AI107&lt;=0,$AM107="Não"),U107,U107+INDEX($AO$6:$BR$176,ROW()-5,COLUMN()-40-$AI107)))*IF($B107="Operacional",IFERROR(VLOOKUP($C107,SN_UGC,28,0),0),1)</f>
        <v>0</v>
      </c>
      <c r="BG107" s="304">
        <f t="array" ref="BG107">IF(ISBLANK($A107),0,IF(OR(BG$5-$AI107&lt;=0,$AM107="Não"),V107,V107+INDEX($AO$6:$BR$176,ROW()-5,COLUMN()-40-$AI107)))*IF($B107="Operacional",IFERROR(VLOOKUP($C107,SN_UGC,28,0),0),1)</f>
        <v>0</v>
      </c>
      <c r="BH107" s="304">
        <f t="array" ref="BH107">IF(ISBLANK($A107),0,IF(OR(BH$5-$AI107&lt;=0,$AM107="Não"),W107,W107+INDEX($AO$6:$BR$176,ROW()-5,COLUMN()-40-$AI107)))*IF($B107="Operacional",IFERROR(VLOOKUP($C107,SN_UGC,28,0),0),1)</f>
        <v>0</v>
      </c>
      <c r="BI107" s="304">
        <f t="array" ref="BI107">IF(ISBLANK($A107),0,IF(OR(BI$5-$AI107&lt;=0,$AM107="Não"),X107,X107+INDEX($AO$6:$BR$176,ROW()-5,COLUMN()-40-$AI107)))*IF($B107="Operacional",IFERROR(VLOOKUP($C107,SN_UGC,28,0),0),1)</f>
        <v>0</v>
      </c>
      <c r="BJ107" s="304">
        <f t="array" ref="BJ107">IF(ISBLANK($A107),0,IF(OR(BJ$5-$AI107&lt;=0,$AM107="Não"),Y107,Y107+INDEX($AO$6:$BR$176,ROW()-5,COLUMN()-40-$AI107)))*IF($B107="Operacional",IFERROR(VLOOKUP($C107,SN_UGC,28,0),0),1)</f>
        <v>0</v>
      </c>
      <c r="BK107" s="304">
        <f t="array" ref="BK107">IF(ISBLANK($A107),0,IF(OR(BK$5-$AI107&lt;=0,$AM107="Não"),Z107,Z107+INDEX($AO$6:$BR$176,ROW()-5,COLUMN()-40-$AI107)))*IF($B107="Operacional",IFERROR(VLOOKUP($C107,SN_UGC,28,0),0),1)</f>
        <v>0</v>
      </c>
      <c r="BL107" s="304">
        <f t="array" ref="BL107">IF(ISBLANK($A107),0,IF(OR(BL$5-$AI107&lt;=0,$AM107="Não"),AA107,AA107+INDEX($AO$6:$BR$176,ROW()-5,COLUMN()-40-$AI107)))*IF($B107="Operacional",IFERROR(VLOOKUP($C107,SN_UGC,28,0),0),1)</f>
        <v>0</v>
      </c>
      <c r="BM107" s="304">
        <f t="array" ref="BM107">IF(ISBLANK($A107),0,IF(OR(BM$5-$AI107&lt;=0,$AM107="Não"),AB107,AB107+INDEX($AO$6:$BR$176,ROW()-5,COLUMN()-40-$AI107)))*IF($B107="Operacional",IFERROR(VLOOKUP($C107,SN_UGC,28,0),0),1)</f>
        <v>0</v>
      </c>
      <c r="BN107" s="304">
        <f t="array" ref="BN107">IF(ISBLANK($A107),0,IF(OR(BN$5-$AI107&lt;=0,$AM107="Não"),AC107,AC107+INDEX($AO$6:$BR$176,ROW()-5,COLUMN()-40-$AI107)))*IF($B107="Operacional",IFERROR(VLOOKUP($C107,SN_UGC,28,0),0),1)</f>
        <v>0</v>
      </c>
      <c r="BO107" s="304">
        <f t="array" ref="BO107">IF(ISBLANK($A107),0,IF(OR(BO$5-$AI107&lt;=0,$AM107="Não"),AD107,AD107+INDEX($AO$6:$BR$176,ROW()-5,COLUMN()-40-$AI107)))*IF($B107="Operacional",IFERROR(VLOOKUP($C107,SN_UGC,28,0),0),1)</f>
        <v>0</v>
      </c>
      <c r="BP107" s="304">
        <f t="array" ref="BP107">IF(ISBLANK($A107),0,IF(OR(BP$5-$AI107&lt;=0,$AM107="Não"),AE107,AE107+INDEX($AO$6:$BR$176,ROW()-5,COLUMN()-40-$AI107)))*IF($B107="Operacional",IFERROR(VLOOKUP($C107,SN_UGC,28,0),0),1)</f>
        <v>0</v>
      </c>
      <c r="BQ107" s="304">
        <f t="array" ref="BQ107">IF(ISBLANK($A107),0,IF(OR(BQ$5-$AI107&lt;=0,$AM107="Não"),AF107,AF107+INDEX($AO$6:$BR$176,ROW()-5,COLUMN()-40-$AI107)))*IF($B107="Operacional",IFERROR(VLOOKUP($C107,SN_UGC,28,0),0),1)</f>
        <v>0</v>
      </c>
      <c r="BR107" s="304">
        <f t="array" ref="BR107">IF(ISBLANK($A107),0,IF(OR(BR$5-$AI107&lt;=0,$AM107="Não"),AG107,AG107+INDEX($AO$6:$BR$176,ROW()-5,COLUMN()-40-$AI107)))*IF($B107="Operacional",IFERROR(VLOOKUP($C107,SN_UGC,28,0),0),1)</f>
        <v>0</v>
      </c>
      <c r="BS107" s="305">
        <f t="shared" ref="BS107:CV107" si="560">IF(ISBLANK($A107),0,$AH107*AO107)</f>
        <v>1028122.3333333334</v>
      </c>
      <c r="BT107" s="305">
        <f t="shared" si="560"/>
        <v>1028122.3333333334</v>
      </c>
      <c r="BU107" s="305">
        <f t="shared" si="560"/>
        <v>1028122.3333333334</v>
      </c>
      <c r="BV107" s="305">
        <f t="shared" si="560"/>
        <v>0</v>
      </c>
      <c r="BW107" s="305">
        <f t="shared" si="560"/>
        <v>0</v>
      </c>
      <c r="BX107" s="305">
        <f t="shared" si="560"/>
        <v>0</v>
      </c>
      <c r="BY107" s="305">
        <f t="shared" si="560"/>
        <v>0</v>
      </c>
      <c r="BZ107" s="305">
        <f t="shared" si="560"/>
        <v>0</v>
      </c>
      <c r="CA107" s="305">
        <f t="shared" si="560"/>
        <v>0</v>
      </c>
      <c r="CB107" s="305">
        <f t="shared" si="560"/>
        <v>0</v>
      </c>
      <c r="CC107" s="305">
        <f t="shared" si="560"/>
        <v>0</v>
      </c>
      <c r="CD107" s="305">
        <f t="shared" si="560"/>
        <v>0</v>
      </c>
      <c r="CE107" s="305">
        <f t="shared" si="560"/>
        <v>0</v>
      </c>
      <c r="CF107" s="305">
        <f t="shared" si="560"/>
        <v>0</v>
      </c>
      <c r="CG107" s="305">
        <f t="shared" si="560"/>
        <v>0</v>
      </c>
      <c r="CH107" s="305">
        <f t="shared" si="560"/>
        <v>0</v>
      </c>
      <c r="CI107" s="305">
        <f t="shared" si="560"/>
        <v>0</v>
      </c>
      <c r="CJ107" s="305">
        <f t="shared" si="560"/>
        <v>0</v>
      </c>
      <c r="CK107" s="305">
        <f t="shared" si="560"/>
        <v>0</v>
      </c>
      <c r="CL107" s="305">
        <f t="shared" si="560"/>
        <v>0</v>
      </c>
      <c r="CM107" s="305">
        <f t="shared" si="560"/>
        <v>0</v>
      </c>
      <c r="CN107" s="305">
        <f t="shared" si="560"/>
        <v>0</v>
      </c>
      <c r="CO107" s="305">
        <f t="shared" si="560"/>
        <v>0</v>
      </c>
      <c r="CP107" s="305">
        <f t="shared" si="560"/>
        <v>0</v>
      </c>
      <c r="CQ107" s="305">
        <f t="shared" si="560"/>
        <v>0</v>
      </c>
      <c r="CR107" s="305">
        <f t="shared" si="560"/>
        <v>0</v>
      </c>
      <c r="CS107" s="305">
        <f t="shared" si="560"/>
        <v>0</v>
      </c>
      <c r="CT107" s="305">
        <f t="shared" si="560"/>
        <v>0</v>
      </c>
      <c r="CU107" s="305">
        <f t="shared" si="560"/>
        <v>0</v>
      </c>
      <c r="CV107" s="305">
        <f t="shared" si="560"/>
        <v>0</v>
      </c>
      <c r="CW107" s="306">
        <f t="shared" ref="CW107:DZ107" si="561">EA107*$AH107*$AJ107</f>
        <v>0</v>
      </c>
      <c r="CX107" s="306">
        <f t="shared" si="561"/>
        <v>0</v>
      </c>
      <c r="CY107" s="306">
        <f t="shared" si="561"/>
        <v>0</v>
      </c>
      <c r="CZ107" s="306">
        <f t="shared" si="561"/>
        <v>0</v>
      </c>
      <c r="DA107" s="306">
        <f t="shared" si="561"/>
        <v>0</v>
      </c>
      <c r="DB107" s="306">
        <f t="shared" si="561"/>
        <v>0</v>
      </c>
      <c r="DC107" s="306">
        <f t="shared" si="561"/>
        <v>0</v>
      </c>
      <c r="DD107" s="306">
        <f t="shared" si="561"/>
        <v>0</v>
      </c>
      <c r="DE107" s="306">
        <f t="shared" si="561"/>
        <v>0</v>
      </c>
      <c r="DF107" s="306">
        <f t="shared" si="561"/>
        <v>0</v>
      </c>
      <c r="DG107" s="306">
        <f t="shared" si="561"/>
        <v>0</v>
      </c>
      <c r="DH107" s="306">
        <f t="shared" si="561"/>
        <v>0</v>
      </c>
      <c r="DI107" s="306">
        <f t="shared" si="561"/>
        <v>0</v>
      </c>
      <c r="DJ107" s="306">
        <f t="shared" si="561"/>
        <v>0</v>
      </c>
      <c r="DK107" s="306">
        <f t="shared" si="561"/>
        <v>0</v>
      </c>
      <c r="DL107" s="306">
        <f t="shared" si="561"/>
        <v>0</v>
      </c>
      <c r="DM107" s="306">
        <f t="shared" si="561"/>
        <v>0</v>
      </c>
      <c r="DN107" s="306">
        <f t="shared" si="561"/>
        <v>0</v>
      </c>
      <c r="DO107" s="306">
        <f t="shared" si="561"/>
        <v>0</v>
      </c>
      <c r="DP107" s="306">
        <f t="shared" si="561"/>
        <v>0</v>
      </c>
      <c r="DQ107" s="306">
        <f t="shared" si="561"/>
        <v>0</v>
      </c>
      <c r="DR107" s="306">
        <f t="shared" si="561"/>
        <v>0</v>
      </c>
      <c r="DS107" s="306">
        <f t="shared" si="561"/>
        <v>0</v>
      </c>
      <c r="DT107" s="306">
        <f t="shared" si="561"/>
        <v>0</v>
      </c>
      <c r="DU107" s="306">
        <f t="shared" si="561"/>
        <v>0</v>
      </c>
      <c r="DV107" s="306">
        <f t="shared" si="561"/>
        <v>0</v>
      </c>
      <c r="DW107" s="306">
        <f t="shared" si="561"/>
        <v>0</v>
      </c>
      <c r="DX107" s="306">
        <f t="shared" si="561"/>
        <v>0</v>
      </c>
      <c r="DY107" s="306">
        <f t="shared" si="561"/>
        <v>0</v>
      </c>
      <c r="DZ107" s="306">
        <f t="shared" si="561"/>
        <v>0</v>
      </c>
      <c r="EA107" s="307">
        <f t="shared" si="504"/>
        <v>0</v>
      </c>
      <c r="EB107" s="307">
        <f t="shared" si="505"/>
        <v>0</v>
      </c>
      <c r="EC107" s="307">
        <f t="shared" si="506"/>
        <v>0</v>
      </c>
      <c r="ED107" s="307">
        <f t="shared" si="507"/>
        <v>0</v>
      </c>
      <c r="EE107" s="307">
        <f t="shared" si="508"/>
        <v>0</v>
      </c>
      <c r="EF107" s="307">
        <f t="shared" si="509"/>
        <v>0</v>
      </c>
      <c r="EG107" s="307">
        <f t="shared" si="510"/>
        <v>0</v>
      </c>
      <c r="EH107" s="307">
        <f t="shared" si="511"/>
        <v>0</v>
      </c>
      <c r="EI107" s="307">
        <f t="shared" si="512"/>
        <v>0</v>
      </c>
      <c r="EJ107" s="307">
        <f t="shared" si="513"/>
        <v>0</v>
      </c>
      <c r="EK107" s="307">
        <f t="shared" si="514"/>
        <v>0</v>
      </c>
      <c r="EL107" s="307">
        <f t="shared" si="515"/>
        <v>0</v>
      </c>
      <c r="EM107" s="307">
        <f t="shared" si="516"/>
        <v>0</v>
      </c>
      <c r="EN107" s="307">
        <f t="shared" si="517"/>
        <v>0</v>
      </c>
      <c r="EO107" s="307">
        <f t="shared" si="518"/>
        <v>0</v>
      </c>
      <c r="EP107" s="307">
        <f t="shared" si="519"/>
        <v>0</v>
      </c>
      <c r="EQ107" s="307">
        <f t="shared" si="520"/>
        <v>0</v>
      </c>
      <c r="ER107" s="307">
        <f t="shared" si="521"/>
        <v>0</v>
      </c>
      <c r="ES107" s="307">
        <f t="shared" si="522"/>
        <v>0</v>
      </c>
      <c r="ET107" s="307">
        <f t="shared" si="523"/>
        <v>0</v>
      </c>
      <c r="EU107" s="307">
        <f t="shared" si="524"/>
        <v>0</v>
      </c>
      <c r="EV107" s="307">
        <f t="shared" si="525"/>
        <v>0</v>
      </c>
      <c r="EW107" s="307">
        <f t="shared" si="526"/>
        <v>0</v>
      </c>
      <c r="EX107" s="307">
        <f t="shared" si="527"/>
        <v>0</v>
      </c>
      <c r="EY107" s="307">
        <f t="shared" si="528"/>
        <v>0</v>
      </c>
      <c r="EZ107" s="307">
        <f t="shared" si="529"/>
        <v>0</v>
      </c>
      <c r="FA107" s="307">
        <f t="shared" si="530"/>
        <v>0</v>
      </c>
      <c r="FB107" s="307">
        <f t="shared" si="531"/>
        <v>0</v>
      </c>
      <c r="FC107" s="307">
        <f t="shared" si="532"/>
        <v>0</v>
      </c>
      <c r="FD107" s="307">
        <f t="shared" si="533"/>
        <v>0</v>
      </c>
      <c r="FE107" s="304">
        <f>SUM($D107:D107)*IF($B107="Operacional",IFERROR(VLOOKUP($C107,SN_UGC,28,0),0),1)</f>
        <v>433.33333333333331</v>
      </c>
      <c r="FF107" s="304">
        <f>SUM($D107:E107)*IF($B107="Operacional",IFERROR(VLOOKUP($C107,SN_UGC,28,0),0),1)</f>
        <v>866.66666666666663</v>
      </c>
      <c r="FG107" s="304">
        <f>SUM($D107:F107)*IF($B107="Operacional",IFERROR(VLOOKUP($C107,SN_UGC,28,0),0),1)</f>
        <v>1300</v>
      </c>
      <c r="FH107" s="304">
        <f>SUM($D107:G107)*IF($B107="Operacional",IFERROR(VLOOKUP($C107,SN_UGC,28,0),0),1)</f>
        <v>1300</v>
      </c>
      <c r="FI107" s="304">
        <f>SUM($D107:H107)*IF($B107="Operacional",IFERROR(VLOOKUP($C107,SN_UGC,28,0),0),1)</f>
        <v>1300</v>
      </c>
      <c r="FJ107" s="304">
        <f>SUM($D107:I107)*IF($B107="Operacional",IFERROR(VLOOKUP($C107,SN_UGC,28,0),0),1)</f>
        <v>1300</v>
      </c>
      <c r="FK107" s="304">
        <f>SUM($D107:J107)*IF($B107="Operacional",IFERROR(VLOOKUP($C107,SN_UGC,28,0),0),1)</f>
        <v>1300</v>
      </c>
      <c r="FL107" s="304">
        <f>SUM($D107:K107)*IF($B107="Operacional",IFERROR(VLOOKUP($C107,SN_UGC,28,0),0),1)</f>
        <v>1300</v>
      </c>
      <c r="FM107" s="304">
        <f>SUM($D107:L107)*IF($B107="Operacional",IFERROR(VLOOKUP($C107,SN_UGC,28,0),0),1)</f>
        <v>1300</v>
      </c>
      <c r="FN107" s="304">
        <f>SUM($D107:M107)*IF($B107="Operacional",IFERROR(VLOOKUP($C107,SN_UGC,28,0),0),1)</f>
        <v>1300</v>
      </c>
      <c r="FO107" s="304">
        <f>SUM($D107:N107)*IF($B107="Operacional",IFERROR(VLOOKUP($C107,SN_UGC,28,0),0),1)</f>
        <v>1300</v>
      </c>
      <c r="FP107" s="304">
        <f>SUM($D107:O107)*IF($B107="Operacional",IFERROR(VLOOKUP($C107,SN_UGC,28,0),0),1)</f>
        <v>1300</v>
      </c>
      <c r="FQ107" s="304">
        <f>SUM($D107:P107)*IF($B107="Operacional",IFERROR(VLOOKUP($C107,SN_UGC,28,0),0),1)</f>
        <v>1300</v>
      </c>
      <c r="FR107" s="304">
        <f>SUM($D107:Q107)*IF($B107="Operacional",IFERROR(VLOOKUP($C107,SN_UGC,28,0),0),1)</f>
        <v>1300</v>
      </c>
      <c r="FS107" s="304">
        <f>SUM($D107:R107)*IF($B107="Operacional",IFERROR(VLOOKUP($C107,SN_UGC,28,0),0),1)</f>
        <v>1300</v>
      </c>
      <c r="FT107" s="304">
        <f>SUM($D107:S107)*IF($B107="Operacional",IFERROR(VLOOKUP($C107,SN_UGC,28,0),0),1)</f>
        <v>1300</v>
      </c>
      <c r="FU107" s="304">
        <f>SUM($D107:T107)*IF($B107="Operacional",IFERROR(VLOOKUP($C107,SN_UGC,28,0),0),1)</f>
        <v>1300</v>
      </c>
      <c r="FV107" s="304">
        <f>SUM($D107:U107)*IF($B107="Operacional",IFERROR(VLOOKUP($C107,SN_UGC,28,0),0),1)</f>
        <v>1300</v>
      </c>
      <c r="FW107" s="304">
        <f>SUM($D107:V107)*IF($B107="Operacional",IFERROR(VLOOKUP($C107,SN_UGC,28,0),0),1)</f>
        <v>1300</v>
      </c>
      <c r="FX107" s="304">
        <f>SUM($D107:W107)*IF($B107="Operacional",IFERROR(VLOOKUP($C107,SN_UGC,28,0),0),1)</f>
        <v>1300</v>
      </c>
      <c r="FY107" s="304">
        <f>SUM($D107:X107)*IF($B107="Operacional",IFERROR(VLOOKUP($C107,SN_UGC,28,0),0),1)</f>
        <v>1300</v>
      </c>
      <c r="FZ107" s="304">
        <f>SUM($D107:Y107)*IF($B107="Operacional",IFERROR(VLOOKUP($C107,SN_UGC,28,0),0),1)</f>
        <v>1300</v>
      </c>
      <c r="GA107" s="304">
        <f>SUM($D107:Z107)*IF($B107="Operacional",IFERROR(VLOOKUP($C107,SN_UGC,28,0),0),1)</f>
        <v>1300</v>
      </c>
      <c r="GB107" s="304">
        <f>SUM($D107:AA107)*IF($B107="Operacional",IFERROR(VLOOKUP($C107,SN_UGC,28,0),0),1)</f>
        <v>1300</v>
      </c>
      <c r="GC107" s="304">
        <f>SUM($D107:AB107)*IF($B107="Operacional",IFERROR(VLOOKUP($C107,SN_UGC,28,0),0),1)</f>
        <v>1300</v>
      </c>
      <c r="GD107" s="304">
        <f>SUM($D107:AC107)*IF($B107="Operacional",IFERROR(VLOOKUP($C107,SN_UGC,28,0),0),1)</f>
        <v>1300</v>
      </c>
      <c r="GE107" s="304">
        <f>SUM($D107:AD107)*IF($B107="Operacional",IFERROR(VLOOKUP($C107,SN_UGC,28,0),0),1)</f>
        <v>1300</v>
      </c>
      <c r="GF107" s="304">
        <f>SUM($D107:AE107)*IF($B107="Operacional",IFERROR(VLOOKUP($C107,SN_UGC,28,0),0),1)</f>
        <v>1300</v>
      </c>
      <c r="GG107" s="304">
        <f>SUM($D107:AF107)*IF($B107="Operacional",IFERROR(VLOOKUP($C107,SN_UGC,28,0),0),1)</f>
        <v>1300</v>
      </c>
      <c r="GH107" s="304">
        <f>SUM($D107:AG107)*IF($B107="Operacional",IFERROR(VLOOKUP($C107,SN_UGC,28,0),0),1)</f>
        <v>1300</v>
      </c>
      <c r="GI107" s="305">
        <f t="shared" ref="GI107:HL107" si="562">FE107*$AH107*$AL107</f>
        <v>51406.116666666669</v>
      </c>
      <c r="GJ107" s="305">
        <f t="shared" si="562"/>
        <v>102812.23333333334</v>
      </c>
      <c r="GK107" s="305">
        <f t="shared" si="562"/>
        <v>154218.35</v>
      </c>
      <c r="GL107" s="305">
        <f t="shared" si="562"/>
        <v>154218.35</v>
      </c>
      <c r="GM107" s="305">
        <f t="shared" si="562"/>
        <v>154218.35</v>
      </c>
      <c r="GN107" s="305">
        <f t="shared" si="562"/>
        <v>154218.35</v>
      </c>
      <c r="GO107" s="305">
        <f t="shared" si="562"/>
        <v>154218.35</v>
      </c>
      <c r="GP107" s="305">
        <f t="shared" si="562"/>
        <v>154218.35</v>
      </c>
      <c r="GQ107" s="305">
        <f t="shared" si="562"/>
        <v>154218.35</v>
      </c>
      <c r="GR107" s="305">
        <f t="shared" si="562"/>
        <v>154218.35</v>
      </c>
      <c r="GS107" s="305">
        <f t="shared" si="562"/>
        <v>154218.35</v>
      </c>
      <c r="GT107" s="305">
        <f t="shared" si="562"/>
        <v>154218.35</v>
      </c>
      <c r="GU107" s="305">
        <f t="shared" si="562"/>
        <v>154218.35</v>
      </c>
      <c r="GV107" s="305">
        <f t="shared" si="562"/>
        <v>154218.35</v>
      </c>
      <c r="GW107" s="305">
        <f t="shared" si="562"/>
        <v>154218.35</v>
      </c>
      <c r="GX107" s="305">
        <f t="shared" si="562"/>
        <v>154218.35</v>
      </c>
      <c r="GY107" s="305">
        <f t="shared" si="562"/>
        <v>154218.35</v>
      </c>
      <c r="GZ107" s="305">
        <f t="shared" si="562"/>
        <v>154218.35</v>
      </c>
      <c r="HA107" s="305">
        <f t="shared" si="562"/>
        <v>154218.35</v>
      </c>
      <c r="HB107" s="305">
        <f t="shared" si="562"/>
        <v>154218.35</v>
      </c>
      <c r="HC107" s="305">
        <f t="shared" si="562"/>
        <v>154218.35</v>
      </c>
      <c r="HD107" s="305">
        <f t="shared" si="562"/>
        <v>154218.35</v>
      </c>
      <c r="HE107" s="305">
        <f t="shared" si="562"/>
        <v>154218.35</v>
      </c>
      <c r="HF107" s="305">
        <f t="shared" si="562"/>
        <v>154218.35</v>
      </c>
      <c r="HG107" s="305">
        <f t="shared" si="562"/>
        <v>154218.35</v>
      </c>
      <c r="HH107" s="305">
        <f t="shared" si="562"/>
        <v>154218.35</v>
      </c>
      <c r="HI107" s="305">
        <f t="shared" si="562"/>
        <v>154218.35</v>
      </c>
      <c r="HJ107" s="305">
        <f t="shared" si="562"/>
        <v>154218.35</v>
      </c>
      <c r="HK107" s="305">
        <f t="shared" si="562"/>
        <v>154218.35</v>
      </c>
      <c r="HL107" s="305">
        <f t="shared" si="562"/>
        <v>154218.35</v>
      </c>
      <c r="HM107" s="306">
        <f t="shared" ref="HM107:IP107" si="563">IF(ISBLANK($A107),,FE107*($AH107-($AH107*$AJ107))/$AI107)</f>
        <v>34270.744444444448</v>
      </c>
      <c r="HN107" s="306">
        <f t="shared" si="563"/>
        <v>68541.488888888896</v>
      </c>
      <c r="HO107" s="306">
        <f t="shared" si="563"/>
        <v>102812.23333333334</v>
      </c>
      <c r="HP107" s="306">
        <f t="shared" si="563"/>
        <v>102812.23333333334</v>
      </c>
      <c r="HQ107" s="306">
        <f t="shared" si="563"/>
        <v>102812.23333333334</v>
      </c>
      <c r="HR107" s="306">
        <f t="shared" si="563"/>
        <v>102812.23333333334</v>
      </c>
      <c r="HS107" s="306">
        <f t="shared" si="563"/>
        <v>102812.23333333334</v>
      </c>
      <c r="HT107" s="306">
        <f t="shared" si="563"/>
        <v>102812.23333333334</v>
      </c>
      <c r="HU107" s="306">
        <f t="shared" si="563"/>
        <v>102812.23333333334</v>
      </c>
      <c r="HV107" s="306">
        <f t="shared" si="563"/>
        <v>102812.23333333334</v>
      </c>
      <c r="HW107" s="306">
        <f t="shared" si="563"/>
        <v>102812.23333333334</v>
      </c>
      <c r="HX107" s="306">
        <f t="shared" si="563"/>
        <v>102812.23333333334</v>
      </c>
      <c r="HY107" s="306">
        <f t="shared" si="563"/>
        <v>102812.23333333334</v>
      </c>
      <c r="HZ107" s="306">
        <f t="shared" si="563"/>
        <v>102812.23333333334</v>
      </c>
      <c r="IA107" s="306">
        <f t="shared" si="563"/>
        <v>102812.23333333334</v>
      </c>
      <c r="IB107" s="306">
        <f t="shared" si="563"/>
        <v>102812.23333333334</v>
      </c>
      <c r="IC107" s="306">
        <f t="shared" si="563"/>
        <v>102812.23333333334</v>
      </c>
      <c r="ID107" s="306">
        <f t="shared" si="563"/>
        <v>102812.23333333334</v>
      </c>
      <c r="IE107" s="306">
        <f t="shared" si="563"/>
        <v>102812.23333333334</v>
      </c>
      <c r="IF107" s="306">
        <f t="shared" si="563"/>
        <v>102812.23333333334</v>
      </c>
      <c r="IG107" s="306">
        <f t="shared" si="563"/>
        <v>102812.23333333334</v>
      </c>
      <c r="IH107" s="306">
        <f t="shared" si="563"/>
        <v>102812.23333333334</v>
      </c>
      <c r="II107" s="306">
        <f t="shared" si="563"/>
        <v>102812.23333333334</v>
      </c>
      <c r="IJ107" s="306">
        <f t="shared" si="563"/>
        <v>102812.23333333334</v>
      </c>
      <c r="IK107" s="306">
        <f t="shared" si="563"/>
        <v>102812.23333333334</v>
      </c>
      <c r="IL107" s="306">
        <f t="shared" si="563"/>
        <v>102812.23333333334</v>
      </c>
      <c r="IM107" s="306">
        <f t="shared" si="563"/>
        <v>102812.23333333334</v>
      </c>
      <c r="IN107" s="306">
        <f t="shared" si="563"/>
        <v>102812.23333333334</v>
      </c>
      <c r="IO107" s="306">
        <f t="shared" si="563"/>
        <v>102812.23333333334</v>
      </c>
      <c r="IP107" s="306">
        <f t="shared" si="563"/>
        <v>102812.23333333334</v>
      </c>
      <c r="IQ107" s="305">
        <f>IF(ISBLANK($A107),,IF($AN107="Não",0,(SUM($AO107:AO107)*$AH107)-SUM($HM107:HM107)-SUM($CW107:CW107)))</f>
        <v>0</v>
      </c>
      <c r="IR107" s="305">
        <f>IF(ISBLANK($A107),,IF($AN107="Não",0,(SUM($AO107:AP107)*$AH107)-SUM($HM107:HN107)-SUM($CW107:CX107)))</f>
        <v>0</v>
      </c>
      <c r="IS107" s="305">
        <f>IF(ISBLANK($A107),,IF($AN107="Não",0,(SUM($AO107:AQ107)*$AH107)-SUM($HM107:HO107)-SUM($CW107:CY107)))</f>
        <v>0</v>
      </c>
      <c r="IT107" s="305">
        <f>IF(ISBLANK($A107),,IF($AN107="Não",0,(SUM($AO107:AR107)*$AH107)-SUM($HM107:HP107)-SUM($CW107:CZ107)))</f>
        <v>0</v>
      </c>
      <c r="IU107" s="305">
        <f>IF(ISBLANK($A107),,IF($AN107="Não",0,(SUM($AO107:AS107)*$AH107)-SUM($HM107:HQ107)-SUM($CW107:DA107)))</f>
        <v>0</v>
      </c>
      <c r="IV107" s="305">
        <f>IF(ISBLANK($A107),,IF($AN107="Não",0,(SUM($AO107:AT107)*$AH107)-SUM($HM107:HR107)-SUM($CW107:DB107)))</f>
        <v>0</v>
      </c>
      <c r="IW107" s="305">
        <f>IF(ISBLANK($A107),,IF($AN107="Não",0,(SUM($AO107:AU107)*$AH107)-SUM($HM107:HS107)-SUM($CW107:DC107)))</f>
        <v>0</v>
      </c>
      <c r="IX107" s="305">
        <f>IF(ISBLANK($A107),,IF($AN107="Não",0,(SUM($AO107:AV107)*$AH107)-SUM($HM107:HT107)-SUM($CW107:DD107)))</f>
        <v>0</v>
      </c>
      <c r="IY107" s="305">
        <f>IF(ISBLANK($A107),,IF($AN107="Não",0,(SUM($AO107:AW107)*$AH107)-SUM($HM107:HU107)-SUM($CW107:DE107)))</f>
        <v>0</v>
      </c>
      <c r="IZ107" s="305">
        <f>IF(ISBLANK($A107),,IF($AN107="Não",0,(SUM($AO107:AX107)*$AH107)-SUM($HM107:HV107)-SUM($CW107:DF107)))</f>
        <v>0</v>
      </c>
      <c r="JA107" s="305">
        <f>IF(ISBLANK($A107),,IF($AN107="Não",0,(SUM($AO107:AY107)*$AH107)-SUM($HM107:HW107)-SUM($CW107:DG107)))</f>
        <v>0</v>
      </c>
      <c r="JB107" s="305">
        <f>IF(ISBLANK($A107),,IF($AN107="Não",0,(SUM($AO107:AZ107)*$AH107)-SUM($HM107:HX107)-SUM($CW107:DH107)))</f>
        <v>0</v>
      </c>
      <c r="JC107" s="305">
        <f>IF(ISBLANK($A107),,IF($AN107="Não",0,(SUM($AO107:BA107)*$AH107)-SUM($HM107:HY107)-SUM($CW107:DI107)))</f>
        <v>0</v>
      </c>
      <c r="JD107" s="305">
        <f>IF(ISBLANK($A107),,IF($AN107="Não",0,(SUM($AO107:BB107)*$AH107)-SUM($HM107:HZ107)-SUM($CW107:DJ107)))</f>
        <v>0</v>
      </c>
      <c r="JE107" s="305">
        <f>IF(ISBLANK($A107),,IF($AN107="Não",0,(SUM($AO107:BC107)*$AH107)-SUM($HM107:IA107)-SUM($CW107:DK107)))</f>
        <v>0</v>
      </c>
      <c r="JF107" s="305">
        <f>IF(ISBLANK($A107),,IF($AN107="Não",0,(SUM($AO107:BD107)*$AH107)-SUM($HM107:IB107)-SUM($CW107:DL107)))</f>
        <v>0</v>
      </c>
      <c r="JG107" s="305">
        <f>IF(ISBLANK($A107),,IF($AN107="Não",0,(SUM($AO107:BE107)*$AH107)-SUM($HM107:IC107)-SUM($CW107:DM107)))</f>
        <v>0</v>
      </c>
      <c r="JH107" s="305">
        <f>IF(ISBLANK($A107),,IF($AN107="Não",0,(SUM($AO107:BF107)*$AH107)-SUM($HM107:ID107)-SUM($CW107:DN107)))</f>
        <v>0</v>
      </c>
      <c r="JI107" s="305">
        <f>IF(ISBLANK($A107),,IF($AN107="Não",0,(SUM($AO107:BG107)*$AH107)-SUM($HM107:IE107)-SUM($CW107:DO107)))</f>
        <v>0</v>
      </c>
      <c r="JJ107" s="305">
        <f>IF(ISBLANK($A107),,IF($AN107="Não",0,(SUM($AO107:BH107)*$AH107)-SUM($HM107:IF107)-SUM($CW107:DP107)))</f>
        <v>0</v>
      </c>
      <c r="JK107" s="305">
        <f>IF(ISBLANK($A107),,IF($AN107="Não",0,(SUM($AO107:BI107)*$AH107)-SUM($HM107:IG107)-SUM($CW107:DQ107)))</f>
        <v>0</v>
      </c>
      <c r="JL107" s="305">
        <f>IF(ISBLANK($A107),,IF($AN107="Não",0,(SUM($AO107:BJ107)*$AH107)-SUM($HM107:IH107)-SUM($CW107:DR107)))</f>
        <v>0</v>
      </c>
      <c r="JM107" s="305">
        <f>IF(ISBLANK($A107),,IF($AN107="Não",0,(SUM($AO107:BK107)*$AH107)-SUM($HM107:II107)-SUM($CW107:DS107)))</f>
        <v>0</v>
      </c>
      <c r="JN107" s="305">
        <f>IF(ISBLANK($A107),,IF($AN107="Não",0,(SUM($AO107:BL107)*$AH107)-SUM($HM107:IJ107)-SUM($CW107:DT107)))</f>
        <v>0</v>
      </c>
      <c r="JO107" s="305">
        <f>IF(ISBLANK($A107),,IF($AN107="Não",0,(SUM($AO107:BM107)*$AH107)-SUM($HM107:IK107)-SUM($CW107:DU107)))</f>
        <v>0</v>
      </c>
      <c r="JP107" s="305">
        <f>IF(ISBLANK($A107),,IF($AN107="Não",0,(SUM($AO107:BN107)*$AH107)-SUM($HM107:IL107)-SUM($CW107:DV107)))</f>
        <v>0</v>
      </c>
      <c r="JQ107" s="305">
        <f>IF(ISBLANK($A107),,IF($AN107="Não",0,(SUM($AO107:BO107)*$AH107)-SUM($HM107:IM107)-SUM($CW107:DW107)))</f>
        <v>0</v>
      </c>
      <c r="JR107" s="305">
        <f>IF(ISBLANK($A107),,IF($AN107="Não",0,(SUM($AO107:BP107)*$AH107)-SUM($HM107:IN107)-SUM($CW107:DX107)))</f>
        <v>0</v>
      </c>
      <c r="JS107" s="305">
        <f>IF(ISBLANK($A107),,IF($AN107="Não",0,(SUM($AO107:BQ107)*$AH107)-SUM($HM107:IO107)-SUM($CW107:DY107)))</f>
        <v>0</v>
      </c>
      <c r="JT107" s="305">
        <f>IF(ISBLANK($A107),,IF($AN107="Não",0,(SUM($AO107:BR107)*$AH107)-SUM($HM107:IP107)-SUM($CW107:DZ107)))</f>
        <v>0</v>
      </c>
    </row>
    <row r="108" spans="1:280" ht="15.75" customHeight="1">
      <c r="A108" s="296" t="s">
        <v>435</v>
      </c>
      <c r="B108" s="296" t="s">
        <v>191</v>
      </c>
      <c r="C108" s="303" t="s">
        <v>196</v>
      </c>
      <c r="D108" s="301">
        <f>700/2</f>
        <v>350</v>
      </c>
      <c r="E108" s="301">
        <f>700/2</f>
        <v>350</v>
      </c>
      <c r="F108" s="301"/>
      <c r="G108" s="301"/>
      <c r="H108" s="301"/>
      <c r="I108" s="301"/>
      <c r="J108" s="301"/>
      <c r="K108" s="301"/>
      <c r="L108" s="301"/>
      <c r="M108" s="301"/>
      <c r="N108" s="301"/>
      <c r="O108" s="301"/>
      <c r="P108" s="301"/>
      <c r="Q108" s="301"/>
      <c r="R108" s="301"/>
      <c r="S108" s="301"/>
      <c r="T108" s="301"/>
      <c r="U108" s="301"/>
      <c r="V108" s="301"/>
      <c r="W108" s="301"/>
      <c r="X108" s="301"/>
      <c r="Y108" s="301"/>
      <c r="Z108" s="301"/>
      <c r="AA108" s="301"/>
      <c r="AB108" s="301"/>
      <c r="AC108" s="301"/>
      <c r="AD108" s="301"/>
      <c r="AE108" s="301"/>
      <c r="AF108" s="301"/>
      <c r="AG108" s="301"/>
      <c r="AH108" s="612">
        <f t="shared" si="544"/>
        <v>2372.59</v>
      </c>
      <c r="AI108" s="613">
        <f t="shared" si="545"/>
        <v>30</v>
      </c>
      <c r="AJ108" s="614">
        <f t="shared" si="546"/>
        <v>0</v>
      </c>
      <c r="AK108" s="615" t="str">
        <f t="shared" si="547"/>
        <v>Edificações</v>
      </c>
      <c r="AL108" s="614">
        <f t="shared" si="548"/>
        <v>0.05</v>
      </c>
      <c r="AM108" s="616" t="str">
        <f t="shared" si="549"/>
        <v>Sim</v>
      </c>
      <c r="AN108" s="616" t="str">
        <f t="shared" si="550"/>
        <v>Não</v>
      </c>
      <c r="AO108" s="304">
        <f t="array" ref="AO108">IF(ISBLANK($A108),0,IF(OR(AO$5-$AI108&lt;=0,$AM108="Não"),D108,D108+INDEX($AO$6:$BR$176,ROW()-5,COLUMN()-40-$AI108)))*IF($B108="Operacional",IFERROR(VLOOKUP($C108,SN_UGC,28,0),0),1)</f>
        <v>350</v>
      </c>
      <c r="AP108" s="304">
        <f t="array" ref="AP108">IF(ISBLANK($A108),0,IF(OR(AP$5-$AI108&lt;=0,$AM108="Não"),E108,E108+INDEX($AO$6:$BR$176,ROW()-5,COLUMN()-40-$AI108)))*IF($B108="Operacional",IFERROR(VLOOKUP($C108,SN_UGC,28,0),0),1)</f>
        <v>350</v>
      </c>
      <c r="AQ108" s="304">
        <f t="array" ref="AQ108">IF(ISBLANK($A108),0,IF(OR(AQ$5-$AI108&lt;=0,$AM108="Não"),F108,F108+INDEX($AO$6:$BR$176,ROW()-5,COLUMN()-40-$AI108)))*IF($B108="Operacional",IFERROR(VLOOKUP($C108,SN_UGC,28,0),0),1)</f>
        <v>0</v>
      </c>
      <c r="AR108" s="304">
        <f t="array" ref="AR108">IF(ISBLANK($A108),0,IF(OR(AR$5-$AI108&lt;=0,$AM108="Não"),G108,G108+INDEX($AO$6:$BR$176,ROW()-5,COLUMN()-40-$AI108)))*IF($B108="Operacional",IFERROR(VLOOKUP($C108,SN_UGC,28,0),0),1)</f>
        <v>0</v>
      </c>
      <c r="AS108" s="304">
        <f t="array" ref="AS108">IF(ISBLANK($A108),0,IF(OR(AS$5-$AI108&lt;=0,$AM108="Não"),H108,H108+INDEX($AO$6:$BR$176,ROW()-5,COLUMN()-40-$AI108)))*IF($B108="Operacional",IFERROR(VLOOKUP($C108,SN_UGC,28,0),0),1)</f>
        <v>0</v>
      </c>
      <c r="AT108" s="304">
        <f t="array" ref="AT108">IF(ISBLANK($A108),0,IF(OR(AT$5-$AI108&lt;=0,$AM108="Não"),I108,I108+INDEX($AO$6:$BR$176,ROW()-5,COLUMN()-40-$AI108)))*IF($B108="Operacional",IFERROR(VLOOKUP($C108,SN_UGC,28,0),0),1)</f>
        <v>0</v>
      </c>
      <c r="AU108" s="304">
        <f t="array" ref="AU108">IF(ISBLANK($A108),0,IF(OR(AU$5-$AI108&lt;=0,$AM108="Não"),J108,J108+INDEX($AO$6:$BR$176,ROW()-5,COLUMN()-40-$AI108)))*IF($B108="Operacional",IFERROR(VLOOKUP($C108,SN_UGC,28,0),0),1)</f>
        <v>0</v>
      </c>
      <c r="AV108" s="304">
        <f t="array" ref="AV108">IF(ISBLANK($A108),0,IF(OR(AV$5-$AI108&lt;=0,$AM108="Não"),K108,K108+INDEX($AO$6:$BR$176,ROW()-5,COLUMN()-40-$AI108)))*IF($B108="Operacional",IFERROR(VLOOKUP($C108,SN_UGC,28,0),0),1)</f>
        <v>0</v>
      </c>
      <c r="AW108" s="304">
        <f t="array" ref="AW108">IF(ISBLANK($A108),0,IF(OR(AW$5-$AI108&lt;=0,$AM108="Não"),L108,L108+INDEX($AO$6:$BR$176,ROW()-5,COLUMN()-40-$AI108)))*IF($B108="Operacional",IFERROR(VLOOKUP($C108,SN_UGC,28,0),0),1)</f>
        <v>0</v>
      </c>
      <c r="AX108" s="304">
        <f t="array" ref="AX108">IF(ISBLANK($A108),0,IF(OR(AX$5-$AI108&lt;=0,$AM108="Não"),M108,M108+INDEX($AO$6:$BR$176,ROW()-5,COLUMN()-40-$AI108)))*IF($B108="Operacional",IFERROR(VLOOKUP($C108,SN_UGC,28,0),0),1)</f>
        <v>0</v>
      </c>
      <c r="AY108" s="304">
        <f t="array" ref="AY108">IF(ISBLANK($A108),0,IF(OR(AY$5-$AI108&lt;=0,$AM108="Não"),N108,N108+INDEX($AO$6:$BR$176,ROW()-5,COLUMN()-40-$AI108)))*IF($B108="Operacional",IFERROR(VLOOKUP($C108,SN_UGC,28,0),0),1)</f>
        <v>0</v>
      </c>
      <c r="AZ108" s="304">
        <f t="array" ref="AZ108">IF(ISBLANK($A108),0,IF(OR(AZ$5-$AI108&lt;=0,$AM108="Não"),O108,O108+INDEX($AO$6:$BR$176,ROW()-5,COLUMN()-40-$AI108)))*IF($B108="Operacional",IFERROR(VLOOKUP($C108,SN_UGC,28,0),0),1)</f>
        <v>0</v>
      </c>
      <c r="BA108" s="304">
        <f t="array" ref="BA108">IF(ISBLANK($A108),0,IF(OR(BA$5-$AI108&lt;=0,$AM108="Não"),P108,P108+INDEX($AO$6:$BR$176,ROW()-5,COLUMN()-40-$AI108)))*IF($B108="Operacional",IFERROR(VLOOKUP($C108,SN_UGC,28,0),0),1)</f>
        <v>0</v>
      </c>
      <c r="BB108" s="304">
        <f t="array" ref="BB108">IF(ISBLANK($A108),0,IF(OR(BB$5-$AI108&lt;=0,$AM108="Não"),Q108,Q108+INDEX($AO$6:$BR$176,ROW()-5,COLUMN()-40-$AI108)))*IF($B108="Operacional",IFERROR(VLOOKUP($C108,SN_UGC,28,0),0),1)</f>
        <v>0</v>
      </c>
      <c r="BC108" s="304">
        <f t="array" ref="BC108">IF(ISBLANK($A108),0,IF(OR(BC$5-$AI108&lt;=0,$AM108="Não"),R108,R108+INDEX($AO$6:$BR$176,ROW()-5,COLUMN()-40-$AI108)))*IF($B108="Operacional",IFERROR(VLOOKUP($C108,SN_UGC,28,0),0),1)</f>
        <v>0</v>
      </c>
      <c r="BD108" s="304">
        <f t="array" ref="BD108">IF(ISBLANK($A108),0,IF(OR(BD$5-$AI108&lt;=0,$AM108="Não"),S108,S108+INDEX($AO$6:$BR$176,ROW()-5,COLUMN()-40-$AI108)))*IF($B108="Operacional",IFERROR(VLOOKUP($C108,SN_UGC,28,0),0),1)</f>
        <v>0</v>
      </c>
      <c r="BE108" s="304">
        <f t="array" ref="BE108">IF(ISBLANK($A108),0,IF(OR(BE$5-$AI108&lt;=0,$AM108="Não"),T108,T108+INDEX($AO$6:$BR$176,ROW()-5,COLUMN()-40-$AI108)))*IF($B108="Operacional",IFERROR(VLOOKUP($C108,SN_UGC,28,0),0),1)</f>
        <v>0</v>
      </c>
      <c r="BF108" s="304">
        <f t="array" ref="BF108">IF(ISBLANK($A108),0,IF(OR(BF$5-$AI108&lt;=0,$AM108="Não"),U108,U108+INDEX($AO$6:$BR$176,ROW()-5,COLUMN()-40-$AI108)))*IF($B108="Operacional",IFERROR(VLOOKUP($C108,SN_UGC,28,0),0),1)</f>
        <v>0</v>
      </c>
      <c r="BG108" s="304">
        <f t="array" ref="BG108">IF(ISBLANK($A108),0,IF(OR(BG$5-$AI108&lt;=0,$AM108="Não"),V108,V108+INDEX($AO$6:$BR$176,ROW()-5,COLUMN()-40-$AI108)))*IF($B108="Operacional",IFERROR(VLOOKUP($C108,SN_UGC,28,0),0),1)</f>
        <v>0</v>
      </c>
      <c r="BH108" s="304">
        <f t="array" ref="BH108">IF(ISBLANK($A108),0,IF(OR(BH$5-$AI108&lt;=0,$AM108="Não"),W108,W108+INDEX($AO$6:$BR$176,ROW()-5,COLUMN()-40-$AI108)))*IF($B108="Operacional",IFERROR(VLOOKUP($C108,SN_UGC,28,0),0),1)</f>
        <v>0</v>
      </c>
      <c r="BI108" s="304">
        <f t="array" ref="BI108">IF(ISBLANK($A108),0,IF(OR(BI$5-$AI108&lt;=0,$AM108="Não"),X108,X108+INDEX($AO$6:$BR$176,ROW()-5,COLUMN()-40-$AI108)))*IF($B108="Operacional",IFERROR(VLOOKUP($C108,SN_UGC,28,0),0),1)</f>
        <v>0</v>
      </c>
      <c r="BJ108" s="304">
        <f t="array" ref="BJ108">IF(ISBLANK($A108),0,IF(OR(BJ$5-$AI108&lt;=0,$AM108="Não"),Y108,Y108+INDEX($AO$6:$BR$176,ROW()-5,COLUMN()-40-$AI108)))*IF($B108="Operacional",IFERROR(VLOOKUP($C108,SN_UGC,28,0),0),1)</f>
        <v>0</v>
      </c>
      <c r="BK108" s="304">
        <f t="array" ref="BK108">IF(ISBLANK($A108),0,IF(OR(BK$5-$AI108&lt;=0,$AM108="Não"),Z108,Z108+INDEX($AO$6:$BR$176,ROW()-5,COLUMN()-40-$AI108)))*IF($B108="Operacional",IFERROR(VLOOKUP($C108,SN_UGC,28,0),0),1)</f>
        <v>0</v>
      </c>
      <c r="BL108" s="304">
        <f t="array" ref="BL108">IF(ISBLANK($A108),0,IF(OR(BL$5-$AI108&lt;=0,$AM108="Não"),AA108,AA108+INDEX($AO$6:$BR$176,ROW()-5,COLUMN()-40-$AI108)))*IF($B108="Operacional",IFERROR(VLOOKUP($C108,SN_UGC,28,0),0),1)</f>
        <v>0</v>
      </c>
      <c r="BM108" s="304">
        <f t="array" ref="BM108">IF(ISBLANK($A108),0,IF(OR(BM$5-$AI108&lt;=0,$AM108="Não"),AB108,AB108+INDEX($AO$6:$BR$176,ROW()-5,COLUMN()-40-$AI108)))*IF($B108="Operacional",IFERROR(VLOOKUP($C108,SN_UGC,28,0),0),1)</f>
        <v>0</v>
      </c>
      <c r="BN108" s="304">
        <f t="array" ref="BN108">IF(ISBLANK($A108),0,IF(OR(BN$5-$AI108&lt;=0,$AM108="Não"),AC108,AC108+INDEX($AO$6:$BR$176,ROW()-5,COLUMN()-40-$AI108)))*IF($B108="Operacional",IFERROR(VLOOKUP($C108,SN_UGC,28,0),0),1)</f>
        <v>0</v>
      </c>
      <c r="BO108" s="304">
        <f t="array" ref="BO108">IF(ISBLANK($A108),0,IF(OR(BO$5-$AI108&lt;=0,$AM108="Não"),AD108,AD108+INDEX($AO$6:$BR$176,ROW()-5,COLUMN()-40-$AI108)))*IF($B108="Operacional",IFERROR(VLOOKUP($C108,SN_UGC,28,0),0),1)</f>
        <v>0</v>
      </c>
      <c r="BP108" s="304">
        <f t="array" ref="BP108">IF(ISBLANK($A108),0,IF(OR(BP$5-$AI108&lt;=0,$AM108="Não"),AE108,AE108+INDEX($AO$6:$BR$176,ROW()-5,COLUMN()-40-$AI108)))*IF($B108="Operacional",IFERROR(VLOOKUP($C108,SN_UGC,28,0),0),1)</f>
        <v>0</v>
      </c>
      <c r="BQ108" s="304">
        <f t="array" ref="BQ108">IF(ISBLANK($A108),0,IF(OR(BQ$5-$AI108&lt;=0,$AM108="Não"),AF108,AF108+INDEX($AO$6:$BR$176,ROW()-5,COLUMN()-40-$AI108)))*IF($B108="Operacional",IFERROR(VLOOKUP($C108,SN_UGC,28,0),0),1)</f>
        <v>0</v>
      </c>
      <c r="BR108" s="304">
        <f t="array" ref="BR108">IF(ISBLANK($A108),0,IF(OR(BR$5-$AI108&lt;=0,$AM108="Não"),AG108,AG108+INDEX($AO$6:$BR$176,ROW()-5,COLUMN()-40-$AI108)))*IF($B108="Operacional",IFERROR(VLOOKUP($C108,SN_UGC,28,0),0),1)</f>
        <v>0</v>
      </c>
      <c r="BS108" s="305">
        <f t="shared" ref="BS108:CV108" si="564">IF(ISBLANK($A108),0,$AH108*AO108)</f>
        <v>830406.5</v>
      </c>
      <c r="BT108" s="305">
        <f t="shared" si="564"/>
        <v>830406.5</v>
      </c>
      <c r="BU108" s="305">
        <f t="shared" si="564"/>
        <v>0</v>
      </c>
      <c r="BV108" s="305">
        <f t="shared" si="564"/>
        <v>0</v>
      </c>
      <c r="BW108" s="305">
        <f t="shared" si="564"/>
        <v>0</v>
      </c>
      <c r="BX108" s="305">
        <f t="shared" si="564"/>
        <v>0</v>
      </c>
      <c r="BY108" s="305">
        <f t="shared" si="564"/>
        <v>0</v>
      </c>
      <c r="BZ108" s="305">
        <f t="shared" si="564"/>
        <v>0</v>
      </c>
      <c r="CA108" s="305">
        <f t="shared" si="564"/>
        <v>0</v>
      </c>
      <c r="CB108" s="305">
        <f t="shared" si="564"/>
        <v>0</v>
      </c>
      <c r="CC108" s="305">
        <f t="shared" si="564"/>
        <v>0</v>
      </c>
      <c r="CD108" s="305">
        <f t="shared" si="564"/>
        <v>0</v>
      </c>
      <c r="CE108" s="305">
        <f t="shared" si="564"/>
        <v>0</v>
      </c>
      <c r="CF108" s="305">
        <f t="shared" si="564"/>
        <v>0</v>
      </c>
      <c r="CG108" s="305">
        <f t="shared" si="564"/>
        <v>0</v>
      </c>
      <c r="CH108" s="305">
        <f t="shared" si="564"/>
        <v>0</v>
      </c>
      <c r="CI108" s="305">
        <f t="shared" si="564"/>
        <v>0</v>
      </c>
      <c r="CJ108" s="305">
        <f t="shared" si="564"/>
        <v>0</v>
      </c>
      <c r="CK108" s="305">
        <f t="shared" si="564"/>
        <v>0</v>
      </c>
      <c r="CL108" s="305">
        <f t="shared" si="564"/>
        <v>0</v>
      </c>
      <c r="CM108" s="305">
        <f t="shared" si="564"/>
        <v>0</v>
      </c>
      <c r="CN108" s="305">
        <f t="shared" si="564"/>
        <v>0</v>
      </c>
      <c r="CO108" s="305">
        <f t="shared" si="564"/>
        <v>0</v>
      </c>
      <c r="CP108" s="305">
        <f t="shared" si="564"/>
        <v>0</v>
      </c>
      <c r="CQ108" s="305">
        <f t="shared" si="564"/>
        <v>0</v>
      </c>
      <c r="CR108" s="305">
        <f t="shared" si="564"/>
        <v>0</v>
      </c>
      <c r="CS108" s="305">
        <f t="shared" si="564"/>
        <v>0</v>
      </c>
      <c r="CT108" s="305">
        <f t="shared" si="564"/>
        <v>0</v>
      </c>
      <c r="CU108" s="305">
        <f t="shared" si="564"/>
        <v>0</v>
      </c>
      <c r="CV108" s="305">
        <f t="shared" si="564"/>
        <v>0</v>
      </c>
      <c r="CW108" s="306">
        <f t="shared" ref="CW108:DZ108" si="565">EA108*$AH108*$AJ108</f>
        <v>0</v>
      </c>
      <c r="CX108" s="306">
        <f t="shared" si="565"/>
        <v>0</v>
      </c>
      <c r="CY108" s="306">
        <f t="shared" si="565"/>
        <v>0</v>
      </c>
      <c r="CZ108" s="306">
        <f t="shared" si="565"/>
        <v>0</v>
      </c>
      <c r="DA108" s="306">
        <f t="shared" si="565"/>
        <v>0</v>
      </c>
      <c r="DB108" s="306">
        <f t="shared" si="565"/>
        <v>0</v>
      </c>
      <c r="DC108" s="306">
        <f t="shared" si="565"/>
        <v>0</v>
      </c>
      <c r="DD108" s="306">
        <f t="shared" si="565"/>
        <v>0</v>
      </c>
      <c r="DE108" s="306">
        <f t="shared" si="565"/>
        <v>0</v>
      </c>
      <c r="DF108" s="306">
        <f t="shared" si="565"/>
        <v>0</v>
      </c>
      <c r="DG108" s="306">
        <f t="shared" si="565"/>
        <v>0</v>
      </c>
      <c r="DH108" s="306">
        <f t="shared" si="565"/>
        <v>0</v>
      </c>
      <c r="DI108" s="306">
        <f t="shared" si="565"/>
        <v>0</v>
      </c>
      <c r="DJ108" s="306">
        <f t="shared" si="565"/>
        <v>0</v>
      </c>
      <c r="DK108" s="306">
        <f t="shared" si="565"/>
        <v>0</v>
      </c>
      <c r="DL108" s="306">
        <f t="shared" si="565"/>
        <v>0</v>
      </c>
      <c r="DM108" s="306">
        <f t="shared" si="565"/>
        <v>0</v>
      </c>
      <c r="DN108" s="306">
        <f t="shared" si="565"/>
        <v>0</v>
      </c>
      <c r="DO108" s="306">
        <f t="shared" si="565"/>
        <v>0</v>
      </c>
      <c r="DP108" s="306">
        <f t="shared" si="565"/>
        <v>0</v>
      </c>
      <c r="DQ108" s="306">
        <f t="shared" si="565"/>
        <v>0</v>
      </c>
      <c r="DR108" s="306">
        <f t="shared" si="565"/>
        <v>0</v>
      </c>
      <c r="DS108" s="306">
        <f t="shared" si="565"/>
        <v>0</v>
      </c>
      <c r="DT108" s="306">
        <f t="shared" si="565"/>
        <v>0</v>
      </c>
      <c r="DU108" s="306">
        <f t="shared" si="565"/>
        <v>0</v>
      </c>
      <c r="DV108" s="306">
        <f t="shared" si="565"/>
        <v>0</v>
      </c>
      <c r="DW108" s="306">
        <f t="shared" si="565"/>
        <v>0</v>
      </c>
      <c r="DX108" s="306">
        <f t="shared" si="565"/>
        <v>0</v>
      </c>
      <c r="DY108" s="306">
        <f t="shared" si="565"/>
        <v>0</v>
      </c>
      <c r="DZ108" s="306">
        <f t="shared" si="565"/>
        <v>0</v>
      </c>
      <c r="EA108" s="307">
        <f t="shared" si="504"/>
        <v>0</v>
      </c>
      <c r="EB108" s="307">
        <f t="shared" si="505"/>
        <v>0</v>
      </c>
      <c r="EC108" s="307">
        <f t="shared" si="506"/>
        <v>0</v>
      </c>
      <c r="ED108" s="307">
        <f t="shared" si="507"/>
        <v>0</v>
      </c>
      <c r="EE108" s="307">
        <f t="shared" si="508"/>
        <v>0</v>
      </c>
      <c r="EF108" s="307">
        <f t="shared" si="509"/>
        <v>0</v>
      </c>
      <c r="EG108" s="307">
        <f t="shared" si="510"/>
        <v>0</v>
      </c>
      <c r="EH108" s="307">
        <f t="shared" si="511"/>
        <v>0</v>
      </c>
      <c r="EI108" s="307">
        <f t="shared" si="512"/>
        <v>0</v>
      </c>
      <c r="EJ108" s="307">
        <f t="shared" si="513"/>
        <v>0</v>
      </c>
      <c r="EK108" s="307">
        <f t="shared" si="514"/>
        <v>0</v>
      </c>
      <c r="EL108" s="307">
        <f t="shared" si="515"/>
        <v>0</v>
      </c>
      <c r="EM108" s="307">
        <f t="shared" si="516"/>
        <v>0</v>
      </c>
      <c r="EN108" s="307">
        <f t="shared" si="517"/>
        <v>0</v>
      </c>
      <c r="EO108" s="307">
        <f t="shared" si="518"/>
        <v>0</v>
      </c>
      <c r="EP108" s="307">
        <f t="shared" si="519"/>
        <v>0</v>
      </c>
      <c r="EQ108" s="307">
        <f t="shared" si="520"/>
        <v>0</v>
      </c>
      <c r="ER108" s="307">
        <f t="shared" si="521"/>
        <v>0</v>
      </c>
      <c r="ES108" s="307">
        <f t="shared" si="522"/>
        <v>0</v>
      </c>
      <c r="ET108" s="307">
        <f t="shared" si="523"/>
        <v>0</v>
      </c>
      <c r="EU108" s="307">
        <f t="shared" si="524"/>
        <v>0</v>
      </c>
      <c r="EV108" s="307">
        <f t="shared" si="525"/>
        <v>0</v>
      </c>
      <c r="EW108" s="307">
        <f t="shared" si="526"/>
        <v>0</v>
      </c>
      <c r="EX108" s="307">
        <f t="shared" si="527"/>
        <v>0</v>
      </c>
      <c r="EY108" s="307">
        <f t="shared" si="528"/>
        <v>0</v>
      </c>
      <c r="EZ108" s="307">
        <f t="shared" si="529"/>
        <v>0</v>
      </c>
      <c r="FA108" s="307">
        <f t="shared" si="530"/>
        <v>0</v>
      </c>
      <c r="FB108" s="307">
        <f t="shared" si="531"/>
        <v>0</v>
      </c>
      <c r="FC108" s="307">
        <f t="shared" si="532"/>
        <v>0</v>
      </c>
      <c r="FD108" s="307">
        <f t="shared" si="533"/>
        <v>0</v>
      </c>
      <c r="FE108" s="304">
        <f>SUM($D108:D108)*IF($B108="Operacional",IFERROR(VLOOKUP($C108,SN_UGC,28,0),0),1)</f>
        <v>350</v>
      </c>
      <c r="FF108" s="304">
        <f>SUM($D108:E108)*IF($B108="Operacional",IFERROR(VLOOKUP($C108,SN_UGC,28,0),0),1)</f>
        <v>700</v>
      </c>
      <c r="FG108" s="304">
        <f>SUM($D108:F108)*IF($B108="Operacional",IFERROR(VLOOKUP($C108,SN_UGC,28,0),0),1)</f>
        <v>700</v>
      </c>
      <c r="FH108" s="304">
        <f>SUM($D108:G108)*IF($B108="Operacional",IFERROR(VLOOKUP($C108,SN_UGC,28,0),0),1)</f>
        <v>700</v>
      </c>
      <c r="FI108" s="304">
        <f>SUM($D108:H108)*IF($B108="Operacional",IFERROR(VLOOKUP($C108,SN_UGC,28,0),0),1)</f>
        <v>700</v>
      </c>
      <c r="FJ108" s="304">
        <f>SUM($D108:I108)*IF($B108="Operacional",IFERROR(VLOOKUP($C108,SN_UGC,28,0),0),1)</f>
        <v>700</v>
      </c>
      <c r="FK108" s="304">
        <f>SUM($D108:J108)*IF($B108="Operacional",IFERROR(VLOOKUP($C108,SN_UGC,28,0),0),1)</f>
        <v>700</v>
      </c>
      <c r="FL108" s="304">
        <f>SUM($D108:K108)*IF($B108="Operacional",IFERROR(VLOOKUP($C108,SN_UGC,28,0),0),1)</f>
        <v>700</v>
      </c>
      <c r="FM108" s="304">
        <f>SUM($D108:L108)*IF($B108="Operacional",IFERROR(VLOOKUP($C108,SN_UGC,28,0),0),1)</f>
        <v>700</v>
      </c>
      <c r="FN108" s="304">
        <f>SUM($D108:M108)*IF($B108="Operacional",IFERROR(VLOOKUP($C108,SN_UGC,28,0),0),1)</f>
        <v>700</v>
      </c>
      <c r="FO108" s="304">
        <f>SUM($D108:N108)*IF($B108="Operacional",IFERROR(VLOOKUP($C108,SN_UGC,28,0),0),1)</f>
        <v>700</v>
      </c>
      <c r="FP108" s="304">
        <f>SUM($D108:O108)*IF($B108="Operacional",IFERROR(VLOOKUP($C108,SN_UGC,28,0),0),1)</f>
        <v>700</v>
      </c>
      <c r="FQ108" s="304">
        <f>SUM($D108:P108)*IF($B108="Operacional",IFERROR(VLOOKUP($C108,SN_UGC,28,0),0),1)</f>
        <v>700</v>
      </c>
      <c r="FR108" s="304">
        <f>SUM($D108:Q108)*IF($B108="Operacional",IFERROR(VLOOKUP($C108,SN_UGC,28,0),0),1)</f>
        <v>700</v>
      </c>
      <c r="FS108" s="304">
        <f>SUM($D108:R108)*IF($B108="Operacional",IFERROR(VLOOKUP($C108,SN_UGC,28,0),0),1)</f>
        <v>700</v>
      </c>
      <c r="FT108" s="304">
        <f>SUM($D108:S108)*IF($B108="Operacional",IFERROR(VLOOKUP($C108,SN_UGC,28,0),0),1)</f>
        <v>700</v>
      </c>
      <c r="FU108" s="304">
        <f>SUM($D108:T108)*IF($B108="Operacional",IFERROR(VLOOKUP($C108,SN_UGC,28,0),0),1)</f>
        <v>700</v>
      </c>
      <c r="FV108" s="304">
        <f>SUM($D108:U108)*IF($B108="Operacional",IFERROR(VLOOKUP($C108,SN_UGC,28,0),0),1)</f>
        <v>700</v>
      </c>
      <c r="FW108" s="304">
        <f>SUM($D108:V108)*IF($B108="Operacional",IFERROR(VLOOKUP($C108,SN_UGC,28,0),0),1)</f>
        <v>700</v>
      </c>
      <c r="FX108" s="304">
        <f>SUM($D108:W108)*IF($B108="Operacional",IFERROR(VLOOKUP($C108,SN_UGC,28,0),0),1)</f>
        <v>700</v>
      </c>
      <c r="FY108" s="304">
        <f>SUM($D108:X108)*IF($B108="Operacional",IFERROR(VLOOKUP($C108,SN_UGC,28,0),0),1)</f>
        <v>700</v>
      </c>
      <c r="FZ108" s="304">
        <f>SUM($D108:Y108)*IF($B108="Operacional",IFERROR(VLOOKUP($C108,SN_UGC,28,0),0),1)</f>
        <v>700</v>
      </c>
      <c r="GA108" s="304">
        <f>SUM($D108:Z108)*IF($B108="Operacional",IFERROR(VLOOKUP($C108,SN_UGC,28,0),0),1)</f>
        <v>700</v>
      </c>
      <c r="GB108" s="304">
        <f>SUM($D108:AA108)*IF($B108="Operacional",IFERROR(VLOOKUP($C108,SN_UGC,28,0),0),1)</f>
        <v>700</v>
      </c>
      <c r="GC108" s="304">
        <f>SUM($D108:AB108)*IF($B108="Operacional",IFERROR(VLOOKUP($C108,SN_UGC,28,0),0),1)</f>
        <v>700</v>
      </c>
      <c r="GD108" s="304">
        <f>SUM($D108:AC108)*IF($B108="Operacional",IFERROR(VLOOKUP($C108,SN_UGC,28,0),0),1)</f>
        <v>700</v>
      </c>
      <c r="GE108" s="304">
        <f>SUM($D108:AD108)*IF($B108="Operacional",IFERROR(VLOOKUP($C108,SN_UGC,28,0),0),1)</f>
        <v>700</v>
      </c>
      <c r="GF108" s="304">
        <f>SUM($D108:AE108)*IF($B108="Operacional",IFERROR(VLOOKUP($C108,SN_UGC,28,0),0),1)</f>
        <v>700</v>
      </c>
      <c r="GG108" s="304">
        <f>SUM($D108:AF108)*IF($B108="Operacional",IFERROR(VLOOKUP($C108,SN_UGC,28,0),0),1)</f>
        <v>700</v>
      </c>
      <c r="GH108" s="304">
        <f>SUM($D108:AG108)*IF($B108="Operacional",IFERROR(VLOOKUP($C108,SN_UGC,28,0),0),1)</f>
        <v>700</v>
      </c>
      <c r="GI108" s="305">
        <f t="shared" ref="GI108:HL108" si="566">FE108*$AH108*$AL108</f>
        <v>41520.325000000004</v>
      </c>
      <c r="GJ108" s="305">
        <f t="shared" si="566"/>
        <v>83040.650000000009</v>
      </c>
      <c r="GK108" s="305">
        <f t="shared" si="566"/>
        <v>83040.650000000009</v>
      </c>
      <c r="GL108" s="305">
        <f t="shared" si="566"/>
        <v>83040.650000000009</v>
      </c>
      <c r="GM108" s="305">
        <f t="shared" si="566"/>
        <v>83040.650000000009</v>
      </c>
      <c r="GN108" s="305">
        <f t="shared" si="566"/>
        <v>83040.650000000009</v>
      </c>
      <c r="GO108" s="305">
        <f t="shared" si="566"/>
        <v>83040.650000000009</v>
      </c>
      <c r="GP108" s="305">
        <f t="shared" si="566"/>
        <v>83040.650000000009</v>
      </c>
      <c r="GQ108" s="305">
        <f t="shared" si="566"/>
        <v>83040.650000000009</v>
      </c>
      <c r="GR108" s="305">
        <f t="shared" si="566"/>
        <v>83040.650000000009</v>
      </c>
      <c r="GS108" s="305">
        <f t="shared" si="566"/>
        <v>83040.650000000009</v>
      </c>
      <c r="GT108" s="305">
        <f t="shared" si="566"/>
        <v>83040.650000000009</v>
      </c>
      <c r="GU108" s="305">
        <f t="shared" si="566"/>
        <v>83040.650000000009</v>
      </c>
      <c r="GV108" s="305">
        <f t="shared" si="566"/>
        <v>83040.650000000009</v>
      </c>
      <c r="GW108" s="305">
        <f t="shared" si="566"/>
        <v>83040.650000000009</v>
      </c>
      <c r="GX108" s="305">
        <f t="shared" si="566"/>
        <v>83040.650000000009</v>
      </c>
      <c r="GY108" s="305">
        <f t="shared" si="566"/>
        <v>83040.650000000009</v>
      </c>
      <c r="GZ108" s="305">
        <f t="shared" si="566"/>
        <v>83040.650000000009</v>
      </c>
      <c r="HA108" s="305">
        <f t="shared" si="566"/>
        <v>83040.650000000009</v>
      </c>
      <c r="HB108" s="305">
        <f t="shared" si="566"/>
        <v>83040.650000000009</v>
      </c>
      <c r="HC108" s="305">
        <f t="shared" si="566"/>
        <v>83040.650000000009</v>
      </c>
      <c r="HD108" s="305">
        <f t="shared" si="566"/>
        <v>83040.650000000009</v>
      </c>
      <c r="HE108" s="305">
        <f t="shared" si="566"/>
        <v>83040.650000000009</v>
      </c>
      <c r="HF108" s="305">
        <f t="shared" si="566"/>
        <v>83040.650000000009</v>
      </c>
      <c r="HG108" s="305">
        <f t="shared" si="566"/>
        <v>83040.650000000009</v>
      </c>
      <c r="HH108" s="305">
        <f t="shared" si="566"/>
        <v>83040.650000000009</v>
      </c>
      <c r="HI108" s="305">
        <f t="shared" si="566"/>
        <v>83040.650000000009</v>
      </c>
      <c r="HJ108" s="305">
        <f t="shared" si="566"/>
        <v>83040.650000000009</v>
      </c>
      <c r="HK108" s="305">
        <f t="shared" si="566"/>
        <v>83040.650000000009</v>
      </c>
      <c r="HL108" s="305">
        <f t="shared" si="566"/>
        <v>83040.650000000009</v>
      </c>
      <c r="HM108" s="306">
        <f t="shared" ref="HM108:IP108" si="567">IF(ISBLANK($A108),,FE108*($AH108-($AH108*$AJ108))/$AI108)</f>
        <v>27680.216666666667</v>
      </c>
      <c r="HN108" s="306">
        <f t="shared" si="567"/>
        <v>55360.433333333334</v>
      </c>
      <c r="HO108" s="306">
        <f t="shared" si="567"/>
        <v>55360.433333333334</v>
      </c>
      <c r="HP108" s="306">
        <f t="shared" si="567"/>
        <v>55360.433333333334</v>
      </c>
      <c r="HQ108" s="306">
        <f t="shared" si="567"/>
        <v>55360.433333333334</v>
      </c>
      <c r="HR108" s="306">
        <f t="shared" si="567"/>
        <v>55360.433333333334</v>
      </c>
      <c r="HS108" s="306">
        <f t="shared" si="567"/>
        <v>55360.433333333334</v>
      </c>
      <c r="HT108" s="306">
        <f t="shared" si="567"/>
        <v>55360.433333333334</v>
      </c>
      <c r="HU108" s="306">
        <f t="shared" si="567"/>
        <v>55360.433333333334</v>
      </c>
      <c r="HV108" s="306">
        <f t="shared" si="567"/>
        <v>55360.433333333334</v>
      </c>
      <c r="HW108" s="306">
        <f t="shared" si="567"/>
        <v>55360.433333333334</v>
      </c>
      <c r="HX108" s="306">
        <f t="shared" si="567"/>
        <v>55360.433333333334</v>
      </c>
      <c r="HY108" s="306">
        <f t="shared" si="567"/>
        <v>55360.433333333334</v>
      </c>
      <c r="HZ108" s="306">
        <f t="shared" si="567"/>
        <v>55360.433333333334</v>
      </c>
      <c r="IA108" s="306">
        <f t="shared" si="567"/>
        <v>55360.433333333334</v>
      </c>
      <c r="IB108" s="306">
        <f t="shared" si="567"/>
        <v>55360.433333333334</v>
      </c>
      <c r="IC108" s="306">
        <f t="shared" si="567"/>
        <v>55360.433333333334</v>
      </c>
      <c r="ID108" s="306">
        <f t="shared" si="567"/>
        <v>55360.433333333334</v>
      </c>
      <c r="IE108" s="306">
        <f t="shared" si="567"/>
        <v>55360.433333333334</v>
      </c>
      <c r="IF108" s="306">
        <f t="shared" si="567"/>
        <v>55360.433333333334</v>
      </c>
      <c r="IG108" s="306">
        <f t="shared" si="567"/>
        <v>55360.433333333334</v>
      </c>
      <c r="IH108" s="306">
        <f t="shared" si="567"/>
        <v>55360.433333333334</v>
      </c>
      <c r="II108" s="306">
        <f t="shared" si="567"/>
        <v>55360.433333333334</v>
      </c>
      <c r="IJ108" s="306">
        <f t="shared" si="567"/>
        <v>55360.433333333334</v>
      </c>
      <c r="IK108" s="306">
        <f t="shared" si="567"/>
        <v>55360.433333333334</v>
      </c>
      <c r="IL108" s="306">
        <f t="shared" si="567"/>
        <v>55360.433333333334</v>
      </c>
      <c r="IM108" s="306">
        <f t="shared" si="567"/>
        <v>55360.433333333334</v>
      </c>
      <c r="IN108" s="306">
        <f t="shared" si="567"/>
        <v>55360.433333333334</v>
      </c>
      <c r="IO108" s="306">
        <f t="shared" si="567"/>
        <v>55360.433333333334</v>
      </c>
      <c r="IP108" s="306">
        <f t="shared" si="567"/>
        <v>55360.433333333334</v>
      </c>
      <c r="IQ108" s="305">
        <f>IF(ISBLANK($A108),,IF($AN108="Não",0,(SUM($AO108:AO108)*$AH108)-SUM($HM108:HM108)-SUM($CW108:CW108)))</f>
        <v>0</v>
      </c>
      <c r="IR108" s="305">
        <f>IF(ISBLANK($A108),,IF($AN108="Não",0,(SUM($AO108:AP108)*$AH108)-SUM($HM108:HN108)-SUM($CW108:CX108)))</f>
        <v>0</v>
      </c>
      <c r="IS108" s="305">
        <f>IF(ISBLANK($A108),,IF($AN108="Não",0,(SUM($AO108:AQ108)*$AH108)-SUM($HM108:HO108)-SUM($CW108:CY108)))</f>
        <v>0</v>
      </c>
      <c r="IT108" s="305">
        <f>IF(ISBLANK($A108),,IF($AN108="Não",0,(SUM($AO108:AR108)*$AH108)-SUM($HM108:HP108)-SUM($CW108:CZ108)))</f>
        <v>0</v>
      </c>
      <c r="IU108" s="305">
        <f>IF(ISBLANK($A108),,IF($AN108="Não",0,(SUM($AO108:AS108)*$AH108)-SUM($HM108:HQ108)-SUM($CW108:DA108)))</f>
        <v>0</v>
      </c>
      <c r="IV108" s="305">
        <f>IF(ISBLANK($A108),,IF($AN108="Não",0,(SUM($AO108:AT108)*$AH108)-SUM($HM108:HR108)-SUM($CW108:DB108)))</f>
        <v>0</v>
      </c>
      <c r="IW108" s="305">
        <f>IF(ISBLANK($A108),,IF($AN108="Não",0,(SUM($AO108:AU108)*$AH108)-SUM($HM108:HS108)-SUM($CW108:DC108)))</f>
        <v>0</v>
      </c>
      <c r="IX108" s="305">
        <f>IF(ISBLANK($A108),,IF($AN108="Não",0,(SUM($AO108:AV108)*$AH108)-SUM($HM108:HT108)-SUM($CW108:DD108)))</f>
        <v>0</v>
      </c>
      <c r="IY108" s="305">
        <f>IF(ISBLANK($A108),,IF($AN108="Não",0,(SUM($AO108:AW108)*$AH108)-SUM($HM108:HU108)-SUM($CW108:DE108)))</f>
        <v>0</v>
      </c>
      <c r="IZ108" s="305">
        <f>IF(ISBLANK($A108),,IF($AN108="Não",0,(SUM($AO108:AX108)*$AH108)-SUM($HM108:HV108)-SUM($CW108:DF108)))</f>
        <v>0</v>
      </c>
      <c r="JA108" s="305">
        <f>IF(ISBLANK($A108),,IF($AN108="Não",0,(SUM($AO108:AY108)*$AH108)-SUM($HM108:HW108)-SUM($CW108:DG108)))</f>
        <v>0</v>
      </c>
      <c r="JB108" s="305">
        <f>IF(ISBLANK($A108),,IF($AN108="Não",0,(SUM($AO108:AZ108)*$AH108)-SUM($HM108:HX108)-SUM($CW108:DH108)))</f>
        <v>0</v>
      </c>
      <c r="JC108" s="305">
        <f>IF(ISBLANK($A108),,IF($AN108="Não",0,(SUM($AO108:BA108)*$AH108)-SUM($HM108:HY108)-SUM($CW108:DI108)))</f>
        <v>0</v>
      </c>
      <c r="JD108" s="305">
        <f>IF(ISBLANK($A108),,IF($AN108="Não",0,(SUM($AO108:BB108)*$AH108)-SUM($HM108:HZ108)-SUM($CW108:DJ108)))</f>
        <v>0</v>
      </c>
      <c r="JE108" s="305">
        <f>IF(ISBLANK($A108),,IF($AN108="Não",0,(SUM($AO108:BC108)*$AH108)-SUM($HM108:IA108)-SUM($CW108:DK108)))</f>
        <v>0</v>
      </c>
      <c r="JF108" s="305">
        <f>IF(ISBLANK($A108),,IF($AN108="Não",0,(SUM($AO108:BD108)*$AH108)-SUM($HM108:IB108)-SUM($CW108:DL108)))</f>
        <v>0</v>
      </c>
      <c r="JG108" s="305">
        <f>IF(ISBLANK($A108),,IF($AN108="Não",0,(SUM($AO108:BE108)*$AH108)-SUM($HM108:IC108)-SUM($CW108:DM108)))</f>
        <v>0</v>
      </c>
      <c r="JH108" s="305">
        <f>IF(ISBLANK($A108),,IF($AN108="Não",0,(SUM($AO108:BF108)*$AH108)-SUM($HM108:ID108)-SUM($CW108:DN108)))</f>
        <v>0</v>
      </c>
      <c r="JI108" s="305">
        <f>IF(ISBLANK($A108),,IF($AN108="Não",0,(SUM($AO108:BG108)*$AH108)-SUM($HM108:IE108)-SUM($CW108:DO108)))</f>
        <v>0</v>
      </c>
      <c r="JJ108" s="305">
        <f>IF(ISBLANK($A108),,IF($AN108="Não",0,(SUM($AO108:BH108)*$AH108)-SUM($HM108:IF108)-SUM($CW108:DP108)))</f>
        <v>0</v>
      </c>
      <c r="JK108" s="305">
        <f>IF(ISBLANK($A108),,IF($AN108="Não",0,(SUM($AO108:BI108)*$AH108)-SUM($HM108:IG108)-SUM($CW108:DQ108)))</f>
        <v>0</v>
      </c>
      <c r="JL108" s="305">
        <f>IF(ISBLANK($A108),,IF($AN108="Não",0,(SUM($AO108:BJ108)*$AH108)-SUM($HM108:IH108)-SUM($CW108:DR108)))</f>
        <v>0</v>
      </c>
      <c r="JM108" s="305">
        <f>IF(ISBLANK($A108),,IF($AN108="Não",0,(SUM($AO108:BK108)*$AH108)-SUM($HM108:II108)-SUM($CW108:DS108)))</f>
        <v>0</v>
      </c>
      <c r="JN108" s="305">
        <f>IF(ISBLANK($A108),,IF($AN108="Não",0,(SUM($AO108:BL108)*$AH108)-SUM($HM108:IJ108)-SUM($CW108:DT108)))</f>
        <v>0</v>
      </c>
      <c r="JO108" s="305">
        <f>IF(ISBLANK($A108),,IF($AN108="Não",0,(SUM($AO108:BM108)*$AH108)-SUM($HM108:IK108)-SUM($CW108:DU108)))</f>
        <v>0</v>
      </c>
      <c r="JP108" s="305">
        <f>IF(ISBLANK($A108),,IF($AN108="Não",0,(SUM($AO108:BN108)*$AH108)-SUM($HM108:IL108)-SUM($CW108:DV108)))</f>
        <v>0</v>
      </c>
      <c r="JQ108" s="305">
        <f>IF(ISBLANK($A108),,IF($AN108="Não",0,(SUM($AO108:BO108)*$AH108)-SUM($HM108:IM108)-SUM($CW108:DW108)))</f>
        <v>0</v>
      </c>
      <c r="JR108" s="305">
        <f>IF(ISBLANK($A108),,IF($AN108="Não",0,(SUM($AO108:BP108)*$AH108)-SUM($HM108:IN108)-SUM($CW108:DX108)))</f>
        <v>0</v>
      </c>
      <c r="JS108" s="305">
        <f>IF(ISBLANK($A108),,IF($AN108="Não",0,(SUM($AO108:BQ108)*$AH108)-SUM($HM108:IO108)-SUM($CW108:DY108)))</f>
        <v>0</v>
      </c>
      <c r="JT108" s="305">
        <f>IF(ISBLANK($A108),,IF($AN108="Não",0,(SUM($AO108:BR108)*$AH108)-SUM($HM108:IP108)-SUM($CW108:DZ108)))</f>
        <v>0</v>
      </c>
    </row>
    <row r="109" spans="1:280" ht="15.75" customHeight="1">
      <c r="A109" s="129"/>
      <c r="B109" s="129"/>
      <c r="C109" s="138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607">
        <f t="shared" si="544"/>
        <v>0</v>
      </c>
      <c r="AI109" s="608">
        <f t="shared" si="545"/>
        <v>0</v>
      </c>
      <c r="AJ109" s="609">
        <f t="shared" si="546"/>
        <v>0</v>
      </c>
      <c r="AK109" s="610" t="str">
        <f t="shared" si="547"/>
        <v/>
      </c>
      <c r="AL109" s="609">
        <f t="shared" si="548"/>
        <v>0</v>
      </c>
      <c r="AM109" s="611" t="str">
        <f t="shared" si="549"/>
        <v/>
      </c>
      <c r="AN109" s="611" t="str">
        <f t="shared" si="550"/>
        <v/>
      </c>
      <c r="AO109" s="140">
        <f t="array" ref="AO109">IF(ISBLANK($A109),0,IF(OR(AO$5-$AI109&lt;=0,$AM109="Não"),D109,D109+INDEX($AO$6:$BR$176,ROW()-5,COLUMN()-40-$AI109)))*IF($B109="Operacional",IFERROR(VLOOKUP($C109,SN_UGC,28,0),0),1)</f>
        <v>0</v>
      </c>
      <c r="AP109" s="140">
        <f t="array" ref="AP109">IF(ISBLANK($A109),0,IF(OR(AP$5-$AI109&lt;=0,$AM109="Não"),E109,E109+INDEX($AO$6:$BR$176,ROW()-5,COLUMN()-40-$AI109)))*IF($B109="Operacional",IFERROR(VLOOKUP($C109,SN_UGC,28,0),0),1)</f>
        <v>0</v>
      </c>
      <c r="AQ109" s="140">
        <f t="array" ref="AQ109">IF(ISBLANK($A109),0,IF(OR(AQ$5-$AI109&lt;=0,$AM109="Não"),F109,F109+INDEX($AO$6:$BR$176,ROW()-5,COLUMN()-40-$AI109)))*IF($B109="Operacional",IFERROR(VLOOKUP($C109,SN_UGC,28,0),0),1)</f>
        <v>0</v>
      </c>
      <c r="AR109" s="140">
        <f t="array" ref="AR109">IF(ISBLANK($A109),0,IF(OR(AR$5-$AI109&lt;=0,$AM109="Não"),G109,G109+INDEX($AO$6:$BR$176,ROW()-5,COLUMN()-40-$AI109)))*IF($B109="Operacional",IFERROR(VLOOKUP($C109,SN_UGC,28,0),0),1)</f>
        <v>0</v>
      </c>
      <c r="AS109" s="140">
        <f t="array" ref="AS109">IF(ISBLANK($A109),0,IF(OR(AS$5-$AI109&lt;=0,$AM109="Não"),H109,H109+INDEX($AO$6:$BR$176,ROW()-5,COLUMN()-40-$AI109)))*IF($B109="Operacional",IFERROR(VLOOKUP($C109,SN_UGC,28,0),0),1)</f>
        <v>0</v>
      </c>
      <c r="AT109" s="140">
        <f t="array" ref="AT109">IF(ISBLANK($A109),0,IF(OR(AT$5-$AI109&lt;=0,$AM109="Não"),I109,I109+INDEX($AO$6:$BR$176,ROW()-5,COLUMN()-40-$AI109)))*IF($B109="Operacional",IFERROR(VLOOKUP($C109,SN_UGC,28,0),0),1)</f>
        <v>0</v>
      </c>
      <c r="AU109" s="140">
        <f t="array" ref="AU109">IF(ISBLANK($A109),0,IF(OR(AU$5-$AI109&lt;=0,$AM109="Não"),J109,J109+INDEX($AO$6:$BR$176,ROW()-5,COLUMN()-40-$AI109)))*IF($B109="Operacional",IFERROR(VLOOKUP($C109,SN_UGC,28,0),0),1)</f>
        <v>0</v>
      </c>
      <c r="AV109" s="140">
        <f t="array" ref="AV109">IF(ISBLANK($A109),0,IF(OR(AV$5-$AI109&lt;=0,$AM109="Não"),K109,K109+INDEX($AO$6:$BR$176,ROW()-5,COLUMN()-40-$AI109)))*IF($B109="Operacional",IFERROR(VLOOKUP($C109,SN_UGC,28,0),0),1)</f>
        <v>0</v>
      </c>
      <c r="AW109" s="140">
        <f t="array" ref="AW109">IF(ISBLANK($A109),0,IF(OR(AW$5-$AI109&lt;=0,$AM109="Não"),L109,L109+INDEX($AO$6:$BR$176,ROW()-5,COLUMN()-40-$AI109)))*IF($B109="Operacional",IFERROR(VLOOKUP($C109,SN_UGC,28,0),0),1)</f>
        <v>0</v>
      </c>
      <c r="AX109" s="140">
        <f t="array" ref="AX109">IF(ISBLANK($A109),0,IF(OR(AX$5-$AI109&lt;=0,$AM109="Não"),M109,M109+INDEX($AO$6:$BR$176,ROW()-5,COLUMN()-40-$AI109)))*IF($B109="Operacional",IFERROR(VLOOKUP($C109,SN_UGC,28,0),0),1)</f>
        <v>0</v>
      </c>
      <c r="AY109" s="140">
        <f t="array" ref="AY109">IF(ISBLANK($A109),0,IF(OR(AY$5-$AI109&lt;=0,$AM109="Não"),N109,N109+INDEX($AO$6:$BR$176,ROW()-5,COLUMN()-40-$AI109)))*IF($B109="Operacional",IFERROR(VLOOKUP($C109,SN_UGC,28,0),0),1)</f>
        <v>0</v>
      </c>
      <c r="AZ109" s="140">
        <f t="array" ref="AZ109">IF(ISBLANK($A109),0,IF(OR(AZ$5-$AI109&lt;=0,$AM109="Não"),O109,O109+INDEX($AO$6:$BR$176,ROW()-5,COLUMN()-40-$AI109)))*IF($B109="Operacional",IFERROR(VLOOKUP($C109,SN_UGC,28,0),0),1)</f>
        <v>0</v>
      </c>
      <c r="BA109" s="140">
        <f t="array" ref="BA109">IF(ISBLANK($A109),0,IF(OR(BA$5-$AI109&lt;=0,$AM109="Não"),P109,P109+INDEX($AO$6:$BR$176,ROW()-5,COLUMN()-40-$AI109)))*IF($B109="Operacional",IFERROR(VLOOKUP($C109,SN_UGC,28,0),0),1)</f>
        <v>0</v>
      </c>
      <c r="BB109" s="140">
        <f t="array" ref="BB109">IF(ISBLANK($A109),0,IF(OR(BB$5-$AI109&lt;=0,$AM109="Não"),Q109,Q109+INDEX($AO$6:$BR$176,ROW()-5,COLUMN()-40-$AI109)))*IF($B109="Operacional",IFERROR(VLOOKUP($C109,SN_UGC,28,0),0),1)</f>
        <v>0</v>
      </c>
      <c r="BC109" s="140">
        <f t="array" ref="BC109">IF(ISBLANK($A109),0,IF(OR(BC$5-$AI109&lt;=0,$AM109="Não"),R109,R109+INDEX($AO$6:$BR$176,ROW()-5,COLUMN()-40-$AI109)))*IF($B109="Operacional",IFERROR(VLOOKUP($C109,SN_UGC,28,0),0),1)</f>
        <v>0</v>
      </c>
      <c r="BD109" s="140">
        <f t="array" ref="BD109">IF(ISBLANK($A109),0,IF(OR(BD$5-$AI109&lt;=0,$AM109="Não"),S109,S109+INDEX($AO$6:$BR$176,ROW()-5,COLUMN()-40-$AI109)))*IF($B109="Operacional",IFERROR(VLOOKUP($C109,SN_UGC,28,0),0),1)</f>
        <v>0</v>
      </c>
      <c r="BE109" s="140">
        <f t="array" ref="BE109">IF(ISBLANK($A109),0,IF(OR(BE$5-$AI109&lt;=0,$AM109="Não"),T109,T109+INDEX($AO$6:$BR$176,ROW()-5,COLUMN()-40-$AI109)))*IF($B109="Operacional",IFERROR(VLOOKUP($C109,SN_UGC,28,0),0),1)</f>
        <v>0</v>
      </c>
      <c r="BF109" s="140">
        <f t="array" ref="BF109">IF(ISBLANK($A109),0,IF(OR(BF$5-$AI109&lt;=0,$AM109="Não"),U109,U109+INDEX($AO$6:$BR$176,ROW()-5,COLUMN()-40-$AI109)))*IF($B109="Operacional",IFERROR(VLOOKUP($C109,SN_UGC,28,0),0),1)</f>
        <v>0</v>
      </c>
      <c r="BG109" s="140">
        <f t="array" ref="BG109">IF(ISBLANK($A109),0,IF(OR(BG$5-$AI109&lt;=0,$AM109="Não"),V109,V109+INDEX($AO$6:$BR$176,ROW()-5,COLUMN()-40-$AI109)))*IF($B109="Operacional",IFERROR(VLOOKUP($C109,SN_UGC,28,0),0),1)</f>
        <v>0</v>
      </c>
      <c r="BH109" s="140">
        <f t="array" ref="BH109">IF(ISBLANK($A109),0,IF(OR(BH$5-$AI109&lt;=0,$AM109="Não"),W109,W109+INDEX($AO$6:$BR$176,ROW()-5,COLUMN()-40-$AI109)))*IF($B109="Operacional",IFERROR(VLOOKUP($C109,SN_UGC,28,0),0),1)</f>
        <v>0</v>
      </c>
      <c r="BI109" s="140">
        <f t="array" ref="BI109">IF(ISBLANK($A109),0,IF(OR(BI$5-$AI109&lt;=0,$AM109="Não"),X109,X109+INDEX($AO$6:$BR$176,ROW()-5,COLUMN()-40-$AI109)))*IF($B109="Operacional",IFERROR(VLOOKUP($C109,SN_UGC,28,0),0),1)</f>
        <v>0</v>
      </c>
      <c r="BJ109" s="140">
        <f t="array" ref="BJ109">IF(ISBLANK($A109),0,IF(OR(BJ$5-$AI109&lt;=0,$AM109="Não"),Y109,Y109+INDEX($AO$6:$BR$176,ROW()-5,COLUMN()-40-$AI109)))*IF($B109="Operacional",IFERROR(VLOOKUP($C109,SN_UGC,28,0),0),1)</f>
        <v>0</v>
      </c>
      <c r="BK109" s="140">
        <f t="array" ref="BK109">IF(ISBLANK($A109),0,IF(OR(BK$5-$AI109&lt;=0,$AM109="Não"),Z109,Z109+INDEX($AO$6:$BR$176,ROW()-5,COLUMN()-40-$AI109)))*IF($B109="Operacional",IFERROR(VLOOKUP($C109,SN_UGC,28,0),0),1)</f>
        <v>0</v>
      </c>
      <c r="BL109" s="140">
        <f t="array" ref="BL109">IF(ISBLANK($A109),0,IF(OR(BL$5-$AI109&lt;=0,$AM109="Não"),AA109,AA109+INDEX($AO$6:$BR$176,ROW()-5,COLUMN()-40-$AI109)))*IF($B109="Operacional",IFERROR(VLOOKUP($C109,SN_UGC,28,0),0),1)</f>
        <v>0</v>
      </c>
      <c r="BM109" s="140">
        <f t="array" ref="BM109">IF(ISBLANK($A109),0,IF(OR(BM$5-$AI109&lt;=0,$AM109="Não"),AB109,AB109+INDEX($AO$6:$BR$176,ROW()-5,COLUMN()-40-$AI109)))*IF($B109="Operacional",IFERROR(VLOOKUP($C109,SN_UGC,28,0),0),1)</f>
        <v>0</v>
      </c>
      <c r="BN109" s="140">
        <f t="array" ref="BN109">IF(ISBLANK($A109),0,IF(OR(BN$5-$AI109&lt;=0,$AM109="Não"),AC109,AC109+INDEX($AO$6:$BR$176,ROW()-5,COLUMN()-40-$AI109)))*IF($B109="Operacional",IFERROR(VLOOKUP($C109,SN_UGC,28,0),0),1)</f>
        <v>0</v>
      </c>
      <c r="BO109" s="140">
        <f t="array" ref="BO109">IF(ISBLANK($A109),0,IF(OR(BO$5-$AI109&lt;=0,$AM109="Não"),AD109,AD109+INDEX($AO$6:$BR$176,ROW()-5,COLUMN()-40-$AI109)))*IF($B109="Operacional",IFERROR(VLOOKUP($C109,SN_UGC,28,0),0),1)</f>
        <v>0</v>
      </c>
      <c r="BP109" s="140">
        <f t="array" ref="BP109">IF(ISBLANK($A109),0,IF(OR(BP$5-$AI109&lt;=0,$AM109="Não"),AE109,AE109+INDEX($AO$6:$BR$176,ROW()-5,COLUMN()-40-$AI109)))*IF($B109="Operacional",IFERROR(VLOOKUP($C109,SN_UGC,28,0),0),1)</f>
        <v>0</v>
      </c>
      <c r="BQ109" s="140">
        <f t="array" ref="BQ109">IF(ISBLANK($A109),0,IF(OR(BQ$5-$AI109&lt;=0,$AM109="Não"),AF109,AF109+INDEX($AO$6:$BR$176,ROW()-5,COLUMN()-40-$AI109)))*IF($B109="Operacional",IFERROR(VLOOKUP($C109,SN_UGC,28,0),0),1)</f>
        <v>0</v>
      </c>
      <c r="BR109" s="140">
        <f t="array" ref="BR109">IF(ISBLANK($A109),0,IF(OR(BR$5-$AI109&lt;=0,$AM109="Não"),AG109,AG109+INDEX($AO$6:$BR$176,ROW()-5,COLUMN()-40-$AI109)))*IF($B109="Operacional",IFERROR(VLOOKUP($C109,SN_UGC,28,0),0),1)</f>
        <v>0</v>
      </c>
      <c r="BS109" s="141">
        <f t="shared" ref="BS109:CV109" si="568">IF(ISBLANK($A109),0,$AH109*AO109)</f>
        <v>0</v>
      </c>
      <c r="BT109" s="141">
        <f t="shared" si="568"/>
        <v>0</v>
      </c>
      <c r="BU109" s="141">
        <f t="shared" si="568"/>
        <v>0</v>
      </c>
      <c r="BV109" s="141">
        <f t="shared" si="568"/>
        <v>0</v>
      </c>
      <c r="BW109" s="141">
        <f t="shared" si="568"/>
        <v>0</v>
      </c>
      <c r="BX109" s="141">
        <f t="shared" si="568"/>
        <v>0</v>
      </c>
      <c r="BY109" s="141">
        <f t="shared" si="568"/>
        <v>0</v>
      </c>
      <c r="BZ109" s="141">
        <f t="shared" si="568"/>
        <v>0</v>
      </c>
      <c r="CA109" s="141">
        <f t="shared" si="568"/>
        <v>0</v>
      </c>
      <c r="CB109" s="141">
        <f t="shared" si="568"/>
        <v>0</v>
      </c>
      <c r="CC109" s="141">
        <f t="shared" si="568"/>
        <v>0</v>
      </c>
      <c r="CD109" s="141">
        <f t="shared" si="568"/>
        <v>0</v>
      </c>
      <c r="CE109" s="141">
        <f t="shared" si="568"/>
        <v>0</v>
      </c>
      <c r="CF109" s="141">
        <f t="shared" si="568"/>
        <v>0</v>
      </c>
      <c r="CG109" s="141">
        <f t="shared" si="568"/>
        <v>0</v>
      </c>
      <c r="CH109" s="141">
        <f t="shared" si="568"/>
        <v>0</v>
      </c>
      <c r="CI109" s="141">
        <f t="shared" si="568"/>
        <v>0</v>
      </c>
      <c r="CJ109" s="141">
        <f t="shared" si="568"/>
        <v>0</v>
      </c>
      <c r="CK109" s="141">
        <f t="shared" si="568"/>
        <v>0</v>
      </c>
      <c r="CL109" s="141">
        <f t="shared" si="568"/>
        <v>0</v>
      </c>
      <c r="CM109" s="141">
        <f t="shared" si="568"/>
        <v>0</v>
      </c>
      <c r="CN109" s="141">
        <f t="shared" si="568"/>
        <v>0</v>
      </c>
      <c r="CO109" s="141">
        <f t="shared" si="568"/>
        <v>0</v>
      </c>
      <c r="CP109" s="141">
        <f t="shared" si="568"/>
        <v>0</v>
      </c>
      <c r="CQ109" s="141">
        <f t="shared" si="568"/>
        <v>0</v>
      </c>
      <c r="CR109" s="141">
        <f t="shared" si="568"/>
        <v>0</v>
      </c>
      <c r="CS109" s="141">
        <f t="shared" si="568"/>
        <v>0</v>
      </c>
      <c r="CT109" s="141">
        <f t="shared" si="568"/>
        <v>0</v>
      </c>
      <c r="CU109" s="141">
        <f t="shared" si="568"/>
        <v>0</v>
      </c>
      <c r="CV109" s="141">
        <f t="shared" si="568"/>
        <v>0</v>
      </c>
      <c r="CW109" s="142">
        <f t="shared" ref="CW109:DZ109" si="569">EA109*$AH109*$AJ109</f>
        <v>0</v>
      </c>
      <c r="CX109" s="142">
        <f t="shared" si="569"/>
        <v>0</v>
      </c>
      <c r="CY109" s="142">
        <f t="shared" si="569"/>
        <v>0</v>
      </c>
      <c r="CZ109" s="142">
        <f t="shared" si="569"/>
        <v>0</v>
      </c>
      <c r="DA109" s="142">
        <f t="shared" si="569"/>
        <v>0</v>
      </c>
      <c r="DB109" s="142">
        <f t="shared" si="569"/>
        <v>0</v>
      </c>
      <c r="DC109" s="142">
        <f t="shared" si="569"/>
        <v>0</v>
      </c>
      <c r="DD109" s="142">
        <f t="shared" si="569"/>
        <v>0</v>
      </c>
      <c r="DE109" s="142">
        <f t="shared" si="569"/>
        <v>0</v>
      </c>
      <c r="DF109" s="142">
        <f t="shared" si="569"/>
        <v>0</v>
      </c>
      <c r="DG109" s="142">
        <f t="shared" si="569"/>
        <v>0</v>
      </c>
      <c r="DH109" s="142">
        <f t="shared" si="569"/>
        <v>0</v>
      </c>
      <c r="DI109" s="142">
        <f t="shared" si="569"/>
        <v>0</v>
      </c>
      <c r="DJ109" s="142">
        <f t="shared" si="569"/>
        <v>0</v>
      </c>
      <c r="DK109" s="142">
        <f t="shared" si="569"/>
        <v>0</v>
      </c>
      <c r="DL109" s="142">
        <f t="shared" si="569"/>
        <v>0</v>
      </c>
      <c r="DM109" s="142">
        <f t="shared" si="569"/>
        <v>0</v>
      </c>
      <c r="DN109" s="142">
        <f t="shared" si="569"/>
        <v>0</v>
      </c>
      <c r="DO109" s="142">
        <f t="shared" si="569"/>
        <v>0</v>
      </c>
      <c r="DP109" s="142">
        <f t="shared" si="569"/>
        <v>0</v>
      </c>
      <c r="DQ109" s="142">
        <f t="shared" si="569"/>
        <v>0</v>
      </c>
      <c r="DR109" s="142">
        <f t="shared" si="569"/>
        <v>0</v>
      </c>
      <c r="DS109" s="142">
        <f t="shared" si="569"/>
        <v>0</v>
      </c>
      <c r="DT109" s="142">
        <f t="shared" si="569"/>
        <v>0</v>
      </c>
      <c r="DU109" s="142">
        <f t="shared" si="569"/>
        <v>0</v>
      </c>
      <c r="DV109" s="142">
        <f t="shared" si="569"/>
        <v>0</v>
      </c>
      <c r="DW109" s="142">
        <f t="shared" si="569"/>
        <v>0</v>
      </c>
      <c r="DX109" s="142">
        <f t="shared" si="569"/>
        <v>0</v>
      </c>
      <c r="DY109" s="142">
        <f t="shared" si="569"/>
        <v>0</v>
      </c>
      <c r="DZ109" s="142">
        <f t="shared" si="569"/>
        <v>0</v>
      </c>
      <c r="EA109" s="143">
        <f t="shared" si="504"/>
        <v>0</v>
      </c>
      <c r="EB109" s="143">
        <f t="shared" si="505"/>
        <v>0</v>
      </c>
      <c r="EC109" s="143">
        <f t="shared" si="506"/>
        <v>0</v>
      </c>
      <c r="ED109" s="143">
        <f t="shared" si="507"/>
        <v>0</v>
      </c>
      <c r="EE109" s="143">
        <f t="shared" si="508"/>
        <v>0</v>
      </c>
      <c r="EF109" s="143">
        <f t="shared" si="509"/>
        <v>0</v>
      </c>
      <c r="EG109" s="143">
        <f t="shared" si="510"/>
        <v>0</v>
      </c>
      <c r="EH109" s="143">
        <f t="shared" si="511"/>
        <v>0</v>
      </c>
      <c r="EI109" s="143">
        <f t="shared" si="512"/>
        <v>0</v>
      </c>
      <c r="EJ109" s="143">
        <f t="shared" si="513"/>
        <v>0</v>
      </c>
      <c r="EK109" s="143">
        <f t="shared" si="514"/>
        <v>0</v>
      </c>
      <c r="EL109" s="143">
        <f t="shared" si="515"/>
        <v>0</v>
      </c>
      <c r="EM109" s="143">
        <f t="shared" si="516"/>
        <v>0</v>
      </c>
      <c r="EN109" s="143">
        <f t="shared" si="517"/>
        <v>0</v>
      </c>
      <c r="EO109" s="143">
        <f t="shared" si="518"/>
        <v>0</v>
      </c>
      <c r="EP109" s="143">
        <f t="shared" si="519"/>
        <v>0</v>
      </c>
      <c r="EQ109" s="143">
        <f t="shared" si="520"/>
        <v>0</v>
      </c>
      <c r="ER109" s="143">
        <f t="shared" si="521"/>
        <v>0</v>
      </c>
      <c r="ES109" s="143">
        <f t="shared" si="522"/>
        <v>0</v>
      </c>
      <c r="ET109" s="143">
        <f t="shared" si="523"/>
        <v>0</v>
      </c>
      <c r="EU109" s="143">
        <f t="shared" si="524"/>
        <v>0</v>
      </c>
      <c r="EV109" s="143">
        <f t="shared" si="525"/>
        <v>0</v>
      </c>
      <c r="EW109" s="143">
        <f t="shared" si="526"/>
        <v>0</v>
      </c>
      <c r="EX109" s="143">
        <f t="shared" si="527"/>
        <v>0</v>
      </c>
      <c r="EY109" s="143">
        <f t="shared" si="528"/>
        <v>0</v>
      </c>
      <c r="EZ109" s="143">
        <f t="shared" si="529"/>
        <v>0</v>
      </c>
      <c r="FA109" s="143">
        <f t="shared" si="530"/>
        <v>0</v>
      </c>
      <c r="FB109" s="143">
        <f t="shared" si="531"/>
        <v>0</v>
      </c>
      <c r="FC109" s="143">
        <f t="shared" si="532"/>
        <v>0</v>
      </c>
      <c r="FD109" s="143">
        <f t="shared" si="533"/>
        <v>0</v>
      </c>
      <c r="FE109" s="140">
        <f>SUM($D109:D109)*IF($B109="Operacional",IFERROR(VLOOKUP($C109,SN_UGC,28,0),0),1)</f>
        <v>0</v>
      </c>
      <c r="FF109" s="140">
        <f>SUM($D109:E109)*IF($B109="Operacional",IFERROR(VLOOKUP($C109,SN_UGC,28,0),0),1)</f>
        <v>0</v>
      </c>
      <c r="FG109" s="140">
        <f>SUM($D109:F109)*IF($B109="Operacional",IFERROR(VLOOKUP($C109,SN_UGC,28,0),0),1)</f>
        <v>0</v>
      </c>
      <c r="FH109" s="140">
        <f>SUM($D109:G109)*IF($B109="Operacional",IFERROR(VLOOKUP($C109,SN_UGC,28,0),0),1)</f>
        <v>0</v>
      </c>
      <c r="FI109" s="140">
        <f>SUM($D109:H109)*IF($B109="Operacional",IFERROR(VLOOKUP($C109,SN_UGC,28,0),0),1)</f>
        <v>0</v>
      </c>
      <c r="FJ109" s="140">
        <f>SUM($D109:I109)*IF($B109="Operacional",IFERROR(VLOOKUP($C109,SN_UGC,28,0),0),1)</f>
        <v>0</v>
      </c>
      <c r="FK109" s="140">
        <f>SUM($D109:J109)*IF($B109="Operacional",IFERROR(VLOOKUP($C109,SN_UGC,28,0),0),1)</f>
        <v>0</v>
      </c>
      <c r="FL109" s="140">
        <f>SUM($D109:K109)*IF($B109="Operacional",IFERROR(VLOOKUP($C109,SN_UGC,28,0),0),1)</f>
        <v>0</v>
      </c>
      <c r="FM109" s="140">
        <f>SUM($D109:L109)*IF($B109="Operacional",IFERROR(VLOOKUP($C109,SN_UGC,28,0),0),1)</f>
        <v>0</v>
      </c>
      <c r="FN109" s="140">
        <f>SUM($D109:M109)*IF($B109="Operacional",IFERROR(VLOOKUP($C109,SN_UGC,28,0),0),1)</f>
        <v>0</v>
      </c>
      <c r="FO109" s="140">
        <f>SUM($D109:N109)*IF($B109="Operacional",IFERROR(VLOOKUP($C109,SN_UGC,28,0),0),1)</f>
        <v>0</v>
      </c>
      <c r="FP109" s="140">
        <f>SUM($D109:O109)*IF($B109="Operacional",IFERROR(VLOOKUP($C109,SN_UGC,28,0),0),1)</f>
        <v>0</v>
      </c>
      <c r="FQ109" s="140">
        <f>SUM($D109:P109)*IF($B109="Operacional",IFERROR(VLOOKUP($C109,SN_UGC,28,0),0),1)</f>
        <v>0</v>
      </c>
      <c r="FR109" s="140">
        <f>SUM($D109:Q109)*IF($B109="Operacional",IFERROR(VLOOKUP($C109,SN_UGC,28,0),0),1)</f>
        <v>0</v>
      </c>
      <c r="FS109" s="140">
        <f>SUM($D109:R109)*IF($B109="Operacional",IFERROR(VLOOKUP($C109,SN_UGC,28,0),0),1)</f>
        <v>0</v>
      </c>
      <c r="FT109" s="140">
        <f>SUM($D109:S109)*IF($B109="Operacional",IFERROR(VLOOKUP($C109,SN_UGC,28,0),0),1)</f>
        <v>0</v>
      </c>
      <c r="FU109" s="140">
        <f>SUM($D109:T109)*IF($B109="Operacional",IFERROR(VLOOKUP($C109,SN_UGC,28,0),0),1)</f>
        <v>0</v>
      </c>
      <c r="FV109" s="140">
        <f>SUM($D109:U109)*IF($B109="Operacional",IFERROR(VLOOKUP($C109,SN_UGC,28,0),0),1)</f>
        <v>0</v>
      </c>
      <c r="FW109" s="140">
        <f>SUM($D109:V109)*IF($B109="Operacional",IFERROR(VLOOKUP($C109,SN_UGC,28,0),0),1)</f>
        <v>0</v>
      </c>
      <c r="FX109" s="140">
        <f>SUM($D109:W109)*IF($B109="Operacional",IFERROR(VLOOKUP($C109,SN_UGC,28,0),0),1)</f>
        <v>0</v>
      </c>
      <c r="FY109" s="140">
        <f>SUM($D109:X109)*IF($B109="Operacional",IFERROR(VLOOKUP($C109,SN_UGC,28,0),0),1)</f>
        <v>0</v>
      </c>
      <c r="FZ109" s="140">
        <f>SUM($D109:Y109)*IF($B109="Operacional",IFERROR(VLOOKUP($C109,SN_UGC,28,0),0),1)</f>
        <v>0</v>
      </c>
      <c r="GA109" s="140">
        <f>SUM($D109:Z109)*IF($B109="Operacional",IFERROR(VLOOKUP($C109,SN_UGC,28,0),0),1)</f>
        <v>0</v>
      </c>
      <c r="GB109" s="140">
        <f>SUM($D109:AA109)*IF($B109="Operacional",IFERROR(VLOOKUP($C109,SN_UGC,28,0),0),1)</f>
        <v>0</v>
      </c>
      <c r="GC109" s="140">
        <f>SUM($D109:AB109)*IF($B109="Operacional",IFERROR(VLOOKUP($C109,SN_UGC,28,0),0),1)</f>
        <v>0</v>
      </c>
      <c r="GD109" s="140">
        <f>SUM($D109:AC109)*IF($B109="Operacional",IFERROR(VLOOKUP($C109,SN_UGC,28,0),0),1)</f>
        <v>0</v>
      </c>
      <c r="GE109" s="140">
        <f>SUM($D109:AD109)*IF($B109="Operacional",IFERROR(VLOOKUP($C109,SN_UGC,28,0),0),1)</f>
        <v>0</v>
      </c>
      <c r="GF109" s="140">
        <f>SUM($D109:AE109)*IF($B109="Operacional",IFERROR(VLOOKUP($C109,SN_UGC,28,0),0),1)</f>
        <v>0</v>
      </c>
      <c r="GG109" s="140">
        <f>SUM($D109:AF109)*IF($B109="Operacional",IFERROR(VLOOKUP($C109,SN_UGC,28,0),0),1)</f>
        <v>0</v>
      </c>
      <c r="GH109" s="140">
        <f>SUM($D109:AG109)*IF($B109="Operacional",IFERROR(VLOOKUP($C109,SN_UGC,28,0),0),1)</f>
        <v>0</v>
      </c>
      <c r="GI109" s="141">
        <f t="shared" ref="GI109:HL109" si="570">FE109*$AH109*$AL109</f>
        <v>0</v>
      </c>
      <c r="GJ109" s="141">
        <f t="shared" si="570"/>
        <v>0</v>
      </c>
      <c r="GK109" s="141">
        <f t="shared" si="570"/>
        <v>0</v>
      </c>
      <c r="GL109" s="141">
        <f t="shared" si="570"/>
        <v>0</v>
      </c>
      <c r="GM109" s="141">
        <f t="shared" si="570"/>
        <v>0</v>
      </c>
      <c r="GN109" s="141">
        <f t="shared" si="570"/>
        <v>0</v>
      </c>
      <c r="GO109" s="141">
        <f t="shared" si="570"/>
        <v>0</v>
      </c>
      <c r="GP109" s="141">
        <f t="shared" si="570"/>
        <v>0</v>
      </c>
      <c r="GQ109" s="141">
        <f t="shared" si="570"/>
        <v>0</v>
      </c>
      <c r="GR109" s="141">
        <f t="shared" si="570"/>
        <v>0</v>
      </c>
      <c r="GS109" s="141">
        <f t="shared" si="570"/>
        <v>0</v>
      </c>
      <c r="GT109" s="141">
        <f t="shared" si="570"/>
        <v>0</v>
      </c>
      <c r="GU109" s="141">
        <f t="shared" si="570"/>
        <v>0</v>
      </c>
      <c r="GV109" s="141">
        <f t="shared" si="570"/>
        <v>0</v>
      </c>
      <c r="GW109" s="141">
        <f t="shared" si="570"/>
        <v>0</v>
      </c>
      <c r="GX109" s="141">
        <f t="shared" si="570"/>
        <v>0</v>
      </c>
      <c r="GY109" s="141">
        <f t="shared" si="570"/>
        <v>0</v>
      </c>
      <c r="GZ109" s="141">
        <f t="shared" si="570"/>
        <v>0</v>
      </c>
      <c r="HA109" s="141">
        <f t="shared" si="570"/>
        <v>0</v>
      </c>
      <c r="HB109" s="141">
        <f t="shared" si="570"/>
        <v>0</v>
      </c>
      <c r="HC109" s="141">
        <f t="shared" si="570"/>
        <v>0</v>
      </c>
      <c r="HD109" s="141">
        <f t="shared" si="570"/>
        <v>0</v>
      </c>
      <c r="HE109" s="141">
        <f t="shared" si="570"/>
        <v>0</v>
      </c>
      <c r="HF109" s="141">
        <f t="shared" si="570"/>
        <v>0</v>
      </c>
      <c r="HG109" s="141">
        <f t="shared" si="570"/>
        <v>0</v>
      </c>
      <c r="HH109" s="141">
        <f t="shared" si="570"/>
        <v>0</v>
      </c>
      <c r="HI109" s="141">
        <f t="shared" si="570"/>
        <v>0</v>
      </c>
      <c r="HJ109" s="141">
        <f t="shared" si="570"/>
        <v>0</v>
      </c>
      <c r="HK109" s="141">
        <f t="shared" si="570"/>
        <v>0</v>
      </c>
      <c r="HL109" s="141">
        <f t="shared" si="570"/>
        <v>0</v>
      </c>
      <c r="HM109" s="142">
        <f t="shared" ref="HM109:IP109" si="571">IF(ISBLANK($A109),,FE109*($AH109-($AH109*$AJ109))/$AI109)</f>
        <v>0</v>
      </c>
      <c r="HN109" s="142">
        <f t="shared" si="571"/>
        <v>0</v>
      </c>
      <c r="HO109" s="142">
        <f t="shared" si="571"/>
        <v>0</v>
      </c>
      <c r="HP109" s="142">
        <f t="shared" si="571"/>
        <v>0</v>
      </c>
      <c r="HQ109" s="142">
        <f t="shared" si="571"/>
        <v>0</v>
      </c>
      <c r="HR109" s="142">
        <f t="shared" si="571"/>
        <v>0</v>
      </c>
      <c r="HS109" s="142">
        <f t="shared" si="571"/>
        <v>0</v>
      </c>
      <c r="HT109" s="142">
        <f t="shared" si="571"/>
        <v>0</v>
      </c>
      <c r="HU109" s="142">
        <f t="shared" si="571"/>
        <v>0</v>
      </c>
      <c r="HV109" s="142">
        <f t="shared" si="571"/>
        <v>0</v>
      </c>
      <c r="HW109" s="142">
        <f t="shared" si="571"/>
        <v>0</v>
      </c>
      <c r="HX109" s="142">
        <f t="shared" si="571"/>
        <v>0</v>
      </c>
      <c r="HY109" s="142">
        <f t="shared" si="571"/>
        <v>0</v>
      </c>
      <c r="HZ109" s="142">
        <f t="shared" si="571"/>
        <v>0</v>
      </c>
      <c r="IA109" s="142">
        <f t="shared" si="571"/>
        <v>0</v>
      </c>
      <c r="IB109" s="142">
        <f t="shared" si="571"/>
        <v>0</v>
      </c>
      <c r="IC109" s="142">
        <f t="shared" si="571"/>
        <v>0</v>
      </c>
      <c r="ID109" s="142">
        <f t="shared" si="571"/>
        <v>0</v>
      </c>
      <c r="IE109" s="142">
        <f t="shared" si="571"/>
        <v>0</v>
      </c>
      <c r="IF109" s="142">
        <f t="shared" si="571"/>
        <v>0</v>
      </c>
      <c r="IG109" s="142">
        <f t="shared" si="571"/>
        <v>0</v>
      </c>
      <c r="IH109" s="142">
        <f t="shared" si="571"/>
        <v>0</v>
      </c>
      <c r="II109" s="142">
        <f t="shared" si="571"/>
        <v>0</v>
      </c>
      <c r="IJ109" s="142">
        <f t="shared" si="571"/>
        <v>0</v>
      </c>
      <c r="IK109" s="142">
        <f t="shared" si="571"/>
        <v>0</v>
      </c>
      <c r="IL109" s="142">
        <f t="shared" si="571"/>
        <v>0</v>
      </c>
      <c r="IM109" s="142">
        <f t="shared" si="571"/>
        <v>0</v>
      </c>
      <c r="IN109" s="142">
        <f t="shared" si="571"/>
        <v>0</v>
      </c>
      <c r="IO109" s="142">
        <f t="shared" si="571"/>
        <v>0</v>
      </c>
      <c r="IP109" s="142">
        <f t="shared" si="571"/>
        <v>0</v>
      </c>
      <c r="IQ109" s="141">
        <f>IF(ISBLANK($A109),,IF($AN109="Não",0,(SUM($AO109:AO109)*$AH109)-SUM($HM109:HM109)-SUM($CW109:CW109)))</f>
        <v>0</v>
      </c>
      <c r="IR109" s="141">
        <f>IF(ISBLANK($A109),,IF($AN109="Não",0,(SUM($AO109:AP109)*$AH109)-SUM($HM109:HN109)-SUM($CW109:CX109)))</f>
        <v>0</v>
      </c>
      <c r="IS109" s="141">
        <f>IF(ISBLANK($A109),,IF($AN109="Não",0,(SUM($AO109:AQ109)*$AH109)-SUM($HM109:HO109)-SUM($CW109:CY109)))</f>
        <v>0</v>
      </c>
      <c r="IT109" s="141">
        <f>IF(ISBLANK($A109),,IF($AN109="Não",0,(SUM($AO109:AR109)*$AH109)-SUM($HM109:HP109)-SUM($CW109:CZ109)))</f>
        <v>0</v>
      </c>
      <c r="IU109" s="141">
        <f>IF(ISBLANK($A109),,IF($AN109="Não",0,(SUM($AO109:AS109)*$AH109)-SUM($HM109:HQ109)-SUM($CW109:DA109)))</f>
        <v>0</v>
      </c>
      <c r="IV109" s="141">
        <f>IF(ISBLANK($A109),,IF($AN109="Não",0,(SUM($AO109:AT109)*$AH109)-SUM($HM109:HR109)-SUM($CW109:DB109)))</f>
        <v>0</v>
      </c>
      <c r="IW109" s="141">
        <f>IF(ISBLANK($A109),,IF($AN109="Não",0,(SUM($AO109:AU109)*$AH109)-SUM($HM109:HS109)-SUM($CW109:DC109)))</f>
        <v>0</v>
      </c>
      <c r="IX109" s="141">
        <f>IF(ISBLANK($A109),,IF($AN109="Não",0,(SUM($AO109:AV109)*$AH109)-SUM($HM109:HT109)-SUM($CW109:DD109)))</f>
        <v>0</v>
      </c>
      <c r="IY109" s="141">
        <f>IF(ISBLANK($A109),,IF($AN109="Não",0,(SUM($AO109:AW109)*$AH109)-SUM($HM109:HU109)-SUM($CW109:DE109)))</f>
        <v>0</v>
      </c>
      <c r="IZ109" s="141">
        <f>IF(ISBLANK($A109),,IF($AN109="Não",0,(SUM($AO109:AX109)*$AH109)-SUM($HM109:HV109)-SUM($CW109:DF109)))</f>
        <v>0</v>
      </c>
      <c r="JA109" s="141">
        <f>IF(ISBLANK($A109),,IF($AN109="Não",0,(SUM($AO109:AY109)*$AH109)-SUM($HM109:HW109)-SUM($CW109:DG109)))</f>
        <v>0</v>
      </c>
      <c r="JB109" s="141">
        <f>IF(ISBLANK($A109),,IF($AN109="Não",0,(SUM($AO109:AZ109)*$AH109)-SUM($HM109:HX109)-SUM($CW109:DH109)))</f>
        <v>0</v>
      </c>
      <c r="JC109" s="141">
        <f>IF(ISBLANK($A109),,IF($AN109="Não",0,(SUM($AO109:BA109)*$AH109)-SUM($HM109:HY109)-SUM($CW109:DI109)))</f>
        <v>0</v>
      </c>
      <c r="JD109" s="141">
        <f>IF(ISBLANK($A109),,IF($AN109="Não",0,(SUM($AO109:BB109)*$AH109)-SUM($HM109:HZ109)-SUM($CW109:DJ109)))</f>
        <v>0</v>
      </c>
      <c r="JE109" s="141">
        <f>IF(ISBLANK($A109),,IF($AN109="Não",0,(SUM($AO109:BC109)*$AH109)-SUM($HM109:IA109)-SUM($CW109:DK109)))</f>
        <v>0</v>
      </c>
      <c r="JF109" s="141">
        <f>IF(ISBLANK($A109),,IF($AN109="Não",0,(SUM($AO109:BD109)*$AH109)-SUM($HM109:IB109)-SUM($CW109:DL109)))</f>
        <v>0</v>
      </c>
      <c r="JG109" s="141">
        <f>IF(ISBLANK($A109),,IF($AN109="Não",0,(SUM($AO109:BE109)*$AH109)-SUM($HM109:IC109)-SUM($CW109:DM109)))</f>
        <v>0</v>
      </c>
      <c r="JH109" s="141">
        <f>IF(ISBLANK($A109),,IF($AN109="Não",0,(SUM($AO109:BF109)*$AH109)-SUM($HM109:ID109)-SUM($CW109:DN109)))</f>
        <v>0</v>
      </c>
      <c r="JI109" s="141">
        <f>IF(ISBLANK($A109),,IF($AN109="Não",0,(SUM($AO109:BG109)*$AH109)-SUM($HM109:IE109)-SUM($CW109:DO109)))</f>
        <v>0</v>
      </c>
      <c r="JJ109" s="141">
        <f>IF(ISBLANK($A109),,IF($AN109="Não",0,(SUM($AO109:BH109)*$AH109)-SUM($HM109:IF109)-SUM($CW109:DP109)))</f>
        <v>0</v>
      </c>
      <c r="JK109" s="141">
        <f>IF(ISBLANK($A109),,IF($AN109="Não",0,(SUM($AO109:BI109)*$AH109)-SUM($HM109:IG109)-SUM($CW109:DQ109)))</f>
        <v>0</v>
      </c>
      <c r="JL109" s="141">
        <f>IF(ISBLANK($A109),,IF($AN109="Não",0,(SUM($AO109:BJ109)*$AH109)-SUM($HM109:IH109)-SUM($CW109:DR109)))</f>
        <v>0</v>
      </c>
      <c r="JM109" s="141">
        <f>IF(ISBLANK($A109),,IF($AN109="Não",0,(SUM($AO109:BK109)*$AH109)-SUM($HM109:II109)-SUM($CW109:DS109)))</f>
        <v>0</v>
      </c>
      <c r="JN109" s="141">
        <f>IF(ISBLANK($A109),,IF($AN109="Não",0,(SUM($AO109:BL109)*$AH109)-SUM($HM109:IJ109)-SUM($CW109:DT109)))</f>
        <v>0</v>
      </c>
      <c r="JO109" s="141">
        <f>IF(ISBLANK($A109),,IF($AN109="Não",0,(SUM($AO109:BM109)*$AH109)-SUM($HM109:IK109)-SUM($CW109:DU109)))</f>
        <v>0</v>
      </c>
      <c r="JP109" s="141">
        <f>IF(ISBLANK($A109),,IF($AN109="Não",0,(SUM($AO109:BN109)*$AH109)-SUM($HM109:IL109)-SUM($CW109:DV109)))</f>
        <v>0</v>
      </c>
      <c r="JQ109" s="141">
        <f>IF(ISBLANK($A109),,IF($AN109="Não",0,(SUM($AO109:BO109)*$AH109)-SUM($HM109:IM109)-SUM($CW109:DW109)))</f>
        <v>0</v>
      </c>
      <c r="JR109" s="141">
        <f>IF(ISBLANK($A109),,IF($AN109="Não",0,(SUM($AO109:BP109)*$AH109)-SUM($HM109:IN109)-SUM($CW109:DX109)))</f>
        <v>0</v>
      </c>
      <c r="JS109" s="141">
        <f>IF(ISBLANK($A109),,IF($AN109="Não",0,(SUM($AO109:BQ109)*$AH109)-SUM($HM109:IO109)-SUM($CW109:DY109)))</f>
        <v>0</v>
      </c>
      <c r="JT109" s="141">
        <f>IF(ISBLANK($A109),,IF($AN109="Não",0,(SUM($AO109:BR109)*$AH109)-SUM($HM109:IP109)-SUM($CW109:DZ109)))</f>
        <v>0</v>
      </c>
    </row>
    <row r="110" spans="1:280" ht="15.75" customHeight="1">
      <c r="A110" s="129"/>
      <c r="B110" s="129"/>
      <c r="C110" s="138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607">
        <f t="shared" si="544"/>
        <v>0</v>
      </c>
      <c r="AI110" s="608">
        <f t="shared" si="545"/>
        <v>0</v>
      </c>
      <c r="AJ110" s="609">
        <f t="shared" si="546"/>
        <v>0</v>
      </c>
      <c r="AK110" s="610" t="str">
        <f t="shared" si="547"/>
        <v/>
      </c>
      <c r="AL110" s="609">
        <f t="shared" si="548"/>
        <v>0</v>
      </c>
      <c r="AM110" s="611" t="str">
        <f t="shared" si="549"/>
        <v/>
      </c>
      <c r="AN110" s="611" t="str">
        <f t="shared" si="550"/>
        <v/>
      </c>
      <c r="AO110" s="140">
        <f t="array" ref="AO110">IF(ISBLANK($A110),0,IF(OR(AO$5-$AI110&lt;=0,$AM110="Não"),D110,D110+INDEX($AO$6:$BR$176,ROW()-5,COLUMN()-40-$AI110)))*IF($B110="Operacional",IFERROR(VLOOKUP($C110,SN_UGC,28,0),0),1)</f>
        <v>0</v>
      </c>
      <c r="AP110" s="140">
        <f t="array" ref="AP110">IF(ISBLANK($A110),0,IF(OR(AP$5-$AI110&lt;=0,$AM110="Não"),E110,E110+INDEX($AO$6:$BR$176,ROW()-5,COLUMN()-40-$AI110)))*IF($B110="Operacional",IFERROR(VLOOKUP($C110,SN_UGC,28,0),0),1)</f>
        <v>0</v>
      </c>
      <c r="AQ110" s="140">
        <f t="array" ref="AQ110">IF(ISBLANK($A110),0,IF(OR(AQ$5-$AI110&lt;=0,$AM110="Não"),F110,F110+INDEX($AO$6:$BR$176,ROW()-5,COLUMN()-40-$AI110)))*IF($B110="Operacional",IFERROR(VLOOKUP($C110,SN_UGC,28,0),0),1)</f>
        <v>0</v>
      </c>
      <c r="AR110" s="140">
        <f t="array" ref="AR110">IF(ISBLANK($A110),0,IF(OR(AR$5-$AI110&lt;=0,$AM110="Não"),G110,G110+INDEX($AO$6:$BR$176,ROW()-5,COLUMN()-40-$AI110)))*IF($B110="Operacional",IFERROR(VLOOKUP($C110,SN_UGC,28,0),0),1)</f>
        <v>0</v>
      </c>
      <c r="AS110" s="140">
        <f t="array" ref="AS110">IF(ISBLANK($A110),0,IF(OR(AS$5-$AI110&lt;=0,$AM110="Não"),H110,H110+INDEX($AO$6:$BR$176,ROW()-5,COLUMN()-40-$AI110)))*IF($B110="Operacional",IFERROR(VLOOKUP($C110,SN_UGC,28,0),0),1)</f>
        <v>0</v>
      </c>
      <c r="AT110" s="140">
        <f t="array" ref="AT110">IF(ISBLANK($A110),0,IF(OR(AT$5-$AI110&lt;=0,$AM110="Não"),I110,I110+INDEX($AO$6:$BR$176,ROW()-5,COLUMN()-40-$AI110)))*IF($B110="Operacional",IFERROR(VLOOKUP($C110,SN_UGC,28,0),0),1)</f>
        <v>0</v>
      </c>
      <c r="AU110" s="140">
        <f t="array" ref="AU110">IF(ISBLANK($A110),0,IF(OR(AU$5-$AI110&lt;=0,$AM110="Não"),J110,J110+INDEX($AO$6:$BR$176,ROW()-5,COLUMN()-40-$AI110)))*IF($B110="Operacional",IFERROR(VLOOKUP($C110,SN_UGC,28,0),0),1)</f>
        <v>0</v>
      </c>
      <c r="AV110" s="140">
        <f t="array" ref="AV110">IF(ISBLANK($A110),0,IF(OR(AV$5-$AI110&lt;=0,$AM110="Não"),K110,K110+INDEX($AO$6:$BR$176,ROW()-5,COLUMN()-40-$AI110)))*IF($B110="Operacional",IFERROR(VLOOKUP($C110,SN_UGC,28,0),0),1)</f>
        <v>0</v>
      </c>
      <c r="AW110" s="140">
        <f t="array" ref="AW110">IF(ISBLANK($A110),0,IF(OR(AW$5-$AI110&lt;=0,$AM110="Não"),L110,L110+INDEX($AO$6:$BR$176,ROW()-5,COLUMN()-40-$AI110)))*IF($B110="Operacional",IFERROR(VLOOKUP($C110,SN_UGC,28,0),0),1)</f>
        <v>0</v>
      </c>
      <c r="AX110" s="140">
        <f t="array" ref="AX110">IF(ISBLANK($A110),0,IF(OR(AX$5-$AI110&lt;=0,$AM110="Não"),M110,M110+INDEX($AO$6:$BR$176,ROW()-5,COLUMN()-40-$AI110)))*IF($B110="Operacional",IFERROR(VLOOKUP($C110,SN_UGC,28,0),0),1)</f>
        <v>0</v>
      </c>
      <c r="AY110" s="140">
        <f t="array" ref="AY110">IF(ISBLANK($A110),0,IF(OR(AY$5-$AI110&lt;=0,$AM110="Não"),N110,N110+INDEX($AO$6:$BR$176,ROW()-5,COLUMN()-40-$AI110)))*IF($B110="Operacional",IFERROR(VLOOKUP($C110,SN_UGC,28,0),0),1)</f>
        <v>0</v>
      </c>
      <c r="AZ110" s="140">
        <f t="array" ref="AZ110">IF(ISBLANK($A110),0,IF(OR(AZ$5-$AI110&lt;=0,$AM110="Não"),O110,O110+INDEX($AO$6:$BR$176,ROW()-5,COLUMN()-40-$AI110)))*IF($B110="Operacional",IFERROR(VLOOKUP($C110,SN_UGC,28,0),0),1)</f>
        <v>0</v>
      </c>
      <c r="BA110" s="140">
        <f t="array" ref="BA110">IF(ISBLANK($A110),0,IF(OR(BA$5-$AI110&lt;=0,$AM110="Não"),P110,P110+INDEX($AO$6:$BR$176,ROW()-5,COLUMN()-40-$AI110)))*IF($B110="Operacional",IFERROR(VLOOKUP($C110,SN_UGC,28,0),0),1)</f>
        <v>0</v>
      </c>
      <c r="BB110" s="140">
        <f t="array" ref="BB110">IF(ISBLANK($A110),0,IF(OR(BB$5-$AI110&lt;=0,$AM110="Não"),Q110,Q110+INDEX($AO$6:$BR$176,ROW()-5,COLUMN()-40-$AI110)))*IF($B110="Operacional",IFERROR(VLOOKUP($C110,SN_UGC,28,0),0),1)</f>
        <v>0</v>
      </c>
      <c r="BC110" s="140">
        <f t="array" ref="BC110">IF(ISBLANK($A110),0,IF(OR(BC$5-$AI110&lt;=0,$AM110="Não"),R110,R110+INDEX($AO$6:$BR$176,ROW()-5,COLUMN()-40-$AI110)))*IF($B110="Operacional",IFERROR(VLOOKUP($C110,SN_UGC,28,0),0),1)</f>
        <v>0</v>
      </c>
      <c r="BD110" s="140">
        <f t="array" ref="BD110">IF(ISBLANK($A110),0,IF(OR(BD$5-$AI110&lt;=0,$AM110="Não"),S110,S110+INDEX($AO$6:$BR$176,ROW()-5,COLUMN()-40-$AI110)))*IF($B110="Operacional",IFERROR(VLOOKUP($C110,SN_UGC,28,0),0),1)</f>
        <v>0</v>
      </c>
      <c r="BE110" s="140">
        <f t="array" ref="BE110">IF(ISBLANK($A110),0,IF(OR(BE$5-$AI110&lt;=0,$AM110="Não"),T110,T110+INDEX($AO$6:$BR$176,ROW()-5,COLUMN()-40-$AI110)))*IF($B110="Operacional",IFERROR(VLOOKUP($C110,SN_UGC,28,0),0),1)</f>
        <v>0</v>
      </c>
      <c r="BF110" s="140">
        <f t="array" ref="BF110">IF(ISBLANK($A110),0,IF(OR(BF$5-$AI110&lt;=0,$AM110="Não"),U110,U110+INDEX($AO$6:$BR$176,ROW()-5,COLUMN()-40-$AI110)))*IF($B110="Operacional",IFERROR(VLOOKUP($C110,SN_UGC,28,0),0),1)</f>
        <v>0</v>
      </c>
      <c r="BG110" s="140">
        <f t="array" ref="BG110">IF(ISBLANK($A110),0,IF(OR(BG$5-$AI110&lt;=0,$AM110="Não"),V110,V110+INDEX($AO$6:$BR$176,ROW()-5,COLUMN()-40-$AI110)))*IF($B110="Operacional",IFERROR(VLOOKUP($C110,SN_UGC,28,0),0),1)</f>
        <v>0</v>
      </c>
      <c r="BH110" s="140">
        <f t="array" ref="BH110">IF(ISBLANK($A110),0,IF(OR(BH$5-$AI110&lt;=0,$AM110="Não"),W110,W110+INDEX($AO$6:$BR$176,ROW()-5,COLUMN()-40-$AI110)))*IF($B110="Operacional",IFERROR(VLOOKUP($C110,SN_UGC,28,0),0),1)</f>
        <v>0</v>
      </c>
      <c r="BI110" s="140">
        <f t="array" ref="BI110">IF(ISBLANK($A110),0,IF(OR(BI$5-$AI110&lt;=0,$AM110="Não"),X110,X110+INDEX($AO$6:$BR$176,ROW()-5,COLUMN()-40-$AI110)))*IF($B110="Operacional",IFERROR(VLOOKUP($C110,SN_UGC,28,0),0),1)</f>
        <v>0</v>
      </c>
      <c r="BJ110" s="140">
        <f t="array" ref="BJ110">IF(ISBLANK($A110),0,IF(OR(BJ$5-$AI110&lt;=0,$AM110="Não"),Y110,Y110+INDEX($AO$6:$BR$176,ROW()-5,COLUMN()-40-$AI110)))*IF($B110="Operacional",IFERROR(VLOOKUP($C110,SN_UGC,28,0),0),1)</f>
        <v>0</v>
      </c>
      <c r="BK110" s="140">
        <f t="array" ref="BK110">IF(ISBLANK($A110),0,IF(OR(BK$5-$AI110&lt;=0,$AM110="Não"),Z110,Z110+INDEX($AO$6:$BR$176,ROW()-5,COLUMN()-40-$AI110)))*IF($B110="Operacional",IFERROR(VLOOKUP($C110,SN_UGC,28,0),0),1)</f>
        <v>0</v>
      </c>
      <c r="BL110" s="140">
        <f t="array" ref="BL110">IF(ISBLANK($A110),0,IF(OR(BL$5-$AI110&lt;=0,$AM110="Não"),AA110,AA110+INDEX($AO$6:$BR$176,ROW()-5,COLUMN()-40-$AI110)))*IF($B110="Operacional",IFERROR(VLOOKUP($C110,SN_UGC,28,0),0),1)</f>
        <v>0</v>
      </c>
      <c r="BM110" s="140">
        <f t="array" ref="BM110">IF(ISBLANK($A110),0,IF(OR(BM$5-$AI110&lt;=0,$AM110="Não"),AB110,AB110+INDEX($AO$6:$BR$176,ROW()-5,COLUMN()-40-$AI110)))*IF($B110="Operacional",IFERROR(VLOOKUP($C110,SN_UGC,28,0),0),1)</f>
        <v>0</v>
      </c>
      <c r="BN110" s="140">
        <f t="array" ref="BN110">IF(ISBLANK($A110),0,IF(OR(BN$5-$AI110&lt;=0,$AM110="Não"),AC110,AC110+INDEX($AO$6:$BR$176,ROW()-5,COLUMN()-40-$AI110)))*IF($B110="Operacional",IFERROR(VLOOKUP($C110,SN_UGC,28,0),0),1)</f>
        <v>0</v>
      </c>
      <c r="BO110" s="140">
        <f t="array" ref="BO110">IF(ISBLANK($A110),0,IF(OR(BO$5-$AI110&lt;=0,$AM110="Não"),AD110,AD110+INDEX($AO$6:$BR$176,ROW()-5,COLUMN()-40-$AI110)))*IF($B110="Operacional",IFERROR(VLOOKUP($C110,SN_UGC,28,0),0),1)</f>
        <v>0</v>
      </c>
      <c r="BP110" s="140">
        <f t="array" ref="BP110">IF(ISBLANK($A110),0,IF(OR(BP$5-$AI110&lt;=0,$AM110="Não"),AE110,AE110+INDEX($AO$6:$BR$176,ROW()-5,COLUMN()-40-$AI110)))*IF($B110="Operacional",IFERROR(VLOOKUP($C110,SN_UGC,28,0),0),1)</f>
        <v>0</v>
      </c>
      <c r="BQ110" s="140">
        <f t="array" ref="BQ110">IF(ISBLANK($A110),0,IF(OR(BQ$5-$AI110&lt;=0,$AM110="Não"),AF110,AF110+INDEX($AO$6:$BR$176,ROW()-5,COLUMN()-40-$AI110)))*IF($B110="Operacional",IFERROR(VLOOKUP($C110,SN_UGC,28,0),0),1)</f>
        <v>0</v>
      </c>
      <c r="BR110" s="140">
        <f t="array" ref="BR110">IF(ISBLANK($A110),0,IF(OR(BR$5-$AI110&lt;=0,$AM110="Não"),AG110,AG110+INDEX($AO$6:$BR$176,ROW()-5,COLUMN()-40-$AI110)))*IF($B110="Operacional",IFERROR(VLOOKUP($C110,SN_UGC,28,0),0),1)</f>
        <v>0</v>
      </c>
      <c r="BS110" s="141">
        <f t="shared" ref="BS110:CV110" si="572">IF(ISBLANK($A110),0,$AH110*AO110)</f>
        <v>0</v>
      </c>
      <c r="BT110" s="141">
        <f t="shared" si="572"/>
        <v>0</v>
      </c>
      <c r="BU110" s="141">
        <f t="shared" si="572"/>
        <v>0</v>
      </c>
      <c r="BV110" s="141">
        <f t="shared" si="572"/>
        <v>0</v>
      </c>
      <c r="BW110" s="141">
        <f t="shared" si="572"/>
        <v>0</v>
      </c>
      <c r="BX110" s="141">
        <f t="shared" si="572"/>
        <v>0</v>
      </c>
      <c r="BY110" s="141">
        <f t="shared" si="572"/>
        <v>0</v>
      </c>
      <c r="BZ110" s="141">
        <f t="shared" si="572"/>
        <v>0</v>
      </c>
      <c r="CA110" s="141">
        <f t="shared" si="572"/>
        <v>0</v>
      </c>
      <c r="CB110" s="141">
        <f t="shared" si="572"/>
        <v>0</v>
      </c>
      <c r="CC110" s="141">
        <f t="shared" si="572"/>
        <v>0</v>
      </c>
      <c r="CD110" s="141">
        <f t="shared" si="572"/>
        <v>0</v>
      </c>
      <c r="CE110" s="141">
        <f t="shared" si="572"/>
        <v>0</v>
      </c>
      <c r="CF110" s="141">
        <f t="shared" si="572"/>
        <v>0</v>
      </c>
      <c r="CG110" s="141">
        <f t="shared" si="572"/>
        <v>0</v>
      </c>
      <c r="CH110" s="141">
        <f t="shared" si="572"/>
        <v>0</v>
      </c>
      <c r="CI110" s="141">
        <f t="shared" si="572"/>
        <v>0</v>
      </c>
      <c r="CJ110" s="141">
        <f t="shared" si="572"/>
        <v>0</v>
      </c>
      <c r="CK110" s="141">
        <f t="shared" si="572"/>
        <v>0</v>
      </c>
      <c r="CL110" s="141">
        <f t="shared" si="572"/>
        <v>0</v>
      </c>
      <c r="CM110" s="141">
        <f t="shared" si="572"/>
        <v>0</v>
      </c>
      <c r="CN110" s="141">
        <f t="shared" si="572"/>
        <v>0</v>
      </c>
      <c r="CO110" s="141">
        <f t="shared" si="572"/>
        <v>0</v>
      </c>
      <c r="CP110" s="141">
        <f t="shared" si="572"/>
        <v>0</v>
      </c>
      <c r="CQ110" s="141">
        <f t="shared" si="572"/>
        <v>0</v>
      </c>
      <c r="CR110" s="141">
        <f t="shared" si="572"/>
        <v>0</v>
      </c>
      <c r="CS110" s="141">
        <f t="shared" si="572"/>
        <v>0</v>
      </c>
      <c r="CT110" s="141">
        <f t="shared" si="572"/>
        <v>0</v>
      </c>
      <c r="CU110" s="141">
        <f t="shared" si="572"/>
        <v>0</v>
      </c>
      <c r="CV110" s="141">
        <f t="shared" si="572"/>
        <v>0</v>
      </c>
      <c r="CW110" s="142">
        <f t="shared" ref="CW110:DZ110" si="573">EA110*$AH110*$AJ110</f>
        <v>0</v>
      </c>
      <c r="CX110" s="142">
        <f t="shared" si="573"/>
        <v>0</v>
      </c>
      <c r="CY110" s="142">
        <f t="shared" si="573"/>
        <v>0</v>
      </c>
      <c r="CZ110" s="142">
        <f t="shared" si="573"/>
        <v>0</v>
      </c>
      <c r="DA110" s="142">
        <f t="shared" si="573"/>
        <v>0</v>
      </c>
      <c r="DB110" s="142">
        <f t="shared" si="573"/>
        <v>0</v>
      </c>
      <c r="DC110" s="142">
        <f t="shared" si="573"/>
        <v>0</v>
      </c>
      <c r="DD110" s="142">
        <f t="shared" si="573"/>
        <v>0</v>
      </c>
      <c r="DE110" s="142">
        <f t="shared" si="573"/>
        <v>0</v>
      </c>
      <c r="DF110" s="142">
        <f t="shared" si="573"/>
        <v>0</v>
      </c>
      <c r="DG110" s="142">
        <f t="shared" si="573"/>
        <v>0</v>
      </c>
      <c r="DH110" s="142">
        <f t="shared" si="573"/>
        <v>0</v>
      </c>
      <c r="DI110" s="142">
        <f t="shared" si="573"/>
        <v>0</v>
      </c>
      <c r="DJ110" s="142">
        <f t="shared" si="573"/>
        <v>0</v>
      </c>
      <c r="DK110" s="142">
        <f t="shared" si="573"/>
        <v>0</v>
      </c>
      <c r="DL110" s="142">
        <f t="shared" si="573"/>
        <v>0</v>
      </c>
      <c r="DM110" s="142">
        <f t="shared" si="573"/>
        <v>0</v>
      </c>
      <c r="DN110" s="142">
        <f t="shared" si="573"/>
        <v>0</v>
      </c>
      <c r="DO110" s="142">
        <f t="shared" si="573"/>
        <v>0</v>
      </c>
      <c r="DP110" s="142">
        <f t="shared" si="573"/>
        <v>0</v>
      </c>
      <c r="DQ110" s="142">
        <f t="shared" si="573"/>
        <v>0</v>
      </c>
      <c r="DR110" s="142">
        <f t="shared" si="573"/>
        <v>0</v>
      </c>
      <c r="DS110" s="142">
        <f t="shared" si="573"/>
        <v>0</v>
      </c>
      <c r="DT110" s="142">
        <f t="shared" si="573"/>
        <v>0</v>
      </c>
      <c r="DU110" s="142">
        <f t="shared" si="573"/>
        <v>0</v>
      </c>
      <c r="DV110" s="142">
        <f t="shared" si="573"/>
        <v>0</v>
      </c>
      <c r="DW110" s="142">
        <f t="shared" si="573"/>
        <v>0</v>
      </c>
      <c r="DX110" s="142">
        <f t="shared" si="573"/>
        <v>0</v>
      </c>
      <c r="DY110" s="142">
        <f t="shared" si="573"/>
        <v>0</v>
      </c>
      <c r="DZ110" s="142">
        <f t="shared" si="573"/>
        <v>0</v>
      </c>
      <c r="EA110" s="143">
        <f t="shared" si="504"/>
        <v>0</v>
      </c>
      <c r="EB110" s="143">
        <f t="shared" si="505"/>
        <v>0</v>
      </c>
      <c r="EC110" s="143">
        <f t="shared" si="506"/>
        <v>0</v>
      </c>
      <c r="ED110" s="143">
        <f t="shared" si="507"/>
        <v>0</v>
      </c>
      <c r="EE110" s="143">
        <f t="shared" si="508"/>
        <v>0</v>
      </c>
      <c r="EF110" s="143">
        <f t="shared" si="509"/>
        <v>0</v>
      </c>
      <c r="EG110" s="143">
        <f t="shared" si="510"/>
        <v>0</v>
      </c>
      <c r="EH110" s="143">
        <f t="shared" si="511"/>
        <v>0</v>
      </c>
      <c r="EI110" s="143">
        <f t="shared" si="512"/>
        <v>0</v>
      </c>
      <c r="EJ110" s="143">
        <f t="shared" si="513"/>
        <v>0</v>
      </c>
      <c r="EK110" s="143">
        <f t="shared" si="514"/>
        <v>0</v>
      </c>
      <c r="EL110" s="143">
        <f t="shared" si="515"/>
        <v>0</v>
      </c>
      <c r="EM110" s="143">
        <f t="shared" si="516"/>
        <v>0</v>
      </c>
      <c r="EN110" s="143">
        <f t="shared" si="517"/>
        <v>0</v>
      </c>
      <c r="EO110" s="143">
        <f t="shared" si="518"/>
        <v>0</v>
      </c>
      <c r="EP110" s="143">
        <f t="shared" si="519"/>
        <v>0</v>
      </c>
      <c r="EQ110" s="143">
        <f t="shared" si="520"/>
        <v>0</v>
      </c>
      <c r="ER110" s="143">
        <f t="shared" si="521"/>
        <v>0</v>
      </c>
      <c r="ES110" s="143">
        <f t="shared" si="522"/>
        <v>0</v>
      </c>
      <c r="ET110" s="143">
        <f t="shared" si="523"/>
        <v>0</v>
      </c>
      <c r="EU110" s="143">
        <f t="shared" si="524"/>
        <v>0</v>
      </c>
      <c r="EV110" s="143">
        <f t="shared" si="525"/>
        <v>0</v>
      </c>
      <c r="EW110" s="143">
        <f t="shared" si="526"/>
        <v>0</v>
      </c>
      <c r="EX110" s="143">
        <f t="shared" si="527"/>
        <v>0</v>
      </c>
      <c r="EY110" s="143">
        <f t="shared" si="528"/>
        <v>0</v>
      </c>
      <c r="EZ110" s="143">
        <f t="shared" si="529"/>
        <v>0</v>
      </c>
      <c r="FA110" s="143">
        <f t="shared" si="530"/>
        <v>0</v>
      </c>
      <c r="FB110" s="143">
        <f t="shared" si="531"/>
        <v>0</v>
      </c>
      <c r="FC110" s="143">
        <f t="shared" si="532"/>
        <v>0</v>
      </c>
      <c r="FD110" s="143">
        <f t="shared" si="533"/>
        <v>0</v>
      </c>
      <c r="FE110" s="140">
        <f>SUM($D110:D110)*IF($B110="Operacional",IFERROR(VLOOKUP($C110,SN_UGC,28,0),0),1)</f>
        <v>0</v>
      </c>
      <c r="FF110" s="140">
        <f>SUM($D110:E110)*IF($B110="Operacional",IFERROR(VLOOKUP($C110,SN_UGC,28,0),0),1)</f>
        <v>0</v>
      </c>
      <c r="FG110" s="140">
        <f>SUM($D110:F110)*IF($B110="Operacional",IFERROR(VLOOKUP($C110,SN_UGC,28,0),0),1)</f>
        <v>0</v>
      </c>
      <c r="FH110" s="140">
        <f>SUM($D110:G110)*IF($B110="Operacional",IFERROR(VLOOKUP($C110,SN_UGC,28,0),0),1)</f>
        <v>0</v>
      </c>
      <c r="FI110" s="140">
        <f>SUM($D110:H110)*IF($B110="Operacional",IFERROR(VLOOKUP($C110,SN_UGC,28,0),0),1)</f>
        <v>0</v>
      </c>
      <c r="FJ110" s="140">
        <f>SUM($D110:I110)*IF($B110="Operacional",IFERROR(VLOOKUP($C110,SN_UGC,28,0),0),1)</f>
        <v>0</v>
      </c>
      <c r="FK110" s="140">
        <f>SUM($D110:J110)*IF($B110="Operacional",IFERROR(VLOOKUP($C110,SN_UGC,28,0),0),1)</f>
        <v>0</v>
      </c>
      <c r="FL110" s="140">
        <f>SUM($D110:K110)*IF($B110="Operacional",IFERROR(VLOOKUP($C110,SN_UGC,28,0),0),1)</f>
        <v>0</v>
      </c>
      <c r="FM110" s="140">
        <f>SUM($D110:L110)*IF($B110="Operacional",IFERROR(VLOOKUP($C110,SN_UGC,28,0),0),1)</f>
        <v>0</v>
      </c>
      <c r="FN110" s="140">
        <f>SUM($D110:M110)*IF($B110="Operacional",IFERROR(VLOOKUP($C110,SN_UGC,28,0),0),1)</f>
        <v>0</v>
      </c>
      <c r="FO110" s="140">
        <f>SUM($D110:N110)*IF($B110="Operacional",IFERROR(VLOOKUP($C110,SN_UGC,28,0),0),1)</f>
        <v>0</v>
      </c>
      <c r="FP110" s="140">
        <f>SUM($D110:O110)*IF($B110="Operacional",IFERROR(VLOOKUP($C110,SN_UGC,28,0),0),1)</f>
        <v>0</v>
      </c>
      <c r="FQ110" s="140">
        <f>SUM($D110:P110)*IF($B110="Operacional",IFERROR(VLOOKUP($C110,SN_UGC,28,0),0),1)</f>
        <v>0</v>
      </c>
      <c r="FR110" s="140">
        <f>SUM($D110:Q110)*IF($B110="Operacional",IFERROR(VLOOKUP($C110,SN_UGC,28,0),0),1)</f>
        <v>0</v>
      </c>
      <c r="FS110" s="140">
        <f>SUM($D110:R110)*IF($B110="Operacional",IFERROR(VLOOKUP($C110,SN_UGC,28,0),0),1)</f>
        <v>0</v>
      </c>
      <c r="FT110" s="140">
        <f>SUM($D110:S110)*IF($B110="Operacional",IFERROR(VLOOKUP($C110,SN_UGC,28,0),0),1)</f>
        <v>0</v>
      </c>
      <c r="FU110" s="140">
        <f>SUM($D110:T110)*IF($B110="Operacional",IFERROR(VLOOKUP($C110,SN_UGC,28,0),0),1)</f>
        <v>0</v>
      </c>
      <c r="FV110" s="140">
        <f>SUM($D110:U110)*IF($B110="Operacional",IFERROR(VLOOKUP($C110,SN_UGC,28,0),0),1)</f>
        <v>0</v>
      </c>
      <c r="FW110" s="140">
        <f>SUM($D110:V110)*IF($B110="Operacional",IFERROR(VLOOKUP($C110,SN_UGC,28,0),0),1)</f>
        <v>0</v>
      </c>
      <c r="FX110" s="140">
        <f>SUM($D110:W110)*IF($B110="Operacional",IFERROR(VLOOKUP($C110,SN_UGC,28,0),0),1)</f>
        <v>0</v>
      </c>
      <c r="FY110" s="140">
        <f>SUM($D110:X110)*IF($B110="Operacional",IFERROR(VLOOKUP($C110,SN_UGC,28,0),0),1)</f>
        <v>0</v>
      </c>
      <c r="FZ110" s="140">
        <f>SUM($D110:Y110)*IF($B110="Operacional",IFERROR(VLOOKUP($C110,SN_UGC,28,0),0),1)</f>
        <v>0</v>
      </c>
      <c r="GA110" s="140">
        <f>SUM($D110:Z110)*IF($B110="Operacional",IFERROR(VLOOKUP($C110,SN_UGC,28,0),0),1)</f>
        <v>0</v>
      </c>
      <c r="GB110" s="140">
        <f>SUM($D110:AA110)*IF($B110="Operacional",IFERROR(VLOOKUP($C110,SN_UGC,28,0),0),1)</f>
        <v>0</v>
      </c>
      <c r="GC110" s="140">
        <f>SUM($D110:AB110)*IF($B110="Operacional",IFERROR(VLOOKUP($C110,SN_UGC,28,0),0),1)</f>
        <v>0</v>
      </c>
      <c r="GD110" s="140">
        <f>SUM($D110:AC110)*IF($B110="Operacional",IFERROR(VLOOKUP($C110,SN_UGC,28,0),0),1)</f>
        <v>0</v>
      </c>
      <c r="GE110" s="140">
        <f>SUM($D110:AD110)*IF($B110="Operacional",IFERROR(VLOOKUP($C110,SN_UGC,28,0),0),1)</f>
        <v>0</v>
      </c>
      <c r="GF110" s="140">
        <f>SUM($D110:AE110)*IF($B110="Operacional",IFERROR(VLOOKUP($C110,SN_UGC,28,0),0),1)</f>
        <v>0</v>
      </c>
      <c r="GG110" s="140">
        <f>SUM($D110:AF110)*IF($B110="Operacional",IFERROR(VLOOKUP($C110,SN_UGC,28,0),0),1)</f>
        <v>0</v>
      </c>
      <c r="GH110" s="140">
        <f>SUM($D110:AG110)*IF($B110="Operacional",IFERROR(VLOOKUP($C110,SN_UGC,28,0),0),1)</f>
        <v>0</v>
      </c>
      <c r="GI110" s="141">
        <f t="shared" ref="GI110:HL110" si="574">FE110*$AH110*$AL110</f>
        <v>0</v>
      </c>
      <c r="GJ110" s="141">
        <f t="shared" si="574"/>
        <v>0</v>
      </c>
      <c r="GK110" s="141">
        <f t="shared" si="574"/>
        <v>0</v>
      </c>
      <c r="GL110" s="141">
        <f t="shared" si="574"/>
        <v>0</v>
      </c>
      <c r="GM110" s="141">
        <f t="shared" si="574"/>
        <v>0</v>
      </c>
      <c r="GN110" s="141">
        <f t="shared" si="574"/>
        <v>0</v>
      </c>
      <c r="GO110" s="141">
        <f t="shared" si="574"/>
        <v>0</v>
      </c>
      <c r="GP110" s="141">
        <f t="shared" si="574"/>
        <v>0</v>
      </c>
      <c r="GQ110" s="141">
        <f t="shared" si="574"/>
        <v>0</v>
      </c>
      <c r="GR110" s="141">
        <f t="shared" si="574"/>
        <v>0</v>
      </c>
      <c r="GS110" s="141">
        <f t="shared" si="574"/>
        <v>0</v>
      </c>
      <c r="GT110" s="141">
        <f t="shared" si="574"/>
        <v>0</v>
      </c>
      <c r="GU110" s="141">
        <f t="shared" si="574"/>
        <v>0</v>
      </c>
      <c r="GV110" s="141">
        <f t="shared" si="574"/>
        <v>0</v>
      </c>
      <c r="GW110" s="141">
        <f t="shared" si="574"/>
        <v>0</v>
      </c>
      <c r="GX110" s="141">
        <f t="shared" si="574"/>
        <v>0</v>
      </c>
      <c r="GY110" s="141">
        <f t="shared" si="574"/>
        <v>0</v>
      </c>
      <c r="GZ110" s="141">
        <f t="shared" si="574"/>
        <v>0</v>
      </c>
      <c r="HA110" s="141">
        <f t="shared" si="574"/>
        <v>0</v>
      </c>
      <c r="HB110" s="141">
        <f t="shared" si="574"/>
        <v>0</v>
      </c>
      <c r="HC110" s="141">
        <f t="shared" si="574"/>
        <v>0</v>
      </c>
      <c r="HD110" s="141">
        <f t="shared" si="574"/>
        <v>0</v>
      </c>
      <c r="HE110" s="141">
        <f t="shared" si="574"/>
        <v>0</v>
      </c>
      <c r="HF110" s="141">
        <f t="shared" si="574"/>
        <v>0</v>
      </c>
      <c r="HG110" s="141">
        <f t="shared" si="574"/>
        <v>0</v>
      </c>
      <c r="HH110" s="141">
        <f t="shared" si="574"/>
        <v>0</v>
      </c>
      <c r="HI110" s="141">
        <f t="shared" si="574"/>
        <v>0</v>
      </c>
      <c r="HJ110" s="141">
        <f t="shared" si="574"/>
        <v>0</v>
      </c>
      <c r="HK110" s="141">
        <f t="shared" si="574"/>
        <v>0</v>
      </c>
      <c r="HL110" s="141">
        <f t="shared" si="574"/>
        <v>0</v>
      </c>
      <c r="HM110" s="142">
        <f t="shared" ref="HM110:IP110" si="575">IF(ISBLANK($A110),,FE110*($AH110-($AH110*$AJ110))/$AI110)</f>
        <v>0</v>
      </c>
      <c r="HN110" s="142">
        <f t="shared" si="575"/>
        <v>0</v>
      </c>
      <c r="HO110" s="142">
        <f t="shared" si="575"/>
        <v>0</v>
      </c>
      <c r="HP110" s="142">
        <f t="shared" si="575"/>
        <v>0</v>
      </c>
      <c r="HQ110" s="142">
        <f t="shared" si="575"/>
        <v>0</v>
      </c>
      <c r="HR110" s="142">
        <f t="shared" si="575"/>
        <v>0</v>
      </c>
      <c r="HS110" s="142">
        <f t="shared" si="575"/>
        <v>0</v>
      </c>
      <c r="HT110" s="142">
        <f t="shared" si="575"/>
        <v>0</v>
      </c>
      <c r="HU110" s="142">
        <f t="shared" si="575"/>
        <v>0</v>
      </c>
      <c r="HV110" s="142">
        <f t="shared" si="575"/>
        <v>0</v>
      </c>
      <c r="HW110" s="142">
        <f t="shared" si="575"/>
        <v>0</v>
      </c>
      <c r="HX110" s="142">
        <f t="shared" si="575"/>
        <v>0</v>
      </c>
      <c r="HY110" s="142">
        <f t="shared" si="575"/>
        <v>0</v>
      </c>
      <c r="HZ110" s="142">
        <f t="shared" si="575"/>
        <v>0</v>
      </c>
      <c r="IA110" s="142">
        <f t="shared" si="575"/>
        <v>0</v>
      </c>
      <c r="IB110" s="142">
        <f t="shared" si="575"/>
        <v>0</v>
      </c>
      <c r="IC110" s="142">
        <f t="shared" si="575"/>
        <v>0</v>
      </c>
      <c r="ID110" s="142">
        <f t="shared" si="575"/>
        <v>0</v>
      </c>
      <c r="IE110" s="142">
        <f t="shared" si="575"/>
        <v>0</v>
      </c>
      <c r="IF110" s="142">
        <f t="shared" si="575"/>
        <v>0</v>
      </c>
      <c r="IG110" s="142">
        <f t="shared" si="575"/>
        <v>0</v>
      </c>
      <c r="IH110" s="142">
        <f t="shared" si="575"/>
        <v>0</v>
      </c>
      <c r="II110" s="142">
        <f t="shared" si="575"/>
        <v>0</v>
      </c>
      <c r="IJ110" s="142">
        <f t="shared" si="575"/>
        <v>0</v>
      </c>
      <c r="IK110" s="142">
        <f t="shared" si="575"/>
        <v>0</v>
      </c>
      <c r="IL110" s="142">
        <f t="shared" si="575"/>
        <v>0</v>
      </c>
      <c r="IM110" s="142">
        <f t="shared" si="575"/>
        <v>0</v>
      </c>
      <c r="IN110" s="142">
        <f t="shared" si="575"/>
        <v>0</v>
      </c>
      <c r="IO110" s="142">
        <f t="shared" si="575"/>
        <v>0</v>
      </c>
      <c r="IP110" s="142">
        <f t="shared" si="575"/>
        <v>0</v>
      </c>
      <c r="IQ110" s="141">
        <f>IF(ISBLANK($A110),,IF($AN110="Não",0,(SUM($AO110:AO110)*$AH110)-SUM($HM110:HM110)-SUM($CW110:CW110)))</f>
        <v>0</v>
      </c>
      <c r="IR110" s="141">
        <f>IF(ISBLANK($A110),,IF($AN110="Não",0,(SUM($AO110:AP110)*$AH110)-SUM($HM110:HN110)-SUM($CW110:CX110)))</f>
        <v>0</v>
      </c>
      <c r="IS110" s="141">
        <f>IF(ISBLANK($A110),,IF($AN110="Não",0,(SUM($AO110:AQ110)*$AH110)-SUM($HM110:HO110)-SUM($CW110:CY110)))</f>
        <v>0</v>
      </c>
      <c r="IT110" s="141">
        <f>IF(ISBLANK($A110),,IF($AN110="Não",0,(SUM($AO110:AR110)*$AH110)-SUM($HM110:HP110)-SUM($CW110:CZ110)))</f>
        <v>0</v>
      </c>
      <c r="IU110" s="141">
        <f>IF(ISBLANK($A110),,IF($AN110="Não",0,(SUM($AO110:AS110)*$AH110)-SUM($HM110:HQ110)-SUM($CW110:DA110)))</f>
        <v>0</v>
      </c>
      <c r="IV110" s="141">
        <f>IF(ISBLANK($A110),,IF($AN110="Não",0,(SUM($AO110:AT110)*$AH110)-SUM($HM110:HR110)-SUM($CW110:DB110)))</f>
        <v>0</v>
      </c>
      <c r="IW110" s="141">
        <f>IF(ISBLANK($A110),,IF($AN110="Não",0,(SUM($AO110:AU110)*$AH110)-SUM($HM110:HS110)-SUM($CW110:DC110)))</f>
        <v>0</v>
      </c>
      <c r="IX110" s="141">
        <f>IF(ISBLANK($A110),,IF($AN110="Não",0,(SUM($AO110:AV110)*$AH110)-SUM($HM110:HT110)-SUM($CW110:DD110)))</f>
        <v>0</v>
      </c>
      <c r="IY110" s="141">
        <f>IF(ISBLANK($A110),,IF($AN110="Não",0,(SUM($AO110:AW110)*$AH110)-SUM($HM110:HU110)-SUM($CW110:DE110)))</f>
        <v>0</v>
      </c>
      <c r="IZ110" s="141">
        <f>IF(ISBLANK($A110),,IF($AN110="Não",0,(SUM($AO110:AX110)*$AH110)-SUM($HM110:HV110)-SUM($CW110:DF110)))</f>
        <v>0</v>
      </c>
      <c r="JA110" s="141">
        <f>IF(ISBLANK($A110),,IF($AN110="Não",0,(SUM($AO110:AY110)*$AH110)-SUM($HM110:HW110)-SUM($CW110:DG110)))</f>
        <v>0</v>
      </c>
      <c r="JB110" s="141">
        <f>IF(ISBLANK($A110),,IF($AN110="Não",0,(SUM($AO110:AZ110)*$AH110)-SUM($HM110:HX110)-SUM($CW110:DH110)))</f>
        <v>0</v>
      </c>
      <c r="JC110" s="141">
        <f>IF(ISBLANK($A110),,IF($AN110="Não",0,(SUM($AO110:BA110)*$AH110)-SUM($HM110:HY110)-SUM($CW110:DI110)))</f>
        <v>0</v>
      </c>
      <c r="JD110" s="141">
        <f>IF(ISBLANK($A110),,IF($AN110="Não",0,(SUM($AO110:BB110)*$AH110)-SUM($HM110:HZ110)-SUM($CW110:DJ110)))</f>
        <v>0</v>
      </c>
      <c r="JE110" s="141">
        <f>IF(ISBLANK($A110),,IF($AN110="Não",0,(SUM($AO110:BC110)*$AH110)-SUM($HM110:IA110)-SUM($CW110:DK110)))</f>
        <v>0</v>
      </c>
      <c r="JF110" s="141">
        <f>IF(ISBLANK($A110),,IF($AN110="Não",0,(SUM($AO110:BD110)*$AH110)-SUM($HM110:IB110)-SUM($CW110:DL110)))</f>
        <v>0</v>
      </c>
      <c r="JG110" s="141">
        <f>IF(ISBLANK($A110),,IF($AN110="Não",0,(SUM($AO110:BE110)*$AH110)-SUM($HM110:IC110)-SUM($CW110:DM110)))</f>
        <v>0</v>
      </c>
      <c r="JH110" s="141">
        <f>IF(ISBLANK($A110),,IF($AN110="Não",0,(SUM($AO110:BF110)*$AH110)-SUM($HM110:ID110)-SUM($CW110:DN110)))</f>
        <v>0</v>
      </c>
      <c r="JI110" s="141">
        <f>IF(ISBLANK($A110),,IF($AN110="Não",0,(SUM($AO110:BG110)*$AH110)-SUM($HM110:IE110)-SUM($CW110:DO110)))</f>
        <v>0</v>
      </c>
      <c r="JJ110" s="141">
        <f>IF(ISBLANK($A110),,IF($AN110="Não",0,(SUM($AO110:BH110)*$AH110)-SUM($HM110:IF110)-SUM($CW110:DP110)))</f>
        <v>0</v>
      </c>
      <c r="JK110" s="141">
        <f>IF(ISBLANK($A110),,IF($AN110="Não",0,(SUM($AO110:BI110)*$AH110)-SUM($HM110:IG110)-SUM($CW110:DQ110)))</f>
        <v>0</v>
      </c>
      <c r="JL110" s="141">
        <f>IF(ISBLANK($A110),,IF($AN110="Não",0,(SUM($AO110:BJ110)*$AH110)-SUM($HM110:IH110)-SUM($CW110:DR110)))</f>
        <v>0</v>
      </c>
      <c r="JM110" s="141">
        <f>IF(ISBLANK($A110),,IF($AN110="Não",0,(SUM($AO110:BK110)*$AH110)-SUM($HM110:II110)-SUM($CW110:DS110)))</f>
        <v>0</v>
      </c>
      <c r="JN110" s="141">
        <f>IF(ISBLANK($A110),,IF($AN110="Não",0,(SUM($AO110:BL110)*$AH110)-SUM($HM110:IJ110)-SUM($CW110:DT110)))</f>
        <v>0</v>
      </c>
      <c r="JO110" s="141">
        <f>IF(ISBLANK($A110),,IF($AN110="Não",0,(SUM($AO110:BM110)*$AH110)-SUM($HM110:IK110)-SUM($CW110:DU110)))</f>
        <v>0</v>
      </c>
      <c r="JP110" s="141">
        <f>IF(ISBLANK($A110),,IF($AN110="Não",0,(SUM($AO110:BN110)*$AH110)-SUM($HM110:IL110)-SUM($CW110:DV110)))</f>
        <v>0</v>
      </c>
      <c r="JQ110" s="141">
        <f>IF(ISBLANK($A110),,IF($AN110="Não",0,(SUM($AO110:BO110)*$AH110)-SUM($HM110:IM110)-SUM($CW110:DW110)))</f>
        <v>0</v>
      </c>
      <c r="JR110" s="141">
        <f>IF(ISBLANK($A110),,IF($AN110="Não",0,(SUM($AO110:BP110)*$AH110)-SUM($HM110:IN110)-SUM($CW110:DX110)))</f>
        <v>0</v>
      </c>
      <c r="JS110" s="141">
        <f>IF(ISBLANK($A110),,IF($AN110="Não",0,(SUM($AO110:BQ110)*$AH110)-SUM($HM110:IO110)-SUM($CW110:DY110)))</f>
        <v>0</v>
      </c>
      <c r="JT110" s="141">
        <f>IF(ISBLANK($A110),,IF($AN110="Não",0,(SUM($AO110:BR110)*$AH110)-SUM($HM110:IP110)-SUM($CW110:DZ110)))</f>
        <v>0</v>
      </c>
    </row>
    <row r="111" spans="1:280" ht="15.75" customHeight="1">
      <c r="A111" s="129"/>
      <c r="B111" s="129"/>
      <c r="C111" s="138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607">
        <f t="shared" si="544"/>
        <v>0</v>
      </c>
      <c r="AI111" s="608">
        <f t="shared" si="545"/>
        <v>0</v>
      </c>
      <c r="AJ111" s="609">
        <f t="shared" si="546"/>
        <v>0</v>
      </c>
      <c r="AK111" s="610" t="str">
        <f t="shared" si="547"/>
        <v/>
      </c>
      <c r="AL111" s="609">
        <f t="shared" si="548"/>
        <v>0</v>
      </c>
      <c r="AM111" s="611" t="str">
        <f t="shared" si="549"/>
        <v/>
      </c>
      <c r="AN111" s="611" t="str">
        <f t="shared" si="550"/>
        <v/>
      </c>
      <c r="AO111" s="140">
        <f t="array" ref="AO111">IF(ISBLANK($A111),0,IF(OR(AO$5-$AI111&lt;=0,$AM111="Não"),D111,D111+INDEX($AO$6:$BR$176,ROW()-5,COLUMN()-40-$AI111)))*IF($B111="Operacional",IFERROR(VLOOKUP($C111,SN_UGC,28,0),0),1)</f>
        <v>0</v>
      </c>
      <c r="AP111" s="140">
        <f t="array" ref="AP111">IF(ISBLANK($A111),0,IF(OR(AP$5-$AI111&lt;=0,$AM111="Não"),E111,E111+INDEX($AO$6:$BR$176,ROW()-5,COLUMN()-40-$AI111)))*IF($B111="Operacional",IFERROR(VLOOKUP($C111,SN_UGC,28,0),0),1)</f>
        <v>0</v>
      </c>
      <c r="AQ111" s="140">
        <f t="array" ref="AQ111">IF(ISBLANK($A111),0,IF(OR(AQ$5-$AI111&lt;=0,$AM111="Não"),F111,F111+INDEX($AO$6:$BR$176,ROW()-5,COLUMN()-40-$AI111)))*IF($B111="Operacional",IFERROR(VLOOKUP($C111,SN_UGC,28,0),0),1)</f>
        <v>0</v>
      </c>
      <c r="AR111" s="140">
        <f t="array" ref="AR111">IF(ISBLANK($A111),0,IF(OR(AR$5-$AI111&lt;=0,$AM111="Não"),G111,G111+INDEX($AO$6:$BR$176,ROW()-5,COLUMN()-40-$AI111)))*IF($B111="Operacional",IFERROR(VLOOKUP($C111,SN_UGC,28,0),0),1)</f>
        <v>0</v>
      </c>
      <c r="AS111" s="140">
        <f t="array" ref="AS111">IF(ISBLANK($A111),0,IF(OR(AS$5-$AI111&lt;=0,$AM111="Não"),H111,H111+INDEX($AO$6:$BR$176,ROW()-5,COLUMN()-40-$AI111)))*IF($B111="Operacional",IFERROR(VLOOKUP($C111,SN_UGC,28,0),0),1)</f>
        <v>0</v>
      </c>
      <c r="AT111" s="140">
        <f t="array" ref="AT111">IF(ISBLANK($A111),0,IF(OR(AT$5-$AI111&lt;=0,$AM111="Não"),I111,I111+INDEX($AO$6:$BR$176,ROW()-5,COLUMN()-40-$AI111)))*IF($B111="Operacional",IFERROR(VLOOKUP($C111,SN_UGC,28,0),0),1)</f>
        <v>0</v>
      </c>
      <c r="AU111" s="140">
        <f t="array" ref="AU111">IF(ISBLANK($A111),0,IF(OR(AU$5-$AI111&lt;=0,$AM111="Não"),J111,J111+INDEX($AO$6:$BR$176,ROW()-5,COLUMN()-40-$AI111)))*IF($B111="Operacional",IFERROR(VLOOKUP($C111,SN_UGC,28,0),0),1)</f>
        <v>0</v>
      </c>
      <c r="AV111" s="140">
        <f t="array" ref="AV111">IF(ISBLANK($A111),0,IF(OR(AV$5-$AI111&lt;=0,$AM111="Não"),K111,K111+INDEX($AO$6:$BR$176,ROW()-5,COLUMN()-40-$AI111)))*IF($B111="Operacional",IFERROR(VLOOKUP($C111,SN_UGC,28,0),0),1)</f>
        <v>0</v>
      </c>
      <c r="AW111" s="140">
        <f t="array" ref="AW111">IF(ISBLANK($A111),0,IF(OR(AW$5-$AI111&lt;=0,$AM111="Não"),L111,L111+INDEX($AO$6:$BR$176,ROW()-5,COLUMN()-40-$AI111)))*IF($B111="Operacional",IFERROR(VLOOKUP($C111,SN_UGC,28,0),0),1)</f>
        <v>0</v>
      </c>
      <c r="AX111" s="140">
        <f t="array" ref="AX111">IF(ISBLANK($A111),0,IF(OR(AX$5-$AI111&lt;=0,$AM111="Não"),M111,M111+INDEX($AO$6:$BR$176,ROW()-5,COLUMN()-40-$AI111)))*IF($B111="Operacional",IFERROR(VLOOKUP($C111,SN_UGC,28,0),0),1)</f>
        <v>0</v>
      </c>
      <c r="AY111" s="140">
        <f t="array" ref="AY111">IF(ISBLANK($A111),0,IF(OR(AY$5-$AI111&lt;=0,$AM111="Não"),N111,N111+INDEX($AO$6:$BR$176,ROW()-5,COLUMN()-40-$AI111)))*IF($B111="Operacional",IFERROR(VLOOKUP($C111,SN_UGC,28,0),0),1)</f>
        <v>0</v>
      </c>
      <c r="AZ111" s="140">
        <f t="array" ref="AZ111">IF(ISBLANK($A111),0,IF(OR(AZ$5-$AI111&lt;=0,$AM111="Não"),O111,O111+INDEX($AO$6:$BR$176,ROW()-5,COLUMN()-40-$AI111)))*IF($B111="Operacional",IFERROR(VLOOKUP($C111,SN_UGC,28,0),0),1)</f>
        <v>0</v>
      </c>
      <c r="BA111" s="140">
        <f t="array" ref="BA111">IF(ISBLANK($A111),0,IF(OR(BA$5-$AI111&lt;=0,$AM111="Não"),P111,P111+INDEX($AO$6:$BR$176,ROW()-5,COLUMN()-40-$AI111)))*IF($B111="Operacional",IFERROR(VLOOKUP($C111,SN_UGC,28,0),0),1)</f>
        <v>0</v>
      </c>
      <c r="BB111" s="140">
        <f t="array" ref="BB111">IF(ISBLANK($A111),0,IF(OR(BB$5-$AI111&lt;=0,$AM111="Não"),Q111,Q111+INDEX($AO$6:$BR$176,ROW()-5,COLUMN()-40-$AI111)))*IF($B111="Operacional",IFERROR(VLOOKUP($C111,SN_UGC,28,0),0),1)</f>
        <v>0</v>
      </c>
      <c r="BC111" s="140">
        <f t="array" ref="BC111">IF(ISBLANK($A111),0,IF(OR(BC$5-$AI111&lt;=0,$AM111="Não"),R111,R111+INDEX($AO$6:$BR$176,ROW()-5,COLUMN()-40-$AI111)))*IF($B111="Operacional",IFERROR(VLOOKUP($C111,SN_UGC,28,0),0),1)</f>
        <v>0</v>
      </c>
      <c r="BD111" s="140">
        <f t="array" ref="BD111">IF(ISBLANK($A111),0,IF(OR(BD$5-$AI111&lt;=0,$AM111="Não"),S111,S111+INDEX($AO$6:$BR$176,ROW()-5,COLUMN()-40-$AI111)))*IF($B111="Operacional",IFERROR(VLOOKUP($C111,SN_UGC,28,0),0),1)</f>
        <v>0</v>
      </c>
      <c r="BE111" s="140">
        <f t="array" ref="BE111">IF(ISBLANK($A111),0,IF(OR(BE$5-$AI111&lt;=0,$AM111="Não"),T111,T111+INDEX($AO$6:$BR$176,ROW()-5,COLUMN()-40-$AI111)))*IF($B111="Operacional",IFERROR(VLOOKUP($C111,SN_UGC,28,0),0),1)</f>
        <v>0</v>
      </c>
      <c r="BF111" s="140">
        <f t="array" ref="BF111">IF(ISBLANK($A111),0,IF(OR(BF$5-$AI111&lt;=0,$AM111="Não"),U111,U111+INDEX($AO$6:$BR$176,ROW()-5,COLUMN()-40-$AI111)))*IF($B111="Operacional",IFERROR(VLOOKUP($C111,SN_UGC,28,0),0),1)</f>
        <v>0</v>
      </c>
      <c r="BG111" s="140">
        <f t="array" ref="BG111">IF(ISBLANK($A111),0,IF(OR(BG$5-$AI111&lt;=0,$AM111="Não"),V111,V111+INDEX($AO$6:$BR$176,ROW()-5,COLUMN()-40-$AI111)))*IF($B111="Operacional",IFERROR(VLOOKUP($C111,SN_UGC,28,0),0),1)</f>
        <v>0</v>
      </c>
      <c r="BH111" s="140">
        <f t="array" ref="BH111">IF(ISBLANK($A111),0,IF(OR(BH$5-$AI111&lt;=0,$AM111="Não"),W111,W111+INDEX($AO$6:$BR$176,ROW()-5,COLUMN()-40-$AI111)))*IF($B111="Operacional",IFERROR(VLOOKUP($C111,SN_UGC,28,0),0),1)</f>
        <v>0</v>
      </c>
      <c r="BI111" s="140">
        <f t="array" ref="BI111">IF(ISBLANK($A111),0,IF(OR(BI$5-$AI111&lt;=0,$AM111="Não"),X111,X111+INDEX($AO$6:$BR$176,ROW()-5,COLUMN()-40-$AI111)))*IF($B111="Operacional",IFERROR(VLOOKUP($C111,SN_UGC,28,0),0),1)</f>
        <v>0</v>
      </c>
      <c r="BJ111" s="140">
        <f t="array" ref="BJ111">IF(ISBLANK($A111),0,IF(OR(BJ$5-$AI111&lt;=0,$AM111="Não"),Y111,Y111+INDEX($AO$6:$BR$176,ROW()-5,COLUMN()-40-$AI111)))*IF($B111="Operacional",IFERROR(VLOOKUP($C111,SN_UGC,28,0),0),1)</f>
        <v>0</v>
      </c>
      <c r="BK111" s="140">
        <f t="array" ref="BK111">IF(ISBLANK($A111),0,IF(OR(BK$5-$AI111&lt;=0,$AM111="Não"),Z111,Z111+INDEX($AO$6:$BR$176,ROW()-5,COLUMN()-40-$AI111)))*IF($B111="Operacional",IFERROR(VLOOKUP($C111,SN_UGC,28,0),0),1)</f>
        <v>0</v>
      </c>
      <c r="BL111" s="140">
        <f t="array" ref="BL111">IF(ISBLANK($A111),0,IF(OR(BL$5-$AI111&lt;=0,$AM111="Não"),AA111,AA111+INDEX($AO$6:$BR$176,ROW()-5,COLUMN()-40-$AI111)))*IF($B111="Operacional",IFERROR(VLOOKUP($C111,SN_UGC,28,0),0),1)</f>
        <v>0</v>
      </c>
      <c r="BM111" s="140">
        <f t="array" ref="BM111">IF(ISBLANK($A111),0,IF(OR(BM$5-$AI111&lt;=0,$AM111="Não"),AB111,AB111+INDEX($AO$6:$BR$176,ROW()-5,COLUMN()-40-$AI111)))*IF($B111="Operacional",IFERROR(VLOOKUP($C111,SN_UGC,28,0),0),1)</f>
        <v>0</v>
      </c>
      <c r="BN111" s="140">
        <f t="array" ref="BN111">IF(ISBLANK($A111),0,IF(OR(BN$5-$AI111&lt;=0,$AM111="Não"),AC111,AC111+INDEX($AO$6:$BR$176,ROW()-5,COLUMN()-40-$AI111)))*IF($B111="Operacional",IFERROR(VLOOKUP($C111,SN_UGC,28,0),0),1)</f>
        <v>0</v>
      </c>
      <c r="BO111" s="140">
        <f t="array" ref="BO111">IF(ISBLANK($A111),0,IF(OR(BO$5-$AI111&lt;=0,$AM111="Não"),AD111,AD111+INDEX($AO$6:$BR$176,ROW()-5,COLUMN()-40-$AI111)))*IF($B111="Operacional",IFERROR(VLOOKUP($C111,SN_UGC,28,0),0),1)</f>
        <v>0</v>
      </c>
      <c r="BP111" s="140">
        <f t="array" ref="BP111">IF(ISBLANK($A111),0,IF(OR(BP$5-$AI111&lt;=0,$AM111="Não"),AE111,AE111+INDEX($AO$6:$BR$176,ROW()-5,COLUMN()-40-$AI111)))*IF($B111="Operacional",IFERROR(VLOOKUP($C111,SN_UGC,28,0),0),1)</f>
        <v>0</v>
      </c>
      <c r="BQ111" s="140">
        <f t="array" ref="BQ111">IF(ISBLANK($A111),0,IF(OR(BQ$5-$AI111&lt;=0,$AM111="Não"),AF111,AF111+INDEX($AO$6:$BR$176,ROW()-5,COLUMN()-40-$AI111)))*IF($B111="Operacional",IFERROR(VLOOKUP($C111,SN_UGC,28,0),0),1)</f>
        <v>0</v>
      </c>
      <c r="BR111" s="140">
        <f t="array" ref="BR111">IF(ISBLANK($A111),0,IF(OR(BR$5-$AI111&lt;=0,$AM111="Não"),AG111,AG111+INDEX($AO$6:$BR$176,ROW()-5,COLUMN()-40-$AI111)))*IF($B111="Operacional",IFERROR(VLOOKUP($C111,SN_UGC,28,0),0),1)</f>
        <v>0</v>
      </c>
      <c r="BS111" s="141">
        <f t="shared" ref="BS111:CV111" si="576">IF(ISBLANK($A111),0,$AH111*AO111)</f>
        <v>0</v>
      </c>
      <c r="BT111" s="141">
        <f t="shared" si="576"/>
        <v>0</v>
      </c>
      <c r="BU111" s="141">
        <f t="shared" si="576"/>
        <v>0</v>
      </c>
      <c r="BV111" s="141">
        <f t="shared" si="576"/>
        <v>0</v>
      </c>
      <c r="BW111" s="141">
        <f t="shared" si="576"/>
        <v>0</v>
      </c>
      <c r="BX111" s="141">
        <f t="shared" si="576"/>
        <v>0</v>
      </c>
      <c r="BY111" s="141">
        <f t="shared" si="576"/>
        <v>0</v>
      </c>
      <c r="BZ111" s="141">
        <f t="shared" si="576"/>
        <v>0</v>
      </c>
      <c r="CA111" s="141">
        <f t="shared" si="576"/>
        <v>0</v>
      </c>
      <c r="CB111" s="141">
        <f t="shared" si="576"/>
        <v>0</v>
      </c>
      <c r="CC111" s="141">
        <f t="shared" si="576"/>
        <v>0</v>
      </c>
      <c r="CD111" s="141">
        <f t="shared" si="576"/>
        <v>0</v>
      </c>
      <c r="CE111" s="141">
        <f t="shared" si="576"/>
        <v>0</v>
      </c>
      <c r="CF111" s="141">
        <f t="shared" si="576"/>
        <v>0</v>
      </c>
      <c r="CG111" s="141">
        <f t="shared" si="576"/>
        <v>0</v>
      </c>
      <c r="CH111" s="141">
        <f t="shared" si="576"/>
        <v>0</v>
      </c>
      <c r="CI111" s="141">
        <f t="shared" si="576"/>
        <v>0</v>
      </c>
      <c r="CJ111" s="141">
        <f t="shared" si="576"/>
        <v>0</v>
      </c>
      <c r="CK111" s="141">
        <f t="shared" si="576"/>
        <v>0</v>
      </c>
      <c r="CL111" s="141">
        <f t="shared" si="576"/>
        <v>0</v>
      </c>
      <c r="CM111" s="141">
        <f t="shared" si="576"/>
        <v>0</v>
      </c>
      <c r="CN111" s="141">
        <f t="shared" si="576"/>
        <v>0</v>
      </c>
      <c r="CO111" s="141">
        <f t="shared" si="576"/>
        <v>0</v>
      </c>
      <c r="CP111" s="141">
        <f t="shared" si="576"/>
        <v>0</v>
      </c>
      <c r="CQ111" s="141">
        <f t="shared" si="576"/>
        <v>0</v>
      </c>
      <c r="CR111" s="141">
        <f t="shared" si="576"/>
        <v>0</v>
      </c>
      <c r="CS111" s="141">
        <f t="shared" si="576"/>
        <v>0</v>
      </c>
      <c r="CT111" s="141">
        <f t="shared" si="576"/>
        <v>0</v>
      </c>
      <c r="CU111" s="141">
        <f t="shared" si="576"/>
        <v>0</v>
      </c>
      <c r="CV111" s="141">
        <f t="shared" si="576"/>
        <v>0</v>
      </c>
      <c r="CW111" s="142">
        <f t="shared" ref="CW111:DZ111" si="577">EA111*$AH111*$AJ111</f>
        <v>0</v>
      </c>
      <c r="CX111" s="142">
        <f t="shared" si="577"/>
        <v>0</v>
      </c>
      <c r="CY111" s="142">
        <f t="shared" si="577"/>
        <v>0</v>
      </c>
      <c r="CZ111" s="142">
        <f t="shared" si="577"/>
        <v>0</v>
      </c>
      <c r="DA111" s="142">
        <f t="shared" si="577"/>
        <v>0</v>
      </c>
      <c r="DB111" s="142">
        <f t="shared" si="577"/>
        <v>0</v>
      </c>
      <c r="DC111" s="142">
        <f t="shared" si="577"/>
        <v>0</v>
      </c>
      <c r="DD111" s="142">
        <f t="shared" si="577"/>
        <v>0</v>
      </c>
      <c r="DE111" s="142">
        <f t="shared" si="577"/>
        <v>0</v>
      </c>
      <c r="DF111" s="142">
        <f t="shared" si="577"/>
        <v>0</v>
      </c>
      <c r="DG111" s="142">
        <f t="shared" si="577"/>
        <v>0</v>
      </c>
      <c r="DH111" s="142">
        <f t="shared" si="577"/>
        <v>0</v>
      </c>
      <c r="DI111" s="142">
        <f t="shared" si="577"/>
        <v>0</v>
      </c>
      <c r="DJ111" s="142">
        <f t="shared" si="577"/>
        <v>0</v>
      </c>
      <c r="DK111" s="142">
        <f t="shared" si="577"/>
        <v>0</v>
      </c>
      <c r="DL111" s="142">
        <f t="shared" si="577"/>
        <v>0</v>
      </c>
      <c r="DM111" s="142">
        <f t="shared" si="577"/>
        <v>0</v>
      </c>
      <c r="DN111" s="142">
        <f t="shared" si="577"/>
        <v>0</v>
      </c>
      <c r="DO111" s="142">
        <f t="shared" si="577"/>
        <v>0</v>
      </c>
      <c r="DP111" s="142">
        <f t="shared" si="577"/>
        <v>0</v>
      </c>
      <c r="DQ111" s="142">
        <f t="shared" si="577"/>
        <v>0</v>
      </c>
      <c r="DR111" s="142">
        <f t="shared" si="577"/>
        <v>0</v>
      </c>
      <c r="DS111" s="142">
        <f t="shared" si="577"/>
        <v>0</v>
      </c>
      <c r="DT111" s="142">
        <f t="shared" si="577"/>
        <v>0</v>
      </c>
      <c r="DU111" s="142">
        <f t="shared" si="577"/>
        <v>0</v>
      </c>
      <c r="DV111" s="142">
        <f t="shared" si="577"/>
        <v>0</v>
      </c>
      <c r="DW111" s="142">
        <f t="shared" si="577"/>
        <v>0</v>
      </c>
      <c r="DX111" s="142">
        <f t="shared" si="577"/>
        <v>0</v>
      </c>
      <c r="DY111" s="142">
        <f t="shared" si="577"/>
        <v>0</v>
      </c>
      <c r="DZ111" s="142">
        <f t="shared" si="577"/>
        <v>0</v>
      </c>
      <c r="EA111" s="143">
        <f t="shared" si="504"/>
        <v>0</v>
      </c>
      <c r="EB111" s="143">
        <f t="shared" si="505"/>
        <v>0</v>
      </c>
      <c r="EC111" s="143">
        <f t="shared" si="506"/>
        <v>0</v>
      </c>
      <c r="ED111" s="143">
        <f t="shared" si="507"/>
        <v>0</v>
      </c>
      <c r="EE111" s="143">
        <f t="shared" si="508"/>
        <v>0</v>
      </c>
      <c r="EF111" s="143">
        <f t="shared" si="509"/>
        <v>0</v>
      </c>
      <c r="EG111" s="143">
        <f t="shared" si="510"/>
        <v>0</v>
      </c>
      <c r="EH111" s="143">
        <f t="shared" si="511"/>
        <v>0</v>
      </c>
      <c r="EI111" s="143">
        <f t="shared" si="512"/>
        <v>0</v>
      </c>
      <c r="EJ111" s="143">
        <f t="shared" si="513"/>
        <v>0</v>
      </c>
      <c r="EK111" s="143">
        <f t="shared" si="514"/>
        <v>0</v>
      </c>
      <c r="EL111" s="143">
        <f t="shared" si="515"/>
        <v>0</v>
      </c>
      <c r="EM111" s="143">
        <f t="shared" si="516"/>
        <v>0</v>
      </c>
      <c r="EN111" s="143">
        <f t="shared" si="517"/>
        <v>0</v>
      </c>
      <c r="EO111" s="143">
        <f t="shared" si="518"/>
        <v>0</v>
      </c>
      <c r="EP111" s="143">
        <f t="shared" si="519"/>
        <v>0</v>
      </c>
      <c r="EQ111" s="143">
        <f t="shared" si="520"/>
        <v>0</v>
      </c>
      <c r="ER111" s="143">
        <f t="shared" si="521"/>
        <v>0</v>
      </c>
      <c r="ES111" s="143">
        <f t="shared" si="522"/>
        <v>0</v>
      </c>
      <c r="ET111" s="143">
        <f t="shared" si="523"/>
        <v>0</v>
      </c>
      <c r="EU111" s="143">
        <f t="shared" si="524"/>
        <v>0</v>
      </c>
      <c r="EV111" s="143">
        <f t="shared" si="525"/>
        <v>0</v>
      </c>
      <c r="EW111" s="143">
        <f t="shared" si="526"/>
        <v>0</v>
      </c>
      <c r="EX111" s="143">
        <f t="shared" si="527"/>
        <v>0</v>
      </c>
      <c r="EY111" s="143">
        <f t="shared" si="528"/>
        <v>0</v>
      </c>
      <c r="EZ111" s="143">
        <f t="shared" si="529"/>
        <v>0</v>
      </c>
      <c r="FA111" s="143">
        <f t="shared" si="530"/>
        <v>0</v>
      </c>
      <c r="FB111" s="143">
        <f t="shared" si="531"/>
        <v>0</v>
      </c>
      <c r="FC111" s="143">
        <f t="shared" si="532"/>
        <v>0</v>
      </c>
      <c r="FD111" s="143">
        <f t="shared" si="533"/>
        <v>0</v>
      </c>
      <c r="FE111" s="140">
        <f>SUM($D111:D111)*IF($B111="Operacional",IFERROR(VLOOKUP($C111,SN_UGC,28,0),0),1)</f>
        <v>0</v>
      </c>
      <c r="FF111" s="140">
        <f>SUM($D111:E111)*IF($B111="Operacional",IFERROR(VLOOKUP($C111,SN_UGC,28,0),0),1)</f>
        <v>0</v>
      </c>
      <c r="FG111" s="140">
        <f>SUM($D111:F111)*IF($B111="Operacional",IFERROR(VLOOKUP($C111,SN_UGC,28,0),0),1)</f>
        <v>0</v>
      </c>
      <c r="FH111" s="140">
        <f>SUM($D111:G111)*IF($B111="Operacional",IFERROR(VLOOKUP($C111,SN_UGC,28,0),0),1)</f>
        <v>0</v>
      </c>
      <c r="FI111" s="140">
        <f>SUM($D111:H111)*IF($B111="Operacional",IFERROR(VLOOKUP($C111,SN_UGC,28,0),0),1)</f>
        <v>0</v>
      </c>
      <c r="FJ111" s="140">
        <f>SUM($D111:I111)*IF($B111="Operacional",IFERROR(VLOOKUP($C111,SN_UGC,28,0),0),1)</f>
        <v>0</v>
      </c>
      <c r="FK111" s="140">
        <f>SUM($D111:J111)*IF($B111="Operacional",IFERROR(VLOOKUP($C111,SN_UGC,28,0),0),1)</f>
        <v>0</v>
      </c>
      <c r="FL111" s="140">
        <f>SUM($D111:K111)*IF($B111="Operacional",IFERROR(VLOOKUP($C111,SN_UGC,28,0),0),1)</f>
        <v>0</v>
      </c>
      <c r="FM111" s="140">
        <f>SUM($D111:L111)*IF($B111="Operacional",IFERROR(VLOOKUP($C111,SN_UGC,28,0),0),1)</f>
        <v>0</v>
      </c>
      <c r="FN111" s="140">
        <f>SUM($D111:M111)*IF($B111="Operacional",IFERROR(VLOOKUP($C111,SN_UGC,28,0),0),1)</f>
        <v>0</v>
      </c>
      <c r="FO111" s="140">
        <f>SUM($D111:N111)*IF($B111="Operacional",IFERROR(VLOOKUP($C111,SN_UGC,28,0),0),1)</f>
        <v>0</v>
      </c>
      <c r="FP111" s="140">
        <f>SUM($D111:O111)*IF($B111="Operacional",IFERROR(VLOOKUP($C111,SN_UGC,28,0),0),1)</f>
        <v>0</v>
      </c>
      <c r="FQ111" s="140">
        <f>SUM($D111:P111)*IF($B111="Operacional",IFERROR(VLOOKUP($C111,SN_UGC,28,0),0),1)</f>
        <v>0</v>
      </c>
      <c r="FR111" s="140">
        <f>SUM($D111:Q111)*IF($B111="Operacional",IFERROR(VLOOKUP($C111,SN_UGC,28,0),0),1)</f>
        <v>0</v>
      </c>
      <c r="FS111" s="140">
        <f>SUM($D111:R111)*IF($B111="Operacional",IFERROR(VLOOKUP($C111,SN_UGC,28,0),0),1)</f>
        <v>0</v>
      </c>
      <c r="FT111" s="140">
        <f>SUM($D111:S111)*IF($B111="Operacional",IFERROR(VLOOKUP($C111,SN_UGC,28,0),0),1)</f>
        <v>0</v>
      </c>
      <c r="FU111" s="140">
        <f>SUM($D111:T111)*IF($B111="Operacional",IFERROR(VLOOKUP($C111,SN_UGC,28,0),0),1)</f>
        <v>0</v>
      </c>
      <c r="FV111" s="140">
        <f>SUM($D111:U111)*IF($B111="Operacional",IFERROR(VLOOKUP($C111,SN_UGC,28,0),0),1)</f>
        <v>0</v>
      </c>
      <c r="FW111" s="140">
        <f>SUM($D111:V111)*IF($B111="Operacional",IFERROR(VLOOKUP($C111,SN_UGC,28,0),0),1)</f>
        <v>0</v>
      </c>
      <c r="FX111" s="140">
        <f>SUM($D111:W111)*IF($B111="Operacional",IFERROR(VLOOKUP($C111,SN_UGC,28,0),0),1)</f>
        <v>0</v>
      </c>
      <c r="FY111" s="140">
        <f>SUM($D111:X111)*IF($B111="Operacional",IFERROR(VLOOKUP($C111,SN_UGC,28,0),0),1)</f>
        <v>0</v>
      </c>
      <c r="FZ111" s="140">
        <f>SUM($D111:Y111)*IF($B111="Operacional",IFERROR(VLOOKUP($C111,SN_UGC,28,0),0),1)</f>
        <v>0</v>
      </c>
      <c r="GA111" s="140">
        <f>SUM($D111:Z111)*IF($B111="Operacional",IFERROR(VLOOKUP($C111,SN_UGC,28,0),0),1)</f>
        <v>0</v>
      </c>
      <c r="GB111" s="140">
        <f>SUM($D111:AA111)*IF($B111="Operacional",IFERROR(VLOOKUP($C111,SN_UGC,28,0),0),1)</f>
        <v>0</v>
      </c>
      <c r="GC111" s="140">
        <f>SUM($D111:AB111)*IF($B111="Operacional",IFERROR(VLOOKUP($C111,SN_UGC,28,0),0),1)</f>
        <v>0</v>
      </c>
      <c r="GD111" s="140">
        <f>SUM($D111:AC111)*IF($B111="Operacional",IFERROR(VLOOKUP($C111,SN_UGC,28,0),0),1)</f>
        <v>0</v>
      </c>
      <c r="GE111" s="140">
        <f>SUM($D111:AD111)*IF($B111="Operacional",IFERROR(VLOOKUP($C111,SN_UGC,28,0),0),1)</f>
        <v>0</v>
      </c>
      <c r="GF111" s="140">
        <f>SUM($D111:AE111)*IF($B111="Operacional",IFERROR(VLOOKUP($C111,SN_UGC,28,0),0),1)</f>
        <v>0</v>
      </c>
      <c r="GG111" s="140">
        <f>SUM($D111:AF111)*IF($B111="Operacional",IFERROR(VLOOKUP($C111,SN_UGC,28,0),0),1)</f>
        <v>0</v>
      </c>
      <c r="GH111" s="140">
        <f>SUM($D111:AG111)*IF($B111="Operacional",IFERROR(VLOOKUP($C111,SN_UGC,28,0),0),1)</f>
        <v>0</v>
      </c>
      <c r="GI111" s="141">
        <f t="shared" ref="GI111:HL111" si="578">FE111*$AH111*$AL111</f>
        <v>0</v>
      </c>
      <c r="GJ111" s="141">
        <f t="shared" si="578"/>
        <v>0</v>
      </c>
      <c r="GK111" s="141">
        <f t="shared" si="578"/>
        <v>0</v>
      </c>
      <c r="GL111" s="141">
        <f t="shared" si="578"/>
        <v>0</v>
      </c>
      <c r="GM111" s="141">
        <f t="shared" si="578"/>
        <v>0</v>
      </c>
      <c r="GN111" s="141">
        <f t="shared" si="578"/>
        <v>0</v>
      </c>
      <c r="GO111" s="141">
        <f t="shared" si="578"/>
        <v>0</v>
      </c>
      <c r="GP111" s="141">
        <f t="shared" si="578"/>
        <v>0</v>
      </c>
      <c r="GQ111" s="141">
        <f t="shared" si="578"/>
        <v>0</v>
      </c>
      <c r="GR111" s="141">
        <f t="shared" si="578"/>
        <v>0</v>
      </c>
      <c r="GS111" s="141">
        <f t="shared" si="578"/>
        <v>0</v>
      </c>
      <c r="GT111" s="141">
        <f t="shared" si="578"/>
        <v>0</v>
      </c>
      <c r="GU111" s="141">
        <f t="shared" si="578"/>
        <v>0</v>
      </c>
      <c r="GV111" s="141">
        <f t="shared" si="578"/>
        <v>0</v>
      </c>
      <c r="GW111" s="141">
        <f t="shared" si="578"/>
        <v>0</v>
      </c>
      <c r="GX111" s="141">
        <f t="shared" si="578"/>
        <v>0</v>
      </c>
      <c r="GY111" s="141">
        <f t="shared" si="578"/>
        <v>0</v>
      </c>
      <c r="GZ111" s="141">
        <f t="shared" si="578"/>
        <v>0</v>
      </c>
      <c r="HA111" s="141">
        <f t="shared" si="578"/>
        <v>0</v>
      </c>
      <c r="HB111" s="141">
        <f t="shared" si="578"/>
        <v>0</v>
      </c>
      <c r="HC111" s="141">
        <f t="shared" si="578"/>
        <v>0</v>
      </c>
      <c r="HD111" s="141">
        <f t="shared" si="578"/>
        <v>0</v>
      </c>
      <c r="HE111" s="141">
        <f t="shared" si="578"/>
        <v>0</v>
      </c>
      <c r="HF111" s="141">
        <f t="shared" si="578"/>
        <v>0</v>
      </c>
      <c r="HG111" s="141">
        <f t="shared" si="578"/>
        <v>0</v>
      </c>
      <c r="HH111" s="141">
        <f t="shared" si="578"/>
        <v>0</v>
      </c>
      <c r="HI111" s="141">
        <f t="shared" si="578"/>
        <v>0</v>
      </c>
      <c r="HJ111" s="141">
        <f t="shared" si="578"/>
        <v>0</v>
      </c>
      <c r="HK111" s="141">
        <f t="shared" si="578"/>
        <v>0</v>
      </c>
      <c r="HL111" s="141">
        <f t="shared" si="578"/>
        <v>0</v>
      </c>
      <c r="HM111" s="142">
        <f t="shared" ref="HM111:IP111" si="579">IF(ISBLANK($A111),,FE111*($AH111-($AH111*$AJ111))/$AI111)</f>
        <v>0</v>
      </c>
      <c r="HN111" s="142">
        <f t="shared" si="579"/>
        <v>0</v>
      </c>
      <c r="HO111" s="142">
        <f t="shared" si="579"/>
        <v>0</v>
      </c>
      <c r="HP111" s="142">
        <f t="shared" si="579"/>
        <v>0</v>
      </c>
      <c r="HQ111" s="142">
        <f t="shared" si="579"/>
        <v>0</v>
      </c>
      <c r="HR111" s="142">
        <f t="shared" si="579"/>
        <v>0</v>
      </c>
      <c r="HS111" s="142">
        <f t="shared" si="579"/>
        <v>0</v>
      </c>
      <c r="HT111" s="142">
        <f t="shared" si="579"/>
        <v>0</v>
      </c>
      <c r="HU111" s="142">
        <f t="shared" si="579"/>
        <v>0</v>
      </c>
      <c r="HV111" s="142">
        <f t="shared" si="579"/>
        <v>0</v>
      </c>
      <c r="HW111" s="142">
        <f t="shared" si="579"/>
        <v>0</v>
      </c>
      <c r="HX111" s="142">
        <f t="shared" si="579"/>
        <v>0</v>
      </c>
      <c r="HY111" s="142">
        <f t="shared" si="579"/>
        <v>0</v>
      </c>
      <c r="HZ111" s="142">
        <f t="shared" si="579"/>
        <v>0</v>
      </c>
      <c r="IA111" s="142">
        <f t="shared" si="579"/>
        <v>0</v>
      </c>
      <c r="IB111" s="142">
        <f t="shared" si="579"/>
        <v>0</v>
      </c>
      <c r="IC111" s="142">
        <f t="shared" si="579"/>
        <v>0</v>
      </c>
      <c r="ID111" s="142">
        <f t="shared" si="579"/>
        <v>0</v>
      </c>
      <c r="IE111" s="142">
        <f t="shared" si="579"/>
        <v>0</v>
      </c>
      <c r="IF111" s="142">
        <f t="shared" si="579"/>
        <v>0</v>
      </c>
      <c r="IG111" s="142">
        <f t="shared" si="579"/>
        <v>0</v>
      </c>
      <c r="IH111" s="142">
        <f t="shared" si="579"/>
        <v>0</v>
      </c>
      <c r="II111" s="142">
        <f t="shared" si="579"/>
        <v>0</v>
      </c>
      <c r="IJ111" s="142">
        <f t="shared" si="579"/>
        <v>0</v>
      </c>
      <c r="IK111" s="142">
        <f t="shared" si="579"/>
        <v>0</v>
      </c>
      <c r="IL111" s="142">
        <f t="shared" si="579"/>
        <v>0</v>
      </c>
      <c r="IM111" s="142">
        <f t="shared" si="579"/>
        <v>0</v>
      </c>
      <c r="IN111" s="142">
        <f t="shared" si="579"/>
        <v>0</v>
      </c>
      <c r="IO111" s="142">
        <f t="shared" si="579"/>
        <v>0</v>
      </c>
      <c r="IP111" s="142">
        <f t="shared" si="579"/>
        <v>0</v>
      </c>
      <c r="IQ111" s="141">
        <f>IF(ISBLANK($A111),,IF($AN111="Não",0,(SUM($AO111:AO111)*$AH111)-SUM($HM111:HM111)-SUM($CW111:CW111)))</f>
        <v>0</v>
      </c>
      <c r="IR111" s="141">
        <f>IF(ISBLANK($A111),,IF($AN111="Não",0,(SUM($AO111:AP111)*$AH111)-SUM($HM111:HN111)-SUM($CW111:CX111)))</f>
        <v>0</v>
      </c>
      <c r="IS111" s="141">
        <f>IF(ISBLANK($A111),,IF($AN111="Não",0,(SUM($AO111:AQ111)*$AH111)-SUM($HM111:HO111)-SUM($CW111:CY111)))</f>
        <v>0</v>
      </c>
      <c r="IT111" s="141">
        <f>IF(ISBLANK($A111),,IF($AN111="Não",0,(SUM($AO111:AR111)*$AH111)-SUM($HM111:HP111)-SUM($CW111:CZ111)))</f>
        <v>0</v>
      </c>
      <c r="IU111" s="141">
        <f>IF(ISBLANK($A111),,IF($AN111="Não",0,(SUM($AO111:AS111)*$AH111)-SUM($HM111:HQ111)-SUM($CW111:DA111)))</f>
        <v>0</v>
      </c>
      <c r="IV111" s="141">
        <f>IF(ISBLANK($A111),,IF($AN111="Não",0,(SUM($AO111:AT111)*$AH111)-SUM($HM111:HR111)-SUM($CW111:DB111)))</f>
        <v>0</v>
      </c>
      <c r="IW111" s="141">
        <f>IF(ISBLANK($A111),,IF($AN111="Não",0,(SUM($AO111:AU111)*$AH111)-SUM($HM111:HS111)-SUM($CW111:DC111)))</f>
        <v>0</v>
      </c>
      <c r="IX111" s="141">
        <f>IF(ISBLANK($A111),,IF($AN111="Não",0,(SUM($AO111:AV111)*$AH111)-SUM($HM111:HT111)-SUM($CW111:DD111)))</f>
        <v>0</v>
      </c>
      <c r="IY111" s="141">
        <f>IF(ISBLANK($A111),,IF($AN111="Não",0,(SUM($AO111:AW111)*$AH111)-SUM($HM111:HU111)-SUM($CW111:DE111)))</f>
        <v>0</v>
      </c>
      <c r="IZ111" s="141">
        <f>IF(ISBLANK($A111),,IF($AN111="Não",0,(SUM($AO111:AX111)*$AH111)-SUM($HM111:HV111)-SUM($CW111:DF111)))</f>
        <v>0</v>
      </c>
      <c r="JA111" s="141">
        <f>IF(ISBLANK($A111),,IF($AN111="Não",0,(SUM($AO111:AY111)*$AH111)-SUM($HM111:HW111)-SUM($CW111:DG111)))</f>
        <v>0</v>
      </c>
      <c r="JB111" s="141">
        <f>IF(ISBLANK($A111),,IF($AN111="Não",0,(SUM($AO111:AZ111)*$AH111)-SUM($HM111:HX111)-SUM($CW111:DH111)))</f>
        <v>0</v>
      </c>
      <c r="JC111" s="141">
        <f>IF(ISBLANK($A111),,IF($AN111="Não",0,(SUM($AO111:BA111)*$AH111)-SUM($HM111:HY111)-SUM($CW111:DI111)))</f>
        <v>0</v>
      </c>
      <c r="JD111" s="141">
        <f>IF(ISBLANK($A111),,IF($AN111="Não",0,(SUM($AO111:BB111)*$AH111)-SUM($HM111:HZ111)-SUM($CW111:DJ111)))</f>
        <v>0</v>
      </c>
      <c r="JE111" s="141">
        <f>IF(ISBLANK($A111),,IF($AN111="Não",0,(SUM($AO111:BC111)*$AH111)-SUM($HM111:IA111)-SUM($CW111:DK111)))</f>
        <v>0</v>
      </c>
      <c r="JF111" s="141">
        <f>IF(ISBLANK($A111),,IF($AN111="Não",0,(SUM($AO111:BD111)*$AH111)-SUM($HM111:IB111)-SUM($CW111:DL111)))</f>
        <v>0</v>
      </c>
      <c r="JG111" s="141">
        <f>IF(ISBLANK($A111),,IF($AN111="Não",0,(SUM($AO111:BE111)*$AH111)-SUM($HM111:IC111)-SUM($CW111:DM111)))</f>
        <v>0</v>
      </c>
      <c r="JH111" s="141">
        <f>IF(ISBLANK($A111),,IF($AN111="Não",0,(SUM($AO111:BF111)*$AH111)-SUM($HM111:ID111)-SUM($CW111:DN111)))</f>
        <v>0</v>
      </c>
      <c r="JI111" s="141">
        <f>IF(ISBLANK($A111),,IF($AN111="Não",0,(SUM($AO111:BG111)*$AH111)-SUM($HM111:IE111)-SUM($CW111:DO111)))</f>
        <v>0</v>
      </c>
      <c r="JJ111" s="141">
        <f>IF(ISBLANK($A111),,IF($AN111="Não",0,(SUM($AO111:BH111)*$AH111)-SUM($HM111:IF111)-SUM($CW111:DP111)))</f>
        <v>0</v>
      </c>
      <c r="JK111" s="141">
        <f>IF(ISBLANK($A111),,IF($AN111="Não",0,(SUM($AO111:BI111)*$AH111)-SUM($HM111:IG111)-SUM($CW111:DQ111)))</f>
        <v>0</v>
      </c>
      <c r="JL111" s="141">
        <f>IF(ISBLANK($A111),,IF($AN111="Não",0,(SUM($AO111:BJ111)*$AH111)-SUM($HM111:IH111)-SUM($CW111:DR111)))</f>
        <v>0</v>
      </c>
      <c r="JM111" s="141">
        <f>IF(ISBLANK($A111),,IF($AN111="Não",0,(SUM($AO111:BK111)*$AH111)-SUM($HM111:II111)-SUM($CW111:DS111)))</f>
        <v>0</v>
      </c>
      <c r="JN111" s="141">
        <f>IF(ISBLANK($A111),,IF($AN111="Não",0,(SUM($AO111:BL111)*$AH111)-SUM($HM111:IJ111)-SUM($CW111:DT111)))</f>
        <v>0</v>
      </c>
      <c r="JO111" s="141">
        <f>IF(ISBLANK($A111),,IF($AN111="Não",0,(SUM($AO111:BM111)*$AH111)-SUM($HM111:IK111)-SUM($CW111:DU111)))</f>
        <v>0</v>
      </c>
      <c r="JP111" s="141">
        <f>IF(ISBLANK($A111),,IF($AN111="Não",0,(SUM($AO111:BN111)*$AH111)-SUM($HM111:IL111)-SUM($CW111:DV111)))</f>
        <v>0</v>
      </c>
      <c r="JQ111" s="141">
        <f>IF(ISBLANK($A111),,IF($AN111="Não",0,(SUM($AO111:BO111)*$AH111)-SUM($HM111:IM111)-SUM($CW111:DW111)))</f>
        <v>0</v>
      </c>
      <c r="JR111" s="141">
        <f>IF(ISBLANK($A111),,IF($AN111="Não",0,(SUM($AO111:BP111)*$AH111)-SUM($HM111:IN111)-SUM($CW111:DX111)))</f>
        <v>0</v>
      </c>
      <c r="JS111" s="141">
        <f>IF(ISBLANK($A111),,IF($AN111="Não",0,(SUM($AO111:BQ111)*$AH111)-SUM($HM111:IO111)-SUM($CW111:DY111)))</f>
        <v>0</v>
      </c>
      <c r="JT111" s="141">
        <f>IF(ISBLANK($A111),,IF($AN111="Não",0,(SUM($AO111:BR111)*$AH111)-SUM($HM111:IP111)-SUM($CW111:DZ111)))</f>
        <v>0</v>
      </c>
    </row>
    <row r="112" spans="1:280" ht="15.75" customHeight="1">
      <c r="A112" s="129"/>
      <c r="B112" s="129"/>
      <c r="C112" s="138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607">
        <f t="shared" si="544"/>
        <v>0</v>
      </c>
      <c r="AI112" s="608">
        <f t="shared" si="545"/>
        <v>0</v>
      </c>
      <c r="AJ112" s="609">
        <f t="shared" si="546"/>
        <v>0</v>
      </c>
      <c r="AK112" s="610" t="str">
        <f t="shared" si="547"/>
        <v/>
      </c>
      <c r="AL112" s="609">
        <f t="shared" si="548"/>
        <v>0</v>
      </c>
      <c r="AM112" s="611" t="str">
        <f t="shared" si="549"/>
        <v/>
      </c>
      <c r="AN112" s="611" t="str">
        <f t="shared" si="550"/>
        <v/>
      </c>
      <c r="AO112" s="140">
        <f t="array" ref="AO112">IF(ISBLANK($A112),0,IF(OR(AO$5-$AI112&lt;=0,$AM112="Não"),D112,D112+INDEX($AO$6:$BR$176,ROW()-5,COLUMN()-40-$AI112)))*IF($B112="Operacional",IFERROR(VLOOKUP($C112,SN_UGC,28,0),0),1)</f>
        <v>0</v>
      </c>
      <c r="AP112" s="140">
        <f t="array" ref="AP112">IF(ISBLANK($A112),0,IF(OR(AP$5-$AI112&lt;=0,$AM112="Não"),E112,E112+INDEX($AO$6:$BR$176,ROW()-5,COLUMN()-40-$AI112)))*IF($B112="Operacional",IFERROR(VLOOKUP($C112,SN_UGC,28,0),0),1)</f>
        <v>0</v>
      </c>
      <c r="AQ112" s="140">
        <f t="array" ref="AQ112">IF(ISBLANK($A112),0,IF(OR(AQ$5-$AI112&lt;=0,$AM112="Não"),F112,F112+INDEX($AO$6:$BR$176,ROW()-5,COLUMN()-40-$AI112)))*IF($B112="Operacional",IFERROR(VLOOKUP($C112,SN_UGC,28,0),0),1)</f>
        <v>0</v>
      </c>
      <c r="AR112" s="140">
        <f t="array" ref="AR112">IF(ISBLANK($A112),0,IF(OR(AR$5-$AI112&lt;=0,$AM112="Não"),G112,G112+INDEX($AO$6:$BR$176,ROW()-5,COLUMN()-40-$AI112)))*IF($B112="Operacional",IFERROR(VLOOKUP($C112,SN_UGC,28,0),0),1)</f>
        <v>0</v>
      </c>
      <c r="AS112" s="140">
        <f t="array" ref="AS112">IF(ISBLANK($A112),0,IF(OR(AS$5-$AI112&lt;=0,$AM112="Não"),H112,H112+INDEX($AO$6:$BR$176,ROW()-5,COLUMN()-40-$AI112)))*IF($B112="Operacional",IFERROR(VLOOKUP($C112,SN_UGC,28,0),0),1)</f>
        <v>0</v>
      </c>
      <c r="AT112" s="140">
        <f t="array" ref="AT112">IF(ISBLANK($A112),0,IF(OR(AT$5-$AI112&lt;=0,$AM112="Não"),I112,I112+INDEX($AO$6:$BR$176,ROW()-5,COLUMN()-40-$AI112)))*IF($B112="Operacional",IFERROR(VLOOKUP($C112,SN_UGC,28,0),0),1)</f>
        <v>0</v>
      </c>
      <c r="AU112" s="140">
        <f t="array" ref="AU112">IF(ISBLANK($A112),0,IF(OR(AU$5-$AI112&lt;=0,$AM112="Não"),J112,J112+INDEX($AO$6:$BR$176,ROW()-5,COLUMN()-40-$AI112)))*IF($B112="Operacional",IFERROR(VLOOKUP($C112,SN_UGC,28,0),0),1)</f>
        <v>0</v>
      </c>
      <c r="AV112" s="140">
        <f t="array" ref="AV112">IF(ISBLANK($A112),0,IF(OR(AV$5-$AI112&lt;=0,$AM112="Não"),K112,K112+INDEX($AO$6:$BR$176,ROW()-5,COLUMN()-40-$AI112)))*IF($B112="Operacional",IFERROR(VLOOKUP($C112,SN_UGC,28,0),0),1)</f>
        <v>0</v>
      </c>
      <c r="AW112" s="140">
        <f t="array" ref="AW112">IF(ISBLANK($A112),0,IF(OR(AW$5-$AI112&lt;=0,$AM112="Não"),L112,L112+INDEX($AO$6:$BR$176,ROW()-5,COLUMN()-40-$AI112)))*IF($B112="Operacional",IFERROR(VLOOKUP($C112,SN_UGC,28,0),0),1)</f>
        <v>0</v>
      </c>
      <c r="AX112" s="140">
        <f t="array" ref="AX112">IF(ISBLANK($A112),0,IF(OR(AX$5-$AI112&lt;=0,$AM112="Não"),M112,M112+INDEX($AO$6:$BR$176,ROW()-5,COLUMN()-40-$AI112)))*IF($B112="Operacional",IFERROR(VLOOKUP($C112,SN_UGC,28,0),0),1)</f>
        <v>0</v>
      </c>
      <c r="AY112" s="140">
        <f t="array" ref="AY112">IF(ISBLANK($A112),0,IF(OR(AY$5-$AI112&lt;=0,$AM112="Não"),N112,N112+INDEX($AO$6:$BR$176,ROW()-5,COLUMN()-40-$AI112)))*IF($B112="Operacional",IFERROR(VLOOKUP($C112,SN_UGC,28,0),0),1)</f>
        <v>0</v>
      </c>
      <c r="AZ112" s="140">
        <f t="array" ref="AZ112">IF(ISBLANK($A112),0,IF(OR(AZ$5-$AI112&lt;=0,$AM112="Não"),O112,O112+INDEX($AO$6:$BR$176,ROW()-5,COLUMN()-40-$AI112)))*IF($B112="Operacional",IFERROR(VLOOKUP($C112,SN_UGC,28,0),0),1)</f>
        <v>0</v>
      </c>
      <c r="BA112" s="140">
        <f t="array" ref="BA112">IF(ISBLANK($A112),0,IF(OR(BA$5-$AI112&lt;=0,$AM112="Não"),P112,P112+INDEX($AO$6:$BR$176,ROW()-5,COLUMN()-40-$AI112)))*IF($B112="Operacional",IFERROR(VLOOKUP($C112,SN_UGC,28,0),0),1)</f>
        <v>0</v>
      </c>
      <c r="BB112" s="140">
        <f t="array" ref="BB112">IF(ISBLANK($A112),0,IF(OR(BB$5-$AI112&lt;=0,$AM112="Não"),Q112,Q112+INDEX($AO$6:$BR$176,ROW()-5,COLUMN()-40-$AI112)))*IF($B112="Operacional",IFERROR(VLOOKUP($C112,SN_UGC,28,0),0),1)</f>
        <v>0</v>
      </c>
      <c r="BC112" s="140">
        <f t="array" ref="BC112">IF(ISBLANK($A112),0,IF(OR(BC$5-$AI112&lt;=0,$AM112="Não"),R112,R112+INDEX($AO$6:$BR$176,ROW()-5,COLUMN()-40-$AI112)))*IF($B112="Operacional",IFERROR(VLOOKUP($C112,SN_UGC,28,0),0),1)</f>
        <v>0</v>
      </c>
      <c r="BD112" s="140">
        <f t="array" ref="BD112">IF(ISBLANK($A112),0,IF(OR(BD$5-$AI112&lt;=0,$AM112="Não"),S112,S112+INDEX($AO$6:$BR$176,ROW()-5,COLUMN()-40-$AI112)))*IF($B112="Operacional",IFERROR(VLOOKUP($C112,SN_UGC,28,0),0),1)</f>
        <v>0</v>
      </c>
      <c r="BE112" s="140">
        <f t="array" ref="BE112">IF(ISBLANK($A112),0,IF(OR(BE$5-$AI112&lt;=0,$AM112="Não"),T112,T112+INDEX($AO$6:$BR$176,ROW()-5,COLUMN()-40-$AI112)))*IF($B112="Operacional",IFERROR(VLOOKUP($C112,SN_UGC,28,0),0),1)</f>
        <v>0</v>
      </c>
      <c r="BF112" s="140">
        <f t="array" ref="BF112">IF(ISBLANK($A112),0,IF(OR(BF$5-$AI112&lt;=0,$AM112="Não"),U112,U112+INDEX($AO$6:$BR$176,ROW()-5,COLUMN()-40-$AI112)))*IF($B112="Operacional",IFERROR(VLOOKUP($C112,SN_UGC,28,0),0),1)</f>
        <v>0</v>
      </c>
      <c r="BG112" s="140">
        <f t="array" ref="BG112">IF(ISBLANK($A112),0,IF(OR(BG$5-$AI112&lt;=0,$AM112="Não"),V112,V112+INDEX($AO$6:$BR$176,ROW()-5,COLUMN()-40-$AI112)))*IF($B112="Operacional",IFERROR(VLOOKUP($C112,SN_UGC,28,0),0),1)</f>
        <v>0</v>
      </c>
      <c r="BH112" s="140">
        <f t="array" ref="BH112">IF(ISBLANK($A112),0,IF(OR(BH$5-$AI112&lt;=0,$AM112="Não"),W112,W112+INDEX($AO$6:$BR$176,ROW()-5,COLUMN()-40-$AI112)))*IF($B112="Operacional",IFERROR(VLOOKUP($C112,SN_UGC,28,0),0),1)</f>
        <v>0</v>
      </c>
      <c r="BI112" s="140">
        <f t="array" ref="BI112">IF(ISBLANK($A112),0,IF(OR(BI$5-$AI112&lt;=0,$AM112="Não"),X112,X112+INDEX($AO$6:$BR$176,ROW()-5,COLUMN()-40-$AI112)))*IF($B112="Operacional",IFERROR(VLOOKUP($C112,SN_UGC,28,0),0),1)</f>
        <v>0</v>
      </c>
      <c r="BJ112" s="140">
        <f t="array" ref="BJ112">IF(ISBLANK($A112),0,IF(OR(BJ$5-$AI112&lt;=0,$AM112="Não"),Y112,Y112+INDEX($AO$6:$BR$176,ROW()-5,COLUMN()-40-$AI112)))*IF($B112="Operacional",IFERROR(VLOOKUP($C112,SN_UGC,28,0),0),1)</f>
        <v>0</v>
      </c>
      <c r="BK112" s="140">
        <f t="array" ref="BK112">IF(ISBLANK($A112),0,IF(OR(BK$5-$AI112&lt;=0,$AM112="Não"),Z112,Z112+INDEX($AO$6:$BR$176,ROW()-5,COLUMN()-40-$AI112)))*IF($B112="Operacional",IFERROR(VLOOKUP($C112,SN_UGC,28,0),0),1)</f>
        <v>0</v>
      </c>
      <c r="BL112" s="140">
        <f t="array" ref="BL112">IF(ISBLANK($A112),0,IF(OR(BL$5-$AI112&lt;=0,$AM112="Não"),AA112,AA112+INDEX($AO$6:$BR$176,ROW()-5,COLUMN()-40-$AI112)))*IF($B112="Operacional",IFERROR(VLOOKUP($C112,SN_UGC,28,0),0),1)</f>
        <v>0</v>
      </c>
      <c r="BM112" s="140">
        <f t="array" ref="BM112">IF(ISBLANK($A112),0,IF(OR(BM$5-$AI112&lt;=0,$AM112="Não"),AB112,AB112+INDEX($AO$6:$BR$176,ROW()-5,COLUMN()-40-$AI112)))*IF($B112="Operacional",IFERROR(VLOOKUP($C112,SN_UGC,28,0),0),1)</f>
        <v>0</v>
      </c>
      <c r="BN112" s="140">
        <f t="array" ref="BN112">IF(ISBLANK($A112),0,IF(OR(BN$5-$AI112&lt;=0,$AM112="Não"),AC112,AC112+INDEX($AO$6:$BR$176,ROW()-5,COLUMN()-40-$AI112)))*IF($B112="Operacional",IFERROR(VLOOKUP($C112,SN_UGC,28,0),0),1)</f>
        <v>0</v>
      </c>
      <c r="BO112" s="140">
        <f t="array" ref="BO112">IF(ISBLANK($A112),0,IF(OR(BO$5-$AI112&lt;=0,$AM112="Não"),AD112,AD112+INDEX($AO$6:$BR$176,ROW()-5,COLUMN()-40-$AI112)))*IF($B112="Operacional",IFERROR(VLOOKUP($C112,SN_UGC,28,0),0),1)</f>
        <v>0</v>
      </c>
      <c r="BP112" s="140">
        <f t="array" ref="BP112">IF(ISBLANK($A112),0,IF(OR(BP$5-$AI112&lt;=0,$AM112="Não"),AE112,AE112+INDEX($AO$6:$BR$176,ROW()-5,COLUMN()-40-$AI112)))*IF($B112="Operacional",IFERROR(VLOOKUP($C112,SN_UGC,28,0),0),1)</f>
        <v>0</v>
      </c>
      <c r="BQ112" s="140">
        <f t="array" ref="BQ112">IF(ISBLANK($A112),0,IF(OR(BQ$5-$AI112&lt;=0,$AM112="Não"),AF112,AF112+INDEX($AO$6:$BR$176,ROW()-5,COLUMN()-40-$AI112)))*IF($B112="Operacional",IFERROR(VLOOKUP($C112,SN_UGC,28,0),0),1)</f>
        <v>0</v>
      </c>
      <c r="BR112" s="140">
        <f t="array" ref="BR112">IF(ISBLANK($A112),0,IF(OR(BR$5-$AI112&lt;=0,$AM112="Não"),AG112,AG112+INDEX($AO$6:$BR$176,ROW()-5,COLUMN()-40-$AI112)))*IF($B112="Operacional",IFERROR(VLOOKUP($C112,SN_UGC,28,0),0),1)</f>
        <v>0</v>
      </c>
      <c r="BS112" s="141">
        <f t="shared" ref="BS112:CV112" si="580">IF(ISBLANK($A112),0,$AH112*AO112)</f>
        <v>0</v>
      </c>
      <c r="BT112" s="141">
        <f t="shared" si="580"/>
        <v>0</v>
      </c>
      <c r="BU112" s="141">
        <f t="shared" si="580"/>
        <v>0</v>
      </c>
      <c r="BV112" s="141">
        <f t="shared" si="580"/>
        <v>0</v>
      </c>
      <c r="BW112" s="141">
        <f t="shared" si="580"/>
        <v>0</v>
      </c>
      <c r="BX112" s="141">
        <f t="shared" si="580"/>
        <v>0</v>
      </c>
      <c r="BY112" s="141">
        <f t="shared" si="580"/>
        <v>0</v>
      </c>
      <c r="BZ112" s="141">
        <f t="shared" si="580"/>
        <v>0</v>
      </c>
      <c r="CA112" s="141">
        <f t="shared" si="580"/>
        <v>0</v>
      </c>
      <c r="CB112" s="141">
        <f t="shared" si="580"/>
        <v>0</v>
      </c>
      <c r="CC112" s="141">
        <f t="shared" si="580"/>
        <v>0</v>
      </c>
      <c r="CD112" s="141">
        <f t="shared" si="580"/>
        <v>0</v>
      </c>
      <c r="CE112" s="141">
        <f t="shared" si="580"/>
        <v>0</v>
      </c>
      <c r="CF112" s="141">
        <f t="shared" si="580"/>
        <v>0</v>
      </c>
      <c r="CG112" s="141">
        <f t="shared" si="580"/>
        <v>0</v>
      </c>
      <c r="CH112" s="141">
        <f t="shared" si="580"/>
        <v>0</v>
      </c>
      <c r="CI112" s="141">
        <f t="shared" si="580"/>
        <v>0</v>
      </c>
      <c r="CJ112" s="141">
        <f t="shared" si="580"/>
        <v>0</v>
      </c>
      <c r="CK112" s="141">
        <f t="shared" si="580"/>
        <v>0</v>
      </c>
      <c r="CL112" s="141">
        <f t="shared" si="580"/>
        <v>0</v>
      </c>
      <c r="CM112" s="141">
        <f t="shared" si="580"/>
        <v>0</v>
      </c>
      <c r="CN112" s="141">
        <f t="shared" si="580"/>
        <v>0</v>
      </c>
      <c r="CO112" s="141">
        <f t="shared" si="580"/>
        <v>0</v>
      </c>
      <c r="CP112" s="141">
        <f t="shared" si="580"/>
        <v>0</v>
      </c>
      <c r="CQ112" s="141">
        <f t="shared" si="580"/>
        <v>0</v>
      </c>
      <c r="CR112" s="141">
        <f t="shared" si="580"/>
        <v>0</v>
      </c>
      <c r="CS112" s="141">
        <f t="shared" si="580"/>
        <v>0</v>
      </c>
      <c r="CT112" s="141">
        <f t="shared" si="580"/>
        <v>0</v>
      </c>
      <c r="CU112" s="141">
        <f t="shared" si="580"/>
        <v>0</v>
      </c>
      <c r="CV112" s="141">
        <f t="shared" si="580"/>
        <v>0</v>
      </c>
      <c r="CW112" s="142">
        <f t="shared" ref="CW112:DZ112" si="581">EA112*$AH112*$AJ112</f>
        <v>0</v>
      </c>
      <c r="CX112" s="142">
        <f t="shared" si="581"/>
        <v>0</v>
      </c>
      <c r="CY112" s="142">
        <f t="shared" si="581"/>
        <v>0</v>
      </c>
      <c r="CZ112" s="142">
        <f t="shared" si="581"/>
        <v>0</v>
      </c>
      <c r="DA112" s="142">
        <f t="shared" si="581"/>
        <v>0</v>
      </c>
      <c r="DB112" s="142">
        <f t="shared" si="581"/>
        <v>0</v>
      </c>
      <c r="DC112" s="142">
        <f t="shared" si="581"/>
        <v>0</v>
      </c>
      <c r="DD112" s="142">
        <f t="shared" si="581"/>
        <v>0</v>
      </c>
      <c r="DE112" s="142">
        <f t="shared" si="581"/>
        <v>0</v>
      </c>
      <c r="DF112" s="142">
        <f t="shared" si="581"/>
        <v>0</v>
      </c>
      <c r="DG112" s="142">
        <f t="shared" si="581"/>
        <v>0</v>
      </c>
      <c r="DH112" s="142">
        <f t="shared" si="581"/>
        <v>0</v>
      </c>
      <c r="DI112" s="142">
        <f t="shared" si="581"/>
        <v>0</v>
      </c>
      <c r="DJ112" s="142">
        <f t="shared" si="581"/>
        <v>0</v>
      </c>
      <c r="DK112" s="142">
        <f t="shared" si="581"/>
        <v>0</v>
      </c>
      <c r="DL112" s="142">
        <f t="shared" si="581"/>
        <v>0</v>
      </c>
      <c r="DM112" s="142">
        <f t="shared" si="581"/>
        <v>0</v>
      </c>
      <c r="DN112" s="142">
        <f t="shared" si="581"/>
        <v>0</v>
      </c>
      <c r="DO112" s="142">
        <f t="shared" si="581"/>
        <v>0</v>
      </c>
      <c r="DP112" s="142">
        <f t="shared" si="581"/>
        <v>0</v>
      </c>
      <c r="DQ112" s="142">
        <f t="shared" si="581"/>
        <v>0</v>
      </c>
      <c r="DR112" s="142">
        <f t="shared" si="581"/>
        <v>0</v>
      </c>
      <c r="DS112" s="142">
        <f t="shared" si="581"/>
        <v>0</v>
      </c>
      <c r="DT112" s="142">
        <f t="shared" si="581"/>
        <v>0</v>
      </c>
      <c r="DU112" s="142">
        <f t="shared" si="581"/>
        <v>0</v>
      </c>
      <c r="DV112" s="142">
        <f t="shared" si="581"/>
        <v>0</v>
      </c>
      <c r="DW112" s="142">
        <f t="shared" si="581"/>
        <v>0</v>
      </c>
      <c r="DX112" s="142">
        <f t="shared" si="581"/>
        <v>0</v>
      </c>
      <c r="DY112" s="142">
        <f t="shared" si="581"/>
        <v>0</v>
      </c>
      <c r="DZ112" s="142">
        <f t="shared" si="581"/>
        <v>0</v>
      </c>
      <c r="EA112" s="143">
        <f t="shared" si="504"/>
        <v>0</v>
      </c>
      <c r="EB112" s="143">
        <f t="shared" si="505"/>
        <v>0</v>
      </c>
      <c r="EC112" s="143">
        <f t="shared" si="506"/>
        <v>0</v>
      </c>
      <c r="ED112" s="143">
        <f t="shared" si="507"/>
        <v>0</v>
      </c>
      <c r="EE112" s="143">
        <f t="shared" si="508"/>
        <v>0</v>
      </c>
      <c r="EF112" s="143">
        <f t="shared" si="509"/>
        <v>0</v>
      </c>
      <c r="EG112" s="143">
        <f t="shared" si="510"/>
        <v>0</v>
      </c>
      <c r="EH112" s="143">
        <f t="shared" si="511"/>
        <v>0</v>
      </c>
      <c r="EI112" s="143">
        <f t="shared" si="512"/>
        <v>0</v>
      </c>
      <c r="EJ112" s="143">
        <f t="shared" si="513"/>
        <v>0</v>
      </c>
      <c r="EK112" s="143">
        <f t="shared" si="514"/>
        <v>0</v>
      </c>
      <c r="EL112" s="143">
        <f t="shared" si="515"/>
        <v>0</v>
      </c>
      <c r="EM112" s="143">
        <f t="shared" si="516"/>
        <v>0</v>
      </c>
      <c r="EN112" s="143">
        <f t="shared" si="517"/>
        <v>0</v>
      </c>
      <c r="EO112" s="143">
        <f t="shared" si="518"/>
        <v>0</v>
      </c>
      <c r="EP112" s="143">
        <f t="shared" si="519"/>
        <v>0</v>
      </c>
      <c r="EQ112" s="143">
        <f t="shared" si="520"/>
        <v>0</v>
      </c>
      <c r="ER112" s="143">
        <f t="shared" si="521"/>
        <v>0</v>
      </c>
      <c r="ES112" s="143">
        <f t="shared" si="522"/>
        <v>0</v>
      </c>
      <c r="ET112" s="143">
        <f t="shared" si="523"/>
        <v>0</v>
      </c>
      <c r="EU112" s="143">
        <f t="shared" si="524"/>
        <v>0</v>
      </c>
      <c r="EV112" s="143">
        <f t="shared" si="525"/>
        <v>0</v>
      </c>
      <c r="EW112" s="143">
        <f t="shared" si="526"/>
        <v>0</v>
      </c>
      <c r="EX112" s="143">
        <f t="shared" si="527"/>
        <v>0</v>
      </c>
      <c r="EY112" s="143">
        <f t="shared" si="528"/>
        <v>0</v>
      </c>
      <c r="EZ112" s="143">
        <f t="shared" si="529"/>
        <v>0</v>
      </c>
      <c r="FA112" s="143">
        <f t="shared" si="530"/>
        <v>0</v>
      </c>
      <c r="FB112" s="143">
        <f t="shared" si="531"/>
        <v>0</v>
      </c>
      <c r="FC112" s="143">
        <f t="shared" si="532"/>
        <v>0</v>
      </c>
      <c r="FD112" s="143">
        <f t="shared" si="533"/>
        <v>0</v>
      </c>
      <c r="FE112" s="140">
        <f>SUM($D112:D112)*IF($B112="Operacional",IFERROR(VLOOKUP($C112,SN_UGC,28,0),0),1)</f>
        <v>0</v>
      </c>
      <c r="FF112" s="140">
        <f>SUM($D112:E112)*IF($B112="Operacional",IFERROR(VLOOKUP($C112,SN_UGC,28,0),0),1)</f>
        <v>0</v>
      </c>
      <c r="FG112" s="140">
        <f>SUM($D112:F112)*IF($B112="Operacional",IFERROR(VLOOKUP($C112,SN_UGC,28,0),0),1)</f>
        <v>0</v>
      </c>
      <c r="FH112" s="140">
        <f>SUM($D112:G112)*IF($B112="Operacional",IFERROR(VLOOKUP($C112,SN_UGC,28,0),0),1)</f>
        <v>0</v>
      </c>
      <c r="FI112" s="140">
        <f>SUM($D112:H112)*IF($B112="Operacional",IFERROR(VLOOKUP($C112,SN_UGC,28,0),0),1)</f>
        <v>0</v>
      </c>
      <c r="FJ112" s="140">
        <f>SUM($D112:I112)*IF($B112="Operacional",IFERROR(VLOOKUP($C112,SN_UGC,28,0),0),1)</f>
        <v>0</v>
      </c>
      <c r="FK112" s="140">
        <f>SUM($D112:J112)*IF($B112="Operacional",IFERROR(VLOOKUP($C112,SN_UGC,28,0),0),1)</f>
        <v>0</v>
      </c>
      <c r="FL112" s="140">
        <f>SUM($D112:K112)*IF($B112="Operacional",IFERROR(VLOOKUP($C112,SN_UGC,28,0),0),1)</f>
        <v>0</v>
      </c>
      <c r="FM112" s="140">
        <f>SUM($D112:L112)*IF($B112="Operacional",IFERROR(VLOOKUP($C112,SN_UGC,28,0),0),1)</f>
        <v>0</v>
      </c>
      <c r="FN112" s="140">
        <f>SUM($D112:M112)*IF($B112="Operacional",IFERROR(VLOOKUP($C112,SN_UGC,28,0),0),1)</f>
        <v>0</v>
      </c>
      <c r="FO112" s="140">
        <f>SUM($D112:N112)*IF($B112="Operacional",IFERROR(VLOOKUP($C112,SN_UGC,28,0),0),1)</f>
        <v>0</v>
      </c>
      <c r="FP112" s="140">
        <f>SUM($D112:O112)*IF($B112="Operacional",IFERROR(VLOOKUP($C112,SN_UGC,28,0),0),1)</f>
        <v>0</v>
      </c>
      <c r="FQ112" s="140">
        <f>SUM($D112:P112)*IF($B112="Operacional",IFERROR(VLOOKUP($C112,SN_UGC,28,0),0),1)</f>
        <v>0</v>
      </c>
      <c r="FR112" s="140">
        <f>SUM($D112:Q112)*IF($B112="Operacional",IFERROR(VLOOKUP($C112,SN_UGC,28,0),0),1)</f>
        <v>0</v>
      </c>
      <c r="FS112" s="140">
        <f>SUM($D112:R112)*IF($B112="Operacional",IFERROR(VLOOKUP($C112,SN_UGC,28,0),0),1)</f>
        <v>0</v>
      </c>
      <c r="FT112" s="140">
        <f>SUM($D112:S112)*IF($B112="Operacional",IFERROR(VLOOKUP($C112,SN_UGC,28,0),0),1)</f>
        <v>0</v>
      </c>
      <c r="FU112" s="140">
        <f>SUM($D112:T112)*IF($B112="Operacional",IFERROR(VLOOKUP($C112,SN_UGC,28,0),0),1)</f>
        <v>0</v>
      </c>
      <c r="FV112" s="140">
        <f>SUM($D112:U112)*IF($B112="Operacional",IFERROR(VLOOKUP($C112,SN_UGC,28,0),0),1)</f>
        <v>0</v>
      </c>
      <c r="FW112" s="140">
        <f>SUM($D112:V112)*IF($B112="Operacional",IFERROR(VLOOKUP($C112,SN_UGC,28,0),0),1)</f>
        <v>0</v>
      </c>
      <c r="FX112" s="140">
        <f>SUM($D112:W112)*IF($B112="Operacional",IFERROR(VLOOKUP($C112,SN_UGC,28,0),0),1)</f>
        <v>0</v>
      </c>
      <c r="FY112" s="140">
        <f>SUM($D112:X112)*IF($B112="Operacional",IFERROR(VLOOKUP($C112,SN_UGC,28,0),0),1)</f>
        <v>0</v>
      </c>
      <c r="FZ112" s="140">
        <f>SUM($D112:Y112)*IF($B112="Operacional",IFERROR(VLOOKUP($C112,SN_UGC,28,0),0),1)</f>
        <v>0</v>
      </c>
      <c r="GA112" s="140">
        <f>SUM($D112:Z112)*IF($B112="Operacional",IFERROR(VLOOKUP($C112,SN_UGC,28,0),0),1)</f>
        <v>0</v>
      </c>
      <c r="GB112" s="140">
        <f>SUM($D112:AA112)*IF($B112="Operacional",IFERROR(VLOOKUP($C112,SN_UGC,28,0),0),1)</f>
        <v>0</v>
      </c>
      <c r="GC112" s="140">
        <f>SUM($D112:AB112)*IF($B112="Operacional",IFERROR(VLOOKUP($C112,SN_UGC,28,0),0),1)</f>
        <v>0</v>
      </c>
      <c r="GD112" s="140">
        <f>SUM($D112:AC112)*IF($B112="Operacional",IFERROR(VLOOKUP($C112,SN_UGC,28,0),0),1)</f>
        <v>0</v>
      </c>
      <c r="GE112" s="140">
        <f>SUM($D112:AD112)*IF($B112="Operacional",IFERROR(VLOOKUP($C112,SN_UGC,28,0),0),1)</f>
        <v>0</v>
      </c>
      <c r="GF112" s="140">
        <f>SUM($D112:AE112)*IF($B112="Operacional",IFERROR(VLOOKUP($C112,SN_UGC,28,0),0),1)</f>
        <v>0</v>
      </c>
      <c r="GG112" s="140">
        <f>SUM($D112:AF112)*IF($B112="Operacional",IFERROR(VLOOKUP($C112,SN_UGC,28,0),0),1)</f>
        <v>0</v>
      </c>
      <c r="GH112" s="140">
        <f>SUM($D112:AG112)*IF($B112="Operacional",IFERROR(VLOOKUP($C112,SN_UGC,28,0),0),1)</f>
        <v>0</v>
      </c>
      <c r="GI112" s="141">
        <f t="shared" ref="GI112:HL112" si="582">FE112*$AH112*$AL112</f>
        <v>0</v>
      </c>
      <c r="GJ112" s="141">
        <f t="shared" si="582"/>
        <v>0</v>
      </c>
      <c r="GK112" s="141">
        <f t="shared" si="582"/>
        <v>0</v>
      </c>
      <c r="GL112" s="141">
        <f t="shared" si="582"/>
        <v>0</v>
      </c>
      <c r="GM112" s="141">
        <f t="shared" si="582"/>
        <v>0</v>
      </c>
      <c r="GN112" s="141">
        <f t="shared" si="582"/>
        <v>0</v>
      </c>
      <c r="GO112" s="141">
        <f t="shared" si="582"/>
        <v>0</v>
      </c>
      <c r="GP112" s="141">
        <f t="shared" si="582"/>
        <v>0</v>
      </c>
      <c r="GQ112" s="141">
        <f t="shared" si="582"/>
        <v>0</v>
      </c>
      <c r="GR112" s="141">
        <f t="shared" si="582"/>
        <v>0</v>
      </c>
      <c r="GS112" s="141">
        <f t="shared" si="582"/>
        <v>0</v>
      </c>
      <c r="GT112" s="141">
        <f t="shared" si="582"/>
        <v>0</v>
      </c>
      <c r="GU112" s="141">
        <f t="shared" si="582"/>
        <v>0</v>
      </c>
      <c r="GV112" s="141">
        <f t="shared" si="582"/>
        <v>0</v>
      </c>
      <c r="GW112" s="141">
        <f t="shared" si="582"/>
        <v>0</v>
      </c>
      <c r="GX112" s="141">
        <f t="shared" si="582"/>
        <v>0</v>
      </c>
      <c r="GY112" s="141">
        <f t="shared" si="582"/>
        <v>0</v>
      </c>
      <c r="GZ112" s="141">
        <f t="shared" si="582"/>
        <v>0</v>
      </c>
      <c r="HA112" s="141">
        <f t="shared" si="582"/>
        <v>0</v>
      </c>
      <c r="HB112" s="141">
        <f t="shared" si="582"/>
        <v>0</v>
      </c>
      <c r="HC112" s="141">
        <f t="shared" si="582"/>
        <v>0</v>
      </c>
      <c r="HD112" s="141">
        <f t="shared" si="582"/>
        <v>0</v>
      </c>
      <c r="HE112" s="141">
        <f t="shared" si="582"/>
        <v>0</v>
      </c>
      <c r="HF112" s="141">
        <f t="shared" si="582"/>
        <v>0</v>
      </c>
      <c r="HG112" s="141">
        <f t="shared" si="582"/>
        <v>0</v>
      </c>
      <c r="HH112" s="141">
        <f t="shared" si="582"/>
        <v>0</v>
      </c>
      <c r="HI112" s="141">
        <f t="shared" si="582"/>
        <v>0</v>
      </c>
      <c r="HJ112" s="141">
        <f t="shared" si="582"/>
        <v>0</v>
      </c>
      <c r="HK112" s="141">
        <f t="shared" si="582"/>
        <v>0</v>
      </c>
      <c r="HL112" s="141">
        <f t="shared" si="582"/>
        <v>0</v>
      </c>
      <c r="HM112" s="142">
        <f t="shared" ref="HM112:IP112" si="583">IF(ISBLANK($A112),,FE112*($AH112-($AH112*$AJ112))/$AI112)</f>
        <v>0</v>
      </c>
      <c r="HN112" s="142">
        <f t="shared" si="583"/>
        <v>0</v>
      </c>
      <c r="HO112" s="142">
        <f t="shared" si="583"/>
        <v>0</v>
      </c>
      <c r="HP112" s="142">
        <f t="shared" si="583"/>
        <v>0</v>
      </c>
      <c r="HQ112" s="142">
        <f t="shared" si="583"/>
        <v>0</v>
      </c>
      <c r="HR112" s="142">
        <f t="shared" si="583"/>
        <v>0</v>
      </c>
      <c r="HS112" s="142">
        <f t="shared" si="583"/>
        <v>0</v>
      </c>
      <c r="HT112" s="142">
        <f t="shared" si="583"/>
        <v>0</v>
      </c>
      <c r="HU112" s="142">
        <f t="shared" si="583"/>
        <v>0</v>
      </c>
      <c r="HV112" s="142">
        <f t="shared" si="583"/>
        <v>0</v>
      </c>
      <c r="HW112" s="142">
        <f t="shared" si="583"/>
        <v>0</v>
      </c>
      <c r="HX112" s="142">
        <f t="shared" si="583"/>
        <v>0</v>
      </c>
      <c r="HY112" s="142">
        <f t="shared" si="583"/>
        <v>0</v>
      </c>
      <c r="HZ112" s="142">
        <f t="shared" si="583"/>
        <v>0</v>
      </c>
      <c r="IA112" s="142">
        <f t="shared" si="583"/>
        <v>0</v>
      </c>
      <c r="IB112" s="142">
        <f t="shared" si="583"/>
        <v>0</v>
      </c>
      <c r="IC112" s="142">
        <f t="shared" si="583"/>
        <v>0</v>
      </c>
      <c r="ID112" s="142">
        <f t="shared" si="583"/>
        <v>0</v>
      </c>
      <c r="IE112" s="142">
        <f t="shared" si="583"/>
        <v>0</v>
      </c>
      <c r="IF112" s="142">
        <f t="shared" si="583"/>
        <v>0</v>
      </c>
      <c r="IG112" s="142">
        <f t="shared" si="583"/>
        <v>0</v>
      </c>
      <c r="IH112" s="142">
        <f t="shared" si="583"/>
        <v>0</v>
      </c>
      <c r="II112" s="142">
        <f t="shared" si="583"/>
        <v>0</v>
      </c>
      <c r="IJ112" s="142">
        <f t="shared" si="583"/>
        <v>0</v>
      </c>
      <c r="IK112" s="142">
        <f t="shared" si="583"/>
        <v>0</v>
      </c>
      <c r="IL112" s="142">
        <f t="shared" si="583"/>
        <v>0</v>
      </c>
      <c r="IM112" s="142">
        <f t="shared" si="583"/>
        <v>0</v>
      </c>
      <c r="IN112" s="142">
        <f t="shared" si="583"/>
        <v>0</v>
      </c>
      <c r="IO112" s="142">
        <f t="shared" si="583"/>
        <v>0</v>
      </c>
      <c r="IP112" s="142">
        <f t="shared" si="583"/>
        <v>0</v>
      </c>
      <c r="IQ112" s="141">
        <f>IF(ISBLANK($A112),,IF($AN112="Não",0,(SUM($AO112:AO112)*$AH112)-SUM($HM112:HM112)-SUM($CW112:CW112)))</f>
        <v>0</v>
      </c>
      <c r="IR112" s="141">
        <f>IF(ISBLANK($A112),,IF($AN112="Não",0,(SUM($AO112:AP112)*$AH112)-SUM($HM112:HN112)-SUM($CW112:CX112)))</f>
        <v>0</v>
      </c>
      <c r="IS112" s="141">
        <f>IF(ISBLANK($A112),,IF($AN112="Não",0,(SUM($AO112:AQ112)*$AH112)-SUM($HM112:HO112)-SUM($CW112:CY112)))</f>
        <v>0</v>
      </c>
      <c r="IT112" s="141">
        <f>IF(ISBLANK($A112),,IF($AN112="Não",0,(SUM($AO112:AR112)*$AH112)-SUM($HM112:HP112)-SUM($CW112:CZ112)))</f>
        <v>0</v>
      </c>
      <c r="IU112" s="141">
        <f>IF(ISBLANK($A112),,IF($AN112="Não",0,(SUM($AO112:AS112)*$AH112)-SUM($HM112:HQ112)-SUM($CW112:DA112)))</f>
        <v>0</v>
      </c>
      <c r="IV112" s="141">
        <f>IF(ISBLANK($A112),,IF($AN112="Não",0,(SUM($AO112:AT112)*$AH112)-SUM($HM112:HR112)-SUM($CW112:DB112)))</f>
        <v>0</v>
      </c>
      <c r="IW112" s="141">
        <f>IF(ISBLANK($A112),,IF($AN112="Não",0,(SUM($AO112:AU112)*$AH112)-SUM($HM112:HS112)-SUM($CW112:DC112)))</f>
        <v>0</v>
      </c>
      <c r="IX112" s="141">
        <f>IF(ISBLANK($A112),,IF($AN112="Não",0,(SUM($AO112:AV112)*$AH112)-SUM($HM112:HT112)-SUM($CW112:DD112)))</f>
        <v>0</v>
      </c>
      <c r="IY112" s="141">
        <f>IF(ISBLANK($A112),,IF($AN112="Não",0,(SUM($AO112:AW112)*$AH112)-SUM($HM112:HU112)-SUM($CW112:DE112)))</f>
        <v>0</v>
      </c>
      <c r="IZ112" s="141">
        <f>IF(ISBLANK($A112),,IF($AN112="Não",0,(SUM($AO112:AX112)*$AH112)-SUM($HM112:HV112)-SUM($CW112:DF112)))</f>
        <v>0</v>
      </c>
      <c r="JA112" s="141">
        <f>IF(ISBLANK($A112),,IF($AN112="Não",0,(SUM($AO112:AY112)*$AH112)-SUM($HM112:HW112)-SUM($CW112:DG112)))</f>
        <v>0</v>
      </c>
      <c r="JB112" s="141">
        <f>IF(ISBLANK($A112),,IF($AN112="Não",0,(SUM($AO112:AZ112)*$AH112)-SUM($HM112:HX112)-SUM($CW112:DH112)))</f>
        <v>0</v>
      </c>
      <c r="JC112" s="141">
        <f>IF(ISBLANK($A112),,IF($AN112="Não",0,(SUM($AO112:BA112)*$AH112)-SUM($HM112:HY112)-SUM($CW112:DI112)))</f>
        <v>0</v>
      </c>
      <c r="JD112" s="141">
        <f>IF(ISBLANK($A112),,IF($AN112="Não",0,(SUM($AO112:BB112)*$AH112)-SUM($HM112:HZ112)-SUM($CW112:DJ112)))</f>
        <v>0</v>
      </c>
      <c r="JE112" s="141">
        <f>IF(ISBLANK($A112),,IF($AN112="Não",0,(SUM($AO112:BC112)*$AH112)-SUM($HM112:IA112)-SUM($CW112:DK112)))</f>
        <v>0</v>
      </c>
      <c r="JF112" s="141">
        <f>IF(ISBLANK($A112),,IF($AN112="Não",0,(SUM($AO112:BD112)*$AH112)-SUM($HM112:IB112)-SUM($CW112:DL112)))</f>
        <v>0</v>
      </c>
      <c r="JG112" s="141">
        <f>IF(ISBLANK($A112),,IF($AN112="Não",0,(SUM($AO112:BE112)*$AH112)-SUM($HM112:IC112)-SUM($CW112:DM112)))</f>
        <v>0</v>
      </c>
      <c r="JH112" s="141">
        <f>IF(ISBLANK($A112),,IF($AN112="Não",0,(SUM($AO112:BF112)*$AH112)-SUM($HM112:ID112)-SUM($CW112:DN112)))</f>
        <v>0</v>
      </c>
      <c r="JI112" s="141">
        <f>IF(ISBLANK($A112),,IF($AN112="Não",0,(SUM($AO112:BG112)*$AH112)-SUM($HM112:IE112)-SUM($CW112:DO112)))</f>
        <v>0</v>
      </c>
      <c r="JJ112" s="141">
        <f>IF(ISBLANK($A112),,IF($AN112="Não",0,(SUM($AO112:BH112)*$AH112)-SUM($HM112:IF112)-SUM($CW112:DP112)))</f>
        <v>0</v>
      </c>
      <c r="JK112" s="141">
        <f>IF(ISBLANK($A112),,IF($AN112="Não",0,(SUM($AO112:BI112)*$AH112)-SUM($HM112:IG112)-SUM($CW112:DQ112)))</f>
        <v>0</v>
      </c>
      <c r="JL112" s="141">
        <f>IF(ISBLANK($A112),,IF($AN112="Não",0,(SUM($AO112:BJ112)*$AH112)-SUM($HM112:IH112)-SUM($CW112:DR112)))</f>
        <v>0</v>
      </c>
      <c r="JM112" s="141">
        <f>IF(ISBLANK($A112),,IF($AN112="Não",0,(SUM($AO112:BK112)*$AH112)-SUM($HM112:II112)-SUM($CW112:DS112)))</f>
        <v>0</v>
      </c>
      <c r="JN112" s="141">
        <f>IF(ISBLANK($A112),,IF($AN112="Não",0,(SUM($AO112:BL112)*$AH112)-SUM($HM112:IJ112)-SUM($CW112:DT112)))</f>
        <v>0</v>
      </c>
      <c r="JO112" s="141">
        <f>IF(ISBLANK($A112),,IF($AN112="Não",0,(SUM($AO112:BM112)*$AH112)-SUM($HM112:IK112)-SUM($CW112:DU112)))</f>
        <v>0</v>
      </c>
      <c r="JP112" s="141">
        <f>IF(ISBLANK($A112),,IF($AN112="Não",0,(SUM($AO112:BN112)*$AH112)-SUM($HM112:IL112)-SUM($CW112:DV112)))</f>
        <v>0</v>
      </c>
      <c r="JQ112" s="141">
        <f>IF(ISBLANK($A112),,IF($AN112="Não",0,(SUM($AO112:BO112)*$AH112)-SUM($HM112:IM112)-SUM($CW112:DW112)))</f>
        <v>0</v>
      </c>
      <c r="JR112" s="141">
        <f>IF(ISBLANK($A112),,IF($AN112="Não",0,(SUM($AO112:BP112)*$AH112)-SUM($HM112:IN112)-SUM($CW112:DX112)))</f>
        <v>0</v>
      </c>
      <c r="JS112" s="141">
        <f>IF(ISBLANK($A112),,IF($AN112="Não",0,(SUM($AO112:BQ112)*$AH112)-SUM($HM112:IO112)-SUM($CW112:DY112)))</f>
        <v>0</v>
      </c>
      <c r="JT112" s="141">
        <f>IF(ISBLANK($A112),,IF($AN112="Não",0,(SUM($AO112:BR112)*$AH112)-SUM($HM112:IP112)-SUM($CW112:DZ112)))</f>
        <v>0</v>
      </c>
    </row>
    <row r="113" spans="1:280" ht="15.75" customHeight="1">
      <c r="A113" s="129"/>
      <c r="B113" s="129"/>
      <c r="C113" s="138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607">
        <f t="shared" si="544"/>
        <v>0</v>
      </c>
      <c r="AI113" s="608">
        <f t="shared" si="545"/>
        <v>0</v>
      </c>
      <c r="AJ113" s="609">
        <f t="shared" si="546"/>
        <v>0</v>
      </c>
      <c r="AK113" s="610" t="str">
        <f t="shared" si="547"/>
        <v/>
      </c>
      <c r="AL113" s="609">
        <f t="shared" si="548"/>
        <v>0</v>
      </c>
      <c r="AM113" s="611" t="str">
        <f t="shared" si="549"/>
        <v/>
      </c>
      <c r="AN113" s="611" t="str">
        <f t="shared" si="550"/>
        <v/>
      </c>
      <c r="AO113" s="140">
        <f t="array" ref="AO113">IF(ISBLANK($A113),0,IF(OR(AO$5-$AI113&lt;=0,$AM113="Não"),D113,D113+INDEX($AO$6:$BR$176,ROW()-5,COLUMN()-40-$AI113)))*IF($B113="Operacional",IFERROR(VLOOKUP($C113,SN_UGC,28,0),0),1)</f>
        <v>0</v>
      </c>
      <c r="AP113" s="140">
        <f t="array" ref="AP113">IF(ISBLANK($A113),0,IF(OR(AP$5-$AI113&lt;=0,$AM113="Não"),E113,E113+INDEX($AO$6:$BR$176,ROW()-5,COLUMN()-40-$AI113)))*IF($B113="Operacional",IFERROR(VLOOKUP($C113,SN_UGC,28,0),0),1)</f>
        <v>0</v>
      </c>
      <c r="AQ113" s="140">
        <f t="array" ref="AQ113">IF(ISBLANK($A113),0,IF(OR(AQ$5-$AI113&lt;=0,$AM113="Não"),F113,F113+INDEX($AO$6:$BR$176,ROW()-5,COLUMN()-40-$AI113)))*IF($B113="Operacional",IFERROR(VLOOKUP($C113,SN_UGC,28,0),0),1)</f>
        <v>0</v>
      </c>
      <c r="AR113" s="140">
        <f t="array" ref="AR113">IF(ISBLANK($A113),0,IF(OR(AR$5-$AI113&lt;=0,$AM113="Não"),G113,G113+INDEX($AO$6:$BR$176,ROW()-5,COLUMN()-40-$AI113)))*IF($B113="Operacional",IFERROR(VLOOKUP($C113,SN_UGC,28,0),0),1)</f>
        <v>0</v>
      </c>
      <c r="AS113" s="140">
        <f t="array" ref="AS113">IF(ISBLANK($A113),0,IF(OR(AS$5-$AI113&lt;=0,$AM113="Não"),H113,H113+INDEX($AO$6:$BR$176,ROW()-5,COLUMN()-40-$AI113)))*IF($B113="Operacional",IFERROR(VLOOKUP($C113,SN_UGC,28,0),0),1)</f>
        <v>0</v>
      </c>
      <c r="AT113" s="140">
        <f t="array" ref="AT113">IF(ISBLANK($A113),0,IF(OR(AT$5-$AI113&lt;=0,$AM113="Não"),I113,I113+INDEX($AO$6:$BR$176,ROW()-5,COLUMN()-40-$AI113)))*IF($B113="Operacional",IFERROR(VLOOKUP($C113,SN_UGC,28,0),0),1)</f>
        <v>0</v>
      </c>
      <c r="AU113" s="140">
        <f t="array" ref="AU113">IF(ISBLANK($A113),0,IF(OR(AU$5-$AI113&lt;=0,$AM113="Não"),J113,J113+INDEX($AO$6:$BR$176,ROW()-5,COLUMN()-40-$AI113)))*IF($B113="Operacional",IFERROR(VLOOKUP($C113,SN_UGC,28,0),0),1)</f>
        <v>0</v>
      </c>
      <c r="AV113" s="140">
        <f t="array" ref="AV113">IF(ISBLANK($A113),0,IF(OR(AV$5-$AI113&lt;=0,$AM113="Não"),K113,K113+INDEX($AO$6:$BR$176,ROW()-5,COLUMN()-40-$AI113)))*IF($B113="Operacional",IFERROR(VLOOKUP($C113,SN_UGC,28,0),0),1)</f>
        <v>0</v>
      </c>
      <c r="AW113" s="140">
        <f t="array" ref="AW113">IF(ISBLANK($A113),0,IF(OR(AW$5-$AI113&lt;=0,$AM113="Não"),L113,L113+INDEX($AO$6:$BR$176,ROW()-5,COLUMN()-40-$AI113)))*IF($B113="Operacional",IFERROR(VLOOKUP($C113,SN_UGC,28,0),0),1)</f>
        <v>0</v>
      </c>
      <c r="AX113" s="140">
        <f t="array" ref="AX113">IF(ISBLANK($A113),0,IF(OR(AX$5-$AI113&lt;=0,$AM113="Não"),M113,M113+INDEX($AO$6:$BR$176,ROW()-5,COLUMN()-40-$AI113)))*IF($B113="Operacional",IFERROR(VLOOKUP($C113,SN_UGC,28,0),0),1)</f>
        <v>0</v>
      </c>
      <c r="AY113" s="140">
        <f t="array" ref="AY113">IF(ISBLANK($A113),0,IF(OR(AY$5-$AI113&lt;=0,$AM113="Não"),N113,N113+INDEX($AO$6:$BR$176,ROW()-5,COLUMN()-40-$AI113)))*IF($B113="Operacional",IFERROR(VLOOKUP($C113,SN_UGC,28,0),0),1)</f>
        <v>0</v>
      </c>
      <c r="AZ113" s="140">
        <f t="array" ref="AZ113">IF(ISBLANK($A113),0,IF(OR(AZ$5-$AI113&lt;=0,$AM113="Não"),O113,O113+INDEX($AO$6:$BR$176,ROW()-5,COLUMN()-40-$AI113)))*IF($B113="Operacional",IFERROR(VLOOKUP($C113,SN_UGC,28,0),0),1)</f>
        <v>0</v>
      </c>
      <c r="BA113" s="140">
        <f t="array" ref="BA113">IF(ISBLANK($A113),0,IF(OR(BA$5-$AI113&lt;=0,$AM113="Não"),P113,P113+INDEX($AO$6:$BR$176,ROW()-5,COLUMN()-40-$AI113)))*IF($B113="Operacional",IFERROR(VLOOKUP($C113,SN_UGC,28,0),0),1)</f>
        <v>0</v>
      </c>
      <c r="BB113" s="140">
        <f t="array" ref="BB113">IF(ISBLANK($A113),0,IF(OR(BB$5-$AI113&lt;=0,$AM113="Não"),Q113,Q113+INDEX($AO$6:$BR$176,ROW()-5,COLUMN()-40-$AI113)))*IF($B113="Operacional",IFERROR(VLOOKUP($C113,SN_UGC,28,0),0),1)</f>
        <v>0</v>
      </c>
      <c r="BC113" s="140">
        <f t="array" ref="BC113">IF(ISBLANK($A113),0,IF(OR(BC$5-$AI113&lt;=0,$AM113="Não"),R113,R113+INDEX($AO$6:$BR$176,ROW()-5,COLUMN()-40-$AI113)))*IF($B113="Operacional",IFERROR(VLOOKUP($C113,SN_UGC,28,0),0),1)</f>
        <v>0</v>
      </c>
      <c r="BD113" s="140">
        <f t="array" ref="BD113">IF(ISBLANK($A113),0,IF(OR(BD$5-$AI113&lt;=0,$AM113="Não"),S113,S113+INDEX($AO$6:$BR$176,ROW()-5,COLUMN()-40-$AI113)))*IF($B113="Operacional",IFERROR(VLOOKUP($C113,SN_UGC,28,0),0),1)</f>
        <v>0</v>
      </c>
      <c r="BE113" s="140">
        <f t="array" ref="BE113">IF(ISBLANK($A113),0,IF(OR(BE$5-$AI113&lt;=0,$AM113="Não"),T113,T113+INDEX($AO$6:$BR$176,ROW()-5,COLUMN()-40-$AI113)))*IF($B113="Operacional",IFERROR(VLOOKUP($C113,SN_UGC,28,0),0),1)</f>
        <v>0</v>
      </c>
      <c r="BF113" s="140">
        <f t="array" ref="BF113">IF(ISBLANK($A113),0,IF(OR(BF$5-$AI113&lt;=0,$AM113="Não"),U113,U113+INDEX($AO$6:$BR$176,ROW()-5,COLUMN()-40-$AI113)))*IF($B113="Operacional",IFERROR(VLOOKUP($C113,SN_UGC,28,0),0),1)</f>
        <v>0</v>
      </c>
      <c r="BG113" s="140">
        <f t="array" ref="BG113">IF(ISBLANK($A113),0,IF(OR(BG$5-$AI113&lt;=0,$AM113="Não"),V113,V113+INDEX($AO$6:$BR$176,ROW()-5,COLUMN()-40-$AI113)))*IF($B113="Operacional",IFERROR(VLOOKUP($C113,SN_UGC,28,0),0),1)</f>
        <v>0</v>
      </c>
      <c r="BH113" s="140">
        <f t="array" ref="BH113">IF(ISBLANK($A113),0,IF(OR(BH$5-$AI113&lt;=0,$AM113="Não"),W113,W113+INDEX($AO$6:$BR$176,ROW()-5,COLUMN()-40-$AI113)))*IF($B113="Operacional",IFERROR(VLOOKUP($C113,SN_UGC,28,0),0),1)</f>
        <v>0</v>
      </c>
      <c r="BI113" s="140">
        <f t="array" ref="BI113">IF(ISBLANK($A113),0,IF(OR(BI$5-$AI113&lt;=0,$AM113="Não"),X113,X113+INDEX($AO$6:$BR$176,ROW()-5,COLUMN()-40-$AI113)))*IF($B113="Operacional",IFERROR(VLOOKUP($C113,SN_UGC,28,0),0),1)</f>
        <v>0</v>
      </c>
      <c r="BJ113" s="140">
        <f t="array" ref="BJ113">IF(ISBLANK($A113),0,IF(OR(BJ$5-$AI113&lt;=0,$AM113="Não"),Y113,Y113+INDEX($AO$6:$BR$176,ROW()-5,COLUMN()-40-$AI113)))*IF($B113="Operacional",IFERROR(VLOOKUP($C113,SN_UGC,28,0),0),1)</f>
        <v>0</v>
      </c>
      <c r="BK113" s="140">
        <f t="array" ref="BK113">IF(ISBLANK($A113),0,IF(OR(BK$5-$AI113&lt;=0,$AM113="Não"),Z113,Z113+INDEX($AO$6:$BR$176,ROW()-5,COLUMN()-40-$AI113)))*IF($B113="Operacional",IFERROR(VLOOKUP($C113,SN_UGC,28,0),0),1)</f>
        <v>0</v>
      </c>
      <c r="BL113" s="140">
        <f t="array" ref="BL113">IF(ISBLANK($A113),0,IF(OR(BL$5-$AI113&lt;=0,$AM113="Não"),AA113,AA113+INDEX($AO$6:$BR$176,ROW()-5,COLUMN()-40-$AI113)))*IF($B113="Operacional",IFERROR(VLOOKUP($C113,SN_UGC,28,0),0),1)</f>
        <v>0</v>
      </c>
      <c r="BM113" s="140">
        <f t="array" ref="BM113">IF(ISBLANK($A113),0,IF(OR(BM$5-$AI113&lt;=0,$AM113="Não"),AB113,AB113+INDEX($AO$6:$BR$176,ROW()-5,COLUMN()-40-$AI113)))*IF($B113="Operacional",IFERROR(VLOOKUP($C113,SN_UGC,28,0),0),1)</f>
        <v>0</v>
      </c>
      <c r="BN113" s="140">
        <f t="array" ref="BN113">IF(ISBLANK($A113),0,IF(OR(BN$5-$AI113&lt;=0,$AM113="Não"),AC113,AC113+INDEX($AO$6:$BR$176,ROW()-5,COLUMN()-40-$AI113)))*IF($B113="Operacional",IFERROR(VLOOKUP($C113,SN_UGC,28,0),0),1)</f>
        <v>0</v>
      </c>
      <c r="BO113" s="140">
        <f t="array" ref="BO113">IF(ISBLANK($A113),0,IF(OR(BO$5-$AI113&lt;=0,$AM113="Não"),AD113,AD113+INDEX($AO$6:$BR$176,ROW()-5,COLUMN()-40-$AI113)))*IF($B113="Operacional",IFERROR(VLOOKUP($C113,SN_UGC,28,0),0),1)</f>
        <v>0</v>
      </c>
      <c r="BP113" s="140">
        <f t="array" ref="BP113">IF(ISBLANK($A113),0,IF(OR(BP$5-$AI113&lt;=0,$AM113="Não"),AE113,AE113+INDEX($AO$6:$BR$176,ROW()-5,COLUMN()-40-$AI113)))*IF($B113="Operacional",IFERROR(VLOOKUP($C113,SN_UGC,28,0),0),1)</f>
        <v>0</v>
      </c>
      <c r="BQ113" s="140">
        <f t="array" ref="BQ113">IF(ISBLANK($A113),0,IF(OR(BQ$5-$AI113&lt;=0,$AM113="Não"),AF113,AF113+INDEX($AO$6:$BR$176,ROW()-5,COLUMN()-40-$AI113)))*IF($B113="Operacional",IFERROR(VLOOKUP($C113,SN_UGC,28,0),0),1)</f>
        <v>0</v>
      </c>
      <c r="BR113" s="140">
        <f t="array" ref="BR113">IF(ISBLANK($A113),0,IF(OR(BR$5-$AI113&lt;=0,$AM113="Não"),AG113,AG113+INDEX($AO$6:$BR$176,ROW()-5,COLUMN()-40-$AI113)))*IF($B113="Operacional",IFERROR(VLOOKUP($C113,SN_UGC,28,0),0),1)</f>
        <v>0</v>
      </c>
      <c r="BS113" s="141">
        <f t="shared" ref="BS113:CV113" si="584">IF(ISBLANK($A113),0,$AH113*AO113)</f>
        <v>0</v>
      </c>
      <c r="BT113" s="141">
        <f t="shared" si="584"/>
        <v>0</v>
      </c>
      <c r="BU113" s="141">
        <f t="shared" si="584"/>
        <v>0</v>
      </c>
      <c r="BV113" s="141">
        <f t="shared" si="584"/>
        <v>0</v>
      </c>
      <c r="BW113" s="141">
        <f t="shared" si="584"/>
        <v>0</v>
      </c>
      <c r="BX113" s="141">
        <f t="shared" si="584"/>
        <v>0</v>
      </c>
      <c r="BY113" s="141">
        <f t="shared" si="584"/>
        <v>0</v>
      </c>
      <c r="BZ113" s="141">
        <f t="shared" si="584"/>
        <v>0</v>
      </c>
      <c r="CA113" s="141">
        <f t="shared" si="584"/>
        <v>0</v>
      </c>
      <c r="CB113" s="141">
        <f t="shared" si="584"/>
        <v>0</v>
      </c>
      <c r="CC113" s="141">
        <f t="shared" si="584"/>
        <v>0</v>
      </c>
      <c r="CD113" s="141">
        <f t="shared" si="584"/>
        <v>0</v>
      </c>
      <c r="CE113" s="141">
        <f t="shared" si="584"/>
        <v>0</v>
      </c>
      <c r="CF113" s="141">
        <f t="shared" si="584"/>
        <v>0</v>
      </c>
      <c r="CG113" s="141">
        <f t="shared" si="584"/>
        <v>0</v>
      </c>
      <c r="CH113" s="141">
        <f t="shared" si="584"/>
        <v>0</v>
      </c>
      <c r="CI113" s="141">
        <f t="shared" si="584"/>
        <v>0</v>
      </c>
      <c r="CJ113" s="141">
        <f t="shared" si="584"/>
        <v>0</v>
      </c>
      <c r="CK113" s="141">
        <f t="shared" si="584"/>
        <v>0</v>
      </c>
      <c r="CL113" s="141">
        <f t="shared" si="584"/>
        <v>0</v>
      </c>
      <c r="CM113" s="141">
        <f t="shared" si="584"/>
        <v>0</v>
      </c>
      <c r="CN113" s="141">
        <f t="shared" si="584"/>
        <v>0</v>
      </c>
      <c r="CO113" s="141">
        <f t="shared" si="584"/>
        <v>0</v>
      </c>
      <c r="CP113" s="141">
        <f t="shared" si="584"/>
        <v>0</v>
      </c>
      <c r="CQ113" s="141">
        <f t="shared" si="584"/>
        <v>0</v>
      </c>
      <c r="CR113" s="141">
        <f t="shared" si="584"/>
        <v>0</v>
      </c>
      <c r="CS113" s="141">
        <f t="shared" si="584"/>
        <v>0</v>
      </c>
      <c r="CT113" s="141">
        <f t="shared" si="584"/>
        <v>0</v>
      </c>
      <c r="CU113" s="141">
        <f t="shared" si="584"/>
        <v>0</v>
      </c>
      <c r="CV113" s="141">
        <f t="shared" si="584"/>
        <v>0</v>
      </c>
      <c r="CW113" s="142">
        <f t="shared" ref="CW113:DZ113" si="585">EA113*$AH113*$AJ113</f>
        <v>0</v>
      </c>
      <c r="CX113" s="142">
        <f t="shared" si="585"/>
        <v>0</v>
      </c>
      <c r="CY113" s="142">
        <f t="shared" si="585"/>
        <v>0</v>
      </c>
      <c r="CZ113" s="142">
        <f t="shared" si="585"/>
        <v>0</v>
      </c>
      <c r="DA113" s="142">
        <f t="shared" si="585"/>
        <v>0</v>
      </c>
      <c r="DB113" s="142">
        <f t="shared" si="585"/>
        <v>0</v>
      </c>
      <c r="DC113" s="142">
        <f t="shared" si="585"/>
        <v>0</v>
      </c>
      <c r="DD113" s="142">
        <f t="shared" si="585"/>
        <v>0</v>
      </c>
      <c r="DE113" s="142">
        <f t="shared" si="585"/>
        <v>0</v>
      </c>
      <c r="DF113" s="142">
        <f t="shared" si="585"/>
        <v>0</v>
      </c>
      <c r="DG113" s="142">
        <f t="shared" si="585"/>
        <v>0</v>
      </c>
      <c r="DH113" s="142">
        <f t="shared" si="585"/>
        <v>0</v>
      </c>
      <c r="DI113" s="142">
        <f t="shared" si="585"/>
        <v>0</v>
      </c>
      <c r="DJ113" s="142">
        <f t="shared" si="585"/>
        <v>0</v>
      </c>
      <c r="DK113" s="142">
        <f t="shared" si="585"/>
        <v>0</v>
      </c>
      <c r="DL113" s="142">
        <f t="shared" si="585"/>
        <v>0</v>
      </c>
      <c r="DM113" s="142">
        <f t="shared" si="585"/>
        <v>0</v>
      </c>
      <c r="DN113" s="142">
        <f t="shared" si="585"/>
        <v>0</v>
      </c>
      <c r="DO113" s="142">
        <f t="shared" si="585"/>
        <v>0</v>
      </c>
      <c r="DP113" s="142">
        <f t="shared" si="585"/>
        <v>0</v>
      </c>
      <c r="DQ113" s="142">
        <f t="shared" si="585"/>
        <v>0</v>
      </c>
      <c r="DR113" s="142">
        <f t="shared" si="585"/>
        <v>0</v>
      </c>
      <c r="DS113" s="142">
        <f t="shared" si="585"/>
        <v>0</v>
      </c>
      <c r="DT113" s="142">
        <f t="shared" si="585"/>
        <v>0</v>
      </c>
      <c r="DU113" s="142">
        <f t="shared" si="585"/>
        <v>0</v>
      </c>
      <c r="DV113" s="142">
        <f t="shared" si="585"/>
        <v>0</v>
      </c>
      <c r="DW113" s="142">
        <f t="shared" si="585"/>
        <v>0</v>
      </c>
      <c r="DX113" s="142">
        <f t="shared" si="585"/>
        <v>0</v>
      </c>
      <c r="DY113" s="142">
        <f t="shared" si="585"/>
        <v>0</v>
      </c>
      <c r="DZ113" s="142">
        <f t="shared" si="585"/>
        <v>0</v>
      </c>
      <c r="EA113" s="143">
        <f t="shared" si="504"/>
        <v>0</v>
      </c>
      <c r="EB113" s="143">
        <f t="shared" si="505"/>
        <v>0</v>
      </c>
      <c r="EC113" s="143">
        <f t="shared" si="506"/>
        <v>0</v>
      </c>
      <c r="ED113" s="143">
        <f t="shared" si="507"/>
        <v>0</v>
      </c>
      <c r="EE113" s="143">
        <f t="shared" si="508"/>
        <v>0</v>
      </c>
      <c r="EF113" s="143">
        <f t="shared" si="509"/>
        <v>0</v>
      </c>
      <c r="EG113" s="143">
        <f t="shared" si="510"/>
        <v>0</v>
      </c>
      <c r="EH113" s="143">
        <f t="shared" si="511"/>
        <v>0</v>
      </c>
      <c r="EI113" s="143">
        <f t="shared" si="512"/>
        <v>0</v>
      </c>
      <c r="EJ113" s="143">
        <f t="shared" si="513"/>
        <v>0</v>
      </c>
      <c r="EK113" s="143">
        <f t="shared" si="514"/>
        <v>0</v>
      </c>
      <c r="EL113" s="143">
        <f t="shared" si="515"/>
        <v>0</v>
      </c>
      <c r="EM113" s="143">
        <f t="shared" si="516"/>
        <v>0</v>
      </c>
      <c r="EN113" s="143">
        <f t="shared" si="517"/>
        <v>0</v>
      </c>
      <c r="EO113" s="143">
        <f t="shared" si="518"/>
        <v>0</v>
      </c>
      <c r="EP113" s="143">
        <f t="shared" si="519"/>
        <v>0</v>
      </c>
      <c r="EQ113" s="143">
        <f t="shared" si="520"/>
        <v>0</v>
      </c>
      <c r="ER113" s="143">
        <f t="shared" si="521"/>
        <v>0</v>
      </c>
      <c r="ES113" s="143">
        <f t="shared" si="522"/>
        <v>0</v>
      </c>
      <c r="ET113" s="143">
        <f t="shared" si="523"/>
        <v>0</v>
      </c>
      <c r="EU113" s="143">
        <f t="shared" si="524"/>
        <v>0</v>
      </c>
      <c r="EV113" s="143">
        <f t="shared" si="525"/>
        <v>0</v>
      </c>
      <c r="EW113" s="143">
        <f t="shared" si="526"/>
        <v>0</v>
      </c>
      <c r="EX113" s="143">
        <f t="shared" si="527"/>
        <v>0</v>
      </c>
      <c r="EY113" s="143">
        <f t="shared" si="528"/>
        <v>0</v>
      </c>
      <c r="EZ113" s="143">
        <f t="shared" si="529"/>
        <v>0</v>
      </c>
      <c r="FA113" s="143">
        <f t="shared" si="530"/>
        <v>0</v>
      </c>
      <c r="FB113" s="143">
        <f t="shared" si="531"/>
        <v>0</v>
      </c>
      <c r="FC113" s="143">
        <f t="shared" si="532"/>
        <v>0</v>
      </c>
      <c r="FD113" s="143">
        <f t="shared" si="533"/>
        <v>0</v>
      </c>
      <c r="FE113" s="140">
        <f>SUM($D113:D113)*IF($B113="Operacional",IFERROR(VLOOKUP($C113,SN_UGC,28,0),0),1)</f>
        <v>0</v>
      </c>
      <c r="FF113" s="140">
        <f>SUM($D113:E113)*IF($B113="Operacional",IFERROR(VLOOKUP($C113,SN_UGC,28,0),0),1)</f>
        <v>0</v>
      </c>
      <c r="FG113" s="140">
        <f>SUM($D113:F113)*IF($B113="Operacional",IFERROR(VLOOKUP($C113,SN_UGC,28,0),0),1)</f>
        <v>0</v>
      </c>
      <c r="FH113" s="140">
        <f>SUM($D113:G113)*IF($B113="Operacional",IFERROR(VLOOKUP($C113,SN_UGC,28,0),0),1)</f>
        <v>0</v>
      </c>
      <c r="FI113" s="140">
        <f>SUM($D113:H113)*IF($B113="Operacional",IFERROR(VLOOKUP($C113,SN_UGC,28,0),0),1)</f>
        <v>0</v>
      </c>
      <c r="FJ113" s="140">
        <f>SUM($D113:I113)*IF($B113="Operacional",IFERROR(VLOOKUP($C113,SN_UGC,28,0),0),1)</f>
        <v>0</v>
      </c>
      <c r="FK113" s="140">
        <f>SUM($D113:J113)*IF($B113="Operacional",IFERROR(VLOOKUP($C113,SN_UGC,28,0),0),1)</f>
        <v>0</v>
      </c>
      <c r="FL113" s="140">
        <f>SUM($D113:K113)*IF($B113="Operacional",IFERROR(VLOOKUP($C113,SN_UGC,28,0),0),1)</f>
        <v>0</v>
      </c>
      <c r="FM113" s="140">
        <f>SUM($D113:L113)*IF($B113="Operacional",IFERROR(VLOOKUP($C113,SN_UGC,28,0),0),1)</f>
        <v>0</v>
      </c>
      <c r="FN113" s="140">
        <f>SUM($D113:M113)*IF($B113="Operacional",IFERROR(VLOOKUP($C113,SN_UGC,28,0),0),1)</f>
        <v>0</v>
      </c>
      <c r="FO113" s="140">
        <f>SUM($D113:N113)*IF($B113="Operacional",IFERROR(VLOOKUP($C113,SN_UGC,28,0),0),1)</f>
        <v>0</v>
      </c>
      <c r="FP113" s="140">
        <f>SUM($D113:O113)*IF($B113="Operacional",IFERROR(VLOOKUP($C113,SN_UGC,28,0),0),1)</f>
        <v>0</v>
      </c>
      <c r="FQ113" s="140">
        <f>SUM($D113:P113)*IF($B113="Operacional",IFERROR(VLOOKUP($C113,SN_UGC,28,0),0),1)</f>
        <v>0</v>
      </c>
      <c r="FR113" s="140">
        <f>SUM($D113:Q113)*IF($B113="Operacional",IFERROR(VLOOKUP($C113,SN_UGC,28,0),0),1)</f>
        <v>0</v>
      </c>
      <c r="FS113" s="140">
        <f>SUM($D113:R113)*IF($B113="Operacional",IFERROR(VLOOKUP($C113,SN_UGC,28,0),0),1)</f>
        <v>0</v>
      </c>
      <c r="FT113" s="140">
        <f>SUM($D113:S113)*IF($B113="Operacional",IFERROR(VLOOKUP($C113,SN_UGC,28,0),0),1)</f>
        <v>0</v>
      </c>
      <c r="FU113" s="140">
        <f>SUM($D113:T113)*IF($B113="Operacional",IFERROR(VLOOKUP($C113,SN_UGC,28,0),0),1)</f>
        <v>0</v>
      </c>
      <c r="FV113" s="140">
        <f>SUM($D113:U113)*IF($B113="Operacional",IFERROR(VLOOKUP($C113,SN_UGC,28,0),0),1)</f>
        <v>0</v>
      </c>
      <c r="FW113" s="140">
        <f>SUM($D113:V113)*IF($B113="Operacional",IFERROR(VLOOKUP($C113,SN_UGC,28,0),0),1)</f>
        <v>0</v>
      </c>
      <c r="FX113" s="140">
        <f>SUM($D113:W113)*IF($B113="Operacional",IFERROR(VLOOKUP($C113,SN_UGC,28,0),0),1)</f>
        <v>0</v>
      </c>
      <c r="FY113" s="140">
        <f>SUM($D113:X113)*IF($B113="Operacional",IFERROR(VLOOKUP($C113,SN_UGC,28,0),0),1)</f>
        <v>0</v>
      </c>
      <c r="FZ113" s="140">
        <f>SUM($D113:Y113)*IF($B113="Operacional",IFERROR(VLOOKUP($C113,SN_UGC,28,0),0),1)</f>
        <v>0</v>
      </c>
      <c r="GA113" s="140">
        <f>SUM($D113:Z113)*IF($B113="Operacional",IFERROR(VLOOKUP($C113,SN_UGC,28,0),0),1)</f>
        <v>0</v>
      </c>
      <c r="GB113" s="140">
        <f>SUM($D113:AA113)*IF($B113="Operacional",IFERROR(VLOOKUP($C113,SN_UGC,28,0),0),1)</f>
        <v>0</v>
      </c>
      <c r="GC113" s="140">
        <f>SUM($D113:AB113)*IF($B113="Operacional",IFERROR(VLOOKUP($C113,SN_UGC,28,0),0),1)</f>
        <v>0</v>
      </c>
      <c r="GD113" s="140">
        <f>SUM($D113:AC113)*IF($B113="Operacional",IFERROR(VLOOKUP($C113,SN_UGC,28,0),0),1)</f>
        <v>0</v>
      </c>
      <c r="GE113" s="140">
        <f>SUM($D113:AD113)*IF($B113="Operacional",IFERROR(VLOOKUP($C113,SN_UGC,28,0),0),1)</f>
        <v>0</v>
      </c>
      <c r="GF113" s="140">
        <f>SUM($D113:AE113)*IF($B113="Operacional",IFERROR(VLOOKUP($C113,SN_UGC,28,0),0),1)</f>
        <v>0</v>
      </c>
      <c r="GG113" s="140">
        <f>SUM($D113:AF113)*IF($B113="Operacional",IFERROR(VLOOKUP($C113,SN_UGC,28,0),0),1)</f>
        <v>0</v>
      </c>
      <c r="GH113" s="140">
        <f>SUM($D113:AG113)*IF($B113="Operacional",IFERROR(VLOOKUP($C113,SN_UGC,28,0),0),1)</f>
        <v>0</v>
      </c>
      <c r="GI113" s="141">
        <f t="shared" ref="GI113:HL113" si="586">FE113*$AH113*$AL113</f>
        <v>0</v>
      </c>
      <c r="GJ113" s="141">
        <f t="shared" si="586"/>
        <v>0</v>
      </c>
      <c r="GK113" s="141">
        <f t="shared" si="586"/>
        <v>0</v>
      </c>
      <c r="GL113" s="141">
        <f t="shared" si="586"/>
        <v>0</v>
      </c>
      <c r="GM113" s="141">
        <f t="shared" si="586"/>
        <v>0</v>
      </c>
      <c r="GN113" s="141">
        <f t="shared" si="586"/>
        <v>0</v>
      </c>
      <c r="GO113" s="141">
        <f t="shared" si="586"/>
        <v>0</v>
      </c>
      <c r="GP113" s="141">
        <f t="shared" si="586"/>
        <v>0</v>
      </c>
      <c r="GQ113" s="141">
        <f t="shared" si="586"/>
        <v>0</v>
      </c>
      <c r="GR113" s="141">
        <f t="shared" si="586"/>
        <v>0</v>
      </c>
      <c r="GS113" s="141">
        <f t="shared" si="586"/>
        <v>0</v>
      </c>
      <c r="GT113" s="141">
        <f t="shared" si="586"/>
        <v>0</v>
      </c>
      <c r="GU113" s="141">
        <f t="shared" si="586"/>
        <v>0</v>
      </c>
      <c r="GV113" s="141">
        <f t="shared" si="586"/>
        <v>0</v>
      </c>
      <c r="GW113" s="141">
        <f t="shared" si="586"/>
        <v>0</v>
      </c>
      <c r="GX113" s="141">
        <f t="shared" si="586"/>
        <v>0</v>
      </c>
      <c r="GY113" s="141">
        <f t="shared" si="586"/>
        <v>0</v>
      </c>
      <c r="GZ113" s="141">
        <f t="shared" si="586"/>
        <v>0</v>
      </c>
      <c r="HA113" s="141">
        <f t="shared" si="586"/>
        <v>0</v>
      </c>
      <c r="HB113" s="141">
        <f t="shared" si="586"/>
        <v>0</v>
      </c>
      <c r="HC113" s="141">
        <f t="shared" si="586"/>
        <v>0</v>
      </c>
      <c r="HD113" s="141">
        <f t="shared" si="586"/>
        <v>0</v>
      </c>
      <c r="HE113" s="141">
        <f t="shared" si="586"/>
        <v>0</v>
      </c>
      <c r="HF113" s="141">
        <f t="shared" si="586"/>
        <v>0</v>
      </c>
      <c r="HG113" s="141">
        <f t="shared" si="586"/>
        <v>0</v>
      </c>
      <c r="HH113" s="141">
        <f t="shared" si="586"/>
        <v>0</v>
      </c>
      <c r="HI113" s="141">
        <f t="shared" si="586"/>
        <v>0</v>
      </c>
      <c r="HJ113" s="141">
        <f t="shared" si="586"/>
        <v>0</v>
      </c>
      <c r="HK113" s="141">
        <f t="shared" si="586"/>
        <v>0</v>
      </c>
      <c r="HL113" s="141">
        <f t="shared" si="586"/>
        <v>0</v>
      </c>
      <c r="HM113" s="142">
        <f t="shared" ref="HM113:IP113" si="587">IF(ISBLANK($A113),,FE113*($AH113-($AH113*$AJ113))/$AI113)</f>
        <v>0</v>
      </c>
      <c r="HN113" s="142">
        <f t="shared" si="587"/>
        <v>0</v>
      </c>
      <c r="HO113" s="142">
        <f t="shared" si="587"/>
        <v>0</v>
      </c>
      <c r="HP113" s="142">
        <f t="shared" si="587"/>
        <v>0</v>
      </c>
      <c r="HQ113" s="142">
        <f t="shared" si="587"/>
        <v>0</v>
      </c>
      <c r="HR113" s="142">
        <f t="shared" si="587"/>
        <v>0</v>
      </c>
      <c r="HS113" s="142">
        <f t="shared" si="587"/>
        <v>0</v>
      </c>
      <c r="HT113" s="142">
        <f t="shared" si="587"/>
        <v>0</v>
      </c>
      <c r="HU113" s="142">
        <f t="shared" si="587"/>
        <v>0</v>
      </c>
      <c r="HV113" s="142">
        <f t="shared" si="587"/>
        <v>0</v>
      </c>
      <c r="HW113" s="142">
        <f t="shared" si="587"/>
        <v>0</v>
      </c>
      <c r="HX113" s="142">
        <f t="shared" si="587"/>
        <v>0</v>
      </c>
      <c r="HY113" s="142">
        <f t="shared" si="587"/>
        <v>0</v>
      </c>
      <c r="HZ113" s="142">
        <f t="shared" si="587"/>
        <v>0</v>
      </c>
      <c r="IA113" s="142">
        <f t="shared" si="587"/>
        <v>0</v>
      </c>
      <c r="IB113" s="142">
        <f t="shared" si="587"/>
        <v>0</v>
      </c>
      <c r="IC113" s="142">
        <f t="shared" si="587"/>
        <v>0</v>
      </c>
      <c r="ID113" s="142">
        <f t="shared" si="587"/>
        <v>0</v>
      </c>
      <c r="IE113" s="142">
        <f t="shared" si="587"/>
        <v>0</v>
      </c>
      <c r="IF113" s="142">
        <f t="shared" si="587"/>
        <v>0</v>
      </c>
      <c r="IG113" s="142">
        <f t="shared" si="587"/>
        <v>0</v>
      </c>
      <c r="IH113" s="142">
        <f t="shared" si="587"/>
        <v>0</v>
      </c>
      <c r="II113" s="142">
        <f t="shared" si="587"/>
        <v>0</v>
      </c>
      <c r="IJ113" s="142">
        <f t="shared" si="587"/>
        <v>0</v>
      </c>
      <c r="IK113" s="142">
        <f t="shared" si="587"/>
        <v>0</v>
      </c>
      <c r="IL113" s="142">
        <f t="shared" si="587"/>
        <v>0</v>
      </c>
      <c r="IM113" s="142">
        <f t="shared" si="587"/>
        <v>0</v>
      </c>
      <c r="IN113" s="142">
        <f t="shared" si="587"/>
        <v>0</v>
      </c>
      <c r="IO113" s="142">
        <f t="shared" si="587"/>
        <v>0</v>
      </c>
      <c r="IP113" s="142">
        <f t="shared" si="587"/>
        <v>0</v>
      </c>
      <c r="IQ113" s="141">
        <f>IF(ISBLANK($A113),,IF($AN113="Não",0,(SUM($AO113:AO113)*$AH113)-SUM($HM113:HM113)-SUM($CW113:CW113)))</f>
        <v>0</v>
      </c>
      <c r="IR113" s="141">
        <f>IF(ISBLANK($A113),,IF($AN113="Não",0,(SUM($AO113:AP113)*$AH113)-SUM($HM113:HN113)-SUM($CW113:CX113)))</f>
        <v>0</v>
      </c>
      <c r="IS113" s="141">
        <f>IF(ISBLANK($A113),,IF($AN113="Não",0,(SUM($AO113:AQ113)*$AH113)-SUM($HM113:HO113)-SUM($CW113:CY113)))</f>
        <v>0</v>
      </c>
      <c r="IT113" s="141">
        <f>IF(ISBLANK($A113),,IF($AN113="Não",0,(SUM($AO113:AR113)*$AH113)-SUM($HM113:HP113)-SUM($CW113:CZ113)))</f>
        <v>0</v>
      </c>
      <c r="IU113" s="141">
        <f>IF(ISBLANK($A113),,IF($AN113="Não",0,(SUM($AO113:AS113)*$AH113)-SUM($HM113:HQ113)-SUM($CW113:DA113)))</f>
        <v>0</v>
      </c>
      <c r="IV113" s="141">
        <f>IF(ISBLANK($A113),,IF($AN113="Não",0,(SUM($AO113:AT113)*$AH113)-SUM($HM113:HR113)-SUM($CW113:DB113)))</f>
        <v>0</v>
      </c>
      <c r="IW113" s="141">
        <f>IF(ISBLANK($A113),,IF($AN113="Não",0,(SUM($AO113:AU113)*$AH113)-SUM($HM113:HS113)-SUM($CW113:DC113)))</f>
        <v>0</v>
      </c>
      <c r="IX113" s="141">
        <f>IF(ISBLANK($A113),,IF($AN113="Não",0,(SUM($AO113:AV113)*$AH113)-SUM($HM113:HT113)-SUM($CW113:DD113)))</f>
        <v>0</v>
      </c>
      <c r="IY113" s="141">
        <f>IF(ISBLANK($A113),,IF($AN113="Não",0,(SUM($AO113:AW113)*$AH113)-SUM($HM113:HU113)-SUM($CW113:DE113)))</f>
        <v>0</v>
      </c>
      <c r="IZ113" s="141">
        <f>IF(ISBLANK($A113),,IF($AN113="Não",0,(SUM($AO113:AX113)*$AH113)-SUM($HM113:HV113)-SUM($CW113:DF113)))</f>
        <v>0</v>
      </c>
      <c r="JA113" s="141">
        <f>IF(ISBLANK($A113),,IF($AN113="Não",0,(SUM($AO113:AY113)*$AH113)-SUM($HM113:HW113)-SUM($CW113:DG113)))</f>
        <v>0</v>
      </c>
      <c r="JB113" s="141">
        <f>IF(ISBLANK($A113),,IF($AN113="Não",0,(SUM($AO113:AZ113)*$AH113)-SUM($HM113:HX113)-SUM($CW113:DH113)))</f>
        <v>0</v>
      </c>
      <c r="JC113" s="141">
        <f>IF(ISBLANK($A113),,IF($AN113="Não",0,(SUM($AO113:BA113)*$AH113)-SUM($HM113:HY113)-SUM($CW113:DI113)))</f>
        <v>0</v>
      </c>
      <c r="JD113" s="141">
        <f>IF(ISBLANK($A113),,IF($AN113="Não",0,(SUM($AO113:BB113)*$AH113)-SUM($HM113:HZ113)-SUM($CW113:DJ113)))</f>
        <v>0</v>
      </c>
      <c r="JE113" s="141">
        <f>IF(ISBLANK($A113),,IF($AN113="Não",0,(SUM($AO113:BC113)*$AH113)-SUM($HM113:IA113)-SUM($CW113:DK113)))</f>
        <v>0</v>
      </c>
      <c r="JF113" s="141">
        <f>IF(ISBLANK($A113),,IF($AN113="Não",0,(SUM($AO113:BD113)*$AH113)-SUM($HM113:IB113)-SUM($CW113:DL113)))</f>
        <v>0</v>
      </c>
      <c r="JG113" s="141">
        <f>IF(ISBLANK($A113),,IF($AN113="Não",0,(SUM($AO113:BE113)*$AH113)-SUM($HM113:IC113)-SUM($CW113:DM113)))</f>
        <v>0</v>
      </c>
      <c r="JH113" s="141">
        <f>IF(ISBLANK($A113),,IF($AN113="Não",0,(SUM($AO113:BF113)*$AH113)-SUM($HM113:ID113)-SUM($CW113:DN113)))</f>
        <v>0</v>
      </c>
      <c r="JI113" s="141">
        <f>IF(ISBLANK($A113),,IF($AN113="Não",0,(SUM($AO113:BG113)*$AH113)-SUM($HM113:IE113)-SUM($CW113:DO113)))</f>
        <v>0</v>
      </c>
      <c r="JJ113" s="141">
        <f>IF(ISBLANK($A113),,IF($AN113="Não",0,(SUM($AO113:BH113)*$AH113)-SUM($HM113:IF113)-SUM($CW113:DP113)))</f>
        <v>0</v>
      </c>
      <c r="JK113" s="141">
        <f>IF(ISBLANK($A113),,IF($AN113="Não",0,(SUM($AO113:BI113)*$AH113)-SUM($HM113:IG113)-SUM($CW113:DQ113)))</f>
        <v>0</v>
      </c>
      <c r="JL113" s="141">
        <f>IF(ISBLANK($A113),,IF($AN113="Não",0,(SUM($AO113:BJ113)*$AH113)-SUM($HM113:IH113)-SUM($CW113:DR113)))</f>
        <v>0</v>
      </c>
      <c r="JM113" s="141">
        <f>IF(ISBLANK($A113),,IF($AN113="Não",0,(SUM($AO113:BK113)*$AH113)-SUM($HM113:II113)-SUM($CW113:DS113)))</f>
        <v>0</v>
      </c>
      <c r="JN113" s="141">
        <f>IF(ISBLANK($A113),,IF($AN113="Não",0,(SUM($AO113:BL113)*$AH113)-SUM($HM113:IJ113)-SUM($CW113:DT113)))</f>
        <v>0</v>
      </c>
      <c r="JO113" s="141">
        <f>IF(ISBLANK($A113),,IF($AN113="Não",0,(SUM($AO113:BM113)*$AH113)-SUM($HM113:IK113)-SUM($CW113:DU113)))</f>
        <v>0</v>
      </c>
      <c r="JP113" s="141">
        <f>IF(ISBLANK($A113),,IF($AN113="Não",0,(SUM($AO113:BN113)*$AH113)-SUM($HM113:IL113)-SUM($CW113:DV113)))</f>
        <v>0</v>
      </c>
      <c r="JQ113" s="141">
        <f>IF(ISBLANK($A113),,IF($AN113="Não",0,(SUM($AO113:BO113)*$AH113)-SUM($HM113:IM113)-SUM($CW113:DW113)))</f>
        <v>0</v>
      </c>
      <c r="JR113" s="141">
        <f>IF(ISBLANK($A113),,IF($AN113="Não",0,(SUM($AO113:BP113)*$AH113)-SUM($HM113:IN113)-SUM($CW113:DX113)))</f>
        <v>0</v>
      </c>
      <c r="JS113" s="141">
        <f>IF(ISBLANK($A113),,IF($AN113="Não",0,(SUM($AO113:BQ113)*$AH113)-SUM($HM113:IO113)-SUM($CW113:DY113)))</f>
        <v>0</v>
      </c>
      <c r="JT113" s="141">
        <f>IF(ISBLANK($A113),,IF($AN113="Não",0,(SUM($AO113:BR113)*$AH113)-SUM($HM113:IP113)-SUM($CW113:DZ113)))</f>
        <v>0</v>
      </c>
    </row>
    <row r="114" spans="1:280" ht="15.75" customHeight="1">
      <c r="A114" s="129"/>
      <c r="B114" s="129"/>
      <c r="C114" s="138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607">
        <f t="shared" si="544"/>
        <v>0</v>
      </c>
      <c r="AI114" s="608">
        <f t="shared" si="545"/>
        <v>0</v>
      </c>
      <c r="AJ114" s="609">
        <f t="shared" si="546"/>
        <v>0</v>
      </c>
      <c r="AK114" s="610" t="str">
        <f t="shared" si="547"/>
        <v/>
      </c>
      <c r="AL114" s="609">
        <f t="shared" si="548"/>
        <v>0</v>
      </c>
      <c r="AM114" s="611" t="str">
        <f t="shared" si="549"/>
        <v/>
      </c>
      <c r="AN114" s="611" t="str">
        <f t="shared" si="550"/>
        <v/>
      </c>
      <c r="AO114" s="140">
        <f t="array" ref="AO114">IF(ISBLANK($A114),0,IF(OR(AO$5-$AI114&lt;=0,$AM114="Não"),D114,D114+INDEX($AO$6:$BR$176,ROW()-5,COLUMN()-40-$AI114)))*IF($B114="Operacional",IFERROR(VLOOKUP($C114,SN_UGC,28,0),0),1)</f>
        <v>0</v>
      </c>
      <c r="AP114" s="140">
        <f t="array" ref="AP114">IF(ISBLANK($A114),0,IF(OR(AP$5-$AI114&lt;=0,$AM114="Não"),E114,E114+INDEX($AO$6:$BR$176,ROW()-5,COLUMN()-40-$AI114)))*IF($B114="Operacional",IFERROR(VLOOKUP($C114,SN_UGC,28,0),0),1)</f>
        <v>0</v>
      </c>
      <c r="AQ114" s="140">
        <f t="array" ref="AQ114">IF(ISBLANK($A114),0,IF(OR(AQ$5-$AI114&lt;=0,$AM114="Não"),F114,F114+INDEX($AO$6:$BR$176,ROW()-5,COLUMN()-40-$AI114)))*IF($B114="Operacional",IFERROR(VLOOKUP($C114,SN_UGC,28,0),0),1)</f>
        <v>0</v>
      </c>
      <c r="AR114" s="140">
        <f t="array" ref="AR114">IF(ISBLANK($A114),0,IF(OR(AR$5-$AI114&lt;=0,$AM114="Não"),G114,G114+INDEX($AO$6:$BR$176,ROW()-5,COLUMN()-40-$AI114)))*IF($B114="Operacional",IFERROR(VLOOKUP($C114,SN_UGC,28,0),0),1)</f>
        <v>0</v>
      </c>
      <c r="AS114" s="140">
        <f t="array" ref="AS114">IF(ISBLANK($A114),0,IF(OR(AS$5-$AI114&lt;=0,$AM114="Não"),H114,H114+INDEX($AO$6:$BR$176,ROW()-5,COLUMN()-40-$AI114)))*IF($B114="Operacional",IFERROR(VLOOKUP($C114,SN_UGC,28,0),0),1)</f>
        <v>0</v>
      </c>
      <c r="AT114" s="140">
        <f t="array" ref="AT114">IF(ISBLANK($A114),0,IF(OR(AT$5-$AI114&lt;=0,$AM114="Não"),I114,I114+INDEX($AO$6:$BR$176,ROW()-5,COLUMN()-40-$AI114)))*IF($B114="Operacional",IFERROR(VLOOKUP($C114,SN_UGC,28,0),0),1)</f>
        <v>0</v>
      </c>
      <c r="AU114" s="140">
        <f t="array" ref="AU114">IF(ISBLANK($A114),0,IF(OR(AU$5-$AI114&lt;=0,$AM114="Não"),J114,J114+INDEX($AO$6:$BR$176,ROW()-5,COLUMN()-40-$AI114)))*IF($B114="Operacional",IFERROR(VLOOKUP($C114,SN_UGC,28,0),0),1)</f>
        <v>0</v>
      </c>
      <c r="AV114" s="140">
        <f t="array" ref="AV114">IF(ISBLANK($A114),0,IF(OR(AV$5-$AI114&lt;=0,$AM114="Não"),K114,K114+INDEX($AO$6:$BR$176,ROW()-5,COLUMN()-40-$AI114)))*IF($B114="Operacional",IFERROR(VLOOKUP($C114,SN_UGC,28,0),0),1)</f>
        <v>0</v>
      </c>
      <c r="AW114" s="140">
        <f t="array" ref="AW114">IF(ISBLANK($A114),0,IF(OR(AW$5-$AI114&lt;=0,$AM114="Não"),L114,L114+INDEX($AO$6:$BR$176,ROW()-5,COLUMN()-40-$AI114)))*IF($B114="Operacional",IFERROR(VLOOKUP($C114,SN_UGC,28,0),0),1)</f>
        <v>0</v>
      </c>
      <c r="AX114" s="140">
        <f t="array" ref="AX114">IF(ISBLANK($A114),0,IF(OR(AX$5-$AI114&lt;=0,$AM114="Não"),M114,M114+INDEX($AO$6:$BR$176,ROW()-5,COLUMN()-40-$AI114)))*IF($B114="Operacional",IFERROR(VLOOKUP($C114,SN_UGC,28,0),0),1)</f>
        <v>0</v>
      </c>
      <c r="AY114" s="140">
        <f t="array" ref="AY114">IF(ISBLANK($A114),0,IF(OR(AY$5-$AI114&lt;=0,$AM114="Não"),N114,N114+INDEX($AO$6:$BR$176,ROW()-5,COLUMN()-40-$AI114)))*IF($B114="Operacional",IFERROR(VLOOKUP($C114,SN_UGC,28,0),0),1)</f>
        <v>0</v>
      </c>
      <c r="AZ114" s="140">
        <f t="array" ref="AZ114">IF(ISBLANK($A114),0,IF(OR(AZ$5-$AI114&lt;=0,$AM114="Não"),O114,O114+INDEX($AO$6:$BR$176,ROW()-5,COLUMN()-40-$AI114)))*IF($B114="Operacional",IFERROR(VLOOKUP($C114,SN_UGC,28,0),0),1)</f>
        <v>0</v>
      </c>
      <c r="BA114" s="140">
        <f t="array" ref="BA114">IF(ISBLANK($A114),0,IF(OR(BA$5-$AI114&lt;=0,$AM114="Não"),P114,P114+INDEX($AO$6:$BR$176,ROW()-5,COLUMN()-40-$AI114)))*IF($B114="Operacional",IFERROR(VLOOKUP($C114,SN_UGC,28,0),0),1)</f>
        <v>0</v>
      </c>
      <c r="BB114" s="140">
        <f t="array" ref="BB114">IF(ISBLANK($A114),0,IF(OR(BB$5-$AI114&lt;=0,$AM114="Não"),Q114,Q114+INDEX($AO$6:$BR$176,ROW()-5,COLUMN()-40-$AI114)))*IF($B114="Operacional",IFERROR(VLOOKUP($C114,SN_UGC,28,0),0),1)</f>
        <v>0</v>
      </c>
      <c r="BC114" s="140">
        <f t="array" ref="BC114">IF(ISBLANK($A114),0,IF(OR(BC$5-$AI114&lt;=0,$AM114="Não"),R114,R114+INDEX($AO$6:$BR$176,ROW()-5,COLUMN()-40-$AI114)))*IF($B114="Operacional",IFERROR(VLOOKUP($C114,SN_UGC,28,0),0),1)</f>
        <v>0</v>
      </c>
      <c r="BD114" s="140">
        <f t="array" ref="BD114">IF(ISBLANK($A114),0,IF(OR(BD$5-$AI114&lt;=0,$AM114="Não"),S114,S114+INDEX($AO$6:$BR$176,ROW()-5,COLUMN()-40-$AI114)))*IF($B114="Operacional",IFERROR(VLOOKUP($C114,SN_UGC,28,0),0),1)</f>
        <v>0</v>
      </c>
      <c r="BE114" s="140">
        <f t="array" ref="BE114">IF(ISBLANK($A114),0,IF(OR(BE$5-$AI114&lt;=0,$AM114="Não"),T114,T114+INDEX($AO$6:$BR$176,ROW()-5,COLUMN()-40-$AI114)))*IF($B114="Operacional",IFERROR(VLOOKUP($C114,SN_UGC,28,0),0),1)</f>
        <v>0</v>
      </c>
      <c r="BF114" s="140">
        <f t="array" ref="BF114">IF(ISBLANK($A114),0,IF(OR(BF$5-$AI114&lt;=0,$AM114="Não"),U114,U114+INDEX($AO$6:$BR$176,ROW()-5,COLUMN()-40-$AI114)))*IF($B114="Operacional",IFERROR(VLOOKUP($C114,SN_UGC,28,0),0),1)</f>
        <v>0</v>
      </c>
      <c r="BG114" s="140">
        <f t="array" ref="BG114">IF(ISBLANK($A114),0,IF(OR(BG$5-$AI114&lt;=0,$AM114="Não"),V114,V114+INDEX($AO$6:$BR$176,ROW()-5,COLUMN()-40-$AI114)))*IF($B114="Operacional",IFERROR(VLOOKUP($C114,SN_UGC,28,0),0),1)</f>
        <v>0</v>
      </c>
      <c r="BH114" s="140">
        <f t="array" ref="BH114">IF(ISBLANK($A114),0,IF(OR(BH$5-$AI114&lt;=0,$AM114="Não"),W114,W114+INDEX($AO$6:$BR$176,ROW()-5,COLUMN()-40-$AI114)))*IF($B114="Operacional",IFERROR(VLOOKUP($C114,SN_UGC,28,0),0),1)</f>
        <v>0</v>
      </c>
      <c r="BI114" s="140">
        <f t="array" ref="BI114">IF(ISBLANK($A114),0,IF(OR(BI$5-$AI114&lt;=0,$AM114="Não"),X114,X114+INDEX($AO$6:$BR$176,ROW()-5,COLUMN()-40-$AI114)))*IF($B114="Operacional",IFERROR(VLOOKUP($C114,SN_UGC,28,0),0),1)</f>
        <v>0</v>
      </c>
      <c r="BJ114" s="140">
        <f t="array" ref="BJ114">IF(ISBLANK($A114),0,IF(OR(BJ$5-$AI114&lt;=0,$AM114="Não"),Y114,Y114+INDEX($AO$6:$BR$176,ROW()-5,COLUMN()-40-$AI114)))*IF($B114="Operacional",IFERROR(VLOOKUP($C114,SN_UGC,28,0),0),1)</f>
        <v>0</v>
      </c>
      <c r="BK114" s="140">
        <f t="array" ref="BK114">IF(ISBLANK($A114),0,IF(OR(BK$5-$AI114&lt;=0,$AM114="Não"),Z114,Z114+INDEX($AO$6:$BR$176,ROW()-5,COLUMN()-40-$AI114)))*IF($B114="Operacional",IFERROR(VLOOKUP($C114,SN_UGC,28,0),0),1)</f>
        <v>0</v>
      </c>
      <c r="BL114" s="140">
        <f t="array" ref="BL114">IF(ISBLANK($A114),0,IF(OR(BL$5-$AI114&lt;=0,$AM114="Não"),AA114,AA114+INDEX($AO$6:$BR$176,ROW()-5,COLUMN()-40-$AI114)))*IF($B114="Operacional",IFERROR(VLOOKUP($C114,SN_UGC,28,0),0),1)</f>
        <v>0</v>
      </c>
      <c r="BM114" s="140">
        <f t="array" ref="BM114">IF(ISBLANK($A114),0,IF(OR(BM$5-$AI114&lt;=0,$AM114="Não"),AB114,AB114+INDEX($AO$6:$BR$176,ROW()-5,COLUMN()-40-$AI114)))*IF($B114="Operacional",IFERROR(VLOOKUP($C114,SN_UGC,28,0),0),1)</f>
        <v>0</v>
      </c>
      <c r="BN114" s="140">
        <f t="array" ref="BN114">IF(ISBLANK($A114),0,IF(OR(BN$5-$AI114&lt;=0,$AM114="Não"),AC114,AC114+INDEX($AO$6:$BR$176,ROW()-5,COLUMN()-40-$AI114)))*IF($B114="Operacional",IFERROR(VLOOKUP($C114,SN_UGC,28,0),0),1)</f>
        <v>0</v>
      </c>
      <c r="BO114" s="140">
        <f t="array" ref="BO114">IF(ISBLANK($A114),0,IF(OR(BO$5-$AI114&lt;=0,$AM114="Não"),AD114,AD114+INDEX($AO$6:$BR$176,ROW()-5,COLUMN()-40-$AI114)))*IF($B114="Operacional",IFERROR(VLOOKUP($C114,SN_UGC,28,0),0),1)</f>
        <v>0</v>
      </c>
      <c r="BP114" s="140">
        <f t="array" ref="BP114">IF(ISBLANK($A114),0,IF(OR(BP$5-$AI114&lt;=0,$AM114="Não"),AE114,AE114+INDEX($AO$6:$BR$176,ROW()-5,COLUMN()-40-$AI114)))*IF($B114="Operacional",IFERROR(VLOOKUP($C114,SN_UGC,28,0),0),1)</f>
        <v>0</v>
      </c>
      <c r="BQ114" s="140">
        <f t="array" ref="BQ114">IF(ISBLANK($A114),0,IF(OR(BQ$5-$AI114&lt;=0,$AM114="Não"),AF114,AF114+INDEX($AO$6:$BR$176,ROW()-5,COLUMN()-40-$AI114)))*IF($B114="Operacional",IFERROR(VLOOKUP($C114,SN_UGC,28,0),0),1)</f>
        <v>0</v>
      </c>
      <c r="BR114" s="140">
        <f t="array" ref="BR114">IF(ISBLANK($A114),0,IF(OR(BR$5-$AI114&lt;=0,$AM114="Não"),AG114,AG114+INDEX($AO$6:$BR$176,ROW()-5,COLUMN()-40-$AI114)))*IF($B114="Operacional",IFERROR(VLOOKUP($C114,SN_UGC,28,0),0),1)</f>
        <v>0</v>
      </c>
      <c r="BS114" s="141">
        <f t="shared" ref="BS114:CV114" si="588">IF(ISBLANK($A114),0,$AH114*AO114)</f>
        <v>0</v>
      </c>
      <c r="BT114" s="141">
        <f t="shared" si="588"/>
        <v>0</v>
      </c>
      <c r="BU114" s="141">
        <f t="shared" si="588"/>
        <v>0</v>
      </c>
      <c r="BV114" s="141">
        <f t="shared" si="588"/>
        <v>0</v>
      </c>
      <c r="BW114" s="141">
        <f t="shared" si="588"/>
        <v>0</v>
      </c>
      <c r="BX114" s="141">
        <f t="shared" si="588"/>
        <v>0</v>
      </c>
      <c r="BY114" s="141">
        <f t="shared" si="588"/>
        <v>0</v>
      </c>
      <c r="BZ114" s="141">
        <f t="shared" si="588"/>
        <v>0</v>
      </c>
      <c r="CA114" s="141">
        <f t="shared" si="588"/>
        <v>0</v>
      </c>
      <c r="CB114" s="141">
        <f t="shared" si="588"/>
        <v>0</v>
      </c>
      <c r="CC114" s="141">
        <f t="shared" si="588"/>
        <v>0</v>
      </c>
      <c r="CD114" s="141">
        <f t="shared" si="588"/>
        <v>0</v>
      </c>
      <c r="CE114" s="141">
        <f t="shared" si="588"/>
        <v>0</v>
      </c>
      <c r="CF114" s="141">
        <f t="shared" si="588"/>
        <v>0</v>
      </c>
      <c r="CG114" s="141">
        <f t="shared" si="588"/>
        <v>0</v>
      </c>
      <c r="CH114" s="141">
        <f t="shared" si="588"/>
        <v>0</v>
      </c>
      <c r="CI114" s="141">
        <f t="shared" si="588"/>
        <v>0</v>
      </c>
      <c r="CJ114" s="141">
        <f t="shared" si="588"/>
        <v>0</v>
      </c>
      <c r="CK114" s="141">
        <f t="shared" si="588"/>
        <v>0</v>
      </c>
      <c r="CL114" s="141">
        <f t="shared" si="588"/>
        <v>0</v>
      </c>
      <c r="CM114" s="141">
        <f t="shared" si="588"/>
        <v>0</v>
      </c>
      <c r="CN114" s="141">
        <f t="shared" si="588"/>
        <v>0</v>
      </c>
      <c r="CO114" s="141">
        <f t="shared" si="588"/>
        <v>0</v>
      </c>
      <c r="CP114" s="141">
        <f t="shared" si="588"/>
        <v>0</v>
      </c>
      <c r="CQ114" s="141">
        <f t="shared" si="588"/>
        <v>0</v>
      </c>
      <c r="CR114" s="141">
        <f t="shared" si="588"/>
        <v>0</v>
      </c>
      <c r="CS114" s="141">
        <f t="shared" si="588"/>
        <v>0</v>
      </c>
      <c r="CT114" s="141">
        <f t="shared" si="588"/>
        <v>0</v>
      </c>
      <c r="CU114" s="141">
        <f t="shared" si="588"/>
        <v>0</v>
      </c>
      <c r="CV114" s="141">
        <f t="shared" si="588"/>
        <v>0</v>
      </c>
      <c r="CW114" s="142">
        <f t="shared" ref="CW114:DZ114" si="589">EA114*$AH114*$AJ114</f>
        <v>0</v>
      </c>
      <c r="CX114" s="142">
        <f t="shared" si="589"/>
        <v>0</v>
      </c>
      <c r="CY114" s="142">
        <f t="shared" si="589"/>
        <v>0</v>
      </c>
      <c r="CZ114" s="142">
        <f t="shared" si="589"/>
        <v>0</v>
      </c>
      <c r="DA114" s="142">
        <f t="shared" si="589"/>
        <v>0</v>
      </c>
      <c r="DB114" s="142">
        <f t="shared" si="589"/>
        <v>0</v>
      </c>
      <c r="DC114" s="142">
        <f t="shared" si="589"/>
        <v>0</v>
      </c>
      <c r="DD114" s="142">
        <f t="shared" si="589"/>
        <v>0</v>
      </c>
      <c r="DE114" s="142">
        <f t="shared" si="589"/>
        <v>0</v>
      </c>
      <c r="DF114" s="142">
        <f t="shared" si="589"/>
        <v>0</v>
      </c>
      <c r="DG114" s="142">
        <f t="shared" si="589"/>
        <v>0</v>
      </c>
      <c r="DH114" s="142">
        <f t="shared" si="589"/>
        <v>0</v>
      </c>
      <c r="DI114" s="142">
        <f t="shared" si="589"/>
        <v>0</v>
      </c>
      <c r="DJ114" s="142">
        <f t="shared" si="589"/>
        <v>0</v>
      </c>
      <c r="DK114" s="142">
        <f t="shared" si="589"/>
        <v>0</v>
      </c>
      <c r="DL114" s="142">
        <f t="shared" si="589"/>
        <v>0</v>
      </c>
      <c r="DM114" s="142">
        <f t="shared" si="589"/>
        <v>0</v>
      </c>
      <c r="DN114" s="142">
        <f t="shared" si="589"/>
        <v>0</v>
      </c>
      <c r="DO114" s="142">
        <f t="shared" si="589"/>
        <v>0</v>
      </c>
      <c r="DP114" s="142">
        <f t="shared" si="589"/>
        <v>0</v>
      </c>
      <c r="DQ114" s="142">
        <f t="shared" si="589"/>
        <v>0</v>
      </c>
      <c r="DR114" s="142">
        <f t="shared" si="589"/>
        <v>0</v>
      </c>
      <c r="DS114" s="142">
        <f t="shared" si="589"/>
        <v>0</v>
      </c>
      <c r="DT114" s="142">
        <f t="shared" si="589"/>
        <v>0</v>
      </c>
      <c r="DU114" s="142">
        <f t="shared" si="589"/>
        <v>0</v>
      </c>
      <c r="DV114" s="142">
        <f t="shared" si="589"/>
        <v>0</v>
      </c>
      <c r="DW114" s="142">
        <f t="shared" si="589"/>
        <v>0</v>
      </c>
      <c r="DX114" s="142">
        <f t="shared" si="589"/>
        <v>0</v>
      </c>
      <c r="DY114" s="142">
        <f t="shared" si="589"/>
        <v>0</v>
      </c>
      <c r="DZ114" s="142">
        <f t="shared" si="589"/>
        <v>0</v>
      </c>
      <c r="EA114" s="143">
        <f t="shared" si="504"/>
        <v>0</v>
      </c>
      <c r="EB114" s="143">
        <f t="shared" si="505"/>
        <v>0</v>
      </c>
      <c r="EC114" s="143">
        <f t="shared" si="506"/>
        <v>0</v>
      </c>
      <c r="ED114" s="143">
        <f t="shared" si="507"/>
        <v>0</v>
      </c>
      <c r="EE114" s="143">
        <f t="shared" si="508"/>
        <v>0</v>
      </c>
      <c r="EF114" s="143">
        <f t="shared" si="509"/>
        <v>0</v>
      </c>
      <c r="EG114" s="143">
        <f t="shared" si="510"/>
        <v>0</v>
      </c>
      <c r="EH114" s="143">
        <f t="shared" si="511"/>
        <v>0</v>
      </c>
      <c r="EI114" s="143">
        <f t="shared" si="512"/>
        <v>0</v>
      </c>
      <c r="EJ114" s="143">
        <f t="shared" si="513"/>
        <v>0</v>
      </c>
      <c r="EK114" s="143">
        <f t="shared" si="514"/>
        <v>0</v>
      </c>
      <c r="EL114" s="143">
        <f t="shared" si="515"/>
        <v>0</v>
      </c>
      <c r="EM114" s="143">
        <f t="shared" si="516"/>
        <v>0</v>
      </c>
      <c r="EN114" s="143">
        <f t="shared" si="517"/>
        <v>0</v>
      </c>
      <c r="EO114" s="143">
        <f t="shared" si="518"/>
        <v>0</v>
      </c>
      <c r="EP114" s="143">
        <f t="shared" si="519"/>
        <v>0</v>
      </c>
      <c r="EQ114" s="143">
        <f t="shared" si="520"/>
        <v>0</v>
      </c>
      <c r="ER114" s="143">
        <f t="shared" si="521"/>
        <v>0</v>
      </c>
      <c r="ES114" s="143">
        <f t="shared" si="522"/>
        <v>0</v>
      </c>
      <c r="ET114" s="143">
        <f t="shared" si="523"/>
        <v>0</v>
      </c>
      <c r="EU114" s="143">
        <f t="shared" si="524"/>
        <v>0</v>
      </c>
      <c r="EV114" s="143">
        <f t="shared" si="525"/>
        <v>0</v>
      </c>
      <c r="EW114" s="143">
        <f t="shared" si="526"/>
        <v>0</v>
      </c>
      <c r="EX114" s="143">
        <f t="shared" si="527"/>
        <v>0</v>
      </c>
      <c r="EY114" s="143">
        <f t="shared" si="528"/>
        <v>0</v>
      </c>
      <c r="EZ114" s="143">
        <f t="shared" si="529"/>
        <v>0</v>
      </c>
      <c r="FA114" s="143">
        <f t="shared" si="530"/>
        <v>0</v>
      </c>
      <c r="FB114" s="143">
        <f t="shared" si="531"/>
        <v>0</v>
      </c>
      <c r="FC114" s="143">
        <f t="shared" si="532"/>
        <v>0</v>
      </c>
      <c r="FD114" s="143">
        <f t="shared" si="533"/>
        <v>0</v>
      </c>
      <c r="FE114" s="140">
        <f>SUM($D114:D114)*IF($B114="Operacional",IFERROR(VLOOKUP($C114,SN_UGC,28,0),0),1)</f>
        <v>0</v>
      </c>
      <c r="FF114" s="140">
        <f>SUM($D114:E114)*IF($B114="Operacional",IFERROR(VLOOKUP($C114,SN_UGC,28,0),0),1)</f>
        <v>0</v>
      </c>
      <c r="FG114" s="140">
        <f>SUM($D114:F114)*IF($B114="Operacional",IFERROR(VLOOKUP($C114,SN_UGC,28,0),0),1)</f>
        <v>0</v>
      </c>
      <c r="FH114" s="140">
        <f>SUM($D114:G114)*IF($B114="Operacional",IFERROR(VLOOKUP($C114,SN_UGC,28,0),0),1)</f>
        <v>0</v>
      </c>
      <c r="FI114" s="140">
        <f>SUM($D114:H114)*IF($B114="Operacional",IFERROR(VLOOKUP($C114,SN_UGC,28,0),0),1)</f>
        <v>0</v>
      </c>
      <c r="FJ114" s="140">
        <f>SUM($D114:I114)*IF($B114="Operacional",IFERROR(VLOOKUP($C114,SN_UGC,28,0),0),1)</f>
        <v>0</v>
      </c>
      <c r="FK114" s="140">
        <f>SUM($D114:J114)*IF($B114="Operacional",IFERROR(VLOOKUP($C114,SN_UGC,28,0),0),1)</f>
        <v>0</v>
      </c>
      <c r="FL114" s="140">
        <f>SUM($D114:K114)*IF($B114="Operacional",IFERROR(VLOOKUP($C114,SN_UGC,28,0),0),1)</f>
        <v>0</v>
      </c>
      <c r="FM114" s="140">
        <f>SUM($D114:L114)*IF($B114="Operacional",IFERROR(VLOOKUP($C114,SN_UGC,28,0),0),1)</f>
        <v>0</v>
      </c>
      <c r="FN114" s="140">
        <f>SUM($D114:M114)*IF($B114="Operacional",IFERROR(VLOOKUP($C114,SN_UGC,28,0),0),1)</f>
        <v>0</v>
      </c>
      <c r="FO114" s="140">
        <f>SUM($D114:N114)*IF($B114="Operacional",IFERROR(VLOOKUP($C114,SN_UGC,28,0),0),1)</f>
        <v>0</v>
      </c>
      <c r="FP114" s="140">
        <f>SUM($D114:O114)*IF($B114="Operacional",IFERROR(VLOOKUP($C114,SN_UGC,28,0),0),1)</f>
        <v>0</v>
      </c>
      <c r="FQ114" s="140">
        <f>SUM($D114:P114)*IF($B114="Operacional",IFERROR(VLOOKUP($C114,SN_UGC,28,0),0),1)</f>
        <v>0</v>
      </c>
      <c r="FR114" s="140">
        <f>SUM($D114:Q114)*IF($B114="Operacional",IFERROR(VLOOKUP($C114,SN_UGC,28,0),0),1)</f>
        <v>0</v>
      </c>
      <c r="FS114" s="140">
        <f>SUM($D114:R114)*IF($B114="Operacional",IFERROR(VLOOKUP($C114,SN_UGC,28,0),0),1)</f>
        <v>0</v>
      </c>
      <c r="FT114" s="140">
        <f>SUM($D114:S114)*IF($B114="Operacional",IFERROR(VLOOKUP($C114,SN_UGC,28,0),0),1)</f>
        <v>0</v>
      </c>
      <c r="FU114" s="140">
        <f>SUM($D114:T114)*IF($B114="Operacional",IFERROR(VLOOKUP($C114,SN_UGC,28,0),0),1)</f>
        <v>0</v>
      </c>
      <c r="FV114" s="140">
        <f>SUM($D114:U114)*IF($B114="Operacional",IFERROR(VLOOKUP($C114,SN_UGC,28,0),0),1)</f>
        <v>0</v>
      </c>
      <c r="FW114" s="140">
        <f>SUM($D114:V114)*IF($B114="Operacional",IFERROR(VLOOKUP($C114,SN_UGC,28,0),0),1)</f>
        <v>0</v>
      </c>
      <c r="FX114" s="140">
        <f>SUM($D114:W114)*IF($B114="Operacional",IFERROR(VLOOKUP($C114,SN_UGC,28,0),0),1)</f>
        <v>0</v>
      </c>
      <c r="FY114" s="140">
        <f>SUM($D114:X114)*IF($B114="Operacional",IFERROR(VLOOKUP($C114,SN_UGC,28,0),0),1)</f>
        <v>0</v>
      </c>
      <c r="FZ114" s="140">
        <f>SUM($D114:Y114)*IF($B114="Operacional",IFERROR(VLOOKUP($C114,SN_UGC,28,0),0),1)</f>
        <v>0</v>
      </c>
      <c r="GA114" s="140">
        <f>SUM($D114:Z114)*IF($B114="Operacional",IFERROR(VLOOKUP($C114,SN_UGC,28,0),0),1)</f>
        <v>0</v>
      </c>
      <c r="GB114" s="140">
        <f>SUM($D114:AA114)*IF($B114="Operacional",IFERROR(VLOOKUP($C114,SN_UGC,28,0),0),1)</f>
        <v>0</v>
      </c>
      <c r="GC114" s="140">
        <f>SUM($D114:AB114)*IF($B114="Operacional",IFERROR(VLOOKUP($C114,SN_UGC,28,0),0),1)</f>
        <v>0</v>
      </c>
      <c r="GD114" s="140">
        <f>SUM($D114:AC114)*IF($B114="Operacional",IFERROR(VLOOKUP($C114,SN_UGC,28,0),0),1)</f>
        <v>0</v>
      </c>
      <c r="GE114" s="140">
        <f>SUM($D114:AD114)*IF($B114="Operacional",IFERROR(VLOOKUP($C114,SN_UGC,28,0),0),1)</f>
        <v>0</v>
      </c>
      <c r="GF114" s="140">
        <f>SUM($D114:AE114)*IF($B114="Operacional",IFERROR(VLOOKUP($C114,SN_UGC,28,0),0),1)</f>
        <v>0</v>
      </c>
      <c r="GG114" s="140">
        <f>SUM($D114:AF114)*IF($B114="Operacional",IFERROR(VLOOKUP($C114,SN_UGC,28,0),0),1)</f>
        <v>0</v>
      </c>
      <c r="GH114" s="140">
        <f>SUM($D114:AG114)*IF($B114="Operacional",IFERROR(VLOOKUP($C114,SN_UGC,28,0),0),1)</f>
        <v>0</v>
      </c>
      <c r="GI114" s="141">
        <f t="shared" ref="GI114:HL114" si="590">FE114*$AH114*$AL114</f>
        <v>0</v>
      </c>
      <c r="GJ114" s="141">
        <f t="shared" si="590"/>
        <v>0</v>
      </c>
      <c r="GK114" s="141">
        <f t="shared" si="590"/>
        <v>0</v>
      </c>
      <c r="GL114" s="141">
        <f t="shared" si="590"/>
        <v>0</v>
      </c>
      <c r="GM114" s="141">
        <f t="shared" si="590"/>
        <v>0</v>
      </c>
      <c r="GN114" s="141">
        <f t="shared" si="590"/>
        <v>0</v>
      </c>
      <c r="GO114" s="141">
        <f t="shared" si="590"/>
        <v>0</v>
      </c>
      <c r="GP114" s="141">
        <f t="shared" si="590"/>
        <v>0</v>
      </c>
      <c r="GQ114" s="141">
        <f t="shared" si="590"/>
        <v>0</v>
      </c>
      <c r="GR114" s="141">
        <f t="shared" si="590"/>
        <v>0</v>
      </c>
      <c r="GS114" s="141">
        <f t="shared" si="590"/>
        <v>0</v>
      </c>
      <c r="GT114" s="141">
        <f t="shared" si="590"/>
        <v>0</v>
      </c>
      <c r="GU114" s="141">
        <f t="shared" si="590"/>
        <v>0</v>
      </c>
      <c r="GV114" s="141">
        <f t="shared" si="590"/>
        <v>0</v>
      </c>
      <c r="GW114" s="141">
        <f t="shared" si="590"/>
        <v>0</v>
      </c>
      <c r="GX114" s="141">
        <f t="shared" si="590"/>
        <v>0</v>
      </c>
      <c r="GY114" s="141">
        <f t="shared" si="590"/>
        <v>0</v>
      </c>
      <c r="GZ114" s="141">
        <f t="shared" si="590"/>
        <v>0</v>
      </c>
      <c r="HA114" s="141">
        <f t="shared" si="590"/>
        <v>0</v>
      </c>
      <c r="HB114" s="141">
        <f t="shared" si="590"/>
        <v>0</v>
      </c>
      <c r="HC114" s="141">
        <f t="shared" si="590"/>
        <v>0</v>
      </c>
      <c r="HD114" s="141">
        <f t="shared" si="590"/>
        <v>0</v>
      </c>
      <c r="HE114" s="141">
        <f t="shared" si="590"/>
        <v>0</v>
      </c>
      <c r="HF114" s="141">
        <f t="shared" si="590"/>
        <v>0</v>
      </c>
      <c r="HG114" s="141">
        <f t="shared" si="590"/>
        <v>0</v>
      </c>
      <c r="HH114" s="141">
        <f t="shared" si="590"/>
        <v>0</v>
      </c>
      <c r="HI114" s="141">
        <f t="shared" si="590"/>
        <v>0</v>
      </c>
      <c r="HJ114" s="141">
        <f t="shared" si="590"/>
        <v>0</v>
      </c>
      <c r="HK114" s="141">
        <f t="shared" si="590"/>
        <v>0</v>
      </c>
      <c r="HL114" s="141">
        <f t="shared" si="590"/>
        <v>0</v>
      </c>
      <c r="HM114" s="142">
        <f t="shared" ref="HM114:IP114" si="591">IF(ISBLANK($A114),,FE114*($AH114-($AH114*$AJ114))/$AI114)</f>
        <v>0</v>
      </c>
      <c r="HN114" s="142">
        <f t="shared" si="591"/>
        <v>0</v>
      </c>
      <c r="HO114" s="142">
        <f t="shared" si="591"/>
        <v>0</v>
      </c>
      <c r="HP114" s="142">
        <f t="shared" si="591"/>
        <v>0</v>
      </c>
      <c r="HQ114" s="142">
        <f t="shared" si="591"/>
        <v>0</v>
      </c>
      <c r="HR114" s="142">
        <f t="shared" si="591"/>
        <v>0</v>
      </c>
      <c r="HS114" s="142">
        <f t="shared" si="591"/>
        <v>0</v>
      </c>
      <c r="HT114" s="142">
        <f t="shared" si="591"/>
        <v>0</v>
      </c>
      <c r="HU114" s="142">
        <f t="shared" si="591"/>
        <v>0</v>
      </c>
      <c r="HV114" s="142">
        <f t="shared" si="591"/>
        <v>0</v>
      </c>
      <c r="HW114" s="142">
        <f t="shared" si="591"/>
        <v>0</v>
      </c>
      <c r="HX114" s="142">
        <f t="shared" si="591"/>
        <v>0</v>
      </c>
      <c r="HY114" s="142">
        <f t="shared" si="591"/>
        <v>0</v>
      </c>
      <c r="HZ114" s="142">
        <f t="shared" si="591"/>
        <v>0</v>
      </c>
      <c r="IA114" s="142">
        <f t="shared" si="591"/>
        <v>0</v>
      </c>
      <c r="IB114" s="142">
        <f t="shared" si="591"/>
        <v>0</v>
      </c>
      <c r="IC114" s="142">
        <f t="shared" si="591"/>
        <v>0</v>
      </c>
      <c r="ID114" s="142">
        <f t="shared" si="591"/>
        <v>0</v>
      </c>
      <c r="IE114" s="142">
        <f t="shared" si="591"/>
        <v>0</v>
      </c>
      <c r="IF114" s="142">
        <f t="shared" si="591"/>
        <v>0</v>
      </c>
      <c r="IG114" s="142">
        <f t="shared" si="591"/>
        <v>0</v>
      </c>
      <c r="IH114" s="142">
        <f t="shared" si="591"/>
        <v>0</v>
      </c>
      <c r="II114" s="142">
        <f t="shared" si="591"/>
        <v>0</v>
      </c>
      <c r="IJ114" s="142">
        <f t="shared" si="591"/>
        <v>0</v>
      </c>
      <c r="IK114" s="142">
        <f t="shared" si="591"/>
        <v>0</v>
      </c>
      <c r="IL114" s="142">
        <f t="shared" si="591"/>
        <v>0</v>
      </c>
      <c r="IM114" s="142">
        <f t="shared" si="591"/>
        <v>0</v>
      </c>
      <c r="IN114" s="142">
        <f t="shared" si="591"/>
        <v>0</v>
      </c>
      <c r="IO114" s="142">
        <f t="shared" si="591"/>
        <v>0</v>
      </c>
      <c r="IP114" s="142">
        <f t="shared" si="591"/>
        <v>0</v>
      </c>
      <c r="IQ114" s="141">
        <f>IF(ISBLANK($A114),,IF($AN114="Não",0,(SUM($AO114:AO114)*$AH114)-SUM($HM114:HM114)-SUM($CW114:CW114)))</f>
        <v>0</v>
      </c>
      <c r="IR114" s="141">
        <f>IF(ISBLANK($A114),,IF($AN114="Não",0,(SUM($AO114:AP114)*$AH114)-SUM($HM114:HN114)-SUM($CW114:CX114)))</f>
        <v>0</v>
      </c>
      <c r="IS114" s="141">
        <f>IF(ISBLANK($A114),,IF($AN114="Não",0,(SUM($AO114:AQ114)*$AH114)-SUM($HM114:HO114)-SUM($CW114:CY114)))</f>
        <v>0</v>
      </c>
      <c r="IT114" s="141">
        <f>IF(ISBLANK($A114),,IF($AN114="Não",0,(SUM($AO114:AR114)*$AH114)-SUM($HM114:HP114)-SUM($CW114:CZ114)))</f>
        <v>0</v>
      </c>
      <c r="IU114" s="141">
        <f>IF(ISBLANK($A114),,IF($AN114="Não",0,(SUM($AO114:AS114)*$AH114)-SUM($HM114:HQ114)-SUM($CW114:DA114)))</f>
        <v>0</v>
      </c>
      <c r="IV114" s="141">
        <f>IF(ISBLANK($A114),,IF($AN114="Não",0,(SUM($AO114:AT114)*$AH114)-SUM($HM114:HR114)-SUM($CW114:DB114)))</f>
        <v>0</v>
      </c>
      <c r="IW114" s="141">
        <f>IF(ISBLANK($A114),,IF($AN114="Não",0,(SUM($AO114:AU114)*$AH114)-SUM($HM114:HS114)-SUM($CW114:DC114)))</f>
        <v>0</v>
      </c>
      <c r="IX114" s="141">
        <f>IF(ISBLANK($A114),,IF($AN114="Não",0,(SUM($AO114:AV114)*$AH114)-SUM($HM114:HT114)-SUM($CW114:DD114)))</f>
        <v>0</v>
      </c>
      <c r="IY114" s="141">
        <f>IF(ISBLANK($A114),,IF($AN114="Não",0,(SUM($AO114:AW114)*$AH114)-SUM($HM114:HU114)-SUM($CW114:DE114)))</f>
        <v>0</v>
      </c>
      <c r="IZ114" s="141">
        <f>IF(ISBLANK($A114),,IF($AN114="Não",0,(SUM($AO114:AX114)*$AH114)-SUM($HM114:HV114)-SUM($CW114:DF114)))</f>
        <v>0</v>
      </c>
      <c r="JA114" s="141">
        <f>IF(ISBLANK($A114),,IF($AN114="Não",0,(SUM($AO114:AY114)*$AH114)-SUM($HM114:HW114)-SUM($CW114:DG114)))</f>
        <v>0</v>
      </c>
      <c r="JB114" s="141">
        <f>IF(ISBLANK($A114),,IF($AN114="Não",0,(SUM($AO114:AZ114)*$AH114)-SUM($HM114:HX114)-SUM($CW114:DH114)))</f>
        <v>0</v>
      </c>
      <c r="JC114" s="141">
        <f>IF(ISBLANK($A114),,IF($AN114="Não",0,(SUM($AO114:BA114)*$AH114)-SUM($HM114:HY114)-SUM($CW114:DI114)))</f>
        <v>0</v>
      </c>
      <c r="JD114" s="141">
        <f>IF(ISBLANK($A114),,IF($AN114="Não",0,(SUM($AO114:BB114)*$AH114)-SUM($HM114:HZ114)-SUM($CW114:DJ114)))</f>
        <v>0</v>
      </c>
      <c r="JE114" s="141">
        <f>IF(ISBLANK($A114),,IF($AN114="Não",0,(SUM($AO114:BC114)*$AH114)-SUM($HM114:IA114)-SUM($CW114:DK114)))</f>
        <v>0</v>
      </c>
      <c r="JF114" s="141">
        <f>IF(ISBLANK($A114),,IF($AN114="Não",0,(SUM($AO114:BD114)*$AH114)-SUM($HM114:IB114)-SUM($CW114:DL114)))</f>
        <v>0</v>
      </c>
      <c r="JG114" s="141">
        <f>IF(ISBLANK($A114),,IF($AN114="Não",0,(SUM($AO114:BE114)*$AH114)-SUM($HM114:IC114)-SUM($CW114:DM114)))</f>
        <v>0</v>
      </c>
      <c r="JH114" s="141">
        <f>IF(ISBLANK($A114),,IF($AN114="Não",0,(SUM($AO114:BF114)*$AH114)-SUM($HM114:ID114)-SUM($CW114:DN114)))</f>
        <v>0</v>
      </c>
      <c r="JI114" s="141">
        <f>IF(ISBLANK($A114),,IF($AN114="Não",0,(SUM($AO114:BG114)*$AH114)-SUM($HM114:IE114)-SUM($CW114:DO114)))</f>
        <v>0</v>
      </c>
      <c r="JJ114" s="141">
        <f>IF(ISBLANK($A114),,IF($AN114="Não",0,(SUM($AO114:BH114)*$AH114)-SUM($HM114:IF114)-SUM($CW114:DP114)))</f>
        <v>0</v>
      </c>
      <c r="JK114" s="141">
        <f>IF(ISBLANK($A114),,IF($AN114="Não",0,(SUM($AO114:BI114)*$AH114)-SUM($HM114:IG114)-SUM($CW114:DQ114)))</f>
        <v>0</v>
      </c>
      <c r="JL114" s="141">
        <f>IF(ISBLANK($A114),,IF($AN114="Não",0,(SUM($AO114:BJ114)*$AH114)-SUM($HM114:IH114)-SUM($CW114:DR114)))</f>
        <v>0</v>
      </c>
      <c r="JM114" s="141">
        <f>IF(ISBLANK($A114),,IF($AN114="Não",0,(SUM($AO114:BK114)*$AH114)-SUM($HM114:II114)-SUM($CW114:DS114)))</f>
        <v>0</v>
      </c>
      <c r="JN114" s="141">
        <f>IF(ISBLANK($A114),,IF($AN114="Não",0,(SUM($AO114:BL114)*$AH114)-SUM($HM114:IJ114)-SUM($CW114:DT114)))</f>
        <v>0</v>
      </c>
      <c r="JO114" s="141">
        <f>IF(ISBLANK($A114),,IF($AN114="Não",0,(SUM($AO114:BM114)*$AH114)-SUM($HM114:IK114)-SUM($CW114:DU114)))</f>
        <v>0</v>
      </c>
      <c r="JP114" s="141">
        <f>IF(ISBLANK($A114),,IF($AN114="Não",0,(SUM($AO114:BN114)*$AH114)-SUM($HM114:IL114)-SUM($CW114:DV114)))</f>
        <v>0</v>
      </c>
      <c r="JQ114" s="141">
        <f>IF(ISBLANK($A114),,IF($AN114="Não",0,(SUM($AO114:BO114)*$AH114)-SUM($HM114:IM114)-SUM($CW114:DW114)))</f>
        <v>0</v>
      </c>
      <c r="JR114" s="141">
        <f>IF(ISBLANK($A114),,IF($AN114="Não",0,(SUM($AO114:BP114)*$AH114)-SUM($HM114:IN114)-SUM($CW114:DX114)))</f>
        <v>0</v>
      </c>
      <c r="JS114" s="141">
        <f>IF(ISBLANK($A114),,IF($AN114="Não",0,(SUM($AO114:BQ114)*$AH114)-SUM($HM114:IO114)-SUM($CW114:DY114)))</f>
        <v>0</v>
      </c>
      <c r="JT114" s="141">
        <f>IF(ISBLANK($A114),,IF($AN114="Não",0,(SUM($AO114:BR114)*$AH114)-SUM($HM114:IP114)-SUM($CW114:DZ114)))</f>
        <v>0</v>
      </c>
    </row>
    <row r="115" spans="1:280" ht="15.75" customHeight="1">
      <c r="A115" s="129"/>
      <c r="B115" s="129"/>
      <c r="C115" s="138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607">
        <f t="shared" si="544"/>
        <v>0</v>
      </c>
      <c r="AI115" s="608">
        <f t="shared" si="545"/>
        <v>0</v>
      </c>
      <c r="AJ115" s="609">
        <f t="shared" si="546"/>
        <v>0</v>
      </c>
      <c r="AK115" s="610" t="str">
        <f t="shared" si="547"/>
        <v/>
      </c>
      <c r="AL115" s="609">
        <f t="shared" si="548"/>
        <v>0</v>
      </c>
      <c r="AM115" s="611" t="str">
        <f t="shared" si="549"/>
        <v/>
      </c>
      <c r="AN115" s="611" t="str">
        <f t="shared" si="550"/>
        <v/>
      </c>
      <c r="AO115" s="140">
        <f t="array" ref="AO115">IF(ISBLANK($A115),0,IF(OR(AO$5-$AI115&lt;=0,$AM115="Não"),D115,D115+INDEX($AO$6:$BR$176,ROW()-5,COLUMN()-40-$AI115)))*IF($B115="Operacional",IFERROR(VLOOKUP($C115,SN_UGC,28,0),0),1)</f>
        <v>0</v>
      </c>
      <c r="AP115" s="140">
        <f t="array" ref="AP115">IF(ISBLANK($A115),0,IF(OR(AP$5-$AI115&lt;=0,$AM115="Não"),E115,E115+INDEX($AO$6:$BR$176,ROW()-5,COLUMN()-40-$AI115)))*IF($B115="Operacional",IFERROR(VLOOKUP($C115,SN_UGC,28,0),0),1)</f>
        <v>0</v>
      </c>
      <c r="AQ115" s="140">
        <f t="array" ref="AQ115">IF(ISBLANK($A115),0,IF(OR(AQ$5-$AI115&lt;=0,$AM115="Não"),F115,F115+INDEX($AO$6:$BR$176,ROW()-5,COLUMN()-40-$AI115)))*IF($B115="Operacional",IFERROR(VLOOKUP($C115,SN_UGC,28,0),0),1)</f>
        <v>0</v>
      </c>
      <c r="AR115" s="140">
        <f t="array" ref="AR115">IF(ISBLANK($A115),0,IF(OR(AR$5-$AI115&lt;=0,$AM115="Não"),G115,G115+INDEX($AO$6:$BR$176,ROW()-5,COLUMN()-40-$AI115)))*IF($B115="Operacional",IFERROR(VLOOKUP($C115,SN_UGC,28,0),0),1)</f>
        <v>0</v>
      </c>
      <c r="AS115" s="140">
        <f t="array" ref="AS115">IF(ISBLANK($A115),0,IF(OR(AS$5-$AI115&lt;=0,$AM115="Não"),H115,H115+INDEX($AO$6:$BR$176,ROW()-5,COLUMN()-40-$AI115)))*IF($B115="Operacional",IFERROR(VLOOKUP($C115,SN_UGC,28,0),0),1)</f>
        <v>0</v>
      </c>
      <c r="AT115" s="140">
        <f t="array" ref="AT115">IF(ISBLANK($A115),0,IF(OR(AT$5-$AI115&lt;=0,$AM115="Não"),I115,I115+INDEX($AO$6:$BR$176,ROW()-5,COLUMN()-40-$AI115)))*IF($B115="Operacional",IFERROR(VLOOKUP($C115,SN_UGC,28,0),0),1)</f>
        <v>0</v>
      </c>
      <c r="AU115" s="140">
        <f t="array" ref="AU115">IF(ISBLANK($A115),0,IF(OR(AU$5-$AI115&lt;=0,$AM115="Não"),J115,J115+INDEX($AO$6:$BR$176,ROW()-5,COLUMN()-40-$AI115)))*IF($B115="Operacional",IFERROR(VLOOKUP($C115,SN_UGC,28,0),0),1)</f>
        <v>0</v>
      </c>
      <c r="AV115" s="140">
        <f t="array" ref="AV115">IF(ISBLANK($A115),0,IF(OR(AV$5-$AI115&lt;=0,$AM115="Não"),K115,K115+INDEX($AO$6:$BR$176,ROW()-5,COLUMN()-40-$AI115)))*IF($B115="Operacional",IFERROR(VLOOKUP($C115,SN_UGC,28,0),0),1)</f>
        <v>0</v>
      </c>
      <c r="AW115" s="140">
        <f t="array" ref="AW115">IF(ISBLANK($A115),0,IF(OR(AW$5-$AI115&lt;=0,$AM115="Não"),L115,L115+INDEX($AO$6:$BR$176,ROW()-5,COLUMN()-40-$AI115)))*IF($B115="Operacional",IFERROR(VLOOKUP($C115,SN_UGC,28,0),0),1)</f>
        <v>0</v>
      </c>
      <c r="AX115" s="140">
        <f t="array" ref="AX115">IF(ISBLANK($A115),0,IF(OR(AX$5-$AI115&lt;=0,$AM115="Não"),M115,M115+INDEX($AO$6:$BR$176,ROW()-5,COLUMN()-40-$AI115)))*IF($B115="Operacional",IFERROR(VLOOKUP($C115,SN_UGC,28,0),0),1)</f>
        <v>0</v>
      </c>
      <c r="AY115" s="140">
        <f t="array" ref="AY115">IF(ISBLANK($A115),0,IF(OR(AY$5-$AI115&lt;=0,$AM115="Não"),N115,N115+INDEX($AO$6:$BR$176,ROW()-5,COLUMN()-40-$AI115)))*IF($B115="Operacional",IFERROR(VLOOKUP($C115,SN_UGC,28,0),0),1)</f>
        <v>0</v>
      </c>
      <c r="AZ115" s="140">
        <f t="array" ref="AZ115">IF(ISBLANK($A115),0,IF(OR(AZ$5-$AI115&lt;=0,$AM115="Não"),O115,O115+INDEX($AO$6:$BR$176,ROW()-5,COLUMN()-40-$AI115)))*IF($B115="Operacional",IFERROR(VLOOKUP($C115,SN_UGC,28,0),0),1)</f>
        <v>0</v>
      </c>
      <c r="BA115" s="140">
        <f t="array" ref="BA115">IF(ISBLANK($A115),0,IF(OR(BA$5-$AI115&lt;=0,$AM115="Não"),P115,P115+INDEX($AO$6:$BR$176,ROW()-5,COLUMN()-40-$AI115)))*IF($B115="Operacional",IFERROR(VLOOKUP($C115,SN_UGC,28,0),0),1)</f>
        <v>0</v>
      </c>
      <c r="BB115" s="140">
        <f t="array" ref="BB115">IF(ISBLANK($A115),0,IF(OR(BB$5-$AI115&lt;=0,$AM115="Não"),Q115,Q115+INDEX($AO$6:$BR$176,ROW()-5,COLUMN()-40-$AI115)))*IF($B115="Operacional",IFERROR(VLOOKUP($C115,SN_UGC,28,0),0),1)</f>
        <v>0</v>
      </c>
      <c r="BC115" s="140">
        <f t="array" ref="BC115">IF(ISBLANK($A115),0,IF(OR(BC$5-$AI115&lt;=0,$AM115="Não"),R115,R115+INDEX($AO$6:$BR$176,ROW()-5,COLUMN()-40-$AI115)))*IF($B115="Operacional",IFERROR(VLOOKUP($C115,SN_UGC,28,0),0),1)</f>
        <v>0</v>
      </c>
      <c r="BD115" s="140">
        <f t="array" ref="BD115">IF(ISBLANK($A115),0,IF(OR(BD$5-$AI115&lt;=0,$AM115="Não"),S115,S115+INDEX($AO$6:$BR$176,ROW()-5,COLUMN()-40-$AI115)))*IF($B115="Operacional",IFERROR(VLOOKUP($C115,SN_UGC,28,0),0),1)</f>
        <v>0</v>
      </c>
      <c r="BE115" s="140">
        <f t="array" ref="BE115">IF(ISBLANK($A115),0,IF(OR(BE$5-$AI115&lt;=0,$AM115="Não"),T115,T115+INDEX($AO$6:$BR$176,ROW()-5,COLUMN()-40-$AI115)))*IF($B115="Operacional",IFERROR(VLOOKUP($C115,SN_UGC,28,0),0),1)</f>
        <v>0</v>
      </c>
      <c r="BF115" s="140">
        <f t="array" ref="BF115">IF(ISBLANK($A115),0,IF(OR(BF$5-$AI115&lt;=0,$AM115="Não"),U115,U115+INDEX($AO$6:$BR$176,ROW()-5,COLUMN()-40-$AI115)))*IF($B115="Operacional",IFERROR(VLOOKUP($C115,SN_UGC,28,0),0),1)</f>
        <v>0</v>
      </c>
      <c r="BG115" s="140">
        <f t="array" ref="BG115">IF(ISBLANK($A115),0,IF(OR(BG$5-$AI115&lt;=0,$AM115="Não"),V115,V115+INDEX($AO$6:$BR$176,ROW()-5,COLUMN()-40-$AI115)))*IF($B115="Operacional",IFERROR(VLOOKUP($C115,SN_UGC,28,0),0),1)</f>
        <v>0</v>
      </c>
      <c r="BH115" s="140">
        <f t="array" ref="BH115">IF(ISBLANK($A115),0,IF(OR(BH$5-$AI115&lt;=0,$AM115="Não"),W115,W115+INDEX($AO$6:$BR$176,ROW()-5,COLUMN()-40-$AI115)))*IF($B115="Operacional",IFERROR(VLOOKUP($C115,SN_UGC,28,0),0),1)</f>
        <v>0</v>
      </c>
      <c r="BI115" s="140">
        <f t="array" ref="BI115">IF(ISBLANK($A115),0,IF(OR(BI$5-$AI115&lt;=0,$AM115="Não"),X115,X115+INDEX($AO$6:$BR$176,ROW()-5,COLUMN()-40-$AI115)))*IF($B115="Operacional",IFERROR(VLOOKUP($C115,SN_UGC,28,0),0),1)</f>
        <v>0</v>
      </c>
      <c r="BJ115" s="140">
        <f t="array" ref="BJ115">IF(ISBLANK($A115),0,IF(OR(BJ$5-$AI115&lt;=0,$AM115="Não"),Y115,Y115+INDEX($AO$6:$BR$176,ROW()-5,COLUMN()-40-$AI115)))*IF($B115="Operacional",IFERROR(VLOOKUP($C115,SN_UGC,28,0),0),1)</f>
        <v>0</v>
      </c>
      <c r="BK115" s="140">
        <f t="array" ref="BK115">IF(ISBLANK($A115),0,IF(OR(BK$5-$AI115&lt;=0,$AM115="Não"),Z115,Z115+INDEX($AO$6:$BR$176,ROW()-5,COLUMN()-40-$AI115)))*IF($B115="Operacional",IFERROR(VLOOKUP($C115,SN_UGC,28,0),0),1)</f>
        <v>0</v>
      </c>
      <c r="BL115" s="140">
        <f t="array" ref="BL115">IF(ISBLANK($A115),0,IF(OR(BL$5-$AI115&lt;=0,$AM115="Não"),AA115,AA115+INDEX($AO$6:$BR$176,ROW()-5,COLUMN()-40-$AI115)))*IF($B115="Operacional",IFERROR(VLOOKUP($C115,SN_UGC,28,0),0),1)</f>
        <v>0</v>
      </c>
      <c r="BM115" s="140">
        <f t="array" ref="BM115">IF(ISBLANK($A115),0,IF(OR(BM$5-$AI115&lt;=0,$AM115="Não"),AB115,AB115+INDEX($AO$6:$BR$176,ROW()-5,COLUMN()-40-$AI115)))*IF($B115="Operacional",IFERROR(VLOOKUP($C115,SN_UGC,28,0),0),1)</f>
        <v>0</v>
      </c>
      <c r="BN115" s="140">
        <f t="array" ref="BN115">IF(ISBLANK($A115),0,IF(OR(BN$5-$AI115&lt;=0,$AM115="Não"),AC115,AC115+INDEX($AO$6:$BR$176,ROW()-5,COLUMN()-40-$AI115)))*IF($B115="Operacional",IFERROR(VLOOKUP($C115,SN_UGC,28,0),0),1)</f>
        <v>0</v>
      </c>
      <c r="BO115" s="140">
        <f t="array" ref="BO115">IF(ISBLANK($A115),0,IF(OR(BO$5-$AI115&lt;=0,$AM115="Não"),AD115,AD115+INDEX($AO$6:$BR$176,ROW()-5,COLUMN()-40-$AI115)))*IF($B115="Operacional",IFERROR(VLOOKUP($C115,SN_UGC,28,0),0),1)</f>
        <v>0</v>
      </c>
      <c r="BP115" s="140">
        <f t="array" ref="BP115">IF(ISBLANK($A115),0,IF(OR(BP$5-$AI115&lt;=0,$AM115="Não"),AE115,AE115+INDEX($AO$6:$BR$176,ROW()-5,COLUMN()-40-$AI115)))*IF($B115="Operacional",IFERROR(VLOOKUP($C115,SN_UGC,28,0),0),1)</f>
        <v>0</v>
      </c>
      <c r="BQ115" s="140">
        <f t="array" ref="BQ115">IF(ISBLANK($A115),0,IF(OR(BQ$5-$AI115&lt;=0,$AM115="Não"),AF115,AF115+INDEX($AO$6:$BR$176,ROW()-5,COLUMN()-40-$AI115)))*IF($B115="Operacional",IFERROR(VLOOKUP($C115,SN_UGC,28,0),0),1)</f>
        <v>0</v>
      </c>
      <c r="BR115" s="140">
        <f t="array" ref="BR115">IF(ISBLANK($A115),0,IF(OR(BR$5-$AI115&lt;=0,$AM115="Não"),AG115,AG115+INDEX($AO$6:$BR$176,ROW()-5,COLUMN()-40-$AI115)))*IF($B115="Operacional",IFERROR(VLOOKUP($C115,SN_UGC,28,0),0),1)</f>
        <v>0</v>
      </c>
      <c r="BS115" s="141">
        <f t="shared" ref="BS115:CV115" si="592">IF(ISBLANK($A115),0,$AH115*AO115)</f>
        <v>0</v>
      </c>
      <c r="BT115" s="141">
        <f t="shared" si="592"/>
        <v>0</v>
      </c>
      <c r="BU115" s="141">
        <f t="shared" si="592"/>
        <v>0</v>
      </c>
      <c r="BV115" s="141">
        <f t="shared" si="592"/>
        <v>0</v>
      </c>
      <c r="BW115" s="141">
        <f t="shared" si="592"/>
        <v>0</v>
      </c>
      <c r="BX115" s="141">
        <f t="shared" si="592"/>
        <v>0</v>
      </c>
      <c r="BY115" s="141">
        <f t="shared" si="592"/>
        <v>0</v>
      </c>
      <c r="BZ115" s="141">
        <f t="shared" si="592"/>
        <v>0</v>
      </c>
      <c r="CA115" s="141">
        <f t="shared" si="592"/>
        <v>0</v>
      </c>
      <c r="CB115" s="141">
        <f t="shared" si="592"/>
        <v>0</v>
      </c>
      <c r="CC115" s="141">
        <f t="shared" si="592"/>
        <v>0</v>
      </c>
      <c r="CD115" s="141">
        <f t="shared" si="592"/>
        <v>0</v>
      </c>
      <c r="CE115" s="141">
        <f t="shared" si="592"/>
        <v>0</v>
      </c>
      <c r="CF115" s="141">
        <f t="shared" si="592"/>
        <v>0</v>
      </c>
      <c r="CG115" s="141">
        <f t="shared" si="592"/>
        <v>0</v>
      </c>
      <c r="CH115" s="141">
        <f t="shared" si="592"/>
        <v>0</v>
      </c>
      <c r="CI115" s="141">
        <f t="shared" si="592"/>
        <v>0</v>
      </c>
      <c r="CJ115" s="141">
        <f t="shared" si="592"/>
        <v>0</v>
      </c>
      <c r="CK115" s="141">
        <f t="shared" si="592"/>
        <v>0</v>
      </c>
      <c r="CL115" s="141">
        <f t="shared" si="592"/>
        <v>0</v>
      </c>
      <c r="CM115" s="141">
        <f t="shared" si="592"/>
        <v>0</v>
      </c>
      <c r="CN115" s="141">
        <f t="shared" si="592"/>
        <v>0</v>
      </c>
      <c r="CO115" s="141">
        <f t="shared" si="592"/>
        <v>0</v>
      </c>
      <c r="CP115" s="141">
        <f t="shared" si="592"/>
        <v>0</v>
      </c>
      <c r="CQ115" s="141">
        <f t="shared" si="592"/>
        <v>0</v>
      </c>
      <c r="CR115" s="141">
        <f t="shared" si="592"/>
        <v>0</v>
      </c>
      <c r="CS115" s="141">
        <f t="shared" si="592"/>
        <v>0</v>
      </c>
      <c r="CT115" s="141">
        <f t="shared" si="592"/>
        <v>0</v>
      </c>
      <c r="CU115" s="141">
        <f t="shared" si="592"/>
        <v>0</v>
      </c>
      <c r="CV115" s="141">
        <f t="shared" si="592"/>
        <v>0</v>
      </c>
      <c r="CW115" s="142">
        <f t="shared" ref="CW115:DZ115" si="593">EA115*$AH115*$AJ115</f>
        <v>0</v>
      </c>
      <c r="CX115" s="142">
        <f t="shared" si="593"/>
        <v>0</v>
      </c>
      <c r="CY115" s="142">
        <f t="shared" si="593"/>
        <v>0</v>
      </c>
      <c r="CZ115" s="142">
        <f t="shared" si="593"/>
        <v>0</v>
      </c>
      <c r="DA115" s="142">
        <f t="shared" si="593"/>
        <v>0</v>
      </c>
      <c r="DB115" s="142">
        <f t="shared" si="593"/>
        <v>0</v>
      </c>
      <c r="DC115" s="142">
        <f t="shared" si="593"/>
        <v>0</v>
      </c>
      <c r="DD115" s="142">
        <f t="shared" si="593"/>
        <v>0</v>
      </c>
      <c r="DE115" s="142">
        <f t="shared" si="593"/>
        <v>0</v>
      </c>
      <c r="DF115" s="142">
        <f t="shared" si="593"/>
        <v>0</v>
      </c>
      <c r="DG115" s="142">
        <f t="shared" si="593"/>
        <v>0</v>
      </c>
      <c r="DH115" s="142">
        <f t="shared" si="593"/>
        <v>0</v>
      </c>
      <c r="DI115" s="142">
        <f t="shared" si="593"/>
        <v>0</v>
      </c>
      <c r="DJ115" s="142">
        <f t="shared" si="593"/>
        <v>0</v>
      </c>
      <c r="DK115" s="142">
        <f t="shared" si="593"/>
        <v>0</v>
      </c>
      <c r="DL115" s="142">
        <f t="shared" si="593"/>
        <v>0</v>
      </c>
      <c r="DM115" s="142">
        <f t="shared" si="593"/>
        <v>0</v>
      </c>
      <c r="DN115" s="142">
        <f t="shared" si="593"/>
        <v>0</v>
      </c>
      <c r="DO115" s="142">
        <f t="shared" si="593"/>
        <v>0</v>
      </c>
      <c r="DP115" s="142">
        <f t="shared" si="593"/>
        <v>0</v>
      </c>
      <c r="DQ115" s="142">
        <f t="shared" si="593"/>
        <v>0</v>
      </c>
      <c r="DR115" s="142">
        <f t="shared" si="593"/>
        <v>0</v>
      </c>
      <c r="DS115" s="142">
        <f t="shared" si="593"/>
        <v>0</v>
      </c>
      <c r="DT115" s="142">
        <f t="shared" si="593"/>
        <v>0</v>
      </c>
      <c r="DU115" s="142">
        <f t="shared" si="593"/>
        <v>0</v>
      </c>
      <c r="DV115" s="142">
        <f t="shared" si="593"/>
        <v>0</v>
      </c>
      <c r="DW115" s="142">
        <f t="shared" si="593"/>
        <v>0</v>
      </c>
      <c r="DX115" s="142">
        <f t="shared" si="593"/>
        <v>0</v>
      </c>
      <c r="DY115" s="142">
        <f t="shared" si="593"/>
        <v>0</v>
      </c>
      <c r="DZ115" s="142">
        <f t="shared" si="593"/>
        <v>0</v>
      </c>
      <c r="EA115" s="143">
        <f t="shared" si="504"/>
        <v>0</v>
      </c>
      <c r="EB115" s="143">
        <f t="shared" si="505"/>
        <v>0</v>
      </c>
      <c r="EC115" s="143">
        <f t="shared" si="506"/>
        <v>0</v>
      </c>
      <c r="ED115" s="143">
        <f t="shared" si="507"/>
        <v>0</v>
      </c>
      <c r="EE115" s="143">
        <f t="shared" si="508"/>
        <v>0</v>
      </c>
      <c r="EF115" s="143">
        <f t="shared" si="509"/>
        <v>0</v>
      </c>
      <c r="EG115" s="143">
        <f t="shared" si="510"/>
        <v>0</v>
      </c>
      <c r="EH115" s="143">
        <f t="shared" si="511"/>
        <v>0</v>
      </c>
      <c r="EI115" s="143">
        <f t="shared" si="512"/>
        <v>0</v>
      </c>
      <c r="EJ115" s="143">
        <f t="shared" si="513"/>
        <v>0</v>
      </c>
      <c r="EK115" s="143">
        <f t="shared" si="514"/>
        <v>0</v>
      </c>
      <c r="EL115" s="143">
        <f t="shared" si="515"/>
        <v>0</v>
      </c>
      <c r="EM115" s="143">
        <f t="shared" si="516"/>
        <v>0</v>
      </c>
      <c r="EN115" s="143">
        <f t="shared" si="517"/>
        <v>0</v>
      </c>
      <c r="EO115" s="143">
        <f t="shared" si="518"/>
        <v>0</v>
      </c>
      <c r="EP115" s="143">
        <f t="shared" si="519"/>
        <v>0</v>
      </c>
      <c r="EQ115" s="143">
        <f t="shared" si="520"/>
        <v>0</v>
      </c>
      <c r="ER115" s="143">
        <f t="shared" si="521"/>
        <v>0</v>
      </c>
      <c r="ES115" s="143">
        <f t="shared" si="522"/>
        <v>0</v>
      </c>
      <c r="ET115" s="143">
        <f t="shared" si="523"/>
        <v>0</v>
      </c>
      <c r="EU115" s="143">
        <f t="shared" si="524"/>
        <v>0</v>
      </c>
      <c r="EV115" s="143">
        <f t="shared" si="525"/>
        <v>0</v>
      </c>
      <c r="EW115" s="143">
        <f t="shared" si="526"/>
        <v>0</v>
      </c>
      <c r="EX115" s="143">
        <f t="shared" si="527"/>
        <v>0</v>
      </c>
      <c r="EY115" s="143">
        <f t="shared" si="528"/>
        <v>0</v>
      </c>
      <c r="EZ115" s="143">
        <f t="shared" si="529"/>
        <v>0</v>
      </c>
      <c r="FA115" s="143">
        <f t="shared" si="530"/>
        <v>0</v>
      </c>
      <c r="FB115" s="143">
        <f t="shared" si="531"/>
        <v>0</v>
      </c>
      <c r="FC115" s="143">
        <f t="shared" si="532"/>
        <v>0</v>
      </c>
      <c r="FD115" s="143">
        <f t="shared" si="533"/>
        <v>0</v>
      </c>
      <c r="FE115" s="140">
        <f>SUM($D115:D115)*IF($B115="Operacional",IFERROR(VLOOKUP($C115,SN_UGC,28,0),0),1)</f>
        <v>0</v>
      </c>
      <c r="FF115" s="140">
        <f>SUM($D115:E115)*IF($B115="Operacional",IFERROR(VLOOKUP($C115,SN_UGC,28,0),0),1)</f>
        <v>0</v>
      </c>
      <c r="FG115" s="140">
        <f>SUM($D115:F115)*IF($B115="Operacional",IFERROR(VLOOKUP($C115,SN_UGC,28,0),0),1)</f>
        <v>0</v>
      </c>
      <c r="FH115" s="140">
        <f>SUM($D115:G115)*IF($B115="Operacional",IFERROR(VLOOKUP($C115,SN_UGC,28,0),0),1)</f>
        <v>0</v>
      </c>
      <c r="FI115" s="140">
        <f>SUM($D115:H115)*IF($B115="Operacional",IFERROR(VLOOKUP($C115,SN_UGC,28,0),0),1)</f>
        <v>0</v>
      </c>
      <c r="FJ115" s="140">
        <f>SUM($D115:I115)*IF($B115="Operacional",IFERROR(VLOOKUP($C115,SN_UGC,28,0),0),1)</f>
        <v>0</v>
      </c>
      <c r="FK115" s="140">
        <f>SUM($D115:J115)*IF($B115="Operacional",IFERROR(VLOOKUP($C115,SN_UGC,28,0),0),1)</f>
        <v>0</v>
      </c>
      <c r="FL115" s="140">
        <f>SUM($D115:K115)*IF($B115="Operacional",IFERROR(VLOOKUP($C115,SN_UGC,28,0),0),1)</f>
        <v>0</v>
      </c>
      <c r="FM115" s="140">
        <f>SUM($D115:L115)*IF($B115="Operacional",IFERROR(VLOOKUP($C115,SN_UGC,28,0),0),1)</f>
        <v>0</v>
      </c>
      <c r="FN115" s="140">
        <f>SUM($D115:M115)*IF($B115="Operacional",IFERROR(VLOOKUP($C115,SN_UGC,28,0),0),1)</f>
        <v>0</v>
      </c>
      <c r="FO115" s="140">
        <f>SUM($D115:N115)*IF($B115="Operacional",IFERROR(VLOOKUP($C115,SN_UGC,28,0),0),1)</f>
        <v>0</v>
      </c>
      <c r="FP115" s="140">
        <f>SUM($D115:O115)*IF($B115="Operacional",IFERROR(VLOOKUP($C115,SN_UGC,28,0),0),1)</f>
        <v>0</v>
      </c>
      <c r="FQ115" s="140">
        <f>SUM($D115:P115)*IF($B115="Operacional",IFERROR(VLOOKUP($C115,SN_UGC,28,0),0),1)</f>
        <v>0</v>
      </c>
      <c r="FR115" s="140">
        <f>SUM($D115:Q115)*IF($B115="Operacional",IFERROR(VLOOKUP($C115,SN_UGC,28,0),0),1)</f>
        <v>0</v>
      </c>
      <c r="FS115" s="140">
        <f>SUM($D115:R115)*IF($B115="Operacional",IFERROR(VLOOKUP($C115,SN_UGC,28,0),0),1)</f>
        <v>0</v>
      </c>
      <c r="FT115" s="140">
        <f>SUM($D115:S115)*IF($B115="Operacional",IFERROR(VLOOKUP($C115,SN_UGC,28,0),0),1)</f>
        <v>0</v>
      </c>
      <c r="FU115" s="140">
        <f>SUM($D115:T115)*IF($B115="Operacional",IFERROR(VLOOKUP($C115,SN_UGC,28,0),0),1)</f>
        <v>0</v>
      </c>
      <c r="FV115" s="140">
        <f>SUM($D115:U115)*IF($B115="Operacional",IFERROR(VLOOKUP($C115,SN_UGC,28,0),0),1)</f>
        <v>0</v>
      </c>
      <c r="FW115" s="140">
        <f>SUM($D115:V115)*IF($B115="Operacional",IFERROR(VLOOKUP($C115,SN_UGC,28,0),0),1)</f>
        <v>0</v>
      </c>
      <c r="FX115" s="140">
        <f>SUM($D115:W115)*IF($B115="Operacional",IFERROR(VLOOKUP($C115,SN_UGC,28,0),0),1)</f>
        <v>0</v>
      </c>
      <c r="FY115" s="140">
        <f>SUM($D115:X115)*IF($B115="Operacional",IFERROR(VLOOKUP($C115,SN_UGC,28,0),0),1)</f>
        <v>0</v>
      </c>
      <c r="FZ115" s="140">
        <f>SUM($D115:Y115)*IF($B115="Operacional",IFERROR(VLOOKUP($C115,SN_UGC,28,0),0),1)</f>
        <v>0</v>
      </c>
      <c r="GA115" s="140">
        <f>SUM($D115:Z115)*IF($B115="Operacional",IFERROR(VLOOKUP($C115,SN_UGC,28,0),0),1)</f>
        <v>0</v>
      </c>
      <c r="GB115" s="140">
        <f>SUM($D115:AA115)*IF($B115="Operacional",IFERROR(VLOOKUP($C115,SN_UGC,28,0),0),1)</f>
        <v>0</v>
      </c>
      <c r="GC115" s="140">
        <f>SUM($D115:AB115)*IF($B115="Operacional",IFERROR(VLOOKUP($C115,SN_UGC,28,0),0),1)</f>
        <v>0</v>
      </c>
      <c r="GD115" s="140">
        <f>SUM($D115:AC115)*IF($B115="Operacional",IFERROR(VLOOKUP($C115,SN_UGC,28,0),0),1)</f>
        <v>0</v>
      </c>
      <c r="GE115" s="140">
        <f>SUM($D115:AD115)*IF($B115="Operacional",IFERROR(VLOOKUP($C115,SN_UGC,28,0),0),1)</f>
        <v>0</v>
      </c>
      <c r="GF115" s="140">
        <f>SUM($D115:AE115)*IF($B115="Operacional",IFERROR(VLOOKUP($C115,SN_UGC,28,0),0),1)</f>
        <v>0</v>
      </c>
      <c r="GG115" s="140">
        <f>SUM($D115:AF115)*IF($B115="Operacional",IFERROR(VLOOKUP($C115,SN_UGC,28,0),0),1)</f>
        <v>0</v>
      </c>
      <c r="GH115" s="140">
        <f>SUM($D115:AG115)*IF($B115="Operacional",IFERROR(VLOOKUP($C115,SN_UGC,28,0),0),1)</f>
        <v>0</v>
      </c>
      <c r="GI115" s="141">
        <f t="shared" ref="GI115:HL115" si="594">FE115*$AH115*$AL115</f>
        <v>0</v>
      </c>
      <c r="GJ115" s="141">
        <f t="shared" si="594"/>
        <v>0</v>
      </c>
      <c r="GK115" s="141">
        <f t="shared" si="594"/>
        <v>0</v>
      </c>
      <c r="GL115" s="141">
        <f t="shared" si="594"/>
        <v>0</v>
      </c>
      <c r="GM115" s="141">
        <f t="shared" si="594"/>
        <v>0</v>
      </c>
      <c r="GN115" s="141">
        <f t="shared" si="594"/>
        <v>0</v>
      </c>
      <c r="GO115" s="141">
        <f t="shared" si="594"/>
        <v>0</v>
      </c>
      <c r="GP115" s="141">
        <f t="shared" si="594"/>
        <v>0</v>
      </c>
      <c r="GQ115" s="141">
        <f t="shared" si="594"/>
        <v>0</v>
      </c>
      <c r="GR115" s="141">
        <f t="shared" si="594"/>
        <v>0</v>
      </c>
      <c r="GS115" s="141">
        <f t="shared" si="594"/>
        <v>0</v>
      </c>
      <c r="GT115" s="141">
        <f t="shared" si="594"/>
        <v>0</v>
      </c>
      <c r="GU115" s="141">
        <f t="shared" si="594"/>
        <v>0</v>
      </c>
      <c r="GV115" s="141">
        <f t="shared" si="594"/>
        <v>0</v>
      </c>
      <c r="GW115" s="141">
        <f t="shared" si="594"/>
        <v>0</v>
      </c>
      <c r="GX115" s="141">
        <f t="shared" si="594"/>
        <v>0</v>
      </c>
      <c r="GY115" s="141">
        <f t="shared" si="594"/>
        <v>0</v>
      </c>
      <c r="GZ115" s="141">
        <f t="shared" si="594"/>
        <v>0</v>
      </c>
      <c r="HA115" s="141">
        <f t="shared" si="594"/>
        <v>0</v>
      </c>
      <c r="HB115" s="141">
        <f t="shared" si="594"/>
        <v>0</v>
      </c>
      <c r="HC115" s="141">
        <f t="shared" si="594"/>
        <v>0</v>
      </c>
      <c r="HD115" s="141">
        <f t="shared" si="594"/>
        <v>0</v>
      </c>
      <c r="HE115" s="141">
        <f t="shared" si="594"/>
        <v>0</v>
      </c>
      <c r="HF115" s="141">
        <f t="shared" si="594"/>
        <v>0</v>
      </c>
      <c r="HG115" s="141">
        <f t="shared" si="594"/>
        <v>0</v>
      </c>
      <c r="HH115" s="141">
        <f t="shared" si="594"/>
        <v>0</v>
      </c>
      <c r="HI115" s="141">
        <f t="shared" si="594"/>
        <v>0</v>
      </c>
      <c r="HJ115" s="141">
        <f t="shared" si="594"/>
        <v>0</v>
      </c>
      <c r="HK115" s="141">
        <f t="shared" si="594"/>
        <v>0</v>
      </c>
      <c r="HL115" s="141">
        <f t="shared" si="594"/>
        <v>0</v>
      </c>
      <c r="HM115" s="142">
        <f t="shared" ref="HM115:IP115" si="595">IF(ISBLANK($A115),,FE115*($AH115-($AH115*$AJ115))/$AI115)</f>
        <v>0</v>
      </c>
      <c r="HN115" s="142">
        <f t="shared" si="595"/>
        <v>0</v>
      </c>
      <c r="HO115" s="142">
        <f t="shared" si="595"/>
        <v>0</v>
      </c>
      <c r="HP115" s="142">
        <f t="shared" si="595"/>
        <v>0</v>
      </c>
      <c r="HQ115" s="142">
        <f t="shared" si="595"/>
        <v>0</v>
      </c>
      <c r="HR115" s="142">
        <f t="shared" si="595"/>
        <v>0</v>
      </c>
      <c r="HS115" s="142">
        <f t="shared" si="595"/>
        <v>0</v>
      </c>
      <c r="HT115" s="142">
        <f t="shared" si="595"/>
        <v>0</v>
      </c>
      <c r="HU115" s="142">
        <f t="shared" si="595"/>
        <v>0</v>
      </c>
      <c r="HV115" s="142">
        <f t="shared" si="595"/>
        <v>0</v>
      </c>
      <c r="HW115" s="142">
        <f t="shared" si="595"/>
        <v>0</v>
      </c>
      <c r="HX115" s="142">
        <f t="shared" si="595"/>
        <v>0</v>
      </c>
      <c r="HY115" s="142">
        <f t="shared" si="595"/>
        <v>0</v>
      </c>
      <c r="HZ115" s="142">
        <f t="shared" si="595"/>
        <v>0</v>
      </c>
      <c r="IA115" s="142">
        <f t="shared" si="595"/>
        <v>0</v>
      </c>
      <c r="IB115" s="142">
        <f t="shared" si="595"/>
        <v>0</v>
      </c>
      <c r="IC115" s="142">
        <f t="shared" si="595"/>
        <v>0</v>
      </c>
      <c r="ID115" s="142">
        <f t="shared" si="595"/>
        <v>0</v>
      </c>
      <c r="IE115" s="142">
        <f t="shared" si="595"/>
        <v>0</v>
      </c>
      <c r="IF115" s="142">
        <f t="shared" si="595"/>
        <v>0</v>
      </c>
      <c r="IG115" s="142">
        <f t="shared" si="595"/>
        <v>0</v>
      </c>
      <c r="IH115" s="142">
        <f t="shared" si="595"/>
        <v>0</v>
      </c>
      <c r="II115" s="142">
        <f t="shared" si="595"/>
        <v>0</v>
      </c>
      <c r="IJ115" s="142">
        <f t="shared" si="595"/>
        <v>0</v>
      </c>
      <c r="IK115" s="142">
        <f t="shared" si="595"/>
        <v>0</v>
      </c>
      <c r="IL115" s="142">
        <f t="shared" si="595"/>
        <v>0</v>
      </c>
      <c r="IM115" s="142">
        <f t="shared" si="595"/>
        <v>0</v>
      </c>
      <c r="IN115" s="142">
        <f t="shared" si="595"/>
        <v>0</v>
      </c>
      <c r="IO115" s="142">
        <f t="shared" si="595"/>
        <v>0</v>
      </c>
      <c r="IP115" s="142">
        <f t="shared" si="595"/>
        <v>0</v>
      </c>
      <c r="IQ115" s="141">
        <f>IF(ISBLANK($A115),,IF($AN115="Não",0,(SUM($AO115:AO115)*$AH115)-SUM($HM115:HM115)-SUM($CW115:CW115)))</f>
        <v>0</v>
      </c>
      <c r="IR115" s="141">
        <f>IF(ISBLANK($A115),,IF($AN115="Não",0,(SUM($AO115:AP115)*$AH115)-SUM($HM115:HN115)-SUM($CW115:CX115)))</f>
        <v>0</v>
      </c>
      <c r="IS115" s="141">
        <f>IF(ISBLANK($A115),,IF($AN115="Não",0,(SUM($AO115:AQ115)*$AH115)-SUM($HM115:HO115)-SUM($CW115:CY115)))</f>
        <v>0</v>
      </c>
      <c r="IT115" s="141">
        <f>IF(ISBLANK($A115),,IF($AN115="Não",0,(SUM($AO115:AR115)*$AH115)-SUM($HM115:HP115)-SUM($CW115:CZ115)))</f>
        <v>0</v>
      </c>
      <c r="IU115" s="141">
        <f>IF(ISBLANK($A115),,IF($AN115="Não",0,(SUM($AO115:AS115)*$AH115)-SUM($HM115:HQ115)-SUM($CW115:DA115)))</f>
        <v>0</v>
      </c>
      <c r="IV115" s="141">
        <f>IF(ISBLANK($A115),,IF($AN115="Não",0,(SUM($AO115:AT115)*$AH115)-SUM($HM115:HR115)-SUM($CW115:DB115)))</f>
        <v>0</v>
      </c>
      <c r="IW115" s="141">
        <f>IF(ISBLANK($A115),,IF($AN115="Não",0,(SUM($AO115:AU115)*$AH115)-SUM($HM115:HS115)-SUM($CW115:DC115)))</f>
        <v>0</v>
      </c>
      <c r="IX115" s="141">
        <f>IF(ISBLANK($A115),,IF($AN115="Não",0,(SUM($AO115:AV115)*$AH115)-SUM($HM115:HT115)-SUM($CW115:DD115)))</f>
        <v>0</v>
      </c>
      <c r="IY115" s="141">
        <f>IF(ISBLANK($A115),,IF($AN115="Não",0,(SUM($AO115:AW115)*$AH115)-SUM($HM115:HU115)-SUM($CW115:DE115)))</f>
        <v>0</v>
      </c>
      <c r="IZ115" s="141">
        <f>IF(ISBLANK($A115),,IF($AN115="Não",0,(SUM($AO115:AX115)*$AH115)-SUM($HM115:HV115)-SUM($CW115:DF115)))</f>
        <v>0</v>
      </c>
      <c r="JA115" s="141">
        <f>IF(ISBLANK($A115),,IF($AN115="Não",0,(SUM($AO115:AY115)*$AH115)-SUM($HM115:HW115)-SUM($CW115:DG115)))</f>
        <v>0</v>
      </c>
      <c r="JB115" s="141">
        <f>IF(ISBLANK($A115),,IF($AN115="Não",0,(SUM($AO115:AZ115)*$AH115)-SUM($HM115:HX115)-SUM($CW115:DH115)))</f>
        <v>0</v>
      </c>
      <c r="JC115" s="141">
        <f>IF(ISBLANK($A115),,IF($AN115="Não",0,(SUM($AO115:BA115)*$AH115)-SUM($HM115:HY115)-SUM($CW115:DI115)))</f>
        <v>0</v>
      </c>
      <c r="JD115" s="141">
        <f>IF(ISBLANK($A115),,IF($AN115="Não",0,(SUM($AO115:BB115)*$AH115)-SUM($HM115:HZ115)-SUM($CW115:DJ115)))</f>
        <v>0</v>
      </c>
      <c r="JE115" s="141">
        <f>IF(ISBLANK($A115),,IF($AN115="Não",0,(SUM($AO115:BC115)*$AH115)-SUM($HM115:IA115)-SUM($CW115:DK115)))</f>
        <v>0</v>
      </c>
      <c r="JF115" s="141">
        <f>IF(ISBLANK($A115),,IF($AN115="Não",0,(SUM($AO115:BD115)*$AH115)-SUM($HM115:IB115)-SUM($CW115:DL115)))</f>
        <v>0</v>
      </c>
      <c r="JG115" s="141">
        <f>IF(ISBLANK($A115),,IF($AN115="Não",0,(SUM($AO115:BE115)*$AH115)-SUM($HM115:IC115)-SUM($CW115:DM115)))</f>
        <v>0</v>
      </c>
      <c r="JH115" s="141">
        <f>IF(ISBLANK($A115),,IF($AN115="Não",0,(SUM($AO115:BF115)*$AH115)-SUM($HM115:ID115)-SUM($CW115:DN115)))</f>
        <v>0</v>
      </c>
      <c r="JI115" s="141">
        <f>IF(ISBLANK($A115),,IF($AN115="Não",0,(SUM($AO115:BG115)*$AH115)-SUM($HM115:IE115)-SUM($CW115:DO115)))</f>
        <v>0</v>
      </c>
      <c r="JJ115" s="141">
        <f>IF(ISBLANK($A115),,IF($AN115="Não",0,(SUM($AO115:BH115)*$AH115)-SUM($HM115:IF115)-SUM($CW115:DP115)))</f>
        <v>0</v>
      </c>
      <c r="JK115" s="141">
        <f>IF(ISBLANK($A115),,IF($AN115="Não",0,(SUM($AO115:BI115)*$AH115)-SUM($HM115:IG115)-SUM($CW115:DQ115)))</f>
        <v>0</v>
      </c>
      <c r="JL115" s="141">
        <f>IF(ISBLANK($A115),,IF($AN115="Não",0,(SUM($AO115:BJ115)*$AH115)-SUM($HM115:IH115)-SUM($CW115:DR115)))</f>
        <v>0</v>
      </c>
      <c r="JM115" s="141">
        <f>IF(ISBLANK($A115),,IF($AN115="Não",0,(SUM($AO115:BK115)*$AH115)-SUM($HM115:II115)-SUM($CW115:DS115)))</f>
        <v>0</v>
      </c>
      <c r="JN115" s="141">
        <f>IF(ISBLANK($A115),,IF($AN115="Não",0,(SUM($AO115:BL115)*$AH115)-SUM($HM115:IJ115)-SUM($CW115:DT115)))</f>
        <v>0</v>
      </c>
      <c r="JO115" s="141">
        <f>IF(ISBLANK($A115),,IF($AN115="Não",0,(SUM($AO115:BM115)*$AH115)-SUM($HM115:IK115)-SUM($CW115:DU115)))</f>
        <v>0</v>
      </c>
      <c r="JP115" s="141">
        <f>IF(ISBLANK($A115),,IF($AN115="Não",0,(SUM($AO115:BN115)*$AH115)-SUM($HM115:IL115)-SUM($CW115:DV115)))</f>
        <v>0</v>
      </c>
      <c r="JQ115" s="141">
        <f>IF(ISBLANK($A115),,IF($AN115="Não",0,(SUM($AO115:BO115)*$AH115)-SUM($HM115:IM115)-SUM($CW115:DW115)))</f>
        <v>0</v>
      </c>
      <c r="JR115" s="141">
        <f>IF(ISBLANK($A115),,IF($AN115="Não",0,(SUM($AO115:BP115)*$AH115)-SUM($HM115:IN115)-SUM($CW115:DX115)))</f>
        <v>0</v>
      </c>
      <c r="JS115" s="141">
        <f>IF(ISBLANK($A115),,IF($AN115="Não",0,(SUM($AO115:BQ115)*$AH115)-SUM($HM115:IO115)-SUM($CW115:DY115)))</f>
        <v>0</v>
      </c>
      <c r="JT115" s="141">
        <f>IF(ISBLANK($A115),,IF($AN115="Não",0,(SUM($AO115:BR115)*$AH115)-SUM($HM115:IP115)-SUM($CW115:DZ115)))</f>
        <v>0</v>
      </c>
    </row>
    <row r="116" spans="1:280" ht="15.75" customHeight="1">
      <c r="A116" s="129"/>
      <c r="B116" s="129"/>
      <c r="C116" s="138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607">
        <f t="shared" si="544"/>
        <v>0</v>
      </c>
      <c r="AI116" s="608">
        <f t="shared" si="545"/>
        <v>0</v>
      </c>
      <c r="AJ116" s="609">
        <f t="shared" si="546"/>
        <v>0</v>
      </c>
      <c r="AK116" s="610" t="str">
        <f t="shared" si="547"/>
        <v/>
      </c>
      <c r="AL116" s="609">
        <f t="shared" si="548"/>
        <v>0</v>
      </c>
      <c r="AM116" s="611" t="str">
        <f t="shared" si="549"/>
        <v/>
      </c>
      <c r="AN116" s="611" t="str">
        <f t="shared" si="550"/>
        <v/>
      </c>
      <c r="AO116" s="140">
        <f t="array" ref="AO116">IF(ISBLANK($A116),0,IF(OR(AO$5-$AI116&lt;=0,$AM116="Não"),D116,D116+INDEX($AO$6:$BR$176,ROW()-5,COLUMN()-40-$AI116)))*IF($B116="Operacional",IFERROR(VLOOKUP($C116,SN_UGC,28,0),0),1)</f>
        <v>0</v>
      </c>
      <c r="AP116" s="140">
        <f t="array" ref="AP116">IF(ISBLANK($A116),0,IF(OR(AP$5-$AI116&lt;=0,$AM116="Não"),E116,E116+INDEX($AO$6:$BR$176,ROW()-5,COLUMN()-40-$AI116)))*IF($B116="Operacional",IFERROR(VLOOKUP($C116,SN_UGC,28,0),0),1)</f>
        <v>0</v>
      </c>
      <c r="AQ116" s="140">
        <f t="array" ref="AQ116">IF(ISBLANK($A116),0,IF(OR(AQ$5-$AI116&lt;=0,$AM116="Não"),F116,F116+INDEX($AO$6:$BR$176,ROW()-5,COLUMN()-40-$AI116)))*IF($B116="Operacional",IFERROR(VLOOKUP($C116,SN_UGC,28,0),0),1)</f>
        <v>0</v>
      </c>
      <c r="AR116" s="140">
        <f t="array" ref="AR116">IF(ISBLANK($A116),0,IF(OR(AR$5-$AI116&lt;=0,$AM116="Não"),G116,G116+INDEX($AO$6:$BR$176,ROW()-5,COLUMN()-40-$AI116)))*IF($B116="Operacional",IFERROR(VLOOKUP($C116,SN_UGC,28,0),0),1)</f>
        <v>0</v>
      </c>
      <c r="AS116" s="140">
        <f t="array" ref="AS116">IF(ISBLANK($A116),0,IF(OR(AS$5-$AI116&lt;=0,$AM116="Não"),H116,H116+INDEX($AO$6:$BR$176,ROW()-5,COLUMN()-40-$AI116)))*IF($B116="Operacional",IFERROR(VLOOKUP($C116,SN_UGC,28,0),0),1)</f>
        <v>0</v>
      </c>
      <c r="AT116" s="140">
        <f t="array" ref="AT116">IF(ISBLANK($A116),0,IF(OR(AT$5-$AI116&lt;=0,$AM116="Não"),I116,I116+INDEX($AO$6:$BR$176,ROW()-5,COLUMN()-40-$AI116)))*IF($B116="Operacional",IFERROR(VLOOKUP($C116,SN_UGC,28,0),0),1)</f>
        <v>0</v>
      </c>
      <c r="AU116" s="140">
        <f t="array" ref="AU116">IF(ISBLANK($A116),0,IF(OR(AU$5-$AI116&lt;=0,$AM116="Não"),J116,J116+INDEX($AO$6:$BR$176,ROW()-5,COLUMN()-40-$AI116)))*IF($B116="Operacional",IFERROR(VLOOKUP($C116,SN_UGC,28,0),0),1)</f>
        <v>0</v>
      </c>
      <c r="AV116" s="140">
        <f t="array" ref="AV116">IF(ISBLANK($A116),0,IF(OR(AV$5-$AI116&lt;=0,$AM116="Não"),K116,K116+INDEX($AO$6:$BR$176,ROW()-5,COLUMN()-40-$AI116)))*IF($B116="Operacional",IFERROR(VLOOKUP($C116,SN_UGC,28,0),0),1)</f>
        <v>0</v>
      </c>
      <c r="AW116" s="140">
        <f t="array" ref="AW116">IF(ISBLANK($A116),0,IF(OR(AW$5-$AI116&lt;=0,$AM116="Não"),L116,L116+INDEX($AO$6:$BR$176,ROW()-5,COLUMN()-40-$AI116)))*IF($B116="Operacional",IFERROR(VLOOKUP($C116,SN_UGC,28,0),0),1)</f>
        <v>0</v>
      </c>
      <c r="AX116" s="140">
        <f t="array" ref="AX116">IF(ISBLANK($A116),0,IF(OR(AX$5-$AI116&lt;=0,$AM116="Não"),M116,M116+INDEX($AO$6:$BR$176,ROW()-5,COLUMN()-40-$AI116)))*IF($B116="Operacional",IFERROR(VLOOKUP($C116,SN_UGC,28,0),0),1)</f>
        <v>0</v>
      </c>
      <c r="AY116" s="140">
        <f t="array" ref="AY116">IF(ISBLANK($A116),0,IF(OR(AY$5-$AI116&lt;=0,$AM116="Não"),N116,N116+INDEX($AO$6:$BR$176,ROW()-5,COLUMN()-40-$AI116)))*IF($B116="Operacional",IFERROR(VLOOKUP($C116,SN_UGC,28,0),0),1)</f>
        <v>0</v>
      </c>
      <c r="AZ116" s="140">
        <f t="array" ref="AZ116">IF(ISBLANK($A116),0,IF(OR(AZ$5-$AI116&lt;=0,$AM116="Não"),O116,O116+INDEX($AO$6:$BR$176,ROW()-5,COLUMN()-40-$AI116)))*IF($B116="Operacional",IFERROR(VLOOKUP($C116,SN_UGC,28,0),0),1)</f>
        <v>0</v>
      </c>
      <c r="BA116" s="140">
        <f t="array" ref="BA116">IF(ISBLANK($A116),0,IF(OR(BA$5-$AI116&lt;=0,$AM116="Não"),P116,P116+INDEX($AO$6:$BR$176,ROW()-5,COLUMN()-40-$AI116)))*IF($B116="Operacional",IFERROR(VLOOKUP($C116,SN_UGC,28,0),0),1)</f>
        <v>0</v>
      </c>
      <c r="BB116" s="140">
        <f t="array" ref="BB116">IF(ISBLANK($A116),0,IF(OR(BB$5-$AI116&lt;=0,$AM116="Não"),Q116,Q116+INDEX($AO$6:$BR$176,ROW()-5,COLUMN()-40-$AI116)))*IF($B116="Operacional",IFERROR(VLOOKUP($C116,SN_UGC,28,0),0),1)</f>
        <v>0</v>
      </c>
      <c r="BC116" s="140">
        <f t="array" ref="BC116">IF(ISBLANK($A116),0,IF(OR(BC$5-$AI116&lt;=0,$AM116="Não"),R116,R116+INDEX($AO$6:$BR$176,ROW()-5,COLUMN()-40-$AI116)))*IF($B116="Operacional",IFERROR(VLOOKUP($C116,SN_UGC,28,0),0),1)</f>
        <v>0</v>
      </c>
      <c r="BD116" s="140">
        <f t="array" ref="BD116">IF(ISBLANK($A116),0,IF(OR(BD$5-$AI116&lt;=0,$AM116="Não"),S116,S116+INDEX($AO$6:$BR$176,ROW()-5,COLUMN()-40-$AI116)))*IF($B116="Operacional",IFERROR(VLOOKUP($C116,SN_UGC,28,0),0),1)</f>
        <v>0</v>
      </c>
      <c r="BE116" s="140">
        <f t="array" ref="BE116">IF(ISBLANK($A116),0,IF(OR(BE$5-$AI116&lt;=0,$AM116="Não"),T116,T116+INDEX($AO$6:$BR$176,ROW()-5,COLUMN()-40-$AI116)))*IF($B116="Operacional",IFERROR(VLOOKUP($C116,SN_UGC,28,0),0),1)</f>
        <v>0</v>
      </c>
      <c r="BF116" s="140">
        <f t="array" ref="BF116">IF(ISBLANK($A116),0,IF(OR(BF$5-$AI116&lt;=0,$AM116="Não"),U116,U116+INDEX($AO$6:$BR$176,ROW()-5,COLUMN()-40-$AI116)))*IF($B116="Operacional",IFERROR(VLOOKUP($C116,SN_UGC,28,0),0),1)</f>
        <v>0</v>
      </c>
      <c r="BG116" s="140">
        <f t="array" ref="BG116">IF(ISBLANK($A116),0,IF(OR(BG$5-$AI116&lt;=0,$AM116="Não"),V116,V116+INDEX($AO$6:$BR$176,ROW()-5,COLUMN()-40-$AI116)))*IF($B116="Operacional",IFERROR(VLOOKUP($C116,SN_UGC,28,0),0),1)</f>
        <v>0</v>
      </c>
      <c r="BH116" s="140">
        <f t="array" ref="BH116">IF(ISBLANK($A116),0,IF(OR(BH$5-$AI116&lt;=0,$AM116="Não"),W116,W116+INDEX($AO$6:$BR$176,ROW()-5,COLUMN()-40-$AI116)))*IF($B116="Operacional",IFERROR(VLOOKUP($C116,SN_UGC,28,0),0),1)</f>
        <v>0</v>
      </c>
      <c r="BI116" s="140">
        <f t="array" ref="BI116">IF(ISBLANK($A116),0,IF(OR(BI$5-$AI116&lt;=0,$AM116="Não"),X116,X116+INDEX($AO$6:$BR$176,ROW()-5,COLUMN()-40-$AI116)))*IF($B116="Operacional",IFERROR(VLOOKUP($C116,SN_UGC,28,0),0),1)</f>
        <v>0</v>
      </c>
      <c r="BJ116" s="140">
        <f t="array" ref="BJ116">IF(ISBLANK($A116),0,IF(OR(BJ$5-$AI116&lt;=0,$AM116="Não"),Y116,Y116+INDEX($AO$6:$BR$176,ROW()-5,COLUMN()-40-$AI116)))*IF($B116="Operacional",IFERROR(VLOOKUP($C116,SN_UGC,28,0),0),1)</f>
        <v>0</v>
      </c>
      <c r="BK116" s="140">
        <f t="array" ref="BK116">IF(ISBLANK($A116),0,IF(OR(BK$5-$AI116&lt;=0,$AM116="Não"),Z116,Z116+INDEX($AO$6:$BR$176,ROW()-5,COLUMN()-40-$AI116)))*IF($B116="Operacional",IFERROR(VLOOKUP($C116,SN_UGC,28,0),0),1)</f>
        <v>0</v>
      </c>
      <c r="BL116" s="140">
        <f t="array" ref="BL116">IF(ISBLANK($A116),0,IF(OR(BL$5-$AI116&lt;=0,$AM116="Não"),AA116,AA116+INDEX($AO$6:$BR$176,ROW()-5,COLUMN()-40-$AI116)))*IF($B116="Operacional",IFERROR(VLOOKUP($C116,SN_UGC,28,0),0),1)</f>
        <v>0</v>
      </c>
      <c r="BM116" s="140">
        <f t="array" ref="BM116">IF(ISBLANK($A116),0,IF(OR(BM$5-$AI116&lt;=0,$AM116="Não"),AB116,AB116+INDEX($AO$6:$BR$176,ROW()-5,COLUMN()-40-$AI116)))*IF($B116="Operacional",IFERROR(VLOOKUP($C116,SN_UGC,28,0),0),1)</f>
        <v>0</v>
      </c>
      <c r="BN116" s="140">
        <f t="array" ref="BN116">IF(ISBLANK($A116),0,IF(OR(BN$5-$AI116&lt;=0,$AM116="Não"),AC116,AC116+INDEX($AO$6:$BR$176,ROW()-5,COLUMN()-40-$AI116)))*IF($B116="Operacional",IFERROR(VLOOKUP($C116,SN_UGC,28,0),0),1)</f>
        <v>0</v>
      </c>
      <c r="BO116" s="140">
        <f t="array" ref="BO116">IF(ISBLANK($A116),0,IF(OR(BO$5-$AI116&lt;=0,$AM116="Não"),AD116,AD116+INDEX($AO$6:$BR$176,ROW()-5,COLUMN()-40-$AI116)))*IF($B116="Operacional",IFERROR(VLOOKUP($C116,SN_UGC,28,0),0),1)</f>
        <v>0</v>
      </c>
      <c r="BP116" s="140">
        <f t="array" ref="BP116">IF(ISBLANK($A116),0,IF(OR(BP$5-$AI116&lt;=0,$AM116="Não"),AE116,AE116+INDEX($AO$6:$BR$176,ROW()-5,COLUMN()-40-$AI116)))*IF($B116="Operacional",IFERROR(VLOOKUP($C116,SN_UGC,28,0),0),1)</f>
        <v>0</v>
      </c>
      <c r="BQ116" s="140">
        <f t="array" ref="BQ116">IF(ISBLANK($A116),0,IF(OR(BQ$5-$AI116&lt;=0,$AM116="Não"),AF116,AF116+INDEX($AO$6:$BR$176,ROW()-5,COLUMN()-40-$AI116)))*IF($B116="Operacional",IFERROR(VLOOKUP($C116,SN_UGC,28,0),0),1)</f>
        <v>0</v>
      </c>
      <c r="BR116" s="140">
        <f t="array" ref="BR116">IF(ISBLANK($A116),0,IF(OR(BR$5-$AI116&lt;=0,$AM116="Não"),AG116,AG116+INDEX($AO$6:$BR$176,ROW()-5,COLUMN()-40-$AI116)))*IF($B116="Operacional",IFERROR(VLOOKUP($C116,SN_UGC,28,0),0),1)</f>
        <v>0</v>
      </c>
      <c r="BS116" s="141">
        <f t="shared" ref="BS116:CV116" si="596">IF(ISBLANK($A116),0,$AH116*AO116)</f>
        <v>0</v>
      </c>
      <c r="BT116" s="141">
        <f t="shared" si="596"/>
        <v>0</v>
      </c>
      <c r="BU116" s="141">
        <f t="shared" si="596"/>
        <v>0</v>
      </c>
      <c r="BV116" s="141">
        <f t="shared" si="596"/>
        <v>0</v>
      </c>
      <c r="BW116" s="141">
        <f t="shared" si="596"/>
        <v>0</v>
      </c>
      <c r="BX116" s="141">
        <f t="shared" si="596"/>
        <v>0</v>
      </c>
      <c r="BY116" s="141">
        <f t="shared" si="596"/>
        <v>0</v>
      </c>
      <c r="BZ116" s="141">
        <f t="shared" si="596"/>
        <v>0</v>
      </c>
      <c r="CA116" s="141">
        <f t="shared" si="596"/>
        <v>0</v>
      </c>
      <c r="CB116" s="141">
        <f t="shared" si="596"/>
        <v>0</v>
      </c>
      <c r="CC116" s="141">
        <f t="shared" si="596"/>
        <v>0</v>
      </c>
      <c r="CD116" s="141">
        <f t="shared" si="596"/>
        <v>0</v>
      </c>
      <c r="CE116" s="141">
        <f t="shared" si="596"/>
        <v>0</v>
      </c>
      <c r="CF116" s="141">
        <f t="shared" si="596"/>
        <v>0</v>
      </c>
      <c r="CG116" s="141">
        <f t="shared" si="596"/>
        <v>0</v>
      </c>
      <c r="CH116" s="141">
        <f t="shared" si="596"/>
        <v>0</v>
      </c>
      <c r="CI116" s="141">
        <f t="shared" si="596"/>
        <v>0</v>
      </c>
      <c r="CJ116" s="141">
        <f t="shared" si="596"/>
        <v>0</v>
      </c>
      <c r="CK116" s="141">
        <f t="shared" si="596"/>
        <v>0</v>
      </c>
      <c r="CL116" s="141">
        <f t="shared" si="596"/>
        <v>0</v>
      </c>
      <c r="CM116" s="141">
        <f t="shared" si="596"/>
        <v>0</v>
      </c>
      <c r="CN116" s="141">
        <f t="shared" si="596"/>
        <v>0</v>
      </c>
      <c r="CO116" s="141">
        <f t="shared" si="596"/>
        <v>0</v>
      </c>
      <c r="CP116" s="141">
        <f t="shared" si="596"/>
        <v>0</v>
      </c>
      <c r="CQ116" s="141">
        <f t="shared" si="596"/>
        <v>0</v>
      </c>
      <c r="CR116" s="141">
        <f t="shared" si="596"/>
        <v>0</v>
      </c>
      <c r="CS116" s="141">
        <f t="shared" si="596"/>
        <v>0</v>
      </c>
      <c r="CT116" s="141">
        <f t="shared" si="596"/>
        <v>0</v>
      </c>
      <c r="CU116" s="141">
        <f t="shared" si="596"/>
        <v>0</v>
      </c>
      <c r="CV116" s="141">
        <f t="shared" si="596"/>
        <v>0</v>
      </c>
      <c r="CW116" s="142">
        <f t="shared" ref="CW116:DZ116" si="597">EA116*$AH116*$AJ116</f>
        <v>0</v>
      </c>
      <c r="CX116" s="142">
        <f t="shared" si="597"/>
        <v>0</v>
      </c>
      <c r="CY116" s="142">
        <f t="shared" si="597"/>
        <v>0</v>
      </c>
      <c r="CZ116" s="142">
        <f t="shared" si="597"/>
        <v>0</v>
      </c>
      <c r="DA116" s="142">
        <f t="shared" si="597"/>
        <v>0</v>
      </c>
      <c r="DB116" s="142">
        <f t="shared" si="597"/>
        <v>0</v>
      </c>
      <c r="DC116" s="142">
        <f t="shared" si="597"/>
        <v>0</v>
      </c>
      <c r="DD116" s="142">
        <f t="shared" si="597"/>
        <v>0</v>
      </c>
      <c r="DE116" s="142">
        <f t="shared" si="597"/>
        <v>0</v>
      </c>
      <c r="DF116" s="142">
        <f t="shared" si="597"/>
        <v>0</v>
      </c>
      <c r="DG116" s="142">
        <f t="shared" si="597"/>
        <v>0</v>
      </c>
      <c r="DH116" s="142">
        <f t="shared" si="597"/>
        <v>0</v>
      </c>
      <c r="DI116" s="142">
        <f t="shared" si="597"/>
        <v>0</v>
      </c>
      <c r="DJ116" s="142">
        <f t="shared" si="597"/>
        <v>0</v>
      </c>
      <c r="DK116" s="142">
        <f t="shared" si="597"/>
        <v>0</v>
      </c>
      <c r="DL116" s="142">
        <f t="shared" si="597"/>
        <v>0</v>
      </c>
      <c r="DM116" s="142">
        <f t="shared" si="597"/>
        <v>0</v>
      </c>
      <c r="DN116" s="142">
        <f t="shared" si="597"/>
        <v>0</v>
      </c>
      <c r="DO116" s="142">
        <f t="shared" si="597"/>
        <v>0</v>
      </c>
      <c r="DP116" s="142">
        <f t="shared" si="597"/>
        <v>0</v>
      </c>
      <c r="DQ116" s="142">
        <f t="shared" si="597"/>
        <v>0</v>
      </c>
      <c r="DR116" s="142">
        <f t="shared" si="597"/>
        <v>0</v>
      </c>
      <c r="DS116" s="142">
        <f t="shared" si="597"/>
        <v>0</v>
      </c>
      <c r="DT116" s="142">
        <f t="shared" si="597"/>
        <v>0</v>
      </c>
      <c r="DU116" s="142">
        <f t="shared" si="597"/>
        <v>0</v>
      </c>
      <c r="DV116" s="142">
        <f t="shared" si="597"/>
        <v>0</v>
      </c>
      <c r="DW116" s="142">
        <f t="shared" si="597"/>
        <v>0</v>
      </c>
      <c r="DX116" s="142">
        <f t="shared" si="597"/>
        <v>0</v>
      </c>
      <c r="DY116" s="142">
        <f t="shared" si="597"/>
        <v>0</v>
      </c>
      <c r="DZ116" s="142">
        <f t="shared" si="597"/>
        <v>0</v>
      </c>
      <c r="EA116" s="143">
        <f t="shared" si="504"/>
        <v>0</v>
      </c>
      <c r="EB116" s="143">
        <f t="shared" si="505"/>
        <v>0</v>
      </c>
      <c r="EC116" s="143">
        <f t="shared" si="506"/>
        <v>0</v>
      </c>
      <c r="ED116" s="143">
        <f t="shared" si="507"/>
        <v>0</v>
      </c>
      <c r="EE116" s="143">
        <f t="shared" si="508"/>
        <v>0</v>
      </c>
      <c r="EF116" s="143">
        <f t="shared" si="509"/>
        <v>0</v>
      </c>
      <c r="EG116" s="143">
        <f t="shared" si="510"/>
        <v>0</v>
      </c>
      <c r="EH116" s="143">
        <f t="shared" si="511"/>
        <v>0</v>
      </c>
      <c r="EI116" s="143">
        <f t="shared" si="512"/>
        <v>0</v>
      </c>
      <c r="EJ116" s="143">
        <f t="shared" si="513"/>
        <v>0</v>
      </c>
      <c r="EK116" s="143">
        <f t="shared" si="514"/>
        <v>0</v>
      </c>
      <c r="EL116" s="143">
        <f t="shared" si="515"/>
        <v>0</v>
      </c>
      <c r="EM116" s="143">
        <f t="shared" si="516"/>
        <v>0</v>
      </c>
      <c r="EN116" s="143">
        <f t="shared" si="517"/>
        <v>0</v>
      </c>
      <c r="EO116" s="143">
        <f t="shared" si="518"/>
        <v>0</v>
      </c>
      <c r="EP116" s="143">
        <f t="shared" si="519"/>
        <v>0</v>
      </c>
      <c r="EQ116" s="143">
        <f t="shared" si="520"/>
        <v>0</v>
      </c>
      <c r="ER116" s="143">
        <f t="shared" si="521"/>
        <v>0</v>
      </c>
      <c r="ES116" s="143">
        <f t="shared" si="522"/>
        <v>0</v>
      </c>
      <c r="ET116" s="143">
        <f t="shared" si="523"/>
        <v>0</v>
      </c>
      <c r="EU116" s="143">
        <f t="shared" si="524"/>
        <v>0</v>
      </c>
      <c r="EV116" s="143">
        <f t="shared" si="525"/>
        <v>0</v>
      </c>
      <c r="EW116" s="143">
        <f t="shared" si="526"/>
        <v>0</v>
      </c>
      <c r="EX116" s="143">
        <f t="shared" si="527"/>
        <v>0</v>
      </c>
      <c r="EY116" s="143">
        <f t="shared" si="528"/>
        <v>0</v>
      </c>
      <c r="EZ116" s="143">
        <f t="shared" si="529"/>
        <v>0</v>
      </c>
      <c r="FA116" s="143">
        <f t="shared" si="530"/>
        <v>0</v>
      </c>
      <c r="FB116" s="143">
        <f t="shared" si="531"/>
        <v>0</v>
      </c>
      <c r="FC116" s="143">
        <f t="shared" si="532"/>
        <v>0</v>
      </c>
      <c r="FD116" s="143">
        <f t="shared" si="533"/>
        <v>0</v>
      </c>
      <c r="FE116" s="140">
        <f>SUM($D116:D116)*IF($B116="Operacional",IFERROR(VLOOKUP($C116,SN_UGC,28,0),0),1)</f>
        <v>0</v>
      </c>
      <c r="FF116" s="140">
        <f>SUM($D116:E116)*IF($B116="Operacional",IFERROR(VLOOKUP($C116,SN_UGC,28,0),0),1)</f>
        <v>0</v>
      </c>
      <c r="FG116" s="140">
        <f>SUM($D116:F116)*IF($B116="Operacional",IFERROR(VLOOKUP($C116,SN_UGC,28,0),0),1)</f>
        <v>0</v>
      </c>
      <c r="FH116" s="140">
        <f>SUM($D116:G116)*IF($B116="Operacional",IFERROR(VLOOKUP($C116,SN_UGC,28,0),0),1)</f>
        <v>0</v>
      </c>
      <c r="FI116" s="140">
        <f>SUM($D116:H116)*IF($B116="Operacional",IFERROR(VLOOKUP($C116,SN_UGC,28,0),0),1)</f>
        <v>0</v>
      </c>
      <c r="FJ116" s="140">
        <f>SUM($D116:I116)*IF($B116="Operacional",IFERROR(VLOOKUP($C116,SN_UGC,28,0),0),1)</f>
        <v>0</v>
      </c>
      <c r="FK116" s="140">
        <f>SUM($D116:J116)*IF($B116="Operacional",IFERROR(VLOOKUP($C116,SN_UGC,28,0),0),1)</f>
        <v>0</v>
      </c>
      <c r="FL116" s="140">
        <f>SUM($D116:K116)*IF($B116="Operacional",IFERROR(VLOOKUP($C116,SN_UGC,28,0),0),1)</f>
        <v>0</v>
      </c>
      <c r="FM116" s="140">
        <f>SUM($D116:L116)*IF($B116="Operacional",IFERROR(VLOOKUP($C116,SN_UGC,28,0),0),1)</f>
        <v>0</v>
      </c>
      <c r="FN116" s="140">
        <f>SUM($D116:M116)*IF($B116="Operacional",IFERROR(VLOOKUP($C116,SN_UGC,28,0),0),1)</f>
        <v>0</v>
      </c>
      <c r="FO116" s="140">
        <f>SUM($D116:N116)*IF($B116="Operacional",IFERROR(VLOOKUP($C116,SN_UGC,28,0),0),1)</f>
        <v>0</v>
      </c>
      <c r="FP116" s="140">
        <f>SUM($D116:O116)*IF($B116="Operacional",IFERROR(VLOOKUP($C116,SN_UGC,28,0),0),1)</f>
        <v>0</v>
      </c>
      <c r="FQ116" s="140">
        <f>SUM($D116:P116)*IF($B116="Operacional",IFERROR(VLOOKUP($C116,SN_UGC,28,0),0),1)</f>
        <v>0</v>
      </c>
      <c r="FR116" s="140">
        <f>SUM($D116:Q116)*IF($B116="Operacional",IFERROR(VLOOKUP($C116,SN_UGC,28,0),0),1)</f>
        <v>0</v>
      </c>
      <c r="FS116" s="140">
        <f>SUM($D116:R116)*IF($B116="Operacional",IFERROR(VLOOKUP($C116,SN_UGC,28,0),0),1)</f>
        <v>0</v>
      </c>
      <c r="FT116" s="140">
        <f>SUM($D116:S116)*IF($B116="Operacional",IFERROR(VLOOKUP($C116,SN_UGC,28,0),0),1)</f>
        <v>0</v>
      </c>
      <c r="FU116" s="140">
        <f>SUM($D116:T116)*IF($B116="Operacional",IFERROR(VLOOKUP($C116,SN_UGC,28,0),0),1)</f>
        <v>0</v>
      </c>
      <c r="FV116" s="140">
        <f>SUM($D116:U116)*IF($B116="Operacional",IFERROR(VLOOKUP($C116,SN_UGC,28,0),0),1)</f>
        <v>0</v>
      </c>
      <c r="FW116" s="140">
        <f>SUM($D116:V116)*IF($B116="Operacional",IFERROR(VLOOKUP($C116,SN_UGC,28,0),0),1)</f>
        <v>0</v>
      </c>
      <c r="FX116" s="140">
        <f>SUM($D116:W116)*IF($B116="Operacional",IFERROR(VLOOKUP($C116,SN_UGC,28,0),0),1)</f>
        <v>0</v>
      </c>
      <c r="FY116" s="140">
        <f>SUM($D116:X116)*IF($B116="Operacional",IFERROR(VLOOKUP($C116,SN_UGC,28,0),0),1)</f>
        <v>0</v>
      </c>
      <c r="FZ116" s="140">
        <f>SUM($D116:Y116)*IF($B116="Operacional",IFERROR(VLOOKUP($C116,SN_UGC,28,0),0),1)</f>
        <v>0</v>
      </c>
      <c r="GA116" s="140">
        <f>SUM($D116:Z116)*IF($B116="Operacional",IFERROR(VLOOKUP($C116,SN_UGC,28,0),0),1)</f>
        <v>0</v>
      </c>
      <c r="GB116" s="140">
        <f>SUM($D116:AA116)*IF($B116="Operacional",IFERROR(VLOOKUP($C116,SN_UGC,28,0),0),1)</f>
        <v>0</v>
      </c>
      <c r="GC116" s="140">
        <f>SUM($D116:AB116)*IF($B116="Operacional",IFERROR(VLOOKUP($C116,SN_UGC,28,0),0),1)</f>
        <v>0</v>
      </c>
      <c r="GD116" s="140">
        <f>SUM($D116:AC116)*IF($B116="Operacional",IFERROR(VLOOKUP($C116,SN_UGC,28,0),0),1)</f>
        <v>0</v>
      </c>
      <c r="GE116" s="140">
        <f>SUM($D116:AD116)*IF($B116="Operacional",IFERROR(VLOOKUP($C116,SN_UGC,28,0),0),1)</f>
        <v>0</v>
      </c>
      <c r="GF116" s="140">
        <f>SUM($D116:AE116)*IF($B116="Operacional",IFERROR(VLOOKUP($C116,SN_UGC,28,0),0),1)</f>
        <v>0</v>
      </c>
      <c r="GG116" s="140">
        <f>SUM($D116:AF116)*IF($B116="Operacional",IFERROR(VLOOKUP($C116,SN_UGC,28,0),0),1)</f>
        <v>0</v>
      </c>
      <c r="GH116" s="140">
        <f>SUM($D116:AG116)*IF($B116="Operacional",IFERROR(VLOOKUP($C116,SN_UGC,28,0),0),1)</f>
        <v>0</v>
      </c>
      <c r="GI116" s="141">
        <f t="shared" ref="GI116:HL116" si="598">FE116*$AH116*$AL116</f>
        <v>0</v>
      </c>
      <c r="GJ116" s="141">
        <f t="shared" si="598"/>
        <v>0</v>
      </c>
      <c r="GK116" s="141">
        <f t="shared" si="598"/>
        <v>0</v>
      </c>
      <c r="GL116" s="141">
        <f t="shared" si="598"/>
        <v>0</v>
      </c>
      <c r="GM116" s="141">
        <f t="shared" si="598"/>
        <v>0</v>
      </c>
      <c r="GN116" s="141">
        <f t="shared" si="598"/>
        <v>0</v>
      </c>
      <c r="GO116" s="141">
        <f t="shared" si="598"/>
        <v>0</v>
      </c>
      <c r="GP116" s="141">
        <f t="shared" si="598"/>
        <v>0</v>
      </c>
      <c r="GQ116" s="141">
        <f t="shared" si="598"/>
        <v>0</v>
      </c>
      <c r="GR116" s="141">
        <f t="shared" si="598"/>
        <v>0</v>
      </c>
      <c r="GS116" s="141">
        <f t="shared" si="598"/>
        <v>0</v>
      </c>
      <c r="GT116" s="141">
        <f t="shared" si="598"/>
        <v>0</v>
      </c>
      <c r="GU116" s="141">
        <f t="shared" si="598"/>
        <v>0</v>
      </c>
      <c r="GV116" s="141">
        <f t="shared" si="598"/>
        <v>0</v>
      </c>
      <c r="GW116" s="141">
        <f t="shared" si="598"/>
        <v>0</v>
      </c>
      <c r="GX116" s="141">
        <f t="shared" si="598"/>
        <v>0</v>
      </c>
      <c r="GY116" s="141">
        <f t="shared" si="598"/>
        <v>0</v>
      </c>
      <c r="GZ116" s="141">
        <f t="shared" si="598"/>
        <v>0</v>
      </c>
      <c r="HA116" s="141">
        <f t="shared" si="598"/>
        <v>0</v>
      </c>
      <c r="HB116" s="141">
        <f t="shared" si="598"/>
        <v>0</v>
      </c>
      <c r="HC116" s="141">
        <f t="shared" si="598"/>
        <v>0</v>
      </c>
      <c r="HD116" s="141">
        <f t="shared" si="598"/>
        <v>0</v>
      </c>
      <c r="HE116" s="141">
        <f t="shared" si="598"/>
        <v>0</v>
      </c>
      <c r="HF116" s="141">
        <f t="shared" si="598"/>
        <v>0</v>
      </c>
      <c r="HG116" s="141">
        <f t="shared" si="598"/>
        <v>0</v>
      </c>
      <c r="HH116" s="141">
        <f t="shared" si="598"/>
        <v>0</v>
      </c>
      <c r="HI116" s="141">
        <f t="shared" si="598"/>
        <v>0</v>
      </c>
      <c r="HJ116" s="141">
        <f t="shared" si="598"/>
        <v>0</v>
      </c>
      <c r="HK116" s="141">
        <f t="shared" si="598"/>
        <v>0</v>
      </c>
      <c r="HL116" s="141">
        <f t="shared" si="598"/>
        <v>0</v>
      </c>
      <c r="HM116" s="142">
        <f t="shared" ref="HM116:IP116" si="599">IF(ISBLANK($A116),,FE116*($AH116-($AH116*$AJ116))/$AI116)</f>
        <v>0</v>
      </c>
      <c r="HN116" s="142">
        <f t="shared" si="599"/>
        <v>0</v>
      </c>
      <c r="HO116" s="142">
        <f t="shared" si="599"/>
        <v>0</v>
      </c>
      <c r="HP116" s="142">
        <f t="shared" si="599"/>
        <v>0</v>
      </c>
      <c r="HQ116" s="142">
        <f t="shared" si="599"/>
        <v>0</v>
      </c>
      <c r="HR116" s="142">
        <f t="shared" si="599"/>
        <v>0</v>
      </c>
      <c r="HS116" s="142">
        <f t="shared" si="599"/>
        <v>0</v>
      </c>
      <c r="HT116" s="142">
        <f t="shared" si="599"/>
        <v>0</v>
      </c>
      <c r="HU116" s="142">
        <f t="shared" si="599"/>
        <v>0</v>
      </c>
      <c r="HV116" s="142">
        <f t="shared" si="599"/>
        <v>0</v>
      </c>
      <c r="HW116" s="142">
        <f t="shared" si="599"/>
        <v>0</v>
      </c>
      <c r="HX116" s="142">
        <f t="shared" si="599"/>
        <v>0</v>
      </c>
      <c r="HY116" s="142">
        <f t="shared" si="599"/>
        <v>0</v>
      </c>
      <c r="HZ116" s="142">
        <f t="shared" si="599"/>
        <v>0</v>
      </c>
      <c r="IA116" s="142">
        <f t="shared" si="599"/>
        <v>0</v>
      </c>
      <c r="IB116" s="142">
        <f t="shared" si="599"/>
        <v>0</v>
      </c>
      <c r="IC116" s="142">
        <f t="shared" si="599"/>
        <v>0</v>
      </c>
      <c r="ID116" s="142">
        <f t="shared" si="599"/>
        <v>0</v>
      </c>
      <c r="IE116" s="142">
        <f t="shared" si="599"/>
        <v>0</v>
      </c>
      <c r="IF116" s="142">
        <f t="shared" si="599"/>
        <v>0</v>
      </c>
      <c r="IG116" s="142">
        <f t="shared" si="599"/>
        <v>0</v>
      </c>
      <c r="IH116" s="142">
        <f t="shared" si="599"/>
        <v>0</v>
      </c>
      <c r="II116" s="142">
        <f t="shared" si="599"/>
        <v>0</v>
      </c>
      <c r="IJ116" s="142">
        <f t="shared" si="599"/>
        <v>0</v>
      </c>
      <c r="IK116" s="142">
        <f t="shared" si="599"/>
        <v>0</v>
      </c>
      <c r="IL116" s="142">
        <f t="shared" si="599"/>
        <v>0</v>
      </c>
      <c r="IM116" s="142">
        <f t="shared" si="599"/>
        <v>0</v>
      </c>
      <c r="IN116" s="142">
        <f t="shared" si="599"/>
        <v>0</v>
      </c>
      <c r="IO116" s="142">
        <f t="shared" si="599"/>
        <v>0</v>
      </c>
      <c r="IP116" s="142">
        <f t="shared" si="599"/>
        <v>0</v>
      </c>
      <c r="IQ116" s="141">
        <f>IF(ISBLANK($A116),,IF($AN116="Não",0,(SUM($AO116:AO116)*$AH116)-SUM($HM116:HM116)-SUM($CW116:CW116)))</f>
        <v>0</v>
      </c>
      <c r="IR116" s="141">
        <f>IF(ISBLANK($A116),,IF($AN116="Não",0,(SUM($AO116:AP116)*$AH116)-SUM($HM116:HN116)-SUM($CW116:CX116)))</f>
        <v>0</v>
      </c>
      <c r="IS116" s="141">
        <f>IF(ISBLANK($A116),,IF($AN116="Não",0,(SUM($AO116:AQ116)*$AH116)-SUM($HM116:HO116)-SUM($CW116:CY116)))</f>
        <v>0</v>
      </c>
      <c r="IT116" s="141">
        <f>IF(ISBLANK($A116),,IF($AN116="Não",0,(SUM($AO116:AR116)*$AH116)-SUM($HM116:HP116)-SUM($CW116:CZ116)))</f>
        <v>0</v>
      </c>
      <c r="IU116" s="141">
        <f>IF(ISBLANK($A116),,IF($AN116="Não",0,(SUM($AO116:AS116)*$AH116)-SUM($HM116:HQ116)-SUM($CW116:DA116)))</f>
        <v>0</v>
      </c>
      <c r="IV116" s="141">
        <f>IF(ISBLANK($A116),,IF($AN116="Não",0,(SUM($AO116:AT116)*$AH116)-SUM($HM116:HR116)-SUM($CW116:DB116)))</f>
        <v>0</v>
      </c>
      <c r="IW116" s="141">
        <f>IF(ISBLANK($A116),,IF($AN116="Não",0,(SUM($AO116:AU116)*$AH116)-SUM($HM116:HS116)-SUM($CW116:DC116)))</f>
        <v>0</v>
      </c>
      <c r="IX116" s="141">
        <f>IF(ISBLANK($A116),,IF($AN116="Não",0,(SUM($AO116:AV116)*$AH116)-SUM($HM116:HT116)-SUM($CW116:DD116)))</f>
        <v>0</v>
      </c>
      <c r="IY116" s="141">
        <f>IF(ISBLANK($A116),,IF($AN116="Não",0,(SUM($AO116:AW116)*$AH116)-SUM($HM116:HU116)-SUM($CW116:DE116)))</f>
        <v>0</v>
      </c>
      <c r="IZ116" s="141">
        <f>IF(ISBLANK($A116),,IF($AN116="Não",0,(SUM($AO116:AX116)*$AH116)-SUM($HM116:HV116)-SUM($CW116:DF116)))</f>
        <v>0</v>
      </c>
      <c r="JA116" s="141">
        <f>IF(ISBLANK($A116),,IF($AN116="Não",0,(SUM($AO116:AY116)*$AH116)-SUM($HM116:HW116)-SUM($CW116:DG116)))</f>
        <v>0</v>
      </c>
      <c r="JB116" s="141">
        <f>IF(ISBLANK($A116),,IF($AN116="Não",0,(SUM($AO116:AZ116)*$AH116)-SUM($HM116:HX116)-SUM($CW116:DH116)))</f>
        <v>0</v>
      </c>
      <c r="JC116" s="141">
        <f>IF(ISBLANK($A116),,IF($AN116="Não",0,(SUM($AO116:BA116)*$AH116)-SUM($HM116:HY116)-SUM($CW116:DI116)))</f>
        <v>0</v>
      </c>
      <c r="JD116" s="141">
        <f>IF(ISBLANK($A116),,IF($AN116="Não",0,(SUM($AO116:BB116)*$AH116)-SUM($HM116:HZ116)-SUM($CW116:DJ116)))</f>
        <v>0</v>
      </c>
      <c r="JE116" s="141">
        <f>IF(ISBLANK($A116),,IF($AN116="Não",0,(SUM($AO116:BC116)*$AH116)-SUM($HM116:IA116)-SUM($CW116:DK116)))</f>
        <v>0</v>
      </c>
      <c r="JF116" s="141">
        <f>IF(ISBLANK($A116),,IF($AN116="Não",0,(SUM($AO116:BD116)*$AH116)-SUM($HM116:IB116)-SUM($CW116:DL116)))</f>
        <v>0</v>
      </c>
      <c r="JG116" s="141">
        <f>IF(ISBLANK($A116),,IF($AN116="Não",0,(SUM($AO116:BE116)*$AH116)-SUM($HM116:IC116)-SUM($CW116:DM116)))</f>
        <v>0</v>
      </c>
      <c r="JH116" s="141">
        <f>IF(ISBLANK($A116),,IF($AN116="Não",0,(SUM($AO116:BF116)*$AH116)-SUM($HM116:ID116)-SUM($CW116:DN116)))</f>
        <v>0</v>
      </c>
      <c r="JI116" s="141">
        <f>IF(ISBLANK($A116),,IF($AN116="Não",0,(SUM($AO116:BG116)*$AH116)-SUM($HM116:IE116)-SUM($CW116:DO116)))</f>
        <v>0</v>
      </c>
      <c r="JJ116" s="141">
        <f>IF(ISBLANK($A116),,IF($AN116="Não",0,(SUM($AO116:BH116)*$AH116)-SUM($HM116:IF116)-SUM($CW116:DP116)))</f>
        <v>0</v>
      </c>
      <c r="JK116" s="141">
        <f>IF(ISBLANK($A116),,IF($AN116="Não",0,(SUM($AO116:BI116)*$AH116)-SUM($HM116:IG116)-SUM($CW116:DQ116)))</f>
        <v>0</v>
      </c>
      <c r="JL116" s="141">
        <f>IF(ISBLANK($A116),,IF($AN116="Não",0,(SUM($AO116:BJ116)*$AH116)-SUM($HM116:IH116)-SUM($CW116:DR116)))</f>
        <v>0</v>
      </c>
      <c r="JM116" s="141">
        <f>IF(ISBLANK($A116),,IF($AN116="Não",0,(SUM($AO116:BK116)*$AH116)-SUM($HM116:II116)-SUM($CW116:DS116)))</f>
        <v>0</v>
      </c>
      <c r="JN116" s="141">
        <f>IF(ISBLANK($A116),,IF($AN116="Não",0,(SUM($AO116:BL116)*$AH116)-SUM($HM116:IJ116)-SUM($CW116:DT116)))</f>
        <v>0</v>
      </c>
      <c r="JO116" s="141">
        <f>IF(ISBLANK($A116),,IF($AN116="Não",0,(SUM($AO116:BM116)*$AH116)-SUM($HM116:IK116)-SUM($CW116:DU116)))</f>
        <v>0</v>
      </c>
      <c r="JP116" s="141">
        <f>IF(ISBLANK($A116),,IF($AN116="Não",0,(SUM($AO116:BN116)*$AH116)-SUM($HM116:IL116)-SUM($CW116:DV116)))</f>
        <v>0</v>
      </c>
      <c r="JQ116" s="141">
        <f>IF(ISBLANK($A116),,IF($AN116="Não",0,(SUM($AO116:BO116)*$AH116)-SUM($HM116:IM116)-SUM($CW116:DW116)))</f>
        <v>0</v>
      </c>
      <c r="JR116" s="141">
        <f>IF(ISBLANK($A116),,IF($AN116="Não",0,(SUM($AO116:BP116)*$AH116)-SUM($HM116:IN116)-SUM($CW116:DX116)))</f>
        <v>0</v>
      </c>
      <c r="JS116" s="141">
        <f>IF(ISBLANK($A116),,IF($AN116="Não",0,(SUM($AO116:BQ116)*$AH116)-SUM($HM116:IO116)-SUM($CW116:DY116)))</f>
        <v>0</v>
      </c>
      <c r="JT116" s="141">
        <f>IF(ISBLANK($A116),,IF($AN116="Não",0,(SUM($AO116:BR116)*$AH116)-SUM($HM116:IP116)-SUM($CW116:DZ116)))</f>
        <v>0</v>
      </c>
    </row>
    <row r="117" spans="1:280" ht="15.75" customHeight="1">
      <c r="A117" s="129"/>
      <c r="B117" s="129"/>
      <c r="C117" s="138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607">
        <f t="shared" si="544"/>
        <v>0</v>
      </c>
      <c r="AI117" s="608">
        <f t="shared" si="545"/>
        <v>0</v>
      </c>
      <c r="AJ117" s="609">
        <f t="shared" si="546"/>
        <v>0</v>
      </c>
      <c r="AK117" s="610" t="str">
        <f t="shared" si="547"/>
        <v/>
      </c>
      <c r="AL117" s="609">
        <f t="shared" si="548"/>
        <v>0</v>
      </c>
      <c r="AM117" s="611" t="str">
        <f t="shared" si="549"/>
        <v/>
      </c>
      <c r="AN117" s="611" t="str">
        <f t="shared" si="550"/>
        <v/>
      </c>
      <c r="AO117" s="140">
        <f t="array" ref="AO117">IF(ISBLANK($A117),0,IF(OR(AO$5-$AI117&lt;=0,$AM117="Não"),D117,D117+INDEX($AO$6:$BR$176,ROW()-5,COLUMN()-40-$AI117)))*IF($B117="Operacional",IFERROR(VLOOKUP($C117,SN_UGC,28,0),0),1)</f>
        <v>0</v>
      </c>
      <c r="AP117" s="140">
        <f t="array" ref="AP117">IF(ISBLANK($A117),0,IF(OR(AP$5-$AI117&lt;=0,$AM117="Não"),E117,E117+INDEX($AO$6:$BR$176,ROW()-5,COLUMN()-40-$AI117)))*IF($B117="Operacional",IFERROR(VLOOKUP($C117,SN_UGC,28,0),0),1)</f>
        <v>0</v>
      </c>
      <c r="AQ117" s="140">
        <f t="array" ref="AQ117">IF(ISBLANK($A117),0,IF(OR(AQ$5-$AI117&lt;=0,$AM117="Não"),F117,F117+INDEX($AO$6:$BR$176,ROW()-5,COLUMN()-40-$AI117)))*IF($B117="Operacional",IFERROR(VLOOKUP($C117,SN_UGC,28,0),0),1)</f>
        <v>0</v>
      </c>
      <c r="AR117" s="140">
        <f t="array" ref="AR117">IF(ISBLANK($A117),0,IF(OR(AR$5-$AI117&lt;=0,$AM117="Não"),G117,G117+INDEX($AO$6:$BR$176,ROW()-5,COLUMN()-40-$AI117)))*IF($B117="Operacional",IFERROR(VLOOKUP($C117,SN_UGC,28,0),0),1)</f>
        <v>0</v>
      </c>
      <c r="AS117" s="140">
        <f t="array" ref="AS117">IF(ISBLANK($A117),0,IF(OR(AS$5-$AI117&lt;=0,$AM117="Não"),H117,H117+INDEX($AO$6:$BR$176,ROW()-5,COLUMN()-40-$AI117)))*IF($B117="Operacional",IFERROR(VLOOKUP($C117,SN_UGC,28,0),0),1)</f>
        <v>0</v>
      </c>
      <c r="AT117" s="140">
        <f t="array" ref="AT117">IF(ISBLANK($A117),0,IF(OR(AT$5-$AI117&lt;=0,$AM117="Não"),I117,I117+INDEX($AO$6:$BR$176,ROW()-5,COLUMN()-40-$AI117)))*IF($B117="Operacional",IFERROR(VLOOKUP($C117,SN_UGC,28,0),0),1)</f>
        <v>0</v>
      </c>
      <c r="AU117" s="140">
        <f t="array" ref="AU117">IF(ISBLANK($A117),0,IF(OR(AU$5-$AI117&lt;=0,$AM117="Não"),J117,J117+INDEX($AO$6:$BR$176,ROW()-5,COLUMN()-40-$AI117)))*IF($B117="Operacional",IFERROR(VLOOKUP($C117,SN_UGC,28,0),0),1)</f>
        <v>0</v>
      </c>
      <c r="AV117" s="140">
        <f t="array" ref="AV117">IF(ISBLANK($A117),0,IF(OR(AV$5-$AI117&lt;=0,$AM117="Não"),K117,K117+INDEX($AO$6:$BR$176,ROW()-5,COLUMN()-40-$AI117)))*IF($B117="Operacional",IFERROR(VLOOKUP($C117,SN_UGC,28,0),0),1)</f>
        <v>0</v>
      </c>
      <c r="AW117" s="140">
        <f t="array" ref="AW117">IF(ISBLANK($A117),0,IF(OR(AW$5-$AI117&lt;=0,$AM117="Não"),L117,L117+INDEX($AO$6:$BR$176,ROW()-5,COLUMN()-40-$AI117)))*IF($B117="Operacional",IFERROR(VLOOKUP($C117,SN_UGC,28,0),0),1)</f>
        <v>0</v>
      </c>
      <c r="AX117" s="140">
        <f t="array" ref="AX117">IF(ISBLANK($A117),0,IF(OR(AX$5-$AI117&lt;=0,$AM117="Não"),M117,M117+INDEX($AO$6:$BR$176,ROW()-5,COLUMN()-40-$AI117)))*IF($B117="Operacional",IFERROR(VLOOKUP($C117,SN_UGC,28,0),0),1)</f>
        <v>0</v>
      </c>
      <c r="AY117" s="140">
        <f t="array" ref="AY117">IF(ISBLANK($A117),0,IF(OR(AY$5-$AI117&lt;=0,$AM117="Não"),N117,N117+INDEX($AO$6:$BR$176,ROW()-5,COLUMN()-40-$AI117)))*IF($B117="Operacional",IFERROR(VLOOKUP($C117,SN_UGC,28,0),0),1)</f>
        <v>0</v>
      </c>
      <c r="AZ117" s="140">
        <f t="array" ref="AZ117">IF(ISBLANK($A117),0,IF(OR(AZ$5-$AI117&lt;=0,$AM117="Não"),O117,O117+INDEX($AO$6:$BR$176,ROW()-5,COLUMN()-40-$AI117)))*IF($B117="Operacional",IFERROR(VLOOKUP($C117,SN_UGC,28,0),0),1)</f>
        <v>0</v>
      </c>
      <c r="BA117" s="140">
        <f t="array" ref="BA117">IF(ISBLANK($A117),0,IF(OR(BA$5-$AI117&lt;=0,$AM117="Não"),P117,P117+INDEX($AO$6:$BR$176,ROW()-5,COLUMN()-40-$AI117)))*IF($B117="Operacional",IFERROR(VLOOKUP($C117,SN_UGC,28,0),0),1)</f>
        <v>0</v>
      </c>
      <c r="BB117" s="140">
        <f t="array" ref="BB117">IF(ISBLANK($A117),0,IF(OR(BB$5-$AI117&lt;=0,$AM117="Não"),Q117,Q117+INDEX($AO$6:$BR$176,ROW()-5,COLUMN()-40-$AI117)))*IF($B117="Operacional",IFERROR(VLOOKUP($C117,SN_UGC,28,0),0),1)</f>
        <v>0</v>
      </c>
      <c r="BC117" s="140">
        <f t="array" ref="BC117">IF(ISBLANK($A117),0,IF(OR(BC$5-$AI117&lt;=0,$AM117="Não"),R117,R117+INDEX($AO$6:$BR$176,ROW()-5,COLUMN()-40-$AI117)))*IF($B117="Operacional",IFERROR(VLOOKUP($C117,SN_UGC,28,0),0),1)</f>
        <v>0</v>
      </c>
      <c r="BD117" s="140">
        <f t="array" ref="BD117">IF(ISBLANK($A117),0,IF(OR(BD$5-$AI117&lt;=0,$AM117="Não"),S117,S117+INDEX($AO$6:$BR$176,ROW()-5,COLUMN()-40-$AI117)))*IF($B117="Operacional",IFERROR(VLOOKUP($C117,SN_UGC,28,0),0),1)</f>
        <v>0</v>
      </c>
      <c r="BE117" s="140">
        <f t="array" ref="BE117">IF(ISBLANK($A117),0,IF(OR(BE$5-$AI117&lt;=0,$AM117="Não"),T117,T117+INDEX($AO$6:$BR$176,ROW()-5,COLUMN()-40-$AI117)))*IF($B117="Operacional",IFERROR(VLOOKUP($C117,SN_UGC,28,0),0),1)</f>
        <v>0</v>
      </c>
      <c r="BF117" s="140">
        <f t="array" ref="BF117">IF(ISBLANK($A117),0,IF(OR(BF$5-$AI117&lt;=0,$AM117="Não"),U117,U117+INDEX($AO$6:$BR$176,ROW()-5,COLUMN()-40-$AI117)))*IF($B117="Operacional",IFERROR(VLOOKUP($C117,SN_UGC,28,0),0),1)</f>
        <v>0</v>
      </c>
      <c r="BG117" s="140">
        <f t="array" ref="BG117">IF(ISBLANK($A117),0,IF(OR(BG$5-$AI117&lt;=0,$AM117="Não"),V117,V117+INDEX($AO$6:$BR$176,ROW()-5,COLUMN()-40-$AI117)))*IF($B117="Operacional",IFERROR(VLOOKUP($C117,SN_UGC,28,0),0),1)</f>
        <v>0</v>
      </c>
      <c r="BH117" s="140">
        <f t="array" ref="BH117">IF(ISBLANK($A117),0,IF(OR(BH$5-$AI117&lt;=0,$AM117="Não"),W117,W117+INDEX($AO$6:$BR$176,ROW()-5,COLUMN()-40-$AI117)))*IF($B117="Operacional",IFERROR(VLOOKUP($C117,SN_UGC,28,0),0),1)</f>
        <v>0</v>
      </c>
      <c r="BI117" s="140">
        <f t="array" ref="BI117">IF(ISBLANK($A117),0,IF(OR(BI$5-$AI117&lt;=0,$AM117="Não"),X117,X117+INDEX($AO$6:$BR$176,ROW()-5,COLUMN()-40-$AI117)))*IF($B117="Operacional",IFERROR(VLOOKUP($C117,SN_UGC,28,0),0),1)</f>
        <v>0</v>
      </c>
      <c r="BJ117" s="140">
        <f t="array" ref="BJ117">IF(ISBLANK($A117),0,IF(OR(BJ$5-$AI117&lt;=0,$AM117="Não"),Y117,Y117+INDEX($AO$6:$BR$176,ROW()-5,COLUMN()-40-$AI117)))*IF($B117="Operacional",IFERROR(VLOOKUP($C117,SN_UGC,28,0),0),1)</f>
        <v>0</v>
      </c>
      <c r="BK117" s="140">
        <f t="array" ref="BK117">IF(ISBLANK($A117),0,IF(OR(BK$5-$AI117&lt;=0,$AM117="Não"),Z117,Z117+INDEX($AO$6:$BR$176,ROW()-5,COLUMN()-40-$AI117)))*IF($B117="Operacional",IFERROR(VLOOKUP($C117,SN_UGC,28,0),0),1)</f>
        <v>0</v>
      </c>
      <c r="BL117" s="140">
        <f t="array" ref="BL117">IF(ISBLANK($A117),0,IF(OR(BL$5-$AI117&lt;=0,$AM117="Não"),AA117,AA117+INDEX($AO$6:$BR$176,ROW()-5,COLUMN()-40-$AI117)))*IF($B117="Operacional",IFERROR(VLOOKUP($C117,SN_UGC,28,0),0),1)</f>
        <v>0</v>
      </c>
      <c r="BM117" s="140">
        <f t="array" ref="BM117">IF(ISBLANK($A117),0,IF(OR(BM$5-$AI117&lt;=0,$AM117="Não"),AB117,AB117+INDEX($AO$6:$BR$176,ROW()-5,COLUMN()-40-$AI117)))*IF($B117="Operacional",IFERROR(VLOOKUP($C117,SN_UGC,28,0),0),1)</f>
        <v>0</v>
      </c>
      <c r="BN117" s="140">
        <f t="array" ref="BN117">IF(ISBLANK($A117),0,IF(OR(BN$5-$AI117&lt;=0,$AM117="Não"),AC117,AC117+INDEX($AO$6:$BR$176,ROW()-5,COLUMN()-40-$AI117)))*IF($B117="Operacional",IFERROR(VLOOKUP($C117,SN_UGC,28,0),0),1)</f>
        <v>0</v>
      </c>
      <c r="BO117" s="140">
        <f t="array" ref="BO117">IF(ISBLANK($A117),0,IF(OR(BO$5-$AI117&lt;=0,$AM117="Não"),AD117,AD117+INDEX($AO$6:$BR$176,ROW()-5,COLUMN()-40-$AI117)))*IF($B117="Operacional",IFERROR(VLOOKUP($C117,SN_UGC,28,0),0),1)</f>
        <v>0</v>
      </c>
      <c r="BP117" s="140">
        <f t="array" ref="BP117">IF(ISBLANK($A117),0,IF(OR(BP$5-$AI117&lt;=0,$AM117="Não"),AE117,AE117+INDEX($AO$6:$BR$176,ROW()-5,COLUMN()-40-$AI117)))*IF($B117="Operacional",IFERROR(VLOOKUP($C117,SN_UGC,28,0),0),1)</f>
        <v>0</v>
      </c>
      <c r="BQ117" s="140">
        <f t="array" ref="BQ117">IF(ISBLANK($A117),0,IF(OR(BQ$5-$AI117&lt;=0,$AM117="Não"),AF117,AF117+INDEX($AO$6:$BR$176,ROW()-5,COLUMN()-40-$AI117)))*IF($B117="Operacional",IFERROR(VLOOKUP($C117,SN_UGC,28,0),0),1)</f>
        <v>0</v>
      </c>
      <c r="BR117" s="140">
        <f t="array" ref="BR117">IF(ISBLANK($A117),0,IF(OR(BR$5-$AI117&lt;=0,$AM117="Não"),AG117,AG117+INDEX($AO$6:$BR$176,ROW()-5,COLUMN()-40-$AI117)))*IF($B117="Operacional",IFERROR(VLOOKUP($C117,SN_UGC,28,0),0),1)</f>
        <v>0</v>
      </c>
      <c r="BS117" s="141">
        <f t="shared" ref="BS117:CV117" si="600">IF(ISBLANK($A117),0,$AH117*AO117)</f>
        <v>0</v>
      </c>
      <c r="BT117" s="141">
        <f t="shared" si="600"/>
        <v>0</v>
      </c>
      <c r="BU117" s="141">
        <f t="shared" si="600"/>
        <v>0</v>
      </c>
      <c r="BV117" s="141">
        <f t="shared" si="600"/>
        <v>0</v>
      </c>
      <c r="BW117" s="141">
        <f t="shared" si="600"/>
        <v>0</v>
      </c>
      <c r="BX117" s="141">
        <f t="shared" si="600"/>
        <v>0</v>
      </c>
      <c r="BY117" s="141">
        <f t="shared" si="600"/>
        <v>0</v>
      </c>
      <c r="BZ117" s="141">
        <f t="shared" si="600"/>
        <v>0</v>
      </c>
      <c r="CA117" s="141">
        <f t="shared" si="600"/>
        <v>0</v>
      </c>
      <c r="CB117" s="141">
        <f t="shared" si="600"/>
        <v>0</v>
      </c>
      <c r="CC117" s="141">
        <f t="shared" si="600"/>
        <v>0</v>
      </c>
      <c r="CD117" s="141">
        <f t="shared" si="600"/>
        <v>0</v>
      </c>
      <c r="CE117" s="141">
        <f t="shared" si="600"/>
        <v>0</v>
      </c>
      <c r="CF117" s="141">
        <f t="shared" si="600"/>
        <v>0</v>
      </c>
      <c r="CG117" s="141">
        <f t="shared" si="600"/>
        <v>0</v>
      </c>
      <c r="CH117" s="141">
        <f t="shared" si="600"/>
        <v>0</v>
      </c>
      <c r="CI117" s="141">
        <f t="shared" si="600"/>
        <v>0</v>
      </c>
      <c r="CJ117" s="141">
        <f t="shared" si="600"/>
        <v>0</v>
      </c>
      <c r="CK117" s="141">
        <f t="shared" si="600"/>
        <v>0</v>
      </c>
      <c r="CL117" s="141">
        <f t="shared" si="600"/>
        <v>0</v>
      </c>
      <c r="CM117" s="141">
        <f t="shared" si="600"/>
        <v>0</v>
      </c>
      <c r="CN117" s="141">
        <f t="shared" si="600"/>
        <v>0</v>
      </c>
      <c r="CO117" s="141">
        <f t="shared" si="600"/>
        <v>0</v>
      </c>
      <c r="CP117" s="141">
        <f t="shared" si="600"/>
        <v>0</v>
      </c>
      <c r="CQ117" s="141">
        <f t="shared" si="600"/>
        <v>0</v>
      </c>
      <c r="CR117" s="141">
        <f t="shared" si="600"/>
        <v>0</v>
      </c>
      <c r="CS117" s="141">
        <f t="shared" si="600"/>
        <v>0</v>
      </c>
      <c r="CT117" s="141">
        <f t="shared" si="600"/>
        <v>0</v>
      </c>
      <c r="CU117" s="141">
        <f t="shared" si="600"/>
        <v>0</v>
      </c>
      <c r="CV117" s="141">
        <f t="shared" si="600"/>
        <v>0</v>
      </c>
      <c r="CW117" s="142">
        <f t="shared" ref="CW117:DZ117" si="601">EA117*$AH117*$AJ117</f>
        <v>0</v>
      </c>
      <c r="CX117" s="142">
        <f t="shared" si="601"/>
        <v>0</v>
      </c>
      <c r="CY117" s="142">
        <f t="shared" si="601"/>
        <v>0</v>
      </c>
      <c r="CZ117" s="142">
        <f t="shared" si="601"/>
        <v>0</v>
      </c>
      <c r="DA117" s="142">
        <f t="shared" si="601"/>
        <v>0</v>
      </c>
      <c r="DB117" s="142">
        <f t="shared" si="601"/>
        <v>0</v>
      </c>
      <c r="DC117" s="142">
        <f t="shared" si="601"/>
        <v>0</v>
      </c>
      <c r="DD117" s="142">
        <f t="shared" si="601"/>
        <v>0</v>
      </c>
      <c r="DE117" s="142">
        <f t="shared" si="601"/>
        <v>0</v>
      </c>
      <c r="DF117" s="142">
        <f t="shared" si="601"/>
        <v>0</v>
      </c>
      <c r="DG117" s="142">
        <f t="shared" si="601"/>
        <v>0</v>
      </c>
      <c r="DH117" s="142">
        <f t="shared" si="601"/>
        <v>0</v>
      </c>
      <c r="DI117" s="142">
        <f t="shared" si="601"/>
        <v>0</v>
      </c>
      <c r="DJ117" s="142">
        <f t="shared" si="601"/>
        <v>0</v>
      </c>
      <c r="DK117" s="142">
        <f t="shared" si="601"/>
        <v>0</v>
      </c>
      <c r="DL117" s="142">
        <f t="shared" si="601"/>
        <v>0</v>
      </c>
      <c r="DM117" s="142">
        <f t="shared" si="601"/>
        <v>0</v>
      </c>
      <c r="DN117" s="142">
        <f t="shared" si="601"/>
        <v>0</v>
      </c>
      <c r="DO117" s="142">
        <f t="shared" si="601"/>
        <v>0</v>
      </c>
      <c r="DP117" s="142">
        <f t="shared" si="601"/>
        <v>0</v>
      </c>
      <c r="DQ117" s="142">
        <f t="shared" si="601"/>
        <v>0</v>
      </c>
      <c r="DR117" s="142">
        <f t="shared" si="601"/>
        <v>0</v>
      </c>
      <c r="DS117" s="142">
        <f t="shared" si="601"/>
        <v>0</v>
      </c>
      <c r="DT117" s="142">
        <f t="shared" si="601"/>
        <v>0</v>
      </c>
      <c r="DU117" s="142">
        <f t="shared" si="601"/>
        <v>0</v>
      </c>
      <c r="DV117" s="142">
        <f t="shared" si="601"/>
        <v>0</v>
      </c>
      <c r="DW117" s="142">
        <f t="shared" si="601"/>
        <v>0</v>
      </c>
      <c r="DX117" s="142">
        <f t="shared" si="601"/>
        <v>0</v>
      </c>
      <c r="DY117" s="142">
        <f t="shared" si="601"/>
        <v>0</v>
      </c>
      <c r="DZ117" s="142">
        <f t="shared" si="601"/>
        <v>0</v>
      </c>
      <c r="EA117" s="143">
        <f t="shared" si="504"/>
        <v>0</v>
      </c>
      <c r="EB117" s="143">
        <f t="shared" si="505"/>
        <v>0</v>
      </c>
      <c r="EC117" s="143">
        <f t="shared" si="506"/>
        <v>0</v>
      </c>
      <c r="ED117" s="143">
        <f t="shared" si="507"/>
        <v>0</v>
      </c>
      <c r="EE117" s="143">
        <f t="shared" si="508"/>
        <v>0</v>
      </c>
      <c r="EF117" s="143">
        <f t="shared" si="509"/>
        <v>0</v>
      </c>
      <c r="EG117" s="143">
        <f t="shared" si="510"/>
        <v>0</v>
      </c>
      <c r="EH117" s="143">
        <f t="shared" si="511"/>
        <v>0</v>
      </c>
      <c r="EI117" s="143">
        <f t="shared" si="512"/>
        <v>0</v>
      </c>
      <c r="EJ117" s="143">
        <f t="shared" si="513"/>
        <v>0</v>
      </c>
      <c r="EK117" s="143">
        <f t="shared" si="514"/>
        <v>0</v>
      </c>
      <c r="EL117" s="143">
        <f t="shared" si="515"/>
        <v>0</v>
      </c>
      <c r="EM117" s="143">
        <f t="shared" si="516"/>
        <v>0</v>
      </c>
      <c r="EN117" s="143">
        <f t="shared" si="517"/>
        <v>0</v>
      </c>
      <c r="EO117" s="143">
        <f t="shared" si="518"/>
        <v>0</v>
      </c>
      <c r="EP117" s="143">
        <f t="shared" si="519"/>
        <v>0</v>
      </c>
      <c r="EQ117" s="143">
        <f t="shared" si="520"/>
        <v>0</v>
      </c>
      <c r="ER117" s="143">
        <f t="shared" si="521"/>
        <v>0</v>
      </c>
      <c r="ES117" s="143">
        <f t="shared" si="522"/>
        <v>0</v>
      </c>
      <c r="ET117" s="143">
        <f t="shared" si="523"/>
        <v>0</v>
      </c>
      <c r="EU117" s="143">
        <f t="shared" si="524"/>
        <v>0</v>
      </c>
      <c r="EV117" s="143">
        <f t="shared" si="525"/>
        <v>0</v>
      </c>
      <c r="EW117" s="143">
        <f t="shared" si="526"/>
        <v>0</v>
      </c>
      <c r="EX117" s="143">
        <f t="shared" si="527"/>
        <v>0</v>
      </c>
      <c r="EY117" s="143">
        <f t="shared" si="528"/>
        <v>0</v>
      </c>
      <c r="EZ117" s="143">
        <f t="shared" si="529"/>
        <v>0</v>
      </c>
      <c r="FA117" s="143">
        <f t="shared" si="530"/>
        <v>0</v>
      </c>
      <c r="FB117" s="143">
        <f t="shared" si="531"/>
        <v>0</v>
      </c>
      <c r="FC117" s="143">
        <f t="shared" si="532"/>
        <v>0</v>
      </c>
      <c r="FD117" s="143">
        <f t="shared" si="533"/>
        <v>0</v>
      </c>
      <c r="FE117" s="140">
        <f>SUM($D117:D117)*IF($B117="Operacional",IFERROR(VLOOKUP($C117,SN_UGC,28,0),0),1)</f>
        <v>0</v>
      </c>
      <c r="FF117" s="140">
        <f>SUM($D117:E117)*IF($B117="Operacional",IFERROR(VLOOKUP($C117,SN_UGC,28,0),0),1)</f>
        <v>0</v>
      </c>
      <c r="FG117" s="140">
        <f>SUM($D117:F117)*IF($B117="Operacional",IFERROR(VLOOKUP($C117,SN_UGC,28,0),0),1)</f>
        <v>0</v>
      </c>
      <c r="FH117" s="140">
        <f>SUM($D117:G117)*IF($B117="Operacional",IFERROR(VLOOKUP($C117,SN_UGC,28,0),0),1)</f>
        <v>0</v>
      </c>
      <c r="FI117" s="140">
        <f>SUM($D117:H117)*IF($B117="Operacional",IFERROR(VLOOKUP($C117,SN_UGC,28,0),0),1)</f>
        <v>0</v>
      </c>
      <c r="FJ117" s="140">
        <f>SUM($D117:I117)*IF($B117="Operacional",IFERROR(VLOOKUP($C117,SN_UGC,28,0),0),1)</f>
        <v>0</v>
      </c>
      <c r="FK117" s="140">
        <f>SUM($D117:J117)*IF($B117="Operacional",IFERROR(VLOOKUP($C117,SN_UGC,28,0),0),1)</f>
        <v>0</v>
      </c>
      <c r="FL117" s="140">
        <f>SUM($D117:K117)*IF($B117="Operacional",IFERROR(VLOOKUP($C117,SN_UGC,28,0),0),1)</f>
        <v>0</v>
      </c>
      <c r="FM117" s="140">
        <f>SUM($D117:L117)*IF($B117="Operacional",IFERROR(VLOOKUP($C117,SN_UGC,28,0),0),1)</f>
        <v>0</v>
      </c>
      <c r="FN117" s="140">
        <f>SUM($D117:M117)*IF($B117="Operacional",IFERROR(VLOOKUP($C117,SN_UGC,28,0),0),1)</f>
        <v>0</v>
      </c>
      <c r="FO117" s="140">
        <f>SUM($D117:N117)*IF($B117="Operacional",IFERROR(VLOOKUP($C117,SN_UGC,28,0),0),1)</f>
        <v>0</v>
      </c>
      <c r="FP117" s="140">
        <f>SUM($D117:O117)*IF($B117="Operacional",IFERROR(VLOOKUP($C117,SN_UGC,28,0),0),1)</f>
        <v>0</v>
      </c>
      <c r="FQ117" s="140">
        <f>SUM($D117:P117)*IF($B117="Operacional",IFERROR(VLOOKUP($C117,SN_UGC,28,0),0),1)</f>
        <v>0</v>
      </c>
      <c r="FR117" s="140">
        <f>SUM($D117:Q117)*IF($B117="Operacional",IFERROR(VLOOKUP($C117,SN_UGC,28,0),0),1)</f>
        <v>0</v>
      </c>
      <c r="FS117" s="140">
        <f>SUM($D117:R117)*IF($B117="Operacional",IFERROR(VLOOKUP($C117,SN_UGC,28,0),0),1)</f>
        <v>0</v>
      </c>
      <c r="FT117" s="140">
        <f>SUM($D117:S117)*IF($B117="Operacional",IFERROR(VLOOKUP($C117,SN_UGC,28,0),0),1)</f>
        <v>0</v>
      </c>
      <c r="FU117" s="140">
        <f>SUM($D117:T117)*IF($B117="Operacional",IFERROR(VLOOKUP($C117,SN_UGC,28,0),0),1)</f>
        <v>0</v>
      </c>
      <c r="FV117" s="140">
        <f>SUM($D117:U117)*IF($B117="Operacional",IFERROR(VLOOKUP($C117,SN_UGC,28,0),0),1)</f>
        <v>0</v>
      </c>
      <c r="FW117" s="140">
        <f>SUM($D117:V117)*IF($B117="Operacional",IFERROR(VLOOKUP($C117,SN_UGC,28,0),0),1)</f>
        <v>0</v>
      </c>
      <c r="FX117" s="140">
        <f>SUM($D117:W117)*IF($B117="Operacional",IFERROR(VLOOKUP($C117,SN_UGC,28,0),0),1)</f>
        <v>0</v>
      </c>
      <c r="FY117" s="140">
        <f>SUM($D117:X117)*IF($B117="Operacional",IFERROR(VLOOKUP($C117,SN_UGC,28,0),0),1)</f>
        <v>0</v>
      </c>
      <c r="FZ117" s="140">
        <f>SUM($D117:Y117)*IF($B117="Operacional",IFERROR(VLOOKUP($C117,SN_UGC,28,0),0),1)</f>
        <v>0</v>
      </c>
      <c r="GA117" s="140">
        <f>SUM($D117:Z117)*IF($B117="Operacional",IFERROR(VLOOKUP($C117,SN_UGC,28,0),0),1)</f>
        <v>0</v>
      </c>
      <c r="GB117" s="140">
        <f>SUM($D117:AA117)*IF($B117="Operacional",IFERROR(VLOOKUP($C117,SN_UGC,28,0),0),1)</f>
        <v>0</v>
      </c>
      <c r="GC117" s="140">
        <f>SUM($D117:AB117)*IF($B117="Operacional",IFERROR(VLOOKUP($C117,SN_UGC,28,0),0),1)</f>
        <v>0</v>
      </c>
      <c r="GD117" s="140">
        <f>SUM($D117:AC117)*IF($B117="Operacional",IFERROR(VLOOKUP($C117,SN_UGC,28,0),0),1)</f>
        <v>0</v>
      </c>
      <c r="GE117" s="140">
        <f>SUM($D117:AD117)*IF($B117="Operacional",IFERROR(VLOOKUP($C117,SN_UGC,28,0),0),1)</f>
        <v>0</v>
      </c>
      <c r="GF117" s="140">
        <f>SUM($D117:AE117)*IF($B117="Operacional",IFERROR(VLOOKUP($C117,SN_UGC,28,0),0),1)</f>
        <v>0</v>
      </c>
      <c r="GG117" s="140">
        <f>SUM($D117:AF117)*IF($B117="Operacional",IFERROR(VLOOKUP($C117,SN_UGC,28,0),0),1)</f>
        <v>0</v>
      </c>
      <c r="GH117" s="140">
        <f>SUM($D117:AG117)*IF($B117="Operacional",IFERROR(VLOOKUP($C117,SN_UGC,28,0),0),1)</f>
        <v>0</v>
      </c>
      <c r="GI117" s="141">
        <f t="shared" ref="GI117:HL117" si="602">FE117*$AH117*$AL117</f>
        <v>0</v>
      </c>
      <c r="GJ117" s="141">
        <f t="shared" si="602"/>
        <v>0</v>
      </c>
      <c r="GK117" s="141">
        <f t="shared" si="602"/>
        <v>0</v>
      </c>
      <c r="GL117" s="141">
        <f t="shared" si="602"/>
        <v>0</v>
      </c>
      <c r="GM117" s="141">
        <f t="shared" si="602"/>
        <v>0</v>
      </c>
      <c r="GN117" s="141">
        <f t="shared" si="602"/>
        <v>0</v>
      </c>
      <c r="GO117" s="141">
        <f t="shared" si="602"/>
        <v>0</v>
      </c>
      <c r="GP117" s="141">
        <f t="shared" si="602"/>
        <v>0</v>
      </c>
      <c r="GQ117" s="141">
        <f t="shared" si="602"/>
        <v>0</v>
      </c>
      <c r="GR117" s="141">
        <f t="shared" si="602"/>
        <v>0</v>
      </c>
      <c r="GS117" s="141">
        <f t="shared" si="602"/>
        <v>0</v>
      </c>
      <c r="GT117" s="141">
        <f t="shared" si="602"/>
        <v>0</v>
      </c>
      <c r="GU117" s="141">
        <f t="shared" si="602"/>
        <v>0</v>
      </c>
      <c r="GV117" s="141">
        <f t="shared" si="602"/>
        <v>0</v>
      </c>
      <c r="GW117" s="141">
        <f t="shared" si="602"/>
        <v>0</v>
      </c>
      <c r="GX117" s="141">
        <f t="shared" si="602"/>
        <v>0</v>
      </c>
      <c r="GY117" s="141">
        <f t="shared" si="602"/>
        <v>0</v>
      </c>
      <c r="GZ117" s="141">
        <f t="shared" si="602"/>
        <v>0</v>
      </c>
      <c r="HA117" s="141">
        <f t="shared" si="602"/>
        <v>0</v>
      </c>
      <c r="HB117" s="141">
        <f t="shared" si="602"/>
        <v>0</v>
      </c>
      <c r="HC117" s="141">
        <f t="shared" si="602"/>
        <v>0</v>
      </c>
      <c r="HD117" s="141">
        <f t="shared" si="602"/>
        <v>0</v>
      </c>
      <c r="HE117" s="141">
        <f t="shared" si="602"/>
        <v>0</v>
      </c>
      <c r="HF117" s="141">
        <f t="shared" si="602"/>
        <v>0</v>
      </c>
      <c r="HG117" s="141">
        <f t="shared" si="602"/>
        <v>0</v>
      </c>
      <c r="HH117" s="141">
        <f t="shared" si="602"/>
        <v>0</v>
      </c>
      <c r="HI117" s="141">
        <f t="shared" si="602"/>
        <v>0</v>
      </c>
      <c r="HJ117" s="141">
        <f t="shared" si="602"/>
        <v>0</v>
      </c>
      <c r="HK117" s="141">
        <f t="shared" si="602"/>
        <v>0</v>
      </c>
      <c r="HL117" s="141">
        <f t="shared" si="602"/>
        <v>0</v>
      </c>
      <c r="HM117" s="142">
        <f t="shared" ref="HM117:IP117" si="603">IF(ISBLANK($A117),,FE117*($AH117-($AH117*$AJ117))/$AI117)</f>
        <v>0</v>
      </c>
      <c r="HN117" s="142">
        <f t="shared" si="603"/>
        <v>0</v>
      </c>
      <c r="HO117" s="142">
        <f t="shared" si="603"/>
        <v>0</v>
      </c>
      <c r="HP117" s="142">
        <f t="shared" si="603"/>
        <v>0</v>
      </c>
      <c r="HQ117" s="142">
        <f t="shared" si="603"/>
        <v>0</v>
      </c>
      <c r="HR117" s="142">
        <f t="shared" si="603"/>
        <v>0</v>
      </c>
      <c r="HS117" s="142">
        <f t="shared" si="603"/>
        <v>0</v>
      </c>
      <c r="HT117" s="142">
        <f t="shared" si="603"/>
        <v>0</v>
      </c>
      <c r="HU117" s="142">
        <f t="shared" si="603"/>
        <v>0</v>
      </c>
      <c r="HV117" s="142">
        <f t="shared" si="603"/>
        <v>0</v>
      </c>
      <c r="HW117" s="142">
        <f t="shared" si="603"/>
        <v>0</v>
      </c>
      <c r="HX117" s="142">
        <f t="shared" si="603"/>
        <v>0</v>
      </c>
      <c r="HY117" s="142">
        <f t="shared" si="603"/>
        <v>0</v>
      </c>
      <c r="HZ117" s="142">
        <f t="shared" si="603"/>
        <v>0</v>
      </c>
      <c r="IA117" s="142">
        <f t="shared" si="603"/>
        <v>0</v>
      </c>
      <c r="IB117" s="142">
        <f t="shared" si="603"/>
        <v>0</v>
      </c>
      <c r="IC117" s="142">
        <f t="shared" si="603"/>
        <v>0</v>
      </c>
      <c r="ID117" s="142">
        <f t="shared" si="603"/>
        <v>0</v>
      </c>
      <c r="IE117" s="142">
        <f t="shared" si="603"/>
        <v>0</v>
      </c>
      <c r="IF117" s="142">
        <f t="shared" si="603"/>
        <v>0</v>
      </c>
      <c r="IG117" s="142">
        <f t="shared" si="603"/>
        <v>0</v>
      </c>
      <c r="IH117" s="142">
        <f t="shared" si="603"/>
        <v>0</v>
      </c>
      <c r="II117" s="142">
        <f t="shared" si="603"/>
        <v>0</v>
      </c>
      <c r="IJ117" s="142">
        <f t="shared" si="603"/>
        <v>0</v>
      </c>
      <c r="IK117" s="142">
        <f t="shared" si="603"/>
        <v>0</v>
      </c>
      <c r="IL117" s="142">
        <f t="shared" si="603"/>
        <v>0</v>
      </c>
      <c r="IM117" s="142">
        <f t="shared" si="603"/>
        <v>0</v>
      </c>
      <c r="IN117" s="142">
        <f t="shared" si="603"/>
        <v>0</v>
      </c>
      <c r="IO117" s="142">
        <f t="shared" si="603"/>
        <v>0</v>
      </c>
      <c r="IP117" s="142">
        <f t="shared" si="603"/>
        <v>0</v>
      </c>
      <c r="IQ117" s="141">
        <f>IF(ISBLANK($A117),,IF($AN117="Não",0,(SUM($AO117:AO117)*$AH117)-SUM($HM117:HM117)-SUM($CW117:CW117)))</f>
        <v>0</v>
      </c>
      <c r="IR117" s="141">
        <f>IF(ISBLANK($A117),,IF($AN117="Não",0,(SUM($AO117:AP117)*$AH117)-SUM($HM117:HN117)-SUM($CW117:CX117)))</f>
        <v>0</v>
      </c>
      <c r="IS117" s="141">
        <f>IF(ISBLANK($A117),,IF($AN117="Não",0,(SUM($AO117:AQ117)*$AH117)-SUM($HM117:HO117)-SUM($CW117:CY117)))</f>
        <v>0</v>
      </c>
      <c r="IT117" s="141">
        <f>IF(ISBLANK($A117),,IF($AN117="Não",0,(SUM($AO117:AR117)*$AH117)-SUM($HM117:HP117)-SUM($CW117:CZ117)))</f>
        <v>0</v>
      </c>
      <c r="IU117" s="141">
        <f>IF(ISBLANK($A117),,IF($AN117="Não",0,(SUM($AO117:AS117)*$AH117)-SUM($HM117:HQ117)-SUM($CW117:DA117)))</f>
        <v>0</v>
      </c>
      <c r="IV117" s="141">
        <f>IF(ISBLANK($A117),,IF($AN117="Não",0,(SUM($AO117:AT117)*$AH117)-SUM($HM117:HR117)-SUM($CW117:DB117)))</f>
        <v>0</v>
      </c>
      <c r="IW117" s="141">
        <f>IF(ISBLANK($A117),,IF($AN117="Não",0,(SUM($AO117:AU117)*$AH117)-SUM($HM117:HS117)-SUM($CW117:DC117)))</f>
        <v>0</v>
      </c>
      <c r="IX117" s="141">
        <f>IF(ISBLANK($A117),,IF($AN117="Não",0,(SUM($AO117:AV117)*$AH117)-SUM($HM117:HT117)-SUM($CW117:DD117)))</f>
        <v>0</v>
      </c>
      <c r="IY117" s="141">
        <f>IF(ISBLANK($A117),,IF($AN117="Não",0,(SUM($AO117:AW117)*$AH117)-SUM($HM117:HU117)-SUM($CW117:DE117)))</f>
        <v>0</v>
      </c>
      <c r="IZ117" s="141">
        <f>IF(ISBLANK($A117),,IF($AN117="Não",0,(SUM($AO117:AX117)*$AH117)-SUM($HM117:HV117)-SUM($CW117:DF117)))</f>
        <v>0</v>
      </c>
      <c r="JA117" s="141">
        <f>IF(ISBLANK($A117),,IF($AN117="Não",0,(SUM($AO117:AY117)*$AH117)-SUM($HM117:HW117)-SUM($CW117:DG117)))</f>
        <v>0</v>
      </c>
      <c r="JB117" s="141">
        <f>IF(ISBLANK($A117),,IF($AN117="Não",0,(SUM($AO117:AZ117)*$AH117)-SUM($HM117:HX117)-SUM($CW117:DH117)))</f>
        <v>0</v>
      </c>
      <c r="JC117" s="141">
        <f>IF(ISBLANK($A117),,IF($AN117="Não",0,(SUM($AO117:BA117)*$AH117)-SUM($HM117:HY117)-SUM($CW117:DI117)))</f>
        <v>0</v>
      </c>
      <c r="JD117" s="141">
        <f>IF(ISBLANK($A117),,IF($AN117="Não",0,(SUM($AO117:BB117)*$AH117)-SUM($HM117:HZ117)-SUM($CW117:DJ117)))</f>
        <v>0</v>
      </c>
      <c r="JE117" s="141">
        <f>IF(ISBLANK($A117),,IF($AN117="Não",0,(SUM($AO117:BC117)*$AH117)-SUM($HM117:IA117)-SUM($CW117:DK117)))</f>
        <v>0</v>
      </c>
      <c r="JF117" s="141">
        <f>IF(ISBLANK($A117),,IF($AN117="Não",0,(SUM($AO117:BD117)*$AH117)-SUM($HM117:IB117)-SUM($CW117:DL117)))</f>
        <v>0</v>
      </c>
      <c r="JG117" s="141">
        <f>IF(ISBLANK($A117),,IF($AN117="Não",0,(SUM($AO117:BE117)*$AH117)-SUM($HM117:IC117)-SUM($CW117:DM117)))</f>
        <v>0</v>
      </c>
      <c r="JH117" s="141">
        <f>IF(ISBLANK($A117),,IF($AN117="Não",0,(SUM($AO117:BF117)*$AH117)-SUM($HM117:ID117)-SUM($CW117:DN117)))</f>
        <v>0</v>
      </c>
      <c r="JI117" s="141">
        <f>IF(ISBLANK($A117),,IF($AN117="Não",0,(SUM($AO117:BG117)*$AH117)-SUM($HM117:IE117)-SUM($CW117:DO117)))</f>
        <v>0</v>
      </c>
      <c r="JJ117" s="141">
        <f>IF(ISBLANK($A117),,IF($AN117="Não",0,(SUM($AO117:BH117)*$AH117)-SUM($HM117:IF117)-SUM($CW117:DP117)))</f>
        <v>0</v>
      </c>
      <c r="JK117" s="141">
        <f>IF(ISBLANK($A117),,IF($AN117="Não",0,(SUM($AO117:BI117)*$AH117)-SUM($HM117:IG117)-SUM($CW117:DQ117)))</f>
        <v>0</v>
      </c>
      <c r="JL117" s="141">
        <f>IF(ISBLANK($A117),,IF($AN117="Não",0,(SUM($AO117:BJ117)*$AH117)-SUM($HM117:IH117)-SUM($CW117:DR117)))</f>
        <v>0</v>
      </c>
      <c r="JM117" s="141">
        <f>IF(ISBLANK($A117),,IF($AN117="Não",0,(SUM($AO117:BK117)*$AH117)-SUM($HM117:II117)-SUM($CW117:DS117)))</f>
        <v>0</v>
      </c>
      <c r="JN117" s="141">
        <f>IF(ISBLANK($A117),,IF($AN117="Não",0,(SUM($AO117:BL117)*$AH117)-SUM($HM117:IJ117)-SUM($CW117:DT117)))</f>
        <v>0</v>
      </c>
      <c r="JO117" s="141">
        <f>IF(ISBLANK($A117),,IF($AN117="Não",0,(SUM($AO117:BM117)*$AH117)-SUM($HM117:IK117)-SUM($CW117:DU117)))</f>
        <v>0</v>
      </c>
      <c r="JP117" s="141">
        <f>IF(ISBLANK($A117),,IF($AN117="Não",0,(SUM($AO117:BN117)*$AH117)-SUM($HM117:IL117)-SUM($CW117:DV117)))</f>
        <v>0</v>
      </c>
      <c r="JQ117" s="141">
        <f>IF(ISBLANK($A117),,IF($AN117="Não",0,(SUM($AO117:BO117)*$AH117)-SUM($HM117:IM117)-SUM($CW117:DW117)))</f>
        <v>0</v>
      </c>
      <c r="JR117" s="141">
        <f>IF(ISBLANK($A117),,IF($AN117="Não",0,(SUM($AO117:BP117)*$AH117)-SUM($HM117:IN117)-SUM($CW117:DX117)))</f>
        <v>0</v>
      </c>
      <c r="JS117" s="141">
        <f>IF(ISBLANK($A117),,IF($AN117="Não",0,(SUM($AO117:BQ117)*$AH117)-SUM($HM117:IO117)-SUM($CW117:DY117)))</f>
        <v>0</v>
      </c>
      <c r="JT117" s="141">
        <f>IF(ISBLANK($A117),,IF($AN117="Não",0,(SUM($AO117:BR117)*$AH117)-SUM($HM117:IP117)-SUM($CW117:DZ117)))</f>
        <v>0</v>
      </c>
    </row>
    <row r="118" spans="1:280" ht="15.75" customHeight="1">
      <c r="A118" s="129"/>
      <c r="B118" s="129"/>
      <c r="C118" s="138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607">
        <f t="shared" si="544"/>
        <v>0</v>
      </c>
      <c r="AI118" s="608">
        <f t="shared" si="545"/>
        <v>0</v>
      </c>
      <c r="AJ118" s="609">
        <f t="shared" si="546"/>
        <v>0</v>
      </c>
      <c r="AK118" s="610" t="str">
        <f t="shared" si="547"/>
        <v/>
      </c>
      <c r="AL118" s="609">
        <f t="shared" si="548"/>
        <v>0</v>
      </c>
      <c r="AM118" s="611" t="str">
        <f t="shared" si="549"/>
        <v/>
      </c>
      <c r="AN118" s="611" t="str">
        <f t="shared" si="550"/>
        <v/>
      </c>
      <c r="AO118" s="140">
        <f t="array" ref="AO118">IF(ISBLANK($A118),0,IF(OR(AO$5-$AI118&lt;=0,$AM118="Não"),D118,D118+INDEX($AO$6:$BR$176,ROW()-5,COLUMN()-40-$AI118)))*IF($B118="Operacional",IFERROR(VLOOKUP($C118,SN_UGC,28,0),0),1)</f>
        <v>0</v>
      </c>
      <c r="AP118" s="140">
        <f t="array" ref="AP118">IF(ISBLANK($A118),0,IF(OR(AP$5-$AI118&lt;=0,$AM118="Não"),E118,E118+INDEX($AO$6:$BR$176,ROW()-5,COLUMN()-40-$AI118)))*IF($B118="Operacional",IFERROR(VLOOKUP($C118,SN_UGC,28,0),0),1)</f>
        <v>0</v>
      </c>
      <c r="AQ118" s="140">
        <f t="array" ref="AQ118">IF(ISBLANK($A118),0,IF(OR(AQ$5-$AI118&lt;=0,$AM118="Não"),F118,F118+INDEX($AO$6:$BR$176,ROW()-5,COLUMN()-40-$AI118)))*IF($B118="Operacional",IFERROR(VLOOKUP($C118,SN_UGC,28,0),0),1)</f>
        <v>0</v>
      </c>
      <c r="AR118" s="140">
        <f t="array" ref="AR118">IF(ISBLANK($A118),0,IF(OR(AR$5-$AI118&lt;=0,$AM118="Não"),G118,G118+INDEX($AO$6:$BR$176,ROW()-5,COLUMN()-40-$AI118)))*IF($B118="Operacional",IFERROR(VLOOKUP($C118,SN_UGC,28,0),0),1)</f>
        <v>0</v>
      </c>
      <c r="AS118" s="140">
        <f t="array" ref="AS118">IF(ISBLANK($A118),0,IF(OR(AS$5-$AI118&lt;=0,$AM118="Não"),H118,H118+INDEX($AO$6:$BR$176,ROW()-5,COLUMN()-40-$AI118)))*IF($B118="Operacional",IFERROR(VLOOKUP($C118,SN_UGC,28,0),0),1)</f>
        <v>0</v>
      </c>
      <c r="AT118" s="140">
        <f t="array" ref="AT118">IF(ISBLANK($A118),0,IF(OR(AT$5-$AI118&lt;=0,$AM118="Não"),I118,I118+INDEX($AO$6:$BR$176,ROW()-5,COLUMN()-40-$AI118)))*IF($B118="Operacional",IFERROR(VLOOKUP($C118,SN_UGC,28,0),0),1)</f>
        <v>0</v>
      </c>
      <c r="AU118" s="140">
        <f t="array" ref="AU118">IF(ISBLANK($A118),0,IF(OR(AU$5-$AI118&lt;=0,$AM118="Não"),J118,J118+INDEX($AO$6:$BR$176,ROW()-5,COLUMN()-40-$AI118)))*IF($B118="Operacional",IFERROR(VLOOKUP($C118,SN_UGC,28,0),0),1)</f>
        <v>0</v>
      </c>
      <c r="AV118" s="140">
        <f t="array" ref="AV118">IF(ISBLANK($A118),0,IF(OR(AV$5-$AI118&lt;=0,$AM118="Não"),K118,K118+INDEX($AO$6:$BR$176,ROW()-5,COLUMN()-40-$AI118)))*IF($B118="Operacional",IFERROR(VLOOKUP($C118,SN_UGC,28,0),0),1)</f>
        <v>0</v>
      </c>
      <c r="AW118" s="140">
        <f t="array" ref="AW118">IF(ISBLANK($A118),0,IF(OR(AW$5-$AI118&lt;=0,$AM118="Não"),L118,L118+INDEX($AO$6:$BR$176,ROW()-5,COLUMN()-40-$AI118)))*IF($B118="Operacional",IFERROR(VLOOKUP($C118,SN_UGC,28,0),0),1)</f>
        <v>0</v>
      </c>
      <c r="AX118" s="140">
        <f t="array" ref="AX118">IF(ISBLANK($A118),0,IF(OR(AX$5-$AI118&lt;=0,$AM118="Não"),M118,M118+INDEX($AO$6:$BR$176,ROW()-5,COLUMN()-40-$AI118)))*IF($B118="Operacional",IFERROR(VLOOKUP($C118,SN_UGC,28,0),0),1)</f>
        <v>0</v>
      </c>
      <c r="AY118" s="140">
        <f t="array" ref="AY118">IF(ISBLANK($A118),0,IF(OR(AY$5-$AI118&lt;=0,$AM118="Não"),N118,N118+INDEX($AO$6:$BR$176,ROW()-5,COLUMN()-40-$AI118)))*IF($B118="Operacional",IFERROR(VLOOKUP($C118,SN_UGC,28,0),0),1)</f>
        <v>0</v>
      </c>
      <c r="AZ118" s="140">
        <f t="array" ref="AZ118">IF(ISBLANK($A118),0,IF(OR(AZ$5-$AI118&lt;=0,$AM118="Não"),O118,O118+INDEX($AO$6:$BR$176,ROW()-5,COLUMN()-40-$AI118)))*IF($B118="Operacional",IFERROR(VLOOKUP($C118,SN_UGC,28,0),0),1)</f>
        <v>0</v>
      </c>
      <c r="BA118" s="140">
        <f t="array" ref="BA118">IF(ISBLANK($A118),0,IF(OR(BA$5-$AI118&lt;=0,$AM118="Não"),P118,P118+INDEX($AO$6:$BR$176,ROW()-5,COLUMN()-40-$AI118)))*IF($B118="Operacional",IFERROR(VLOOKUP($C118,SN_UGC,28,0),0),1)</f>
        <v>0</v>
      </c>
      <c r="BB118" s="140">
        <f t="array" ref="BB118">IF(ISBLANK($A118),0,IF(OR(BB$5-$AI118&lt;=0,$AM118="Não"),Q118,Q118+INDEX($AO$6:$BR$176,ROW()-5,COLUMN()-40-$AI118)))*IF($B118="Operacional",IFERROR(VLOOKUP($C118,SN_UGC,28,0),0),1)</f>
        <v>0</v>
      </c>
      <c r="BC118" s="140">
        <f t="array" ref="BC118">IF(ISBLANK($A118),0,IF(OR(BC$5-$AI118&lt;=0,$AM118="Não"),R118,R118+INDEX($AO$6:$BR$176,ROW()-5,COLUMN()-40-$AI118)))*IF($B118="Operacional",IFERROR(VLOOKUP($C118,SN_UGC,28,0),0),1)</f>
        <v>0</v>
      </c>
      <c r="BD118" s="140">
        <f t="array" ref="BD118">IF(ISBLANK($A118),0,IF(OR(BD$5-$AI118&lt;=0,$AM118="Não"),S118,S118+INDEX($AO$6:$BR$176,ROW()-5,COLUMN()-40-$AI118)))*IF($B118="Operacional",IFERROR(VLOOKUP($C118,SN_UGC,28,0),0),1)</f>
        <v>0</v>
      </c>
      <c r="BE118" s="140">
        <f t="array" ref="BE118">IF(ISBLANK($A118),0,IF(OR(BE$5-$AI118&lt;=0,$AM118="Não"),T118,T118+INDEX($AO$6:$BR$176,ROW()-5,COLUMN()-40-$AI118)))*IF($B118="Operacional",IFERROR(VLOOKUP($C118,SN_UGC,28,0),0),1)</f>
        <v>0</v>
      </c>
      <c r="BF118" s="140">
        <f t="array" ref="BF118">IF(ISBLANK($A118),0,IF(OR(BF$5-$AI118&lt;=0,$AM118="Não"),U118,U118+INDEX($AO$6:$BR$176,ROW()-5,COLUMN()-40-$AI118)))*IF($B118="Operacional",IFERROR(VLOOKUP($C118,SN_UGC,28,0),0),1)</f>
        <v>0</v>
      </c>
      <c r="BG118" s="140">
        <f t="array" ref="BG118">IF(ISBLANK($A118),0,IF(OR(BG$5-$AI118&lt;=0,$AM118="Não"),V118,V118+INDEX($AO$6:$BR$176,ROW()-5,COLUMN()-40-$AI118)))*IF($B118="Operacional",IFERROR(VLOOKUP($C118,SN_UGC,28,0),0),1)</f>
        <v>0</v>
      </c>
      <c r="BH118" s="140">
        <f t="array" ref="BH118">IF(ISBLANK($A118),0,IF(OR(BH$5-$AI118&lt;=0,$AM118="Não"),W118,W118+INDEX($AO$6:$BR$176,ROW()-5,COLUMN()-40-$AI118)))*IF($B118="Operacional",IFERROR(VLOOKUP($C118,SN_UGC,28,0),0),1)</f>
        <v>0</v>
      </c>
      <c r="BI118" s="140">
        <f t="array" ref="BI118">IF(ISBLANK($A118),0,IF(OR(BI$5-$AI118&lt;=0,$AM118="Não"),X118,X118+INDEX($AO$6:$BR$176,ROW()-5,COLUMN()-40-$AI118)))*IF($B118="Operacional",IFERROR(VLOOKUP($C118,SN_UGC,28,0),0),1)</f>
        <v>0</v>
      </c>
      <c r="BJ118" s="140">
        <f t="array" ref="BJ118">IF(ISBLANK($A118),0,IF(OR(BJ$5-$AI118&lt;=0,$AM118="Não"),Y118,Y118+INDEX($AO$6:$BR$176,ROW()-5,COLUMN()-40-$AI118)))*IF($B118="Operacional",IFERROR(VLOOKUP($C118,SN_UGC,28,0),0),1)</f>
        <v>0</v>
      </c>
      <c r="BK118" s="140">
        <f t="array" ref="BK118">IF(ISBLANK($A118),0,IF(OR(BK$5-$AI118&lt;=0,$AM118="Não"),Z118,Z118+INDEX($AO$6:$BR$176,ROW()-5,COLUMN()-40-$AI118)))*IF($B118="Operacional",IFERROR(VLOOKUP($C118,SN_UGC,28,0),0),1)</f>
        <v>0</v>
      </c>
      <c r="BL118" s="140">
        <f t="array" ref="BL118">IF(ISBLANK($A118),0,IF(OR(BL$5-$AI118&lt;=0,$AM118="Não"),AA118,AA118+INDEX($AO$6:$BR$176,ROW()-5,COLUMN()-40-$AI118)))*IF($B118="Operacional",IFERROR(VLOOKUP($C118,SN_UGC,28,0),0),1)</f>
        <v>0</v>
      </c>
      <c r="BM118" s="140">
        <f t="array" ref="BM118">IF(ISBLANK($A118),0,IF(OR(BM$5-$AI118&lt;=0,$AM118="Não"),AB118,AB118+INDEX($AO$6:$BR$176,ROW()-5,COLUMN()-40-$AI118)))*IF($B118="Operacional",IFERROR(VLOOKUP($C118,SN_UGC,28,0),0),1)</f>
        <v>0</v>
      </c>
      <c r="BN118" s="140">
        <f t="array" ref="BN118">IF(ISBLANK($A118),0,IF(OR(BN$5-$AI118&lt;=0,$AM118="Não"),AC118,AC118+INDEX($AO$6:$BR$176,ROW()-5,COLUMN()-40-$AI118)))*IF($B118="Operacional",IFERROR(VLOOKUP($C118,SN_UGC,28,0),0),1)</f>
        <v>0</v>
      </c>
      <c r="BO118" s="140">
        <f t="array" ref="BO118">IF(ISBLANK($A118),0,IF(OR(BO$5-$AI118&lt;=0,$AM118="Não"),AD118,AD118+INDEX($AO$6:$BR$176,ROW()-5,COLUMN()-40-$AI118)))*IF($B118="Operacional",IFERROR(VLOOKUP($C118,SN_UGC,28,0),0),1)</f>
        <v>0</v>
      </c>
      <c r="BP118" s="140">
        <f t="array" ref="BP118">IF(ISBLANK($A118),0,IF(OR(BP$5-$AI118&lt;=0,$AM118="Não"),AE118,AE118+INDEX($AO$6:$BR$176,ROW()-5,COLUMN()-40-$AI118)))*IF($B118="Operacional",IFERROR(VLOOKUP($C118,SN_UGC,28,0),0),1)</f>
        <v>0</v>
      </c>
      <c r="BQ118" s="140">
        <f t="array" ref="BQ118">IF(ISBLANK($A118),0,IF(OR(BQ$5-$AI118&lt;=0,$AM118="Não"),AF118,AF118+INDEX($AO$6:$BR$176,ROW()-5,COLUMN()-40-$AI118)))*IF($B118="Operacional",IFERROR(VLOOKUP($C118,SN_UGC,28,0),0),1)</f>
        <v>0</v>
      </c>
      <c r="BR118" s="140">
        <f t="array" ref="BR118">IF(ISBLANK($A118),0,IF(OR(BR$5-$AI118&lt;=0,$AM118="Não"),AG118,AG118+INDEX($AO$6:$BR$176,ROW()-5,COLUMN()-40-$AI118)))*IF($B118="Operacional",IFERROR(VLOOKUP($C118,SN_UGC,28,0),0),1)</f>
        <v>0</v>
      </c>
      <c r="BS118" s="141">
        <f t="shared" ref="BS118:CV118" si="604">IF(ISBLANK($A118),0,$AH118*AO118)</f>
        <v>0</v>
      </c>
      <c r="BT118" s="141">
        <f t="shared" si="604"/>
        <v>0</v>
      </c>
      <c r="BU118" s="141">
        <f t="shared" si="604"/>
        <v>0</v>
      </c>
      <c r="BV118" s="141">
        <f t="shared" si="604"/>
        <v>0</v>
      </c>
      <c r="BW118" s="141">
        <f t="shared" si="604"/>
        <v>0</v>
      </c>
      <c r="BX118" s="141">
        <f t="shared" si="604"/>
        <v>0</v>
      </c>
      <c r="BY118" s="141">
        <f t="shared" si="604"/>
        <v>0</v>
      </c>
      <c r="BZ118" s="141">
        <f t="shared" si="604"/>
        <v>0</v>
      </c>
      <c r="CA118" s="141">
        <f t="shared" si="604"/>
        <v>0</v>
      </c>
      <c r="CB118" s="141">
        <f t="shared" si="604"/>
        <v>0</v>
      </c>
      <c r="CC118" s="141">
        <f t="shared" si="604"/>
        <v>0</v>
      </c>
      <c r="CD118" s="141">
        <f t="shared" si="604"/>
        <v>0</v>
      </c>
      <c r="CE118" s="141">
        <f t="shared" si="604"/>
        <v>0</v>
      </c>
      <c r="CF118" s="141">
        <f t="shared" si="604"/>
        <v>0</v>
      </c>
      <c r="CG118" s="141">
        <f t="shared" si="604"/>
        <v>0</v>
      </c>
      <c r="CH118" s="141">
        <f t="shared" si="604"/>
        <v>0</v>
      </c>
      <c r="CI118" s="141">
        <f t="shared" si="604"/>
        <v>0</v>
      </c>
      <c r="CJ118" s="141">
        <f t="shared" si="604"/>
        <v>0</v>
      </c>
      <c r="CK118" s="141">
        <f t="shared" si="604"/>
        <v>0</v>
      </c>
      <c r="CL118" s="141">
        <f t="shared" si="604"/>
        <v>0</v>
      </c>
      <c r="CM118" s="141">
        <f t="shared" si="604"/>
        <v>0</v>
      </c>
      <c r="CN118" s="141">
        <f t="shared" si="604"/>
        <v>0</v>
      </c>
      <c r="CO118" s="141">
        <f t="shared" si="604"/>
        <v>0</v>
      </c>
      <c r="CP118" s="141">
        <f t="shared" si="604"/>
        <v>0</v>
      </c>
      <c r="CQ118" s="141">
        <f t="shared" si="604"/>
        <v>0</v>
      </c>
      <c r="CR118" s="141">
        <f t="shared" si="604"/>
        <v>0</v>
      </c>
      <c r="CS118" s="141">
        <f t="shared" si="604"/>
        <v>0</v>
      </c>
      <c r="CT118" s="141">
        <f t="shared" si="604"/>
        <v>0</v>
      </c>
      <c r="CU118" s="141">
        <f t="shared" si="604"/>
        <v>0</v>
      </c>
      <c r="CV118" s="141">
        <f t="shared" si="604"/>
        <v>0</v>
      </c>
      <c r="CW118" s="142">
        <f t="shared" ref="CW118:DZ118" si="605">EA118*$AH118*$AJ118</f>
        <v>0</v>
      </c>
      <c r="CX118" s="142">
        <f t="shared" si="605"/>
        <v>0</v>
      </c>
      <c r="CY118" s="142">
        <f t="shared" si="605"/>
        <v>0</v>
      </c>
      <c r="CZ118" s="142">
        <f t="shared" si="605"/>
        <v>0</v>
      </c>
      <c r="DA118" s="142">
        <f t="shared" si="605"/>
        <v>0</v>
      </c>
      <c r="DB118" s="142">
        <f t="shared" si="605"/>
        <v>0</v>
      </c>
      <c r="DC118" s="142">
        <f t="shared" si="605"/>
        <v>0</v>
      </c>
      <c r="DD118" s="142">
        <f t="shared" si="605"/>
        <v>0</v>
      </c>
      <c r="DE118" s="142">
        <f t="shared" si="605"/>
        <v>0</v>
      </c>
      <c r="DF118" s="142">
        <f t="shared" si="605"/>
        <v>0</v>
      </c>
      <c r="DG118" s="142">
        <f t="shared" si="605"/>
        <v>0</v>
      </c>
      <c r="DH118" s="142">
        <f t="shared" si="605"/>
        <v>0</v>
      </c>
      <c r="DI118" s="142">
        <f t="shared" si="605"/>
        <v>0</v>
      </c>
      <c r="DJ118" s="142">
        <f t="shared" si="605"/>
        <v>0</v>
      </c>
      <c r="DK118" s="142">
        <f t="shared" si="605"/>
        <v>0</v>
      </c>
      <c r="DL118" s="142">
        <f t="shared" si="605"/>
        <v>0</v>
      </c>
      <c r="DM118" s="142">
        <f t="shared" si="605"/>
        <v>0</v>
      </c>
      <c r="DN118" s="142">
        <f t="shared" si="605"/>
        <v>0</v>
      </c>
      <c r="DO118" s="142">
        <f t="shared" si="605"/>
        <v>0</v>
      </c>
      <c r="DP118" s="142">
        <f t="shared" si="605"/>
        <v>0</v>
      </c>
      <c r="DQ118" s="142">
        <f t="shared" si="605"/>
        <v>0</v>
      </c>
      <c r="DR118" s="142">
        <f t="shared" si="605"/>
        <v>0</v>
      </c>
      <c r="DS118" s="142">
        <f t="shared" si="605"/>
        <v>0</v>
      </c>
      <c r="DT118" s="142">
        <f t="shared" si="605"/>
        <v>0</v>
      </c>
      <c r="DU118" s="142">
        <f t="shared" si="605"/>
        <v>0</v>
      </c>
      <c r="DV118" s="142">
        <f t="shared" si="605"/>
        <v>0</v>
      </c>
      <c r="DW118" s="142">
        <f t="shared" si="605"/>
        <v>0</v>
      </c>
      <c r="DX118" s="142">
        <f t="shared" si="605"/>
        <v>0</v>
      </c>
      <c r="DY118" s="142">
        <f t="shared" si="605"/>
        <v>0</v>
      </c>
      <c r="DZ118" s="142">
        <f t="shared" si="605"/>
        <v>0</v>
      </c>
      <c r="EA118" s="143">
        <f t="shared" si="504"/>
        <v>0</v>
      </c>
      <c r="EB118" s="143">
        <f t="shared" si="505"/>
        <v>0</v>
      </c>
      <c r="EC118" s="143">
        <f t="shared" si="506"/>
        <v>0</v>
      </c>
      <c r="ED118" s="143">
        <f t="shared" si="507"/>
        <v>0</v>
      </c>
      <c r="EE118" s="143">
        <f t="shared" si="508"/>
        <v>0</v>
      </c>
      <c r="EF118" s="143">
        <f t="shared" si="509"/>
        <v>0</v>
      </c>
      <c r="EG118" s="143">
        <f t="shared" si="510"/>
        <v>0</v>
      </c>
      <c r="EH118" s="143">
        <f t="shared" si="511"/>
        <v>0</v>
      </c>
      <c r="EI118" s="143">
        <f t="shared" si="512"/>
        <v>0</v>
      </c>
      <c r="EJ118" s="143">
        <f t="shared" si="513"/>
        <v>0</v>
      </c>
      <c r="EK118" s="143">
        <f t="shared" si="514"/>
        <v>0</v>
      </c>
      <c r="EL118" s="143">
        <f t="shared" si="515"/>
        <v>0</v>
      </c>
      <c r="EM118" s="143">
        <f t="shared" si="516"/>
        <v>0</v>
      </c>
      <c r="EN118" s="143">
        <f t="shared" si="517"/>
        <v>0</v>
      </c>
      <c r="EO118" s="143">
        <f t="shared" si="518"/>
        <v>0</v>
      </c>
      <c r="EP118" s="143">
        <f t="shared" si="519"/>
        <v>0</v>
      </c>
      <c r="EQ118" s="143">
        <f t="shared" si="520"/>
        <v>0</v>
      </c>
      <c r="ER118" s="143">
        <f t="shared" si="521"/>
        <v>0</v>
      </c>
      <c r="ES118" s="143">
        <f t="shared" si="522"/>
        <v>0</v>
      </c>
      <c r="ET118" s="143">
        <f t="shared" si="523"/>
        <v>0</v>
      </c>
      <c r="EU118" s="143">
        <f t="shared" si="524"/>
        <v>0</v>
      </c>
      <c r="EV118" s="143">
        <f t="shared" si="525"/>
        <v>0</v>
      </c>
      <c r="EW118" s="143">
        <f t="shared" si="526"/>
        <v>0</v>
      </c>
      <c r="EX118" s="143">
        <f t="shared" si="527"/>
        <v>0</v>
      </c>
      <c r="EY118" s="143">
        <f t="shared" si="528"/>
        <v>0</v>
      </c>
      <c r="EZ118" s="143">
        <f t="shared" si="529"/>
        <v>0</v>
      </c>
      <c r="FA118" s="143">
        <f t="shared" si="530"/>
        <v>0</v>
      </c>
      <c r="FB118" s="143">
        <f t="shared" si="531"/>
        <v>0</v>
      </c>
      <c r="FC118" s="143">
        <f t="shared" si="532"/>
        <v>0</v>
      </c>
      <c r="FD118" s="143">
        <f t="shared" si="533"/>
        <v>0</v>
      </c>
      <c r="FE118" s="140">
        <f>SUM($D118:D118)*IF($B118="Operacional",IFERROR(VLOOKUP($C118,SN_UGC,28,0),0),1)</f>
        <v>0</v>
      </c>
      <c r="FF118" s="140">
        <f>SUM($D118:E118)*IF($B118="Operacional",IFERROR(VLOOKUP($C118,SN_UGC,28,0),0),1)</f>
        <v>0</v>
      </c>
      <c r="FG118" s="140">
        <f>SUM($D118:F118)*IF($B118="Operacional",IFERROR(VLOOKUP($C118,SN_UGC,28,0),0),1)</f>
        <v>0</v>
      </c>
      <c r="FH118" s="140">
        <f>SUM($D118:G118)*IF($B118="Operacional",IFERROR(VLOOKUP($C118,SN_UGC,28,0),0),1)</f>
        <v>0</v>
      </c>
      <c r="FI118" s="140">
        <f>SUM($D118:H118)*IF($B118="Operacional",IFERROR(VLOOKUP($C118,SN_UGC,28,0),0),1)</f>
        <v>0</v>
      </c>
      <c r="FJ118" s="140">
        <f>SUM($D118:I118)*IF($B118="Operacional",IFERROR(VLOOKUP($C118,SN_UGC,28,0),0),1)</f>
        <v>0</v>
      </c>
      <c r="FK118" s="140">
        <f>SUM($D118:J118)*IF($B118="Operacional",IFERROR(VLOOKUP($C118,SN_UGC,28,0),0),1)</f>
        <v>0</v>
      </c>
      <c r="FL118" s="140">
        <f>SUM($D118:K118)*IF($B118="Operacional",IFERROR(VLOOKUP($C118,SN_UGC,28,0),0),1)</f>
        <v>0</v>
      </c>
      <c r="FM118" s="140">
        <f>SUM($D118:L118)*IF($B118="Operacional",IFERROR(VLOOKUP($C118,SN_UGC,28,0),0),1)</f>
        <v>0</v>
      </c>
      <c r="FN118" s="140">
        <f>SUM($D118:M118)*IF($B118="Operacional",IFERROR(VLOOKUP($C118,SN_UGC,28,0),0),1)</f>
        <v>0</v>
      </c>
      <c r="FO118" s="140">
        <f>SUM($D118:N118)*IF($B118="Operacional",IFERROR(VLOOKUP($C118,SN_UGC,28,0),0),1)</f>
        <v>0</v>
      </c>
      <c r="FP118" s="140">
        <f>SUM($D118:O118)*IF($B118="Operacional",IFERROR(VLOOKUP($C118,SN_UGC,28,0),0),1)</f>
        <v>0</v>
      </c>
      <c r="FQ118" s="140">
        <f>SUM($D118:P118)*IF($B118="Operacional",IFERROR(VLOOKUP($C118,SN_UGC,28,0),0),1)</f>
        <v>0</v>
      </c>
      <c r="FR118" s="140">
        <f>SUM($D118:Q118)*IF($B118="Operacional",IFERROR(VLOOKUP($C118,SN_UGC,28,0),0),1)</f>
        <v>0</v>
      </c>
      <c r="FS118" s="140">
        <f>SUM($D118:R118)*IF($B118="Operacional",IFERROR(VLOOKUP($C118,SN_UGC,28,0),0),1)</f>
        <v>0</v>
      </c>
      <c r="FT118" s="140">
        <f>SUM($D118:S118)*IF($B118="Operacional",IFERROR(VLOOKUP($C118,SN_UGC,28,0),0),1)</f>
        <v>0</v>
      </c>
      <c r="FU118" s="140">
        <f>SUM($D118:T118)*IF($B118="Operacional",IFERROR(VLOOKUP($C118,SN_UGC,28,0),0),1)</f>
        <v>0</v>
      </c>
      <c r="FV118" s="140">
        <f>SUM($D118:U118)*IF($B118="Operacional",IFERROR(VLOOKUP($C118,SN_UGC,28,0),0),1)</f>
        <v>0</v>
      </c>
      <c r="FW118" s="140">
        <f>SUM($D118:V118)*IF($B118="Operacional",IFERROR(VLOOKUP($C118,SN_UGC,28,0),0),1)</f>
        <v>0</v>
      </c>
      <c r="FX118" s="140">
        <f>SUM($D118:W118)*IF($B118="Operacional",IFERROR(VLOOKUP($C118,SN_UGC,28,0),0),1)</f>
        <v>0</v>
      </c>
      <c r="FY118" s="140">
        <f>SUM($D118:X118)*IF($B118="Operacional",IFERROR(VLOOKUP($C118,SN_UGC,28,0),0),1)</f>
        <v>0</v>
      </c>
      <c r="FZ118" s="140">
        <f>SUM($D118:Y118)*IF($B118="Operacional",IFERROR(VLOOKUP($C118,SN_UGC,28,0),0),1)</f>
        <v>0</v>
      </c>
      <c r="GA118" s="140">
        <f>SUM($D118:Z118)*IF($B118="Operacional",IFERROR(VLOOKUP($C118,SN_UGC,28,0),0),1)</f>
        <v>0</v>
      </c>
      <c r="GB118" s="140">
        <f>SUM($D118:AA118)*IF($B118="Operacional",IFERROR(VLOOKUP($C118,SN_UGC,28,0),0),1)</f>
        <v>0</v>
      </c>
      <c r="GC118" s="140">
        <f>SUM($D118:AB118)*IF($B118="Operacional",IFERROR(VLOOKUP($C118,SN_UGC,28,0),0),1)</f>
        <v>0</v>
      </c>
      <c r="GD118" s="140">
        <f>SUM($D118:AC118)*IF($B118="Operacional",IFERROR(VLOOKUP($C118,SN_UGC,28,0),0),1)</f>
        <v>0</v>
      </c>
      <c r="GE118" s="140">
        <f>SUM($D118:AD118)*IF($B118="Operacional",IFERROR(VLOOKUP($C118,SN_UGC,28,0),0),1)</f>
        <v>0</v>
      </c>
      <c r="GF118" s="140">
        <f>SUM($D118:AE118)*IF($B118="Operacional",IFERROR(VLOOKUP($C118,SN_UGC,28,0),0),1)</f>
        <v>0</v>
      </c>
      <c r="GG118" s="140">
        <f>SUM($D118:AF118)*IF($B118="Operacional",IFERROR(VLOOKUP($C118,SN_UGC,28,0),0),1)</f>
        <v>0</v>
      </c>
      <c r="GH118" s="140">
        <f>SUM($D118:AG118)*IF($B118="Operacional",IFERROR(VLOOKUP($C118,SN_UGC,28,0),0),1)</f>
        <v>0</v>
      </c>
      <c r="GI118" s="141">
        <f t="shared" ref="GI118:HL118" si="606">FE118*$AH118*$AL118</f>
        <v>0</v>
      </c>
      <c r="GJ118" s="141">
        <f t="shared" si="606"/>
        <v>0</v>
      </c>
      <c r="GK118" s="141">
        <f t="shared" si="606"/>
        <v>0</v>
      </c>
      <c r="GL118" s="141">
        <f t="shared" si="606"/>
        <v>0</v>
      </c>
      <c r="GM118" s="141">
        <f t="shared" si="606"/>
        <v>0</v>
      </c>
      <c r="GN118" s="141">
        <f t="shared" si="606"/>
        <v>0</v>
      </c>
      <c r="GO118" s="141">
        <f t="shared" si="606"/>
        <v>0</v>
      </c>
      <c r="GP118" s="141">
        <f t="shared" si="606"/>
        <v>0</v>
      </c>
      <c r="GQ118" s="141">
        <f t="shared" si="606"/>
        <v>0</v>
      </c>
      <c r="GR118" s="141">
        <f t="shared" si="606"/>
        <v>0</v>
      </c>
      <c r="GS118" s="141">
        <f t="shared" si="606"/>
        <v>0</v>
      </c>
      <c r="GT118" s="141">
        <f t="shared" si="606"/>
        <v>0</v>
      </c>
      <c r="GU118" s="141">
        <f t="shared" si="606"/>
        <v>0</v>
      </c>
      <c r="GV118" s="141">
        <f t="shared" si="606"/>
        <v>0</v>
      </c>
      <c r="GW118" s="141">
        <f t="shared" si="606"/>
        <v>0</v>
      </c>
      <c r="GX118" s="141">
        <f t="shared" si="606"/>
        <v>0</v>
      </c>
      <c r="GY118" s="141">
        <f t="shared" si="606"/>
        <v>0</v>
      </c>
      <c r="GZ118" s="141">
        <f t="shared" si="606"/>
        <v>0</v>
      </c>
      <c r="HA118" s="141">
        <f t="shared" si="606"/>
        <v>0</v>
      </c>
      <c r="HB118" s="141">
        <f t="shared" si="606"/>
        <v>0</v>
      </c>
      <c r="HC118" s="141">
        <f t="shared" si="606"/>
        <v>0</v>
      </c>
      <c r="HD118" s="141">
        <f t="shared" si="606"/>
        <v>0</v>
      </c>
      <c r="HE118" s="141">
        <f t="shared" si="606"/>
        <v>0</v>
      </c>
      <c r="HF118" s="141">
        <f t="shared" si="606"/>
        <v>0</v>
      </c>
      <c r="HG118" s="141">
        <f t="shared" si="606"/>
        <v>0</v>
      </c>
      <c r="HH118" s="141">
        <f t="shared" si="606"/>
        <v>0</v>
      </c>
      <c r="HI118" s="141">
        <f t="shared" si="606"/>
        <v>0</v>
      </c>
      <c r="HJ118" s="141">
        <f t="shared" si="606"/>
        <v>0</v>
      </c>
      <c r="HK118" s="141">
        <f t="shared" si="606"/>
        <v>0</v>
      </c>
      <c r="HL118" s="141">
        <f t="shared" si="606"/>
        <v>0</v>
      </c>
      <c r="HM118" s="142">
        <f t="shared" ref="HM118:IP118" si="607">IF(ISBLANK($A118),,FE118*($AH118-($AH118*$AJ118))/$AI118)</f>
        <v>0</v>
      </c>
      <c r="HN118" s="142">
        <f t="shared" si="607"/>
        <v>0</v>
      </c>
      <c r="HO118" s="142">
        <f t="shared" si="607"/>
        <v>0</v>
      </c>
      <c r="HP118" s="142">
        <f t="shared" si="607"/>
        <v>0</v>
      </c>
      <c r="HQ118" s="142">
        <f t="shared" si="607"/>
        <v>0</v>
      </c>
      <c r="HR118" s="142">
        <f t="shared" si="607"/>
        <v>0</v>
      </c>
      <c r="HS118" s="142">
        <f t="shared" si="607"/>
        <v>0</v>
      </c>
      <c r="HT118" s="142">
        <f t="shared" si="607"/>
        <v>0</v>
      </c>
      <c r="HU118" s="142">
        <f t="shared" si="607"/>
        <v>0</v>
      </c>
      <c r="HV118" s="142">
        <f t="shared" si="607"/>
        <v>0</v>
      </c>
      <c r="HW118" s="142">
        <f t="shared" si="607"/>
        <v>0</v>
      </c>
      <c r="HX118" s="142">
        <f t="shared" si="607"/>
        <v>0</v>
      </c>
      <c r="HY118" s="142">
        <f t="shared" si="607"/>
        <v>0</v>
      </c>
      <c r="HZ118" s="142">
        <f t="shared" si="607"/>
        <v>0</v>
      </c>
      <c r="IA118" s="142">
        <f t="shared" si="607"/>
        <v>0</v>
      </c>
      <c r="IB118" s="142">
        <f t="shared" si="607"/>
        <v>0</v>
      </c>
      <c r="IC118" s="142">
        <f t="shared" si="607"/>
        <v>0</v>
      </c>
      <c r="ID118" s="142">
        <f t="shared" si="607"/>
        <v>0</v>
      </c>
      <c r="IE118" s="142">
        <f t="shared" si="607"/>
        <v>0</v>
      </c>
      <c r="IF118" s="142">
        <f t="shared" si="607"/>
        <v>0</v>
      </c>
      <c r="IG118" s="142">
        <f t="shared" si="607"/>
        <v>0</v>
      </c>
      <c r="IH118" s="142">
        <f t="shared" si="607"/>
        <v>0</v>
      </c>
      <c r="II118" s="142">
        <f t="shared" si="607"/>
        <v>0</v>
      </c>
      <c r="IJ118" s="142">
        <f t="shared" si="607"/>
        <v>0</v>
      </c>
      <c r="IK118" s="142">
        <f t="shared" si="607"/>
        <v>0</v>
      </c>
      <c r="IL118" s="142">
        <f t="shared" si="607"/>
        <v>0</v>
      </c>
      <c r="IM118" s="142">
        <f t="shared" si="607"/>
        <v>0</v>
      </c>
      <c r="IN118" s="142">
        <f t="shared" si="607"/>
        <v>0</v>
      </c>
      <c r="IO118" s="142">
        <f t="shared" si="607"/>
        <v>0</v>
      </c>
      <c r="IP118" s="142">
        <f t="shared" si="607"/>
        <v>0</v>
      </c>
      <c r="IQ118" s="141">
        <f>IF(ISBLANK($A118),,IF($AN118="Não",0,(SUM($AO118:AO118)*$AH118)-SUM($HM118:HM118)-SUM($CW118:CW118)))</f>
        <v>0</v>
      </c>
      <c r="IR118" s="141">
        <f>IF(ISBLANK($A118),,IF($AN118="Não",0,(SUM($AO118:AP118)*$AH118)-SUM($HM118:HN118)-SUM($CW118:CX118)))</f>
        <v>0</v>
      </c>
      <c r="IS118" s="141">
        <f>IF(ISBLANK($A118),,IF($AN118="Não",0,(SUM($AO118:AQ118)*$AH118)-SUM($HM118:HO118)-SUM($CW118:CY118)))</f>
        <v>0</v>
      </c>
      <c r="IT118" s="141">
        <f>IF(ISBLANK($A118),,IF($AN118="Não",0,(SUM($AO118:AR118)*$AH118)-SUM($HM118:HP118)-SUM($CW118:CZ118)))</f>
        <v>0</v>
      </c>
      <c r="IU118" s="141">
        <f>IF(ISBLANK($A118),,IF($AN118="Não",0,(SUM($AO118:AS118)*$AH118)-SUM($HM118:HQ118)-SUM($CW118:DA118)))</f>
        <v>0</v>
      </c>
      <c r="IV118" s="141">
        <f>IF(ISBLANK($A118),,IF($AN118="Não",0,(SUM($AO118:AT118)*$AH118)-SUM($HM118:HR118)-SUM($CW118:DB118)))</f>
        <v>0</v>
      </c>
      <c r="IW118" s="141">
        <f>IF(ISBLANK($A118),,IF($AN118="Não",0,(SUM($AO118:AU118)*$AH118)-SUM($HM118:HS118)-SUM($CW118:DC118)))</f>
        <v>0</v>
      </c>
      <c r="IX118" s="141">
        <f>IF(ISBLANK($A118),,IF($AN118="Não",0,(SUM($AO118:AV118)*$AH118)-SUM($HM118:HT118)-SUM($CW118:DD118)))</f>
        <v>0</v>
      </c>
      <c r="IY118" s="141">
        <f>IF(ISBLANK($A118),,IF($AN118="Não",0,(SUM($AO118:AW118)*$AH118)-SUM($HM118:HU118)-SUM($CW118:DE118)))</f>
        <v>0</v>
      </c>
      <c r="IZ118" s="141">
        <f>IF(ISBLANK($A118),,IF($AN118="Não",0,(SUM($AO118:AX118)*$AH118)-SUM($HM118:HV118)-SUM($CW118:DF118)))</f>
        <v>0</v>
      </c>
      <c r="JA118" s="141">
        <f>IF(ISBLANK($A118),,IF($AN118="Não",0,(SUM($AO118:AY118)*$AH118)-SUM($HM118:HW118)-SUM($CW118:DG118)))</f>
        <v>0</v>
      </c>
      <c r="JB118" s="141">
        <f>IF(ISBLANK($A118),,IF($AN118="Não",0,(SUM($AO118:AZ118)*$AH118)-SUM($HM118:HX118)-SUM($CW118:DH118)))</f>
        <v>0</v>
      </c>
      <c r="JC118" s="141">
        <f>IF(ISBLANK($A118),,IF($AN118="Não",0,(SUM($AO118:BA118)*$AH118)-SUM($HM118:HY118)-SUM($CW118:DI118)))</f>
        <v>0</v>
      </c>
      <c r="JD118" s="141">
        <f>IF(ISBLANK($A118),,IF($AN118="Não",0,(SUM($AO118:BB118)*$AH118)-SUM($HM118:HZ118)-SUM($CW118:DJ118)))</f>
        <v>0</v>
      </c>
      <c r="JE118" s="141">
        <f>IF(ISBLANK($A118),,IF($AN118="Não",0,(SUM($AO118:BC118)*$AH118)-SUM($HM118:IA118)-SUM($CW118:DK118)))</f>
        <v>0</v>
      </c>
      <c r="JF118" s="141">
        <f>IF(ISBLANK($A118),,IF($AN118="Não",0,(SUM($AO118:BD118)*$AH118)-SUM($HM118:IB118)-SUM($CW118:DL118)))</f>
        <v>0</v>
      </c>
      <c r="JG118" s="141">
        <f>IF(ISBLANK($A118),,IF($AN118="Não",0,(SUM($AO118:BE118)*$AH118)-SUM($HM118:IC118)-SUM($CW118:DM118)))</f>
        <v>0</v>
      </c>
      <c r="JH118" s="141">
        <f>IF(ISBLANK($A118),,IF($AN118="Não",0,(SUM($AO118:BF118)*$AH118)-SUM($HM118:ID118)-SUM($CW118:DN118)))</f>
        <v>0</v>
      </c>
      <c r="JI118" s="141">
        <f>IF(ISBLANK($A118),,IF($AN118="Não",0,(SUM($AO118:BG118)*$AH118)-SUM($HM118:IE118)-SUM($CW118:DO118)))</f>
        <v>0</v>
      </c>
      <c r="JJ118" s="141">
        <f>IF(ISBLANK($A118),,IF($AN118="Não",0,(SUM($AO118:BH118)*$AH118)-SUM($HM118:IF118)-SUM($CW118:DP118)))</f>
        <v>0</v>
      </c>
      <c r="JK118" s="141">
        <f>IF(ISBLANK($A118),,IF($AN118="Não",0,(SUM($AO118:BI118)*$AH118)-SUM($HM118:IG118)-SUM($CW118:DQ118)))</f>
        <v>0</v>
      </c>
      <c r="JL118" s="141">
        <f>IF(ISBLANK($A118),,IF($AN118="Não",0,(SUM($AO118:BJ118)*$AH118)-SUM($HM118:IH118)-SUM($CW118:DR118)))</f>
        <v>0</v>
      </c>
      <c r="JM118" s="141">
        <f>IF(ISBLANK($A118),,IF($AN118="Não",0,(SUM($AO118:BK118)*$AH118)-SUM($HM118:II118)-SUM($CW118:DS118)))</f>
        <v>0</v>
      </c>
      <c r="JN118" s="141">
        <f>IF(ISBLANK($A118),,IF($AN118="Não",0,(SUM($AO118:BL118)*$AH118)-SUM($HM118:IJ118)-SUM($CW118:DT118)))</f>
        <v>0</v>
      </c>
      <c r="JO118" s="141">
        <f>IF(ISBLANK($A118),,IF($AN118="Não",0,(SUM($AO118:BM118)*$AH118)-SUM($HM118:IK118)-SUM($CW118:DU118)))</f>
        <v>0</v>
      </c>
      <c r="JP118" s="141">
        <f>IF(ISBLANK($A118),,IF($AN118="Não",0,(SUM($AO118:BN118)*$AH118)-SUM($HM118:IL118)-SUM($CW118:DV118)))</f>
        <v>0</v>
      </c>
      <c r="JQ118" s="141">
        <f>IF(ISBLANK($A118),,IF($AN118="Não",0,(SUM($AO118:BO118)*$AH118)-SUM($HM118:IM118)-SUM($CW118:DW118)))</f>
        <v>0</v>
      </c>
      <c r="JR118" s="141">
        <f>IF(ISBLANK($A118),,IF($AN118="Não",0,(SUM($AO118:BP118)*$AH118)-SUM($HM118:IN118)-SUM($CW118:DX118)))</f>
        <v>0</v>
      </c>
      <c r="JS118" s="141">
        <f>IF(ISBLANK($A118),,IF($AN118="Não",0,(SUM($AO118:BQ118)*$AH118)-SUM($HM118:IO118)-SUM($CW118:DY118)))</f>
        <v>0</v>
      </c>
      <c r="JT118" s="141">
        <f>IF(ISBLANK($A118),,IF($AN118="Não",0,(SUM($AO118:BR118)*$AH118)-SUM($HM118:IP118)-SUM($CW118:DZ118)))</f>
        <v>0</v>
      </c>
    </row>
    <row r="119" spans="1:280" ht="15.75" customHeight="1">
      <c r="A119" s="129"/>
      <c r="B119" s="129"/>
      <c r="C119" s="138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  <c r="AE119" s="139"/>
      <c r="AF119" s="139"/>
      <c r="AG119" s="139"/>
      <c r="AH119" s="607">
        <f t="shared" si="544"/>
        <v>0</v>
      </c>
      <c r="AI119" s="608">
        <f t="shared" si="545"/>
        <v>0</v>
      </c>
      <c r="AJ119" s="609">
        <f t="shared" si="546"/>
        <v>0</v>
      </c>
      <c r="AK119" s="610" t="str">
        <f t="shared" si="547"/>
        <v/>
      </c>
      <c r="AL119" s="609">
        <f t="shared" si="548"/>
        <v>0</v>
      </c>
      <c r="AM119" s="611" t="str">
        <f t="shared" si="549"/>
        <v/>
      </c>
      <c r="AN119" s="611" t="str">
        <f t="shared" si="550"/>
        <v/>
      </c>
      <c r="AO119" s="140">
        <f t="array" ref="AO119">IF(ISBLANK($A119),0,IF(OR(AO$5-$AI119&lt;=0,$AM119="Não"),D119,D119+INDEX($AO$6:$BR$176,ROW()-5,COLUMN()-40-$AI119)))*IF($B119="Operacional",IFERROR(VLOOKUP($C119,SN_UGC,28,0),0),1)</f>
        <v>0</v>
      </c>
      <c r="AP119" s="140">
        <f t="array" ref="AP119">IF(ISBLANK($A119),0,IF(OR(AP$5-$AI119&lt;=0,$AM119="Não"),E119,E119+INDEX($AO$6:$BR$176,ROW()-5,COLUMN()-40-$AI119)))*IF($B119="Operacional",IFERROR(VLOOKUP($C119,SN_UGC,28,0),0),1)</f>
        <v>0</v>
      </c>
      <c r="AQ119" s="140">
        <f t="array" ref="AQ119">IF(ISBLANK($A119),0,IF(OR(AQ$5-$AI119&lt;=0,$AM119="Não"),F119,F119+INDEX($AO$6:$BR$176,ROW()-5,COLUMN()-40-$AI119)))*IF($B119="Operacional",IFERROR(VLOOKUP($C119,SN_UGC,28,0),0),1)</f>
        <v>0</v>
      </c>
      <c r="AR119" s="140">
        <f t="array" ref="AR119">IF(ISBLANK($A119),0,IF(OR(AR$5-$AI119&lt;=0,$AM119="Não"),G119,G119+INDEX($AO$6:$BR$176,ROW()-5,COLUMN()-40-$AI119)))*IF($B119="Operacional",IFERROR(VLOOKUP($C119,SN_UGC,28,0),0),1)</f>
        <v>0</v>
      </c>
      <c r="AS119" s="140">
        <f t="array" ref="AS119">IF(ISBLANK($A119),0,IF(OR(AS$5-$AI119&lt;=0,$AM119="Não"),H119,H119+INDEX($AO$6:$BR$176,ROW()-5,COLUMN()-40-$AI119)))*IF($B119="Operacional",IFERROR(VLOOKUP($C119,SN_UGC,28,0),0),1)</f>
        <v>0</v>
      </c>
      <c r="AT119" s="140">
        <f t="array" ref="AT119">IF(ISBLANK($A119),0,IF(OR(AT$5-$AI119&lt;=0,$AM119="Não"),I119,I119+INDEX($AO$6:$BR$176,ROW()-5,COLUMN()-40-$AI119)))*IF($B119="Operacional",IFERROR(VLOOKUP($C119,SN_UGC,28,0),0),1)</f>
        <v>0</v>
      </c>
      <c r="AU119" s="140">
        <f t="array" ref="AU119">IF(ISBLANK($A119),0,IF(OR(AU$5-$AI119&lt;=0,$AM119="Não"),J119,J119+INDEX($AO$6:$BR$176,ROW()-5,COLUMN()-40-$AI119)))*IF($B119="Operacional",IFERROR(VLOOKUP($C119,SN_UGC,28,0),0),1)</f>
        <v>0</v>
      </c>
      <c r="AV119" s="140">
        <f t="array" ref="AV119">IF(ISBLANK($A119),0,IF(OR(AV$5-$AI119&lt;=0,$AM119="Não"),K119,K119+INDEX($AO$6:$BR$176,ROW()-5,COLUMN()-40-$AI119)))*IF($B119="Operacional",IFERROR(VLOOKUP($C119,SN_UGC,28,0),0),1)</f>
        <v>0</v>
      </c>
      <c r="AW119" s="140">
        <f t="array" ref="AW119">IF(ISBLANK($A119),0,IF(OR(AW$5-$AI119&lt;=0,$AM119="Não"),L119,L119+INDEX($AO$6:$BR$176,ROW()-5,COLUMN()-40-$AI119)))*IF($B119="Operacional",IFERROR(VLOOKUP($C119,SN_UGC,28,0),0),1)</f>
        <v>0</v>
      </c>
      <c r="AX119" s="140">
        <f t="array" ref="AX119">IF(ISBLANK($A119),0,IF(OR(AX$5-$AI119&lt;=0,$AM119="Não"),M119,M119+INDEX($AO$6:$BR$176,ROW()-5,COLUMN()-40-$AI119)))*IF($B119="Operacional",IFERROR(VLOOKUP($C119,SN_UGC,28,0),0),1)</f>
        <v>0</v>
      </c>
      <c r="AY119" s="140">
        <f t="array" ref="AY119">IF(ISBLANK($A119),0,IF(OR(AY$5-$AI119&lt;=0,$AM119="Não"),N119,N119+INDEX($AO$6:$BR$176,ROW()-5,COLUMN()-40-$AI119)))*IF($B119="Operacional",IFERROR(VLOOKUP($C119,SN_UGC,28,0),0),1)</f>
        <v>0</v>
      </c>
      <c r="AZ119" s="140">
        <f t="array" ref="AZ119">IF(ISBLANK($A119),0,IF(OR(AZ$5-$AI119&lt;=0,$AM119="Não"),O119,O119+INDEX($AO$6:$BR$176,ROW()-5,COLUMN()-40-$AI119)))*IF($B119="Operacional",IFERROR(VLOOKUP($C119,SN_UGC,28,0),0),1)</f>
        <v>0</v>
      </c>
      <c r="BA119" s="140">
        <f t="array" ref="BA119">IF(ISBLANK($A119),0,IF(OR(BA$5-$AI119&lt;=0,$AM119="Não"),P119,P119+INDEX($AO$6:$BR$176,ROW()-5,COLUMN()-40-$AI119)))*IF($B119="Operacional",IFERROR(VLOOKUP($C119,SN_UGC,28,0),0),1)</f>
        <v>0</v>
      </c>
      <c r="BB119" s="140">
        <f t="array" ref="BB119">IF(ISBLANK($A119),0,IF(OR(BB$5-$AI119&lt;=0,$AM119="Não"),Q119,Q119+INDEX($AO$6:$BR$176,ROW()-5,COLUMN()-40-$AI119)))*IF($B119="Operacional",IFERROR(VLOOKUP($C119,SN_UGC,28,0),0),1)</f>
        <v>0</v>
      </c>
      <c r="BC119" s="140">
        <f t="array" ref="BC119">IF(ISBLANK($A119),0,IF(OR(BC$5-$AI119&lt;=0,$AM119="Não"),R119,R119+INDEX($AO$6:$BR$176,ROW()-5,COLUMN()-40-$AI119)))*IF($B119="Operacional",IFERROR(VLOOKUP($C119,SN_UGC,28,0),0),1)</f>
        <v>0</v>
      </c>
      <c r="BD119" s="140">
        <f t="array" ref="BD119">IF(ISBLANK($A119),0,IF(OR(BD$5-$AI119&lt;=0,$AM119="Não"),S119,S119+INDEX($AO$6:$BR$176,ROW()-5,COLUMN()-40-$AI119)))*IF($B119="Operacional",IFERROR(VLOOKUP($C119,SN_UGC,28,0),0),1)</f>
        <v>0</v>
      </c>
      <c r="BE119" s="140">
        <f t="array" ref="BE119">IF(ISBLANK($A119),0,IF(OR(BE$5-$AI119&lt;=0,$AM119="Não"),T119,T119+INDEX($AO$6:$BR$176,ROW()-5,COLUMN()-40-$AI119)))*IF($B119="Operacional",IFERROR(VLOOKUP($C119,SN_UGC,28,0),0),1)</f>
        <v>0</v>
      </c>
      <c r="BF119" s="140">
        <f t="array" ref="BF119">IF(ISBLANK($A119),0,IF(OR(BF$5-$AI119&lt;=0,$AM119="Não"),U119,U119+INDEX($AO$6:$BR$176,ROW()-5,COLUMN()-40-$AI119)))*IF($B119="Operacional",IFERROR(VLOOKUP($C119,SN_UGC,28,0),0),1)</f>
        <v>0</v>
      </c>
      <c r="BG119" s="140">
        <f t="array" ref="BG119">IF(ISBLANK($A119),0,IF(OR(BG$5-$AI119&lt;=0,$AM119="Não"),V119,V119+INDEX($AO$6:$BR$176,ROW()-5,COLUMN()-40-$AI119)))*IF($B119="Operacional",IFERROR(VLOOKUP($C119,SN_UGC,28,0),0),1)</f>
        <v>0</v>
      </c>
      <c r="BH119" s="140">
        <f t="array" ref="BH119">IF(ISBLANK($A119),0,IF(OR(BH$5-$AI119&lt;=0,$AM119="Não"),W119,W119+INDEX($AO$6:$BR$176,ROW()-5,COLUMN()-40-$AI119)))*IF($B119="Operacional",IFERROR(VLOOKUP($C119,SN_UGC,28,0),0),1)</f>
        <v>0</v>
      </c>
      <c r="BI119" s="140">
        <f t="array" ref="BI119">IF(ISBLANK($A119),0,IF(OR(BI$5-$AI119&lt;=0,$AM119="Não"),X119,X119+INDEX($AO$6:$BR$176,ROW()-5,COLUMN()-40-$AI119)))*IF($B119="Operacional",IFERROR(VLOOKUP($C119,SN_UGC,28,0),0),1)</f>
        <v>0</v>
      </c>
      <c r="BJ119" s="140">
        <f t="array" ref="BJ119">IF(ISBLANK($A119),0,IF(OR(BJ$5-$AI119&lt;=0,$AM119="Não"),Y119,Y119+INDEX($AO$6:$BR$176,ROW()-5,COLUMN()-40-$AI119)))*IF($B119="Operacional",IFERROR(VLOOKUP($C119,SN_UGC,28,0),0),1)</f>
        <v>0</v>
      </c>
      <c r="BK119" s="140">
        <f t="array" ref="BK119">IF(ISBLANK($A119),0,IF(OR(BK$5-$AI119&lt;=0,$AM119="Não"),Z119,Z119+INDEX($AO$6:$BR$176,ROW()-5,COLUMN()-40-$AI119)))*IF($B119="Operacional",IFERROR(VLOOKUP($C119,SN_UGC,28,0),0),1)</f>
        <v>0</v>
      </c>
      <c r="BL119" s="140">
        <f t="array" ref="BL119">IF(ISBLANK($A119),0,IF(OR(BL$5-$AI119&lt;=0,$AM119="Não"),AA119,AA119+INDEX($AO$6:$BR$176,ROW()-5,COLUMN()-40-$AI119)))*IF($B119="Operacional",IFERROR(VLOOKUP($C119,SN_UGC,28,0),0),1)</f>
        <v>0</v>
      </c>
      <c r="BM119" s="140">
        <f t="array" ref="BM119">IF(ISBLANK($A119),0,IF(OR(BM$5-$AI119&lt;=0,$AM119="Não"),AB119,AB119+INDEX($AO$6:$BR$176,ROW()-5,COLUMN()-40-$AI119)))*IF($B119="Operacional",IFERROR(VLOOKUP($C119,SN_UGC,28,0),0),1)</f>
        <v>0</v>
      </c>
      <c r="BN119" s="140">
        <f t="array" ref="BN119">IF(ISBLANK($A119),0,IF(OR(BN$5-$AI119&lt;=0,$AM119="Não"),AC119,AC119+INDEX($AO$6:$BR$176,ROW()-5,COLUMN()-40-$AI119)))*IF($B119="Operacional",IFERROR(VLOOKUP($C119,SN_UGC,28,0),0),1)</f>
        <v>0</v>
      </c>
      <c r="BO119" s="140">
        <f t="array" ref="BO119">IF(ISBLANK($A119),0,IF(OR(BO$5-$AI119&lt;=0,$AM119="Não"),AD119,AD119+INDEX($AO$6:$BR$176,ROW()-5,COLUMN()-40-$AI119)))*IF($B119="Operacional",IFERROR(VLOOKUP($C119,SN_UGC,28,0),0),1)</f>
        <v>0</v>
      </c>
      <c r="BP119" s="140">
        <f t="array" ref="BP119">IF(ISBLANK($A119),0,IF(OR(BP$5-$AI119&lt;=0,$AM119="Não"),AE119,AE119+INDEX($AO$6:$BR$176,ROW()-5,COLUMN()-40-$AI119)))*IF($B119="Operacional",IFERROR(VLOOKUP($C119,SN_UGC,28,0),0),1)</f>
        <v>0</v>
      </c>
      <c r="BQ119" s="140">
        <f t="array" ref="BQ119">IF(ISBLANK($A119),0,IF(OR(BQ$5-$AI119&lt;=0,$AM119="Não"),AF119,AF119+INDEX($AO$6:$BR$176,ROW()-5,COLUMN()-40-$AI119)))*IF($B119="Operacional",IFERROR(VLOOKUP($C119,SN_UGC,28,0),0),1)</f>
        <v>0</v>
      </c>
      <c r="BR119" s="140">
        <f t="array" ref="BR119">IF(ISBLANK($A119),0,IF(OR(BR$5-$AI119&lt;=0,$AM119="Não"),AG119,AG119+INDEX($AO$6:$BR$176,ROW()-5,COLUMN()-40-$AI119)))*IF($B119="Operacional",IFERROR(VLOOKUP($C119,SN_UGC,28,0),0),1)</f>
        <v>0</v>
      </c>
      <c r="BS119" s="141">
        <f t="shared" ref="BS119:CV119" si="608">IF(ISBLANK($A119),0,$AH119*AO119)</f>
        <v>0</v>
      </c>
      <c r="BT119" s="141">
        <f t="shared" si="608"/>
        <v>0</v>
      </c>
      <c r="BU119" s="141">
        <f t="shared" si="608"/>
        <v>0</v>
      </c>
      <c r="BV119" s="141">
        <f t="shared" si="608"/>
        <v>0</v>
      </c>
      <c r="BW119" s="141">
        <f t="shared" si="608"/>
        <v>0</v>
      </c>
      <c r="BX119" s="141">
        <f t="shared" si="608"/>
        <v>0</v>
      </c>
      <c r="BY119" s="141">
        <f t="shared" si="608"/>
        <v>0</v>
      </c>
      <c r="BZ119" s="141">
        <f t="shared" si="608"/>
        <v>0</v>
      </c>
      <c r="CA119" s="141">
        <f t="shared" si="608"/>
        <v>0</v>
      </c>
      <c r="CB119" s="141">
        <f t="shared" si="608"/>
        <v>0</v>
      </c>
      <c r="CC119" s="141">
        <f t="shared" si="608"/>
        <v>0</v>
      </c>
      <c r="CD119" s="141">
        <f t="shared" si="608"/>
        <v>0</v>
      </c>
      <c r="CE119" s="141">
        <f t="shared" si="608"/>
        <v>0</v>
      </c>
      <c r="CF119" s="141">
        <f t="shared" si="608"/>
        <v>0</v>
      </c>
      <c r="CG119" s="141">
        <f t="shared" si="608"/>
        <v>0</v>
      </c>
      <c r="CH119" s="141">
        <f t="shared" si="608"/>
        <v>0</v>
      </c>
      <c r="CI119" s="141">
        <f t="shared" si="608"/>
        <v>0</v>
      </c>
      <c r="CJ119" s="141">
        <f t="shared" si="608"/>
        <v>0</v>
      </c>
      <c r="CK119" s="141">
        <f t="shared" si="608"/>
        <v>0</v>
      </c>
      <c r="CL119" s="141">
        <f t="shared" si="608"/>
        <v>0</v>
      </c>
      <c r="CM119" s="141">
        <f t="shared" si="608"/>
        <v>0</v>
      </c>
      <c r="CN119" s="141">
        <f t="shared" si="608"/>
        <v>0</v>
      </c>
      <c r="CO119" s="141">
        <f t="shared" si="608"/>
        <v>0</v>
      </c>
      <c r="CP119" s="141">
        <f t="shared" si="608"/>
        <v>0</v>
      </c>
      <c r="CQ119" s="141">
        <f t="shared" si="608"/>
        <v>0</v>
      </c>
      <c r="CR119" s="141">
        <f t="shared" si="608"/>
        <v>0</v>
      </c>
      <c r="CS119" s="141">
        <f t="shared" si="608"/>
        <v>0</v>
      </c>
      <c r="CT119" s="141">
        <f t="shared" si="608"/>
        <v>0</v>
      </c>
      <c r="CU119" s="141">
        <f t="shared" si="608"/>
        <v>0</v>
      </c>
      <c r="CV119" s="141">
        <f t="shared" si="608"/>
        <v>0</v>
      </c>
      <c r="CW119" s="142">
        <f t="shared" ref="CW119:DZ119" si="609">EA119*$AH119*$AJ119</f>
        <v>0</v>
      </c>
      <c r="CX119" s="142">
        <f t="shared" si="609"/>
        <v>0</v>
      </c>
      <c r="CY119" s="142">
        <f t="shared" si="609"/>
        <v>0</v>
      </c>
      <c r="CZ119" s="142">
        <f t="shared" si="609"/>
        <v>0</v>
      </c>
      <c r="DA119" s="142">
        <f t="shared" si="609"/>
        <v>0</v>
      </c>
      <c r="DB119" s="142">
        <f t="shared" si="609"/>
        <v>0</v>
      </c>
      <c r="DC119" s="142">
        <f t="shared" si="609"/>
        <v>0</v>
      </c>
      <c r="DD119" s="142">
        <f t="shared" si="609"/>
        <v>0</v>
      </c>
      <c r="DE119" s="142">
        <f t="shared" si="609"/>
        <v>0</v>
      </c>
      <c r="DF119" s="142">
        <f t="shared" si="609"/>
        <v>0</v>
      </c>
      <c r="DG119" s="142">
        <f t="shared" si="609"/>
        <v>0</v>
      </c>
      <c r="DH119" s="142">
        <f t="shared" si="609"/>
        <v>0</v>
      </c>
      <c r="DI119" s="142">
        <f t="shared" si="609"/>
        <v>0</v>
      </c>
      <c r="DJ119" s="142">
        <f t="shared" si="609"/>
        <v>0</v>
      </c>
      <c r="DK119" s="142">
        <f t="shared" si="609"/>
        <v>0</v>
      </c>
      <c r="DL119" s="142">
        <f t="shared" si="609"/>
        <v>0</v>
      </c>
      <c r="DM119" s="142">
        <f t="shared" si="609"/>
        <v>0</v>
      </c>
      <c r="DN119" s="142">
        <f t="shared" si="609"/>
        <v>0</v>
      </c>
      <c r="DO119" s="142">
        <f t="shared" si="609"/>
        <v>0</v>
      </c>
      <c r="DP119" s="142">
        <f t="shared" si="609"/>
        <v>0</v>
      </c>
      <c r="DQ119" s="142">
        <f t="shared" si="609"/>
        <v>0</v>
      </c>
      <c r="DR119" s="142">
        <f t="shared" si="609"/>
        <v>0</v>
      </c>
      <c r="DS119" s="142">
        <f t="shared" si="609"/>
        <v>0</v>
      </c>
      <c r="DT119" s="142">
        <f t="shared" si="609"/>
        <v>0</v>
      </c>
      <c r="DU119" s="142">
        <f t="shared" si="609"/>
        <v>0</v>
      </c>
      <c r="DV119" s="142">
        <f t="shared" si="609"/>
        <v>0</v>
      </c>
      <c r="DW119" s="142">
        <f t="shared" si="609"/>
        <v>0</v>
      </c>
      <c r="DX119" s="142">
        <f t="shared" si="609"/>
        <v>0</v>
      </c>
      <c r="DY119" s="142">
        <f t="shared" si="609"/>
        <v>0</v>
      </c>
      <c r="DZ119" s="142">
        <f t="shared" si="609"/>
        <v>0</v>
      </c>
      <c r="EA119" s="143">
        <f t="shared" si="504"/>
        <v>0</v>
      </c>
      <c r="EB119" s="143">
        <f t="shared" si="505"/>
        <v>0</v>
      </c>
      <c r="EC119" s="143">
        <f t="shared" si="506"/>
        <v>0</v>
      </c>
      <c r="ED119" s="143">
        <f t="shared" si="507"/>
        <v>0</v>
      </c>
      <c r="EE119" s="143">
        <f t="shared" si="508"/>
        <v>0</v>
      </c>
      <c r="EF119" s="143">
        <f t="shared" si="509"/>
        <v>0</v>
      </c>
      <c r="EG119" s="143">
        <f t="shared" si="510"/>
        <v>0</v>
      </c>
      <c r="EH119" s="143">
        <f t="shared" si="511"/>
        <v>0</v>
      </c>
      <c r="EI119" s="143">
        <f t="shared" si="512"/>
        <v>0</v>
      </c>
      <c r="EJ119" s="143">
        <f t="shared" si="513"/>
        <v>0</v>
      </c>
      <c r="EK119" s="143">
        <f t="shared" si="514"/>
        <v>0</v>
      </c>
      <c r="EL119" s="143">
        <f t="shared" si="515"/>
        <v>0</v>
      </c>
      <c r="EM119" s="143">
        <f t="shared" si="516"/>
        <v>0</v>
      </c>
      <c r="EN119" s="143">
        <f t="shared" si="517"/>
        <v>0</v>
      </c>
      <c r="EO119" s="143">
        <f t="shared" si="518"/>
        <v>0</v>
      </c>
      <c r="EP119" s="143">
        <f t="shared" si="519"/>
        <v>0</v>
      </c>
      <c r="EQ119" s="143">
        <f t="shared" si="520"/>
        <v>0</v>
      </c>
      <c r="ER119" s="143">
        <f t="shared" si="521"/>
        <v>0</v>
      </c>
      <c r="ES119" s="143">
        <f t="shared" si="522"/>
        <v>0</v>
      </c>
      <c r="ET119" s="143">
        <f t="shared" si="523"/>
        <v>0</v>
      </c>
      <c r="EU119" s="143">
        <f t="shared" si="524"/>
        <v>0</v>
      </c>
      <c r="EV119" s="143">
        <f t="shared" si="525"/>
        <v>0</v>
      </c>
      <c r="EW119" s="143">
        <f t="shared" si="526"/>
        <v>0</v>
      </c>
      <c r="EX119" s="143">
        <f t="shared" si="527"/>
        <v>0</v>
      </c>
      <c r="EY119" s="143">
        <f t="shared" si="528"/>
        <v>0</v>
      </c>
      <c r="EZ119" s="143">
        <f t="shared" si="529"/>
        <v>0</v>
      </c>
      <c r="FA119" s="143">
        <f t="shared" si="530"/>
        <v>0</v>
      </c>
      <c r="FB119" s="143">
        <f t="shared" si="531"/>
        <v>0</v>
      </c>
      <c r="FC119" s="143">
        <f t="shared" si="532"/>
        <v>0</v>
      </c>
      <c r="FD119" s="143">
        <f t="shared" si="533"/>
        <v>0</v>
      </c>
      <c r="FE119" s="140">
        <f>SUM($D119:D119)*IF($B119="Operacional",IFERROR(VLOOKUP($C119,SN_UGC,28,0),0),1)</f>
        <v>0</v>
      </c>
      <c r="FF119" s="140">
        <f>SUM($D119:E119)*IF($B119="Operacional",IFERROR(VLOOKUP($C119,SN_UGC,28,0),0),1)</f>
        <v>0</v>
      </c>
      <c r="FG119" s="140">
        <f>SUM($D119:F119)*IF($B119="Operacional",IFERROR(VLOOKUP($C119,SN_UGC,28,0),0),1)</f>
        <v>0</v>
      </c>
      <c r="FH119" s="140">
        <f>SUM($D119:G119)*IF($B119="Operacional",IFERROR(VLOOKUP($C119,SN_UGC,28,0),0),1)</f>
        <v>0</v>
      </c>
      <c r="FI119" s="140">
        <f>SUM($D119:H119)*IF($B119="Operacional",IFERROR(VLOOKUP($C119,SN_UGC,28,0),0),1)</f>
        <v>0</v>
      </c>
      <c r="FJ119" s="140">
        <f>SUM($D119:I119)*IF($B119="Operacional",IFERROR(VLOOKUP($C119,SN_UGC,28,0),0),1)</f>
        <v>0</v>
      </c>
      <c r="FK119" s="140">
        <f>SUM($D119:J119)*IF($B119="Operacional",IFERROR(VLOOKUP($C119,SN_UGC,28,0),0),1)</f>
        <v>0</v>
      </c>
      <c r="FL119" s="140">
        <f>SUM($D119:K119)*IF($B119="Operacional",IFERROR(VLOOKUP($C119,SN_UGC,28,0),0),1)</f>
        <v>0</v>
      </c>
      <c r="FM119" s="140">
        <f>SUM($D119:L119)*IF($B119="Operacional",IFERROR(VLOOKUP($C119,SN_UGC,28,0),0),1)</f>
        <v>0</v>
      </c>
      <c r="FN119" s="140">
        <f>SUM($D119:M119)*IF($B119="Operacional",IFERROR(VLOOKUP($C119,SN_UGC,28,0),0),1)</f>
        <v>0</v>
      </c>
      <c r="FO119" s="140">
        <f>SUM($D119:N119)*IF($B119="Operacional",IFERROR(VLOOKUP($C119,SN_UGC,28,0),0),1)</f>
        <v>0</v>
      </c>
      <c r="FP119" s="140">
        <f>SUM($D119:O119)*IF($B119="Operacional",IFERROR(VLOOKUP($C119,SN_UGC,28,0),0),1)</f>
        <v>0</v>
      </c>
      <c r="FQ119" s="140">
        <f>SUM($D119:P119)*IF($B119="Operacional",IFERROR(VLOOKUP($C119,SN_UGC,28,0),0),1)</f>
        <v>0</v>
      </c>
      <c r="FR119" s="140">
        <f>SUM($D119:Q119)*IF($B119="Operacional",IFERROR(VLOOKUP($C119,SN_UGC,28,0),0),1)</f>
        <v>0</v>
      </c>
      <c r="FS119" s="140">
        <f>SUM($D119:R119)*IF($B119="Operacional",IFERROR(VLOOKUP($C119,SN_UGC,28,0),0),1)</f>
        <v>0</v>
      </c>
      <c r="FT119" s="140">
        <f>SUM($D119:S119)*IF($B119="Operacional",IFERROR(VLOOKUP($C119,SN_UGC,28,0),0),1)</f>
        <v>0</v>
      </c>
      <c r="FU119" s="140">
        <f>SUM($D119:T119)*IF($B119="Operacional",IFERROR(VLOOKUP($C119,SN_UGC,28,0),0),1)</f>
        <v>0</v>
      </c>
      <c r="FV119" s="140">
        <f>SUM($D119:U119)*IF($B119="Operacional",IFERROR(VLOOKUP($C119,SN_UGC,28,0),0),1)</f>
        <v>0</v>
      </c>
      <c r="FW119" s="140">
        <f>SUM($D119:V119)*IF($B119="Operacional",IFERROR(VLOOKUP($C119,SN_UGC,28,0),0),1)</f>
        <v>0</v>
      </c>
      <c r="FX119" s="140">
        <f>SUM($D119:W119)*IF($B119="Operacional",IFERROR(VLOOKUP($C119,SN_UGC,28,0),0),1)</f>
        <v>0</v>
      </c>
      <c r="FY119" s="140">
        <f>SUM($D119:X119)*IF($B119="Operacional",IFERROR(VLOOKUP($C119,SN_UGC,28,0),0),1)</f>
        <v>0</v>
      </c>
      <c r="FZ119" s="140">
        <f>SUM($D119:Y119)*IF($B119="Operacional",IFERROR(VLOOKUP($C119,SN_UGC,28,0),0),1)</f>
        <v>0</v>
      </c>
      <c r="GA119" s="140">
        <f>SUM($D119:Z119)*IF($B119="Operacional",IFERROR(VLOOKUP($C119,SN_UGC,28,0),0),1)</f>
        <v>0</v>
      </c>
      <c r="GB119" s="140">
        <f>SUM($D119:AA119)*IF($B119="Operacional",IFERROR(VLOOKUP($C119,SN_UGC,28,0),0),1)</f>
        <v>0</v>
      </c>
      <c r="GC119" s="140">
        <f>SUM($D119:AB119)*IF($B119="Operacional",IFERROR(VLOOKUP($C119,SN_UGC,28,0),0),1)</f>
        <v>0</v>
      </c>
      <c r="GD119" s="140">
        <f>SUM($D119:AC119)*IF($B119="Operacional",IFERROR(VLOOKUP($C119,SN_UGC,28,0),0),1)</f>
        <v>0</v>
      </c>
      <c r="GE119" s="140">
        <f>SUM($D119:AD119)*IF($B119="Operacional",IFERROR(VLOOKUP($C119,SN_UGC,28,0),0),1)</f>
        <v>0</v>
      </c>
      <c r="GF119" s="140">
        <f>SUM($D119:AE119)*IF($B119="Operacional",IFERROR(VLOOKUP($C119,SN_UGC,28,0),0),1)</f>
        <v>0</v>
      </c>
      <c r="GG119" s="140">
        <f>SUM($D119:AF119)*IF($B119="Operacional",IFERROR(VLOOKUP($C119,SN_UGC,28,0),0),1)</f>
        <v>0</v>
      </c>
      <c r="GH119" s="140">
        <f>SUM($D119:AG119)*IF($B119="Operacional",IFERROR(VLOOKUP($C119,SN_UGC,28,0),0),1)</f>
        <v>0</v>
      </c>
      <c r="GI119" s="141">
        <f t="shared" ref="GI119:HL119" si="610">FE119*$AH119*$AL119</f>
        <v>0</v>
      </c>
      <c r="GJ119" s="141">
        <f t="shared" si="610"/>
        <v>0</v>
      </c>
      <c r="GK119" s="141">
        <f t="shared" si="610"/>
        <v>0</v>
      </c>
      <c r="GL119" s="141">
        <f t="shared" si="610"/>
        <v>0</v>
      </c>
      <c r="GM119" s="141">
        <f t="shared" si="610"/>
        <v>0</v>
      </c>
      <c r="GN119" s="141">
        <f t="shared" si="610"/>
        <v>0</v>
      </c>
      <c r="GO119" s="141">
        <f t="shared" si="610"/>
        <v>0</v>
      </c>
      <c r="GP119" s="141">
        <f t="shared" si="610"/>
        <v>0</v>
      </c>
      <c r="GQ119" s="141">
        <f t="shared" si="610"/>
        <v>0</v>
      </c>
      <c r="GR119" s="141">
        <f t="shared" si="610"/>
        <v>0</v>
      </c>
      <c r="GS119" s="141">
        <f t="shared" si="610"/>
        <v>0</v>
      </c>
      <c r="GT119" s="141">
        <f t="shared" si="610"/>
        <v>0</v>
      </c>
      <c r="GU119" s="141">
        <f t="shared" si="610"/>
        <v>0</v>
      </c>
      <c r="GV119" s="141">
        <f t="shared" si="610"/>
        <v>0</v>
      </c>
      <c r="GW119" s="141">
        <f t="shared" si="610"/>
        <v>0</v>
      </c>
      <c r="GX119" s="141">
        <f t="shared" si="610"/>
        <v>0</v>
      </c>
      <c r="GY119" s="141">
        <f t="shared" si="610"/>
        <v>0</v>
      </c>
      <c r="GZ119" s="141">
        <f t="shared" si="610"/>
        <v>0</v>
      </c>
      <c r="HA119" s="141">
        <f t="shared" si="610"/>
        <v>0</v>
      </c>
      <c r="HB119" s="141">
        <f t="shared" si="610"/>
        <v>0</v>
      </c>
      <c r="HC119" s="141">
        <f t="shared" si="610"/>
        <v>0</v>
      </c>
      <c r="HD119" s="141">
        <f t="shared" si="610"/>
        <v>0</v>
      </c>
      <c r="HE119" s="141">
        <f t="shared" si="610"/>
        <v>0</v>
      </c>
      <c r="HF119" s="141">
        <f t="shared" si="610"/>
        <v>0</v>
      </c>
      <c r="HG119" s="141">
        <f t="shared" si="610"/>
        <v>0</v>
      </c>
      <c r="HH119" s="141">
        <f t="shared" si="610"/>
        <v>0</v>
      </c>
      <c r="HI119" s="141">
        <f t="shared" si="610"/>
        <v>0</v>
      </c>
      <c r="HJ119" s="141">
        <f t="shared" si="610"/>
        <v>0</v>
      </c>
      <c r="HK119" s="141">
        <f t="shared" si="610"/>
        <v>0</v>
      </c>
      <c r="HL119" s="141">
        <f t="shared" si="610"/>
        <v>0</v>
      </c>
      <c r="HM119" s="142">
        <f t="shared" ref="HM119:IP119" si="611">IF(ISBLANK($A119),,FE119*($AH119-($AH119*$AJ119))/$AI119)</f>
        <v>0</v>
      </c>
      <c r="HN119" s="142">
        <f t="shared" si="611"/>
        <v>0</v>
      </c>
      <c r="HO119" s="142">
        <f t="shared" si="611"/>
        <v>0</v>
      </c>
      <c r="HP119" s="142">
        <f t="shared" si="611"/>
        <v>0</v>
      </c>
      <c r="HQ119" s="142">
        <f t="shared" si="611"/>
        <v>0</v>
      </c>
      <c r="HR119" s="142">
        <f t="shared" si="611"/>
        <v>0</v>
      </c>
      <c r="HS119" s="142">
        <f t="shared" si="611"/>
        <v>0</v>
      </c>
      <c r="HT119" s="142">
        <f t="shared" si="611"/>
        <v>0</v>
      </c>
      <c r="HU119" s="142">
        <f t="shared" si="611"/>
        <v>0</v>
      </c>
      <c r="HV119" s="142">
        <f t="shared" si="611"/>
        <v>0</v>
      </c>
      <c r="HW119" s="142">
        <f t="shared" si="611"/>
        <v>0</v>
      </c>
      <c r="HX119" s="142">
        <f t="shared" si="611"/>
        <v>0</v>
      </c>
      <c r="HY119" s="142">
        <f t="shared" si="611"/>
        <v>0</v>
      </c>
      <c r="HZ119" s="142">
        <f t="shared" si="611"/>
        <v>0</v>
      </c>
      <c r="IA119" s="142">
        <f t="shared" si="611"/>
        <v>0</v>
      </c>
      <c r="IB119" s="142">
        <f t="shared" si="611"/>
        <v>0</v>
      </c>
      <c r="IC119" s="142">
        <f t="shared" si="611"/>
        <v>0</v>
      </c>
      <c r="ID119" s="142">
        <f t="shared" si="611"/>
        <v>0</v>
      </c>
      <c r="IE119" s="142">
        <f t="shared" si="611"/>
        <v>0</v>
      </c>
      <c r="IF119" s="142">
        <f t="shared" si="611"/>
        <v>0</v>
      </c>
      <c r="IG119" s="142">
        <f t="shared" si="611"/>
        <v>0</v>
      </c>
      <c r="IH119" s="142">
        <f t="shared" si="611"/>
        <v>0</v>
      </c>
      <c r="II119" s="142">
        <f t="shared" si="611"/>
        <v>0</v>
      </c>
      <c r="IJ119" s="142">
        <f t="shared" si="611"/>
        <v>0</v>
      </c>
      <c r="IK119" s="142">
        <f t="shared" si="611"/>
        <v>0</v>
      </c>
      <c r="IL119" s="142">
        <f t="shared" si="611"/>
        <v>0</v>
      </c>
      <c r="IM119" s="142">
        <f t="shared" si="611"/>
        <v>0</v>
      </c>
      <c r="IN119" s="142">
        <f t="shared" si="611"/>
        <v>0</v>
      </c>
      <c r="IO119" s="142">
        <f t="shared" si="611"/>
        <v>0</v>
      </c>
      <c r="IP119" s="142">
        <f t="shared" si="611"/>
        <v>0</v>
      </c>
      <c r="IQ119" s="141">
        <f>IF(ISBLANK($A119),,IF($AN119="Não",0,(SUM($AO119:AO119)*$AH119)-SUM($HM119:HM119)-SUM($CW119:CW119)))</f>
        <v>0</v>
      </c>
      <c r="IR119" s="141">
        <f>IF(ISBLANK($A119),,IF($AN119="Não",0,(SUM($AO119:AP119)*$AH119)-SUM($HM119:HN119)-SUM($CW119:CX119)))</f>
        <v>0</v>
      </c>
      <c r="IS119" s="141">
        <f>IF(ISBLANK($A119),,IF($AN119="Não",0,(SUM($AO119:AQ119)*$AH119)-SUM($HM119:HO119)-SUM($CW119:CY119)))</f>
        <v>0</v>
      </c>
      <c r="IT119" s="141">
        <f>IF(ISBLANK($A119),,IF($AN119="Não",0,(SUM($AO119:AR119)*$AH119)-SUM($HM119:HP119)-SUM($CW119:CZ119)))</f>
        <v>0</v>
      </c>
      <c r="IU119" s="141">
        <f>IF(ISBLANK($A119),,IF($AN119="Não",0,(SUM($AO119:AS119)*$AH119)-SUM($HM119:HQ119)-SUM($CW119:DA119)))</f>
        <v>0</v>
      </c>
      <c r="IV119" s="141">
        <f>IF(ISBLANK($A119),,IF($AN119="Não",0,(SUM($AO119:AT119)*$AH119)-SUM($HM119:HR119)-SUM($CW119:DB119)))</f>
        <v>0</v>
      </c>
      <c r="IW119" s="141">
        <f>IF(ISBLANK($A119),,IF($AN119="Não",0,(SUM($AO119:AU119)*$AH119)-SUM($HM119:HS119)-SUM($CW119:DC119)))</f>
        <v>0</v>
      </c>
      <c r="IX119" s="141">
        <f>IF(ISBLANK($A119),,IF($AN119="Não",0,(SUM($AO119:AV119)*$AH119)-SUM($HM119:HT119)-SUM($CW119:DD119)))</f>
        <v>0</v>
      </c>
      <c r="IY119" s="141">
        <f>IF(ISBLANK($A119),,IF($AN119="Não",0,(SUM($AO119:AW119)*$AH119)-SUM($HM119:HU119)-SUM($CW119:DE119)))</f>
        <v>0</v>
      </c>
      <c r="IZ119" s="141">
        <f>IF(ISBLANK($A119),,IF($AN119="Não",0,(SUM($AO119:AX119)*$AH119)-SUM($HM119:HV119)-SUM($CW119:DF119)))</f>
        <v>0</v>
      </c>
      <c r="JA119" s="141">
        <f>IF(ISBLANK($A119),,IF($AN119="Não",0,(SUM($AO119:AY119)*$AH119)-SUM($HM119:HW119)-SUM($CW119:DG119)))</f>
        <v>0</v>
      </c>
      <c r="JB119" s="141">
        <f>IF(ISBLANK($A119),,IF($AN119="Não",0,(SUM($AO119:AZ119)*$AH119)-SUM($HM119:HX119)-SUM($CW119:DH119)))</f>
        <v>0</v>
      </c>
      <c r="JC119" s="141">
        <f>IF(ISBLANK($A119),,IF($AN119="Não",0,(SUM($AO119:BA119)*$AH119)-SUM($HM119:HY119)-SUM($CW119:DI119)))</f>
        <v>0</v>
      </c>
      <c r="JD119" s="141">
        <f>IF(ISBLANK($A119),,IF($AN119="Não",0,(SUM($AO119:BB119)*$AH119)-SUM($HM119:HZ119)-SUM($CW119:DJ119)))</f>
        <v>0</v>
      </c>
      <c r="JE119" s="141">
        <f>IF(ISBLANK($A119),,IF($AN119="Não",0,(SUM($AO119:BC119)*$AH119)-SUM($HM119:IA119)-SUM($CW119:DK119)))</f>
        <v>0</v>
      </c>
      <c r="JF119" s="141">
        <f>IF(ISBLANK($A119),,IF($AN119="Não",0,(SUM($AO119:BD119)*$AH119)-SUM($HM119:IB119)-SUM($CW119:DL119)))</f>
        <v>0</v>
      </c>
      <c r="JG119" s="141">
        <f>IF(ISBLANK($A119),,IF($AN119="Não",0,(SUM($AO119:BE119)*$AH119)-SUM($HM119:IC119)-SUM($CW119:DM119)))</f>
        <v>0</v>
      </c>
      <c r="JH119" s="141">
        <f>IF(ISBLANK($A119),,IF($AN119="Não",0,(SUM($AO119:BF119)*$AH119)-SUM($HM119:ID119)-SUM($CW119:DN119)))</f>
        <v>0</v>
      </c>
      <c r="JI119" s="141">
        <f>IF(ISBLANK($A119),,IF($AN119="Não",0,(SUM($AO119:BG119)*$AH119)-SUM($HM119:IE119)-SUM($CW119:DO119)))</f>
        <v>0</v>
      </c>
      <c r="JJ119" s="141">
        <f>IF(ISBLANK($A119),,IF($AN119="Não",0,(SUM($AO119:BH119)*$AH119)-SUM($HM119:IF119)-SUM($CW119:DP119)))</f>
        <v>0</v>
      </c>
      <c r="JK119" s="141">
        <f>IF(ISBLANK($A119),,IF($AN119="Não",0,(SUM($AO119:BI119)*$AH119)-SUM($HM119:IG119)-SUM($CW119:DQ119)))</f>
        <v>0</v>
      </c>
      <c r="JL119" s="141">
        <f>IF(ISBLANK($A119),,IF($AN119="Não",0,(SUM($AO119:BJ119)*$AH119)-SUM($HM119:IH119)-SUM($CW119:DR119)))</f>
        <v>0</v>
      </c>
      <c r="JM119" s="141">
        <f>IF(ISBLANK($A119),,IF($AN119="Não",0,(SUM($AO119:BK119)*$AH119)-SUM($HM119:II119)-SUM($CW119:DS119)))</f>
        <v>0</v>
      </c>
      <c r="JN119" s="141">
        <f>IF(ISBLANK($A119),,IF($AN119="Não",0,(SUM($AO119:BL119)*$AH119)-SUM($HM119:IJ119)-SUM($CW119:DT119)))</f>
        <v>0</v>
      </c>
      <c r="JO119" s="141">
        <f>IF(ISBLANK($A119),,IF($AN119="Não",0,(SUM($AO119:BM119)*$AH119)-SUM($HM119:IK119)-SUM($CW119:DU119)))</f>
        <v>0</v>
      </c>
      <c r="JP119" s="141">
        <f>IF(ISBLANK($A119),,IF($AN119="Não",0,(SUM($AO119:BN119)*$AH119)-SUM($HM119:IL119)-SUM($CW119:DV119)))</f>
        <v>0</v>
      </c>
      <c r="JQ119" s="141">
        <f>IF(ISBLANK($A119),,IF($AN119="Não",0,(SUM($AO119:BO119)*$AH119)-SUM($HM119:IM119)-SUM($CW119:DW119)))</f>
        <v>0</v>
      </c>
      <c r="JR119" s="141">
        <f>IF(ISBLANK($A119),,IF($AN119="Não",0,(SUM($AO119:BP119)*$AH119)-SUM($HM119:IN119)-SUM($CW119:DX119)))</f>
        <v>0</v>
      </c>
      <c r="JS119" s="141">
        <f>IF(ISBLANK($A119),,IF($AN119="Não",0,(SUM($AO119:BQ119)*$AH119)-SUM($HM119:IO119)-SUM($CW119:DY119)))</f>
        <v>0</v>
      </c>
      <c r="JT119" s="141">
        <f>IF(ISBLANK($A119),,IF($AN119="Não",0,(SUM($AO119:BR119)*$AH119)-SUM($HM119:IP119)-SUM($CW119:DZ119)))</f>
        <v>0</v>
      </c>
    </row>
    <row r="120" spans="1:280" ht="15.75" customHeight="1">
      <c r="A120" s="129"/>
      <c r="B120" s="129"/>
      <c r="C120" s="138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607">
        <f t="shared" si="544"/>
        <v>0</v>
      </c>
      <c r="AI120" s="608">
        <f t="shared" si="545"/>
        <v>0</v>
      </c>
      <c r="AJ120" s="609">
        <f t="shared" si="546"/>
        <v>0</v>
      </c>
      <c r="AK120" s="610" t="str">
        <f t="shared" si="547"/>
        <v/>
      </c>
      <c r="AL120" s="609">
        <f t="shared" si="548"/>
        <v>0</v>
      </c>
      <c r="AM120" s="611" t="str">
        <f t="shared" si="549"/>
        <v/>
      </c>
      <c r="AN120" s="611" t="str">
        <f t="shared" si="550"/>
        <v/>
      </c>
      <c r="AO120" s="140">
        <f t="array" ref="AO120">IF(ISBLANK($A120),0,IF(OR(AO$5-$AI120&lt;=0,$AM120="Não"),D120,D120+INDEX($AO$6:$BR$176,ROW()-5,COLUMN()-40-$AI120)))*IF($B120="Operacional",IFERROR(VLOOKUP($C120,SN_UGC,28,0),0),1)</f>
        <v>0</v>
      </c>
      <c r="AP120" s="140">
        <f t="array" ref="AP120">IF(ISBLANK($A120),0,IF(OR(AP$5-$AI120&lt;=0,$AM120="Não"),E120,E120+INDEX($AO$6:$BR$176,ROW()-5,COLUMN()-40-$AI120)))*IF($B120="Operacional",IFERROR(VLOOKUP($C120,SN_UGC,28,0),0),1)</f>
        <v>0</v>
      </c>
      <c r="AQ120" s="140">
        <f t="array" ref="AQ120">IF(ISBLANK($A120),0,IF(OR(AQ$5-$AI120&lt;=0,$AM120="Não"),F120,F120+INDEX($AO$6:$BR$176,ROW()-5,COLUMN()-40-$AI120)))*IF($B120="Operacional",IFERROR(VLOOKUP($C120,SN_UGC,28,0),0),1)</f>
        <v>0</v>
      </c>
      <c r="AR120" s="140">
        <f t="array" ref="AR120">IF(ISBLANK($A120),0,IF(OR(AR$5-$AI120&lt;=0,$AM120="Não"),G120,G120+INDEX($AO$6:$BR$176,ROW()-5,COLUMN()-40-$AI120)))*IF($B120="Operacional",IFERROR(VLOOKUP($C120,SN_UGC,28,0),0),1)</f>
        <v>0</v>
      </c>
      <c r="AS120" s="140">
        <f t="array" ref="AS120">IF(ISBLANK($A120),0,IF(OR(AS$5-$AI120&lt;=0,$AM120="Não"),H120,H120+INDEX($AO$6:$BR$176,ROW()-5,COLUMN()-40-$AI120)))*IF($B120="Operacional",IFERROR(VLOOKUP($C120,SN_UGC,28,0),0),1)</f>
        <v>0</v>
      </c>
      <c r="AT120" s="140">
        <f t="array" ref="AT120">IF(ISBLANK($A120),0,IF(OR(AT$5-$AI120&lt;=0,$AM120="Não"),I120,I120+INDEX($AO$6:$BR$176,ROW()-5,COLUMN()-40-$AI120)))*IF($B120="Operacional",IFERROR(VLOOKUP($C120,SN_UGC,28,0),0),1)</f>
        <v>0</v>
      </c>
      <c r="AU120" s="140">
        <f t="array" ref="AU120">IF(ISBLANK($A120),0,IF(OR(AU$5-$AI120&lt;=0,$AM120="Não"),J120,J120+INDEX($AO$6:$BR$176,ROW()-5,COLUMN()-40-$AI120)))*IF($B120="Operacional",IFERROR(VLOOKUP($C120,SN_UGC,28,0),0),1)</f>
        <v>0</v>
      </c>
      <c r="AV120" s="140">
        <f t="array" ref="AV120">IF(ISBLANK($A120),0,IF(OR(AV$5-$AI120&lt;=0,$AM120="Não"),K120,K120+INDEX($AO$6:$BR$176,ROW()-5,COLUMN()-40-$AI120)))*IF($B120="Operacional",IFERROR(VLOOKUP($C120,SN_UGC,28,0),0),1)</f>
        <v>0</v>
      </c>
      <c r="AW120" s="140">
        <f t="array" ref="AW120">IF(ISBLANK($A120),0,IF(OR(AW$5-$AI120&lt;=0,$AM120="Não"),L120,L120+INDEX($AO$6:$BR$176,ROW()-5,COLUMN()-40-$AI120)))*IF($B120="Operacional",IFERROR(VLOOKUP($C120,SN_UGC,28,0),0),1)</f>
        <v>0</v>
      </c>
      <c r="AX120" s="140">
        <f t="array" ref="AX120">IF(ISBLANK($A120),0,IF(OR(AX$5-$AI120&lt;=0,$AM120="Não"),M120,M120+INDEX($AO$6:$BR$176,ROW()-5,COLUMN()-40-$AI120)))*IF($B120="Operacional",IFERROR(VLOOKUP($C120,SN_UGC,28,0),0),1)</f>
        <v>0</v>
      </c>
      <c r="AY120" s="140">
        <f t="array" ref="AY120">IF(ISBLANK($A120),0,IF(OR(AY$5-$AI120&lt;=0,$AM120="Não"),N120,N120+INDEX($AO$6:$BR$176,ROW()-5,COLUMN()-40-$AI120)))*IF($B120="Operacional",IFERROR(VLOOKUP($C120,SN_UGC,28,0),0),1)</f>
        <v>0</v>
      </c>
      <c r="AZ120" s="140">
        <f t="array" ref="AZ120">IF(ISBLANK($A120),0,IF(OR(AZ$5-$AI120&lt;=0,$AM120="Não"),O120,O120+INDEX($AO$6:$BR$176,ROW()-5,COLUMN()-40-$AI120)))*IF($B120="Operacional",IFERROR(VLOOKUP($C120,SN_UGC,28,0),0),1)</f>
        <v>0</v>
      </c>
      <c r="BA120" s="140">
        <f t="array" ref="BA120">IF(ISBLANK($A120),0,IF(OR(BA$5-$AI120&lt;=0,$AM120="Não"),P120,P120+INDEX($AO$6:$BR$176,ROW()-5,COLUMN()-40-$AI120)))*IF($B120="Operacional",IFERROR(VLOOKUP($C120,SN_UGC,28,0),0),1)</f>
        <v>0</v>
      </c>
      <c r="BB120" s="140">
        <f t="array" ref="BB120">IF(ISBLANK($A120),0,IF(OR(BB$5-$AI120&lt;=0,$AM120="Não"),Q120,Q120+INDEX($AO$6:$BR$176,ROW()-5,COLUMN()-40-$AI120)))*IF($B120="Operacional",IFERROR(VLOOKUP($C120,SN_UGC,28,0),0),1)</f>
        <v>0</v>
      </c>
      <c r="BC120" s="140">
        <f t="array" ref="BC120">IF(ISBLANK($A120),0,IF(OR(BC$5-$AI120&lt;=0,$AM120="Não"),R120,R120+INDEX($AO$6:$BR$176,ROW()-5,COLUMN()-40-$AI120)))*IF($B120="Operacional",IFERROR(VLOOKUP($C120,SN_UGC,28,0),0),1)</f>
        <v>0</v>
      </c>
      <c r="BD120" s="140">
        <f t="array" ref="BD120">IF(ISBLANK($A120),0,IF(OR(BD$5-$AI120&lt;=0,$AM120="Não"),S120,S120+INDEX($AO$6:$BR$176,ROW()-5,COLUMN()-40-$AI120)))*IF($B120="Operacional",IFERROR(VLOOKUP($C120,SN_UGC,28,0),0),1)</f>
        <v>0</v>
      </c>
      <c r="BE120" s="140">
        <f t="array" ref="BE120">IF(ISBLANK($A120),0,IF(OR(BE$5-$AI120&lt;=0,$AM120="Não"),T120,T120+INDEX($AO$6:$BR$176,ROW()-5,COLUMN()-40-$AI120)))*IF($B120="Operacional",IFERROR(VLOOKUP($C120,SN_UGC,28,0),0),1)</f>
        <v>0</v>
      </c>
      <c r="BF120" s="140">
        <f t="array" ref="BF120">IF(ISBLANK($A120),0,IF(OR(BF$5-$AI120&lt;=0,$AM120="Não"),U120,U120+INDEX($AO$6:$BR$176,ROW()-5,COLUMN()-40-$AI120)))*IF($B120="Operacional",IFERROR(VLOOKUP($C120,SN_UGC,28,0),0),1)</f>
        <v>0</v>
      </c>
      <c r="BG120" s="140">
        <f t="array" ref="BG120">IF(ISBLANK($A120),0,IF(OR(BG$5-$AI120&lt;=0,$AM120="Não"),V120,V120+INDEX($AO$6:$BR$176,ROW()-5,COLUMN()-40-$AI120)))*IF($B120="Operacional",IFERROR(VLOOKUP($C120,SN_UGC,28,0),0),1)</f>
        <v>0</v>
      </c>
      <c r="BH120" s="140">
        <f t="array" ref="BH120">IF(ISBLANK($A120),0,IF(OR(BH$5-$AI120&lt;=0,$AM120="Não"),W120,W120+INDEX($AO$6:$BR$176,ROW()-5,COLUMN()-40-$AI120)))*IF($B120="Operacional",IFERROR(VLOOKUP($C120,SN_UGC,28,0),0),1)</f>
        <v>0</v>
      </c>
      <c r="BI120" s="140">
        <f t="array" ref="BI120">IF(ISBLANK($A120),0,IF(OR(BI$5-$AI120&lt;=0,$AM120="Não"),X120,X120+INDEX($AO$6:$BR$176,ROW()-5,COLUMN()-40-$AI120)))*IF($B120="Operacional",IFERROR(VLOOKUP($C120,SN_UGC,28,0),0),1)</f>
        <v>0</v>
      </c>
      <c r="BJ120" s="140">
        <f t="array" ref="BJ120">IF(ISBLANK($A120),0,IF(OR(BJ$5-$AI120&lt;=0,$AM120="Não"),Y120,Y120+INDEX($AO$6:$BR$176,ROW()-5,COLUMN()-40-$AI120)))*IF($B120="Operacional",IFERROR(VLOOKUP($C120,SN_UGC,28,0),0),1)</f>
        <v>0</v>
      </c>
      <c r="BK120" s="140">
        <f t="array" ref="BK120">IF(ISBLANK($A120),0,IF(OR(BK$5-$AI120&lt;=0,$AM120="Não"),Z120,Z120+INDEX($AO$6:$BR$176,ROW()-5,COLUMN()-40-$AI120)))*IF($B120="Operacional",IFERROR(VLOOKUP($C120,SN_UGC,28,0),0),1)</f>
        <v>0</v>
      </c>
      <c r="BL120" s="140">
        <f t="array" ref="BL120">IF(ISBLANK($A120),0,IF(OR(BL$5-$AI120&lt;=0,$AM120="Não"),AA120,AA120+INDEX($AO$6:$BR$176,ROW()-5,COLUMN()-40-$AI120)))*IF($B120="Operacional",IFERROR(VLOOKUP($C120,SN_UGC,28,0),0),1)</f>
        <v>0</v>
      </c>
      <c r="BM120" s="140">
        <f t="array" ref="BM120">IF(ISBLANK($A120),0,IF(OR(BM$5-$AI120&lt;=0,$AM120="Não"),AB120,AB120+INDEX($AO$6:$BR$176,ROW()-5,COLUMN()-40-$AI120)))*IF($B120="Operacional",IFERROR(VLOOKUP($C120,SN_UGC,28,0),0),1)</f>
        <v>0</v>
      </c>
      <c r="BN120" s="140">
        <f t="array" ref="BN120">IF(ISBLANK($A120),0,IF(OR(BN$5-$AI120&lt;=0,$AM120="Não"),AC120,AC120+INDEX($AO$6:$BR$176,ROW()-5,COLUMN()-40-$AI120)))*IF($B120="Operacional",IFERROR(VLOOKUP($C120,SN_UGC,28,0),0),1)</f>
        <v>0</v>
      </c>
      <c r="BO120" s="140">
        <f t="array" ref="BO120">IF(ISBLANK($A120),0,IF(OR(BO$5-$AI120&lt;=0,$AM120="Não"),AD120,AD120+INDEX($AO$6:$BR$176,ROW()-5,COLUMN()-40-$AI120)))*IF($B120="Operacional",IFERROR(VLOOKUP($C120,SN_UGC,28,0),0),1)</f>
        <v>0</v>
      </c>
      <c r="BP120" s="140">
        <f t="array" ref="BP120">IF(ISBLANK($A120),0,IF(OR(BP$5-$AI120&lt;=0,$AM120="Não"),AE120,AE120+INDEX($AO$6:$BR$176,ROW()-5,COLUMN()-40-$AI120)))*IF($B120="Operacional",IFERROR(VLOOKUP($C120,SN_UGC,28,0),0),1)</f>
        <v>0</v>
      </c>
      <c r="BQ120" s="140">
        <f t="array" ref="BQ120">IF(ISBLANK($A120),0,IF(OR(BQ$5-$AI120&lt;=0,$AM120="Não"),AF120,AF120+INDEX($AO$6:$BR$176,ROW()-5,COLUMN()-40-$AI120)))*IF($B120="Operacional",IFERROR(VLOOKUP($C120,SN_UGC,28,0),0),1)</f>
        <v>0</v>
      </c>
      <c r="BR120" s="140">
        <f t="array" ref="BR120">IF(ISBLANK($A120),0,IF(OR(BR$5-$AI120&lt;=0,$AM120="Não"),AG120,AG120+INDEX($AO$6:$BR$176,ROW()-5,COLUMN()-40-$AI120)))*IF($B120="Operacional",IFERROR(VLOOKUP($C120,SN_UGC,28,0),0),1)</f>
        <v>0</v>
      </c>
      <c r="BS120" s="141">
        <f t="shared" ref="BS120:CV120" si="612">IF(ISBLANK($A120),0,$AH120*AO120)</f>
        <v>0</v>
      </c>
      <c r="BT120" s="141">
        <f t="shared" si="612"/>
        <v>0</v>
      </c>
      <c r="BU120" s="141">
        <f t="shared" si="612"/>
        <v>0</v>
      </c>
      <c r="BV120" s="141">
        <f t="shared" si="612"/>
        <v>0</v>
      </c>
      <c r="BW120" s="141">
        <f t="shared" si="612"/>
        <v>0</v>
      </c>
      <c r="BX120" s="141">
        <f t="shared" si="612"/>
        <v>0</v>
      </c>
      <c r="BY120" s="141">
        <f t="shared" si="612"/>
        <v>0</v>
      </c>
      <c r="BZ120" s="141">
        <f t="shared" si="612"/>
        <v>0</v>
      </c>
      <c r="CA120" s="141">
        <f t="shared" si="612"/>
        <v>0</v>
      </c>
      <c r="CB120" s="141">
        <f t="shared" si="612"/>
        <v>0</v>
      </c>
      <c r="CC120" s="141">
        <f t="shared" si="612"/>
        <v>0</v>
      </c>
      <c r="CD120" s="141">
        <f t="shared" si="612"/>
        <v>0</v>
      </c>
      <c r="CE120" s="141">
        <f t="shared" si="612"/>
        <v>0</v>
      </c>
      <c r="CF120" s="141">
        <f t="shared" si="612"/>
        <v>0</v>
      </c>
      <c r="CG120" s="141">
        <f t="shared" si="612"/>
        <v>0</v>
      </c>
      <c r="CH120" s="141">
        <f t="shared" si="612"/>
        <v>0</v>
      </c>
      <c r="CI120" s="141">
        <f t="shared" si="612"/>
        <v>0</v>
      </c>
      <c r="CJ120" s="141">
        <f t="shared" si="612"/>
        <v>0</v>
      </c>
      <c r="CK120" s="141">
        <f t="shared" si="612"/>
        <v>0</v>
      </c>
      <c r="CL120" s="141">
        <f t="shared" si="612"/>
        <v>0</v>
      </c>
      <c r="CM120" s="141">
        <f t="shared" si="612"/>
        <v>0</v>
      </c>
      <c r="CN120" s="141">
        <f t="shared" si="612"/>
        <v>0</v>
      </c>
      <c r="CO120" s="141">
        <f t="shared" si="612"/>
        <v>0</v>
      </c>
      <c r="CP120" s="141">
        <f t="shared" si="612"/>
        <v>0</v>
      </c>
      <c r="CQ120" s="141">
        <f t="shared" si="612"/>
        <v>0</v>
      </c>
      <c r="CR120" s="141">
        <f t="shared" si="612"/>
        <v>0</v>
      </c>
      <c r="CS120" s="141">
        <f t="shared" si="612"/>
        <v>0</v>
      </c>
      <c r="CT120" s="141">
        <f t="shared" si="612"/>
        <v>0</v>
      </c>
      <c r="CU120" s="141">
        <f t="shared" si="612"/>
        <v>0</v>
      </c>
      <c r="CV120" s="141">
        <f t="shared" si="612"/>
        <v>0</v>
      </c>
      <c r="CW120" s="142">
        <f t="shared" ref="CW120:DZ120" si="613">EA120*$AH120*$AJ120</f>
        <v>0</v>
      </c>
      <c r="CX120" s="142">
        <f t="shared" si="613"/>
        <v>0</v>
      </c>
      <c r="CY120" s="142">
        <f t="shared" si="613"/>
        <v>0</v>
      </c>
      <c r="CZ120" s="142">
        <f t="shared" si="613"/>
        <v>0</v>
      </c>
      <c r="DA120" s="142">
        <f t="shared" si="613"/>
        <v>0</v>
      </c>
      <c r="DB120" s="142">
        <f t="shared" si="613"/>
        <v>0</v>
      </c>
      <c r="DC120" s="142">
        <f t="shared" si="613"/>
        <v>0</v>
      </c>
      <c r="DD120" s="142">
        <f t="shared" si="613"/>
        <v>0</v>
      </c>
      <c r="DE120" s="142">
        <f t="shared" si="613"/>
        <v>0</v>
      </c>
      <c r="DF120" s="142">
        <f t="shared" si="613"/>
        <v>0</v>
      </c>
      <c r="DG120" s="142">
        <f t="shared" si="613"/>
        <v>0</v>
      </c>
      <c r="DH120" s="142">
        <f t="shared" si="613"/>
        <v>0</v>
      </c>
      <c r="DI120" s="142">
        <f t="shared" si="613"/>
        <v>0</v>
      </c>
      <c r="DJ120" s="142">
        <f t="shared" si="613"/>
        <v>0</v>
      </c>
      <c r="DK120" s="142">
        <f t="shared" si="613"/>
        <v>0</v>
      </c>
      <c r="DL120" s="142">
        <f t="shared" si="613"/>
        <v>0</v>
      </c>
      <c r="DM120" s="142">
        <f t="shared" si="613"/>
        <v>0</v>
      </c>
      <c r="DN120" s="142">
        <f t="shared" si="613"/>
        <v>0</v>
      </c>
      <c r="DO120" s="142">
        <f t="shared" si="613"/>
        <v>0</v>
      </c>
      <c r="DP120" s="142">
        <f t="shared" si="613"/>
        <v>0</v>
      </c>
      <c r="DQ120" s="142">
        <f t="shared" si="613"/>
        <v>0</v>
      </c>
      <c r="DR120" s="142">
        <f t="shared" si="613"/>
        <v>0</v>
      </c>
      <c r="DS120" s="142">
        <f t="shared" si="613"/>
        <v>0</v>
      </c>
      <c r="DT120" s="142">
        <f t="shared" si="613"/>
        <v>0</v>
      </c>
      <c r="DU120" s="142">
        <f t="shared" si="613"/>
        <v>0</v>
      </c>
      <c r="DV120" s="142">
        <f t="shared" si="613"/>
        <v>0</v>
      </c>
      <c r="DW120" s="142">
        <f t="shared" si="613"/>
        <v>0</v>
      </c>
      <c r="DX120" s="142">
        <f t="shared" si="613"/>
        <v>0</v>
      </c>
      <c r="DY120" s="142">
        <f t="shared" si="613"/>
        <v>0</v>
      </c>
      <c r="DZ120" s="142">
        <f t="shared" si="613"/>
        <v>0</v>
      </c>
      <c r="EA120" s="143">
        <f t="shared" si="504"/>
        <v>0</v>
      </c>
      <c r="EB120" s="143">
        <f t="shared" si="505"/>
        <v>0</v>
      </c>
      <c r="EC120" s="143">
        <f t="shared" si="506"/>
        <v>0</v>
      </c>
      <c r="ED120" s="143">
        <f t="shared" si="507"/>
        <v>0</v>
      </c>
      <c r="EE120" s="143">
        <f t="shared" si="508"/>
        <v>0</v>
      </c>
      <c r="EF120" s="143">
        <f t="shared" si="509"/>
        <v>0</v>
      </c>
      <c r="EG120" s="143">
        <f t="shared" si="510"/>
        <v>0</v>
      </c>
      <c r="EH120" s="143">
        <f t="shared" si="511"/>
        <v>0</v>
      </c>
      <c r="EI120" s="143">
        <f t="shared" si="512"/>
        <v>0</v>
      </c>
      <c r="EJ120" s="143">
        <f t="shared" si="513"/>
        <v>0</v>
      </c>
      <c r="EK120" s="143">
        <f t="shared" si="514"/>
        <v>0</v>
      </c>
      <c r="EL120" s="143">
        <f t="shared" si="515"/>
        <v>0</v>
      </c>
      <c r="EM120" s="143">
        <f t="shared" si="516"/>
        <v>0</v>
      </c>
      <c r="EN120" s="143">
        <f t="shared" si="517"/>
        <v>0</v>
      </c>
      <c r="EO120" s="143">
        <f t="shared" si="518"/>
        <v>0</v>
      </c>
      <c r="EP120" s="143">
        <f t="shared" si="519"/>
        <v>0</v>
      </c>
      <c r="EQ120" s="143">
        <f t="shared" si="520"/>
        <v>0</v>
      </c>
      <c r="ER120" s="143">
        <f t="shared" si="521"/>
        <v>0</v>
      </c>
      <c r="ES120" s="143">
        <f t="shared" si="522"/>
        <v>0</v>
      </c>
      <c r="ET120" s="143">
        <f t="shared" si="523"/>
        <v>0</v>
      </c>
      <c r="EU120" s="143">
        <f t="shared" si="524"/>
        <v>0</v>
      </c>
      <c r="EV120" s="143">
        <f t="shared" si="525"/>
        <v>0</v>
      </c>
      <c r="EW120" s="143">
        <f t="shared" si="526"/>
        <v>0</v>
      </c>
      <c r="EX120" s="143">
        <f t="shared" si="527"/>
        <v>0</v>
      </c>
      <c r="EY120" s="143">
        <f t="shared" si="528"/>
        <v>0</v>
      </c>
      <c r="EZ120" s="143">
        <f t="shared" si="529"/>
        <v>0</v>
      </c>
      <c r="FA120" s="143">
        <f t="shared" si="530"/>
        <v>0</v>
      </c>
      <c r="FB120" s="143">
        <f t="shared" si="531"/>
        <v>0</v>
      </c>
      <c r="FC120" s="143">
        <f t="shared" si="532"/>
        <v>0</v>
      </c>
      <c r="FD120" s="143">
        <f t="shared" si="533"/>
        <v>0</v>
      </c>
      <c r="FE120" s="140">
        <f>SUM($D120:D120)*IF($B120="Operacional",IFERROR(VLOOKUP($C120,SN_UGC,28,0),0),1)</f>
        <v>0</v>
      </c>
      <c r="FF120" s="140">
        <f>SUM($D120:E120)*IF($B120="Operacional",IFERROR(VLOOKUP($C120,SN_UGC,28,0),0),1)</f>
        <v>0</v>
      </c>
      <c r="FG120" s="140">
        <f>SUM($D120:F120)*IF($B120="Operacional",IFERROR(VLOOKUP($C120,SN_UGC,28,0),0),1)</f>
        <v>0</v>
      </c>
      <c r="FH120" s="140">
        <f>SUM($D120:G120)*IF($B120="Operacional",IFERROR(VLOOKUP($C120,SN_UGC,28,0),0),1)</f>
        <v>0</v>
      </c>
      <c r="FI120" s="140">
        <f>SUM($D120:H120)*IF($B120="Operacional",IFERROR(VLOOKUP($C120,SN_UGC,28,0),0),1)</f>
        <v>0</v>
      </c>
      <c r="FJ120" s="140">
        <f>SUM($D120:I120)*IF($B120="Operacional",IFERROR(VLOOKUP($C120,SN_UGC,28,0),0),1)</f>
        <v>0</v>
      </c>
      <c r="FK120" s="140">
        <f>SUM($D120:J120)*IF($B120="Operacional",IFERROR(VLOOKUP($C120,SN_UGC,28,0),0),1)</f>
        <v>0</v>
      </c>
      <c r="FL120" s="140">
        <f>SUM($D120:K120)*IF($B120="Operacional",IFERROR(VLOOKUP($C120,SN_UGC,28,0),0),1)</f>
        <v>0</v>
      </c>
      <c r="FM120" s="140">
        <f>SUM($D120:L120)*IF($B120="Operacional",IFERROR(VLOOKUP($C120,SN_UGC,28,0),0),1)</f>
        <v>0</v>
      </c>
      <c r="FN120" s="140">
        <f>SUM($D120:M120)*IF($B120="Operacional",IFERROR(VLOOKUP($C120,SN_UGC,28,0),0),1)</f>
        <v>0</v>
      </c>
      <c r="FO120" s="140">
        <f>SUM($D120:N120)*IF($B120="Operacional",IFERROR(VLOOKUP($C120,SN_UGC,28,0),0),1)</f>
        <v>0</v>
      </c>
      <c r="FP120" s="140">
        <f>SUM($D120:O120)*IF($B120="Operacional",IFERROR(VLOOKUP($C120,SN_UGC,28,0),0),1)</f>
        <v>0</v>
      </c>
      <c r="FQ120" s="140">
        <f>SUM($D120:P120)*IF($B120="Operacional",IFERROR(VLOOKUP($C120,SN_UGC,28,0),0),1)</f>
        <v>0</v>
      </c>
      <c r="FR120" s="140">
        <f>SUM($D120:Q120)*IF($B120="Operacional",IFERROR(VLOOKUP($C120,SN_UGC,28,0),0),1)</f>
        <v>0</v>
      </c>
      <c r="FS120" s="140">
        <f>SUM($D120:R120)*IF($B120="Operacional",IFERROR(VLOOKUP($C120,SN_UGC,28,0),0),1)</f>
        <v>0</v>
      </c>
      <c r="FT120" s="140">
        <f>SUM($D120:S120)*IF($B120="Operacional",IFERROR(VLOOKUP($C120,SN_UGC,28,0),0),1)</f>
        <v>0</v>
      </c>
      <c r="FU120" s="140">
        <f>SUM($D120:T120)*IF($B120="Operacional",IFERROR(VLOOKUP($C120,SN_UGC,28,0),0),1)</f>
        <v>0</v>
      </c>
      <c r="FV120" s="140">
        <f>SUM($D120:U120)*IF($B120="Operacional",IFERROR(VLOOKUP($C120,SN_UGC,28,0),0),1)</f>
        <v>0</v>
      </c>
      <c r="FW120" s="140">
        <f>SUM($D120:V120)*IF($B120="Operacional",IFERROR(VLOOKUP($C120,SN_UGC,28,0),0),1)</f>
        <v>0</v>
      </c>
      <c r="FX120" s="140">
        <f>SUM($D120:W120)*IF($B120="Operacional",IFERROR(VLOOKUP($C120,SN_UGC,28,0),0),1)</f>
        <v>0</v>
      </c>
      <c r="FY120" s="140">
        <f>SUM($D120:X120)*IF($B120="Operacional",IFERROR(VLOOKUP($C120,SN_UGC,28,0),0),1)</f>
        <v>0</v>
      </c>
      <c r="FZ120" s="140">
        <f>SUM($D120:Y120)*IF($B120="Operacional",IFERROR(VLOOKUP($C120,SN_UGC,28,0),0),1)</f>
        <v>0</v>
      </c>
      <c r="GA120" s="140">
        <f>SUM($D120:Z120)*IF($B120="Operacional",IFERROR(VLOOKUP($C120,SN_UGC,28,0),0),1)</f>
        <v>0</v>
      </c>
      <c r="GB120" s="140">
        <f>SUM($D120:AA120)*IF($B120="Operacional",IFERROR(VLOOKUP($C120,SN_UGC,28,0),0),1)</f>
        <v>0</v>
      </c>
      <c r="GC120" s="140">
        <f>SUM($D120:AB120)*IF($B120="Operacional",IFERROR(VLOOKUP($C120,SN_UGC,28,0),0),1)</f>
        <v>0</v>
      </c>
      <c r="GD120" s="140">
        <f>SUM($D120:AC120)*IF($B120="Operacional",IFERROR(VLOOKUP($C120,SN_UGC,28,0),0),1)</f>
        <v>0</v>
      </c>
      <c r="GE120" s="140">
        <f>SUM($D120:AD120)*IF($B120="Operacional",IFERROR(VLOOKUP($C120,SN_UGC,28,0),0),1)</f>
        <v>0</v>
      </c>
      <c r="GF120" s="140">
        <f>SUM($D120:AE120)*IF($B120="Operacional",IFERROR(VLOOKUP($C120,SN_UGC,28,0),0),1)</f>
        <v>0</v>
      </c>
      <c r="GG120" s="140">
        <f>SUM($D120:AF120)*IF($B120="Operacional",IFERROR(VLOOKUP($C120,SN_UGC,28,0),0),1)</f>
        <v>0</v>
      </c>
      <c r="GH120" s="140">
        <f>SUM($D120:AG120)*IF($B120="Operacional",IFERROR(VLOOKUP($C120,SN_UGC,28,0),0),1)</f>
        <v>0</v>
      </c>
      <c r="GI120" s="141">
        <f t="shared" ref="GI120:HL120" si="614">FE120*$AH120*$AL120</f>
        <v>0</v>
      </c>
      <c r="GJ120" s="141">
        <f t="shared" si="614"/>
        <v>0</v>
      </c>
      <c r="GK120" s="141">
        <f t="shared" si="614"/>
        <v>0</v>
      </c>
      <c r="GL120" s="141">
        <f t="shared" si="614"/>
        <v>0</v>
      </c>
      <c r="GM120" s="141">
        <f t="shared" si="614"/>
        <v>0</v>
      </c>
      <c r="GN120" s="141">
        <f t="shared" si="614"/>
        <v>0</v>
      </c>
      <c r="GO120" s="141">
        <f t="shared" si="614"/>
        <v>0</v>
      </c>
      <c r="GP120" s="141">
        <f t="shared" si="614"/>
        <v>0</v>
      </c>
      <c r="GQ120" s="141">
        <f t="shared" si="614"/>
        <v>0</v>
      </c>
      <c r="GR120" s="141">
        <f t="shared" si="614"/>
        <v>0</v>
      </c>
      <c r="GS120" s="141">
        <f t="shared" si="614"/>
        <v>0</v>
      </c>
      <c r="GT120" s="141">
        <f t="shared" si="614"/>
        <v>0</v>
      </c>
      <c r="GU120" s="141">
        <f t="shared" si="614"/>
        <v>0</v>
      </c>
      <c r="GV120" s="141">
        <f t="shared" si="614"/>
        <v>0</v>
      </c>
      <c r="GW120" s="141">
        <f t="shared" si="614"/>
        <v>0</v>
      </c>
      <c r="GX120" s="141">
        <f t="shared" si="614"/>
        <v>0</v>
      </c>
      <c r="GY120" s="141">
        <f t="shared" si="614"/>
        <v>0</v>
      </c>
      <c r="GZ120" s="141">
        <f t="shared" si="614"/>
        <v>0</v>
      </c>
      <c r="HA120" s="141">
        <f t="shared" si="614"/>
        <v>0</v>
      </c>
      <c r="HB120" s="141">
        <f t="shared" si="614"/>
        <v>0</v>
      </c>
      <c r="HC120" s="141">
        <f t="shared" si="614"/>
        <v>0</v>
      </c>
      <c r="HD120" s="141">
        <f t="shared" si="614"/>
        <v>0</v>
      </c>
      <c r="HE120" s="141">
        <f t="shared" si="614"/>
        <v>0</v>
      </c>
      <c r="HF120" s="141">
        <f t="shared" si="614"/>
        <v>0</v>
      </c>
      <c r="HG120" s="141">
        <f t="shared" si="614"/>
        <v>0</v>
      </c>
      <c r="HH120" s="141">
        <f t="shared" si="614"/>
        <v>0</v>
      </c>
      <c r="HI120" s="141">
        <f t="shared" si="614"/>
        <v>0</v>
      </c>
      <c r="HJ120" s="141">
        <f t="shared" si="614"/>
        <v>0</v>
      </c>
      <c r="HK120" s="141">
        <f t="shared" si="614"/>
        <v>0</v>
      </c>
      <c r="HL120" s="141">
        <f t="shared" si="614"/>
        <v>0</v>
      </c>
      <c r="HM120" s="142">
        <f t="shared" ref="HM120:IP120" si="615">IF(ISBLANK($A120),,FE120*($AH120-($AH120*$AJ120))/$AI120)</f>
        <v>0</v>
      </c>
      <c r="HN120" s="142">
        <f t="shared" si="615"/>
        <v>0</v>
      </c>
      <c r="HO120" s="142">
        <f t="shared" si="615"/>
        <v>0</v>
      </c>
      <c r="HP120" s="142">
        <f t="shared" si="615"/>
        <v>0</v>
      </c>
      <c r="HQ120" s="142">
        <f t="shared" si="615"/>
        <v>0</v>
      </c>
      <c r="HR120" s="142">
        <f t="shared" si="615"/>
        <v>0</v>
      </c>
      <c r="HS120" s="142">
        <f t="shared" si="615"/>
        <v>0</v>
      </c>
      <c r="HT120" s="142">
        <f t="shared" si="615"/>
        <v>0</v>
      </c>
      <c r="HU120" s="142">
        <f t="shared" si="615"/>
        <v>0</v>
      </c>
      <c r="HV120" s="142">
        <f t="shared" si="615"/>
        <v>0</v>
      </c>
      <c r="HW120" s="142">
        <f t="shared" si="615"/>
        <v>0</v>
      </c>
      <c r="HX120" s="142">
        <f t="shared" si="615"/>
        <v>0</v>
      </c>
      <c r="HY120" s="142">
        <f t="shared" si="615"/>
        <v>0</v>
      </c>
      <c r="HZ120" s="142">
        <f t="shared" si="615"/>
        <v>0</v>
      </c>
      <c r="IA120" s="142">
        <f t="shared" si="615"/>
        <v>0</v>
      </c>
      <c r="IB120" s="142">
        <f t="shared" si="615"/>
        <v>0</v>
      </c>
      <c r="IC120" s="142">
        <f t="shared" si="615"/>
        <v>0</v>
      </c>
      <c r="ID120" s="142">
        <f t="shared" si="615"/>
        <v>0</v>
      </c>
      <c r="IE120" s="142">
        <f t="shared" si="615"/>
        <v>0</v>
      </c>
      <c r="IF120" s="142">
        <f t="shared" si="615"/>
        <v>0</v>
      </c>
      <c r="IG120" s="142">
        <f t="shared" si="615"/>
        <v>0</v>
      </c>
      <c r="IH120" s="142">
        <f t="shared" si="615"/>
        <v>0</v>
      </c>
      <c r="II120" s="142">
        <f t="shared" si="615"/>
        <v>0</v>
      </c>
      <c r="IJ120" s="142">
        <f t="shared" si="615"/>
        <v>0</v>
      </c>
      <c r="IK120" s="142">
        <f t="shared" si="615"/>
        <v>0</v>
      </c>
      <c r="IL120" s="142">
        <f t="shared" si="615"/>
        <v>0</v>
      </c>
      <c r="IM120" s="142">
        <f t="shared" si="615"/>
        <v>0</v>
      </c>
      <c r="IN120" s="142">
        <f t="shared" si="615"/>
        <v>0</v>
      </c>
      <c r="IO120" s="142">
        <f t="shared" si="615"/>
        <v>0</v>
      </c>
      <c r="IP120" s="142">
        <f t="shared" si="615"/>
        <v>0</v>
      </c>
      <c r="IQ120" s="141">
        <f>IF(ISBLANK($A120),,IF($AN120="Não",0,(SUM($AO120:AO120)*$AH120)-SUM($HM120:HM120)-SUM($CW120:CW120)))</f>
        <v>0</v>
      </c>
      <c r="IR120" s="141">
        <f>IF(ISBLANK($A120),,IF($AN120="Não",0,(SUM($AO120:AP120)*$AH120)-SUM($HM120:HN120)-SUM($CW120:CX120)))</f>
        <v>0</v>
      </c>
      <c r="IS120" s="141">
        <f>IF(ISBLANK($A120),,IF($AN120="Não",0,(SUM($AO120:AQ120)*$AH120)-SUM($HM120:HO120)-SUM($CW120:CY120)))</f>
        <v>0</v>
      </c>
      <c r="IT120" s="141">
        <f>IF(ISBLANK($A120),,IF($AN120="Não",0,(SUM($AO120:AR120)*$AH120)-SUM($HM120:HP120)-SUM($CW120:CZ120)))</f>
        <v>0</v>
      </c>
      <c r="IU120" s="141">
        <f>IF(ISBLANK($A120),,IF($AN120="Não",0,(SUM($AO120:AS120)*$AH120)-SUM($HM120:HQ120)-SUM($CW120:DA120)))</f>
        <v>0</v>
      </c>
      <c r="IV120" s="141">
        <f>IF(ISBLANK($A120),,IF($AN120="Não",0,(SUM($AO120:AT120)*$AH120)-SUM($HM120:HR120)-SUM($CW120:DB120)))</f>
        <v>0</v>
      </c>
      <c r="IW120" s="141">
        <f>IF(ISBLANK($A120),,IF($AN120="Não",0,(SUM($AO120:AU120)*$AH120)-SUM($HM120:HS120)-SUM($CW120:DC120)))</f>
        <v>0</v>
      </c>
      <c r="IX120" s="141">
        <f>IF(ISBLANK($A120),,IF($AN120="Não",0,(SUM($AO120:AV120)*$AH120)-SUM($HM120:HT120)-SUM($CW120:DD120)))</f>
        <v>0</v>
      </c>
      <c r="IY120" s="141">
        <f>IF(ISBLANK($A120),,IF($AN120="Não",0,(SUM($AO120:AW120)*$AH120)-SUM($HM120:HU120)-SUM($CW120:DE120)))</f>
        <v>0</v>
      </c>
      <c r="IZ120" s="141">
        <f>IF(ISBLANK($A120),,IF($AN120="Não",0,(SUM($AO120:AX120)*$AH120)-SUM($HM120:HV120)-SUM($CW120:DF120)))</f>
        <v>0</v>
      </c>
      <c r="JA120" s="141">
        <f>IF(ISBLANK($A120),,IF($AN120="Não",0,(SUM($AO120:AY120)*$AH120)-SUM($HM120:HW120)-SUM($CW120:DG120)))</f>
        <v>0</v>
      </c>
      <c r="JB120" s="141">
        <f>IF(ISBLANK($A120),,IF($AN120="Não",0,(SUM($AO120:AZ120)*$AH120)-SUM($HM120:HX120)-SUM($CW120:DH120)))</f>
        <v>0</v>
      </c>
      <c r="JC120" s="141">
        <f>IF(ISBLANK($A120),,IF($AN120="Não",0,(SUM($AO120:BA120)*$AH120)-SUM($HM120:HY120)-SUM($CW120:DI120)))</f>
        <v>0</v>
      </c>
      <c r="JD120" s="141">
        <f>IF(ISBLANK($A120),,IF($AN120="Não",0,(SUM($AO120:BB120)*$AH120)-SUM($HM120:HZ120)-SUM($CW120:DJ120)))</f>
        <v>0</v>
      </c>
      <c r="JE120" s="141">
        <f>IF(ISBLANK($A120),,IF($AN120="Não",0,(SUM($AO120:BC120)*$AH120)-SUM($HM120:IA120)-SUM($CW120:DK120)))</f>
        <v>0</v>
      </c>
      <c r="JF120" s="141">
        <f>IF(ISBLANK($A120),,IF($AN120="Não",0,(SUM($AO120:BD120)*$AH120)-SUM($HM120:IB120)-SUM($CW120:DL120)))</f>
        <v>0</v>
      </c>
      <c r="JG120" s="141">
        <f>IF(ISBLANK($A120),,IF($AN120="Não",0,(SUM($AO120:BE120)*$AH120)-SUM($HM120:IC120)-SUM($CW120:DM120)))</f>
        <v>0</v>
      </c>
      <c r="JH120" s="141">
        <f>IF(ISBLANK($A120),,IF($AN120="Não",0,(SUM($AO120:BF120)*$AH120)-SUM($HM120:ID120)-SUM($CW120:DN120)))</f>
        <v>0</v>
      </c>
      <c r="JI120" s="141">
        <f>IF(ISBLANK($A120),,IF($AN120="Não",0,(SUM($AO120:BG120)*$AH120)-SUM($HM120:IE120)-SUM($CW120:DO120)))</f>
        <v>0</v>
      </c>
      <c r="JJ120" s="141">
        <f>IF(ISBLANK($A120),,IF($AN120="Não",0,(SUM($AO120:BH120)*$AH120)-SUM($HM120:IF120)-SUM($CW120:DP120)))</f>
        <v>0</v>
      </c>
      <c r="JK120" s="141">
        <f>IF(ISBLANK($A120),,IF($AN120="Não",0,(SUM($AO120:BI120)*$AH120)-SUM($HM120:IG120)-SUM($CW120:DQ120)))</f>
        <v>0</v>
      </c>
      <c r="JL120" s="141">
        <f>IF(ISBLANK($A120),,IF($AN120="Não",0,(SUM($AO120:BJ120)*$AH120)-SUM($HM120:IH120)-SUM($CW120:DR120)))</f>
        <v>0</v>
      </c>
      <c r="JM120" s="141">
        <f>IF(ISBLANK($A120),,IF($AN120="Não",0,(SUM($AO120:BK120)*$AH120)-SUM($HM120:II120)-SUM($CW120:DS120)))</f>
        <v>0</v>
      </c>
      <c r="JN120" s="141">
        <f>IF(ISBLANK($A120),,IF($AN120="Não",0,(SUM($AO120:BL120)*$AH120)-SUM($HM120:IJ120)-SUM($CW120:DT120)))</f>
        <v>0</v>
      </c>
      <c r="JO120" s="141">
        <f>IF(ISBLANK($A120),,IF($AN120="Não",0,(SUM($AO120:BM120)*$AH120)-SUM($HM120:IK120)-SUM($CW120:DU120)))</f>
        <v>0</v>
      </c>
      <c r="JP120" s="141">
        <f>IF(ISBLANK($A120),,IF($AN120="Não",0,(SUM($AO120:BN120)*$AH120)-SUM($HM120:IL120)-SUM($CW120:DV120)))</f>
        <v>0</v>
      </c>
      <c r="JQ120" s="141">
        <f>IF(ISBLANK($A120),,IF($AN120="Não",0,(SUM($AO120:BO120)*$AH120)-SUM($HM120:IM120)-SUM($CW120:DW120)))</f>
        <v>0</v>
      </c>
      <c r="JR120" s="141">
        <f>IF(ISBLANK($A120),,IF($AN120="Não",0,(SUM($AO120:BP120)*$AH120)-SUM($HM120:IN120)-SUM($CW120:DX120)))</f>
        <v>0</v>
      </c>
      <c r="JS120" s="141">
        <f>IF(ISBLANK($A120),,IF($AN120="Não",0,(SUM($AO120:BQ120)*$AH120)-SUM($HM120:IO120)-SUM($CW120:DY120)))</f>
        <v>0</v>
      </c>
      <c r="JT120" s="141">
        <f>IF(ISBLANK($A120),,IF($AN120="Não",0,(SUM($AO120:BR120)*$AH120)-SUM($HM120:IP120)-SUM($CW120:DZ120)))</f>
        <v>0</v>
      </c>
    </row>
    <row r="121" spans="1:280" ht="15.75" customHeight="1">
      <c r="A121" s="129"/>
      <c r="B121" s="129"/>
      <c r="C121" s="138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607">
        <f t="shared" si="544"/>
        <v>0</v>
      </c>
      <c r="AI121" s="608">
        <f t="shared" si="545"/>
        <v>0</v>
      </c>
      <c r="AJ121" s="609">
        <f t="shared" si="546"/>
        <v>0</v>
      </c>
      <c r="AK121" s="610" t="str">
        <f t="shared" si="547"/>
        <v/>
      </c>
      <c r="AL121" s="609">
        <f t="shared" si="548"/>
        <v>0</v>
      </c>
      <c r="AM121" s="611" t="str">
        <f t="shared" si="549"/>
        <v/>
      </c>
      <c r="AN121" s="611" t="str">
        <f t="shared" si="550"/>
        <v/>
      </c>
      <c r="AO121" s="140">
        <f t="array" ref="AO121">IF(ISBLANK($A121),0,IF(OR(AO$5-$AI121&lt;=0,$AM121="Não"),D121,D121+INDEX($AO$6:$BR$176,ROW()-5,COLUMN()-40-$AI121)))*IF($B121="Operacional",IFERROR(VLOOKUP($C121,SN_UGC,28,0),0),1)</f>
        <v>0</v>
      </c>
      <c r="AP121" s="140">
        <f t="array" ref="AP121">IF(ISBLANK($A121),0,IF(OR(AP$5-$AI121&lt;=0,$AM121="Não"),E121,E121+INDEX($AO$6:$BR$176,ROW()-5,COLUMN()-40-$AI121)))*IF($B121="Operacional",IFERROR(VLOOKUP($C121,SN_UGC,28,0),0),1)</f>
        <v>0</v>
      </c>
      <c r="AQ121" s="140">
        <f t="array" ref="AQ121">IF(ISBLANK($A121),0,IF(OR(AQ$5-$AI121&lt;=0,$AM121="Não"),F121,F121+INDEX($AO$6:$BR$176,ROW()-5,COLUMN()-40-$AI121)))*IF($B121="Operacional",IFERROR(VLOOKUP($C121,SN_UGC,28,0),0),1)</f>
        <v>0</v>
      </c>
      <c r="AR121" s="140">
        <f t="array" ref="AR121">IF(ISBLANK($A121),0,IF(OR(AR$5-$AI121&lt;=0,$AM121="Não"),G121,G121+INDEX($AO$6:$BR$176,ROW()-5,COLUMN()-40-$AI121)))*IF($B121="Operacional",IFERROR(VLOOKUP($C121,SN_UGC,28,0),0),1)</f>
        <v>0</v>
      </c>
      <c r="AS121" s="140">
        <f t="array" ref="AS121">IF(ISBLANK($A121),0,IF(OR(AS$5-$AI121&lt;=0,$AM121="Não"),H121,H121+INDEX($AO$6:$BR$176,ROW()-5,COLUMN()-40-$AI121)))*IF($B121="Operacional",IFERROR(VLOOKUP($C121,SN_UGC,28,0),0),1)</f>
        <v>0</v>
      </c>
      <c r="AT121" s="140">
        <f t="array" ref="AT121">IF(ISBLANK($A121),0,IF(OR(AT$5-$AI121&lt;=0,$AM121="Não"),I121,I121+INDEX($AO$6:$BR$176,ROW()-5,COLUMN()-40-$AI121)))*IF($B121="Operacional",IFERROR(VLOOKUP($C121,SN_UGC,28,0),0),1)</f>
        <v>0</v>
      </c>
      <c r="AU121" s="140">
        <f t="array" ref="AU121">IF(ISBLANK($A121),0,IF(OR(AU$5-$AI121&lt;=0,$AM121="Não"),J121,J121+INDEX($AO$6:$BR$176,ROW()-5,COLUMN()-40-$AI121)))*IF($B121="Operacional",IFERROR(VLOOKUP($C121,SN_UGC,28,0),0),1)</f>
        <v>0</v>
      </c>
      <c r="AV121" s="140">
        <f t="array" ref="AV121">IF(ISBLANK($A121),0,IF(OR(AV$5-$AI121&lt;=0,$AM121="Não"),K121,K121+INDEX($AO$6:$BR$176,ROW()-5,COLUMN()-40-$AI121)))*IF($B121="Operacional",IFERROR(VLOOKUP($C121,SN_UGC,28,0),0),1)</f>
        <v>0</v>
      </c>
      <c r="AW121" s="140">
        <f t="array" ref="AW121">IF(ISBLANK($A121),0,IF(OR(AW$5-$AI121&lt;=0,$AM121="Não"),L121,L121+INDEX($AO$6:$BR$176,ROW()-5,COLUMN()-40-$AI121)))*IF($B121="Operacional",IFERROR(VLOOKUP($C121,SN_UGC,28,0),0),1)</f>
        <v>0</v>
      </c>
      <c r="AX121" s="140">
        <f t="array" ref="AX121">IF(ISBLANK($A121),0,IF(OR(AX$5-$AI121&lt;=0,$AM121="Não"),M121,M121+INDEX($AO$6:$BR$176,ROW()-5,COLUMN()-40-$AI121)))*IF($B121="Operacional",IFERROR(VLOOKUP($C121,SN_UGC,28,0),0),1)</f>
        <v>0</v>
      </c>
      <c r="AY121" s="140">
        <f t="array" ref="AY121">IF(ISBLANK($A121),0,IF(OR(AY$5-$AI121&lt;=0,$AM121="Não"),N121,N121+INDEX($AO$6:$BR$176,ROW()-5,COLUMN()-40-$AI121)))*IF($B121="Operacional",IFERROR(VLOOKUP($C121,SN_UGC,28,0),0),1)</f>
        <v>0</v>
      </c>
      <c r="AZ121" s="140">
        <f t="array" ref="AZ121">IF(ISBLANK($A121),0,IF(OR(AZ$5-$AI121&lt;=0,$AM121="Não"),O121,O121+INDEX($AO$6:$BR$176,ROW()-5,COLUMN()-40-$AI121)))*IF($B121="Operacional",IFERROR(VLOOKUP($C121,SN_UGC,28,0),0),1)</f>
        <v>0</v>
      </c>
      <c r="BA121" s="140">
        <f t="array" ref="BA121">IF(ISBLANK($A121),0,IF(OR(BA$5-$AI121&lt;=0,$AM121="Não"),P121,P121+INDEX($AO$6:$BR$176,ROW()-5,COLUMN()-40-$AI121)))*IF($B121="Operacional",IFERROR(VLOOKUP($C121,SN_UGC,28,0),0),1)</f>
        <v>0</v>
      </c>
      <c r="BB121" s="140">
        <f t="array" ref="BB121">IF(ISBLANK($A121),0,IF(OR(BB$5-$AI121&lt;=0,$AM121="Não"),Q121,Q121+INDEX($AO$6:$BR$176,ROW()-5,COLUMN()-40-$AI121)))*IF($B121="Operacional",IFERROR(VLOOKUP($C121,SN_UGC,28,0),0),1)</f>
        <v>0</v>
      </c>
      <c r="BC121" s="140">
        <f t="array" ref="BC121">IF(ISBLANK($A121),0,IF(OR(BC$5-$AI121&lt;=0,$AM121="Não"),R121,R121+INDEX($AO$6:$BR$176,ROW()-5,COLUMN()-40-$AI121)))*IF($B121="Operacional",IFERROR(VLOOKUP($C121,SN_UGC,28,0),0),1)</f>
        <v>0</v>
      </c>
      <c r="BD121" s="140">
        <f t="array" ref="BD121">IF(ISBLANK($A121),0,IF(OR(BD$5-$AI121&lt;=0,$AM121="Não"),S121,S121+INDEX($AO$6:$BR$176,ROW()-5,COLUMN()-40-$AI121)))*IF($B121="Operacional",IFERROR(VLOOKUP($C121,SN_UGC,28,0),0),1)</f>
        <v>0</v>
      </c>
      <c r="BE121" s="140">
        <f t="array" ref="BE121">IF(ISBLANK($A121),0,IF(OR(BE$5-$AI121&lt;=0,$AM121="Não"),T121,T121+INDEX($AO$6:$BR$176,ROW()-5,COLUMN()-40-$AI121)))*IF($B121="Operacional",IFERROR(VLOOKUP($C121,SN_UGC,28,0),0),1)</f>
        <v>0</v>
      </c>
      <c r="BF121" s="140">
        <f t="array" ref="BF121">IF(ISBLANK($A121),0,IF(OR(BF$5-$AI121&lt;=0,$AM121="Não"),U121,U121+INDEX($AO$6:$BR$176,ROW()-5,COLUMN()-40-$AI121)))*IF($B121="Operacional",IFERROR(VLOOKUP($C121,SN_UGC,28,0),0),1)</f>
        <v>0</v>
      </c>
      <c r="BG121" s="140">
        <f t="array" ref="BG121">IF(ISBLANK($A121),0,IF(OR(BG$5-$AI121&lt;=0,$AM121="Não"),V121,V121+INDEX($AO$6:$BR$176,ROW()-5,COLUMN()-40-$AI121)))*IF($B121="Operacional",IFERROR(VLOOKUP($C121,SN_UGC,28,0),0),1)</f>
        <v>0</v>
      </c>
      <c r="BH121" s="140">
        <f t="array" ref="BH121">IF(ISBLANK($A121),0,IF(OR(BH$5-$AI121&lt;=0,$AM121="Não"),W121,W121+INDEX($AO$6:$BR$176,ROW()-5,COLUMN()-40-$AI121)))*IF($B121="Operacional",IFERROR(VLOOKUP($C121,SN_UGC,28,0),0),1)</f>
        <v>0</v>
      </c>
      <c r="BI121" s="140">
        <f t="array" ref="BI121">IF(ISBLANK($A121),0,IF(OR(BI$5-$AI121&lt;=0,$AM121="Não"),X121,X121+INDEX($AO$6:$BR$176,ROW()-5,COLUMN()-40-$AI121)))*IF($B121="Operacional",IFERROR(VLOOKUP($C121,SN_UGC,28,0),0),1)</f>
        <v>0</v>
      </c>
      <c r="BJ121" s="140">
        <f t="array" ref="BJ121">IF(ISBLANK($A121),0,IF(OR(BJ$5-$AI121&lt;=0,$AM121="Não"),Y121,Y121+INDEX($AO$6:$BR$176,ROW()-5,COLUMN()-40-$AI121)))*IF($B121="Operacional",IFERROR(VLOOKUP($C121,SN_UGC,28,0),0),1)</f>
        <v>0</v>
      </c>
      <c r="BK121" s="140">
        <f t="array" ref="BK121">IF(ISBLANK($A121),0,IF(OR(BK$5-$AI121&lt;=0,$AM121="Não"),Z121,Z121+INDEX($AO$6:$BR$176,ROW()-5,COLUMN()-40-$AI121)))*IF($B121="Operacional",IFERROR(VLOOKUP($C121,SN_UGC,28,0),0),1)</f>
        <v>0</v>
      </c>
      <c r="BL121" s="140">
        <f t="array" ref="BL121">IF(ISBLANK($A121),0,IF(OR(BL$5-$AI121&lt;=0,$AM121="Não"),AA121,AA121+INDEX($AO$6:$BR$176,ROW()-5,COLUMN()-40-$AI121)))*IF($B121="Operacional",IFERROR(VLOOKUP($C121,SN_UGC,28,0),0),1)</f>
        <v>0</v>
      </c>
      <c r="BM121" s="140">
        <f t="array" ref="BM121">IF(ISBLANK($A121),0,IF(OR(BM$5-$AI121&lt;=0,$AM121="Não"),AB121,AB121+INDEX($AO$6:$BR$176,ROW()-5,COLUMN()-40-$AI121)))*IF($B121="Operacional",IFERROR(VLOOKUP($C121,SN_UGC,28,0),0),1)</f>
        <v>0</v>
      </c>
      <c r="BN121" s="140">
        <f t="array" ref="BN121">IF(ISBLANK($A121),0,IF(OR(BN$5-$AI121&lt;=0,$AM121="Não"),AC121,AC121+INDEX($AO$6:$BR$176,ROW()-5,COLUMN()-40-$AI121)))*IF($B121="Operacional",IFERROR(VLOOKUP($C121,SN_UGC,28,0),0),1)</f>
        <v>0</v>
      </c>
      <c r="BO121" s="140">
        <f t="array" ref="BO121">IF(ISBLANK($A121),0,IF(OR(BO$5-$AI121&lt;=0,$AM121="Não"),AD121,AD121+INDEX($AO$6:$BR$176,ROW()-5,COLUMN()-40-$AI121)))*IF($B121="Operacional",IFERROR(VLOOKUP($C121,SN_UGC,28,0),0),1)</f>
        <v>0</v>
      </c>
      <c r="BP121" s="140">
        <f t="array" ref="BP121">IF(ISBLANK($A121),0,IF(OR(BP$5-$AI121&lt;=0,$AM121="Não"),AE121,AE121+INDEX($AO$6:$BR$176,ROW()-5,COLUMN()-40-$AI121)))*IF($B121="Operacional",IFERROR(VLOOKUP($C121,SN_UGC,28,0),0),1)</f>
        <v>0</v>
      </c>
      <c r="BQ121" s="140">
        <f t="array" ref="BQ121">IF(ISBLANK($A121),0,IF(OR(BQ$5-$AI121&lt;=0,$AM121="Não"),AF121,AF121+INDEX($AO$6:$BR$176,ROW()-5,COLUMN()-40-$AI121)))*IF($B121="Operacional",IFERROR(VLOOKUP($C121,SN_UGC,28,0),0),1)</f>
        <v>0</v>
      </c>
      <c r="BR121" s="140">
        <f t="array" ref="BR121">IF(ISBLANK($A121),0,IF(OR(BR$5-$AI121&lt;=0,$AM121="Não"),AG121,AG121+INDEX($AO$6:$BR$176,ROW()-5,COLUMN()-40-$AI121)))*IF($B121="Operacional",IFERROR(VLOOKUP($C121,SN_UGC,28,0),0),1)</f>
        <v>0</v>
      </c>
      <c r="BS121" s="141">
        <f t="shared" ref="BS121:CV121" si="616">IF(ISBLANK($A121),0,$AH121*AO121)</f>
        <v>0</v>
      </c>
      <c r="BT121" s="141">
        <f t="shared" si="616"/>
        <v>0</v>
      </c>
      <c r="BU121" s="141">
        <f t="shared" si="616"/>
        <v>0</v>
      </c>
      <c r="BV121" s="141">
        <f t="shared" si="616"/>
        <v>0</v>
      </c>
      <c r="BW121" s="141">
        <f t="shared" si="616"/>
        <v>0</v>
      </c>
      <c r="BX121" s="141">
        <f t="shared" si="616"/>
        <v>0</v>
      </c>
      <c r="BY121" s="141">
        <f t="shared" si="616"/>
        <v>0</v>
      </c>
      <c r="BZ121" s="141">
        <f t="shared" si="616"/>
        <v>0</v>
      </c>
      <c r="CA121" s="141">
        <f t="shared" si="616"/>
        <v>0</v>
      </c>
      <c r="CB121" s="141">
        <f t="shared" si="616"/>
        <v>0</v>
      </c>
      <c r="CC121" s="141">
        <f t="shared" si="616"/>
        <v>0</v>
      </c>
      <c r="CD121" s="141">
        <f t="shared" si="616"/>
        <v>0</v>
      </c>
      <c r="CE121" s="141">
        <f t="shared" si="616"/>
        <v>0</v>
      </c>
      <c r="CF121" s="141">
        <f t="shared" si="616"/>
        <v>0</v>
      </c>
      <c r="CG121" s="141">
        <f t="shared" si="616"/>
        <v>0</v>
      </c>
      <c r="CH121" s="141">
        <f t="shared" si="616"/>
        <v>0</v>
      </c>
      <c r="CI121" s="141">
        <f t="shared" si="616"/>
        <v>0</v>
      </c>
      <c r="CJ121" s="141">
        <f t="shared" si="616"/>
        <v>0</v>
      </c>
      <c r="CK121" s="141">
        <f t="shared" si="616"/>
        <v>0</v>
      </c>
      <c r="CL121" s="141">
        <f t="shared" si="616"/>
        <v>0</v>
      </c>
      <c r="CM121" s="141">
        <f t="shared" si="616"/>
        <v>0</v>
      </c>
      <c r="CN121" s="141">
        <f t="shared" si="616"/>
        <v>0</v>
      </c>
      <c r="CO121" s="141">
        <f t="shared" si="616"/>
        <v>0</v>
      </c>
      <c r="CP121" s="141">
        <f t="shared" si="616"/>
        <v>0</v>
      </c>
      <c r="CQ121" s="141">
        <f t="shared" si="616"/>
        <v>0</v>
      </c>
      <c r="CR121" s="141">
        <f t="shared" si="616"/>
        <v>0</v>
      </c>
      <c r="CS121" s="141">
        <f t="shared" si="616"/>
        <v>0</v>
      </c>
      <c r="CT121" s="141">
        <f t="shared" si="616"/>
        <v>0</v>
      </c>
      <c r="CU121" s="141">
        <f t="shared" si="616"/>
        <v>0</v>
      </c>
      <c r="CV121" s="141">
        <f t="shared" si="616"/>
        <v>0</v>
      </c>
      <c r="CW121" s="142">
        <f t="shared" ref="CW121:DZ121" si="617">EA121*$AH121*$AJ121</f>
        <v>0</v>
      </c>
      <c r="CX121" s="142">
        <f t="shared" si="617"/>
        <v>0</v>
      </c>
      <c r="CY121" s="142">
        <f t="shared" si="617"/>
        <v>0</v>
      </c>
      <c r="CZ121" s="142">
        <f t="shared" si="617"/>
        <v>0</v>
      </c>
      <c r="DA121" s="142">
        <f t="shared" si="617"/>
        <v>0</v>
      </c>
      <c r="DB121" s="142">
        <f t="shared" si="617"/>
        <v>0</v>
      </c>
      <c r="DC121" s="142">
        <f t="shared" si="617"/>
        <v>0</v>
      </c>
      <c r="DD121" s="142">
        <f t="shared" si="617"/>
        <v>0</v>
      </c>
      <c r="DE121" s="142">
        <f t="shared" si="617"/>
        <v>0</v>
      </c>
      <c r="DF121" s="142">
        <f t="shared" si="617"/>
        <v>0</v>
      </c>
      <c r="DG121" s="142">
        <f t="shared" si="617"/>
        <v>0</v>
      </c>
      <c r="DH121" s="142">
        <f t="shared" si="617"/>
        <v>0</v>
      </c>
      <c r="DI121" s="142">
        <f t="shared" si="617"/>
        <v>0</v>
      </c>
      <c r="DJ121" s="142">
        <f t="shared" si="617"/>
        <v>0</v>
      </c>
      <c r="DK121" s="142">
        <f t="shared" si="617"/>
        <v>0</v>
      </c>
      <c r="DL121" s="142">
        <f t="shared" si="617"/>
        <v>0</v>
      </c>
      <c r="DM121" s="142">
        <f t="shared" si="617"/>
        <v>0</v>
      </c>
      <c r="DN121" s="142">
        <f t="shared" si="617"/>
        <v>0</v>
      </c>
      <c r="DO121" s="142">
        <f t="shared" si="617"/>
        <v>0</v>
      </c>
      <c r="DP121" s="142">
        <f t="shared" si="617"/>
        <v>0</v>
      </c>
      <c r="DQ121" s="142">
        <f t="shared" si="617"/>
        <v>0</v>
      </c>
      <c r="DR121" s="142">
        <f t="shared" si="617"/>
        <v>0</v>
      </c>
      <c r="DS121" s="142">
        <f t="shared" si="617"/>
        <v>0</v>
      </c>
      <c r="DT121" s="142">
        <f t="shared" si="617"/>
        <v>0</v>
      </c>
      <c r="DU121" s="142">
        <f t="shared" si="617"/>
        <v>0</v>
      </c>
      <c r="DV121" s="142">
        <f t="shared" si="617"/>
        <v>0</v>
      </c>
      <c r="DW121" s="142">
        <f t="shared" si="617"/>
        <v>0</v>
      </c>
      <c r="DX121" s="142">
        <f t="shared" si="617"/>
        <v>0</v>
      </c>
      <c r="DY121" s="142">
        <f t="shared" si="617"/>
        <v>0</v>
      </c>
      <c r="DZ121" s="142">
        <f t="shared" si="617"/>
        <v>0</v>
      </c>
      <c r="EA121" s="143">
        <f t="shared" si="504"/>
        <v>0</v>
      </c>
      <c r="EB121" s="143">
        <f t="shared" si="505"/>
        <v>0</v>
      </c>
      <c r="EC121" s="143">
        <f t="shared" si="506"/>
        <v>0</v>
      </c>
      <c r="ED121" s="143">
        <f t="shared" si="507"/>
        <v>0</v>
      </c>
      <c r="EE121" s="143">
        <f t="shared" si="508"/>
        <v>0</v>
      </c>
      <c r="EF121" s="143">
        <f t="shared" si="509"/>
        <v>0</v>
      </c>
      <c r="EG121" s="143">
        <f t="shared" si="510"/>
        <v>0</v>
      </c>
      <c r="EH121" s="143">
        <f t="shared" si="511"/>
        <v>0</v>
      </c>
      <c r="EI121" s="143">
        <f t="shared" si="512"/>
        <v>0</v>
      </c>
      <c r="EJ121" s="143">
        <f t="shared" si="513"/>
        <v>0</v>
      </c>
      <c r="EK121" s="143">
        <f t="shared" si="514"/>
        <v>0</v>
      </c>
      <c r="EL121" s="143">
        <f t="shared" si="515"/>
        <v>0</v>
      </c>
      <c r="EM121" s="143">
        <f t="shared" si="516"/>
        <v>0</v>
      </c>
      <c r="EN121" s="143">
        <f t="shared" si="517"/>
        <v>0</v>
      </c>
      <c r="EO121" s="143">
        <f t="shared" si="518"/>
        <v>0</v>
      </c>
      <c r="EP121" s="143">
        <f t="shared" si="519"/>
        <v>0</v>
      </c>
      <c r="EQ121" s="143">
        <f t="shared" si="520"/>
        <v>0</v>
      </c>
      <c r="ER121" s="143">
        <f t="shared" si="521"/>
        <v>0</v>
      </c>
      <c r="ES121" s="143">
        <f t="shared" si="522"/>
        <v>0</v>
      </c>
      <c r="ET121" s="143">
        <f t="shared" si="523"/>
        <v>0</v>
      </c>
      <c r="EU121" s="143">
        <f t="shared" si="524"/>
        <v>0</v>
      </c>
      <c r="EV121" s="143">
        <f t="shared" si="525"/>
        <v>0</v>
      </c>
      <c r="EW121" s="143">
        <f t="shared" si="526"/>
        <v>0</v>
      </c>
      <c r="EX121" s="143">
        <f t="shared" si="527"/>
        <v>0</v>
      </c>
      <c r="EY121" s="143">
        <f t="shared" si="528"/>
        <v>0</v>
      </c>
      <c r="EZ121" s="143">
        <f t="shared" si="529"/>
        <v>0</v>
      </c>
      <c r="FA121" s="143">
        <f t="shared" si="530"/>
        <v>0</v>
      </c>
      <c r="FB121" s="143">
        <f t="shared" si="531"/>
        <v>0</v>
      </c>
      <c r="FC121" s="143">
        <f t="shared" si="532"/>
        <v>0</v>
      </c>
      <c r="FD121" s="143">
        <f t="shared" si="533"/>
        <v>0</v>
      </c>
      <c r="FE121" s="140">
        <f>SUM($D121:D121)*IF($B121="Operacional",IFERROR(VLOOKUP($C121,SN_UGC,28,0),0),1)</f>
        <v>0</v>
      </c>
      <c r="FF121" s="140">
        <f>SUM($D121:E121)*IF($B121="Operacional",IFERROR(VLOOKUP($C121,SN_UGC,28,0),0),1)</f>
        <v>0</v>
      </c>
      <c r="FG121" s="140">
        <f>SUM($D121:F121)*IF($B121="Operacional",IFERROR(VLOOKUP($C121,SN_UGC,28,0),0),1)</f>
        <v>0</v>
      </c>
      <c r="FH121" s="140">
        <f>SUM($D121:G121)*IF($B121="Operacional",IFERROR(VLOOKUP($C121,SN_UGC,28,0),0),1)</f>
        <v>0</v>
      </c>
      <c r="FI121" s="140">
        <f>SUM($D121:H121)*IF($B121="Operacional",IFERROR(VLOOKUP($C121,SN_UGC,28,0),0),1)</f>
        <v>0</v>
      </c>
      <c r="FJ121" s="140">
        <f>SUM($D121:I121)*IF($B121="Operacional",IFERROR(VLOOKUP($C121,SN_UGC,28,0),0),1)</f>
        <v>0</v>
      </c>
      <c r="FK121" s="140">
        <f>SUM($D121:J121)*IF($B121="Operacional",IFERROR(VLOOKUP($C121,SN_UGC,28,0),0),1)</f>
        <v>0</v>
      </c>
      <c r="FL121" s="140">
        <f>SUM($D121:K121)*IF($B121="Operacional",IFERROR(VLOOKUP($C121,SN_UGC,28,0),0),1)</f>
        <v>0</v>
      </c>
      <c r="FM121" s="140">
        <f>SUM($D121:L121)*IF($B121="Operacional",IFERROR(VLOOKUP($C121,SN_UGC,28,0),0),1)</f>
        <v>0</v>
      </c>
      <c r="FN121" s="140">
        <f>SUM($D121:M121)*IF($B121="Operacional",IFERROR(VLOOKUP($C121,SN_UGC,28,0),0),1)</f>
        <v>0</v>
      </c>
      <c r="FO121" s="140">
        <f>SUM($D121:N121)*IF($B121="Operacional",IFERROR(VLOOKUP($C121,SN_UGC,28,0),0),1)</f>
        <v>0</v>
      </c>
      <c r="FP121" s="140">
        <f>SUM($D121:O121)*IF($B121="Operacional",IFERROR(VLOOKUP($C121,SN_UGC,28,0),0),1)</f>
        <v>0</v>
      </c>
      <c r="FQ121" s="140">
        <f>SUM($D121:P121)*IF($B121="Operacional",IFERROR(VLOOKUP($C121,SN_UGC,28,0),0),1)</f>
        <v>0</v>
      </c>
      <c r="FR121" s="140">
        <f>SUM($D121:Q121)*IF($B121="Operacional",IFERROR(VLOOKUP($C121,SN_UGC,28,0),0),1)</f>
        <v>0</v>
      </c>
      <c r="FS121" s="140">
        <f>SUM($D121:R121)*IF($B121="Operacional",IFERROR(VLOOKUP($C121,SN_UGC,28,0),0),1)</f>
        <v>0</v>
      </c>
      <c r="FT121" s="140">
        <f>SUM($D121:S121)*IF($B121="Operacional",IFERROR(VLOOKUP($C121,SN_UGC,28,0),0),1)</f>
        <v>0</v>
      </c>
      <c r="FU121" s="140">
        <f>SUM($D121:T121)*IF($B121="Operacional",IFERROR(VLOOKUP($C121,SN_UGC,28,0),0),1)</f>
        <v>0</v>
      </c>
      <c r="FV121" s="140">
        <f>SUM($D121:U121)*IF($B121="Operacional",IFERROR(VLOOKUP($C121,SN_UGC,28,0),0),1)</f>
        <v>0</v>
      </c>
      <c r="FW121" s="140">
        <f>SUM($D121:V121)*IF($B121="Operacional",IFERROR(VLOOKUP($C121,SN_UGC,28,0),0),1)</f>
        <v>0</v>
      </c>
      <c r="FX121" s="140">
        <f>SUM($D121:W121)*IF($B121="Operacional",IFERROR(VLOOKUP($C121,SN_UGC,28,0),0),1)</f>
        <v>0</v>
      </c>
      <c r="FY121" s="140">
        <f>SUM($D121:X121)*IF($B121="Operacional",IFERROR(VLOOKUP($C121,SN_UGC,28,0),0),1)</f>
        <v>0</v>
      </c>
      <c r="FZ121" s="140">
        <f>SUM($D121:Y121)*IF($B121="Operacional",IFERROR(VLOOKUP($C121,SN_UGC,28,0),0),1)</f>
        <v>0</v>
      </c>
      <c r="GA121" s="140">
        <f>SUM($D121:Z121)*IF($B121="Operacional",IFERROR(VLOOKUP($C121,SN_UGC,28,0),0),1)</f>
        <v>0</v>
      </c>
      <c r="GB121" s="140">
        <f>SUM($D121:AA121)*IF($B121="Operacional",IFERROR(VLOOKUP($C121,SN_UGC,28,0),0),1)</f>
        <v>0</v>
      </c>
      <c r="GC121" s="140">
        <f>SUM($D121:AB121)*IF($B121="Operacional",IFERROR(VLOOKUP($C121,SN_UGC,28,0),0),1)</f>
        <v>0</v>
      </c>
      <c r="GD121" s="140">
        <f>SUM($D121:AC121)*IF($B121="Operacional",IFERROR(VLOOKUP($C121,SN_UGC,28,0),0),1)</f>
        <v>0</v>
      </c>
      <c r="GE121" s="140">
        <f>SUM($D121:AD121)*IF($B121="Operacional",IFERROR(VLOOKUP($C121,SN_UGC,28,0),0),1)</f>
        <v>0</v>
      </c>
      <c r="GF121" s="140">
        <f>SUM($D121:AE121)*IF($B121="Operacional",IFERROR(VLOOKUP($C121,SN_UGC,28,0),0),1)</f>
        <v>0</v>
      </c>
      <c r="GG121" s="140">
        <f>SUM($D121:AF121)*IF($B121="Operacional",IFERROR(VLOOKUP($C121,SN_UGC,28,0),0),1)</f>
        <v>0</v>
      </c>
      <c r="GH121" s="140">
        <f>SUM($D121:AG121)*IF($B121="Operacional",IFERROR(VLOOKUP($C121,SN_UGC,28,0),0),1)</f>
        <v>0</v>
      </c>
      <c r="GI121" s="141">
        <f t="shared" ref="GI121:HL121" si="618">FE121*$AH121*$AL121</f>
        <v>0</v>
      </c>
      <c r="GJ121" s="141">
        <f t="shared" si="618"/>
        <v>0</v>
      </c>
      <c r="GK121" s="141">
        <f t="shared" si="618"/>
        <v>0</v>
      </c>
      <c r="GL121" s="141">
        <f t="shared" si="618"/>
        <v>0</v>
      </c>
      <c r="GM121" s="141">
        <f t="shared" si="618"/>
        <v>0</v>
      </c>
      <c r="GN121" s="141">
        <f t="shared" si="618"/>
        <v>0</v>
      </c>
      <c r="GO121" s="141">
        <f t="shared" si="618"/>
        <v>0</v>
      </c>
      <c r="GP121" s="141">
        <f t="shared" si="618"/>
        <v>0</v>
      </c>
      <c r="GQ121" s="141">
        <f t="shared" si="618"/>
        <v>0</v>
      </c>
      <c r="GR121" s="141">
        <f t="shared" si="618"/>
        <v>0</v>
      </c>
      <c r="GS121" s="141">
        <f t="shared" si="618"/>
        <v>0</v>
      </c>
      <c r="GT121" s="141">
        <f t="shared" si="618"/>
        <v>0</v>
      </c>
      <c r="GU121" s="141">
        <f t="shared" si="618"/>
        <v>0</v>
      </c>
      <c r="GV121" s="141">
        <f t="shared" si="618"/>
        <v>0</v>
      </c>
      <c r="GW121" s="141">
        <f t="shared" si="618"/>
        <v>0</v>
      </c>
      <c r="GX121" s="141">
        <f t="shared" si="618"/>
        <v>0</v>
      </c>
      <c r="GY121" s="141">
        <f t="shared" si="618"/>
        <v>0</v>
      </c>
      <c r="GZ121" s="141">
        <f t="shared" si="618"/>
        <v>0</v>
      </c>
      <c r="HA121" s="141">
        <f t="shared" si="618"/>
        <v>0</v>
      </c>
      <c r="HB121" s="141">
        <f t="shared" si="618"/>
        <v>0</v>
      </c>
      <c r="HC121" s="141">
        <f t="shared" si="618"/>
        <v>0</v>
      </c>
      <c r="HD121" s="141">
        <f t="shared" si="618"/>
        <v>0</v>
      </c>
      <c r="HE121" s="141">
        <f t="shared" si="618"/>
        <v>0</v>
      </c>
      <c r="HF121" s="141">
        <f t="shared" si="618"/>
        <v>0</v>
      </c>
      <c r="HG121" s="141">
        <f t="shared" si="618"/>
        <v>0</v>
      </c>
      <c r="HH121" s="141">
        <f t="shared" si="618"/>
        <v>0</v>
      </c>
      <c r="HI121" s="141">
        <f t="shared" si="618"/>
        <v>0</v>
      </c>
      <c r="HJ121" s="141">
        <f t="shared" si="618"/>
        <v>0</v>
      </c>
      <c r="HK121" s="141">
        <f t="shared" si="618"/>
        <v>0</v>
      </c>
      <c r="HL121" s="141">
        <f t="shared" si="618"/>
        <v>0</v>
      </c>
      <c r="HM121" s="142">
        <f t="shared" ref="HM121:IP121" si="619">IF(ISBLANK($A121),,FE121*($AH121-($AH121*$AJ121))/$AI121)</f>
        <v>0</v>
      </c>
      <c r="HN121" s="142">
        <f t="shared" si="619"/>
        <v>0</v>
      </c>
      <c r="HO121" s="142">
        <f t="shared" si="619"/>
        <v>0</v>
      </c>
      <c r="HP121" s="142">
        <f t="shared" si="619"/>
        <v>0</v>
      </c>
      <c r="HQ121" s="142">
        <f t="shared" si="619"/>
        <v>0</v>
      </c>
      <c r="HR121" s="142">
        <f t="shared" si="619"/>
        <v>0</v>
      </c>
      <c r="HS121" s="142">
        <f t="shared" si="619"/>
        <v>0</v>
      </c>
      <c r="HT121" s="142">
        <f t="shared" si="619"/>
        <v>0</v>
      </c>
      <c r="HU121" s="142">
        <f t="shared" si="619"/>
        <v>0</v>
      </c>
      <c r="HV121" s="142">
        <f t="shared" si="619"/>
        <v>0</v>
      </c>
      <c r="HW121" s="142">
        <f t="shared" si="619"/>
        <v>0</v>
      </c>
      <c r="HX121" s="142">
        <f t="shared" si="619"/>
        <v>0</v>
      </c>
      <c r="HY121" s="142">
        <f t="shared" si="619"/>
        <v>0</v>
      </c>
      <c r="HZ121" s="142">
        <f t="shared" si="619"/>
        <v>0</v>
      </c>
      <c r="IA121" s="142">
        <f t="shared" si="619"/>
        <v>0</v>
      </c>
      <c r="IB121" s="142">
        <f t="shared" si="619"/>
        <v>0</v>
      </c>
      <c r="IC121" s="142">
        <f t="shared" si="619"/>
        <v>0</v>
      </c>
      <c r="ID121" s="142">
        <f t="shared" si="619"/>
        <v>0</v>
      </c>
      <c r="IE121" s="142">
        <f t="shared" si="619"/>
        <v>0</v>
      </c>
      <c r="IF121" s="142">
        <f t="shared" si="619"/>
        <v>0</v>
      </c>
      <c r="IG121" s="142">
        <f t="shared" si="619"/>
        <v>0</v>
      </c>
      <c r="IH121" s="142">
        <f t="shared" si="619"/>
        <v>0</v>
      </c>
      <c r="II121" s="142">
        <f t="shared" si="619"/>
        <v>0</v>
      </c>
      <c r="IJ121" s="142">
        <f t="shared" si="619"/>
        <v>0</v>
      </c>
      <c r="IK121" s="142">
        <f t="shared" si="619"/>
        <v>0</v>
      </c>
      <c r="IL121" s="142">
        <f t="shared" si="619"/>
        <v>0</v>
      </c>
      <c r="IM121" s="142">
        <f t="shared" si="619"/>
        <v>0</v>
      </c>
      <c r="IN121" s="142">
        <f t="shared" si="619"/>
        <v>0</v>
      </c>
      <c r="IO121" s="142">
        <f t="shared" si="619"/>
        <v>0</v>
      </c>
      <c r="IP121" s="142">
        <f t="shared" si="619"/>
        <v>0</v>
      </c>
      <c r="IQ121" s="141">
        <f>IF(ISBLANK($A121),,IF($AN121="Não",0,(SUM($AO121:AO121)*$AH121)-SUM($HM121:HM121)-SUM($CW121:CW121)))</f>
        <v>0</v>
      </c>
      <c r="IR121" s="141">
        <f>IF(ISBLANK($A121),,IF($AN121="Não",0,(SUM($AO121:AP121)*$AH121)-SUM($HM121:HN121)-SUM($CW121:CX121)))</f>
        <v>0</v>
      </c>
      <c r="IS121" s="141">
        <f>IF(ISBLANK($A121),,IF($AN121="Não",0,(SUM($AO121:AQ121)*$AH121)-SUM($HM121:HO121)-SUM($CW121:CY121)))</f>
        <v>0</v>
      </c>
      <c r="IT121" s="141">
        <f>IF(ISBLANK($A121),,IF($AN121="Não",0,(SUM($AO121:AR121)*$AH121)-SUM($HM121:HP121)-SUM($CW121:CZ121)))</f>
        <v>0</v>
      </c>
      <c r="IU121" s="141">
        <f>IF(ISBLANK($A121),,IF($AN121="Não",0,(SUM($AO121:AS121)*$AH121)-SUM($HM121:HQ121)-SUM($CW121:DA121)))</f>
        <v>0</v>
      </c>
      <c r="IV121" s="141">
        <f>IF(ISBLANK($A121),,IF($AN121="Não",0,(SUM($AO121:AT121)*$AH121)-SUM($HM121:HR121)-SUM($CW121:DB121)))</f>
        <v>0</v>
      </c>
      <c r="IW121" s="141">
        <f>IF(ISBLANK($A121),,IF($AN121="Não",0,(SUM($AO121:AU121)*$AH121)-SUM($HM121:HS121)-SUM($CW121:DC121)))</f>
        <v>0</v>
      </c>
      <c r="IX121" s="141">
        <f>IF(ISBLANK($A121),,IF($AN121="Não",0,(SUM($AO121:AV121)*$AH121)-SUM($HM121:HT121)-SUM($CW121:DD121)))</f>
        <v>0</v>
      </c>
      <c r="IY121" s="141">
        <f>IF(ISBLANK($A121),,IF($AN121="Não",0,(SUM($AO121:AW121)*$AH121)-SUM($HM121:HU121)-SUM($CW121:DE121)))</f>
        <v>0</v>
      </c>
      <c r="IZ121" s="141">
        <f>IF(ISBLANK($A121),,IF($AN121="Não",0,(SUM($AO121:AX121)*$AH121)-SUM($HM121:HV121)-SUM($CW121:DF121)))</f>
        <v>0</v>
      </c>
      <c r="JA121" s="141">
        <f>IF(ISBLANK($A121),,IF($AN121="Não",0,(SUM($AO121:AY121)*$AH121)-SUM($HM121:HW121)-SUM($CW121:DG121)))</f>
        <v>0</v>
      </c>
      <c r="JB121" s="141">
        <f>IF(ISBLANK($A121),,IF($AN121="Não",0,(SUM($AO121:AZ121)*$AH121)-SUM($HM121:HX121)-SUM($CW121:DH121)))</f>
        <v>0</v>
      </c>
      <c r="JC121" s="141">
        <f>IF(ISBLANK($A121),,IF($AN121="Não",0,(SUM($AO121:BA121)*$AH121)-SUM($HM121:HY121)-SUM($CW121:DI121)))</f>
        <v>0</v>
      </c>
      <c r="JD121" s="141">
        <f>IF(ISBLANK($A121),,IF($AN121="Não",0,(SUM($AO121:BB121)*$AH121)-SUM($HM121:HZ121)-SUM($CW121:DJ121)))</f>
        <v>0</v>
      </c>
      <c r="JE121" s="141">
        <f>IF(ISBLANK($A121),,IF($AN121="Não",0,(SUM($AO121:BC121)*$AH121)-SUM($HM121:IA121)-SUM($CW121:DK121)))</f>
        <v>0</v>
      </c>
      <c r="JF121" s="141">
        <f>IF(ISBLANK($A121),,IF($AN121="Não",0,(SUM($AO121:BD121)*$AH121)-SUM($HM121:IB121)-SUM($CW121:DL121)))</f>
        <v>0</v>
      </c>
      <c r="JG121" s="141">
        <f>IF(ISBLANK($A121),,IF($AN121="Não",0,(SUM($AO121:BE121)*$AH121)-SUM($HM121:IC121)-SUM($CW121:DM121)))</f>
        <v>0</v>
      </c>
      <c r="JH121" s="141">
        <f>IF(ISBLANK($A121),,IF($AN121="Não",0,(SUM($AO121:BF121)*$AH121)-SUM($HM121:ID121)-SUM($CW121:DN121)))</f>
        <v>0</v>
      </c>
      <c r="JI121" s="141">
        <f>IF(ISBLANK($A121),,IF($AN121="Não",0,(SUM($AO121:BG121)*$AH121)-SUM($HM121:IE121)-SUM($CW121:DO121)))</f>
        <v>0</v>
      </c>
      <c r="JJ121" s="141">
        <f>IF(ISBLANK($A121),,IF($AN121="Não",0,(SUM($AO121:BH121)*$AH121)-SUM($HM121:IF121)-SUM($CW121:DP121)))</f>
        <v>0</v>
      </c>
      <c r="JK121" s="141">
        <f>IF(ISBLANK($A121),,IF($AN121="Não",0,(SUM($AO121:BI121)*$AH121)-SUM($HM121:IG121)-SUM($CW121:DQ121)))</f>
        <v>0</v>
      </c>
      <c r="JL121" s="141">
        <f>IF(ISBLANK($A121),,IF($AN121="Não",0,(SUM($AO121:BJ121)*$AH121)-SUM($HM121:IH121)-SUM($CW121:DR121)))</f>
        <v>0</v>
      </c>
      <c r="JM121" s="141">
        <f>IF(ISBLANK($A121),,IF($AN121="Não",0,(SUM($AO121:BK121)*$AH121)-SUM($HM121:II121)-SUM($CW121:DS121)))</f>
        <v>0</v>
      </c>
      <c r="JN121" s="141">
        <f>IF(ISBLANK($A121),,IF($AN121="Não",0,(SUM($AO121:BL121)*$AH121)-SUM($HM121:IJ121)-SUM($CW121:DT121)))</f>
        <v>0</v>
      </c>
      <c r="JO121" s="141">
        <f>IF(ISBLANK($A121),,IF($AN121="Não",0,(SUM($AO121:BM121)*$AH121)-SUM($HM121:IK121)-SUM($CW121:DU121)))</f>
        <v>0</v>
      </c>
      <c r="JP121" s="141">
        <f>IF(ISBLANK($A121),,IF($AN121="Não",0,(SUM($AO121:BN121)*$AH121)-SUM($HM121:IL121)-SUM($CW121:DV121)))</f>
        <v>0</v>
      </c>
      <c r="JQ121" s="141">
        <f>IF(ISBLANK($A121),,IF($AN121="Não",0,(SUM($AO121:BO121)*$AH121)-SUM($HM121:IM121)-SUM($CW121:DW121)))</f>
        <v>0</v>
      </c>
      <c r="JR121" s="141">
        <f>IF(ISBLANK($A121),,IF($AN121="Não",0,(SUM($AO121:BP121)*$AH121)-SUM($HM121:IN121)-SUM($CW121:DX121)))</f>
        <v>0</v>
      </c>
      <c r="JS121" s="141">
        <f>IF(ISBLANK($A121),,IF($AN121="Não",0,(SUM($AO121:BQ121)*$AH121)-SUM($HM121:IO121)-SUM($CW121:DY121)))</f>
        <v>0</v>
      </c>
      <c r="JT121" s="141">
        <f>IF(ISBLANK($A121),,IF($AN121="Não",0,(SUM($AO121:BR121)*$AH121)-SUM($HM121:IP121)-SUM($CW121:DZ121)))</f>
        <v>0</v>
      </c>
    </row>
    <row r="122" spans="1:280" ht="15.75" customHeight="1">
      <c r="A122" s="129"/>
      <c r="B122" s="129"/>
      <c r="C122" s="138"/>
      <c r="D122" s="139"/>
      <c r="E122" s="139"/>
      <c r="F122" s="139"/>
      <c r="G122" s="139"/>
      <c r="H122" s="139"/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607">
        <f t="shared" si="544"/>
        <v>0</v>
      </c>
      <c r="AI122" s="608">
        <f t="shared" si="545"/>
        <v>0</v>
      </c>
      <c r="AJ122" s="609">
        <f t="shared" si="546"/>
        <v>0</v>
      </c>
      <c r="AK122" s="610" t="str">
        <f t="shared" si="547"/>
        <v/>
      </c>
      <c r="AL122" s="609">
        <f t="shared" si="548"/>
        <v>0</v>
      </c>
      <c r="AM122" s="611" t="str">
        <f t="shared" si="549"/>
        <v/>
      </c>
      <c r="AN122" s="611" t="str">
        <f t="shared" si="550"/>
        <v/>
      </c>
      <c r="AO122" s="140">
        <f t="array" ref="AO122">IF(ISBLANK($A122),0,IF(OR(AO$5-$AI122&lt;=0,$AM122="Não"),D122,D122+INDEX($AO$6:$BR$176,ROW()-5,COLUMN()-40-$AI122)))*IF($B122="Operacional",IFERROR(VLOOKUP($C122,SN_UGC,28,0),0),1)</f>
        <v>0</v>
      </c>
      <c r="AP122" s="140">
        <f t="array" ref="AP122">IF(ISBLANK($A122),0,IF(OR(AP$5-$AI122&lt;=0,$AM122="Não"),E122,E122+INDEX($AO$6:$BR$176,ROW()-5,COLUMN()-40-$AI122)))*IF($B122="Operacional",IFERROR(VLOOKUP($C122,SN_UGC,28,0),0),1)</f>
        <v>0</v>
      </c>
      <c r="AQ122" s="140">
        <f t="array" ref="AQ122">IF(ISBLANK($A122),0,IF(OR(AQ$5-$AI122&lt;=0,$AM122="Não"),F122,F122+INDEX($AO$6:$BR$176,ROW()-5,COLUMN()-40-$AI122)))*IF($B122="Operacional",IFERROR(VLOOKUP($C122,SN_UGC,28,0),0),1)</f>
        <v>0</v>
      </c>
      <c r="AR122" s="140">
        <f t="array" ref="AR122">IF(ISBLANK($A122),0,IF(OR(AR$5-$AI122&lt;=0,$AM122="Não"),G122,G122+INDEX($AO$6:$BR$176,ROW()-5,COLUMN()-40-$AI122)))*IF($B122="Operacional",IFERROR(VLOOKUP($C122,SN_UGC,28,0),0),1)</f>
        <v>0</v>
      </c>
      <c r="AS122" s="140">
        <f t="array" ref="AS122">IF(ISBLANK($A122),0,IF(OR(AS$5-$AI122&lt;=0,$AM122="Não"),H122,H122+INDEX($AO$6:$BR$176,ROW()-5,COLUMN()-40-$AI122)))*IF($B122="Operacional",IFERROR(VLOOKUP($C122,SN_UGC,28,0),0),1)</f>
        <v>0</v>
      </c>
      <c r="AT122" s="140">
        <f t="array" ref="AT122">IF(ISBLANK($A122),0,IF(OR(AT$5-$AI122&lt;=0,$AM122="Não"),I122,I122+INDEX($AO$6:$BR$176,ROW()-5,COLUMN()-40-$AI122)))*IF($B122="Operacional",IFERROR(VLOOKUP($C122,SN_UGC,28,0),0),1)</f>
        <v>0</v>
      </c>
      <c r="AU122" s="140">
        <f t="array" ref="AU122">IF(ISBLANK($A122),0,IF(OR(AU$5-$AI122&lt;=0,$AM122="Não"),J122,J122+INDEX($AO$6:$BR$176,ROW()-5,COLUMN()-40-$AI122)))*IF($B122="Operacional",IFERROR(VLOOKUP($C122,SN_UGC,28,0),0),1)</f>
        <v>0</v>
      </c>
      <c r="AV122" s="140">
        <f t="array" ref="AV122">IF(ISBLANK($A122),0,IF(OR(AV$5-$AI122&lt;=0,$AM122="Não"),K122,K122+INDEX($AO$6:$BR$176,ROW()-5,COLUMN()-40-$AI122)))*IF($B122="Operacional",IFERROR(VLOOKUP($C122,SN_UGC,28,0),0),1)</f>
        <v>0</v>
      </c>
      <c r="AW122" s="140">
        <f t="array" ref="AW122">IF(ISBLANK($A122),0,IF(OR(AW$5-$AI122&lt;=0,$AM122="Não"),L122,L122+INDEX($AO$6:$BR$176,ROW()-5,COLUMN()-40-$AI122)))*IF($B122="Operacional",IFERROR(VLOOKUP($C122,SN_UGC,28,0),0),1)</f>
        <v>0</v>
      </c>
      <c r="AX122" s="140">
        <f t="array" ref="AX122">IF(ISBLANK($A122),0,IF(OR(AX$5-$AI122&lt;=0,$AM122="Não"),M122,M122+INDEX($AO$6:$BR$176,ROW()-5,COLUMN()-40-$AI122)))*IF($B122="Operacional",IFERROR(VLOOKUP($C122,SN_UGC,28,0),0),1)</f>
        <v>0</v>
      </c>
      <c r="AY122" s="140">
        <f t="array" ref="AY122">IF(ISBLANK($A122),0,IF(OR(AY$5-$AI122&lt;=0,$AM122="Não"),N122,N122+INDEX($AO$6:$BR$176,ROW()-5,COLUMN()-40-$AI122)))*IF($B122="Operacional",IFERROR(VLOOKUP($C122,SN_UGC,28,0),0),1)</f>
        <v>0</v>
      </c>
      <c r="AZ122" s="140">
        <f t="array" ref="AZ122">IF(ISBLANK($A122),0,IF(OR(AZ$5-$AI122&lt;=0,$AM122="Não"),O122,O122+INDEX($AO$6:$BR$176,ROW()-5,COLUMN()-40-$AI122)))*IF($B122="Operacional",IFERROR(VLOOKUP($C122,SN_UGC,28,0),0),1)</f>
        <v>0</v>
      </c>
      <c r="BA122" s="140">
        <f t="array" ref="BA122">IF(ISBLANK($A122),0,IF(OR(BA$5-$AI122&lt;=0,$AM122="Não"),P122,P122+INDEX($AO$6:$BR$176,ROW()-5,COLUMN()-40-$AI122)))*IF($B122="Operacional",IFERROR(VLOOKUP($C122,SN_UGC,28,0),0),1)</f>
        <v>0</v>
      </c>
      <c r="BB122" s="140">
        <f t="array" ref="BB122">IF(ISBLANK($A122),0,IF(OR(BB$5-$AI122&lt;=0,$AM122="Não"),Q122,Q122+INDEX($AO$6:$BR$176,ROW()-5,COLUMN()-40-$AI122)))*IF($B122="Operacional",IFERROR(VLOOKUP($C122,SN_UGC,28,0),0),1)</f>
        <v>0</v>
      </c>
      <c r="BC122" s="140">
        <f t="array" ref="BC122">IF(ISBLANK($A122),0,IF(OR(BC$5-$AI122&lt;=0,$AM122="Não"),R122,R122+INDEX($AO$6:$BR$176,ROW()-5,COLUMN()-40-$AI122)))*IF($B122="Operacional",IFERROR(VLOOKUP($C122,SN_UGC,28,0),0),1)</f>
        <v>0</v>
      </c>
      <c r="BD122" s="140">
        <f t="array" ref="BD122">IF(ISBLANK($A122),0,IF(OR(BD$5-$AI122&lt;=0,$AM122="Não"),S122,S122+INDEX($AO$6:$BR$176,ROW()-5,COLUMN()-40-$AI122)))*IF($B122="Operacional",IFERROR(VLOOKUP($C122,SN_UGC,28,0),0),1)</f>
        <v>0</v>
      </c>
      <c r="BE122" s="140">
        <f t="array" ref="BE122">IF(ISBLANK($A122),0,IF(OR(BE$5-$AI122&lt;=0,$AM122="Não"),T122,T122+INDEX($AO$6:$BR$176,ROW()-5,COLUMN()-40-$AI122)))*IF($B122="Operacional",IFERROR(VLOOKUP($C122,SN_UGC,28,0),0),1)</f>
        <v>0</v>
      </c>
      <c r="BF122" s="140">
        <f t="array" ref="BF122">IF(ISBLANK($A122),0,IF(OR(BF$5-$AI122&lt;=0,$AM122="Não"),U122,U122+INDEX($AO$6:$BR$176,ROW()-5,COLUMN()-40-$AI122)))*IF($B122="Operacional",IFERROR(VLOOKUP($C122,SN_UGC,28,0),0),1)</f>
        <v>0</v>
      </c>
      <c r="BG122" s="140">
        <f t="array" ref="BG122">IF(ISBLANK($A122),0,IF(OR(BG$5-$AI122&lt;=0,$AM122="Não"),V122,V122+INDEX($AO$6:$BR$176,ROW()-5,COLUMN()-40-$AI122)))*IF($B122="Operacional",IFERROR(VLOOKUP($C122,SN_UGC,28,0),0),1)</f>
        <v>0</v>
      </c>
      <c r="BH122" s="140">
        <f t="array" ref="BH122">IF(ISBLANK($A122),0,IF(OR(BH$5-$AI122&lt;=0,$AM122="Não"),W122,W122+INDEX($AO$6:$BR$176,ROW()-5,COLUMN()-40-$AI122)))*IF($B122="Operacional",IFERROR(VLOOKUP($C122,SN_UGC,28,0),0),1)</f>
        <v>0</v>
      </c>
      <c r="BI122" s="140">
        <f t="array" ref="BI122">IF(ISBLANK($A122),0,IF(OR(BI$5-$AI122&lt;=0,$AM122="Não"),X122,X122+INDEX($AO$6:$BR$176,ROW()-5,COLUMN()-40-$AI122)))*IF($B122="Operacional",IFERROR(VLOOKUP($C122,SN_UGC,28,0),0),1)</f>
        <v>0</v>
      </c>
      <c r="BJ122" s="140">
        <f t="array" ref="BJ122">IF(ISBLANK($A122),0,IF(OR(BJ$5-$AI122&lt;=0,$AM122="Não"),Y122,Y122+INDEX($AO$6:$BR$176,ROW()-5,COLUMN()-40-$AI122)))*IF($B122="Operacional",IFERROR(VLOOKUP($C122,SN_UGC,28,0),0),1)</f>
        <v>0</v>
      </c>
      <c r="BK122" s="140">
        <f t="array" ref="BK122">IF(ISBLANK($A122),0,IF(OR(BK$5-$AI122&lt;=0,$AM122="Não"),Z122,Z122+INDEX($AO$6:$BR$176,ROW()-5,COLUMN()-40-$AI122)))*IF($B122="Operacional",IFERROR(VLOOKUP($C122,SN_UGC,28,0),0),1)</f>
        <v>0</v>
      </c>
      <c r="BL122" s="140">
        <f t="array" ref="BL122">IF(ISBLANK($A122),0,IF(OR(BL$5-$AI122&lt;=0,$AM122="Não"),AA122,AA122+INDEX($AO$6:$BR$176,ROW()-5,COLUMN()-40-$AI122)))*IF($B122="Operacional",IFERROR(VLOOKUP($C122,SN_UGC,28,0),0),1)</f>
        <v>0</v>
      </c>
      <c r="BM122" s="140">
        <f t="array" ref="BM122">IF(ISBLANK($A122),0,IF(OR(BM$5-$AI122&lt;=0,$AM122="Não"),AB122,AB122+INDEX($AO$6:$BR$176,ROW()-5,COLUMN()-40-$AI122)))*IF($B122="Operacional",IFERROR(VLOOKUP($C122,SN_UGC,28,0),0),1)</f>
        <v>0</v>
      </c>
      <c r="BN122" s="140">
        <f t="array" ref="BN122">IF(ISBLANK($A122),0,IF(OR(BN$5-$AI122&lt;=0,$AM122="Não"),AC122,AC122+INDEX($AO$6:$BR$176,ROW()-5,COLUMN()-40-$AI122)))*IF($B122="Operacional",IFERROR(VLOOKUP($C122,SN_UGC,28,0),0),1)</f>
        <v>0</v>
      </c>
      <c r="BO122" s="140">
        <f t="array" ref="BO122">IF(ISBLANK($A122),0,IF(OR(BO$5-$AI122&lt;=0,$AM122="Não"),AD122,AD122+INDEX($AO$6:$BR$176,ROW()-5,COLUMN()-40-$AI122)))*IF($B122="Operacional",IFERROR(VLOOKUP($C122,SN_UGC,28,0),0),1)</f>
        <v>0</v>
      </c>
      <c r="BP122" s="140">
        <f t="array" ref="BP122">IF(ISBLANK($A122),0,IF(OR(BP$5-$AI122&lt;=0,$AM122="Não"),AE122,AE122+INDEX($AO$6:$BR$176,ROW()-5,COLUMN()-40-$AI122)))*IF($B122="Operacional",IFERROR(VLOOKUP($C122,SN_UGC,28,0),0),1)</f>
        <v>0</v>
      </c>
      <c r="BQ122" s="140">
        <f t="array" ref="BQ122">IF(ISBLANK($A122),0,IF(OR(BQ$5-$AI122&lt;=0,$AM122="Não"),AF122,AF122+INDEX($AO$6:$BR$176,ROW()-5,COLUMN()-40-$AI122)))*IF($B122="Operacional",IFERROR(VLOOKUP($C122,SN_UGC,28,0),0),1)</f>
        <v>0</v>
      </c>
      <c r="BR122" s="140">
        <f t="array" ref="BR122">IF(ISBLANK($A122),0,IF(OR(BR$5-$AI122&lt;=0,$AM122="Não"),AG122,AG122+INDEX($AO$6:$BR$176,ROW()-5,COLUMN()-40-$AI122)))*IF($B122="Operacional",IFERROR(VLOOKUP($C122,SN_UGC,28,0),0),1)</f>
        <v>0</v>
      </c>
      <c r="BS122" s="141">
        <f t="shared" ref="BS122:CV122" si="620">IF(ISBLANK($A122),0,$AH122*AO122)</f>
        <v>0</v>
      </c>
      <c r="BT122" s="141">
        <f t="shared" si="620"/>
        <v>0</v>
      </c>
      <c r="BU122" s="141">
        <f t="shared" si="620"/>
        <v>0</v>
      </c>
      <c r="BV122" s="141">
        <f t="shared" si="620"/>
        <v>0</v>
      </c>
      <c r="BW122" s="141">
        <f t="shared" si="620"/>
        <v>0</v>
      </c>
      <c r="BX122" s="141">
        <f t="shared" si="620"/>
        <v>0</v>
      </c>
      <c r="BY122" s="141">
        <f t="shared" si="620"/>
        <v>0</v>
      </c>
      <c r="BZ122" s="141">
        <f t="shared" si="620"/>
        <v>0</v>
      </c>
      <c r="CA122" s="141">
        <f t="shared" si="620"/>
        <v>0</v>
      </c>
      <c r="CB122" s="141">
        <f t="shared" si="620"/>
        <v>0</v>
      </c>
      <c r="CC122" s="141">
        <f t="shared" si="620"/>
        <v>0</v>
      </c>
      <c r="CD122" s="141">
        <f t="shared" si="620"/>
        <v>0</v>
      </c>
      <c r="CE122" s="141">
        <f t="shared" si="620"/>
        <v>0</v>
      </c>
      <c r="CF122" s="141">
        <f t="shared" si="620"/>
        <v>0</v>
      </c>
      <c r="CG122" s="141">
        <f t="shared" si="620"/>
        <v>0</v>
      </c>
      <c r="CH122" s="141">
        <f t="shared" si="620"/>
        <v>0</v>
      </c>
      <c r="CI122" s="141">
        <f t="shared" si="620"/>
        <v>0</v>
      </c>
      <c r="CJ122" s="141">
        <f t="shared" si="620"/>
        <v>0</v>
      </c>
      <c r="CK122" s="141">
        <f t="shared" si="620"/>
        <v>0</v>
      </c>
      <c r="CL122" s="141">
        <f t="shared" si="620"/>
        <v>0</v>
      </c>
      <c r="CM122" s="141">
        <f t="shared" si="620"/>
        <v>0</v>
      </c>
      <c r="CN122" s="141">
        <f t="shared" si="620"/>
        <v>0</v>
      </c>
      <c r="CO122" s="141">
        <f t="shared" si="620"/>
        <v>0</v>
      </c>
      <c r="CP122" s="141">
        <f t="shared" si="620"/>
        <v>0</v>
      </c>
      <c r="CQ122" s="141">
        <f t="shared" si="620"/>
        <v>0</v>
      </c>
      <c r="CR122" s="141">
        <f t="shared" si="620"/>
        <v>0</v>
      </c>
      <c r="CS122" s="141">
        <f t="shared" si="620"/>
        <v>0</v>
      </c>
      <c r="CT122" s="141">
        <f t="shared" si="620"/>
        <v>0</v>
      </c>
      <c r="CU122" s="141">
        <f t="shared" si="620"/>
        <v>0</v>
      </c>
      <c r="CV122" s="141">
        <f t="shared" si="620"/>
        <v>0</v>
      </c>
      <c r="CW122" s="142">
        <f t="shared" ref="CW122:DZ122" si="621">EA122*$AH122*$AJ122</f>
        <v>0</v>
      </c>
      <c r="CX122" s="142">
        <f t="shared" si="621"/>
        <v>0</v>
      </c>
      <c r="CY122" s="142">
        <f t="shared" si="621"/>
        <v>0</v>
      </c>
      <c r="CZ122" s="142">
        <f t="shared" si="621"/>
        <v>0</v>
      </c>
      <c r="DA122" s="142">
        <f t="shared" si="621"/>
        <v>0</v>
      </c>
      <c r="DB122" s="142">
        <f t="shared" si="621"/>
        <v>0</v>
      </c>
      <c r="DC122" s="142">
        <f t="shared" si="621"/>
        <v>0</v>
      </c>
      <c r="DD122" s="142">
        <f t="shared" si="621"/>
        <v>0</v>
      </c>
      <c r="DE122" s="142">
        <f t="shared" si="621"/>
        <v>0</v>
      </c>
      <c r="DF122" s="142">
        <f t="shared" si="621"/>
        <v>0</v>
      </c>
      <c r="DG122" s="142">
        <f t="shared" si="621"/>
        <v>0</v>
      </c>
      <c r="DH122" s="142">
        <f t="shared" si="621"/>
        <v>0</v>
      </c>
      <c r="DI122" s="142">
        <f t="shared" si="621"/>
        <v>0</v>
      </c>
      <c r="DJ122" s="142">
        <f t="shared" si="621"/>
        <v>0</v>
      </c>
      <c r="DK122" s="142">
        <f t="shared" si="621"/>
        <v>0</v>
      </c>
      <c r="DL122" s="142">
        <f t="shared" si="621"/>
        <v>0</v>
      </c>
      <c r="DM122" s="142">
        <f t="shared" si="621"/>
        <v>0</v>
      </c>
      <c r="DN122" s="142">
        <f t="shared" si="621"/>
        <v>0</v>
      </c>
      <c r="DO122" s="142">
        <f t="shared" si="621"/>
        <v>0</v>
      </c>
      <c r="DP122" s="142">
        <f t="shared" si="621"/>
        <v>0</v>
      </c>
      <c r="DQ122" s="142">
        <f t="shared" si="621"/>
        <v>0</v>
      </c>
      <c r="DR122" s="142">
        <f t="shared" si="621"/>
        <v>0</v>
      </c>
      <c r="DS122" s="142">
        <f t="shared" si="621"/>
        <v>0</v>
      </c>
      <c r="DT122" s="142">
        <f t="shared" si="621"/>
        <v>0</v>
      </c>
      <c r="DU122" s="142">
        <f t="shared" si="621"/>
        <v>0</v>
      </c>
      <c r="DV122" s="142">
        <f t="shared" si="621"/>
        <v>0</v>
      </c>
      <c r="DW122" s="142">
        <f t="shared" si="621"/>
        <v>0</v>
      </c>
      <c r="DX122" s="142">
        <f t="shared" si="621"/>
        <v>0</v>
      </c>
      <c r="DY122" s="142">
        <f t="shared" si="621"/>
        <v>0</v>
      </c>
      <c r="DZ122" s="142">
        <f t="shared" si="621"/>
        <v>0</v>
      </c>
      <c r="EA122" s="143">
        <f t="shared" si="504"/>
        <v>0</v>
      </c>
      <c r="EB122" s="143">
        <f t="shared" si="505"/>
        <v>0</v>
      </c>
      <c r="EC122" s="143">
        <f t="shared" si="506"/>
        <v>0</v>
      </c>
      <c r="ED122" s="143">
        <f t="shared" si="507"/>
        <v>0</v>
      </c>
      <c r="EE122" s="143">
        <f t="shared" si="508"/>
        <v>0</v>
      </c>
      <c r="EF122" s="143">
        <f t="shared" si="509"/>
        <v>0</v>
      </c>
      <c r="EG122" s="143">
        <f t="shared" si="510"/>
        <v>0</v>
      </c>
      <c r="EH122" s="143">
        <f t="shared" si="511"/>
        <v>0</v>
      </c>
      <c r="EI122" s="143">
        <f t="shared" si="512"/>
        <v>0</v>
      </c>
      <c r="EJ122" s="143">
        <f t="shared" si="513"/>
        <v>0</v>
      </c>
      <c r="EK122" s="143">
        <f t="shared" si="514"/>
        <v>0</v>
      </c>
      <c r="EL122" s="143">
        <f t="shared" si="515"/>
        <v>0</v>
      </c>
      <c r="EM122" s="143">
        <f t="shared" si="516"/>
        <v>0</v>
      </c>
      <c r="EN122" s="143">
        <f t="shared" si="517"/>
        <v>0</v>
      </c>
      <c r="EO122" s="143">
        <f t="shared" si="518"/>
        <v>0</v>
      </c>
      <c r="EP122" s="143">
        <f t="shared" si="519"/>
        <v>0</v>
      </c>
      <c r="EQ122" s="143">
        <f t="shared" si="520"/>
        <v>0</v>
      </c>
      <c r="ER122" s="143">
        <f t="shared" si="521"/>
        <v>0</v>
      </c>
      <c r="ES122" s="143">
        <f t="shared" si="522"/>
        <v>0</v>
      </c>
      <c r="ET122" s="143">
        <f t="shared" si="523"/>
        <v>0</v>
      </c>
      <c r="EU122" s="143">
        <f t="shared" si="524"/>
        <v>0</v>
      </c>
      <c r="EV122" s="143">
        <f t="shared" si="525"/>
        <v>0</v>
      </c>
      <c r="EW122" s="143">
        <f t="shared" si="526"/>
        <v>0</v>
      </c>
      <c r="EX122" s="143">
        <f t="shared" si="527"/>
        <v>0</v>
      </c>
      <c r="EY122" s="143">
        <f t="shared" si="528"/>
        <v>0</v>
      </c>
      <c r="EZ122" s="143">
        <f t="shared" si="529"/>
        <v>0</v>
      </c>
      <c r="FA122" s="143">
        <f t="shared" si="530"/>
        <v>0</v>
      </c>
      <c r="FB122" s="143">
        <f t="shared" si="531"/>
        <v>0</v>
      </c>
      <c r="FC122" s="143">
        <f t="shared" si="532"/>
        <v>0</v>
      </c>
      <c r="FD122" s="143">
        <f t="shared" si="533"/>
        <v>0</v>
      </c>
      <c r="FE122" s="140">
        <f>SUM($D122:D122)*IF($B122="Operacional",IFERROR(VLOOKUP($C122,SN_UGC,28,0),0),1)</f>
        <v>0</v>
      </c>
      <c r="FF122" s="140">
        <f>SUM($D122:E122)*IF($B122="Operacional",IFERROR(VLOOKUP($C122,SN_UGC,28,0),0),1)</f>
        <v>0</v>
      </c>
      <c r="FG122" s="140">
        <f>SUM($D122:F122)*IF($B122="Operacional",IFERROR(VLOOKUP($C122,SN_UGC,28,0),0),1)</f>
        <v>0</v>
      </c>
      <c r="FH122" s="140">
        <f>SUM($D122:G122)*IF($B122="Operacional",IFERROR(VLOOKUP($C122,SN_UGC,28,0),0),1)</f>
        <v>0</v>
      </c>
      <c r="FI122" s="140">
        <f>SUM($D122:H122)*IF($B122="Operacional",IFERROR(VLOOKUP($C122,SN_UGC,28,0),0),1)</f>
        <v>0</v>
      </c>
      <c r="FJ122" s="140">
        <f>SUM($D122:I122)*IF($B122="Operacional",IFERROR(VLOOKUP($C122,SN_UGC,28,0),0),1)</f>
        <v>0</v>
      </c>
      <c r="FK122" s="140">
        <f>SUM($D122:J122)*IF($B122="Operacional",IFERROR(VLOOKUP($C122,SN_UGC,28,0),0),1)</f>
        <v>0</v>
      </c>
      <c r="FL122" s="140">
        <f>SUM($D122:K122)*IF($B122="Operacional",IFERROR(VLOOKUP($C122,SN_UGC,28,0),0),1)</f>
        <v>0</v>
      </c>
      <c r="FM122" s="140">
        <f>SUM($D122:L122)*IF($B122="Operacional",IFERROR(VLOOKUP($C122,SN_UGC,28,0),0),1)</f>
        <v>0</v>
      </c>
      <c r="FN122" s="140">
        <f>SUM($D122:M122)*IF($B122="Operacional",IFERROR(VLOOKUP($C122,SN_UGC,28,0),0),1)</f>
        <v>0</v>
      </c>
      <c r="FO122" s="140">
        <f>SUM($D122:N122)*IF($B122="Operacional",IFERROR(VLOOKUP($C122,SN_UGC,28,0),0),1)</f>
        <v>0</v>
      </c>
      <c r="FP122" s="140">
        <f>SUM($D122:O122)*IF($B122="Operacional",IFERROR(VLOOKUP($C122,SN_UGC,28,0),0),1)</f>
        <v>0</v>
      </c>
      <c r="FQ122" s="140">
        <f>SUM($D122:P122)*IF($B122="Operacional",IFERROR(VLOOKUP($C122,SN_UGC,28,0),0),1)</f>
        <v>0</v>
      </c>
      <c r="FR122" s="140">
        <f>SUM($D122:Q122)*IF($B122="Operacional",IFERROR(VLOOKUP($C122,SN_UGC,28,0),0),1)</f>
        <v>0</v>
      </c>
      <c r="FS122" s="140">
        <f>SUM($D122:R122)*IF($B122="Operacional",IFERROR(VLOOKUP($C122,SN_UGC,28,0),0),1)</f>
        <v>0</v>
      </c>
      <c r="FT122" s="140">
        <f>SUM($D122:S122)*IF($B122="Operacional",IFERROR(VLOOKUP($C122,SN_UGC,28,0),0),1)</f>
        <v>0</v>
      </c>
      <c r="FU122" s="140">
        <f>SUM($D122:T122)*IF($B122="Operacional",IFERROR(VLOOKUP($C122,SN_UGC,28,0),0),1)</f>
        <v>0</v>
      </c>
      <c r="FV122" s="140">
        <f>SUM($D122:U122)*IF($B122="Operacional",IFERROR(VLOOKUP($C122,SN_UGC,28,0),0),1)</f>
        <v>0</v>
      </c>
      <c r="FW122" s="140">
        <f>SUM($D122:V122)*IF($B122="Operacional",IFERROR(VLOOKUP($C122,SN_UGC,28,0),0),1)</f>
        <v>0</v>
      </c>
      <c r="FX122" s="140">
        <f>SUM($D122:W122)*IF($B122="Operacional",IFERROR(VLOOKUP($C122,SN_UGC,28,0),0),1)</f>
        <v>0</v>
      </c>
      <c r="FY122" s="140">
        <f>SUM($D122:X122)*IF($B122="Operacional",IFERROR(VLOOKUP($C122,SN_UGC,28,0),0),1)</f>
        <v>0</v>
      </c>
      <c r="FZ122" s="140">
        <f>SUM($D122:Y122)*IF($B122="Operacional",IFERROR(VLOOKUP($C122,SN_UGC,28,0),0),1)</f>
        <v>0</v>
      </c>
      <c r="GA122" s="140">
        <f>SUM($D122:Z122)*IF($B122="Operacional",IFERROR(VLOOKUP($C122,SN_UGC,28,0),0),1)</f>
        <v>0</v>
      </c>
      <c r="GB122" s="140">
        <f>SUM($D122:AA122)*IF($B122="Operacional",IFERROR(VLOOKUP($C122,SN_UGC,28,0),0),1)</f>
        <v>0</v>
      </c>
      <c r="GC122" s="140">
        <f>SUM($D122:AB122)*IF($B122="Operacional",IFERROR(VLOOKUP($C122,SN_UGC,28,0),0),1)</f>
        <v>0</v>
      </c>
      <c r="GD122" s="140">
        <f>SUM($D122:AC122)*IF($B122="Operacional",IFERROR(VLOOKUP($C122,SN_UGC,28,0),0),1)</f>
        <v>0</v>
      </c>
      <c r="GE122" s="140">
        <f>SUM($D122:AD122)*IF($B122="Operacional",IFERROR(VLOOKUP($C122,SN_UGC,28,0),0),1)</f>
        <v>0</v>
      </c>
      <c r="GF122" s="140">
        <f>SUM($D122:AE122)*IF($B122="Operacional",IFERROR(VLOOKUP($C122,SN_UGC,28,0),0),1)</f>
        <v>0</v>
      </c>
      <c r="GG122" s="140">
        <f>SUM($D122:AF122)*IF($B122="Operacional",IFERROR(VLOOKUP($C122,SN_UGC,28,0),0),1)</f>
        <v>0</v>
      </c>
      <c r="GH122" s="140">
        <f>SUM($D122:AG122)*IF($B122="Operacional",IFERROR(VLOOKUP($C122,SN_UGC,28,0),0),1)</f>
        <v>0</v>
      </c>
      <c r="GI122" s="141">
        <f t="shared" ref="GI122:HL122" si="622">FE122*$AH122*$AL122</f>
        <v>0</v>
      </c>
      <c r="GJ122" s="141">
        <f t="shared" si="622"/>
        <v>0</v>
      </c>
      <c r="GK122" s="141">
        <f t="shared" si="622"/>
        <v>0</v>
      </c>
      <c r="GL122" s="141">
        <f t="shared" si="622"/>
        <v>0</v>
      </c>
      <c r="GM122" s="141">
        <f t="shared" si="622"/>
        <v>0</v>
      </c>
      <c r="GN122" s="141">
        <f t="shared" si="622"/>
        <v>0</v>
      </c>
      <c r="GO122" s="141">
        <f t="shared" si="622"/>
        <v>0</v>
      </c>
      <c r="GP122" s="141">
        <f t="shared" si="622"/>
        <v>0</v>
      </c>
      <c r="GQ122" s="141">
        <f t="shared" si="622"/>
        <v>0</v>
      </c>
      <c r="GR122" s="141">
        <f t="shared" si="622"/>
        <v>0</v>
      </c>
      <c r="GS122" s="141">
        <f t="shared" si="622"/>
        <v>0</v>
      </c>
      <c r="GT122" s="141">
        <f t="shared" si="622"/>
        <v>0</v>
      </c>
      <c r="GU122" s="141">
        <f t="shared" si="622"/>
        <v>0</v>
      </c>
      <c r="GV122" s="141">
        <f t="shared" si="622"/>
        <v>0</v>
      </c>
      <c r="GW122" s="141">
        <f t="shared" si="622"/>
        <v>0</v>
      </c>
      <c r="GX122" s="141">
        <f t="shared" si="622"/>
        <v>0</v>
      </c>
      <c r="GY122" s="141">
        <f t="shared" si="622"/>
        <v>0</v>
      </c>
      <c r="GZ122" s="141">
        <f t="shared" si="622"/>
        <v>0</v>
      </c>
      <c r="HA122" s="141">
        <f t="shared" si="622"/>
        <v>0</v>
      </c>
      <c r="HB122" s="141">
        <f t="shared" si="622"/>
        <v>0</v>
      </c>
      <c r="HC122" s="141">
        <f t="shared" si="622"/>
        <v>0</v>
      </c>
      <c r="HD122" s="141">
        <f t="shared" si="622"/>
        <v>0</v>
      </c>
      <c r="HE122" s="141">
        <f t="shared" si="622"/>
        <v>0</v>
      </c>
      <c r="HF122" s="141">
        <f t="shared" si="622"/>
        <v>0</v>
      </c>
      <c r="HG122" s="141">
        <f t="shared" si="622"/>
        <v>0</v>
      </c>
      <c r="HH122" s="141">
        <f t="shared" si="622"/>
        <v>0</v>
      </c>
      <c r="HI122" s="141">
        <f t="shared" si="622"/>
        <v>0</v>
      </c>
      <c r="HJ122" s="141">
        <f t="shared" si="622"/>
        <v>0</v>
      </c>
      <c r="HK122" s="141">
        <f t="shared" si="622"/>
        <v>0</v>
      </c>
      <c r="HL122" s="141">
        <f t="shared" si="622"/>
        <v>0</v>
      </c>
      <c r="HM122" s="142">
        <f t="shared" ref="HM122:IP122" si="623">IF(ISBLANK($A122),,FE122*($AH122-($AH122*$AJ122))/$AI122)</f>
        <v>0</v>
      </c>
      <c r="HN122" s="142">
        <f t="shared" si="623"/>
        <v>0</v>
      </c>
      <c r="HO122" s="142">
        <f t="shared" si="623"/>
        <v>0</v>
      </c>
      <c r="HP122" s="142">
        <f t="shared" si="623"/>
        <v>0</v>
      </c>
      <c r="HQ122" s="142">
        <f t="shared" si="623"/>
        <v>0</v>
      </c>
      <c r="HR122" s="142">
        <f t="shared" si="623"/>
        <v>0</v>
      </c>
      <c r="HS122" s="142">
        <f t="shared" si="623"/>
        <v>0</v>
      </c>
      <c r="HT122" s="142">
        <f t="shared" si="623"/>
        <v>0</v>
      </c>
      <c r="HU122" s="142">
        <f t="shared" si="623"/>
        <v>0</v>
      </c>
      <c r="HV122" s="142">
        <f t="shared" si="623"/>
        <v>0</v>
      </c>
      <c r="HW122" s="142">
        <f t="shared" si="623"/>
        <v>0</v>
      </c>
      <c r="HX122" s="142">
        <f t="shared" si="623"/>
        <v>0</v>
      </c>
      <c r="HY122" s="142">
        <f t="shared" si="623"/>
        <v>0</v>
      </c>
      <c r="HZ122" s="142">
        <f t="shared" si="623"/>
        <v>0</v>
      </c>
      <c r="IA122" s="142">
        <f t="shared" si="623"/>
        <v>0</v>
      </c>
      <c r="IB122" s="142">
        <f t="shared" si="623"/>
        <v>0</v>
      </c>
      <c r="IC122" s="142">
        <f t="shared" si="623"/>
        <v>0</v>
      </c>
      <c r="ID122" s="142">
        <f t="shared" si="623"/>
        <v>0</v>
      </c>
      <c r="IE122" s="142">
        <f t="shared" si="623"/>
        <v>0</v>
      </c>
      <c r="IF122" s="142">
        <f t="shared" si="623"/>
        <v>0</v>
      </c>
      <c r="IG122" s="142">
        <f t="shared" si="623"/>
        <v>0</v>
      </c>
      <c r="IH122" s="142">
        <f t="shared" si="623"/>
        <v>0</v>
      </c>
      <c r="II122" s="142">
        <f t="shared" si="623"/>
        <v>0</v>
      </c>
      <c r="IJ122" s="142">
        <f t="shared" si="623"/>
        <v>0</v>
      </c>
      <c r="IK122" s="142">
        <f t="shared" si="623"/>
        <v>0</v>
      </c>
      <c r="IL122" s="142">
        <f t="shared" si="623"/>
        <v>0</v>
      </c>
      <c r="IM122" s="142">
        <f t="shared" si="623"/>
        <v>0</v>
      </c>
      <c r="IN122" s="142">
        <f t="shared" si="623"/>
        <v>0</v>
      </c>
      <c r="IO122" s="142">
        <f t="shared" si="623"/>
        <v>0</v>
      </c>
      <c r="IP122" s="142">
        <f t="shared" si="623"/>
        <v>0</v>
      </c>
      <c r="IQ122" s="141">
        <f>IF(ISBLANK($A122),,IF($AN122="Não",0,(SUM($AO122:AO122)*$AH122)-SUM($HM122:HM122)-SUM($CW122:CW122)))</f>
        <v>0</v>
      </c>
      <c r="IR122" s="141">
        <f>IF(ISBLANK($A122),,IF($AN122="Não",0,(SUM($AO122:AP122)*$AH122)-SUM($HM122:HN122)-SUM($CW122:CX122)))</f>
        <v>0</v>
      </c>
      <c r="IS122" s="141">
        <f>IF(ISBLANK($A122),,IF($AN122="Não",0,(SUM($AO122:AQ122)*$AH122)-SUM($HM122:HO122)-SUM($CW122:CY122)))</f>
        <v>0</v>
      </c>
      <c r="IT122" s="141">
        <f>IF(ISBLANK($A122),,IF($AN122="Não",0,(SUM($AO122:AR122)*$AH122)-SUM($HM122:HP122)-SUM($CW122:CZ122)))</f>
        <v>0</v>
      </c>
      <c r="IU122" s="141">
        <f>IF(ISBLANK($A122),,IF($AN122="Não",0,(SUM($AO122:AS122)*$AH122)-SUM($HM122:HQ122)-SUM($CW122:DA122)))</f>
        <v>0</v>
      </c>
      <c r="IV122" s="141">
        <f>IF(ISBLANK($A122),,IF($AN122="Não",0,(SUM($AO122:AT122)*$AH122)-SUM($HM122:HR122)-SUM($CW122:DB122)))</f>
        <v>0</v>
      </c>
      <c r="IW122" s="141">
        <f>IF(ISBLANK($A122),,IF($AN122="Não",0,(SUM($AO122:AU122)*$AH122)-SUM($HM122:HS122)-SUM($CW122:DC122)))</f>
        <v>0</v>
      </c>
      <c r="IX122" s="141">
        <f>IF(ISBLANK($A122),,IF($AN122="Não",0,(SUM($AO122:AV122)*$AH122)-SUM($HM122:HT122)-SUM($CW122:DD122)))</f>
        <v>0</v>
      </c>
      <c r="IY122" s="141">
        <f>IF(ISBLANK($A122),,IF($AN122="Não",0,(SUM($AO122:AW122)*$AH122)-SUM($HM122:HU122)-SUM($CW122:DE122)))</f>
        <v>0</v>
      </c>
      <c r="IZ122" s="141">
        <f>IF(ISBLANK($A122),,IF($AN122="Não",0,(SUM($AO122:AX122)*$AH122)-SUM($HM122:HV122)-SUM($CW122:DF122)))</f>
        <v>0</v>
      </c>
      <c r="JA122" s="141">
        <f>IF(ISBLANK($A122),,IF($AN122="Não",0,(SUM($AO122:AY122)*$AH122)-SUM($HM122:HW122)-SUM($CW122:DG122)))</f>
        <v>0</v>
      </c>
      <c r="JB122" s="141">
        <f>IF(ISBLANK($A122),,IF($AN122="Não",0,(SUM($AO122:AZ122)*$AH122)-SUM($HM122:HX122)-SUM($CW122:DH122)))</f>
        <v>0</v>
      </c>
      <c r="JC122" s="141">
        <f>IF(ISBLANK($A122),,IF($AN122="Não",0,(SUM($AO122:BA122)*$AH122)-SUM($HM122:HY122)-SUM($CW122:DI122)))</f>
        <v>0</v>
      </c>
      <c r="JD122" s="141">
        <f>IF(ISBLANK($A122),,IF($AN122="Não",0,(SUM($AO122:BB122)*$AH122)-SUM($HM122:HZ122)-SUM($CW122:DJ122)))</f>
        <v>0</v>
      </c>
      <c r="JE122" s="141">
        <f>IF(ISBLANK($A122),,IF($AN122="Não",0,(SUM($AO122:BC122)*$AH122)-SUM($HM122:IA122)-SUM($CW122:DK122)))</f>
        <v>0</v>
      </c>
      <c r="JF122" s="141">
        <f>IF(ISBLANK($A122),,IF($AN122="Não",0,(SUM($AO122:BD122)*$AH122)-SUM($HM122:IB122)-SUM($CW122:DL122)))</f>
        <v>0</v>
      </c>
      <c r="JG122" s="141">
        <f>IF(ISBLANK($A122),,IF($AN122="Não",0,(SUM($AO122:BE122)*$AH122)-SUM($HM122:IC122)-SUM($CW122:DM122)))</f>
        <v>0</v>
      </c>
      <c r="JH122" s="141">
        <f>IF(ISBLANK($A122),,IF($AN122="Não",0,(SUM($AO122:BF122)*$AH122)-SUM($HM122:ID122)-SUM($CW122:DN122)))</f>
        <v>0</v>
      </c>
      <c r="JI122" s="141">
        <f>IF(ISBLANK($A122),,IF($AN122="Não",0,(SUM($AO122:BG122)*$AH122)-SUM($HM122:IE122)-SUM($CW122:DO122)))</f>
        <v>0</v>
      </c>
      <c r="JJ122" s="141">
        <f>IF(ISBLANK($A122),,IF($AN122="Não",0,(SUM($AO122:BH122)*$AH122)-SUM($HM122:IF122)-SUM($CW122:DP122)))</f>
        <v>0</v>
      </c>
      <c r="JK122" s="141">
        <f>IF(ISBLANK($A122),,IF($AN122="Não",0,(SUM($AO122:BI122)*$AH122)-SUM($HM122:IG122)-SUM($CW122:DQ122)))</f>
        <v>0</v>
      </c>
      <c r="JL122" s="141">
        <f>IF(ISBLANK($A122),,IF($AN122="Não",0,(SUM($AO122:BJ122)*$AH122)-SUM($HM122:IH122)-SUM($CW122:DR122)))</f>
        <v>0</v>
      </c>
      <c r="JM122" s="141">
        <f>IF(ISBLANK($A122),,IF($AN122="Não",0,(SUM($AO122:BK122)*$AH122)-SUM($HM122:II122)-SUM($CW122:DS122)))</f>
        <v>0</v>
      </c>
      <c r="JN122" s="141">
        <f>IF(ISBLANK($A122),,IF($AN122="Não",0,(SUM($AO122:BL122)*$AH122)-SUM($HM122:IJ122)-SUM($CW122:DT122)))</f>
        <v>0</v>
      </c>
      <c r="JO122" s="141">
        <f>IF(ISBLANK($A122),,IF($AN122="Não",0,(SUM($AO122:BM122)*$AH122)-SUM($HM122:IK122)-SUM($CW122:DU122)))</f>
        <v>0</v>
      </c>
      <c r="JP122" s="141">
        <f>IF(ISBLANK($A122),,IF($AN122="Não",0,(SUM($AO122:BN122)*$AH122)-SUM($HM122:IL122)-SUM($CW122:DV122)))</f>
        <v>0</v>
      </c>
      <c r="JQ122" s="141">
        <f>IF(ISBLANK($A122),,IF($AN122="Não",0,(SUM($AO122:BO122)*$AH122)-SUM($HM122:IM122)-SUM($CW122:DW122)))</f>
        <v>0</v>
      </c>
      <c r="JR122" s="141">
        <f>IF(ISBLANK($A122),,IF($AN122="Não",0,(SUM($AO122:BP122)*$AH122)-SUM($HM122:IN122)-SUM($CW122:DX122)))</f>
        <v>0</v>
      </c>
      <c r="JS122" s="141">
        <f>IF(ISBLANK($A122),,IF($AN122="Não",0,(SUM($AO122:BQ122)*$AH122)-SUM($HM122:IO122)-SUM($CW122:DY122)))</f>
        <v>0</v>
      </c>
      <c r="JT122" s="141">
        <f>IF(ISBLANK($A122),,IF($AN122="Não",0,(SUM($AO122:BR122)*$AH122)-SUM($HM122:IP122)-SUM($CW122:DZ122)))</f>
        <v>0</v>
      </c>
    </row>
    <row r="123" spans="1:280" ht="15.75" customHeight="1">
      <c r="A123" s="129"/>
      <c r="B123" s="129"/>
      <c r="C123" s="138"/>
      <c r="D123" s="139"/>
      <c r="E123" s="139"/>
      <c r="F123" s="139"/>
      <c r="G123" s="139"/>
      <c r="H123" s="139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607">
        <f t="shared" si="544"/>
        <v>0</v>
      </c>
      <c r="AI123" s="608">
        <f t="shared" si="545"/>
        <v>0</v>
      </c>
      <c r="AJ123" s="609">
        <f t="shared" si="546"/>
        <v>0</v>
      </c>
      <c r="AK123" s="610" t="str">
        <f t="shared" si="547"/>
        <v/>
      </c>
      <c r="AL123" s="609">
        <f t="shared" si="548"/>
        <v>0</v>
      </c>
      <c r="AM123" s="611" t="str">
        <f t="shared" si="549"/>
        <v/>
      </c>
      <c r="AN123" s="611" t="str">
        <f t="shared" si="550"/>
        <v/>
      </c>
      <c r="AO123" s="140">
        <f t="array" ref="AO123">IF(ISBLANK($A123),0,IF(OR(AO$5-$AI123&lt;=0,$AM123="Não"),D123,D123+INDEX($AO$6:$BR$176,ROW()-5,COLUMN()-40-$AI123)))*IF($B123="Operacional",IFERROR(VLOOKUP($C123,SN_UGC,28,0),0),1)</f>
        <v>0</v>
      </c>
      <c r="AP123" s="140">
        <f t="array" ref="AP123">IF(ISBLANK($A123),0,IF(OR(AP$5-$AI123&lt;=0,$AM123="Não"),E123,E123+INDEX($AO$6:$BR$176,ROW()-5,COLUMN()-40-$AI123)))*IF($B123="Operacional",IFERROR(VLOOKUP($C123,SN_UGC,28,0),0),1)</f>
        <v>0</v>
      </c>
      <c r="AQ123" s="140">
        <f t="array" ref="AQ123">IF(ISBLANK($A123),0,IF(OR(AQ$5-$AI123&lt;=0,$AM123="Não"),F123,F123+INDEX($AO$6:$BR$176,ROW()-5,COLUMN()-40-$AI123)))*IF($B123="Operacional",IFERROR(VLOOKUP($C123,SN_UGC,28,0),0),1)</f>
        <v>0</v>
      </c>
      <c r="AR123" s="140">
        <f t="array" ref="AR123">IF(ISBLANK($A123),0,IF(OR(AR$5-$AI123&lt;=0,$AM123="Não"),G123,G123+INDEX($AO$6:$BR$176,ROW()-5,COLUMN()-40-$AI123)))*IF($B123="Operacional",IFERROR(VLOOKUP($C123,SN_UGC,28,0),0),1)</f>
        <v>0</v>
      </c>
      <c r="AS123" s="140">
        <f t="array" ref="AS123">IF(ISBLANK($A123),0,IF(OR(AS$5-$AI123&lt;=0,$AM123="Não"),H123,H123+INDEX($AO$6:$BR$176,ROW()-5,COLUMN()-40-$AI123)))*IF($B123="Operacional",IFERROR(VLOOKUP($C123,SN_UGC,28,0),0),1)</f>
        <v>0</v>
      </c>
      <c r="AT123" s="140">
        <f t="array" ref="AT123">IF(ISBLANK($A123),0,IF(OR(AT$5-$AI123&lt;=0,$AM123="Não"),I123,I123+INDEX($AO$6:$BR$176,ROW()-5,COLUMN()-40-$AI123)))*IF($B123="Operacional",IFERROR(VLOOKUP($C123,SN_UGC,28,0),0),1)</f>
        <v>0</v>
      </c>
      <c r="AU123" s="140">
        <f t="array" ref="AU123">IF(ISBLANK($A123),0,IF(OR(AU$5-$AI123&lt;=0,$AM123="Não"),J123,J123+INDEX($AO$6:$BR$176,ROW()-5,COLUMN()-40-$AI123)))*IF($B123="Operacional",IFERROR(VLOOKUP($C123,SN_UGC,28,0),0),1)</f>
        <v>0</v>
      </c>
      <c r="AV123" s="140">
        <f t="array" ref="AV123">IF(ISBLANK($A123),0,IF(OR(AV$5-$AI123&lt;=0,$AM123="Não"),K123,K123+INDEX($AO$6:$BR$176,ROW()-5,COLUMN()-40-$AI123)))*IF($B123="Operacional",IFERROR(VLOOKUP($C123,SN_UGC,28,0),0),1)</f>
        <v>0</v>
      </c>
      <c r="AW123" s="140">
        <f t="array" ref="AW123">IF(ISBLANK($A123),0,IF(OR(AW$5-$AI123&lt;=0,$AM123="Não"),L123,L123+INDEX($AO$6:$BR$176,ROW()-5,COLUMN()-40-$AI123)))*IF($B123="Operacional",IFERROR(VLOOKUP($C123,SN_UGC,28,0),0),1)</f>
        <v>0</v>
      </c>
      <c r="AX123" s="140">
        <f t="array" ref="AX123">IF(ISBLANK($A123),0,IF(OR(AX$5-$AI123&lt;=0,$AM123="Não"),M123,M123+INDEX($AO$6:$BR$176,ROW()-5,COLUMN()-40-$AI123)))*IF($B123="Operacional",IFERROR(VLOOKUP($C123,SN_UGC,28,0),0),1)</f>
        <v>0</v>
      </c>
      <c r="AY123" s="140">
        <f t="array" ref="AY123">IF(ISBLANK($A123),0,IF(OR(AY$5-$AI123&lt;=0,$AM123="Não"),N123,N123+INDEX($AO$6:$BR$176,ROW()-5,COLUMN()-40-$AI123)))*IF($B123="Operacional",IFERROR(VLOOKUP($C123,SN_UGC,28,0),0),1)</f>
        <v>0</v>
      </c>
      <c r="AZ123" s="140">
        <f t="array" ref="AZ123">IF(ISBLANK($A123),0,IF(OR(AZ$5-$AI123&lt;=0,$AM123="Não"),O123,O123+INDEX($AO$6:$BR$176,ROW()-5,COLUMN()-40-$AI123)))*IF($B123="Operacional",IFERROR(VLOOKUP($C123,SN_UGC,28,0),0),1)</f>
        <v>0</v>
      </c>
      <c r="BA123" s="140">
        <f t="array" ref="BA123">IF(ISBLANK($A123),0,IF(OR(BA$5-$AI123&lt;=0,$AM123="Não"),P123,P123+INDEX($AO$6:$BR$176,ROW()-5,COLUMN()-40-$AI123)))*IF($B123="Operacional",IFERROR(VLOOKUP($C123,SN_UGC,28,0),0),1)</f>
        <v>0</v>
      </c>
      <c r="BB123" s="140">
        <f t="array" ref="BB123">IF(ISBLANK($A123),0,IF(OR(BB$5-$AI123&lt;=0,$AM123="Não"),Q123,Q123+INDEX($AO$6:$BR$176,ROW()-5,COLUMN()-40-$AI123)))*IF($B123="Operacional",IFERROR(VLOOKUP($C123,SN_UGC,28,0),0),1)</f>
        <v>0</v>
      </c>
      <c r="BC123" s="140">
        <f t="array" ref="BC123">IF(ISBLANK($A123),0,IF(OR(BC$5-$AI123&lt;=0,$AM123="Não"),R123,R123+INDEX($AO$6:$BR$176,ROW()-5,COLUMN()-40-$AI123)))*IF($B123="Operacional",IFERROR(VLOOKUP($C123,SN_UGC,28,0),0),1)</f>
        <v>0</v>
      </c>
      <c r="BD123" s="140">
        <f t="array" ref="BD123">IF(ISBLANK($A123),0,IF(OR(BD$5-$AI123&lt;=0,$AM123="Não"),S123,S123+INDEX($AO$6:$BR$176,ROW()-5,COLUMN()-40-$AI123)))*IF($B123="Operacional",IFERROR(VLOOKUP($C123,SN_UGC,28,0),0),1)</f>
        <v>0</v>
      </c>
      <c r="BE123" s="140">
        <f t="array" ref="BE123">IF(ISBLANK($A123),0,IF(OR(BE$5-$AI123&lt;=0,$AM123="Não"),T123,T123+INDEX($AO$6:$BR$176,ROW()-5,COLUMN()-40-$AI123)))*IF($B123="Operacional",IFERROR(VLOOKUP($C123,SN_UGC,28,0),0),1)</f>
        <v>0</v>
      </c>
      <c r="BF123" s="140">
        <f t="array" ref="BF123">IF(ISBLANK($A123),0,IF(OR(BF$5-$AI123&lt;=0,$AM123="Não"),U123,U123+INDEX($AO$6:$BR$176,ROW()-5,COLUMN()-40-$AI123)))*IF($B123="Operacional",IFERROR(VLOOKUP($C123,SN_UGC,28,0),0),1)</f>
        <v>0</v>
      </c>
      <c r="BG123" s="140">
        <f t="array" ref="BG123">IF(ISBLANK($A123),0,IF(OR(BG$5-$AI123&lt;=0,$AM123="Não"),V123,V123+INDEX($AO$6:$BR$176,ROW()-5,COLUMN()-40-$AI123)))*IF($B123="Operacional",IFERROR(VLOOKUP($C123,SN_UGC,28,0),0),1)</f>
        <v>0</v>
      </c>
      <c r="BH123" s="140">
        <f t="array" ref="BH123">IF(ISBLANK($A123),0,IF(OR(BH$5-$AI123&lt;=0,$AM123="Não"),W123,W123+INDEX($AO$6:$BR$176,ROW()-5,COLUMN()-40-$AI123)))*IF($B123="Operacional",IFERROR(VLOOKUP($C123,SN_UGC,28,0),0),1)</f>
        <v>0</v>
      </c>
      <c r="BI123" s="140">
        <f t="array" ref="BI123">IF(ISBLANK($A123),0,IF(OR(BI$5-$AI123&lt;=0,$AM123="Não"),X123,X123+INDEX($AO$6:$BR$176,ROW()-5,COLUMN()-40-$AI123)))*IF($B123="Operacional",IFERROR(VLOOKUP($C123,SN_UGC,28,0),0),1)</f>
        <v>0</v>
      </c>
      <c r="BJ123" s="140">
        <f t="array" ref="BJ123">IF(ISBLANK($A123),0,IF(OR(BJ$5-$AI123&lt;=0,$AM123="Não"),Y123,Y123+INDEX($AO$6:$BR$176,ROW()-5,COLUMN()-40-$AI123)))*IF($B123="Operacional",IFERROR(VLOOKUP($C123,SN_UGC,28,0),0),1)</f>
        <v>0</v>
      </c>
      <c r="BK123" s="140">
        <f t="array" ref="BK123">IF(ISBLANK($A123),0,IF(OR(BK$5-$AI123&lt;=0,$AM123="Não"),Z123,Z123+INDEX($AO$6:$BR$176,ROW()-5,COLUMN()-40-$AI123)))*IF($B123="Operacional",IFERROR(VLOOKUP($C123,SN_UGC,28,0),0),1)</f>
        <v>0</v>
      </c>
      <c r="BL123" s="140">
        <f t="array" ref="BL123">IF(ISBLANK($A123),0,IF(OR(BL$5-$AI123&lt;=0,$AM123="Não"),AA123,AA123+INDEX($AO$6:$BR$176,ROW()-5,COLUMN()-40-$AI123)))*IF($B123="Operacional",IFERROR(VLOOKUP($C123,SN_UGC,28,0),0),1)</f>
        <v>0</v>
      </c>
      <c r="BM123" s="140">
        <f t="array" ref="BM123">IF(ISBLANK($A123),0,IF(OR(BM$5-$AI123&lt;=0,$AM123="Não"),AB123,AB123+INDEX($AO$6:$BR$176,ROW()-5,COLUMN()-40-$AI123)))*IF($B123="Operacional",IFERROR(VLOOKUP($C123,SN_UGC,28,0),0),1)</f>
        <v>0</v>
      </c>
      <c r="BN123" s="140">
        <f t="array" ref="BN123">IF(ISBLANK($A123),0,IF(OR(BN$5-$AI123&lt;=0,$AM123="Não"),AC123,AC123+INDEX($AO$6:$BR$176,ROW()-5,COLUMN()-40-$AI123)))*IF($B123="Operacional",IFERROR(VLOOKUP($C123,SN_UGC,28,0),0),1)</f>
        <v>0</v>
      </c>
      <c r="BO123" s="140">
        <f t="array" ref="BO123">IF(ISBLANK($A123),0,IF(OR(BO$5-$AI123&lt;=0,$AM123="Não"),AD123,AD123+INDEX($AO$6:$BR$176,ROW()-5,COLUMN()-40-$AI123)))*IF($B123="Operacional",IFERROR(VLOOKUP($C123,SN_UGC,28,0),0),1)</f>
        <v>0</v>
      </c>
      <c r="BP123" s="140">
        <f t="array" ref="BP123">IF(ISBLANK($A123),0,IF(OR(BP$5-$AI123&lt;=0,$AM123="Não"),AE123,AE123+INDEX($AO$6:$BR$176,ROW()-5,COLUMN()-40-$AI123)))*IF($B123="Operacional",IFERROR(VLOOKUP($C123,SN_UGC,28,0),0),1)</f>
        <v>0</v>
      </c>
      <c r="BQ123" s="140">
        <f t="array" ref="BQ123">IF(ISBLANK($A123),0,IF(OR(BQ$5-$AI123&lt;=0,$AM123="Não"),AF123,AF123+INDEX($AO$6:$BR$176,ROW()-5,COLUMN()-40-$AI123)))*IF($B123="Operacional",IFERROR(VLOOKUP($C123,SN_UGC,28,0),0),1)</f>
        <v>0</v>
      </c>
      <c r="BR123" s="140">
        <f t="array" ref="BR123">IF(ISBLANK($A123),0,IF(OR(BR$5-$AI123&lt;=0,$AM123="Não"),AG123,AG123+INDEX($AO$6:$BR$176,ROW()-5,COLUMN()-40-$AI123)))*IF($B123="Operacional",IFERROR(VLOOKUP($C123,SN_UGC,28,0),0),1)</f>
        <v>0</v>
      </c>
      <c r="BS123" s="141">
        <f t="shared" ref="BS123:CV123" si="624">IF(ISBLANK($A123),0,$AH123*AO123)</f>
        <v>0</v>
      </c>
      <c r="BT123" s="141">
        <f t="shared" si="624"/>
        <v>0</v>
      </c>
      <c r="BU123" s="141">
        <f t="shared" si="624"/>
        <v>0</v>
      </c>
      <c r="BV123" s="141">
        <f t="shared" si="624"/>
        <v>0</v>
      </c>
      <c r="BW123" s="141">
        <f t="shared" si="624"/>
        <v>0</v>
      </c>
      <c r="BX123" s="141">
        <f t="shared" si="624"/>
        <v>0</v>
      </c>
      <c r="BY123" s="141">
        <f t="shared" si="624"/>
        <v>0</v>
      </c>
      <c r="BZ123" s="141">
        <f t="shared" si="624"/>
        <v>0</v>
      </c>
      <c r="CA123" s="141">
        <f t="shared" si="624"/>
        <v>0</v>
      </c>
      <c r="CB123" s="141">
        <f t="shared" si="624"/>
        <v>0</v>
      </c>
      <c r="CC123" s="141">
        <f t="shared" si="624"/>
        <v>0</v>
      </c>
      <c r="CD123" s="141">
        <f t="shared" si="624"/>
        <v>0</v>
      </c>
      <c r="CE123" s="141">
        <f t="shared" si="624"/>
        <v>0</v>
      </c>
      <c r="CF123" s="141">
        <f t="shared" si="624"/>
        <v>0</v>
      </c>
      <c r="CG123" s="141">
        <f t="shared" si="624"/>
        <v>0</v>
      </c>
      <c r="CH123" s="141">
        <f t="shared" si="624"/>
        <v>0</v>
      </c>
      <c r="CI123" s="141">
        <f t="shared" si="624"/>
        <v>0</v>
      </c>
      <c r="CJ123" s="141">
        <f t="shared" si="624"/>
        <v>0</v>
      </c>
      <c r="CK123" s="141">
        <f t="shared" si="624"/>
        <v>0</v>
      </c>
      <c r="CL123" s="141">
        <f t="shared" si="624"/>
        <v>0</v>
      </c>
      <c r="CM123" s="141">
        <f t="shared" si="624"/>
        <v>0</v>
      </c>
      <c r="CN123" s="141">
        <f t="shared" si="624"/>
        <v>0</v>
      </c>
      <c r="CO123" s="141">
        <f t="shared" si="624"/>
        <v>0</v>
      </c>
      <c r="CP123" s="141">
        <f t="shared" si="624"/>
        <v>0</v>
      </c>
      <c r="CQ123" s="141">
        <f t="shared" si="624"/>
        <v>0</v>
      </c>
      <c r="CR123" s="141">
        <f t="shared" si="624"/>
        <v>0</v>
      </c>
      <c r="CS123" s="141">
        <f t="shared" si="624"/>
        <v>0</v>
      </c>
      <c r="CT123" s="141">
        <f t="shared" si="624"/>
        <v>0</v>
      </c>
      <c r="CU123" s="141">
        <f t="shared" si="624"/>
        <v>0</v>
      </c>
      <c r="CV123" s="141">
        <f t="shared" si="624"/>
        <v>0</v>
      </c>
      <c r="CW123" s="142">
        <f t="shared" ref="CW123:DZ123" si="625">EA123*$AH123*$AJ123</f>
        <v>0</v>
      </c>
      <c r="CX123" s="142">
        <f t="shared" si="625"/>
        <v>0</v>
      </c>
      <c r="CY123" s="142">
        <f t="shared" si="625"/>
        <v>0</v>
      </c>
      <c r="CZ123" s="142">
        <f t="shared" si="625"/>
        <v>0</v>
      </c>
      <c r="DA123" s="142">
        <f t="shared" si="625"/>
        <v>0</v>
      </c>
      <c r="DB123" s="142">
        <f t="shared" si="625"/>
        <v>0</v>
      </c>
      <c r="DC123" s="142">
        <f t="shared" si="625"/>
        <v>0</v>
      </c>
      <c r="DD123" s="142">
        <f t="shared" si="625"/>
        <v>0</v>
      </c>
      <c r="DE123" s="142">
        <f t="shared" si="625"/>
        <v>0</v>
      </c>
      <c r="DF123" s="142">
        <f t="shared" si="625"/>
        <v>0</v>
      </c>
      <c r="DG123" s="142">
        <f t="shared" si="625"/>
        <v>0</v>
      </c>
      <c r="DH123" s="142">
        <f t="shared" si="625"/>
        <v>0</v>
      </c>
      <c r="DI123" s="142">
        <f t="shared" si="625"/>
        <v>0</v>
      </c>
      <c r="DJ123" s="142">
        <f t="shared" si="625"/>
        <v>0</v>
      </c>
      <c r="DK123" s="142">
        <f t="shared" si="625"/>
        <v>0</v>
      </c>
      <c r="DL123" s="142">
        <f t="shared" si="625"/>
        <v>0</v>
      </c>
      <c r="DM123" s="142">
        <f t="shared" si="625"/>
        <v>0</v>
      </c>
      <c r="DN123" s="142">
        <f t="shared" si="625"/>
        <v>0</v>
      </c>
      <c r="DO123" s="142">
        <f t="shared" si="625"/>
        <v>0</v>
      </c>
      <c r="DP123" s="142">
        <f t="shared" si="625"/>
        <v>0</v>
      </c>
      <c r="DQ123" s="142">
        <f t="shared" si="625"/>
        <v>0</v>
      </c>
      <c r="DR123" s="142">
        <f t="shared" si="625"/>
        <v>0</v>
      </c>
      <c r="DS123" s="142">
        <f t="shared" si="625"/>
        <v>0</v>
      </c>
      <c r="DT123" s="142">
        <f t="shared" si="625"/>
        <v>0</v>
      </c>
      <c r="DU123" s="142">
        <f t="shared" si="625"/>
        <v>0</v>
      </c>
      <c r="DV123" s="142">
        <f t="shared" si="625"/>
        <v>0</v>
      </c>
      <c r="DW123" s="142">
        <f t="shared" si="625"/>
        <v>0</v>
      </c>
      <c r="DX123" s="142">
        <f t="shared" si="625"/>
        <v>0</v>
      </c>
      <c r="DY123" s="142">
        <f t="shared" si="625"/>
        <v>0</v>
      </c>
      <c r="DZ123" s="142">
        <f t="shared" si="625"/>
        <v>0</v>
      </c>
      <c r="EA123" s="143">
        <f t="shared" si="504"/>
        <v>0</v>
      </c>
      <c r="EB123" s="143">
        <f t="shared" si="505"/>
        <v>0</v>
      </c>
      <c r="EC123" s="143">
        <f t="shared" si="506"/>
        <v>0</v>
      </c>
      <c r="ED123" s="143">
        <f t="shared" si="507"/>
        <v>0</v>
      </c>
      <c r="EE123" s="143">
        <f t="shared" si="508"/>
        <v>0</v>
      </c>
      <c r="EF123" s="143">
        <f t="shared" si="509"/>
        <v>0</v>
      </c>
      <c r="EG123" s="143">
        <f t="shared" si="510"/>
        <v>0</v>
      </c>
      <c r="EH123" s="143">
        <f t="shared" si="511"/>
        <v>0</v>
      </c>
      <c r="EI123" s="143">
        <f t="shared" si="512"/>
        <v>0</v>
      </c>
      <c r="EJ123" s="143">
        <f t="shared" si="513"/>
        <v>0</v>
      </c>
      <c r="EK123" s="143">
        <f t="shared" si="514"/>
        <v>0</v>
      </c>
      <c r="EL123" s="143">
        <f t="shared" si="515"/>
        <v>0</v>
      </c>
      <c r="EM123" s="143">
        <f t="shared" si="516"/>
        <v>0</v>
      </c>
      <c r="EN123" s="143">
        <f t="shared" si="517"/>
        <v>0</v>
      </c>
      <c r="EO123" s="143">
        <f t="shared" si="518"/>
        <v>0</v>
      </c>
      <c r="EP123" s="143">
        <f t="shared" si="519"/>
        <v>0</v>
      </c>
      <c r="EQ123" s="143">
        <f t="shared" si="520"/>
        <v>0</v>
      </c>
      <c r="ER123" s="143">
        <f t="shared" si="521"/>
        <v>0</v>
      </c>
      <c r="ES123" s="143">
        <f t="shared" si="522"/>
        <v>0</v>
      </c>
      <c r="ET123" s="143">
        <f t="shared" si="523"/>
        <v>0</v>
      </c>
      <c r="EU123" s="143">
        <f t="shared" si="524"/>
        <v>0</v>
      </c>
      <c r="EV123" s="143">
        <f t="shared" si="525"/>
        <v>0</v>
      </c>
      <c r="EW123" s="143">
        <f t="shared" si="526"/>
        <v>0</v>
      </c>
      <c r="EX123" s="143">
        <f t="shared" si="527"/>
        <v>0</v>
      </c>
      <c r="EY123" s="143">
        <f t="shared" si="528"/>
        <v>0</v>
      </c>
      <c r="EZ123" s="143">
        <f t="shared" si="529"/>
        <v>0</v>
      </c>
      <c r="FA123" s="143">
        <f t="shared" si="530"/>
        <v>0</v>
      </c>
      <c r="FB123" s="143">
        <f t="shared" si="531"/>
        <v>0</v>
      </c>
      <c r="FC123" s="143">
        <f t="shared" si="532"/>
        <v>0</v>
      </c>
      <c r="FD123" s="143">
        <f t="shared" si="533"/>
        <v>0</v>
      </c>
      <c r="FE123" s="140">
        <f>SUM($D123:D123)*IF($B123="Operacional",IFERROR(VLOOKUP($C123,SN_UGC,28,0),0),1)</f>
        <v>0</v>
      </c>
      <c r="FF123" s="140">
        <f>SUM($D123:E123)*IF($B123="Operacional",IFERROR(VLOOKUP($C123,SN_UGC,28,0),0),1)</f>
        <v>0</v>
      </c>
      <c r="FG123" s="140">
        <f>SUM($D123:F123)*IF($B123="Operacional",IFERROR(VLOOKUP($C123,SN_UGC,28,0),0),1)</f>
        <v>0</v>
      </c>
      <c r="FH123" s="140">
        <f>SUM($D123:G123)*IF($B123="Operacional",IFERROR(VLOOKUP($C123,SN_UGC,28,0),0),1)</f>
        <v>0</v>
      </c>
      <c r="FI123" s="140">
        <f>SUM($D123:H123)*IF($B123="Operacional",IFERROR(VLOOKUP($C123,SN_UGC,28,0),0),1)</f>
        <v>0</v>
      </c>
      <c r="FJ123" s="140">
        <f>SUM($D123:I123)*IF($B123="Operacional",IFERROR(VLOOKUP($C123,SN_UGC,28,0),0),1)</f>
        <v>0</v>
      </c>
      <c r="FK123" s="140">
        <f>SUM($D123:J123)*IF($B123="Operacional",IFERROR(VLOOKUP($C123,SN_UGC,28,0),0),1)</f>
        <v>0</v>
      </c>
      <c r="FL123" s="140">
        <f>SUM($D123:K123)*IF($B123="Operacional",IFERROR(VLOOKUP($C123,SN_UGC,28,0),0),1)</f>
        <v>0</v>
      </c>
      <c r="FM123" s="140">
        <f>SUM($D123:L123)*IF($B123="Operacional",IFERROR(VLOOKUP($C123,SN_UGC,28,0),0),1)</f>
        <v>0</v>
      </c>
      <c r="FN123" s="140">
        <f>SUM($D123:M123)*IF($B123="Operacional",IFERROR(VLOOKUP($C123,SN_UGC,28,0),0),1)</f>
        <v>0</v>
      </c>
      <c r="FO123" s="140">
        <f>SUM($D123:N123)*IF($B123="Operacional",IFERROR(VLOOKUP($C123,SN_UGC,28,0),0),1)</f>
        <v>0</v>
      </c>
      <c r="FP123" s="140">
        <f>SUM($D123:O123)*IF($B123="Operacional",IFERROR(VLOOKUP($C123,SN_UGC,28,0),0),1)</f>
        <v>0</v>
      </c>
      <c r="FQ123" s="140">
        <f>SUM($D123:P123)*IF($B123="Operacional",IFERROR(VLOOKUP($C123,SN_UGC,28,0),0),1)</f>
        <v>0</v>
      </c>
      <c r="FR123" s="140">
        <f>SUM($D123:Q123)*IF($B123="Operacional",IFERROR(VLOOKUP($C123,SN_UGC,28,0),0),1)</f>
        <v>0</v>
      </c>
      <c r="FS123" s="140">
        <f>SUM($D123:R123)*IF($B123="Operacional",IFERROR(VLOOKUP($C123,SN_UGC,28,0),0),1)</f>
        <v>0</v>
      </c>
      <c r="FT123" s="140">
        <f>SUM($D123:S123)*IF($B123="Operacional",IFERROR(VLOOKUP($C123,SN_UGC,28,0),0),1)</f>
        <v>0</v>
      </c>
      <c r="FU123" s="140">
        <f>SUM($D123:T123)*IF($B123="Operacional",IFERROR(VLOOKUP($C123,SN_UGC,28,0),0),1)</f>
        <v>0</v>
      </c>
      <c r="FV123" s="140">
        <f>SUM($D123:U123)*IF($B123="Operacional",IFERROR(VLOOKUP($C123,SN_UGC,28,0),0),1)</f>
        <v>0</v>
      </c>
      <c r="FW123" s="140">
        <f>SUM($D123:V123)*IF($B123="Operacional",IFERROR(VLOOKUP($C123,SN_UGC,28,0),0),1)</f>
        <v>0</v>
      </c>
      <c r="FX123" s="140">
        <f>SUM($D123:W123)*IF($B123="Operacional",IFERROR(VLOOKUP($C123,SN_UGC,28,0),0),1)</f>
        <v>0</v>
      </c>
      <c r="FY123" s="140">
        <f>SUM($D123:X123)*IF($B123="Operacional",IFERROR(VLOOKUP($C123,SN_UGC,28,0),0),1)</f>
        <v>0</v>
      </c>
      <c r="FZ123" s="140">
        <f>SUM($D123:Y123)*IF($B123="Operacional",IFERROR(VLOOKUP($C123,SN_UGC,28,0),0),1)</f>
        <v>0</v>
      </c>
      <c r="GA123" s="140">
        <f>SUM($D123:Z123)*IF($B123="Operacional",IFERROR(VLOOKUP($C123,SN_UGC,28,0),0),1)</f>
        <v>0</v>
      </c>
      <c r="GB123" s="140">
        <f>SUM($D123:AA123)*IF($B123="Operacional",IFERROR(VLOOKUP($C123,SN_UGC,28,0),0),1)</f>
        <v>0</v>
      </c>
      <c r="GC123" s="140">
        <f>SUM($D123:AB123)*IF($B123="Operacional",IFERROR(VLOOKUP($C123,SN_UGC,28,0),0),1)</f>
        <v>0</v>
      </c>
      <c r="GD123" s="140">
        <f>SUM($D123:AC123)*IF($B123="Operacional",IFERROR(VLOOKUP($C123,SN_UGC,28,0),0),1)</f>
        <v>0</v>
      </c>
      <c r="GE123" s="140">
        <f>SUM($D123:AD123)*IF($B123="Operacional",IFERROR(VLOOKUP($C123,SN_UGC,28,0),0),1)</f>
        <v>0</v>
      </c>
      <c r="GF123" s="140">
        <f>SUM($D123:AE123)*IF($B123="Operacional",IFERROR(VLOOKUP($C123,SN_UGC,28,0),0),1)</f>
        <v>0</v>
      </c>
      <c r="GG123" s="140">
        <f>SUM($D123:AF123)*IF($B123="Operacional",IFERROR(VLOOKUP($C123,SN_UGC,28,0),0),1)</f>
        <v>0</v>
      </c>
      <c r="GH123" s="140">
        <f>SUM($D123:AG123)*IF($B123="Operacional",IFERROR(VLOOKUP($C123,SN_UGC,28,0),0),1)</f>
        <v>0</v>
      </c>
      <c r="GI123" s="141">
        <f t="shared" ref="GI123:HL123" si="626">FE123*$AH123*$AL123</f>
        <v>0</v>
      </c>
      <c r="GJ123" s="141">
        <f t="shared" si="626"/>
        <v>0</v>
      </c>
      <c r="GK123" s="141">
        <f t="shared" si="626"/>
        <v>0</v>
      </c>
      <c r="GL123" s="141">
        <f t="shared" si="626"/>
        <v>0</v>
      </c>
      <c r="GM123" s="141">
        <f t="shared" si="626"/>
        <v>0</v>
      </c>
      <c r="GN123" s="141">
        <f t="shared" si="626"/>
        <v>0</v>
      </c>
      <c r="GO123" s="141">
        <f t="shared" si="626"/>
        <v>0</v>
      </c>
      <c r="GP123" s="141">
        <f t="shared" si="626"/>
        <v>0</v>
      </c>
      <c r="GQ123" s="141">
        <f t="shared" si="626"/>
        <v>0</v>
      </c>
      <c r="GR123" s="141">
        <f t="shared" si="626"/>
        <v>0</v>
      </c>
      <c r="GS123" s="141">
        <f t="shared" si="626"/>
        <v>0</v>
      </c>
      <c r="GT123" s="141">
        <f t="shared" si="626"/>
        <v>0</v>
      </c>
      <c r="GU123" s="141">
        <f t="shared" si="626"/>
        <v>0</v>
      </c>
      <c r="GV123" s="141">
        <f t="shared" si="626"/>
        <v>0</v>
      </c>
      <c r="GW123" s="141">
        <f t="shared" si="626"/>
        <v>0</v>
      </c>
      <c r="GX123" s="141">
        <f t="shared" si="626"/>
        <v>0</v>
      </c>
      <c r="GY123" s="141">
        <f t="shared" si="626"/>
        <v>0</v>
      </c>
      <c r="GZ123" s="141">
        <f t="shared" si="626"/>
        <v>0</v>
      </c>
      <c r="HA123" s="141">
        <f t="shared" si="626"/>
        <v>0</v>
      </c>
      <c r="HB123" s="141">
        <f t="shared" si="626"/>
        <v>0</v>
      </c>
      <c r="HC123" s="141">
        <f t="shared" si="626"/>
        <v>0</v>
      </c>
      <c r="HD123" s="141">
        <f t="shared" si="626"/>
        <v>0</v>
      </c>
      <c r="HE123" s="141">
        <f t="shared" si="626"/>
        <v>0</v>
      </c>
      <c r="HF123" s="141">
        <f t="shared" si="626"/>
        <v>0</v>
      </c>
      <c r="HG123" s="141">
        <f t="shared" si="626"/>
        <v>0</v>
      </c>
      <c r="HH123" s="141">
        <f t="shared" si="626"/>
        <v>0</v>
      </c>
      <c r="HI123" s="141">
        <f t="shared" si="626"/>
        <v>0</v>
      </c>
      <c r="HJ123" s="141">
        <f t="shared" si="626"/>
        <v>0</v>
      </c>
      <c r="HK123" s="141">
        <f t="shared" si="626"/>
        <v>0</v>
      </c>
      <c r="HL123" s="141">
        <f t="shared" si="626"/>
        <v>0</v>
      </c>
      <c r="HM123" s="142">
        <f t="shared" ref="HM123:IP123" si="627">IF(ISBLANK($A123),,FE123*($AH123-($AH123*$AJ123))/$AI123)</f>
        <v>0</v>
      </c>
      <c r="HN123" s="142">
        <f t="shared" si="627"/>
        <v>0</v>
      </c>
      <c r="HO123" s="142">
        <f t="shared" si="627"/>
        <v>0</v>
      </c>
      <c r="HP123" s="142">
        <f t="shared" si="627"/>
        <v>0</v>
      </c>
      <c r="HQ123" s="142">
        <f t="shared" si="627"/>
        <v>0</v>
      </c>
      <c r="HR123" s="142">
        <f t="shared" si="627"/>
        <v>0</v>
      </c>
      <c r="HS123" s="142">
        <f t="shared" si="627"/>
        <v>0</v>
      </c>
      <c r="HT123" s="142">
        <f t="shared" si="627"/>
        <v>0</v>
      </c>
      <c r="HU123" s="142">
        <f t="shared" si="627"/>
        <v>0</v>
      </c>
      <c r="HV123" s="142">
        <f t="shared" si="627"/>
        <v>0</v>
      </c>
      <c r="HW123" s="142">
        <f t="shared" si="627"/>
        <v>0</v>
      </c>
      <c r="HX123" s="142">
        <f t="shared" si="627"/>
        <v>0</v>
      </c>
      <c r="HY123" s="142">
        <f t="shared" si="627"/>
        <v>0</v>
      </c>
      <c r="HZ123" s="142">
        <f t="shared" si="627"/>
        <v>0</v>
      </c>
      <c r="IA123" s="142">
        <f t="shared" si="627"/>
        <v>0</v>
      </c>
      <c r="IB123" s="142">
        <f t="shared" si="627"/>
        <v>0</v>
      </c>
      <c r="IC123" s="142">
        <f t="shared" si="627"/>
        <v>0</v>
      </c>
      <c r="ID123" s="142">
        <f t="shared" si="627"/>
        <v>0</v>
      </c>
      <c r="IE123" s="142">
        <f t="shared" si="627"/>
        <v>0</v>
      </c>
      <c r="IF123" s="142">
        <f t="shared" si="627"/>
        <v>0</v>
      </c>
      <c r="IG123" s="142">
        <f t="shared" si="627"/>
        <v>0</v>
      </c>
      <c r="IH123" s="142">
        <f t="shared" si="627"/>
        <v>0</v>
      </c>
      <c r="II123" s="142">
        <f t="shared" si="627"/>
        <v>0</v>
      </c>
      <c r="IJ123" s="142">
        <f t="shared" si="627"/>
        <v>0</v>
      </c>
      <c r="IK123" s="142">
        <f t="shared" si="627"/>
        <v>0</v>
      </c>
      <c r="IL123" s="142">
        <f t="shared" si="627"/>
        <v>0</v>
      </c>
      <c r="IM123" s="142">
        <f t="shared" si="627"/>
        <v>0</v>
      </c>
      <c r="IN123" s="142">
        <f t="shared" si="627"/>
        <v>0</v>
      </c>
      <c r="IO123" s="142">
        <f t="shared" si="627"/>
        <v>0</v>
      </c>
      <c r="IP123" s="142">
        <f t="shared" si="627"/>
        <v>0</v>
      </c>
      <c r="IQ123" s="141">
        <f>IF(ISBLANK($A123),,IF($AN123="Não",0,(SUM($AO123:AO123)*$AH123)-SUM($HM123:HM123)-SUM($CW123:CW123)))</f>
        <v>0</v>
      </c>
      <c r="IR123" s="141">
        <f>IF(ISBLANK($A123),,IF($AN123="Não",0,(SUM($AO123:AP123)*$AH123)-SUM($HM123:HN123)-SUM($CW123:CX123)))</f>
        <v>0</v>
      </c>
      <c r="IS123" s="141">
        <f>IF(ISBLANK($A123),,IF($AN123="Não",0,(SUM($AO123:AQ123)*$AH123)-SUM($HM123:HO123)-SUM($CW123:CY123)))</f>
        <v>0</v>
      </c>
      <c r="IT123" s="141">
        <f>IF(ISBLANK($A123),,IF($AN123="Não",0,(SUM($AO123:AR123)*$AH123)-SUM($HM123:HP123)-SUM($CW123:CZ123)))</f>
        <v>0</v>
      </c>
      <c r="IU123" s="141">
        <f>IF(ISBLANK($A123),,IF($AN123="Não",0,(SUM($AO123:AS123)*$AH123)-SUM($HM123:HQ123)-SUM($CW123:DA123)))</f>
        <v>0</v>
      </c>
      <c r="IV123" s="141">
        <f>IF(ISBLANK($A123),,IF($AN123="Não",0,(SUM($AO123:AT123)*$AH123)-SUM($HM123:HR123)-SUM($CW123:DB123)))</f>
        <v>0</v>
      </c>
      <c r="IW123" s="141">
        <f>IF(ISBLANK($A123),,IF($AN123="Não",0,(SUM($AO123:AU123)*$AH123)-SUM($HM123:HS123)-SUM($CW123:DC123)))</f>
        <v>0</v>
      </c>
      <c r="IX123" s="141">
        <f>IF(ISBLANK($A123),,IF($AN123="Não",0,(SUM($AO123:AV123)*$AH123)-SUM($HM123:HT123)-SUM($CW123:DD123)))</f>
        <v>0</v>
      </c>
      <c r="IY123" s="141">
        <f>IF(ISBLANK($A123),,IF($AN123="Não",0,(SUM($AO123:AW123)*$AH123)-SUM($HM123:HU123)-SUM($CW123:DE123)))</f>
        <v>0</v>
      </c>
      <c r="IZ123" s="141">
        <f>IF(ISBLANK($A123),,IF($AN123="Não",0,(SUM($AO123:AX123)*$AH123)-SUM($HM123:HV123)-SUM($CW123:DF123)))</f>
        <v>0</v>
      </c>
      <c r="JA123" s="141">
        <f>IF(ISBLANK($A123),,IF($AN123="Não",0,(SUM($AO123:AY123)*$AH123)-SUM($HM123:HW123)-SUM($CW123:DG123)))</f>
        <v>0</v>
      </c>
      <c r="JB123" s="141">
        <f>IF(ISBLANK($A123),,IF($AN123="Não",0,(SUM($AO123:AZ123)*$AH123)-SUM($HM123:HX123)-SUM($CW123:DH123)))</f>
        <v>0</v>
      </c>
      <c r="JC123" s="141">
        <f>IF(ISBLANK($A123),,IF($AN123="Não",0,(SUM($AO123:BA123)*$AH123)-SUM($HM123:HY123)-SUM($CW123:DI123)))</f>
        <v>0</v>
      </c>
      <c r="JD123" s="141">
        <f>IF(ISBLANK($A123),,IF($AN123="Não",0,(SUM($AO123:BB123)*$AH123)-SUM($HM123:HZ123)-SUM($CW123:DJ123)))</f>
        <v>0</v>
      </c>
      <c r="JE123" s="141">
        <f>IF(ISBLANK($A123),,IF($AN123="Não",0,(SUM($AO123:BC123)*$AH123)-SUM($HM123:IA123)-SUM($CW123:DK123)))</f>
        <v>0</v>
      </c>
      <c r="JF123" s="141">
        <f>IF(ISBLANK($A123),,IF($AN123="Não",0,(SUM($AO123:BD123)*$AH123)-SUM($HM123:IB123)-SUM($CW123:DL123)))</f>
        <v>0</v>
      </c>
      <c r="JG123" s="141">
        <f>IF(ISBLANK($A123),,IF($AN123="Não",0,(SUM($AO123:BE123)*$AH123)-SUM($HM123:IC123)-SUM($CW123:DM123)))</f>
        <v>0</v>
      </c>
      <c r="JH123" s="141">
        <f>IF(ISBLANK($A123),,IF($AN123="Não",0,(SUM($AO123:BF123)*$AH123)-SUM($HM123:ID123)-SUM($CW123:DN123)))</f>
        <v>0</v>
      </c>
      <c r="JI123" s="141">
        <f>IF(ISBLANK($A123),,IF($AN123="Não",0,(SUM($AO123:BG123)*$AH123)-SUM($HM123:IE123)-SUM($CW123:DO123)))</f>
        <v>0</v>
      </c>
      <c r="JJ123" s="141">
        <f>IF(ISBLANK($A123),,IF($AN123="Não",0,(SUM($AO123:BH123)*$AH123)-SUM($HM123:IF123)-SUM($CW123:DP123)))</f>
        <v>0</v>
      </c>
      <c r="JK123" s="141">
        <f>IF(ISBLANK($A123),,IF($AN123="Não",0,(SUM($AO123:BI123)*$AH123)-SUM($HM123:IG123)-SUM($CW123:DQ123)))</f>
        <v>0</v>
      </c>
      <c r="JL123" s="141">
        <f>IF(ISBLANK($A123),,IF($AN123="Não",0,(SUM($AO123:BJ123)*$AH123)-SUM($HM123:IH123)-SUM($CW123:DR123)))</f>
        <v>0</v>
      </c>
      <c r="JM123" s="141">
        <f>IF(ISBLANK($A123),,IF($AN123="Não",0,(SUM($AO123:BK123)*$AH123)-SUM($HM123:II123)-SUM($CW123:DS123)))</f>
        <v>0</v>
      </c>
      <c r="JN123" s="141">
        <f>IF(ISBLANK($A123),,IF($AN123="Não",0,(SUM($AO123:BL123)*$AH123)-SUM($HM123:IJ123)-SUM($CW123:DT123)))</f>
        <v>0</v>
      </c>
      <c r="JO123" s="141">
        <f>IF(ISBLANK($A123),,IF($AN123="Não",0,(SUM($AO123:BM123)*$AH123)-SUM($HM123:IK123)-SUM($CW123:DU123)))</f>
        <v>0</v>
      </c>
      <c r="JP123" s="141">
        <f>IF(ISBLANK($A123),,IF($AN123="Não",0,(SUM($AO123:BN123)*$AH123)-SUM($HM123:IL123)-SUM($CW123:DV123)))</f>
        <v>0</v>
      </c>
      <c r="JQ123" s="141">
        <f>IF(ISBLANK($A123),,IF($AN123="Não",0,(SUM($AO123:BO123)*$AH123)-SUM($HM123:IM123)-SUM($CW123:DW123)))</f>
        <v>0</v>
      </c>
      <c r="JR123" s="141">
        <f>IF(ISBLANK($A123),,IF($AN123="Não",0,(SUM($AO123:BP123)*$AH123)-SUM($HM123:IN123)-SUM($CW123:DX123)))</f>
        <v>0</v>
      </c>
      <c r="JS123" s="141">
        <f>IF(ISBLANK($A123),,IF($AN123="Não",0,(SUM($AO123:BQ123)*$AH123)-SUM($HM123:IO123)-SUM($CW123:DY123)))</f>
        <v>0</v>
      </c>
      <c r="JT123" s="141">
        <f>IF(ISBLANK($A123),,IF($AN123="Não",0,(SUM($AO123:BR123)*$AH123)-SUM($HM123:IP123)-SUM($CW123:DZ123)))</f>
        <v>0</v>
      </c>
    </row>
    <row r="124" spans="1:280" ht="15.75" customHeight="1">
      <c r="A124" s="129"/>
      <c r="B124" s="129"/>
      <c r="C124" s="138"/>
      <c r="D124" s="139"/>
      <c r="E124" s="139"/>
      <c r="F124" s="139"/>
      <c r="G124" s="139"/>
      <c r="H124" s="139"/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  <c r="AA124" s="139"/>
      <c r="AB124" s="139"/>
      <c r="AC124" s="139"/>
      <c r="AD124" s="139"/>
      <c r="AE124" s="139"/>
      <c r="AF124" s="139"/>
      <c r="AG124" s="139"/>
      <c r="AH124" s="607">
        <f t="shared" si="544"/>
        <v>0</v>
      </c>
      <c r="AI124" s="608">
        <f t="shared" si="545"/>
        <v>0</v>
      </c>
      <c r="AJ124" s="609">
        <f t="shared" si="546"/>
        <v>0</v>
      </c>
      <c r="AK124" s="610" t="str">
        <f t="shared" si="547"/>
        <v/>
      </c>
      <c r="AL124" s="609">
        <f t="shared" si="548"/>
        <v>0</v>
      </c>
      <c r="AM124" s="611" t="str">
        <f t="shared" si="549"/>
        <v/>
      </c>
      <c r="AN124" s="611" t="str">
        <f t="shared" si="550"/>
        <v/>
      </c>
      <c r="AO124" s="140">
        <f t="array" ref="AO124">IF(ISBLANK($A124),0,IF(OR(AO$5-$AI124&lt;=0,$AM124="Não"),D124,D124+INDEX($AO$6:$BR$176,ROW()-5,COLUMN()-40-$AI124)))*IF($B124="Operacional",IFERROR(VLOOKUP($C124,SN_UGC,28,0),0),1)</f>
        <v>0</v>
      </c>
      <c r="AP124" s="140">
        <f t="array" ref="AP124">IF(ISBLANK($A124),0,IF(OR(AP$5-$AI124&lt;=0,$AM124="Não"),E124,E124+INDEX($AO$6:$BR$176,ROW()-5,COLUMN()-40-$AI124)))*IF($B124="Operacional",IFERROR(VLOOKUP($C124,SN_UGC,28,0),0),1)</f>
        <v>0</v>
      </c>
      <c r="AQ124" s="140">
        <f t="array" ref="AQ124">IF(ISBLANK($A124),0,IF(OR(AQ$5-$AI124&lt;=0,$AM124="Não"),F124,F124+INDEX($AO$6:$BR$176,ROW()-5,COLUMN()-40-$AI124)))*IF($B124="Operacional",IFERROR(VLOOKUP($C124,SN_UGC,28,0),0),1)</f>
        <v>0</v>
      </c>
      <c r="AR124" s="140">
        <f t="array" ref="AR124">IF(ISBLANK($A124),0,IF(OR(AR$5-$AI124&lt;=0,$AM124="Não"),G124,G124+INDEX($AO$6:$BR$176,ROW()-5,COLUMN()-40-$AI124)))*IF($B124="Operacional",IFERROR(VLOOKUP($C124,SN_UGC,28,0),0),1)</f>
        <v>0</v>
      </c>
      <c r="AS124" s="140">
        <f t="array" ref="AS124">IF(ISBLANK($A124),0,IF(OR(AS$5-$AI124&lt;=0,$AM124="Não"),H124,H124+INDEX($AO$6:$BR$176,ROW()-5,COLUMN()-40-$AI124)))*IF($B124="Operacional",IFERROR(VLOOKUP($C124,SN_UGC,28,0),0),1)</f>
        <v>0</v>
      </c>
      <c r="AT124" s="140">
        <f t="array" ref="AT124">IF(ISBLANK($A124),0,IF(OR(AT$5-$AI124&lt;=0,$AM124="Não"),I124,I124+INDEX($AO$6:$BR$176,ROW()-5,COLUMN()-40-$AI124)))*IF($B124="Operacional",IFERROR(VLOOKUP($C124,SN_UGC,28,0),0),1)</f>
        <v>0</v>
      </c>
      <c r="AU124" s="140">
        <f t="array" ref="AU124">IF(ISBLANK($A124),0,IF(OR(AU$5-$AI124&lt;=0,$AM124="Não"),J124,J124+INDEX($AO$6:$BR$176,ROW()-5,COLUMN()-40-$AI124)))*IF($B124="Operacional",IFERROR(VLOOKUP($C124,SN_UGC,28,0),0),1)</f>
        <v>0</v>
      </c>
      <c r="AV124" s="140">
        <f t="array" ref="AV124">IF(ISBLANK($A124),0,IF(OR(AV$5-$AI124&lt;=0,$AM124="Não"),K124,K124+INDEX($AO$6:$BR$176,ROW()-5,COLUMN()-40-$AI124)))*IF($B124="Operacional",IFERROR(VLOOKUP($C124,SN_UGC,28,0),0),1)</f>
        <v>0</v>
      </c>
      <c r="AW124" s="140">
        <f t="array" ref="AW124">IF(ISBLANK($A124),0,IF(OR(AW$5-$AI124&lt;=0,$AM124="Não"),L124,L124+INDEX($AO$6:$BR$176,ROW()-5,COLUMN()-40-$AI124)))*IF($B124="Operacional",IFERROR(VLOOKUP($C124,SN_UGC,28,0),0),1)</f>
        <v>0</v>
      </c>
      <c r="AX124" s="140">
        <f t="array" ref="AX124">IF(ISBLANK($A124),0,IF(OR(AX$5-$AI124&lt;=0,$AM124="Não"),M124,M124+INDEX($AO$6:$BR$176,ROW()-5,COLUMN()-40-$AI124)))*IF($B124="Operacional",IFERROR(VLOOKUP($C124,SN_UGC,28,0),0),1)</f>
        <v>0</v>
      </c>
      <c r="AY124" s="140">
        <f t="array" ref="AY124">IF(ISBLANK($A124),0,IF(OR(AY$5-$AI124&lt;=0,$AM124="Não"),N124,N124+INDEX($AO$6:$BR$176,ROW()-5,COLUMN()-40-$AI124)))*IF($B124="Operacional",IFERROR(VLOOKUP($C124,SN_UGC,28,0),0),1)</f>
        <v>0</v>
      </c>
      <c r="AZ124" s="140">
        <f t="array" ref="AZ124">IF(ISBLANK($A124),0,IF(OR(AZ$5-$AI124&lt;=0,$AM124="Não"),O124,O124+INDEX($AO$6:$BR$176,ROW()-5,COLUMN()-40-$AI124)))*IF($B124="Operacional",IFERROR(VLOOKUP($C124,SN_UGC,28,0),0),1)</f>
        <v>0</v>
      </c>
      <c r="BA124" s="140">
        <f t="array" ref="BA124">IF(ISBLANK($A124),0,IF(OR(BA$5-$AI124&lt;=0,$AM124="Não"),P124,P124+INDEX($AO$6:$BR$176,ROW()-5,COLUMN()-40-$AI124)))*IF($B124="Operacional",IFERROR(VLOOKUP($C124,SN_UGC,28,0),0),1)</f>
        <v>0</v>
      </c>
      <c r="BB124" s="140">
        <f t="array" ref="BB124">IF(ISBLANK($A124),0,IF(OR(BB$5-$AI124&lt;=0,$AM124="Não"),Q124,Q124+INDEX($AO$6:$BR$176,ROW()-5,COLUMN()-40-$AI124)))*IF($B124="Operacional",IFERROR(VLOOKUP($C124,SN_UGC,28,0),0),1)</f>
        <v>0</v>
      </c>
      <c r="BC124" s="140">
        <f t="array" ref="BC124">IF(ISBLANK($A124),0,IF(OR(BC$5-$AI124&lt;=0,$AM124="Não"),R124,R124+INDEX($AO$6:$BR$176,ROW()-5,COLUMN()-40-$AI124)))*IF($B124="Operacional",IFERROR(VLOOKUP($C124,SN_UGC,28,0),0),1)</f>
        <v>0</v>
      </c>
      <c r="BD124" s="140">
        <f t="array" ref="BD124">IF(ISBLANK($A124),0,IF(OR(BD$5-$AI124&lt;=0,$AM124="Não"),S124,S124+INDEX($AO$6:$BR$176,ROW()-5,COLUMN()-40-$AI124)))*IF($B124="Operacional",IFERROR(VLOOKUP($C124,SN_UGC,28,0),0),1)</f>
        <v>0</v>
      </c>
      <c r="BE124" s="140">
        <f t="array" ref="BE124">IF(ISBLANK($A124),0,IF(OR(BE$5-$AI124&lt;=0,$AM124="Não"),T124,T124+INDEX($AO$6:$BR$176,ROW()-5,COLUMN()-40-$AI124)))*IF($B124="Operacional",IFERROR(VLOOKUP($C124,SN_UGC,28,0),0),1)</f>
        <v>0</v>
      </c>
      <c r="BF124" s="140">
        <f t="array" ref="BF124">IF(ISBLANK($A124),0,IF(OR(BF$5-$AI124&lt;=0,$AM124="Não"),U124,U124+INDEX($AO$6:$BR$176,ROW()-5,COLUMN()-40-$AI124)))*IF($B124="Operacional",IFERROR(VLOOKUP($C124,SN_UGC,28,0),0),1)</f>
        <v>0</v>
      </c>
      <c r="BG124" s="140">
        <f t="array" ref="BG124">IF(ISBLANK($A124),0,IF(OR(BG$5-$AI124&lt;=0,$AM124="Não"),V124,V124+INDEX($AO$6:$BR$176,ROW()-5,COLUMN()-40-$AI124)))*IF($B124="Operacional",IFERROR(VLOOKUP($C124,SN_UGC,28,0),0),1)</f>
        <v>0</v>
      </c>
      <c r="BH124" s="140">
        <f t="array" ref="BH124">IF(ISBLANK($A124),0,IF(OR(BH$5-$AI124&lt;=0,$AM124="Não"),W124,W124+INDEX($AO$6:$BR$176,ROW()-5,COLUMN()-40-$AI124)))*IF($B124="Operacional",IFERROR(VLOOKUP($C124,SN_UGC,28,0),0),1)</f>
        <v>0</v>
      </c>
      <c r="BI124" s="140">
        <f t="array" ref="BI124">IF(ISBLANK($A124),0,IF(OR(BI$5-$AI124&lt;=0,$AM124="Não"),X124,X124+INDEX($AO$6:$BR$176,ROW()-5,COLUMN()-40-$AI124)))*IF($B124="Operacional",IFERROR(VLOOKUP($C124,SN_UGC,28,0),0),1)</f>
        <v>0</v>
      </c>
      <c r="BJ124" s="140">
        <f t="array" ref="BJ124">IF(ISBLANK($A124),0,IF(OR(BJ$5-$AI124&lt;=0,$AM124="Não"),Y124,Y124+INDEX($AO$6:$BR$176,ROW()-5,COLUMN()-40-$AI124)))*IF($B124="Operacional",IFERROR(VLOOKUP($C124,SN_UGC,28,0),0),1)</f>
        <v>0</v>
      </c>
      <c r="BK124" s="140">
        <f t="array" ref="BK124">IF(ISBLANK($A124),0,IF(OR(BK$5-$AI124&lt;=0,$AM124="Não"),Z124,Z124+INDEX($AO$6:$BR$176,ROW()-5,COLUMN()-40-$AI124)))*IF($B124="Operacional",IFERROR(VLOOKUP($C124,SN_UGC,28,0),0),1)</f>
        <v>0</v>
      </c>
      <c r="BL124" s="140">
        <f t="array" ref="BL124">IF(ISBLANK($A124),0,IF(OR(BL$5-$AI124&lt;=0,$AM124="Não"),AA124,AA124+INDEX($AO$6:$BR$176,ROW()-5,COLUMN()-40-$AI124)))*IF($B124="Operacional",IFERROR(VLOOKUP($C124,SN_UGC,28,0),0),1)</f>
        <v>0</v>
      </c>
      <c r="BM124" s="140">
        <f t="array" ref="BM124">IF(ISBLANK($A124),0,IF(OR(BM$5-$AI124&lt;=0,$AM124="Não"),AB124,AB124+INDEX($AO$6:$BR$176,ROW()-5,COLUMN()-40-$AI124)))*IF($B124="Operacional",IFERROR(VLOOKUP($C124,SN_UGC,28,0),0),1)</f>
        <v>0</v>
      </c>
      <c r="BN124" s="140">
        <f t="array" ref="BN124">IF(ISBLANK($A124),0,IF(OR(BN$5-$AI124&lt;=0,$AM124="Não"),AC124,AC124+INDEX($AO$6:$BR$176,ROW()-5,COLUMN()-40-$AI124)))*IF($B124="Operacional",IFERROR(VLOOKUP($C124,SN_UGC,28,0),0),1)</f>
        <v>0</v>
      </c>
      <c r="BO124" s="140">
        <f t="array" ref="BO124">IF(ISBLANK($A124),0,IF(OR(BO$5-$AI124&lt;=0,$AM124="Não"),AD124,AD124+INDEX($AO$6:$BR$176,ROW()-5,COLUMN()-40-$AI124)))*IF($B124="Operacional",IFERROR(VLOOKUP($C124,SN_UGC,28,0),0),1)</f>
        <v>0</v>
      </c>
      <c r="BP124" s="140">
        <f t="array" ref="BP124">IF(ISBLANK($A124),0,IF(OR(BP$5-$AI124&lt;=0,$AM124="Não"),AE124,AE124+INDEX($AO$6:$BR$176,ROW()-5,COLUMN()-40-$AI124)))*IF($B124="Operacional",IFERROR(VLOOKUP($C124,SN_UGC,28,0),0),1)</f>
        <v>0</v>
      </c>
      <c r="BQ124" s="140">
        <f t="array" ref="BQ124">IF(ISBLANK($A124),0,IF(OR(BQ$5-$AI124&lt;=0,$AM124="Não"),AF124,AF124+INDEX($AO$6:$BR$176,ROW()-5,COLUMN()-40-$AI124)))*IF($B124="Operacional",IFERROR(VLOOKUP($C124,SN_UGC,28,0),0),1)</f>
        <v>0</v>
      </c>
      <c r="BR124" s="140">
        <f t="array" ref="BR124">IF(ISBLANK($A124),0,IF(OR(BR$5-$AI124&lt;=0,$AM124="Não"),AG124,AG124+INDEX($AO$6:$BR$176,ROW()-5,COLUMN()-40-$AI124)))*IF($B124="Operacional",IFERROR(VLOOKUP($C124,SN_UGC,28,0),0),1)</f>
        <v>0</v>
      </c>
      <c r="BS124" s="141">
        <f t="shared" ref="BS124:CV124" si="628">IF(ISBLANK($A124),0,$AH124*AO124)</f>
        <v>0</v>
      </c>
      <c r="BT124" s="141">
        <f t="shared" si="628"/>
        <v>0</v>
      </c>
      <c r="BU124" s="141">
        <f t="shared" si="628"/>
        <v>0</v>
      </c>
      <c r="BV124" s="141">
        <f t="shared" si="628"/>
        <v>0</v>
      </c>
      <c r="BW124" s="141">
        <f t="shared" si="628"/>
        <v>0</v>
      </c>
      <c r="BX124" s="141">
        <f t="shared" si="628"/>
        <v>0</v>
      </c>
      <c r="BY124" s="141">
        <f t="shared" si="628"/>
        <v>0</v>
      </c>
      <c r="BZ124" s="141">
        <f t="shared" si="628"/>
        <v>0</v>
      </c>
      <c r="CA124" s="141">
        <f t="shared" si="628"/>
        <v>0</v>
      </c>
      <c r="CB124" s="141">
        <f t="shared" si="628"/>
        <v>0</v>
      </c>
      <c r="CC124" s="141">
        <f t="shared" si="628"/>
        <v>0</v>
      </c>
      <c r="CD124" s="141">
        <f t="shared" si="628"/>
        <v>0</v>
      </c>
      <c r="CE124" s="141">
        <f t="shared" si="628"/>
        <v>0</v>
      </c>
      <c r="CF124" s="141">
        <f t="shared" si="628"/>
        <v>0</v>
      </c>
      <c r="CG124" s="141">
        <f t="shared" si="628"/>
        <v>0</v>
      </c>
      <c r="CH124" s="141">
        <f t="shared" si="628"/>
        <v>0</v>
      </c>
      <c r="CI124" s="141">
        <f t="shared" si="628"/>
        <v>0</v>
      </c>
      <c r="CJ124" s="141">
        <f t="shared" si="628"/>
        <v>0</v>
      </c>
      <c r="CK124" s="141">
        <f t="shared" si="628"/>
        <v>0</v>
      </c>
      <c r="CL124" s="141">
        <f t="shared" si="628"/>
        <v>0</v>
      </c>
      <c r="CM124" s="141">
        <f t="shared" si="628"/>
        <v>0</v>
      </c>
      <c r="CN124" s="141">
        <f t="shared" si="628"/>
        <v>0</v>
      </c>
      <c r="CO124" s="141">
        <f t="shared" si="628"/>
        <v>0</v>
      </c>
      <c r="CP124" s="141">
        <f t="shared" si="628"/>
        <v>0</v>
      </c>
      <c r="CQ124" s="141">
        <f t="shared" si="628"/>
        <v>0</v>
      </c>
      <c r="CR124" s="141">
        <f t="shared" si="628"/>
        <v>0</v>
      </c>
      <c r="CS124" s="141">
        <f t="shared" si="628"/>
        <v>0</v>
      </c>
      <c r="CT124" s="141">
        <f t="shared" si="628"/>
        <v>0</v>
      </c>
      <c r="CU124" s="141">
        <f t="shared" si="628"/>
        <v>0</v>
      </c>
      <c r="CV124" s="141">
        <f t="shared" si="628"/>
        <v>0</v>
      </c>
      <c r="CW124" s="142">
        <f t="shared" ref="CW124:DZ124" si="629">EA124*$AH124*$AJ124</f>
        <v>0</v>
      </c>
      <c r="CX124" s="142">
        <f t="shared" si="629"/>
        <v>0</v>
      </c>
      <c r="CY124" s="142">
        <f t="shared" si="629"/>
        <v>0</v>
      </c>
      <c r="CZ124" s="142">
        <f t="shared" si="629"/>
        <v>0</v>
      </c>
      <c r="DA124" s="142">
        <f t="shared" si="629"/>
        <v>0</v>
      </c>
      <c r="DB124" s="142">
        <f t="shared" si="629"/>
        <v>0</v>
      </c>
      <c r="DC124" s="142">
        <f t="shared" si="629"/>
        <v>0</v>
      </c>
      <c r="DD124" s="142">
        <f t="shared" si="629"/>
        <v>0</v>
      </c>
      <c r="DE124" s="142">
        <f t="shared" si="629"/>
        <v>0</v>
      </c>
      <c r="DF124" s="142">
        <f t="shared" si="629"/>
        <v>0</v>
      </c>
      <c r="DG124" s="142">
        <f t="shared" si="629"/>
        <v>0</v>
      </c>
      <c r="DH124" s="142">
        <f t="shared" si="629"/>
        <v>0</v>
      </c>
      <c r="DI124" s="142">
        <f t="shared" si="629"/>
        <v>0</v>
      </c>
      <c r="DJ124" s="142">
        <f t="shared" si="629"/>
        <v>0</v>
      </c>
      <c r="DK124" s="142">
        <f t="shared" si="629"/>
        <v>0</v>
      </c>
      <c r="DL124" s="142">
        <f t="shared" si="629"/>
        <v>0</v>
      </c>
      <c r="DM124" s="142">
        <f t="shared" si="629"/>
        <v>0</v>
      </c>
      <c r="DN124" s="142">
        <f t="shared" si="629"/>
        <v>0</v>
      </c>
      <c r="DO124" s="142">
        <f t="shared" si="629"/>
        <v>0</v>
      </c>
      <c r="DP124" s="142">
        <f t="shared" si="629"/>
        <v>0</v>
      </c>
      <c r="DQ124" s="142">
        <f t="shared" si="629"/>
        <v>0</v>
      </c>
      <c r="DR124" s="142">
        <f t="shared" si="629"/>
        <v>0</v>
      </c>
      <c r="DS124" s="142">
        <f t="shared" si="629"/>
        <v>0</v>
      </c>
      <c r="DT124" s="142">
        <f t="shared" si="629"/>
        <v>0</v>
      </c>
      <c r="DU124" s="142">
        <f t="shared" si="629"/>
        <v>0</v>
      </c>
      <c r="DV124" s="142">
        <f t="shared" si="629"/>
        <v>0</v>
      </c>
      <c r="DW124" s="142">
        <f t="shared" si="629"/>
        <v>0</v>
      </c>
      <c r="DX124" s="142">
        <f t="shared" si="629"/>
        <v>0</v>
      </c>
      <c r="DY124" s="142">
        <f t="shared" si="629"/>
        <v>0</v>
      </c>
      <c r="DZ124" s="142">
        <f t="shared" si="629"/>
        <v>0</v>
      </c>
      <c r="EA124" s="143">
        <f t="shared" si="504"/>
        <v>0</v>
      </c>
      <c r="EB124" s="143">
        <f t="shared" si="505"/>
        <v>0</v>
      </c>
      <c r="EC124" s="143">
        <f t="shared" si="506"/>
        <v>0</v>
      </c>
      <c r="ED124" s="143">
        <f t="shared" si="507"/>
        <v>0</v>
      </c>
      <c r="EE124" s="143">
        <f t="shared" si="508"/>
        <v>0</v>
      </c>
      <c r="EF124" s="143">
        <f t="shared" si="509"/>
        <v>0</v>
      </c>
      <c r="EG124" s="143">
        <f t="shared" si="510"/>
        <v>0</v>
      </c>
      <c r="EH124" s="143">
        <f t="shared" si="511"/>
        <v>0</v>
      </c>
      <c r="EI124" s="143">
        <f t="shared" si="512"/>
        <v>0</v>
      </c>
      <c r="EJ124" s="143">
        <f t="shared" si="513"/>
        <v>0</v>
      </c>
      <c r="EK124" s="143">
        <f t="shared" si="514"/>
        <v>0</v>
      </c>
      <c r="EL124" s="143">
        <f t="shared" si="515"/>
        <v>0</v>
      </c>
      <c r="EM124" s="143">
        <f t="shared" si="516"/>
        <v>0</v>
      </c>
      <c r="EN124" s="143">
        <f t="shared" si="517"/>
        <v>0</v>
      </c>
      <c r="EO124" s="143">
        <f t="shared" si="518"/>
        <v>0</v>
      </c>
      <c r="EP124" s="143">
        <f t="shared" si="519"/>
        <v>0</v>
      </c>
      <c r="EQ124" s="143">
        <f t="shared" si="520"/>
        <v>0</v>
      </c>
      <c r="ER124" s="143">
        <f t="shared" si="521"/>
        <v>0</v>
      </c>
      <c r="ES124" s="143">
        <f t="shared" si="522"/>
        <v>0</v>
      </c>
      <c r="ET124" s="143">
        <f t="shared" si="523"/>
        <v>0</v>
      </c>
      <c r="EU124" s="143">
        <f t="shared" si="524"/>
        <v>0</v>
      </c>
      <c r="EV124" s="143">
        <f t="shared" si="525"/>
        <v>0</v>
      </c>
      <c r="EW124" s="143">
        <f t="shared" si="526"/>
        <v>0</v>
      </c>
      <c r="EX124" s="143">
        <f t="shared" si="527"/>
        <v>0</v>
      </c>
      <c r="EY124" s="143">
        <f t="shared" si="528"/>
        <v>0</v>
      </c>
      <c r="EZ124" s="143">
        <f t="shared" si="529"/>
        <v>0</v>
      </c>
      <c r="FA124" s="143">
        <f t="shared" si="530"/>
        <v>0</v>
      </c>
      <c r="FB124" s="143">
        <f t="shared" si="531"/>
        <v>0</v>
      </c>
      <c r="FC124" s="143">
        <f t="shared" si="532"/>
        <v>0</v>
      </c>
      <c r="FD124" s="143">
        <f t="shared" si="533"/>
        <v>0</v>
      </c>
      <c r="FE124" s="140">
        <f>SUM($D124:D124)*IF($B124="Operacional",IFERROR(VLOOKUP($C124,SN_UGC,28,0),0),1)</f>
        <v>0</v>
      </c>
      <c r="FF124" s="140">
        <f>SUM($D124:E124)*IF($B124="Operacional",IFERROR(VLOOKUP($C124,SN_UGC,28,0),0),1)</f>
        <v>0</v>
      </c>
      <c r="FG124" s="140">
        <f>SUM($D124:F124)*IF($B124="Operacional",IFERROR(VLOOKUP($C124,SN_UGC,28,0),0),1)</f>
        <v>0</v>
      </c>
      <c r="FH124" s="140">
        <f>SUM($D124:G124)*IF($B124="Operacional",IFERROR(VLOOKUP($C124,SN_UGC,28,0),0),1)</f>
        <v>0</v>
      </c>
      <c r="FI124" s="140">
        <f>SUM($D124:H124)*IF($B124="Operacional",IFERROR(VLOOKUP($C124,SN_UGC,28,0),0),1)</f>
        <v>0</v>
      </c>
      <c r="FJ124" s="140">
        <f>SUM($D124:I124)*IF($B124="Operacional",IFERROR(VLOOKUP($C124,SN_UGC,28,0),0),1)</f>
        <v>0</v>
      </c>
      <c r="FK124" s="140">
        <f>SUM($D124:J124)*IF($B124="Operacional",IFERROR(VLOOKUP($C124,SN_UGC,28,0),0),1)</f>
        <v>0</v>
      </c>
      <c r="FL124" s="140">
        <f>SUM($D124:K124)*IF($B124="Operacional",IFERROR(VLOOKUP($C124,SN_UGC,28,0),0),1)</f>
        <v>0</v>
      </c>
      <c r="FM124" s="140">
        <f>SUM($D124:L124)*IF($B124="Operacional",IFERROR(VLOOKUP($C124,SN_UGC,28,0),0),1)</f>
        <v>0</v>
      </c>
      <c r="FN124" s="140">
        <f>SUM($D124:M124)*IF($B124="Operacional",IFERROR(VLOOKUP($C124,SN_UGC,28,0),0),1)</f>
        <v>0</v>
      </c>
      <c r="FO124" s="140">
        <f>SUM($D124:N124)*IF($B124="Operacional",IFERROR(VLOOKUP($C124,SN_UGC,28,0),0),1)</f>
        <v>0</v>
      </c>
      <c r="FP124" s="140">
        <f>SUM($D124:O124)*IF($B124="Operacional",IFERROR(VLOOKUP($C124,SN_UGC,28,0),0),1)</f>
        <v>0</v>
      </c>
      <c r="FQ124" s="140">
        <f>SUM($D124:P124)*IF($B124="Operacional",IFERROR(VLOOKUP($C124,SN_UGC,28,0),0),1)</f>
        <v>0</v>
      </c>
      <c r="FR124" s="140">
        <f>SUM($D124:Q124)*IF($B124="Operacional",IFERROR(VLOOKUP($C124,SN_UGC,28,0),0),1)</f>
        <v>0</v>
      </c>
      <c r="FS124" s="140">
        <f>SUM($D124:R124)*IF($B124="Operacional",IFERROR(VLOOKUP($C124,SN_UGC,28,0),0),1)</f>
        <v>0</v>
      </c>
      <c r="FT124" s="140">
        <f>SUM($D124:S124)*IF($B124="Operacional",IFERROR(VLOOKUP($C124,SN_UGC,28,0),0),1)</f>
        <v>0</v>
      </c>
      <c r="FU124" s="140">
        <f>SUM($D124:T124)*IF($B124="Operacional",IFERROR(VLOOKUP($C124,SN_UGC,28,0),0),1)</f>
        <v>0</v>
      </c>
      <c r="FV124" s="140">
        <f>SUM($D124:U124)*IF($B124="Operacional",IFERROR(VLOOKUP($C124,SN_UGC,28,0),0),1)</f>
        <v>0</v>
      </c>
      <c r="FW124" s="140">
        <f>SUM($D124:V124)*IF($B124="Operacional",IFERROR(VLOOKUP($C124,SN_UGC,28,0),0),1)</f>
        <v>0</v>
      </c>
      <c r="FX124" s="140">
        <f>SUM($D124:W124)*IF($B124="Operacional",IFERROR(VLOOKUP($C124,SN_UGC,28,0),0),1)</f>
        <v>0</v>
      </c>
      <c r="FY124" s="140">
        <f>SUM($D124:X124)*IF($B124="Operacional",IFERROR(VLOOKUP($C124,SN_UGC,28,0),0),1)</f>
        <v>0</v>
      </c>
      <c r="FZ124" s="140">
        <f>SUM($D124:Y124)*IF($B124="Operacional",IFERROR(VLOOKUP($C124,SN_UGC,28,0),0),1)</f>
        <v>0</v>
      </c>
      <c r="GA124" s="140">
        <f>SUM($D124:Z124)*IF($B124="Operacional",IFERROR(VLOOKUP($C124,SN_UGC,28,0),0),1)</f>
        <v>0</v>
      </c>
      <c r="GB124" s="140">
        <f>SUM($D124:AA124)*IF($B124="Operacional",IFERROR(VLOOKUP($C124,SN_UGC,28,0),0),1)</f>
        <v>0</v>
      </c>
      <c r="GC124" s="140">
        <f>SUM($D124:AB124)*IF($B124="Operacional",IFERROR(VLOOKUP($C124,SN_UGC,28,0),0),1)</f>
        <v>0</v>
      </c>
      <c r="GD124" s="140">
        <f>SUM($D124:AC124)*IF($B124="Operacional",IFERROR(VLOOKUP($C124,SN_UGC,28,0),0),1)</f>
        <v>0</v>
      </c>
      <c r="GE124" s="140">
        <f>SUM($D124:AD124)*IF($B124="Operacional",IFERROR(VLOOKUP($C124,SN_UGC,28,0),0),1)</f>
        <v>0</v>
      </c>
      <c r="GF124" s="140">
        <f>SUM($D124:AE124)*IF($B124="Operacional",IFERROR(VLOOKUP($C124,SN_UGC,28,0),0),1)</f>
        <v>0</v>
      </c>
      <c r="GG124" s="140">
        <f>SUM($D124:AF124)*IF($B124="Operacional",IFERROR(VLOOKUP($C124,SN_UGC,28,0),0),1)</f>
        <v>0</v>
      </c>
      <c r="GH124" s="140">
        <f>SUM($D124:AG124)*IF($B124="Operacional",IFERROR(VLOOKUP($C124,SN_UGC,28,0),0),1)</f>
        <v>0</v>
      </c>
      <c r="GI124" s="141">
        <f t="shared" ref="GI124:HL124" si="630">FE124*$AH124*$AL124</f>
        <v>0</v>
      </c>
      <c r="GJ124" s="141">
        <f t="shared" si="630"/>
        <v>0</v>
      </c>
      <c r="GK124" s="141">
        <f t="shared" si="630"/>
        <v>0</v>
      </c>
      <c r="GL124" s="141">
        <f t="shared" si="630"/>
        <v>0</v>
      </c>
      <c r="GM124" s="141">
        <f t="shared" si="630"/>
        <v>0</v>
      </c>
      <c r="GN124" s="141">
        <f t="shared" si="630"/>
        <v>0</v>
      </c>
      <c r="GO124" s="141">
        <f t="shared" si="630"/>
        <v>0</v>
      </c>
      <c r="GP124" s="141">
        <f t="shared" si="630"/>
        <v>0</v>
      </c>
      <c r="GQ124" s="141">
        <f t="shared" si="630"/>
        <v>0</v>
      </c>
      <c r="GR124" s="141">
        <f t="shared" si="630"/>
        <v>0</v>
      </c>
      <c r="GS124" s="141">
        <f t="shared" si="630"/>
        <v>0</v>
      </c>
      <c r="GT124" s="141">
        <f t="shared" si="630"/>
        <v>0</v>
      </c>
      <c r="GU124" s="141">
        <f t="shared" si="630"/>
        <v>0</v>
      </c>
      <c r="GV124" s="141">
        <f t="shared" si="630"/>
        <v>0</v>
      </c>
      <c r="GW124" s="141">
        <f t="shared" si="630"/>
        <v>0</v>
      </c>
      <c r="GX124" s="141">
        <f t="shared" si="630"/>
        <v>0</v>
      </c>
      <c r="GY124" s="141">
        <f t="shared" si="630"/>
        <v>0</v>
      </c>
      <c r="GZ124" s="141">
        <f t="shared" si="630"/>
        <v>0</v>
      </c>
      <c r="HA124" s="141">
        <f t="shared" si="630"/>
        <v>0</v>
      </c>
      <c r="HB124" s="141">
        <f t="shared" si="630"/>
        <v>0</v>
      </c>
      <c r="HC124" s="141">
        <f t="shared" si="630"/>
        <v>0</v>
      </c>
      <c r="HD124" s="141">
        <f t="shared" si="630"/>
        <v>0</v>
      </c>
      <c r="HE124" s="141">
        <f t="shared" si="630"/>
        <v>0</v>
      </c>
      <c r="HF124" s="141">
        <f t="shared" si="630"/>
        <v>0</v>
      </c>
      <c r="HG124" s="141">
        <f t="shared" si="630"/>
        <v>0</v>
      </c>
      <c r="HH124" s="141">
        <f t="shared" si="630"/>
        <v>0</v>
      </c>
      <c r="HI124" s="141">
        <f t="shared" si="630"/>
        <v>0</v>
      </c>
      <c r="HJ124" s="141">
        <f t="shared" si="630"/>
        <v>0</v>
      </c>
      <c r="HK124" s="141">
        <f t="shared" si="630"/>
        <v>0</v>
      </c>
      <c r="HL124" s="141">
        <f t="shared" si="630"/>
        <v>0</v>
      </c>
      <c r="HM124" s="142">
        <f t="shared" ref="HM124:IP124" si="631">IF(ISBLANK($A124),,FE124*($AH124-($AH124*$AJ124))/$AI124)</f>
        <v>0</v>
      </c>
      <c r="HN124" s="142">
        <f t="shared" si="631"/>
        <v>0</v>
      </c>
      <c r="HO124" s="142">
        <f t="shared" si="631"/>
        <v>0</v>
      </c>
      <c r="HP124" s="142">
        <f t="shared" si="631"/>
        <v>0</v>
      </c>
      <c r="HQ124" s="142">
        <f t="shared" si="631"/>
        <v>0</v>
      </c>
      <c r="HR124" s="142">
        <f t="shared" si="631"/>
        <v>0</v>
      </c>
      <c r="HS124" s="142">
        <f t="shared" si="631"/>
        <v>0</v>
      </c>
      <c r="HT124" s="142">
        <f t="shared" si="631"/>
        <v>0</v>
      </c>
      <c r="HU124" s="142">
        <f t="shared" si="631"/>
        <v>0</v>
      </c>
      <c r="HV124" s="142">
        <f t="shared" si="631"/>
        <v>0</v>
      </c>
      <c r="HW124" s="142">
        <f t="shared" si="631"/>
        <v>0</v>
      </c>
      <c r="HX124" s="142">
        <f t="shared" si="631"/>
        <v>0</v>
      </c>
      <c r="HY124" s="142">
        <f t="shared" si="631"/>
        <v>0</v>
      </c>
      <c r="HZ124" s="142">
        <f t="shared" si="631"/>
        <v>0</v>
      </c>
      <c r="IA124" s="142">
        <f t="shared" si="631"/>
        <v>0</v>
      </c>
      <c r="IB124" s="142">
        <f t="shared" si="631"/>
        <v>0</v>
      </c>
      <c r="IC124" s="142">
        <f t="shared" si="631"/>
        <v>0</v>
      </c>
      <c r="ID124" s="142">
        <f t="shared" si="631"/>
        <v>0</v>
      </c>
      <c r="IE124" s="142">
        <f t="shared" si="631"/>
        <v>0</v>
      </c>
      <c r="IF124" s="142">
        <f t="shared" si="631"/>
        <v>0</v>
      </c>
      <c r="IG124" s="142">
        <f t="shared" si="631"/>
        <v>0</v>
      </c>
      <c r="IH124" s="142">
        <f t="shared" si="631"/>
        <v>0</v>
      </c>
      <c r="II124" s="142">
        <f t="shared" si="631"/>
        <v>0</v>
      </c>
      <c r="IJ124" s="142">
        <f t="shared" si="631"/>
        <v>0</v>
      </c>
      <c r="IK124" s="142">
        <f t="shared" si="631"/>
        <v>0</v>
      </c>
      <c r="IL124" s="142">
        <f t="shared" si="631"/>
        <v>0</v>
      </c>
      <c r="IM124" s="142">
        <f t="shared" si="631"/>
        <v>0</v>
      </c>
      <c r="IN124" s="142">
        <f t="shared" si="631"/>
        <v>0</v>
      </c>
      <c r="IO124" s="142">
        <f t="shared" si="631"/>
        <v>0</v>
      </c>
      <c r="IP124" s="142">
        <f t="shared" si="631"/>
        <v>0</v>
      </c>
      <c r="IQ124" s="141">
        <f>IF(ISBLANK($A124),,IF($AN124="Não",0,(SUM($AO124:AO124)*$AH124)-SUM($HM124:HM124)-SUM($CW124:CW124)))</f>
        <v>0</v>
      </c>
      <c r="IR124" s="141">
        <f>IF(ISBLANK($A124),,IF($AN124="Não",0,(SUM($AO124:AP124)*$AH124)-SUM($HM124:HN124)-SUM($CW124:CX124)))</f>
        <v>0</v>
      </c>
      <c r="IS124" s="141">
        <f>IF(ISBLANK($A124),,IF($AN124="Não",0,(SUM($AO124:AQ124)*$AH124)-SUM($HM124:HO124)-SUM($CW124:CY124)))</f>
        <v>0</v>
      </c>
      <c r="IT124" s="141">
        <f>IF(ISBLANK($A124),,IF($AN124="Não",0,(SUM($AO124:AR124)*$AH124)-SUM($HM124:HP124)-SUM($CW124:CZ124)))</f>
        <v>0</v>
      </c>
      <c r="IU124" s="141">
        <f>IF(ISBLANK($A124),,IF($AN124="Não",0,(SUM($AO124:AS124)*$AH124)-SUM($HM124:HQ124)-SUM($CW124:DA124)))</f>
        <v>0</v>
      </c>
      <c r="IV124" s="141">
        <f>IF(ISBLANK($A124),,IF($AN124="Não",0,(SUM($AO124:AT124)*$AH124)-SUM($HM124:HR124)-SUM($CW124:DB124)))</f>
        <v>0</v>
      </c>
      <c r="IW124" s="141">
        <f>IF(ISBLANK($A124),,IF($AN124="Não",0,(SUM($AO124:AU124)*$AH124)-SUM($HM124:HS124)-SUM($CW124:DC124)))</f>
        <v>0</v>
      </c>
      <c r="IX124" s="141">
        <f>IF(ISBLANK($A124),,IF($AN124="Não",0,(SUM($AO124:AV124)*$AH124)-SUM($HM124:HT124)-SUM($CW124:DD124)))</f>
        <v>0</v>
      </c>
      <c r="IY124" s="141">
        <f>IF(ISBLANK($A124),,IF($AN124="Não",0,(SUM($AO124:AW124)*$AH124)-SUM($HM124:HU124)-SUM($CW124:DE124)))</f>
        <v>0</v>
      </c>
      <c r="IZ124" s="141">
        <f>IF(ISBLANK($A124),,IF($AN124="Não",0,(SUM($AO124:AX124)*$AH124)-SUM($HM124:HV124)-SUM($CW124:DF124)))</f>
        <v>0</v>
      </c>
      <c r="JA124" s="141">
        <f>IF(ISBLANK($A124),,IF($AN124="Não",0,(SUM($AO124:AY124)*$AH124)-SUM($HM124:HW124)-SUM($CW124:DG124)))</f>
        <v>0</v>
      </c>
      <c r="JB124" s="141">
        <f>IF(ISBLANK($A124),,IF($AN124="Não",0,(SUM($AO124:AZ124)*$AH124)-SUM($HM124:HX124)-SUM($CW124:DH124)))</f>
        <v>0</v>
      </c>
      <c r="JC124" s="141">
        <f>IF(ISBLANK($A124),,IF($AN124="Não",0,(SUM($AO124:BA124)*$AH124)-SUM($HM124:HY124)-SUM($CW124:DI124)))</f>
        <v>0</v>
      </c>
      <c r="JD124" s="141">
        <f>IF(ISBLANK($A124),,IF($AN124="Não",0,(SUM($AO124:BB124)*$AH124)-SUM($HM124:HZ124)-SUM($CW124:DJ124)))</f>
        <v>0</v>
      </c>
      <c r="JE124" s="141">
        <f>IF(ISBLANK($A124),,IF($AN124="Não",0,(SUM($AO124:BC124)*$AH124)-SUM($HM124:IA124)-SUM($CW124:DK124)))</f>
        <v>0</v>
      </c>
      <c r="JF124" s="141">
        <f>IF(ISBLANK($A124),,IF($AN124="Não",0,(SUM($AO124:BD124)*$AH124)-SUM($HM124:IB124)-SUM($CW124:DL124)))</f>
        <v>0</v>
      </c>
      <c r="JG124" s="141">
        <f>IF(ISBLANK($A124),,IF($AN124="Não",0,(SUM($AO124:BE124)*$AH124)-SUM($HM124:IC124)-SUM($CW124:DM124)))</f>
        <v>0</v>
      </c>
      <c r="JH124" s="141">
        <f>IF(ISBLANK($A124),,IF($AN124="Não",0,(SUM($AO124:BF124)*$AH124)-SUM($HM124:ID124)-SUM($CW124:DN124)))</f>
        <v>0</v>
      </c>
      <c r="JI124" s="141">
        <f>IF(ISBLANK($A124),,IF($AN124="Não",0,(SUM($AO124:BG124)*$AH124)-SUM($HM124:IE124)-SUM($CW124:DO124)))</f>
        <v>0</v>
      </c>
      <c r="JJ124" s="141">
        <f>IF(ISBLANK($A124),,IF($AN124="Não",0,(SUM($AO124:BH124)*$AH124)-SUM($HM124:IF124)-SUM($CW124:DP124)))</f>
        <v>0</v>
      </c>
      <c r="JK124" s="141">
        <f>IF(ISBLANK($A124),,IF($AN124="Não",0,(SUM($AO124:BI124)*$AH124)-SUM($HM124:IG124)-SUM($CW124:DQ124)))</f>
        <v>0</v>
      </c>
      <c r="JL124" s="141">
        <f>IF(ISBLANK($A124),,IF($AN124="Não",0,(SUM($AO124:BJ124)*$AH124)-SUM($HM124:IH124)-SUM($CW124:DR124)))</f>
        <v>0</v>
      </c>
      <c r="JM124" s="141">
        <f>IF(ISBLANK($A124),,IF($AN124="Não",0,(SUM($AO124:BK124)*$AH124)-SUM($HM124:II124)-SUM($CW124:DS124)))</f>
        <v>0</v>
      </c>
      <c r="JN124" s="141">
        <f>IF(ISBLANK($A124),,IF($AN124="Não",0,(SUM($AO124:BL124)*$AH124)-SUM($HM124:IJ124)-SUM($CW124:DT124)))</f>
        <v>0</v>
      </c>
      <c r="JO124" s="141">
        <f>IF(ISBLANK($A124),,IF($AN124="Não",0,(SUM($AO124:BM124)*$AH124)-SUM($HM124:IK124)-SUM($CW124:DU124)))</f>
        <v>0</v>
      </c>
      <c r="JP124" s="141">
        <f>IF(ISBLANK($A124),,IF($AN124="Não",0,(SUM($AO124:BN124)*$AH124)-SUM($HM124:IL124)-SUM($CW124:DV124)))</f>
        <v>0</v>
      </c>
      <c r="JQ124" s="141">
        <f>IF(ISBLANK($A124),,IF($AN124="Não",0,(SUM($AO124:BO124)*$AH124)-SUM($HM124:IM124)-SUM($CW124:DW124)))</f>
        <v>0</v>
      </c>
      <c r="JR124" s="141">
        <f>IF(ISBLANK($A124),,IF($AN124="Não",0,(SUM($AO124:BP124)*$AH124)-SUM($HM124:IN124)-SUM($CW124:DX124)))</f>
        <v>0</v>
      </c>
      <c r="JS124" s="141">
        <f>IF(ISBLANK($A124),,IF($AN124="Não",0,(SUM($AO124:BQ124)*$AH124)-SUM($HM124:IO124)-SUM($CW124:DY124)))</f>
        <v>0</v>
      </c>
      <c r="JT124" s="141">
        <f>IF(ISBLANK($A124),,IF($AN124="Não",0,(SUM($AO124:BR124)*$AH124)-SUM($HM124:IP124)-SUM($CW124:DZ124)))</f>
        <v>0</v>
      </c>
    </row>
    <row r="125" spans="1:280" ht="15.75" customHeight="1">
      <c r="A125" s="129"/>
      <c r="B125" s="129"/>
      <c r="C125" s="138"/>
      <c r="D125" s="139"/>
      <c r="E125" s="139"/>
      <c r="F125" s="139"/>
      <c r="G125" s="139"/>
      <c r="H125" s="139"/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607">
        <f t="shared" si="544"/>
        <v>0</v>
      </c>
      <c r="AI125" s="608">
        <f t="shared" si="545"/>
        <v>0</v>
      </c>
      <c r="AJ125" s="609">
        <f t="shared" si="546"/>
        <v>0</v>
      </c>
      <c r="AK125" s="610" t="str">
        <f t="shared" si="547"/>
        <v/>
      </c>
      <c r="AL125" s="609">
        <f t="shared" si="548"/>
        <v>0</v>
      </c>
      <c r="AM125" s="611" t="str">
        <f t="shared" si="549"/>
        <v/>
      </c>
      <c r="AN125" s="611" t="str">
        <f t="shared" si="550"/>
        <v/>
      </c>
      <c r="AO125" s="140">
        <f t="array" ref="AO125">IF(ISBLANK($A125),0,IF(OR(AO$5-$AI125&lt;=0,$AM125="Não"),D125,D125+INDEX($AO$6:$BR$176,ROW()-5,COLUMN()-40-$AI125)))*IF($B125="Operacional",IFERROR(VLOOKUP($C125,SN_UGC,28,0),0),1)</f>
        <v>0</v>
      </c>
      <c r="AP125" s="140">
        <f t="array" ref="AP125">IF(ISBLANK($A125),0,IF(OR(AP$5-$AI125&lt;=0,$AM125="Não"),E125,E125+INDEX($AO$6:$BR$176,ROW()-5,COLUMN()-40-$AI125)))*IF($B125="Operacional",IFERROR(VLOOKUP($C125,SN_UGC,28,0),0),1)</f>
        <v>0</v>
      </c>
      <c r="AQ125" s="140">
        <f t="array" ref="AQ125">IF(ISBLANK($A125),0,IF(OR(AQ$5-$AI125&lt;=0,$AM125="Não"),F125,F125+INDEX($AO$6:$BR$176,ROW()-5,COLUMN()-40-$AI125)))*IF($B125="Operacional",IFERROR(VLOOKUP($C125,SN_UGC,28,0),0),1)</f>
        <v>0</v>
      </c>
      <c r="AR125" s="140">
        <f t="array" ref="AR125">IF(ISBLANK($A125),0,IF(OR(AR$5-$AI125&lt;=0,$AM125="Não"),G125,G125+INDEX($AO$6:$BR$176,ROW()-5,COLUMN()-40-$AI125)))*IF($B125="Operacional",IFERROR(VLOOKUP($C125,SN_UGC,28,0),0),1)</f>
        <v>0</v>
      </c>
      <c r="AS125" s="140">
        <f t="array" ref="AS125">IF(ISBLANK($A125),0,IF(OR(AS$5-$AI125&lt;=0,$AM125="Não"),H125,H125+INDEX($AO$6:$BR$176,ROW()-5,COLUMN()-40-$AI125)))*IF($B125="Operacional",IFERROR(VLOOKUP($C125,SN_UGC,28,0),0),1)</f>
        <v>0</v>
      </c>
      <c r="AT125" s="140">
        <f t="array" ref="AT125">IF(ISBLANK($A125),0,IF(OR(AT$5-$AI125&lt;=0,$AM125="Não"),I125,I125+INDEX($AO$6:$BR$176,ROW()-5,COLUMN()-40-$AI125)))*IF($B125="Operacional",IFERROR(VLOOKUP($C125,SN_UGC,28,0),0),1)</f>
        <v>0</v>
      </c>
      <c r="AU125" s="140">
        <f t="array" ref="AU125">IF(ISBLANK($A125),0,IF(OR(AU$5-$AI125&lt;=0,$AM125="Não"),J125,J125+INDEX($AO$6:$BR$176,ROW()-5,COLUMN()-40-$AI125)))*IF($B125="Operacional",IFERROR(VLOOKUP($C125,SN_UGC,28,0),0),1)</f>
        <v>0</v>
      </c>
      <c r="AV125" s="140">
        <f t="array" ref="AV125">IF(ISBLANK($A125),0,IF(OR(AV$5-$AI125&lt;=0,$AM125="Não"),K125,K125+INDEX($AO$6:$BR$176,ROW()-5,COLUMN()-40-$AI125)))*IF($B125="Operacional",IFERROR(VLOOKUP($C125,SN_UGC,28,0),0),1)</f>
        <v>0</v>
      </c>
      <c r="AW125" s="140">
        <f t="array" ref="AW125">IF(ISBLANK($A125),0,IF(OR(AW$5-$AI125&lt;=0,$AM125="Não"),L125,L125+INDEX($AO$6:$BR$176,ROW()-5,COLUMN()-40-$AI125)))*IF($B125="Operacional",IFERROR(VLOOKUP($C125,SN_UGC,28,0),0),1)</f>
        <v>0</v>
      </c>
      <c r="AX125" s="140">
        <f t="array" ref="AX125">IF(ISBLANK($A125),0,IF(OR(AX$5-$AI125&lt;=0,$AM125="Não"),M125,M125+INDEX($AO$6:$BR$176,ROW()-5,COLUMN()-40-$AI125)))*IF($B125="Operacional",IFERROR(VLOOKUP($C125,SN_UGC,28,0),0),1)</f>
        <v>0</v>
      </c>
      <c r="AY125" s="140">
        <f t="array" ref="AY125">IF(ISBLANK($A125),0,IF(OR(AY$5-$AI125&lt;=0,$AM125="Não"),N125,N125+INDEX($AO$6:$BR$176,ROW()-5,COLUMN()-40-$AI125)))*IF($B125="Operacional",IFERROR(VLOOKUP($C125,SN_UGC,28,0),0),1)</f>
        <v>0</v>
      </c>
      <c r="AZ125" s="140">
        <f t="array" ref="AZ125">IF(ISBLANK($A125),0,IF(OR(AZ$5-$AI125&lt;=0,$AM125="Não"),O125,O125+INDEX($AO$6:$BR$176,ROW()-5,COLUMN()-40-$AI125)))*IF($B125="Operacional",IFERROR(VLOOKUP($C125,SN_UGC,28,0),0),1)</f>
        <v>0</v>
      </c>
      <c r="BA125" s="140">
        <f t="array" ref="BA125">IF(ISBLANK($A125),0,IF(OR(BA$5-$AI125&lt;=0,$AM125="Não"),P125,P125+INDEX($AO$6:$BR$176,ROW()-5,COLUMN()-40-$AI125)))*IF($B125="Operacional",IFERROR(VLOOKUP($C125,SN_UGC,28,0),0),1)</f>
        <v>0</v>
      </c>
      <c r="BB125" s="140">
        <f t="array" ref="BB125">IF(ISBLANK($A125),0,IF(OR(BB$5-$AI125&lt;=0,$AM125="Não"),Q125,Q125+INDEX($AO$6:$BR$176,ROW()-5,COLUMN()-40-$AI125)))*IF($B125="Operacional",IFERROR(VLOOKUP($C125,SN_UGC,28,0),0),1)</f>
        <v>0</v>
      </c>
      <c r="BC125" s="140">
        <f t="array" ref="BC125">IF(ISBLANK($A125),0,IF(OR(BC$5-$AI125&lt;=0,$AM125="Não"),R125,R125+INDEX($AO$6:$BR$176,ROW()-5,COLUMN()-40-$AI125)))*IF($B125="Operacional",IFERROR(VLOOKUP($C125,SN_UGC,28,0),0),1)</f>
        <v>0</v>
      </c>
      <c r="BD125" s="140">
        <f t="array" ref="BD125">IF(ISBLANK($A125),0,IF(OR(BD$5-$AI125&lt;=0,$AM125="Não"),S125,S125+INDEX($AO$6:$BR$176,ROW()-5,COLUMN()-40-$AI125)))*IF($B125="Operacional",IFERROR(VLOOKUP($C125,SN_UGC,28,0),0),1)</f>
        <v>0</v>
      </c>
      <c r="BE125" s="140">
        <f t="array" ref="BE125">IF(ISBLANK($A125),0,IF(OR(BE$5-$AI125&lt;=0,$AM125="Não"),T125,T125+INDEX($AO$6:$BR$176,ROW()-5,COLUMN()-40-$AI125)))*IF($B125="Operacional",IFERROR(VLOOKUP($C125,SN_UGC,28,0),0),1)</f>
        <v>0</v>
      </c>
      <c r="BF125" s="140">
        <f t="array" ref="BF125">IF(ISBLANK($A125),0,IF(OR(BF$5-$AI125&lt;=0,$AM125="Não"),U125,U125+INDEX($AO$6:$BR$176,ROW()-5,COLUMN()-40-$AI125)))*IF($B125="Operacional",IFERROR(VLOOKUP($C125,SN_UGC,28,0),0),1)</f>
        <v>0</v>
      </c>
      <c r="BG125" s="140">
        <f t="array" ref="BG125">IF(ISBLANK($A125),0,IF(OR(BG$5-$AI125&lt;=0,$AM125="Não"),V125,V125+INDEX($AO$6:$BR$176,ROW()-5,COLUMN()-40-$AI125)))*IF($B125="Operacional",IFERROR(VLOOKUP($C125,SN_UGC,28,0),0),1)</f>
        <v>0</v>
      </c>
      <c r="BH125" s="140">
        <f t="array" ref="BH125">IF(ISBLANK($A125),0,IF(OR(BH$5-$AI125&lt;=0,$AM125="Não"),W125,W125+INDEX($AO$6:$BR$176,ROW()-5,COLUMN()-40-$AI125)))*IF($B125="Operacional",IFERROR(VLOOKUP($C125,SN_UGC,28,0),0),1)</f>
        <v>0</v>
      </c>
      <c r="BI125" s="140">
        <f t="array" ref="BI125">IF(ISBLANK($A125),0,IF(OR(BI$5-$AI125&lt;=0,$AM125="Não"),X125,X125+INDEX($AO$6:$BR$176,ROW()-5,COLUMN()-40-$AI125)))*IF($B125="Operacional",IFERROR(VLOOKUP($C125,SN_UGC,28,0),0),1)</f>
        <v>0</v>
      </c>
      <c r="BJ125" s="140">
        <f t="array" ref="BJ125">IF(ISBLANK($A125),0,IF(OR(BJ$5-$AI125&lt;=0,$AM125="Não"),Y125,Y125+INDEX($AO$6:$BR$176,ROW()-5,COLUMN()-40-$AI125)))*IF($B125="Operacional",IFERROR(VLOOKUP($C125,SN_UGC,28,0),0),1)</f>
        <v>0</v>
      </c>
      <c r="BK125" s="140">
        <f t="array" ref="BK125">IF(ISBLANK($A125),0,IF(OR(BK$5-$AI125&lt;=0,$AM125="Não"),Z125,Z125+INDEX($AO$6:$BR$176,ROW()-5,COLUMN()-40-$AI125)))*IF($B125="Operacional",IFERROR(VLOOKUP($C125,SN_UGC,28,0),0),1)</f>
        <v>0</v>
      </c>
      <c r="BL125" s="140">
        <f t="array" ref="BL125">IF(ISBLANK($A125),0,IF(OR(BL$5-$AI125&lt;=0,$AM125="Não"),AA125,AA125+INDEX($AO$6:$BR$176,ROW()-5,COLUMN()-40-$AI125)))*IF($B125="Operacional",IFERROR(VLOOKUP($C125,SN_UGC,28,0),0),1)</f>
        <v>0</v>
      </c>
      <c r="BM125" s="140">
        <f t="array" ref="BM125">IF(ISBLANK($A125),0,IF(OR(BM$5-$AI125&lt;=0,$AM125="Não"),AB125,AB125+INDEX($AO$6:$BR$176,ROW()-5,COLUMN()-40-$AI125)))*IF($B125="Operacional",IFERROR(VLOOKUP($C125,SN_UGC,28,0),0),1)</f>
        <v>0</v>
      </c>
      <c r="BN125" s="140">
        <f t="array" ref="BN125">IF(ISBLANK($A125),0,IF(OR(BN$5-$AI125&lt;=0,$AM125="Não"),AC125,AC125+INDEX($AO$6:$BR$176,ROW()-5,COLUMN()-40-$AI125)))*IF($B125="Operacional",IFERROR(VLOOKUP($C125,SN_UGC,28,0),0),1)</f>
        <v>0</v>
      </c>
      <c r="BO125" s="140">
        <f t="array" ref="BO125">IF(ISBLANK($A125),0,IF(OR(BO$5-$AI125&lt;=0,$AM125="Não"),AD125,AD125+INDEX($AO$6:$BR$176,ROW()-5,COLUMN()-40-$AI125)))*IF($B125="Operacional",IFERROR(VLOOKUP($C125,SN_UGC,28,0),0),1)</f>
        <v>0</v>
      </c>
      <c r="BP125" s="140">
        <f t="array" ref="BP125">IF(ISBLANK($A125),0,IF(OR(BP$5-$AI125&lt;=0,$AM125="Não"),AE125,AE125+INDEX($AO$6:$BR$176,ROW()-5,COLUMN()-40-$AI125)))*IF($B125="Operacional",IFERROR(VLOOKUP($C125,SN_UGC,28,0),0),1)</f>
        <v>0</v>
      </c>
      <c r="BQ125" s="140">
        <f t="array" ref="BQ125">IF(ISBLANK($A125),0,IF(OR(BQ$5-$AI125&lt;=0,$AM125="Não"),AF125,AF125+INDEX($AO$6:$BR$176,ROW()-5,COLUMN()-40-$AI125)))*IF($B125="Operacional",IFERROR(VLOOKUP($C125,SN_UGC,28,0),0),1)</f>
        <v>0</v>
      </c>
      <c r="BR125" s="140">
        <f t="array" ref="BR125">IF(ISBLANK($A125),0,IF(OR(BR$5-$AI125&lt;=0,$AM125="Não"),AG125,AG125+INDEX($AO$6:$BR$176,ROW()-5,COLUMN()-40-$AI125)))*IF($B125="Operacional",IFERROR(VLOOKUP($C125,SN_UGC,28,0),0),1)</f>
        <v>0</v>
      </c>
      <c r="BS125" s="141">
        <f t="shared" ref="BS125:CV125" si="632">IF(ISBLANK($A125),0,$AH125*AO125)</f>
        <v>0</v>
      </c>
      <c r="BT125" s="141">
        <f t="shared" si="632"/>
        <v>0</v>
      </c>
      <c r="BU125" s="141">
        <f t="shared" si="632"/>
        <v>0</v>
      </c>
      <c r="BV125" s="141">
        <f t="shared" si="632"/>
        <v>0</v>
      </c>
      <c r="BW125" s="141">
        <f t="shared" si="632"/>
        <v>0</v>
      </c>
      <c r="BX125" s="141">
        <f t="shared" si="632"/>
        <v>0</v>
      </c>
      <c r="BY125" s="141">
        <f t="shared" si="632"/>
        <v>0</v>
      </c>
      <c r="BZ125" s="141">
        <f t="shared" si="632"/>
        <v>0</v>
      </c>
      <c r="CA125" s="141">
        <f t="shared" si="632"/>
        <v>0</v>
      </c>
      <c r="CB125" s="141">
        <f t="shared" si="632"/>
        <v>0</v>
      </c>
      <c r="CC125" s="141">
        <f t="shared" si="632"/>
        <v>0</v>
      </c>
      <c r="CD125" s="141">
        <f t="shared" si="632"/>
        <v>0</v>
      </c>
      <c r="CE125" s="141">
        <f t="shared" si="632"/>
        <v>0</v>
      </c>
      <c r="CF125" s="141">
        <f t="shared" si="632"/>
        <v>0</v>
      </c>
      <c r="CG125" s="141">
        <f t="shared" si="632"/>
        <v>0</v>
      </c>
      <c r="CH125" s="141">
        <f t="shared" si="632"/>
        <v>0</v>
      </c>
      <c r="CI125" s="141">
        <f t="shared" si="632"/>
        <v>0</v>
      </c>
      <c r="CJ125" s="141">
        <f t="shared" si="632"/>
        <v>0</v>
      </c>
      <c r="CK125" s="141">
        <f t="shared" si="632"/>
        <v>0</v>
      </c>
      <c r="CL125" s="141">
        <f t="shared" si="632"/>
        <v>0</v>
      </c>
      <c r="CM125" s="141">
        <f t="shared" si="632"/>
        <v>0</v>
      </c>
      <c r="CN125" s="141">
        <f t="shared" si="632"/>
        <v>0</v>
      </c>
      <c r="CO125" s="141">
        <f t="shared" si="632"/>
        <v>0</v>
      </c>
      <c r="CP125" s="141">
        <f t="shared" si="632"/>
        <v>0</v>
      </c>
      <c r="CQ125" s="141">
        <f t="shared" si="632"/>
        <v>0</v>
      </c>
      <c r="CR125" s="141">
        <f t="shared" si="632"/>
        <v>0</v>
      </c>
      <c r="CS125" s="141">
        <f t="shared" si="632"/>
        <v>0</v>
      </c>
      <c r="CT125" s="141">
        <f t="shared" si="632"/>
        <v>0</v>
      </c>
      <c r="CU125" s="141">
        <f t="shared" si="632"/>
        <v>0</v>
      </c>
      <c r="CV125" s="141">
        <f t="shared" si="632"/>
        <v>0</v>
      </c>
      <c r="CW125" s="142">
        <f t="shared" ref="CW125:DZ125" si="633">EA125*$AH125*$AJ125</f>
        <v>0</v>
      </c>
      <c r="CX125" s="142">
        <f t="shared" si="633"/>
        <v>0</v>
      </c>
      <c r="CY125" s="142">
        <f t="shared" si="633"/>
        <v>0</v>
      </c>
      <c r="CZ125" s="142">
        <f t="shared" si="633"/>
        <v>0</v>
      </c>
      <c r="DA125" s="142">
        <f t="shared" si="633"/>
        <v>0</v>
      </c>
      <c r="DB125" s="142">
        <f t="shared" si="633"/>
        <v>0</v>
      </c>
      <c r="DC125" s="142">
        <f t="shared" si="633"/>
        <v>0</v>
      </c>
      <c r="DD125" s="142">
        <f t="shared" si="633"/>
        <v>0</v>
      </c>
      <c r="DE125" s="142">
        <f t="shared" si="633"/>
        <v>0</v>
      </c>
      <c r="DF125" s="142">
        <f t="shared" si="633"/>
        <v>0</v>
      </c>
      <c r="DG125" s="142">
        <f t="shared" si="633"/>
        <v>0</v>
      </c>
      <c r="DH125" s="142">
        <f t="shared" si="633"/>
        <v>0</v>
      </c>
      <c r="DI125" s="142">
        <f t="shared" si="633"/>
        <v>0</v>
      </c>
      <c r="DJ125" s="142">
        <f t="shared" si="633"/>
        <v>0</v>
      </c>
      <c r="DK125" s="142">
        <f t="shared" si="633"/>
        <v>0</v>
      </c>
      <c r="DL125" s="142">
        <f t="shared" si="633"/>
        <v>0</v>
      </c>
      <c r="DM125" s="142">
        <f t="shared" si="633"/>
        <v>0</v>
      </c>
      <c r="DN125" s="142">
        <f t="shared" si="633"/>
        <v>0</v>
      </c>
      <c r="DO125" s="142">
        <f t="shared" si="633"/>
        <v>0</v>
      </c>
      <c r="DP125" s="142">
        <f t="shared" si="633"/>
        <v>0</v>
      </c>
      <c r="DQ125" s="142">
        <f t="shared" si="633"/>
        <v>0</v>
      </c>
      <c r="DR125" s="142">
        <f t="shared" si="633"/>
        <v>0</v>
      </c>
      <c r="DS125" s="142">
        <f t="shared" si="633"/>
        <v>0</v>
      </c>
      <c r="DT125" s="142">
        <f t="shared" si="633"/>
        <v>0</v>
      </c>
      <c r="DU125" s="142">
        <f t="shared" si="633"/>
        <v>0</v>
      </c>
      <c r="DV125" s="142">
        <f t="shared" si="633"/>
        <v>0</v>
      </c>
      <c r="DW125" s="142">
        <f t="shared" si="633"/>
        <v>0</v>
      </c>
      <c r="DX125" s="142">
        <f t="shared" si="633"/>
        <v>0</v>
      </c>
      <c r="DY125" s="142">
        <f t="shared" si="633"/>
        <v>0</v>
      </c>
      <c r="DZ125" s="142">
        <f t="shared" si="633"/>
        <v>0</v>
      </c>
      <c r="EA125" s="143">
        <f t="shared" si="504"/>
        <v>0</v>
      </c>
      <c r="EB125" s="143">
        <f t="shared" si="505"/>
        <v>0</v>
      </c>
      <c r="EC125" s="143">
        <f t="shared" si="506"/>
        <v>0</v>
      </c>
      <c r="ED125" s="143">
        <f t="shared" si="507"/>
        <v>0</v>
      </c>
      <c r="EE125" s="143">
        <f t="shared" si="508"/>
        <v>0</v>
      </c>
      <c r="EF125" s="143">
        <f t="shared" si="509"/>
        <v>0</v>
      </c>
      <c r="EG125" s="143">
        <f t="shared" si="510"/>
        <v>0</v>
      </c>
      <c r="EH125" s="143">
        <f t="shared" si="511"/>
        <v>0</v>
      </c>
      <c r="EI125" s="143">
        <f t="shared" si="512"/>
        <v>0</v>
      </c>
      <c r="EJ125" s="143">
        <f t="shared" si="513"/>
        <v>0</v>
      </c>
      <c r="EK125" s="143">
        <f t="shared" si="514"/>
        <v>0</v>
      </c>
      <c r="EL125" s="143">
        <f t="shared" si="515"/>
        <v>0</v>
      </c>
      <c r="EM125" s="143">
        <f t="shared" si="516"/>
        <v>0</v>
      </c>
      <c r="EN125" s="143">
        <f t="shared" si="517"/>
        <v>0</v>
      </c>
      <c r="EO125" s="143">
        <f t="shared" si="518"/>
        <v>0</v>
      </c>
      <c r="EP125" s="143">
        <f t="shared" si="519"/>
        <v>0</v>
      </c>
      <c r="EQ125" s="143">
        <f t="shared" si="520"/>
        <v>0</v>
      </c>
      <c r="ER125" s="143">
        <f t="shared" si="521"/>
        <v>0</v>
      </c>
      <c r="ES125" s="143">
        <f t="shared" si="522"/>
        <v>0</v>
      </c>
      <c r="ET125" s="143">
        <f t="shared" si="523"/>
        <v>0</v>
      </c>
      <c r="EU125" s="143">
        <f t="shared" si="524"/>
        <v>0</v>
      </c>
      <c r="EV125" s="143">
        <f t="shared" si="525"/>
        <v>0</v>
      </c>
      <c r="EW125" s="143">
        <f t="shared" si="526"/>
        <v>0</v>
      </c>
      <c r="EX125" s="143">
        <f t="shared" si="527"/>
        <v>0</v>
      </c>
      <c r="EY125" s="143">
        <f t="shared" si="528"/>
        <v>0</v>
      </c>
      <c r="EZ125" s="143">
        <f t="shared" si="529"/>
        <v>0</v>
      </c>
      <c r="FA125" s="143">
        <f t="shared" si="530"/>
        <v>0</v>
      </c>
      <c r="FB125" s="143">
        <f t="shared" si="531"/>
        <v>0</v>
      </c>
      <c r="FC125" s="143">
        <f t="shared" si="532"/>
        <v>0</v>
      </c>
      <c r="FD125" s="143">
        <f t="shared" si="533"/>
        <v>0</v>
      </c>
      <c r="FE125" s="140">
        <f>SUM($D125:D125)*IF($B125="Operacional",IFERROR(VLOOKUP($C125,SN_UGC,28,0),0),1)</f>
        <v>0</v>
      </c>
      <c r="FF125" s="140">
        <f>SUM($D125:E125)*IF($B125="Operacional",IFERROR(VLOOKUP($C125,SN_UGC,28,0),0),1)</f>
        <v>0</v>
      </c>
      <c r="FG125" s="140">
        <f>SUM($D125:F125)*IF($B125="Operacional",IFERROR(VLOOKUP($C125,SN_UGC,28,0),0),1)</f>
        <v>0</v>
      </c>
      <c r="FH125" s="140">
        <f>SUM($D125:G125)*IF($B125="Operacional",IFERROR(VLOOKUP($C125,SN_UGC,28,0),0),1)</f>
        <v>0</v>
      </c>
      <c r="FI125" s="140">
        <f>SUM($D125:H125)*IF($B125="Operacional",IFERROR(VLOOKUP($C125,SN_UGC,28,0),0),1)</f>
        <v>0</v>
      </c>
      <c r="FJ125" s="140">
        <f>SUM($D125:I125)*IF($B125="Operacional",IFERROR(VLOOKUP($C125,SN_UGC,28,0),0),1)</f>
        <v>0</v>
      </c>
      <c r="FK125" s="140">
        <f>SUM($D125:J125)*IF($B125="Operacional",IFERROR(VLOOKUP($C125,SN_UGC,28,0),0),1)</f>
        <v>0</v>
      </c>
      <c r="FL125" s="140">
        <f>SUM($D125:K125)*IF($B125="Operacional",IFERROR(VLOOKUP($C125,SN_UGC,28,0),0),1)</f>
        <v>0</v>
      </c>
      <c r="FM125" s="140">
        <f>SUM($D125:L125)*IF($B125="Operacional",IFERROR(VLOOKUP($C125,SN_UGC,28,0),0),1)</f>
        <v>0</v>
      </c>
      <c r="FN125" s="140">
        <f>SUM($D125:M125)*IF($B125="Operacional",IFERROR(VLOOKUP($C125,SN_UGC,28,0),0),1)</f>
        <v>0</v>
      </c>
      <c r="FO125" s="140">
        <f>SUM($D125:N125)*IF($B125="Operacional",IFERROR(VLOOKUP($C125,SN_UGC,28,0),0),1)</f>
        <v>0</v>
      </c>
      <c r="FP125" s="140">
        <f>SUM($D125:O125)*IF($B125="Operacional",IFERROR(VLOOKUP($C125,SN_UGC,28,0),0),1)</f>
        <v>0</v>
      </c>
      <c r="FQ125" s="140">
        <f>SUM($D125:P125)*IF($B125="Operacional",IFERROR(VLOOKUP($C125,SN_UGC,28,0),0),1)</f>
        <v>0</v>
      </c>
      <c r="FR125" s="140">
        <f>SUM($D125:Q125)*IF($B125="Operacional",IFERROR(VLOOKUP($C125,SN_UGC,28,0),0),1)</f>
        <v>0</v>
      </c>
      <c r="FS125" s="140">
        <f>SUM($D125:R125)*IF($B125="Operacional",IFERROR(VLOOKUP($C125,SN_UGC,28,0),0),1)</f>
        <v>0</v>
      </c>
      <c r="FT125" s="140">
        <f>SUM($D125:S125)*IF($B125="Operacional",IFERROR(VLOOKUP($C125,SN_UGC,28,0),0),1)</f>
        <v>0</v>
      </c>
      <c r="FU125" s="140">
        <f>SUM($D125:T125)*IF($B125="Operacional",IFERROR(VLOOKUP($C125,SN_UGC,28,0),0),1)</f>
        <v>0</v>
      </c>
      <c r="FV125" s="140">
        <f>SUM($D125:U125)*IF($B125="Operacional",IFERROR(VLOOKUP($C125,SN_UGC,28,0),0),1)</f>
        <v>0</v>
      </c>
      <c r="FW125" s="140">
        <f>SUM($D125:V125)*IF($B125="Operacional",IFERROR(VLOOKUP($C125,SN_UGC,28,0),0),1)</f>
        <v>0</v>
      </c>
      <c r="FX125" s="140">
        <f>SUM($D125:W125)*IF($B125="Operacional",IFERROR(VLOOKUP($C125,SN_UGC,28,0),0),1)</f>
        <v>0</v>
      </c>
      <c r="FY125" s="140">
        <f>SUM($D125:X125)*IF($B125="Operacional",IFERROR(VLOOKUP($C125,SN_UGC,28,0),0),1)</f>
        <v>0</v>
      </c>
      <c r="FZ125" s="140">
        <f>SUM($D125:Y125)*IF($B125="Operacional",IFERROR(VLOOKUP($C125,SN_UGC,28,0),0),1)</f>
        <v>0</v>
      </c>
      <c r="GA125" s="140">
        <f>SUM($D125:Z125)*IF($B125="Operacional",IFERROR(VLOOKUP($C125,SN_UGC,28,0),0),1)</f>
        <v>0</v>
      </c>
      <c r="GB125" s="140">
        <f>SUM($D125:AA125)*IF($B125="Operacional",IFERROR(VLOOKUP($C125,SN_UGC,28,0),0),1)</f>
        <v>0</v>
      </c>
      <c r="GC125" s="140">
        <f>SUM($D125:AB125)*IF($B125="Operacional",IFERROR(VLOOKUP($C125,SN_UGC,28,0),0),1)</f>
        <v>0</v>
      </c>
      <c r="GD125" s="140">
        <f>SUM($D125:AC125)*IF($B125="Operacional",IFERROR(VLOOKUP($C125,SN_UGC,28,0),0),1)</f>
        <v>0</v>
      </c>
      <c r="GE125" s="140">
        <f>SUM($D125:AD125)*IF($B125="Operacional",IFERROR(VLOOKUP($C125,SN_UGC,28,0),0),1)</f>
        <v>0</v>
      </c>
      <c r="GF125" s="140">
        <f>SUM($D125:AE125)*IF($B125="Operacional",IFERROR(VLOOKUP($C125,SN_UGC,28,0),0),1)</f>
        <v>0</v>
      </c>
      <c r="GG125" s="140">
        <f>SUM($D125:AF125)*IF($B125="Operacional",IFERROR(VLOOKUP($C125,SN_UGC,28,0),0),1)</f>
        <v>0</v>
      </c>
      <c r="GH125" s="140">
        <f>SUM($D125:AG125)*IF($B125="Operacional",IFERROR(VLOOKUP($C125,SN_UGC,28,0),0),1)</f>
        <v>0</v>
      </c>
      <c r="GI125" s="141">
        <f t="shared" ref="GI125:HL125" si="634">FE125*$AH125*$AL125</f>
        <v>0</v>
      </c>
      <c r="GJ125" s="141">
        <f t="shared" si="634"/>
        <v>0</v>
      </c>
      <c r="GK125" s="141">
        <f t="shared" si="634"/>
        <v>0</v>
      </c>
      <c r="GL125" s="141">
        <f t="shared" si="634"/>
        <v>0</v>
      </c>
      <c r="GM125" s="141">
        <f t="shared" si="634"/>
        <v>0</v>
      </c>
      <c r="GN125" s="141">
        <f t="shared" si="634"/>
        <v>0</v>
      </c>
      <c r="GO125" s="141">
        <f t="shared" si="634"/>
        <v>0</v>
      </c>
      <c r="GP125" s="141">
        <f t="shared" si="634"/>
        <v>0</v>
      </c>
      <c r="GQ125" s="141">
        <f t="shared" si="634"/>
        <v>0</v>
      </c>
      <c r="GR125" s="141">
        <f t="shared" si="634"/>
        <v>0</v>
      </c>
      <c r="GS125" s="141">
        <f t="shared" si="634"/>
        <v>0</v>
      </c>
      <c r="GT125" s="141">
        <f t="shared" si="634"/>
        <v>0</v>
      </c>
      <c r="GU125" s="141">
        <f t="shared" si="634"/>
        <v>0</v>
      </c>
      <c r="GV125" s="141">
        <f t="shared" si="634"/>
        <v>0</v>
      </c>
      <c r="GW125" s="141">
        <f t="shared" si="634"/>
        <v>0</v>
      </c>
      <c r="GX125" s="141">
        <f t="shared" si="634"/>
        <v>0</v>
      </c>
      <c r="GY125" s="141">
        <f t="shared" si="634"/>
        <v>0</v>
      </c>
      <c r="GZ125" s="141">
        <f t="shared" si="634"/>
        <v>0</v>
      </c>
      <c r="HA125" s="141">
        <f t="shared" si="634"/>
        <v>0</v>
      </c>
      <c r="HB125" s="141">
        <f t="shared" si="634"/>
        <v>0</v>
      </c>
      <c r="HC125" s="141">
        <f t="shared" si="634"/>
        <v>0</v>
      </c>
      <c r="HD125" s="141">
        <f t="shared" si="634"/>
        <v>0</v>
      </c>
      <c r="HE125" s="141">
        <f t="shared" si="634"/>
        <v>0</v>
      </c>
      <c r="HF125" s="141">
        <f t="shared" si="634"/>
        <v>0</v>
      </c>
      <c r="HG125" s="141">
        <f t="shared" si="634"/>
        <v>0</v>
      </c>
      <c r="HH125" s="141">
        <f t="shared" si="634"/>
        <v>0</v>
      </c>
      <c r="HI125" s="141">
        <f t="shared" si="634"/>
        <v>0</v>
      </c>
      <c r="HJ125" s="141">
        <f t="shared" si="634"/>
        <v>0</v>
      </c>
      <c r="HK125" s="141">
        <f t="shared" si="634"/>
        <v>0</v>
      </c>
      <c r="HL125" s="141">
        <f t="shared" si="634"/>
        <v>0</v>
      </c>
      <c r="HM125" s="142">
        <f t="shared" ref="HM125:IP125" si="635">IF(ISBLANK($A125),,FE125*($AH125-($AH125*$AJ125))/$AI125)</f>
        <v>0</v>
      </c>
      <c r="HN125" s="142">
        <f t="shared" si="635"/>
        <v>0</v>
      </c>
      <c r="HO125" s="142">
        <f t="shared" si="635"/>
        <v>0</v>
      </c>
      <c r="HP125" s="142">
        <f t="shared" si="635"/>
        <v>0</v>
      </c>
      <c r="HQ125" s="142">
        <f t="shared" si="635"/>
        <v>0</v>
      </c>
      <c r="HR125" s="142">
        <f t="shared" si="635"/>
        <v>0</v>
      </c>
      <c r="HS125" s="142">
        <f t="shared" si="635"/>
        <v>0</v>
      </c>
      <c r="HT125" s="142">
        <f t="shared" si="635"/>
        <v>0</v>
      </c>
      <c r="HU125" s="142">
        <f t="shared" si="635"/>
        <v>0</v>
      </c>
      <c r="HV125" s="142">
        <f t="shared" si="635"/>
        <v>0</v>
      </c>
      <c r="HW125" s="142">
        <f t="shared" si="635"/>
        <v>0</v>
      </c>
      <c r="HX125" s="142">
        <f t="shared" si="635"/>
        <v>0</v>
      </c>
      <c r="HY125" s="142">
        <f t="shared" si="635"/>
        <v>0</v>
      </c>
      <c r="HZ125" s="142">
        <f t="shared" si="635"/>
        <v>0</v>
      </c>
      <c r="IA125" s="142">
        <f t="shared" si="635"/>
        <v>0</v>
      </c>
      <c r="IB125" s="142">
        <f t="shared" si="635"/>
        <v>0</v>
      </c>
      <c r="IC125" s="142">
        <f t="shared" si="635"/>
        <v>0</v>
      </c>
      <c r="ID125" s="142">
        <f t="shared" si="635"/>
        <v>0</v>
      </c>
      <c r="IE125" s="142">
        <f t="shared" si="635"/>
        <v>0</v>
      </c>
      <c r="IF125" s="142">
        <f t="shared" si="635"/>
        <v>0</v>
      </c>
      <c r="IG125" s="142">
        <f t="shared" si="635"/>
        <v>0</v>
      </c>
      <c r="IH125" s="142">
        <f t="shared" si="635"/>
        <v>0</v>
      </c>
      <c r="II125" s="142">
        <f t="shared" si="635"/>
        <v>0</v>
      </c>
      <c r="IJ125" s="142">
        <f t="shared" si="635"/>
        <v>0</v>
      </c>
      <c r="IK125" s="142">
        <f t="shared" si="635"/>
        <v>0</v>
      </c>
      <c r="IL125" s="142">
        <f t="shared" si="635"/>
        <v>0</v>
      </c>
      <c r="IM125" s="142">
        <f t="shared" si="635"/>
        <v>0</v>
      </c>
      <c r="IN125" s="142">
        <f t="shared" si="635"/>
        <v>0</v>
      </c>
      <c r="IO125" s="142">
        <f t="shared" si="635"/>
        <v>0</v>
      </c>
      <c r="IP125" s="142">
        <f t="shared" si="635"/>
        <v>0</v>
      </c>
      <c r="IQ125" s="141">
        <f>IF(ISBLANK($A125),,IF($AN125="Não",0,(SUM($AO125:AO125)*$AH125)-SUM($HM125:HM125)-SUM($CW125:CW125)))</f>
        <v>0</v>
      </c>
      <c r="IR125" s="141">
        <f>IF(ISBLANK($A125),,IF($AN125="Não",0,(SUM($AO125:AP125)*$AH125)-SUM($HM125:HN125)-SUM($CW125:CX125)))</f>
        <v>0</v>
      </c>
      <c r="IS125" s="141">
        <f>IF(ISBLANK($A125),,IF($AN125="Não",0,(SUM($AO125:AQ125)*$AH125)-SUM($HM125:HO125)-SUM($CW125:CY125)))</f>
        <v>0</v>
      </c>
      <c r="IT125" s="141">
        <f>IF(ISBLANK($A125),,IF($AN125="Não",0,(SUM($AO125:AR125)*$AH125)-SUM($HM125:HP125)-SUM($CW125:CZ125)))</f>
        <v>0</v>
      </c>
      <c r="IU125" s="141">
        <f>IF(ISBLANK($A125),,IF($AN125="Não",0,(SUM($AO125:AS125)*$AH125)-SUM($HM125:HQ125)-SUM($CW125:DA125)))</f>
        <v>0</v>
      </c>
      <c r="IV125" s="141">
        <f>IF(ISBLANK($A125),,IF($AN125="Não",0,(SUM($AO125:AT125)*$AH125)-SUM($HM125:HR125)-SUM($CW125:DB125)))</f>
        <v>0</v>
      </c>
      <c r="IW125" s="141">
        <f>IF(ISBLANK($A125),,IF($AN125="Não",0,(SUM($AO125:AU125)*$AH125)-SUM($HM125:HS125)-SUM($CW125:DC125)))</f>
        <v>0</v>
      </c>
      <c r="IX125" s="141">
        <f>IF(ISBLANK($A125),,IF($AN125="Não",0,(SUM($AO125:AV125)*$AH125)-SUM($HM125:HT125)-SUM($CW125:DD125)))</f>
        <v>0</v>
      </c>
      <c r="IY125" s="141">
        <f>IF(ISBLANK($A125),,IF($AN125="Não",0,(SUM($AO125:AW125)*$AH125)-SUM($HM125:HU125)-SUM($CW125:DE125)))</f>
        <v>0</v>
      </c>
      <c r="IZ125" s="141">
        <f>IF(ISBLANK($A125),,IF($AN125="Não",0,(SUM($AO125:AX125)*$AH125)-SUM($HM125:HV125)-SUM($CW125:DF125)))</f>
        <v>0</v>
      </c>
      <c r="JA125" s="141">
        <f>IF(ISBLANK($A125),,IF($AN125="Não",0,(SUM($AO125:AY125)*$AH125)-SUM($HM125:HW125)-SUM($CW125:DG125)))</f>
        <v>0</v>
      </c>
      <c r="JB125" s="141">
        <f>IF(ISBLANK($A125),,IF($AN125="Não",0,(SUM($AO125:AZ125)*$AH125)-SUM($HM125:HX125)-SUM($CW125:DH125)))</f>
        <v>0</v>
      </c>
      <c r="JC125" s="141">
        <f>IF(ISBLANK($A125),,IF($AN125="Não",0,(SUM($AO125:BA125)*$AH125)-SUM($HM125:HY125)-SUM($CW125:DI125)))</f>
        <v>0</v>
      </c>
      <c r="JD125" s="141">
        <f>IF(ISBLANK($A125),,IF($AN125="Não",0,(SUM($AO125:BB125)*$AH125)-SUM($HM125:HZ125)-SUM($CW125:DJ125)))</f>
        <v>0</v>
      </c>
      <c r="JE125" s="141">
        <f>IF(ISBLANK($A125),,IF($AN125="Não",0,(SUM($AO125:BC125)*$AH125)-SUM($HM125:IA125)-SUM($CW125:DK125)))</f>
        <v>0</v>
      </c>
      <c r="JF125" s="141">
        <f>IF(ISBLANK($A125),,IF($AN125="Não",0,(SUM($AO125:BD125)*$AH125)-SUM($HM125:IB125)-SUM($CW125:DL125)))</f>
        <v>0</v>
      </c>
      <c r="JG125" s="141">
        <f>IF(ISBLANK($A125),,IF($AN125="Não",0,(SUM($AO125:BE125)*$AH125)-SUM($HM125:IC125)-SUM($CW125:DM125)))</f>
        <v>0</v>
      </c>
      <c r="JH125" s="141">
        <f>IF(ISBLANK($A125),,IF($AN125="Não",0,(SUM($AO125:BF125)*$AH125)-SUM($HM125:ID125)-SUM($CW125:DN125)))</f>
        <v>0</v>
      </c>
      <c r="JI125" s="141">
        <f>IF(ISBLANK($A125),,IF($AN125="Não",0,(SUM($AO125:BG125)*$AH125)-SUM($HM125:IE125)-SUM($CW125:DO125)))</f>
        <v>0</v>
      </c>
      <c r="JJ125" s="141">
        <f>IF(ISBLANK($A125),,IF($AN125="Não",0,(SUM($AO125:BH125)*$AH125)-SUM($HM125:IF125)-SUM($CW125:DP125)))</f>
        <v>0</v>
      </c>
      <c r="JK125" s="141">
        <f>IF(ISBLANK($A125),,IF($AN125="Não",0,(SUM($AO125:BI125)*$AH125)-SUM($HM125:IG125)-SUM($CW125:DQ125)))</f>
        <v>0</v>
      </c>
      <c r="JL125" s="141">
        <f>IF(ISBLANK($A125),,IF($AN125="Não",0,(SUM($AO125:BJ125)*$AH125)-SUM($HM125:IH125)-SUM($CW125:DR125)))</f>
        <v>0</v>
      </c>
      <c r="JM125" s="141">
        <f>IF(ISBLANK($A125),,IF($AN125="Não",0,(SUM($AO125:BK125)*$AH125)-SUM($HM125:II125)-SUM($CW125:DS125)))</f>
        <v>0</v>
      </c>
      <c r="JN125" s="141">
        <f>IF(ISBLANK($A125),,IF($AN125="Não",0,(SUM($AO125:BL125)*$AH125)-SUM($HM125:IJ125)-SUM($CW125:DT125)))</f>
        <v>0</v>
      </c>
      <c r="JO125" s="141">
        <f>IF(ISBLANK($A125),,IF($AN125="Não",0,(SUM($AO125:BM125)*$AH125)-SUM($HM125:IK125)-SUM($CW125:DU125)))</f>
        <v>0</v>
      </c>
      <c r="JP125" s="141">
        <f>IF(ISBLANK($A125),,IF($AN125="Não",0,(SUM($AO125:BN125)*$AH125)-SUM($HM125:IL125)-SUM($CW125:DV125)))</f>
        <v>0</v>
      </c>
      <c r="JQ125" s="141">
        <f>IF(ISBLANK($A125),,IF($AN125="Não",0,(SUM($AO125:BO125)*$AH125)-SUM($HM125:IM125)-SUM($CW125:DW125)))</f>
        <v>0</v>
      </c>
      <c r="JR125" s="141">
        <f>IF(ISBLANK($A125),,IF($AN125="Não",0,(SUM($AO125:BP125)*$AH125)-SUM($HM125:IN125)-SUM($CW125:DX125)))</f>
        <v>0</v>
      </c>
      <c r="JS125" s="141">
        <f>IF(ISBLANK($A125),,IF($AN125="Não",0,(SUM($AO125:BQ125)*$AH125)-SUM($HM125:IO125)-SUM($CW125:DY125)))</f>
        <v>0</v>
      </c>
      <c r="JT125" s="141">
        <f>IF(ISBLANK($A125),,IF($AN125="Não",0,(SUM($AO125:BR125)*$AH125)-SUM($HM125:IP125)-SUM($CW125:DZ125)))</f>
        <v>0</v>
      </c>
    </row>
    <row r="126" spans="1:280" ht="15.75" customHeight="1">
      <c r="A126" s="129"/>
      <c r="B126" s="129"/>
      <c r="C126" s="138"/>
      <c r="D126" s="139"/>
      <c r="E126" s="139"/>
      <c r="F126" s="139"/>
      <c r="G126" s="139"/>
      <c r="H126" s="139"/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607">
        <f t="shared" si="544"/>
        <v>0</v>
      </c>
      <c r="AI126" s="608">
        <f t="shared" si="545"/>
        <v>0</v>
      </c>
      <c r="AJ126" s="609">
        <f t="shared" si="546"/>
        <v>0</v>
      </c>
      <c r="AK126" s="610" t="str">
        <f t="shared" si="547"/>
        <v/>
      </c>
      <c r="AL126" s="609">
        <f t="shared" si="548"/>
        <v>0</v>
      </c>
      <c r="AM126" s="611" t="str">
        <f t="shared" si="549"/>
        <v/>
      </c>
      <c r="AN126" s="611" t="str">
        <f t="shared" si="550"/>
        <v/>
      </c>
      <c r="AO126" s="140">
        <f t="array" ref="AO126">IF(ISBLANK($A126),0,IF(OR(AO$5-$AI126&lt;=0,$AM126="Não"),D126,D126+INDEX($AO$6:$BR$176,ROW()-5,COLUMN()-40-$AI126)))*IF($B126="Operacional",IFERROR(VLOOKUP($C126,SN_UGC,28,0),0),1)</f>
        <v>0</v>
      </c>
      <c r="AP126" s="140">
        <f t="array" ref="AP126">IF(ISBLANK($A126),0,IF(OR(AP$5-$AI126&lt;=0,$AM126="Não"),E126,E126+INDEX($AO$6:$BR$176,ROW()-5,COLUMN()-40-$AI126)))*IF($B126="Operacional",IFERROR(VLOOKUP($C126,SN_UGC,28,0),0),1)</f>
        <v>0</v>
      </c>
      <c r="AQ126" s="140">
        <f t="array" ref="AQ126">IF(ISBLANK($A126),0,IF(OR(AQ$5-$AI126&lt;=0,$AM126="Não"),F126,F126+INDEX($AO$6:$BR$176,ROW()-5,COLUMN()-40-$AI126)))*IF($B126="Operacional",IFERROR(VLOOKUP($C126,SN_UGC,28,0),0),1)</f>
        <v>0</v>
      </c>
      <c r="AR126" s="140">
        <f t="array" ref="AR126">IF(ISBLANK($A126),0,IF(OR(AR$5-$AI126&lt;=0,$AM126="Não"),G126,G126+INDEX($AO$6:$BR$176,ROW()-5,COLUMN()-40-$AI126)))*IF($B126="Operacional",IFERROR(VLOOKUP($C126,SN_UGC,28,0),0),1)</f>
        <v>0</v>
      </c>
      <c r="AS126" s="140">
        <f t="array" ref="AS126">IF(ISBLANK($A126),0,IF(OR(AS$5-$AI126&lt;=0,$AM126="Não"),H126,H126+INDEX($AO$6:$BR$176,ROW()-5,COLUMN()-40-$AI126)))*IF($B126="Operacional",IFERROR(VLOOKUP($C126,SN_UGC,28,0),0),1)</f>
        <v>0</v>
      </c>
      <c r="AT126" s="140">
        <f t="array" ref="AT126">IF(ISBLANK($A126),0,IF(OR(AT$5-$AI126&lt;=0,$AM126="Não"),I126,I126+INDEX($AO$6:$BR$176,ROW()-5,COLUMN()-40-$AI126)))*IF($B126="Operacional",IFERROR(VLOOKUP($C126,SN_UGC,28,0),0),1)</f>
        <v>0</v>
      </c>
      <c r="AU126" s="140">
        <f t="array" ref="AU126">IF(ISBLANK($A126),0,IF(OR(AU$5-$AI126&lt;=0,$AM126="Não"),J126,J126+INDEX($AO$6:$BR$176,ROW()-5,COLUMN()-40-$AI126)))*IF($B126="Operacional",IFERROR(VLOOKUP($C126,SN_UGC,28,0),0),1)</f>
        <v>0</v>
      </c>
      <c r="AV126" s="140">
        <f t="array" ref="AV126">IF(ISBLANK($A126),0,IF(OR(AV$5-$AI126&lt;=0,$AM126="Não"),K126,K126+INDEX($AO$6:$BR$176,ROW()-5,COLUMN()-40-$AI126)))*IF($B126="Operacional",IFERROR(VLOOKUP($C126,SN_UGC,28,0),0),1)</f>
        <v>0</v>
      </c>
      <c r="AW126" s="140">
        <f t="array" ref="AW126">IF(ISBLANK($A126),0,IF(OR(AW$5-$AI126&lt;=0,$AM126="Não"),L126,L126+INDEX($AO$6:$BR$176,ROW()-5,COLUMN()-40-$AI126)))*IF($B126="Operacional",IFERROR(VLOOKUP($C126,SN_UGC,28,0),0),1)</f>
        <v>0</v>
      </c>
      <c r="AX126" s="140">
        <f t="array" ref="AX126">IF(ISBLANK($A126),0,IF(OR(AX$5-$AI126&lt;=0,$AM126="Não"),M126,M126+INDEX($AO$6:$BR$176,ROW()-5,COLUMN()-40-$AI126)))*IF($B126="Operacional",IFERROR(VLOOKUP($C126,SN_UGC,28,0),0),1)</f>
        <v>0</v>
      </c>
      <c r="AY126" s="140">
        <f t="array" ref="AY126">IF(ISBLANK($A126),0,IF(OR(AY$5-$AI126&lt;=0,$AM126="Não"),N126,N126+INDEX($AO$6:$BR$176,ROW()-5,COLUMN()-40-$AI126)))*IF($B126="Operacional",IFERROR(VLOOKUP($C126,SN_UGC,28,0),0),1)</f>
        <v>0</v>
      </c>
      <c r="AZ126" s="140">
        <f t="array" ref="AZ126">IF(ISBLANK($A126),0,IF(OR(AZ$5-$AI126&lt;=0,$AM126="Não"),O126,O126+INDEX($AO$6:$BR$176,ROW()-5,COLUMN()-40-$AI126)))*IF($B126="Operacional",IFERROR(VLOOKUP($C126,SN_UGC,28,0),0),1)</f>
        <v>0</v>
      </c>
      <c r="BA126" s="140">
        <f t="array" ref="BA126">IF(ISBLANK($A126),0,IF(OR(BA$5-$AI126&lt;=0,$AM126="Não"),P126,P126+INDEX($AO$6:$BR$176,ROW()-5,COLUMN()-40-$AI126)))*IF($B126="Operacional",IFERROR(VLOOKUP($C126,SN_UGC,28,0),0),1)</f>
        <v>0</v>
      </c>
      <c r="BB126" s="140">
        <f t="array" ref="BB126">IF(ISBLANK($A126),0,IF(OR(BB$5-$AI126&lt;=0,$AM126="Não"),Q126,Q126+INDEX($AO$6:$BR$176,ROW()-5,COLUMN()-40-$AI126)))*IF($B126="Operacional",IFERROR(VLOOKUP($C126,SN_UGC,28,0),0),1)</f>
        <v>0</v>
      </c>
      <c r="BC126" s="140">
        <f t="array" ref="BC126">IF(ISBLANK($A126),0,IF(OR(BC$5-$AI126&lt;=0,$AM126="Não"),R126,R126+INDEX($AO$6:$BR$176,ROW()-5,COLUMN()-40-$AI126)))*IF($B126="Operacional",IFERROR(VLOOKUP($C126,SN_UGC,28,0),0),1)</f>
        <v>0</v>
      </c>
      <c r="BD126" s="140">
        <f t="array" ref="BD126">IF(ISBLANK($A126),0,IF(OR(BD$5-$AI126&lt;=0,$AM126="Não"),S126,S126+INDEX($AO$6:$BR$176,ROW()-5,COLUMN()-40-$AI126)))*IF($B126="Operacional",IFERROR(VLOOKUP($C126,SN_UGC,28,0),0),1)</f>
        <v>0</v>
      </c>
      <c r="BE126" s="140">
        <f t="array" ref="BE126">IF(ISBLANK($A126),0,IF(OR(BE$5-$AI126&lt;=0,$AM126="Não"),T126,T126+INDEX($AO$6:$BR$176,ROW()-5,COLUMN()-40-$AI126)))*IF($B126="Operacional",IFERROR(VLOOKUP($C126,SN_UGC,28,0),0),1)</f>
        <v>0</v>
      </c>
      <c r="BF126" s="140">
        <f t="array" ref="BF126">IF(ISBLANK($A126),0,IF(OR(BF$5-$AI126&lt;=0,$AM126="Não"),U126,U126+INDEX($AO$6:$BR$176,ROW()-5,COLUMN()-40-$AI126)))*IF($B126="Operacional",IFERROR(VLOOKUP($C126,SN_UGC,28,0),0),1)</f>
        <v>0</v>
      </c>
      <c r="BG126" s="140">
        <f t="array" ref="BG126">IF(ISBLANK($A126),0,IF(OR(BG$5-$AI126&lt;=0,$AM126="Não"),V126,V126+INDEX($AO$6:$BR$176,ROW()-5,COLUMN()-40-$AI126)))*IF($B126="Operacional",IFERROR(VLOOKUP($C126,SN_UGC,28,0),0),1)</f>
        <v>0</v>
      </c>
      <c r="BH126" s="140">
        <f t="array" ref="BH126">IF(ISBLANK($A126),0,IF(OR(BH$5-$AI126&lt;=0,$AM126="Não"),W126,W126+INDEX($AO$6:$BR$176,ROW()-5,COLUMN()-40-$AI126)))*IF($B126="Operacional",IFERROR(VLOOKUP($C126,SN_UGC,28,0),0),1)</f>
        <v>0</v>
      </c>
      <c r="BI126" s="140">
        <f t="array" ref="BI126">IF(ISBLANK($A126),0,IF(OR(BI$5-$AI126&lt;=0,$AM126="Não"),X126,X126+INDEX($AO$6:$BR$176,ROW()-5,COLUMN()-40-$AI126)))*IF($B126="Operacional",IFERROR(VLOOKUP($C126,SN_UGC,28,0),0),1)</f>
        <v>0</v>
      </c>
      <c r="BJ126" s="140">
        <f t="array" ref="BJ126">IF(ISBLANK($A126),0,IF(OR(BJ$5-$AI126&lt;=0,$AM126="Não"),Y126,Y126+INDEX($AO$6:$BR$176,ROW()-5,COLUMN()-40-$AI126)))*IF($B126="Operacional",IFERROR(VLOOKUP($C126,SN_UGC,28,0),0),1)</f>
        <v>0</v>
      </c>
      <c r="BK126" s="140">
        <f t="array" ref="BK126">IF(ISBLANK($A126),0,IF(OR(BK$5-$AI126&lt;=0,$AM126="Não"),Z126,Z126+INDEX($AO$6:$BR$176,ROW()-5,COLUMN()-40-$AI126)))*IF($B126="Operacional",IFERROR(VLOOKUP($C126,SN_UGC,28,0),0),1)</f>
        <v>0</v>
      </c>
      <c r="BL126" s="140">
        <f t="array" ref="BL126">IF(ISBLANK($A126),0,IF(OR(BL$5-$AI126&lt;=0,$AM126="Não"),AA126,AA126+INDEX($AO$6:$BR$176,ROW()-5,COLUMN()-40-$AI126)))*IF($B126="Operacional",IFERROR(VLOOKUP($C126,SN_UGC,28,0),0),1)</f>
        <v>0</v>
      </c>
      <c r="BM126" s="140">
        <f t="array" ref="BM126">IF(ISBLANK($A126),0,IF(OR(BM$5-$AI126&lt;=0,$AM126="Não"),AB126,AB126+INDEX($AO$6:$BR$176,ROW()-5,COLUMN()-40-$AI126)))*IF($B126="Operacional",IFERROR(VLOOKUP($C126,SN_UGC,28,0),0),1)</f>
        <v>0</v>
      </c>
      <c r="BN126" s="140">
        <f t="array" ref="BN126">IF(ISBLANK($A126),0,IF(OR(BN$5-$AI126&lt;=0,$AM126="Não"),AC126,AC126+INDEX($AO$6:$BR$176,ROW()-5,COLUMN()-40-$AI126)))*IF($B126="Operacional",IFERROR(VLOOKUP($C126,SN_UGC,28,0),0),1)</f>
        <v>0</v>
      </c>
      <c r="BO126" s="140">
        <f t="array" ref="BO126">IF(ISBLANK($A126),0,IF(OR(BO$5-$AI126&lt;=0,$AM126="Não"),AD126,AD126+INDEX($AO$6:$BR$176,ROW()-5,COLUMN()-40-$AI126)))*IF($B126="Operacional",IFERROR(VLOOKUP($C126,SN_UGC,28,0),0),1)</f>
        <v>0</v>
      </c>
      <c r="BP126" s="140">
        <f t="array" ref="BP126">IF(ISBLANK($A126),0,IF(OR(BP$5-$AI126&lt;=0,$AM126="Não"),AE126,AE126+INDEX($AO$6:$BR$176,ROW()-5,COLUMN()-40-$AI126)))*IF($B126="Operacional",IFERROR(VLOOKUP($C126,SN_UGC,28,0),0),1)</f>
        <v>0</v>
      </c>
      <c r="BQ126" s="140">
        <f t="array" ref="BQ126">IF(ISBLANK($A126),0,IF(OR(BQ$5-$AI126&lt;=0,$AM126="Não"),AF126,AF126+INDEX($AO$6:$BR$176,ROW()-5,COLUMN()-40-$AI126)))*IF($B126="Operacional",IFERROR(VLOOKUP($C126,SN_UGC,28,0),0),1)</f>
        <v>0</v>
      </c>
      <c r="BR126" s="140">
        <f t="array" ref="BR126">IF(ISBLANK($A126),0,IF(OR(BR$5-$AI126&lt;=0,$AM126="Não"),AG126,AG126+INDEX($AO$6:$BR$176,ROW()-5,COLUMN()-40-$AI126)))*IF($B126="Operacional",IFERROR(VLOOKUP($C126,SN_UGC,28,0),0),1)</f>
        <v>0</v>
      </c>
      <c r="BS126" s="141">
        <f t="shared" ref="BS126:CV126" si="636">IF(ISBLANK($A126),0,$AH126*AO126)</f>
        <v>0</v>
      </c>
      <c r="BT126" s="141">
        <f t="shared" si="636"/>
        <v>0</v>
      </c>
      <c r="BU126" s="141">
        <f t="shared" si="636"/>
        <v>0</v>
      </c>
      <c r="BV126" s="141">
        <f t="shared" si="636"/>
        <v>0</v>
      </c>
      <c r="BW126" s="141">
        <f t="shared" si="636"/>
        <v>0</v>
      </c>
      <c r="BX126" s="141">
        <f t="shared" si="636"/>
        <v>0</v>
      </c>
      <c r="BY126" s="141">
        <f t="shared" si="636"/>
        <v>0</v>
      </c>
      <c r="BZ126" s="141">
        <f t="shared" si="636"/>
        <v>0</v>
      </c>
      <c r="CA126" s="141">
        <f t="shared" si="636"/>
        <v>0</v>
      </c>
      <c r="CB126" s="141">
        <f t="shared" si="636"/>
        <v>0</v>
      </c>
      <c r="CC126" s="141">
        <f t="shared" si="636"/>
        <v>0</v>
      </c>
      <c r="CD126" s="141">
        <f t="shared" si="636"/>
        <v>0</v>
      </c>
      <c r="CE126" s="141">
        <f t="shared" si="636"/>
        <v>0</v>
      </c>
      <c r="CF126" s="141">
        <f t="shared" si="636"/>
        <v>0</v>
      </c>
      <c r="CG126" s="141">
        <f t="shared" si="636"/>
        <v>0</v>
      </c>
      <c r="CH126" s="141">
        <f t="shared" si="636"/>
        <v>0</v>
      </c>
      <c r="CI126" s="141">
        <f t="shared" si="636"/>
        <v>0</v>
      </c>
      <c r="CJ126" s="141">
        <f t="shared" si="636"/>
        <v>0</v>
      </c>
      <c r="CK126" s="141">
        <f t="shared" si="636"/>
        <v>0</v>
      </c>
      <c r="CL126" s="141">
        <f t="shared" si="636"/>
        <v>0</v>
      </c>
      <c r="CM126" s="141">
        <f t="shared" si="636"/>
        <v>0</v>
      </c>
      <c r="CN126" s="141">
        <f t="shared" si="636"/>
        <v>0</v>
      </c>
      <c r="CO126" s="141">
        <f t="shared" si="636"/>
        <v>0</v>
      </c>
      <c r="CP126" s="141">
        <f t="shared" si="636"/>
        <v>0</v>
      </c>
      <c r="CQ126" s="141">
        <f t="shared" si="636"/>
        <v>0</v>
      </c>
      <c r="CR126" s="141">
        <f t="shared" si="636"/>
        <v>0</v>
      </c>
      <c r="CS126" s="141">
        <f t="shared" si="636"/>
        <v>0</v>
      </c>
      <c r="CT126" s="141">
        <f t="shared" si="636"/>
        <v>0</v>
      </c>
      <c r="CU126" s="141">
        <f t="shared" si="636"/>
        <v>0</v>
      </c>
      <c r="CV126" s="141">
        <f t="shared" si="636"/>
        <v>0</v>
      </c>
      <c r="CW126" s="142">
        <f t="shared" ref="CW126:DZ126" si="637">EA126*$AH126*$AJ126</f>
        <v>0</v>
      </c>
      <c r="CX126" s="142">
        <f t="shared" si="637"/>
        <v>0</v>
      </c>
      <c r="CY126" s="142">
        <f t="shared" si="637"/>
        <v>0</v>
      </c>
      <c r="CZ126" s="142">
        <f t="shared" si="637"/>
        <v>0</v>
      </c>
      <c r="DA126" s="142">
        <f t="shared" si="637"/>
        <v>0</v>
      </c>
      <c r="DB126" s="142">
        <f t="shared" si="637"/>
        <v>0</v>
      </c>
      <c r="DC126" s="142">
        <f t="shared" si="637"/>
        <v>0</v>
      </c>
      <c r="DD126" s="142">
        <f t="shared" si="637"/>
        <v>0</v>
      </c>
      <c r="DE126" s="142">
        <f t="shared" si="637"/>
        <v>0</v>
      </c>
      <c r="DF126" s="142">
        <f t="shared" si="637"/>
        <v>0</v>
      </c>
      <c r="DG126" s="142">
        <f t="shared" si="637"/>
        <v>0</v>
      </c>
      <c r="DH126" s="142">
        <f t="shared" si="637"/>
        <v>0</v>
      </c>
      <c r="DI126" s="142">
        <f t="shared" si="637"/>
        <v>0</v>
      </c>
      <c r="DJ126" s="142">
        <f t="shared" si="637"/>
        <v>0</v>
      </c>
      <c r="DK126" s="142">
        <f t="shared" si="637"/>
        <v>0</v>
      </c>
      <c r="DL126" s="142">
        <f t="shared" si="637"/>
        <v>0</v>
      </c>
      <c r="DM126" s="142">
        <f t="shared" si="637"/>
        <v>0</v>
      </c>
      <c r="DN126" s="142">
        <f t="shared" si="637"/>
        <v>0</v>
      </c>
      <c r="DO126" s="142">
        <f t="shared" si="637"/>
        <v>0</v>
      </c>
      <c r="DP126" s="142">
        <f t="shared" si="637"/>
        <v>0</v>
      </c>
      <c r="DQ126" s="142">
        <f t="shared" si="637"/>
        <v>0</v>
      </c>
      <c r="DR126" s="142">
        <f t="shared" si="637"/>
        <v>0</v>
      </c>
      <c r="DS126" s="142">
        <f t="shared" si="637"/>
        <v>0</v>
      </c>
      <c r="DT126" s="142">
        <f t="shared" si="637"/>
        <v>0</v>
      </c>
      <c r="DU126" s="142">
        <f t="shared" si="637"/>
        <v>0</v>
      </c>
      <c r="DV126" s="142">
        <f t="shared" si="637"/>
        <v>0</v>
      </c>
      <c r="DW126" s="142">
        <f t="shared" si="637"/>
        <v>0</v>
      </c>
      <c r="DX126" s="142">
        <f t="shared" si="637"/>
        <v>0</v>
      </c>
      <c r="DY126" s="142">
        <f t="shared" si="637"/>
        <v>0</v>
      </c>
      <c r="DZ126" s="142">
        <f t="shared" si="637"/>
        <v>0</v>
      </c>
      <c r="EA126" s="143">
        <f t="shared" si="504"/>
        <v>0</v>
      </c>
      <c r="EB126" s="143">
        <f t="shared" si="505"/>
        <v>0</v>
      </c>
      <c r="EC126" s="143">
        <f t="shared" si="506"/>
        <v>0</v>
      </c>
      <c r="ED126" s="143">
        <f t="shared" si="507"/>
        <v>0</v>
      </c>
      <c r="EE126" s="143">
        <f t="shared" si="508"/>
        <v>0</v>
      </c>
      <c r="EF126" s="143">
        <f t="shared" si="509"/>
        <v>0</v>
      </c>
      <c r="EG126" s="143">
        <f t="shared" si="510"/>
        <v>0</v>
      </c>
      <c r="EH126" s="143">
        <f t="shared" si="511"/>
        <v>0</v>
      </c>
      <c r="EI126" s="143">
        <f t="shared" si="512"/>
        <v>0</v>
      </c>
      <c r="EJ126" s="143">
        <f t="shared" si="513"/>
        <v>0</v>
      </c>
      <c r="EK126" s="143">
        <f t="shared" si="514"/>
        <v>0</v>
      </c>
      <c r="EL126" s="143">
        <f t="shared" si="515"/>
        <v>0</v>
      </c>
      <c r="EM126" s="143">
        <f t="shared" si="516"/>
        <v>0</v>
      </c>
      <c r="EN126" s="143">
        <f t="shared" si="517"/>
        <v>0</v>
      </c>
      <c r="EO126" s="143">
        <f t="shared" si="518"/>
        <v>0</v>
      </c>
      <c r="EP126" s="143">
        <f t="shared" si="519"/>
        <v>0</v>
      </c>
      <c r="EQ126" s="143">
        <f t="shared" si="520"/>
        <v>0</v>
      </c>
      <c r="ER126" s="143">
        <f t="shared" si="521"/>
        <v>0</v>
      </c>
      <c r="ES126" s="143">
        <f t="shared" si="522"/>
        <v>0</v>
      </c>
      <c r="ET126" s="143">
        <f t="shared" si="523"/>
        <v>0</v>
      </c>
      <c r="EU126" s="143">
        <f t="shared" si="524"/>
        <v>0</v>
      </c>
      <c r="EV126" s="143">
        <f t="shared" si="525"/>
        <v>0</v>
      </c>
      <c r="EW126" s="143">
        <f t="shared" si="526"/>
        <v>0</v>
      </c>
      <c r="EX126" s="143">
        <f t="shared" si="527"/>
        <v>0</v>
      </c>
      <c r="EY126" s="143">
        <f t="shared" si="528"/>
        <v>0</v>
      </c>
      <c r="EZ126" s="143">
        <f t="shared" si="529"/>
        <v>0</v>
      </c>
      <c r="FA126" s="143">
        <f t="shared" si="530"/>
        <v>0</v>
      </c>
      <c r="FB126" s="143">
        <f t="shared" si="531"/>
        <v>0</v>
      </c>
      <c r="FC126" s="143">
        <f t="shared" si="532"/>
        <v>0</v>
      </c>
      <c r="FD126" s="143">
        <f t="shared" si="533"/>
        <v>0</v>
      </c>
      <c r="FE126" s="140">
        <f>SUM($D126:D126)*IF($B126="Operacional",IFERROR(VLOOKUP($C126,SN_UGC,28,0),0),1)</f>
        <v>0</v>
      </c>
      <c r="FF126" s="140">
        <f>SUM($D126:E126)*IF($B126="Operacional",IFERROR(VLOOKUP($C126,SN_UGC,28,0),0),1)</f>
        <v>0</v>
      </c>
      <c r="FG126" s="140">
        <f>SUM($D126:F126)*IF($B126="Operacional",IFERROR(VLOOKUP($C126,SN_UGC,28,0),0),1)</f>
        <v>0</v>
      </c>
      <c r="FH126" s="140">
        <f>SUM($D126:G126)*IF($B126="Operacional",IFERROR(VLOOKUP($C126,SN_UGC,28,0),0),1)</f>
        <v>0</v>
      </c>
      <c r="FI126" s="140">
        <f>SUM($D126:H126)*IF($B126="Operacional",IFERROR(VLOOKUP($C126,SN_UGC,28,0),0),1)</f>
        <v>0</v>
      </c>
      <c r="FJ126" s="140">
        <f>SUM($D126:I126)*IF($B126="Operacional",IFERROR(VLOOKUP($C126,SN_UGC,28,0),0),1)</f>
        <v>0</v>
      </c>
      <c r="FK126" s="140">
        <f>SUM($D126:J126)*IF($B126="Operacional",IFERROR(VLOOKUP($C126,SN_UGC,28,0),0),1)</f>
        <v>0</v>
      </c>
      <c r="FL126" s="140">
        <f>SUM($D126:K126)*IF($B126="Operacional",IFERROR(VLOOKUP($C126,SN_UGC,28,0),0),1)</f>
        <v>0</v>
      </c>
      <c r="FM126" s="140">
        <f>SUM($D126:L126)*IF($B126="Operacional",IFERROR(VLOOKUP($C126,SN_UGC,28,0),0),1)</f>
        <v>0</v>
      </c>
      <c r="FN126" s="140">
        <f>SUM($D126:M126)*IF($B126="Operacional",IFERROR(VLOOKUP($C126,SN_UGC,28,0),0),1)</f>
        <v>0</v>
      </c>
      <c r="FO126" s="140">
        <f>SUM($D126:N126)*IF($B126="Operacional",IFERROR(VLOOKUP($C126,SN_UGC,28,0),0),1)</f>
        <v>0</v>
      </c>
      <c r="FP126" s="140">
        <f>SUM($D126:O126)*IF($B126="Operacional",IFERROR(VLOOKUP($C126,SN_UGC,28,0),0),1)</f>
        <v>0</v>
      </c>
      <c r="FQ126" s="140">
        <f>SUM($D126:P126)*IF($B126="Operacional",IFERROR(VLOOKUP($C126,SN_UGC,28,0),0),1)</f>
        <v>0</v>
      </c>
      <c r="FR126" s="140">
        <f>SUM($D126:Q126)*IF($B126="Operacional",IFERROR(VLOOKUP($C126,SN_UGC,28,0),0),1)</f>
        <v>0</v>
      </c>
      <c r="FS126" s="140">
        <f>SUM($D126:R126)*IF($B126="Operacional",IFERROR(VLOOKUP($C126,SN_UGC,28,0),0),1)</f>
        <v>0</v>
      </c>
      <c r="FT126" s="140">
        <f>SUM($D126:S126)*IF($B126="Operacional",IFERROR(VLOOKUP($C126,SN_UGC,28,0),0),1)</f>
        <v>0</v>
      </c>
      <c r="FU126" s="140">
        <f>SUM($D126:T126)*IF($B126="Operacional",IFERROR(VLOOKUP($C126,SN_UGC,28,0),0),1)</f>
        <v>0</v>
      </c>
      <c r="FV126" s="140">
        <f>SUM($D126:U126)*IF($B126="Operacional",IFERROR(VLOOKUP($C126,SN_UGC,28,0),0),1)</f>
        <v>0</v>
      </c>
      <c r="FW126" s="140">
        <f>SUM($D126:V126)*IF($B126="Operacional",IFERROR(VLOOKUP($C126,SN_UGC,28,0),0),1)</f>
        <v>0</v>
      </c>
      <c r="FX126" s="140">
        <f>SUM($D126:W126)*IF($B126="Operacional",IFERROR(VLOOKUP($C126,SN_UGC,28,0),0),1)</f>
        <v>0</v>
      </c>
      <c r="FY126" s="140">
        <f>SUM($D126:X126)*IF($B126="Operacional",IFERROR(VLOOKUP($C126,SN_UGC,28,0),0),1)</f>
        <v>0</v>
      </c>
      <c r="FZ126" s="140">
        <f>SUM($D126:Y126)*IF($B126="Operacional",IFERROR(VLOOKUP($C126,SN_UGC,28,0),0),1)</f>
        <v>0</v>
      </c>
      <c r="GA126" s="140">
        <f>SUM($D126:Z126)*IF($B126="Operacional",IFERROR(VLOOKUP($C126,SN_UGC,28,0),0),1)</f>
        <v>0</v>
      </c>
      <c r="GB126" s="140">
        <f>SUM($D126:AA126)*IF($B126="Operacional",IFERROR(VLOOKUP($C126,SN_UGC,28,0),0),1)</f>
        <v>0</v>
      </c>
      <c r="GC126" s="140">
        <f>SUM($D126:AB126)*IF($B126="Operacional",IFERROR(VLOOKUP($C126,SN_UGC,28,0),0),1)</f>
        <v>0</v>
      </c>
      <c r="GD126" s="140">
        <f>SUM($D126:AC126)*IF($B126="Operacional",IFERROR(VLOOKUP($C126,SN_UGC,28,0),0),1)</f>
        <v>0</v>
      </c>
      <c r="GE126" s="140">
        <f>SUM($D126:AD126)*IF($B126="Operacional",IFERROR(VLOOKUP($C126,SN_UGC,28,0),0),1)</f>
        <v>0</v>
      </c>
      <c r="GF126" s="140">
        <f>SUM($D126:AE126)*IF($B126="Operacional",IFERROR(VLOOKUP($C126,SN_UGC,28,0),0),1)</f>
        <v>0</v>
      </c>
      <c r="GG126" s="140">
        <f>SUM($D126:AF126)*IF($B126="Operacional",IFERROR(VLOOKUP($C126,SN_UGC,28,0),0),1)</f>
        <v>0</v>
      </c>
      <c r="GH126" s="140">
        <f>SUM($D126:AG126)*IF($B126="Operacional",IFERROR(VLOOKUP($C126,SN_UGC,28,0),0),1)</f>
        <v>0</v>
      </c>
      <c r="GI126" s="141">
        <f t="shared" ref="GI126:HL126" si="638">FE126*$AH126*$AL126</f>
        <v>0</v>
      </c>
      <c r="GJ126" s="141">
        <f t="shared" si="638"/>
        <v>0</v>
      </c>
      <c r="GK126" s="141">
        <f t="shared" si="638"/>
        <v>0</v>
      </c>
      <c r="GL126" s="141">
        <f t="shared" si="638"/>
        <v>0</v>
      </c>
      <c r="GM126" s="141">
        <f t="shared" si="638"/>
        <v>0</v>
      </c>
      <c r="GN126" s="141">
        <f t="shared" si="638"/>
        <v>0</v>
      </c>
      <c r="GO126" s="141">
        <f t="shared" si="638"/>
        <v>0</v>
      </c>
      <c r="GP126" s="141">
        <f t="shared" si="638"/>
        <v>0</v>
      </c>
      <c r="GQ126" s="141">
        <f t="shared" si="638"/>
        <v>0</v>
      </c>
      <c r="GR126" s="141">
        <f t="shared" si="638"/>
        <v>0</v>
      </c>
      <c r="GS126" s="141">
        <f t="shared" si="638"/>
        <v>0</v>
      </c>
      <c r="GT126" s="141">
        <f t="shared" si="638"/>
        <v>0</v>
      </c>
      <c r="GU126" s="141">
        <f t="shared" si="638"/>
        <v>0</v>
      </c>
      <c r="GV126" s="141">
        <f t="shared" si="638"/>
        <v>0</v>
      </c>
      <c r="GW126" s="141">
        <f t="shared" si="638"/>
        <v>0</v>
      </c>
      <c r="GX126" s="141">
        <f t="shared" si="638"/>
        <v>0</v>
      </c>
      <c r="GY126" s="141">
        <f t="shared" si="638"/>
        <v>0</v>
      </c>
      <c r="GZ126" s="141">
        <f t="shared" si="638"/>
        <v>0</v>
      </c>
      <c r="HA126" s="141">
        <f t="shared" si="638"/>
        <v>0</v>
      </c>
      <c r="HB126" s="141">
        <f t="shared" si="638"/>
        <v>0</v>
      </c>
      <c r="HC126" s="141">
        <f t="shared" si="638"/>
        <v>0</v>
      </c>
      <c r="HD126" s="141">
        <f t="shared" si="638"/>
        <v>0</v>
      </c>
      <c r="HE126" s="141">
        <f t="shared" si="638"/>
        <v>0</v>
      </c>
      <c r="HF126" s="141">
        <f t="shared" si="638"/>
        <v>0</v>
      </c>
      <c r="HG126" s="141">
        <f t="shared" si="638"/>
        <v>0</v>
      </c>
      <c r="HH126" s="141">
        <f t="shared" si="638"/>
        <v>0</v>
      </c>
      <c r="HI126" s="141">
        <f t="shared" si="638"/>
        <v>0</v>
      </c>
      <c r="HJ126" s="141">
        <f t="shared" si="638"/>
        <v>0</v>
      </c>
      <c r="HK126" s="141">
        <f t="shared" si="638"/>
        <v>0</v>
      </c>
      <c r="HL126" s="141">
        <f t="shared" si="638"/>
        <v>0</v>
      </c>
      <c r="HM126" s="142">
        <f t="shared" ref="HM126:IP126" si="639">IF(ISBLANK($A126),,FE126*($AH126-($AH126*$AJ126))/$AI126)</f>
        <v>0</v>
      </c>
      <c r="HN126" s="142">
        <f t="shared" si="639"/>
        <v>0</v>
      </c>
      <c r="HO126" s="142">
        <f t="shared" si="639"/>
        <v>0</v>
      </c>
      <c r="HP126" s="142">
        <f t="shared" si="639"/>
        <v>0</v>
      </c>
      <c r="HQ126" s="142">
        <f t="shared" si="639"/>
        <v>0</v>
      </c>
      <c r="HR126" s="142">
        <f t="shared" si="639"/>
        <v>0</v>
      </c>
      <c r="HS126" s="142">
        <f t="shared" si="639"/>
        <v>0</v>
      </c>
      <c r="HT126" s="142">
        <f t="shared" si="639"/>
        <v>0</v>
      </c>
      <c r="HU126" s="142">
        <f t="shared" si="639"/>
        <v>0</v>
      </c>
      <c r="HV126" s="142">
        <f t="shared" si="639"/>
        <v>0</v>
      </c>
      <c r="HW126" s="142">
        <f t="shared" si="639"/>
        <v>0</v>
      </c>
      <c r="HX126" s="142">
        <f t="shared" si="639"/>
        <v>0</v>
      </c>
      <c r="HY126" s="142">
        <f t="shared" si="639"/>
        <v>0</v>
      </c>
      <c r="HZ126" s="142">
        <f t="shared" si="639"/>
        <v>0</v>
      </c>
      <c r="IA126" s="142">
        <f t="shared" si="639"/>
        <v>0</v>
      </c>
      <c r="IB126" s="142">
        <f t="shared" si="639"/>
        <v>0</v>
      </c>
      <c r="IC126" s="142">
        <f t="shared" si="639"/>
        <v>0</v>
      </c>
      <c r="ID126" s="142">
        <f t="shared" si="639"/>
        <v>0</v>
      </c>
      <c r="IE126" s="142">
        <f t="shared" si="639"/>
        <v>0</v>
      </c>
      <c r="IF126" s="142">
        <f t="shared" si="639"/>
        <v>0</v>
      </c>
      <c r="IG126" s="142">
        <f t="shared" si="639"/>
        <v>0</v>
      </c>
      <c r="IH126" s="142">
        <f t="shared" si="639"/>
        <v>0</v>
      </c>
      <c r="II126" s="142">
        <f t="shared" si="639"/>
        <v>0</v>
      </c>
      <c r="IJ126" s="142">
        <f t="shared" si="639"/>
        <v>0</v>
      </c>
      <c r="IK126" s="142">
        <f t="shared" si="639"/>
        <v>0</v>
      </c>
      <c r="IL126" s="142">
        <f t="shared" si="639"/>
        <v>0</v>
      </c>
      <c r="IM126" s="142">
        <f t="shared" si="639"/>
        <v>0</v>
      </c>
      <c r="IN126" s="142">
        <f t="shared" si="639"/>
        <v>0</v>
      </c>
      <c r="IO126" s="142">
        <f t="shared" si="639"/>
        <v>0</v>
      </c>
      <c r="IP126" s="142">
        <f t="shared" si="639"/>
        <v>0</v>
      </c>
      <c r="IQ126" s="141">
        <f>IF(ISBLANK($A126),,IF($AN126="Não",0,(SUM($AO126:AO126)*$AH126)-SUM($HM126:HM126)-SUM($CW126:CW126)))</f>
        <v>0</v>
      </c>
      <c r="IR126" s="141">
        <f>IF(ISBLANK($A126),,IF($AN126="Não",0,(SUM($AO126:AP126)*$AH126)-SUM($HM126:HN126)-SUM($CW126:CX126)))</f>
        <v>0</v>
      </c>
      <c r="IS126" s="141">
        <f>IF(ISBLANK($A126),,IF($AN126="Não",0,(SUM($AO126:AQ126)*$AH126)-SUM($HM126:HO126)-SUM($CW126:CY126)))</f>
        <v>0</v>
      </c>
      <c r="IT126" s="141">
        <f>IF(ISBLANK($A126),,IF($AN126="Não",0,(SUM($AO126:AR126)*$AH126)-SUM($HM126:HP126)-SUM($CW126:CZ126)))</f>
        <v>0</v>
      </c>
      <c r="IU126" s="141">
        <f>IF(ISBLANK($A126),,IF($AN126="Não",0,(SUM($AO126:AS126)*$AH126)-SUM($HM126:HQ126)-SUM($CW126:DA126)))</f>
        <v>0</v>
      </c>
      <c r="IV126" s="141">
        <f>IF(ISBLANK($A126),,IF($AN126="Não",0,(SUM($AO126:AT126)*$AH126)-SUM($HM126:HR126)-SUM($CW126:DB126)))</f>
        <v>0</v>
      </c>
      <c r="IW126" s="141">
        <f>IF(ISBLANK($A126),,IF($AN126="Não",0,(SUM($AO126:AU126)*$AH126)-SUM($HM126:HS126)-SUM($CW126:DC126)))</f>
        <v>0</v>
      </c>
      <c r="IX126" s="141">
        <f>IF(ISBLANK($A126),,IF($AN126="Não",0,(SUM($AO126:AV126)*$AH126)-SUM($HM126:HT126)-SUM($CW126:DD126)))</f>
        <v>0</v>
      </c>
      <c r="IY126" s="141">
        <f>IF(ISBLANK($A126),,IF($AN126="Não",0,(SUM($AO126:AW126)*$AH126)-SUM($HM126:HU126)-SUM($CW126:DE126)))</f>
        <v>0</v>
      </c>
      <c r="IZ126" s="141">
        <f>IF(ISBLANK($A126),,IF($AN126="Não",0,(SUM($AO126:AX126)*$AH126)-SUM($HM126:HV126)-SUM($CW126:DF126)))</f>
        <v>0</v>
      </c>
      <c r="JA126" s="141">
        <f>IF(ISBLANK($A126),,IF($AN126="Não",0,(SUM($AO126:AY126)*$AH126)-SUM($HM126:HW126)-SUM($CW126:DG126)))</f>
        <v>0</v>
      </c>
      <c r="JB126" s="141">
        <f>IF(ISBLANK($A126),,IF($AN126="Não",0,(SUM($AO126:AZ126)*$AH126)-SUM($HM126:HX126)-SUM($CW126:DH126)))</f>
        <v>0</v>
      </c>
      <c r="JC126" s="141">
        <f>IF(ISBLANK($A126),,IF($AN126="Não",0,(SUM($AO126:BA126)*$AH126)-SUM($HM126:HY126)-SUM($CW126:DI126)))</f>
        <v>0</v>
      </c>
      <c r="JD126" s="141">
        <f>IF(ISBLANK($A126),,IF($AN126="Não",0,(SUM($AO126:BB126)*$AH126)-SUM($HM126:HZ126)-SUM($CW126:DJ126)))</f>
        <v>0</v>
      </c>
      <c r="JE126" s="141">
        <f>IF(ISBLANK($A126),,IF($AN126="Não",0,(SUM($AO126:BC126)*$AH126)-SUM($HM126:IA126)-SUM($CW126:DK126)))</f>
        <v>0</v>
      </c>
      <c r="JF126" s="141">
        <f>IF(ISBLANK($A126),,IF($AN126="Não",0,(SUM($AO126:BD126)*$AH126)-SUM($HM126:IB126)-SUM($CW126:DL126)))</f>
        <v>0</v>
      </c>
      <c r="JG126" s="141">
        <f>IF(ISBLANK($A126),,IF($AN126="Não",0,(SUM($AO126:BE126)*$AH126)-SUM($HM126:IC126)-SUM($CW126:DM126)))</f>
        <v>0</v>
      </c>
      <c r="JH126" s="141">
        <f>IF(ISBLANK($A126),,IF($AN126="Não",0,(SUM($AO126:BF126)*$AH126)-SUM($HM126:ID126)-SUM($CW126:DN126)))</f>
        <v>0</v>
      </c>
      <c r="JI126" s="141">
        <f>IF(ISBLANK($A126),,IF($AN126="Não",0,(SUM($AO126:BG126)*$AH126)-SUM($HM126:IE126)-SUM($CW126:DO126)))</f>
        <v>0</v>
      </c>
      <c r="JJ126" s="141">
        <f>IF(ISBLANK($A126),,IF($AN126="Não",0,(SUM($AO126:BH126)*$AH126)-SUM($HM126:IF126)-SUM($CW126:DP126)))</f>
        <v>0</v>
      </c>
      <c r="JK126" s="141">
        <f>IF(ISBLANK($A126),,IF($AN126="Não",0,(SUM($AO126:BI126)*$AH126)-SUM($HM126:IG126)-SUM($CW126:DQ126)))</f>
        <v>0</v>
      </c>
      <c r="JL126" s="141">
        <f>IF(ISBLANK($A126),,IF($AN126="Não",0,(SUM($AO126:BJ126)*$AH126)-SUM($HM126:IH126)-SUM($CW126:DR126)))</f>
        <v>0</v>
      </c>
      <c r="JM126" s="141">
        <f>IF(ISBLANK($A126),,IF($AN126="Não",0,(SUM($AO126:BK126)*$AH126)-SUM($HM126:II126)-SUM($CW126:DS126)))</f>
        <v>0</v>
      </c>
      <c r="JN126" s="141">
        <f>IF(ISBLANK($A126),,IF($AN126="Não",0,(SUM($AO126:BL126)*$AH126)-SUM($HM126:IJ126)-SUM($CW126:DT126)))</f>
        <v>0</v>
      </c>
      <c r="JO126" s="141">
        <f>IF(ISBLANK($A126),,IF($AN126="Não",0,(SUM($AO126:BM126)*$AH126)-SUM($HM126:IK126)-SUM($CW126:DU126)))</f>
        <v>0</v>
      </c>
      <c r="JP126" s="141">
        <f>IF(ISBLANK($A126),,IF($AN126="Não",0,(SUM($AO126:BN126)*$AH126)-SUM($HM126:IL126)-SUM($CW126:DV126)))</f>
        <v>0</v>
      </c>
      <c r="JQ126" s="141">
        <f>IF(ISBLANK($A126),,IF($AN126="Não",0,(SUM($AO126:BO126)*$AH126)-SUM($HM126:IM126)-SUM($CW126:DW126)))</f>
        <v>0</v>
      </c>
      <c r="JR126" s="141">
        <f>IF(ISBLANK($A126),,IF($AN126="Não",0,(SUM($AO126:BP126)*$AH126)-SUM($HM126:IN126)-SUM($CW126:DX126)))</f>
        <v>0</v>
      </c>
      <c r="JS126" s="141">
        <f>IF(ISBLANK($A126),,IF($AN126="Não",0,(SUM($AO126:BQ126)*$AH126)-SUM($HM126:IO126)-SUM($CW126:DY126)))</f>
        <v>0</v>
      </c>
      <c r="JT126" s="141">
        <f>IF(ISBLANK($A126),,IF($AN126="Não",0,(SUM($AO126:BR126)*$AH126)-SUM($HM126:IP126)-SUM($CW126:DZ126)))</f>
        <v>0</v>
      </c>
    </row>
    <row r="127" spans="1:280" ht="15.75" customHeight="1">
      <c r="A127" s="129"/>
      <c r="B127" s="129"/>
      <c r="C127" s="138"/>
      <c r="D127" s="139"/>
      <c r="E127" s="139"/>
      <c r="F127" s="139"/>
      <c r="G127" s="139"/>
      <c r="H127" s="139"/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607">
        <f t="shared" si="544"/>
        <v>0</v>
      </c>
      <c r="AI127" s="608">
        <f t="shared" si="545"/>
        <v>0</v>
      </c>
      <c r="AJ127" s="609">
        <f t="shared" si="546"/>
        <v>0</v>
      </c>
      <c r="AK127" s="610" t="str">
        <f t="shared" si="547"/>
        <v/>
      </c>
      <c r="AL127" s="609">
        <f t="shared" si="548"/>
        <v>0</v>
      </c>
      <c r="AM127" s="611" t="str">
        <f t="shared" si="549"/>
        <v/>
      </c>
      <c r="AN127" s="611" t="str">
        <f t="shared" si="550"/>
        <v/>
      </c>
      <c r="AO127" s="140">
        <f t="array" ref="AO127">IF(ISBLANK($A127),0,IF(OR(AO$5-$AI127&lt;=0,$AM127="Não"),D127,D127+INDEX($AO$6:$BR$176,ROW()-5,COLUMN()-40-$AI127)))*IF($B127="Operacional",IFERROR(VLOOKUP($C127,SN_UGC,28,0),0),1)</f>
        <v>0</v>
      </c>
      <c r="AP127" s="140">
        <f t="array" ref="AP127">IF(ISBLANK($A127),0,IF(OR(AP$5-$AI127&lt;=0,$AM127="Não"),E127,E127+INDEX($AO$6:$BR$176,ROW()-5,COLUMN()-40-$AI127)))*IF($B127="Operacional",IFERROR(VLOOKUP($C127,SN_UGC,28,0),0),1)</f>
        <v>0</v>
      </c>
      <c r="AQ127" s="140">
        <f t="array" ref="AQ127">IF(ISBLANK($A127),0,IF(OR(AQ$5-$AI127&lt;=0,$AM127="Não"),F127,F127+INDEX($AO$6:$BR$176,ROW()-5,COLUMN()-40-$AI127)))*IF($B127="Operacional",IFERROR(VLOOKUP($C127,SN_UGC,28,0),0),1)</f>
        <v>0</v>
      </c>
      <c r="AR127" s="140">
        <f t="array" ref="AR127">IF(ISBLANK($A127),0,IF(OR(AR$5-$AI127&lt;=0,$AM127="Não"),G127,G127+INDEX($AO$6:$BR$176,ROW()-5,COLUMN()-40-$AI127)))*IF($B127="Operacional",IFERROR(VLOOKUP($C127,SN_UGC,28,0),0),1)</f>
        <v>0</v>
      </c>
      <c r="AS127" s="140">
        <f t="array" ref="AS127">IF(ISBLANK($A127),0,IF(OR(AS$5-$AI127&lt;=0,$AM127="Não"),H127,H127+INDEX($AO$6:$BR$176,ROW()-5,COLUMN()-40-$AI127)))*IF($B127="Operacional",IFERROR(VLOOKUP($C127,SN_UGC,28,0),0),1)</f>
        <v>0</v>
      </c>
      <c r="AT127" s="140">
        <f t="array" ref="AT127">IF(ISBLANK($A127),0,IF(OR(AT$5-$AI127&lt;=0,$AM127="Não"),I127,I127+INDEX($AO$6:$BR$176,ROW()-5,COLUMN()-40-$AI127)))*IF($B127="Operacional",IFERROR(VLOOKUP($C127,SN_UGC,28,0),0),1)</f>
        <v>0</v>
      </c>
      <c r="AU127" s="140">
        <f t="array" ref="AU127">IF(ISBLANK($A127),0,IF(OR(AU$5-$AI127&lt;=0,$AM127="Não"),J127,J127+INDEX($AO$6:$BR$176,ROW()-5,COLUMN()-40-$AI127)))*IF($B127="Operacional",IFERROR(VLOOKUP($C127,SN_UGC,28,0),0),1)</f>
        <v>0</v>
      </c>
      <c r="AV127" s="140">
        <f t="array" ref="AV127">IF(ISBLANK($A127),0,IF(OR(AV$5-$AI127&lt;=0,$AM127="Não"),K127,K127+INDEX($AO$6:$BR$176,ROW()-5,COLUMN()-40-$AI127)))*IF($B127="Operacional",IFERROR(VLOOKUP($C127,SN_UGC,28,0),0),1)</f>
        <v>0</v>
      </c>
      <c r="AW127" s="140">
        <f t="array" ref="AW127">IF(ISBLANK($A127),0,IF(OR(AW$5-$AI127&lt;=0,$AM127="Não"),L127,L127+INDEX($AO$6:$BR$176,ROW()-5,COLUMN()-40-$AI127)))*IF($B127="Operacional",IFERROR(VLOOKUP($C127,SN_UGC,28,0),0),1)</f>
        <v>0</v>
      </c>
      <c r="AX127" s="140">
        <f t="array" ref="AX127">IF(ISBLANK($A127),0,IF(OR(AX$5-$AI127&lt;=0,$AM127="Não"),M127,M127+INDEX($AO$6:$BR$176,ROW()-5,COLUMN()-40-$AI127)))*IF($B127="Operacional",IFERROR(VLOOKUP($C127,SN_UGC,28,0),0),1)</f>
        <v>0</v>
      </c>
      <c r="AY127" s="140">
        <f t="array" ref="AY127">IF(ISBLANK($A127),0,IF(OR(AY$5-$AI127&lt;=0,$AM127="Não"),N127,N127+INDEX($AO$6:$BR$176,ROW()-5,COLUMN()-40-$AI127)))*IF($B127="Operacional",IFERROR(VLOOKUP($C127,SN_UGC,28,0),0),1)</f>
        <v>0</v>
      </c>
      <c r="AZ127" s="140">
        <f t="array" ref="AZ127">IF(ISBLANK($A127),0,IF(OR(AZ$5-$AI127&lt;=0,$AM127="Não"),O127,O127+INDEX($AO$6:$BR$176,ROW()-5,COLUMN()-40-$AI127)))*IF($B127="Operacional",IFERROR(VLOOKUP($C127,SN_UGC,28,0),0),1)</f>
        <v>0</v>
      </c>
      <c r="BA127" s="140">
        <f t="array" ref="BA127">IF(ISBLANK($A127),0,IF(OR(BA$5-$AI127&lt;=0,$AM127="Não"),P127,P127+INDEX($AO$6:$BR$176,ROW()-5,COLUMN()-40-$AI127)))*IF($B127="Operacional",IFERROR(VLOOKUP($C127,SN_UGC,28,0),0),1)</f>
        <v>0</v>
      </c>
      <c r="BB127" s="140">
        <f t="array" ref="BB127">IF(ISBLANK($A127),0,IF(OR(BB$5-$AI127&lt;=0,$AM127="Não"),Q127,Q127+INDEX($AO$6:$BR$176,ROW()-5,COLUMN()-40-$AI127)))*IF($B127="Operacional",IFERROR(VLOOKUP($C127,SN_UGC,28,0),0),1)</f>
        <v>0</v>
      </c>
      <c r="BC127" s="140">
        <f t="array" ref="BC127">IF(ISBLANK($A127),0,IF(OR(BC$5-$AI127&lt;=0,$AM127="Não"),R127,R127+INDEX($AO$6:$BR$176,ROW()-5,COLUMN()-40-$AI127)))*IF($B127="Operacional",IFERROR(VLOOKUP($C127,SN_UGC,28,0),0),1)</f>
        <v>0</v>
      </c>
      <c r="BD127" s="140">
        <f t="array" ref="BD127">IF(ISBLANK($A127),0,IF(OR(BD$5-$AI127&lt;=0,$AM127="Não"),S127,S127+INDEX($AO$6:$BR$176,ROW()-5,COLUMN()-40-$AI127)))*IF($B127="Operacional",IFERROR(VLOOKUP($C127,SN_UGC,28,0),0),1)</f>
        <v>0</v>
      </c>
      <c r="BE127" s="140">
        <f t="array" ref="BE127">IF(ISBLANK($A127),0,IF(OR(BE$5-$AI127&lt;=0,$AM127="Não"),T127,T127+INDEX($AO$6:$BR$176,ROW()-5,COLUMN()-40-$AI127)))*IF($B127="Operacional",IFERROR(VLOOKUP($C127,SN_UGC,28,0),0),1)</f>
        <v>0</v>
      </c>
      <c r="BF127" s="140">
        <f t="array" ref="BF127">IF(ISBLANK($A127),0,IF(OR(BF$5-$AI127&lt;=0,$AM127="Não"),U127,U127+INDEX($AO$6:$BR$176,ROW()-5,COLUMN()-40-$AI127)))*IF($B127="Operacional",IFERROR(VLOOKUP($C127,SN_UGC,28,0),0),1)</f>
        <v>0</v>
      </c>
      <c r="BG127" s="140">
        <f t="array" ref="BG127">IF(ISBLANK($A127),0,IF(OR(BG$5-$AI127&lt;=0,$AM127="Não"),V127,V127+INDEX($AO$6:$BR$176,ROW()-5,COLUMN()-40-$AI127)))*IF($B127="Operacional",IFERROR(VLOOKUP($C127,SN_UGC,28,0),0),1)</f>
        <v>0</v>
      </c>
      <c r="BH127" s="140">
        <f t="array" ref="BH127">IF(ISBLANK($A127),0,IF(OR(BH$5-$AI127&lt;=0,$AM127="Não"),W127,W127+INDEX($AO$6:$BR$176,ROW()-5,COLUMN()-40-$AI127)))*IF($B127="Operacional",IFERROR(VLOOKUP($C127,SN_UGC,28,0),0),1)</f>
        <v>0</v>
      </c>
      <c r="BI127" s="140">
        <f t="array" ref="BI127">IF(ISBLANK($A127),0,IF(OR(BI$5-$AI127&lt;=0,$AM127="Não"),X127,X127+INDEX($AO$6:$BR$176,ROW()-5,COLUMN()-40-$AI127)))*IF($B127="Operacional",IFERROR(VLOOKUP($C127,SN_UGC,28,0),0),1)</f>
        <v>0</v>
      </c>
      <c r="BJ127" s="140">
        <f t="array" ref="BJ127">IF(ISBLANK($A127),0,IF(OR(BJ$5-$AI127&lt;=0,$AM127="Não"),Y127,Y127+INDEX($AO$6:$BR$176,ROW()-5,COLUMN()-40-$AI127)))*IF($B127="Operacional",IFERROR(VLOOKUP($C127,SN_UGC,28,0),0),1)</f>
        <v>0</v>
      </c>
      <c r="BK127" s="140">
        <f t="array" ref="BK127">IF(ISBLANK($A127),0,IF(OR(BK$5-$AI127&lt;=0,$AM127="Não"),Z127,Z127+INDEX($AO$6:$BR$176,ROW()-5,COLUMN()-40-$AI127)))*IF($B127="Operacional",IFERROR(VLOOKUP($C127,SN_UGC,28,0),0),1)</f>
        <v>0</v>
      </c>
      <c r="BL127" s="140">
        <f t="array" ref="BL127">IF(ISBLANK($A127),0,IF(OR(BL$5-$AI127&lt;=0,$AM127="Não"),AA127,AA127+INDEX($AO$6:$BR$176,ROW()-5,COLUMN()-40-$AI127)))*IF($B127="Operacional",IFERROR(VLOOKUP($C127,SN_UGC,28,0),0),1)</f>
        <v>0</v>
      </c>
      <c r="BM127" s="140">
        <f t="array" ref="BM127">IF(ISBLANK($A127),0,IF(OR(BM$5-$AI127&lt;=0,$AM127="Não"),AB127,AB127+INDEX($AO$6:$BR$176,ROW()-5,COLUMN()-40-$AI127)))*IF($B127="Operacional",IFERROR(VLOOKUP($C127,SN_UGC,28,0),0),1)</f>
        <v>0</v>
      </c>
      <c r="BN127" s="140">
        <f t="array" ref="BN127">IF(ISBLANK($A127),0,IF(OR(BN$5-$AI127&lt;=0,$AM127="Não"),AC127,AC127+INDEX($AO$6:$BR$176,ROW()-5,COLUMN()-40-$AI127)))*IF($B127="Operacional",IFERROR(VLOOKUP($C127,SN_UGC,28,0),0),1)</f>
        <v>0</v>
      </c>
      <c r="BO127" s="140">
        <f t="array" ref="BO127">IF(ISBLANK($A127),0,IF(OR(BO$5-$AI127&lt;=0,$AM127="Não"),AD127,AD127+INDEX($AO$6:$BR$176,ROW()-5,COLUMN()-40-$AI127)))*IF($B127="Operacional",IFERROR(VLOOKUP($C127,SN_UGC,28,0),0),1)</f>
        <v>0</v>
      </c>
      <c r="BP127" s="140">
        <f t="array" ref="BP127">IF(ISBLANK($A127),0,IF(OR(BP$5-$AI127&lt;=0,$AM127="Não"),AE127,AE127+INDEX($AO$6:$BR$176,ROW()-5,COLUMN()-40-$AI127)))*IF($B127="Operacional",IFERROR(VLOOKUP($C127,SN_UGC,28,0),0),1)</f>
        <v>0</v>
      </c>
      <c r="BQ127" s="140">
        <f t="array" ref="BQ127">IF(ISBLANK($A127),0,IF(OR(BQ$5-$AI127&lt;=0,$AM127="Não"),AF127,AF127+INDEX($AO$6:$BR$176,ROW()-5,COLUMN()-40-$AI127)))*IF($B127="Operacional",IFERROR(VLOOKUP($C127,SN_UGC,28,0),0),1)</f>
        <v>0</v>
      </c>
      <c r="BR127" s="140">
        <f t="array" ref="BR127">IF(ISBLANK($A127),0,IF(OR(BR$5-$AI127&lt;=0,$AM127="Não"),AG127,AG127+INDEX($AO$6:$BR$176,ROW()-5,COLUMN()-40-$AI127)))*IF($B127="Operacional",IFERROR(VLOOKUP($C127,SN_UGC,28,0),0),1)</f>
        <v>0</v>
      </c>
      <c r="BS127" s="141">
        <f t="shared" ref="BS127:CV127" si="640">IF(ISBLANK($A127),0,$AH127*AO127)</f>
        <v>0</v>
      </c>
      <c r="BT127" s="141">
        <f t="shared" si="640"/>
        <v>0</v>
      </c>
      <c r="BU127" s="141">
        <f t="shared" si="640"/>
        <v>0</v>
      </c>
      <c r="BV127" s="141">
        <f t="shared" si="640"/>
        <v>0</v>
      </c>
      <c r="BW127" s="141">
        <f t="shared" si="640"/>
        <v>0</v>
      </c>
      <c r="BX127" s="141">
        <f t="shared" si="640"/>
        <v>0</v>
      </c>
      <c r="BY127" s="141">
        <f t="shared" si="640"/>
        <v>0</v>
      </c>
      <c r="BZ127" s="141">
        <f t="shared" si="640"/>
        <v>0</v>
      </c>
      <c r="CA127" s="141">
        <f t="shared" si="640"/>
        <v>0</v>
      </c>
      <c r="CB127" s="141">
        <f t="shared" si="640"/>
        <v>0</v>
      </c>
      <c r="CC127" s="141">
        <f t="shared" si="640"/>
        <v>0</v>
      </c>
      <c r="CD127" s="141">
        <f t="shared" si="640"/>
        <v>0</v>
      </c>
      <c r="CE127" s="141">
        <f t="shared" si="640"/>
        <v>0</v>
      </c>
      <c r="CF127" s="141">
        <f t="shared" si="640"/>
        <v>0</v>
      </c>
      <c r="CG127" s="141">
        <f t="shared" si="640"/>
        <v>0</v>
      </c>
      <c r="CH127" s="141">
        <f t="shared" si="640"/>
        <v>0</v>
      </c>
      <c r="CI127" s="141">
        <f t="shared" si="640"/>
        <v>0</v>
      </c>
      <c r="CJ127" s="141">
        <f t="shared" si="640"/>
        <v>0</v>
      </c>
      <c r="CK127" s="141">
        <f t="shared" si="640"/>
        <v>0</v>
      </c>
      <c r="CL127" s="141">
        <f t="shared" si="640"/>
        <v>0</v>
      </c>
      <c r="CM127" s="141">
        <f t="shared" si="640"/>
        <v>0</v>
      </c>
      <c r="CN127" s="141">
        <f t="shared" si="640"/>
        <v>0</v>
      </c>
      <c r="CO127" s="141">
        <f t="shared" si="640"/>
        <v>0</v>
      </c>
      <c r="CP127" s="141">
        <f t="shared" si="640"/>
        <v>0</v>
      </c>
      <c r="CQ127" s="141">
        <f t="shared" si="640"/>
        <v>0</v>
      </c>
      <c r="CR127" s="141">
        <f t="shared" si="640"/>
        <v>0</v>
      </c>
      <c r="CS127" s="141">
        <f t="shared" si="640"/>
        <v>0</v>
      </c>
      <c r="CT127" s="141">
        <f t="shared" si="640"/>
        <v>0</v>
      </c>
      <c r="CU127" s="141">
        <f t="shared" si="640"/>
        <v>0</v>
      </c>
      <c r="CV127" s="141">
        <f t="shared" si="640"/>
        <v>0</v>
      </c>
      <c r="CW127" s="142">
        <f t="shared" ref="CW127:DZ127" si="641">EA127*$AH127*$AJ127</f>
        <v>0</v>
      </c>
      <c r="CX127" s="142">
        <f t="shared" si="641"/>
        <v>0</v>
      </c>
      <c r="CY127" s="142">
        <f t="shared" si="641"/>
        <v>0</v>
      </c>
      <c r="CZ127" s="142">
        <f t="shared" si="641"/>
        <v>0</v>
      </c>
      <c r="DA127" s="142">
        <f t="shared" si="641"/>
        <v>0</v>
      </c>
      <c r="DB127" s="142">
        <f t="shared" si="641"/>
        <v>0</v>
      </c>
      <c r="DC127" s="142">
        <f t="shared" si="641"/>
        <v>0</v>
      </c>
      <c r="DD127" s="142">
        <f t="shared" si="641"/>
        <v>0</v>
      </c>
      <c r="DE127" s="142">
        <f t="shared" si="641"/>
        <v>0</v>
      </c>
      <c r="DF127" s="142">
        <f t="shared" si="641"/>
        <v>0</v>
      </c>
      <c r="DG127" s="142">
        <f t="shared" si="641"/>
        <v>0</v>
      </c>
      <c r="DH127" s="142">
        <f t="shared" si="641"/>
        <v>0</v>
      </c>
      <c r="DI127" s="142">
        <f t="shared" si="641"/>
        <v>0</v>
      </c>
      <c r="DJ127" s="142">
        <f t="shared" si="641"/>
        <v>0</v>
      </c>
      <c r="DK127" s="142">
        <f t="shared" si="641"/>
        <v>0</v>
      </c>
      <c r="DL127" s="142">
        <f t="shared" si="641"/>
        <v>0</v>
      </c>
      <c r="DM127" s="142">
        <f t="shared" si="641"/>
        <v>0</v>
      </c>
      <c r="DN127" s="142">
        <f t="shared" si="641"/>
        <v>0</v>
      </c>
      <c r="DO127" s="142">
        <f t="shared" si="641"/>
        <v>0</v>
      </c>
      <c r="DP127" s="142">
        <f t="shared" si="641"/>
        <v>0</v>
      </c>
      <c r="DQ127" s="142">
        <f t="shared" si="641"/>
        <v>0</v>
      </c>
      <c r="DR127" s="142">
        <f t="shared" si="641"/>
        <v>0</v>
      </c>
      <c r="DS127" s="142">
        <f t="shared" si="641"/>
        <v>0</v>
      </c>
      <c r="DT127" s="142">
        <f t="shared" si="641"/>
        <v>0</v>
      </c>
      <c r="DU127" s="142">
        <f t="shared" si="641"/>
        <v>0</v>
      </c>
      <c r="DV127" s="142">
        <f t="shared" si="641"/>
        <v>0</v>
      </c>
      <c r="DW127" s="142">
        <f t="shared" si="641"/>
        <v>0</v>
      </c>
      <c r="DX127" s="142">
        <f t="shared" si="641"/>
        <v>0</v>
      </c>
      <c r="DY127" s="142">
        <f t="shared" si="641"/>
        <v>0</v>
      </c>
      <c r="DZ127" s="142">
        <f t="shared" si="641"/>
        <v>0</v>
      </c>
      <c r="EA127" s="143">
        <f t="shared" si="504"/>
        <v>0</v>
      </c>
      <c r="EB127" s="143">
        <f t="shared" si="505"/>
        <v>0</v>
      </c>
      <c r="EC127" s="143">
        <f t="shared" si="506"/>
        <v>0</v>
      </c>
      <c r="ED127" s="143">
        <f t="shared" si="507"/>
        <v>0</v>
      </c>
      <c r="EE127" s="143">
        <f t="shared" si="508"/>
        <v>0</v>
      </c>
      <c r="EF127" s="143">
        <f t="shared" si="509"/>
        <v>0</v>
      </c>
      <c r="EG127" s="143">
        <f t="shared" si="510"/>
        <v>0</v>
      </c>
      <c r="EH127" s="143">
        <f t="shared" si="511"/>
        <v>0</v>
      </c>
      <c r="EI127" s="143">
        <f t="shared" si="512"/>
        <v>0</v>
      </c>
      <c r="EJ127" s="143">
        <f t="shared" si="513"/>
        <v>0</v>
      </c>
      <c r="EK127" s="143">
        <f t="shared" si="514"/>
        <v>0</v>
      </c>
      <c r="EL127" s="143">
        <f t="shared" si="515"/>
        <v>0</v>
      </c>
      <c r="EM127" s="143">
        <f t="shared" si="516"/>
        <v>0</v>
      </c>
      <c r="EN127" s="143">
        <f t="shared" si="517"/>
        <v>0</v>
      </c>
      <c r="EO127" s="143">
        <f t="shared" si="518"/>
        <v>0</v>
      </c>
      <c r="EP127" s="143">
        <f t="shared" si="519"/>
        <v>0</v>
      </c>
      <c r="EQ127" s="143">
        <f t="shared" si="520"/>
        <v>0</v>
      </c>
      <c r="ER127" s="143">
        <f t="shared" si="521"/>
        <v>0</v>
      </c>
      <c r="ES127" s="143">
        <f t="shared" si="522"/>
        <v>0</v>
      </c>
      <c r="ET127" s="143">
        <f t="shared" si="523"/>
        <v>0</v>
      </c>
      <c r="EU127" s="143">
        <f t="shared" si="524"/>
        <v>0</v>
      </c>
      <c r="EV127" s="143">
        <f t="shared" si="525"/>
        <v>0</v>
      </c>
      <c r="EW127" s="143">
        <f t="shared" si="526"/>
        <v>0</v>
      </c>
      <c r="EX127" s="143">
        <f t="shared" si="527"/>
        <v>0</v>
      </c>
      <c r="EY127" s="143">
        <f t="shared" si="528"/>
        <v>0</v>
      </c>
      <c r="EZ127" s="143">
        <f t="shared" si="529"/>
        <v>0</v>
      </c>
      <c r="FA127" s="143">
        <f t="shared" si="530"/>
        <v>0</v>
      </c>
      <c r="FB127" s="143">
        <f t="shared" si="531"/>
        <v>0</v>
      </c>
      <c r="FC127" s="143">
        <f t="shared" si="532"/>
        <v>0</v>
      </c>
      <c r="FD127" s="143">
        <f t="shared" si="533"/>
        <v>0</v>
      </c>
      <c r="FE127" s="140">
        <f>SUM($D127:D127)*IF($B127="Operacional",IFERROR(VLOOKUP($C127,SN_UGC,28,0),0),1)</f>
        <v>0</v>
      </c>
      <c r="FF127" s="140">
        <f>SUM($D127:E127)*IF($B127="Operacional",IFERROR(VLOOKUP($C127,SN_UGC,28,0),0),1)</f>
        <v>0</v>
      </c>
      <c r="FG127" s="140">
        <f>SUM($D127:F127)*IF($B127="Operacional",IFERROR(VLOOKUP($C127,SN_UGC,28,0),0),1)</f>
        <v>0</v>
      </c>
      <c r="FH127" s="140">
        <f>SUM($D127:G127)*IF($B127="Operacional",IFERROR(VLOOKUP($C127,SN_UGC,28,0),0),1)</f>
        <v>0</v>
      </c>
      <c r="FI127" s="140">
        <f>SUM($D127:H127)*IF($B127="Operacional",IFERROR(VLOOKUP($C127,SN_UGC,28,0),0),1)</f>
        <v>0</v>
      </c>
      <c r="FJ127" s="140">
        <f>SUM($D127:I127)*IF($B127="Operacional",IFERROR(VLOOKUP($C127,SN_UGC,28,0),0),1)</f>
        <v>0</v>
      </c>
      <c r="FK127" s="140">
        <f>SUM($D127:J127)*IF($B127="Operacional",IFERROR(VLOOKUP($C127,SN_UGC,28,0),0),1)</f>
        <v>0</v>
      </c>
      <c r="FL127" s="140">
        <f>SUM($D127:K127)*IF($B127="Operacional",IFERROR(VLOOKUP($C127,SN_UGC,28,0),0),1)</f>
        <v>0</v>
      </c>
      <c r="FM127" s="140">
        <f>SUM($D127:L127)*IF($B127="Operacional",IFERROR(VLOOKUP($C127,SN_UGC,28,0),0),1)</f>
        <v>0</v>
      </c>
      <c r="FN127" s="140">
        <f>SUM($D127:M127)*IF($B127="Operacional",IFERROR(VLOOKUP($C127,SN_UGC,28,0),0),1)</f>
        <v>0</v>
      </c>
      <c r="FO127" s="140">
        <f>SUM($D127:N127)*IF($B127="Operacional",IFERROR(VLOOKUP($C127,SN_UGC,28,0),0),1)</f>
        <v>0</v>
      </c>
      <c r="FP127" s="140">
        <f>SUM($D127:O127)*IF($B127="Operacional",IFERROR(VLOOKUP($C127,SN_UGC,28,0),0),1)</f>
        <v>0</v>
      </c>
      <c r="FQ127" s="140">
        <f>SUM($D127:P127)*IF($B127="Operacional",IFERROR(VLOOKUP($C127,SN_UGC,28,0),0),1)</f>
        <v>0</v>
      </c>
      <c r="FR127" s="140">
        <f>SUM($D127:Q127)*IF($B127="Operacional",IFERROR(VLOOKUP($C127,SN_UGC,28,0),0),1)</f>
        <v>0</v>
      </c>
      <c r="FS127" s="140">
        <f>SUM($D127:R127)*IF($B127="Operacional",IFERROR(VLOOKUP($C127,SN_UGC,28,0),0),1)</f>
        <v>0</v>
      </c>
      <c r="FT127" s="140">
        <f>SUM($D127:S127)*IF($B127="Operacional",IFERROR(VLOOKUP($C127,SN_UGC,28,0),0),1)</f>
        <v>0</v>
      </c>
      <c r="FU127" s="140">
        <f>SUM($D127:T127)*IF($B127="Operacional",IFERROR(VLOOKUP($C127,SN_UGC,28,0),0),1)</f>
        <v>0</v>
      </c>
      <c r="FV127" s="140">
        <f>SUM($D127:U127)*IF($B127="Operacional",IFERROR(VLOOKUP($C127,SN_UGC,28,0),0),1)</f>
        <v>0</v>
      </c>
      <c r="FW127" s="140">
        <f>SUM($D127:V127)*IF($B127="Operacional",IFERROR(VLOOKUP($C127,SN_UGC,28,0),0),1)</f>
        <v>0</v>
      </c>
      <c r="FX127" s="140">
        <f>SUM($D127:W127)*IF($B127="Operacional",IFERROR(VLOOKUP($C127,SN_UGC,28,0),0),1)</f>
        <v>0</v>
      </c>
      <c r="FY127" s="140">
        <f>SUM($D127:X127)*IF($B127="Operacional",IFERROR(VLOOKUP($C127,SN_UGC,28,0),0),1)</f>
        <v>0</v>
      </c>
      <c r="FZ127" s="140">
        <f>SUM($D127:Y127)*IF($B127="Operacional",IFERROR(VLOOKUP($C127,SN_UGC,28,0),0),1)</f>
        <v>0</v>
      </c>
      <c r="GA127" s="140">
        <f>SUM($D127:Z127)*IF($B127="Operacional",IFERROR(VLOOKUP($C127,SN_UGC,28,0),0),1)</f>
        <v>0</v>
      </c>
      <c r="GB127" s="140">
        <f>SUM($D127:AA127)*IF($B127="Operacional",IFERROR(VLOOKUP($C127,SN_UGC,28,0),0),1)</f>
        <v>0</v>
      </c>
      <c r="GC127" s="140">
        <f>SUM($D127:AB127)*IF($B127="Operacional",IFERROR(VLOOKUP($C127,SN_UGC,28,0),0),1)</f>
        <v>0</v>
      </c>
      <c r="GD127" s="140">
        <f>SUM($D127:AC127)*IF($B127="Operacional",IFERROR(VLOOKUP($C127,SN_UGC,28,0),0),1)</f>
        <v>0</v>
      </c>
      <c r="GE127" s="140">
        <f>SUM($D127:AD127)*IF($B127="Operacional",IFERROR(VLOOKUP($C127,SN_UGC,28,0),0),1)</f>
        <v>0</v>
      </c>
      <c r="GF127" s="140">
        <f>SUM($D127:AE127)*IF($B127="Operacional",IFERROR(VLOOKUP($C127,SN_UGC,28,0),0),1)</f>
        <v>0</v>
      </c>
      <c r="GG127" s="140">
        <f>SUM($D127:AF127)*IF($B127="Operacional",IFERROR(VLOOKUP($C127,SN_UGC,28,0),0),1)</f>
        <v>0</v>
      </c>
      <c r="GH127" s="140">
        <f>SUM($D127:AG127)*IF($B127="Operacional",IFERROR(VLOOKUP($C127,SN_UGC,28,0),0),1)</f>
        <v>0</v>
      </c>
      <c r="GI127" s="141">
        <f t="shared" ref="GI127:HL127" si="642">FE127*$AH127*$AL127</f>
        <v>0</v>
      </c>
      <c r="GJ127" s="141">
        <f t="shared" si="642"/>
        <v>0</v>
      </c>
      <c r="GK127" s="141">
        <f t="shared" si="642"/>
        <v>0</v>
      </c>
      <c r="GL127" s="141">
        <f t="shared" si="642"/>
        <v>0</v>
      </c>
      <c r="GM127" s="141">
        <f t="shared" si="642"/>
        <v>0</v>
      </c>
      <c r="GN127" s="141">
        <f t="shared" si="642"/>
        <v>0</v>
      </c>
      <c r="GO127" s="141">
        <f t="shared" si="642"/>
        <v>0</v>
      </c>
      <c r="GP127" s="141">
        <f t="shared" si="642"/>
        <v>0</v>
      </c>
      <c r="GQ127" s="141">
        <f t="shared" si="642"/>
        <v>0</v>
      </c>
      <c r="GR127" s="141">
        <f t="shared" si="642"/>
        <v>0</v>
      </c>
      <c r="GS127" s="141">
        <f t="shared" si="642"/>
        <v>0</v>
      </c>
      <c r="GT127" s="141">
        <f t="shared" si="642"/>
        <v>0</v>
      </c>
      <c r="GU127" s="141">
        <f t="shared" si="642"/>
        <v>0</v>
      </c>
      <c r="GV127" s="141">
        <f t="shared" si="642"/>
        <v>0</v>
      </c>
      <c r="GW127" s="141">
        <f t="shared" si="642"/>
        <v>0</v>
      </c>
      <c r="GX127" s="141">
        <f t="shared" si="642"/>
        <v>0</v>
      </c>
      <c r="GY127" s="141">
        <f t="shared" si="642"/>
        <v>0</v>
      </c>
      <c r="GZ127" s="141">
        <f t="shared" si="642"/>
        <v>0</v>
      </c>
      <c r="HA127" s="141">
        <f t="shared" si="642"/>
        <v>0</v>
      </c>
      <c r="HB127" s="141">
        <f t="shared" si="642"/>
        <v>0</v>
      </c>
      <c r="HC127" s="141">
        <f t="shared" si="642"/>
        <v>0</v>
      </c>
      <c r="HD127" s="141">
        <f t="shared" si="642"/>
        <v>0</v>
      </c>
      <c r="HE127" s="141">
        <f t="shared" si="642"/>
        <v>0</v>
      </c>
      <c r="HF127" s="141">
        <f t="shared" si="642"/>
        <v>0</v>
      </c>
      <c r="HG127" s="141">
        <f t="shared" si="642"/>
        <v>0</v>
      </c>
      <c r="HH127" s="141">
        <f t="shared" si="642"/>
        <v>0</v>
      </c>
      <c r="HI127" s="141">
        <f t="shared" si="642"/>
        <v>0</v>
      </c>
      <c r="HJ127" s="141">
        <f t="shared" si="642"/>
        <v>0</v>
      </c>
      <c r="HK127" s="141">
        <f t="shared" si="642"/>
        <v>0</v>
      </c>
      <c r="HL127" s="141">
        <f t="shared" si="642"/>
        <v>0</v>
      </c>
      <c r="HM127" s="142">
        <f t="shared" ref="HM127:IP127" si="643">IF(ISBLANK($A127),,FE127*($AH127-($AH127*$AJ127))/$AI127)</f>
        <v>0</v>
      </c>
      <c r="HN127" s="142">
        <f t="shared" si="643"/>
        <v>0</v>
      </c>
      <c r="HO127" s="142">
        <f t="shared" si="643"/>
        <v>0</v>
      </c>
      <c r="HP127" s="142">
        <f t="shared" si="643"/>
        <v>0</v>
      </c>
      <c r="HQ127" s="142">
        <f t="shared" si="643"/>
        <v>0</v>
      </c>
      <c r="HR127" s="142">
        <f t="shared" si="643"/>
        <v>0</v>
      </c>
      <c r="HS127" s="142">
        <f t="shared" si="643"/>
        <v>0</v>
      </c>
      <c r="HT127" s="142">
        <f t="shared" si="643"/>
        <v>0</v>
      </c>
      <c r="HU127" s="142">
        <f t="shared" si="643"/>
        <v>0</v>
      </c>
      <c r="HV127" s="142">
        <f t="shared" si="643"/>
        <v>0</v>
      </c>
      <c r="HW127" s="142">
        <f t="shared" si="643"/>
        <v>0</v>
      </c>
      <c r="HX127" s="142">
        <f t="shared" si="643"/>
        <v>0</v>
      </c>
      <c r="HY127" s="142">
        <f t="shared" si="643"/>
        <v>0</v>
      </c>
      <c r="HZ127" s="142">
        <f t="shared" si="643"/>
        <v>0</v>
      </c>
      <c r="IA127" s="142">
        <f t="shared" si="643"/>
        <v>0</v>
      </c>
      <c r="IB127" s="142">
        <f t="shared" si="643"/>
        <v>0</v>
      </c>
      <c r="IC127" s="142">
        <f t="shared" si="643"/>
        <v>0</v>
      </c>
      <c r="ID127" s="142">
        <f t="shared" si="643"/>
        <v>0</v>
      </c>
      <c r="IE127" s="142">
        <f t="shared" si="643"/>
        <v>0</v>
      </c>
      <c r="IF127" s="142">
        <f t="shared" si="643"/>
        <v>0</v>
      </c>
      <c r="IG127" s="142">
        <f t="shared" si="643"/>
        <v>0</v>
      </c>
      <c r="IH127" s="142">
        <f t="shared" si="643"/>
        <v>0</v>
      </c>
      <c r="II127" s="142">
        <f t="shared" si="643"/>
        <v>0</v>
      </c>
      <c r="IJ127" s="142">
        <f t="shared" si="643"/>
        <v>0</v>
      </c>
      <c r="IK127" s="142">
        <f t="shared" si="643"/>
        <v>0</v>
      </c>
      <c r="IL127" s="142">
        <f t="shared" si="643"/>
        <v>0</v>
      </c>
      <c r="IM127" s="142">
        <f t="shared" si="643"/>
        <v>0</v>
      </c>
      <c r="IN127" s="142">
        <f t="shared" si="643"/>
        <v>0</v>
      </c>
      <c r="IO127" s="142">
        <f t="shared" si="643"/>
        <v>0</v>
      </c>
      <c r="IP127" s="142">
        <f t="shared" si="643"/>
        <v>0</v>
      </c>
      <c r="IQ127" s="141">
        <f>IF(ISBLANK($A127),,IF($AN127="Não",0,(SUM($AO127:AO127)*$AH127)-SUM($HM127:HM127)-SUM($CW127:CW127)))</f>
        <v>0</v>
      </c>
      <c r="IR127" s="141">
        <f>IF(ISBLANK($A127),,IF($AN127="Não",0,(SUM($AO127:AP127)*$AH127)-SUM($HM127:HN127)-SUM($CW127:CX127)))</f>
        <v>0</v>
      </c>
      <c r="IS127" s="141">
        <f>IF(ISBLANK($A127),,IF($AN127="Não",0,(SUM($AO127:AQ127)*$AH127)-SUM($HM127:HO127)-SUM($CW127:CY127)))</f>
        <v>0</v>
      </c>
      <c r="IT127" s="141">
        <f>IF(ISBLANK($A127),,IF($AN127="Não",0,(SUM($AO127:AR127)*$AH127)-SUM($HM127:HP127)-SUM($CW127:CZ127)))</f>
        <v>0</v>
      </c>
      <c r="IU127" s="141">
        <f>IF(ISBLANK($A127),,IF($AN127="Não",0,(SUM($AO127:AS127)*$AH127)-SUM($HM127:HQ127)-SUM($CW127:DA127)))</f>
        <v>0</v>
      </c>
      <c r="IV127" s="141">
        <f>IF(ISBLANK($A127),,IF($AN127="Não",0,(SUM($AO127:AT127)*$AH127)-SUM($HM127:HR127)-SUM($CW127:DB127)))</f>
        <v>0</v>
      </c>
      <c r="IW127" s="141">
        <f>IF(ISBLANK($A127),,IF($AN127="Não",0,(SUM($AO127:AU127)*$AH127)-SUM($HM127:HS127)-SUM($CW127:DC127)))</f>
        <v>0</v>
      </c>
      <c r="IX127" s="141">
        <f>IF(ISBLANK($A127),,IF($AN127="Não",0,(SUM($AO127:AV127)*$AH127)-SUM($HM127:HT127)-SUM($CW127:DD127)))</f>
        <v>0</v>
      </c>
      <c r="IY127" s="141">
        <f>IF(ISBLANK($A127),,IF($AN127="Não",0,(SUM($AO127:AW127)*$AH127)-SUM($HM127:HU127)-SUM($CW127:DE127)))</f>
        <v>0</v>
      </c>
      <c r="IZ127" s="141">
        <f>IF(ISBLANK($A127),,IF($AN127="Não",0,(SUM($AO127:AX127)*$AH127)-SUM($HM127:HV127)-SUM($CW127:DF127)))</f>
        <v>0</v>
      </c>
      <c r="JA127" s="141">
        <f>IF(ISBLANK($A127),,IF($AN127="Não",0,(SUM($AO127:AY127)*$AH127)-SUM($HM127:HW127)-SUM($CW127:DG127)))</f>
        <v>0</v>
      </c>
      <c r="JB127" s="141">
        <f>IF(ISBLANK($A127),,IF($AN127="Não",0,(SUM($AO127:AZ127)*$AH127)-SUM($HM127:HX127)-SUM($CW127:DH127)))</f>
        <v>0</v>
      </c>
      <c r="JC127" s="141">
        <f>IF(ISBLANK($A127),,IF($AN127="Não",0,(SUM($AO127:BA127)*$AH127)-SUM($HM127:HY127)-SUM($CW127:DI127)))</f>
        <v>0</v>
      </c>
      <c r="JD127" s="141">
        <f>IF(ISBLANK($A127),,IF($AN127="Não",0,(SUM($AO127:BB127)*$AH127)-SUM($HM127:HZ127)-SUM($CW127:DJ127)))</f>
        <v>0</v>
      </c>
      <c r="JE127" s="141">
        <f>IF(ISBLANK($A127),,IF($AN127="Não",0,(SUM($AO127:BC127)*$AH127)-SUM($HM127:IA127)-SUM($CW127:DK127)))</f>
        <v>0</v>
      </c>
      <c r="JF127" s="141">
        <f>IF(ISBLANK($A127),,IF($AN127="Não",0,(SUM($AO127:BD127)*$AH127)-SUM($HM127:IB127)-SUM($CW127:DL127)))</f>
        <v>0</v>
      </c>
      <c r="JG127" s="141">
        <f>IF(ISBLANK($A127),,IF($AN127="Não",0,(SUM($AO127:BE127)*$AH127)-SUM($HM127:IC127)-SUM($CW127:DM127)))</f>
        <v>0</v>
      </c>
      <c r="JH127" s="141">
        <f>IF(ISBLANK($A127),,IF($AN127="Não",0,(SUM($AO127:BF127)*$AH127)-SUM($HM127:ID127)-SUM($CW127:DN127)))</f>
        <v>0</v>
      </c>
      <c r="JI127" s="141">
        <f>IF(ISBLANK($A127),,IF($AN127="Não",0,(SUM($AO127:BG127)*$AH127)-SUM($HM127:IE127)-SUM($CW127:DO127)))</f>
        <v>0</v>
      </c>
      <c r="JJ127" s="141">
        <f>IF(ISBLANK($A127),,IF($AN127="Não",0,(SUM($AO127:BH127)*$AH127)-SUM($HM127:IF127)-SUM($CW127:DP127)))</f>
        <v>0</v>
      </c>
      <c r="JK127" s="141">
        <f>IF(ISBLANK($A127),,IF($AN127="Não",0,(SUM($AO127:BI127)*$AH127)-SUM($HM127:IG127)-SUM($CW127:DQ127)))</f>
        <v>0</v>
      </c>
      <c r="JL127" s="141">
        <f>IF(ISBLANK($A127),,IF($AN127="Não",0,(SUM($AO127:BJ127)*$AH127)-SUM($HM127:IH127)-SUM($CW127:DR127)))</f>
        <v>0</v>
      </c>
      <c r="JM127" s="141">
        <f>IF(ISBLANK($A127),,IF($AN127="Não",0,(SUM($AO127:BK127)*$AH127)-SUM($HM127:II127)-SUM($CW127:DS127)))</f>
        <v>0</v>
      </c>
      <c r="JN127" s="141">
        <f>IF(ISBLANK($A127),,IF($AN127="Não",0,(SUM($AO127:BL127)*$AH127)-SUM($HM127:IJ127)-SUM($CW127:DT127)))</f>
        <v>0</v>
      </c>
      <c r="JO127" s="141">
        <f>IF(ISBLANK($A127),,IF($AN127="Não",0,(SUM($AO127:BM127)*$AH127)-SUM($HM127:IK127)-SUM($CW127:DU127)))</f>
        <v>0</v>
      </c>
      <c r="JP127" s="141">
        <f>IF(ISBLANK($A127),,IF($AN127="Não",0,(SUM($AO127:BN127)*$AH127)-SUM($HM127:IL127)-SUM($CW127:DV127)))</f>
        <v>0</v>
      </c>
      <c r="JQ127" s="141">
        <f>IF(ISBLANK($A127),,IF($AN127="Não",0,(SUM($AO127:BO127)*$AH127)-SUM($HM127:IM127)-SUM($CW127:DW127)))</f>
        <v>0</v>
      </c>
      <c r="JR127" s="141">
        <f>IF(ISBLANK($A127),,IF($AN127="Não",0,(SUM($AO127:BP127)*$AH127)-SUM($HM127:IN127)-SUM($CW127:DX127)))</f>
        <v>0</v>
      </c>
      <c r="JS127" s="141">
        <f>IF(ISBLANK($A127),,IF($AN127="Não",0,(SUM($AO127:BQ127)*$AH127)-SUM($HM127:IO127)-SUM($CW127:DY127)))</f>
        <v>0</v>
      </c>
      <c r="JT127" s="141">
        <f>IF(ISBLANK($A127),,IF($AN127="Não",0,(SUM($AO127:BR127)*$AH127)-SUM($HM127:IP127)-SUM($CW127:DZ127)))</f>
        <v>0</v>
      </c>
    </row>
    <row r="128" spans="1:280" ht="15.75" customHeight="1">
      <c r="A128" s="129"/>
      <c r="B128" s="129"/>
      <c r="C128" s="138"/>
      <c r="D128" s="139"/>
      <c r="E128" s="139"/>
      <c r="F128" s="139"/>
      <c r="G128" s="139"/>
      <c r="H128" s="139"/>
      <c r="I128" s="139"/>
      <c r="J128" s="139"/>
      <c r="K128" s="139"/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607">
        <f t="shared" si="544"/>
        <v>0</v>
      </c>
      <c r="AI128" s="608">
        <f t="shared" si="545"/>
        <v>0</v>
      </c>
      <c r="AJ128" s="609">
        <f t="shared" si="546"/>
        <v>0</v>
      </c>
      <c r="AK128" s="610" t="str">
        <f t="shared" si="547"/>
        <v/>
      </c>
      <c r="AL128" s="609">
        <f t="shared" si="548"/>
        <v>0</v>
      </c>
      <c r="AM128" s="611" t="str">
        <f t="shared" si="549"/>
        <v/>
      </c>
      <c r="AN128" s="611" t="str">
        <f t="shared" si="550"/>
        <v/>
      </c>
      <c r="AO128" s="140">
        <f t="array" ref="AO128">IF(ISBLANK($A128),0,IF(OR(AO$5-$AI128&lt;=0,$AM128="Não"),D128,D128+INDEX($AO$6:$BR$176,ROW()-5,COLUMN()-40-$AI128)))*IF($B128="Operacional",IFERROR(VLOOKUP($C128,SN_UGC,28,0),0),1)</f>
        <v>0</v>
      </c>
      <c r="AP128" s="140">
        <f t="array" ref="AP128">IF(ISBLANK($A128),0,IF(OR(AP$5-$AI128&lt;=0,$AM128="Não"),E128,E128+INDEX($AO$6:$BR$176,ROW()-5,COLUMN()-40-$AI128)))*IF($B128="Operacional",IFERROR(VLOOKUP($C128,SN_UGC,28,0),0),1)</f>
        <v>0</v>
      </c>
      <c r="AQ128" s="140">
        <f t="array" ref="AQ128">IF(ISBLANK($A128),0,IF(OR(AQ$5-$AI128&lt;=0,$AM128="Não"),F128,F128+INDEX($AO$6:$BR$176,ROW()-5,COLUMN()-40-$AI128)))*IF($B128="Operacional",IFERROR(VLOOKUP($C128,SN_UGC,28,0),0),1)</f>
        <v>0</v>
      </c>
      <c r="AR128" s="140">
        <f t="array" ref="AR128">IF(ISBLANK($A128),0,IF(OR(AR$5-$AI128&lt;=0,$AM128="Não"),G128,G128+INDEX($AO$6:$BR$176,ROW()-5,COLUMN()-40-$AI128)))*IF($B128="Operacional",IFERROR(VLOOKUP($C128,SN_UGC,28,0),0),1)</f>
        <v>0</v>
      </c>
      <c r="AS128" s="140">
        <f t="array" ref="AS128">IF(ISBLANK($A128),0,IF(OR(AS$5-$AI128&lt;=0,$AM128="Não"),H128,H128+INDEX($AO$6:$BR$176,ROW()-5,COLUMN()-40-$AI128)))*IF($B128="Operacional",IFERROR(VLOOKUP($C128,SN_UGC,28,0),0),1)</f>
        <v>0</v>
      </c>
      <c r="AT128" s="140">
        <f t="array" ref="AT128">IF(ISBLANK($A128),0,IF(OR(AT$5-$AI128&lt;=0,$AM128="Não"),I128,I128+INDEX($AO$6:$BR$176,ROW()-5,COLUMN()-40-$AI128)))*IF($B128="Operacional",IFERROR(VLOOKUP($C128,SN_UGC,28,0),0),1)</f>
        <v>0</v>
      </c>
      <c r="AU128" s="140">
        <f t="array" ref="AU128">IF(ISBLANK($A128),0,IF(OR(AU$5-$AI128&lt;=0,$AM128="Não"),J128,J128+INDEX($AO$6:$BR$176,ROW()-5,COLUMN()-40-$AI128)))*IF($B128="Operacional",IFERROR(VLOOKUP($C128,SN_UGC,28,0),0),1)</f>
        <v>0</v>
      </c>
      <c r="AV128" s="140">
        <f t="array" ref="AV128">IF(ISBLANK($A128),0,IF(OR(AV$5-$AI128&lt;=0,$AM128="Não"),K128,K128+INDEX($AO$6:$BR$176,ROW()-5,COLUMN()-40-$AI128)))*IF($B128="Operacional",IFERROR(VLOOKUP($C128,SN_UGC,28,0),0),1)</f>
        <v>0</v>
      </c>
      <c r="AW128" s="140">
        <f t="array" ref="AW128">IF(ISBLANK($A128),0,IF(OR(AW$5-$AI128&lt;=0,$AM128="Não"),L128,L128+INDEX($AO$6:$BR$176,ROW()-5,COLUMN()-40-$AI128)))*IF($B128="Operacional",IFERROR(VLOOKUP($C128,SN_UGC,28,0),0),1)</f>
        <v>0</v>
      </c>
      <c r="AX128" s="140">
        <f t="array" ref="AX128">IF(ISBLANK($A128),0,IF(OR(AX$5-$AI128&lt;=0,$AM128="Não"),M128,M128+INDEX($AO$6:$BR$176,ROW()-5,COLUMN()-40-$AI128)))*IF($B128="Operacional",IFERROR(VLOOKUP($C128,SN_UGC,28,0),0),1)</f>
        <v>0</v>
      </c>
      <c r="AY128" s="140">
        <f t="array" ref="AY128">IF(ISBLANK($A128),0,IF(OR(AY$5-$AI128&lt;=0,$AM128="Não"),N128,N128+INDEX($AO$6:$BR$176,ROW()-5,COLUMN()-40-$AI128)))*IF($B128="Operacional",IFERROR(VLOOKUP($C128,SN_UGC,28,0),0),1)</f>
        <v>0</v>
      </c>
      <c r="AZ128" s="140">
        <f t="array" ref="AZ128">IF(ISBLANK($A128),0,IF(OR(AZ$5-$AI128&lt;=0,$AM128="Não"),O128,O128+INDEX($AO$6:$BR$176,ROW()-5,COLUMN()-40-$AI128)))*IF($B128="Operacional",IFERROR(VLOOKUP($C128,SN_UGC,28,0),0),1)</f>
        <v>0</v>
      </c>
      <c r="BA128" s="140">
        <f t="array" ref="BA128">IF(ISBLANK($A128),0,IF(OR(BA$5-$AI128&lt;=0,$AM128="Não"),P128,P128+INDEX($AO$6:$BR$176,ROW()-5,COLUMN()-40-$AI128)))*IF($B128="Operacional",IFERROR(VLOOKUP($C128,SN_UGC,28,0),0),1)</f>
        <v>0</v>
      </c>
      <c r="BB128" s="140">
        <f t="array" ref="BB128">IF(ISBLANK($A128),0,IF(OR(BB$5-$AI128&lt;=0,$AM128="Não"),Q128,Q128+INDEX($AO$6:$BR$176,ROW()-5,COLUMN()-40-$AI128)))*IF($B128="Operacional",IFERROR(VLOOKUP($C128,SN_UGC,28,0),0),1)</f>
        <v>0</v>
      </c>
      <c r="BC128" s="140">
        <f t="array" ref="BC128">IF(ISBLANK($A128),0,IF(OR(BC$5-$AI128&lt;=0,$AM128="Não"),R128,R128+INDEX($AO$6:$BR$176,ROW()-5,COLUMN()-40-$AI128)))*IF($B128="Operacional",IFERROR(VLOOKUP($C128,SN_UGC,28,0),0),1)</f>
        <v>0</v>
      </c>
      <c r="BD128" s="140">
        <f t="array" ref="BD128">IF(ISBLANK($A128),0,IF(OR(BD$5-$AI128&lt;=0,$AM128="Não"),S128,S128+INDEX($AO$6:$BR$176,ROW()-5,COLUMN()-40-$AI128)))*IF($B128="Operacional",IFERROR(VLOOKUP($C128,SN_UGC,28,0),0),1)</f>
        <v>0</v>
      </c>
      <c r="BE128" s="140">
        <f t="array" ref="BE128">IF(ISBLANK($A128),0,IF(OR(BE$5-$AI128&lt;=0,$AM128="Não"),T128,T128+INDEX($AO$6:$BR$176,ROW()-5,COLUMN()-40-$AI128)))*IF($B128="Operacional",IFERROR(VLOOKUP($C128,SN_UGC,28,0),0),1)</f>
        <v>0</v>
      </c>
      <c r="BF128" s="140">
        <f t="array" ref="BF128">IF(ISBLANK($A128),0,IF(OR(BF$5-$AI128&lt;=0,$AM128="Não"),U128,U128+INDEX($AO$6:$BR$176,ROW()-5,COLUMN()-40-$AI128)))*IF($B128="Operacional",IFERROR(VLOOKUP($C128,SN_UGC,28,0),0),1)</f>
        <v>0</v>
      </c>
      <c r="BG128" s="140">
        <f t="array" ref="BG128">IF(ISBLANK($A128),0,IF(OR(BG$5-$AI128&lt;=0,$AM128="Não"),V128,V128+INDEX($AO$6:$BR$176,ROW()-5,COLUMN()-40-$AI128)))*IF($B128="Operacional",IFERROR(VLOOKUP($C128,SN_UGC,28,0),0),1)</f>
        <v>0</v>
      </c>
      <c r="BH128" s="140">
        <f t="array" ref="BH128">IF(ISBLANK($A128),0,IF(OR(BH$5-$AI128&lt;=0,$AM128="Não"),W128,W128+INDEX($AO$6:$BR$176,ROW()-5,COLUMN()-40-$AI128)))*IF($B128="Operacional",IFERROR(VLOOKUP($C128,SN_UGC,28,0),0),1)</f>
        <v>0</v>
      </c>
      <c r="BI128" s="140">
        <f t="array" ref="BI128">IF(ISBLANK($A128),0,IF(OR(BI$5-$AI128&lt;=0,$AM128="Não"),X128,X128+INDEX($AO$6:$BR$176,ROW()-5,COLUMN()-40-$AI128)))*IF($B128="Operacional",IFERROR(VLOOKUP($C128,SN_UGC,28,0),0),1)</f>
        <v>0</v>
      </c>
      <c r="BJ128" s="140">
        <f t="array" ref="BJ128">IF(ISBLANK($A128),0,IF(OR(BJ$5-$AI128&lt;=0,$AM128="Não"),Y128,Y128+INDEX($AO$6:$BR$176,ROW()-5,COLUMN()-40-$AI128)))*IF($B128="Operacional",IFERROR(VLOOKUP($C128,SN_UGC,28,0),0),1)</f>
        <v>0</v>
      </c>
      <c r="BK128" s="140">
        <f t="array" ref="BK128">IF(ISBLANK($A128),0,IF(OR(BK$5-$AI128&lt;=0,$AM128="Não"),Z128,Z128+INDEX($AO$6:$BR$176,ROW()-5,COLUMN()-40-$AI128)))*IF($B128="Operacional",IFERROR(VLOOKUP($C128,SN_UGC,28,0),0),1)</f>
        <v>0</v>
      </c>
      <c r="BL128" s="140">
        <f t="array" ref="BL128">IF(ISBLANK($A128),0,IF(OR(BL$5-$AI128&lt;=0,$AM128="Não"),AA128,AA128+INDEX($AO$6:$BR$176,ROW()-5,COLUMN()-40-$AI128)))*IF($B128="Operacional",IFERROR(VLOOKUP($C128,SN_UGC,28,0),0),1)</f>
        <v>0</v>
      </c>
      <c r="BM128" s="140">
        <f t="array" ref="BM128">IF(ISBLANK($A128),0,IF(OR(BM$5-$AI128&lt;=0,$AM128="Não"),AB128,AB128+INDEX($AO$6:$BR$176,ROW()-5,COLUMN()-40-$AI128)))*IF($B128="Operacional",IFERROR(VLOOKUP($C128,SN_UGC,28,0),0),1)</f>
        <v>0</v>
      </c>
      <c r="BN128" s="140">
        <f t="array" ref="BN128">IF(ISBLANK($A128),0,IF(OR(BN$5-$AI128&lt;=0,$AM128="Não"),AC128,AC128+INDEX($AO$6:$BR$176,ROW()-5,COLUMN()-40-$AI128)))*IF($B128="Operacional",IFERROR(VLOOKUP($C128,SN_UGC,28,0),0),1)</f>
        <v>0</v>
      </c>
      <c r="BO128" s="140">
        <f t="array" ref="BO128">IF(ISBLANK($A128),0,IF(OR(BO$5-$AI128&lt;=0,$AM128="Não"),AD128,AD128+INDEX($AO$6:$BR$176,ROW()-5,COLUMN()-40-$AI128)))*IF($B128="Operacional",IFERROR(VLOOKUP($C128,SN_UGC,28,0),0),1)</f>
        <v>0</v>
      </c>
      <c r="BP128" s="140">
        <f t="array" ref="BP128">IF(ISBLANK($A128),0,IF(OR(BP$5-$AI128&lt;=0,$AM128="Não"),AE128,AE128+INDEX($AO$6:$BR$176,ROW()-5,COLUMN()-40-$AI128)))*IF($B128="Operacional",IFERROR(VLOOKUP($C128,SN_UGC,28,0),0),1)</f>
        <v>0</v>
      </c>
      <c r="BQ128" s="140">
        <f t="array" ref="BQ128">IF(ISBLANK($A128),0,IF(OR(BQ$5-$AI128&lt;=0,$AM128="Não"),AF128,AF128+INDEX($AO$6:$BR$176,ROW()-5,COLUMN()-40-$AI128)))*IF($B128="Operacional",IFERROR(VLOOKUP($C128,SN_UGC,28,0),0),1)</f>
        <v>0</v>
      </c>
      <c r="BR128" s="140">
        <f t="array" ref="BR128">IF(ISBLANK($A128),0,IF(OR(BR$5-$AI128&lt;=0,$AM128="Não"),AG128,AG128+INDEX($AO$6:$BR$176,ROW()-5,COLUMN()-40-$AI128)))*IF($B128="Operacional",IFERROR(VLOOKUP($C128,SN_UGC,28,0),0),1)</f>
        <v>0</v>
      </c>
      <c r="BS128" s="141">
        <f t="shared" ref="BS128:CV128" si="644">IF(ISBLANK($A128),0,$AH128*AO128)</f>
        <v>0</v>
      </c>
      <c r="BT128" s="141">
        <f t="shared" si="644"/>
        <v>0</v>
      </c>
      <c r="BU128" s="141">
        <f t="shared" si="644"/>
        <v>0</v>
      </c>
      <c r="BV128" s="141">
        <f t="shared" si="644"/>
        <v>0</v>
      </c>
      <c r="BW128" s="141">
        <f t="shared" si="644"/>
        <v>0</v>
      </c>
      <c r="BX128" s="141">
        <f t="shared" si="644"/>
        <v>0</v>
      </c>
      <c r="BY128" s="141">
        <f t="shared" si="644"/>
        <v>0</v>
      </c>
      <c r="BZ128" s="141">
        <f t="shared" si="644"/>
        <v>0</v>
      </c>
      <c r="CA128" s="141">
        <f t="shared" si="644"/>
        <v>0</v>
      </c>
      <c r="CB128" s="141">
        <f t="shared" si="644"/>
        <v>0</v>
      </c>
      <c r="CC128" s="141">
        <f t="shared" si="644"/>
        <v>0</v>
      </c>
      <c r="CD128" s="141">
        <f t="shared" si="644"/>
        <v>0</v>
      </c>
      <c r="CE128" s="141">
        <f t="shared" si="644"/>
        <v>0</v>
      </c>
      <c r="CF128" s="141">
        <f t="shared" si="644"/>
        <v>0</v>
      </c>
      <c r="CG128" s="141">
        <f t="shared" si="644"/>
        <v>0</v>
      </c>
      <c r="CH128" s="141">
        <f t="shared" si="644"/>
        <v>0</v>
      </c>
      <c r="CI128" s="141">
        <f t="shared" si="644"/>
        <v>0</v>
      </c>
      <c r="CJ128" s="141">
        <f t="shared" si="644"/>
        <v>0</v>
      </c>
      <c r="CK128" s="141">
        <f t="shared" si="644"/>
        <v>0</v>
      </c>
      <c r="CL128" s="141">
        <f t="shared" si="644"/>
        <v>0</v>
      </c>
      <c r="CM128" s="141">
        <f t="shared" si="644"/>
        <v>0</v>
      </c>
      <c r="CN128" s="141">
        <f t="shared" si="644"/>
        <v>0</v>
      </c>
      <c r="CO128" s="141">
        <f t="shared" si="644"/>
        <v>0</v>
      </c>
      <c r="CP128" s="141">
        <f t="shared" si="644"/>
        <v>0</v>
      </c>
      <c r="CQ128" s="141">
        <f t="shared" si="644"/>
        <v>0</v>
      </c>
      <c r="CR128" s="141">
        <f t="shared" si="644"/>
        <v>0</v>
      </c>
      <c r="CS128" s="141">
        <f t="shared" si="644"/>
        <v>0</v>
      </c>
      <c r="CT128" s="141">
        <f t="shared" si="644"/>
        <v>0</v>
      </c>
      <c r="CU128" s="141">
        <f t="shared" si="644"/>
        <v>0</v>
      </c>
      <c r="CV128" s="141">
        <f t="shared" si="644"/>
        <v>0</v>
      </c>
      <c r="CW128" s="142">
        <f t="shared" ref="CW128:DZ128" si="645">EA128*$AH128*$AJ128</f>
        <v>0</v>
      </c>
      <c r="CX128" s="142">
        <f t="shared" si="645"/>
        <v>0</v>
      </c>
      <c r="CY128" s="142">
        <f t="shared" si="645"/>
        <v>0</v>
      </c>
      <c r="CZ128" s="142">
        <f t="shared" si="645"/>
        <v>0</v>
      </c>
      <c r="DA128" s="142">
        <f t="shared" si="645"/>
        <v>0</v>
      </c>
      <c r="DB128" s="142">
        <f t="shared" si="645"/>
        <v>0</v>
      </c>
      <c r="DC128" s="142">
        <f t="shared" si="645"/>
        <v>0</v>
      </c>
      <c r="DD128" s="142">
        <f t="shared" si="645"/>
        <v>0</v>
      </c>
      <c r="DE128" s="142">
        <f t="shared" si="645"/>
        <v>0</v>
      </c>
      <c r="DF128" s="142">
        <f t="shared" si="645"/>
        <v>0</v>
      </c>
      <c r="DG128" s="142">
        <f t="shared" si="645"/>
        <v>0</v>
      </c>
      <c r="DH128" s="142">
        <f t="shared" si="645"/>
        <v>0</v>
      </c>
      <c r="DI128" s="142">
        <f t="shared" si="645"/>
        <v>0</v>
      </c>
      <c r="DJ128" s="142">
        <f t="shared" si="645"/>
        <v>0</v>
      </c>
      <c r="DK128" s="142">
        <f t="shared" si="645"/>
        <v>0</v>
      </c>
      <c r="DL128" s="142">
        <f t="shared" si="645"/>
        <v>0</v>
      </c>
      <c r="DM128" s="142">
        <f t="shared" si="645"/>
        <v>0</v>
      </c>
      <c r="DN128" s="142">
        <f t="shared" si="645"/>
        <v>0</v>
      </c>
      <c r="DO128" s="142">
        <f t="shared" si="645"/>
        <v>0</v>
      </c>
      <c r="DP128" s="142">
        <f t="shared" si="645"/>
        <v>0</v>
      </c>
      <c r="DQ128" s="142">
        <f t="shared" si="645"/>
        <v>0</v>
      </c>
      <c r="DR128" s="142">
        <f t="shared" si="645"/>
        <v>0</v>
      </c>
      <c r="DS128" s="142">
        <f t="shared" si="645"/>
        <v>0</v>
      </c>
      <c r="DT128" s="142">
        <f t="shared" si="645"/>
        <v>0</v>
      </c>
      <c r="DU128" s="142">
        <f t="shared" si="645"/>
        <v>0</v>
      </c>
      <c r="DV128" s="142">
        <f t="shared" si="645"/>
        <v>0</v>
      </c>
      <c r="DW128" s="142">
        <f t="shared" si="645"/>
        <v>0</v>
      </c>
      <c r="DX128" s="142">
        <f t="shared" si="645"/>
        <v>0</v>
      </c>
      <c r="DY128" s="142">
        <f t="shared" si="645"/>
        <v>0</v>
      </c>
      <c r="DZ128" s="142">
        <f t="shared" si="645"/>
        <v>0</v>
      </c>
      <c r="EA128" s="143">
        <f t="shared" si="504"/>
        <v>0</v>
      </c>
      <c r="EB128" s="143">
        <f t="shared" si="505"/>
        <v>0</v>
      </c>
      <c r="EC128" s="143">
        <f t="shared" si="506"/>
        <v>0</v>
      </c>
      <c r="ED128" s="143">
        <f t="shared" si="507"/>
        <v>0</v>
      </c>
      <c r="EE128" s="143">
        <f t="shared" si="508"/>
        <v>0</v>
      </c>
      <c r="EF128" s="143">
        <f t="shared" si="509"/>
        <v>0</v>
      </c>
      <c r="EG128" s="143">
        <f t="shared" si="510"/>
        <v>0</v>
      </c>
      <c r="EH128" s="143">
        <f t="shared" si="511"/>
        <v>0</v>
      </c>
      <c r="EI128" s="143">
        <f t="shared" si="512"/>
        <v>0</v>
      </c>
      <c r="EJ128" s="143">
        <f t="shared" si="513"/>
        <v>0</v>
      </c>
      <c r="EK128" s="143">
        <f t="shared" si="514"/>
        <v>0</v>
      </c>
      <c r="EL128" s="143">
        <f t="shared" si="515"/>
        <v>0</v>
      </c>
      <c r="EM128" s="143">
        <f t="shared" si="516"/>
        <v>0</v>
      </c>
      <c r="EN128" s="143">
        <f t="shared" si="517"/>
        <v>0</v>
      </c>
      <c r="EO128" s="143">
        <f t="shared" si="518"/>
        <v>0</v>
      </c>
      <c r="EP128" s="143">
        <f t="shared" si="519"/>
        <v>0</v>
      </c>
      <c r="EQ128" s="143">
        <f t="shared" si="520"/>
        <v>0</v>
      </c>
      <c r="ER128" s="143">
        <f t="shared" si="521"/>
        <v>0</v>
      </c>
      <c r="ES128" s="143">
        <f t="shared" si="522"/>
        <v>0</v>
      </c>
      <c r="ET128" s="143">
        <f t="shared" si="523"/>
        <v>0</v>
      </c>
      <c r="EU128" s="143">
        <f t="shared" si="524"/>
        <v>0</v>
      </c>
      <c r="EV128" s="143">
        <f t="shared" si="525"/>
        <v>0</v>
      </c>
      <c r="EW128" s="143">
        <f t="shared" si="526"/>
        <v>0</v>
      </c>
      <c r="EX128" s="143">
        <f t="shared" si="527"/>
        <v>0</v>
      </c>
      <c r="EY128" s="143">
        <f t="shared" si="528"/>
        <v>0</v>
      </c>
      <c r="EZ128" s="143">
        <f t="shared" si="529"/>
        <v>0</v>
      </c>
      <c r="FA128" s="143">
        <f t="shared" si="530"/>
        <v>0</v>
      </c>
      <c r="FB128" s="143">
        <f t="shared" si="531"/>
        <v>0</v>
      </c>
      <c r="FC128" s="143">
        <f t="shared" si="532"/>
        <v>0</v>
      </c>
      <c r="FD128" s="143">
        <f t="shared" si="533"/>
        <v>0</v>
      </c>
      <c r="FE128" s="140">
        <f>SUM($D128:D128)*IF($B128="Operacional",IFERROR(VLOOKUP($C128,SN_UGC,28,0),0),1)</f>
        <v>0</v>
      </c>
      <c r="FF128" s="140">
        <f>SUM($D128:E128)*IF($B128="Operacional",IFERROR(VLOOKUP($C128,SN_UGC,28,0),0),1)</f>
        <v>0</v>
      </c>
      <c r="FG128" s="140">
        <f>SUM($D128:F128)*IF($B128="Operacional",IFERROR(VLOOKUP($C128,SN_UGC,28,0),0),1)</f>
        <v>0</v>
      </c>
      <c r="FH128" s="140">
        <f>SUM($D128:G128)*IF($B128="Operacional",IFERROR(VLOOKUP($C128,SN_UGC,28,0),0),1)</f>
        <v>0</v>
      </c>
      <c r="FI128" s="140">
        <f>SUM($D128:H128)*IF($B128="Operacional",IFERROR(VLOOKUP($C128,SN_UGC,28,0),0),1)</f>
        <v>0</v>
      </c>
      <c r="FJ128" s="140">
        <f>SUM($D128:I128)*IF($B128="Operacional",IFERROR(VLOOKUP($C128,SN_UGC,28,0),0),1)</f>
        <v>0</v>
      </c>
      <c r="FK128" s="140">
        <f>SUM($D128:J128)*IF($B128="Operacional",IFERROR(VLOOKUP($C128,SN_UGC,28,0),0),1)</f>
        <v>0</v>
      </c>
      <c r="FL128" s="140">
        <f>SUM($D128:K128)*IF($B128="Operacional",IFERROR(VLOOKUP($C128,SN_UGC,28,0),0),1)</f>
        <v>0</v>
      </c>
      <c r="FM128" s="140">
        <f>SUM($D128:L128)*IF($B128="Operacional",IFERROR(VLOOKUP($C128,SN_UGC,28,0),0),1)</f>
        <v>0</v>
      </c>
      <c r="FN128" s="140">
        <f>SUM($D128:M128)*IF($B128="Operacional",IFERROR(VLOOKUP($C128,SN_UGC,28,0),0),1)</f>
        <v>0</v>
      </c>
      <c r="FO128" s="140">
        <f>SUM($D128:N128)*IF($B128="Operacional",IFERROR(VLOOKUP($C128,SN_UGC,28,0),0),1)</f>
        <v>0</v>
      </c>
      <c r="FP128" s="140">
        <f>SUM($D128:O128)*IF($B128="Operacional",IFERROR(VLOOKUP($C128,SN_UGC,28,0),0),1)</f>
        <v>0</v>
      </c>
      <c r="FQ128" s="140">
        <f>SUM($D128:P128)*IF($B128="Operacional",IFERROR(VLOOKUP($C128,SN_UGC,28,0),0),1)</f>
        <v>0</v>
      </c>
      <c r="FR128" s="140">
        <f>SUM($D128:Q128)*IF($B128="Operacional",IFERROR(VLOOKUP($C128,SN_UGC,28,0),0),1)</f>
        <v>0</v>
      </c>
      <c r="FS128" s="140">
        <f>SUM($D128:R128)*IF($B128="Operacional",IFERROR(VLOOKUP($C128,SN_UGC,28,0),0),1)</f>
        <v>0</v>
      </c>
      <c r="FT128" s="140">
        <f>SUM($D128:S128)*IF($B128="Operacional",IFERROR(VLOOKUP($C128,SN_UGC,28,0),0),1)</f>
        <v>0</v>
      </c>
      <c r="FU128" s="140">
        <f>SUM($D128:T128)*IF($B128="Operacional",IFERROR(VLOOKUP($C128,SN_UGC,28,0),0),1)</f>
        <v>0</v>
      </c>
      <c r="FV128" s="140">
        <f>SUM($D128:U128)*IF($B128="Operacional",IFERROR(VLOOKUP($C128,SN_UGC,28,0),0),1)</f>
        <v>0</v>
      </c>
      <c r="FW128" s="140">
        <f>SUM($D128:V128)*IF($B128="Operacional",IFERROR(VLOOKUP($C128,SN_UGC,28,0),0),1)</f>
        <v>0</v>
      </c>
      <c r="FX128" s="140">
        <f>SUM($D128:W128)*IF($B128="Operacional",IFERROR(VLOOKUP($C128,SN_UGC,28,0),0),1)</f>
        <v>0</v>
      </c>
      <c r="FY128" s="140">
        <f>SUM($D128:X128)*IF($B128="Operacional",IFERROR(VLOOKUP($C128,SN_UGC,28,0),0),1)</f>
        <v>0</v>
      </c>
      <c r="FZ128" s="140">
        <f>SUM($D128:Y128)*IF($B128="Operacional",IFERROR(VLOOKUP($C128,SN_UGC,28,0),0),1)</f>
        <v>0</v>
      </c>
      <c r="GA128" s="140">
        <f>SUM($D128:Z128)*IF($B128="Operacional",IFERROR(VLOOKUP($C128,SN_UGC,28,0),0),1)</f>
        <v>0</v>
      </c>
      <c r="GB128" s="140">
        <f>SUM($D128:AA128)*IF($B128="Operacional",IFERROR(VLOOKUP($C128,SN_UGC,28,0),0),1)</f>
        <v>0</v>
      </c>
      <c r="GC128" s="140">
        <f>SUM($D128:AB128)*IF($B128="Operacional",IFERROR(VLOOKUP($C128,SN_UGC,28,0),0),1)</f>
        <v>0</v>
      </c>
      <c r="GD128" s="140">
        <f>SUM($D128:AC128)*IF($B128="Operacional",IFERROR(VLOOKUP($C128,SN_UGC,28,0),0),1)</f>
        <v>0</v>
      </c>
      <c r="GE128" s="140">
        <f>SUM($D128:AD128)*IF($B128="Operacional",IFERROR(VLOOKUP($C128,SN_UGC,28,0),0),1)</f>
        <v>0</v>
      </c>
      <c r="GF128" s="140">
        <f>SUM($D128:AE128)*IF($B128="Operacional",IFERROR(VLOOKUP($C128,SN_UGC,28,0),0),1)</f>
        <v>0</v>
      </c>
      <c r="GG128" s="140">
        <f>SUM($D128:AF128)*IF($B128="Operacional",IFERROR(VLOOKUP($C128,SN_UGC,28,0),0),1)</f>
        <v>0</v>
      </c>
      <c r="GH128" s="140">
        <f>SUM($D128:AG128)*IF($B128="Operacional",IFERROR(VLOOKUP($C128,SN_UGC,28,0),0),1)</f>
        <v>0</v>
      </c>
      <c r="GI128" s="141">
        <f t="shared" ref="GI128:HL128" si="646">FE128*$AH128*$AL128</f>
        <v>0</v>
      </c>
      <c r="GJ128" s="141">
        <f t="shared" si="646"/>
        <v>0</v>
      </c>
      <c r="GK128" s="141">
        <f t="shared" si="646"/>
        <v>0</v>
      </c>
      <c r="GL128" s="141">
        <f t="shared" si="646"/>
        <v>0</v>
      </c>
      <c r="GM128" s="141">
        <f t="shared" si="646"/>
        <v>0</v>
      </c>
      <c r="GN128" s="141">
        <f t="shared" si="646"/>
        <v>0</v>
      </c>
      <c r="GO128" s="141">
        <f t="shared" si="646"/>
        <v>0</v>
      </c>
      <c r="GP128" s="141">
        <f t="shared" si="646"/>
        <v>0</v>
      </c>
      <c r="GQ128" s="141">
        <f t="shared" si="646"/>
        <v>0</v>
      </c>
      <c r="GR128" s="141">
        <f t="shared" si="646"/>
        <v>0</v>
      </c>
      <c r="GS128" s="141">
        <f t="shared" si="646"/>
        <v>0</v>
      </c>
      <c r="GT128" s="141">
        <f t="shared" si="646"/>
        <v>0</v>
      </c>
      <c r="GU128" s="141">
        <f t="shared" si="646"/>
        <v>0</v>
      </c>
      <c r="GV128" s="141">
        <f t="shared" si="646"/>
        <v>0</v>
      </c>
      <c r="GW128" s="141">
        <f t="shared" si="646"/>
        <v>0</v>
      </c>
      <c r="GX128" s="141">
        <f t="shared" si="646"/>
        <v>0</v>
      </c>
      <c r="GY128" s="141">
        <f t="shared" si="646"/>
        <v>0</v>
      </c>
      <c r="GZ128" s="141">
        <f t="shared" si="646"/>
        <v>0</v>
      </c>
      <c r="HA128" s="141">
        <f t="shared" si="646"/>
        <v>0</v>
      </c>
      <c r="HB128" s="141">
        <f t="shared" si="646"/>
        <v>0</v>
      </c>
      <c r="HC128" s="141">
        <f t="shared" si="646"/>
        <v>0</v>
      </c>
      <c r="HD128" s="141">
        <f t="shared" si="646"/>
        <v>0</v>
      </c>
      <c r="HE128" s="141">
        <f t="shared" si="646"/>
        <v>0</v>
      </c>
      <c r="HF128" s="141">
        <f t="shared" si="646"/>
        <v>0</v>
      </c>
      <c r="HG128" s="141">
        <f t="shared" si="646"/>
        <v>0</v>
      </c>
      <c r="HH128" s="141">
        <f t="shared" si="646"/>
        <v>0</v>
      </c>
      <c r="HI128" s="141">
        <f t="shared" si="646"/>
        <v>0</v>
      </c>
      <c r="HJ128" s="141">
        <f t="shared" si="646"/>
        <v>0</v>
      </c>
      <c r="HK128" s="141">
        <f t="shared" si="646"/>
        <v>0</v>
      </c>
      <c r="HL128" s="141">
        <f t="shared" si="646"/>
        <v>0</v>
      </c>
      <c r="HM128" s="142">
        <f t="shared" ref="HM128:IP128" si="647">IF(ISBLANK($A128),,FE128*($AH128-($AH128*$AJ128))/$AI128)</f>
        <v>0</v>
      </c>
      <c r="HN128" s="142">
        <f t="shared" si="647"/>
        <v>0</v>
      </c>
      <c r="HO128" s="142">
        <f t="shared" si="647"/>
        <v>0</v>
      </c>
      <c r="HP128" s="142">
        <f t="shared" si="647"/>
        <v>0</v>
      </c>
      <c r="HQ128" s="142">
        <f t="shared" si="647"/>
        <v>0</v>
      </c>
      <c r="HR128" s="142">
        <f t="shared" si="647"/>
        <v>0</v>
      </c>
      <c r="HS128" s="142">
        <f t="shared" si="647"/>
        <v>0</v>
      </c>
      <c r="HT128" s="142">
        <f t="shared" si="647"/>
        <v>0</v>
      </c>
      <c r="HU128" s="142">
        <f t="shared" si="647"/>
        <v>0</v>
      </c>
      <c r="HV128" s="142">
        <f t="shared" si="647"/>
        <v>0</v>
      </c>
      <c r="HW128" s="142">
        <f t="shared" si="647"/>
        <v>0</v>
      </c>
      <c r="HX128" s="142">
        <f t="shared" si="647"/>
        <v>0</v>
      </c>
      <c r="HY128" s="142">
        <f t="shared" si="647"/>
        <v>0</v>
      </c>
      <c r="HZ128" s="142">
        <f t="shared" si="647"/>
        <v>0</v>
      </c>
      <c r="IA128" s="142">
        <f t="shared" si="647"/>
        <v>0</v>
      </c>
      <c r="IB128" s="142">
        <f t="shared" si="647"/>
        <v>0</v>
      </c>
      <c r="IC128" s="142">
        <f t="shared" si="647"/>
        <v>0</v>
      </c>
      <c r="ID128" s="142">
        <f t="shared" si="647"/>
        <v>0</v>
      </c>
      <c r="IE128" s="142">
        <f t="shared" si="647"/>
        <v>0</v>
      </c>
      <c r="IF128" s="142">
        <f t="shared" si="647"/>
        <v>0</v>
      </c>
      <c r="IG128" s="142">
        <f t="shared" si="647"/>
        <v>0</v>
      </c>
      <c r="IH128" s="142">
        <f t="shared" si="647"/>
        <v>0</v>
      </c>
      <c r="II128" s="142">
        <f t="shared" si="647"/>
        <v>0</v>
      </c>
      <c r="IJ128" s="142">
        <f t="shared" si="647"/>
        <v>0</v>
      </c>
      <c r="IK128" s="142">
        <f t="shared" si="647"/>
        <v>0</v>
      </c>
      <c r="IL128" s="142">
        <f t="shared" si="647"/>
        <v>0</v>
      </c>
      <c r="IM128" s="142">
        <f t="shared" si="647"/>
        <v>0</v>
      </c>
      <c r="IN128" s="142">
        <f t="shared" si="647"/>
        <v>0</v>
      </c>
      <c r="IO128" s="142">
        <f t="shared" si="647"/>
        <v>0</v>
      </c>
      <c r="IP128" s="142">
        <f t="shared" si="647"/>
        <v>0</v>
      </c>
      <c r="IQ128" s="141">
        <f>IF(ISBLANK($A128),,IF($AN128="Não",0,(SUM($AO128:AO128)*$AH128)-SUM($HM128:HM128)-SUM($CW128:CW128)))</f>
        <v>0</v>
      </c>
      <c r="IR128" s="141">
        <f>IF(ISBLANK($A128),,IF($AN128="Não",0,(SUM($AO128:AP128)*$AH128)-SUM($HM128:HN128)-SUM($CW128:CX128)))</f>
        <v>0</v>
      </c>
      <c r="IS128" s="141">
        <f>IF(ISBLANK($A128),,IF($AN128="Não",0,(SUM($AO128:AQ128)*$AH128)-SUM($HM128:HO128)-SUM($CW128:CY128)))</f>
        <v>0</v>
      </c>
      <c r="IT128" s="141">
        <f>IF(ISBLANK($A128),,IF($AN128="Não",0,(SUM($AO128:AR128)*$AH128)-SUM($HM128:HP128)-SUM($CW128:CZ128)))</f>
        <v>0</v>
      </c>
      <c r="IU128" s="141">
        <f>IF(ISBLANK($A128),,IF($AN128="Não",0,(SUM($AO128:AS128)*$AH128)-SUM($HM128:HQ128)-SUM($CW128:DA128)))</f>
        <v>0</v>
      </c>
      <c r="IV128" s="141">
        <f>IF(ISBLANK($A128),,IF($AN128="Não",0,(SUM($AO128:AT128)*$AH128)-SUM($HM128:HR128)-SUM($CW128:DB128)))</f>
        <v>0</v>
      </c>
      <c r="IW128" s="141">
        <f>IF(ISBLANK($A128),,IF($AN128="Não",0,(SUM($AO128:AU128)*$AH128)-SUM($HM128:HS128)-SUM($CW128:DC128)))</f>
        <v>0</v>
      </c>
      <c r="IX128" s="141">
        <f>IF(ISBLANK($A128),,IF($AN128="Não",0,(SUM($AO128:AV128)*$AH128)-SUM($HM128:HT128)-SUM($CW128:DD128)))</f>
        <v>0</v>
      </c>
      <c r="IY128" s="141">
        <f>IF(ISBLANK($A128),,IF($AN128="Não",0,(SUM($AO128:AW128)*$AH128)-SUM($HM128:HU128)-SUM($CW128:DE128)))</f>
        <v>0</v>
      </c>
      <c r="IZ128" s="141">
        <f>IF(ISBLANK($A128),,IF($AN128="Não",0,(SUM($AO128:AX128)*$AH128)-SUM($HM128:HV128)-SUM($CW128:DF128)))</f>
        <v>0</v>
      </c>
      <c r="JA128" s="141">
        <f>IF(ISBLANK($A128),,IF($AN128="Não",0,(SUM($AO128:AY128)*$AH128)-SUM($HM128:HW128)-SUM($CW128:DG128)))</f>
        <v>0</v>
      </c>
      <c r="JB128" s="141">
        <f>IF(ISBLANK($A128),,IF($AN128="Não",0,(SUM($AO128:AZ128)*$AH128)-SUM($HM128:HX128)-SUM($CW128:DH128)))</f>
        <v>0</v>
      </c>
      <c r="JC128" s="141">
        <f>IF(ISBLANK($A128),,IF($AN128="Não",0,(SUM($AO128:BA128)*$AH128)-SUM($HM128:HY128)-SUM($CW128:DI128)))</f>
        <v>0</v>
      </c>
      <c r="JD128" s="141">
        <f>IF(ISBLANK($A128),,IF($AN128="Não",0,(SUM($AO128:BB128)*$AH128)-SUM($HM128:HZ128)-SUM($CW128:DJ128)))</f>
        <v>0</v>
      </c>
      <c r="JE128" s="141">
        <f>IF(ISBLANK($A128),,IF($AN128="Não",0,(SUM($AO128:BC128)*$AH128)-SUM($HM128:IA128)-SUM($CW128:DK128)))</f>
        <v>0</v>
      </c>
      <c r="JF128" s="141">
        <f>IF(ISBLANK($A128),,IF($AN128="Não",0,(SUM($AO128:BD128)*$AH128)-SUM($HM128:IB128)-SUM($CW128:DL128)))</f>
        <v>0</v>
      </c>
      <c r="JG128" s="141">
        <f>IF(ISBLANK($A128),,IF($AN128="Não",0,(SUM($AO128:BE128)*$AH128)-SUM($HM128:IC128)-SUM($CW128:DM128)))</f>
        <v>0</v>
      </c>
      <c r="JH128" s="141">
        <f>IF(ISBLANK($A128),,IF($AN128="Não",0,(SUM($AO128:BF128)*$AH128)-SUM($HM128:ID128)-SUM($CW128:DN128)))</f>
        <v>0</v>
      </c>
      <c r="JI128" s="141">
        <f>IF(ISBLANK($A128),,IF($AN128="Não",0,(SUM($AO128:BG128)*$AH128)-SUM($HM128:IE128)-SUM($CW128:DO128)))</f>
        <v>0</v>
      </c>
      <c r="JJ128" s="141">
        <f>IF(ISBLANK($A128),,IF($AN128="Não",0,(SUM($AO128:BH128)*$AH128)-SUM($HM128:IF128)-SUM($CW128:DP128)))</f>
        <v>0</v>
      </c>
      <c r="JK128" s="141">
        <f>IF(ISBLANK($A128),,IF($AN128="Não",0,(SUM($AO128:BI128)*$AH128)-SUM($HM128:IG128)-SUM($CW128:DQ128)))</f>
        <v>0</v>
      </c>
      <c r="JL128" s="141">
        <f>IF(ISBLANK($A128),,IF($AN128="Não",0,(SUM($AO128:BJ128)*$AH128)-SUM($HM128:IH128)-SUM($CW128:DR128)))</f>
        <v>0</v>
      </c>
      <c r="JM128" s="141">
        <f>IF(ISBLANK($A128),,IF($AN128="Não",0,(SUM($AO128:BK128)*$AH128)-SUM($HM128:II128)-SUM($CW128:DS128)))</f>
        <v>0</v>
      </c>
      <c r="JN128" s="141">
        <f>IF(ISBLANK($A128),,IF($AN128="Não",0,(SUM($AO128:BL128)*$AH128)-SUM($HM128:IJ128)-SUM($CW128:DT128)))</f>
        <v>0</v>
      </c>
      <c r="JO128" s="141">
        <f>IF(ISBLANK($A128),,IF($AN128="Não",0,(SUM($AO128:BM128)*$AH128)-SUM($HM128:IK128)-SUM($CW128:DU128)))</f>
        <v>0</v>
      </c>
      <c r="JP128" s="141">
        <f>IF(ISBLANK($A128),,IF($AN128="Não",0,(SUM($AO128:BN128)*$AH128)-SUM($HM128:IL128)-SUM($CW128:DV128)))</f>
        <v>0</v>
      </c>
      <c r="JQ128" s="141">
        <f>IF(ISBLANK($A128),,IF($AN128="Não",0,(SUM($AO128:BO128)*$AH128)-SUM($HM128:IM128)-SUM($CW128:DW128)))</f>
        <v>0</v>
      </c>
      <c r="JR128" s="141">
        <f>IF(ISBLANK($A128),,IF($AN128="Não",0,(SUM($AO128:BP128)*$AH128)-SUM($HM128:IN128)-SUM($CW128:DX128)))</f>
        <v>0</v>
      </c>
      <c r="JS128" s="141">
        <f>IF(ISBLANK($A128),,IF($AN128="Não",0,(SUM($AO128:BQ128)*$AH128)-SUM($HM128:IO128)-SUM($CW128:DY128)))</f>
        <v>0</v>
      </c>
      <c r="JT128" s="141">
        <f>IF(ISBLANK($A128),,IF($AN128="Não",0,(SUM($AO128:BR128)*$AH128)-SUM($HM128:IP128)-SUM($CW128:DZ128)))</f>
        <v>0</v>
      </c>
    </row>
    <row r="129" spans="1:280" ht="15.75" customHeight="1">
      <c r="A129" s="129"/>
      <c r="B129" s="129"/>
      <c r="C129" s="138"/>
      <c r="D129" s="139"/>
      <c r="E129" s="139"/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  <c r="AA129" s="139"/>
      <c r="AB129" s="139"/>
      <c r="AC129" s="139"/>
      <c r="AD129" s="139"/>
      <c r="AE129" s="139"/>
      <c r="AF129" s="139"/>
      <c r="AG129" s="139"/>
      <c r="AH129" s="607">
        <f t="shared" si="544"/>
        <v>0</v>
      </c>
      <c r="AI129" s="608">
        <f t="shared" si="545"/>
        <v>0</v>
      </c>
      <c r="AJ129" s="609">
        <f t="shared" si="546"/>
        <v>0</v>
      </c>
      <c r="AK129" s="610" t="str">
        <f t="shared" si="547"/>
        <v/>
      </c>
      <c r="AL129" s="609">
        <f t="shared" si="548"/>
        <v>0</v>
      </c>
      <c r="AM129" s="611" t="str">
        <f t="shared" si="549"/>
        <v/>
      </c>
      <c r="AN129" s="611" t="str">
        <f t="shared" si="550"/>
        <v/>
      </c>
      <c r="AO129" s="140">
        <f t="array" ref="AO129">IF(ISBLANK($A129),0,IF(OR(AO$5-$AI129&lt;=0,$AM129="Não"),D129,D129+INDEX($AO$6:$BR$176,ROW()-5,COLUMN()-40-$AI129)))*IF($B129="Operacional",IFERROR(VLOOKUP($C129,SN_UGC,28,0),0),1)</f>
        <v>0</v>
      </c>
      <c r="AP129" s="140">
        <f t="array" ref="AP129">IF(ISBLANK($A129),0,IF(OR(AP$5-$AI129&lt;=0,$AM129="Não"),E129,E129+INDEX($AO$6:$BR$176,ROW()-5,COLUMN()-40-$AI129)))*IF($B129="Operacional",IFERROR(VLOOKUP($C129,SN_UGC,28,0),0),1)</f>
        <v>0</v>
      </c>
      <c r="AQ129" s="140">
        <f t="array" ref="AQ129">IF(ISBLANK($A129),0,IF(OR(AQ$5-$AI129&lt;=0,$AM129="Não"),F129,F129+INDEX($AO$6:$BR$176,ROW()-5,COLUMN()-40-$AI129)))*IF($B129="Operacional",IFERROR(VLOOKUP($C129,SN_UGC,28,0),0),1)</f>
        <v>0</v>
      </c>
      <c r="AR129" s="140">
        <f t="array" ref="AR129">IF(ISBLANK($A129),0,IF(OR(AR$5-$AI129&lt;=0,$AM129="Não"),G129,G129+INDEX($AO$6:$BR$176,ROW()-5,COLUMN()-40-$AI129)))*IF($B129="Operacional",IFERROR(VLOOKUP($C129,SN_UGC,28,0),0),1)</f>
        <v>0</v>
      </c>
      <c r="AS129" s="140">
        <f t="array" ref="AS129">IF(ISBLANK($A129),0,IF(OR(AS$5-$AI129&lt;=0,$AM129="Não"),H129,H129+INDEX($AO$6:$BR$176,ROW()-5,COLUMN()-40-$AI129)))*IF($B129="Operacional",IFERROR(VLOOKUP($C129,SN_UGC,28,0),0),1)</f>
        <v>0</v>
      </c>
      <c r="AT129" s="140">
        <f t="array" ref="AT129">IF(ISBLANK($A129),0,IF(OR(AT$5-$AI129&lt;=0,$AM129="Não"),I129,I129+INDEX($AO$6:$BR$176,ROW()-5,COLUMN()-40-$AI129)))*IF($B129="Operacional",IFERROR(VLOOKUP($C129,SN_UGC,28,0),0),1)</f>
        <v>0</v>
      </c>
      <c r="AU129" s="140">
        <f t="array" ref="AU129">IF(ISBLANK($A129),0,IF(OR(AU$5-$AI129&lt;=0,$AM129="Não"),J129,J129+INDEX($AO$6:$BR$176,ROW()-5,COLUMN()-40-$AI129)))*IF($B129="Operacional",IFERROR(VLOOKUP($C129,SN_UGC,28,0),0),1)</f>
        <v>0</v>
      </c>
      <c r="AV129" s="140">
        <f t="array" ref="AV129">IF(ISBLANK($A129),0,IF(OR(AV$5-$AI129&lt;=0,$AM129="Não"),K129,K129+INDEX($AO$6:$BR$176,ROW()-5,COLUMN()-40-$AI129)))*IF($B129="Operacional",IFERROR(VLOOKUP($C129,SN_UGC,28,0),0),1)</f>
        <v>0</v>
      </c>
      <c r="AW129" s="140">
        <f t="array" ref="AW129">IF(ISBLANK($A129),0,IF(OR(AW$5-$AI129&lt;=0,$AM129="Não"),L129,L129+INDEX($AO$6:$BR$176,ROW()-5,COLUMN()-40-$AI129)))*IF($B129="Operacional",IFERROR(VLOOKUP($C129,SN_UGC,28,0),0),1)</f>
        <v>0</v>
      </c>
      <c r="AX129" s="140">
        <f t="array" ref="AX129">IF(ISBLANK($A129),0,IF(OR(AX$5-$AI129&lt;=0,$AM129="Não"),M129,M129+INDEX($AO$6:$BR$176,ROW()-5,COLUMN()-40-$AI129)))*IF($B129="Operacional",IFERROR(VLOOKUP($C129,SN_UGC,28,0),0),1)</f>
        <v>0</v>
      </c>
      <c r="AY129" s="140">
        <f t="array" ref="AY129">IF(ISBLANK($A129),0,IF(OR(AY$5-$AI129&lt;=0,$AM129="Não"),N129,N129+INDEX($AO$6:$BR$176,ROW()-5,COLUMN()-40-$AI129)))*IF($B129="Operacional",IFERROR(VLOOKUP($C129,SN_UGC,28,0),0),1)</f>
        <v>0</v>
      </c>
      <c r="AZ129" s="140">
        <f t="array" ref="AZ129">IF(ISBLANK($A129),0,IF(OR(AZ$5-$AI129&lt;=0,$AM129="Não"),O129,O129+INDEX($AO$6:$BR$176,ROW()-5,COLUMN()-40-$AI129)))*IF($B129="Operacional",IFERROR(VLOOKUP($C129,SN_UGC,28,0),0),1)</f>
        <v>0</v>
      </c>
      <c r="BA129" s="140">
        <f t="array" ref="BA129">IF(ISBLANK($A129),0,IF(OR(BA$5-$AI129&lt;=0,$AM129="Não"),P129,P129+INDEX($AO$6:$BR$176,ROW()-5,COLUMN()-40-$AI129)))*IF($B129="Operacional",IFERROR(VLOOKUP($C129,SN_UGC,28,0),0),1)</f>
        <v>0</v>
      </c>
      <c r="BB129" s="140">
        <f t="array" ref="BB129">IF(ISBLANK($A129),0,IF(OR(BB$5-$AI129&lt;=0,$AM129="Não"),Q129,Q129+INDEX($AO$6:$BR$176,ROW()-5,COLUMN()-40-$AI129)))*IF($B129="Operacional",IFERROR(VLOOKUP($C129,SN_UGC,28,0),0),1)</f>
        <v>0</v>
      </c>
      <c r="BC129" s="140">
        <f t="array" ref="BC129">IF(ISBLANK($A129),0,IF(OR(BC$5-$AI129&lt;=0,$AM129="Não"),R129,R129+INDEX($AO$6:$BR$176,ROW()-5,COLUMN()-40-$AI129)))*IF($B129="Operacional",IFERROR(VLOOKUP($C129,SN_UGC,28,0),0),1)</f>
        <v>0</v>
      </c>
      <c r="BD129" s="140">
        <f t="array" ref="BD129">IF(ISBLANK($A129),0,IF(OR(BD$5-$AI129&lt;=0,$AM129="Não"),S129,S129+INDEX($AO$6:$BR$176,ROW()-5,COLUMN()-40-$AI129)))*IF($B129="Operacional",IFERROR(VLOOKUP($C129,SN_UGC,28,0),0),1)</f>
        <v>0</v>
      </c>
      <c r="BE129" s="140">
        <f t="array" ref="BE129">IF(ISBLANK($A129),0,IF(OR(BE$5-$AI129&lt;=0,$AM129="Não"),T129,T129+INDEX($AO$6:$BR$176,ROW()-5,COLUMN()-40-$AI129)))*IF($B129="Operacional",IFERROR(VLOOKUP($C129,SN_UGC,28,0),0),1)</f>
        <v>0</v>
      </c>
      <c r="BF129" s="140">
        <f t="array" ref="BF129">IF(ISBLANK($A129),0,IF(OR(BF$5-$AI129&lt;=0,$AM129="Não"),U129,U129+INDEX($AO$6:$BR$176,ROW()-5,COLUMN()-40-$AI129)))*IF($B129="Operacional",IFERROR(VLOOKUP($C129,SN_UGC,28,0),0),1)</f>
        <v>0</v>
      </c>
      <c r="BG129" s="140">
        <f t="array" ref="BG129">IF(ISBLANK($A129),0,IF(OR(BG$5-$AI129&lt;=0,$AM129="Não"),V129,V129+INDEX($AO$6:$BR$176,ROW()-5,COLUMN()-40-$AI129)))*IF($B129="Operacional",IFERROR(VLOOKUP($C129,SN_UGC,28,0),0),1)</f>
        <v>0</v>
      </c>
      <c r="BH129" s="140">
        <f t="array" ref="BH129">IF(ISBLANK($A129),0,IF(OR(BH$5-$AI129&lt;=0,$AM129="Não"),W129,W129+INDEX($AO$6:$BR$176,ROW()-5,COLUMN()-40-$AI129)))*IF($B129="Operacional",IFERROR(VLOOKUP($C129,SN_UGC,28,0),0),1)</f>
        <v>0</v>
      </c>
      <c r="BI129" s="140">
        <f t="array" ref="BI129">IF(ISBLANK($A129),0,IF(OR(BI$5-$AI129&lt;=0,$AM129="Não"),X129,X129+INDEX($AO$6:$BR$176,ROW()-5,COLUMN()-40-$AI129)))*IF($B129="Operacional",IFERROR(VLOOKUP($C129,SN_UGC,28,0),0),1)</f>
        <v>0</v>
      </c>
      <c r="BJ129" s="140">
        <f t="array" ref="BJ129">IF(ISBLANK($A129),0,IF(OR(BJ$5-$AI129&lt;=0,$AM129="Não"),Y129,Y129+INDEX($AO$6:$BR$176,ROW()-5,COLUMN()-40-$AI129)))*IF($B129="Operacional",IFERROR(VLOOKUP($C129,SN_UGC,28,0),0),1)</f>
        <v>0</v>
      </c>
      <c r="BK129" s="140">
        <f t="array" ref="BK129">IF(ISBLANK($A129),0,IF(OR(BK$5-$AI129&lt;=0,$AM129="Não"),Z129,Z129+INDEX($AO$6:$BR$176,ROW()-5,COLUMN()-40-$AI129)))*IF($B129="Operacional",IFERROR(VLOOKUP($C129,SN_UGC,28,0),0),1)</f>
        <v>0</v>
      </c>
      <c r="BL129" s="140">
        <f t="array" ref="BL129">IF(ISBLANK($A129),0,IF(OR(BL$5-$AI129&lt;=0,$AM129="Não"),AA129,AA129+INDEX($AO$6:$BR$176,ROW()-5,COLUMN()-40-$AI129)))*IF($B129="Operacional",IFERROR(VLOOKUP($C129,SN_UGC,28,0),0),1)</f>
        <v>0</v>
      </c>
      <c r="BM129" s="140">
        <f t="array" ref="BM129">IF(ISBLANK($A129),0,IF(OR(BM$5-$AI129&lt;=0,$AM129="Não"),AB129,AB129+INDEX($AO$6:$BR$176,ROW()-5,COLUMN()-40-$AI129)))*IF($B129="Operacional",IFERROR(VLOOKUP($C129,SN_UGC,28,0),0),1)</f>
        <v>0</v>
      </c>
      <c r="BN129" s="140">
        <f t="array" ref="BN129">IF(ISBLANK($A129),0,IF(OR(BN$5-$AI129&lt;=0,$AM129="Não"),AC129,AC129+INDEX($AO$6:$BR$176,ROW()-5,COLUMN()-40-$AI129)))*IF($B129="Operacional",IFERROR(VLOOKUP($C129,SN_UGC,28,0),0),1)</f>
        <v>0</v>
      </c>
      <c r="BO129" s="140">
        <f t="array" ref="BO129">IF(ISBLANK($A129),0,IF(OR(BO$5-$AI129&lt;=0,$AM129="Não"),AD129,AD129+INDEX($AO$6:$BR$176,ROW()-5,COLUMN()-40-$AI129)))*IF($B129="Operacional",IFERROR(VLOOKUP($C129,SN_UGC,28,0),0),1)</f>
        <v>0</v>
      </c>
      <c r="BP129" s="140">
        <f t="array" ref="BP129">IF(ISBLANK($A129),0,IF(OR(BP$5-$AI129&lt;=0,$AM129="Não"),AE129,AE129+INDEX($AO$6:$BR$176,ROW()-5,COLUMN()-40-$AI129)))*IF($B129="Operacional",IFERROR(VLOOKUP($C129,SN_UGC,28,0),0),1)</f>
        <v>0</v>
      </c>
      <c r="BQ129" s="140">
        <f t="array" ref="BQ129">IF(ISBLANK($A129),0,IF(OR(BQ$5-$AI129&lt;=0,$AM129="Não"),AF129,AF129+INDEX($AO$6:$BR$176,ROW()-5,COLUMN()-40-$AI129)))*IF($B129="Operacional",IFERROR(VLOOKUP($C129,SN_UGC,28,0),0),1)</f>
        <v>0</v>
      </c>
      <c r="BR129" s="140">
        <f t="array" ref="BR129">IF(ISBLANK($A129),0,IF(OR(BR$5-$AI129&lt;=0,$AM129="Não"),AG129,AG129+INDEX($AO$6:$BR$176,ROW()-5,COLUMN()-40-$AI129)))*IF($B129="Operacional",IFERROR(VLOOKUP($C129,SN_UGC,28,0),0),1)</f>
        <v>0</v>
      </c>
      <c r="BS129" s="141">
        <f t="shared" ref="BS129:CV129" si="648">IF(ISBLANK($A129),0,$AH129*AO129)</f>
        <v>0</v>
      </c>
      <c r="BT129" s="141">
        <f t="shared" si="648"/>
        <v>0</v>
      </c>
      <c r="BU129" s="141">
        <f t="shared" si="648"/>
        <v>0</v>
      </c>
      <c r="BV129" s="141">
        <f t="shared" si="648"/>
        <v>0</v>
      </c>
      <c r="BW129" s="141">
        <f t="shared" si="648"/>
        <v>0</v>
      </c>
      <c r="BX129" s="141">
        <f t="shared" si="648"/>
        <v>0</v>
      </c>
      <c r="BY129" s="141">
        <f t="shared" si="648"/>
        <v>0</v>
      </c>
      <c r="BZ129" s="141">
        <f t="shared" si="648"/>
        <v>0</v>
      </c>
      <c r="CA129" s="141">
        <f t="shared" si="648"/>
        <v>0</v>
      </c>
      <c r="CB129" s="141">
        <f t="shared" si="648"/>
        <v>0</v>
      </c>
      <c r="CC129" s="141">
        <f t="shared" si="648"/>
        <v>0</v>
      </c>
      <c r="CD129" s="141">
        <f t="shared" si="648"/>
        <v>0</v>
      </c>
      <c r="CE129" s="141">
        <f t="shared" si="648"/>
        <v>0</v>
      </c>
      <c r="CF129" s="141">
        <f t="shared" si="648"/>
        <v>0</v>
      </c>
      <c r="CG129" s="141">
        <f t="shared" si="648"/>
        <v>0</v>
      </c>
      <c r="CH129" s="141">
        <f t="shared" si="648"/>
        <v>0</v>
      </c>
      <c r="CI129" s="141">
        <f t="shared" si="648"/>
        <v>0</v>
      </c>
      <c r="CJ129" s="141">
        <f t="shared" si="648"/>
        <v>0</v>
      </c>
      <c r="CK129" s="141">
        <f t="shared" si="648"/>
        <v>0</v>
      </c>
      <c r="CL129" s="141">
        <f t="shared" si="648"/>
        <v>0</v>
      </c>
      <c r="CM129" s="141">
        <f t="shared" si="648"/>
        <v>0</v>
      </c>
      <c r="CN129" s="141">
        <f t="shared" si="648"/>
        <v>0</v>
      </c>
      <c r="CO129" s="141">
        <f t="shared" si="648"/>
        <v>0</v>
      </c>
      <c r="CP129" s="141">
        <f t="shared" si="648"/>
        <v>0</v>
      </c>
      <c r="CQ129" s="141">
        <f t="shared" si="648"/>
        <v>0</v>
      </c>
      <c r="CR129" s="141">
        <f t="shared" si="648"/>
        <v>0</v>
      </c>
      <c r="CS129" s="141">
        <f t="shared" si="648"/>
        <v>0</v>
      </c>
      <c r="CT129" s="141">
        <f t="shared" si="648"/>
        <v>0</v>
      </c>
      <c r="CU129" s="141">
        <f t="shared" si="648"/>
        <v>0</v>
      </c>
      <c r="CV129" s="141">
        <f t="shared" si="648"/>
        <v>0</v>
      </c>
      <c r="CW129" s="142">
        <f t="shared" ref="CW129:DZ129" si="649">EA129*$AH129*$AJ129</f>
        <v>0</v>
      </c>
      <c r="CX129" s="142">
        <f t="shared" si="649"/>
        <v>0</v>
      </c>
      <c r="CY129" s="142">
        <f t="shared" si="649"/>
        <v>0</v>
      </c>
      <c r="CZ129" s="142">
        <f t="shared" si="649"/>
        <v>0</v>
      </c>
      <c r="DA129" s="142">
        <f t="shared" si="649"/>
        <v>0</v>
      </c>
      <c r="DB129" s="142">
        <f t="shared" si="649"/>
        <v>0</v>
      </c>
      <c r="DC129" s="142">
        <f t="shared" si="649"/>
        <v>0</v>
      </c>
      <c r="DD129" s="142">
        <f t="shared" si="649"/>
        <v>0</v>
      </c>
      <c r="DE129" s="142">
        <f t="shared" si="649"/>
        <v>0</v>
      </c>
      <c r="DF129" s="142">
        <f t="shared" si="649"/>
        <v>0</v>
      </c>
      <c r="DG129" s="142">
        <f t="shared" si="649"/>
        <v>0</v>
      </c>
      <c r="DH129" s="142">
        <f t="shared" si="649"/>
        <v>0</v>
      </c>
      <c r="DI129" s="142">
        <f t="shared" si="649"/>
        <v>0</v>
      </c>
      <c r="DJ129" s="142">
        <f t="shared" si="649"/>
        <v>0</v>
      </c>
      <c r="DK129" s="142">
        <f t="shared" si="649"/>
        <v>0</v>
      </c>
      <c r="DL129" s="142">
        <f t="shared" si="649"/>
        <v>0</v>
      </c>
      <c r="DM129" s="142">
        <f t="shared" si="649"/>
        <v>0</v>
      </c>
      <c r="DN129" s="142">
        <f t="shared" si="649"/>
        <v>0</v>
      </c>
      <c r="DO129" s="142">
        <f t="shared" si="649"/>
        <v>0</v>
      </c>
      <c r="DP129" s="142">
        <f t="shared" si="649"/>
        <v>0</v>
      </c>
      <c r="DQ129" s="142">
        <f t="shared" si="649"/>
        <v>0</v>
      </c>
      <c r="DR129" s="142">
        <f t="shared" si="649"/>
        <v>0</v>
      </c>
      <c r="DS129" s="142">
        <f t="shared" si="649"/>
        <v>0</v>
      </c>
      <c r="DT129" s="142">
        <f t="shared" si="649"/>
        <v>0</v>
      </c>
      <c r="DU129" s="142">
        <f t="shared" si="649"/>
        <v>0</v>
      </c>
      <c r="DV129" s="142">
        <f t="shared" si="649"/>
        <v>0</v>
      </c>
      <c r="DW129" s="142">
        <f t="shared" si="649"/>
        <v>0</v>
      </c>
      <c r="DX129" s="142">
        <f t="shared" si="649"/>
        <v>0</v>
      </c>
      <c r="DY129" s="142">
        <f t="shared" si="649"/>
        <v>0</v>
      </c>
      <c r="DZ129" s="142">
        <f t="shared" si="649"/>
        <v>0</v>
      </c>
      <c r="EA129" s="143">
        <f t="shared" si="504"/>
        <v>0</v>
      </c>
      <c r="EB129" s="143">
        <f t="shared" si="505"/>
        <v>0</v>
      </c>
      <c r="EC129" s="143">
        <f t="shared" si="506"/>
        <v>0</v>
      </c>
      <c r="ED129" s="143">
        <f t="shared" si="507"/>
        <v>0</v>
      </c>
      <c r="EE129" s="143">
        <f t="shared" si="508"/>
        <v>0</v>
      </c>
      <c r="EF129" s="143">
        <f t="shared" si="509"/>
        <v>0</v>
      </c>
      <c r="EG129" s="143">
        <f t="shared" si="510"/>
        <v>0</v>
      </c>
      <c r="EH129" s="143">
        <f t="shared" si="511"/>
        <v>0</v>
      </c>
      <c r="EI129" s="143">
        <f t="shared" si="512"/>
        <v>0</v>
      </c>
      <c r="EJ129" s="143">
        <f t="shared" si="513"/>
        <v>0</v>
      </c>
      <c r="EK129" s="143">
        <f t="shared" si="514"/>
        <v>0</v>
      </c>
      <c r="EL129" s="143">
        <f t="shared" si="515"/>
        <v>0</v>
      </c>
      <c r="EM129" s="143">
        <f t="shared" si="516"/>
        <v>0</v>
      </c>
      <c r="EN129" s="143">
        <f t="shared" si="517"/>
        <v>0</v>
      </c>
      <c r="EO129" s="143">
        <f t="shared" si="518"/>
        <v>0</v>
      </c>
      <c r="EP129" s="143">
        <f t="shared" si="519"/>
        <v>0</v>
      </c>
      <c r="EQ129" s="143">
        <f t="shared" si="520"/>
        <v>0</v>
      </c>
      <c r="ER129" s="143">
        <f t="shared" si="521"/>
        <v>0</v>
      </c>
      <c r="ES129" s="143">
        <f t="shared" si="522"/>
        <v>0</v>
      </c>
      <c r="ET129" s="143">
        <f t="shared" si="523"/>
        <v>0</v>
      </c>
      <c r="EU129" s="143">
        <f t="shared" si="524"/>
        <v>0</v>
      </c>
      <c r="EV129" s="143">
        <f t="shared" si="525"/>
        <v>0</v>
      </c>
      <c r="EW129" s="143">
        <f t="shared" si="526"/>
        <v>0</v>
      </c>
      <c r="EX129" s="143">
        <f t="shared" si="527"/>
        <v>0</v>
      </c>
      <c r="EY129" s="143">
        <f t="shared" si="528"/>
        <v>0</v>
      </c>
      <c r="EZ129" s="143">
        <f t="shared" si="529"/>
        <v>0</v>
      </c>
      <c r="FA129" s="143">
        <f t="shared" si="530"/>
        <v>0</v>
      </c>
      <c r="FB129" s="143">
        <f t="shared" si="531"/>
        <v>0</v>
      </c>
      <c r="FC129" s="143">
        <f t="shared" si="532"/>
        <v>0</v>
      </c>
      <c r="FD129" s="143">
        <f t="shared" si="533"/>
        <v>0</v>
      </c>
      <c r="FE129" s="140">
        <f>SUM($D129:D129)*IF($B129="Operacional",IFERROR(VLOOKUP($C129,SN_UGC,28,0),0),1)</f>
        <v>0</v>
      </c>
      <c r="FF129" s="140">
        <f>SUM($D129:E129)*IF($B129="Operacional",IFERROR(VLOOKUP($C129,SN_UGC,28,0),0),1)</f>
        <v>0</v>
      </c>
      <c r="FG129" s="140">
        <f>SUM($D129:F129)*IF($B129="Operacional",IFERROR(VLOOKUP($C129,SN_UGC,28,0),0),1)</f>
        <v>0</v>
      </c>
      <c r="FH129" s="140">
        <f>SUM($D129:G129)*IF($B129="Operacional",IFERROR(VLOOKUP($C129,SN_UGC,28,0),0),1)</f>
        <v>0</v>
      </c>
      <c r="FI129" s="140">
        <f>SUM($D129:H129)*IF($B129="Operacional",IFERROR(VLOOKUP($C129,SN_UGC,28,0),0),1)</f>
        <v>0</v>
      </c>
      <c r="FJ129" s="140">
        <f>SUM($D129:I129)*IF($B129="Operacional",IFERROR(VLOOKUP($C129,SN_UGC,28,0),0),1)</f>
        <v>0</v>
      </c>
      <c r="FK129" s="140">
        <f>SUM($D129:J129)*IF($B129="Operacional",IFERROR(VLOOKUP($C129,SN_UGC,28,0),0),1)</f>
        <v>0</v>
      </c>
      <c r="FL129" s="140">
        <f>SUM($D129:K129)*IF($B129="Operacional",IFERROR(VLOOKUP($C129,SN_UGC,28,0),0),1)</f>
        <v>0</v>
      </c>
      <c r="FM129" s="140">
        <f>SUM($D129:L129)*IF($B129="Operacional",IFERROR(VLOOKUP($C129,SN_UGC,28,0),0),1)</f>
        <v>0</v>
      </c>
      <c r="FN129" s="140">
        <f>SUM($D129:M129)*IF($B129="Operacional",IFERROR(VLOOKUP($C129,SN_UGC,28,0),0),1)</f>
        <v>0</v>
      </c>
      <c r="FO129" s="140">
        <f>SUM($D129:N129)*IF($B129="Operacional",IFERROR(VLOOKUP($C129,SN_UGC,28,0),0),1)</f>
        <v>0</v>
      </c>
      <c r="FP129" s="140">
        <f>SUM($D129:O129)*IF($B129="Operacional",IFERROR(VLOOKUP($C129,SN_UGC,28,0),0),1)</f>
        <v>0</v>
      </c>
      <c r="FQ129" s="140">
        <f>SUM($D129:P129)*IF($B129="Operacional",IFERROR(VLOOKUP($C129,SN_UGC,28,0),0),1)</f>
        <v>0</v>
      </c>
      <c r="FR129" s="140">
        <f>SUM($D129:Q129)*IF($B129="Operacional",IFERROR(VLOOKUP($C129,SN_UGC,28,0),0),1)</f>
        <v>0</v>
      </c>
      <c r="FS129" s="140">
        <f>SUM($D129:R129)*IF($B129="Operacional",IFERROR(VLOOKUP($C129,SN_UGC,28,0),0),1)</f>
        <v>0</v>
      </c>
      <c r="FT129" s="140">
        <f>SUM($D129:S129)*IF($B129="Operacional",IFERROR(VLOOKUP($C129,SN_UGC,28,0),0),1)</f>
        <v>0</v>
      </c>
      <c r="FU129" s="140">
        <f>SUM($D129:T129)*IF($B129="Operacional",IFERROR(VLOOKUP($C129,SN_UGC,28,0),0),1)</f>
        <v>0</v>
      </c>
      <c r="FV129" s="140">
        <f>SUM($D129:U129)*IF($B129="Operacional",IFERROR(VLOOKUP($C129,SN_UGC,28,0),0),1)</f>
        <v>0</v>
      </c>
      <c r="FW129" s="140">
        <f>SUM($D129:V129)*IF($B129="Operacional",IFERROR(VLOOKUP($C129,SN_UGC,28,0),0),1)</f>
        <v>0</v>
      </c>
      <c r="FX129" s="140">
        <f>SUM($D129:W129)*IF($B129="Operacional",IFERROR(VLOOKUP($C129,SN_UGC,28,0),0),1)</f>
        <v>0</v>
      </c>
      <c r="FY129" s="140">
        <f>SUM($D129:X129)*IF($B129="Operacional",IFERROR(VLOOKUP($C129,SN_UGC,28,0),0),1)</f>
        <v>0</v>
      </c>
      <c r="FZ129" s="140">
        <f>SUM($D129:Y129)*IF($B129="Operacional",IFERROR(VLOOKUP($C129,SN_UGC,28,0),0),1)</f>
        <v>0</v>
      </c>
      <c r="GA129" s="140">
        <f>SUM($D129:Z129)*IF($B129="Operacional",IFERROR(VLOOKUP($C129,SN_UGC,28,0),0),1)</f>
        <v>0</v>
      </c>
      <c r="GB129" s="140">
        <f>SUM($D129:AA129)*IF($B129="Operacional",IFERROR(VLOOKUP($C129,SN_UGC,28,0),0),1)</f>
        <v>0</v>
      </c>
      <c r="GC129" s="140">
        <f>SUM($D129:AB129)*IF($B129="Operacional",IFERROR(VLOOKUP($C129,SN_UGC,28,0),0),1)</f>
        <v>0</v>
      </c>
      <c r="GD129" s="140">
        <f>SUM($D129:AC129)*IF($B129="Operacional",IFERROR(VLOOKUP($C129,SN_UGC,28,0),0),1)</f>
        <v>0</v>
      </c>
      <c r="GE129" s="140">
        <f>SUM($D129:AD129)*IF($B129="Operacional",IFERROR(VLOOKUP($C129,SN_UGC,28,0),0),1)</f>
        <v>0</v>
      </c>
      <c r="GF129" s="140">
        <f>SUM($D129:AE129)*IF($B129="Operacional",IFERROR(VLOOKUP($C129,SN_UGC,28,0),0),1)</f>
        <v>0</v>
      </c>
      <c r="GG129" s="140">
        <f>SUM($D129:AF129)*IF($B129="Operacional",IFERROR(VLOOKUP($C129,SN_UGC,28,0),0),1)</f>
        <v>0</v>
      </c>
      <c r="GH129" s="140">
        <f>SUM($D129:AG129)*IF($B129="Operacional",IFERROR(VLOOKUP($C129,SN_UGC,28,0),0),1)</f>
        <v>0</v>
      </c>
      <c r="GI129" s="141">
        <f t="shared" ref="GI129:HL129" si="650">FE129*$AH129*$AL129</f>
        <v>0</v>
      </c>
      <c r="GJ129" s="141">
        <f t="shared" si="650"/>
        <v>0</v>
      </c>
      <c r="GK129" s="141">
        <f t="shared" si="650"/>
        <v>0</v>
      </c>
      <c r="GL129" s="141">
        <f t="shared" si="650"/>
        <v>0</v>
      </c>
      <c r="GM129" s="141">
        <f t="shared" si="650"/>
        <v>0</v>
      </c>
      <c r="GN129" s="141">
        <f t="shared" si="650"/>
        <v>0</v>
      </c>
      <c r="GO129" s="141">
        <f t="shared" si="650"/>
        <v>0</v>
      </c>
      <c r="GP129" s="141">
        <f t="shared" si="650"/>
        <v>0</v>
      </c>
      <c r="GQ129" s="141">
        <f t="shared" si="650"/>
        <v>0</v>
      </c>
      <c r="GR129" s="141">
        <f t="shared" si="650"/>
        <v>0</v>
      </c>
      <c r="GS129" s="141">
        <f t="shared" si="650"/>
        <v>0</v>
      </c>
      <c r="GT129" s="141">
        <f t="shared" si="650"/>
        <v>0</v>
      </c>
      <c r="GU129" s="141">
        <f t="shared" si="650"/>
        <v>0</v>
      </c>
      <c r="GV129" s="141">
        <f t="shared" si="650"/>
        <v>0</v>
      </c>
      <c r="GW129" s="141">
        <f t="shared" si="650"/>
        <v>0</v>
      </c>
      <c r="GX129" s="141">
        <f t="shared" si="650"/>
        <v>0</v>
      </c>
      <c r="GY129" s="141">
        <f t="shared" si="650"/>
        <v>0</v>
      </c>
      <c r="GZ129" s="141">
        <f t="shared" si="650"/>
        <v>0</v>
      </c>
      <c r="HA129" s="141">
        <f t="shared" si="650"/>
        <v>0</v>
      </c>
      <c r="HB129" s="141">
        <f t="shared" si="650"/>
        <v>0</v>
      </c>
      <c r="HC129" s="141">
        <f t="shared" si="650"/>
        <v>0</v>
      </c>
      <c r="HD129" s="141">
        <f t="shared" si="650"/>
        <v>0</v>
      </c>
      <c r="HE129" s="141">
        <f t="shared" si="650"/>
        <v>0</v>
      </c>
      <c r="HF129" s="141">
        <f t="shared" si="650"/>
        <v>0</v>
      </c>
      <c r="HG129" s="141">
        <f t="shared" si="650"/>
        <v>0</v>
      </c>
      <c r="HH129" s="141">
        <f t="shared" si="650"/>
        <v>0</v>
      </c>
      <c r="HI129" s="141">
        <f t="shared" si="650"/>
        <v>0</v>
      </c>
      <c r="HJ129" s="141">
        <f t="shared" si="650"/>
        <v>0</v>
      </c>
      <c r="HK129" s="141">
        <f t="shared" si="650"/>
        <v>0</v>
      </c>
      <c r="HL129" s="141">
        <f t="shared" si="650"/>
        <v>0</v>
      </c>
      <c r="HM129" s="142">
        <f t="shared" ref="HM129:IP129" si="651">IF(ISBLANK($A129),,FE129*($AH129-($AH129*$AJ129))/$AI129)</f>
        <v>0</v>
      </c>
      <c r="HN129" s="142">
        <f t="shared" si="651"/>
        <v>0</v>
      </c>
      <c r="HO129" s="142">
        <f t="shared" si="651"/>
        <v>0</v>
      </c>
      <c r="HP129" s="142">
        <f t="shared" si="651"/>
        <v>0</v>
      </c>
      <c r="HQ129" s="142">
        <f t="shared" si="651"/>
        <v>0</v>
      </c>
      <c r="HR129" s="142">
        <f t="shared" si="651"/>
        <v>0</v>
      </c>
      <c r="HS129" s="142">
        <f t="shared" si="651"/>
        <v>0</v>
      </c>
      <c r="HT129" s="142">
        <f t="shared" si="651"/>
        <v>0</v>
      </c>
      <c r="HU129" s="142">
        <f t="shared" si="651"/>
        <v>0</v>
      </c>
      <c r="HV129" s="142">
        <f t="shared" si="651"/>
        <v>0</v>
      </c>
      <c r="HW129" s="142">
        <f t="shared" si="651"/>
        <v>0</v>
      </c>
      <c r="HX129" s="142">
        <f t="shared" si="651"/>
        <v>0</v>
      </c>
      <c r="HY129" s="142">
        <f t="shared" si="651"/>
        <v>0</v>
      </c>
      <c r="HZ129" s="142">
        <f t="shared" si="651"/>
        <v>0</v>
      </c>
      <c r="IA129" s="142">
        <f t="shared" si="651"/>
        <v>0</v>
      </c>
      <c r="IB129" s="142">
        <f t="shared" si="651"/>
        <v>0</v>
      </c>
      <c r="IC129" s="142">
        <f t="shared" si="651"/>
        <v>0</v>
      </c>
      <c r="ID129" s="142">
        <f t="shared" si="651"/>
        <v>0</v>
      </c>
      <c r="IE129" s="142">
        <f t="shared" si="651"/>
        <v>0</v>
      </c>
      <c r="IF129" s="142">
        <f t="shared" si="651"/>
        <v>0</v>
      </c>
      <c r="IG129" s="142">
        <f t="shared" si="651"/>
        <v>0</v>
      </c>
      <c r="IH129" s="142">
        <f t="shared" si="651"/>
        <v>0</v>
      </c>
      <c r="II129" s="142">
        <f t="shared" si="651"/>
        <v>0</v>
      </c>
      <c r="IJ129" s="142">
        <f t="shared" si="651"/>
        <v>0</v>
      </c>
      <c r="IK129" s="142">
        <f t="shared" si="651"/>
        <v>0</v>
      </c>
      <c r="IL129" s="142">
        <f t="shared" si="651"/>
        <v>0</v>
      </c>
      <c r="IM129" s="142">
        <f t="shared" si="651"/>
        <v>0</v>
      </c>
      <c r="IN129" s="142">
        <f t="shared" si="651"/>
        <v>0</v>
      </c>
      <c r="IO129" s="142">
        <f t="shared" si="651"/>
        <v>0</v>
      </c>
      <c r="IP129" s="142">
        <f t="shared" si="651"/>
        <v>0</v>
      </c>
      <c r="IQ129" s="141">
        <f>IF(ISBLANK($A129),,IF($AN129="Não",0,(SUM($AO129:AO129)*$AH129)-SUM($HM129:HM129)-SUM($CW129:CW129)))</f>
        <v>0</v>
      </c>
      <c r="IR129" s="141">
        <f>IF(ISBLANK($A129),,IF($AN129="Não",0,(SUM($AO129:AP129)*$AH129)-SUM($HM129:HN129)-SUM($CW129:CX129)))</f>
        <v>0</v>
      </c>
      <c r="IS129" s="141">
        <f>IF(ISBLANK($A129),,IF($AN129="Não",0,(SUM($AO129:AQ129)*$AH129)-SUM($HM129:HO129)-SUM($CW129:CY129)))</f>
        <v>0</v>
      </c>
      <c r="IT129" s="141">
        <f>IF(ISBLANK($A129),,IF($AN129="Não",0,(SUM($AO129:AR129)*$AH129)-SUM($HM129:HP129)-SUM($CW129:CZ129)))</f>
        <v>0</v>
      </c>
      <c r="IU129" s="141">
        <f>IF(ISBLANK($A129),,IF($AN129="Não",0,(SUM($AO129:AS129)*$AH129)-SUM($HM129:HQ129)-SUM($CW129:DA129)))</f>
        <v>0</v>
      </c>
      <c r="IV129" s="141">
        <f>IF(ISBLANK($A129),,IF($AN129="Não",0,(SUM($AO129:AT129)*$AH129)-SUM($HM129:HR129)-SUM($CW129:DB129)))</f>
        <v>0</v>
      </c>
      <c r="IW129" s="141">
        <f>IF(ISBLANK($A129),,IF($AN129="Não",0,(SUM($AO129:AU129)*$AH129)-SUM($HM129:HS129)-SUM($CW129:DC129)))</f>
        <v>0</v>
      </c>
      <c r="IX129" s="141">
        <f>IF(ISBLANK($A129),,IF($AN129="Não",0,(SUM($AO129:AV129)*$AH129)-SUM($HM129:HT129)-SUM($CW129:DD129)))</f>
        <v>0</v>
      </c>
      <c r="IY129" s="141">
        <f>IF(ISBLANK($A129),,IF($AN129="Não",0,(SUM($AO129:AW129)*$AH129)-SUM($HM129:HU129)-SUM($CW129:DE129)))</f>
        <v>0</v>
      </c>
      <c r="IZ129" s="141">
        <f>IF(ISBLANK($A129),,IF($AN129="Não",0,(SUM($AO129:AX129)*$AH129)-SUM($HM129:HV129)-SUM($CW129:DF129)))</f>
        <v>0</v>
      </c>
      <c r="JA129" s="141">
        <f>IF(ISBLANK($A129),,IF($AN129="Não",0,(SUM($AO129:AY129)*$AH129)-SUM($HM129:HW129)-SUM($CW129:DG129)))</f>
        <v>0</v>
      </c>
      <c r="JB129" s="141">
        <f>IF(ISBLANK($A129),,IF($AN129="Não",0,(SUM($AO129:AZ129)*$AH129)-SUM($HM129:HX129)-SUM($CW129:DH129)))</f>
        <v>0</v>
      </c>
      <c r="JC129" s="141">
        <f>IF(ISBLANK($A129),,IF($AN129="Não",0,(SUM($AO129:BA129)*$AH129)-SUM($HM129:HY129)-SUM($CW129:DI129)))</f>
        <v>0</v>
      </c>
      <c r="JD129" s="141">
        <f>IF(ISBLANK($A129),,IF($AN129="Não",0,(SUM($AO129:BB129)*$AH129)-SUM($HM129:HZ129)-SUM($CW129:DJ129)))</f>
        <v>0</v>
      </c>
      <c r="JE129" s="141">
        <f>IF(ISBLANK($A129),,IF($AN129="Não",0,(SUM($AO129:BC129)*$AH129)-SUM($HM129:IA129)-SUM($CW129:DK129)))</f>
        <v>0</v>
      </c>
      <c r="JF129" s="141">
        <f>IF(ISBLANK($A129),,IF($AN129="Não",0,(SUM($AO129:BD129)*$AH129)-SUM($HM129:IB129)-SUM($CW129:DL129)))</f>
        <v>0</v>
      </c>
      <c r="JG129" s="141">
        <f>IF(ISBLANK($A129),,IF($AN129="Não",0,(SUM($AO129:BE129)*$AH129)-SUM($HM129:IC129)-SUM($CW129:DM129)))</f>
        <v>0</v>
      </c>
      <c r="JH129" s="141">
        <f>IF(ISBLANK($A129),,IF($AN129="Não",0,(SUM($AO129:BF129)*$AH129)-SUM($HM129:ID129)-SUM($CW129:DN129)))</f>
        <v>0</v>
      </c>
      <c r="JI129" s="141">
        <f>IF(ISBLANK($A129),,IF($AN129="Não",0,(SUM($AO129:BG129)*$AH129)-SUM($HM129:IE129)-SUM($CW129:DO129)))</f>
        <v>0</v>
      </c>
      <c r="JJ129" s="141">
        <f>IF(ISBLANK($A129),,IF($AN129="Não",0,(SUM($AO129:BH129)*$AH129)-SUM($HM129:IF129)-SUM($CW129:DP129)))</f>
        <v>0</v>
      </c>
      <c r="JK129" s="141">
        <f>IF(ISBLANK($A129),,IF($AN129="Não",0,(SUM($AO129:BI129)*$AH129)-SUM($HM129:IG129)-SUM($CW129:DQ129)))</f>
        <v>0</v>
      </c>
      <c r="JL129" s="141">
        <f>IF(ISBLANK($A129),,IF($AN129="Não",0,(SUM($AO129:BJ129)*$AH129)-SUM($HM129:IH129)-SUM($CW129:DR129)))</f>
        <v>0</v>
      </c>
      <c r="JM129" s="141">
        <f>IF(ISBLANK($A129),,IF($AN129="Não",0,(SUM($AO129:BK129)*$AH129)-SUM($HM129:II129)-SUM($CW129:DS129)))</f>
        <v>0</v>
      </c>
      <c r="JN129" s="141">
        <f>IF(ISBLANK($A129),,IF($AN129="Não",0,(SUM($AO129:BL129)*$AH129)-SUM($HM129:IJ129)-SUM($CW129:DT129)))</f>
        <v>0</v>
      </c>
      <c r="JO129" s="141">
        <f>IF(ISBLANK($A129),,IF($AN129="Não",0,(SUM($AO129:BM129)*$AH129)-SUM($HM129:IK129)-SUM($CW129:DU129)))</f>
        <v>0</v>
      </c>
      <c r="JP129" s="141">
        <f>IF(ISBLANK($A129),,IF($AN129="Não",0,(SUM($AO129:BN129)*$AH129)-SUM($HM129:IL129)-SUM($CW129:DV129)))</f>
        <v>0</v>
      </c>
      <c r="JQ129" s="141">
        <f>IF(ISBLANK($A129),,IF($AN129="Não",0,(SUM($AO129:BO129)*$AH129)-SUM($HM129:IM129)-SUM($CW129:DW129)))</f>
        <v>0</v>
      </c>
      <c r="JR129" s="141">
        <f>IF(ISBLANK($A129),,IF($AN129="Não",0,(SUM($AO129:BP129)*$AH129)-SUM($HM129:IN129)-SUM($CW129:DX129)))</f>
        <v>0</v>
      </c>
      <c r="JS129" s="141">
        <f>IF(ISBLANK($A129),,IF($AN129="Não",0,(SUM($AO129:BQ129)*$AH129)-SUM($HM129:IO129)-SUM($CW129:DY129)))</f>
        <v>0</v>
      </c>
      <c r="JT129" s="141">
        <f>IF(ISBLANK($A129),,IF($AN129="Não",0,(SUM($AO129:BR129)*$AH129)-SUM($HM129:IP129)-SUM($CW129:DZ129)))</f>
        <v>0</v>
      </c>
    </row>
    <row r="130" spans="1:280" ht="15.75" customHeight="1">
      <c r="A130" s="129"/>
      <c r="B130" s="129"/>
      <c r="C130" s="138"/>
      <c r="D130" s="139"/>
      <c r="E130" s="139"/>
      <c r="F130" s="139"/>
      <c r="G130" s="139"/>
      <c r="H130" s="139"/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607">
        <f t="shared" si="544"/>
        <v>0</v>
      </c>
      <c r="AI130" s="608">
        <f t="shared" si="545"/>
        <v>0</v>
      </c>
      <c r="AJ130" s="609">
        <f t="shared" si="546"/>
        <v>0</v>
      </c>
      <c r="AK130" s="610" t="str">
        <f t="shared" si="547"/>
        <v/>
      </c>
      <c r="AL130" s="609">
        <f t="shared" si="548"/>
        <v>0</v>
      </c>
      <c r="AM130" s="611" t="str">
        <f t="shared" si="549"/>
        <v/>
      </c>
      <c r="AN130" s="611" t="str">
        <f t="shared" si="550"/>
        <v/>
      </c>
      <c r="AO130" s="140">
        <f t="array" ref="AO130">IF(ISBLANK($A130),0,IF(OR(AO$5-$AI130&lt;=0,$AM130="Não"),D130,D130+INDEX($AO$6:$BR$176,ROW()-5,COLUMN()-40-$AI130)))*IF($B130="Operacional",IFERROR(VLOOKUP($C130,SN_UGC,28,0),0),1)</f>
        <v>0</v>
      </c>
      <c r="AP130" s="140">
        <f t="array" ref="AP130">IF(ISBLANK($A130),0,IF(OR(AP$5-$AI130&lt;=0,$AM130="Não"),E130,E130+INDEX($AO$6:$BR$176,ROW()-5,COLUMN()-40-$AI130)))*IF($B130="Operacional",IFERROR(VLOOKUP($C130,SN_UGC,28,0),0),1)</f>
        <v>0</v>
      </c>
      <c r="AQ130" s="140">
        <f t="array" ref="AQ130">IF(ISBLANK($A130),0,IF(OR(AQ$5-$AI130&lt;=0,$AM130="Não"),F130,F130+INDEX($AO$6:$BR$176,ROW()-5,COLUMN()-40-$AI130)))*IF($B130="Operacional",IFERROR(VLOOKUP($C130,SN_UGC,28,0),0),1)</f>
        <v>0</v>
      </c>
      <c r="AR130" s="140">
        <f t="array" ref="AR130">IF(ISBLANK($A130),0,IF(OR(AR$5-$AI130&lt;=0,$AM130="Não"),G130,G130+INDEX($AO$6:$BR$176,ROW()-5,COLUMN()-40-$AI130)))*IF($B130="Operacional",IFERROR(VLOOKUP($C130,SN_UGC,28,0),0),1)</f>
        <v>0</v>
      </c>
      <c r="AS130" s="140">
        <f t="array" ref="AS130">IF(ISBLANK($A130),0,IF(OR(AS$5-$AI130&lt;=0,$AM130="Não"),H130,H130+INDEX($AO$6:$BR$176,ROW()-5,COLUMN()-40-$AI130)))*IF($B130="Operacional",IFERROR(VLOOKUP($C130,SN_UGC,28,0),0),1)</f>
        <v>0</v>
      </c>
      <c r="AT130" s="140">
        <f t="array" ref="AT130">IF(ISBLANK($A130),0,IF(OR(AT$5-$AI130&lt;=0,$AM130="Não"),I130,I130+INDEX($AO$6:$BR$176,ROW()-5,COLUMN()-40-$AI130)))*IF($B130="Operacional",IFERROR(VLOOKUP($C130,SN_UGC,28,0),0),1)</f>
        <v>0</v>
      </c>
      <c r="AU130" s="140">
        <f t="array" ref="AU130">IF(ISBLANK($A130),0,IF(OR(AU$5-$AI130&lt;=0,$AM130="Não"),J130,J130+INDEX($AO$6:$BR$176,ROW()-5,COLUMN()-40-$AI130)))*IF($B130="Operacional",IFERROR(VLOOKUP($C130,SN_UGC,28,0),0),1)</f>
        <v>0</v>
      </c>
      <c r="AV130" s="140">
        <f t="array" ref="AV130">IF(ISBLANK($A130),0,IF(OR(AV$5-$AI130&lt;=0,$AM130="Não"),K130,K130+INDEX($AO$6:$BR$176,ROW()-5,COLUMN()-40-$AI130)))*IF($B130="Operacional",IFERROR(VLOOKUP($C130,SN_UGC,28,0),0),1)</f>
        <v>0</v>
      </c>
      <c r="AW130" s="140">
        <f t="array" ref="AW130">IF(ISBLANK($A130),0,IF(OR(AW$5-$AI130&lt;=0,$AM130="Não"),L130,L130+INDEX($AO$6:$BR$176,ROW()-5,COLUMN()-40-$AI130)))*IF($B130="Operacional",IFERROR(VLOOKUP($C130,SN_UGC,28,0),0),1)</f>
        <v>0</v>
      </c>
      <c r="AX130" s="140">
        <f t="array" ref="AX130">IF(ISBLANK($A130),0,IF(OR(AX$5-$AI130&lt;=0,$AM130="Não"),M130,M130+INDEX($AO$6:$BR$176,ROW()-5,COLUMN()-40-$AI130)))*IF($B130="Operacional",IFERROR(VLOOKUP($C130,SN_UGC,28,0),0),1)</f>
        <v>0</v>
      </c>
      <c r="AY130" s="140">
        <f t="array" ref="AY130">IF(ISBLANK($A130),0,IF(OR(AY$5-$AI130&lt;=0,$AM130="Não"),N130,N130+INDEX($AO$6:$BR$176,ROW()-5,COLUMN()-40-$AI130)))*IF($B130="Operacional",IFERROR(VLOOKUP($C130,SN_UGC,28,0),0),1)</f>
        <v>0</v>
      </c>
      <c r="AZ130" s="140">
        <f t="array" ref="AZ130">IF(ISBLANK($A130),0,IF(OR(AZ$5-$AI130&lt;=0,$AM130="Não"),O130,O130+INDEX($AO$6:$BR$176,ROW()-5,COLUMN()-40-$AI130)))*IF($B130="Operacional",IFERROR(VLOOKUP($C130,SN_UGC,28,0),0),1)</f>
        <v>0</v>
      </c>
      <c r="BA130" s="140">
        <f t="array" ref="BA130">IF(ISBLANK($A130),0,IF(OR(BA$5-$AI130&lt;=0,$AM130="Não"),P130,P130+INDEX($AO$6:$BR$176,ROW()-5,COLUMN()-40-$AI130)))*IF($B130="Operacional",IFERROR(VLOOKUP($C130,SN_UGC,28,0),0),1)</f>
        <v>0</v>
      </c>
      <c r="BB130" s="140">
        <f t="array" ref="BB130">IF(ISBLANK($A130),0,IF(OR(BB$5-$AI130&lt;=0,$AM130="Não"),Q130,Q130+INDEX($AO$6:$BR$176,ROW()-5,COLUMN()-40-$AI130)))*IF($B130="Operacional",IFERROR(VLOOKUP($C130,SN_UGC,28,0),0),1)</f>
        <v>0</v>
      </c>
      <c r="BC130" s="140">
        <f t="array" ref="BC130">IF(ISBLANK($A130),0,IF(OR(BC$5-$AI130&lt;=0,$AM130="Não"),R130,R130+INDEX($AO$6:$BR$176,ROW()-5,COLUMN()-40-$AI130)))*IF($B130="Operacional",IFERROR(VLOOKUP($C130,SN_UGC,28,0),0),1)</f>
        <v>0</v>
      </c>
      <c r="BD130" s="140">
        <f t="array" ref="BD130">IF(ISBLANK($A130),0,IF(OR(BD$5-$AI130&lt;=0,$AM130="Não"),S130,S130+INDEX($AO$6:$BR$176,ROW()-5,COLUMN()-40-$AI130)))*IF($B130="Operacional",IFERROR(VLOOKUP($C130,SN_UGC,28,0),0),1)</f>
        <v>0</v>
      </c>
      <c r="BE130" s="140">
        <f t="array" ref="BE130">IF(ISBLANK($A130),0,IF(OR(BE$5-$AI130&lt;=0,$AM130="Não"),T130,T130+INDEX($AO$6:$BR$176,ROW()-5,COLUMN()-40-$AI130)))*IF($B130="Operacional",IFERROR(VLOOKUP($C130,SN_UGC,28,0),0),1)</f>
        <v>0</v>
      </c>
      <c r="BF130" s="140">
        <f t="array" ref="BF130">IF(ISBLANK($A130),0,IF(OR(BF$5-$AI130&lt;=0,$AM130="Não"),U130,U130+INDEX($AO$6:$BR$176,ROW()-5,COLUMN()-40-$AI130)))*IF($B130="Operacional",IFERROR(VLOOKUP($C130,SN_UGC,28,0),0),1)</f>
        <v>0</v>
      </c>
      <c r="BG130" s="140">
        <f t="array" ref="BG130">IF(ISBLANK($A130),0,IF(OR(BG$5-$AI130&lt;=0,$AM130="Não"),V130,V130+INDEX($AO$6:$BR$176,ROW()-5,COLUMN()-40-$AI130)))*IF($B130="Operacional",IFERROR(VLOOKUP($C130,SN_UGC,28,0),0),1)</f>
        <v>0</v>
      </c>
      <c r="BH130" s="140">
        <f t="array" ref="BH130">IF(ISBLANK($A130),0,IF(OR(BH$5-$AI130&lt;=0,$AM130="Não"),W130,W130+INDEX($AO$6:$BR$176,ROW()-5,COLUMN()-40-$AI130)))*IF($B130="Operacional",IFERROR(VLOOKUP($C130,SN_UGC,28,0),0),1)</f>
        <v>0</v>
      </c>
      <c r="BI130" s="140">
        <f t="array" ref="BI130">IF(ISBLANK($A130),0,IF(OR(BI$5-$AI130&lt;=0,$AM130="Não"),X130,X130+INDEX($AO$6:$BR$176,ROW()-5,COLUMN()-40-$AI130)))*IF($B130="Operacional",IFERROR(VLOOKUP($C130,SN_UGC,28,0),0),1)</f>
        <v>0</v>
      </c>
      <c r="BJ130" s="140">
        <f t="array" ref="BJ130">IF(ISBLANK($A130),0,IF(OR(BJ$5-$AI130&lt;=0,$AM130="Não"),Y130,Y130+INDEX($AO$6:$BR$176,ROW()-5,COLUMN()-40-$AI130)))*IF($B130="Operacional",IFERROR(VLOOKUP($C130,SN_UGC,28,0),0),1)</f>
        <v>0</v>
      </c>
      <c r="BK130" s="140">
        <f t="array" ref="BK130">IF(ISBLANK($A130),0,IF(OR(BK$5-$AI130&lt;=0,$AM130="Não"),Z130,Z130+INDEX($AO$6:$BR$176,ROW()-5,COLUMN()-40-$AI130)))*IF($B130="Operacional",IFERROR(VLOOKUP($C130,SN_UGC,28,0),0),1)</f>
        <v>0</v>
      </c>
      <c r="BL130" s="140">
        <f t="array" ref="BL130">IF(ISBLANK($A130),0,IF(OR(BL$5-$AI130&lt;=0,$AM130="Não"),AA130,AA130+INDEX($AO$6:$BR$176,ROW()-5,COLUMN()-40-$AI130)))*IF($B130="Operacional",IFERROR(VLOOKUP($C130,SN_UGC,28,0),0),1)</f>
        <v>0</v>
      </c>
      <c r="BM130" s="140">
        <f t="array" ref="BM130">IF(ISBLANK($A130),0,IF(OR(BM$5-$AI130&lt;=0,$AM130="Não"),AB130,AB130+INDEX($AO$6:$BR$176,ROW()-5,COLUMN()-40-$AI130)))*IF($B130="Operacional",IFERROR(VLOOKUP($C130,SN_UGC,28,0),0),1)</f>
        <v>0</v>
      </c>
      <c r="BN130" s="140">
        <f t="array" ref="BN130">IF(ISBLANK($A130),0,IF(OR(BN$5-$AI130&lt;=0,$AM130="Não"),AC130,AC130+INDEX($AO$6:$BR$176,ROW()-5,COLUMN()-40-$AI130)))*IF($B130="Operacional",IFERROR(VLOOKUP($C130,SN_UGC,28,0),0),1)</f>
        <v>0</v>
      </c>
      <c r="BO130" s="140">
        <f t="array" ref="BO130">IF(ISBLANK($A130),0,IF(OR(BO$5-$AI130&lt;=0,$AM130="Não"),AD130,AD130+INDEX($AO$6:$BR$176,ROW()-5,COLUMN()-40-$AI130)))*IF($B130="Operacional",IFERROR(VLOOKUP($C130,SN_UGC,28,0),0),1)</f>
        <v>0</v>
      </c>
      <c r="BP130" s="140">
        <f t="array" ref="BP130">IF(ISBLANK($A130),0,IF(OR(BP$5-$AI130&lt;=0,$AM130="Não"),AE130,AE130+INDEX($AO$6:$BR$176,ROW()-5,COLUMN()-40-$AI130)))*IF($B130="Operacional",IFERROR(VLOOKUP($C130,SN_UGC,28,0),0),1)</f>
        <v>0</v>
      </c>
      <c r="BQ130" s="140">
        <f t="array" ref="BQ130">IF(ISBLANK($A130),0,IF(OR(BQ$5-$AI130&lt;=0,$AM130="Não"),AF130,AF130+INDEX($AO$6:$BR$176,ROW()-5,COLUMN()-40-$AI130)))*IF($B130="Operacional",IFERROR(VLOOKUP($C130,SN_UGC,28,0),0),1)</f>
        <v>0</v>
      </c>
      <c r="BR130" s="140">
        <f t="array" ref="BR130">IF(ISBLANK($A130),0,IF(OR(BR$5-$AI130&lt;=0,$AM130="Não"),AG130,AG130+INDEX($AO$6:$BR$176,ROW()-5,COLUMN()-40-$AI130)))*IF($B130="Operacional",IFERROR(VLOOKUP($C130,SN_UGC,28,0),0),1)</f>
        <v>0</v>
      </c>
      <c r="BS130" s="141">
        <f t="shared" ref="BS130:CV130" si="652">IF(ISBLANK($A130),0,$AH130*AO130)</f>
        <v>0</v>
      </c>
      <c r="BT130" s="141">
        <f t="shared" si="652"/>
        <v>0</v>
      </c>
      <c r="BU130" s="141">
        <f t="shared" si="652"/>
        <v>0</v>
      </c>
      <c r="BV130" s="141">
        <f t="shared" si="652"/>
        <v>0</v>
      </c>
      <c r="BW130" s="141">
        <f t="shared" si="652"/>
        <v>0</v>
      </c>
      <c r="BX130" s="141">
        <f t="shared" si="652"/>
        <v>0</v>
      </c>
      <c r="BY130" s="141">
        <f t="shared" si="652"/>
        <v>0</v>
      </c>
      <c r="BZ130" s="141">
        <f t="shared" si="652"/>
        <v>0</v>
      </c>
      <c r="CA130" s="141">
        <f t="shared" si="652"/>
        <v>0</v>
      </c>
      <c r="CB130" s="141">
        <f t="shared" si="652"/>
        <v>0</v>
      </c>
      <c r="CC130" s="141">
        <f t="shared" si="652"/>
        <v>0</v>
      </c>
      <c r="CD130" s="141">
        <f t="shared" si="652"/>
        <v>0</v>
      </c>
      <c r="CE130" s="141">
        <f t="shared" si="652"/>
        <v>0</v>
      </c>
      <c r="CF130" s="141">
        <f t="shared" si="652"/>
        <v>0</v>
      </c>
      <c r="CG130" s="141">
        <f t="shared" si="652"/>
        <v>0</v>
      </c>
      <c r="CH130" s="141">
        <f t="shared" si="652"/>
        <v>0</v>
      </c>
      <c r="CI130" s="141">
        <f t="shared" si="652"/>
        <v>0</v>
      </c>
      <c r="CJ130" s="141">
        <f t="shared" si="652"/>
        <v>0</v>
      </c>
      <c r="CK130" s="141">
        <f t="shared" si="652"/>
        <v>0</v>
      </c>
      <c r="CL130" s="141">
        <f t="shared" si="652"/>
        <v>0</v>
      </c>
      <c r="CM130" s="141">
        <f t="shared" si="652"/>
        <v>0</v>
      </c>
      <c r="CN130" s="141">
        <f t="shared" si="652"/>
        <v>0</v>
      </c>
      <c r="CO130" s="141">
        <f t="shared" si="652"/>
        <v>0</v>
      </c>
      <c r="CP130" s="141">
        <f t="shared" si="652"/>
        <v>0</v>
      </c>
      <c r="CQ130" s="141">
        <f t="shared" si="652"/>
        <v>0</v>
      </c>
      <c r="CR130" s="141">
        <f t="shared" si="652"/>
        <v>0</v>
      </c>
      <c r="CS130" s="141">
        <f t="shared" si="652"/>
        <v>0</v>
      </c>
      <c r="CT130" s="141">
        <f t="shared" si="652"/>
        <v>0</v>
      </c>
      <c r="CU130" s="141">
        <f t="shared" si="652"/>
        <v>0</v>
      </c>
      <c r="CV130" s="141">
        <f t="shared" si="652"/>
        <v>0</v>
      </c>
      <c r="CW130" s="142">
        <f t="shared" ref="CW130:DZ130" si="653">EA130*$AH130*$AJ130</f>
        <v>0</v>
      </c>
      <c r="CX130" s="142">
        <f t="shared" si="653"/>
        <v>0</v>
      </c>
      <c r="CY130" s="142">
        <f t="shared" si="653"/>
        <v>0</v>
      </c>
      <c r="CZ130" s="142">
        <f t="shared" si="653"/>
        <v>0</v>
      </c>
      <c r="DA130" s="142">
        <f t="shared" si="653"/>
        <v>0</v>
      </c>
      <c r="DB130" s="142">
        <f t="shared" si="653"/>
        <v>0</v>
      </c>
      <c r="DC130" s="142">
        <f t="shared" si="653"/>
        <v>0</v>
      </c>
      <c r="DD130" s="142">
        <f t="shared" si="653"/>
        <v>0</v>
      </c>
      <c r="DE130" s="142">
        <f t="shared" si="653"/>
        <v>0</v>
      </c>
      <c r="DF130" s="142">
        <f t="shared" si="653"/>
        <v>0</v>
      </c>
      <c r="DG130" s="142">
        <f t="shared" si="653"/>
        <v>0</v>
      </c>
      <c r="DH130" s="142">
        <f t="shared" si="653"/>
        <v>0</v>
      </c>
      <c r="DI130" s="142">
        <f t="shared" si="653"/>
        <v>0</v>
      </c>
      <c r="DJ130" s="142">
        <f t="shared" si="653"/>
        <v>0</v>
      </c>
      <c r="DK130" s="142">
        <f t="shared" si="653"/>
        <v>0</v>
      </c>
      <c r="DL130" s="142">
        <f t="shared" si="653"/>
        <v>0</v>
      </c>
      <c r="DM130" s="142">
        <f t="shared" si="653"/>
        <v>0</v>
      </c>
      <c r="DN130" s="142">
        <f t="shared" si="653"/>
        <v>0</v>
      </c>
      <c r="DO130" s="142">
        <f t="shared" si="653"/>
        <v>0</v>
      </c>
      <c r="DP130" s="142">
        <f t="shared" si="653"/>
        <v>0</v>
      </c>
      <c r="DQ130" s="142">
        <f t="shared" si="653"/>
        <v>0</v>
      </c>
      <c r="DR130" s="142">
        <f t="shared" si="653"/>
        <v>0</v>
      </c>
      <c r="DS130" s="142">
        <f t="shared" si="653"/>
        <v>0</v>
      </c>
      <c r="DT130" s="142">
        <f t="shared" si="653"/>
        <v>0</v>
      </c>
      <c r="DU130" s="142">
        <f t="shared" si="653"/>
        <v>0</v>
      </c>
      <c r="DV130" s="142">
        <f t="shared" si="653"/>
        <v>0</v>
      </c>
      <c r="DW130" s="142">
        <f t="shared" si="653"/>
        <v>0</v>
      </c>
      <c r="DX130" s="142">
        <f t="shared" si="653"/>
        <v>0</v>
      </c>
      <c r="DY130" s="142">
        <f t="shared" si="653"/>
        <v>0</v>
      </c>
      <c r="DZ130" s="142">
        <f t="shared" si="653"/>
        <v>0</v>
      </c>
      <c r="EA130" s="143">
        <f t="shared" si="504"/>
        <v>0</v>
      </c>
      <c r="EB130" s="143">
        <f t="shared" si="505"/>
        <v>0</v>
      </c>
      <c r="EC130" s="143">
        <f t="shared" si="506"/>
        <v>0</v>
      </c>
      <c r="ED130" s="143">
        <f t="shared" si="507"/>
        <v>0</v>
      </c>
      <c r="EE130" s="143">
        <f t="shared" si="508"/>
        <v>0</v>
      </c>
      <c r="EF130" s="143">
        <f t="shared" si="509"/>
        <v>0</v>
      </c>
      <c r="EG130" s="143">
        <f t="shared" si="510"/>
        <v>0</v>
      </c>
      <c r="EH130" s="143">
        <f t="shared" si="511"/>
        <v>0</v>
      </c>
      <c r="EI130" s="143">
        <f t="shared" si="512"/>
        <v>0</v>
      </c>
      <c r="EJ130" s="143">
        <f t="shared" si="513"/>
        <v>0</v>
      </c>
      <c r="EK130" s="143">
        <f t="shared" si="514"/>
        <v>0</v>
      </c>
      <c r="EL130" s="143">
        <f t="shared" si="515"/>
        <v>0</v>
      </c>
      <c r="EM130" s="143">
        <f t="shared" si="516"/>
        <v>0</v>
      </c>
      <c r="EN130" s="143">
        <f t="shared" si="517"/>
        <v>0</v>
      </c>
      <c r="EO130" s="143">
        <f t="shared" si="518"/>
        <v>0</v>
      </c>
      <c r="EP130" s="143">
        <f t="shared" si="519"/>
        <v>0</v>
      </c>
      <c r="EQ130" s="143">
        <f t="shared" si="520"/>
        <v>0</v>
      </c>
      <c r="ER130" s="143">
        <f t="shared" si="521"/>
        <v>0</v>
      </c>
      <c r="ES130" s="143">
        <f t="shared" si="522"/>
        <v>0</v>
      </c>
      <c r="ET130" s="143">
        <f t="shared" si="523"/>
        <v>0</v>
      </c>
      <c r="EU130" s="143">
        <f t="shared" si="524"/>
        <v>0</v>
      </c>
      <c r="EV130" s="143">
        <f t="shared" si="525"/>
        <v>0</v>
      </c>
      <c r="EW130" s="143">
        <f t="shared" si="526"/>
        <v>0</v>
      </c>
      <c r="EX130" s="143">
        <f t="shared" si="527"/>
        <v>0</v>
      </c>
      <c r="EY130" s="143">
        <f t="shared" si="528"/>
        <v>0</v>
      </c>
      <c r="EZ130" s="143">
        <f t="shared" si="529"/>
        <v>0</v>
      </c>
      <c r="FA130" s="143">
        <f t="shared" si="530"/>
        <v>0</v>
      </c>
      <c r="FB130" s="143">
        <f t="shared" si="531"/>
        <v>0</v>
      </c>
      <c r="FC130" s="143">
        <f t="shared" si="532"/>
        <v>0</v>
      </c>
      <c r="FD130" s="143">
        <f t="shared" si="533"/>
        <v>0</v>
      </c>
      <c r="FE130" s="140">
        <f>SUM($D130:D130)*IF($B130="Operacional",IFERROR(VLOOKUP($C130,SN_UGC,28,0),0),1)</f>
        <v>0</v>
      </c>
      <c r="FF130" s="140">
        <f>SUM($D130:E130)*IF($B130="Operacional",IFERROR(VLOOKUP($C130,SN_UGC,28,0),0),1)</f>
        <v>0</v>
      </c>
      <c r="FG130" s="140">
        <f>SUM($D130:F130)*IF($B130="Operacional",IFERROR(VLOOKUP($C130,SN_UGC,28,0),0),1)</f>
        <v>0</v>
      </c>
      <c r="FH130" s="140">
        <f>SUM($D130:G130)*IF($B130="Operacional",IFERROR(VLOOKUP($C130,SN_UGC,28,0),0),1)</f>
        <v>0</v>
      </c>
      <c r="FI130" s="140">
        <f>SUM($D130:H130)*IF($B130="Operacional",IFERROR(VLOOKUP($C130,SN_UGC,28,0),0),1)</f>
        <v>0</v>
      </c>
      <c r="FJ130" s="140">
        <f>SUM($D130:I130)*IF($B130="Operacional",IFERROR(VLOOKUP($C130,SN_UGC,28,0),0),1)</f>
        <v>0</v>
      </c>
      <c r="FK130" s="140">
        <f>SUM($D130:J130)*IF($B130="Operacional",IFERROR(VLOOKUP($C130,SN_UGC,28,0),0),1)</f>
        <v>0</v>
      </c>
      <c r="FL130" s="140">
        <f>SUM($D130:K130)*IF($B130="Operacional",IFERROR(VLOOKUP($C130,SN_UGC,28,0),0),1)</f>
        <v>0</v>
      </c>
      <c r="FM130" s="140">
        <f>SUM($D130:L130)*IF($B130="Operacional",IFERROR(VLOOKUP($C130,SN_UGC,28,0),0),1)</f>
        <v>0</v>
      </c>
      <c r="FN130" s="140">
        <f>SUM($D130:M130)*IF($B130="Operacional",IFERROR(VLOOKUP($C130,SN_UGC,28,0),0),1)</f>
        <v>0</v>
      </c>
      <c r="FO130" s="140">
        <f>SUM($D130:N130)*IF($B130="Operacional",IFERROR(VLOOKUP($C130,SN_UGC,28,0),0),1)</f>
        <v>0</v>
      </c>
      <c r="FP130" s="140">
        <f>SUM($D130:O130)*IF($B130="Operacional",IFERROR(VLOOKUP($C130,SN_UGC,28,0),0),1)</f>
        <v>0</v>
      </c>
      <c r="FQ130" s="140">
        <f>SUM($D130:P130)*IF($B130="Operacional",IFERROR(VLOOKUP($C130,SN_UGC,28,0),0),1)</f>
        <v>0</v>
      </c>
      <c r="FR130" s="140">
        <f>SUM($D130:Q130)*IF($B130="Operacional",IFERROR(VLOOKUP($C130,SN_UGC,28,0),0),1)</f>
        <v>0</v>
      </c>
      <c r="FS130" s="140">
        <f>SUM($D130:R130)*IF($B130="Operacional",IFERROR(VLOOKUP($C130,SN_UGC,28,0),0),1)</f>
        <v>0</v>
      </c>
      <c r="FT130" s="140">
        <f>SUM($D130:S130)*IF($B130="Operacional",IFERROR(VLOOKUP($C130,SN_UGC,28,0),0),1)</f>
        <v>0</v>
      </c>
      <c r="FU130" s="140">
        <f>SUM($D130:T130)*IF($B130="Operacional",IFERROR(VLOOKUP($C130,SN_UGC,28,0),0),1)</f>
        <v>0</v>
      </c>
      <c r="FV130" s="140">
        <f>SUM($D130:U130)*IF($B130="Operacional",IFERROR(VLOOKUP($C130,SN_UGC,28,0),0),1)</f>
        <v>0</v>
      </c>
      <c r="FW130" s="140">
        <f>SUM($D130:V130)*IF($B130="Operacional",IFERROR(VLOOKUP($C130,SN_UGC,28,0),0),1)</f>
        <v>0</v>
      </c>
      <c r="FX130" s="140">
        <f>SUM($D130:W130)*IF($B130="Operacional",IFERROR(VLOOKUP($C130,SN_UGC,28,0),0),1)</f>
        <v>0</v>
      </c>
      <c r="FY130" s="140">
        <f>SUM($D130:X130)*IF($B130="Operacional",IFERROR(VLOOKUP($C130,SN_UGC,28,0),0),1)</f>
        <v>0</v>
      </c>
      <c r="FZ130" s="140">
        <f>SUM($D130:Y130)*IF($B130="Operacional",IFERROR(VLOOKUP($C130,SN_UGC,28,0),0),1)</f>
        <v>0</v>
      </c>
      <c r="GA130" s="140">
        <f>SUM($D130:Z130)*IF($B130="Operacional",IFERROR(VLOOKUP($C130,SN_UGC,28,0),0),1)</f>
        <v>0</v>
      </c>
      <c r="GB130" s="140">
        <f>SUM($D130:AA130)*IF($B130="Operacional",IFERROR(VLOOKUP($C130,SN_UGC,28,0),0),1)</f>
        <v>0</v>
      </c>
      <c r="GC130" s="140">
        <f>SUM($D130:AB130)*IF($B130="Operacional",IFERROR(VLOOKUP($C130,SN_UGC,28,0),0),1)</f>
        <v>0</v>
      </c>
      <c r="GD130" s="140">
        <f>SUM($D130:AC130)*IF($B130="Operacional",IFERROR(VLOOKUP($C130,SN_UGC,28,0),0),1)</f>
        <v>0</v>
      </c>
      <c r="GE130" s="140">
        <f>SUM($D130:AD130)*IF($B130="Operacional",IFERROR(VLOOKUP($C130,SN_UGC,28,0),0),1)</f>
        <v>0</v>
      </c>
      <c r="GF130" s="140">
        <f>SUM($D130:AE130)*IF($B130="Operacional",IFERROR(VLOOKUP($C130,SN_UGC,28,0),0),1)</f>
        <v>0</v>
      </c>
      <c r="GG130" s="140">
        <f>SUM($D130:AF130)*IF($B130="Operacional",IFERROR(VLOOKUP($C130,SN_UGC,28,0),0),1)</f>
        <v>0</v>
      </c>
      <c r="GH130" s="140">
        <f>SUM($D130:AG130)*IF($B130="Operacional",IFERROR(VLOOKUP($C130,SN_UGC,28,0),0),1)</f>
        <v>0</v>
      </c>
      <c r="GI130" s="141">
        <f t="shared" ref="GI130:HL130" si="654">FE130*$AH130*$AL130</f>
        <v>0</v>
      </c>
      <c r="GJ130" s="141">
        <f t="shared" si="654"/>
        <v>0</v>
      </c>
      <c r="GK130" s="141">
        <f t="shared" si="654"/>
        <v>0</v>
      </c>
      <c r="GL130" s="141">
        <f t="shared" si="654"/>
        <v>0</v>
      </c>
      <c r="GM130" s="141">
        <f t="shared" si="654"/>
        <v>0</v>
      </c>
      <c r="GN130" s="141">
        <f t="shared" si="654"/>
        <v>0</v>
      </c>
      <c r="GO130" s="141">
        <f t="shared" si="654"/>
        <v>0</v>
      </c>
      <c r="GP130" s="141">
        <f t="shared" si="654"/>
        <v>0</v>
      </c>
      <c r="GQ130" s="141">
        <f t="shared" si="654"/>
        <v>0</v>
      </c>
      <c r="GR130" s="141">
        <f t="shared" si="654"/>
        <v>0</v>
      </c>
      <c r="GS130" s="141">
        <f t="shared" si="654"/>
        <v>0</v>
      </c>
      <c r="GT130" s="141">
        <f t="shared" si="654"/>
        <v>0</v>
      </c>
      <c r="GU130" s="141">
        <f t="shared" si="654"/>
        <v>0</v>
      </c>
      <c r="GV130" s="141">
        <f t="shared" si="654"/>
        <v>0</v>
      </c>
      <c r="GW130" s="141">
        <f t="shared" si="654"/>
        <v>0</v>
      </c>
      <c r="GX130" s="141">
        <f t="shared" si="654"/>
        <v>0</v>
      </c>
      <c r="GY130" s="141">
        <f t="shared" si="654"/>
        <v>0</v>
      </c>
      <c r="GZ130" s="141">
        <f t="shared" si="654"/>
        <v>0</v>
      </c>
      <c r="HA130" s="141">
        <f t="shared" si="654"/>
        <v>0</v>
      </c>
      <c r="HB130" s="141">
        <f t="shared" si="654"/>
        <v>0</v>
      </c>
      <c r="HC130" s="141">
        <f t="shared" si="654"/>
        <v>0</v>
      </c>
      <c r="HD130" s="141">
        <f t="shared" si="654"/>
        <v>0</v>
      </c>
      <c r="HE130" s="141">
        <f t="shared" si="654"/>
        <v>0</v>
      </c>
      <c r="HF130" s="141">
        <f t="shared" si="654"/>
        <v>0</v>
      </c>
      <c r="HG130" s="141">
        <f t="shared" si="654"/>
        <v>0</v>
      </c>
      <c r="HH130" s="141">
        <f t="shared" si="654"/>
        <v>0</v>
      </c>
      <c r="HI130" s="141">
        <f t="shared" si="654"/>
        <v>0</v>
      </c>
      <c r="HJ130" s="141">
        <f t="shared" si="654"/>
        <v>0</v>
      </c>
      <c r="HK130" s="141">
        <f t="shared" si="654"/>
        <v>0</v>
      </c>
      <c r="HL130" s="141">
        <f t="shared" si="654"/>
        <v>0</v>
      </c>
      <c r="HM130" s="142">
        <f t="shared" ref="HM130:IP130" si="655">IF(ISBLANK($A130),,FE130*($AH130-($AH130*$AJ130))/$AI130)</f>
        <v>0</v>
      </c>
      <c r="HN130" s="142">
        <f t="shared" si="655"/>
        <v>0</v>
      </c>
      <c r="HO130" s="142">
        <f t="shared" si="655"/>
        <v>0</v>
      </c>
      <c r="HP130" s="142">
        <f t="shared" si="655"/>
        <v>0</v>
      </c>
      <c r="HQ130" s="142">
        <f t="shared" si="655"/>
        <v>0</v>
      </c>
      <c r="HR130" s="142">
        <f t="shared" si="655"/>
        <v>0</v>
      </c>
      <c r="HS130" s="142">
        <f t="shared" si="655"/>
        <v>0</v>
      </c>
      <c r="HT130" s="142">
        <f t="shared" si="655"/>
        <v>0</v>
      </c>
      <c r="HU130" s="142">
        <f t="shared" si="655"/>
        <v>0</v>
      </c>
      <c r="HV130" s="142">
        <f t="shared" si="655"/>
        <v>0</v>
      </c>
      <c r="HW130" s="142">
        <f t="shared" si="655"/>
        <v>0</v>
      </c>
      <c r="HX130" s="142">
        <f t="shared" si="655"/>
        <v>0</v>
      </c>
      <c r="HY130" s="142">
        <f t="shared" si="655"/>
        <v>0</v>
      </c>
      <c r="HZ130" s="142">
        <f t="shared" si="655"/>
        <v>0</v>
      </c>
      <c r="IA130" s="142">
        <f t="shared" si="655"/>
        <v>0</v>
      </c>
      <c r="IB130" s="142">
        <f t="shared" si="655"/>
        <v>0</v>
      </c>
      <c r="IC130" s="142">
        <f t="shared" si="655"/>
        <v>0</v>
      </c>
      <c r="ID130" s="142">
        <f t="shared" si="655"/>
        <v>0</v>
      </c>
      <c r="IE130" s="142">
        <f t="shared" si="655"/>
        <v>0</v>
      </c>
      <c r="IF130" s="142">
        <f t="shared" si="655"/>
        <v>0</v>
      </c>
      <c r="IG130" s="142">
        <f t="shared" si="655"/>
        <v>0</v>
      </c>
      <c r="IH130" s="142">
        <f t="shared" si="655"/>
        <v>0</v>
      </c>
      <c r="II130" s="142">
        <f t="shared" si="655"/>
        <v>0</v>
      </c>
      <c r="IJ130" s="142">
        <f t="shared" si="655"/>
        <v>0</v>
      </c>
      <c r="IK130" s="142">
        <f t="shared" si="655"/>
        <v>0</v>
      </c>
      <c r="IL130" s="142">
        <f t="shared" si="655"/>
        <v>0</v>
      </c>
      <c r="IM130" s="142">
        <f t="shared" si="655"/>
        <v>0</v>
      </c>
      <c r="IN130" s="142">
        <f t="shared" si="655"/>
        <v>0</v>
      </c>
      <c r="IO130" s="142">
        <f t="shared" si="655"/>
        <v>0</v>
      </c>
      <c r="IP130" s="142">
        <f t="shared" si="655"/>
        <v>0</v>
      </c>
      <c r="IQ130" s="141">
        <f>IF(ISBLANK($A130),,IF($AN130="Não",0,(SUM($AO130:AO130)*$AH130)-SUM($HM130:HM130)-SUM($CW130:CW130)))</f>
        <v>0</v>
      </c>
      <c r="IR130" s="141">
        <f>IF(ISBLANK($A130),,IF($AN130="Não",0,(SUM($AO130:AP130)*$AH130)-SUM($HM130:HN130)-SUM($CW130:CX130)))</f>
        <v>0</v>
      </c>
      <c r="IS130" s="141">
        <f>IF(ISBLANK($A130),,IF($AN130="Não",0,(SUM($AO130:AQ130)*$AH130)-SUM($HM130:HO130)-SUM($CW130:CY130)))</f>
        <v>0</v>
      </c>
      <c r="IT130" s="141">
        <f>IF(ISBLANK($A130),,IF($AN130="Não",0,(SUM($AO130:AR130)*$AH130)-SUM($HM130:HP130)-SUM($CW130:CZ130)))</f>
        <v>0</v>
      </c>
      <c r="IU130" s="141">
        <f>IF(ISBLANK($A130),,IF($AN130="Não",0,(SUM($AO130:AS130)*$AH130)-SUM($HM130:HQ130)-SUM($CW130:DA130)))</f>
        <v>0</v>
      </c>
      <c r="IV130" s="141">
        <f>IF(ISBLANK($A130),,IF($AN130="Não",0,(SUM($AO130:AT130)*$AH130)-SUM($HM130:HR130)-SUM($CW130:DB130)))</f>
        <v>0</v>
      </c>
      <c r="IW130" s="141">
        <f>IF(ISBLANK($A130),,IF($AN130="Não",0,(SUM($AO130:AU130)*$AH130)-SUM($HM130:HS130)-SUM($CW130:DC130)))</f>
        <v>0</v>
      </c>
      <c r="IX130" s="141">
        <f>IF(ISBLANK($A130),,IF($AN130="Não",0,(SUM($AO130:AV130)*$AH130)-SUM($HM130:HT130)-SUM($CW130:DD130)))</f>
        <v>0</v>
      </c>
      <c r="IY130" s="141">
        <f>IF(ISBLANK($A130),,IF($AN130="Não",0,(SUM($AO130:AW130)*$AH130)-SUM($HM130:HU130)-SUM($CW130:DE130)))</f>
        <v>0</v>
      </c>
      <c r="IZ130" s="141">
        <f>IF(ISBLANK($A130),,IF($AN130="Não",0,(SUM($AO130:AX130)*$AH130)-SUM($HM130:HV130)-SUM($CW130:DF130)))</f>
        <v>0</v>
      </c>
      <c r="JA130" s="141">
        <f>IF(ISBLANK($A130),,IF($AN130="Não",0,(SUM($AO130:AY130)*$AH130)-SUM($HM130:HW130)-SUM($CW130:DG130)))</f>
        <v>0</v>
      </c>
      <c r="JB130" s="141">
        <f>IF(ISBLANK($A130),,IF($AN130="Não",0,(SUM($AO130:AZ130)*$AH130)-SUM($HM130:HX130)-SUM($CW130:DH130)))</f>
        <v>0</v>
      </c>
      <c r="JC130" s="141">
        <f>IF(ISBLANK($A130),,IF($AN130="Não",0,(SUM($AO130:BA130)*$AH130)-SUM($HM130:HY130)-SUM($CW130:DI130)))</f>
        <v>0</v>
      </c>
      <c r="JD130" s="141">
        <f>IF(ISBLANK($A130),,IF($AN130="Não",0,(SUM($AO130:BB130)*$AH130)-SUM($HM130:HZ130)-SUM($CW130:DJ130)))</f>
        <v>0</v>
      </c>
      <c r="JE130" s="141">
        <f>IF(ISBLANK($A130),,IF($AN130="Não",0,(SUM($AO130:BC130)*$AH130)-SUM($HM130:IA130)-SUM($CW130:DK130)))</f>
        <v>0</v>
      </c>
      <c r="JF130" s="141">
        <f>IF(ISBLANK($A130),,IF($AN130="Não",0,(SUM($AO130:BD130)*$AH130)-SUM($HM130:IB130)-SUM($CW130:DL130)))</f>
        <v>0</v>
      </c>
      <c r="JG130" s="141">
        <f>IF(ISBLANK($A130),,IF($AN130="Não",0,(SUM($AO130:BE130)*$AH130)-SUM($HM130:IC130)-SUM($CW130:DM130)))</f>
        <v>0</v>
      </c>
      <c r="JH130" s="141">
        <f>IF(ISBLANK($A130),,IF($AN130="Não",0,(SUM($AO130:BF130)*$AH130)-SUM($HM130:ID130)-SUM($CW130:DN130)))</f>
        <v>0</v>
      </c>
      <c r="JI130" s="141">
        <f>IF(ISBLANK($A130),,IF($AN130="Não",0,(SUM($AO130:BG130)*$AH130)-SUM($HM130:IE130)-SUM($CW130:DO130)))</f>
        <v>0</v>
      </c>
      <c r="JJ130" s="141">
        <f>IF(ISBLANK($A130),,IF($AN130="Não",0,(SUM($AO130:BH130)*$AH130)-SUM($HM130:IF130)-SUM($CW130:DP130)))</f>
        <v>0</v>
      </c>
      <c r="JK130" s="141">
        <f>IF(ISBLANK($A130),,IF($AN130="Não",0,(SUM($AO130:BI130)*$AH130)-SUM($HM130:IG130)-SUM($CW130:DQ130)))</f>
        <v>0</v>
      </c>
      <c r="JL130" s="141">
        <f>IF(ISBLANK($A130),,IF($AN130="Não",0,(SUM($AO130:BJ130)*$AH130)-SUM($HM130:IH130)-SUM($CW130:DR130)))</f>
        <v>0</v>
      </c>
      <c r="JM130" s="141">
        <f>IF(ISBLANK($A130),,IF($AN130="Não",0,(SUM($AO130:BK130)*$AH130)-SUM($HM130:II130)-SUM($CW130:DS130)))</f>
        <v>0</v>
      </c>
      <c r="JN130" s="141">
        <f>IF(ISBLANK($A130),,IF($AN130="Não",0,(SUM($AO130:BL130)*$AH130)-SUM($HM130:IJ130)-SUM($CW130:DT130)))</f>
        <v>0</v>
      </c>
      <c r="JO130" s="141">
        <f>IF(ISBLANK($A130),,IF($AN130="Não",0,(SUM($AO130:BM130)*$AH130)-SUM($HM130:IK130)-SUM($CW130:DU130)))</f>
        <v>0</v>
      </c>
      <c r="JP130" s="141">
        <f>IF(ISBLANK($A130),,IF($AN130="Não",0,(SUM($AO130:BN130)*$AH130)-SUM($HM130:IL130)-SUM($CW130:DV130)))</f>
        <v>0</v>
      </c>
      <c r="JQ130" s="141">
        <f>IF(ISBLANK($A130),,IF($AN130="Não",0,(SUM($AO130:BO130)*$AH130)-SUM($HM130:IM130)-SUM($CW130:DW130)))</f>
        <v>0</v>
      </c>
      <c r="JR130" s="141">
        <f>IF(ISBLANK($A130),,IF($AN130="Não",0,(SUM($AO130:BP130)*$AH130)-SUM($HM130:IN130)-SUM($CW130:DX130)))</f>
        <v>0</v>
      </c>
      <c r="JS130" s="141">
        <f>IF(ISBLANK($A130),,IF($AN130="Não",0,(SUM($AO130:BQ130)*$AH130)-SUM($HM130:IO130)-SUM($CW130:DY130)))</f>
        <v>0</v>
      </c>
      <c r="JT130" s="141">
        <f>IF(ISBLANK($A130),,IF($AN130="Não",0,(SUM($AO130:BR130)*$AH130)-SUM($HM130:IP130)-SUM($CW130:DZ130)))</f>
        <v>0</v>
      </c>
    </row>
    <row r="131" spans="1:280" ht="15.75" customHeight="1">
      <c r="A131" s="129"/>
      <c r="B131" s="129"/>
      <c r="C131" s="138"/>
      <c r="D131" s="139"/>
      <c r="E131" s="139"/>
      <c r="F131" s="139"/>
      <c r="G131" s="139"/>
      <c r="H131" s="139"/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607">
        <f t="shared" si="544"/>
        <v>0</v>
      </c>
      <c r="AI131" s="608">
        <f t="shared" si="545"/>
        <v>0</v>
      </c>
      <c r="AJ131" s="609">
        <f t="shared" si="546"/>
        <v>0</v>
      </c>
      <c r="AK131" s="610" t="str">
        <f t="shared" si="547"/>
        <v/>
      </c>
      <c r="AL131" s="609">
        <f t="shared" si="548"/>
        <v>0</v>
      </c>
      <c r="AM131" s="611" t="str">
        <f t="shared" si="549"/>
        <v/>
      </c>
      <c r="AN131" s="611" t="str">
        <f t="shared" si="550"/>
        <v/>
      </c>
      <c r="AO131" s="140">
        <f t="array" ref="AO131">IF(ISBLANK($A131),0,IF(OR(AO$5-$AI131&lt;=0,$AM131="Não"),D131,D131+INDEX($AO$6:$BR$176,ROW()-5,COLUMN()-40-$AI131)))*IF($B131="Operacional",IFERROR(VLOOKUP($C131,SN_UGC,28,0),0),1)</f>
        <v>0</v>
      </c>
      <c r="AP131" s="140">
        <f t="array" ref="AP131">IF(ISBLANK($A131),0,IF(OR(AP$5-$AI131&lt;=0,$AM131="Não"),E131,E131+INDEX($AO$6:$BR$176,ROW()-5,COLUMN()-40-$AI131)))*IF($B131="Operacional",IFERROR(VLOOKUP($C131,SN_UGC,28,0),0),1)</f>
        <v>0</v>
      </c>
      <c r="AQ131" s="140">
        <f t="array" ref="AQ131">IF(ISBLANK($A131),0,IF(OR(AQ$5-$AI131&lt;=0,$AM131="Não"),F131,F131+INDEX($AO$6:$BR$176,ROW()-5,COLUMN()-40-$AI131)))*IF($B131="Operacional",IFERROR(VLOOKUP($C131,SN_UGC,28,0),0),1)</f>
        <v>0</v>
      </c>
      <c r="AR131" s="140">
        <f t="array" ref="AR131">IF(ISBLANK($A131),0,IF(OR(AR$5-$AI131&lt;=0,$AM131="Não"),G131,G131+INDEX($AO$6:$BR$176,ROW()-5,COLUMN()-40-$AI131)))*IF($B131="Operacional",IFERROR(VLOOKUP($C131,SN_UGC,28,0),0),1)</f>
        <v>0</v>
      </c>
      <c r="AS131" s="140">
        <f t="array" ref="AS131">IF(ISBLANK($A131),0,IF(OR(AS$5-$AI131&lt;=0,$AM131="Não"),H131,H131+INDEX($AO$6:$BR$176,ROW()-5,COLUMN()-40-$AI131)))*IF($B131="Operacional",IFERROR(VLOOKUP($C131,SN_UGC,28,0),0),1)</f>
        <v>0</v>
      </c>
      <c r="AT131" s="140">
        <f t="array" ref="AT131">IF(ISBLANK($A131),0,IF(OR(AT$5-$AI131&lt;=0,$AM131="Não"),I131,I131+INDEX($AO$6:$BR$176,ROW()-5,COLUMN()-40-$AI131)))*IF($B131="Operacional",IFERROR(VLOOKUP($C131,SN_UGC,28,0),0),1)</f>
        <v>0</v>
      </c>
      <c r="AU131" s="140">
        <f t="array" ref="AU131">IF(ISBLANK($A131),0,IF(OR(AU$5-$AI131&lt;=0,$AM131="Não"),J131,J131+INDEX($AO$6:$BR$176,ROW()-5,COLUMN()-40-$AI131)))*IF($B131="Operacional",IFERROR(VLOOKUP($C131,SN_UGC,28,0),0),1)</f>
        <v>0</v>
      </c>
      <c r="AV131" s="140">
        <f t="array" ref="AV131">IF(ISBLANK($A131),0,IF(OR(AV$5-$AI131&lt;=0,$AM131="Não"),K131,K131+INDEX($AO$6:$BR$176,ROW()-5,COLUMN()-40-$AI131)))*IF($B131="Operacional",IFERROR(VLOOKUP($C131,SN_UGC,28,0),0),1)</f>
        <v>0</v>
      </c>
      <c r="AW131" s="140">
        <f t="array" ref="AW131">IF(ISBLANK($A131),0,IF(OR(AW$5-$AI131&lt;=0,$AM131="Não"),L131,L131+INDEX($AO$6:$BR$176,ROW()-5,COLUMN()-40-$AI131)))*IF($B131="Operacional",IFERROR(VLOOKUP($C131,SN_UGC,28,0),0),1)</f>
        <v>0</v>
      </c>
      <c r="AX131" s="140">
        <f t="array" ref="AX131">IF(ISBLANK($A131),0,IF(OR(AX$5-$AI131&lt;=0,$AM131="Não"),M131,M131+INDEX($AO$6:$BR$176,ROW()-5,COLUMN()-40-$AI131)))*IF($B131="Operacional",IFERROR(VLOOKUP($C131,SN_UGC,28,0),0),1)</f>
        <v>0</v>
      </c>
      <c r="AY131" s="140">
        <f t="array" ref="AY131">IF(ISBLANK($A131),0,IF(OR(AY$5-$AI131&lt;=0,$AM131="Não"),N131,N131+INDEX($AO$6:$BR$176,ROW()-5,COLUMN()-40-$AI131)))*IF($B131="Operacional",IFERROR(VLOOKUP($C131,SN_UGC,28,0),0),1)</f>
        <v>0</v>
      </c>
      <c r="AZ131" s="140">
        <f t="array" ref="AZ131">IF(ISBLANK($A131),0,IF(OR(AZ$5-$AI131&lt;=0,$AM131="Não"),O131,O131+INDEX($AO$6:$BR$176,ROW()-5,COLUMN()-40-$AI131)))*IF($B131="Operacional",IFERROR(VLOOKUP($C131,SN_UGC,28,0),0),1)</f>
        <v>0</v>
      </c>
      <c r="BA131" s="140">
        <f t="array" ref="BA131">IF(ISBLANK($A131),0,IF(OR(BA$5-$AI131&lt;=0,$AM131="Não"),P131,P131+INDEX($AO$6:$BR$176,ROW()-5,COLUMN()-40-$AI131)))*IF($B131="Operacional",IFERROR(VLOOKUP($C131,SN_UGC,28,0),0),1)</f>
        <v>0</v>
      </c>
      <c r="BB131" s="140">
        <f t="array" ref="BB131">IF(ISBLANK($A131),0,IF(OR(BB$5-$AI131&lt;=0,$AM131="Não"),Q131,Q131+INDEX($AO$6:$BR$176,ROW()-5,COLUMN()-40-$AI131)))*IF($B131="Operacional",IFERROR(VLOOKUP($C131,SN_UGC,28,0),0),1)</f>
        <v>0</v>
      </c>
      <c r="BC131" s="140">
        <f t="array" ref="BC131">IF(ISBLANK($A131),0,IF(OR(BC$5-$AI131&lt;=0,$AM131="Não"),R131,R131+INDEX($AO$6:$BR$176,ROW()-5,COLUMN()-40-$AI131)))*IF($B131="Operacional",IFERROR(VLOOKUP($C131,SN_UGC,28,0),0),1)</f>
        <v>0</v>
      </c>
      <c r="BD131" s="140">
        <f t="array" ref="BD131">IF(ISBLANK($A131),0,IF(OR(BD$5-$AI131&lt;=0,$AM131="Não"),S131,S131+INDEX($AO$6:$BR$176,ROW()-5,COLUMN()-40-$AI131)))*IF($B131="Operacional",IFERROR(VLOOKUP($C131,SN_UGC,28,0),0),1)</f>
        <v>0</v>
      </c>
      <c r="BE131" s="140">
        <f t="array" ref="BE131">IF(ISBLANK($A131),0,IF(OR(BE$5-$AI131&lt;=0,$AM131="Não"),T131,T131+INDEX($AO$6:$BR$176,ROW()-5,COLUMN()-40-$AI131)))*IF($B131="Operacional",IFERROR(VLOOKUP($C131,SN_UGC,28,0),0),1)</f>
        <v>0</v>
      </c>
      <c r="BF131" s="140">
        <f t="array" ref="BF131">IF(ISBLANK($A131),0,IF(OR(BF$5-$AI131&lt;=0,$AM131="Não"),U131,U131+INDEX($AO$6:$BR$176,ROW()-5,COLUMN()-40-$AI131)))*IF($B131="Operacional",IFERROR(VLOOKUP($C131,SN_UGC,28,0),0),1)</f>
        <v>0</v>
      </c>
      <c r="BG131" s="140">
        <f t="array" ref="BG131">IF(ISBLANK($A131),0,IF(OR(BG$5-$AI131&lt;=0,$AM131="Não"),V131,V131+INDEX($AO$6:$BR$176,ROW()-5,COLUMN()-40-$AI131)))*IF($B131="Operacional",IFERROR(VLOOKUP($C131,SN_UGC,28,0),0),1)</f>
        <v>0</v>
      </c>
      <c r="BH131" s="140">
        <f t="array" ref="BH131">IF(ISBLANK($A131),0,IF(OR(BH$5-$AI131&lt;=0,$AM131="Não"),W131,W131+INDEX($AO$6:$BR$176,ROW()-5,COLUMN()-40-$AI131)))*IF($B131="Operacional",IFERROR(VLOOKUP($C131,SN_UGC,28,0),0),1)</f>
        <v>0</v>
      </c>
      <c r="BI131" s="140">
        <f t="array" ref="BI131">IF(ISBLANK($A131),0,IF(OR(BI$5-$AI131&lt;=0,$AM131="Não"),X131,X131+INDEX($AO$6:$BR$176,ROW()-5,COLUMN()-40-$AI131)))*IF($B131="Operacional",IFERROR(VLOOKUP($C131,SN_UGC,28,0),0),1)</f>
        <v>0</v>
      </c>
      <c r="BJ131" s="140">
        <f t="array" ref="BJ131">IF(ISBLANK($A131),0,IF(OR(BJ$5-$AI131&lt;=0,$AM131="Não"),Y131,Y131+INDEX($AO$6:$BR$176,ROW()-5,COLUMN()-40-$AI131)))*IF($B131="Operacional",IFERROR(VLOOKUP($C131,SN_UGC,28,0),0),1)</f>
        <v>0</v>
      </c>
      <c r="BK131" s="140">
        <f t="array" ref="BK131">IF(ISBLANK($A131),0,IF(OR(BK$5-$AI131&lt;=0,$AM131="Não"),Z131,Z131+INDEX($AO$6:$BR$176,ROW()-5,COLUMN()-40-$AI131)))*IF($B131="Operacional",IFERROR(VLOOKUP($C131,SN_UGC,28,0),0),1)</f>
        <v>0</v>
      </c>
      <c r="BL131" s="140">
        <f t="array" ref="BL131">IF(ISBLANK($A131),0,IF(OR(BL$5-$AI131&lt;=0,$AM131="Não"),AA131,AA131+INDEX($AO$6:$BR$176,ROW()-5,COLUMN()-40-$AI131)))*IF($B131="Operacional",IFERROR(VLOOKUP($C131,SN_UGC,28,0),0),1)</f>
        <v>0</v>
      </c>
      <c r="BM131" s="140">
        <f t="array" ref="BM131">IF(ISBLANK($A131),0,IF(OR(BM$5-$AI131&lt;=0,$AM131="Não"),AB131,AB131+INDEX($AO$6:$BR$176,ROW()-5,COLUMN()-40-$AI131)))*IF($B131="Operacional",IFERROR(VLOOKUP($C131,SN_UGC,28,0),0),1)</f>
        <v>0</v>
      </c>
      <c r="BN131" s="140">
        <f t="array" ref="BN131">IF(ISBLANK($A131),0,IF(OR(BN$5-$AI131&lt;=0,$AM131="Não"),AC131,AC131+INDEX($AO$6:$BR$176,ROW()-5,COLUMN()-40-$AI131)))*IF($B131="Operacional",IFERROR(VLOOKUP($C131,SN_UGC,28,0),0),1)</f>
        <v>0</v>
      </c>
      <c r="BO131" s="140">
        <f t="array" ref="BO131">IF(ISBLANK($A131),0,IF(OR(BO$5-$AI131&lt;=0,$AM131="Não"),AD131,AD131+INDEX($AO$6:$BR$176,ROW()-5,COLUMN()-40-$AI131)))*IF($B131="Operacional",IFERROR(VLOOKUP($C131,SN_UGC,28,0),0),1)</f>
        <v>0</v>
      </c>
      <c r="BP131" s="140">
        <f t="array" ref="BP131">IF(ISBLANK($A131),0,IF(OR(BP$5-$AI131&lt;=0,$AM131="Não"),AE131,AE131+INDEX($AO$6:$BR$176,ROW()-5,COLUMN()-40-$AI131)))*IF($B131="Operacional",IFERROR(VLOOKUP($C131,SN_UGC,28,0),0),1)</f>
        <v>0</v>
      </c>
      <c r="BQ131" s="140">
        <f t="array" ref="BQ131">IF(ISBLANK($A131),0,IF(OR(BQ$5-$AI131&lt;=0,$AM131="Não"),AF131,AF131+INDEX($AO$6:$BR$176,ROW()-5,COLUMN()-40-$AI131)))*IF($B131="Operacional",IFERROR(VLOOKUP($C131,SN_UGC,28,0),0),1)</f>
        <v>0</v>
      </c>
      <c r="BR131" s="140">
        <f t="array" ref="BR131">IF(ISBLANK($A131),0,IF(OR(BR$5-$AI131&lt;=0,$AM131="Não"),AG131,AG131+INDEX($AO$6:$BR$176,ROW()-5,COLUMN()-40-$AI131)))*IF($B131="Operacional",IFERROR(VLOOKUP($C131,SN_UGC,28,0),0),1)</f>
        <v>0</v>
      </c>
      <c r="BS131" s="141">
        <f t="shared" ref="BS131:CV131" si="656">IF(ISBLANK($A131),0,$AH131*AO131)</f>
        <v>0</v>
      </c>
      <c r="BT131" s="141">
        <f t="shared" si="656"/>
        <v>0</v>
      </c>
      <c r="BU131" s="141">
        <f t="shared" si="656"/>
        <v>0</v>
      </c>
      <c r="BV131" s="141">
        <f t="shared" si="656"/>
        <v>0</v>
      </c>
      <c r="BW131" s="141">
        <f t="shared" si="656"/>
        <v>0</v>
      </c>
      <c r="BX131" s="141">
        <f t="shared" si="656"/>
        <v>0</v>
      </c>
      <c r="BY131" s="141">
        <f t="shared" si="656"/>
        <v>0</v>
      </c>
      <c r="BZ131" s="141">
        <f t="shared" si="656"/>
        <v>0</v>
      </c>
      <c r="CA131" s="141">
        <f t="shared" si="656"/>
        <v>0</v>
      </c>
      <c r="CB131" s="141">
        <f t="shared" si="656"/>
        <v>0</v>
      </c>
      <c r="CC131" s="141">
        <f t="shared" si="656"/>
        <v>0</v>
      </c>
      <c r="CD131" s="141">
        <f t="shared" si="656"/>
        <v>0</v>
      </c>
      <c r="CE131" s="141">
        <f t="shared" si="656"/>
        <v>0</v>
      </c>
      <c r="CF131" s="141">
        <f t="shared" si="656"/>
        <v>0</v>
      </c>
      <c r="CG131" s="141">
        <f t="shared" si="656"/>
        <v>0</v>
      </c>
      <c r="CH131" s="141">
        <f t="shared" si="656"/>
        <v>0</v>
      </c>
      <c r="CI131" s="141">
        <f t="shared" si="656"/>
        <v>0</v>
      </c>
      <c r="CJ131" s="141">
        <f t="shared" si="656"/>
        <v>0</v>
      </c>
      <c r="CK131" s="141">
        <f t="shared" si="656"/>
        <v>0</v>
      </c>
      <c r="CL131" s="141">
        <f t="shared" si="656"/>
        <v>0</v>
      </c>
      <c r="CM131" s="141">
        <f t="shared" si="656"/>
        <v>0</v>
      </c>
      <c r="CN131" s="141">
        <f t="shared" si="656"/>
        <v>0</v>
      </c>
      <c r="CO131" s="141">
        <f t="shared" si="656"/>
        <v>0</v>
      </c>
      <c r="CP131" s="141">
        <f t="shared" si="656"/>
        <v>0</v>
      </c>
      <c r="CQ131" s="141">
        <f t="shared" si="656"/>
        <v>0</v>
      </c>
      <c r="CR131" s="141">
        <f t="shared" si="656"/>
        <v>0</v>
      </c>
      <c r="CS131" s="141">
        <f t="shared" si="656"/>
        <v>0</v>
      </c>
      <c r="CT131" s="141">
        <f t="shared" si="656"/>
        <v>0</v>
      </c>
      <c r="CU131" s="141">
        <f t="shared" si="656"/>
        <v>0</v>
      </c>
      <c r="CV131" s="141">
        <f t="shared" si="656"/>
        <v>0</v>
      </c>
      <c r="CW131" s="142">
        <f t="shared" ref="CW131:DZ131" si="657">EA131*$AH131*$AJ131</f>
        <v>0</v>
      </c>
      <c r="CX131" s="142">
        <f t="shared" si="657"/>
        <v>0</v>
      </c>
      <c r="CY131" s="142">
        <f t="shared" si="657"/>
        <v>0</v>
      </c>
      <c r="CZ131" s="142">
        <f t="shared" si="657"/>
        <v>0</v>
      </c>
      <c r="DA131" s="142">
        <f t="shared" si="657"/>
        <v>0</v>
      </c>
      <c r="DB131" s="142">
        <f t="shared" si="657"/>
        <v>0</v>
      </c>
      <c r="DC131" s="142">
        <f t="shared" si="657"/>
        <v>0</v>
      </c>
      <c r="DD131" s="142">
        <f t="shared" si="657"/>
        <v>0</v>
      </c>
      <c r="DE131" s="142">
        <f t="shared" si="657"/>
        <v>0</v>
      </c>
      <c r="DF131" s="142">
        <f t="shared" si="657"/>
        <v>0</v>
      </c>
      <c r="DG131" s="142">
        <f t="shared" si="657"/>
        <v>0</v>
      </c>
      <c r="DH131" s="142">
        <f t="shared" si="657"/>
        <v>0</v>
      </c>
      <c r="DI131" s="142">
        <f t="shared" si="657"/>
        <v>0</v>
      </c>
      <c r="DJ131" s="142">
        <f t="shared" si="657"/>
        <v>0</v>
      </c>
      <c r="DK131" s="142">
        <f t="shared" si="657"/>
        <v>0</v>
      </c>
      <c r="DL131" s="142">
        <f t="shared" si="657"/>
        <v>0</v>
      </c>
      <c r="DM131" s="142">
        <f t="shared" si="657"/>
        <v>0</v>
      </c>
      <c r="DN131" s="142">
        <f t="shared" si="657"/>
        <v>0</v>
      </c>
      <c r="DO131" s="142">
        <f t="shared" si="657"/>
        <v>0</v>
      </c>
      <c r="DP131" s="142">
        <f t="shared" si="657"/>
        <v>0</v>
      </c>
      <c r="DQ131" s="142">
        <f t="shared" si="657"/>
        <v>0</v>
      </c>
      <c r="DR131" s="142">
        <f t="shared" si="657"/>
        <v>0</v>
      </c>
      <c r="DS131" s="142">
        <f t="shared" si="657"/>
        <v>0</v>
      </c>
      <c r="DT131" s="142">
        <f t="shared" si="657"/>
        <v>0</v>
      </c>
      <c r="DU131" s="142">
        <f t="shared" si="657"/>
        <v>0</v>
      </c>
      <c r="DV131" s="142">
        <f t="shared" si="657"/>
        <v>0</v>
      </c>
      <c r="DW131" s="142">
        <f t="shared" si="657"/>
        <v>0</v>
      </c>
      <c r="DX131" s="142">
        <f t="shared" si="657"/>
        <v>0</v>
      </c>
      <c r="DY131" s="142">
        <f t="shared" si="657"/>
        <v>0</v>
      </c>
      <c r="DZ131" s="142">
        <f t="shared" si="657"/>
        <v>0</v>
      </c>
      <c r="EA131" s="143">
        <f t="shared" si="504"/>
        <v>0</v>
      </c>
      <c r="EB131" s="143">
        <f t="shared" si="505"/>
        <v>0</v>
      </c>
      <c r="EC131" s="143">
        <f t="shared" si="506"/>
        <v>0</v>
      </c>
      <c r="ED131" s="143">
        <f t="shared" si="507"/>
        <v>0</v>
      </c>
      <c r="EE131" s="143">
        <f t="shared" si="508"/>
        <v>0</v>
      </c>
      <c r="EF131" s="143">
        <f t="shared" si="509"/>
        <v>0</v>
      </c>
      <c r="EG131" s="143">
        <f t="shared" si="510"/>
        <v>0</v>
      </c>
      <c r="EH131" s="143">
        <f t="shared" si="511"/>
        <v>0</v>
      </c>
      <c r="EI131" s="143">
        <f t="shared" si="512"/>
        <v>0</v>
      </c>
      <c r="EJ131" s="143">
        <f t="shared" si="513"/>
        <v>0</v>
      </c>
      <c r="EK131" s="143">
        <f t="shared" si="514"/>
        <v>0</v>
      </c>
      <c r="EL131" s="143">
        <f t="shared" si="515"/>
        <v>0</v>
      </c>
      <c r="EM131" s="143">
        <f t="shared" si="516"/>
        <v>0</v>
      </c>
      <c r="EN131" s="143">
        <f t="shared" si="517"/>
        <v>0</v>
      </c>
      <c r="EO131" s="143">
        <f t="shared" si="518"/>
        <v>0</v>
      </c>
      <c r="EP131" s="143">
        <f t="shared" si="519"/>
        <v>0</v>
      </c>
      <c r="EQ131" s="143">
        <f t="shared" si="520"/>
        <v>0</v>
      </c>
      <c r="ER131" s="143">
        <f t="shared" si="521"/>
        <v>0</v>
      </c>
      <c r="ES131" s="143">
        <f t="shared" si="522"/>
        <v>0</v>
      </c>
      <c r="ET131" s="143">
        <f t="shared" si="523"/>
        <v>0</v>
      </c>
      <c r="EU131" s="143">
        <f t="shared" si="524"/>
        <v>0</v>
      </c>
      <c r="EV131" s="143">
        <f t="shared" si="525"/>
        <v>0</v>
      </c>
      <c r="EW131" s="143">
        <f t="shared" si="526"/>
        <v>0</v>
      </c>
      <c r="EX131" s="143">
        <f t="shared" si="527"/>
        <v>0</v>
      </c>
      <c r="EY131" s="143">
        <f t="shared" si="528"/>
        <v>0</v>
      </c>
      <c r="EZ131" s="143">
        <f t="shared" si="529"/>
        <v>0</v>
      </c>
      <c r="FA131" s="143">
        <f t="shared" si="530"/>
        <v>0</v>
      </c>
      <c r="FB131" s="143">
        <f t="shared" si="531"/>
        <v>0</v>
      </c>
      <c r="FC131" s="143">
        <f t="shared" si="532"/>
        <v>0</v>
      </c>
      <c r="FD131" s="143">
        <f t="shared" si="533"/>
        <v>0</v>
      </c>
      <c r="FE131" s="140">
        <f>SUM($D131:D131)*IF($B131="Operacional",IFERROR(VLOOKUP($C131,SN_UGC,28,0),0),1)</f>
        <v>0</v>
      </c>
      <c r="FF131" s="140">
        <f>SUM($D131:E131)*IF($B131="Operacional",IFERROR(VLOOKUP($C131,SN_UGC,28,0),0),1)</f>
        <v>0</v>
      </c>
      <c r="FG131" s="140">
        <f>SUM($D131:F131)*IF($B131="Operacional",IFERROR(VLOOKUP($C131,SN_UGC,28,0),0),1)</f>
        <v>0</v>
      </c>
      <c r="FH131" s="140">
        <f>SUM($D131:G131)*IF($B131="Operacional",IFERROR(VLOOKUP($C131,SN_UGC,28,0),0),1)</f>
        <v>0</v>
      </c>
      <c r="FI131" s="140">
        <f>SUM($D131:H131)*IF($B131="Operacional",IFERROR(VLOOKUP($C131,SN_UGC,28,0),0),1)</f>
        <v>0</v>
      </c>
      <c r="FJ131" s="140">
        <f>SUM($D131:I131)*IF($B131="Operacional",IFERROR(VLOOKUP($C131,SN_UGC,28,0),0),1)</f>
        <v>0</v>
      </c>
      <c r="FK131" s="140">
        <f>SUM($D131:J131)*IF($B131="Operacional",IFERROR(VLOOKUP($C131,SN_UGC,28,0),0),1)</f>
        <v>0</v>
      </c>
      <c r="FL131" s="140">
        <f>SUM($D131:K131)*IF($B131="Operacional",IFERROR(VLOOKUP($C131,SN_UGC,28,0),0),1)</f>
        <v>0</v>
      </c>
      <c r="FM131" s="140">
        <f>SUM($D131:L131)*IF($B131="Operacional",IFERROR(VLOOKUP($C131,SN_UGC,28,0),0),1)</f>
        <v>0</v>
      </c>
      <c r="FN131" s="140">
        <f>SUM($D131:M131)*IF($B131="Operacional",IFERROR(VLOOKUP($C131,SN_UGC,28,0),0),1)</f>
        <v>0</v>
      </c>
      <c r="FO131" s="140">
        <f>SUM($D131:N131)*IF($B131="Operacional",IFERROR(VLOOKUP($C131,SN_UGC,28,0),0),1)</f>
        <v>0</v>
      </c>
      <c r="FP131" s="140">
        <f>SUM($D131:O131)*IF($B131="Operacional",IFERROR(VLOOKUP($C131,SN_UGC,28,0),0),1)</f>
        <v>0</v>
      </c>
      <c r="FQ131" s="140">
        <f>SUM($D131:P131)*IF($B131="Operacional",IFERROR(VLOOKUP($C131,SN_UGC,28,0),0),1)</f>
        <v>0</v>
      </c>
      <c r="FR131" s="140">
        <f>SUM($D131:Q131)*IF($B131="Operacional",IFERROR(VLOOKUP($C131,SN_UGC,28,0),0),1)</f>
        <v>0</v>
      </c>
      <c r="FS131" s="140">
        <f>SUM($D131:R131)*IF($B131="Operacional",IFERROR(VLOOKUP($C131,SN_UGC,28,0),0),1)</f>
        <v>0</v>
      </c>
      <c r="FT131" s="140">
        <f>SUM($D131:S131)*IF($B131="Operacional",IFERROR(VLOOKUP($C131,SN_UGC,28,0),0),1)</f>
        <v>0</v>
      </c>
      <c r="FU131" s="140">
        <f>SUM($D131:T131)*IF($B131="Operacional",IFERROR(VLOOKUP($C131,SN_UGC,28,0),0),1)</f>
        <v>0</v>
      </c>
      <c r="FV131" s="140">
        <f>SUM($D131:U131)*IF($B131="Operacional",IFERROR(VLOOKUP($C131,SN_UGC,28,0),0),1)</f>
        <v>0</v>
      </c>
      <c r="FW131" s="140">
        <f>SUM($D131:V131)*IF($B131="Operacional",IFERROR(VLOOKUP($C131,SN_UGC,28,0),0),1)</f>
        <v>0</v>
      </c>
      <c r="FX131" s="140">
        <f>SUM($D131:W131)*IF($B131="Operacional",IFERROR(VLOOKUP($C131,SN_UGC,28,0),0),1)</f>
        <v>0</v>
      </c>
      <c r="FY131" s="140">
        <f>SUM($D131:X131)*IF($B131="Operacional",IFERROR(VLOOKUP($C131,SN_UGC,28,0),0),1)</f>
        <v>0</v>
      </c>
      <c r="FZ131" s="140">
        <f>SUM($D131:Y131)*IF($B131="Operacional",IFERROR(VLOOKUP($C131,SN_UGC,28,0),0),1)</f>
        <v>0</v>
      </c>
      <c r="GA131" s="140">
        <f>SUM($D131:Z131)*IF($B131="Operacional",IFERROR(VLOOKUP($C131,SN_UGC,28,0),0),1)</f>
        <v>0</v>
      </c>
      <c r="GB131" s="140">
        <f>SUM($D131:AA131)*IF($B131="Operacional",IFERROR(VLOOKUP($C131,SN_UGC,28,0),0),1)</f>
        <v>0</v>
      </c>
      <c r="GC131" s="140">
        <f>SUM($D131:AB131)*IF($B131="Operacional",IFERROR(VLOOKUP($C131,SN_UGC,28,0),0),1)</f>
        <v>0</v>
      </c>
      <c r="GD131" s="140">
        <f>SUM($D131:AC131)*IF($B131="Operacional",IFERROR(VLOOKUP($C131,SN_UGC,28,0),0),1)</f>
        <v>0</v>
      </c>
      <c r="GE131" s="140">
        <f>SUM($D131:AD131)*IF($B131="Operacional",IFERROR(VLOOKUP($C131,SN_UGC,28,0),0),1)</f>
        <v>0</v>
      </c>
      <c r="GF131" s="140">
        <f>SUM($D131:AE131)*IF($B131="Operacional",IFERROR(VLOOKUP($C131,SN_UGC,28,0),0),1)</f>
        <v>0</v>
      </c>
      <c r="GG131" s="140">
        <f>SUM($D131:AF131)*IF($B131="Operacional",IFERROR(VLOOKUP($C131,SN_UGC,28,0),0),1)</f>
        <v>0</v>
      </c>
      <c r="GH131" s="140">
        <f>SUM($D131:AG131)*IF($B131="Operacional",IFERROR(VLOOKUP($C131,SN_UGC,28,0),0),1)</f>
        <v>0</v>
      </c>
      <c r="GI131" s="141">
        <f t="shared" ref="GI131:HL131" si="658">FE131*$AH131*$AL131</f>
        <v>0</v>
      </c>
      <c r="GJ131" s="141">
        <f t="shared" si="658"/>
        <v>0</v>
      </c>
      <c r="GK131" s="141">
        <f t="shared" si="658"/>
        <v>0</v>
      </c>
      <c r="GL131" s="141">
        <f t="shared" si="658"/>
        <v>0</v>
      </c>
      <c r="GM131" s="141">
        <f t="shared" si="658"/>
        <v>0</v>
      </c>
      <c r="GN131" s="141">
        <f t="shared" si="658"/>
        <v>0</v>
      </c>
      <c r="GO131" s="141">
        <f t="shared" si="658"/>
        <v>0</v>
      </c>
      <c r="GP131" s="141">
        <f t="shared" si="658"/>
        <v>0</v>
      </c>
      <c r="GQ131" s="141">
        <f t="shared" si="658"/>
        <v>0</v>
      </c>
      <c r="GR131" s="141">
        <f t="shared" si="658"/>
        <v>0</v>
      </c>
      <c r="GS131" s="141">
        <f t="shared" si="658"/>
        <v>0</v>
      </c>
      <c r="GT131" s="141">
        <f t="shared" si="658"/>
        <v>0</v>
      </c>
      <c r="GU131" s="141">
        <f t="shared" si="658"/>
        <v>0</v>
      </c>
      <c r="GV131" s="141">
        <f t="shared" si="658"/>
        <v>0</v>
      </c>
      <c r="GW131" s="141">
        <f t="shared" si="658"/>
        <v>0</v>
      </c>
      <c r="GX131" s="141">
        <f t="shared" si="658"/>
        <v>0</v>
      </c>
      <c r="GY131" s="141">
        <f t="shared" si="658"/>
        <v>0</v>
      </c>
      <c r="GZ131" s="141">
        <f t="shared" si="658"/>
        <v>0</v>
      </c>
      <c r="HA131" s="141">
        <f t="shared" si="658"/>
        <v>0</v>
      </c>
      <c r="HB131" s="141">
        <f t="shared" si="658"/>
        <v>0</v>
      </c>
      <c r="HC131" s="141">
        <f t="shared" si="658"/>
        <v>0</v>
      </c>
      <c r="HD131" s="141">
        <f t="shared" si="658"/>
        <v>0</v>
      </c>
      <c r="HE131" s="141">
        <f t="shared" si="658"/>
        <v>0</v>
      </c>
      <c r="HF131" s="141">
        <f t="shared" si="658"/>
        <v>0</v>
      </c>
      <c r="HG131" s="141">
        <f t="shared" si="658"/>
        <v>0</v>
      </c>
      <c r="HH131" s="141">
        <f t="shared" si="658"/>
        <v>0</v>
      </c>
      <c r="HI131" s="141">
        <f t="shared" si="658"/>
        <v>0</v>
      </c>
      <c r="HJ131" s="141">
        <f t="shared" si="658"/>
        <v>0</v>
      </c>
      <c r="HK131" s="141">
        <f t="shared" si="658"/>
        <v>0</v>
      </c>
      <c r="HL131" s="141">
        <f t="shared" si="658"/>
        <v>0</v>
      </c>
      <c r="HM131" s="142">
        <f t="shared" ref="HM131:IP131" si="659">IF(ISBLANK($A131),,FE131*($AH131-($AH131*$AJ131))/$AI131)</f>
        <v>0</v>
      </c>
      <c r="HN131" s="142">
        <f t="shared" si="659"/>
        <v>0</v>
      </c>
      <c r="HO131" s="142">
        <f t="shared" si="659"/>
        <v>0</v>
      </c>
      <c r="HP131" s="142">
        <f t="shared" si="659"/>
        <v>0</v>
      </c>
      <c r="HQ131" s="142">
        <f t="shared" si="659"/>
        <v>0</v>
      </c>
      <c r="HR131" s="142">
        <f t="shared" si="659"/>
        <v>0</v>
      </c>
      <c r="HS131" s="142">
        <f t="shared" si="659"/>
        <v>0</v>
      </c>
      <c r="HT131" s="142">
        <f t="shared" si="659"/>
        <v>0</v>
      </c>
      <c r="HU131" s="142">
        <f t="shared" si="659"/>
        <v>0</v>
      </c>
      <c r="HV131" s="142">
        <f t="shared" si="659"/>
        <v>0</v>
      </c>
      <c r="HW131" s="142">
        <f t="shared" si="659"/>
        <v>0</v>
      </c>
      <c r="HX131" s="142">
        <f t="shared" si="659"/>
        <v>0</v>
      </c>
      <c r="HY131" s="142">
        <f t="shared" si="659"/>
        <v>0</v>
      </c>
      <c r="HZ131" s="142">
        <f t="shared" si="659"/>
        <v>0</v>
      </c>
      <c r="IA131" s="142">
        <f t="shared" si="659"/>
        <v>0</v>
      </c>
      <c r="IB131" s="142">
        <f t="shared" si="659"/>
        <v>0</v>
      </c>
      <c r="IC131" s="142">
        <f t="shared" si="659"/>
        <v>0</v>
      </c>
      <c r="ID131" s="142">
        <f t="shared" si="659"/>
        <v>0</v>
      </c>
      <c r="IE131" s="142">
        <f t="shared" si="659"/>
        <v>0</v>
      </c>
      <c r="IF131" s="142">
        <f t="shared" si="659"/>
        <v>0</v>
      </c>
      <c r="IG131" s="142">
        <f t="shared" si="659"/>
        <v>0</v>
      </c>
      <c r="IH131" s="142">
        <f t="shared" si="659"/>
        <v>0</v>
      </c>
      <c r="II131" s="142">
        <f t="shared" si="659"/>
        <v>0</v>
      </c>
      <c r="IJ131" s="142">
        <f t="shared" si="659"/>
        <v>0</v>
      </c>
      <c r="IK131" s="142">
        <f t="shared" si="659"/>
        <v>0</v>
      </c>
      <c r="IL131" s="142">
        <f t="shared" si="659"/>
        <v>0</v>
      </c>
      <c r="IM131" s="142">
        <f t="shared" si="659"/>
        <v>0</v>
      </c>
      <c r="IN131" s="142">
        <f t="shared" si="659"/>
        <v>0</v>
      </c>
      <c r="IO131" s="142">
        <f t="shared" si="659"/>
        <v>0</v>
      </c>
      <c r="IP131" s="142">
        <f t="shared" si="659"/>
        <v>0</v>
      </c>
      <c r="IQ131" s="141">
        <f>IF(ISBLANK($A131),,IF($AN131="Não",0,(SUM($AO131:AO131)*$AH131)-SUM($HM131:HM131)-SUM($CW131:CW131)))</f>
        <v>0</v>
      </c>
      <c r="IR131" s="141">
        <f>IF(ISBLANK($A131),,IF($AN131="Não",0,(SUM($AO131:AP131)*$AH131)-SUM($HM131:HN131)-SUM($CW131:CX131)))</f>
        <v>0</v>
      </c>
      <c r="IS131" s="141">
        <f>IF(ISBLANK($A131),,IF($AN131="Não",0,(SUM($AO131:AQ131)*$AH131)-SUM($HM131:HO131)-SUM($CW131:CY131)))</f>
        <v>0</v>
      </c>
      <c r="IT131" s="141">
        <f>IF(ISBLANK($A131),,IF($AN131="Não",0,(SUM($AO131:AR131)*$AH131)-SUM($HM131:HP131)-SUM($CW131:CZ131)))</f>
        <v>0</v>
      </c>
      <c r="IU131" s="141">
        <f>IF(ISBLANK($A131),,IF($AN131="Não",0,(SUM($AO131:AS131)*$AH131)-SUM($HM131:HQ131)-SUM($CW131:DA131)))</f>
        <v>0</v>
      </c>
      <c r="IV131" s="141">
        <f>IF(ISBLANK($A131),,IF($AN131="Não",0,(SUM($AO131:AT131)*$AH131)-SUM($HM131:HR131)-SUM($CW131:DB131)))</f>
        <v>0</v>
      </c>
      <c r="IW131" s="141">
        <f>IF(ISBLANK($A131),,IF($AN131="Não",0,(SUM($AO131:AU131)*$AH131)-SUM($HM131:HS131)-SUM($CW131:DC131)))</f>
        <v>0</v>
      </c>
      <c r="IX131" s="141">
        <f>IF(ISBLANK($A131),,IF($AN131="Não",0,(SUM($AO131:AV131)*$AH131)-SUM($HM131:HT131)-SUM($CW131:DD131)))</f>
        <v>0</v>
      </c>
      <c r="IY131" s="141">
        <f>IF(ISBLANK($A131),,IF($AN131="Não",0,(SUM($AO131:AW131)*$AH131)-SUM($HM131:HU131)-SUM($CW131:DE131)))</f>
        <v>0</v>
      </c>
      <c r="IZ131" s="141">
        <f>IF(ISBLANK($A131),,IF($AN131="Não",0,(SUM($AO131:AX131)*$AH131)-SUM($HM131:HV131)-SUM($CW131:DF131)))</f>
        <v>0</v>
      </c>
      <c r="JA131" s="141">
        <f>IF(ISBLANK($A131),,IF($AN131="Não",0,(SUM($AO131:AY131)*$AH131)-SUM($HM131:HW131)-SUM($CW131:DG131)))</f>
        <v>0</v>
      </c>
      <c r="JB131" s="141">
        <f>IF(ISBLANK($A131),,IF($AN131="Não",0,(SUM($AO131:AZ131)*$AH131)-SUM($HM131:HX131)-SUM($CW131:DH131)))</f>
        <v>0</v>
      </c>
      <c r="JC131" s="141">
        <f>IF(ISBLANK($A131),,IF($AN131="Não",0,(SUM($AO131:BA131)*$AH131)-SUM($HM131:HY131)-SUM($CW131:DI131)))</f>
        <v>0</v>
      </c>
      <c r="JD131" s="141">
        <f>IF(ISBLANK($A131),,IF($AN131="Não",0,(SUM($AO131:BB131)*$AH131)-SUM($HM131:HZ131)-SUM($CW131:DJ131)))</f>
        <v>0</v>
      </c>
      <c r="JE131" s="141">
        <f>IF(ISBLANK($A131),,IF($AN131="Não",0,(SUM($AO131:BC131)*$AH131)-SUM($HM131:IA131)-SUM($CW131:DK131)))</f>
        <v>0</v>
      </c>
      <c r="JF131" s="141">
        <f>IF(ISBLANK($A131),,IF($AN131="Não",0,(SUM($AO131:BD131)*$AH131)-SUM($HM131:IB131)-SUM($CW131:DL131)))</f>
        <v>0</v>
      </c>
      <c r="JG131" s="141">
        <f>IF(ISBLANK($A131),,IF($AN131="Não",0,(SUM($AO131:BE131)*$AH131)-SUM($HM131:IC131)-SUM($CW131:DM131)))</f>
        <v>0</v>
      </c>
      <c r="JH131" s="141">
        <f>IF(ISBLANK($A131),,IF($AN131="Não",0,(SUM($AO131:BF131)*$AH131)-SUM($HM131:ID131)-SUM($CW131:DN131)))</f>
        <v>0</v>
      </c>
      <c r="JI131" s="141">
        <f>IF(ISBLANK($A131),,IF($AN131="Não",0,(SUM($AO131:BG131)*$AH131)-SUM($HM131:IE131)-SUM($CW131:DO131)))</f>
        <v>0</v>
      </c>
      <c r="JJ131" s="141">
        <f>IF(ISBLANK($A131),,IF($AN131="Não",0,(SUM($AO131:BH131)*$AH131)-SUM($HM131:IF131)-SUM($CW131:DP131)))</f>
        <v>0</v>
      </c>
      <c r="JK131" s="141">
        <f>IF(ISBLANK($A131),,IF($AN131="Não",0,(SUM($AO131:BI131)*$AH131)-SUM($HM131:IG131)-SUM($CW131:DQ131)))</f>
        <v>0</v>
      </c>
      <c r="JL131" s="141">
        <f>IF(ISBLANK($A131),,IF($AN131="Não",0,(SUM($AO131:BJ131)*$AH131)-SUM($HM131:IH131)-SUM($CW131:DR131)))</f>
        <v>0</v>
      </c>
      <c r="JM131" s="141">
        <f>IF(ISBLANK($A131),,IF($AN131="Não",0,(SUM($AO131:BK131)*$AH131)-SUM($HM131:II131)-SUM($CW131:DS131)))</f>
        <v>0</v>
      </c>
      <c r="JN131" s="141">
        <f>IF(ISBLANK($A131),,IF($AN131="Não",0,(SUM($AO131:BL131)*$AH131)-SUM($HM131:IJ131)-SUM($CW131:DT131)))</f>
        <v>0</v>
      </c>
      <c r="JO131" s="141">
        <f>IF(ISBLANK($A131),,IF($AN131="Não",0,(SUM($AO131:BM131)*$AH131)-SUM($HM131:IK131)-SUM($CW131:DU131)))</f>
        <v>0</v>
      </c>
      <c r="JP131" s="141">
        <f>IF(ISBLANK($A131),,IF($AN131="Não",0,(SUM($AO131:BN131)*$AH131)-SUM($HM131:IL131)-SUM($CW131:DV131)))</f>
        <v>0</v>
      </c>
      <c r="JQ131" s="141">
        <f>IF(ISBLANK($A131),,IF($AN131="Não",0,(SUM($AO131:BO131)*$AH131)-SUM($HM131:IM131)-SUM($CW131:DW131)))</f>
        <v>0</v>
      </c>
      <c r="JR131" s="141">
        <f>IF(ISBLANK($A131),,IF($AN131="Não",0,(SUM($AO131:BP131)*$AH131)-SUM($HM131:IN131)-SUM($CW131:DX131)))</f>
        <v>0</v>
      </c>
      <c r="JS131" s="141">
        <f>IF(ISBLANK($A131),,IF($AN131="Não",0,(SUM($AO131:BQ131)*$AH131)-SUM($HM131:IO131)-SUM($CW131:DY131)))</f>
        <v>0</v>
      </c>
      <c r="JT131" s="141">
        <f>IF(ISBLANK($A131),,IF($AN131="Não",0,(SUM($AO131:BR131)*$AH131)-SUM($HM131:IP131)-SUM($CW131:DZ131)))</f>
        <v>0</v>
      </c>
    </row>
    <row r="132" spans="1:280" ht="15.75" customHeight="1">
      <c r="A132" s="129"/>
      <c r="B132" s="129"/>
      <c r="C132" s="138"/>
      <c r="D132" s="139"/>
      <c r="E132" s="139"/>
      <c r="F132" s="139"/>
      <c r="G132" s="139"/>
      <c r="H132" s="139"/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607">
        <f t="shared" si="544"/>
        <v>0</v>
      </c>
      <c r="AI132" s="608">
        <f t="shared" si="545"/>
        <v>0</v>
      </c>
      <c r="AJ132" s="609">
        <f t="shared" si="546"/>
        <v>0</v>
      </c>
      <c r="AK132" s="610" t="str">
        <f t="shared" si="547"/>
        <v/>
      </c>
      <c r="AL132" s="609">
        <f t="shared" si="548"/>
        <v>0</v>
      </c>
      <c r="AM132" s="611" t="str">
        <f t="shared" si="549"/>
        <v/>
      </c>
      <c r="AN132" s="611" t="str">
        <f t="shared" si="550"/>
        <v/>
      </c>
      <c r="AO132" s="140">
        <f t="array" ref="AO132">IF(ISBLANK($A132),0,IF(OR(AO$5-$AI132&lt;=0,$AM132="Não"),D132,D132+INDEX($AO$6:$BR$176,ROW()-5,COLUMN()-40-$AI132)))*IF($B132="Operacional",IFERROR(VLOOKUP($C132,SN_UGC,28,0),0),1)</f>
        <v>0</v>
      </c>
      <c r="AP132" s="140">
        <f t="array" ref="AP132">IF(ISBLANK($A132),0,IF(OR(AP$5-$AI132&lt;=0,$AM132="Não"),E132,E132+INDEX($AO$6:$BR$176,ROW()-5,COLUMN()-40-$AI132)))*IF($B132="Operacional",IFERROR(VLOOKUP($C132,SN_UGC,28,0),0),1)</f>
        <v>0</v>
      </c>
      <c r="AQ132" s="140">
        <f t="array" ref="AQ132">IF(ISBLANK($A132),0,IF(OR(AQ$5-$AI132&lt;=0,$AM132="Não"),F132,F132+INDEX($AO$6:$BR$176,ROW()-5,COLUMN()-40-$AI132)))*IF($B132="Operacional",IFERROR(VLOOKUP($C132,SN_UGC,28,0),0),1)</f>
        <v>0</v>
      </c>
      <c r="AR132" s="140">
        <f t="array" ref="AR132">IF(ISBLANK($A132),0,IF(OR(AR$5-$AI132&lt;=0,$AM132="Não"),G132,G132+INDEX($AO$6:$BR$176,ROW()-5,COLUMN()-40-$AI132)))*IF($B132="Operacional",IFERROR(VLOOKUP($C132,SN_UGC,28,0),0),1)</f>
        <v>0</v>
      </c>
      <c r="AS132" s="140">
        <f t="array" ref="AS132">IF(ISBLANK($A132),0,IF(OR(AS$5-$AI132&lt;=0,$AM132="Não"),H132,H132+INDEX($AO$6:$BR$176,ROW()-5,COLUMN()-40-$AI132)))*IF($B132="Operacional",IFERROR(VLOOKUP($C132,SN_UGC,28,0),0),1)</f>
        <v>0</v>
      </c>
      <c r="AT132" s="140">
        <f t="array" ref="AT132">IF(ISBLANK($A132),0,IF(OR(AT$5-$AI132&lt;=0,$AM132="Não"),I132,I132+INDEX($AO$6:$BR$176,ROW()-5,COLUMN()-40-$AI132)))*IF($B132="Operacional",IFERROR(VLOOKUP($C132,SN_UGC,28,0),0),1)</f>
        <v>0</v>
      </c>
      <c r="AU132" s="140">
        <f t="array" ref="AU132">IF(ISBLANK($A132),0,IF(OR(AU$5-$AI132&lt;=0,$AM132="Não"),J132,J132+INDEX($AO$6:$BR$176,ROW()-5,COLUMN()-40-$AI132)))*IF($B132="Operacional",IFERROR(VLOOKUP($C132,SN_UGC,28,0),0),1)</f>
        <v>0</v>
      </c>
      <c r="AV132" s="140">
        <f t="array" ref="AV132">IF(ISBLANK($A132),0,IF(OR(AV$5-$AI132&lt;=0,$AM132="Não"),K132,K132+INDEX($AO$6:$BR$176,ROW()-5,COLUMN()-40-$AI132)))*IF($B132="Operacional",IFERROR(VLOOKUP($C132,SN_UGC,28,0),0),1)</f>
        <v>0</v>
      </c>
      <c r="AW132" s="140">
        <f t="array" ref="AW132">IF(ISBLANK($A132),0,IF(OR(AW$5-$AI132&lt;=0,$AM132="Não"),L132,L132+INDEX($AO$6:$BR$176,ROW()-5,COLUMN()-40-$AI132)))*IF($B132="Operacional",IFERROR(VLOOKUP($C132,SN_UGC,28,0),0),1)</f>
        <v>0</v>
      </c>
      <c r="AX132" s="140">
        <f t="array" ref="AX132">IF(ISBLANK($A132),0,IF(OR(AX$5-$AI132&lt;=0,$AM132="Não"),M132,M132+INDEX($AO$6:$BR$176,ROW()-5,COLUMN()-40-$AI132)))*IF($B132="Operacional",IFERROR(VLOOKUP($C132,SN_UGC,28,0),0),1)</f>
        <v>0</v>
      </c>
      <c r="AY132" s="140">
        <f t="array" ref="AY132">IF(ISBLANK($A132),0,IF(OR(AY$5-$AI132&lt;=0,$AM132="Não"),N132,N132+INDEX($AO$6:$BR$176,ROW()-5,COLUMN()-40-$AI132)))*IF($B132="Operacional",IFERROR(VLOOKUP($C132,SN_UGC,28,0),0),1)</f>
        <v>0</v>
      </c>
      <c r="AZ132" s="140">
        <f t="array" ref="AZ132">IF(ISBLANK($A132),0,IF(OR(AZ$5-$AI132&lt;=0,$AM132="Não"),O132,O132+INDEX($AO$6:$BR$176,ROW()-5,COLUMN()-40-$AI132)))*IF($B132="Operacional",IFERROR(VLOOKUP($C132,SN_UGC,28,0),0),1)</f>
        <v>0</v>
      </c>
      <c r="BA132" s="140">
        <f t="array" ref="BA132">IF(ISBLANK($A132),0,IF(OR(BA$5-$AI132&lt;=0,$AM132="Não"),P132,P132+INDEX($AO$6:$BR$176,ROW()-5,COLUMN()-40-$AI132)))*IF($B132="Operacional",IFERROR(VLOOKUP($C132,SN_UGC,28,0),0),1)</f>
        <v>0</v>
      </c>
      <c r="BB132" s="140">
        <f t="array" ref="BB132">IF(ISBLANK($A132),0,IF(OR(BB$5-$AI132&lt;=0,$AM132="Não"),Q132,Q132+INDEX($AO$6:$BR$176,ROW()-5,COLUMN()-40-$AI132)))*IF($B132="Operacional",IFERROR(VLOOKUP($C132,SN_UGC,28,0),0),1)</f>
        <v>0</v>
      </c>
      <c r="BC132" s="140">
        <f t="array" ref="BC132">IF(ISBLANK($A132),0,IF(OR(BC$5-$AI132&lt;=0,$AM132="Não"),R132,R132+INDEX($AO$6:$BR$176,ROW()-5,COLUMN()-40-$AI132)))*IF($B132="Operacional",IFERROR(VLOOKUP($C132,SN_UGC,28,0),0),1)</f>
        <v>0</v>
      </c>
      <c r="BD132" s="140">
        <f t="array" ref="BD132">IF(ISBLANK($A132),0,IF(OR(BD$5-$AI132&lt;=0,$AM132="Não"),S132,S132+INDEX($AO$6:$BR$176,ROW()-5,COLUMN()-40-$AI132)))*IF($B132="Operacional",IFERROR(VLOOKUP($C132,SN_UGC,28,0),0),1)</f>
        <v>0</v>
      </c>
      <c r="BE132" s="140">
        <f t="array" ref="BE132">IF(ISBLANK($A132),0,IF(OR(BE$5-$AI132&lt;=0,$AM132="Não"),T132,T132+INDEX($AO$6:$BR$176,ROW()-5,COLUMN()-40-$AI132)))*IF($B132="Operacional",IFERROR(VLOOKUP($C132,SN_UGC,28,0),0),1)</f>
        <v>0</v>
      </c>
      <c r="BF132" s="140">
        <f t="array" ref="BF132">IF(ISBLANK($A132),0,IF(OR(BF$5-$AI132&lt;=0,$AM132="Não"),U132,U132+INDEX($AO$6:$BR$176,ROW()-5,COLUMN()-40-$AI132)))*IF($B132="Operacional",IFERROR(VLOOKUP($C132,SN_UGC,28,0),0),1)</f>
        <v>0</v>
      </c>
      <c r="BG132" s="140">
        <f t="array" ref="BG132">IF(ISBLANK($A132),0,IF(OR(BG$5-$AI132&lt;=0,$AM132="Não"),V132,V132+INDEX($AO$6:$BR$176,ROW()-5,COLUMN()-40-$AI132)))*IF($B132="Operacional",IFERROR(VLOOKUP($C132,SN_UGC,28,0),0),1)</f>
        <v>0</v>
      </c>
      <c r="BH132" s="140">
        <f t="array" ref="BH132">IF(ISBLANK($A132),0,IF(OR(BH$5-$AI132&lt;=0,$AM132="Não"),W132,W132+INDEX($AO$6:$BR$176,ROW()-5,COLUMN()-40-$AI132)))*IF($B132="Operacional",IFERROR(VLOOKUP($C132,SN_UGC,28,0),0),1)</f>
        <v>0</v>
      </c>
      <c r="BI132" s="140">
        <f t="array" ref="BI132">IF(ISBLANK($A132),0,IF(OR(BI$5-$AI132&lt;=0,$AM132="Não"),X132,X132+INDEX($AO$6:$BR$176,ROW()-5,COLUMN()-40-$AI132)))*IF($B132="Operacional",IFERROR(VLOOKUP($C132,SN_UGC,28,0),0),1)</f>
        <v>0</v>
      </c>
      <c r="BJ132" s="140">
        <f t="array" ref="BJ132">IF(ISBLANK($A132),0,IF(OR(BJ$5-$AI132&lt;=0,$AM132="Não"),Y132,Y132+INDEX($AO$6:$BR$176,ROW()-5,COLUMN()-40-$AI132)))*IF($B132="Operacional",IFERROR(VLOOKUP($C132,SN_UGC,28,0),0),1)</f>
        <v>0</v>
      </c>
      <c r="BK132" s="140">
        <f t="array" ref="BK132">IF(ISBLANK($A132),0,IF(OR(BK$5-$AI132&lt;=0,$AM132="Não"),Z132,Z132+INDEX($AO$6:$BR$176,ROW()-5,COLUMN()-40-$AI132)))*IF($B132="Operacional",IFERROR(VLOOKUP($C132,SN_UGC,28,0),0),1)</f>
        <v>0</v>
      </c>
      <c r="BL132" s="140">
        <f t="array" ref="BL132">IF(ISBLANK($A132),0,IF(OR(BL$5-$AI132&lt;=0,$AM132="Não"),AA132,AA132+INDEX($AO$6:$BR$176,ROW()-5,COLUMN()-40-$AI132)))*IF($B132="Operacional",IFERROR(VLOOKUP($C132,SN_UGC,28,0),0),1)</f>
        <v>0</v>
      </c>
      <c r="BM132" s="140">
        <f t="array" ref="BM132">IF(ISBLANK($A132),0,IF(OR(BM$5-$AI132&lt;=0,$AM132="Não"),AB132,AB132+INDEX($AO$6:$BR$176,ROW()-5,COLUMN()-40-$AI132)))*IF($B132="Operacional",IFERROR(VLOOKUP($C132,SN_UGC,28,0),0),1)</f>
        <v>0</v>
      </c>
      <c r="BN132" s="140">
        <f t="array" ref="BN132">IF(ISBLANK($A132),0,IF(OR(BN$5-$AI132&lt;=0,$AM132="Não"),AC132,AC132+INDEX($AO$6:$BR$176,ROW()-5,COLUMN()-40-$AI132)))*IF($B132="Operacional",IFERROR(VLOOKUP($C132,SN_UGC,28,0),0),1)</f>
        <v>0</v>
      </c>
      <c r="BO132" s="140">
        <f t="array" ref="BO132">IF(ISBLANK($A132),0,IF(OR(BO$5-$AI132&lt;=0,$AM132="Não"),AD132,AD132+INDEX($AO$6:$BR$176,ROW()-5,COLUMN()-40-$AI132)))*IF($B132="Operacional",IFERROR(VLOOKUP($C132,SN_UGC,28,0),0),1)</f>
        <v>0</v>
      </c>
      <c r="BP132" s="140">
        <f t="array" ref="BP132">IF(ISBLANK($A132),0,IF(OR(BP$5-$AI132&lt;=0,$AM132="Não"),AE132,AE132+INDEX($AO$6:$BR$176,ROW()-5,COLUMN()-40-$AI132)))*IF($B132="Operacional",IFERROR(VLOOKUP($C132,SN_UGC,28,0),0),1)</f>
        <v>0</v>
      </c>
      <c r="BQ132" s="140">
        <f t="array" ref="BQ132">IF(ISBLANK($A132),0,IF(OR(BQ$5-$AI132&lt;=0,$AM132="Não"),AF132,AF132+INDEX($AO$6:$BR$176,ROW()-5,COLUMN()-40-$AI132)))*IF($B132="Operacional",IFERROR(VLOOKUP($C132,SN_UGC,28,0),0),1)</f>
        <v>0</v>
      </c>
      <c r="BR132" s="140">
        <f t="array" ref="BR132">IF(ISBLANK($A132),0,IF(OR(BR$5-$AI132&lt;=0,$AM132="Não"),AG132,AG132+INDEX($AO$6:$BR$176,ROW()-5,COLUMN()-40-$AI132)))*IF($B132="Operacional",IFERROR(VLOOKUP($C132,SN_UGC,28,0),0),1)</f>
        <v>0</v>
      </c>
      <c r="BS132" s="141">
        <f t="shared" ref="BS132:CV132" si="660">IF(ISBLANK($A132),0,$AH132*AO132)</f>
        <v>0</v>
      </c>
      <c r="BT132" s="141">
        <f t="shared" si="660"/>
        <v>0</v>
      </c>
      <c r="BU132" s="141">
        <f t="shared" si="660"/>
        <v>0</v>
      </c>
      <c r="BV132" s="141">
        <f t="shared" si="660"/>
        <v>0</v>
      </c>
      <c r="BW132" s="141">
        <f t="shared" si="660"/>
        <v>0</v>
      </c>
      <c r="BX132" s="141">
        <f t="shared" si="660"/>
        <v>0</v>
      </c>
      <c r="BY132" s="141">
        <f t="shared" si="660"/>
        <v>0</v>
      </c>
      <c r="BZ132" s="141">
        <f t="shared" si="660"/>
        <v>0</v>
      </c>
      <c r="CA132" s="141">
        <f t="shared" si="660"/>
        <v>0</v>
      </c>
      <c r="CB132" s="141">
        <f t="shared" si="660"/>
        <v>0</v>
      </c>
      <c r="CC132" s="141">
        <f t="shared" si="660"/>
        <v>0</v>
      </c>
      <c r="CD132" s="141">
        <f t="shared" si="660"/>
        <v>0</v>
      </c>
      <c r="CE132" s="141">
        <f t="shared" si="660"/>
        <v>0</v>
      </c>
      <c r="CF132" s="141">
        <f t="shared" si="660"/>
        <v>0</v>
      </c>
      <c r="CG132" s="141">
        <f t="shared" si="660"/>
        <v>0</v>
      </c>
      <c r="CH132" s="141">
        <f t="shared" si="660"/>
        <v>0</v>
      </c>
      <c r="CI132" s="141">
        <f t="shared" si="660"/>
        <v>0</v>
      </c>
      <c r="CJ132" s="141">
        <f t="shared" si="660"/>
        <v>0</v>
      </c>
      <c r="CK132" s="141">
        <f t="shared" si="660"/>
        <v>0</v>
      </c>
      <c r="CL132" s="141">
        <f t="shared" si="660"/>
        <v>0</v>
      </c>
      <c r="CM132" s="141">
        <f t="shared" si="660"/>
        <v>0</v>
      </c>
      <c r="CN132" s="141">
        <f t="shared" si="660"/>
        <v>0</v>
      </c>
      <c r="CO132" s="141">
        <f t="shared" si="660"/>
        <v>0</v>
      </c>
      <c r="CP132" s="141">
        <f t="shared" si="660"/>
        <v>0</v>
      </c>
      <c r="CQ132" s="141">
        <f t="shared" si="660"/>
        <v>0</v>
      </c>
      <c r="CR132" s="141">
        <f t="shared" si="660"/>
        <v>0</v>
      </c>
      <c r="CS132" s="141">
        <f t="shared" si="660"/>
        <v>0</v>
      </c>
      <c r="CT132" s="141">
        <f t="shared" si="660"/>
        <v>0</v>
      </c>
      <c r="CU132" s="141">
        <f t="shared" si="660"/>
        <v>0</v>
      </c>
      <c r="CV132" s="141">
        <f t="shared" si="660"/>
        <v>0</v>
      </c>
      <c r="CW132" s="142">
        <f t="shared" ref="CW132:DZ132" si="661">EA132*$AH132*$AJ132</f>
        <v>0</v>
      </c>
      <c r="CX132" s="142">
        <f t="shared" si="661"/>
        <v>0</v>
      </c>
      <c r="CY132" s="142">
        <f t="shared" si="661"/>
        <v>0</v>
      </c>
      <c r="CZ132" s="142">
        <f t="shared" si="661"/>
        <v>0</v>
      </c>
      <c r="DA132" s="142">
        <f t="shared" si="661"/>
        <v>0</v>
      </c>
      <c r="DB132" s="142">
        <f t="shared" si="661"/>
        <v>0</v>
      </c>
      <c r="DC132" s="142">
        <f t="shared" si="661"/>
        <v>0</v>
      </c>
      <c r="DD132" s="142">
        <f t="shared" si="661"/>
        <v>0</v>
      </c>
      <c r="DE132" s="142">
        <f t="shared" si="661"/>
        <v>0</v>
      </c>
      <c r="DF132" s="142">
        <f t="shared" si="661"/>
        <v>0</v>
      </c>
      <c r="DG132" s="142">
        <f t="shared" si="661"/>
        <v>0</v>
      </c>
      <c r="DH132" s="142">
        <f t="shared" si="661"/>
        <v>0</v>
      </c>
      <c r="DI132" s="142">
        <f t="shared" si="661"/>
        <v>0</v>
      </c>
      <c r="DJ132" s="142">
        <f t="shared" si="661"/>
        <v>0</v>
      </c>
      <c r="DK132" s="142">
        <f t="shared" si="661"/>
        <v>0</v>
      </c>
      <c r="DL132" s="142">
        <f t="shared" si="661"/>
        <v>0</v>
      </c>
      <c r="DM132" s="142">
        <f t="shared" si="661"/>
        <v>0</v>
      </c>
      <c r="DN132" s="142">
        <f t="shared" si="661"/>
        <v>0</v>
      </c>
      <c r="DO132" s="142">
        <f t="shared" si="661"/>
        <v>0</v>
      </c>
      <c r="DP132" s="142">
        <f t="shared" si="661"/>
        <v>0</v>
      </c>
      <c r="DQ132" s="142">
        <f t="shared" si="661"/>
        <v>0</v>
      </c>
      <c r="DR132" s="142">
        <f t="shared" si="661"/>
        <v>0</v>
      </c>
      <c r="DS132" s="142">
        <f t="shared" si="661"/>
        <v>0</v>
      </c>
      <c r="DT132" s="142">
        <f t="shared" si="661"/>
        <v>0</v>
      </c>
      <c r="DU132" s="142">
        <f t="shared" si="661"/>
        <v>0</v>
      </c>
      <c r="DV132" s="142">
        <f t="shared" si="661"/>
        <v>0</v>
      </c>
      <c r="DW132" s="142">
        <f t="shared" si="661"/>
        <v>0</v>
      </c>
      <c r="DX132" s="142">
        <f t="shared" si="661"/>
        <v>0</v>
      </c>
      <c r="DY132" s="142">
        <f t="shared" si="661"/>
        <v>0</v>
      </c>
      <c r="DZ132" s="142">
        <f t="shared" si="661"/>
        <v>0</v>
      </c>
      <c r="EA132" s="143">
        <f t="shared" si="504"/>
        <v>0</v>
      </c>
      <c r="EB132" s="143">
        <f t="shared" si="505"/>
        <v>0</v>
      </c>
      <c r="EC132" s="143">
        <f t="shared" si="506"/>
        <v>0</v>
      </c>
      <c r="ED132" s="143">
        <f t="shared" si="507"/>
        <v>0</v>
      </c>
      <c r="EE132" s="143">
        <f t="shared" si="508"/>
        <v>0</v>
      </c>
      <c r="EF132" s="143">
        <f t="shared" si="509"/>
        <v>0</v>
      </c>
      <c r="EG132" s="143">
        <f t="shared" si="510"/>
        <v>0</v>
      </c>
      <c r="EH132" s="143">
        <f t="shared" si="511"/>
        <v>0</v>
      </c>
      <c r="EI132" s="143">
        <f t="shared" si="512"/>
        <v>0</v>
      </c>
      <c r="EJ132" s="143">
        <f t="shared" si="513"/>
        <v>0</v>
      </c>
      <c r="EK132" s="143">
        <f t="shared" si="514"/>
        <v>0</v>
      </c>
      <c r="EL132" s="143">
        <f t="shared" si="515"/>
        <v>0</v>
      </c>
      <c r="EM132" s="143">
        <f t="shared" si="516"/>
        <v>0</v>
      </c>
      <c r="EN132" s="143">
        <f t="shared" si="517"/>
        <v>0</v>
      </c>
      <c r="EO132" s="143">
        <f t="shared" si="518"/>
        <v>0</v>
      </c>
      <c r="EP132" s="143">
        <f t="shared" si="519"/>
        <v>0</v>
      </c>
      <c r="EQ132" s="143">
        <f t="shared" si="520"/>
        <v>0</v>
      </c>
      <c r="ER132" s="143">
        <f t="shared" si="521"/>
        <v>0</v>
      </c>
      <c r="ES132" s="143">
        <f t="shared" si="522"/>
        <v>0</v>
      </c>
      <c r="ET132" s="143">
        <f t="shared" si="523"/>
        <v>0</v>
      </c>
      <c r="EU132" s="143">
        <f t="shared" si="524"/>
        <v>0</v>
      </c>
      <c r="EV132" s="143">
        <f t="shared" si="525"/>
        <v>0</v>
      </c>
      <c r="EW132" s="143">
        <f t="shared" si="526"/>
        <v>0</v>
      </c>
      <c r="EX132" s="143">
        <f t="shared" si="527"/>
        <v>0</v>
      </c>
      <c r="EY132" s="143">
        <f t="shared" si="528"/>
        <v>0</v>
      </c>
      <c r="EZ132" s="143">
        <f t="shared" si="529"/>
        <v>0</v>
      </c>
      <c r="FA132" s="143">
        <f t="shared" si="530"/>
        <v>0</v>
      </c>
      <c r="FB132" s="143">
        <f t="shared" si="531"/>
        <v>0</v>
      </c>
      <c r="FC132" s="143">
        <f t="shared" si="532"/>
        <v>0</v>
      </c>
      <c r="FD132" s="143">
        <f t="shared" si="533"/>
        <v>0</v>
      </c>
      <c r="FE132" s="140">
        <f>SUM($D132:D132)*IF($B132="Operacional",IFERROR(VLOOKUP($C132,SN_UGC,28,0),0),1)</f>
        <v>0</v>
      </c>
      <c r="FF132" s="140">
        <f>SUM($D132:E132)*IF($B132="Operacional",IFERROR(VLOOKUP($C132,SN_UGC,28,0),0),1)</f>
        <v>0</v>
      </c>
      <c r="FG132" s="140">
        <f>SUM($D132:F132)*IF($B132="Operacional",IFERROR(VLOOKUP($C132,SN_UGC,28,0),0),1)</f>
        <v>0</v>
      </c>
      <c r="FH132" s="140">
        <f>SUM($D132:G132)*IF($B132="Operacional",IFERROR(VLOOKUP($C132,SN_UGC,28,0),0),1)</f>
        <v>0</v>
      </c>
      <c r="FI132" s="140">
        <f>SUM($D132:H132)*IF($B132="Operacional",IFERROR(VLOOKUP($C132,SN_UGC,28,0),0),1)</f>
        <v>0</v>
      </c>
      <c r="FJ132" s="140">
        <f>SUM($D132:I132)*IF($B132="Operacional",IFERROR(VLOOKUP($C132,SN_UGC,28,0),0),1)</f>
        <v>0</v>
      </c>
      <c r="FK132" s="140">
        <f>SUM($D132:J132)*IF($B132="Operacional",IFERROR(VLOOKUP($C132,SN_UGC,28,0),0),1)</f>
        <v>0</v>
      </c>
      <c r="FL132" s="140">
        <f>SUM($D132:K132)*IF($B132="Operacional",IFERROR(VLOOKUP($C132,SN_UGC,28,0),0),1)</f>
        <v>0</v>
      </c>
      <c r="FM132" s="140">
        <f>SUM($D132:L132)*IF($B132="Operacional",IFERROR(VLOOKUP($C132,SN_UGC,28,0),0),1)</f>
        <v>0</v>
      </c>
      <c r="FN132" s="140">
        <f>SUM($D132:M132)*IF($B132="Operacional",IFERROR(VLOOKUP($C132,SN_UGC,28,0),0),1)</f>
        <v>0</v>
      </c>
      <c r="FO132" s="140">
        <f>SUM($D132:N132)*IF($B132="Operacional",IFERROR(VLOOKUP($C132,SN_UGC,28,0),0),1)</f>
        <v>0</v>
      </c>
      <c r="FP132" s="140">
        <f>SUM($D132:O132)*IF($B132="Operacional",IFERROR(VLOOKUP($C132,SN_UGC,28,0),0),1)</f>
        <v>0</v>
      </c>
      <c r="FQ132" s="140">
        <f>SUM($D132:P132)*IF($B132="Operacional",IFERROR(VLOOKUP($C132,SN_UGC,28,0),0),1)</f>
        <v>0</v>
      </c>
      <c r="FR132" s="140">
        <f>SUM($D132:Q132)*IF($B132="Operacional",IFERROR(VLOOKUP($C132,SN_UGC,28,0),0),1)</f>
        <v>0</v>
      </c>
      <c r="FS132" s="140">
        <f>SUM($D132:R132)*IF($B132="Operacional",IFERROR(VLOOKUP($C132,SN_UGC,28,0),0),1)</f>
        <v>0</v>
      </c>
      <c r="FT132" s="140">
        <f>SUM($D132:S132)*IF($B132="Operacional",IFERROR(VLOOKUP($C132,SN_UGC,28,0),0),1)</f>
        <v>0</v>
      </c>
      <c r="FU132" s="140">
        <f>SUM($D132:T132)*IF($B132="Operacional",IFERROR(VLOOKUP($C132,SN_UGC,28,0),0),1)</f>
        <v>0</v>
      </c>
      <c r="FV132" s="140">
        <f>SUM($D132:U132)*IF($B132="Operacional",IFERROR(VLOOKUP($C132,SN_UGC,28,0),0),1)</f>
        <v>0</v>
      </c>
      <c r="FW132" s="140">
        <f>SUM($D132:V132)*IF($B132="Operacional",IFERROR(VLOOKUP($C132,SN_UGC,28,0),0),1)</f>
        <v>0</v>
      </c>
      <c r="FX132" s="140">
        <f>SUM($D132:W132)*IF($B132="Operacional",IFERROR(VLOOKUP($C132,SN_UGC,28,0),0),1)</f>
        <v>0</v>
      </c>
      <c r="FY132" s="140">
        <f>SUM($D132:X132)*IF($B132="Operacional",IFERROR(VLOOKUP($C132,SN_UGC,28,0),0),1)</f>
        <v>0</v>
      </c>
      <c r="FZ132" s="140">
        <f>SUM($D132:Y132)*IF($B132="Operacional",IFERROR(VLOOKUP($C132,SN_UGC,28,0),0),1)</f>
        <v>0</v>
      </c>
      <c r="GA132" s="140">
        <f>SUM($D132:Z132)*IF($B132="Operacional",IFERROR(VLOOKUP($C132,SN_UGC,28,0),0),1)</f>
        <v>0</v>
      </c>
      <c r="GB132" s="140">
        <f>SUM($D132:AA132)*IF($B132="Operacional",IFERROR(VLOOKUP($C132,SN_UGC,28,0),0),1)</f>
        <v>0</v>
      </c>
      <c r="GC132" s="140">
        <f>SUM($D132:AB132)*IF($B132="Operacional",IFERROR(VLOOKUP($C132,SN_UGC,28,0),0),1)</f>
        <v>0</v>
      </c>
      <c r="GD132" s="140">
        <f>SUM($D132:AC132)*IF($B132="Operacional",IFERROR(VLOOKUP($C132,SN_UGC,28,0),0),1)</f>
        <v>0</v>
      </c>
      <c r="GE132" s="140">
        <f>SUM($D132:AD132)*IF($B132="Operacional",IFERROR(VLOOKUP($C132,SN_UGC,28,0),0),1)</f>
        <v>0</v>
      </c>
      <c r="GF132" s="140">
        <f>SUM($D132:AE132)*IF($B132="Operacional",IFERROR(VLOOKUP($C132,SN_UGC,28,0),0),1)</f>
        <v>0</v>
      </c>
      <c r="GG132" s="140">
        <f>SUM($D132:AF132)*IF($B132="Operacional",IFERROR(VLOOKUP($C132,SN_UGC,28,0),0),1)</f>
        <v>0</v>
      </c>
      <c r="GH132" s="140">
        <f>SUM($D132:AG132)*IF($B132="Operacional",IFERROR(VLOOKUP($C132,SN_UGC,28,0),0),1)</f>
        <v>0</v>
      </c>
      <c r="GI132" s="141">
        <f t="shared" ref="GI132:HL132" si="662">FE132*$AH132*$AL132</f>
        <v>0</v>
      </c>
      <c r="GJ132" s="141">
        <f t="shared" si="662"/>
        <v>0</v>
      </c>
      <c r="GK132" s="141">
        <f t="shared" si="662"/>
        <v>0</v>
      </c>
      <c r="GL132" s="141">
        <f t="shared" si="662"/>
        <v>0</v>
      </c>
      <c r="GM132" s="141">
        <f t="shared" si="662"/>
        <v>0</v>
      </c>
      <c r="GN132" s="141">
        <f t="shared" si="662"/>
        <v>0</v>
      </c>
      <c r="GO132" s="141">
        <f t="shared" si="662"/>
        <v>0</v>
      </c>
      <c r="GP132" s="141">
        <f t="shared" si="662"/>
        <v>0</v>
      </c>
      <c r="GQ132" s="141">
        <f t="shared" si="662"/>
        <v>0</v>
      </c>
      <c r="GR132" s="141">
        <f t="shared" si="662"/>
        <v>0</v>
      </c>
      <c r="GS132" s="141">
        <f t="shared" si="662"/>
        <v>0</v>
      </c>
      <c r="GT132" s="141">
        <f t="shared" si="662"/>
        <v>0</v>
      </c>
      <c r="GU132" s="141">
        <f t="shared" si="662"/>
        <v>0</v>
      </c>
      <c r="GV132" s="141">
        <f t="shared" si="662"/>
        <v>0</v>
      </c>
      <c r="GW132" s="141">
        <f t="shared" si="662"/>
        <v>0</v>
      </c>
      <c r="GX132" s="141">
        <f t="shared" si="662"/>
        <v>0</v>
      </c>
      <c r="GY132" s="141">
        <f t="shared" si="662"/>
        <v>0</v>
      </c>
      <c r="GZ132" s="141">
        <f t="shared" si="662"/>
        <v>0</v>
      </c>
      <c r="HA132" s="141">
        <f t="shared" si="662"/>
        <v>0</v>
      </c>
      <c r="HB132" s="141">
        <f t="shared" si="662"/>
        <v>0</v>
      </c>
      <c r="HC132" s="141">
        <f t="shared" si="662"/>
        <v>0</v>
      </c>
      <c r="HD132" s="141">
        <f t="shared" si="662"/>
        <v>0</v>
      </c>
      <c r="HE132" s="141">
        <f t="shared" si="662"/>
        <v>0</v>
      </c>
      <c r="HF132" s="141">
        <f t="shared" si="662"/>
        <v>0</v>
      </c>
      <c r="HG132" s="141">
        <f t="shared" si="662"/>
        <v>0</v>
      </c>
      <c r="HH132" s="141">
        <f t="shared" si="662"/>
        <v>0</v>
      </c>
      <c r="HI132" s="141">
        <f t="shared" si="662"/>
        <v>0</v>
      </c>
      <c r="HJ132" s="141">
        <f t="shared" si="662"/>
        <v>0</v>
      </c>
      <c r="HK132" s="141">
        <f t="shared" si="662"/>
        <v>0</v>
      </c>
      <c r="HL132" s="141">
        <f t="shared" si="662"/>
        <v>0</v>
      </c>
      <c r="HM132" s="142">
        <f t="shared" ref="HM132:IP132" si="663">IF(ISBLANK($A132),,FE132*($AH132-($AH132*$AJ132))/$AI132)</f>
        <v>0</v>
      </c>
      <c r="HN132" s="142">
        <f t="shared" si="663"/>
        <v>0</v>
      </c>
      <c r="HO132" s="142">
        <f t="shared" si="663"/>
        <v>0</v>
      </c>
      <c r="HP132" s="142">
        <f t="shared" si="663"/>
        <v>0</v>
      </c>
      <c r="HQ132" s="142">
        <f t="shared" si="663"/>
        <v>0</v>
      </c>
      <c r="HR132" s="142">
        <f t="shared" si="663"/>
        <v>0</v>
      </c>
      <c r="HS132" s="142">
        <f t="shared" si="663"/>
        <v>0</v>
      </c>
      <c r="HT132" s="142">
        <f t="shared" si="663"/>
        <v>0</v>
      </c>
      <c r="HU132" s="142">
        <f t="shared" si="663"/>
        <v>0</v>
      </c>
      <c r="HV132" s="142">
        <f t="shared" si="663"/>
        <v>0</v>
      </c>
      <c r="HW132" s="142">
        <f t="shared" si="663"/>
        <v>0</v>
      </c>
      <c r="HX132" s="142">
        <f t="shared" si="663"/>
        <v>0</v>
      </c>
      <c r="HY132" s="142">
        <f t="shared" si="663"/>
        <v>0</v>
      </c>
      <c r="HZ132" s="142">
        <f t="shared" si="663"/>
        <v>0</v>
      </c>
      <c r="IA132" s="142">
        <f t="shared" si="663"/>
        <v>0</v>
      </c>
      <c r="IB132" s="142">
        <f t="shared" si="663"/>
        <v>0</v>
      </c>
      <c r="IC132" s="142">
        <f t="shared" si="663"/>
        <v>0</v>
      </c>
      <c r="ID132" s="142">
        <f t="shared" si="663"/>
        <v>0</v>
      </c>
      <c r="IE132" s="142">
        <f t="shared" si="663"/>
        <v>0</v>
      </c>
      <c r="IF132" s="142">
        <f t="shared" si="663"/>
        <v>0</v>
      </c>
      <c r="IG132" s="142">
        <f t="shared" si="663"/>
        <v>0</v>
      </c>
      <c r="IH132" s="142">
        <f t="shared" si="663"/>
        <v>0</v>
      </c>
      <c r="II132" s="142">
        <f t="shared" si="663"/>
        <v>0</v>
      </c>
      <c r="IJ132" s="142">
        <f t="shared" si="663"/>
        <v>0</v>
      </c>
      <c r="IK132" s="142">
        <f t="shared" si="663"/>
        <v>0</v>
      </c>
      <c r="IL132" s="142">
        <f t="shared" si="663"/>
        <v>0</v>
      </c>
      <c r="IM132" s="142">
        <f t="shared" si="663"/>
        <v>0</v>
      </c>
      <c r="IN132" s="142">
        <f t="shared" si="663"/>
        <v>0</v>
      </c>
      <c r="IO132" s="142">
        <f t="shared" si="663"/>
        <v>0</v>
      </c>
      <c r="IP132" s="142">
        <f t="shared" si="663"/>
        <v>0</v>
      </c>
      <c r="IQ132" s="141">
        <f>IF(ISBLANK($A132),,IF($AN132="Não",0,(SUM($AO132:AO132)*$AH132)-SUM($HM132:HM132)-SUM($CW132:CW132)))</f>
        <v>0</v>
      </c>
      <c r="IR132" s="141">
        <f>IF(ISBLANK($A132),,IF($AN132="Não",0,(SUM($AO132:AP132)*$AH132)-SUM($HM132:HN132)-SUM($CW132:CX132)))</f>
        <v>0</v>
      </c>
      <c r="IS132" s="141">
        <f>IF(ISBLANK($A132),,IF($AN132="Não",0,(SUM($AO132:AQ132)*$AH132)-SUM($HM132:HO132)-SUM($CW132:CY132)))</f>
        <v>0</v>
      </c>
      <c r="IT132" s="141">
        <f>IF(ISBLANK($A132),,IF($AN132="Não",0,(SUM($AO132:AR132)*$AH132)-SUM($HM132:HP132)-SUM($CW132:CZ132)))</f>
        <v>0</v>
      </c>
      <c r="IU132" s="141">
        <f>IF(ISBLANK($A132),,IF($AN132="Não",0,(SUM($AO132:AS132)*$AH132)-SUM($HM132:HQ132)-SUM($CW132:DA132)))</f>
        <v>0</v>
      </c>
      <c r="IV132" s="141">
        <f>IF(ISBLANK($A132),,IF($AN132="Não",0,(SUM($AO132:AT132)*$AH132)-SUM($HM132:HR132)-SUM($CW132:DB132)))</f>
        <v>0</v>
      </c>
      <c r="IW132" s="141">
        <f>IF(ISBLANK($A132),,IF($AN132="Não",0,(SUM($AO132:AU132)*$AH132)-SUM($HM132:HS132)-SUM($CW132:DC132)))</f>
        <v>0</v>
      </c>
      <c r="IX132" s="141">
        <f>IF(ISBLANK($A132),,IF($AN132="Não",0,(SUM($AO132:AV132)*$AH132)-SUM($HM132:HT132)-SUM($CW132:DD132)))</f>
        <v>0</v>
      </c>
      <c r="IY132" s="141">
        <f>IF(ISBLANK($A132),,IF($AN132="Não",0,(SUM($AO132:AW132)*$AH132)-SUM($HM132:HU132)-SUM($CW132:DE132)))</f>
        <v>0</v>
      </c>
      <c r="IZ132" s="141">
        <f>IF(ISBLANK($A132),,IF($AN132="Não",0,(SUM($AO132:AX132)*$AH132)-SUM($HM132:HV132)-SUM($CW132:DF132)))</f>
        <v>0</v>
      </c>
      <c r="JA132" s="141">
        <f>IF(ISBLANK($A132),,IF($AN132="Não",0,(SUM($AO132:AY132)*$AH132)-SUM($HM132:HW132)-SUM($CW132:DG132)))</f>
        <v>0</v>
      </c>
      <c r="JB132" s="141">
        <f>IF(ISBLANK($A132),,IF($AN132="Não",0,(SUM($AO132:AZ132)*$AH132)-SUM($HM132:HX132)-SUM($CW132:DH132)))</f>
        <v>0</v>
      </c>
      <c r="JC132" s="141">
        <f>IF(ISBLANK($A132),,IF($AN132="Não",0,(SUM($AO132:BA132)*$AH132)-SUM($HM132:HY132)-SUM($CW132:DI132)))</f>
        <v>0</v>
      </c>
      <c r="JD132" s="141">
        <f>IF(ISBLANK($A132),,IF($AN132="Não",0,(SUM($AO132:BB132)*$AH132)-SUM($HM132:HZ132)-SUM($CW132:DJ132)))</f>
        <v>0</v>
      </c>
      <c r="JE132" s="141">
        <f>IF(ISBLANK($A132),,IF($AN132="Não",0,(SUM($AO132:BC132)*$AH132)-SUM($HM132:IA132)-SUM($CW132:DK132)))</f>
        <v>0</v>
      </c>
      <c r="JF132" s="141">
        <f>IF(ISBLANK($A132),,IF($AN132="Não",0,(SUM($AO132:BD132)*$AH132)-SUM($HM132:IB132)-SUM($CW132:DL132)))</f>
        <v>0</v>
      </c>
      <c r="JG132" s="141">
        <f>IF(ISBLANK($A132),,IF($AN132="Não",0,(SUM($AO132:BE132)*$AH132)-SUM($HM132:IC132)-SUM($CW132:DM132)))</f>
        <v>0</v>
      </c>
      <c r="JH132" s="141">
        <f>IF(ISBLANK($A132),,IF($AN132="Não",0,(SUM($AO132:BF132)*$AH132)-SUM($HM132:ID132)-SUM($CW132:DN132)))</f>
        <v>0</v>
      </c>
      <c r="JI132" s="141">
        <f>IF(ISBLANK($A132),,IF($AN132="Não",0,(SUM($AO132:BG132)*$AH132)-SUM($HM132:IE132)-SUM($CW132:DO132)))</f>
        <v>0</v>
      </c>
      <c r="JJ132" s="141">
        <f>IF(ISBLANK($A132),,IF($AN132="Não",0,(SUM($AO132:BH132)*$AH132)-SUM($HM132:IF132)-SUM($CW132:DP132)))</f>
        <v>0</v>
      </c>
      <c r="JK132" s="141">
        <f>IF(ISBLANK($A132),,IF($AN132="Não",0,(SUM($AO132:BI132)*$AH132)-SUM($HM132:IG132)-SUM($CW132:DQ132)))</f>
        <v>0</v>
      </c>
      <c r="JL132" s="141">
        <f>IF(ISBLANK($A132),,IF($AN132="Não",0,(SUM($AO132:BJ132)*$AH132)-SUM($HM132:IH132)-SUM($CW132:DR132)))</f>
        <v>0</v>
      </c>
      <c r="JM132" s="141">
        <f>IF(ISBLANK($A132),,IF($AN132="Não",0,(SUM($AO132:BK132)*$AH132)-SUM($HM132:II132)-SUM($CW132:DS132)))</f>
        <v>0</v>
      </c>
      <c r="JN132" s="141">
        <f>IF(ISBLANK($A132),,IF($AN132="Não",0,(SUM($AO132:BL132)*$AH132)-SUM($HM132:IJ132)-SUM($CW132:DT132)))</f>
        <v>0</v>
      </c>
      <c r="JO132" s="141">
        <f>IF(ISBLANK($A132),,IF($AN132="Não",0,(SUM($AO132:BM132)*$AH132)-SUM($HM132:IK132)-SUM($CW132:DU132)))</f>
        <v>0</v>
      </c>
      <c r="JP132" s="141">
        <f>IF(ISBLANK($A132),,IF($AN132="Não",0,(SUM($AO132:BN132)*$AH132)-SUM($HM132:IL132)-SUM($CW132:DV132)))</f>
        <v>0</v>
      </c>
      <c r="JQ132" s="141">
        <f>IF(ISBLANK($A132),,IF($AN132="Não",0,(SUM($AO132:BO132)*$AH132)-SUM($HM132:IM132)-SUM($CW132:DW132)))</f>
        <v>0</v>
      </c>
      <c r="JR132" s="141">
        <f>IF(ISBLANK($A132),,IF($AN132="Não",0,(SUM($AO132:BP132)*$AH132)-SUM($HM132:IN132)-SUM($CW132:DX132)))</f>
        <v>0</v>
      </c>
      <c r="JS132" s="141">
        <f>IF(ISBLANK($A132),,IF($AN132="Não",0,(SUM($AO132:BQ132)*$AH132)-SUM($HM132:IO132)-SUM($CW132:DY132)))</f>
        <v>0</v>
      </c>
      <c r="JT132" s="141">
        <f>IF(ISBLANK($A132),,IF($AN132="Não",0,(SUM($AO132:BR132)*$AH132)-SUM($HM132:IP132)-SUM($CW132:DZ132)))</f>
        <v>0</v>
      </c>
    </row>
    <row r="133" spans="1:280" ht="15.75" customHeight="1">
      <c r="A133" s="129"/>
      <c r="B133" s="129"/>
      <c r="C133" s="138"/>
      <c r="D133" s="139"/>
      <c r="E133" s="139"/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607">
        <f t="shared" si="544"/>
        <v>0</v>
      </c>
      <c r="AI133" s="608">
        <f t="shared" si="545"/>
        <v>0</v>
      </c>
      <c r="AJ133" s="609">
        <f t="shared" si="546"/>
        <v>0</v>
      </c>
      <c r="AK133" s="610" t="str">
        <f t="shared" si="547"/>
        <v/>
      </c>
      <c r="AL133" s="609">
        <f t="shared" si="548"/>
        <v>0</v>
      </c>
      <c r="AM133" s="611" t="str">
        <f t="shared" si="549"/>
        <v/>
      </c>
      <c r="AN133" s="611" t="str">
        <f t="shared" si="550"/>
        <v/>
      </c>
      <c r="AO133" s="140">
        <f t="array" ref="AO133">IF(ISBLANK($A133),0,IF(OR(AO$5-$AI133&lt;=0,$AM133="Não"),D133,D133+INDEX($AO$6:$BR$176,ROW()-5,COLUMN()-40-$AI133)))*IF($B133="Operacional",IFERROR(VLOOKUP($C133,SN_UGC,28,0),0),1)</f>
        <v>0</v>
      </c>
      <c r="AP133" s="140">
        <f t="array" ref="AP133">IF(ISBLANK($A133),0,IF(OR(AP$5-$AI133&lt;=0,$AM133="Não"),E133,E133+INDEX($AO$6:$BR$176,ROW()-5,COLUMN()-40-$AI133)))*IF($B133="Operacional",IFERROR(VLOOKUP($C133,SN_UGC,28,0),0),1)</f>
        <v>0</v>
      </c>
      <c r="AQ133" s="140">
        <f t="array" ref="AQ133">IF(ISBLANK($A133),0,IF(OR(AQ$5-$AI133&lt;=0,$AM133="Não"),F133,F133+INDEX($AO$6:$BR$176,ROW()-5,COLUMN()-40-$AI133)))*IF($B133="Operacional",IFERROR(VLOOKUP($C133,SN_UGC,28,0),0),1)</f>
        <v>0</v>
      </c>
      <c r="AR133" s="140">
        <f t="array" ref="AR133">IF(ISBLANK($A133),0,IF(OR(AR$5-$AI133&lt;=0,$AM133="Não"),G133,G133+INDEX($AO$6:$BR$176,ROW()-5,COLUMN()-40-$AI133)))*IF($B133="Operacional",IFERROR(VLOOKUP($C133,SN_UGC,28,0),0),1)</f>
        <v>0</v>
      </c>
      <c r="AS133" s="140">
        <f t="array" ref="AS133">IF(ISBLANK($A133),0,IF(OR(AS$5-$AI133&lt;=0,$AM133="Não"),H133,H133+INDEX($AO$6:$BR$176,ROW()-5,COLUMN()-40-$AI133)))*IF($B133="Operacional",IFERROR(VLOOKUP($C133,SN_UGC,28,0),0),1)</f>
        <v>0</v>
      </c>
      <c r="AT133" s="140">
        <f t="array" ref="AT133">IF(ISBLANK($A133),0,IF(OR(AT$5-$AI133&lt;=0,$AM133="Não"),I133,I133+INDEX($AO$6:$BR$176,ROW()-5,COLUMN()-40-$AI133)))*IF($B133="Operacional",IFERROR(VLOOKUP($C133,SN_UGC,28,0),0),1)</f>
        <v>0</v>
      </c>
      <c r="AU133" s="140">
        <f t="array" ref="AU133">IF(ISBLANK($A133),0,IF(OR(AU$5-$AI133&lt;=0,$AM133="Não"),J133,J133+INDEX($AO$6:$BR$176,ROW()-5,COLUMN()-40-$AI133)))*IF($B133="Operacional",IFERROR(VLOOKUP($C133,SN_UGC,28,0),0),1)</f>
        <v>0</v>
      </c>
      <c r="AV133" s="140">
        <f t="array" ref="AV133">IF(ISBLANK($A133),0,IF(OR(AV$5-$AI133&lt;=0,$AM133="Não"),K133,K133+INDEX($AO$6:$BR$176,ROW()-5,COLUMN()-40-$AI133)))*IF($B133="Operacional",IFERROR(VLOOKUP($C133,SN_UGC,28,0),0),1)</f>
        <v>0</v>
      </c>
      <c r="AW133" s="140">
        <f t="array" ref="AW133">IF(ISBLANK($A133),0,IF(OR(AW$5-$AI133&lt;=0,$AM133="Não"),L133,L133+INDEX($AO$6:$BR$176,ROW()-5,COLUMN()-40-$AI133)))*IF($B133="Operacional",IFERROR(VLOOKUP($C133,SN_UGC,28,0),0),1)</f>
        <v>0</v>
      </c>
      <c r="AX133" s="140">
        <f t="array" ref="AX133">IF(ISBLANK($A133),0,IF(OR(AX$5-$AI133&lt;=0,$AM133="Não"),M133,M133+INDEX($AO$6:$BR$176,ROW()-5,COLUMN()-40-$AI133)))*IF($B133="Operacional",IFERROR(VLOOKUP($C133,SN_UGC,28,0),0),1)</f>
        <v>0</v>
      </c>
      <c r="AY133" s="140">
        <f t="array" ref="AY133">IF(ISBLANK($A133),0,IF(OR(AY$5-$AI133&lt;=0,$AM133="Não"),N133,N133+INDEX($AO$6:$BR$176,ROW()-5,COLUMN()-40-$AI133)))*IF($B133="Operacional",IFERROR(VLOOKUP($C133,SN_UGC,28,0),0),1)</f>
        <v>0</v>
      </c>
      <c r="AZ133" s="140">
        <f t="array" ref="AZ133">IF(ISBLANK($A133),0,IF(OR(AZ$5-$AI133&lt;=0,$AM133="Não"),O133,O133+INDEX($AO$6:$BR$176,ROW()-5,COLUMN()-40-$AI133)))*IF($B133="Operacional",IFERROR(VLOOKUP($C133,SN_UGC,28,0),0),1)</f>
        <v>0</v>
      </c>
      <c r="BA133" s="140">
        <f t="array" ref="BA133">IF(ISBLANK($A133),0,IF(OR(BA$5-$AI133&lt;=0,$AM133="Não"),P133,P133+INDEX($AO$6:$BR$176,ROW()-5,COLUMN()-40-$AI133)))*IF($B133="Operacional",IFERROR(VLOOKUP($C133,SN_UGC,28,0),0),1)</f>
        <v>0</v>
      </c>
      <c r="BB133" s="140">
        <f t="array" ref="BB133">IF(ISBLANK($A133),0,IF(OR(BB$5-$AI133&lt;=0,$AM133="Não"),Q133,Q133+INDEX($AO$6:$BR$176,ROW()-5,COLUMN()-40-$AI133)))*IF($B133="Operacional",IFERROR(VLOOKUP($C133,SN_UGC,28,0),0),1)</f>
        <v>0</v>
      </c>
      <c r="BC133" s="140">
        <f t="array" ref="BC133">IF(ISBLANK($A133),0,IF(OR(BC$5-$AI133&lt;=0,$AM133="Não"),R133,R133+INDEX($AO$6:$BR$176,ROW()-5,COLUMN()-40-$AI133)))*IF($B133="Operacional",IFERROR(VLOOKUP($C133,SN_UGC,28,0),0),1)</f>
        <v>0</v>
      </c>
      <c r="BD133" s="140">
        <f t="array" ref="BD133">IF(ISBLANK($A133),0,IF(OR(BD$5-$AI133&lt;=0,$AM133="Não"),S133,S133+INDEX($AO$6:$BR$176,ROW()-5,COLUMN()-40-$AI133)))*IF($B133="Operacional",IFERROR(VLOOKUP($C133,SN_UGC,28,0),0),1)</f>
        <v>0</v>
      </c>
      <c r="BE133" s="140">
        <f t="array" ref="BE133">IF(ISBLANK($A133),0,IF(OR(BE$5-$AI133&lt;=0,$AM133="Não"),T133,T133+INDEX($AO$6:$BR$176,ROW()-5,COLUMN()-40-$AI133)))*IF($B133="Operacional",IFERROR(VLOOKUP($C133,SN_UGC,28,0),0),1)</f>
        <v>0</v>
      </c>
      <c r="BF133" s="140">
        <f t="array" ref="BF133">IF(ISBLANK($A133),0,IF(OR(BF$5-$AI133&lt;=0,$AM133="Não"),U133,U133+INDEX($AO$6:$BR$176,ROW()-5,COLUMN()-40-$AI133)))*IF($B133="Operacional",IFERROR(VLOOKUP($C133,SN_UGC,28,0),0),1)</f>
        <v>0</v>
      </c>
      <c r="BG133" s="140">
        <f t="array" ref="BG133">IF(ISBLANK($A133),0,IF(OR(BG$5-$AI133&lt;=0,$AM133="Não"),V133,V133+INDEX($AO$6:$BR$176,ROW()-5,COLUMN()-40-$AI133)))*IF($B133="Operacional",IFERROR(VLOOKUP($C133,SN_UGC,28,0),0),1)</f>
        <v>0</v>
      </c>
      <c r="BH133" s="140">
        <f t="array" ref="BH133">IF(ISBLANK($A133),0,IF(OR(BH$5-$AI133&lt;=0,$AM133="Não"),W133,W133+INDEX($AO$6:$BR$176,ROW()-5,COLUMN()-40-$AI133)))*IF($B133="Operacional",IFERROR(VLOOKUP($C133,SN_UGC,28,0),0),1)</f>
        <v>0</v>
      </c>
      <c r="BI133" s="140">
        <f t="array" ref="BI133">IF(ISBLANK($A133),0,IF(OR(BI$5-$AI133&lt;=0,$AM133="Não"),X133,X133+INDEX($AO$6:$BR$176,ROW()-5,COLUMN()-40-$AI133)))*IF($B133="Operacional",IFERROR(VLOOKUP($C133,SN_UGC,28,0),0),1)</f>
        <v>0</v>
      </c>
      <c r="BJ133" s="140">
        <f t="array" ref="BJ133">IF(ISBLANK($A133),0,IF(OR(BJ$5-$AI133&lt;=0,$AM133="Não"),Y133,Y133+INDEX($AO$6:$BR$176,ROW()-5,COLUMN()-40-$AI133)))*IF($B133="Operacional",IFERROR(VLOOKUP($C133,SN_UGC,28,0),0),1)</f>
        <v>0</v>
      </c>
      <c r="BK133" s="140">
        <f t="array" ref="BK133">IF(ISBLANK($A133),0,IF(OR(BK$5-$AI133&lt;=0,$AM133="Não"),Z133,Z133+INDEX($AO$6:$BR$176,ROW()-5,COLUMN()-40-$AI133)))*IF($B133="Operacional",IFERROR(VLOOKUP($C133,SN_UGC,28,0),0),1)</f>
        <v>0</v>
      </c>
      <c r="BL133" s="140">
        <f t="array" ref="BL133">IF(ISBLANK($A133),0,IF(OR(BL$5-$AI133&lt;=0,$AM133="Não"),AA133,AA133+INDEX($AO$6:$BR$176,ROW()-5,COLUMN()-40-$AI133)))*IF($B133="Operacional",IFERROR(VLOOKUP($C133,SN_UGC,28,0),0),1)</f>
        <v>0</v>
      </c>
      <c r="BM133" s="140">
        <f t="array" ref="BM133">IF(ISBLANK($A133),0,IF(OR(BM$5-$AI133&lt;=0,$AM133="Não"),AB133,AB133+INDEX($AO$6:$BR$176,ROW()-5,COLUMN()-40-$AI133)))*IF($B133="Operacional",IFERROR(VLOOKUP($C133,SN_UGC,28,0),0),1)</f>
        <v>0</v>
      </c>
      <c r="BN133" s="140">
        <f t="array" ref="BN133">IF(ISBLANK($A133),0,IF(OR(BN$5-$AI133&lt;=0,$AM133="Não"),AC133,AC133+INDEX($AO$6:$BR$176,ROW()-5,COLUMN()-40-$AI133)))*IF($B133="Operacional",IFERROR(VLOOKUP($C133,SN_UGC,28,0),0),1)</f>
        <v>0</v>
      </c>
      <c r="BO133" s="140">
        <f t="array" ref="BO133">IF(ISBLANK($A133),0,IF(OR(BO$5-$AI133&lt;=0,$AM133="Não"),AD133,AD133+INDEX($AO$6:$BR$176,ROW()-5,COLUMN()-40-$AI133)))*IF($B133="Operacional",IFERROR(VLOOKUP($C133,SN_UGC,28,0),0),1)</f>
        <v>0</v>
      </c>
      <c r="BP133" s="140">
        <f t="array" ref="BP133">IF(ISBLANK($A133),0,IF(OR(BP$5-$AI133&lt;=0,$AM133="Não"),AE133,AE133+INDEX($AO$6:$BR$176,ROW()-5,COLUMN()-40-$AI133)))*IF($B133="Operacional",IFERROR(VLOOKUP($C133,SN_UGC,28,0),0),1)</f>
        <v>0</v>
      </c>
      <c r="BQ133" s="140">
        <f t="array" ref="BQ133">IF(ISBLANK($A133),0,IF(OR(BQ$5-$AI133&lt;=0,$AM133="Não"),AF133,AF133+INDEX($AO$6:$BR$176,ROW()-5,COLUMN()-40-$AI133)))*IF($B133="Operacional",IFERROR(VLOOKUP($C133,SN_UGC,28,0),0),1)</f>
        <v>0</v>
      </c>
      <c r="BR133" s="140">
        <f t="array" ref="BR133">IF(ISBLANK($A133),0,IF(OR(BR$5-$AI133&lt;=0,$AM133="Não"),AG133,AG133+INDEX($AO$6:$BR$176,ROW()-5,COLUMN()-40-$AI133)))*IF($B133="Operacional",IFERROR(VLOOKUP($C133,SN_UGC,28,0),0),1)</f>
        <v>0</v>
      </c>
      <c r="BS133" s="141">
        <f t="shared" ref="BS133:CV133" si="664">IF(ISBLANK($A133),0,$AH133*AO133)</f>
        <v>0</v>
      </c>
      <c r="BT133" s="141">
        <f t="shared" si="664"/>
        <v>0</v>
      </c>
      <c r="BU133" s="141">
        <f t="shared" si="664"/>
        <v>0</v>
      </c>
      <c r="BV133" s="141">
        <f t="shared" si="664"/>
        <v>0</v>
      </c>
      <c r="BW133" s="141">
        <f t="shared" si="664"/>
        <v>0</v>
      </c>
      <c r="BX133" s="141">
        <f t="shared" si="664"/>
        <v>0</v>
      </c>
      <c r="BY133" s="141">
        <f t="shared" si="664"/>
        <v>0</v>
      </c>
      <c r="BZ133" s="141">
        <f t="shared" si="664"/>
        <v>0</v>
      </c>
      <c r="CA133" s="141">
        <f t="shared" si="664"/>
        <v>0</v>
      </c>
      <c r="CB133" s="141">
        <f t="shared" si="664"/>
        <v>0</v>
      </c>
      <c r="CC133" s="141">
        <f t="shared" si="664"/>
        <v>0</v>
      </c>
      <c r="CD133" s="141">
        <f t="shared" si="664"/>
        <v>0</v>
      </c>
      <c r="CE133" s="141">
        <f t="shared" si="664"/>
        <v>0</v>
      </c>
      <c r="CF133" s="141">
        <f t="shared" si="664"/>
        <v>0</v>
      </c>
      <c r="CG133" s="141">
        <f t="shared" si="664"/>
        <v>0</v>
      </c>
      <c r="CH133" s="141">
        <f t="shared" si="664"/>
        <v>0</v>
      </c>
      <c r="CI133" s="141">
        <f t="shared" si="664"/>
        <v>0</v>
      </c>
      <c r="CJ133" s="141">
        <f t="shared" si="664"/>
        <v>0</v>
      </c>
      <c r="CK133" s="141">
        <f t="shared" si="664"/>
        <v>0</v>
      </c>
      <c r="CL133" s="141">
        <f t="shared" si="664"/>
        <v>0</v>
      </c>
      <c r="CM133" s="141">
        <f t="shared" si="664"/>
        <v>0</v>
      </c>
      <c r="CN133" s="141">
        <f t="shared" si="664"/>
        <v>0</v>
      </c>
      <c r="CO133" s="141">
        <f t="shared" si="664"/>
        <v>0</v>
      </c>
      <c r="CP133" s="141">
        <f t="shared" si="664"/>
        <v>0</v>
      </c>
      <c r="CQ133" s="141">
        <f t="shared" si="664"/>
        <v>0</v>
      </c>
      <c r="CR133" s="141">
        <f t="shared" si="664"/>
        <v>0</v>
      </c>
      <c r="CS133" s="141">
        <f t="shared" si="664"/>
        <v>0</v>
      </c>
      <c r="CT133" s="141">
        <f t="shared" si="664"/>
        <v>0</v>
      </c>
      <c r="CU133" s="141">
        <f t="shared" si="664"/>
        <v>0</v>
      </c>
      <c r="CV133" s="141">
        <f t="shared" si="664"/>
        <v>0</v>
      </c>
      <c r="CW133" s="142">
        <f t="shared" ref="CW133:DZ133" si="665">EA133*$AH133*$AJ133</f>
        <v>0</v>
      </c>
      <c r="CX133" s="142">
        <f t="shared" si="665"/>
        <v>0</v>
      </c>
      <c r="CY133" s="142">
        <f t="shared" si="665"/>
        <v>0</v>
      </c>
      <c r="CZ133" s="142">
        <f t="shared" si="665"/>
        <v>0</v>
      </c>
      <c r="DA133" s="142">
        <f t="shared" si="665"/>
        <v>0</v>
      </c>
      <c r="DB133" s="142">
        <f t="shared" si="665"/>
        <v>0</v>
      </c>
      <c r="DC133" s="142">
        <f t="shared" si="665"/>
        <v>0</v>
      </c>
      <c r="DD133" s="142">
        <f t="shared" si="665"/>
        <v>0</v>
      </c>
      <c r="DE133" s="142">
        <f t="shared" si="665"/>
        <v>0</v>
      </c>
      <c r="DF133" s="142">
        <f t="shared" si="665"/>
        <v>0</v>
      </c>
      <c r="DG133" s="142">
        <f t="shared" si="665"/>
        <v>0</v>
      </c>
      <c r="DH133" s="142">
        <f t="shared" si="665"/>
        <v>0</v>
      </c>
      <c r="DI133" s="142">
        <f t="shared" si="665"/>
        <v>0</v>
      </c>
      <c r="DJ133" s="142">
        <f t="shared" si="665"/>
        <v>0</v>
      </c>
      <c r="DK133" s="142">
        <f t="shared" si="665"/>
        <v>0</v>
      </c>
      <c r="DL133" s="142">
        <f t="shared" si="665"/>
        <v>0</v>
      </c>
      <c r="DM133" s="142">
        <f t="shared" si="665"/>
        <v>0</v>
      </c>
      <c r="DN133" s="142">
        <f t="shared" si="665"/>
        <v>0</v>
      </c>
      <c r="DO133" s="142">
        <f t="shared" si="665"/>
        <v>0</v>
      </c>
      <c r="DP133" s="142">
        <f t="shared" si="665"/>
        <v>0</v>
      </c>
      <c r="DQ133" s="142">
        <f t="shared" si="665"/>
        <v>0</v>
      </c>
      <c r="DR133" s="142">
        <f t="shared" si="665"/>
        <v>0</v>
      </c>
      <c r="DS133" s="142">
        <f t="shared" si="665"/>
        <v>0</v>
      </c>
      <c r="DT133" s="142">
        <f t="shared" si="665"/>
        <v>0</v>
      </c>
      <c r="DU133" s="142">
        <f t="shared" si="665"/>
        <v>0</v>
      </c>
      <c r="DV133" s="142">
        <f t="shared" si="665"/>
        <v>0</v>
      </c>
      <c r="DW133" s="142">
        <f t="shared" si="665"/>
        <v>0</v>
      </c>
      <c r="DX133" s="142">
        <f t="shared" si="665"/>
        <v>0</v>
      </c>
      <c r="DY133" s="142">
        <f t="shared" si="665"/>
        <v>0</v>
      </c>
      <c r="DZ133" s="142">
        <f t="shared" si="665"/>
        <v>0</v>
      </c>
      <c r="EA133" s="143">
        <f t="shared" si="504"/>
        <v>0</v>
      </c>
      <c r="EB133" s="143">
        <f t="shared" si="505"/>
        <v>0</v>
      </c>
      <c r="EC133" s="143">
        <f t="shared" si="506"/>
        <v>0</v>
      </c>
      <c r="ED133" s="143">
        <f t="shared" si="507"/>
        <v>0</v>
      </c>
      <c r="EE133" s="143">
        <f t="shared" si="508"/>
        <v>0</v>
      </c>
      <c r="EF133" s="143">
        <f t="shared" si="509"/>
        <v>0</v>
      </c>
      <c r="EG133" s="143">
        <f t="shared" si="510"/>
        <v>0</v>
      </c>
      <c r="EH133" s="143">
        <f t="shared" si="511"/>
        <v>0</v>
      </c>
      <c r="EI133" s="143">
        <f t="shared" si="512"/>
        <v>0</v>
      </c>
      <c r="EJ133" s="143">
        <f t="shared" si="513"/>
        <v>0</v>
      </c>
      <c r="EK133" s="143">
        <f t="shared" si="514"/>
        <v>0</v>
      </c>
      <c r="EL133" s="143">
        <f t="shared" si="515"/>
        <v>0</v>
      </c>
      <c r="EM133" s="143">
        <f t="shared" si="516"/>
        <v>0</v>
      </c>
      <c r="EN133" s="143">
        <f t="shared" si="517"/>
        <v>0</v>
      </c>
      <c r="EO133" s="143">
        <f t="shared" si="518"/>
        <v>0</v>
      </c>
      <c r="EP133" s="143">
        <f t="shared" si="519"/>
        <v>0</v>
      </c>
      <c r="EQ133" s="143">
        <f t="shared" si="520"/>
        <v>0</v>
      </c>
      <c r="ER133" s="143">
        <f t="shared" si="521"/>
        <v>0</v>
      </c>
      <c r="ES133" s="143">
        <f t="shared" si="522"/>
        <v>0</v>
      </c>
      <c r="ET133" s="143">
        <f t="shared" si="523"/>
        <v>0</v>
      </c>
      <c r="EU133" s="143">
        <f t="shared" si="524"/>
        <v>0</v>
      </c>
      <c r="EV133" s="143">
        <f t="shared" si="525"/>
        <v>0</v>
      </c>
      <c r="EW133" s="143">
        <f t="shared" si="526"/>
        <v>0</v>
      </c>
      <c r="EX133" s="143">
        <f t="shared" si="527"/>
        <v>0</v>
      </c>
      <c r="EY133" s="143">
        <f t="shared" si="528"/>
        <v>0</v>
      </c>
      <c r="EZ133" s="143">
        <f t="shared" si="529"/>
        <v>0</v>
      </c>
      <c r="FA133" s="143">
        <f t="shared" si="530"/>
        <v>0</v>
      </c>
      <c r="FB133" s="143">
        <f t="shared" si="531"/>
        <v>0</v>
      </c>
      <c r="FC133" s="143">
        <f t="shared" si="532"/>
        <v>0</v>
      </c>
      <c r="FD133" s="143">
        <f t="shared" si="533"/>
        <v>0</v>
      </c>
      <c r="FE133" s="140">
        <f>SUM($D133:D133)*IF($B133="Operacional",IFERROR(VLOOKUP($C133,SN_UGC,28,0),0),1)</f>
        <v>0</v>
      </c>
      <c r="FF133" s="140">
        <f>SUM($D133:E133)*IF($B133="Operacional",IFERROR(VLOOKUP($C133,SN_UGC,28,0),0),1)</f>
        <v>0</v>
      </c>
      <c r="FG133" s="140">
        <f>SUM($D133:F133)*IF($B133="Operacional",IFERROR(VLOOKUP($C133,SN_UGC,28,0),0),1)</f>
        <v>0</v>
      </c>
      <c r="FH133" s="140">
        <f>SUM($D133:G133)*IF($B133="Operacional",IFERROR(VLOOKUP($C133,SN_UGC,28,0),0),1)</f>
        <v>0</v>
      </c>
      <c r="FI133" s="140">
        <f>SUM($D133:H133)*IF($B133="Operacional",IFERROR(VLOOKUP($C133,SN_UGC,28,0),0),1)</f>
        <v>0</v>
      </c>
      <c r="FJ133" s="140">
        <f>SUM($D133:I133)*IF($B133="Operacional",IFERROR(VLOOKUP($C133,SN_UGC,28,0),0),1)</f>
        <v>0</v>
      </c>
      <c r="FK133" s="140">
        <f>SUM($D133:J133)*IF($B133="Operacional",IFERROR(VLOOKUP($C133,SN_UGC,28,0),0),1)</f>
        <v>0</v>
      </c>
      <c r="FL133" s="140">
        <f>SUM($D133:K133)*IF($B133="Operacional",IFERROR(VLOOKUP($C133,SN_UGC,28,0),0),1)</f>
        <v>0</v>
      </c>
      <c r="FM133" s="140">
        <f>SUM($D133:L133)*IF($B133="Operacional",IFERROR(VLOOKUP($C133,SN_UGC,28,0),0),1)</f>
        <v>0</v>
      </c>
      <c r="FN133" s="140">
        <f>SUM($D133:M133)*IF($B133="Operacional",IFERROR(VLOOKUP($C133,SN_UGC,28,0),0),1)</f>
        <v>0</v>
      </c>
      <c r="FO133" s="140">
        <f>SUM($D133:N133)*IF($B133="Operacional",IFERROR(VLOOKUP($C133,SN_UGC,28,0),0),1)</f>
        <v>0</v>
      </c>
      <c r="FP133" s="140">
        <f>SUM($D133:O133)*IF($B133="Operacional",IFERROR(VLOOKUP($C133,SN_UGC,28,0),0),1)</f>
        <v>0</v>
      </c>
      <c r="FQ133" s="140">
        <f>SUM($D133:P133)*IF($B133="Operacional",IFERROR(VLOOKUP($C133,SN_UGC,28,0),0),1)</f>
        <v>0</v>
      </c>
      <c r="FR133" s="140">
        <f>SUM($D133:Q133)*IF($B133="Operacional",IFERROR(VLOOKUP($C133,SN_UGC,28,0),0),1)</f>
        <v>0</v>
      </c>
      <c r="FS133" s="140">
        <f>SUM($D133:R133)*IF($B133="Operacional",IFERROR(VLOOKUP($C133,SN_UGC,28,0),0),1)</f>
        <v>0</v>
      </c>
      <c r="FT133" s="140">
        <f>SUM($D133:S133)*IF($B133="Operacional",IFERROR(VLOOKUP($C133,SN_UGC,28,0),0),1)</f>
        <v>0</v>
      </c>
      <c r="FU133" s="140">
        <f>SUM($D133:T133)*IF($B133="Operacional",IFERROR(VLOOKUP($C133,SN_UGC,28,0),0),1)</f>
        <v>0</v>
      </c>
      <c r="FV133" s="140">
        <f>SUM($D133:U133)*IF($B133="Operacional",IFERROR(VLOOKUP($C133,SN_UGC,28,0),0),1)</f>
        <v>0</v>
      </c>
      <c r="FW133" s="140">
        <f>SUM($D133:V133)*IF($B133="Operacional",IFERROR(VLOOKUP($C133,SN_UGC,28,0),0),1)</f>
        <v>0</v>
      </c>
      <c r="FX133" s="140">
        <f>SUM($D133:W133)*IF($B133="Operacional",IFERROR(VLOOKUP($C133,SN_UGC,28,0),0),1)</f>
        <v>0</v>
      </c>
      <c r="FY133" s="140">
        <f>SUM($D133:X133)*IF($B133="Operacional",IFERROR(VLOOKUP($C133,SN_UGC,28,0),0),1)</f>
        <v>0</v>
      </c>
      <c r="FZ133" s="140">
        <f>SUM($D133:Y133)*IF($B133="Operacional",IFERROR(VLOOKUP($C133,SN_UGC,28,0),0),1)</f>
        <v>0</v>
      </c>
      <c r="GA133" s="140">
        <f>SUM($D133:Z133)*IF($B133="Operacional",IFERROR(VLOOKUP($C133,SN_UGC,28,0),0),1)</f>
        <v>0</v>
      </c>
      <c r="GB133" s="140">
        <f>SUM($D133:AA133)*IF($B133="Operacional",IFERROR(VLOOKUP($C133,SN_UGC,28,0),0),1)</f>
        <v>0</v>
      </c>
      <c r="GC133" s="140">
        <f>SUM($D133:AB133)*IF($B133="Operacional",IFERROR(VLOOKUP($C133,SN_UGC,28,0),0),1)</f>
        <v>0</v>
      </c>
      <c r="GD133" s="140">
        <f>SUM($D133:AC133)*IF($B133="Operacional",IFERROR(VLOOKUP($C133,SN_UGC,28,0),0),1)</f>
        <v>0</v>
      </c>
      <c r="GE133" s="140">
        <f>SUM($D133:AD133)*IF($B133="Operacional",IFERROR(VLOOKUP($C133,SN_UGC,28,0),0),1)</f>
        <v>0</v>
      </c>
      <c r="GF133" s="140">
        <f>SUM($D133:AE133)*IF($B133="Operacional",IFERROR(VLOOKUP($C133,SN_UGC,28,0),0),1)</f>
        <v>0</v>
      </c>
      <c r="GG133" s="140">
        <f>SUM($D133:AF133)*IF($B133="Operacional",IFERROR(VLOOKUP($C133,SN_UGC,28,0),0),1)</f>
        <v>0</v>
      </c>
      <c r="GH133" s="140">
        <f>SUM($D133:AG133)*IF($B133="Operacional",IFERROR(VLOOKUP($C133,SN_UGC,28,0),0),1)</f>
        <v>0</v>
      </c>
      <c r="GI133" s="141">
        <f t="shared" ref="GI133:HL133" si="666">FE133*$AH133*$AL133</f>
        <v>0</v>
      </c>
      <c r="GJ133" s="141">
        <f t="shared" si="666"/>
        <v>0</v>
      </c>
      <c r="GK133" s="141">
        <f t="shared" si="666"/>
        <v>0</v>
      </c>
      <c r="GL133" s="141">
        <f t="shared" si="666"/>
        <v>0</v>
      </c>
      <c r="GM133" s="141">
        <f t="shared" si="666"/>
        <v>0</v>
      </c>
      <c r="GN133" s="141">
        <f t="shared" si="666"/>
        <v>0</v>
      </c>
      <c r="GO133" s="141">
        <f t="shared" si="666"/>
        <v>0</v>
      </c>
      <c r="GP133" s="141">
        <f t="shared" si="666"/>
        <v>0</v>
      </c>
      <c r="GQ133" s="141">
        <f t="shared" si="666"/>
        <v>0</v>
      </c>
      <c r="GR133" s="141">
        <f t="shared" si="666"/>
        <v>0</v>
      </c>
      <c r="GS133" s="141">
        <f t="shared" si="666"/>
        <v>0</v>
      </c>
      <c r="GT133" s="141">
        <f t="shared" si="666"/>
        <v>0</v>
      </c>
      <c r="GU133" s="141">
        <f t="shared" si="666"/>
        <v>0</v>
      </c>
      <c r="GV133" s="141">
        <f t="shared" si="666"/>
        <v>0</v>
      </c>
      <c r="GW133" s="141">
        <f t="shared" si="666"/>
        <v>0</v>
      </c>
      <c r="GX133" s="141">
        <f t="shared" si="666"/>
        <v>0</v>
      </c>
      <c r="GY133" s="141">
        <f t="shared" si="666"/>
        <v>0</v>
      </c>
      <c r="GZ133" s="141">
        <f t="shared" si="666"/>
        <v>0</v>
      </c>
      <c r="HA133" s="141">
        <f t="shared" si="666"/>
        <v>0</v>
      </c>
      <c r="HB133" s="141">
        <f t="shared" si="666"/>
        <v>0</v>
      </c>
      <c r="HC133" s="141">
        <f t="shared" si="666"/>
        <v>0</v>
      </c>
      <c r="HD133" s="141">
        <f t="shared" si="666"/>
        <v>0</v>
      </c>
      <c r="HE133" s="141">
        <f t="shared" si="666"/>
        <v>0</v>
      </c>
      <c r="HF133" s="141">
        <f t="shared" si="666"/>
        <v>0</v>
      </c>
      <c r="HG133" s="141">
        <f t="shared" si="666"/>
        <v>0</v>
      </c>
      <c r="HH133" s="141">
        <f t="shared" si="666"/>
        <v>0</v>
      </c>
      <c r="HI133" s="141">
        <f t="shared" si="666"/>
        <v>0</v>
      </c>
      <c r="HJ133" s="141">
        <f t="shared" si="666"/>
        <v>0</v>
      </c>
      <c r="HK133" s="141">
        <f t="shared" si="666"/>
        <v>0</v>
      </c>
      <c r="HL133" s="141">
        <f t="shared" si="666"/>
        <v>0</v>
      </c>
      <c r="HM133" s="142">
        <f t="shared" ref="HM133:IP133" si="667">IF(ISBLANK($A133),,FE133*($AH133-($AH133*$AJ133))/$AI133)</f>
        <v>0</v>
      </c>
      <c r="HN133" s="142">
        <f t="shared" si="667"/>
        <v>0</v>
      </c>
      <c r="HO133" s="142">
        <f t="shared" si="667"/>
        <v>0</v>
      </c>
      <c r="HP133" s="142">
        <f t="shared" si="667"/>
        <v>0</v>
      </c>
      <c r="HQ133" s="142">
        <f t="shared" si="667"/>
        <v>0</v>
      </c>
      <c r="HR133" s="142">
        <f t="shared" si="667"/>
        <v>0</v>
      </c>
      <c r="HS133" s="142">
        <f t="shared" si="667"/>
        <v>0</v>
      </c>
      <c r="HT133" s="142">
        <f t="shared" si="667"/>
        <v>0</v>
      </c>
      <c r="HU133" s="142">
        <f t="shared" si="667"/>
        <v>0</v>
      </c>
      <c r="HV133" s="142">
        <f t="shared" si="667"/>
        <v>0</v>
      </c>
      <c r="HW133" s="142">
        <f t="shared" si="667"/>
        <v>0</v>
      </c>
      <c r="HX133" s="142">
        <f t="shared" si="667"/>
        <v>0</v>
      </c>
      <c r="HY133" s="142">
        <f t="shared" si="667"/>
        <v>0</v>
      </c>
      <c r="HZ133" s="142">
        <f t="shared" si="667"/>
        <v>0</v>
      </c>
      <c r="IA133" s="142">
        <f t="shared" si="667"/>
        <v>0</v>
      </c>
      <c r="IB133" s="142">
        <f t="shared" si="667"/>
        <v>0</v>
      </c>
      <c r="IC133" s="142">
        <f t="shared" si="667"/>
        <v>0</v>
      </c>
      <c r="ID133" s="142">
        <f t="shared" si="667"/>
        <v>0</v>
      </c>
      <c r="IE133" s="142">
        <f t="shared" si="667"/>
        <v>0</v>
      </c>
      <c r="IF133" s="142">
        <f t="shared" si="667"/>
        <v>0</v>
      </c>
      <c r="IG133" s="142">
        <f t="shared" si="667"/>
        <v>0</v>
      </c>
      <c r="IH133" s="142">
        <f t="shared" si="667"/>
        <v>0</v>
      </c>
      <c r="II133" s="142">
        <f t="shared" si="667"/>
        <v>0</v>
      </c>
      <c r="IJ133" s="142">
        <f t="shared" si="667"/>
        <v>0</v>
      </c>
      <c r="IK133" s="142">
        <f t="shared" si="667"/>
        <v>0</v>
      </c>
      <c r="IL133" s="142">
        <f t="shared" si="667"/>
        <v>0</v>
      </c>
      <c r="IM133" s="142">
        <f t="shared" si="667"/>
        <v>0</v>
      </c>
      <c r="IN133" s="142">
        <f t="shared" si="667"/>
        <v>0</v>
      </c>
      <c r="IO133" s="142">
        <f t="shared" si="667"/>
        <v>0</v>
      </c>
      <c r="IP133" s="142">
        <f t="shared" si="667"/>
        <v>0</v>
      </c>
      <c r="IQ133" s="141">
        <f>IF(ISBLANK($A133),,IF($AN133="Não",0,(SUM($AO133:AO133)*$AH133)-SUM($HM133:HM133)-SUM($CW133:CW133)))</f>
        <v>0</v>
      </c>
      <c r="IR133" s="141">
        <f>IF(ISBLANK($A133),,IF($AN133="Não",0,(SUM($AO133:AP133)*$AH133)-SUM($HM133:HN133)-SUM($CW133:CX133)))</f>
        <v>0</v>
      </c>
      <c r="IS133" s="141">
        <f>IF(ISBLANK($A133),,IF($AN133="Não",0,(SUM($AO133:AQ133)*$AH133)-SUM($HM133:HO133)-SUM($CW133:CY133)))</f>
        <v>0</v>
      </c>
      <c r="IT133" s="141">
        <f>IF(ISBLANK($A133),,IF($AN133="Não",0,(SUM($AO133:AR133)*$AH133)-SUM($HM133:HP133)-SUM($CW133:CZ133)))</f>
        <v>0</v>
      </c>
      <c r="IU133" s="141">
        <f>IF(ISBLANK($A133),,IF($AN133="Não",0,(SUM($AO133:AS133)*$AH133)-SUM($HM133:HQ133)-SUM($CW133:DA133)))</f>
        <v>0</v>
      </c>
      <c r="IV133" s="141">
        <f>IF(ISBLANK($A133),,IF($AN133="Não",0,(SUM($AO133:AT133)*$AH133)-SUM($HM133:HR133)-SUM($CW133:DB133)))</f>
        <v>0</v>
      </c>
      <c r="IW133" s="141">
        <f>IF(ISBLANK($A133),,IF($AN133="Não",0,(SUM($AO133:AU133)*$AH133)-SUM($HM133:HS133)-SUM($CW133:DC133)))</f>
        <v>0</v>
      </c>
      <c r="IX133" s="141">
        <f>IF(ISBLANK($A133),,IF($AN133="Não",0,(SUM($AO133:AV133)*$AH133)-SUM($HM133:HT133)-SUM($CW133:DD133)))</f>
        <v>0</v>
      </c>
      <c r="IY133" s="141">
        <f>IF(ISBLANK($A133),,IF($AN133="Não",0,(SUM($AO133:AW133)*$AH133)-SUM($HM133:HU133)-SUM($CW133:DE133)))</f>
        <v>0</v>
      </c>
      <c r="IZ133" s="141">
        <f>IF(ISBLANK($A133),,IF($AN133="Não",0,(SUM($AO133:AX133)*$AH133)-SUM($HM133:HV133)-SUM($CW133:DF133)))</f>
        <v>0</v>
      </c>
      <c r="JA133" s="141">
        <f>IF(ISBLANK($A133),,IF($AN133="Não",0,(SUM($AO133:AY133)*$AH133)-SUM($HM133:HW133)-SUM($CW133:DG133)))</f>
        <v>0</v>
      </c>
      <c r="JB133" s="141">
        <f>IF(ISBLANK($A133),,IF($AN133="Não",0,(SUM($AO133:AZ133)*$AH133)-SUM($HM133:HX133)-SUM($CW133:DH133)))</f>
        <v>0</v>
      </c>
      <c r="JC133" s="141">
        <f>IF(ISBLANK($A133),,IF($AN133="Não",0,(SUM($AO133:BA133)*$AH133)-SUM($HM133:HY133)-SUM($CW133:DI133)))</f>
        <v>0</v>
      </c>
      <c r="JD133" s="141">
        <f>IF(ISBLANK($A133),,IF($AN133="Não",0,(SUM($AO133:BB133)*$AH133)-SUM($HM133:HZ133)-SUM($CW133:DJ133)))</f>
        <v>0</v>
      </c>
      <c r="JE133" s="141">
        <f>IF(ISBLANK($A133),,IF($AN133="Não",0,(SUM($AO133:BC133)*$AH133)-SUM($HM133:IA133)-SUM($CW133:DK133)))</f>
        <v>0</v>
      </c>
      <c r="JF133" s="141">
        <f>IF(ISBLANK($A133),,IF($AN133="Não",0,(SUM($AO133:BD133)*$AH133)-SUM($HM133:IB133)-SUM($CW133:DL133)))</f>
        <v>0</v>
      </c>
      <c r="JG133" s="141">
        <f>IF(ISBLANK($A133),,IF($AN133="Não",0,(SUM($AO133:BE133)*$AH133)-SUM($HM133:IC133)-SUM($CW133:DM133)))</f>
        <v>0</v>
      </c>
      <c r="JH133" s="141">
        <f>IF(ISBLANK($A133),,IF($AN133="Não",0,(SUM($AO133:BF133)*$AH133)-SUM($HM133:ID133)-SUM($CW133:DN133)))</f>
        <v>0</v>
      </c>
      <c r="JI133" s="141">
        <f>IF(ISBLANK($A133),,IF($AN133="Não",0,(SUM($AO133:BG133)*$AH133)-SUM($HM133:IE133)-SUM($CW133:DO133)))</f>
        <v>0</v>
      </c>
      <c r="JJ133" s="141">
        <f>IF(ISBLANK($A133),,IF($AN133="Não",0,(SUM($AO133:BH133)*$AH133)-SUM($HM133:IF133)-SUM($CW133:DP133)))</f>
        <v>0</v>
      </c>
      <c r="JK133" s="141">
        <f>IF(ISBLANK($A133),,IF($AN133="Não",0,(SUM($AO133:BI133)*$AH133)-SUM($HM133:IG133)-SUM($CW133:DQ133)))</f>
        <v>0</v>
      </c>
      <c r="JL133" s="141">
        <f>IF(ISBLANK($A133),,IF($AN133="Não",0,(SUM($AO133:BJ133)*$AH133)-SUM($HM133:IH133)-SUM($CW133:DR133)))</f>
        <v>0</v>
      </c>
      <c r="JM133" s="141">
        <f>IF(ISBLANK($A133),,IF($AN133="Não",0,(SUM($AO133:BK133)*$AH133)-SUM($HM133:II133)-SUM($CW133:DS133)))</f>
        <v>0</v>
      </c>
      <c r="JN133" s="141">
        <f>IF(ISBLANK($A133),,IF($AN133="Não",0,(SUM($AO133:BL133)*$AH133)-SUM($HM133:IJ133)-SUM($CW133:DT133)))</f>
        <v>0</v>
      </c>
      <c r="JO133" s="141">
        <f>IF(ISBLANK($A133),,IF($AN133="Não",0,(SUM($AO133:BM133)*$AH133)-SUM($HM133:IK133)-SUM($CW133:DU133)))</f>
        <v>0</v>
      </c>
      <c r="JP133" s="141">
        <f>IF(ISBLANK($A133),,IF($AN133="Não",0,(SUM($AO133:BN133)*$AH133)-SUM($HM133:IL133)-SUM($CW133:DV133)))</f>
        <v>0</v>
      </c>
      <c r="JQ133" s="141">
        <f>IF(ISBLANK($A133),,IF($AN133="Não",0,(SUM($AO133:BO133)*$AH133)-SUM($HM133:IM133)-SUM($CW133:DW133)))</f>
        <v>0</v>
      </c>
      <c r="JR133" s="141">
        <f>IF(ISBLANK($A133),,IF($AN133="Não",0,(SUM($AO133:BP133)*$AH133)-SUM($HM133:IN133)-SUM($CW133:DX133)))</f>
        <v>0</v>
      </c>
      <c r="JS133" s="141">
        <f>IF(ISBLANK($A133),,IF($AN133="Não",0,(SUM($AO133:BQ133)*$AH133)-SUM($HM133:IO133)-SUM($CW133:DY133)))</f>
        <v>0</v>
      </c>
      <c r="JT133" s="141">
        <f>IF(ISBLANK($A133),,IF($AN133="Não",0,(SUM($AO133:BR133)*$AH133)-SUM($HM133:IP133)-SUM($CW133:DZ133)))</f>
        <v>0</v>
      </c>
    </row>
    <row r="134" spans="1:280" ht="15.75" customHeight="1">
      <c r="A134" s="129"/>
      <c r="B134" s="129"/>
      <c r="C134" s="138"/>
      <c r="D134" s="139"/>
      <c r="E134" s="139"/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607">
        <f t="shared" si="544"/>
        <v>0</v>
      </c>
      <c r="AI134" s="608">
        <f t="shared" si="545"/>
        <v>0</v>
      </c>
      <c r="AJ134" s="609">
        <f t="shared" si="546"/>
        <v>0</v>
      </c>
      <c r="AK134" s="610" t="str">
        <f t="shared" si="547"/>
        <v/>
      </c>
      <c r="AL134" s="609">
        <f t="shared" si="548"/>
        <v>0</v>
      </c>
      <c r="AM134" s="611" t="str">
        <f t="shared" si="549"/>
        <v/>
      </c>
      <c r="AN134" s="611" t="str">
        <f t="shared" si="550"/>
        <v/>
      </c>
      <c r="AO134" s="140">
        <f t="array" ref="AO134">IF(ISBLANK($A134),0,IF(OR(AO$5-$AI134&lt;=0,$AM134="Não"),D134,D134+INDEX($AO$6:$BR$176,ROW()-5,COLUMN()-40-$AI134)))*IF($B134="Operacional",IFERROR(VLOOKUP($C134,SN_UGC,28,0),0),1)</f>
        <v>0</v>
      </c>
      <c r="AP134" s="140">
        <f t="array" ref="AP134">IF(ISBLANK($A134),0,IF(OR(AP$5-$AI134&lt;=0,$AM134="Não"),E134,E134+INDEX($AO$6:$BR$176,ROW()-5,COLUMN()-40-$AI134)))*IF($B134="Operacional",IFERROR(VLOOKUP($C134,SN_UGC,28,0),0),1)</f>
        <v>0</v>
      </c>
      <c r="AQ134" s="140">
        <f t="array" ref="AQ134">IF(ISBLANK($A134),0,IF(OR(AQ$5-$AI134&lt;=0,$AM134="Não"),F134,F134+INDEX($AO$6:$BR$176,ROW()-5,COLUMN()-40-$AI134)))*IF($B134="Operacional",IFERROR(VLOOKUP($C134,SN_UGC,28,0),0),1)</f>
        <v>0</v>
      </c>
      <c r="AR134" s="140">
        <f t="array" ref="AR134">IF(ISBLANK($A134),0,IF(OR(AR$5-$AI134&lt;=0,$AM134="Não"),G134,G134+INDEX($AO$6:$BR$176,ROW()-5,COLUMN()-40-$AI134)))*IF($B134="Operacional",IFERROR(VLOOKUP($C134,SN_UGC,28,0),0),1)</f>
        <v>0</v>
      </c>
      <c r="AS134" s="140">
        <f t="array" ref="AS134">IF(ISBLANK($A134),0,IF(OR(AS$5-$AI134&lt;=0,$AM134="Não"),H134,H134+INDEX($AO$6:$BR$176,ROW()-5,COLUMN()-40-$AI134)))*IF($B134="Operacional",IFERROR(VLOOKUP($C134,SN_UGC,28,0),0),1)</f>
        <v>0</v>
      </c>
      <c r="AT134" s="140">
        <f t="array" ref="AT134">IF(ISBLANK($A134),0,IF(OR(AT$5-$AI134&lt;=0,$AM134="Não"),I134,I134+INDEX($AO$6:$BR$176,ROW()-5,COLUMN()-40-$AI134)))*IF($B134="Operacional",IFERROR(VLOOKUP($C134,SN_UGC,28,0),0),1)</f>
        <v>0</v>
      </c>
      <c r="AU134" s="140">
        <f t="array" ref="AU134">IF(ISBLANK($A134),0,IF(OR(AU$5-$AI134&lt;=0,$AM134="Não"),J134,J134+INDEX($AO$6:$BR$176,ROW()-5,COLUMN()-40-$AI134)))*IF($B134="Operacional",IFERROR(VLOOKUP($C134,SN_UGC,28,0),0),1)</f>
        <v>0</v>
      </c>
      <c r="AV134" s="140">
        <f t="array" ref="AV134">IF(ISBLANK($A134),0,IF(OR(AV$5-$AI134&lt;=0,$AM134="Não"),K134,K134+INDEX($AO$6:$BR$176,ROW()-5,COLUMN()-40-$AI134)))*IF($B134="Operacional",IFERROR(VLOOKUP($C134,SN_UGC,28,0),0),1)</f>
        <v>0</v>
      </c>
      <c r="AW134" s="140">
        <f t="array" ref="AW134">IF(ISBLANK($A134),0,IF(OR(AW$5-$AI134&lt;=0,$AM134="Não"),L134,L134+INDEX($AO$6:$BR$176,ROW()-5,COLUMN()-40-$AI134)))*IF($B134="Operacional",IFERROR(VLOOKUP($C134,SN_UGC,28,0),0),1)</f>
        <v>0</v>
      </c>
      <c r="AX134" s="140">
        <f t="array" ref="AX134">IF(ISBLANK($A134),0,IF(OR(AX$5-$AI134&lt;=0,$AM134="Não"),M134,M134+INDEX($AO$6:$BR$176,ROW()-5,COLUMN()-40-$AI134)))*IF($B134="Operacional",IFERROR(VLOOKUP($C134,SN_UGC,28,0),0),1)</f>
        <v>0</v>
      </c>
      <c r="AY134" s="140">
        <f t="array" ref="AY134">IF(ISBLANK($A134),0,IF(OR(AY$5-$AI134&lt;=0,$AM134="Não"),N134,N134+INDEX($AO$6:$BR$176,ROW()-5,COLUMN()-40-$AI134)))*IF($B134="Operacional",IFERROR(VLOOKUP($C134,SN_UGC,28,0),0),1)</f>
        <v>0</v>
      </c>
      <c r="AZ134" s="140">
        <f t="array" ref="AZ134">IF(ISBLANK($A134),0,IF(OR(AZ$5-$AI134&lt;=0,$AM134="Não"),O134,O134+INDEX($AO$6:$BR$176,ROW()-5,COLUMN()-40-$AI134)))*IF($B134="Operacional",IFERROR(VLOOKUP($C134,SN_UGC,28,0),0),1)</f>
        <v>0</v>
      </c>
      <c r="BA134" s="140">
        <f t="array" ref="BA134">IF(ISBLANK($A134),0,IF(OR(BA$5-$AI134&lt;=0,$AM134="Não"),P134,P134+INDEX($AO$6:$BR$176,ROW()-5,COLUMN()-40-$AI134)))*IF($B134="Operacional",IFERROR(VLOOKUP($C134,SN_UGC,28,0),0),1)</f>
        <v>0</v>
      </c>
      <c r="BB134" s="140">
        <f t="array" ref="BB134">IF(ISBLANK($A134),0,IF(OR(BB$5-$AI134&lt;=0,$AM134="Não"),Q134,Q134+INDEX($AO$6:$BR$176,ROW()-5,COLUMN()-40-$AI134)))*IF($B134="Operacional",IFERROR(VLOOKUP($C134,SN_UGC,28,0),0),1)</f>
        <v>0</v>
      </c>
      <c r="BC134" s="140">
        <f t="array" ref="BC134">IF(ISBLANK($A134),0,IF(OR(BC$5-$AI134&lt;=0,$AM134="Não"),R134,R134+INDEX($AO$6:$BR$176,ROW()-5,COLUMN()-40-$AI134)))*IF($B134="Operacional",IFERROR(VLOOKUP($C134,SN_UGC,28,0),0),1)</f>
        <v>0</v>
      </c>
      <c r="BD134" s="140">
        <f t="array" ref="BD134">IF(ISBLANK($A134),0,IF(OR(BD$5-$AI134&lt;=0,$AM134="Não"),S134,S134+INDEX($AO$6:$BR$176,ROW()-5,COLUMN()-40-$AI134)))*IF($B134="Operacional",IFERROR(VLOOKUP($C134,SN_UGC,28,0),0),1)</f>
        <v>0</v>
      </c>
      <c r="BE134" s="140">
        <f t="array" ref="BE134">IF(ISBLANK($A134),0,IF(OR(BE$5-$AI134&lt;=0,$AM134="Não"),T134,T134+INDEX($AO$6:$BR$176,ROW()-5,COLUMN()-40-$AI134)))*IF($B134="Operacional",IFERROR(VLOOKUP($C134,SN_UGC,28,0),0),1)</f>
        <v>0</v>
      </c>
      <c r="BF134" s="140">
        <f t="array" ref="BF134">IF(ISBLANK($A134),0,IF(OR(BF$5-$AI134&lt;=0,$AM134="Não"),U134,U134+INDEX($AO$6:$BR$176,ROW()-5,COLUMN()-40-$AI134)))*IF($B134="Operacional",IFERROR(VLOOKUP($C134,SN_UGC,28,0),0),1)</f>
        <v>0</v>
      </c>
      <c r="BG134" s="140">
        <f t="array" ref="BG134">IF(ISBLANK($A134),0,IF(OR(BG$5-$AI134&lt;=0,$AM134="Não"),V134,V134+INDEX($AO$6:$BR$176,ROW()-5,COLUMN()-40-$AI134)))*IF($B134="Operacional",IFERROR(VLOOKUP($C134,SN_UGC,28,0),0),1)</f>
        <v>0</v>
      </c>
      <c r="BH134" s="140">
        <f t="array" ref="BH134">IF(ISBLANK($A134),0,IF(OR(BH$5-$AI134&lt;=0,$AM134="Não"),W134,W134+INDEX($AO$6:$BR$176,ROW()-5,COLUMN()-40-$AI134)))*IF($B134="Operacional",IFERROR(VLOOKUP($C134,SN_UGC,28,0),0),1)</f>
        <v>0</v>
      </c>
      <c r="BI134" s="140">
        <f t="array" ref="BI134">IF(ISBLANK($A134),0,IF(OR(BI$5-$AI134&lt;=0,$AM134="Não"),X134,X134+INDEX($AO$6:$BR$176,ROW()-5,COLUMN()-40-$AI134)))*IF($B134="Operacional",IFERROR(VLOOKUP($C134,SN_UGC,28,0),0),1)</f>
        <v>0</v>
      </c>
      <c r="BJ134" s="140">
        <f t="array" ref="BJ134">IF(ISBLANK($A134),0,IF(OR(BJ$5-$AI134&lt;=0,$AM134="Não"),Y134,Y134+INDEX($AO$6:$BR$176,ROW()-5,COLUMN()-40-$AI134)))*IF($B134="Operacional",IFERROR(VLOOKUP($C134,SN_UGC,28,0),0),1)</f>
        <v>0</v>
      </c>
      <c r="BK134" s="140">
        <f t="array" ref="BK134">IF(ISBLANK($A134),0,IF(OR(BK$5-$AI134&lt;=0,$AM134="Não"),Z134,Z134+INDEX($AO$6:$BR$176,ROW()-5,COLUMN()-40-$AI134)))*IF($B134="Operacional",IFERROR(VLOOKUP($C134,SN_UGC,28,0),0),1)</f>
        <v>0</v>
      </c>
      <c r="BL134" s="140">
        <f t="array" ref="BL134">IF(ISBLANK($A134),0,IF(OR(BL$5-$AI134&lt;=0,$AM134="Não"),AA134,AA134+INDEX($AO$6:$BR$176,ROW()-5,COLUMN()-40-$AI134)))*IF($B134="Operacional",IFERROR(VLOOKUP($C134,SN_UGC,28,0),0),1)</f>
        <v>0</v>
      </c>
      <c r="BM134" s="140">
        <f t="array" ref="BM134">IF(ISBLANK($A134),0,IF(OR(BM$5-$AI134&lt;=0,$AM134="Não"),AB134,AB134+INDEX($AO$6:$BR$176,ROW()-5,COLUMN()-40-$AI134)))*IF($B134="Operacional",IFERROR(VLOOKUP($C134,SN_UGC,28,0),0),1)</f>
        <v>0</v>
      </c>
      <c r="BN134" s="140">
        <f t="array" ref="BN134">IF(ISBLANK($A134),0,IF(OR(BN$5-$AI134&lt;=0,$AM134="Não"),AC134,AC134+INDEX($AO$6:$BR$176,ROW()-5,COLUMN()-40-$AI134)))*IF($B134="Operacional",IFERROR(VLOOKUP($C134,SN_UGC,28,0),0),1)</f>
        <v>0</v>
      </c>
      <c r="BO134" s="140">
        <f t="array" ref="BO134">IF(ISBLANK($A134),0,IF(OR(BO$5-$AI134&lt;=0,$AM134="Não"),AD134,AD134+INDEX($AO$6:$BR$176,ROW()-5,COLUMN()-40-$AI134)))*IF($B134="Operacional",IFERROR(VLOOKUP($C134,SN_UGC,28,0),0),1)</f>
        <v>0</v>
      </c>
      <c r="BP134" s="140">
        <f t="array" ref="BP134">IF(ISBLANK($A134),0,IF(OR(BP$5-$AI134&lt;=0,$AM134="Não"),AE134,AE134+INDEX($AO$6:$BR$176,ROW()-5,COLUMN()-40-$AI134)))*IF($B134="Operacional",IFERROR(VLOOKUP($C134,SN_UGC,28,0),0),1)</f>
        <v>0</v>
      </c>
      <c r="BQ134" s="140">
        <f t="array" ref="BQ134">IF(ISBLANK($A134),0,IF(OR(BQ$5-$AI134&lt;=0,$AM134="Não"),AF134,AF134+INDEX($AO$6:$BR$176,ROW()-5,COLUMN()-40-$AI134)))*IF($B134="Operacional",IFERROR(VLOOKUP($C134,SN_UGC,28,0),0),1)</f>
        <v>0</v>
      </c>
      <c r="BR134" s="140">
        <f t="array" ref="BR134">IF(ISBLANK($A134),0,IF(OR(BR$5-$AI134&lt;=0,$AM134="Não"),AG134,AG134+INDEX($AO$6:$BR$176,ROW()-5,COLUMN()-40-$AI134)))*IF($B134="Operacional",IFERROR(VLOOKUP($C134,SN_UGC,28,0),0),1)</f>
        <v>0</v>
      </c>
      <c r="BS134" s="141">
        <f t="shared" ref="BS134:CV134" si="668">IF(ISBLANK($A134),0,$AH134*AO134)</f>
        <v>0</v>
      </c>
      <c r="BT134" s="141">
        <f t="shared" si="668"/>
        <v>0</v>
      </c>
      <c r="BU134" s="141">
        <f t="shared" si="668"/>
        <v>0</v>
      </c>
      <c r="BV134" s="141">
        <f t="shared" si="668"/>
        <v>0</v>
      </c>
      <c r="BW134" s="141">
        <f t="shared" si="668"/>
        <v>0</v>
      </c>
      <c r="BX134" s="141">
        <f t="shared" si="668"/>
        <v>0</v>
      </c>
      <c r="BY134" s="141">
        <f t="shared" si="668"/>
        <v>0</v>
      </c>
      <c r="BZ134" s="141">
        <f t="shared" si="668"/>
        <v>0</v>
      </c>
      <c r="CA134" s="141">
        <f t="shared" si="668"/>
        <v>0</v>
      </c>
      <c r="CB134" s="141">
        <f t="shared" si="668"/>
        <v>0</v>
      </c>
      <c r="CC134" s="141">
        <f t="shared" si="668"/>
        <v>0</v>
      </c>
      <c r="CD134" s="141">
        <f t="shared" si="668"/>
        <v>0</v>
      </c>
      <c r="CE134" s="141">
        <f t="shared" si="668"/>
        <v>0</v>
      </c>
      <c r="CF134" s="141">
        <f t="shared" si="668"/>
        <v>0</v>
      </c>
      <c r="CG134" s="141">
        <f t="shared" si="668"/>
        <v>0</v>
      </c>
      <c r="CH134" s="141">
        <f t="shared" si="668"/>
        <v>0</v>
      </c>
      <c r="CI134" s="141">
        <f t="shared" si="668"/>
        <v>0</v>
      </c>
      <c r="CJ134" s="141">
        <f t="shared" si="668"/>
        <v>0</v>
      </c>
      <c r="CK134" s="141">
        <f t="shared" si="668"/>
        <v>0</v>
      </c>
      <c r="CL134" s="141">
        <f t="shared" si="668"/>
        <v>0</v>
      </c>
      <c r="CM134" s="141">
        <f t="shared" si="668"/>
        <v>0</v>
      </c>
      <c r="CN134" s="141">
        <f t="shared" si="668"/>
        <v>0</v>
      </c>
      <c r="CO134" s="141">
        <f t="shared" si="668"/>
        <v>0</v>
      </c>
      <c r="CP134" s="141">
        <f t="shared" si="668"/>
        <v>0</v>
      </c>
      <c r="CQ134" s="141">
        <f t="shared" si="668"/>
        <v>0</v>
      </c>
      <c r="CR134" s="141">
        <f t="shared" si="668"/>
        <v>0</v>
      </c>
      <c r="CS134" s="141">
        <f t="shared" si="668"/>
        <v>0</v>
      </c>
      <c r="CT134" s="141">
        <f t="shared" si="668"/>
        <v>0</v>
      </c>
      <c r="CU134" s="141">
        <f t="shared" si="668"/>
        <v>0</v>
      </c>
      <c r="CV134" s="141">
        <f t="shared" si="668"/>
        <v>0</v>
      </c>
      <c r="CW134" s="142">
        <f t="shared" ref="CW134:DZ134" si="669">EA134*$AH134*$AJ134</f>
        <v>0</v>
      </c>
      <c r="CX134" s="142">
        <f t="shared" si="669"/>
        <v>0</v>
      </c>
      <c r="CY134" s="142">
        <f t="shared" si="669"/>
        <v>0</v>
      </c>
      <c r="CZ134" s="142">
        <f t="shared" si="669"/>
        <v>0</v>
      </c>
      <c r="DA134" s="142">
        <f t="shared" si="669"/>
        <v>0</v>
      </c>
      <c r="DB134" s="142">
        <f t="shared" si="669"/>
        <v>0</v>
      </c>
      <c r="DC134" s="142">
        <f t="shared" si="669"/>
        <v>0</v>
      </c>
      <c r="DD134" s="142">
        <f t="shared" si="669"/>
        <v>0</v>
      </c>
      <c r="DE134" s="142">
        <f t="shared" si="669"/>
        <v>0</v>
      </c>
      <c r="DF134" s="142">
        <f t="shared" si="669"/>
        <v>0</v>
      </c>
      <c r="DG134" s="142">
        <f t="shared" si="669"/>
        <v>0</v>
      </c>
      <c r="DH134" s="142">
        <f t="shared" si="669"/>
        <v>0</v>
      </c>
      <c r="DI134" s="142">
        <f t="shared" si="669"/>
        <v>0</v>
      </c>
      <c r="DJ134" s="142">
        <f t="shared" si="669"/>
        <v>0</v>
      </c>
      <c r="DK134" s="142">
        <f t="shared" si="669"/>
        <v>0</v>
      </c>
      <c r="DL134" s="142">
        <f t="shared" si="669"/>
        <v>0</v>
      </c>
      <c r="DM134" s="142">
        <f t="shared" si="669"/>
        <v>0</v>
      </c>
      <c r="DN134" s="142">
        <f t="shared" si="669"/>
        <v>0</v>
      </c>
      <c r="DO134" s="142">
        <f t="shared" si="669"/>
        <v>0</v>
      </c>
      <c r="DP134" s="142">
        <f t="shared" si="669"/>
        <v>0</v>
      </c>
      <c r="DQ134" s="142">
        <f t="shared" si="669"/>
        <v>0</v>
      </c>
      <c r="DR134" s="142">
        <f t="shared" si="669"/>
        <v>0</v>
      </c>
      <c r="DS134" s="142">
        <f t="shared" si="669"/>
        <v>0</v>
      </c>
      <c r="DT134" s="142">
        <f t="shared" si="669"/>
        <v>0</v>
      </c>
      <c r="DU134" s="142">
        <f t="shared" si="669"/>
        <v>0</v>
      </c>
      <c r="DV134" s="142">
        <f t="shared" si="669"/>
        <v>0</v>
      </c>
      <c r="DW134" s="142">
        <f t="shared" si="669"/>
        <v>0</v>
      </c>
      <c r="DX134" s="142">
        <f t="shared" si="669"/>
        <v>0</v>
      </c>
      <c r="DY134" s="142">
        <f t="shared" si="669"/>
        <v>0</v>
      </c>
      <c r="DZ134" s="142">
        <f t="shared" si="669"/>
        <v>0</v>
      </c>
      <c r="EA134" s="143">
        <f t="shared" ref="EA134:EA165" si="670">IF(OR(EA$5-$AI134&lt;=0,ISBLANK($A134)),0,INDEX($AO$6:$BR$176,ROW()-5,COLUMN(AP134)-41-$AI134))</f>
        <v>0</v>
      </c>
      <c r="EB134" s="143">
        <f t="shared" ref="EB134:EB165" si="671">IF(OR(EB$5-$AI134&lt;=0,ISBLANK($A134)),0,INDEX($AO$6:$BR$176,ROW()-5,COLUMN(AQ134)-41-$AI134))</f>
        <v>0</v>
      </c>
      <c r="EC134" s="143">
        <f t="shared" ref="EC134:EC165" si="672">IF(OR(EC$5-$AI134&lt;=0,ISBLANK($A134)),0,INDEX($AO$6:$BR$176,ROW()-5,COLUMN(AR134)-41-$AI134))</f>
        <v>0</v>
      </c>
      <c r="ED134" s="143">
        <f t="shared" ref="ED134:ED165" si="673">IF(OR(ED$5-$AI134&lt;=0,ISBLANK($A134)),0,INDEX($AO$6:$BR$176,ROW()-5,COLUMN(AS134)-41-$AI134))</f>
        <v>0</v>
      </c>
      <c r="EE134" s="143">
        <f t="shared" ref="EE134:EE165" si="674">IF(OR(EE$5-$AI134&lt;=0,ISBLANK($A134)),0,INDEX($AO$6:$BR$176,ROW()-5,COLUMN(AT134)-41-$AI134))</f>
        <v>0</v>
      </c>
      <c r="EF134" s="143">
        <f t="shared" ref="EF134:EF165" si="675">IF(OR(EF$5-$AI134&lt;=0,ISBLANK($A134)),0,INDEX($AO$6:$BR$176,ROW()-5,COLUMN(AU134)-41-$AI134))</f>
        <v>0</v>
      </c>
      <c r="EG134" s="143">
        <f t="shared" ref="EG134:EG165" si="676">IF(OR(EG$5-$AI134&lt;=0,ISBLANK($A134)),0,INDEX($AO$6:$BR$176,ROW()-5,COLUMN(AV134)-41-$AI134))</f>
        <v>0</v>
      </c>
      <c r="EH134" s="143">
        <f t="shared" ref="EH134:EH165" si="677">IF(OR(EH$5-$AI134&lt;=0,ISBLANK($A134)),0,INDEX($AO$6:$BR$176,ROW()-5,COLUMN(AW134)-41-$AI134))</f>
        <v>0</v>
      </c>
      <c r="EI134" s="143">
        <f t="shared" ref="EI134:EI165" si="678">IF(OR(EI$5-$AI134&lt;=0,ISBLANK($A134)),0,INDEX($AO$6:$BR$176,ROW()-5,COLUMN(AX134)-41-$AI134))</f>
        <v>0</v>
      </c>
      <c r="EJ134" s="143">
        <f t="shared" ref="EJ134:EJ165" si="679">IF(OR(EJ$5-$AI134&lt;=0,ISBLANK($A134)),0,INDEX($AO$6:$BR$176,ROW()-5,COLUMN(AY134)-41-$AI134))</f>
        <v>0</v>
      </c>
      <c r="EK134" s="143">
        <f t="shared" ref="EK134:EK165" si="680">IF(OR(EK$5-$AI134&lt;=0,ISBLANK($A134)),0,INDEX($AO$6:$BR$176,ROW()-5,COLUMN(AZ134)-41-$AI134))</f>
        <v>0</v>
      </c>
      <c r="EL134" s="143">
        <f t="shared" ref="EL134:EL165" si="681">IF(OR(EL$5-$AI134&lt;=0,ISBLANK($A134)),0,INDEX($AO$6:$BR$176,ROW()-5,COLUMN(BA134)-41-$AI134))</f>
        <v>0</v>
      </c>
      <c r="EM134" s="143">
        <f t="shared" ref="EM134:EM165" si="682">IF(OR(EM$5-$AI134&lt;=0,ISBLANK($A134)),0,INDEX($AO$6:$BR$176,ROW()-5,COLUMN(BB134)-41-$AI134))</f>
        <v>0</v>
      </c>
      <c r="EN134" s="143">
        <f t="shared" ref="EN134:EN165" si="683">IF(OR(EN$5-$AI134&lt;=0,ISBLANK($A134)),0,INDEX($AO$6:$BR$176,ROW()-5,COLUMN(BC134)-41-$AI134))</f>
        <v>0</v>
      </c>
      <c r="EO134" s="143">
        <f t="shared" ref="EO134:EO165" si="684">IF(OR(EO$5-$AI134&lt;=0,ISBLANK($A134)),0,INDEX($AO$6:$BR$176,ROW()-5,COLUMN(BD134)-41-$AI134))</f>
        <v>0</v>
      </c>
      <c r="EP134" s="143">
        <f t="shared" ref="EP134:EP165" si="685">IF(OR(EP$5-$AI134&lt;=0,ISBLANK($A134)),0,INDEX($AO$6:$BR$176,ROW()-5,COLUMN(BE134)-41-$AI134))</f>
        <v>0</v>
      </c>
      <c r="EQ134" s="143">
        <f t="shared" ref="EQ134:EQ165" si="686">IF(OR(EQ$5-$AI134&lt;=0,ISBLANK($A134)),0,INDEX($AO$6:$BR$176,ROW()-5,COLUMN(BF134)-41-$AI134))</f>
        <v>0</v>
      </c>
      <c r="ER134" s="143">
        <f t="shared" ref="ER134:ER165" si="687">IF(OR(ER$5-$AI134&lt;=0,ISBLANK($A134)),0,INDEX($AO$6:$BR$176,ROW()-5,COLUMN(BG134)-41-$AI134))</f>
        <v>0</v>
      </c>
      <c r="ES134" s="143">
        <f t="shared" ref="ES134:ES165" si="688">IF(OR(ES$5-$AI134&lt;=0,ISBLANK($A134)),0,INDEX($AO$6:$BR$176,ROW()-5,COLUMN(BH134)-41-$AI134))</f>
        <v>0</v>
      </c>
      <c r="ET134" s="143">
        <f t="shared" ref="ET134:ET165" si="689">IF(OR(ET$5-$AI134&lt;=0,ISBLANK($A134)),0,INDEX($AO$6:$BR$176,ROW()-5,COLUMN(BI134)-41-$AI134))</f>
        <v>0</v>
      </c>
      <c r="EU134" s="143">
        <f t="shared" ref="EU134:EU165" si="690">IF(OR(EU$5-$AI134&lt;=0,ISBLANK($A134)),0,INDEX($AO$6:$BR$176,ROW()-5,COLUMN(BJ134)-41-$AI134))</f>
        <v>0</v>
      </c>
      <c r="EV134" s="143">
        <f t="shared" ref="EV134:EV165" si="691">IF(OR(EV$5-$AI134&lt;=0,ISBLANK($A134)),0,INDEX($AO$6:$BR$176,ROW()-5,COLUMN(BK134)-41-$AI134))</f>
        <v>0</v>
      </c>
      <c r="EW134" s="143">
        <f t="shared" ref="EW134:EW165" si="692">IF(OR(EW$5-$AI134&lt;=0,ISBLANK($A134)),0,INDEX($AO$6:$BR$176,ROW()-5,COLUMN(BL134)-41-$AI134))</f>
        <v>0</v>
      </c>
      <c r="EX134" s="143">
        <f t="shared" ref="EX134:EX165" si="693">IF(OR(EX$5-$AI134&lt;=0,ISBLANK($A134)),0,INDEX($AO$6:$BR$176,ROW()-5,COLUMN(BM134)-41-$AI134))</f>
        <v>0</v>
      </c>
      <c r="EY134" s="143">
        <f t="shared" ref="EY134:EY165" si="694">IF(OR(EY$5-$AI134&lt;=0,ISBLANK($A134)),0,INDEX($AO$6:$BR$176,ROW()-5,COLUMN(BN134)-41-$AI134))</f>
        <v>0</v>
      </c>
      <c r="EZ134" s="143">
        <f t="shared" ref="EZ134:EZ165" si="695">IF(OR(EZ$5-$AI134&lt;=0,ISBLANK($A134)),0,INDEX($AO$6:$BR$176,ROW()-5,COLUMN(BO134)-41-$AI134))</f>
        <v>0</v>
      </c>
      <c r="FA134" s="143">
        <f t="shared" ref="FA134:FA165" si="696">IF(OR(FA$5-$AI134&lt;=0,ISBLANK($A134)),0,INDEX($AO$6:$BR$176,ROW()-5,COLUMN(BP134)-41-$AI134))</f>
        <v>0</v>
      </c>
      <c r="FB134" s="143">
        <f t="shared" ref="FB134:FB165" si="697">IF(OR(FB$5-$AI134&lt;=0,ISBLANK($A134)),0,INDEX($AO$6:$BR$176,ROW()-5,COLUMN(BQ134)-41-$AI134))</f>
        <v>0</v>
      </c>
      <c r="FC134" s="143">
        <f t="shared" ref="FC134:FC165" si="698">IF(OR(FC$5-$AI134&lt;=0,ISBLANK($A134)),0,INDEX($AO$6:$BR$176,ROW()-5,COLUMN(BR134)-41-$AI134))</f>
        <v>0</v>
      </c>
      <c r="FD134" s="143">
        <f t="shared" ref="FD134:FD165" si="699">IF(OR(FD$5-$AI134&lt;=0,ISBLANK($A134)),0,INDEX($AO$6:$BR$176,ROW()-5,COLUMN(BS134)-41-$AI134))</f>
        <v>0</v>
      </c>
      <c r="FE134" s="140">
        <f>SUM($D134:D134)*IF($B134="Operacional",IFERROR(VLOOKUP($C134,SN_UGC,28,0),0),1)</f>
        <v>0</v>
      </c>
      <c r="FF134" s="140">
        <f>SUM($D134:E134)*IF($B134="Operacional",IFERROR(VLOOKUP($C134,SN_UGC,28,0),0),1)</f>
        <v>0</v>
      </c>
      <c r="FG134" s="140">
        <f>SUM($D134:F134)*IF($B134="Operacional",IFERROR(VLOOKUP($C134,SN_UGC,28,0),0),1)</f>
        <v>0</v>
      </c>
      <c r="FH134" s="140">
        <f>SUM($D134:G134)*IF($B134="Operacional",IFERROR(VLOOKUP($C134,SN_UGC,28,0),0),1)</f>
        <v>0</v>
      </c>
      <c r="FI134" s="140">
        <f>SUM($D134:H134)*IF($B134="Operacional",IFERROR(VLOOKUP($C134,SN_UGC,28,0),0),1)</f>
        <v>0</v>
      </c>
      <c r="FJ134" s="140">
        <f>SUM($D134:I134)*IF($B134="Operacional",IFERROR(VLOOKUP($C134,SN_UGC,28,0),0),1)</f>
        <v>0</v>
      </c>
      <c r="FK134" s="140">
        <f>SUM($D134:J134)*IF($B134="Operacional",IFERROR(VLOOKUP($C134,SN_UGC,28,0),0),1)</f>
        <v>0</v>
      </c>
      <c r="FL134" s="140">
        <f>SUM($D134:K134)*IF($B134="Operacional",IFERROR(VLOOKUP($C134,SN_UGC,28,0),0),1)</f>
        <v>0</v>
      </c>
      <c r="FM134" s="140">
        <f>SUM($D134:L134)*IF($B134="Operacional",IFERROR(VLOOKUP($C134,SN_UGC,28,0),0),1)</f>
        <v>0</v>
      </c>
      <c r="FN134" s="140">
        <f>SUM($D134:M134)*IF($B134="Operacional",IFERROR(VLOOKUP($C134,SN_UGC,28,0),0),1)</f>
        <v>0</v>
      </c>
      <c r="FO134" s="140">
        <f>SUM($D134:N134)*IF($B134="Operacional",IFERROR(VLOOKUP($C134,SN_UGC,28,0),0),1)</f>
        <v>0</v>
      </c>
      <c r="FP134" s="140">
        <f>SUM($D134:O134)*IF($B134="Operacional",IFERROR(VLOOKUP($C134,SN_UGC,28,0),0),1)</f>
        <v>0</v>
      </c>
      <c r="FQ134" s="140">
        <f>SUM($D134:P134)*IF($B134="Operacional",IFERROR(VLOOKUP($C134,SN_UGC,28,0),0),1)</f>
        <v>0</v>
      </c>
      <c r="FR134" s="140">
        <f>SUM($D134:Q134)*IF($B134="Operacional",IFERROR(VLOOKUP($C134,SN_UGC,28,0),0),1)</f>
        <v>0</v>
      </c>
      <c r="FS134" s="140">
        <f>SUM($D134:R134)*IF($B134="Operacional",IFERROR(VLOOKUP($C134,SN_UGC,28,0),0),1)</f>
        <v>0</v>
      </c>
      <c r="FT134" s="140">
        <f>SUM($D134:S134)*IF($B134="Operacional",IFERROR(VLOOKUP($C134,SN_UGC,28,0),0),1)</f>
        <v>0</v>
      </c>
      <c r="FU134" s="140">
        <f>SUM($D134:T134)*IF($B134="Operacional",IFERROR(VLOOKUP($C134,SN_UGC,28,0),0),1)</f>
        <v>0</v>
      </c>
      <c r="FV134" s="140">
        <f>SUM($D134:U134)*IF($B134="Operacional",IFERROR(VLOOKUP($C134,SN_UGC,28,0),0),1)</f>
        <v>0</v>
      </c>
      <c r="FW134" s="140">
        <f>SUM($D134:V134)*IF($B134="Operacional",IFERROR(VLOOKUP($C134,SN_UGC,28,0),0),1)</f>
        <v>0</v>
      </c>
      <c r="FX134" s="140">
        <f>SUM($D134:W134)*IF($B134="Operacional",IFERROR(VLOOKUP($C134,SN_UGC,28,0),0),1)</f>
        <v>0</v>
      </c>
      <c r="FY134" s="140">
        <f>SUM($D134:X134)*IF($B134="Operacional",IFERROR(VLOOKUP($C134,SN_UGC,28,0),0),1)</f>
        <v>0</v>
      </c>
      <c r="FZ134" s="140">
        <f>SUM($D134:Y134)*IF($B134="Operacional",IFERROR(VLOOKUP($C134,SN_UGC,28,0),0),1)</f>
        <v>0</v>
      </c>
      <c r="GA134" s="140">
        <f>SUM($D134:Z134)*IF($B134="Operacional",IFERROR(VLOOKUP($C134,SN_UGC,28,0),0),1)</f>
        <v>0</v>
      </c>
      <c r="GB134" s="140">
        <f>SUM($D134:AA134)*IF($B134="Operacional",IFERROR(VLOOKUP($C134,SN_UGC,28,0),0),1)</f>
        <v>0</v>
      </c>
      <c r="GC134" s="140">
        <f>SUM($D134:AB134)*IF($B134="Operacional",IFERROR(VLOOKUP($C134,SN_UGC,28,0),0),1)</f>
        <v>0</v>
      </c>
      <c r="GD134" s="140">
        <f>SUM($D134:AC134)*IF($B134="Operacional",IFERROR(VLOOKUP($C134,SN_UGC,28,0),0),1)</f>
        <v>0</v>
      </c>
      <c r="GE134" s="140">
        <f>SUM($D134:AD134)*IF($B134="Operacional",IFERROR(VLOOKUP($C134,SN_UGC,28,0),0),1)</f>
        <v>0</v>
      </c>
      <c r="GF134" s="140">
        <f>SUM($D134:AE134)*IF($B134="Operacional",IFERROR(VLOOKUP($C134,SN_UGC,28,0),0),1)</f>
        <v>0</v>
      </c>
      <c r="GG134" s="140">
        <f>SUM($D134:AF134)*IF($B134="Operacional",IFERROR(VLOOKUP($C134,SN_UGC,28,0),0),1)</f>
        <v>0</v>
      </c>
      <c r="GH134" s="140">
        <f>SUM($D134:AG134)*IF($B134="Operacional",IFERROR(VLOOKUP($C134,SN_UGC,28,0),0),1)</f>
        <v>0</v>
      </c>
      <c r="GI134" s="141">
        <f t="shared" ref="GI134:HL134" si="700">FE134*$AH134*$AL134</f>
        <v>0</v>
      </c>
      <c r="GJ134" s="141">
        <f t="shared" si="700"/>
        <v>0</v>
      </c>
      <c r="GK134" s="141">
        <f t="shared" si="700"/>
        <v>0</v>
      </c>
      <c r="GL134" s="141">
        <f t="shared" si="700"/>
        <v>0</v>
      </c>
      <c r="GM134" s="141">
        <f t="shared" si="700"/>
        <v>0</v>
      </c>
      <c r="GN134" s="141">
        <f t="shared" si="700"/>
        <v>0</v>
      </c>
      <c r="GO134" s="141">
        <f t="shared" si="700"/>
        <v>0</v>
      </c>
      <c r="GP134" s="141">
        <f t="shared" si="700"/>
        <v>0</v>
      </c>
      <c r="GQ134" s="141">
        <f t="shared" si="700"/>
        <v>0</v>
      </c>
      <c r="GR134" s="141">
        <f t="shared" si="700"/>
        <v>0</v>
      </c>
      <c r="GS134" s="141">
        <f t="shared" si="700"/>
        <v>0</v>
      </c>
      <c r="GT134" s="141">
        <f t="shared" si="700"/>
        <v>0</v>
      </c>
      <c r="GU134" s="141">
        <f t="shared" si="700"/>
        <v>0</v>
      </c>
      <c r="GV134" s="141">
        <f t="shared" si="700"/>
        <v>0</v>
      </c>
      <c r="GW134" s="141">
        <f t="shared" si="700"/>
        <v>0</v>
      </c>
      <c r="GX134" s="141">
        <f t="shared" si="700"/>
        <v>0</v>
      </c>
      <c r="GY134" s="141">
        <f t="shared" si="700"/>
        <v>0</v>
      </c>
      <c r="GZ134" s="141">
        <f t="shared" si="700"/>
        <v>0</v>
      </c>
      <c r="HA134" s="141">
        <f t="shared" si="700"/>
        <v>0</v>
      </c>
      <c r="HB134" s="141">
        <f t="shared" si="700"/>
        <v>0</v>
      </c>
      <c r="HC134" s="141">
        <f t="shared" si="700"/>
        <v>0</v>
      </c>
      <c r="HD134" s="141">
        <f t="shared" si="700"/>
        <v>0</v>
      </c>
      <c r="HE134" s="141">
        <f t="shared" si="700"/>
        <v>0</v>
      </c>
      <c r="HF134" s="141">
        <f t="shared" si="700"/>
        <v>0</v>
      </c>
      <c r="HG134" s="141">
        <f t="shared" si="700"/>
        <v>0</v>
      </c>
      <c r="HH134" s="141">
        <f t="shared" si="700"/>
        <v>0</v>
      </c>
      <c r="HI134" s="141">
        <f t="shared" si="700"/>
        <v>0</v>
      </c>
      <c r="HJ134" s="141">
        <f t="shared" si="700"/>
        <v>0</v>
      </c>
      <c r="HK134" s="141">
        <f t="shared" si="700"/>
        <v>0</v>
      </c>
      <c r="HL134" s="141">
        <f t="shared" si="700"/>
        <v>0</v>
      </c>
      <c r="HM134" s="142">
        <f t="shared" ref="HM134:IP134" si="701">IF(ISBLANK($A134),,FE134*($AH134-($AH134*$AJ134))/$AI134)</f>
        <v>0</v>
      </c>
      <c r="HN134" s="142">
        <f t="shared" si="701"/>
        <v>0</v>
      </c>
      <c r="HO134" s="142">
        <f t="shared" si="701"/>
        <v>0</v>
      </c>
      <c r="HP134" s="142">
        <f t="shared" si="701"/>
        <v>0</v>
      </c>
      <c r="HQ134" s="142">
        <f t="shared" si="701"/>
        <v>0</v>
      </c>
      <c r="HR134" s="142">
        <f t="shared" si="701"/>
        <v>0</v>
      </c>
      <c r="HS134" s="142">
        <f t="shared" si="701"/>
        <v>0</v>
      </c>
      <c r="HT134" s="142">
        <f t="shared" si="701"/>
        <v>0</v>
      </c>
      <c r="HU134" s="142">
        <f t="shared" si="701"/>
        <v>0</v>
      </c>
      <c r="HV134" s="142">
        <f t="shared" si="701"/>
        <v>0</v>
      </c>
      <c r="HW134" s="142">
        <f t="shared" si="701"/>
        <v>0</v>
      </c>
      <c r="HX134" s="142">
        <f t="shared" si="701"/>
        <v>0</v>
      </c>
      <c r="HY134" s="142">
        <f t="shared" si="701"/>
        <v>0</v>
      </c>
      <c r="HZ134" s="142">
        <f t="shared" si="701"/>
        <v>0</v>
      </c>
      <c r="IA134" s="142">
        <f t="shared" si="701"/>
        <v>0</v>
      </c>
      <c r="IB134" s="142">
        <f t="shared" si="701"/>
        <v>0</v>
      </c>
      <c r="IC134" s="142">
        <f t="shared" si="701"/>
        <v>0</v>
      </c>
      <c r="ID134" s="142">
        <f t="shared" si="701"/>
        <v>0</v>
      </c>
      <c r="IE134" s="142">
        <f t="shared" si="701"/>
        <v>0</v>
      </c>
      <c r="IF134" s="142">
        <f t="shared" si="701"/>
        <v>0</v>
      </c>
      <c r="IG134" s="142">
        <f t="shared" si="701"/>
        <v>0</v>
      </c>
      <c r="IH134" s="142">
        <f t="shared" si="701"/>
        <v>0</v>
      </c>
      <c r="II134" s="142">
        <f t="shared" si="701"/>
        <v>0</v>
      </c>
      <c r="IJ134" s="142">
        <f t="shared" si="701"/>
        <v>0</v>
      </c>
      <c r="IK134" s="142">
        <f t="shared" si="701"/>
        <v>0</v>
      </c>
      <c r="IL134" s="142">
        <f t="shared" si="701"/>
        <v>0</v>
      </c>
      <c r="IM134" s="142">
        <f t="shared" si="701"/>
        <v>0</v>
      </c>
      <c r="IN134" s="142">
        <f t="shared" si="701"/>
        <v>0</v>
      </c>
      <c r="IO134" s="142">
        <f t="shared" si="701"/>
        <v>0</v>
      </c>
      <c r="IP134" s="142">
        <f t="shared" si="701"/>
        <v>0</v>
      </c>
      <c r="IQ134" s="141">
        <f>IF(ISBLANK($A134),,IF($AN134="Não",0,(SUM($AO134:AO134)*$AH134)-SUM($HM134:HM134)-SUM($CW134:CW134)))</f>
        <v>0</v>
      </c>
      <c r="IR134" s="141">
        <f>IF(ISBLANK($A134),,IF($AN134="Não",0,(SUM($AO134:AP134)*$AH134)-SUM($HM134:HN134)-SUM($CW134:CX134)))</f>
        <v>0</v>
      </c>
      <c r="IS134" s="141">
        <f>IF(ISBLANK($A134),,IF($AN134="Não",0,(SUM($AO134:AQ134)*$AH134)-SUM($HM134:HO134)-SUM($CW134:CY134)))</f>
        <v>0</v>
      </c>
      <c r="IT134" s="141">
        <f>IF(ISBLANK($A134),,IF($AN134="Não",0,(SUM($AO134:AR134)*$AH134)-SUM($HM134:HP134)-SUM($CW134:CZ134)))</f>
        <v>0</v>
      </c>
      <c r="IU134" s="141">
        <f>IF(ISBLANK($A134),,IF($AN134="Não",0,(SUM($AO134:AS134)*$AH134)-SUM($HM134:HQ134)-SUM($CW134:DA134)))</f>
        <v>0</v>
      </c>
      <c r="IV134" s="141">
        <f>IF(ISBLANK($A134),,IF($AN134="Não",0,(SUM($AO134:AT134)*$AH134)-SUM($HM134:HR134)-SUM($CW134:DB134)))</f>
        <v>0</v>
      </c>
      <c r="IW134" s="141">
        <f>IF(ISBLANK($A134),,IF($AN134="Não",0,(SUM($AO134:AU134)*$AH134)-SUM($HM134:HS134)-SUM($CW134:DC134)))</f>
        <v>0</v>
      </c>
      <c r="IX134" s="141">
        <f>IF(ISBLANK($A134),,IF($AN134="Não",0,(SUM($AO134:AV134)*$AH134)-SUM($HM134:HT134)-SUM($CW134:DD134)))</f>
        <v>0</v>
      </c>
      <c r="IY134" s="141">
        <f>IF(ISBLANK($A134),,IF($AN134="Não",0,(SUM($AO134:AW134)*$AH134)-SUM($HM134:HU134)-SUM($CW134:DE134)))</f>
        <v>0</v>
      </c>
      <c r="IZ134" s="141">
        <f>IF(ISBLANK($A134),,IF($AN134="Não",0,(SUM($AO134:AX134)*$AH134)-SUM($HM134:HV134)-SUM($CW134:DF134)))</f>
        <v>0</v>
      </c>
      <c r="JA134" s="141">
        <f>IF(ISBLANK($A134),,IF($AN134="Não",0,(SUM($AO134:AY134)*$AH134)-SUM($HM134:HW134)-SUM($CW134:DG134)))</f>
        <v>0</v>
      </c>
      <c r="JB134" s="141">
        <f>IF(ISBLANK($A134),,IF($AN134="Não",0,(SUM($AO134:AZ134)*$AH134)-SUM($HM134:HX134)-SUM($CW134:DH134)))</f>
        <v>0</v>
      </c>
      <c r="JC134" s="141">
        <f>IF(ISBLANK($A134),,IF($AN134="Não",0,(SUM($AO134:BA134)*$AH134)-SUM($HM134:HY134)-SUM($CW134:DI134)))</f>
        <v>0</v>
      </c>
      <c r="JD134" s="141">
        <f>IF(ISBLANK($A134),,IF($AN134="Não",0,(SUM($AO134:BB134)*$AH134)-SUM($HM134:HZ134)-SUM($CW134:DJ134)))</f>
        <v>0</v>
      </c>
      <c r="JE134" s="141">
        <f>IF(ISBLANK($A134),,IF($AN134="Não",0,(SUM($AO134:BC134)*$AH134)-SUM($HM134:IA134)-SUM($CW134:DK134)))</f>
        <v>0</v>
      </c>
      <c r="JF134" s="141">
        <f>IF(ISBLANK($A134),,IF($AN134="Não",0,(SUM($AO134:BD134)*$AH134)-SUM($HM134:IB134)-SUM($CW134:DL134)))</f>
        <v>0</v>
      </c>
      <c r="JG134" s="141">
        <f>IF(ISBLANK($A134),,IF($AN134="Não",0,(SUM($AO134:BE134)*$AH134)-SUM($HM134:IC134)-SUM($CW134:DM134)))</f>
        <v>0</v>
      </c>
      <c r="JH134" s="141">
        <f>IF(ISBLANK($A134),,IF($AN134="Não",0,(SUM($AO134:BF134)*$AH134)-SUM($HM134:ID134)-SUM($CW134:DN134)))</f>
        <v>0</v>
      </c>
      <c r="JI134" s="141">
        <f>IF(ISBLANK($A134),,IF($AN134="Não",0,(SUM($AO134:BG134)*$AH134)-SUM($HM134:IE134)-SUM($CW134:DO134)))</f>
        <v>0</v>
      </c>
      <c r="JJ134" s="141">
        <f>IF(ISBLANK($A134),,IF($AN134="Não",0,(SUM($AO134:BH134)*$AH134)-SUM($HM134:IF134)-SUM($CW134:DP134)))</f>
        <v>0</v>
      </c>
      <c r="JK134" s="141">
        <f>IF(ISBLANK($A134),,IF($AN134="Não",0,(SUM($AO134:BI134)*$AH134)-SUM($HM134:IG134)-SUM($CW134:DQ134)))</f>
        <v>0</v>
      </c>
      <c r="JL134" s="141">
        <f>IF(ISBLANK($A134),,IF($AN134="Não",0,(SUM($AO134:BJ134)*$AH134)-SUM($HM134:IH134)-SUM($CW134:DR134)))</f>
        <v>0</v>
      </c>
      <c r="JM134" s="141">
        <f>IF(ISBLANK($A134),,IF($AN134="Não",0,(SUM($AO134:BK134)*$AH134)-SUM($HM134:II134)-SUM($CW134:DS134)))</f>
        <v>0</v>
      </c>
      <c r="JN134" s="141">
        <f>IF(ISBLANK($A134),,IF($AN134="Não",0,(SUM($AO134:BL134)*$AH134)-SUM($HM134:IJ134)-SUM($CW134:DT134)))</f>
        <v>0</v>
      </c>
      <c r="JO134" s="141">
        <f>IF(ISBLANK($A134),,IF($AN134="Não",0,(SUM($AO134:BM134)*$AH134)-SUM($HM134:IK134)-SUM($CW134:DU134)))</f>
        <v>0</v>
      </c>
      <c r="JP134" s="141">
        <f>IF(ISBLANK($A134),,IF($AN134="Não",0,(SUM($AO134:BN134)*$AH134)-SUM($HM134:IL134)-SUM($CW134:DV134)))</f>
        <v>0</v>
      </c>
      <c r="JQ134" s="141">
        <f>IF(ISBLANK($A134),,IF($AN134="Não",0,(SUM($AO134:BO134)*$AH134)-SUM($HM134:IM134)-SUM($CW134:DW134)))</f>
        <v>0</v>
      </c>
      <c r="JR134" s="141">
        <f>IF(ISBLANK($A134),,IF($AN134="Não",0,(SUM($AO134:BP134)*$AH134)-SUM($HM134:IN134)-SUM($CW134:DX134)))</f>
        <v>0</v>
      </c>
      <c r="JS134" s="141">
        <f>IF(ISBLANK($A134),,IF($AN134="Não",0,(SUM($AO134:BQ134)*$AH134)-SUM($HM134:IO134)-SUM($CW134:DY134)))</f>
        <v>0</v>
      </c>
      <c r="JT134" s="141">
        <f>IF(ISBLANK($A134),,IF($AN134="Não",0,(SUM($AO134:BR134)*$AH134)-SUM($HM134:IP134)-SUM($CW134:DZ134)))</f>
        <v>0</v>
      </c>
    </row>
    <row r="135" spans="1:280" ht="15.75" customHeight="1">
      <c r="A135" s="129"/>
      <c r="B135" s="129"/>
      <c r="C135" s="138"/>
      <c r="D135" s="139"/>
      <c r="E135" s="139"/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607">
        <f t="shared" si="544"/>
        <v>0</v>
      </c>
      <c r="AI135" s="608">
        <f t="shared" si="545"/>
        <v>0</v>
      </c>
      <c r="AJ135" s="609">
        <f t="shared" si="546"/>
        <v>0</v>
      </c>
      <c r="AK135" s="610" t="str">
        <f t="shared" si="547"/>
        <v/>
      </c>
      <c r="AL135" s="609">
        <f t="shared" si="548"/>
        <v>0</v>
      </c>
      <c r="AM135" s="611" t="str">
        <f t="shared" si="549"/>
        <v/>
      </c>
      <c r="AN135" s="611" t="str">
        <f t="shared" si="550"/>
        <v/>
      </c>
      <c r="AO135" s="140">
        <f t="array" ref="AO135">IF(ISBLANK($A135),0,IF(OR(AO$5-$AI135&lt;=0,$AM135="Não"),D135,D135+INDEX($AO$6:$BR$176,ROW()-5,COLUMN()-40-$AI135)))*IF($B135="Operacional",IFERROR(VLOOKUP($C135,SN_UGC,28,0),0),1)</f>
        <v>0</v>
      </c>
      <c r="AP135" s="140">
        <f t="array" ref="AP135">IF(ISBLANK($A135),0,IF(OR(AP$5-$AI135&lt;=0,$AM135="Não"),E135,E135+INDEX($AO$6:$BR$176,ROW()-5,COLUMN()-40-$AI135)))*IF($B135="Operacional",IFERROR(VLOOKUP($C135,SN_UGC,28,0),0),1)</f>
        <v>0</v>
      </c>
      <c r="AQ135" s="140">
        <f t="array" ref="AQ135">IF(ISBLANK($A135),0,IF(OR(AQ$5-$AI135&lt;=0,$AM135="Não"),F135,F135+INDEX($AO$6:$BR$176,ROW()-5,COLUMN()-40-$AI135)))*IF($B135="Operacional",IFERROR(VLOOKUP($C135,SN_UGC,28,0),0),1)</f>
        <v>0</v>
      </c>
      <c r="AR135" s="140">
        <f t="array" ref="AR135">IF(ISBLANK($A135),0,IF(OR(AR$5-$AI135&lt;=0,$AM135="Não"),G135,G135+INDEX($AO$6:$BR$176,ROW()-5,COLUMN()-40-$AI135)))*IF($B135="Operacional",IFERROR(VLOOKUP($C135,SN_UGC,28,0),0),1)</f>
        <v>0</v>
      </c>
      <c r="AS135" s="140">
        <f t="array" ref="AS135">IF(ISBLANK($A135),0,IF(OR(AS$5-$AI135&lt;=0,$AM135="Não"),H135,H135+INDEX($AO$6:$BR$176,ROW()-5,COLUMN()-40-$AI135)))*IF($B135="Operacional",IFERROR(VLOOKUP($C135,SN_UGC,28,0),0),1)</f>
        <v>0</v>
      </c>
      <c r="AT135" s="140">
        <f t="array" ref="AT135">IF(ISBLANK($A135),0,IF(OR(AT$5-$AI135&lt;=0,$AM135="Não"),I135,I135+INDEX($AO$6:$BR$176,ROW()-5,COLUMN()-40-$AI135)))*IF($B135="Operacional",IFERROR(VLOOKUP($C135,SN_UGC,28,0),0),1)</f>
        <v>0</v>
      </c>
      <c r="AU135" s="140">
        <f t="array" ref="AU135">IF(ISBLANK($A135),0,IF(OR(AU$5-$AI135&lt;=0,$AM135="Não"),J135,J135+INDEX($AO$6:$BR$176,ROW()-5,COLUMN()-40-$AI135)))*IF($B135="Operacional",IFERROR(VLOOKUP($C135,SN_UGC,28,0),0),1)</f>
        <v>0</v>
      </c>
      <c r="AV135" s="140">
        <f t="array" ref="AV135">IF(ISBLANK($A135),0,IF(OR(AV$5-$AI135&lt;=0,$AM135="Não"),K135,K135+INDEX($AO$6:$BR$176,ROW()-5,COLUMN()-40-$AI135)))*IF($B135="Operacional",IFERROR(VLOOKUP($C135,SN_UGC,28,0),0),1)</f>
        <v>0</v>
      </c>
      <c r="AW135" s="140">
        <f t="array" ref="AW135">IF(ISBLANK($A135),0,IF(OR(AW$5-$AI135&lt;=0,$AM135="Não"),L135,L135+INDEX($AO$6:$BR$176,ROW()-5,COLUMN()-40-$AI135)))*IF($B135="Operacional",IFERROR(VLOOKUP($C135,SN_UGC,28,0),0),1)</f>
        <v>0</v>
      </c>
      <c r="AX135" s="140">
        <f t="array" ref="AX135">IF(ISBLANK($A135),0,IF(OR(AX$5-$AI135&lt;=0,$AM135="Não"),M135,M135+INDEX($AO$6:$BR$176,ROW()-5,COLUMN()-40-$AI135)))*IF($B135="Operacional",IFERROR(VLOOKUP($C135,SN_UGC,28,0),0),1)</f>
        <v>0</v>
      </c>
      <c r="AY135" s="140">
        <f t="array" ref="AY135">IF(ISBLANK($A135),0,IF(OR(AY$5-$AI135&lt;=0,$AM135="Não"),N135,N135+INDEX($AO$6:$BR$176,ROW()-5,COLUMN()-40-$AI135)))*IF($B135="Operacional",IFERROR(VLOOKUP($C135,SN_UGC,28,0),0),1)</f>
        <v>0</v>
      </c>
      <c r="AZ135" s="140">
        <f t="array" ref="AZ135">IF(ISBLANK($A135),0,IF(OR(AZ$5-$AI135&lt;=0,$AM135="Não"),O135,O135+INDEX($AO$6:$BR$176,ROW()-5,COLUMN()-40-$AI135)))*IF($B135="Operacional",IFERROR(VLOOKUP($C135,SN_UGC,28,0),0),1)</f>
        <v>0</v>
      </c>
      <c r="BA135" s="140">
        <f t="array" ref="BA135">IF(ISBLANK($A135),0,IF(OR(BA$5-$AI135&lt;=0,$AM135="Não"),P135,P135+INDEX($AO$6:$BR$176,ROW()-5,COLUMN()-40-$AI135)))*IF($B135="Operacional",IFERROR(VLOOKUP($C135,SN_UGC,28,0),0),1)</f>
        <v>0</v>
      </c>
      <c r="BB135" s="140">
        <f t="array" ref="BB135">IF(ISBLANK($A135),0,IF(OR(BB$5-$AI135&lt;=0,$AM135="Não"),Q135,Q135+INDEX($AO$6:$BR$176,ROW()-5,COLUMN()-40-$AI135)))*IF($B135="Operacional",IFERROR(VLOOKUP($C135,SN_UGC,28,0),0),1)</f>
        <v>0</v>
      </c>
      <c r="BC135" s="140">
        <f t="array" ref="BC135">IF(ISBLANK($A135),0,IF(OR(BC$5-$AI135&lt;=0,$AM135="Não"),R135,R135+INDEX($AO$6:$BR$176,ROW()-5,COLUMN()-40-$AI135)))*IF($B135="Operacional",IFERROR(VLOOKUP($C135,SN_UGC,28,0),0),1)</f>
        <v>0</v>
      </c>
      <c r="BD135" s="140">
        <f t="array" ref="BD135">IF(ISBLANK($A135),0,IF(OR(BD$5-$AI135&lt;=0,$AM135="Não"),S135,S135+INDEX($AO$6:$BR$176,ROW()-5,COLUMN()-40-$AI135)))*IF($B135="Operacional",IFERROR(VLOOKUP($C135,SN_UGC,28,0),0),1)</f>
        <v>0</v>
      </c>
      <c r="BE135" s="140">
        <f t="array" ref="BE135">IF(ISBLANK($A135),0,IF(OR(BE$5-$AI135&lt;=0,$AM135="Não"),T135,T135+INDEX($AO$6:$BR$176,ROW()-5,COLUMN()-40-$AI135)))*IF($B135="Operacional",IFERROR(VLOOKUP($C135,SN_UGC,28,0),0),1)</f>
        <v>0</v>
      </c>
      <c r="BF135" s="140">
        <f t="array" ref="BF135">IF(ISBLANK($A135),0,IF(OR(BF$5-$AI135&lt;=0,$AM135="Não"),U135,U135+INDEX($AO$6:$BR$176,ROW()-5,COLUMN()-40-$AI135)))*IF($B135="Operacional",IFERROR(VLOOKUP($C135,SN_UGC,28,0),0),1)</f>
        <v>0</v>
      </c>
      <c r="BG135" s="140">
        <f t="array" ref="BG135">IF(ISBLANK($A135),0,IF(OR(BG$5-$AI135&lt;=0,$AM135="Não"),V135,V135+INDEX($AO$6:$BR$176,ROW()-5,COLUMN()-40-$AI135)))*IF($B135="Operacional",IFERROR(VLOOKUP($C135,SN_UGC,28,0),0),1)</f>
        <v>0</v>
      </c>
      <c r="BH135" s="140">
        <f t="array" ref="BH135">IF(ISBLANK($A135),0,IF(OR(BH$5-$AI135&lt;=0,$AM135="Não"),W135,W135+INDEX($AO$6:$BR$176,ROW()-5,COLUMN()-40-$AI135)))*IF($B135="Operacional",IFERROR(VLOOKUP($C135,SN_UGC,28,0),0),1)</f>
        <v>0</v>
      </c>
      <c r="BI135" s="140">
        <f t="array" ref="BI135">IF(ISBLANK($A135),0,IF(OR(BI$5-$AI135&lt;=0,$AM135="Não"),X135,X135+INDEX($AO$6:$BR$176,ROW()-5,COLUMN()-40-$AI135)))*IF($B135="Operacional",IFERROR(VLOOKUP($C135,SN_UGC,28,0),0),1)</f>
        <v>0</v>
      </c>
      <c r="BJ135" s="140">
        <f t="array" ref="BJ135">IF(ISBLANK($A135),0,IF(OR(BJ$5-$AI135&lt;=0,$AM135="Não"),Y135,Y135+INDEX($AO$6:$BR$176,ROW()-5,COLUMN()-40-$AI135)))*IF($B135="Operacional",IFERROR(VLOOKUP($C135,SN_UGC,28,0),0),1)</f>
        <v>0</v>
      </c>
      <c r="BK135" s="140">
        <f t="array" ref="BK135">IF(ISBLANK($A135),0,IF(OR(BK$5-$AI135&lt;=0,$AM135="Não"),Z135,Z135+INDEX($AO$6:$BR$176,ROW()-5,COLUMN()-40-$AI135)))*IF($B135="Operacional",IFERROR(VLOOKUP($C135,SN_UGC,28,0),0),1)</f>
        <v>0</v>
      </c>
      <c r="BL135" s="140">
        <f t="array" ref="BL135">IF(ISBLANK($A135),0,IF(OR(BL$5-$AI135&lt;=0,$AM135="Não"),AA135,AA135+INDEX($AO$6:$BR$176,ROW()-5,COLUMN()-40-$AI135)))*IF($B135="Operacional",IFERROR(VLOOKUP($C135,SN_UGC,28,0),0),1)</f>
        <v>0</v>
      </c>
      <c r="BM135" s="140">
        <f t="array" ref="BM135">IF(ISBLANK($A135),0,IF(OR(BM$5-$AI135&lt;=0,$AM135="Não"),AB135,AB135+INDEX($AO$6:$BR$176,ROW()-5,COLUMN()-40-$AI135)))*IF($B135="Operacional",IFERROR(VLOOKUP($C135,SN_UGC,28,0),0),1)</f>
        <v>0</v>
      </c>
      <c r="BN135" s="140">
        <f t="array" ref="BN135">IF(ISBLANK($A135),0,IF(OR(BN$5-$AI135&lt;=0,$AM135="Não"),AC135,AC135+INDEX($AO$6:$BR$176,ROW()-5,COLUMN()-40-$AI135)))*IF($B135="Operacional",IFERROR(VLOOKUP($C135,SN_UGC,28,0),0),1)</f>
        <v>0</v>
      </c>
      <c r="BO135" s="140">
        <f t="array" ref="BO135">IF(ISBLANK($A135),0,IF(OR(BO$5-$AI135&lt;=0,$AM135="Não"),AD135,AD135+INDEX($AO$6:$BR$176,ROW()-5,COLUMN()-40-$AI135)))*IF($B135="Operacional",IFERROR(VLOOKUP($C135,SN_UGC,28,0),0),1)</f>
        <v>0</v>
      </c>
      <c r="BP135" s="140">
        <f t="array" ref="BP135">IF(ISBLANK($A135),0,IF(OR(BP$5-$AI135&lt;=0,$AM135="Não"),AE135,AE135+INDEX($AO$6:$BR$176,ROW()-5,COLUMN()-40-$AI135)))*IF($B135="Operacional",IFERROR(VLOOKUP($C135,SN_UGC,28,0),0),1)</f>
        <v>0</v>
      </c>
      <c r="BQ135" s="140">
        <f t="array" ref="BQ135">IF(ISBLANK($A135),0,IF(OR(BQ$5-$AI135&lt;=0,$AM135="Não"),AF135,AF135+INDEX($AO$6:$BR$176,ROW()-5,COLUMN()-40-$AI135)))*IF($B135="Operacional",IFERROR(VLOOKUP($C135,SN_UGC,28,0),0),1)</f>
        <v>0</v>
      </c>
      <c r="BR135" s="140">
        <f t="array" ref="BR135">IF(ISBLANK($A135),0,IF(OR(BR$5-$AI135&lt;=0,$AM135="Não"),AG135,AG135+INDEX($AO$6:$BR$176,ROW()-5,COLUMN()-40-$AI135)))*IF($B135="Operacional",IFERROR(VLOOKUP($C135,SN_UGC,28,0),0),1)</f>
        <v>0</v>
      </c>
      <c r="BS135" s="141">
        <f t="shared" ref="BS135:CV135" si="702">IF(ISBLANK($A135),0,$AH135*AO135)</f>
        <v>0</v>
      </c>
      <c r="BT135" s="141">
        <f t="shared" si="702"/>
        <v>0</v>
      </c>
      <c r="BU135" s="141">
        <f t="shared" si="702"/>
        <v>0</v>
      </c>
      <c r="BV135" s="141">
        <f t="shared" si="702"/>
        <v>0</v>
      </c>
      <c r="BW135" s="141">
        <f t="shared" si="702"/>
        <v>0</v>
      </c>
      <c r="BX135" s="141">
        <f t="shared" si="702"/>
        <v>0</v>
      </c>
      <c r="BY135" s="141">
        <f t="shared" si="702"/>
        <v>0</v>
      </c>
      <c r="BZ135" s="141">
        <f t="shared" si="702"/>
        <v>0</v>
      </c>
      <c r="CA135" s="141">
        <f t="shared" si="702"/>
        <v>0</v>
      </c>
      <c r="CB135" s="141">
        <f t="shared" si="702"/>
        <v>0</v>
      </c>
      <c r="CC135" s="141">
        <f t="shared" si="702"/>
        <v>0</v>
      </c>
      <c r="CD135" s="141">
        <f t="shared" si="702"/>
        <v>0</v>
      </c>
      <c r="CE135" s="141">
        <f t="shared" si="702"/>
        <v>0</v>
      </c>
      <c r="CF135" s="141">
        <f t="shared" si="702"/>
        <v>0</v>
      </c>
      <c r="CG135" s="141">
        <f t="shared" si="702"/>
        <v>0</v>
      </c>
      <c r="CH135" s="141">
        <f t="shared" si="702"/>
        <v>0</v>
      </c>
      <c r="CI135" s="141">
        <f t="shared" si="702"/>
        <v>0</v>
      </c>
      <c r="CJ135" s="141">
        <f t="shared" si="702"/>
        <v>0</v>
      </c>
      <c r="CK135" s="141">
        <f t="shared" si="702"/>
        <v>0</v>
      </c>
      <c r="CL135" s="141">
        <f t="shared" si="702"/>
        <v>0</v>
      </c>
      <c r="CM135" s="141">
        <f t="shared" si="702"/>
        <v>0</v>
      </c>
      <c r="CN135" s="141">
        <f t="shared" si="702"/>
        <v>0</v>
      </c>
      <c r="CO135" s="141">
        <f t="shared" si="702"/>
        <v>0</v>
      </c>
      <c r="CP135" s="141">
        <f t="shared" si="702"/>
        <v>0</v>
      </c>
      <c r="CQ135" s="141">
        <f t="shared" si="702"/>
        <v>0</v>
      </c>
      <c r="CR135" s="141">
        <f t="shared" si="702"/>
        <v>0</v>
      </c>
      <c r="CS135" s="141">
        <f t="shared" si="702"/>
        <v>0</v>
      </c>
      <c r="CT135" s="141">
        <f t="shared" si="702"/>
        <v>0</v>
      </c>
      <c r="CU135" s="141">
        <f t="shared" si="702"/>
        <v>0</v>
      </c>
      <c r="CV135" s="141">
        <f t="shared" si="702"/>
        <v>0</v>
      </c>
      <c r="CW135" s="142">
        <f t="shared" ref="CW135:DZ135" si="703">EA135*$AH135*$AJ135</f>
        <v>0</v>
      </c>
      <c r="CX135" s="142">
        <f t="shared" si="703"/>
        <v>0</v>
      </c>
      <c r="CY135" s="142">
        <f t="shared" si="703"/>
        <v>0</v>
      </c>
      <c r="CZ135" s="142">
        <f t="shared" si="703"/>
        <v>0</v>
      </c>
      <c r="DA135" s="142">
        <f t="shared" si="703"/>
        <v>0</v>
      </c>
      <c r="DB135" s="142">
        <f t="shared" si="703"/>
        <v>0</v>
      </c>
      <c r="DC135" s="142">
        <f t="shared" si="703"/>
        <v>0</v>
      </c>
      <c r="DD135" s="142">
        <f t="shared" si="703"/>
        <v>0</v>
      </c>
      <c r="DE135" s="142">
        <f t="shared" si="703"/>
        <v>0</v>
      </c>
      <c r="DF135" s="142">
        <f t="shared" si="703"/>
        <v>0</v>
      </c>
      <c r="DG135" s="142">
        <f t="shared" si="703"/>
        <v>0</v>
      </c>
      <c r="DH135" s="142">
        <f t="shared" si="703"/>
        <v>0</v>
      </c>
      <c r="DI135" s="142">
        <f t="shared" si="703"/>
        <v>0</v>
      </c>
      <c r="DJ135" s="142">
        <f t="shared" si="703"/>
        <v>0</v>
      </c>
      <c r="DK135" s="142">
        <f t="shared" si="703"/>
        <v>0</v>
      </c>
      <c r="DL135" s="142">
        <f t="shared" si="703"/>
        <v>0</v>
      </c>
      <c r="DM135" s="142">
        <f t="shared" si="703"/>
        <v>0</v>
      </c>
      <c r="DN135" s="142">
        <f t="shared" si="703"/>
        <v>0</v>
      </c>
      <c r="DO135" s="142">
        <f t="shared" si="703"/>
        <v>0</v>
      </c>
      <c r="DP135" s="142">
        <f t="shared" si="703"/>
        <v>0</v>
      </c>
      <c r="DQ135" s="142">
        <f t="shared" si="703"/>
        <v>0</v>
      </c>
      <c r="DR135" s="142">
        <f t="shared" si="703"/>
        <v>0</v>
      </c>
      <c r="DS135" s="142">
        <f t="shared" si="703"/>
        <v>0</v>
      </c>
      <c r="DT135" s="142">
        <f t="shared" si="703"/>
        <v>0</v>
      </c>
      <c r="DU135" s="142">
        <f t="shared" si="703"/>
        <v>0</v>
      </c>
      <c r="DV135" s="142">
        <f t="shared" si="703"/>
        <v>0</v>
      </c>
      <c r="DW135" s="142">
        <f t="shared" si="703"/>
        <v>0</v>
      </c>
      <c r="DX135" s="142">
        <f t="shared" si="703"/>
        <v>0</v>
      </c>
      <c r="DY135" s="142">
        <f t="shared" si="703"/>
        <v>0</v>
      </c>
      <c r="DZ135" s="142">
        <f t="shared" si="703"/>
        <v>0</v>
      </c>
      <c r="EA135" s="143">
        <f t="shared" si="670"/>
        <v>0</v>
      </c>
      <c r="EB135" s="143">
        <f t="shared" si="671"/>
        <v>0</v>
      </c>
      <c r="EC135" s="143">
        <f t="shared" si="672"/>
        <v>0</v>
      </c>
      <c r="ED135" s="143">
        <f t="shared" si="673"/>
        <v>0</v>
      </c>
      <c r="EE135" s="143">
        <f t="shared" si="674"/>
        <v>0</v>
      </c>
      <c r="EF135" s="143">
        <f t="shared" si="675"/>
        <v>0</v>
      </c>
      <c r="EG135" s="143">
        <f t="shared" si="676"/>
        <v>0</v>
      </c>
      <c r="EH135" s="143">
        <f t="shared" si="677"/>
        <v>0</v>
      </c>
      <c r="EI135" s="143">
        <f t="shared" si="678"/>
        <v>0</v>
      </c>
      <c r="EJ135" s="143">
        <f t="shared" si="679"/>
        <v>0</v>
      </c>
      <c r="EK135" s="143">
        <f t="shared" si="680"/>
        <v>0</v>
      </c>
      <c r="EL135" s="143">
        <f t="shared" si="681"/>
        <v>0</v>
      </c>
      <c r="EM135" s="143">
        <f t="shared" si="682"/>
        <v>0</v>
      </c>
      <c r="EN135" s="143">
        <f t="shared" si="683"/>
        <v>0</v>
      </c>
      <c r="EO135" s="143">
        <f t="shared" si="684"/>
        <v>0</v>
      </c>
      <c r="EP135" s="143">
        <f t="shared" si="685"/>
        <v>0</v>
      </c>
      <c r="EQ135" s="143">
        <f t="shared" si="686"/>
        <v>0</v>
      </c>
      <c r="ER135" s="143">
        <f t="shared" si="687"/>
        <v>0</v>
      </c>
      <c r="ES135" s="143">
        <f t="shared" si="688"/>
        <v>0</v>
      </c>
      <c r="ET135" s="143">
        <f t="shared" si="689"/>
        <v>0</v>
      </c>
      <c r="EU135" s="143">
        <f t="shared" si="690"/>
        <v>0</v>
      </c>
      <c r="EV135" s="143">
        <f t="shared" si="691"/>
        <v>0</v>
      </c>
      <c r="EW135" s="143">
        <f t="shared" si="692"/>
        <v>0</v>
      </c>
      <c r="EX135" s="143">
        <f t="shared" si="693"/>
        <v>0</v>
      </c>
      <c r="EY135" s="143">
        <f t="shared" si="694"/>
        <v>0</v>
      </c>
      <c r="EZ135" s="143">
        <f t="shared" si="695"/>
        <v>0</v>
      </c>
      <c r="FA135" s="143">
        <f t="shared" si="696"/>
        <v>0</v>
      </c>
      <c r="FB135" s="143">
        <f t="shared" si="697"/>
        <v>0</v>
      </c>
      <c r="FC135" s="143">
        <f t="shared" si="698"/>
        <v>0</v>
      </c>
      <c r="FD135" s="143">
        <f t="shared" si="699"/>
        <v>0</v>
      </c>
      <c r="FE135" s="140">
        <f>SUM($D135:D135)*IF($B135="Operacional",IFERROR(VLOOKUP($C135,SN_UGC,28,0),0),1)</f>
        <v>0</v>
      </c>
      <c r="FF135" s="140">
        <f>SUM($D135:E135)*IF($B135="Operacional",IFERROR(VLOOKUP($C135,SN_UGC,28,0),0),1)</f>
        <v>0</v>
      </c>
      <c r="FG135" s="140">
        <f>SUM($D135:F135)*IF($B135="Operacional",IFERROR(VLOOKUP($C135,SN_UGC,28,0),0),1)</f>
        <v>0</v>
      </c>
      <c r="FH135" s="140">
        <f>SUM($D135:G135)*IF($B135="Operacional",IFERROR(VLOOKUP($C135,SN_UGC,28,0),0),1)</f>
        <v>0</v>
      </c>
      <c r="FI135" s="140">
        <f>SUM($D135:H135)*IF($B135="Operacional",IFERROR(VLOOKUP($C135,SN_UGC,28,0),0),1)</f>
        <v>0</v>
      </c>
      <c r="FJ135" s="140">
        <f>SUM($D135:I135)*IF($B135="Operacional",IFERROR(VLOOKUP($C135,SN_UGC,28,0),0),1)</f>
        <v>0</v>
      </c>
      <c r="FK135" s="140">
        <f>SUM($D135:J135)*IF($B135="Operacional",IFERROR(VLOOKUP($C135,SN_UGC,28,0),0),1)</f>
        <v>0</v>
      </c>
      <c r="FL135" s="140">
        <f>SUM($D135:K135)*IF($B135="Operacional",IFERROR(VLOOKUP($C135,SN_UGC,28,0),0),1)</f>
        <v>0</v>
      </c>
      <c r="FM135" s="140">
        <f>SUM($D135:L135)*IF($B135="Operacional",IFERROR(VLOOKUP($C135,SN_UGC,28,0),0),1)</f>
        <v>0</v>
      </c>
      <c r="FN135" s="140">
        <f>SUM($D135:M135)*IF($B135="Operacional",IFERROR(VLOOKUP($C135,SN_UGC,28,0),0),1)</f>
        <v>0</v>
      </c>
      <c r="FO135" s="140">
        <f>SUM($D135:N135)*IF($B135="Operacional",IFERROR(VLOOKUP($C135,SN_UGC,28,0),0),1)</f>
        <v>0</v>
      </c>
      <c r="FP135" s="140">
        <f>SUM($D135:O135)*IF($B135="Operacional",IFERROR(VLOOKUP($C135,SN_UGC,28,0),0),1)</f>
        <v>0</v>
      </c>
      <c r="FQ135" s="140">
        <f>SUM($D135:P135)*IF($B135="Operacional",IFERROR(VLOOKUP($C135,SN_UGC,28,0),0),1)</f>
        <v>0</v>
      </c>
      <c r="FR135" s="140">
        <f>SUM($D135:Q135)*IF($B135="Operacional",IFERROR(VLOOKUP($C135,SN_UGC,28,0),0),1)</f>
        <v>0</v>
      </c>
      <c r="FS135" s="140">
        <f>SUM($D135:R135)*IF($B135="Operacional",IFERROR(VLOOKUP($C135,SN_UGC,28,0),0),1)</f>
        <v>0</v>
      </c>
      <c r="FT135" s="140">
        <f>SUM($D135:S135)*IF($B135="Operacional",IFERROR(VLOOKUP($C135,SN_UGC,28,0),0),1)</f>
        <v>0</v>
      </c>
      <c r="FU135" s="140">
        <f>SUM($D135:T135)*IF($B135="Operacional",IFERROR(VLOOKUP($C135,SN_UGC,28,0),0),1)</f>
        <v>0</v>
      </c>
      <c r="FV135" s="140">
        <f>SUM($D135:U135)*IF($B135="Operacional",IFERROR(VLOOKUP($C135,SN_UGC,28,0),0),1)</f>
        <v>0</v>
      </c>
      <c r="FW135" s="140">
        <f>SUM($D135:V135)*IF($B135="Operacional",IFERROR(VLOOKUP($C135,SN_UGC,28,0),0),1)</f>
        <v>0</v>
      </c>
      <c r="FX135" s="140">
        <f>SUM($D135:W135)*IF($B135="Operacional",IFERROR(VLOOKUP($C135,SN_UGC,28,0),0),1)</f>
        <v>0</v>
      </c>
      <c r="FY135" s="140">
        <f>SUM($D135:X135)*IF($B135="Operacional",IFERROR(VLOOKUP($C135,SN_UGC,28,0),0),1)</f>
        <v>0</v>
      </c>
      <c r="FZ135" s="140">
        <f>SUM($D135:Y135)*IF($B135="Operacional",IFERROR(VLOOKUP($C135,SN_UGC,28,0),0),1)</f>
        <v>0</v>
      </c>
      <c r="GA135" s="140">
        <f>SUM($D135:Z135)*IF($B135="Operacional",IFERROR(VLOOKUP($C135,SN_UGC,28,0),0),1)</f>
        <v>0</v>
      </c>
      <c r="GB135" s="140">
        <f>SUM($D135:AA135)*IF($B135="Operacional",IFERROR(VLOOKUP($C135,SN_UGC,28,0),0),1)</f>
        <v>0</v>
      </c>
      <c r="GC135" s="140">
        <f>SUM($D135:AB135)*IF($B135="Operacional",IFERROR(VLOOKUP($C135,SN_UGC,28,0),0),1)</f>
        <v>0</v>
      </c>
      <c r="GD135" s="140">
        <f>SUM($D135:AC135)*IF($B135="Operacional",IFERROR(VLOOKUP($C135,SN_UGC,28,0),0),1)</f>
        <v>0</v>
      </c>
      <c r="GE135" s="140">
        <f>SUM($D135:AD135)*IF($B135="Operacional",IFERROR(VLOOKUP($C135,SN_UGC,28,0),0),1)</f>
        <v>0</v>
      </c>
      <c r="GF135" s="140">
        <f>SUM($D135:AE135)*IF($B135="Operacional",IFERROR(VLOOKUP($C135,SN_UGC,28,0),0),1)</f>
        <v>0</v>
      </c>
      <c r="GG135" s="140">
        <f>SUM($D135:AF135)*IF($B135="Operacional",IFERROR(VLOOKUP($C135,SN_UGC,28,0),0),1)</f>
        <v>0</v>
      </c>
      <c r="GH135" s="140">
        <f>SUM($D135:AG135)*IF($B135="Operacional",IFERROR(VLOOKUP($C135,SN_UGC,28,0),0),1)</f>
        <v>0</v>
      </c>
      <c r="GI135" s="141">
        <f t="shared" ref="GI135:HL135" si="704">FE135*$AH135*$AL135</f>
        <v>0</v>
      </c>
      <c r="GJ135" s="141">
        <f t="shared" si="704"/>
        <v>0</v>
      </c>
      <c r="GK135" s="141">
        <f t="shared" si="704"/>
        <v>0</v>
      </c>
      <c r="GL135" s="141">
        <f t="shared" si="704"/>
        <v>0</v>
      </c>
      <c r="GM135" s="141">
        <f t="shared" si="704"/>
        <v>0</v>
      </c>
      <c r="GN135" s="141">
        <f t="shared" si="704"/>
        <v>0</v>
      </c>
      <c r="GO135" s="141">
        <f t="shared" si="704"/>
        <v>0</v>
      </c>
      <c r="GP135" s="141">
        <f t="shared" si="704"/>
        <v>0</v>
      </c>
      <c r="GQ135" s="141">
        <f t="shared" si="704"/>
        <v>0</v>
      </c>
      <c r="GR135" s="141">
        <f t="shared" si="704"/>
        <v>0</v>
      </c>
      <c r="GS135" s="141">
        <f t="shared" si="704"/>
        <v>0</v>
      </c>
      <c r="GT135" s="141">
        <f t="shared" si="704"/>
        <v>0</v>
      </c>
      <c r="GU135" s="141">
        <f t="shared" si="704"/>
        <v>0</v>
      </c>
      <c r="GV135" s="141">
        <f t="shared" si="704"/>
        <v>0</v>
      </c>
      <c r="GW135" s="141">
        <f t="shared" si="704"/>
        <v>0</v>
      </c>
      <c r="GX135" s="141">
        <f t="shared" si="704"/>
        <v>0</v>
      </c>
      <c r="GY135" s="141">
        <f t="shared" si="704"/>
        <v>0</v>
      </c>
      <c r="GZ135" s="141">
        <f t="shared" si="704"/>
        <v>0</v>
      </c>
      <c r="HA135" s="141">
        <f t="shared" si="704"/>
        <v>0</v>
      </c>
      <c r="HB135" s="141">
        <f t="shared" si="704"/>
        <v>0</v>
      </c>
      <c r="HC135" s="141">
        <f t="shared" si="704"/>
        <v>0</v>
      </c>
      <c r="HD135" s="141">
        <f t="shared" si="704"/>
        <v>0</v>
      </c>
      <c r="HE135" s="141">
        <f t="shared" si="704"/>
        <v>0</v>
      </c>
      <c r="HF135" s="141">
        <f t="shared" si="704"/>
        <v>0</v>
      </c>
      <c r="HG135" s="141">
        <f t="shared" si="704"/>
        <v>0</v>
      </c>
      <c r="HH135" s="141">
        <f t="shared" si="704"/>
        <v>0</v>
      </c>
      <c r="HI135" s="141">
        <f t="shared" si="704"/>
        <v>0</v>
      </c>
      <c r="HJ135" s="141">
        <f t="shared" si="704"/>
        <v>0</v>
      </c>
      <c r="HK135" s="141">
        <f t="shared" si="704"/>
        <v>0</v>
      </c>
      <c r="HL135" s="141">
        <f t="shared" si="704"/>
        <v>0</v>
      </c>
      <c r="HM135" s="142">
        <f t="shared" ref="HM135:IP135" si="705">IF(ISBLANK($A135),,FE135*($AH135-($AH135*$AJ135))/$AI135)</f>
        <v>0</v>
      </c>
      <c r="HN135" s="142">
        <f t="shared" si="705"/>
        <v>0</v>
      </c>
      <c r="HO135" s="142">
        <f t="shared" si="705"/>
        <v>0</v>
      </c>
      <c r="HP135" s="142">
        <f t="shared" si="705"/>
        <v>0</v>
      </c>
      <c r="HQ135" s="142">
        <f t="shared" si="705"/>
        <v>0</v>
      </c>
      <c r="HR135" s="142">
        <f t="shared" si="705"/>
        <v>0</v>
      </c>
      <c r="HS135" s="142">
        <f t="shared" si="705"/>
        <v>0</v>
      </c>
      <c r="HT135" s="142">
        <f t="shared" si="705"/>
        <v>0</v>
      </c>
      <c r="HU135" s="142">
        <f t="shared" si="705"/>
        <v>0</v>
      </c>
      <c r="HV135" s="142">
        <f t="shared" si="705"/>
        <v>0</v>
      </c>
      <c r="HW135" s="142">
        <f t="shared" si="705"/>
        <v>0</v>
      </c>
      <c r="HX135" s="142">
        <f t="shared" si="705"/>
        <v>0</v>
      </c>
      <c r="HY135" s="142">
        <f t="shared" si="705"/>
        <v>0</v>
      </c>
      <c r="HZ135" s="142">
        <f t="shared" si="705"/>
        <v>0</v>
      </c>
      <c r="IA135" s="142">
        <f t="shared" si="705"/>
        <v>0</v>
      </c>
      <c r="IB135" s="142">
        <f t="shared" si="705"/>
        <v>0</v>
      </c>
      <c r="IC135" s="142">
        <f t="shared" si="705"/>
        <v>0</v>
      </c>
      <c r="ID135" s="142">
        <f t="shared" si="705"/>
        <v>0</v>
      </c>
      <c r="IE135" s="142">
        <f t="shared" si="705"/>
        <v>0</v>
      </c>
      <c r="IF135" s="142">
        <f t="shared" si="705"/>
        <v>0</v>
      </c>
      <c r="IG135" s="142">
        <f t="shared" si="705"/>
        <v>0</v>
      </c>
      <c r="IH135" s="142">
        <f t="shared" si="705"/>
        <v>0</v>
      </c>
      <c r="II135" s="142">
        <f t="shared" si="705"/>
        <v>0</v>
      </c>
      <c r="IJ135" s="142">
        <f t="shared" si="705"/>
        <v>0</v>
      </c>
      <c r="IK135" s="142">
        <f t="shared" si="705"/>
        <v>0</v>
      </c>
      <c r="IL135" s="142">
        <f t="shared" si="705"/>
        <v>0</v>
      </c>
      <c r="IM135" s="142">
        <f t="shared" si="705"/>
        <v>0</v>
      </c>
      <c r="IN135" s="142">
        <f t="shared" si="705"/>
        <v>0</v>
      </c>
      <c r="IO135" s="142">
        <f t="shared" si="705"/>
        <v>0</v>
      </c>
      <c r="IP135" s="142">
        <f t="shared" si="705"/>
        <v>0</v>
      </c>
      <c r="IQ135" s="141">
        <f>IF(ISBLANK($A135),,IF($AN135="Não",0,(SUM($AO135:AO135)*$AH135)-SUM($HM135:HM135)-SUM($CW135:CW135)))</f>
        <v>0</v>
      </c>
      <c r="IR135" s="141">
        <f>IF(ISBLANK($A135),,IF($AN135="Não",0,(SUM($AO135:AP135)*$AH135)-SUM($HM135:HN135)-SUM($CW135:CX135)))</f>
        <v>0</v>
      </c>
      <c r="IS135" s="141">
        <f>IF(ISBLANK($A135),,IF($AN135="Não",0,(SUM($AO135:AQ135)*$AH135)-SUM($HM135:HO135)-SUM($CW135:CY135)))</f>
        <v>0</v>
      </c>
      <c r="IT135" s="141">
        <f>IF(ISBLANK($A135),,IF($AN135="Não",0,(SUM($AO135:AR135)*$AH135)-SUM($HM135:HP135)-SUM($CW135:CZ135)))</f>
        <v>0</v>
      </c>
      <c r="IU135" s="141">
        <f>IF(ISBLANK($A135),,IF($AN135="Não",0,(SUM($AO135:AS135)*$AH135)-SUM($HM135:HQ135)-SUM($CW135:DA135)))</f>
        <v>0</v>
      </c>
      <c r="IV135" s="141">
        <f>IF(ISBLANK($A135),,IF($AN135="Não",0,(SUM($AO135:AT135)*$AH135)-SUM($HM135:HR135)-SUM($CW135:DB135)))</f>
        <v>0</v>
      </c>
      <c r="IW135" s="141">
        <f>IF(ISBLANK($A135),,IF($AN135="Não",0,(SUM($AO135:AU135)*$AH135)-SUM($HM135:HS135)-SUM($CW135:DC135)))</f>
        <v>0</v>
      </c>
      <c r="IX135" s="141">
        <f>IF(ISBLANK($A135),,IF($AN135="Não",0,(SUM($AO135:AV135)*$AH135)-SUM($HM135:HT135)-SUM($CW135:DD135)))</f>
        <v>0</v>
      </c>
      <c r="IY135" s="141">
        <f>IF(ISBLANK($A135),,IF($AN135="Não",0,(SUM($AO135:AW135)*$AH135)-SUM($HM135:HU135)-SUM($CW135:DE135)))</f>
        <v>0</v>
      </c>
      <c r="IZ135" s="141">
        <f>IF(ISBLANK($A135),,IF($AN135="Não",0,(SUM($AO135:AX135)*$AH135)-SUM($HM135:HV135)-SUM($CW135:DF135)))</f>
        <v>0</v>
      </c>
      <c r="JA135" s="141">
        <f>IF(ISBLANK($A135),,IF($AN135="Não",0,(SUM($AO135:AY135)*$AH135)-SUM($HM135:HW135)-SUM($CW135:DG135)))</f>
        <v>0</v>
      </c>
      <c r="JB135" s="141">
        <f>IF(ISBLANK($A135),,IF($AN135="Não",0,(SUM($AO135:AZ135)*$AH135)-SUM($HM135:HX135)-SUM($CW135:DH135)))</f>
        <v>0</v>
      </c>
      <c r="JC135" s="141">
        <f>IF(ISBLANK($A135),,IF($AN135="Não",0,(SUM($AO135:BA135)*$AH135)-SUM($HM135:HY135)-SUM($CW135:DI135)))</f>
        <v>0</v>
      </c>
      <c r="JD135" s="141">
        <f>IF(ISBLANK($A135),,IF($AN135="Não",0,(SUM($AO135:BB135)*$AH135)-SUM($HM135:HZ135)-SUM($CW135:DJ135)))</f>
        <v>0</v>
      </c>
      <c r="JE135" s="141">
        <f>IF(ISBLANK($A135),,IF($AN135="Não",0,(SUM($AO135:BC135)*$AH135)-SUM($HM135:IA135)-SUM($CW135:DK135)))</f>
        <v>0</v>
      </c>
      <c r="JF135" s="141">
        <f>IF(ISBLANK($A135),,IF($AN135="Não",0,(SUM($AO135:BD135)*$AH135)-SUM($HM135:IB135)-SUM($CW135:DL135)))</f>
        <v>0</v>
      </c>
      <c r="JG135" s="141">
        <f>IF(ISBLANK($A135),,IF($AN135="Não",0,(SUM($AO135:BE135)*$AH135)-SUM($HM135:IC135)-SUM($CW135:DM135)))</f>
        <v>0</v>
      </c>
      <c r="JH135" s="141">
        <f>IF(ISBLANK($A135),,IF($AN135="Não",0,(SUM($AO135:BF135)*$AH135)-SUM($HM135:ID135)-SUM($CW135:DN135)))</f>
        <v>0</v>
      </c>
      <c r="JI135" s="141">
        <f>IF(ISBLANK($A135),,IF($AN135="Não",0,(SUM($AO135:BG135)*$AH135)-SUM($HM135:IE135)-SUM($CW135:DO135)))</f>
        <v>0</v>
      </c>
      <c r="JJ135" s="141">
        <f>IF(ISBLANK($A135),,IF($AN135="Não",0,(SUM($AO135:BH135)*$AH135)-SUM($HM135:IF135)-SUM($CW135:DP135)))</f>
        <v>0</v>
      </c>
      <c r="JK135" s="141">
        <f>IF(ISBLANK($A135),,IF($AN135="Não",0,(SUM($AO135:BI135)*$AH135)-SUM($HM135:IG135)-SUM($CW135:DQ135)))</f>
        <v>0</v>
      </c>
      <c r="JL135" s="141">
        <f>IF(ISBLANK($A135),,IF($AN135="Não",0,(SUM($AO135:BJ135)*$AH135)-SUM($HM135:IH135)-SUM($CW135:DR135)))</f>
        <v>0</v>
      </c>
      <c r="JM135" s="141">
        <f>IF(ISBLANK($A135),,IF($AN135="Não",0,(SUM($AO135:BK135)*$AH135)-SUM($HM135:II135)-SUM($CW135:DS135)))</f>
        <v>0</v>
      </c>
      <c r="JN135" s="141">
        <f>IF(ISBLANK($A135),,IF($AN135="Não",0,(SUM($AO135:BL135)*$AH135)-SUM($HM135:IJ135)-SUM($CW135:DT135)))</f>
        <v>0</v>
      </c>
      <c r="JO135" s="141">
        <f>IF(ISBLANK($A135),,IF($AN135="Não",0,(SUM($AO135:BM135)*$AH135)-SUM($HM135:IK135)-SUM($CW135:DU135)))</f>
        <v>0</v>
      </c>
      <c r="JP135" s="141">
        <f>IF(ISBLANK($A135),,IF($AN135="Não",0,(SUM($AO135:BN135)*$AH135)-SUM($HM135:IL135)-SUM($CW135:DV135)))</f>
        <v>0</v>
      </c>
      <c r="JQ135" s="141">
        <f>IF(ISBLANK($A135),,IF($AN135="Não",0,(SUM($AO135:BO135)*$AH135)-SUM($HM135:IM135)-SUM($CW135:DW135)))</f>
        <v>0</v>
      </c>
      <c r="JR135" s="141">
        <f>IF(ISBLANK($A135),,IF($AN135="Não",0,(SUM($AO135:BP135)*$AH135)-SUM($HM135:IN135)-SUM($CW135:DX135)))</f>
        <v>0</v>
      </c>
      <c r="JS135" s="141">
        <f>IF(ISBLANK($A135),,IF($AN135="Não",0,(SUM($AO135:BQ135)*$AH135)-SUM($HM135:IO135)-SUM($CW135:DY135)))</f>
        <v>0</v>
      </c>
      <c r="JT135" s="141">
        <f>IF(ISBLANK($A135),,IF($AN135="Não",0,(SUM($AO135:BR135)*$AH135)-SUM($HM135:IP135)-SUM($CW135:DZ135)))</f>
        <v>0</v>
      </c>
    </row>
    <row r="136" spans="1:280" ht="15.75" customHeight="1">
      <c r="A136" s="129"/>
      <c r="B136" s="129"/>
      <c r="C136" s="138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607">
        <f t="shared" si="544"/>
        <v>0</v>
      </c>
      <c r="AI136" s="608">
        <f t="shared" si="545"/>
        <v>0</v>
      </c>
      <c r="AJ136" s="609">
        <f t="shared" si="546"/>
        <v>0</v>
      </c>
      <c r="AK136" s="610" t="str">
        <f t="shared" si="547"/>
        <v/>
      </c>
      <c r="AL136" s="609">
        <f t="shared" si="548"/>
        <v>0</v>
      </c>
      <c r="AM136" s="611" t="str">
        <f t="shared" si="549"/>
        <v/>
      </c>
      <c r="AN136" s="611" t="str">
        <f t="shared" si="550"/>
        <v/>
      </c>
      <c r="AO136" s="140">
        <f t="array" ref="AO136">IF(ISBLANK($A136),0,IF(OR(AO$5-$AI136&lt;=0,$AM136="Não"),D136,D136+INDEX($AO$6:$BR$176,ROW()-5,COLUMN()-40-$AI136)))*IF($B136="Operacional",IFERROR(VLOOKUP($C136,SN_UGC,28,0),0),1)</f>
        <v>0</v>
      </c>
      <c r="AP136" s="140">
        <f t="array" ref="AP136">IF(ISBLANK($A136),0,IF(OR(AP$5-$AI136&lt;=0,$AM136="Não"),E136,E136+INDEX($AO$6:$BR$176,ROW()-5,COLUMN()-40-$AI136)))*IF($B136="Operacional",IFERROR(VLOOKUP($C136,SN_UGC,28,0),0),1)</f>
        <v>0</v>
      </c>
      <c r="AQ136" s="140">
        <f t="array" ref="AQ136">IF(ISBLANK($A136),0,IF(OR(AQ$5-$AI136&lt;=0,$AM136="Não"),F136,F136+INDEX($AO$6:$BR$176,ROW()-5,COLUMN()-40-$AI136)))*IF($B136="Operacional",IFERROR(VLOOKUP($C136,SN_UGC,28,0),0),1)</f>
        <v>0</v>
      </c>
      <c r="AR136" s="140">
        <f t="array" ref="AR136">IF(ISBLANK($A136),0,IF(OR(AR$5-$AI136&lt;=0,$AM136="Não"),G136,G136+INDEX($AO$6:$BR$176,ROW()-5,COLUMN()-40-$AI136)))*IF($B136="Operacional",IFERROR(VLOOKUP($C136,SN_UGC,28,0),0),1)</f>
        <v>0</v>
      </c>
      <c r="AS136" s="140">
        <f t="array" ref="AS136">IF(ISBLANK($A136),0,IF(OR(AS$5-$AI136&lt;=0,$AM136="Não"),H136,H136+INDEX($AO$6:$BR$176,ROW()-5,COLUMN()-40-$AI136)))*IF($B136="Operacional",IFERROR(VLOOKUP($C136,SN_UGC,28,0),0),1)</f>
        <v>0</v>
      </c>
      <c r="AT136" s="140">
        <f t="array" ref="AT136">IF(ISBLANK($A136),0,IF(OR(AT$5-$AI136&lt;=0,$AM136="Não"),I136,I136+INDEX($AO$6:$BR$176,ROW()-5,COLUMN()-40-$AI136)))*IF($B136="Operacional",IFERROR(VLOOKUP($C136,SN_UGC,28,0),0),1)</f>
        <v>0</v>
      </c>
      <c r="AU136" s="140">
        <f t="array" ref="AU136">IF(ISBLANK($A136),0,IF(OR(AU$5-$AI136&lt;=0,$AM136="Não"),J136,J136+INDEX($AO$6:$BR$176,ROW()-5,COLUMN()-40-$AI136)))*IF($B136="Operacional",IFERROR(VLOOKUP($C136,SN_UGC,28,0),0),1)</f>
        <v>0</v>
      </c>
      <c r="AV136" s="140">
        <f t="array" ref="AV136">IF(ISBLANK($A136),0,IF(OR(AV$5-$AI136&lt;=0,$AM136="Não"),K136,K136+INDEX($AO$6:$BR$176,ROW()-5,COLUMN()-40-$AI136)))*IF($B136="Operacional",IFERROR(VLOOKUP($C136,SN_UGC,28,0),0),1)</f>
        <v>0</v>
      </c>
      <c r="AW136" s="140">
        <f t="array" ref="AW136">IF(ISBLANK($A136),0,IF(OR(AW$5-$AI136&lt;=0,$AM136="Não"),L136,L136+INDEX($AO$6:$BR$176,ROW()-5,COLUMN()-40-$AI136)))*IF($B136="Operacional",IFERROR(VLOOKUP($C136,SN_UGC,28,0),0),1)</f>
        <v>0</v>
      </c>
      <c r="AX136" s="140">
        <f t="array" ref="AX136">IF(ISBLANK($A136),0,IF(OR(AX$5-$AI136&lt;=0,$AM136="Não"),M136,M136+INDEX($AO$6:$BR$176,ROW()-5,COLUMN()-40-$AI136)))*IF($B136="Operacional",IFERROR(VLOOKUP($C136,SN_UGC,28,0),0),1)</f>
        <v>0</v>
      </c>
      <c r="AY136" s="140">
        <f t="array" ref="AY136">IF(ISBLANK($A136),0,IF(OR(AY$5-$AI136&lt;=0,$AM136="Não"),N136,N136+INDEX($AO$6:$BR$176,ROW()-5,COLUMN()-40-$AI136)))*IF($B136="Operacional",IFERROR(VLOOKUP($C136,SN_UGC,28,0),0),1)</f>
        <v>0</v>
      </c>
      <c r="AZ136" s="140">
        <f t="array" ref="AZ136">IF(ISBLANK($A136),0,IF(OR(AZ$5-$AI136&lt;=0,$AM136="Não"),O136,O136+INDEX($AO$6:$BR$176,ROW()-5,COLUMN()-40-$AI136)))*IF($B136="Operacional",IFERROR(VLOOKUP($C136,SN_UGC,28,0),0),1)</f>
        <v>0</v>
      </c>
      <c r="BA136" s="140">
        <f t="array" ref="BA136">IF(ISBLANK($A136),0,IF(OR(BA$5-$AI136&lt;=0,$AM136="Não"),P136,P136+INDEX($AO$6:$BR$176,ROW()-5,COLUMN()-40-$AI136)))*IF($B136="Operacional",IFERROR(VLOOKUP($C136,SN_UGC,28,0),0),1)</f>
        <v>0</v>
      </c>
      <c r="BB136" s="140">
        <f t="array" ref="BB136">IF(ISBLANK($A136),0,IF(OR(BB$5-$AI136&lt;=0,$AM136="Não"),Q136,Q136+INDEX($AO$6:$BR$176,ROW()-5,COLUMN()-40-$AI136)))*IF($B136="Operacional",IFERROR(VLOOKUP($C136,SN_UGC,28,0),0),1)</f>
        <v>0</v>
      </c>
      <c r="BC136" s="140">
        <f t="array" ref="BC136">IF(ISBLANK($A136),0,IF(OR(BC$5-$AI136&lt;=0,$AM136="Não"),R136,R136+INDEX($AO$6:$BR$176,ROW()-5,COLUMN()-40-$AI136)))*IF($B136="Operacional",IFERROR(VLOOKUP($C136,SN_UGC,28,0),0),1)</f>
        <v>0</v>
      </c>
      <c r="BD136" s="140">
        <f t="array" ref="BD136">IF(ISBLANK($A136),0,IF(OR(BD$5-$AI136&lt;=0,$AM136="Não"),S136,S136+INDEX($AO$6:$BR$176,ROW()-5,COLUMN()-40-$AI136)))*IF($B136="Operacional",IFERROR(VLOOKUP($C136,SN_UGC,28,0),0),1)</f>
        <v>0</v>
      </c>
      <c r="BE136" s="140">
        <f t="array" ref="BE136">IF(ISBLANK($A136),0,IF(OR(BE$5-$AI136&lt;=0,$AM136="Não"),T136,T136+INDEX($AO$6:$BR$176,ROW()-5,COLUMN()-40-$AI136)))*IF($B136="Operacional",IFERROR(VLOOKUP($C136,SN_UGC,28,0),0),1)</f>
        <v>0</v>
      </c>
      <c r="BF136" s="140">
        <f t="array" ref="BF136">IF(ISBLANK($A136),0,IF(OR(BF$5-$AI136&lt;=0,$AM136="Não"),U136,U136+INDEX($AO$6:$BR$176,ROW()-5,COLUMN()-40-$AI136)))*IF($B136="Operacional",IFERROR(VLOOKUP($C136,SN_UGC,28,0),0),1)</f>
        <v>0</v>
      </c>
      <c r="BG136" s="140">
        <f t="array" ref="BG136">IF(ISBLANK($A136),0,IF(OR(BG$5-$AI136&lt;=0,$AM136="Não"),V136,V136+INDEX($AO$6:$BR$176,ROW()-5,COLUMN()-40-$AI136)))*IF($B136="Operacional",IFERROR(VLOOKUP($C136,SN_UGC,28,0),0),1)</f>
        <v>0</v>
      </c>
      <c r="BH136" s="140">
        <f t="array" ref="BH136">IF(ISBLANK($A136),0,IF(OR(BH$5-$AI136&lt;=0,$AM136="Não"),W136,W136+INDEX($AO$6:$BR$176,ROW()-5,COLUMN()-40-$AI136)))*IF($B136="Operacional",IFERROR(VLOOKUP($C136,SN_UGC,28,0),0),1)</f>
        <v>0</v>
      </c>
      <c r="BI136" s="140">
        <f t="array" ref="BI136">IF(ISBLANK($A136),0,IF(OR(BI$5-$AI136&lt;=0,$AM136="Não"),X136,X136+INDEX($AO$6:$BR$176,ROW()-5,COLUMN()-40-$AI136)))*IF($B136="Operacional",IFERROR(VLOOKUP($C136,SN_UGC,28,0),0),1)</f>
        <v>0</v>
      </c>
      <c r="BJ136" s="140">
        <f t="array" ref="BJ136">IF(ISBLANK($A136),0,IF(OR(BJ$5-$AI136&lt;=0,$AM136="Não"),Y136,Y136+INDEX($AO$6:$BR$176,ROW()-5,COLUMN()-40-$AI136)))*IF($B136="Operacional",IFERROR(VLOOKUP($C136,SN_UGC,28,0),0),1)</f>
        <v>0</v>
      </c>
      <c r="BK136" s="140">
        <f t="array" ref="BK136">IF(ISBLANK($A136),0,IF(OR(BK$5-$AI136&lt;=0,$AM136="Não"),Z136,Z136+INDEX($AO$6:$BR$176,ROW()-5,COLUMN()-40-$AI136)))*IF($B136="Operacional",IFERROR(VLOOKUP($C136,SN_UGC,28,0),0),1)</f>
        <v>0</v>
      </c>
      <c r="BL136" s="140">
        <f t="array" ref="BL136">IF(ISBLANK($A136),0,IF(OR(BL$5-$AI136&lt;=0,$AM136="Não"),AA136,AA136+INDEX($AO$6:$BR$176,ROW()-5,COLUMN()-40-$AI136)))*IF($B136="Operacional",IFERROR(VLOOKUP($C136,SN_UGC,28,0),0),1)</f>
        <v>0</v>
      </c>
      <c r="BM136" s="140">
        <f t="array" ref="BM136">IF(ISBLANK($A136),0,IF(OR(BM$5-$AI136&lt;=0,$AM136="Não"),AB136,AB136+INDEX($AO$6:$BR$176,ROW()-5,COLUMN()-40-$AI136)))*IF($B136="Operacional",IFERROR(VLOOKUP($C136,SN_UGC,28,0),0),1)</f>
        <v>0</v>
      </c>
      <c r="BN136" s="140">
        <f t="array" ref="BN136">IF(ISBLANK($A136),0,IF(OR(BN$5-$AI136&lt;=0,$AM136="Não"),AC136,AC136+INDEX($AO$6:$BR$176,ROW()-5,COLUMN()-40-$AI136)))*IF($B136="Operacional",IFERROR(VLOOKUP($C136,SN_UGC,28,0),0),1)</f>
        <v>0</v>
      </c>
      <c r="BO136" s="140">
        <f t="array" ref="BO136">IF(ISBLANK($A136),0,IF(OR(BO$5-$AI136&lt;=0,$AM136="Não"),AD136,AD136+INDEX($AO$6:$BR$176,ROW()-5,COLUMN()-40-$AI136)))*IF($B136="Operacional",IFERROR(VLOOKUP($C136,SN_UGC,28,0),0),1)</f>
        <v>0</v>
      </c>
      <c r="BP136" s="140">
        <f t="array" ref="BP136">IF(ISBLANK($A136),0,IF(OR(BP$5-$AI136&lt;=0,$AM136="Não"),AE136,AE136+INDEX($AO$6:$BR$176,ROW()-5,COLUMN()-40-$AI136)))*IF($B136="Operacional",IFERROR(VLOOKUP($C136,SN_UGC,28,0),0),1)</f>
        <v>0</v>
      </c>
      <c r="BQ136" s="140">
        <f t="array" ref="BQ136">IF(ISBLANK($A136),0,IF(OR(BQ$5-$AI136&lt;=0,$AM136="Não"),AF136,AF136+INDEX($AO$6:$BR$176,ROW()-5,COLUMN()-40-$AI136)))*IF($B136="Operacional",IFERROR(VLOOKUP($C136,SN_UGC,28,0),0),1)</f>
        <v>0</v>
      </c>
      <c r="BR136" s="140">
        <f t="array" ref="BR136">IF(ISBLANK($A136),0,IF(OR(BR$5-$AI136&lt;=0,$AM136="Não"),AG136,AG136+INDEX($AO$6:$BR$176,ROW()-5,COLUMN()-40-$AI136)))*IF($B136="Operacional",IFERROR(VLOOKUP($C136,SN_UGC,28,0),0),1)</f>
        <v>0</v>
      </c>
      <c r="BS136" s="141">
        <f t="shared" ref="BS136:CV136" si="706">IF(ISBLANK($A136),0,$AH136*AO136)</f>
        <v>0</v>
      </c>
      <c r="BT136" s="141">
        <f t="shared" si="706"/>
        <v>0</v>
      </c>
      <c r="BU136" s="141">
        <f t="shared" si="706"/>
        <v>0</v>
      </c>
      <c r="BV136" s="141">
        <f t="shared" si="706"/>
        <v>0</v>
      </c>
      <c r="BW136" s="141">
        <f t="shared" si="706"/>
        <v>0</v>
      </c>
      <c r="BX136" s="141">
        <f t="shared" si="706"/>
        <v>0</v>
      </c>
      <c r="BY136" s="141">
        <f t="shared" si="706"/>
        <v>0</v>
      </c>
      <c r="BZ136" s="141">
        <f t="shared" si="706"/>
        <v>0</v>
      </c>
      <c r="CA136" s="141">
        <f t="shared" si="706"/>
        <v>0</v>
      </c>
      <c r="CB136" s="141">
        <f t="shared" si="706"/>
        <v>0</v>
      </c>
      <c r="CC136" s="141">
        <f t="shared" si="706"/>
        <v>0</v>
      </c>
      <c r="CD136" s="141">
        <f t="shared" si="706"/>
        <v>0</v>
      </c>
      <c r="CE136" s="141">
        <f t="shared" si="706"/>
        <v>0</v>
      </c>
      <c r="CF136" s="141">
        <f t="shared" si="706"/>
        <v>0</v>
      </c>
      <c r="CG136" s="141">
        <f t="shared" si="706"/>
        <v>0</v>
      </c>
      <c r="CH136" s="141">
        <f t="shared" si="706"/>
        <v>0</v>
      </c>
      <c r="CI136" s="141">
        <f t="shared" si="706"/>
        <v>0</v>
      </c>
      <c r="CJ136" s="141">
        <f t="shared" si="706"/>
        <v>0</v>
      </c>
      <c r="CK136" s="141">
        <f t="shared" si="706"/>
        <v>0</v>
      </c>
      <c r="CL136" s="141">
        <f t="shared" si="706"/>
        <v>0</v>
      </c>
      <c r="CM136" s="141">
        <f t="shared" si="706"/>
        <v>0</v>
      </c>
      <c r="CN136" s="141">
        <f t="shared" si="706"/>
        <v>0</v>
      </c>
      <c r="CO136" s="141">
        <f t="shared" si="706"/>
        <v>0</v>
      </c>
      <c r="CP136" s="141">
        <f t="shared" si="706"/>
        <v>0</v>
      </c>
      <c r="CQ136" s="141">
        <f t="shared" si="706"/>
        <v>0</v>
      </c>
      <c r="CR136" s="141">
        <f t="shared" si="706"/>
        <v>0</v>
      </c>
      <c r="CS136" s="141">
        <f t="shared" si="706"/>
        <v>0</v>
      </c>
      <c r="CT136" s="141">
        <f t="shared" si="706"/>
        <v>0</v>
      </c>
      <c r="CU136" s="141">
        <f t="shared" si="706"/>
        <v>0</v>
      </c>
      <c r="CV136" s="141">
        <f t="shared" si="706"/>
        <v>0</v>
      </c>
      <c r="CW136" s="142">
        <f t="shared" ref="CW136:DZ136" si="707">EA136*$AH136*$AJ136</f>
        <v>0</v>
      </c>
      <c r="CX136" s="142">
        <f t="shared" si="707"/>
        <v>0</v>
      </c>
      <c r="CY136" s="142">
        <f t="shared" si="707"/>
        <v>0</v>
      </c>
      <c r="CZ136" s="142">
        <f t="shared" si="707"/>
        <v>0</v>
      </c>
      <c r="DA136" s="142">
        <f t="shared" si="707"/>
        <v>0</v>
      </c>
      <c r="DB136" s="142">
        <f t="shared" si="707"/>
        <v>0</v>
      </c>
      <c r="DC136" s="142">
        <f t="shared" si="707"/>
        <v>0</v>
      </c>
      <c r="DD136" s="142">
        <f t="shared" si="707"/>
        <v>0</v>
      </c>
      <c r="DE136" s="142">
        <f t="shared" si="707"/>
        <v>0</v>
      </c>
      <c r="DF136" s="142">
        <f t="shared" si="707"/>
        <v>0</v>
      </c>
      <c r="DG136" s="142">
        <f t="shared" si="707"/>
        <v>0</v>
      </c>
      <c r="DH136" s="142">
        <f t="shared" si="707"/>
        <v>0</v>
      </c>
      <c r="DI136" s="142">
        <f t="shared" si="707"/>
        <v>0</v>
      </c>
      <c r="DJ136" s="142">
        <f t="shared" si="707"/>
        <v>0</v>
      </c>
      <c r="DK136" s="142">
        <f t="shared" si="707"/>
        <v>0</v>
      </c>
      <c r="DL136" s="142">
        <f t="shared" si="707"/>
        <v>0</v>
      </c>
      <c r="DM136" s="142">
        <f t="shared" si="707"/>
        <v>0</v>
      </c>
      <c r="DN136" s="142">
        <f t="shared" si="707"/>
        <v>0</v>
      </c>
      <c r="DO136" s="142">
        <f t="shared" si="707"/>
        <v>0</v>
      </c>
      <c r="DP136" s="142">
        <f t="shared" si="707"/>
        <v>0</v>
      </c>
      <c r="DQ136" s="142">
        <f t="shared" si="707"/>
        <v>0</v>
      </c>
      <c r="DR136" s="142">
        <f t="shared" si="707"/>
        <v>0</v>
      </c>
      <c r="DS136" s="142">
        <f t="shared" si="707"/>
        <v>0</v>
      </c>
      <c r="DT136" s="142">
        <f t="shared" si="707"/>
        <v>0</v>
      </c>
      <c r="DU136" s="142">
        <f t="shared" si="707"/>
        <v>0</v>
      </c>
      <c r="DV136" s="142">
        <f t="shared" si="707"/>
        <v>0</v>
      </c>
      <c r="DW136" s="142">
        <f t="shared" si="707"/>
        <v>0</v>
      </c>
      <c r="DX136" s="142">
        <f t="shared" si="707"/>
        <v>0</v>
      </c>
      <c r="DY136" s="142">
        <f t="shared" si="707"/>
        <v>0</v>
      </c>
      <c r="DZ136" s="142">
        <f t="shared" si="707"/>
        <v>0</v>
      </c>
      <c r="EA136" s="143">
        <f t="shared" si="670"/>
        <v>0</v>
      </c>
      <c r="EB136" s="143">
        <f t="shared" si="671"/>
        <v>0</v>
      </c>
      <c r="EC136" s="143">
        <f t="shared" si="672"/>
        <v>0</v>
      </c>
      <c r="ED136" s="143">
        <f t="shared" si="673"/>
        <v>0</v>
      </c>
      <c r="EE136" s="143">
        <f t="shared" si="674"/>
        <v>0</v>
      </c>
      <c r="EF136" s="143">
        <f t="shared" si="675"/>
        <v>0</v>
      </c>
      <c r="EG136" s="143">
        <f t="shared" si="676"/>
        <v>0</v>
      </c>
      <c r="EH136" s="143">
        <f t="shared" si="677"/>
        <v>0</v>
      </c>
      <c r="EI136" s="143">
        <f t="shared" si="678"/>
        <v>0</v>
      </c>
      <c r="EJ136" s="143">
        <f t="shared" si="679"/>
        <v>0</v>
      </c>
      <c r="EK136" s="143">
        <f t="shared" si="680"/>
        <v>0</v>
      </c>
      <c r="EL136" s="143">
        <f t="shared" si="681"/>
        <v>0</v>
      </c>
      <c r="EM136" s="143">
        <f t="shared" si="682"/>
        <v>0</v>
      </c>
      <c r="EN136" s="143">
        <f t="shared" si="683"/>
        <v>0</v>
      </c>
      <c r="EO136" s="143">
        <f t="shared" si="684"/>
        <v>0</v>
      </c>
      <c r="EP136" s="143">
        <f t="shared" si="685"/>
        <v>0</v>
      </c>
      <c r="EQ136" s="143">
        <f t="shared" si="686"/>
        <v>0</v>
      </c>
      <c r="ER136" s="143">
        <f t="shared" si="687"/>
        <v>0</v>
      </c>
      <c r="ES136" s="143">
        <f t="shared" si="688"/>
        <v>0</v>
      </c>
      <c r="ET136" s="143">
        <f t="shared" si="689"/>
        <v>0</v>
      </c>
      <c r="EU136" s="143">
        <f t="shared" si="690"/>
        <v>0</v>
      </c>
      <c r="EV136" s="143">
        <f t="shared" si="691"/>
        <v>0</v>
      </c>
      <c r="EW136" s="143">
        <f t="shared" si="692"/>
        <v>0</v>
      </c>
      <c r="EX136" s="143">
        <f t="shared" si="693"/>
        <v>0</v>
      </c>
      <c r="EY136" s="143">
        <f t="shared" si="694"/>
        <v>0</v>
      </c>
      <c r="EZ136" s="143">
        <f t="shared" si="695"/>
        <v>0</v>
      </c>
      <c r="FA136" s="143">
        <f t="shared" si="696"/>
        <v>0</v>
      </c>
      <c r="FB136" s="143">
        <f t="shared" si="697"/>
        <v>0</v>
      </c>
      <c r="FC136" s="143">
        <f t="shared" si="698"/>
        <v>0</v>
      </c>
      <c r="FD136" s="143">
        <f t="shared" si="699"/>
        <v>0</v>
      </c>
      <c r="FE136" s="140">
        <f>SUM($D136:D136)*IF($B136="Operacional",IFERROR(VLOOKUP($C136,SN_UGC,28,0),0),1)</f>
        <v>0</v>
      </c>
      <c r="FF136" s="140">
        <f>SUM($D136:E136)*IF($B136="Operacional",IFERROR(VLOOKUP($C136,SN_UGC,28,0),0),1)</f>
        <v>0</v>
      </c>
      <c r="FG136" s="140">
        <f>SUM($D136:F136)*IF($B136="Operacional",IFERROR(VLOOKUP($C136,SN_UGC,28,0),0),1)</f>
        <v>0</v>
      </c>
      <c r="FH136" s="140">
        <f>SUM($D136:G136)*IF($B136="Operacional",IFERROR(VLOOKUP($C136,SN_UGC,28,0),0),1)</f>
        <v>0</v>
      </c>
      <c r="FI136" s="140">
        <f>SUM($D136:H136)*IF($B136="Operacional",IFERROR(VLOOKUP($C136,SN_UGC,28,0),0),1)</f>
        <v>0</v>
      </c>
      <c r="FJ136" s="140">
        <f>SUM($D136:I136)*IF($B136="Operacional",IFERROR(VLOOKUP($C136,SN_UGC,28,0),0),1)</f>
        <v>0</v>
      </c>
      <c r="FK136" s="140">
        <f>SUM($D136:J136)*IF($B136="Operacional",IFERROR(VLOOKUP($C136,SN_UGC,28,0),0),1)</f>
        <v>0</v>
      </c>
      <c r="FL136" s="140">
        <f>SUM($D136:K136)*IF($B136="Operacional",IFERROR(VLOOKUP($C136,SN_UGC,28,0),0),1)</f>
        <v>0</v>
      </c>
      <c r="FM136" s="140">
        <f>SUM($D136:L136)*IF($B136="Operacional",IFERROR(VLOOKUP($C136,SN_UGC,28,0),0),1)</f>
        <v>0</v>
      </c>
      <c r="FN136" s="140">
        <f>SUM($D136:M136)*IF($B136="Operacional",IFERROR(VLOOKUP($C136,SN_UGC,28,0),0),1)</f>
        <v>0</v>
      </c>
      <c r="FO136" s="140">
        <f>SUM($D136:N136)*IF($B136="Operacional",IFERROR(VLOOKUP($C136,SN_UGC,28,0),0),1)</f>
        <v>0</v>
      </c>
      <c r="FP136" s="140">
        <f>SUM($D136:O136)*IF($B136="Operacional",IFERROR(VLOOKUP($C136,SN_UGC,28,0),0),1)</f>
        <v>0</v>
      </c>
      <c r="FQ136" s="140">
        <f>SUM($D136:P136)*IF($B136="Operacional",IFERROR(VLOOKUP($C136,SN_UGC,28,0),0),1)</f>
        <v>0</v>
      </c>
      <c r="FR136" s="140">
        <f>SUM($D136:Q136)*IF($B136="Operacional",IFERROR(VLOOKUP($C136,SN_UGC,28,0),0),1)</f>
        <v>0</v>
      </c>
      <c r="FS136" s="140">
        <f>SUM($D136:R136)*IF($B136="Operacional",IFERROR(VLOOKUP($C136,SN_UGC,28,0),0),1)</f>
        <v>0</v>
      </c>
      <c r="FT136" s="140">
        <f>SUM($D136:S136)*IF($B136="Operacional",IFERROR(VLOOKUP($C136,SN_UGC,28,0),0),1)</f>
        <v>0</v>
      </c>
      <c r="FU136" s="140">
        <f>SUM($D136:T136)*IF($B136="Operacional",IFERROR(VLOOKUP($C136,SN_UGC,28,0),0),1)</f>
        <v>0</v>
      </c>
      <c r="FV136" s="140">
        <f>SUM($D136:U136)*IF($B136="Operacional",IFERROR(VLOOKUP($C136,SN_UGC,28,0),0),1)</f>
        <v>0</v>
      </c>
      <c r="FW136" s="140">
        <f>SUM($D136:V136)*IF($B136="Operacional",IFERROR(VLOOKUP($C136,SN_UGC,28,0),0),1)</f>
        <v>0</v>
      </c>
      <c r="FX136" s="140">
        <f>SUM($D136:W136)*IF($B136="Operacional",IFERROR(VLOOKUP($C136,SN_UGC,28,0),0),1)</f>
        <v>0</v>
      </c>
      <c r="FY136" s="140">
        <f>SUM($D136:X136)*IF($B136="Operacional",IFERROR(VLOOKUP($C136,SN_UGC,28,0),0),1)</f>
        <v>0</v>
      </c>
      <c r="FZ136" s="140">
        <f>SUM($D136:Y136)*IF($B136="Operacional",IFERROR(VLOOKUP($C136,SN_UGC,28,0),0),1)</f>
        <v>0</v>
      </c>
      <c r="GA136" s="140">
        <f>SUM($D136:Z136)*IF($B136="Operacional",IFERROR(VLOOKUP($C136,SN_UGC,28,0),0),1)</f>
        <v>0</v>
      </c>
      <c r="GB136" s="140">
        <f>SUM($D136:AA136)*IF($B136="Operacional",IFERROR(VLOOKUP($C136,SN_UGC,28,0),0),1)</f>
        <v>0</v>
      </c>
      <c r="GC136" s="140">
        <f>SUM($D136:AB136)*IF($B136="Operacional",IFERROR(VLOOKUP($C136,SN_UGC,28,0),0),1)</f>
        <v>0</v>
      </c>
      <c r="GD136" s="140">
        <f>SUM($D136:AC136)*IF($B136="Operacional",IFERROR(VLOOKUP($C136,SN_UGC,28,0),0),1)</f>
        <v>0</v>
      </c>
      <c r="GE136" s="140">
        <f>SUM($D136:AD136)*IF($B136="Operacional",IFERROR(VLOOKUP($C136,SN_UGC,28,0),0),1)</f>
        <v>0</v>
      </c>
      <c r="GF136" s="140">
        <f>SUM($D136:AE136)*IF($B136="Operacional",IFERROR(VLOOKUP($C136,SN_UGC,28,0),0),1)</f>
        <v>0</v>
      </c>
      <c r="GG136" s="140">
        <f>SUM($D136:AF136)*IF($B136="Operacional",IFERROR(VLOOKUP($C136,SN_UGC,28,0),0),1)</f>
        <v>0</v>
      </c>
      <c r="GH136" s="140">
        <f>SUM($D136:AG136)*IF($B136="Operacional",IFERROR(VLOOKUP($C136,SN_UGC,28,0),0),1)</f>
        <v>0</v>
      </c>
      <c r="GI136" s="141">
        <f t="shared" ref="GI136:HL136" si="708">FE136*$AH136*$AL136</f>
        <v>0</v>
      </c>
      <c r="GJ136" s="141">
        <f t="shared" si="708"/>
        <v>0</v>
      </c>
      <c r="GK136" s="141">
        <f t="shared" si="708"/>
        <v>0</v>
      </c>
      <c r="GL136" s="141">
        <f t="shared" si="708"/>
        <v>0</v>
      </c>
      <c r="GM136" s="141">
        <f t="shared" si="708"/>
        <v>0</v>
      </c>
      <c r="GN136" s="141">
        <f t="shared" si="708"/>
        <v>0</v>
      </c>
      <c r="GO136" s="141">
        <f t="shared" si="708"/>
        <v>0</v>
      </c>
      <c r="GP136" s="141">
        <f t="shared" si="708"/>
        <v>0</v>
      </c>
      <c r="GQ136" s="141">
        <f t="shared" si="708"/>
        <v>0</v>
      </c>
      <c r="GR136" s="141">
        <f t="shared" si="708"/>
        <v>0</v>
      </c>
      <c r="GS136" s="141">
        <f t="shared" si="708"/>
        <v>0</v>
      </c>
      <c r="GT136" s="141">
        <f t="shared" si="708"/>
        <v>0</v>
      </c>
      <c r="GU136" s="141">
        <f t="shared" si="708"/>
        <v>0</v>
      </c>
      <c r="GV136" s="141">
        <f t="shared" si="708"/>
        <v>0</v>
      </c>
      <c r="GW136" s="141">
        <f t="shared" si="708"/>
        <v>0</v>
      </c>
      <c r="GX136" s="141">
        <f t="shared" si="708"/>
        <v>0</v>
      </c>
      <c r="GY136" s="141">
        <f t="shared" si="708"/>
        <v>0</v>
      </c>
      <c r="GZ136" s="141">
        <f t="shared" si="708"/>
        <v>0</v>
      </c>
      <c r="HA136" s="141">
        <f t="shared" si="708"/>
        <v>0</v>
      </c>
      <c r="HB136" s="141">
        <f t="shared" si="708"/>
        <v>0</v>
      </c>
      <c r="HC136" s="141">
        <f t="shared" si="708"/>
        <v>0</v>
      </c>
      <c r="HD136" s="141">
        <f t="shared" si="708"/>
        <v>0</v>
      </c>
      <c r="HE136" s="141">
        <f t="shared" si="708"/>
        <v>0</v>
      </c>
      <c r="HF136" s="141">
        <f t="shared" si="708"/>
        <v>0</v>
      </c>
      <c r="HG136" s="141">
        <f t="shared" si="708"/>
        <v>0</v>
      </c>
      <c r="HH136" s="141">
        <f t="shared" si="708"/>
        <v>0</v>
      </c>
      <c r="HI136" s="141">
        <f t="shared" si="708"/>
        <v>0</v>
      </c>
      <c r="HJ136" s="141">
        <f t="shared" si="708"/>
        <v>0</v>
      </c>
      <c r="HK136" s="141">
        <f t="shared" si="708"/>
        <v>0</v>
      </c>
      <c r="HL136" s="141">
        <f t="shared" si="708"/>
        <v>0</v>
      </c>
      <c r="HM136" s="142">
        <f t="shared" ref="HM136:IP136" si="709">IF(ISBLANK($A136),,FE136*($AH136-($AH136*$AJ136))/$AI136)</f>
        <v>0</v>
      </c>
      <c r="HN136" s="142">
        <f t="shared" si="709"/>
        <v>0</v>
      </c>
      <c r="HO136" s="142">
        <f t="shared" si="709"/>
        <v>0</v>
      </c>
      <c r="HP136" s="142">
        <f t="shared" si="709"/>
        <v>0</v>
      </c>
      <c r="HQ136" s="142">
        <f t="shared" si="709"/>
        <v>0</v>
      </c>
      <c r="HR136" s="142">
        <f t="shared" si="709"/>
        <v>0</v>
      </c>
      <c r="HS136" s="142">
        <f t="shared" si="709"/>
        <v>0</v>
      </c>
      <c r="HT136" s="142">
        <f t="shared" si="709"/>
        <v>0</v>
      </c>
      <c r="HU136" s="142">
        <f t="shared" si="709"/>
        <v>0</v>
      </c>
      <c r="HV136" s="142">
        <f t="shared" si="709"/>
        <v>0</v>
      </c>
      <c r="HW136" s="142">
        <f t="shared" si="709"/>
        <v>0</v>
      </c>
      <c r="HX136" s="142">
        <f t="shared" si="709"/>
        <v>0</v>
      </c>
      <c r="HY136" s="142">
        <f t="shared" si="709"/>
        <v>0</v>
      </c>
      <c r="HZ136" s="142">
        <f t="shared" si="709"/>
        <v>0</v>
      </c>
      <c r="IA136" s="142">
        <f t="shared" si="709"/>
        <v>0</v>
      </c>
      <c r="IB136" s="142">
        <f t="shared" si="709"/>
        <v>0</v>
      </c>
      <c r="IC136" s="142">
        <f t="shared" si="709"/>
        <v>0</v>
      </c>
      <c r="ID136" s="142">
        <f t="shared" si="709"/>
        <v>0</v>
      </c>
      <c r="IE136" s="142">
        <f t="shared" si="709"/>
        <v>0</v>
      </c>
      <c r="IF136" s="142">
        <f t="shared" si="709"/>
        <v>0</v>
      </c>
      <c r="IG136" s="142">
        <f t="shared" si="709"/>
        <v>0</v>
      </c>
      <c r="IH136" s="142">
        <f t="shared" si="709"/>
        <v>0</v>
      </c>
      <c r="II136" s="142">
        <f t="shared" si="709"/>
        <v>0</v>
      </c>
      <c r="IJ136" s="142">
        <f t="shared" si="709"/>
        <v>0</v>
      </c>
      <c r="IK136" s="142">
        <f t="shared" si="709"/>
        <v>0</v>
      </c>
      <c r="IL136" s="142">
        <f t="shared" si="709"/>
        <v>0</v>
      </c>
      <c r="IM136" s="142">
        <f t="shared" si="709"/>
        <v>0</v>
      </c>
      <c r="IN136" s="142">
        <f t="shared" si="709"/>
        <v>0</v>
      </c>
      <c r="IO136" s="142">
        <f t="shared" si="709"/>
        <v>0</v>
      </c>
      <c r="IP136" s="142">
        <f t="shared" si="709"/>
        <v>0</v>
      </c>
      <c r="IQ136" s="141">
        <f>IF(ISBLANK($A136),,IF($AN136="Não",0,(SUM($AO136:AO136)*$AH136)-SUM($HM136:HM136)-SUM($CW136:CW136)))</f>
        <v>0</v>
      </c>
      <c r="IR136" s="141">
        <f>IF(ISBLANK($A136),,IF($AN136="Não",0,(SUM($AO136:AP136)*$AH136)-SUM($HM136:HN136)-SUM($CW136:CX136)))</f>
        <v>0</v>
      </c>
      <c r="IS136" s="141">
        <f>IF(ISBLANK($A136),,IF($AN136="Não",0,(SUM($AO136:AQ136)*$AH136)-SUM($HM136:HO136)-SUM($CW136:CY136)))</f>
        <v>0</v>
      </c>
      <c r="IT136" s="141">
        <f>IF(ISBLANK($A136),,IF($AN136="Não",0,(SUM($AO136:AR136)*$AH136)-SUM($HM136:HP136)-SUM($CW136:CZ136)))</f>
        <v>0</v>
      </c>
      <c r="IU136" s="141">
        <f>IF(ISBLANK($A136),,IF($AN136="Não",0,(SUM($AO136:AS136)*$AH136)-SUM($HM136:HQ136)-SUM($CW136:DA136)))</f>
        <v>0</v>
      </c>
      <c r="IV136" s="141">
        <f>IF(ISBLANK($A136),,IF($AN136="Não",0,(SUM($AO136:AT136)*$AH136)-SUM($HM136:HR136)-SUM($CW136:DB136)))</f>
        <v>0</v>
      </c>
      <c r="IW136" s="141">
        <f>IF(ISBLANK($A136),,IF($AN136="Não",0,(SUM($AO136:AU136)*$AH136)-SUM($HM136:HS136)-SUM($CW136:DC136)))</f>
        <v>0</v>
      </c>
      <c r="IX136" s="141">
        <f>IF(ISBLANK($A136),,IF($AN136="Não",0,(SUM($AO136:AV136)*$AH136)-SUM($HM136:HT136)-SUM($CW136:DD136)))</f>
        <v>0</v>
      </c>
      <c r="IY136" s="141">
        <f>IF(ISBLANK($A136),,IF($AN136="Não",0,(SUM($AO136:AW136)*$AH136)-SUM($HM136:HU136)-SUM($CW136:DE136)))</f>
        <v>0</v>
      </c>
      <c r="IZ136" s="141">
        <f>IF(ISBLANK($A136),,IF($AN136="Não",0,(SUM($AO136:AX136)*$AH136)-SUM($HM136:HV136)-SUM($CW136:DF136)))</f>
        <v>0</v>
      </c>
      <c r="JA136" s="141">
        <f>IF(ISBLANK($A136),,IF($AN136="Não",0,(SUM($AO136:AY136)*$AH136)-SUM($HM136:HW136)-SUM($CW136:DG136)))</f>
        <v>0</v>
      </c>
      <c r="JB136" s="141">
        <f>IF(ISBLANK($A136),,IF($AN136="Não",0,(SUM($AO136:AZ136)*$AH136)-SUM($HM136:HX136)-SUM($CW136:DH136)))</f>
        <v>0</v>
      </c>
      <c r="JC136" s="141">
        <f>IF(ISBLANK($A136),,IF($AN136="Não",0,(SUM($AO136:BA136)*$AH136)-SUM($HM136:HY136)-SUM($CW136:DI136)))</f>
        <v>0</v>
      </c>
      <c r="JD136" s="141">
        <f>IF(ISBLANK($A136),,IF($AN136="Não",0,(SUM($AO136:BB136)*$AH136)-SUM($HM136:HZ136)-SUM($CW136:DJ136)))</f>
        <v>0</v>
      </c>
      <c r="JE136" s="141">
        <f>IF(ISBLANK($A136),,IF($AN136="Não",0,(SUM($AO136:BC136)*$AH136)-SUM($HM136:IA136)-SUM($CW136:DK136)))</f>
        <v>0</v>
      </c>
      <c r="JF136" s="141">
        <f>IF(ISBLANK($A136),,IF($AN136="Não",0,(SUM($AO136:BD136)*$AH136)-SUM($HM136:IB136)-SUM($CW136:DL136)))</f>
        <v>0</v>
      </c>
      <c r="JG136" s="141">
        <f>IF(ISBLANK($A136),,IF($AN136="Não",0,(SUM($AO136:BE136)*$AH136)-SUM($HM136:IC136)-SUM($CW136:DM136)))</f>
        <v>0</v>
      </c>
      <c r="JH136" s="141">
        <f>IF(ISBLANK($A136),,IF($AN136="Não",0,(SUM($AO136:BF136)*$AH136)-SUM($HM136:ID136)-SUM($CW136:DN136)))</f>
        <v>0</v>
      </c>
      <c r="JI136" s="141">
        <f>IF(ISBLANK($A136),,IF($AN136="Não",0,(SUM($AO136:BG136)*$AH136)-SUM($HM136:IE136)-SUM($CW136:DO136)))</f>
        <v>0</v>
      </c>
      <c r="JJ136" s="141">
        <f>IF(ISBLANK($A136),,IF($AN136="Não",0,(SUM($AO136:BH136)*$AH136)-SUM($HM136:IF136)-SUM($CW136:DP136)))</f>
        <v>0</v>
      </c>
      <c r="JK136" s="141">
        <f>IF(ISBLANK($A136),,IF($AN136="Não",0,(SUM($AO136:BI136)*$AH136)-SUM($HM136:IG136)-SUM($CW136:DQ136)))</f>
        <v>0</v>
      </c>
      <c r="JL136" s="141">
        <f>IF(ISBLANK($A136),,IF($AN136="Não",0,(SUM($AO136:BJ136)*$AH136)-SUM($HM136:IH136)-SUM($CW136:DR136)))</f>
        <v>0</v>
      </c>
      <c r="JM136" s="141">
        <f>IF(ISBLANK($A136),,IF($AN136="Não",0,(SUM($AO136:BK136)*$AH136)-SUM($HM136:II136)-SUM($CW136:DS136)))</f>
        <v>0</v>
      </c>
      <c r="JN136" s="141">
        <f>IF(ISBLANK($A136),,IF($AN136="Não",0,(SUM($AO136:BL136)*$AH136)-SUM($HM136:IJ136)-SUM($CW136:DT136)))</f>
        <v>0</v>
      </c>
      <c r="JO136" s="141">
        <f>IF(ISBLANK($A136),,IF($AN136="Não",0,(SUM($AO136:BM136)*$AH136)-SUM($HM136:IK136)-SUM($CW136:DU136)))</f>
        <v>0</v>
      </c>
      <c r="JP136" s="141">
        <f>IF(ISBLANK($A136),,IF($AN136="Não",0,(SUM($AO136:BN136)*$AH136)-SUM($HM136:IL136)-SUM($CW136:DV136)))</f>
        <v>0</v>
      </c>
      <c r="JQ136" s="141">
        <f>IF(ISBLANK($A136),,IF($AN136="Não",0,(SUM($AO136:BO136)*$AH136)-SUM($HM136:IM136)-SUM($CW136:DW136)))</f>
        <v>0</v>
      </c>
      <c r="JR136" s="141">
        <f>IF(ISBLANK($A136),,IF($AN136="Não",0,(SUM($AO136:BP136)*$AH136)-SUM($HM136:IN136)-SUM($CW136:DX136)))</f>
        <v>0</v>
      </c>
      <c r="JS136" s="141">
        <f>IF(ISBLANK($A136),,IF($AN136="Não",0,(SUM($AO136:BQ136)*$AH136)-SUM($HM136:IO136)-SUM($CW136:DY136)))</f>
        <v>0</v>
      </c>
      <c r="JT136" s="141">
        <f>IF(ISBLANK($A136),,IF($AN136="Não",0,(SUM($AO136:BR136)*$AH136)-SUM($HM136:IP136)-SUM($CW136:DZ136)))</f>
        <v>0</v>
      </c>
    </row>
    <row r="137" spans="1:280" ht="15.75" customHeight="1">
      <c r="A137" s="129"/>
      <c r="B137" s="129"/>
      <c r="C137" s="138"/>
      <c r="D137" s="139"/>
      <c r="E137" s="139"/>
      <c r="F137" s="139"/>
      <c r="G137" s="139"/>
      <c r="H137" s="139"/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607">
        <f t="shared" ref="AH137:AH168" si="710">IF(ISBLANK(A137),,VLOOKUP(A137,ListaInvestimentos,3,0)*(1+CorrInvest))</f>
        <v>0</v>
      </c>
      <c r="AI137" s="608">
        <f t="shared" ref="AI137:AI168" si="711">IF(ISBLANK(A137),,VLOOKUP(A137,ListaInvestimentos,4,0))</f>
        <v>0</v>
      </c>
      <c r="AJ137" s="609">
        <f t="shared" ref="AJ137:AJ168" si="712">IF(ISBLANK(A137),,VLOOKUP(A137,ListaInvestimentos,5,0))</f>
        <v>0</v>
      </c>
      <c r="AK137" s="610" t="str">
        <f t="shared" ref="AK137:AK168" si="713">IF(ISBLANK(A137),"",VLOOKUP(A137,ListaInvestimentos,6,0))</f>
        <v/>
      </c>
      <c r="AL137" s="609">
        <f t="shared" ref="AL137:AL168" si="714">IF(ISBLANK(A137),,VLOOKUP(A137,ListaInvestimentos,7,0))</f>
        <v>0</v>
      </c>
      <c r="AM137" s="611" t="str">
        <f t="shared" ref="AM137:AM168" si="715">IF(ISBLANK(A137),"",VLOOKUP(A137,ListaInvestimentos,8,0))</f>
        <v/>
      </c>
      <c r="AN137" s="611" t="str">
        <f t="shared" ref="AN137:AN168" si="716">IF(ISBLANK(A137),"",VLOOKUP(A137,ListaInvestimentos,9,0))</f>
        <v/>
      </c>
      <c r="AO137" s="140">
        <f t="array" ref="AO137">IF(ISBLANK($A137),0,IF(OR(AO$5-$AI137&lt;=0,$AM137="Não"),D137,D137+INDEX($AO$6:$BR$176,ROW()-5,COLUMN()-40-$AI137)))*IF($B137="Operacional",IFERROR(VLOOKUP($C137,SN_UGC,28,0),0),1)</f>
        <v>0</v>
      </c>
      <c r="AP137" s="140">
        <f t="array" ref="AP137">IF(ISBLANK($A137),0,IF(OR(AP$5-$AI137&lt;=0,$AM137="Não"),E137,E137+INDEX($AO$6:$BR$176,ROW()-5,COLUMN()-40-$AI137)))*IF($B137="Operacional",IFERROR(VLOOKUP($C137,SN_UGC,28,0),0),1)</f>
        <v>0</v>
      </c>
      <c r="AQ137" s="140">
        <f t="array" ref="AQ137">IF(ISBLANK($A137),0,IF(OR(AQ$5-$AI137&lt;=0,$AM137="Não"),F137,F137+INDEX($AO$6:$BR$176,ROW()-5,COLUMN()-40-$AI137)))*IF($B137="Operacional",IFERROR(VLOOKUP($C137,SN_UGC,28,0),0),1)</f>
        <v>0</v>
      </c>
      <c r="AR137" s="140">
        <f t="array" ref="AR137">IF(ISBLANK($A137),0,IF(OR(AR$5-$AI137&lt;=0,$AM137="Não"),G137,G137+INDEX($AO$6:$BR$176,ROW()-5,COLUMN()-40-$AI137)))*IF($B137="Operacional",IFERROR(VLOOKUP($C137,SN_UGC,28,0),0),1)</f>
        <v>0</v>
      </c>
      <c r="AS137" s="140">
        <f t="array" ref="AS137">IF(ISBLANK($A137),0,IF(OR(AS$5-$AI137&lt;=0,$AM137="Não"),H137,H137+INDEX($AO$6:$BR$176,ROW()-5,COLUMN()-40-$AI137)))*IF($B137="Operacional",IFERROR(VLOOKUP($C137,SN_UGC,28,0),0),1)</f>
        <v>0</v>
      </c>
      <c r="AT137" s="140">
        <f t="array" ref="AT137">IF(ISBLANK($A137),0,IF(OR(AT$5-$AI137&lt;=0,$AM137="Não"),I137,I137+INDEX($AO$6:$BR$176,ROW()-5,COLUMN()-40-$AI137)))*IF($B137="Operacional",IFERROR(VLOOKUP($C137,SN_UGC,28,0),0),1)</f>
        <v>0</v>
      </c>
      <c r="AU137" s="140">
        <f t="array" ref="AU137">IF(ISBLANK($A137),0,IF(OR(AU$5-$AI137&lt;=0,$AM137="Não"),J137,J137+INDEX($AO$6:$BR$176,ROW()-5,COLUMN()-40-$AI137)))*IF($B137="Operacional",IFERROR(VLOOKUP($C137,SN_UGC,28,0),0),1)</f>
        <v>0</v>
      </c>
      <c r="AV137" s="140">
        <f t="array" ref="AV137">IF(ISBLANK($A137),0,IF(OR(AV$5-$AI137&lt;=0,$AM137="Não"),K137,K137+INDEX($AO$6:$BR$176,ROW()-5,COLUMN()-40-$AI137)))*IF($B137="Operacional",IFERROR(VLOOKUP($C137,SN_UGC,28,0),0),1)</f>
        <v>0</v>
      </c>
      <c r="AW137" s="140">
        <f t="array" ref="AW137">IF(ISBLANK($A137),0,IF(OR(AW$5-$AI137&lt;=0,$AM137="Não"),L137,L137+INDEX($AO$6:$BR$176,ROW()-5,COLUMN()-40-$AI137)))*IF($B137="Operacional",IFERROR(VLOOKUP($C137,SN_UGC,28,0),0),1)</f>
        <v>0</v>
      </c>
      <c r="AX137" s="140">
        <f t="array" ref="AX137">IF(ISBLANK($A137),0,IF(OR(AX$5-$AI137&lt;=0,$AM137="Não"),M137,M137+INDEX($AO$6:$BR$176,ROW()-5,COLUMN()-40-$AI137)))*IF($B137="Operacional",IFERROR(VLOOKUP($C137,SN_UGC,28,0),0),1)</f>
        <v>0</v>
      </c>
      <c r="AY137" s="140">
        <f t="array" ref="AY137">IF(ISBLANK($A137),0,IF(OR(AY$5-$AI137&lt;=0,$AM137="Não"),N137,N137+INDEX($AO$6:$BR$176,ROW()-5,COLUMN()-40-$AI137)))*IF($B137="Operacional",IFERROR(VLOOKUP($C137,SN_UGC,28,0),0),1)</f>
        <v>0</v>
      </c>
      <c r="AZ137" s="140">
        <f t="array" ref="AZ137">IF(ISBLANK($A137),0,IF(OR(AZ$5-$AI137&lt;=0,$AM137="Não"),O137,O137+INDEX($AO$6:$BR$176,ROW()-5,COLUMN()-40-$AI137)))*IF($B137="Operacional",IFERROR(VLOOKUP($C137,SN_UGC,28,0),0),1)</f>
        <v>0</v>
      </c>
      <c r="BA137" s="140">
        <f t="array" ref="BA137">IF(ISBLANK($A137),0,IF(OR(BA$5-$AI137&lt;=0,$AM137="Não"),P137,P137+INDEX($AO$6:$BR$176,ROW()-5,COLUMN()-40-$AI137)))*IF($B137="Operacional",IFERROR(VLOOKUP($C137,SN_UGC,28,0),0),1)</f>
        <v>0</v>
      </c>
      <c r="BB137" s="140">
        <f t="array" ref="BB137">IF(ISBLANK($A137),0,IF(OR(BB$5-$AI137&lt;=0,$AM137="Não"),Q137,Q137+INDEX($AO$6:$BR$176,ROW()-5,COLUMN()-40-$AI137)))*IF($B137="Operacional",IFERROR(VLOOKUP($C137,SN_UGC,28,0),0),1)</f>
        <v>0</v>
      </c>
      <c r="BC137" s="140">
        <f t="array" ref="BC137">IF(ISBLANK($A137),0,IF(OR(BC$5-$AI137&lt;=0,$AM137="Não"),R137,R137+INDEX($AO$6:$BR$176,ROW()-5,COLUMN()-40-$AI137)))*IF($B137="Operacional",IFERROR(VLOOKUP($C137,SN_UGC,28,0),0),1)</f>
        <v>0</v>
      </c>
      <c r="BD137" s="140">
        <f t="array" ref="BD137">IF(ISBLANK($A137),0,IF(OR(BD$5-$AI137&lt;=0,$AM137="Não"),S137,S137+INDEX($AO$6:$BR$176,ROW()-5,COLUMN()-40-$AI137)))*IF($B137="Operacional",IFERROR(VLOOKUP($C137,SN_UGC,28,0),0),1)</f>
        <v>0</v>
      </c>
      <c r="BE137" s="140">
        <f t="array" ref="BE137">IF(ISBLANK($A137),0,IF(OR(BE$5-$AI137&lt;=0,$AM137="Não"),T137,T137+INDEX($AO$6:$BR$176,ROW()-5,COLUMN()-40-$AI137)))*IF($B137="Operacional",IFERROR(VLOOKUP($C137,SN_UGC,28,0),0),1)</f>
        <v>0</v>
      </c>
      <c r="BF137" s="140">
        <f t="array" ref="BF137">IF(ISBLANK($A137),0,IF(OR(BF$5-$AI137&lt;=0,$AM137="Não"),U137,U137+INDEX($AO$6:$BR$176,ROW()-5,COLUMN()-40-$AI137)))*IF($B137="Operacional",IFERROR(VLOOKUP($C137,SN_UGC,28,0),0),1)</f>
        <v>0</v>
      </c>
      <c r="BG137" s="140">
        <f t="array" ref="BG137">IF(ISBLANK($A137),0,IF(OR(BG$5-$AI137&lt;=0,$AM137="Não"),V137,V137+INDEX($AO$6:$BR$176,ROW()-5,COLUMN()-40-$AI137)))*IF($B137="Operacional",IFERROR(VLOOKUP($C137,SN_UGC,28,0),0),1)</f>
        <v>0</v>
      </c>
      <c r="BH137" s="140">
        <f t="array" ref="BH137">IF(ISBLANK($A137),0,IF(OR(BH$5-$AI137&lt;=0,$AM137="Não"),W137,W137+INDEX($AO$6:$BR$176,ROW()-5,COLUMN()-40-$AI137)))*IF($B137="Operacional",IFERROR(VLOOKUP($C137,SN_UGC,28,0),0),1)</f>
        <v>0</v>
      </c>
      <c r="BI137" s="140">
        <f t="array" ref="BI137">IF(ISBLANK($A137),0,IF(OR(BI$5-$AI137&lt;=0,$AM137="Não"),X137,X137+INDEX($AO$6:$BR$176,ROW()-5,COLUMN()-40-$AI137)))*IF($B137="Operacional",IFERROR(VLOOKUP($C137,SN_UGC,28,0),0),1)</f>
        <v>0</v>
      </c>
      <c r="BJ137" s="140">
        <f t="array" ref="BJ137">IF(ISBLANK($A137),0,IF(OR(BJ$5-$AI137&lt;=0,$AM137="Não"),Y137,Y137+INDEX($AO$6:$BR$176,ROW()-5,COLUMN()-40-$AI137)))*IF($B137="Operacional",IFERROR(VLOOKUP($C137,SN_UGC,28,0),0),1)</f>
        <v>0</v>
      </c>
      <c r="BK137" s="140">
        <f t="array" ref="BK137">IF(ISBLANK($A137),0,IF(OR(BK$5-$AI137&lt;=0,$AM137="Não"),Z137,Z137+INDEX($AO$6:$BR$176,ROW()-5,COLUMN()-40-$AI137)))*IF($B137="Operacional",IFERROR(VLOOKUP($C137,SN_UGC,28,0),0),1)</f>
        <v>0</v>
      </c>
      <c r="BL137" s="140">
        <f t="array" ref="BL137">IF(ISBLANK($A137),0,IF(OR(BL$5-$AI137&lt;=0,$AM137="Não"),AA137,AA137+INDEX($AO$6:$BR$176,ROW()-5,COLUMN()-40-$AI137)))*IF($B137="Operacional",IFERROR(VLOOKUP($C137,SN_UGC,28,0),0),1)</f>
        <v>0</v>
      </c>
      <c r="BM137" s="140">
        <f t="array" ref="BM137">IF(ISBLANK($A137),0,IF(OR(BM$5-$AI137&lt;=0,$AM137="Não"),AB137,AB137+INDEX($AO$6:$BR$176,ROW()-5,COLUMN()-40-$AI137)))*IF($B137="Operacional",IFERROR(VLOOKUP($C137,SN_UGC,28,0),0),1)</f>
        <v>0</v>
      </c>
      <c r="BN137" s="140">
        <f t="array" ref="BN137">IF(ISBLANK($A137),0,IF(OR(BN$5-$AI137&lt;=0,$AM137="Não"),AC137,AC137+INDEX($AO$6:$BR$176,ROW()-5,COLUMN()-40-$AI137)))*IF($B137="Operacional",IFERROR(VLOOKUP($C137,SN_UGC,28,0),0),1)</f>
        <v>0</v>
      </c>
      <c r="BO137" s="140">
        <f t="array" ref="BO137">IF(ISBLANK($A137),0,IF(OR(BO$5-$AI137&lt;=0,$AM137="Não"),AD137,AD137+INDEX($AO$6:$BR$176,ROW()-5,COLUMN()-40-$AI137)))*IF($B137="Operacional",IFERROR(VLOOKUP($C137,SN_UGC,28,0),0),1)</f>
        <v>0</v>
      </c>
      <c r="BP137" s="140">
        <f t="array" ref="BP137">IF(ISBLANK($A137),0,IF(OR(BP$5-$AI137&lt;=0,$AM137="Não"),AE137,AE137+INDEX($AO$6:$BR$176,ROW()-5,COLUMN()-40-$AI137)))*IF($B137="Operacional",IFERROR(VLOOKUP($C137,SN_UGC,28,0),0),1)</f>
        <v>0</v>
      </c>
      <c r="BQ137" s="140">
        <f t="array" ref="BQ137">IF(ISBLANK($A137),0,IF(OR(BQ$5-$AI137&lt;=0,$AM137="Não"),AF137,AF137+INDEX($AO$6:$BR$176,ROW()-5,COLUMN()-40-$AI137)))*IF($B137="Operacional",IFERROR(VLOOKUP($C137,SN_UGC,28,0),0),1)</f>
        <v>0</v>
      </c>
      <c r="BR137" s="140">
        <f t="array" ref="BR137">IF(ISBLANK($A137),0,IF(OR(BR$5-$AI137&lt;=0,$AM137="Não"),AG137,AG137+INDEX($AO$6:$BR$176,ROW()-5,COLUMN()-40-$AI137)))*IF($B137="Operacional",IFERROR(VLOOKUP($C137,SN_UGC,28,0),0),1)</f>
        <v>0</v>
      </c>
      <c r="BS137" s="141">
        <f t="shared" ref="BS137:CV137" si="717">IF(ISBLANK($A137),0,$AH137*AO137)</f>
        <v>0</v>
      </c>
      <c r="BT137" s="141">
        <f t="shared" si="717"/>
        <v>0</v>
      </c>
      <c r="BU137" s="141">
        <f t="shared" si="717"/>
        <v>0</v>
      </c>
      <c r="BV137" s="141">
        <f t="shared" si="717"/>
        <v>0</v>
      </c>
      <c r="BW137" s="141">
        <f t="shared" si="717"/>
        <v>0</v>
      </c>
      <c r="BX137" s="141">
        <f t="shared" si="717"/>
        <v>0</v>
      </c>
      <c r="BY137" s="141">
        <f t="shared" si="717"/>
        <v>0</v>
      </c>
      <c r="BZ137" s="141">
        <f t="shared" si="717"/>
        <v>0</v>
      </c>
      <c r="CA137" s="141">
        <f t="shared" si="717"/>
        <v>0</v>
      </c>
      <c r="CB137" s="141">
        <f t="shared" si="717"/>
        <v>0</v>
      </c>
      <c r="CC137" s="141">
        <f t="shared" si="717"/>
        <v>0</v>
      </c>
      <c r="CD137" s="141">
        <f t="shared" si="717"/>
        <v>0</v>
      </c>
      <c r="CE137" s="141">
        <f t="shared" si="717"/>
        <v>0</v>
      </c>
      <c r="CF137" s="141">
        <f t="shared" si="717"/>
        <v>0</v>
      </c>
      <c r="CG137" s="141">
        <f t="shared" si="717"/>
        <v>0</v>
      </c>
      <c r="CH137" s="141">
        <f t="shared" si="717"/>
        <v>0</v>
      </c>
      <c r="CI137" s="141">
        <f t="shared" si="717"/>
        <v>0</v>
      </c>
      <c r="CJ137" s="141">
        <f t="shared" si="717"/>
        <v>0</v>
      </c>
      <c r="CK137" s="141">
        <f t="shared" si="717"/>
        <v>0</v>
      </c>
      <c r="CL137" s="141">
        <f t="shared" si="717"/>
        <v>0</v>
      </c>
      <c r="CM137" s="141">
        <f t="shared" si="717"/>
        <v>0</v>
      </c>
      <c r="CN137" s="141">
        <f t="shared" si="717"/>
        <v>0</v>
      </c>
      <c r="CO137" s="141">
        <f t="shared" si="717"/>
        <v>0</v>
      </c>
      <c r="CP137" s="141">
        <f t="shared" si="717"/>
        <v>0</v>
      </c>
      <c r="CQ137" s="141">
        <f t="shared" si="717"/>
        <v>0</v>
      </c>
      <c r="CR137" s="141">
        <f t="shared" si="717"/>
        <v>0</v>
      </c>
      <c r="CS137" s="141">
        <f t="shared" si="717"/>
        <v>0</v>
      </c>
      <c r="CT137" s="141">
        <f t="shared" si="717"/>
        <v>0</v>
      </c>
      <c r="CU137" s="141">
        <f t="shared" si="717"/>
        <v>0</v>
      </c>
      <c r="CV137" s="141">
        <f t="shared" si="717"/>
        <v>0</v>
      </c>
      <c r="CW137" s="142">
        <f t="shared" ref="CW137:DZ137" si="718">EA137*$AH137*$AJ137</f>
        <v>0</v>
      </c>
      <c r="CX137" s="142">
        <f t="shared" si="718"/>
        <v>0</v>
      </c>
      <c r="CY137" s="142">
        <f t="shared" si="718"/>
        <v>0</v>
      </c>
      <c r="CZ137" s="142">
        <f t="shared" si="718"/>
        <v>0</v>
      </c>
      <c r="DA137" s="142">
        <f t="shared" si="718"/>
        <v>0</v>
      </c>
      <c r="DB137" s="142">
        <f t="shared" si="718"/>
        <v>0</v>
      </c>
      <c r="DC137" s="142">
        <f t="shared" si="718"/>
        <v>0</v>
      </c>
      <c r="DD137" s="142">
        <f t="shared" si="718"/>
        <v>0</v>
      </c>
      <c r="DE137" s="142">
        <f t="shared" si="718"/>
        <v>0</v>
      </c>
      <c r="DF137" s="142">
        <f t="shared" si="718"/>
        <v>0</v>
      </c>
      <c r="DG137" s="142">
        <f t="shared" si="718"/>
        <v>0</v>
      </c>
      <c r="DH137" s="142">
        <f t="shared" si="718"/>
        <v>0</v>
      </c>
      <c r="DI137" s="142">
        <f t="shared" si="718"/>
        <v>0</v>
      </c>
      <c r="DJ137" s="142">
        <f t="shared" si="718"/>
        <v>0</v>
      </c>
      <c r="DK137" s="142">
        <f t="shared" si="718"/>
        <v>0</v>
      </c>
      <c r="DL137" s="142">
        <f t="shared" si="718"/>
        <v>0</v>
      </c>
      <c r="DM137" s="142">
        <f t="shared" si="718"/>
        <v>0</v>
      </c>
      <c r="DN137" s="142">
        <f t="shared" si="718"/>
        <v>0</v>
      </c>
      <c r="DO137" s="142">
        <f t="shared" si="718"/>
        <v>0</v>
      </c>
      <c r="DP137" s="142">
        <f t="shared" si="718"/>
        <v>0</v>
      </c>
      <c r="DQ137" s="142">
        <f t="shared" si="718"/>
        <v>0</v>
      </c>
      <c r="DR137" s="142">
        <f t="shared" si="718"/>
        <v>0</v>
      </c>
      <c r="DS137" s="142">
        <f t="shared" si="718"/>
        <v>0</v>
      </c>
      <c r="DT137" s="142">
        <f t="shared" si="718"/>
        <v>0</v>
      </c>
      <c r="DU137" s="142">
        <f t="shared" si="718"/>
        <v>0</v>
      </c>
      <c r="DV137" s="142">
        <f t="shared" si="718"/>
        <v>0</v>
      </c>
      <c r="DW137" s="142">
        <f t="shared" si="718"/>
        <v>0</v>
      </c>
      <c r="DX137" s="142">
        <f t="shared" si="718"/>
        <v>0</v>
      </c>
      <c r="DY137" s="142">
        <f t="shared" si="718"/>
        <v>0</v>
      </c>
      <c r="DZ137" s="142">
        <f t="shared" si="718"/>
        <v>0</v>
      </c>
      <c r="EA137" s="143">
        <f t="shared" si="670"/>
        <v>0</v>
      </c>
      <c r="EB137" s="143">
        <f t="shared" si="671"/>
        <v>0</v>
      </c>
      <c r="EC137" s="143">
        <f t="shared" si="672"/>
        <v>0</v>
      </c>
      <c r="ED137" s="143">
        <f t="shared" si="673"/>
        <v>0</v>
      </c>
      <c r="EE137" s="143">
        <f t="shared" si="674"/>
        <v>0</v>
      </c>
      <c r="EF137" s="143">
        <f t="shared" si="675"/>
        <v>0</v>
      </c>
      <c r="EG137" s="143">
        <f t="shared" si="676"/>
        <v>0</v>
      </c>
      <c r="EH137" s="143">
        <f t="shared" si="677"/>
        <v>0</v>
      </c>
      <c r="EI137" s="143">
        <f t="shared" si="678"/>
        <v>0</v>
      </c>
      <c r="EJ137" s="143">
        <f t="shared" si="679"/>
        <v>0</v>
      </c>
      <c r="EK137" s="143">
        <f t="shared" si="680"/>
        <v>0</v>
      </c>
      <c r="EL137" s="143">
        <f t="shared" si="681"/>
        <v>0</v>
      </c>
      <c r="EM137" s="143">
        <f t="shared" si="682"/>
        <v>0</v>
      </c>
      <c r="EN137" s="143">
        <f t="shared" si="683"/>
        <v>0</v>
      </c>
      <c r="EO137" s="143">
        <f t="shared" si="684"/>
        <v>0</v>
      </c>
      <c r="EP137" s="143">
        <f t="shared" si="685"/>
        <v>0</v>
      </c>
      <c r="EQ137" s="143">
        <f t="shared" si="686"/>
        <v>0</v>
      </c>
      <c r="ER137" s="143">
        <f t="shared" si="687"/>
        <v>0</v>
      </c>
      <c r="ES137" s="143">
        <f t="shared" si="688"/>
        <v>0</v>
      </c>
      <c r="ET137" s="143">
        <f t="shared" si="689"/>
        <v>0</v>
      </c>
      <c r="EU137" s="143">
        <f t="shared" si="690"/>
        <v>0</v>
      </c>
      <c r="EV137" s="143">
        <f t="shared" si="691"/>
        <v>0</v>
      </c>
      <c r="EW137" s="143">
        <f t="shared" si="692"/>
        <v>0</v>
      </c>
      <c r="EX137" s="143">
        <f t="shared" si="693"/>
        <v>0</v>
      </c>
      <c r="EY137" s="143">
        <f t="shared" si="694"/>
        <v>0</v>
      </c>
      <c r="EZ137" s="143">
        <f t="shared" si="695"/>
        <v>0</v>
      </c>
      <c r="FA137" s="143">
        <f t="shared" si="696"/>
        <v>0</v>
      </c>
      <c r="FB137" s="143">
        <f t="shared" si="697"/>
        <v>0</v>
      </c>
      <c r="FC137" s="143">
        <f t="shared" si="698"/>
        <v>0</v>
      </c>
      <c r="FD137" s="143">
        <f t="shared" si="699"/>
        <v>0</v>
      </c>
      <c r="FE137" s="140">
        <f>SUM($D137:D137)*IF($B137="Operacional",IFERROR(VLOOKUP($C137,SN_UGC,28,0),0),1)</f>
        <v>0</v>
      </c>
      <c r="FF137" s="140">
        <f>SUM($D137:E137)*IF($B137="Operacional",IFERROR(VLOOKUP($C137,SN_UGC,28,0),0),1)</f>
        <v>0</v>
      </c>
      <c r="FG137" s="140">
        <f>SUM($D137:F137)*IF($B137="Operacional",IFERROR(VLOOKUP($C137,SN_UGC,28,0),0),1)</f>
        <v>0</v>
      </c>
      <c r="FH137" s="140">
        <f>SUM($D137:G137)*IF($B137="Operacional",IFERROR(VLOOKUP($C137,SN_UGC,28,0),0),1)</f>
        <v>0</v>
      </c>
      <c r="FI137" s="140">
        <f>SUM($D137:H137)*IF($B137="Operacional",IFERROR(VLOOKUP($C137,SN_UGC,28,0),0),1)</f>
        <v>0</v>
      </c>
      <c r="FJ137" s="140">
        <f>SUM($D137:I137)*IF($B137="Operacional",IFERROR(VLOOKUP($C137,SN_UGC,28,0),0),1)</f>
        <v>0</v>
      </c>
      <c r="FK137" s="140">
        <f>SUM($D137:J137)*IF($B137="Operacional",IFERROR(VLOOKUP($C137,SN_UGC,28,0),0),1)</f>
        <v>0</v>
      </c>
      <c r="FL137" s="140">
        <f>SUM($D137:K137)*IF($B137="Operacional",IFERROR(VLOOKUP($C137,SN_UGC,28,0),0),1)</f>
        <v>0</v>
      </c>
      <c r="FM137" s="140">
        <f>SUM($D137:L137)*IF($B137="Operacional",IFERROR(VLOOKUP($C137,SN_UGC,28,0),0),1)</f>
        <v>0</v>
      </c>
      <c r="FN137" s="140">
        <f>SUM($D137:M137)*IF($B137="Operacional",IFERROR(VLOOKUP($C137,SN_UGC,28,0),0),1)</f>
        <v>0</v>
      </c>
      <c r="FO137" s="140">
        <f>SUM($D137:N137)*IF($B137="Operacional",IFERROR(VLOOKUP($C137,SN_UGC,28,0),0),1)</f>
        <v>0</v>
      </c>
      <c r="FP137" s="140">
        <f>SUM($D137:O137)*IF($B137="Operacional",IFERROR(VLOOKUP($C137,SN_UGC,28,0),0),1)</f>
        <v>0</v>
      </c>
      <c r="FQ137" s="140">
        <f>SUM($D137:P137)*IF($B137="Operacional",IFERROR(VLOOKUP($C137,SN_UGC,28,0),0),1)</f>
        <v>0</v>
      </c>
      <c r="FR137" s="140">
        <f>SUM($D137:Q137)*IF($B137="Operacional",IFERROR(VLOOKUP($C137,SN_UGC,28,0),0),1)</f>
        <v>0</v>
      </c>
      <c r="FS137" s="140">
        <f>SUM($D137:R137)*IF($B137="Operacional",IFERROR(VLOOKUP($C137,SN_UGC,28,0),0),1)</f>
        <v>0</v>
      </c>
      <c r="FT137" s="140">
        <f>SUM($D137:S137)*IF($B137="Operacional",IFERROR(VLOOKUP($C137,SN_UGC,28,0),0),1)</f>
        <v>0</v>
      </c>
      <c r="FU137" s="140">
        <f>SUM($D137:T137)*IF($B137="Operacional",IFERROR(VLOOKUP($C137,SN_UGC,28,0),0),1)</f>
        <v>0</v>
      </c>
      <c r="FV137" s="140">
        <f>SUM($D137:U137)*IF($B137="Operacional",IFERROR(VLOOKUP($C137,SN_UGC,28,0),0),1)</f>
        <v>0</v>
      </c>
      <c r="FW137" s="140">
        <f>SUM($D137:V137)*IF($B137="Operacional",IFERROR(VLOOKUP($C137,SN_UGC,28,0),0),1)</f>
        <v>0</v>
      </c>
      <c r="FX137" s="140">
        <f>SUM($D137:W137)*IF($B137="Operacional",IFERROR(VLOOKUP($C137,SN_UGC,28,0),0),1)</f>
        <v>0</v>
      </c>
      <c r="FY137" s="140">
        <f>SUM($D137:X137)*IF($B137="Operacional",IFERROR(VLOOKUP($C137,SN_UGC,28,0),0),1)</f>
        <v>0</v>
      </c>
      <c r="FZ137" s="140">
        <f>SUM($D137:Y137)*IF($B137="Operacional",IFERROR(VLOOKUP($C137,SN_UGC,28,0),0),1)</f>
        <v>0</v>
      </c>
      <c r="GA137" s="140">
        <f>SUM($D137:Z137)*IF($B137="Operacional",IFERROR(VLOOKUP($C137,SN_UGC,28,0),0),1)</f>
        <v>0</v>
      </c>
      <c r="GB137" s="140">
        <f>SUM($D137:AA137)*IF($B137="Operacional",IFERROR(VLOOKUP($C137,SN_UGC,28,0),0),1)</f>
        <v>0</v>
      </c>
      <c r="GC137" s="140">
        <f>SUM($D137:AB137)*IF($B137="Operacional",IFERROR(VLOOKUP($C137,SN_UGC,28,0),0),1)</f>
        <v>0</v>
      </c>
      <c r="GD137" s="140">
        <f>SUM($D137:AC137)*IF($B137="Operacional",IFERROR(VLOOKUP($C137,SN_UGC,28,0),0),1)</f>
        <v>0</v>
      </c>
      <c r="GE137" s="140">
        <f>SUM($D137:AD137)*IF($B137="Operacional",IFERROR(VLOOKUP($C137,SN_UGC,28,0),0),1)</f>
        <v>0</v>
      </c>
      <c r="GF137" s="140">
        <f>SUM($D137:AE137)*IF($B137="Operacional",IFERROR(VLOOKUP($C137,SN_UGC,28,0),0),1)</f>
        <v>0</v>
      </c>
      <c r="GG137" s="140">
        <f>SUM($D137:AF137)*IF($B137="Operacional",IFERROR(VLOOKUP($C137,SN_UGC,28,0),0),1)</f>
        <v>0</v>
      </c>
      <c r="GH137" s="140">
        <f>SUM($D137:AG137)*IF($B137="Operacional",IFERROR(VLOOKUP($C137,SN_UGC,28,0),0),1)</f>
        <v>0</v>
      </c>
      <c r="GI137" s="141">
        <f t="shared" ref="GI137:HL137" si="719">FE137*$AH137*$AL137</f>
        <v>0</v>
      </c>
      <c r="GJ137" s="141">
        <f t="shared" si="719"/>
        <v>0</v>
      </c>
      <c r="GK137" s="141">
        <f t="shared" si="719"/>
        <v>0</v>
      </c>
      <c r="GL137" s="141">
        <f t="shared" si="719"/>
        <v>0</v>
      </c>
      <c r="GM137" s="141">
        <f t="shared" si="719"/>
        <v>0</v>
      </c>
      <c r="GN137" s="141">
        <f t="shared" si="719"/>
        <v>0</v>
      </c>
      <c r="GO137" s="141">
        <f t="shared" si="719"/>
        <v>0</v>
      </c>
      <c r="GP137" s="141">
        <f t="shared" si="719"/>
        <v>0</v>
      </c>
      <c r="GQ137" s="141">
        <f t="shared" si="719"/>
        <v>0</v>
      </c>
      <c r="GR137" s="141">
        <f t="shared" si="719"/>
        <v>0</v>
      </c>
      <c r="GS137" s="141">
        <f t="shared" si="719"/>
        <v>0</v>
      </c>
      <c r="GT137" s="141">
        <f t="shared" si="719"/>
        <v>0</v>
      </c>
      <c r="GU137" s="141">
        <f t="shared" si="719"/>
        <v>0</v>
      </c>
      <c r="GV137" s="141">
        <f t="shared" si="719"/>
        <v>0</v>
      </c>
      <c r="GW137" s="141">
        <f t="shared" si="719"/>
        <v>0</v>
      </c>
      <c r="GX137" s="141">
        <f t="shared" si="719"/>
        <v>0</v>
      </c>
      <c r="GY137" s="141">
        <f t="shared" si="719"/>
        <v>0</v>
      </c>
      <c r="GZ137" s="141">
        <f t="shared" si="719"/>
        <v>0</v>
      </c>
      <c r="HA137" s="141">
        <f t="shared" si="719"/>
        <v>0</v>
      </c>
      <c r="HB137" s="141">
        <f t="shared" si="719"/>
        <v>0</v>
      </c>
      <c r="HC137" s="141">
        <f t="shared" si="719"/>
        <v>0</v>
      </c>
      <c r="HD137" s="141">
        <f t="shared" si="719"/>
        <v>0</v>
      </c>
      <c r="HE137" s="141">
        <f t="shared" si="719"/>
        <v>0</v>
      </c>
      <c r="HF137" s="141">
        <f t="shared" si="719"/>
        <v>0</v>
      </c>
      <c r="HG137" s="141">
        <f t="shared" si="719"/>
        <v>0</v>
      </c>
      <c r="HH137" s="141">
        <f t="shared" si="719"/>
        <v>0</v>
      </c>
      <c r="HI137" s="141">
        <f t="shared" si="719"/>
        <v>0</v>
      </c>
      <c r="HJ137" s="141">
        <f t="shared" si="719"/>
        <v>0</v>
      </c>
      <c r="HK137" s="141">
        <f t="shared" si="719"/>
        <v>0</v>
      </c>
      <c r="HL137" s="141">
        <f t="shared" si="719"/>
        <v>0</v>
      </c>
      <c r="HM137" s="142">
        <f t="shared" ref="HM137:IP137" si="720">IF(ISBLANK($A137),,FE137*($AH137-($AH137*$AJ137))/$AI137)</f>
        <v>0</v>
      </c>
      <c r="HN137" s="142">
        <f t="shared" si="720"/>
        <v>0</v>
      </c>
      <c r="HO137" s="142">
        <f t="shared" si="720"/>
        <v>0</v>
      </c>
      <c r="HP137" s="142">
        <f t="shared" si="720"/>
        <v>0</v>
      </c>
      <c r="HQ137" s="142">
        <f t="shared" si="720"/>
        <v>0</v>
      </c>
      <c r="HR137" s="142">
        <f t="shared" si="720"/>
        <v>0</v>
      </c>
      <c r="HS137" s="142">
        <f t="shared" si="720"/>
        <v>0</v>
      </c>
      <c r="HT137" s="142">
        <f t="shared" si="720"/>
        <v>0</v>
      </c>
      <c r="HU137" s="142">
        <f t="shared" si="720"/>
        <v>0</v>
      </c>
      <c r="HV137" s="142">
        <f t="shared" si="720"/>
        <v>0</v>
      </c>
      <c r="HW137" s="142">
        <f t="shared" si="720"/>
        <v>0</v>
      </c>
      <c r="HX137" s="142">
        <f t="shared" si="720"/>
        <v>0</v>
      </c>
      <c r="HY137" s="142">
        <f t="shared" si="720"/>
        <v>0</v>
      </c>
      <c r="HZ137" s="142">
        <f t="shared" si="720"/>
        <v>0</v>
      </c>
      <c r="IA137" s="142">
        <f t="shared" si="720"/>
        <v>0</v>
      </c>
      <c r="IB137" s="142">
        <f t="shared" si="720"/>
        <v>0</v>
      </c>
      <c r="IC137" s="142">
        <f t="shared" si="720"/>
        <v>0</v>
      </c>
      <c r="ID137" s="142">
        <f t="shared" si="720"/>
        <v>0</v>
      </c>
      <c r="IE137" s="142">
        <f t="shared" si="720"/>
        <v>0</v>
      </c>
      <c r="IF137" s="142">
        <f t="shared" si="720"/>
        <v>0</v>
      </c>
      <c r="IG137" s="142">
        <f t="shared" si="720"/>
        <v>0</v>
      </c>
      <c r="IH137" s="142">
        <f t="shared" si="720"/>
        <v>0</v>
      </c>
      <c r="II137" s="142">
        <f t="shared" si="720"/>
        <v>0</v>
      </c>
      <c r="IJ137" s="142">
        <f t="shared" si="720"/>
        <v>0</v>
      </c>
      <c r="IK137" s="142">
        <f t="shared" si="720"/>
        <v>0</v>
      </c>
      <c r="IL137" s="142">
        <f t="shared" si="720"/>
        <v>0</v>
      </c>
      <c r="IM137" s="142">
        <f t="shared" si="720"/>
        <v>0</v>
      </c>
      <c r="IN137" s="142">
        <f t="shared" si="720"/>
        <v>0</v>
      </c>
      <c r="IO137" s="142">
        <f t="shared" si="720"/>
        <v>0</v>
      </c>
      <c r="IP137" s="142">
        <f t="shared" si="720"/>
        <v>0</v>
      </c>
      <c r="IQ137" s="141">
        <f>IF(ISBLANK($A137),,IF($AN137="Não",0,(SUM($AO137:AO137)*$AH137)-SUM($HM137:HM137)-SUM($CW137:CW137)))</f>
        <v>0</v>
      </c>
      <c r="IR137" s="141">
        <f>IF(ISBLANK($A137),,IF($AN137="Não",0,(SUM($AO137:AP137)*$AH137)-SUM($HM137:HN137)-SUM($CW137:CX137)))</f>
        <v>0</v>
      </c>
      <c r="IS137" s="141">
        <f>IF(ISBLANK($A137),,IF($AN137="Não",0,(SUM($AO137:AQ137)*$AH137)-SUM($HM137:HO137)-SUM($CW137:CY137)))</f>
        <v>0</v>
      </c>
      <c r="IT137" s="141">
        <f>IF(ISBLANK($A137),,IF($AN137="Não",0,(SUM($AO137:AR137)*$AH137)-SUM($HM137:HP137)-SUM($CW137:CZ137)))</f>
        <v>0</v>
      </c>
      <c r="IU137" s="141">
        <f>IF(ISBLANK($A137),,IF($AN137="Não",0,(SUM($AO137:AS137)*$AH137)-SUM($HM137:HQ137)-SUM($CW137:DA137)))</f>
        <v>0</v>
      </c>
      <c r="IV137" s="141">
        <f>IF(ISBLANK($A137),,IF($AN137="Não",0,(SUM($AO137:AT137)*$AH137)-SUM($HM137:HR137)-SUM($CW137:DB137)))</f>
        <v>0</v>
      </c>
      <c r="IW137" s="141">
        <f>IF(ISBLANK($A137),,IF($AN137="Não",0,(SUM($AO137:AU137)*$AH137)-SUM($HM137:HS137)-SUM($CW137:DC137)))</f>
        <v>0</v>
      </c>
      <c r="IX137" s="141">
        <f>IF(ISBLANK($A137),,IF($AN137="Não",0,(SUM($AO137:AV137)*$AH137)-SUM($HM137:HT137)-SUM($CW137:DD137)))</f>
        <v>0</v>
      </c>
      <c r="IY137" s="141">
        <f>IF(ISBLANK($A137),,IF($AN137="Não",0,(SUM($AO137:AW137)*$AH137)-SUM($HM137:HU137)-SUM($CW137:DE137)))</f>
        <v>0</v>
      </c>
      <c r="IZ137" s="141">
        <f>IF(ISBLANK($A137),,IF($AN137="Não",0,(SUM($AO137:AX137)*$AH137)-SUM($HM137:HV137)-SUM($CW137:DF137)))</f>
        <v>0</v>
      </c>
      <c r="JA137" s="141">
        <f>IF(ISBLANK($A137),,IF($AN137="Não",0,(SUM($AO137:AY137)*$AH137)-SUM($HM137:HW137)-SUM($CW137:DG137)))</f>
        <v>0</v>
      </c>
      <c r="JB137" s="141">
        <f>IF(ISBLANK($A137),,IF($AN137="Não",0,(SUM($AO137:AZ137)*$AH137)-SUM($HM137:HX137)-SUM($CW137:DH137)))</f>
        <v>0</v>
      </c>
      <c r="JC137" s="141">
        <f>IF(ISBLANK($A137),,IF($AN137="Não",0,(SUM($AO137:BA137)*$AH137)-SUM($HM137:HY137)-SUM($CW137:DI137)))</f>
        <v>0</v>
      </c>
      <c r="JD137" s="141">
        <f>IF(ISBLANK($A137),,IF($AN137="Não",0,(SUM($AO137:BB137)*$AH137)-SUM($HM137:HZ137)-SUM($CW137:DJ137)))</f>
        <v>0</v>
      </c>
      <c r="JE137" s="141">
        <f>IF(ISBLANK($A137),,IF($AN137="Não",0,(SUM($AO137:BC137)*$AH137)-SUM($HM137:IA137)-SUM($CW137:DK137)))</f>
        <v>0</v>
      </c>
      <c r="JF137" s="141">
        <f>IF(ISBLANK($A137),,IF($AN137="Não",0,(SUM($AO137:BD137)*$AH137)-SUM($HM137:IB137)-SUM($CW137:DL137)))</f>
        <v>0</v>
      </c>
      <c r="JG137" s="141">
        <f>IF(ISBLANK($A137),,IF($AN137="Não",0,(SUM($AO137:BE137)*$AH137)-SUM($HM137:IC137)-SUM($CW137:DM137)))</f>
        <v>0</v>
      </c>
      <c r="JH137" s="141">
        <f>IF(ISBLANK($A137),,IF($AN137="Não",0,(SUM($AO137:BF137)*$AH137)-SUM($HM137:ID137)-SUM($CW137:DN137)))</f>
        <v>0</v>
      </c>
      <c r="JI137" s="141">
        <f>IF(ISBLANK($A137),,IF($AN137="Não",0,(SUM($AO137:BG137)*$AH137)-SUM($HM137:IE137)-SUM($CW137:DO137)))</f>
        <v>0</v>
      </c>
      <c r="JJ137" s="141">
        <f>IF(ISBLANK($A137),,IF($AN137="Não",0,(SUM($AO137:BH137)*$AH137)-SUM($HM137:IF137)-SUM($CW137:DP137)))</f>
        <v>0</v>
      </c>
      <c r="JK137" s="141">
        <f>IF(ISBLANK($A137),,IF($AN137="Não",0,(SUM($AO137:BI137)*$AH137)-SUM($HM137:IG137)-SUM($CW137:DQ137)))</f>
        <v>0</v>
      </c>
      <c r="JL137" s="141">
        <f>IF(ISBLANK($A137),,IF($AN137="Não",0,(SUM($AO137:BJ137)*$AH137)-SUM($HM137:IH137)-SUM($CW137:DR137)))</f>
        <v>0</v>
      </c>
      <c r="JM137" s="141">
        <f>IF(ISBLANK($A137),,IF($AN137="Não",0,(SUM($AO137:BK137)*$AH137)-SUM($HM137:II137)-SUM($CW137:DS137)))</f>
        <v>0</v>
      </c>
      <c r="JN137" s="141">
        <f>IF(ISBLANK($A137),,IF($AN137="Não",0,(SUM($AO137:BL137)*$AH137)-SUM($HM137:IJ137)-SUM($CW137:DT137)))</f>
        <v>0</v>
      </c>
      <c r="JO137" s="141">
        <f>IF(ISBLANK($A137),,IF($AN137="Não",0,(SUM($AO137:BM137)*$AH137)-SUM($HM137:IK137)-SUM($CW137:DU137)))</f>
        <v>0</v>
      </c>
      <c r="JP137" s="141">
        <f>IF(ISBLANK($A137),,IF($AN137="Não",0,(SUM($AO137:BN137)*$AH137)-SUM($HM137:IL137)-SUM($CW137:DV137)))</f>
        <v>0</v>
      </c>
      <c r="JQ137" s="141">
        <f>IF(ISBLANK($A137),,IF($AN137="Não",0,(SUM($AO137:BO137)*$AH137)-SUM($HM137:IM137)-SUM($CW137:DW137)))</f>
        <v>0</v>
      </c>
      <c r="JR137" s="141">
        <f>IF(ISBLANK($A137),,IF($AN137="Não",0,(SUM($AO137:BP137)*$AH137)-SUM($HM137:IN137)-SUM($CW137:DX137)))</f>
        <v>0</v>
      </c>
      <c r="JS137" s="141">
        <f>IF(ISBLANK($A137),,IF($AN137="Não",0,(SUM($AO137:BQ137)*$AH137)-SUM($HM137:IO137)-SUM($CW137:DY137)))</f>
        <v>0</v>
      </c>
      <c r="JT137" s="141">
        <f>IF(ISBLANK($A137),,IF($AN137="Não",0,(SUM($AO137:BR137)*$AH137)-SUM($HM137:IP137)-SUM($CW137:DZ137)))</f>
        <v>0</v>
      </c>
    </row>
    <row r="138" spans="1:280" ht="15.75" customHeight="1">
      <c r="A138" s="129"/>
      <c r="B138" s="129"/>
      <c r="C138" s="138"/>
      <c r="D138" s="139"/>
      <c r="E138" s="139"/>
      <c r="F138" s="139"/>
      <c r="G138" s="139"/>
      <c r="H138" s="139"/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607">
        <f t="shared" si="710"/>
        <v>0</v>
      </c>
      <c r="AI138" s="608">
        <f t="shared" si="711"/>
        <v>0</v>
      </c>
      <c r="AJ138" s="609">
        <f t="shared" si="712"/>
        <v>0</v>
      </c>
      <c r="AK138" s="610" t="str">
        <f t="shared" si="713"/>
        <v/>
      </c>
      <c r="AL138" s="609">
        <f t="shared" si="714"/>
        <v>0</v>
      </c>
      <c r="AM138" s="611" t="str">
        <f t="shared" si="715"/>
        <v/>
      </c>
      <c r="AN138" s="611" t="str">
        <f t="shared" si="716"/>
        <v/>
      </c>
      <c r="AO138" s="140">
        <f t="array" ref="AO138">IF(ISBLANK($A138),0,IF(OR(AO$5-$AI138&lt;=0,$AM138="Não"),D138,D138+INDEX($AO$6:$BR$176,ROW()-5,COLUMN()-40-$AI138)))*IF($B138="Operacional",IFERROR(VLOOKUP($C138,SN_UGC,28,0),0),1)</f>
        <v>0</v>
      </c>
      <c r="AP138" s="140">
        <f t="array" ref="AP138">IF(ISBLANK($A138),0,IF(OR(AP$5-$AI138&lt;=0,$AM138="Não"),E138,E138+INDEX($AO$6:$BR$176,ROW()-5,COLUMN()-40-$AI138)))*IF($B138="Operacional",IFERROR(VLOOKUP($C138,SN_UGC,28,0),0),1)</f>
        <v>0</v>
      </c>
      <c r="AQ138" s="140">
        <f t="array" ref="AQ138">IF(ISBLANK($A138),0,IF(OR(AQ$5-$AI138&lt;=0,$AM138="Não"),F138,F138+INDEX($AO$6:$BR$176,ROW()-5,COLUMN()-40-$AI138)))*IF($B138="Operacional",IFERROR(VLOOKUP($C138,SN_UGC,28,0),0),1)</f>
        <v>0</v>
      </c>
      <c r="AR138" s="140">
        <f t="array" ref="AR138">IF(ISBLANK($A138),0,IF(OR(AR$5-$AI138&lt;=0,$AM138="Não"),G138,G138+INDEX($AO$6:$BR$176,ROW()-5,COLUMN()-40-$AI138)))*IF($B138="Operacional",IFERROR(VLOOKUP($C138,SN_UGC,28,0),0),1)</f>
        <v>0</v>
      </c>
      <c r="AS138" s="140">
        <f t="array" ref="AS138">IF(ISBLANK($A138),0,IF(OR(AS$5-$AI138&lt;=0,$AM138="Não"),H138,H138+INDEX($AO$6:$BR$176,ROW()-5,COLUMN()-40-$AI138)))*IF($B138="Operacional",IFERROR(VLOOKUP($C138,SN_UGC,28,0),0),1)</f>
        <v>0</v>
      </c>
      <c r="AT138" s="140">
        <f t="array" ref="AT138">IF(ISBLANK($A138),0,IF(OR(AT$5-$AI138&lt;=0,$AM138="Não"),I138,I138+INDEX($AO$6:$BR$176,ROW()-5,COLUMN()-40-$AI138)))*IF($B138="Operacional",IFERROR(VLOOKUP($C138,SN_UGC,28,0),0),1)</f>
        <v>0</v>
      </c>
      <c r="AU138" s="140">
        <f t="array" ref="AU138">IF(ISBLANK($A138),0,IF(OR(AU$5-$AI138&lt;=0,$AM138="Não"),J138,J138+INDEX($AO$6:$BR$176,ROW()-5,COLUMN()-40-$AI138)))*IF($B138="Operacional",IFERROR(VLOOKUP($C138,SN_UGC,28,0),0),1)</f>
        <v>0</v>
      </c>
      <c r="AV138" s="140">
        <f t="array" ref="AV138">IF(ISBLANK($A138),0,IF(OR(AV$5-$AI138&lt;=0,$AM138="Não"),K138,K138+INDEX($AO$6:$BR$176,ROW()-5,COLUMN()-40-$AI138)))*IF($B138="Operacional",IFERROR(VLOOKUP($C138,SN_UGC,28,0),0),1)</f>
        <v>0</v>
      </c>
      <c r="AW138" s="140">
        <f t="array" ref="AW138">IF(ISBLANK($A138),0,IF(OR(AW$5-$AI138&lt;=0,$AM138="Não"),L138,L138+INDEX($AO$6:$BR$176,ROW()-5,COLUMN()-40-$AI138)))*IF($B138="Operacional",IFERROR(VLOOKUP($C138,SN_UGC,28,0),0),1)</f>
        <v>0</v>
      </c>
      <c r="AX138" s="140">
        <f t="array" ref="AX138">IF(ISBLANK($A138),0,IF(OR(AX$5-$AI138&lt;=0,$AM138="Não"),M138,M138+INDEX($AO$6:$BR$176,ROW()-5,COLUMN()-40-$AI138)))*IF($B138="Operacional",IFERROR(VLOOKUP($C138,SN_UGC,28,0),0),1)</f>
        <v>0</v>
      </c>
      <c r="AY138" s="140">
        <f t="array" ref="AY138">IF(ISBLANK($A138),0,IF(OR(AY$5-$AI138&lt;=0,$AM138="Não"),N138,N138+INDEX($AO$6:$BR$176,ROW()-5,COLUMN()-40-$AI138)))*IF($B138="Operacional",IFERROR(VLOOKUP($C138,SN_UGC,28,0),0),1)</f>
        <v>0</v>
      </c>
      <c r="AZ138" s="140">
        <f t="array" ref="AZ138">IF(ISBLANK($A138),0,IF(OR(AZ$5-$AI138&lt;=0,$AM138="Não"),O138,O138+INDEX($AO$6:$BR$176,ROW()-5,COLUMN()-40-$AI138)))*IF($B138="Operacional",IFERROR(VLOOKUP($C138,SN_UGC,28,0),0),1)</f>
        <v>0</v>
      </c>
      <c r="BA138" s="140">
        <f t="array" ref="BA138">IF(ISBLANK($A138),0,IF(OR(BA$5-$AI138&lt;=0,$AM138="Não"),P138,P138+INDEX($AO$6:$BR$176,ROW()-5,COLUMN()-40-$AI138)))*IF($B138="Operacional",IFERROR(VLOOKUP($C138,SN_UGC,28,0),0),1)</f>
        <v>0</v>
      </c>
      <c r="BB138" s="140">
        <f t="array" ref="BB138">IF(ISBLANK($A138),0,IF(OR(BB$5-$AI138&lt;=0,$AM138="Não"),Q138,Q138+INDEX($AO$6:$BR$176,ROW()-5,COLUMN()-40-$AI138)))*IF($B138="Operacional",IFERROR(VLOOKUP($C138,SN_UGC,28,0),0),1)</f>
        <v>0</v>
      </c>
      <c r="BC138" s="140">
        <f t="array" ref="BC138">IF(ISBLANK($A138),0,IF(OR(BC$5-$AI138&lt;=0,$AM138="Não"),R138,R138+INDEX($AO$6:$BR$176,ROW()-5,COLUMN()-40-$AI138)))*IF($B138="Operacional",IFERROR(VLOOKUP($C138,SN_UGC,28,0),0),1)</f>
        <v>0</v>
      </c>
      <c r="BD138" s="140">
        <f t="array" ref="BD138">IF(ISBLANK($A138),0,IF(OR(BD$5-$AI138&lt;=0,$AM138="Não"),S138,S138+INDEX($AO$6:$BR$176,ROW()-5,COLUMN()-40-$AI138)))*IF($B138="Operacional",IFERROR(VLOOKUP($C138,SN_UGC,28,0),0),1)</f>
        <v>0</v>
      </c>
      <c r="BE138" s="140">
        <f t="array" ref="BE138">IF(ISBLANK($A138),0,IF(OR(BE$5-$AI138&lt;=0,$AM138="Não"),T138,T138+INDEX($AO$6:$BR$176,ROW()-5,COLUMN()-40-$AI138)))*IF($B138="Operacional",IFERROR(VLOOKUP($C138,SN_UGC,28,0),0),1)</f>
        <v>0</v>
      </c>
      <c r="BF138" s="140">
        <f t="array" ref="BF138">IF(ISBLANK($A138),0,IF(OR(BF$5-$AI138&lt;=0,$AM138="Não"),U138,U138+INDEX($AO$6:$BR$176,ROW()-5,COLUMN()-40-$AI138)))*IF($B138="Operacional",IFERROR(VLOOKUP($C138,SN_UGC,28,0),0),1)</f>
        <v>0</v>
      </c>
      <c r="BG138" s="140">
        <f t="array" ref="BG138">IF(ISBLANK($A138),0,IF(OR(BG$5-$AI138&lt;=0,$AM138="Não"),V138,V138+INDEX($AO$6:$BR$176,ROW()-5,COLUMN()-40-$AI138)))*IF($B138="Operacional",IFERROR(VLOOKUP($C138,SN_UGC,28,0),0),1)</f>
        <v>0</v>
      </c>
      <c r="BH138" s="140">
        <f t="array" ref="BH138">IF(ISBLANK($A138),0,IF(OR(BH$5-$AI138&lt;=0,$AM138="Não"),W138,W138+INDEX($AO$6:$BR$176,ROW()-5,COLUMN()-40-$AI138)))*IF($B138="Operacional",IFERROR(VLOOKUP($C138,SN_UGC,28,0),0),1)</f>
        <v>0</v>
      </c>
      <c r="BI138" s="140">
        <f t="array" ref="BI138">IF(ISBLANK($A138),0,IF(OR(BI$5-$AI138&lt;=0,$AM138="Não"),X138,X138+INDEX($AO$6:$BR$176,ROW()-5,COLUMN()-40-$AI138)))*IF($B138="Operacional",IFERROR(VLOOKUP($C138,SN_UGC,28,0),0),1)</f>
        <v>0</v>
      </c>
      <c r="BJ138" s="140">
        <f t="array" ref="BJ138">IF(ISBLANK($A138),0,IF(OR(BJ$5-$AI138&lt;=0,$AM138="Não"),Y138,Y138+INDEX($AO$6:$BR$176,ROW()-5,COLUMN()-40-$AI138)))*IF($B138="Operacional",IFERROR(VLOOKUP($C138,SN_UGC,28,0),0),1)</f>
        <v>0</v>
      </c>
      <c r="BK138" s="140">
        <f t="array" ref="BK138">IF(ISBLANK($A138),0,IF(OR(BK$5-$AI138&lt;=0,$AM138="Não"),Z138,Z138+INDEX($AO$6:$BR$176,ROW()-5,COLUMN()-40-$AI138)))*IF($B138="Operacional",IFERROR(VLOOKUP($C138,SN_UGC,28,0),0),1)</f>
        <v>0</v>
      </c>
      <c r="BL138" s="140">
        <f t="array" ref="BL138">IF(ISBLANK($A138),0,IF(OR(BL$5-$AI138&lt;=0,$AM138="Não"),AA138,AA138+INDEX($AO$6:$BR$176,ROW()-5,COLUMN()-40-$AI138)))*IF($B138="Operacional",IFERROR(VLOOKUP($C138,SN_UGC,28,0),0),1)</f>
        <v>0</v>
      </c>
      <c r="BM138" s="140">
        <f t="array" ref="BM138">IF(ISBLANK($A138),0,IF(OR(BM$5-$AI138&lt;=0,$AM138="Não"),AB138,AB138+INDEX($AO$6:$BR$176,ROW()-5,COLUMN()-40-$AI138)))*IF($B138="Operacional",IFERROR(VLOOKUP($C138,SN_UGC,28,0),0),1)</f>
        <v>0</v>
      </c>
      <c r="BN138" s="140">
        <f t="array" ref="BN138">IF(ISBLANK($A138),0,IF(OR(BN$5-$AI138&lt;=0,$AM138="Não"),AC138,AC138+INDEX($AO$6:$BR$176,ROW()-5,COLUMN()-40-$AI138)))*IF($B138="Operacional",IFERROR(VLOOKUP($C138,SN_UGC,28,0),0),1)</f>
        <v>0</v>
      </c>
      <c r="BO138" s="140">
        <f t="array" ref="BO138">IF(ISBLANK($A138),0,IF(OR(BO$5-$AI138&lt;=0,$AM138="Não"),AD138,AD138+INDEX($AO$6:$BR$176,ROW()-5,COLUMN()-40-$AI138)))*IF($B138="Operacional",IFERROR(VLOOKUP($C138,SN_UGC,28,0),0),1)</f>
        <v>0</v>
      </c>
      <c r="BP138" s="140">
        <f t="array" ref="BP138">IF(ISBLANK($A138),0,IF(OR(BP$5-$AI138&lt;=0,$AM138="Não"),AE138,AE138+INDEX($AO$6:$BR$176,ROW()-5,COLUMN()-40-$AI138)))*IF($B138="Operacional",IFERROR(VLOOKUP($C138,SN_UGC,28,0),0),1)</f>
        <v>0</v>
      </c>
      <c r="BQ138" s="140">
        <f t="array" ref="BQ138">IF(ISBLANK($A138),0,IF(OR(BQ$5-$AI138&lt;=0,$AM138="Não"),AF138,AF138+INDEX($AO$6:$BR$176,ROW()-5,COLUMN()-40-$AI138)))*IF($B138="Operacional",IFERROR(VLOOKUP($C138,SN_UGC,28,0),0),1)</f>
        <v>0</v>
      </c>
      <c r="BR138" s="140">
        <f t="array" ref="BR138">IF(ISBLANK($A138),0,IF(OR(BR$5-$AI138&lt;=0,$AM138="Não"),AG138,AG138+INDEX($AO$6:$BR$176,ROW()-5,COLUMN()-40-$AI138)))*IF($B138="Operacional",IFERROR(VLOOKUP($C138,SN_UGC,28,0),0),1)</f>
        <v>0</v>
      </c>
      <c r="BS138" s="141">
        <f t="shared" ref="BS138:CV138" si="721">IF(ISBLANK($A138),0,$AH138*AO138)</f>
        <v>0</v>
      </c>
      <c r="BT138" s="141">
        <f t="shared" si="721"/>
        <v>0</v>
      </c>
      <c r="BU138" s="141">
        <f t="shared" si="721"/>
        <v>0</v>
      </c>
      <c r="BV138" s="141">
        <f t="shared" si="721"/>
        <v>0</v>
      </c>
      <c r="BW138" s="141">
        <f t="shared" si="721"/>
        <v>0</v>
      </c>
      <c r="BX138" s="141">
        <f t="shared" si="721"/>
        <v>0</v>
      </c>
      <c r="BY138" s="141">
        <f t="shared" si="721"/>
        <v>0</v>
      </c>
      <c r="BZ138" s="141">
        <f t="shared" si="721"/>
        <v>0</v>
      </c>
      <c r="CA138" s="141">
        <f t="shared" si="721"/>
        <v>0</v>
      </c>
      <c r="CB138" s="141">
        <f t="shared" si="721"/>
        <v>0</v>
      </c>
      <c r="CC138" s="141">
        <f t="shared" si="721"/>
        <v>0</v>
      </c>
      <c r="CD138" s="141">
        <f t="shared" si="721"/>
        <v>0</v>
      </c>
      <c r="CE138" s="141">
        <f t="shared" si="721"/>
        <v>0</v>
      </c>
      <c r="CF138" s="141">
        <f t="shared" si="721"/>
        <v>0</v>
      </c>
      <c r="CG138" s="141">
        <f t="shared" si="721"/>
        <v>0</v>
      </c>
      <c r="CH138" s="141">
        <f t="shared" si="721"/>
        <v>0</v>
      </c>
      <c r="CI138" s="141">
        <f t="shared" si="721"/>
        <v>0</v>
      </c>
      <c r="CJ138" s="141">
        <f t="shared" si="721"/>
        <v>0</v>
      </c>
      <c r="CK138" s="141">
        <f t="shared" si="721"/>
        <v>0</v>
      </c>
      <c r="CL138" s="141">
        <f t="shared" si="721"/>
        <v>0</v>
      </c>
      <c r="CM138" s="141">
        <f t="shared" si="721"/>
        <v>0</v>
      </c>
      <c r="CN138" s="141">
        <f t="shared" si="721"/>
        <v>0</v>
      </c>
      <c r="CO138" s="141">
        <f t="shared" si="721"/>
        <v>0</v>
      </c>
      <c r="CP138" s="141">
        <f t="shared" si="721"/>
        <v>0</v>
      </c>
      <c r="CQ138" s="141">
        <f t="shared" si="721"/>
        <v>0</v>
      </c>
      <c r="CR138" s="141">
        <f t="shared" si="721"/>
        <v>0</v>
      </c>
      <c r="CS138" s="141">
        <f t="shared" si="721"/>
        <v>0</v>
      </c>
      <c r="CT138" s="141">
        <f t="shared" si="721"/>
        <v>0</v>
      </c>
      <c r="CU138" s="141">
        <f t="shared" si="721"/>
        <v>0</v>
      </c>
      <c r="CV138" s="141">
        <f t="shared" si="721"/>
        <v>0</v>
      </c>
      <c r="CW138" s="142">
        <f t="shared" ref="CW138:DZ138" si="722">EA138*$AH138*$AJ138</f>
        <v>0</v>
      </c>
      <c r="CX138" s="142">
        <f t="shared" si="722"/>
        <v>0</v>
      </c>
      <c r="CY138" s="142">
        <f t="shared" si="722"/>
        <v>0</v>
      </c>
      <c r="CZ138" s="142">
        <f t="shared" si="722"/>
        <v>0</v>
      </c>
      <c r="DA138" s="142">
        <f t="shared" si="722"/>
        <v>0</v>
      </c>
      <c r="DB138" s="142">
        <f t="shared" si="722"/>
        <v>0</v>
      </c>
      <c r="DC138" s="142">
        <f t="shared" si="722"/>
        <v>0</v>
      </c>
      <c r="DD138" s="142">
        <f t="shared" si="722"/>
        <v>0</v>
      </c>
      <c r="DE138" s="142">
        <f t="shared" si="722"/>
        <v>0</v>
      </c>
      <c r="DF138" s="142">
        <f t="shared" si="722"/>
        <v>0</v>
      </c>
      <c r="DG138" s="142">
        <f t="shared" si="722"/>
        <v>0</v>
      </c>
      <c r="DH138" s="142">
        <f t="shared" si="722"/>
        <v>0</v>
      </c>
      <c r="DI138" s="142">
        <f t="shared" si="722"/>
        <v>0</v>
      </c>
      <c r="DJ138" s="142">
        <f t="shared" si="722"/>
        <v>0</v>
      </c>
      <c r="DK138" s="142">
        <f t="shared" si="722"/>
        <v>0</v>
      </c>
      <c r="DL138" s="142">
        <f t="shared" si="722"/>
        <v>0</v>
      </c>
      <c r="DM138" s="142">
        <f t="shared" si="722"/>
        <v>0</v>
      </c>
      <c r="DN138" s="142">
        <f t="shared" si="722"/>
        <v>0</v>
      </c>
      <c r="DO138" s="142">
        <f t="shared" si="722"/>
        <v>0</v>
      </c>
      <c r="DP138" s="142">
        <f t="shared" si="722"/>
        <v>0</v>
      </c>
      <c r="DQ138" s="142">
        <f t="shared" si="722"/>
        <v>0</v>
      </c>
      <c r="DR138" s="142">
        <f t="shared" si="722"/>
        <v>0</v>
      </c>
      <c r="DS138" s="142">
        <f t="shared" si="722"/>
        <v>0</v>
      </c>
      <c r="DT138" s="142">
        <f t="shared" si="722"/>
        <v>0</v>
      </c>
      <c r="DU138" s="142">
        <f t="shared" si="722"/>
        <v>0</v>
      </c>
      <c r="DV138" s="142">
        <f t="shared" si="722"/>
        <v>0</v>
      </c>
      <c r="DW138" s="142">
        <f t="shared" si="722"/>
        <v>0</v>
      </c>
      <c r="DX138" s="142">
        <f t="shared" si="722"/>
        <v>0</v>
      </c>
      <c r="DY138" s="142">
        <f t="shared" si="722"/>
        <v>0</v>
      </c>
      <c r="DZ138" s="142">
        <f t="shared" si="722"/>
        <v>0</v>
      </c>
      <c r="EA138" s="143">
        <f t="shared" si="670"/>
        <v>0</v>
      </c>
      <c r="EB138" s="143">
        <f t="shared" si="671"/>
        <v>0</v>
      </c>
      <c r="EC138" s="143">
        <f t="shared" si="672"/>
        <v>0</v>
      </c>
      <c r="ED138" s="143">
        <f t="shared" si="673"/>
        <v>0</v>
      </c>
      <c r="EE138" s="143">
        <f t="shared" si="674"/>
        <v>0</v>
      </c>
      <c r="EF138" s="143">
        <f t="shared" si="675"/>
        <v>0</v>
      </c>
      <c r="EG138" s="143">
        <f t="shared" si="676"/>
        <v>0</v>
      </c>
      <c r="EH138" s="143">
        <f t="shared" si="677"/>
        <v>0</v>
      </c>
      <c r="EI138" s="143">
        <f t="shared" si="678"/>
        <v>0</v>
      </c>
      <c r="EJ138" s="143">
        <f t="shared" si="679"/>
        <v>0</v>
      </c>
      <c r="EK138" s="143">
        <f t="shared" si="680"/>
        <v>0</v>
      </c>
      <c r="EL138" s="143">
        <f t="shared" si="681"/>
        <v>0</v>
      </c>
      <c r="EM138" s="143">
        <f t="shared" si="682"/>
        <v>0</v>
      </c>
      <c r="EN138" s="143">
        <f t="shared" si="683"/>
        <v>0</v>
      </c>
      <c r="EO138" s="143">
        <f t="shared" si="684"/>
        <v>0</v>
      </c>
      <c r="EP138" s="143">
        <f t="shared" si="685"/>
        <v>0</v>
      </c>
      <c r="EQ138" s="143">
        <f t="shared" si="686"/>
        <v>0</v>
      </c>
      <c r="ER138" s="143">
        <f t="shared" si="687"/>
        <v>0</v>
      </c>
      <c r="ES138" s="143">
        <f t="shared" si="688"/>
        <v>0</v>
      </c>
      <c r="ET138" s="143">
        <f t="shared" si="689"/>
        <v>0</v>
      </c>
      <c r="EU138" s="143">
        <f t="shared" si="690"/>
        <v>0</v>
      </c>
      <c r="EV138" s="143">
        <f t="shared" si="691"/>
        <v>0</v>
      </c>
      <c r="EW138" s="143">
        <f t="shared" si="692"/>
        <v>0</v>
      </c>
      <c r="EX138" s="143">
        <f t="shared" si="693"/>
        <v>0</v>
      </c>
      <c r="EY138" s="143">
        <f t="shared" si="694"/>
        <v>0</v>
      </c>
      <c r="EZ138" s="143">
        <f t="shared" si="695"/>
        <v>0</v>
      </c>
      <c r="FA138" s="143">
        <f t="shared" si="696"/>
        <v>0</v>
      </c>
      <c r="FB138" s="143">
        <f t="shared" si="697"/>
        <v>0</v>
      </c>
      <c r="FC138" s="143">
        <f t="shared" si="698"/>
        <v>0</v>
      </c>
      <c r="FD138" s="143">
        <f t="shared" si="699"/>
        <v>0</v>
      </c>
      <c r="FE138" s="140">
        <f>SUM($D138:D138)*IF($B138="Operacional",IFERROR(VLOOKUP($C138,SN_UGC,28,0),0),1)</f>
        <v>0</v>
      </c>
      <c r="FF138" s="140">
        <f>SUM($D138:E138)*IF($B138="Operacional",IFERROR(VLOOKUP($C138,SN_UGC,28,0),0),1)</f>
        <v>0</v>
      </c>
      <c r="FG138" s="140">
        <f>SUM($D138:F138)*IF($B138="Operacional",IFERROR(VLOOKUP($C138,SN_UGC,28,0),0),1)</f>
        <v>0</v>
      </c>
      <c r="FH138" s="140">
        <f>SUM($D138:G138)*IF($B138="Operacional",IFERROR(VLOOKUP($C138,SN_UGC,28,0),0),1)</f>
        <v>0</v>
      </c>
      <c r="FI138" s="140">
        <f>SUM($D138:H138)*IF($B138="Operacional",IFERROR(VLOOKUP($C138,SN_UGC,28,0),0),1)</f>
        <v>0</v>
      </c>
      <c r="FJ138" s="140">
        <f>SUM($D138:I138)*IF($B138="Operacional",IFERROR(VLOOKUP($C138,SN_UGC,28,0),0),1)</f>
        <v>0</v>
      </c>
      <c r="FK138" s="140">
        <f>SUM($D138:J138)*IF($B138="Operacional",IFERROR(VLOOKUP($C138,SN_UGC,28,0),0),1)</f>
        <v>0</v>
      </c>
      <c r="FL138" s="140">
        <f>SUM($D138:K138)*IF($B138="Operacional",IFERROR(VLOOKUP($C138,SN_UGC,28,0),0),1)</f>
        <v>0</v>
      </c>
      <c r="FM138" s="140">
        <f>SUM($D138:L138)*IF($B138="Operacional",IFERROR(VLOOKUP($C138,SN_UGC,28,0),0),1)</f>
        <v>0</v>
      </c>
      <c r="FN138" s="140">
        <f>SUM($D138:M138)*IF($B138="Operacional",IFERROR(VLOOKUP($C138,SN_UGC,28,0),0),1)</f>
        <v>0</v>
      </c>
      <c r="FO138" s="140">
        <f>SUM($D138:N138)*IF($B138="Operacional",IFERROR(VLOOKUP($C138,SN_UGC,28,0),0),1)</f>
        <v>0</v>
      </c>
      <c r="FP138" s="140">
        <f>SUM($D138:O138)*IF($B138="Operacional",IFERROR(VLOOKUP($C138,SN_UGC,28,0),0),1)</f>
        <v>0</v>
      </c>
      <c r="FQ138" s="140">
        <f>SUM($D138:P138)*IF($B138="Operacional",IFERROR(VLOOKUP($C138,SN_UGC,28,0),0),1)</f>
        <v>0</v>
      </c>
      <c r="FR138" s="140">
        <f>SUM($D138:Q138)*IF($B138="Operacional",IFERROR(VLOOKUP($C138,SN_UGC,28,0),0),1)</f>
        <v>0</v>
      </c>
      <c r="FS138" s="140">
        <f>SUM($D138:R138)*IF($B138="Operacional",IFERROR(VLOOKUP($C138,SN_UGC,28,0),0),1)</f>
        <v>0</v>
      </c>
      <c r="FT138" s="140">
        <f>SUM($D138:S138)*IF($B138="Operacional",IFERROR(VLOOKUP($C138,SN_UGC,28,0),0),1)</f>
        <v>0</v>
      </c>
      <c r="FU138" s="140">
        <f>SUM($D138:T138)*IF($B138="Operacional",IFERROR(VLOOKUP($C138,SN_UGC,28,0),0),1)</f>
        <v>0</v>
      </c>
      <c r="FV138" s="140">
        <f>SUM($D138:U138)*IF($B138="Operacional",IFERROR(VLOOKUP($C138,SN_UGC,28,0),0),1)</f>
        <v>0</v>
      </c>
      <c r="FW138" s="140">
        <f>SUM($D138:V138)*IF($B138="Operacional",IFERROR(VLOOKUP($C138,SN_UGC,28,0),0),1)</f>
        <v>0</v>
      </c>
      <c r="FX138" s="140">
        <f>SUM($D138:W138)*IF($B138="Operacional",IFERROR(VLOOKUP($C138,SN_UGC,28,0),0),1)</f>
        <v>0</v>
      </c>
      <c r="FY138" s="140">
        <f>SUM($D138:X138)*IF($B138="Operacional",IFERROR(VLOOKUP($C138,SN_UGC,28,0),0),1)</f>
        <v>0</v>
      </c>
      <c r="FZ138" s="140">
        <f>SUM($D138:Y138)*IF($B138="Operacional",IFERROR(VLOOKUP($C138,SN_UGC,28,0),0),1)</f>
        <v>0</v>
      </c>
      <c r="GA138" s="140">
        <f>SUM($D138:Z138)*IF($B138="Operacional",IFERROR(VLOOKUP($C138,SN_UGC,28,0),0),1)</f>
        <v>0</v>
      </c>
      <c r="GB138" s="140">
        <f>SUM($D138:AA138)*IF($B138="Operacional",IFERROR(VLOOKUP($C138,SN_UGC,28,0),0),1)</f>
        <v>0</v>
      </c>
      <c r="GC138" s="140">
        <f>SUM($D138:AB138)*IF($B138="Operacional",IFERROR(VLOOKUP($C138,SN_UGC,28,0),0),1)</f>
        <v>0</v>
      </c>
      <c r="GD138" s="140">
        <f>SUM($D138:AC138)*IF($B138="Operacional",IFERROR(VLOOKUP($C138,SN_UGC,28,0),0),1)</f>
        <v>0</v>
      </c>
      <c r="GE138" s="140">
        <f>SUM($D138:AD138)*IF($B138="Operacional",IFERROR(VLOOKUP($C138,SN_UGC,28,0),0),1)</f>
        <v>0</v>
      </c>
      <c r="GF138" s="140">
        <f>SUM($D138:AE138)*IF($B138="Operacional",IFERROR(VLOOKUP($C138,SN_UGC,28,0),0),1)</f>
        <v>0</v>
      </c>
      <c r="GG138" s="140">
        <f>SUM($D138:AF138)*IF($B138="Operacional",IFERROR(VLOOKUP($C138,SN_UGC,28,0),0),1)</f>
        <v>0</v>
      </c>
      <c r="GH138" s="140">
        <f>SUM($D138:AG138)*IF($B138="Operacional",IFERROR(VLOOKUP($C138,SN_UGC,28,0),0),1)</f>
        <v>0</v>
      </c>
      <c r="GI138" s="141">
        <f t="shared" ref="GI138:HL138" si="723">FE138*$AH138*$AL138</f>
        <v>0</v>
      </c>
      <c r="GJ138" s="141">
        <f t="shared" si="723"/>
        <v>0</v>
      </c>
      <c r="GK138" s="141">
        <f t="shared" si="723"/>
        <v>0</v>
      </c>
      <c r="GL138" s="141">
        <f t="shared" si="723"/>
        <v>0</v>
      </c>
      <c r="GM138" s="141">
        <f t="shared" si="723"/>
        <v>0</v>
      </c>
      <c r="GN138" s="141">
        <f t="shared" si="723"/>
        <v>0</v>
      </c>
      <c r="GO138" s="141">
        <f t="shared" si="723"/>
        <v>0</v>
      </c>
      <c r="GP138" s="141">
        <f t="shared" si="723"/>
        <v>0</v>
      </c>
      <c r="GQ138" s="141">
        <f t="shared" si="723"/>
        <v>0</v>
      </c>
      <c r="GR138" s="141">
        <f t="shared" si="723"/>
        <v>0</v>
      </c>
      <c r="GS138" s="141">
        <f t="shared" si="723"/>
        <v>0</v>
      </c>
      <c r="GT138" s="141">
        <f t="shared" si="723"/>
        <v>0</v>
      </c>
      <c r="GU138" s="141">
        <f t="shared" si="723"/>
        <v>0</v>
      </c>
      <c r="GV138" s="141">
        <f t="shared" si="723"/>
        <v>0</v>
      </c>
      <c r="GW138" s="141">
        <f t="shared" si="723"/>
        <v>0</v>
      </c>
      <c r="GX138" s="141">
        <f t="shared" si="723"/>
        <v>0</v>
      </c>
      <c r="GY138" s="141">
        <f t="shared" si="723"/>
        <v>0</v>
      </c>
      <c r="GZ138" s="141">
        <f t="shared" si="723"/>
        <v>0</v>
      </c>
      <c r="HA138" s="141">
        <f t="shared" si="723"/>
        <v>0</v>
      </c>
      <c r="HB138" s="141">
        <f t="shared" si="723"/>
        <v>0</v>
      </c>
      <c r="HC138" s="141">
        <f t="shared" si="723"/>
        <v>0</v>
      </c>
      <c r="HD138" s="141">
        <f t="shared" si="723"/>
        <v>0</v>
      </c>
      <c r="HE138" s="141">
        <f t="shared" si="723"/>
        <v>0</v>
      </c>
      <c r="HF138" s="141">
        <f t="shared" si="723"/>
        <v>0</v>
      </c>
      <c r="HG138" s="141">
        <f t="shared" si="723"/>
        <v>0</v>
      </c>
      <c r="HH138" s="141">
        <f t="shared" si="723"/>
        <v>0</v>
      </c>
      <c r="HI138" s="141">
        <f t="shared" si="723"/>
        <v>0</v>
      </c>
      <c r="HJ138" s="141">
        <f t="shared" si="723"/>
        <v>0</v>
      </c>
      <c r="HK138" s="141">
        <f t="shared" si="723"/>
        <v>0</v>
      </c>
      <c r="HL138" s="141">
        <f t="shared" si="723"/>
        <v>0</v>
      </c>
      <c r="HM138" s="142">
        <f t="shared" ref="HM138:IP138" si="724">IF(ISBLANK($A138),,FE138*($AH138-($AH138*$AJ138))/$AI138)</f>
        <v>0</v>
      </c>
      <c r="HN138" s="142">
        <f t="shared" si="724"/>
        <v>0</v>
      </c>
      <c r="HO138" s="142">
        <f t="shared" si="724"/>
        <v>0</v>
      </c>
      <c r="HP138" s="142">
        <f t="shared" si="724"/>
        <v>0</v>
      </c>
      <c r="HQ138" s="142">
        <f t="shared" si="724"/>
        <v>0</v>
      </c>
      <c r="HR138" s="142">
        <f t="shared" si="724"/>
        <v>0</v>
      </c>
      <c r="HS138" s="142">
        <f t="shared" si="724"/>
        <v>0</v>
      </c>
      <c r="HT138" s="142">
        <f t="shared" si="724"/>
        <v>0</v>
      </c>
      <c r="HU138" s="142">
        <f t="shared" si="724"/>
        <v>0</v>
      </c>
      <c r="HV138" s="142">
        <f t="shared" si="724"/>
        <v>0</v>
      </c>
      <c r="HW138" s="142">
        <f t="shared" si="724"/>
        <v>0</v>
      </c>
      <c r="HX138" s="142">
        <f t="shared" si="724"/>
        <v>0</v>
      </c>
      <c r="HY138" s="142">
        <f t="shared" si="724"/>
        <v>0</v>
      </c>
      <c r="HZ138" s="142">
        <f t="shared" si="724"/>
        <v>0</v>
      </c>
      <c r="IA138" s="142">
        <f t="shared" si="724"/>
        <v>0</v>
      </c>
      <c r="IB138" s="142">
        <f t="shared" si="724"/>
        <v>0</v>
      </c>
      <c r="IC138" s="142">
        <f t="shared" si="724"/>
        <v>0</v>
      </c>
      <c r="ID138" s="142">
        <f t="shared" si="724"/>
        <v>0</v>
      </c>
      <c r="IE138" s="142">
        <f t="shared" si="724"/>
        <v>0</v>
      </c>
      <c r="IF138" s="142">
        <f t="shared" si="724"/>
        <v>0</v>
      </c>
      <c r="IG138" s="142">
        <f t="shared" si="724"/>
        <v>0</v>
      </c>
      <c r="IH138" s="142">
        <f t="shared" si="724"/>
        <v>0</v>
      </c>
      <c r="II138" s="142">
        <f t="shared" si="724"/>
        <v>0</v>
      </c>
      <c r="IJ138" s="142">
        <f t="shared" si="724"/>
        <v>0</v>
      </c>
      <c r="IK138" s="142">
        <f t="shared" si="724"/>
        <v>0</v>
      </c>
      <c r="IL138" s="142">
        <f t="shared" si="724"/>
        <v>0</v>
      </c>
      <c r="IM138" s="142">
        <f t="shared" si="724"/>
        <v>0</v>
      </c>
      <c r="IN138" s="142">
        <f t="shared" si="724"/>
        <v>0</v>
      </c>
      <c r="IO138" s="142">
        <f t="shared" si="724"/>
        <v>0</v>
      </c>
      <c r="IP138" s="142">
        <f t="shared" si="724"/>
        <v>0</v>
      </c>
      <c r="IQ138" s="141">
        <f>IF(ISBLANK($A138),,IF($AN138="Não",0,(SUM($AO138:AO138)*$AH138)-SUM($HM138:HM138)-SUM($CW138:CW138)))</f>
        <v>0</v>
      </c>
      <c r="IR138" s="141">
        <f>IF(ISBLANK($A138),,IF($AN138="Não",0,(SUM($AO138:AP138)*$AH138)-SUM($HM138:HN138)-SUM($CW138:CX138)))</f>
        <v>0</v>
      </c>
      <c r="IS138" s="141">
        <f>IF(ISBLANK($A138),,IF($AN138="Não",0,(SUM($AO138:AQ138)*$AH138)-SUM($HM138:HO138)-SUM($CW138:CY138)))</f>
        <v>0</v>
      </c>
      <c r="IT138" s="141">
        <f>IF(ISBLANK($A138),,IF($AN138="Não",0,(SUM($AO138:AR138)*$AH138)-SUM($HM138:HP138)-SUM($CW138:CZ138)))</f>
        <v>0</v>
      </c>
      <c r="IU138" s="141">
        <f>IF(ISBLANK($A138),,IF($AN138="Não",0,(SUM($AO138:AS138)*$AH138)-SUM($HM138:HQ138)-SUM($CW138:DA138)))</f>
        <v>0</v>
      </c>
      <c r="IV138" s="141">
        <f>IF(ISBLANK($A138),,IF($AN138="Não",0,(SUM($AO138:AT138)*$AH138)-SUM($HM138:HR138)-SUM($CW138:DB138)))</f>
        <v>0</v>
      </c>
      <c r="IW138" s="141">
        <f>IF(ISBLANK($A138),,IF($AN138="Não",0,(SUM($AO138:AU138)*$AH138)-SUM($HM138:HS138)-SUM($CW138:DC138)))</f>
        <v>0</v>
      </c>
      <c r="IX138" s="141">
        <f>IF(ISBLANK($A138),,IF($AN138="Não",0,(SUM($AO138:AV138)*$AH138)-SUM($HM138:HT138)-SUM($CW138:DD138)))</f>
        <v>0</v>
      </c>
      <c r="IY138" s="141">
        <f>IF(ISBLANK($A138),,IF($AN138="Não",0,(SUM($AO138:AW138)*$AH138)-SUM($HM138:HU138)-SUM($CW138:DE138)))</f>
        <v>0</v>
      </c>
      <c r="IZ138" s="141">
        <f>IF(ISBLANK($A138),,IF($AN138="Não",0,(SUM($AO138:AX138)*$AH138)-SUM($HM138:HV138)-SUM($CW138:DF138)))</f>
        <v>0</v>
      </c>
      <c r="JA138" s="141">
        <f>IF(ISBLANK($A138),,IF($AN138="Não",0,(SUM($AO138:AY138)*$AH138)-SUM($HM138:HW138)-SUM($CW138:DG138)))</f>
        <v>0</v>
      </c>
      <c r="JB138" s="141">
        <f>IF(ISBLANK($A138),,IF($AN138="Não",0,(SUM($AO138:AZ138)*$AH138)-SUM($HM138:HX138)-SUM($CW138:DH138)))</f>
        <v>0</v>
      </c>
      <c r="JC138" s="141">
        <f>IF(ISBLANK($A138),,IF($AN138="Não",0,(SUM($AO138:BA138)*$AH138)-SUM($HM138:HY138)-SUM($CW138:DI138)))</f>
        <v>0</v>
      </c>
      <c r="JD138" s="141">
        <f>IF(ISBLANK($A138),,IF($AN138="Não",0,(SUM($AO138:BB138)*$AH138)-SUM($HM138:HZ138)-SUM($CW138:DJ138)))</f>
        <v>0</v>
      </c>
      <c r="JE138" s="141">
        <f>IF(ISBLANK($A138),,IF($AN138="Não",0,(SUM($AO138:BC138)*$AH138)-SUM($HM138:IA138)-SUM($CW138:DK138)))</f>
        <v>0</v>
      </c>
      <c r="JF138" s="141">
        <f>IF(ISBLANK($A138),,IF($AN138="Não",0,(SUM($AO138:BD138)*$AH138)-SUM($HM138:IB138)-SUM($CW138:DL138)))</f>
        <v>0</v>
      </c>
      <c r="JG138" s="141">
        <f>IF(ISBLANK($A138),,IF($AN138="Não",0,(SUM($AO138:BE138)*$AH138)-SUM($HM138:IC138)-SUM($CW138:DM138)))</f>
        <v>0</v>
      </c>
      <c r="JH138" s="141">
        <f>IF(ISBLANK($A138),,IF($AN138="Não",0,(SUM($AO138:BF138)*$AH138)-SUM($HM138:ID138)-SUM($CW138:DN138)))</f>
        <v>0</v>
      </c>
      <c r="JI138" s="141">
        <f>IF(ISBLANK($A138),,IF($AN138="Não",0,(SUM($AO138:BG138)*$AH138)-SUM($HM138:IE138)-SUM($CW138:DO138)))</f>
        <v>0</v>
      </c>
      <c r="JJ138" s="141">
        <f>IF(ISBLANK($A138),,IF($AN138="Não",0,(SUM($AO138:BH138)*$AH138)-SUM($HM138:IF138)-SUM($CW138:DP138)))</f>
        <v>0</v>
      </c>
      <c r="JK138" s="141">
        <f>IF(ISBLANK($A138),,IF($AN138="Não",0,(SUM($AO138:BI138)*$AH138)-SUM($HM138:IG138)-SUM($CW138:DQ138)))</f>
        <v>0</v>
      </c>
      <c r="JL138" s="141">
        <f>IF(ISBLANK($A138),,IF($AN138="Não",0,(SUM($AO138:BJ138)*$AH138)-SUM($HM138:IH138)-SUM($CW138:DR138)))</f>
        <v>0</v>
      </c>
      <c r="JM138" s="141">
        <f>IF(ISBLANK($A138),,IF($AN138="Não",0,(SUM($AO138:BK138)*$AH138)-SUM($HM138:II138)-SUM($CW138:DS138)))</f>
        <v>0</v>
      </c>
      <c r="JN138" s="141">
        <f>IF(ISBLANK($A138),,IF($AN138="Não",0,(SUM($AO138:BL138)*$AH138)-SUM($HM138:IJ138)-SUM($CW138:DT138)))</f>
        <v>0</v>
      </c>
      <c r="JO138" s="141">
        <f>IF(ISBLANK($A138),,IF($AN138="Não",0,(SUM($AO138:BM138)*$AH138)-SUM($HM138:IK138)-SUM($CW138:DU138)))</f>
        <v>0</v>
      </c>
      <c r="JP138" s="141">
        <f>IF(ISBLANK($A138),,IF($AN138="Não",0,(SUM($AO138:BN138)*$AH138)-SUM($HM138:IL138)-SUM($CW138:DV138)))</f>
        <v>0</v>
      </c>
      <c r="JQ138" s="141">
        <f>IF(ISBLANK($A138),,IF($AN138="Não",0,(SUM($AO138:BO138)*$AH138)-SUM($HM138:IM138)-SUM($CW138:DW138)))</f>
        <v>0</v>
      </c>
      <c r="JR138" s="141">
        <f>IF(ISBLANK($A138),,IF($AN138="Não",0,(SUM($AO138:BP138)*$AH138)-SUM($HM138:IN138)-SUM($CW138:DX138)))</f>
        <v>0</v>
      </c>
      <c r="JS138" s="141">
        <f>IF(ISBLANK($A138),,IF($AN138="Não",0,(SUM($AO138:BQ138)*$AH138)-SUM($HM138:IO138)-SUM($CW138:DY138)))</f>
        <v>0</v>
      </c>
      <c r="JT138" s="141">
        <f>IF(ISBLANK($A138),,IF($AN138="Não",0,(SUM($AO138:BR138)*$AH138)-SUM($HM138:IP138)-SUM($CW138:DZ138)))</f>
        <v>0</v>
      </c>
    </row>
    <row r="139" spans="1:280" ht="15.75" customHeight="1">
      <c r="A139" s="129"/>
      <c r="B139" s="129"/>
      <c r="C139" s="138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607">
        <f t="shared" si="710"/>
        <v>0</v>
      </c>
      <c r="AI139" s="608">
        <f t="shared" si="711"/>
        <v>0</v>
      </c>
      <c r="AJ139" s="609">
        <f t="shared" si="712"/>
        <v>0</v>
      </c>
      <c r="AK139" s="610" t="str">
        <f t="shared" si="713"/>
        <v/>
      </c>
      <c r="AL139" s="609">
        <f t="shared" si="714"/>
        <v>0</v>
      </c>
      <c r="AM139" s="611" t="str">
        <f t="shared" si="715"/>
        <v/>
      </c>
      <c r="AN139" s="611" t="str">
        <f t="shared" si="716"/>
        <v/>
      </c>
      <c r="AO139" s="140">
        <f t="array" ref="AO139">IF(ISBLANK($A139),0,IF(OR(AO$5-$AI139&lt;=0,$AM139="Não"),D139,D139+INDEX($AO$6:$BR$176,ROW()-5,COLUMN()-40-$AI139)))*IF($B139="Operacional",IFERROR(VLOOKUP($C139,SN_UGC,28,0),0),1)</f>
        <v>0</v>
      </c>
      <c r="AP139" s="140">
        <f t="array" ref="AP139">IF(ISBLANK($A139),0,IF(OR(AP$5-$AI139&lt;=0,$AM139="Não"),E139,E139+INDEX($AO$6:$BR$176,ROW()-5,COLUMN()-40-$AI139)))*IF($B139="Operacional",IFERROR(VLOOKUP($C139,SN_UGC,28,0),0),1)</f>
        <v>0</v>
      </c>
      <c r="AQ139" s="140">
        <f t="array" ref="AQ139">IF(ISBLANK($A139),0,IF(OR(AQ$5-$AI139&lt;=0,$AM139="Não"),F139,F139+INDEX($AO$6:$BR$176,ROW()-5,COLUMN()-40-$AI139)))*IF($B139="Operacional",IFERROR(VLOOKUP($C139,SN_UGC,28,0),0),1)</f>
        <v>0</v>
      </c>
      <c r="AR139" s="140">
        <f t="array" ref="AR139">IF(ISBLANK($A139),0,IF(OR(AR$5-$AI139&lt;=0,$AM139="Não"),G139,G139+INDEX($AO$6:$BR$176,ROW()-5,COLUMN()-40-$AI139)))*IF($B139="Operacional",IFERROR(VLOOKUP($C139,SN_UGC,28,0),0),1)</f>
        <v>0</v>
      </c>
      <c r="AS139" s="140">
        <f t="array" ref="AS139">IF(ISBLANK($A139),0,IF(OR(AS$5-$AI139&lt;=0,$AM139="Não"),H139,H139+INDEX($AO$6:$BR$176,ROW()-5,COLUMN()-40-$AI139)))*IF($B139="Operacional",IFERROR(VLOOKUP($C139,SN_UGC,28,0),0),1)</f>
        <v>0</v>
      </c>
      <c r="AT139" s="140">
        <f t="array" ref="AT139">IF(ISBLANK($A139),0,IF(OR(AT$5-$AI139&lt;=0,$AM139="Não"),I139,I139+INDEX($AO$6:$BR$176,ROW()-5,COLUMN()-40-$AI139)))*IF($B139="Operacional",IFERROR(VLOOKUP($C139,SN_UGC,28,0),0),1)</f>
        <v>0</v>
      </c>
      <c r="AU139" s="140">
        <f t="array" ref="AU139">IF(ISBLANK($A139),0,IF(OR(AU$5-$AI139&lt;=0,$AM139="Não"),J139,J139+INDEX($AO$6:$BR$176,ROW()-5,COLUMN()-40-$AI139)))*IF($B139="Operacional",IFERROR(VLOOKUP($C139,SN_UGC,28,0),0),1)</f>
        <v>0</v>
      </c>
      <c r="AV139" s="140">
        <f t="array" ref="AV139">IF(ISBLANK($A139),0,IF(OR(AV$5-$AI139&lt;=0,$AM139="Não"),K139,K139+INDEX($AO$6:$BR$176,ROW()-5,COLUMN()-40-$AI139)))*IF($B139="Operacional",IFERROR(VLOOKUP($C139,SN_UGC,28,0),0),1)</f>
        <v>0</v>
      </c>
      <c r="AW139" s="140">
        <f t="array" ref="AW139">IF(ISBLANK($A139),0,IF(OR(AW$5-$AI139&lt;=0,$AM139="Não"),L139,L139+INDEX($AO$6:$BR$176,ROW()-5,COLUMN()-40-$AI139)))*IF($B139="Operacional",IFERROR(VLOOKUP($C139,SN_UGC,28,0),0),1)</f>
        <v>0</v>
      </c>
      <c r="AX139" s="140">
        <f t="array" ref="AX139">IF(ISBLANK($A139),0,IF(OR(AX$5-$AI139&lt;=0,$AM139="Não"),M139,M139+INDEX($AO$6:$BR$176,ROW()-5,COLUMN()-40-$AI139)))*IF($B139="Operacional",IFERROR(VLOOKUP($C139,SN_UGC,28,0),0),1)</f>
        <v>0</v>
      </c>
      <c r="AY139" s="140">
        <f t="array" ref="AY139">IF(ISBLANK($A139),0,IF(OR(AY$5-$AI139&lt;=0,$AM139="Não"),N139,N139+INDEX($AO$6:$BR$176,ROW()-5,COLUMN()-40-$AI139)))*IF($B139="Operacional",IFERROR(VLOOKUP($C139,SN_UGC,28,0),0),1)</f>
        <v>0</v>
      </c>
      <c r="AZ139" s="140">
        <f t="array" ref="AZ139">IF(ISBLANK($A139),0,IF(OR(AZ$5-$AI139&lt;=0,$AM139="Não"),O139,O139+INDEX($AO$6:$BR$176,ROW()-5,COLUMN()-40-$AI139)))*IF($B139="Operacional",IFERROR(VLOOKUP($C139,SN_UGC,28,0),0),1)</f>
        <v>0</v>
      </c>
      <c r="BA139" s="140">
        <f t="array" ref="BA139">IF(ISBLANK($A139),0,IF(OR(BA$5-$AI139&lt;=0,$AM139="Não"),P139,P139+INDEX($AO$6:$BR$176,ROW()-5,COLUMN()-40-$AI139)))*IF($B139="Operacional",IFERROR(VLOOKUP($C139,SN_UGC,28,0),0),1)</f>
        <v>0</v>
      </c>
      <c r="BB139" s="140">
        <f t="array" ref="BB139">IF(ISBLANK($A139),0,IF(OR(BB$5-$AI139&lt;=0,$AM139="Não"),Q139,Q139+INDEX($AO$6:$BR$176,ROW()-5,COLUMN()-40-$AI139)))*IF($B139="Operacional",IFERROR(VLOOKUP($C139,SN_UGC,28,0),0),1)</f>
        <v>0</v>
      </c>
      <c r="BC139" s="140">
        <f t="array" ref="BC139">IF(ISBLANK($A139),0,IF(OR(BC$5-$AI139&lt;=0,$AM139="Não"),R139,R139+INDEX($AO$6:$BR$176,ROW()-5,COLUMN()-40-$AI139)))*IF($B139="Operacional",IFERROR(VLOOKUP($C139,SN_UGC,28,0),0),1)</f>
        <v>0</v>
      </c>
      <c r="BD139" s="140">
        <f t="array" ref="BD139">IF(ISBLANK($A139),0,IF(OR(BD$5-$AI139&lt;=0,$AM139="Não"),S139,S139+INDEX($AO$6:$BR$176,ROW()-5,COLUMN()-40-$AI139)))*IF($B139="Operacional",IFERROR(VLOOKUP($C139,SN_UGC,28,0),0),1)</f>
        <v>0</v>
      </c>
      <c r="BE139" s="140">
        <f t="array" ref="BE139">IF(ISBLANK($A139),0,IF(OR(BE$5-$AI139&lt;=0,$AM139="Não"),T139,T139+INDEX($AO$6:$BR$176,ROW()-5,COLUMN()-40-$AI139)))*IF($B139="Operacional",IFERROR(VLOOKUP($C139,SN_UGC,28,0),0),1)</f>
        <v>0</v>
      </c>
      <c r="BF139" s="140">
        <f t="array" ref="BF139">IF(ISBLANK($A139),0,IF(OR(BF$5-$AI139&lt;=0,$AM139="Não"),U139,U139+INDEX($AO$6:$BR$176,ROW()-5,COLUMN()-40-$AI139)))*IF($B139="Operacional",IFERROR(VLOOKUP($C139,SN_UGC,28,0),0),1)</f>
        <v>0</v>
      </c>
      <c r="BG139" s="140">
        <f t="array" ref="BG139">IF(ISBLANK($A139),0,IF(OR(BG$5-$AI139&lt;=0,$AM139="Não"),V139,V139+INDEX($AO$6:$BR$176,ROW()-5,COLUMN()-40-$AI139)))*IF($B139="Operacional",IFERROR(VLOOKUP($C139,SN_UGC,28,0),0),1)</f>
        <v>0</v>
      </c>
      <c r="BH139" s="140">
        <f t="array" ref="BH139">IF(ISBLANK($A139),0,IF(OR(BH$5-$AI139&lt;=0,$AM139="Não"),W139,W139+INDEX($AO$6:$BR$176,ROW()-5,COLUMN()-40-$AI139)))*IF($B139="Operacional",IFERROR(VLOOKUP($C139,SN_UGC,28,0),0),1)</f>
        <v>0</v>
      </c>
      <c r="BI139" s="140">
        <f t="array" ref="BI139">IF(ISBLANK($A139),0,IF(OR(BI$5-$AI139&lt;=0,$AM139="Não"),X139,X139+INDEX($AO$6:$BR$176,ROW()-5,COLUMN()-40-$AI139)))*IF($B139="Operacional",IFERROR(VLOOKUP($C139,SN_UGC,28,0),0),1)</f>
        <v>0</v>
      </c>
      <c r="BJ139" s="140">
        <f t="array" ref="BJ139">IF(ISBLANK($A139),0,IF(OR(BJ$5-$AI139&lt;=0,$AM139="Não"),Y139,Y139+INDEX($AO$6:$BR$176,ROW()-5,COLUMN()-40-$AI139)))*IF($B139="Operacional",IFERROR(VLOOKUP($C139,SN_UGC,28,0),0),1)</f>
        <v>0</v>
      </c>
      <c r="BK139" s="140">
        <f t="array" ref="BK139">IF(ISBLANK($A139),0,IF(OR(BK$5-$AI139&lt;=0,$AM139="Não"),Z139,Z139+INDEX($AO$6:$BR$176,ROW()-5,COLUMN()-40-$AI139)))*IF($B139="Operacional",IFERROR(VLOOKUP($C139,SN_UGC,28,0),0),1)</f>
        <v>0</v>
      </c>
      <c r="BL139" s="140">
        <f t="array" ref="BL139">IF(ISBLANK($A139),0,IF(OR(BL$5-$AI139&lt;=0,$AM139="Não"),AA139,AA139+INDEX($AO$6:$BR$176,ROW()-5,COLUMN()-40-$AI139)))*IF($B139="Operacional",IFERROR(VLOOKUP($C139,SN_UGC,28,0),0),1)</f>
        <v>0</v>
      </c>
      <c r="BM139" s="140">
        <f t="array" ref="BM139">IF(ISBLANK($A139),0,IF(OR(BM$5-$AI139&lt;=0,$AM139="Não"),AB139,AB139+INDEX($AO$6:$BR$176,ROW()-5,COLUMN()-40-$AI139)))*IF($B139="Operacional",IFERROR(VLOOKUP($C139,SN_UGC,28,0),0),1)</f>
        <v>0</v>
      </c>
      <c r="BN139" s="140">
        <f t="array" ref="BN139">IF(ISBLANK($A139),0,IF(OR(BN$5-$AI139&lt;=0,$AM139="Não"),AC139,AC139+INDEX($AO$6:$BR$176,ROW()-5,COLUMN()-40-$AI139)))*IF($B139="Operacional",IFERROR(VLOOKUP($C139,SN_UGC,28,0),0),1)</f>
        <v>0</v>
      </c>
      <c r="BO139" s="140">
        <f t="array" ref="BO139">IF(ISBLANK($A139),0,IF(OR(BO$5-$AI139&lt;=0,$AM139="Não"),AD139,AD139+INDEX($AO$6:$BR$176,ROW()-5,COLUMN()-40-$AI139)))*IF($B139="Operacional",IFERROR(VLOOKUP($C139,SN_UGC,28,0),0),1)</f>
        <v>0</v>
      </c>
      <c r="BP139" s="140">
        <f t="array" ref="BP139">IF(ISBLANK($A139),0,IF(OR(BP$5-$AI139&lt;=0,$AM139="Não"),AE139,AE139+INDEX($AO$6:$BR$176,ROW()-5,COLUMN()-40-$AI139)))*IF($B139="Operacional",IFERROR(VLOOKUP($C139,SN_UGC,28,0),0),1)</f>
        <v>0</v>
      </c>
      <c r="BQ139" s="140">
        <f t="array" ref="BQ139">IF(ISBLANK($A139),0,IF(OR(BQ$5-$AI139&lt;=0,$AM139="Não"),AF139,AF139+INDEX($AO$6:$BR$176,ROW()-5,COLUMN()-40-$AI139)))*IF($B139="Operacional",IFERROR(VLOOKUP($C139,SN_UGC,28,0),0),1)</f>
        <v>0</v>
      </c>
      <c r="BR139" s="140">
        <f t="array" ref="BR139">IF(ISBLANK($A139),0,IF(OR(BR$5-$AI139&lt;=0,$AM139="Não"),AG139,AG139+INDEX($AO$6:$BR$176,ROW()-5,COLUMN()-40-$AI139)))*IF($B139="Operacional",IFERROR(VLOOKUP($C139,SN_UGC,28,0),0),1)</f>
        <v>0</v>
      </c>
      <c r="BS139" s="141">
        <f t="shared" ref="BS139:CV139" si="725">IF(ISBLANK($A139),0,$AH139*AO139)</f>
        <v>0</v>
      </c>
      <c r="BT139" s="141">
        <f t="shared" si="725"/>
        <v>0</v>
      </c>
      <c r="BU139" s="141">
        <f t="shared" si="725"/>
        <v>0</v>
      </c>
      <c r="BV139" s="141">
        <f t="shared" si="725"/>
        <v>0</v>
      </c>
      <c r="BW139" s="141">
        <f t="shared" si="725"/>
        <v>0</v>
      </c>
      <c r="BX139" s="141">
        <f t="shared" si="725"/>
        <v>0</v>
      </c>
      <c r="BY139" s="141">
        <f t="shared" si="725"/>
        <v>0</v>
      </c>
      <c r="BZ139" s="141">
        <f t="shared" si="725"/>
        <v>0</v>
      </c>
      <c r="CA139" s="141">
        <f t="shared" si="725"/>
        <v>0</v>
      </c>
      <c r="CB139" s="141">
        <f t="shared" si="725"/>
        <v>0</v>
      </c>
      <c r="CC139" s="141">
        <f t="shared" si="725"/>
        <v>0</v>
      </c>
      <c r="CD139" s="141">
        <f t="shared" si="725"/>
        <v>0</v>
      </c>
      <c r="CE139" s="141">
        <f t="shared" si="725"/>
        <v>0</v>
      </c>
      <c r="CF139" s="141">
        <f t="shared" si="725"/>
        <v>0</v>
      </c>
      <c r="CG139" s="141">
        <f t="shared" si="725"/>
        <v>0</v>
      </c>
      <c r="CH139" s="141">
        <f t="shared" si="725"/>
        <v>0</v>
      </c>
      <c r="CI139" s="141">
        <f t="shared" si="725"/>
        <v>0</v>
      </c>
      <c r="CJ139" s="141">
        <f t="shared" si="725"/>
        <v>0</v>
      </c>
      <c r="CK139" s="141">
        <f t="shared" si="725"/>
        <v>0</v>
      </c>
      <c r="CL139" s="141">
        <f t="shared" si="725"/>
        <v>0</v>
      </c>
      <c r="CM139" s="141">
        <f t="shared" si="725"/>
        <v>0</v>
      </c>
      <c r="CN139" s="141">
        <f t="shared" si="725"/>
        <v>0</v>
      </c>
      <c r="CO139" s="141">
        <f t="shared" si="725"/>
        <v>0</v>
      </c>
      <c r="CP139" s="141">
        <f t="shared" si="725"/>
        <v>0</v>
      </c>
      <c r="CQ139" s="141">
        <f t="shared" si="725"/>
        <v>0</v>
      </c>
      <c r="CR139" s="141">
        <f t="shared" si="725"/>
        <v>0</v>
      </c>
      <c r="CS139" s="141">
        <f t="shared" si="725"/>
        <v>0</v>
      </c>
      <c r="CT139" s="141">
        <f t="shared" si="725"/>
        <v>0</v>
      </c>
      <c r="CU139" s="141">
        <f t="shared" si="725"/>
        <v>0</v>
      </c>
      <c r="CV139" s="141">
        <f t="shared" si="725"/>
        <v>0</v>
      </c>
      <c r="CW139" s="142">
        <f t="shared" ref="CW139:DZ139" si="726">EA139*$AH139*$AJ139</f>
        <v>0</v>
      </c>
      <c r="CX139" s="142">
        <f t="shared" si="726"/>
        <v>0</v>
      </c>
      <c r="CY139" s="142">
        <f t="shared" si="726"/>
        <v>0</v>
      </c>
      <c r="CZ139" s="142">
        <f t="shared" si="726"/>
        <v>0</v>
      </c>
      <c r="DA139" s="142">
        <f t="shared" si="726"/>
        <v>0</v>
      </c>
      <c r="DB139" s="142">
        <f t="shared" si="726"/>
        <v>0</v>
      </c>
      <c r="DC139" s="142">
        <f t="shared" si="726"/>
        <v>0</v>
      </c>
      <c r="DD139" s="142">
        <f t="shared" si="726"/>
        <v>0</v>
      </c>
      <c r="DE139" s="142">
        <f t="shared" si="726"/>
        <v>0</v>
      </c>
      <c r="DF139" s="142">
        <f t="shared" si="726"/>
        <v>0</v>
      </c>
      <c r="DG139" s="142">
        <f t="shared" si="726"/>
        <v>0</v>
      </c>
      <c r="DH139" s="142">
        <f t="shared" si="726"/>
        <v>0</v>
      </c>
      <c r="DI139" s="142">
        <f t="shared" si="726"/>
        <v>0</v>
      </c>
      <c r="DJ139" s="142">
        <f t="shared" si="726"/>
        <v>0</v>
      </c>
      <c r="DK139" s="142">
        <f t="shared" si="726"/>
        <v>0</v>
      </c>
      <c r="DL139" s="142">
        <f t="shared" si="726"/>
        <v>0</v>
      </c>
      <c r="DM139" s="142">
        <f t="shared" si="726"/>
        <v>0</v>
      </c>
      <c r="DN139" s="142">
        <f t="shared" si="726"/>
        <v>0</v>
      </c>
      <c r="DO139" s="142">
        <f t="shared" si="726"/>
        <v>0</v>
      </c>
      <c r="DP139" s="142">
        <f t="shared" si="726"/>
        <v>0</v>
      </c>
      <c r="DQ139" s="142">
        <f t="shared" si="726"/>
        <v>0</v>
      </c>
      <c r="DR139" s="142">
        <f t="shared" si="726"/>
        <v>0</v>
      </c>
      <c r="DS139" s="142">
        <f t="shared" si="726"/>
        <v>0</v>
      </c>
      <c r="DT139" s="142">
        <f t="shared" si="726"/>
        <v>0</v>
      </c>
      <c r="DU139" s="142">
        <f t="shared" si="726"/>
        <v>0</v>
      </c>
      <c r="DV139" s="142">
        <f t="shared" si="726"/>
        <v>0</v>
      </c>
      <c r="DW139" s="142">
        <f t="shared" si="726"/>
        <v>0</v>
      </c>
      <c r="DX139" s="142">
        <f t="shared" si="726"/>
        <v>0</v>
      </c>
      <c r="DY139" s="142">
        <f t="shared" si="726"/>
        <v>0</v>
      </c>
      <c r="DZ139" s="142">
        <f t="shared" si="726"/>
        <v>0</v>
      </c>
      <c r="EA139" s="143">
        <f t="shared" si="670"/>
        <v>0</v>
      </c>
      <c r="EB139" s="143">
        <f t="shared" si="671"/>
        <v>0</v>
      </c>
      <c r="EC139" s="143">
        <f t="shared" si="672"/>
        <v>0</v>
      </c>
      <c r="ED139" s="143">
        <f t="shared" si="673"/>
        <v>0</v>
      </c>
      <c r="EE139" s="143">
        <f t="shared" si="674"/>
        <v>0</v>
      </c>
      <c r="EF139" s="143">
        <f t="shared" si="675"/>
        <v>0</v>
      </c>
      <c r="EG139" s="143">
        <f t="shared" si="676"/>
        <v>0</v>
      </c>
      <c r="EH139" s="143">
        <f t="shared" si="677"/>
        <v>0</v>
      </c>
      <c r="EI139" s="143">
        <f t="shared" si="678"/>
        <v>0</v>
      </c>
      <c r="EJ139" s="143">
        <f t="shared" si="679"/>
        <v>0</v>
      </c>
      <c r="EK139" s="143">
        <f t="shared" si="680"/>
        <v>0</v>
      </c>
      <c r="EL139" s="143">
        <f t="shared" si="681"/>
        <v>0</v>
      </c>
      <c r="EM139" s="143">
        <f t="shared" si="682"/>
        <v>0</v>
      </c>
      <c r="EN139" s="143">
        <f t="shared" si="683"/>
        <v>0</v>
      </c>
      <c r="EO139" s="143">
        <f t="shared" si="684"/>
        <v>0</v>
      </c>
      <c r="EP139" s="143">
        <f t="shared" si="685"/>
        <v>0</v>
      </c>
      <c r="EQ139" s="143">
        <f t="shared" si="686"/>
        <v>0</v>
      </c>
      <c r="ER139" s="143">
        <f t="shared" si="687"/>
        <v>0</v>
      </c>
      <c r="ES139" s="143">
        <f t="shared" si="688"/>
        <v>0</v>
      </c>
      <c r="ET139" s="143">
        <f t="shared" si="689"/>
        <v>0</v>
      </c>
      <c r="EU139" s="143">
        <f t="shared" si="690"/>
        <v>0</v>
      </c>
      <c r="EV139" s="143">
        <f t="shared" si="691"/>
        <v>0</v>
      </c>
      <c r="EW139" s="143">
        <f t="shared" si="692"/>
        <v>0</v>
      </c>
      <c r="EX139" s="143">
        <f t="shared" si="693"/>
        <v>0</v>
      </c>
      <c r="EY139" s="143">
        <f t="shared" si="694"/>
        <v>0</v>
      </c>
      <c r="EZ139" s="143">
        <f t="shared" si="695"/>
        <v>0</v>
      </c>
      <c r="FA139" s="143">
        <f t="shared" si="696"/>
        <v>0</v>
      </c>
      <c r="FB139" s="143">
        <f t="shared" si="697"/>
        <v>0</v>
      </c>
      <c r="FC139" s="143">
        <f t="shared" si="698"/>
        <v>0</v>
      </c>
      <c r="FD139" s="143">
        <f t="shared" si="699"/>
        <v>0</v>
      </c>
      <c r="FE139" s="140">
        <f>SUM($D139:D139)*IF($B139="Operacional",IFERROR(VLOOKUP($C139,SN_UGC,28,0),0),1)</f>
        <v>0</v>
      </c>
      <c r="FF139" s="140">
        <f>SUM($D139:E139)*IF($B139="Operacional",IFERROR(VLOOKUP($C139,SN_UGC,28,0),0),1)</f>
        <v>0</v>
      </c>
      <c r="FG139" s="140">
        <f>SUM($D139:F139)*IF($B139="Operacional",IFERROR(VLOOKUP($C139,SN_UGC,28,0),0),1)</f>
        <v>0</v>
      </c>
      <c r="FH139" s="140">
        <f>SUM($D139:G139)*IF($B139="Operacional",IFERROR(VLOOKUP($C139,SN_UGC,28,0),0),1)</f>
        <v>0</v>
      </c>
      <c r="FI139" s="140">
        <f>SUM($D139:H139)*IF($B139="Operacional",IFERROR(VLOOKUP($C139,SN_UGC,28,0),0),1)</f>
        <v>0</v>
      </c>
      <c r="FJ139" s="140">
        <f>SUM($D139:I139)*IF($B139="Operacional",IFERROR(VLOOKUP($C139,SN_UGC,28,0),0),1)</f>
        <v>0</v>
      </c>
      <c r="FK139" s="140">
        <f>SUM($D139:J139)*IF($B139="Operacional",IFERROR(VLOOKUP($C139,SN_UGC,28,0),0),1)</f>
        <v>0</v>
      </c>
      <c r="FL139" s="140">
        <f>SUM($D139:K139)*IF($B139="Operacional",IFERROR(VLOOKUP($C139,SN_UGC,28,0),0),1)</f>
        <v>0</v>
      </c>
      <c r="FM139" s="140">
        <f>SUM($D139:L139)*IF($B139="Operacional",IFERROR(VLOOKUP($C139,SN_UGC,28,0),0),1)</f>
        <v>0</v>
      </c>
      <c r="FN139" s="140">
        <f>SUM($D139:M139)*IF($B139="Operacional",IFERROR(VLOOKUP($C139,SN_UGC,28,0),0),1)</f>
        <v>0</v>
      </c>
      <c r="FO139" s="140">
        <f>SUM($D139:N139)*IF($B139="Operacional",IFERROR(VLOOKUP($C139,SN_UGC,28,0),0),1)</f>
        <v>0</v>
      </c>
      <c r="FP139" s="140">
        <f>SUM($D139:O139)*IF($B139="Operacional",IFERROR(VLOOKUP($C139,SN_UGC,28,0),0),1)</f>
        <v>0</v>
      </c>
      <c r="FQ139" s="140">
        <f>SUM($D139:P139)*IF($B139="Operacional",IFERROR(VLOOKUP($C139,SN_UGC,28,0),0),1)</f>
        <v>0</v>
      </c>
      <c r="FR139" s="140">
        <f>SUM($D139:Q139)*IF($B139="Operacional",IFERROR(VLOOKUP($C139,SN_UGC,28,0),0),1)</f>
        <v>0</v>
      </c>
      <c r="FS139" s="140">
        <f>SUM($D139:R139)*IF($B139="Operacional",IFERROR(VLOOKUP($C139,SN_UGC,28,0),0),1)</f>
        <v>0</v>
      </c>
      <c r="FT139" s="140">
        <f>SUM($D139:S139)*IF($B139="Operacional",IFERROR(VLOOKUP($C139,SN_UGC,28,0),0),1)</f>
        <v>0</v>
      </c>
      <c r="FU139" s="140">
        <f>SUM($D139:T139)*IF($B139="Operacional",IFERROR(VLOOKUP($C139,SN_UGC,28,0),0),1)</f>
        <v>0</v>
      </c>
      <c r="FV139" s="140">
        <f>SUM($D139:U139)*IF($B139="Operacional",IFERROR(VLOOKUP($C139,SN_UGC,28,0),0),1)</f>
        <v>0</v>
      </c>
      <c r="FW139" s="140">
        <f>SUM($D139:V139)*IF($B139="Operacional",IFERROR(VLOOKUP($C139,SN_UGC,28,0),0),1)</f>
        <v>0</v>
      </c>
      <c r="FX139" s="140">
        <f>SUM($D139:W139)*IF($B139="Operacional",IFERROR(VLOOKUP($C139,SN_UGC,28,0),0),1)</f>
        <v>0</v>
      </c>
      <c r="FY139" s="140">
        <f>SUM($D139:X139)*IF($B139="Operacional",IFERROR(VLOOKUP($C139,SN_UGC,28,0),0),1)</f>
        <v>0</v>
      </c>
      <c r="FZ139" s="140">
        <f>SUM($D139:Y139)*IF($B139="Operacional",IFERROR(VLOOKUP($C139,SN_UGC,28,0),0),1)</f>
        <v>0</v>
      </c>
      <c r="GA139" s="140">
        <f>SUM($D139:Z139)*IF($B139="Operacional",IFERROR(VLOOKUP($C139,SN_UGC,28,0),0),1)</f>
        <v>0</v>
      </c>
      <c r="GB139" s="140">
        <f>SUM($D139:AA139)*IF($B139="Operacional",IFERROR(VLOOKUP($C139,SN_UGC,28,0),0),1)</f>
        <v>0</v>
      </c>
      <c r="GC139" s="140">
        <f>SUM($D139:AB139)*IF($B139="Operacional",IFERROR(VLOOKUP($C139,SN_UGC,28,0),0),1)</f>
        <v>0</v>
      </c>
      <c r="GD139" s="140">
        <f>SUM($D139:AC139)*IF($B139="Operacional",IFERROR(VLOOKUP($C139,SN_UGC,28,0),0),1)</f>
        <v>0</v>
      </c>
      <c r="GE139" s="140">
        <f>SUM($D139:AD139)*IF($B139="Operacional",IFERROR(VLOOKUP($C139,SN_UGC,28,0),0),1)</f>
        <v>0</v>
      </c>
      <c r="GF139" s="140">
        <f>SUM($D139:AE139)*IF($B139="Operacional",IFERROR(VLOOKUP($C139,SN_UGC,28,0),0),1)</f>
        <v>0</v>
      </c>
      <c r="GG139" s="140">
        <f>SUM($D139:AF139)*IF($B139="Operacional",IFERROR(VLOOKUP($C139,SN_UGC,28,0),0),1)</f>
        <v>0</v>
      </c>
      <c r="GH139" s="140">
        <f>SUM($D139:AG139)*IF($B139="Operacional",IFERROR(VLOOKUP($C139,SN_UGC,28,0),0),1)</f>
        <v>0</v>
      </c>
      <c r="GI139" s="141">
        <f t="shared" ref="GI139:HL139" si="727">FE139*$AH139*$AL139</f>
        <v>0</v>
      </c>
      <c r="GJ139" s="141">
        <f t="shared" si="727"/>
        <v>0</v>
      </c>
      <c r="GK139" s="141">
        <f t="shared" si="727"/>
        <v>0</v>
      </c>
      <c r="GL139" s="141">
        <f t="shared" si="727"/>
        <v>0</v>
      </c>
      <c r="GM139" s="141">
        <f t="shared" si="727"/>
        <v>0</v>
      </c>
      <c r="GN139" s="141">
        <f t="shared" si="727"/>
        <v>0</v>
      </c>
      <c r="GO139" s="141">
        <f t="shared" si="727"/>
        <v>0</v>
      </c>
      <c r="GP139" s="141">
        <f t="shared" si="727"/>
        <v>0</v>
      </c>
      <c r="GQ139" s="141">
        <f t="shared" si="727"/>
        <v>0</v>
      </c>
      <c r="GR139" s="141">
        <f t="shared" si="727"/>
        <v>0</v>
      </c>
      <c r="GS139" s="141">
        <f t="shared" si="727"/>
        <v>0</v>
      </c>
      <c r="GT139" s="141">
        <f t="shared" si="727"/>
        <v>0</v>
      </c>
      <c r="GU139" s="141">
        <f t="shared" si="727"/>
        <v>0</v>
      </c>
      <c r="GV139" s="141">
        <f t="shared" si="727"/>
        <v>0</v>
      </c>
      <c r="GW139" s="141">
        <f t="shared" si="727"/>
        <v>0</v>
      </c>
      <c r="GX139" s="141">
        <f t="shared" si="727"/>
        <v>0</v>
      </c>
      <c r="GY139" s="141">
        <f t="shared" si="727"/>
        <v>0</v>
      </c>
      <c r="GZ139" s="141">
        <f t="shared" si="727"/>
        <v>0</v>
      </c>
      <c r="HA139" s="141">
        <f t="shared" si="727"/>
        <v>0</v>
      </c>
      <c r="HB139" s="141">
        <f t="shared" si="727"/>
        <v>0</v>
      </c>
      <c r="HC139" s="141">
        <f t="shared" si="727"/>
        <v>0</v>
      </c>
      <c r="HD139" s="141">
        <f t="shared" si="727"/>
        <v>0</v>
      </c>
      <c r="HE139" s="141">
        <f t="shared" si="727"/>
        <v>0</v>
      </c>
      <c r="HF139" s="141">
        <f t="shared" si="727"/>
        <v>0</v>
      </c>
      <c r="HG139" s="141">
        <f t="shared" si="727"/>
        <v>0</v>
      </c>
      <c r="HH139" s="141">
        <f t="shared" si="727"/>
        <v>0</v>
      </c>
      <c r="HI139" s="141">
        <f t="shared" si="727"/>
        <v>0</v>
      </c>
      <c r="HJ139" s="141">
        <f t="shared" si="727"/>
        <v>0</v>
      </c>
      <c r="HK139" s="141">
        <f t="shared" si="727"/>
        <v>0</v>
      </c>
      <c r="HL139" s="141">
        <f t="shared" si="727"/>
        <v>0</v>
      </c>
      <c r="HM139" s="142">
        <f t="shared" ref="HM139:IP139" si="728">IF(ISBLANK($A139),,FE139*($AH139-($AH139*$AJ139))/$AI139)</f>
        <v>0</v>
      </c>
      <c r="HN139" s="142">
        <f t="shared" si="728"/>
        <v>0</v>
      </c>
      <c r="HO139" s="142">
        <f t="shared" si="728"/>
        <v>0</v>
      </c>
      <c r="HP139" s="142">
        <f t="shared" si="728"/>
        <v>0</v>
      </c>
      <c r="HQ139" s="142">
        <f t="shared" si="728"/>
        <v>0</v>
      </c>
      <c r="HR139" s="142">
        <f t="shared" si="728"/>
        <v>0</v>
      </c>
      <c r="HS139" s="142">
        <f t="shared" si="728"/>
        <v>0</v>
      </c>
      <c r="HT139" s="142">
        <f t="shared" si="728"/>
        <v>0</v>
      </c>
      <c r="HU139" s="142">
        <f t="shared" si="728"/>
        <v>0</v>
      </c>
      <c r="HV139" s="142">
        <f t="shared" si="728"/>
        <v>0</v>
      </c>
      <c r="HW139" s="142">
        <f t="shared" si="728"/>
        <v>0</v>
      </c>
      <c r="HX139" s="142">
        <f t="shared" si="728"/>
        <v>0</v>
      </c>
      <c r="HY139" s="142">
        <f t="shared" si="728"/>
        <v>0</v>
      </c>
      <c r="HZ139" s="142">
        <f t="shared" si="728"/>
        <v>0</v>
      </c>
      <c r="IA139" s="142">
        <f t="shared" si="728"/>
        <v>0</v>
      </c>
      <c r="IB139" s="142">
        <f t="shared" si="728"/>
        <v>0</v>
      </c>
      <c r="IC139" s="142">
        <f t="shared" si="728"/>
        <v>0</v>
      </c>
      <c r="ID139" s="142">
        <f t="shared" si="728"/>
        <v>0</v>
      </c>
      <c r="IE139" s="142">
        <f t="shared" si="728"/>
        <v>0</v>
      </c>
      <c r="IF139" s="142">
        <f t="shared" si="728"/>
        <v>0</v>
      </c>
      <c r="IG139" s="142">
        <f t="shared" si="728"/>
        <v>0</v>
      </c>
      <c r="IH139" s="142">
        <f t="shared" si="728"/>
        <v>0</v>
      </c>
      <c r="II139" s="142">
        <f t="shared" si="728"/>
        <v>0</v>
      </c>
      <c r="IJ139" s="142">
        <f t="shared" si="728"/>
        <v>0</v>
      </c>
      <c r="IK139" s="142">
        <f t="shared" si="728"/>
        <v>0</v>
      </c>
      <c r="IL139" s="142">
        <f t="shared" si="728"/>
        <v>0</v>
      </c>
      <c r="IM139" s="142">
        <f t="shared" si="728"/>
        <v>0</v>
      </c>
      <c r="IN139" s="142">
        <f t="shared" si="728"/>
        <v>0</v>
      </c>
      <c r="IO139" s="142">
        <f t="shared" si="728"/>
        <v>0</v>
      </c>
      <c r="IP139" s="142">
        <f t="shared" si="728"/>
        <v>0</v>
      </c>
      <c r="IQ139" s="141">
        <f>IF(ISBLANK($A139),,IF($AN139="Não",0,(SUM($AO139:AO139)*$AH139)-SUM($HM139:HM139)-SUM($CW139:CW139)))</f>
        <v>0</v>
      </c>
      <c r="IR139" s="141">
        <f>IF(ISBLANK($A139),,IF($AN139="Não",0,(SUM($AO139:AP139)*$AH139)-SUM($HM139:HN139)-SUM($CW139:CX139)))</f>
        <v>0</v>
      </c>
      <c r="IS139" s="141">
        <f>IF(ISBLANK($A139),,IF($AN139="Não",0,(SUM($AO139:AQ139)*$AH139)-SUM($HM139:HO139)-SUM($CW139:CY139)))</f>
        <v>0</v>
      </c>
      <c r="IT139" s="141">
        <f>IF(ISBLANK($A139),,IF($AN139="Não",0,(SUM($AO139:AR139)*$AH139)-SUM($HM139:HP139)-SUM($CW139:CZ139)))</f>
        <v>0</v>
      </c>
      <c r="IU139" s="141">
        <f>IF(ISBLANK($A139),,IF($AN139="Não",0,(SUM($AO139:AS139)*$AH139)-SUM($HM139:HQ139)-SUM($CW139:DA139)))</f>
        <v>0</v>
      </c>
      <c r="IV139" s="141">
        <f>IF(ISBLANK($A139),,IF($AN139="Não",0,(SUM($AO139:AT139)*$AH139)-SUM($HM139:HR139)-SUM($CW139:DB139)))</f>
        <v>0</v>
      </c>
      <c r="IW139" s="141">
        <f>IF(ISBLANK($A139),,IF($AN139="Não",0,(SUM($AO139:AU139)*$AH139)-SUM($HM139:HS139)-SUM($CW139:DC139)))</f>
        <v>0</v>
      </c>
      <c r="IX139" s="141">
        <f>IF(ISBLANK($A139),,IF($AN139="Não",0,(SUM($AO139:AV139)*$AH139)-SUM($HM139:HT139)-SUM($CW139:DD139)))</f>
        <v>0</v>
      </c>
      <c r="IY139" s="141">
        <f>IF(ISBLANK($A139),,IF($AN139="Não",0,(SUM($AO139:AW139)*$AH139)-SUM($HM139:HU139)-SUM($CW139:DE139)))</f>
        <v>0</v>
      </c>
      <c r="IZ139" s="141">
        <f>IF(ISBLANK($A139),,IF($AN139="Não",0,(SUM($AO139:AX139)*$AH139)-SUM($HM139:HV139)-SUM($CW139:DF139)))</f>
        <v>0</v>
      </c>
      <c r="JA139" s="141">
        <f>IF(ISBLANK($A139),,IF($AN139="Não",0,(SUM($AO139:AY139)*$AH139)-SUM($HM139:HW139)-SUM($CW139:DG139)))</f>
        <v>0</v>
      </c>
      <c r="JB139" s="141">
        <f>IF(ISBLANK($A139),,IF($AN139="Não",0,(SUM($AO139:AZ139)*$AH139)-SUM($HM139:HX139)-SUM($CW139:DH139)))</f>
        <v>0</v>
      </c>
      <c r="JC139" s="141">
        <f>IF(ISBLANK($A139),,IF($AN139="Não",0,(SUM($AO139:BA139)*$AH139)-SUM($HM139:HY139)-SUM($CW139:DI139)))</f>
        <v>0</v>
      </c>
      <c r="JD139" s="141">
        <f>IF(ISBLANK($A139),,IF($AN139="Não",0,(SUM($AO139:BB139)*$AH139)-SUM($HM139:HZ139)-SUM($CW139:DJ139)))</f>
        <v>0</v>
      </c>
      <c r="JE139" s="141">
        <f>IF(ISBLANK($A139),,IF($AN139="Não",0,(SUM($AO139:BC139)*$AH139)-SUM($HM139:IA139)-SUM($CW139:DK139)))</f>
        <v>0</v>
      </c>
      <c r="JF139" s="141">
        <f>IF(ISBLANK($A139),,IF($AN139="Não",0,(SUM($AO139:BD139)*$AH139)-SUM($HM139:IB139)-SUM($CW139:DL139)))</f>
        <v>0</v>
      </c>
      <c r="JG139" s="141">
        <f>IF(ISBLANK($A139),,IF($AN139="Não",0,(SUM($AO139:BE139)*$AH139)-SUM($HM139:IC139)-SUM($CW139:DM139)))</f>
        <v>0</v>
      </c>
      <c r="JH139" s="141">
        <f>IF(ISBLANK($A139),,IF($AN139="Não",0,(SUM($AO139:BF139)*$AH139)-SUM($HM139:ID139)-SUM($CW139:DN139)))</f>
        <v>0</v>
      </c>
      <c r="JI139" s="141">
        <f>IF(ISBLANK($A139),,IF($AN139="Não",0,(SUM($AO139:BG139)*$AH139)-SUM($HM139:IE139)-SUM($CW139:DO139)))</f>
        <v>0</v>
      </c>
      <c r="JJ139" s="141">
        <f>IF(ISBLANK($A139),,IF($AN139="Não",0,(SUM($AO139:BH139)*$AH139)-SUM($HM139:IF139)-SUM($CW139:DP139)))</f>
        <v>0</v>
      </c>
      <c r="JK139" s="141">
        <f>IF(ISBLANK($A139),,IF($AN139="Não",0,(SUM($AO139:BI139)*$AH139)-SUM($HM139:IG139)-SUM($CW139:DQ139)))</f>
        <v>0</v>
      </c>
      <c r="JL139" s="141">
        <f>IF(ISBLANK($A139),,IF($AN139="Não",0,(SUM($AO139:BJ139)*$AH139)-SUM($HM139:IH139)-SUM($CW139:DR139)))</f>
        <v>0</v>
      </c>
      <c r="JM139" s="141">
        <f>IF(ISBLANK($A139),,IF($AN139="Não",0,(SUM($AO139:BK139)*$AH139)-SUM($HM139:II139)-SUM($CW139:DS139)))</f>
        <v>0</v>
      </c>
      <c r="JN139" s="141">
        <f>IF(ISBLANK($A139),,IF($AN139="Não",0,(SUM($AO139:BL139)*$AH139)-SUM($HM139:IJ139)-SUM($CW139:DT139)))</f>
        <v>0</v>
      </c>
      <c r="JO139" s="141">
        <f>IF(ISBLANK($A139),,IF($AN139="Não",0,(SUM($AO139:BM139)*$AH139)-SUM($HM139:IK139)-SUM($CW139:DU139)))</f>
        <v>0</v>
      </c>
      <c r="JP139" s="141">
        <f>IF(ISBLANK($A139),,IF($AN139="Não",0,(SUM($AO139:BN139)*$AH139)-SUM($HM139:IL139)-SUM($CW139:DV139)))</f>
        <v>0</v>
      </c>
      <c r="JQ139" s="141">
        <f>IF(ISBLANK($A139),,IF($AN139="Não",0,(SUM($AO139:BO139)*$AH139)-SUM($HM139:IM139)-SUM($CW139:DW139)))</f>
        <v>0</v>
      </c>
      <c r="JR139" s="141">
        <f>IF(ISBLANK($A139),,IF($AN139="Não",0,(SUM($AO139:BP139)*$AH139)-SUM($HM139:IN139)-SUM($CW139:DX139)))</f>
        <v>0</v>
      </c>
      <c r="JS139" s="141">
        <f>IF(ISBLANK($A139),,IF($AN139="Não",0,(SUM($AO139:BQ139)*$AH139)-SUM($HM139:IO139)-SUM($CW139:DY139)))</f>
        <v>0</v>
      </c>
      <c r="JT139" s="141">
        <f>IF(ISBLANK($A139),,IF($AN139="Não",0,(SUM($AO139:BR139)*$AH139)-SUM($HM139:IP139)-SUM($CW139:DZ139)))</f>
        <v>0</v>
      </c>
    </row>
    <row r="140" spans="1:280" ht="15.75" customHeight="1">
      <c r="A140" s="129"/>
      <c r="B140" s="129"/>
      <c r="C140" s="138"/>
      <c r="D140" s="139"/>
      <c r="E140" s="139"/>
      <c r="F140" s="139"/>
      <c r="G140" s="139"/>
      <c r="H140" s="139"/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607">
        <f t="shared" si="710"/>
        <v>0</v>
      </c>
      <c r="AI140" s="608">
        <f t="shared" si="711"/>
        <v>0</v>
      </c>
      <c r="AJ140" s="609">
        <f t="shared" si="712"/>
        <v>0</v>
      </c>
      <c r="AK140" s="610" t="str">
        <f t="shared" si="713"/>
        <v/>
      </c>
      <c r="AL140" s="609">
        <f t="shared" si="714"/>
        <v>0</v>
      </c>
      <c r="AM140" s="611" t="str">
        <f t="shared" si="715"/>
        <v/>
      </c>
      <c r="AN140" s="611" t="str">
        <f t="shared" si="716"/>
        <v/>
      </c>
      <c r="AO140" s="140">
        <f t="array" ref="AO140">IF(ISBLANK($A140),0,IF(OR(AO$5-$AI140&lt;=0,$AM140="Não"),D140,D140+INDEX($AO$6:$BR$176,ROW()-5,COLUMN()-40-$AI140)))*IF($B140="Operacional",IFERROR(VLOOKUP($C140,SN_UGC,28,0),0),1)</f>
        <v>0</v>
      </c>
      <c r="AP140" s="140">
        <f t="array" ref="AP140">IF(ISBLANK($A140),0,IF(OR(AP$5-$AI140&lt;=0,$AM140="Não"),E140,E140+INDEX($AO$6:$BR$176,ROW()-5,COLUMN()-40-$AI140)))*IF($B140="Operacional",IFERROR(VLOOKUP($C140,SN_UGC,28,0),0),1)</f>
        <v>0</v>
      </c>
      <c r="AQ140" s="140">
        <f t="array" ref="AQ140">IF(ISBLANK($A140),0,IF(OR(AQ$5-$AI140&lt;=0,$AM140="Não"),F140,F140+INDEX($AO$6:$BR$176,ROW()-5,COLUMN()-40-$AI140)))*IF($B140="Operacional",IFERROR(VLOOKUP($C140,SN_UGC,28,0),0),1)</f>
        <v>0</v>
      </c>
      <c r="AR140" s="140">
        <f t="array" ref="AR140">IF(ISBLANK($A140),0,IF(OR(AR$5-$AI140&lt;=0,$AM140="Não"),G140,G140+INDEX($AO$6:$BR$176,ROW()-5,COLUMN()-40-$AI140)))*IF($B140="Operacional",IFERROR(VLOOKUP($C140,SN_UGC,28,0),0),1)</f>
        <v>0</v>
      </c>
      <c r="AS140" s="140">
        <f t="array" ref="AS140">IF(ISBLANK($A140),0,IF(OR(AS$5-$AI140&lt;=0,$AM140="Não"),H140,H140+INDEX($AO$6:$BR$176,ROW()-5,COLUMN()-40-$AI140)))*IF($B140="Operacional",IFERROR(VLOOKUP($C140,SN_UGC,28,0),0),1)</f>
        <v>0</v>
      </c>
      <c r="AT140" s="140">
        <f t="array" ref="AT140">IF(ISBLANK($A140),0,IF(OR(AT$5-$AI140&lt;=0,$AM140="Não"),I140,I140+INDEX($AO$6:$BR$176,ROW()-5,COLUMN()-40-$AI140)))*IF($B140="Operacional",IFERROR(VLOOKUP($C140,SN_UGC,28,0),0),1)</f>
        <v>0</v>
      </c>
      <c r="AU140" s="140">
        <f t="array" ref="AU140">IF(ISBLANK($A140),0,IF(OR(AU$5-$AI140&lt;=0,$AM140="Não"),J140,J140+INDEX($AO$6:$BR$176,ROW()-5,COLUMN()-40-$AI140)))*IF($B140="Operacional",IFERROR(VLOOKUP($C140,SN_UGC,28,0),0),1)</f>
        <v>0</v>
      </c>
      <c r="AV140" s="140">
        <f t="array" ref="AV140">IF(ISBLANK($A140),0,IF(OR(AV$5-$AI140&lt;=0,$AM140="Não"),K140,K140+INDEX($AO$6:$BR$176,ROW()-5,COLUMN()-40-$AI140)))*IF($B140="Operacional",IFERROR(VLOOKUP($C140,SN_UGC,28,0),0),1)</f>
        <v>0</v>
      </c>
      <c r="AW140" s="140">
        <f t="array" ref="AW140">IF(ISBLANK($A140),0,IF(OR(AW$5-$AI140&lt;=0,$AM140="Não"),L140,L140+INDEX($AO$6:$BR$176,ROW()-5,COLUMN()-40-$AI140)))*IF($B140="Operacional",IFERROR(VLOOKUP($C140,SN_UGC,28,0),0),1)</f>
        <v>0</v>
      </c>
      <c r="AX140" s="140">
        <f t="array" ref="AX140">IF(ISBLANK($A140),0,IF(OR(AX$5-$AI140&lt;=0,$AM140="Não"),M140,M140+INDEX($AO$6:$BR$176,ROW()-5,COLUMN()-40-$AI140)))*IF($B140="Operacional",IFERROR(VLOOKUP($C140,SN_UGC,28,0),0),1)</f>
        <v>0</v>
      </c>
      <c r="AY140" s="140">
        <f t="array" ref="AY140">IF(ISBLANK($A140),0,IF(OR(AY$5-$AI140&lt;=0,$AM140="Não"),N140,N140+INDEX($AO$6:$BR$176,ROW()-5,COLUMN()-40-$AI140)))*IF($B140="Operacional",IFERROR(VLOOKUP($C140,SN_UGC,28,0),0),1)</f>
        <v>0</v>
      </c>
      <c r="AZ140" s="140">
        <f t="array" ref="AZ140">IF(ISBLANK($A140),0,IF(OR(AZ$5-$AI140&lt;=0,$AM140="Não"),O140,O140+INDEX($AO$6:$BR$176,ROW()-5,COLUMN()-40-$AI140)))*IF($B140="Operacional",IFERROR(VLOOKUP($C140,SN_UGC,28,0),0),1)</f>
        <v>0</v>
      </c>
      <c r="BA140" s="140">
        <f t="array" ref="BA140">IF(ISBLANK($A140),0,IF(OR(BA$5-$AI140&lt;=0,$AM140="Não"),P140,P140+INDEX($AO$6:$BR$176,ROW()-5,COLUMN()-40-$AI140)))*IF($B140="Operacional",IFERROR(VLOOKUP($C140,SN_UGC,28,0),0),1)</f>
        <v>0</v>
      </c>
      <c r="BB140" s="140">
        <f t="array" ref="BB140">IF(ISBLANK($A140),0,IF(OR(BB$5-$AI140&lt;=0,$AM140="Não"),Q140,Q140+INDEX($AO$6:$BR$176,ROW()-5,COLUMN()-40-$AI140)))*IF($B140="Operacional",IFERROR(VLOOKUP($C140,SN_UGC,28,0),0),1)</f>
        <v>0</v>
      </c>
      <c r="BC140" s="140">
        <f t="array" ref="BC140">IF(ISBLANK($A140),0,IF(OR(BC$5-$AI140&lt;=0,$AM140="Não"),R140,R140+INDEX($AO$6:$BR$176,ROW()-5,COLUMN()-40-$AI140)))*IF($B140="Operacional",IFERROR(VLOOKUP($C140,SN_UGC,28,0),0),1)</f>
        <v>0</v>
      </c>
      <c r="BD140" s="140">
        <f t="array" ref="BD140">IF(ISBLANK($A140),0,IF(OR(BD$5-$AI140&lt;=0,$AM140="Não"),S140,S140+INDEX($AO$6:$BR$176,ROW()-5,COLUMN()-40-$AI140)))*IF($B140="Operacional",IFERROR(VLOOKUP($C140,SN_UGC,28,0),0),1)</f>
        <v>0</v>
      </c>
      <c r="BE140" s="140">
        <f t="array" ref="BE140">IF(ISBLANK($A140),0,IF(OR(BE$5-$AI140&lt;=0,$AM140="Não"),T140,T140+INDEX($AO$6:$BR$176,ROW()-5,COLUMN()-40-$AI140)))*IF($B140="Operacional",IFERROR(VLOOKUP($C140,SN_UGC,28,0),0),1)</f>
        <v>0</v>
      </c>
      <c r="BF140" s="140">
        <f t="array" ref="BF140">IF(ISBLANK($A140),0,IF(OR(BF$5-$AI140&lt;=0,$AM140="Não"),U140,U140+INDEX($AO$6:$BR$176,ROW()-5,COLUMN()-40-$AI140)))*IF($B140="Operacional",IFERROR(VLOOKUP($C140,SN_UGC,28,0),0),1)</f>
        <v>0</v>
      </c>
      <c r="BG140" s="140">
        <f t="array" ref="BG140">IF(ISBLANK($A140),0,IF(OR(BG$5-$AI140&lt;=0,$AM140="Não"),V140,V140+INDEX($AO$6:$BR$176,ROW()-5,COLUMN()-40-$AI140)))*IF($B140="Operacional",IFERROR(VLOOKUP($C140,SN_UGC,28,0),0),1)</f>
        <v>0</v>
      </c>
      <c r="BH140" s="140">
        <f t="array" ref="BH140">IF(ISBLANK($A140),0,IF(OR(BH$5-$AI140&lt;=0,$AM140="Não"),W140,W140+INDEX($AO$6:$BR$176,ROW()-5,COLUMN()-40-$AI140)))*IF($B140="Operacional",IFERROR(VLOOKUP($C140,SN_UGC,28,0),0),1)</f>
        <v>0</v>
      </c>
      <c r="BI140" s="140">
        <f t="array" ref="BI140">IF(ISBLANK($A140),0,IF(OR(BI$5-$AI140&lt;=0,$AM140="Não"),X140,X140+INDEX($AO$6:$BR$176,ROW()-5,COLUMN()-40-$AI140)))*IF($B140="Operacional",IFERROR(VLOOKUP($C140,SN_UGC,28,0),0),1)</f>
        <v>0</v>
      </c>
      <c r="BJ140" s="140">
        <f t="array" ref="BJ140">IF(ISBLANK($A140),0,IF(OR(BJ$5-$AI140&lt;=0,$AM140="Não"),Y140,Y140+INDEX($AO$6:$BR$176,ROW()-5,COLUMN()-40-$AI140)))*IF($B140="Operacional",IFERROR(VLOOKUP($C140,SN_UGC,28,0),0),1)</f>
        <v>0</v>
      </c>
      <c r="BK140" s="140">
        <f t="array" ref="BK140">IF(ISBLANK($A140),0,IF(OR(BK$5-$AI140&lt;=0,$AM140="Não"),Z140,Z140+INDEX($AO$6:$BR$176,ROW()-5,COLUMN()-40-$AI140)))*IF($B140="Operacional",IFERROR(VLOOKUP($C140,SN_UGC,28,0),0),1)</f>
        <v>0</v>
      </c>
      <c r="BL140" s="140">
        <f t="array" ref="BL140">IF(ISBLANK($A140),0,IF(OR(BL$5-$AI140&lt;=0,$AM140="Não"),AA140,AA140+INDEX($AO$6:$BR$176,ROW()-5,COLUMN()-40-$AI140)))*IF($B140="Operacional",IFERROR(VLOOKUP($C140,SN_UGC,28,0),0),1)</f>
        <v>0</v>
      </c>
      <c r="BM140" s="140">
        <f t="array" ref="BM140">IF(ISBLANK($A140),0,IF(OR(BM$5-$AI140&lt;=0,$AM140="Não"),AB140,AB140+INDEX($AO$6:$BR$176,ROW()-5,COLUMN()-40-$AI140)))*IF($B140="Operacional",IFERROR(VLOOKUP($C140,SN_UGC,28,0),0),1)</f>
        <v>0</v>
      </c>
      <c r="BN140" s="140">
        <f t="array" ref="BN140">IF(ISBLANK($A140),0,IF(OR(BN$5-$AI140&lt;=0,$AM140="Não"),AC140,AC140+INDEX($AO$6:$BR$176,ROW()-5,COLUMN()-40-$AI140)))*IF($B140="Operacional",IFERROR(VLOOKUP($C140,SN_UGC,28,0),0),1)</f>
        <v>0</v>
      </c>
      <c r="BO140" s="140">
        <f t="array" ref="BO140">IF(ISBLANK($A140),0,IF(OR(BO$5-$AI140&lt;=0,$AM140="Não"),AD140,AD140+INDEX($AO$6:$BR$176,ROW()-5,COLUMN()-40-$AI140)))*IF($B140="Operacional",IFERROR(VLOOKUP($C140,SN_UGC,28,0),0),1)</f>
        <v>0</v>
      </c>
      <c r="BP140" s="140">
        <f t="array" ref="BP140">IF(ISBLANK($A140),0,IF(OR(BP$5-$AI140&lt;=0,$AM140="Não"),AE140,AE140+INDEX($AO$6:$BR$176,ROW()-5,COLUMN()-40-$AI140)))*IF($B140="Operacional",IFERROR(VLOOKUP($C140,SN_UGC,28,0),0),1)</f>
        <v>0</v>
      </c>
      <c r="BQ140" s="140">
        <f t="array" ref="BQ140">IF(ISBLANK($A140),0,IF(OR(BQ$5-$AI140&lt;=0,$AM140="Não"),AF140,AF140+INDEX($AO$6:$BR$176,ROW()-5,COLUMN()-40-$AI140)))*IF($B140="Operacional",IFERROR(VLOOKUP($C140,SN_UGC,28,0),0),1)</f>
        <v>0</v>
      </c>
      <c r="BR140" s="140">
        <f t="array" ref="BR140">IF(ISBLANK($A140),0,IF(OR(BR$5-$AI140&lt;=0,$AM140="Não"),AG140,AG140+INDEX($AO$6:$BR$176,ROW()-5,COLUMN()-40-$AI140)))*IF($B140="Operacional",IFERROR(VLOOKUP($C140,SN_UGC,28,0),0),1)</f>
        <v>0</v>
      </c>
      <c r="BS140" s="141">
        <f t="shared" ref="BS140:CV140" si="729">IF(ISBLANK($A140),0,$AH140*AO140)</f>
        <v>0</v>
      </c>
      <c r="BT140" s="141">
        <f t="shared" si="729"/>
        <v>0</v>
      </c>
      <c r="BU140" s="141">
        <f t="shared" si="729"/>
        <v>0</v>
      </c>
      <c r="BV140" s="141">
        <f t="shared" si="729"/>
        <v>0</v>
      </c>
      <c r="BW140" s="141">
        <f t="shared" si="729"/>
        <v>0</v>
      </c>
      <c r="BX140" s="141">
        <f t="shared" si="729"/>
        <v>0</v>
      </c>
      <c r="BY140" s="141">
        <f t="shared" si="729"/>
        <v>0</v>
      </c>
      <c r="BZ140" s="141">
        <f t="shared" si="729"/>
        <v>0</v>
      </c>
      <c r="CA140" s="141">
        <f t="shared" si="729"/>
        <v>0</v>
      </c>
      <c r="CB140" s="141">
        <f t="shared" si="729"/>
        <v>0</v>
      </c>
      <c r="CC140" s="141">
        <f t="shared" si="729"/>
        <v>0</v>
      </c>
      <c r="CD140" s="141">
        <f t="shared" si="729"/>
        <v>0</v>
      </c>
      <c r="CE140" s="141">
        <f t="shared" si="729"/>
        <v>0</v>
      </c>
      <c r="CF140" s="141">
        <f t="shared" si="729"/>
        <v>0</v>
      </c>
      <c r="CG140" s="141">
        <f t="shared" si="729"/>
        <v>0</v>
      </c>
      <c r="CH140" s="141">
        <f t="shared" si="729"/>
        <v>0</v>
      </c>
      <c r="CI140" s="141">
        <f t="shared" si="729"/>
        <v>0</v>
      </c>
      <c r="CJ140" s="141">
        <f t="shared" si="729"/>
        <v>0</v>
      </c>
      <c r="CK140" s="141">
        <f t="shared" si="729"/>
        <v>0</v>
      </c>
      <c r="CL140" s="141">
        <f t="shared" si="729"/>
        <v>0</v>
      </c>
      <c r="CM140" s="141">
        <f t="shared" si="729"/>
        <v>0</v>
      </c>
      <c r="CN140" s="141">
        <f t="shared" si="729"/>
        <v>0</v>
      </c>
      <c r="CO140" s="141">
        <f t="shared" si="729"/>
        <v>0</v>
      </c>
      <c r="CP140" s="141">
        <f t="shared" si="729"/>
        <v>0</v>
      </c>
      <c r="CQ140" s="141">
        <f t="shared" si="729"/>
        <v>0</v>
      </c>
      <c r="CR140" s="141">
        <f t="shared" si="729"/>
        <v>0</v>
      </c>
      <c r="CS140" s="141">
        <f t="shared" si="729"/>
        <v>0</v>
      </c>
      <c r="CT140" s="141">
        <f t="shared" si="729"/>
        <v>0</v>
      </c>
      <c r="CU140" s="141">
        <f t="shared" si="729"/>
        <v>0</v>
      </c>
      <c r="CV140" s="141">
        <f t="shared" si="729"/>
        <v>0</v>
      </c>
      <c r="CW140" s="142">
        <f t="shared" ref="CW140:DZ140" si="730">EA140*$AH140*$AJ140</f>
        <v>0</v>
      </c>
      <c r="CX140" s="142">
        <f t="shared" si="730"/>
        <v>0</v>
      </c>
      <c r="CY140" s="142">
        <f t="shared" si="730"/>
        <v>0</v>
      </c>
      <c r="CZ140" s="142">
        <f t="shared" si="730"/>
        <v>0</v>
      </c>
      <c r="DA140" s="142">
        <f t="shared" si="730"/>
        <v>0</v>
      </c>
      <c r="DB140" s="142">
        <f t="shared" si="730"/>
        <v>0</v>
      </c>
      <c r="DC140" s="142">
        <f t="shared" si="730"/>
        <v>0</v>
      </c>
      <c r="DD140" s="142">
        <f t="shared" si="730"/>
        <v>0</v>
      </c>
      <c r="DE140" s="142">
        <f t="shared" si="730"/>
        <v>0</v>
      </c>
      <c r="DF140" s="142">
        <f t="shared" si="730"/>
        <v>0</v>
      </c>
      <c r="DG140" s="142">
        <f t="shared" si="730"/>
        <v>0</v>
      </c>
      <c r="DH140" s="142">
        <f t="shared" si="730"/>
        <v>0</v>
      </c>
      <c r="DI140" s="142">
        <f t="shared" si="730"/>
        <v>0</v>
      </c>
      <c r="DJ140" s="142">
        <f t="shared" si="730"/>
        <v>0</v>
      </c>
      <c r="DK140" s="142">
        <f t="shared" si="730"/>
        <v>0</v>
      </c>
      <c r="DL140" s="142">
        <f t="shared" si="730"/>
        <v>0</v>
      </c>
      <c r="DM140" s="142">
        <f t="shared" si="730"/>
        <v>0</v>
      </c>
      <c r="DN140" s="142">
        <f t="shared" si="730"/>
        <v>0</v>
      </c>
      <c r="DO140" s="142">
        <f t="shared" si="730"/>
        <v>0</v>
      </c>
      <c r="DP140" s="142">
        <f t="shared" si="730"/>
        <v>0</v>
      </c>
      <c r="DQ140" s="142">
        <f t="shared" si="730"/>
        <v>0</v>
      </c>
      <c r="DR140" s="142">
        <f t="shared" si="730"/>
        <v>0</v>
      </c>
      <c r="DS140" s="142">
        <f t="shared" si="730"/>
        <v>0</v>
      </c>
      <c r="DT140" s="142">
        <f t="shared" si="730"/>
        <v>0</v>
      </c>
      <c r="DU140" s="142">
        <f t="shared" si="730"/>
        <v>0</v>
      </c>
      <c r="DV140" s="142">
        <f t="shared" si="730"/>
        <v>0</v>
      </c>
      <c r="DW140" s="142">
        <f t="shared" si="730"/>
        <v>0</v>
      </c>
      <c r="DX140" s="142">
        <f t="shared" si="730"/>
        <v>0</v>
      </c>
      <c r="DY140" s="142">
        <f t="shared" si="730"/>
        <v>0</v>
      </c>
      <c r="DZ140" s="142">
        <f t="shared" si="730"/>
        <v>0</v>
      </c>
      <c r="EA140" s="143">
        <f t="shared" si="670"/>
        <v>0</v>
      </c>
      <c r="EB140" s="143">
        <f t="shared" si="671"/>
        <v>0</v>
      </c>
      <c r="EC140" s="143">
        <f t="shared" si="672"/>
        <v>0</v>
      </c>
      <c r="ED140" s="143">
        <f t="shared" si="673"/>
        <v>0</v>
      </c>
      <c r="EE140" s="143">
        <f t="shared" si="674"/>
        <v>0</v>
      </c>
      <c r="EF140" s="143">
        <f t="shared" si="675"/>
        <v>0</v>
      </c>
      <c r="EG140" s="143">
        <f t="shared" si="676"/>
        <v>0</v>
      </c>
      <c r="EH140" s="143">
        <f t="shared" si="677"/>
        <v>0</v>
      </c>
      <c r="EI140" s="143">
        <f t="shared" si="678"/>
        <v>0</v>
      </c>
      <c r="EJ140" s="143">
        <f t="shared" si="679"/>
        <v>0</v>
      </c>
      <c r="EK140" s="143">
        <f t="shared" si="680"/>
        <v>0</v>
      </c>
      <c r="EL140" s="143">
        <f t="shared" si="681"/>
        <v>0</v>
      </c>
      <c r="EM140" s="143">
        <f t="shared" si="682"/>
        <v>0</v>
      </c>
      <c r="EN140" s="143">
        <f t="shared" si="683"/>
        <v>0</v>
      </c>
      <c r="EO140" s="143">
        <f t="shared" si="684"/>
        <v>0</v>
      </c>
      <c r="EP140" s="143">
        <f t="shared" si="685"/>
        <v>0</v>
      </c>
      <c r="EQ140" s="143">
        <f t="shared" si="686"/>
        <v>0</v>
      </c>
      <c r="ER140" s="143">
        <f t="shared" si="687"/>
        <v>0</v>
      </c>
      <c r="ES140" s="143">
        <f t="shared" si="688"/>
        <v>0</v>
      </c>
      <c r="ET140" s="143">
        <f t="shared" si="689"/>
        <v>0</v>
      </c>
      <c r="EU140" s="143">
        <f t="shared" si="690"/>
        <v>0</v>
      </c>
      <c r="EV140" s="143">
        <f t="shared" si="691"/>
        <v>0</v>
      </c>
      <c r="EW140" s="143">
        <f t="shared" si="692"/>
        <v>0</v>
      </c>
      <c r="EX140" s="143">
        <f t="shared" si="693"/>
        <v>0</v>
      </c>
      <c r="EY140" s="143">
        <f t="shared" si="694"/>
        <v>0</v>
      </c>
      <c r="EZ140" s="143">
        <f t="shared" si="695"/>
        <v>0</v>
      </c>
      <c r="FA140" s="143">
        <f t="shared" si="696"/>
        <v>0</v>
      </c>
      <c r="FB140" s="143">
        <f t="shared" si="697"/>
        <v>0</v>
      </c>
      <c r="FC140" s="143">
        <f t="shared" si="698"/>
        <v>0</v>
      </c>
      <c r="FD140" s="143">
        <f t="shared" si="699"/>
        <v>0</v>
      </c>
      <c r="FE140" s="140">
        <f>SUM($D140:D140)*IF($B140="Operacional",IFERROR(VLOOKUP($C140,SN_UGC,28,0),0),1)</f>
        <v>0</v>
      </c>
      <c r="FF140" s="140">
        <f>SUM($D140:E140)*IF($B140="Operacional",IFERROR(VLOOKUP($C140,SN_UGC,28,0),0),1)</f>
        <v>0</v>
      </c>
      <c r="FG140" s="140">
        <f>SUM($D140:F140)*IF($B140="Operacional",IFERROR(VLOOKUP($C140,SN_UGC,28,0),0),1)</f>
        <v>0</v>
      </c>
      <c r="FH140" s="140">
        <f>SUM($D140:G140)*IF($B140="Operacional",IFERROR(VLOOKUP($C140,SN_UGC,28,0),0),1)</f>
        <v>0</v>
      </c>
      <c r="FI140" s="140">
        <f>SUM($D140:H140)*IF($B140="Operacional",IFERROR(VLOOKUP($C140,SN_UGC,28,0),0),1)</f>
        <v>0</v>
      </c>
      <c r="FJ140" s="140">
        <f>SUM($D140:I140)*IF($B140="Operacional",IFERROR(VLOOKUP($C140,SN_UGC,28,0),0),1)</f>
        <v>0</v>
      </c>
      <c r="FK140" s="140">
        <f>SUM($D140:J140)*IF($B140="Operacional",IFERROR(VLOOKUP($C140,SN_UGC,28,0),0),1)</f>
        <v>0</v>
      </c>
      <c r="FL140" s="140">
        <f>SUM($D140:K140)*IF($B140="Operacional",IFERROR(VLOOKUP($C140,SN_UGC,28,0),0),1)</f>
        <v>0</v>
      </c>
      <c r="FM140" s="140">
        <f>SUM($D140:L140)*IF($B140="Operacional",IFERROR(VLOOKUP($C140,SN_UGC,28,0),0),1)</f>
        <v>0</v>
      </c>
      <c r="FN140" s="140">
        <f>SUM($D140:M140)*IF($B140="Operacional",IFERROR(VLOOKUP($C140,SN_UGC,28,0),0),1)</f>
        <v>0</v>
      </c>
      <c r="FO140" s="140">
        <f>SUM($D140:N140)*IF($B140="Operacional",IFERROR(VLOOKUP($C140,SN_UGC,28,0),0),1)</f>
        <v>0</v>
      </c>
      <c r="FP140" s="140">
        <f>SUM($D140:O140)*IF($B140="Operacional",IFERROR(VLOOKUP($C140,SN_UGC,28,0),0),1)</f>
        <v>0</v>
      </c>
      <c r="FQ140" s="140">
        <f>SUM($D140:P140)*IF($B140="Operacional",IFERROR(VLOOKUP($C140,SN_UGC,28,0),0),1)</f>
        <v>0</v>
      </c>
      <c r="FR140" s="140">
        <f>SUM($D140:Q140)*IF($B140="Operacional",IFERROR(VLOOKUP($C140,SN_UGC,28,0),0),1)</f>
        <v>0</v>
      </c>
      <c r="FS140" s="140">
        <f>SUM($D140:R140)*IF($B140="Operacional",IFERROR(VLOOKUP($C140,SN_UGC,28,0),0),1)</f>
        <v>0</v>
      </c>
      <c r="FT140" s="140">
        <f>SUM($D140:S140)*IF($B140="Operacional",IFERROR(VLOOKUP($C140,SN_UGC,28,0),0),1)</f>
        <v>0</v>
      </c>
      <c r="FU140" s="140">
        <f>SUM($D140:T140)*IF($B140="Operacional",IFERROR(VLOOKUP($C140,SN_UGC,28,0),0),1)</f>
        <v>0</v>
      </c>
      <c r="FV140" s="140">
        <f>SUM($D140:U140)*IF($B140="Operacional",IFERROR(VLOOKUP($C140,SN_UGC,28,0),0),1)</f>
        <v>0</v>
      </c>
      <c r="FW140" s="140">
        <f>SUM($D140:V140)*IF($B140="Operacional",IFERROR(VLOOKUP($C140,SN_UGC,28,0),0),1)</f>
        <v>0</v>
      </c>
      <c r="FX140" s="140">
        <f>SUM($D140:W140)*IF($B140="Operacional",IFERROR(VLOOKUP($C140,SN_UGC,28,0),0),1)</f>
        <v>0</v>
      </c>
      <c r="FY140" s="140">
        <f>SUM($D140:X140)*IF($B140="Operacional",IFERROR(VLOOKUP($C140,SN_UGC,28,0),0),1)</f>
        <v>0</v>
      </c>
      <c r="FZ140" s="140">
        <f>SUM($D140:Y140)*IF($B140="Operacional",IFERROR(VLOOKUP($C140,SN_UGC,28,0),0),1)</f>
        <v>0</v>
      </c>
      <c r="GA140" s="140">
        <f>SUM($D140:Z140)*IF($B140="Operacional",IFERROR(VLOOKUP($C140,SN_UGC,28,0),0),1)</f>
        <v>0</v>
      </c>
      <c r="GB140" s="140">
        <f>SUM($D140:AA140)*IF($B140="Operacional",IFERROR(VLOOKUP($C140,SN_UGC,28,0),0),1)</f>
        <v>0</v>
      </c>
      <c r="GC140" s="140">
        <f>SUM($D140:AB140)*IF($B140="Operacional",IFERROR(VLOOKUP($C140,SN_UGC,28,0),0),1)</f>
        <v>0</v>
      </c>
      <c r="GD140" s="140">
        <f>SUM($D140:AC140)*IF($B140="Operacional",IFERROR(VLOOKUP($C140,SN_UGC,28,0),0),1)</f>
        <v>0</v>
      </c>
      <c r="GE140" s="140">
        <f>SUM($D140:AD140)*IF($B140="Operacional",IFERROR(VLOOKUP($C140,SN_UGC,28,0),0),1)</f>
        <v>0</v>
      </c>
      <c r="GF140" s="140">
        <f>SUM($D140:AE140)*IF($B140="Operacional",IFERROR(VLOOKUP($C140,SN_UGC,28,0),0),1)</f>
        <v>0</v>
      </c>
      <c r="GG140" s="140">
        <f>SUM($D140:AF140)*IF($B140="Operacional",IFERROR(VLOOKUP($C140,SN_UGC,28,0),0),1)</f>
        <v>0</v>
      </c>
      <c r="GH140" s="140">
        <f>SUM($D140:AG140)*IF($B140="Operacional",IFERROR(VLOOKUP($C140,SN_UGC,28,0),0),1)</f>
        <v>0</v>
      </c>
      <c r="GI140" s="141">
        <f t="shared" ref="GI140:HL140" si="731">FE140*$AH140*$AL140</f>
        <v>0</v>
      </c>
      <c r="GJ140" s="141">
        <f t="shared" si="731"/>
        <v>0</v>
      </c>
      <c r="GK140" s="141">
        <f t="shared" si="731"/>
        <v>0</v>
      </c>
      <c r="GL140" s="141">
        <f t="shared" si="731"/>
        <v>0</v>
      </c>
      <c r="GM140" s="141">
        <f t="shared" si="731"/>
        <v>0</v>
      </c>
      <c r="GN140" s="141">
        <f t="shared" si="731"/>
        <v>0</v>
      </c>
      <c r="GO140" s="141">
        <f t="shared" si="731"/>
        <v>0</v>
      </c>
      <c r="GP140" s="141">
        <f t="shared" si="731"/>
        <v>0</v>
      </c>
      <c r="GQ140" s="141">
        <f t="shared" si="731"/>
        <v>0</v>
      </c>
      <c r="GR140" s="141">
        <f t="shared" si="731"/>
        <v>0</v>
      </c>
      <c r="GS140" s="141">
        <f t="shared" si="731"/>
        <v>0</v>
      </c>
      <c r="GT140" s="141">
        <f t="shared" si="731"/>
        <v>0</v>
      </c>
      <c r="GU140" s="141">
        <f t="shared" si="731"/>
        <v>0</v>
      </c>
      <c r="GV140" s="141">
        <f t="shared" si="731"/>
        <v>0</v>
      </c>
      <c r="GW140" s="141">
        <f t="shared" si="731"/>
        <v>0</v>
      </c>
      <c r="GX140" s="141">
        <f t="shared" si="731"/>
        <v>0</v>
      </c>
      <c r="GY140" s="141">
        <f t="shared" si="731"/>
        <v>0</v>
      </c>
      <c r="GZ140" s="141">
        <f t="shared" si="731"/>
        <v>0</v>
      </c>
      <c r="HA140" s="141">
        <f t="shared" si="731"/>
        <v>0</v>
      </c>
      <c r="HB140" s="141">
        <f t="shared" si="731"/>
        <v>0</v>
      </c>
      <c r="HC140" s="141">
        <f t="shared" si="731"/>
        <v>0</v>
      </c>
      <c r="HD140" s="141">
        <f t="shared" si="731"/>
        <v>0</v>
      </c>
      <c r="HE140" s="141">
        <f t="shared" si="731"/>
        <v>0</v>
      </c>
      <c r="HF140" s="141">
        <f t="shared" si="731"/>
        <v>0</v>
      </c>
      <c r="HG140" s="141">
        <f t="shared" si="731"/>
        <v>0</v>
      </c>
      <c r="HH140" s="141">
        <f t="shared" si="731"/>
        <v>0</v>
      </c>
      <c r="HI140" s="141">
        <f t="shared" si="731"/>
        <v>0</v>
      </c>
      <c r="HJ140" s="141">
        <f t="shared" si="731"/>
        <v>0</v>
      </c>
      <c r="HK140" s="141">
        <f t="shared" si="731"/>
        <v>0</v>
      </c>
      <c r="HL140" s="141">
        <f t="shared" si="731"/>
        <v>0</v>
      </c>
      <c r="HM140" s="142">
        <f t="shared" ref="HM140:IP140" si="732">IF(ISBLANK($A140),,FE140*($AH140-($AH140*$AJ140))/$AI140)</f>
        <v>0</v>
      </c>
      <c r="HN140" s="142">
        <f t="shared" si="732"/>
        <v>0</v>
      </c>
      <c r="HO140" s="142">
        <f t="shared" si="732"/>
        <v>0</v>
      </c>
      <c r="HP140" s="142">
        <f t="shared" si="732"/>
        <v>0</v>
      </c>
      <c r="HQ140" s="142">
        <f t="shared" si="732"/>
        <v>0</v>
      </c>
      <c r="HR140" s="142">
        <f t="shared" si="732"/>
        <v>0</v>
      </c>
      <c r="HS140" s="142">
        <f t="shared" si="732"/>
        <v>0</v>
      </c>
      <c r="HT140" s="142">
        <f t="shared" si="732"/>
        <v>0</v>
      </c>
      <c r="HU140" s="142">
        <f t="shared" si="732"/>
        <v>0</v>
      </c>
      <c r="HV140" s="142">
        <f t="shared" si="732"/>
        <v>0</v>
      </c>
      <c r="HW140" s="142">
        <f t="shared" si="732"/>
        <v>0</v>
      </c>
      <c r="HX140" s="142">
        <f t="shared" si="732"/>
        <v>0</v>
      </c>
      <c r="HY140" s="142">
        <f t="shared" si="732"/>
        <v>0</v>
      </c>
      <c r="HZ140" s="142">
        <f t="shared" si="732"/>
        <v>0</v>
      </c>
      <c r="IA140" s="142">
        <f t="shared" si="732"/>
        <v>0</v>
      </c>
      <c r="IB140" s="142">
        <f t="shared" si="732"/>
        <v>0</v>
      </c>
      <c r="IC140" s="142">
        <f t="shared" si="732"/>
        <v>0</v>
      </c>
      <c r="ID140" s="142">
        <f t="shared" si="732"/>
        <v>0</v>
      </c>
      <c r="IE140" s="142">
        <f t="shared" si="732"/>
        <v>0</v>
      </c>
      <c r="IF140" s="142">
        <f t="shared" si="732"/>
        <v>0</v>
      </c>
      <c r="IG140" s="142">
        <f t="shared" si="732"/>
        <v>0</v>
      </c>
      <c r="IH140" s="142">
        <f t="shared" si="732"/>
        <v>0</v>
      </c>
      <c r="II140" s="142">
        <f t="shared" si="732"/>
        <v>0</v>
      </c>
      <c r="IJ140" s="142">
        <f t="shared" si="732"/>
        <v>0</v>
      </c>
      <c r="IK140" s="142">
        <f t="shared" si="732"/>
        <v>0</v>
      </c>
      <c r="IL140" s="142">
        <f t="shared" si="732"/>
        <v>0</v>
      </c>
      <c r="IM140" s="142">
        <f t="shared" si="732"/>
        <v>0</v>
      </c>
      <c r="IN140" s="142">
        <f t="shared" si="732"/>
        <v>0</v>
      </c>
      <c r="IO140" s="142">
        <f t="shared" si="732"/>
        <v>0</v>
      </c>
      <c r="IP140" s="142">
        <f t="shared" si="732"/>
        <v>0</v>
      </c>
      <c r="IQ140" s="141">
        <f>IF(ISBLANK($A140),,IF($AN140="Não",0,(SUM($AO140:AO140)*$AH140)-SUM($HM140:HM140)-SUM($CW140:CW140)))</f>
        <v>0</v>
      </c>
      <c r="IR140" s="141">
        <f>IF(ISBLANK($A140),,IF($AN140="Não",0,(SUM($AO140:AP140)*$AH140)-SUM($HM140:HN140)-SUM($CW140:CX140)))</f>
        <v>0</v>
      </c>
      <c r="IS140" s="141">
        <f>IF(ISBLANK($A140),,IF($AN140="Não",0,(SUM($AO140:AQ140)*$AH140)-SUM($HM140:HO140)-SUM($CW140:CY140)))</f>
        <v>0</v>
      </c>
      <c r="IT140" s="141">
        <f>IF(ISBLANK($A140),,IF($AN140="Não",0,(SUM($AO140:AR140)*$AH140)-SUM($HM140:HP140)-SUM($CW140:CZ140)))</f>
        <v>0</v>
      </c>
      <c r="IU140" s="141">
        <f>IF(ISBLANK($A140),,IF($AN140="Não",0,(SUM($AO140:AS140)*$AH140)-SUM($HM140:HQ140)-SUM($CW140:DA140)))</f>
        <v>0</v>
      </c>
      <c r="IV140" s="141">
        <f>IF(ISBLANK($A140),,IF($AN140="Não",0,(SUM($AO140:AT140)*$AH140)-SUM($HM140:HR140)-SUM($CW140:DB140)))</f>
        <v>0</v>
      </c>
      <c r="IW140" s="141">
        <f>IF(ISBLANK($A140),,IF($AN140="Não",0,(SUM($AO140:AU140)*$AH140)-SUM($HM140:HS140)-SUM($CW140:DC140)))</f>
        <v>0</v>
      </c>
      <c r="IX140" s="141">
        <f>IF(ISBLANK($A140),,IF($AN140="Não",0,(SUM($AO140:AV140)*$AH140)-SUM($HM140:HT140)-SUM($CW140:DD140)))</f>
        <v>0</v>
      </c>
      <c r="IY140" s="141">
        <f>IF(ISBLANK($A140),,IF($AN140="Não",0,(SUM($AO140:AW140)*$AH140)-SUM($HM140:HU140)-SUM($CW140:DE140)))</f>
        <v>0</v>
      </c>
      <c r="IZ140" s="141">
        <f>IF(ISBLANK($A140),,IF($AN140="Não",0,(SUM($AO140:AX140)*$AH140)-SUM($HM140:HV140)-SUM($CW140:DF140)))</f>
        <v>0</v>
      </c>
      <c r="JA140" s="141">
        <f>IF(ISBLANK($A140),,IF($AN140="Não",0,(SUM($AO140:AY140)*$AH140)-SUM($HM140:HW140)-SUM($CW140:DG140)))</f>
        <v>0</v>
      </c>
      <c r="JB140" s="141">
        <f>IF(ISBLANK($A140),,IF($AN140="Não",0,(SUM($AO140:AZ140)*$AH140)-SUM($HM140:HX140)-SUM($CW140:DH140)))</f>
        <v>0</v>
      </c>
      <c r="JC140" s="141">
        <f>IF(ISBLANK($A140),,IF($AN140="Não",0,(SUM($AO140:BA140)*$AH140)-SUM($HM140:HY140)-SUM($CW140:DI140)))</f>
        <v>0</v>
      </c>
      <c r="JD140" s="141">
        <f>IF(ISBLANK($A140),,IF($AN140="Não",0,(SUM($AO140:BB140)*$AH140)-SUM($HM140:HZ140)-SUM($CW140:DJ140)))</f>
        <v>0</v>
      </c>
      <c r="JE140" s="141">
        <f>IF(ISBLANK($A140),,IF($AN140="Não",0,(SUM($AO140:BC140)*$AH140)-SUM($HM140:IA140)-SUM($CW140:DK140)))</f>
        <v>0</v>
      </c>
      <c r="JF140" s="141">
        <f>IF(ISBLANK($A140),,IF($AN140="Não",0,(SUM($AO140:BD140)*$AH140)-SUM($HM140:IB140)-SUM($CW140:DL140)))</f>
        <v>0</v>
      </c>
      <c r="JG140" s="141">
        <f>IF(ISBLANK($A140),,IF($AN140="Não",0,(SUM($AO140:BE140)*$AH140)-SUM($HM140:IC140)-SUM($CW140:DM140)))</f>
        <v>0</v>
      </c>
      <c r="JH140" s="141">
        <f>IF(ISBLANK($A140),,IF($AN140="Não",0,(SUM($AO140:BF140)*$AH140)-SUM($HM140:ID140)-SUM($CW140:DN140)))</f>
        <v>0</v>
      </c>
      <c r="JI140" s="141">
        <f>IF(ISBLANK($A140),,IF($AN140="Não",0,(SUM($AO140:BG140)*$AH140)-SUM($HM140:IE140)-SUM($CW140:DO140)))</f>
        <v>0</v>
      </c>
      <c r="JJ140" s="141">
        <f>IF(ISBLANK($A140),,IF($AN140="Não",0,(SUM($AO140:BH140)*$AH140)-SUM($HM140:IF140)-SUM($CW140:DP140)))</f>
        <v>0</v>
      </c>
      <c r="JK140" s="141">
        <f>IF(ISBLANK($A140),,IF($AN140="Não",0,(SUM($AO140:BI140)*$AH140)-SUM($HM140:IG140)-SUM($CW140:DQ140)))</f>
        <v>0</v>
      </c>
      <c r="JL140" s="141">
        <f>IF(ISBLANK($A140),,IF($AN140="Não",0,(SUM($AO140:BJ140)*$AH140)-SUM($HM140:IH140)-SUM($CW140:DR140)))</f>
        <v>0</v>
      </c>
      <c r="JM140" s="141">
        <f>IF(ISBLANK($A140),,IF($AN140="Não",0,(SUM($AO140:BK140)*$AH140)-SUM($HM140:II140)-SUM($CW140:DS140)))</f>
        <v>0</v>
      </c>
      <c r="JN140" s="141">
        <f>IF(ISBLANK($A140),,IF($AN140="Não",0,(SUM($AO140:BL140)*$AH140)-SUM($HM140:IJ140)-SUM($CW140:DT140)))</f>
        <v>0</v>
      </c>
      <c r="JO140" s="141">
        <f>IF(ISBLANK($A140),,IF($AN140="Não",0,(SUM($AO140:BM140)*$AH140)-SUM($HM140:IK140)-SUM($CW140:DU140)))</f>
        <v>0</v>
      </c>
      <c r="JP140" s="141">
        <f>IF(ISBLANK($A140),,IF($AN140="Não",0,(SUM($AO140:BN140)*$AH140)-SUM($HM140:IL140)-SUM($CW140:DV140)))</f>
        <v>0</v>
      </c>
      <c r="JQ140" s="141">
        <f>IF(ISBLANK($A140),,IF($AN140="Não",0,(SUM($AO140:BO140)*$AH140)-SUM($HM140:IM140)-SUM($CW140:DW140)))</f>
        <v>0</v>
      </c>
      <c r="JR140" s="141">
        <f>IF(ISBLANK($A140),,IF($AN140="Não",0,(SUM($AO140:BP140)*$AH140)-SUM($HM140:IN140)-SUM($CW140:DX140)))</f>
        <v>0</v>
      </c>
      <c r="JS140" s="141">
        <f>IF(ISBLANK($A140),,IF($AN140="Não",0,(SUM($AO140:BQ140)*$AH140)-SUM($HM140:IO140)-SUM($CW140:DY140)))</f>
        <v>0</v>
      </c>
      <c r="JT140" s="141">
        <f>IF(ISBLANK($A140),,IF($AN140="Não",0,(SUM($AO140:BR140)*$AH140)-SUM($HM140:IP140)-SUM($CW140:DZ140)))</f>
        <v>0</v>
      </c>
    </row>
    <row r="141" spans="1:280" ht="15.75" customHeight="1">
      <c r="A141" s="129"/>
      <c r="B141" s="129"/>
      <c r="C141" s="138"/>
      <c r="D141" s="139"/>
      <c r="E141" s="139"/>
      <c r="F141" s="139"/>
      <c r="G141" s="139"/>
      <c r="H141" s="139"/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607">
        <f t="shared" si="710"/>
        <v>0</v>
      </c>
      <c r="AI141" s="608">
        <f t="shared" si="711"/>
        <v>0</v>
      </c>
      <c r="AJ141" s="609">
        <f t="shared" si="712"/>
        <v>0</v>
      </c>
      <c r="AK141" s="610" t="str">
        <f t="shared" si="713"/>
        <v/>
      </c>
      <c r="AL141" s="609">
        <f t="shared" si="714"/>
        <v>0</v>
      </c>
      <c r="AM141" s="611" t="str">
        <f t="shared" si="715"/>
        <v/>
      </c>
      <c r="AN141" s="611" t="str">
        <f t="shared" si="716"/>
        <v/>
      </c>
      <c r="AO141" s="140">
        <f t="array" ref="AO141">IF(ISBLANK($A141),0,IF(OR(AO$5-$AI141&lt;=0,$AM141="Não"),D141,D141+INDEX($AO$6:$BR$176,ROW()-5,COLUMN()-40-$AI141)))*IF($B141="Operacional",IFERROR(VLOOKUP($C141,SN_UGC,28,0),0),1)</f>
        <v>0</v>
      </c>
      <c r="AP141" s="140">
        <f t="array" ref="AP141">IF(ISBLANK($A141),0,IF(OR(AP$5-$AI141&lt;=0,$AM141="Não"),E141,E141+INDEX($AO$6:$BR$176,ROW()-5,COLUMN()-40-$AI141)))*IF($B141="Operacional",IFERROR(VLOOKUP($C141,SN_UGC,28,0),0),1)</f>
        <v>0</v>
      </c>
      <c r="AQ141" s="140">
        <f t="array" ref="AQ141">IF(ISBLANK($A141),0,IF(OR(AQ$5-$AI141&lt;=0,$AM141="Não"),F141,F141+INDEX($AO$6:$BR$176,ROW()-5,COLUMN()-40-$AI141)))*IF($B141="Operacional",IFERROR(VLOOKUP($C141,SN_UGC,28,0),0),1)</f>
        <v>0</v>
      </c>
      <c r="AR141" s="140">
        <f t="array" ref="AR141">IF(ISBLANK($A141),0,IF(OR(AR$5-$AI141&lt;=0,$AM141="Não"),G141,G141+INDEX($AO$6:$BR$176,ROW()-5,COLUMN()-40-$AI141)))*IF($B141="Operacional",IFERROR(VLOOKUP($C141,SN_UGC,28,0),0),1)</f>
        <v>0</v>
      </c>
      <c r="AS141" s="140">
        <f t="array" ref="AS141">IF(ISBLANK($A141),0,IF(OR(AS$5-$AI141&lt;=0,$AM141="Não"),H141,H141+INDEX($AO$6:$BR$176,ROW()-5,COLUMN()-40-$AI141)))*IF($B141="Operacional",IFERROR(VLOOKUP($C141,SN_UGC,28,0),0),1)</f>
        <v>0</v>
      </c>
      <c r="AT141" s="140">
        <f t="array" ref="AT141">IF(ISBLANK($A141),0,IF(OR(AT$5-$AI141&lt;=0,$AM141="Não"),I141,I141+INDEX($AO$6:$BR$176,ROW()-5,COLUMN()-40-$AI141)))*IF($B141="Operacional",IFERROR(VLOOKUP($C141,SN_UGC,28,0),0),1)</f>
        <v>0</v>
      </c>
      <c r="AU141" s="140">
        <f t="array" ref="AU141">IF(ISBLANK($A141),0,IF(OR(AU$5-$AI141&lt;=0,$AM141="Não"),J141,J141+INDEX($AO$6:$BR$176,ROW()-5,COLUMN()-40-$AI141)))*IF($B141="Operacional",IFERROR(VLOOKUP($C141,SN_UGC,28,0),0),1)</f>
        <v>0</v>
      </c>
      <c r="AV141" s="140">
        <f t="array" ref="AV141">IF(ISBLANK($A141),0,IF(OR(AV$5-$AI141&lt;=0,$AM141="Não"),K141,K141+INDEX($AO$6:$BR$176,ROW()-5,COLUMN()-40-$AI141)))*IF($B141="Operacional",IFERROR(VLOOKUP($C141,SN_UGC,28,0),0),1)</f>
        <v>0</v>
      </c>
      <c r="AW141" s="140">
        <f t="array" ref="AW141">IF(ISBLANK($A141),0,IF(OR(AW$5-$AI141&lt;=0,$AM141="Não"),L141,L141+INDEX($AO$6:$BR$176,ROW()-5,COLUMN()-40-$AI141)))*IF($B141="Operacional",IFERROR(VLOOKUP($C141,SN_UGC,28,0),0),1)</f>
        <v>0</v>
      </c>
      <c r="AX141" s="140">
        <f t="array" ref="AX141">IF(ISBLANK($A141),0,IF(OR(AX$5-$AI141&lt;=0,$AM141="Não"),M141,M141+INDEX($AO$6:$BR$176,ROW()-5,COLUMN()-40-$AI141)))*IF($B141="Operacional",IFERROR(VLOOKUP($C141,SN_UGC,28,0),0),1)</f>
        <v>0</v>
      </c>
      <c r="AY141" s="140">
        <f t="array" ref="AY141">IF(ISBLANK($A141),0,IF(OR(AY$5-$AI141&lt;=0,$AM141="Não"),N141,N141+INDEX($AO$6:$BR$176,ROW()-5,COLUMN()-40-$AI141)))*IF($B141="Operacional",IFERROR(VLOOKUP($C141,SN_UGC,28,0),0),1)</f>
        <v>0</v>
      </c>
      <c r="AZ141" s="140">
        <f t="array" ref="AZ141">IF(ISBLANK($A141),0,IF(OR(AZ$5-$AI141&lt;=0,$AM141="Não"),O141,O141+INDEX($AO$6:$BR$176,ROW()-5,COLUMN()-40-$AI141)))*IF($B141="Operacional",IFERROR(VLOOKUP($C141,SN_UGC,28,0),0),1)</f>
        <v>0</v>
      </c>
      <c r="BA141" s="140">
        <f t="array" ref="BA141">IF(ISBLANK($A141),0,IF(OR(BA$5-$AI141&lt;=0,$AM141="Não"),P141,P141+INDEX($AO$6:$BR$176,ROW()-5,COLUMN()-40-$AI141)))*IF($B141="Operacional",IFERROR(VLOOKUP($C141,SN_UGC,28,0),0),1)</f>
        <v>0</v>
      </c>
      <c r="BB141" s="140">
        <f t="array" ref="BB141">IF(ISBLANK($A141),0,IF(OR(BB$5-$AI141&lt;=0,$AM141="Não"),Q141,Q141+INDEX($AO$6:$BR$176,ROW()-5,COLUMN()-40-$AI141)))*IF($B141="Operacional",IFERROR(VLOOKUP($C141,SN_UGC,28,0),0),1)</f>
        <v>0</v>
      </c>
      <c r="BC141" s="140">
        <f t="array" ref="BC141">IF(ISBLANK($A141),0,IF(OR(BC$5-$AI141&lt;=0,$AM141="Não"),R141,R141+INDEX($AO$6:$BR$176,ROW()-5,COLUMN()-40-$AI141)))*IF($B141="Operacional",IFERROR(VLOOKUP($C141,SN_UGC,28,0),0),1)</f>
        <v>0</v>
      </c>
      <c r="BD141" s="140">
        <f t="array" ref="BD141">IF(ISBLANK($A141),0,IF(OR(BD$5-$AI141&lt;=0,$AM141="Não"),S141,S141+INDEX($AO$6:$BR$176,ROW()-5,COLUMN()-40-$AI141)))*IF($B141="Operacional",IFERROR(VLOOKUP($C141,SN_UGC,28,0),0),1)</f>
        <v>0</v>
      </c>
      <c r="BE141" s="140">
        <f t="array" ref="BE141">IF(ISBLANK($A141),0,IF(OR(BE$5-$AI141&lt;=0,$AM141="Não"),T141,T141+INDEX($AO$6:$BR$176,ROW()-5,COLUMN()-40-$AI141)))*IF($B141="Operacional",IFERROR(VLOOKUP($C141,SN_UGC,28,0),0),1)</f>
        <v>0</v>
      </c>
      <c r="BF141" s="140">
        <f t="array" ref="BF141">IF(ISBLANK($A141),0,IF(OR(BF$5-$AI141&lt;=0,$AM141="Não"),U141,U141+INDEX($AO$6:$BR$176,ROW()-5,COLUMN()-40-$AI141)))*IF($B141="Operacional",IFERROR(VLOOKUP($C141,SN_UGC,28,0),0),1)</f>
        <v>0</v>
      </c>
      <c r="BG141" s="140">
        <f t="array" ref="BG141">IF(ISBLANK($A141),0,IF(OR(BG$5-$AI141&lt;=0,$AM141="Não"),V141,V141+INDEX($AO$6:$BR$176,ROW()-5,COLUMN()-40-$AI141)))*IF($B141="Operacional",IFERROR(VLOOKUP($C141,SN_UGC,28,0),0),1)</f>
        <v>0</v>
      </c>
      <c r="BH141" s="140">
        <f t="array" ref="BH141">IF(ISBLANK($A141),0,IF(OR(BH$5-$AI141&lt;=0,$AM141="Não"),W141,W141+INDEX($AO$6:$BR$176,ROW()-5,COLUMN()-40-$AI141)))*IF($B141="Operacional",IFERROR(VLOOKUP($C141,SN_UGC,28,0),0),1)</f>
        <v>0</v>
      </c>
      <c r="BI141" s="140">
        <f t="array" ref="BI141">IF(ISBLANK($A141),0,IF(OR(BI$5-$AI141&lt;=0,$AM141="Não"),X141,X141+INDEX($AO$6:$BR$176,ROW()-5,COLUMN()-40-$AI141)))*IF($B141="Operacional",IFERROR(VLOOKUP($C141,SN_UGC,28,0),0),1)</f>
        <v>0</v>
      </c>
      <c r="BJ141" s="140">
        <f t="array" ref="BJ141">IF(ISBLANK($A141),0,IF(OR(BJ$5-$AI141&lt;=0,$AM141="Não"),Y141,Y141+INDEX($AO$6:$BR$176,ROW()-5,COLUMN()-40-$AI141)))*IF($B141="Operacional",IFERROR(VLOOKUP($C141,SN_UGC,28,0),0),1)</f>
        <v>0</v>
      </c>
      <c r="BK141" s="140">
        <f t="array" ref="BK141">IF(ISBLANK($A141),0,IF(OR(BK$5-$AI141&lt;=0,$AM141="Não"),Z141,Z141+INDEX($AO$6:$BR$176,ROW()-5,COLUMN()-40-$AI141)))*IF($B141="Operacional",IFERROR(VLOOKUP($C141,SN_UGC,28,0),0),1)</f>
        <v>0</v>
      </c>
      <c r="BL141" s="140">
        <f t="array" ref="BL141">IF(ISBLANK($A141),0,IF(OR(BL$5-$AI141&lt;=0,$AM141="Não"),AA141,AA141+INDEX($AO$6:$BR$176,ROW()-5,COLUMN()-40-$AI141)))*IF($B141="Operacional",IFERROR(VLOOKUP($C141,SN_UGC,28,0),0),1)</f>
        <v>0</v>
      </c>
      <c r="BM141" s="140">
        <f t="array" ref="BM141">IF(ISBLANK($A141),0,IF(OR(BM$5-$AI141&lt;=0,$AM141="Não"),AB141,AB141+INDEX($AO$6:$BR$176,ROW()-5,COLUMN()-40-$AI141)))*IF($B141="Operacional",IFERROR(VLOOKUP($C141,SN_UGC,28,0),0),1)</f>
        <v>0</v>
      </c>
      <c r="BN141" s="140">
        <f t="array" ref="BN141">IF(ISBLANK($A141),0,IF(OR(BN$5-$AI141&lt;=0,$AM141="Não"),AC141,AC141+INDEX($AO$6:$BR$176,ROW()-5,COLUMN()-40-$AI141)))*IF($B141="Operacional",IFERROR(VLOOKUP($C141,SN_UGC,28,0),0),1)</f>
        <v>0</v>
      </c>
      <c r="BO141" s="140">
        <f t="array" ref="BO141">IF(ISBLANK($A141),0,IF(OR(BO$5-$AI141&lt;=0,$AM141="Não"),AD141,AD141+INDEX($AO$6:$BR$176,ROW()-5,COLUMN()-40-$AI141)))*IF($B141="Operacional",IFERROR(VLOOKUP($C141,SN_UGC,28,0),0),1)</f>
        <v>0</v>
      </c>
      <c r="BP141" s="140">
        <f t="array" ref="BP141">IF(ISBLANK($A141),0,IF(OR(BP$5-$AI141&lt;=0,$AM141="Não"),AE141,AE141+INDEX($AO$6:$BR$176,ROW()-5,COLUMN()-40-$AI141)))*IF($B141="Operacional",IFERROR(VLOOKUP($C141,SN_UGC,28,0),0),1)</f>
        <v>0</v>
      </c>
      <c r="BQ141" s="140">
        <f t="array" ref="BQ141">IF(ISBLANK($A141),0,IF(OR(BQ$5-$AI141&lt;=0,$AM141="Não"),AF141,AF141+INDEX($AO$6:$BR$176,ROW()-5,COLUMN()-40-$AI141)))*IF($B141="Operacional",IFERROR(VLOOKUP($C141,SN_UGC,28,0),0),1)</f>
        <v>0</v>
      </c>
      <c r="BR141" s="140">
        <f t="array" ref="BR141">IF(ISBLANK($A141),0,IF(OR(BR$5-$AI141&lt;=0,$AM141="Não"),AG141,AG141+INDEX($AO$6:$BR$176,ROW()-5,COLUMN()-40-$AI141)))*IF($B141="Operacional",IFERROR(VLOOKUP($C141,SN_UGC,28,0),0),1)</f>
        <v>0</v>
      </c>
      <c r="BS141" s="141">
        <f t="shared" ref="BS141:CV141" si="733">IF(ISBLANK($A141),0,$AH141*AO141)</f>
        <v>0</v>
      </c>
      <c r="BT141" s="141">
        <f t="shared" si="733"/>
        <v>0</v>
      </c>
      <c r="BU141" s="141">
        <f t="shared" si="733"/>
        <v>0</v>
      </c>
      <c r="BV141" s="141">
        <f t="shared" si="733"/>
        <v>0</v>
      </c>
      <c r="BW141" s="141">
        <f t="shared" si="733"/>
        <v>0</v>
      </c>
      <c r="BX141" s="141">
        <f t="shared" si="733"/>
        <v>0</v>
      </c>
      <c r="BY141" s="141">
        <f t="shared" si="733"/>
        <v>0</v>
      </c>
      <c r="BZ141" s="141">
        <f t="shared" si="733"/>
        <v>0</v>
      </c>
      <c r="CA141" s="141">
        <f t="shared" si="733"/>
        <v>0</v>
      </c>
      <c r="CB141" s="141">
        <f t="shared" si="733"/>
        <v>0</v>
      </c>
      <c r="CC141" s="141">
        <f t="shared" si="733"/>
        <v>0</v>
      </c>
      <c r="CD141" s="141">
        <f t="shared" si="733"/>
        <v>0</v>
      </c>
      <c r="CE141" s="141">
        <f t="shared" si="733"/>
        <v>0</v>
      </c>
      <c r="CF141" s="141">
        <f t="shared" si="733"/>
        <v>0</v>
      </c>
      <c r="CG141" s="141">
        <f t="shared" si="733"/>
        <v>0</v>
      </c>
      <c r="CH141" s="141">
        <f t="shared" si="733"/>
        <v>0</v>
      </c>
      <c r="CI141" s="141">
        <f t="shared" si="733"/>
        <v>0</v>
      </c>
      <c r="CJ141" s="141">
        <f t="shared" si="733"/>
        <v>0</v>
      </c>
      <c r="CK141" s="141">
        <f t="shared" si="733"/>
        <v>0</v>
      </c>
      <c r="CL141" s="141">
        <f t="shared" si="733"/>
        <v>0</v>
      </c>
      <c r="CM141" s="141">
        <f t="shared" si="733"/>
        <v>0</v>
      </c>
      <c r="CN141" s="141">
        <f t="shared" si="733"/>
        <v>0</v>
      </c>
      <c r="CO141" s="141">
        <f t="shared" si="733"/>
        <v>0</v>
      </c>
      <c r="CP141" s="141">
        <f t="shared" si="733"/>
        <v>0</v>
      </c>
      <c r="CQ141" s="141">
        <f t="shared" si="733"/>
        <v>0</v>
      </c>
      <c r="CR141" s="141">
        <f t="shared" si="733"/>
        <v>0</v>
      </c>
      <c r="CS141" s="141">
        <f t="shared" si="733"/>
        <v>0</v>
      </c>
      <c r="CT141" s="141">
        <f t="shared" si="733"/>
        <v>0</v>
      </c>
      <c r="CU141" s="141">
        <f t="shared" si="733"/>
        <v>0</v>
      </c>
      <c r="CV141" s="141">
        <f t="shared" si="733"/>
        <v>0</v>
      </c>
      <c r="CW141" s="142">
        <f t="shared" ref="CW141:DZ141" si="734">EA141*$AH141*$AJ141</f>
        <v>0</v>
      </c>
      <c r="CX141" s="142">
        <f t="shared" si="734"/>
        <v>0</v>
      </c>
      <c r="CY141" s="142">
        <f t="shared" si="734"/>
        <v>0</v>
      </c>
      <c r="CZ141" s="142">
        <f t="shared" si="734"/>
        <v>0</v>
      </c>
      <c r="DA141" s="142">
        <f t="shared" si="734"/>
        <v>0</v>
      </c>
      <c r="DB141" s="142">
        <f t="shared" si="734"/>
        <v>0</v>
      </c>
      <c r="DC141" s="142">
        <f t="shared" si="734"/>
        <v>0</v>
      </c>
      <c r="DD141" s="142">
        <f t="shared" si="734"/>
        <v>0</v>
      </c>
      <c r="DE141" s="142">
        <f t="shared" si="734"/>
        <v>0</v>
      </c>
      <c r="DF141" s="142">
        <f t="shared" si="734"/>
        <v>0</v>
      </c>
      <c r="DG141" s="142">
        <f t="shared" si="734"/>
        <v>0</v>
      </c>
      <c r="DH141" s="142">
        <f t="shared" si="734"/>
        <v>0</v>
      </c>
      <c r="DI141" s="142">
        <f t="shared" si="734"/>
        <v>0</v>
      </c>
      <c r="DJ141" s="142">
        <f t="shared" si="734"/>
        <v>0</v>
      </c>
      <c r="DK141" s="142">
        <f t="shared" si="734"/>
        <v>0</v>
      </c>
      <c r="DL141" s="142">
        <f t="shared" si="734"/>
        <v>0</v>
      </c>
      <c r="DM141" s="142">
        <f t="shared" si="734"/>
        <v>0</v>
      </c>
      <c r="DN141" s="142">
        <f t="shared" si="734"/>
        <v>0</v>
      </c>
      <c r="DO141" s="142">
        <f t="shared" si="734"/>
        <v>0</v>
      </c>
      <c r="DP141" s="142">
        <f t="shared" si="734"/>
        <v>0</v>
      </c>
      <c r="DQ141" s="142">
        <f t="shared" si="734"/>
        <v>0</v>
      </c>
      <c r="DR141" s="142">
        <f t="shared" si="734"/>
        <v>0</v>
      </c>
      <c r="DS141" s="142">
        <f t="shared" si="734"/>
        <v>0</v>
      </c>
      <c r="DT141" s="142">
        <f t="shared" si="734"/>
        <v>0</v>
      </c>
      <c r="DU141" s="142">
        <f t="shared" si="734"/>
        <v>0</v>
      </c>
      <c r="DV141" s="142">
        <f t="shared" si="734"/>
        <v>0</v>
      </c>
      <c r="DW141" s="142">
        <f t="shared" si="734"/>
        <v>0</v>
      </c>
      <c r="DX141" s="142">
        <f t="shared" si="734"/>
        <v>0</v>
      </c>
      <c r="DY141" s="142">
        <f t="shared" si="734"/>
        <v>0</v>
      </c>
      <c r="DZ141" s="142">
        <f t="shared" si="734"/>
        <v>0</v>
      </c>
      <c r="EA141" s="143">
        <f t="shared" si="670"/>
        <v>0</v>
      </c>
      <c r="EB141" s="143">
        <f t="shared" si="671"/>
        <v>0</v>
      </c>
      <c r="EC141" s="143">
        <f t="shared" si="672"/>
        <v>0</v>
      </c>
      <c r="ED141" s="143">
        <f t="shared" si="673"/>
        <v>0</v>
      </c>
      <c r="EE141" s="143">
        <f t="shared" si="674"/>
        <v>0</v>
      </c>
      <c r="EF141" s="143">
        <f t="shared" si="675"/>
        <v>0</v>
      </c>
      <c r="EG141" s="143">
        <f t="shared" si="676"/>
        <v>0</v>
      </c>
      <c r="EH141" s="143">
        <f t="shared" si="677"/>
        <v>0</v>
      </c>
      <c r="EI141" s="143">
        <f t="shared" si="678"/>
        <v>0</v>
      </c>
      <c r="EJ141" s="143">
        <f t="shared" si="679"/>
        <v>0</v>
      </c>
      <c r="EK141" s="143">
        <f t="shared" si="680"/>
        <v>0</v>
      </c>
      <c r="EL141" s="143">
        <f t="shared" si="681"/>
        <v>0</v>
      </c>
      <c r="EM141" s="143">
        <f t="shared" si="682"/>
        <v>0</v>
      </c>
      <c r="EN141" s="143">
        <f t="shared" si="683"/>
        <v>0</v>
      </c>
      <c r="EO141" s="143">
        <f t="shared" si="684"/>
        <v>0</v>
      </c>
      <c r="EP141" s="143">
        <f t="shared" si="685"/>
        <v>0</v>
      </c>
      <c r="EQ141" s="143">
        <f t="shared" si="686"/>
        <v>0</v>
      </c>
      <c r="ER141" s="143">
        <f t="shared" si="687"/>
        <v>0</v>
      </c>
      <c r="ES141" s="143">
        <f t="shared" si="688"/>
        <v>0</v>
      </c>
      <c r="ET141" s="143">
        <f t="shared" si="689"/>
        <v>0</v>
      </c>
      <c r="EU141" s="143">
        <f t="shared" si="690"/>
        <v>0</v>
      </c>
      <c r="EV141" s="143">
        <f t="shared" si="691"/>
        <v>0</v>
      </c>
      <c r="EW141" s="143">
        <f t="shared" si="692"/>
        <v>0</v>
      </c>
      <c r="EX141" s="143">
        <f t="shared" si="693"/>
        <v>0</v>
      </c>
      <c r="EY141" s="143">
        <f t="shared" si="694"/>
        <v>0</v>
      </c>
      <c r="EZ141" s="143">
        <f t="shared" si="695"/>
        <v>0</v>
      </c>
      <c r="FA141" s="143">
        <f t="shared" si="696"/>
        <v>0</v>
      </c>
      <c r="FB141" s="143">
        <f t="shared" si="697"/>
        <v>0</v>
      </c>
      <c r="FC141" s="143">
        <f t="shared" si="698"/>
        <v>0</v>
      </c>
      <c r="FD141" s="143">
        <f t="shared" si="699"/>
        <v>0</v>
      </c>
      <c r="FE141" s="140">
        <f>SUM($D141:D141)*IF($B141="Operacional",IFERROR(VLOOKUP($C141,SN_UGC,28,0),0),1)</f>
        <v>0</v>
      </c>
      <c r="FF141" s="140">
        <f>SUM($D141:E141)*IF($B141="Operacional",IFERROR(VLOOKUP($C141,SN_UGC,28,0),0),1)</f>
        <v>0</v>
      </c>
      <c r="FG141" s="140">
        <f>SUM($D141:F141)*IF($B141="Operacional",IFERROR(VLOOKUP($C141,SN_UGC,28,0),0),1)</f>
        <v>0</v>
      </c>
      <c r="FH141" s="140">
        <f>SUM($D141:G141)*IF($B141="Operacional",IFERROR(VLOOKUP($C141,SN_UGC,28,0),0),1)</f>
        <v>0</v>
      </c>
      <c r="FI141" s="140">
        <f>SUM($D141:H141)*IF($B141="Operacional",IFERROR(VLOOKUP($C141,SN_UGC,28,0),0),1)</f>
        <v>0</v>
      </c>
      <c r="FJ141" s="140">
        <f>SUM($D141:I141)*IF($B141="Operacional",IFERROR(VLOOKUP($C141,SN_UGC,28,0),0),1)</f>
        <v>0</v>
      </c>
      <c r="FK141" s="140">
        <f>SUM($D141:J141)*IF($B141="Operacional",IFERROR(VLOOKUP($C141,SN_UGC,28,0),0),1)</f>
        <v>0</v>
      </c>
      <c r="FL141" s="140">
        <f>SUM($D141:K141)*IF($B141="Operacional",IFERROR(VLOOKUP($C141,SN_UGC,28,0),0),1)</f>
        <v>0</v>
      </c>
      <c r="FM141" s="140">
        <f>SUM($D141:L141)*IF($B141="Operacional",IFERROR(VLOOKUP($C141,SN_UGC,28,0),0),1)</f>
        <v>0</v>
      </c>
      <c r="FN141" s="140">
        <f>SUM($D141:M141)*IF($B141="Operacional",IFERROR(VLOOKUP($C141,SN_UGC,28,0),0),1)</f>
        <v>0</v>
      </c>
      <c r="FO141" s="140">
        <f>SUM($D141:N141)*IF($B141="Operacional",IFERROR(VLOOKUP($C141,SN_UGC,28,0),0),1)</f>
        <v>0</v>
      </c>
      <c r="FP141" s="140">
        <f>SUM($D141:O141)*IF($B141="Operacional",IFERROR(VLOOKUP($C141,SN_UGC,28,0),0),1)</f>
        <v>0</v>
      </c>
      <c r="FQ141" s="140">
        <f>SUM($D141:P141)*IF($B141="Operacional",IFERROR(VLOOKUP($C141,SN_UGC,28,0),0),1)</f>
        <v>0</v>
      </c>
      <c r="FR141" s="140">
        <f>SUM($D141:Q141)*IF($B141="Operacional",IFERROR(VLOOKUP($C141,SN_UGC,28,0),0),1)</f>
        <v>0</v>
      </c>
      <c r="FS141" s="140">
        <f>SUM($D141:R141)*IF($B141="Operacional",IFERROR(VLOOKUP($C141,SN_UGC,28,0),0),1)</f>
        <v>0</v>
      </c>
      <c r="FT141" s="140">
        <f>SUM($D141:S141)*IF($B141="Operacional",IFERROR(VLOOKUP($C141,SN_UGC,28,0),0),1)</f>
        <v>0</v>
      </c>
      <c r="FU141" s="140">
        <f>SUM($D141:T141)*IF($B141="Operacional",IFERROR(VLOOKUP($C141,SN_UGC,28,0),0),1)</f>
        <v>0</v>
      </c>
      <c r="FV141" s="140">
        <f>SUM($D141:U141)*IF($B141="Operacional",IFERROR(VLOOKUP($C141,SN_UGC,28,0),0),1)</f>
        <v>0</v>
      </c>
      <c r="FW141" s="140">
        <f>SUM($D141:V141)*IF($B141="Operacional",IFERROR(VLOOKUP($C141,SN_UGC,28,0),0),1)</f>
        <v>0</v>
      </c>
      <c r="FX141" s="140">
        <f>SUM($D141:W141)*IF($B141="Operacional",IFERROR(VLOOKUP($C141,SN_UGC,28,0),0),1)</f>
        <v>0</v>
      </c>
      <c r="FY141" s="140">
        <f>SUM($D141:X141)*IF($B141="Operacional",IFERROR(VLOOKUP($C141,SN_UGC,28,0),0),1)</f>
        <v>0</v>
      </c>
      <c r="FZ141" s="140">
        <f>SUM($D141:Y141)*IF($B141="Operacional",IFERROR(VLOOKUP($C141,SN_UGC,28,0),0),1)</f>
        <v>0</v>
      </c>
      <c r="GA141" s="140">
        <f>SUM($D141:Z141)*IF($B141="Operacional",IFERROR(VLOOKUP($C141,SN_UGC,28,0),0),1)</f>
        <v>0</v>
      </c>
      <c r="GB141" s="140">
        <f>SUM($D141:AA141)*IF($B141="Operacional",IFERROR(VLOOKUP($C141,SN_UGC,28,0),0),1)</f>
        <v>0</v>
      </c>
      <c r="GC141" s="140">
        <f>SUM($D141:AB141)*IF($B141="Operacional",IFERROR(VLOOKUP($C141,SN_UGC,28,0),0),1)</f>
        <v>0</v>
      </c>
      <c r="GD141" s="140">
        <f>SUM($D141:AC141)*IF($B141="Operacional",IFERROR(VLOOKUP($C141,SN_UGC,28,0),0),1)</f>
        <v>0</v>
      </c>
      <c r="GE141" s="140">
        <f>SUM($D141:AD141)*IF($B141="Operacional",IFERROR(VLOOKUP($C141,SN_UGC,28,0),0),1)</f>
        <v>0</v>
      </c>
      <c r="GF141" s="140">
        <f>SUM($D141:AE141)*IF($B141="Operacional",IFERROR(VLOOKUP($C141,SN_UGC,28,0),0),1)</f>
        <v>0</v>
      </c>
      <c r="GG141" s="140">
        <f>SUM($D141:AF141)*IF($B141="Operacional",IFERROR(VLOOKUP($C141,SN_UGC,28,0),0),1)</f>
        <v>0</v>
      </c>
      <c r="GH141" s="140">
        <f>SUM($D141:AG141)*IF($B141="Operacional",IFERROR(VLOOKUP($C141,SN_UGC,28,0),0),1)</f>
        <v>0</v>
      </c>
      <c r="GI141" s="141">
        <f t="shared" ref="GI141:HL141" si="735">FE141*$AH141*$AL141</f>
        <v>0</v>
      </c>
      <c r="GJ141" s="141">
        <f t="shared" si="735"/>
        <v>0</v>
      </c>
      <c r="GK141" s="141">
        <f t="shared" si="735"/>
        <v>0</v>
      </c>
      <c r="GL141" s="141">
        <f t="shared" si="735"/>
        <v>0</v>
      </c>
      <c r="GM141" s="141">
        <f t="shared" si="735"/>
        <v>0</v>
      </c>
      <c r="GN141" s="141">
        <f t="shared" si="735"/>
        <v>0</v>
      </c>
      <c r="GO141" s="141">
        <f t="shared" si="735"/>
        <v>0</v>
      </c>
      <c r="GP141" s="141">
        <f t="shared" si="735"/>
        <v>0</v>
      </c>
      <c r="GQ141" s="141">
        <f t="shared" si="735"/>
        <v>0</v>
      </c>
      <c r="GR141" s="141">
        <f t="shared" si="735"/>
        <v>0</v>
      </c>
      <c r="GS141" s="141">
        <f t="shared" si="735"/>
        <v>0</v>
      </c>
      <c r="GT141" s="141">
        <f t="shared" si="735"/>
        <v>0</v>
      </c>
      <c r="GU141" s="141">
        <f t="shared" si="735"/>
        <v>0</v>
      </c>
      <c r="GV141" s="141">
        <f t="shared" si="735"/>
        <v>0</v>
      </c>
      <c r="GW141" s="141">
        <f t="shared" si="735"/>
        <v>0</v>
      </c>
      <c r="GX141" s="141">
        <f t="shared" si="735"/>
        <v>0</v>
      </c>
      <c r="GY141" s="141">
        <f t="shared" si="735"/>
        <v>0</v>
      </c>
      <c r="GZ141" s="141">
        <f t="shared" si="735"/>
        <v>0</v>
      </c>
      <c r="HA141" s="141">
        <f t="shared" si="735"/>
        <v>0</v>
      </c>
      <c r="HB141" s="141">
        <f t="shared" si="735"/>
        <v>0</v>
      </c>
      <c r="HC141" s="141">
        <f t="shared" si="735"/>
        <v>0</v>
      </c>
      <c r="HD141" s="141">
        <f t="shared" si="735"/>
        <v>0</v>
      </c>
      <c r="HE141" s="141">
        <f t="shared" si="735"/>
        <v>0</v>
      </c>
      <c r="HF141" s="141">
        <f t="shared" si="735"/>
        <v>0</v>
      </c>
      <c r="HG141" s="141">
        <f t="shared" si="735"/>
        <v>0</v>
      </c>
      <c r="HH141" s="141">
        <f t="shared" si="735"/>
        <v>0</v>
      </c>
      <c r="HI141" s="141">
        <f t="shared" si="735"/>
        <v>0</v>
      </c>
      <c r="HJ141" s="141">
        <f t="shared" si="735"/>
        <v>0</v>
      </c>
      <c r="HK141" s="141">
        <f t="shared" si="735"/>
        <v>0</v>
      </c>
      <c r="HL141" s="141">
        <f t="shared" si="735"/>
        <v>0</v>
      </c>
      <c r="HM141" s="142">
        <f t="shared" ref="HM141:IP141" si="736">IF(ISBLANK($A141),,FE141*($AH141-($AH141*$AJ141))/$AI141)</f>
        <v>0</v>
      </c>
      <c r="HN141" s="142">
        <f t="shared" si="736"/>
        <v>0</v>
      </c>
      <c r="HO141" s="142">
        <f t="shared" si="736"/>
        <v>0</v>
      </c>
      <c r="HP141" s="142">
        <f t="shared" si="736"/>
        <v>0</v>
      </c>
      <c r="HQ141" s="142">
        <f t="shared" si="736"/>
        <v>0</v>
      </c>
      <c r="HR141" s="142">
        <f t="shared" si="736"/>
        <v>0</v>
      </c>
      <c r="HS141" s="142">
        <f t="shared" si="736"/>
        <v>0</v>
      </c>
      <c r="HT141" s="142">
        <f t="shared" si="736"/>
        <v>0</v>
      </c>
      <c r="HU141" s="142">
        <f t="shared" si="736"/>
        <v>0</v>
      </c>
      <c r="HV141" s="142">
        <f t="shared" si="736"/>
        <v>0</v>
      </c>
      <c r="HW141" s="142">
        <f t="shared" si="736"/>
        <v>0</v>
      </c>
      <c r="HX141" s="142">
        <f t="shared" si="736"/>
        <v>0</v>
      </c>
      <c r="HY141" s="142">
        <f t="shared" si="736"/>
        <v>0</v>
      </c>
      <c r="HZ141" s="142">
        <f t="shared" si="736"/>
        <v>0</v>
      </c>
      <c r="IA141" s="142">
        <f t="shared" si="736"/>
        <v>0</v>
      </c>
      <c r="IB141" s="142">
        <f t="shared" si="736"/>
        <v>0</v>
      </c>
      <c r="IC141" s="142">
        <f t="shared" si="736"/>
        <v>0</v>
      </c>
      <c r="ID141" s="142">
        <f t="shared" si="736"/>
        <v>0</v>
      </c>
      <c r="IE141" s="142">
        <f t="shared" si="736"/>
        <v>0</v>
      </c>
      <c r="IF141" s="142">
        <f t="shared" si="736"/>
        <v>0</v>
      </c>
      <c r="IG141" s="142">
        <f t="shared" si="736"/>
        <v>0</v>
      </c>
      <c r="IH141" s="142">
        <f t="shared" si="736"/>
        <v>0</v>
      </c>
      <c r="II141" s="142">
        <f t="shared" si="736"/>
        <v>0</v>
      </c>
      <c r="IJ141" s="142">
        <f t="shared" si="736"/>
        <v>0</v>
      </c>
      <c r="IK141" s="142">
        <f t="shared" si="736"/>
        <v>0</v>
      </c>
      <c r="IL141" s="142">
        <f t="shared" si="736"/>
        <v>0</v>
      </c>
      <c r="IM141" s="142">
        <f t="shared" si="736"/>
        <v>0</v>
      </c>
      <c r="IN141" s="142">
        <f t="shared" si="736"/>
        <v>0</v>
      </c>
      <c r="IO141" s="142">
        <f t="shared" si="736"/>
        <v>0</v>
      </c>
      <c r="IP141" s="142">
        <f t="shared" si="736"/>
        <v>0</v>
      </c>
      <c r="IQ141" s="141">
        <f>IF(ISBLANK($A141),,IF($AN141="Não",0,(SUM($AO141:AO141)*$AH141)-SUM($HM141:HM141)-SUM($CW141:CW141)))</f>
        <v>0</v>
      </c>
      <c r="IR141" s="141">
        <f>IF(ISBLANK($A141),,IF($AN141="Não",0,(SUM($AO141:AP141)*$AH141)-SUM($HM141:HN141)-SUM($CW141:CX141)))</f>
        <v>0</v>
      </c>
      <c r="IS141" s="141">
        <f>IF(ISBLANK($A141),,IF($AN141="Não",0,(SUM($AO141:AQ141)*$AH141)-SUM($HM141:HO141)-SUM($CW141:CY141)))</f>
        <v>0</v>
      </c>
      <c r="IT141" s="141">
        <f>IF(ISBLANK($A141),,IF($AN141="Não",0,(SUM($AO141:AR141)*$AH141)-SUM($HM141:HP141)-SUM($CW141:CZ141)))</f>
        <v>0</v>
      </c>
      <c r="IU141" s="141">
        <f>IF(ISBLANK($A141),,IF($AN141="Não",0,(SUM($AO141:AS141)*$AH141)-SUM($HM141:HQ141)-SUM($CW141:DA141)))</f>
        <v>0</v>
      </c>
      <c r="IV141" s="141">
        <f>IF(ISBLANK($A141),,IF($AN141="Não",0,(SUM($AO141:AT141)*$AH141)-SUM($HM141:HR141)-SUM($CW141:DB141)))</f>
        <v>0</v>
      </c>
      <c r="IW141" s="141">
        <f>IF(ISBLANK($A141),,IF($AN141="Não",0,(SUM($AO141:AU141)*$AH141)-SUM($HM141:HS141)-SUM($CW141:DC141)))</f>
        <v>0</v>
      </c>
      <c r="IX141" s="141">
        <f>IF(ISBLANK($A141),,IF($AN141="Não",0,(SUM($AO141:AV141)*$AH141)-SUM($HM141:HT141)-SUM($CW141:DD141)))</f>
        <v>0</v>
      </c>
      <c r="IY141" s="141">
        <f>IF(ISBLANK($A141),,IF($AN141="Não",0,(SUM($AO141:AW141)*$AH141)-SUM($HM141:HU141)-SUM($CW141:DE141)))</f>
        <v>0</v>
      </c>
      <c r="IZ141" s="141">
        <f>IF(ISBLANK($A141),,IF($AN141="Não",0,(SUM($AO141:AX141)*$AH141)-SUM($HM141:HV141)-SUM($CW141:DF141)))</f>
        <v>0</v>
      </c>
      <c r="JA141" s="141">
        <f>IF(ISBLANK($A141),,IF($AN141="Não",0,(SUM($AO141:AY141)*$AH141)-SUM($HM141:HW141)-SUM($CW141:DG141)))</f>
        <v>0</v>
      </c>
      <c r="JB141" s="141">
        <f>IF(ISBLANK($A141),,IF($AN141="Não",0,(SUM($AO141:AZ141)*$AH141)-SUM($HM141:HX141)-SUM($CW141:DH141)))</f>
        <v>0</v>
      </c>
      <c r="JC141" s="141">
        <f>IF(ISBLANK($A141),,IF($AN141="Não",0,(SUM($AO141:BA141)*$AH141)-SUM($HM141:HY141)-SUM($CW141:DI141)))</f>
        <v>0</v>
      </c>
      <c r="JD141" s="141">
        <f>IF(ISBLANK($A141),,IF($AN141="Não",0,(SUM($AO141:BB141)*$AH141)-SUM($HM141:HZ141)-SUM($CW141:DJ141)))</f>
        <v>0</v>
      </c>
      <c r="JE141" s="141">
        <f>IF(ISBLANK($A141),,IF($AN141="Não",0,(SUM($AO141:BC141)*$AH141)-SUM($HM141:IA141)-SUM($CW141:DK141)))</f>
        <v>0</v>
      </c>
      <c r="JF141" s="141">
        <f>IF(ISBLANK($A141),,IF($AN141="Não",0,(SUM($AO141:BD141)*$AH141)-SUM($HM141:IB141)-SUM($CW141:DL141)))</f>
        <v>0</v>
      </c>
      <c r="JG141" s="141">
        <f>IF(ISBLANK($A141),,IF($AN141="Não",0,(SUM($AO141:BE141)*$AH141)-SUM($HM141:IC141)-SUM($CW141:DM141)))</f>
        <v>0</v>
      </c>
      <c r="JH141" s="141">
        <f>IF(ISBLANK($A141),,IF($AN141="Não",0,(SUM($AO141:BF141)*$AH141)-SUM($HM141:ID141)-SUM($CW141:DN141)))</f>
        <v>0</v>
      </c>
      <c r="JI141" s="141">
        <f>IF(ISBLANK($A141),,IF($AN141="Não",0,(SUM($AO141:BG141)*$AH141)-SUM($HM141:IE141)-SUM($CW141:DO141)))</f>
        <v>0</v>
      </c>
      <c r="JJ141" s="141">
        <f>IF(ISBLANK($A141),,IF($AN141="Não",0,(SUM($AO141:BH141)*$AH141)-SUM($HM141:IF141)-SUM($CW141:DP141)))</f>
        <v>0</v>
      </c>
      <c r="JK141" s="141">
        <f>IF(ISBLANK($A141),,IF($AN141="Não",0,(SUM($AO141:BI141)*$AH141)-SUM($HM141:IG141)-SUM($CW141:DQ141)))</f>
        <v>0</v>
      </c>
      <c r="JL141" s="141">
        <f>IF(ISBLANK($A141),,IF($AN141="Não",0,(SUM($AO141:BJ141)*$AH141)-SUM($HM141:IH141)-SUM($CW141:DR141)))</f>
        <v>0</v>
      </c>
      <c r="JM141" s="141">
        <f>IF(ISBLANK($A141),,IF($AN141="Não",0,(SUM($AO141:BK141)*$AH141)-SUM($HM141:II141)-SUM($CW141:DS141)))</f>
        <v>0</v>
      </c>
      <c r="JN141" s="141">
        <f>IF(ISBLANK($A141),,IF($AN141="Não",0,(SUM($AO141:BL141)*$AH141)-SUM($HM141:IJ141)-SUM($CW141:DT141)))</f>
        <v>0</v>
      </c>
      <c r="JO141" s="141">
        <f>IF(ISBLANK($A141),,IF($AN141="Não",0,(SUM($AO141:BM141)*$AH141)-SUM($HM141:IK141)-SUM($CW141:DU141)))</f>
        <v>0</v>
      </c>
      <c r="JP141" s="141">
        <f>IF(ISBLANK($A141),,IF($AN141="Não",0,(SUM($AO141:BN141)*$AH141)-SUM($HM141:IL141)-SUM($CW141:DV141)))</f>
        <v>0</v>
      </c>
      <c r="JQ141" s="141">
        <f>IF(ISBLANK($A141),,IF($AN141="Não",0,(SUM($AO141:BO141)*$AH141)-SUM($HM141:IM141)-SUM($CW141:DW141)))</f>
        <v>0</v>
      </c>
      <c r="JR141" s="141">
        <f>IF(ISBLANK($A141),,IF($AN141="Não",0,(SUM($AO141:BP141)*$AH141)-SUM($HM141:IN141)-SUM($CW141:DX141)))</f>
        <v>0</v>
      </c>
      <c r="JS141" s="141">
        <f>IF(ISBLANK($A141),,IF($AN141="Não",0,(SUM($AO141:BQ141)*$AH141)-SUM($HM141:IO141)-SUM($CW141:DY141)))</f>
        <v>0</v>
      </c>
      <c r="JT141" s="141">
        <f>IF(ISBLANK($A141),,IF($AN141="Não",0,(SUM($AO141:BR141)*$AH141)-SUM($HM141:IP141)-SUM($CW141:DZ141)))</f>
        <v>0</v>
      </c>
    </row>
    <row r="142" spans="1:280" ht="15.75" customHeight="1">
      <c r="A142" s="129"/>
      <c r="B142" s="129"/>
      <c r="C142" s="138"/>
      <c r="D142" s="139"/>
      <c r="E142" s="139"/>
      <c r="F142" s="139"/>
      <c r="G142" s="139"/>
      <c r="H142" s="139"/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607">
        <f t="shared" si="710"/>
        <v>0</v>
      </c>
      <c r="AI142" s="608">
        <f t="shared" si="711"/>
        <v>0</v>
      </c>
      <c r="AJ142" s="609">
        <f t="shared" si="712"/>
        <v>0</v>
      </c>
      <c r="AK142" s="610" t="str">
        <f t="shared" si="713"/>
        <v/>
      </c>
      <c r="AL142" s="609">
        <f t="shared" si="714"/>
        <v>0</v>
      </c>
      <c r="AM142" s="611" t="str">
        <f t="shared" si="715"/>
        <v/>
      </c>
      <c r="AN142" s="611" t="str">
        <f t="shared" si="716"/>
        <v/>
      </c>
      <c r="AO142" s="140">
        <f t="array" ref="AO142">IF(ISBLANK($A142),0,IF(OR(AO$5-$AI142&lt;=0,$AM142="Não"),D142,D142+INDEX($AO$6:$BR$176,ROW()-5,COLUMN()-40-$AI142)))*IF($B142="Operacional",IFERROR(VLOOKUP($C142,SN_UGC,28,0),0),1)</f>
        <v>0</v>
      </c>
      <c r="AP142" s="140">
        <f t="array" ref="AP142">IF(ISBLANK($A142),0,IF(OR(AP$5-$AI142&lt;=0,$AM142="Não"),E142,E142+INDEX($AO$6:$BR$176,ROW()-5,COLUMN()-40-$AI142)))*IF($B142="Operacional",IFERROR(VLOOKUP($C142,SN_UGC,28,0),0),1)</f>
        <v>0</v>
      </c>
      <c r="AQ142" s="140">
        <f t="array" ref="AQ142">IF(ISBLANK($A142),0,IF(OR(AQ$5-$AI142&lt;=0,$AM142="Não"),F142,F142+INDEX($AO$6:$BR$176,ROW()-5,COLUMN()-40-$AI142)))*IF($B142="Operacional",IFERROR(VLOOKUP($C142,SN_UGC,28,0),0),1)</f>
        <v>0</v>
      </c>
      <c r="AR142" s="140">
        <f t="array" ref="AR142">IF(ISBLANK($A142),0,IF(OR(AR$5-$AI142&lt;=0,$AM142="Não"),G142,G142+INDEX($AO$6:$BR$176,ROW()-5,COLUMN()-40-$AI142)))*IF($B142="Operacional",IFERROR(VLOOKUP($C142,SN_UGC,28,0),0),1)</f>
        <v>0</v>
      </c>
      <c r="AS142" s="140">
        <f t="array" ref="AS142">IF(ISBLANK($A142),0,IF(OR(AS$5-$AI142&lt;=0,$AM142="Não"),H142,H142+INDEX($AO$6:$BR$176,ROW()-5,COLUMN()-40-$AI142)))*IF($B142="Operacional",IFERROR(VLOOKUP($C142,SN_UGC,28,0),0),1)</f>
        <v>0</v>
      </c>
      <c r="AT142" s="140">
        <f t="array" ref="AT142">IF(ISBLANK($A142),0,IF(OR(AT$5-$AI142&lt;=0,$AM142="Não"),I142,I142+INDEX($AO$6:$BR$176,ROW()-5,COLUMN()-40-$AI142)))*IF($B142="Operacional",IFERROR(VLOOKUP($C142,SN_UGC,28,0),0),1)</f>
        <v>0</v>
      </c>
      <c r="AU142" s="140">
        <f t="array" ref="AU142">IF(ISBLANK($A142),0,IF(OR(AU$5-$AI142&lt;=0,$AM142="Não"),J142,J142+INDEX($AO$6:$BR$176,ROW()-5,COLUMN()-40-$AI142)))*IF($B142="Operacional",IFERROR(VLOOKUP($C142,SN_UGC,28,0),0),1)</f>
        <v>0</v>
      </c>
      <c r="AV142" s="140">
        <f t="array" ref="AV142">IF(ISBLANK($A142),0,IF(OR(AV$5-$AI142&lt;=0,$AM142="Não"),K142,K142+INDEX($AO$6:$BR$176,ROW()-5,COLUMN()-40-$AI142)))*IF($B142="Operacional",IFERROR(VLOOKUP($C142,SN_UGC,28,0),0),1)</f>
        <v>0</v>
      </c>
      <c r="AW142" s="140">
        <f t="array" ref="AW142">IF(ISBLANK($A142),0,IF(OR(AW$5-$AI142&lt;=0,$AM142="Não"),L142,L142+INDEX($AO$6:$BR$176,ROW()-5,COLUMN()-40-$AI142)))*IF($B142="Operacional",IFERROR(VLOOKUP($C142,SN_UGC,28,0),0),1)</f>
        <v>0</v>
      </c>
      <c r="AX142" s="140">
        <f t="array" ref="AX142">IF(ISBLANK($A142),0,IF(OR(AX$5-$AI142&lt;=0,$AM142="Não"),M142,M142+INDEX($AO$6:$BR$176,ROW()-5,COLUMN()-40-$AI142)))*IF($B142="Operacional",IFERROR(VLOOKUP($C142,SN_UGC,28,0),0),1)</f>
        <v>0</v>
      </c>
      <c r="AY142" s="140">
        <f t="array" ref="AY142">IF(ISBLANK($A142),0,IF(OR(AY$5-$AI142&lt;=0,$AM142="Não"),N142,N142+INDEX($AO$6:$BR$176,ROW()-5,COLUMN()-40-$AI142)))*IF($B142="Operacional",IFERROR(VLOOKUP($C142,SN_UGC,28,0),0),1)</f>
        <v>0</v>
      </c>
      <c r="AZ142" s="140">
        <f t="array" ref="AZ142">IF(ISBLANK($A142),0,IF(OR(AZ$5-$AI142&lt;=0,$AM142="Não"),O142,O142+INDEX($AO$6:$BR$176,ROW()-5,COLUMN()-40-$AI142)))*IF($B142="Operacional",IFERROR(VLOOKUP($C142,SN_UGC,28,0),0),1)</f>
        <v>0</v>
      </c>
      <c r="BA142" s="140">
        <f t="array" ref="BA142">IF(ISBLANK($A142),0,IF(OR(BA$5-$AI142&lt;=0,$AM142="Não"),P142,P142+INDEX($AO$6:$BR$176,ROW()-5,COLUMN()-40-$AI142)))*IF($B142="Operacional",IFERROR(VLOOKUP($C142,SN_UGC,28,0),0),1)</f>
        <v>0</v>
      </c>
      <c r="BB142" s="140">
        <f t="array" ref="BB142">IF(ISBLANK($A142),0,IF(OR(BB$5-$AI142&lt;=0,$AM142="Não"),Q142,Q142+INDEX($AO$6:$BR$176,ROW()-5,COLUMN()-40-$AI142)))*IF($B142="Operacional",IFERROR(VLOOKUP($C142,SN_UGC,28,0),0),1)</f>
        <v>0</v>
      </c>
      <c r="BC142" s="140">
        <f t="array" ref="BC142">IF(ISBLANK($A142),0,IF(OR(BC$5-$AI142&lt;=0,$AM142="Não"),R142,R142+INDEX($AO$6:$BR$176,ROW()-5,COLUMN()-40-$AI142)))*IF($B142="Operacional",IFERROR(VLOOKUP($C142,SN_UGC,28,0),0),1)</f>
        <v>0</v>
      </c>
      <c r="BD142" s="140">
        <f t="array" ref="BD142">IF(ISBLANK($A142),0,IF(OR(BD$5-$AI142&lt;=0,$AM142="Não"),S142,S142+INDEX($AO$6:$BR$176,ROW()-5,COLUMN()-40-$AI142)))*IF($B142="Operacional",IFERROR(VLOOKUP($C142,SN_UGC,28,0),0),1)</f>
        <v>0</v>
      </c>
      <c r="BE142" s="140">
        <f t="array" ref="BE142">IF(ISBLANK($A142),0,IF(OR(BE$5-$AI142&lt;=0,$AM142="Não"),T142,T142+INDEX($AO$6:$BR$176,ROW()-5,COLUMN()-40-$AI142)))*IF($B142="Operacional",IFERROR(VLOOKUP($C142,SN_UGC,28,0),0),1)</f>
        <v>0</v>
      </c>
      <c r="BF142" s="140">
        <f t="array" ref="BF142">IF(ISBLANK($A142),0,IF(OR(BF$5-$AI142&lt;=0,$AM142="Não"),U142,U142+INDEX($AO$6:$BR$176,ROW()-5,COLUMN()-40-$AI142)))*IF($B142="Operacional",IFERROR(VLOOKUP($C142,SN_UGC,28,0),0),1)</f>
        <v>0</v>
      </c>
      <c r="BG142" s="140">
        <f t="array" ref="BG142">IF(ISBLANK($A142),0,IF(OR(BG$5-$AI142&lt;=0,$AM142="Não"),V142,V142+INDEX($AO$6:$BR$176,ROW()-5,COLUMN()-40-$AI142)))*IF($B142="Operacional",IFERROR(VLOOKUP($C142,SN_UGC,28,0),0),1)</f>
        <v>0</v>
      </c>
      <c r="BH142" s="140">
        <f t="array" ref="BH142">IF(ISBLANK($A142),0,IF(OR(BH$5-$AI142&lt;=0,$AM142="Não"),W142,W142+INDEX($AO$6:$BR$176,ROW()-5,COLUMN()-40-$AI142)))*IF($B142="Operacional",IFERROR(VLOOKUP($C142,SN_UGC,28,0),0),1)</f>
        <v>0</v>
      </c>
      <c r="BI142" s="140">
        <f t="array" ref="BI142">IF(ISBLANK($A142),0,IF(OR(BI$5-$AI142&lt;=0,$AM142="Não"),X142,X142+INDEX($AO$6:$BR$176,ROW()-5,COLUMN()-40-$AI142)))*IF($B142="Operacional",IFERROR(VLOOKUP($C142,SN_UGC,28,0),0),1)</f>
        <v>0</v>
      </c>
      <c r="BJ142" s="140">
        <f t="array" ref="BJ142">IF(ISBLANK($A142),0,IF(OR(BJ$5-$AI142&lt;=0,$AM142="Não"),Y142,Y142+INDEX($AO$6:$BR$176,ROW()-5,COLUMN()-40-$AI142)))*IF($B142="Operacional",IFERROR(VLOOKUP($C142,SN_UGC,28,0),0),1)</f>
        <v>0</v>
      </c>
      <c r="BK142" s="140">
        <f t="array" ref="BK142">IF(ISBLANK($A142),0,IF(OR(BK$5-$AI142&lt;=0,$AM142="Não"),Z142,Z142+INDEX($AO$6:$BR$176,ROW()-5,COLUMN()-40-$AI142)))*IF($B142="Operacional",IFERROR(VLOOKUP($C142,SN_UGC,28,0),0),1)</f>
        <v>0</v>
      </c>
      <c r="BL142" s="140">
        <f t="array" ref="BL142">IF(ISBLANK($A142),0,IF(OR(BL$5-$AI142&lt;=0,$AM142="Não"),AA142,AA142+INDEX($AO$6:$BR$176,ROW()-5,COLUMN()-40-$AI142)))*IF($B142="Operacional",IFERROR(VLOOKUP($C142,SN_UGC,28,0),0),1)</f>
        <v>0</v>
      </c>
      <c r="BM142" s="140">
        <f t="array" ref="BM142">IF(ISBLANK($A142),0,IF(OR(BM$5-$AI142&lt;=0,$AM142="Não"),AB142,AB142+INDEX($AO$6:$BR$176,ROW()-5,COLUMN()-40-$AI142)))*IF($B142="Operacional",IFERROR(VLOOKUP($C142,SN_UGC,28,0),0),1)</f>
        <v>0</v>
      </c>
      <c r="BN142" s="140">
        <f t="array" ref="BN142">IF(ISBLANK($A142),0,IF(OR(BN$5-$AI142&lt;=0,$AM142="Não"),AC142,AC142+INDEX($AO$6:$BR$176,ROW()-5,COLUMN()-40-$AI142)))*IF($B142="Operacional",IFERROR(VLOOKUP($C142,SN_UGC,28,0),0),1)</f>
        <v>0</v>
      </c>
      <c r="BO142" s="140">
        <f t="array" ref="BO142">IF(ISBLANK($A142),0,IF(OR(BO$5-$AI142&lt;=0,$AM142="Não"),AD142,AD142+INDEX($AO$6:$BR$176,ROW()-5,COLUMN()-40-$AI142)))*IF($B142="Operacional",IFERROR(VLOOKUP($C142,SN_UGC,28,0),0),1)</f>
        <v>0</v>
      </c>
      <c r="BP142" s="140">
        <f t="array" ref="BP142">IF(ISBLANK($A142),0,IF(OR(BP$5-$AI142&lt;=0,$AM142="Não"),AE142,AE142+INDEX($AO$6:$BR$176,ROW()-5,COLUMN()-40-$AI142)))*IF($B142="Operacional",IFERROR(VLOOKUP($C142,SN_UGC,28,0),0),1)</f>
        <v>0</v>
      </c>
      <c r="BQ142" s="140">
        <f t="array" ref="BQ142">IF(ISBLANK($A142),0,IF(OR(BQ$5-$AI142&lt;=0,$AM142="Não"),AF142,AF142+INDEX($AO$6:$BR$176,ROW()-5,COLUMN()-40-$AI142)))*IF($B142="Operacional",IFERROR(VLOOKUP($C142,SN_UGC,28,0),0),1)</f>
        <v>0</v>
      </c>
      <c r="BR142" s="140">
        <f t="array" ref="BR142">IF(ISBLANK($A142),0,IF(OR(BR$5-$AI142&lt;=0,$AM142="Não"),AG142,AG142+INDEX($AO$6:$BR$176,ROW()-5,COLUMN()-40-$AI142)))*IF($B142="Operacional",IFERROR(VLOOKUP($C142,SN_UGC,28,0),0),1)</f>
        <v>0</v>
      </c>
      <c r="BS142" s="141">
        <f t="shared" ref="BS142:CV142" si="737">IF(ISBLANK($A142),0,$AH142*AO142)</f>
        <v>0</v>
      </c>
      <c r="BT142" s="141">
        <f t="shared" si="737"/>
        <v>0</v>
      </c>
      <c r="BU142" s="141">
        <f t="shared" si="737"/>
        <v>0</v>
      </c>
      <c r="BV142" s="141">
        <f t="shared" si="737"/>
        <v>0</v>
      </c>
      <c r="BW142" s="141">
        <f t="shared" si="737"/>
        <v>0</v>
      </c>
      <c r="BX142" s="141">
        <f t="shared" si="737"/>
        <v>0</v>
      </c>
      <c r="BY142" s="141">
        <f t="shared" si="737"/>
        <v>0</v>
      </c>
      <c r="BZ142" s="141">
        <f t="shared" si="737"/>
        <v>0</v>
      </c>
      <c r="CA142" s="141">
        <f t="shared" si="737"/>
        <v>0</v>
      </c>
      <c r="CB142" s="141">
        <f t="shared" si="737"/>
        <v>0</v>
      </c>
      <c r="CC142" s="141">
        <f t="shared" si="737"/>
        <v>0</v>
      </c>
      <c r="CD142" s="141">
        <f t="shared" si="737"/>
        <v>0</v>
      </c>
      <c r="CE142" s="141">
        <f t="shared" si="737"/>
        <v>0</v>
      </c>
      <c r="CF142" s="141">
        <f t="shared" si="737"/>
        <v>0</v>
      </c>
      <c r="CG142" s="141">
        <f t="shared" si="737"/>
        <v>0</v>
      </c>
      <c r="CH142" s="141">
        <f t="shared" si="737"/>
        <v>0</v>
      </c>
      <c r="CI142" s="141">
        <f t="shared" si="737"/>
        <v>0</v>
      </c>
      <c r="CJ142" s="141">
        <f t="shared" si="737"/>
        <v>0</v>
      </c>
      <c r="CK142" s="141">
        <f t="shared" si="737"/>
        <v>0</v>
      </c>
      <c r="CL142" s="141">
        <f t="shared" si="737"/>
        <v>0</v>
      </c>
      <c r="CM142" s="141">
        <f t="shared" si="737"/>
        <v>0</v>
      </c>
      <c r="CN142" s="141">
        <f t="shared" si="737"/>
        <v>0</v>
      </c>
      <c r="CO142" s="141">
        <f t="shared" si="737"/>
        <v>0</v>
      </c>
      <c r="CP142" s="141">
        <f t="shared" si="737"/>
        <v>0</v>
      </c>
      <c r="CQ142" s="141">
        <f t="shared" si="737"/>
        <v>0</v>
      </c>
      <c r="CR142" s="141">
        <f t="shared" si="737"/>
        <v>0</v>
      </c>
      <c r="CS142" s="141">
        <f t="shared" si="737"/>
        <v>0</v>
      </c>
      <c r="CT142" s="141">
        <f t="shared" si="737"/>
        <v>0</v>
      </c>
      <c r="CU142" s="141">
        <f t="shared" si="737"/>
        <v>0</v>
      </c>
      <c r="CV142" s="141">
        <f t="shared" si="737"/>
        <v>0</v>
      </c>
      <c r="CW142" s="142">
        <f t="shared" ref="CW142:DZ142" si="738">EA142*$AH142*$AJ142</f>
        <v>0</v>
      </c>
      <c r="CX142" s="142">
        <f t="shared" si="738"/>
        <v>0</v>
      </c>
      <c r="CY142" s="142">
        <f t="shared" si="738"/>
        <v>0</v>
      </c>
      <c r="CZ142" s="142">
        <f t="shared" si="738"/>
        <v>0</v>
      </c>
      <c r="DA142" s="142">
        <f t="shared" si="738"/>
        <v>0</v>
      </c>
      <c r="DB142" s="142">
        <f t="shared" si="738"/>
        <v>0</v>
      </c>
      <c r="DC142" s="142">
        <f t="shared" si="738"/>
        <v>0</v>
      </c>
      <c r="DD142" s="142">
        <f t="shared" si="738"/>
        <v>0</v>
      </c>
      <c r="DE142" s="142">
        <f t="shared" si="738"/>
        <v>0</v>
      </c>
      <c r="DF142" s="142">
        <f t="shared" si="738"/>
        <v>0</v>
      </c>
      <c r="DG142" s="142">
        <f t="shared" si="738"/>
        <v>0</v>
      </c>
      <c r="DH142" s="142">
        <f t="shared" si="738"/>
        <v>0</v>
      </c>
      <c r="DI142" s="142">
        <f t="shared" si="738"/>
        <v>0</v>
      </c>
      <c r="DJ142" s="142">
        <f t="shared" si="738"/>
        <v>0</v>
      </c>
      <c r="DK142" s="142">
        <f t="shared" si="738"/>
        <v>0</v>
      </c>
      <c r="DL142" s="142">
        <f t="shared" si="738"/>
        <v>0</v>
      </c>
      <c r="DM142" s="142">
        <f t="shared" si="738"/>
        <v>0</v>
      </c>
      <c r="DN142" s="142">
        <f t="shared" si="738"/>
        <v>0</v>
      </c>
      <c r="DO142" s="142">
        <f t="shared" si="738"/>
        <v>0</v>
      </c>
      <c r="DP142" s="142">
        <f t="shared" si="738"/>
        <v>0</v>
      </c>
      <c r="DQ142" s="142">
        <f t="shared" si="738"/>
        <v>0</v>
      </c>
      <c r="DR142" s="142">
        <f t="shared" si="738"/>
        <v>0</v>
      </c>
      <c r="DS142" s="142">
        <f t="shared" si="738"/>
        <v>0</v>
      </c>
      <c r="DT142" s="142">
        <f t="shared" si="738"/>
        <v>0</v>
      </c>
      <c r="DU142" s="142">
        <f t="shared" si="738"/>
        <v>0</v>
      </c>
      <c r="DV142" s="142">
        <f t="shared" si="738"/>
        <v>0</v>
      </c>
      <c r="DW142" s="142">
        <f t="shared" si="738"/>
        <v>0</v>
      </c>
      <c r="DX142" s="142">
        <f t="shared" si="738"/>
        <v>0</v>
      </c>
      <c r="DY142" s="142">
        <f t="shared" si="738"/>
        <v>0</v>
      </c>
      <c r="DZ142" s="142">
        <f t="shared" si="738"/>
        <v>0</v>
      </c>
      <c r="EA142" s="143">
        <f t="shared" si="670"/>
        <v>0</v>
      </c>
      <c r="EB142" s="143">
        <f t="shared" si="671"/>
        <v>0</v>
      </c>
      <c r="EC142" s="143">
        <f t="shared" si="672"/>
        <v>0</v>
      </c>
      <c r="ED142" s="143">
        <f t="shared" si="673"/>
        <v>0</v>
      </c>
      <c r="EE142" s="143">
        <f t="shared" si="674"/>
        <v>0</v>
      </c>
      <c r="EF142" s="143">
        <f t="shared" si="675"/>
        <v>0</v>
      </c>
      <c r="EG142" s="143">
        <f t="shared" si="676"/>
        <v>0</v>
      </c>
      <c r="EH142" s="143">
        <f t="shared" si="677"/>
        <v>0</v>
      </c>
      <c r="EI142" s="143">
        <f t="shared" si="678"/>
        <v>0</v>
      </c>
      <c r="EJ142" s="143">
        <f t="shared" si="679"/>
        <v>0</v>
      </c>
      <c r="EK142" s="143">
        <f t="shared" si="680"/>
        <v>0</v>
      </c>
      <c r="EL142" s="143">
        <f t="shared" si="681"/>
        <v>0</v>
      </c>
      <c r="EM142" s="143">
        <f t="shared" si="682"/>
        <v>0</v>
      </c>
      <c r="EN142" s="143">
        <f t="shared" si="683"/>
        <v>0</v>
      </c>
      <c r="EO142" s="143">
        <f t="shared" si="684"/>
        <v>0</v>
      </c>
      <c r="EP142" s="143">
        <f t="shared" si="685"/>
        <v>0</v>
      </c>
      <c r="EQ142" s="143">
        <f t="shared" si="686"/>
        <v>0</v>
      </c>
      <c r="ER142" s="143">
        <f t="shared" si="687"/>
        <v>0</v>
      </c>
      <c r="ES142" s="143">
        <f t="shared" si="688"/>
        <v>0</v>
      </c>
      <c r="ET142" s="143">
        <f t="shared" si="689"/>
        <v>0</v>
      </c>
      <c r="EU142" s="143">
        <f t="shared" si="690"/>
        <v>0</v>
      </c>
      <c r="EV142" s="143">
        <f t="shared" si="691"/>
        <v>0</v>
      </c>
      <c r="EW142" s="143">
        <f t="shared" si="692"/>
        <v>0</v>
      </c>
      <c r="EX142" s="143">
        <f t="shared" si="693"/>
        <v>0</v>
      </c>
      <c r="EY142" s="143">
        <f t="shared" si="694"/>
        <v>0</v>
      </c>
      <c r="EZ142" s="143">
        <f t="shared" si="695"/>
        <v>0</v>
      </c>
      <c r="FA142" s="143">
        <f t="shared" si="696"/>
        <v>0</v>
      </c>
      <c r="FB142" s="143">
        <f t="shared" si="697"/>
        <v>0</v>
      </c>
      <c r="FC142" s="143">
        <f t="shared" si="698"/>
        <v>0</v>
      </c>
      <c r="FD142" s="143">
        <f t="shared" si="699"/>
        <v>0</v>
      </c>
      <c r="FE142" s="140">
        <f>SUM($D142:D142)*IF($B142="Operacional",IFERROR(VLOOKUP($C142,SN_UGC,28,0),0),1)</f>
        <v>0</v>
      </c>
      <c r="FF142" s="140">
        <f>SUM($D142:E142)*IF($B142="Operacional",IFERROR(VLOOKUP($C142,SN_UGC,28,0),0),1)</f>
        <v>0</v>
      </c>
      <c r="FG142" s="140">
        <f>SUM($D142:F142)*IF($B142="Operacional",IFERROR(VLOOKUP($C142,SN_UGC,28,0),0),1)</f>
        <v>0</v>
      </c>
      <c r="FH142" s="140">
        <f>SUM($D142:G142)*IF($B142="Operacional",IFERROR(VLOOKUP($C142,SN_UGC,28,0),0),1)</f>
        <v>0</v>
      </c>
      <c r="FI142" s="140">
        <f>SUM($D142:H142)*IF($B142="Operacional",IFERROR(VLOOKUP($C142,SN_UGC,28,0),0),1)</f>
        <v>0</v>
      </c>
      <c r="FJ142" s="140">
        <f>SUM($D142:I142)*IF($B142="Operacional",IFERROR(VLOOKUP($C142,SN_UGC,28,0),0),1)</f>
        <v>0</v>
      </c>
      <c r="FK142" s="140">
        <f>SUM($D142:J142)*IF($B142="Operacional",IFERROR(VLOOKUP($C142,SN_UGC,28,0),0),1)</f>
        <v>0</v>
      </c>
      <c r="FL142" s="140">
        <f>SUM($D142:K142)*IF($B142="Operacional",IFERROR(VLOOKUP($C142,SN_UGC,28,0),0),1)</f>
        <v>0</v>
      </c>
      <c r="FM142" s="140">
        <f>SUM($D142:L142)*IF($B142="Operacional",IFERROR(VLOOKUP($C142,SN_UGC,28,0),0),1)</f>
        <v>0</v>
      </c>
      <c r="FN142" s="140">
        <f>SUM($D142:M142)*IF($B142="Operacional",IFERROR(VLOOKUP($C142,SN_UGC,28,0),0),1)</f>
        <v>0</v>
      </c>
      <c r="FO142" s="140">
        <f>SUM($D142:N142)*IF($B142="Operacional",IFERROR(VLOOKUP($C142,SN_UGC,28,0),0),1)</f>
        <v>0</v>
      </c>
      <c r="FP142" s="140">
        <f>SUM($D142:O142)*IF($B142="Operacional",IFERROR(VLOOKUP($C142,SN_UGC,28,0),0),1)</f>
        <v>0</v>
      </c>
      <c r="FQ142" s="140">
        <f>SUM($D142:P142)*IF($B142="Operacional",IFERROR(VLOOKUP($C142,SN_UGC,28,0),0),1)</f>
        <v>0</v>
      </c>
      <c r="FR142" s="140">
        <f>SUM($D142:Q142)*IF($B142="Operacional",IFERROR(VLOOKUP($C142,SN_UGC,28,0),0),1)</f>
        <v>0</v>
      </c>
      <c r="FS142" s="140">
        <f>SUM($D142:R142)*IF($B142="Operacional",IFERROR(VLOOKUP($C142,SN_UGC,28,0),0),1)</f>
        <v>0</v>
      </c>
      <c r="FT142" s="140">
        <f>SUM($D142:S142)*IF($B142="Operacional",IFERROR(VLOOKUP($C142,SN_UGC,28,0),0),1)</f>
        <v>0</v>
      </c>
      <c r="FU142" s="140">
        <f>SUM($D142:T142)*IF($B142="Operacional",IFERROR(VLOOKUP($C142,SN_UGC,28,0),0),1)</f>
        <v>0</v>
      </c>
      <c r="FV142" s="140">
        <f>SUM($D142:U142)*IF($B142="Operacional",IFERROR(VLOOKUP($C142,SN_UGC,28,0),0),1)</f>
        <v>0</v>
      </c>
      <c r="FW142" s="140">
        <f>SUM($D142:V142)*IF($B142="Operacional",IFERROR(VLOOKUP($C142,SN_UGC,28,0),0),1)</f>
        <v>0</v>
      </c>
      <c r="FX142" s="140">
        <f>SUM($D142:W142)*IF($B142="Operacional",IFERROR(VLOOKUP($C142,SN_UGC,28,0),0),1)</f>
        <v>0</v>
      </c>
      <c r="FY142" s="140">
        <f>SUM($D142:X142)*IF($B142="Operacional",IFERROR(VLOOKUP($C142,SN_UGC,28,0),0),1)</f>
        <v>0</v>
      </c>
      <c r="FZ142" s="140">
        <f>SUM($D142:Y142)*IF($B142="Operacional",IFERROR(VLOOKUP($C142,SN_UGC,28,0),0),1)</f>
        <v>0</v>
      </c>
      <c r="GA142" s="140">
        <f>SUM($D142:Z142)*IF($B142="Operacional",IFERROR(VLOOKUP($C142,SN_UGC,28,0),0),1)</f>
        <v>0</v>
      </c>
      <c r="GB142" s="140">
        <f>SUM($D142:AA142)*IF($B142="Operacional",IFERROR(VLOOKUP($C142,SN_UGC,28,0),0),1)</f>
        <v>0</v>
      </c>
      <c r="GC142" s="140">
        <f>SUM($D142:AB142)*IF($B142="Operacional",IFERROR(VLOOKUP($C142,SN_UGC,28,0),0),1)</f>
        <v>0</v>
      </c>
      <c r="GD142" s="140">
        <f>SUM($D142:AC142)*IF($B142="Operacional",IFERROR(VLOOKUP($C142,SN_UGC,28,0),0),1)</f>
        <v>0</v>
      </c>
      <c r="GE142" s="140">
        <f>SUM($D142:AD142)*IF($B142="Operacional",IFERROR(VLOOKUP($C142,SN_UGC,28,0),0),1)</f>
        <v>0</v>
      </c>
      <c r="GF142" s="140">
        <f>SUM($D142:AE142)*IF($B142="Operacional",IFERROR(VLOOKUP($C142,SN_UGC,28,0),0),1)</f>
        <v>0</v>
      </c>
      <c r="GG142" s="140">
        <f>SUM($D142:AF142)*IF($B142="Operacional",IFERROR(VLOOKUP($C142,SN_UGC,28,0),0),1)</f>
        <v>0</v>
      </c>
      <c r="GH142" s="140">
        <f>SUM($D142:AG142)*IF($B142="Operacional",IFERROR(VLOOKUP($C142,SN_UGC,28,0),0),1)</f>
        <v>0</v>
      </c>
      <c r="GI142" s="141">
        <f t="shared" ref="GI142:HL142" si="739">FE142*$AH142*$AL142</f>
        <v>0</v>
      </c>
      <c r="GJ142" s="141">
        <f t="shared" si="739"/>
        <v>0</v>
      </c>
      <c r="GK142" s="141">
        <f t="shared" si="739"/>
        <v>0</v>
      </c>
      <c r="GL142" s="141">
        <f t="shared" si="739"/>
        <v>0</v>
      </c>
      <c r="GM142" s="141">
        <f t="shared" si="739"/>
        <v>0</v>
      </c>
      <c r="GN142" s="141">
        <f t="shared" si="739"/>
        <v>0</v>
      </c>
      <c r="GO142" s="141">
        <f t="shared" si="739"/>
        <v>0</v>
      </c>
      <c r="GP142" s="141">
        <f t="shared" si="739"/>
        <v>0</v>
      </c>
      <c r="GQ142" s="141">
        <f t="shared" si="739"/>
        <v>0</v>
      </c>
      <c r="GR142" s="141">
        <f t="shared" si="739"/>
        <v>0</v>
      </c>
      <c r="GS142" s="141">
        <f t="shared" si="739"/>
        <v>0</v>
      </c>
      <c r="GT142" s="141">
        <f t="shared" si="739"/>
        <v>0</v>
      </c>
      <c r="GU142" s="141">
        <f t="shared" si="739"/>
        <v>0</v>
      </c>
      <c r="GV142" s="141">
        <f t="shared" si="739"/>
        <v>0</v>
      </c>
      <c r="GW142" s="141">
        <f t="shared" si="739"/>
        <v>0</v>
      </c>
      <c r="GX142" s="141">
        <f t="shared" si="739"/>
        <v>0</v>
      </c>
      <c r="GY142" s="141">
        <f t="shared" si="739"/>
        <v>0</v>
      </c>
      <c r="GZ142" s="141">
        <f t="shared" si="739"/>
        <v>0</v>
      </c>
      <c r="HA142" s="141">
        <f t="shared" si="739"/>
        <v>0</v>
      </c>
      <c r="HB142" s="141">
        <f t="shared" si="739"/>
        <v>0</v>
      </c>
      <c r="HC142" s="141">
        <f t="shared" si="739"/>
        <v>0</v>
      </c>
      <c r="HD142" s="141">
        <f t="shared" si="739"/>
        <v>0</v>
      </c>
      <c r="HE142" s="141">
        <f t="shared" si="739"/>
        <v>0</v>
      </c>
      <c r="HF142" s="141">
        <f t="shared" si="739"/>
        <v>0</v>
      </c>
      <c r="HG142" s="141">
        <f t="shared" si="739"/>
        <v>0</v>
      </c>
      <c r="HH142" s="141">
        <f t="shared" si="739"/>
        <v>0</v>
      </c>
      <c r="HI142" s="141">
        <f t="shared" si="739"/>
        <v>0</v>
      </c>
      <c r="HJ142" s="141">
        <f t="shared" si="739"/>
        <v>0</v>
      </c>
      <c r="HK142" s="141">
        <f t="shared" si="739"/>
        <v>0</v>
      </c>
      <c r="HL142" s="141">
        <f t="shared" si="739"/>
        <v>0</v>
      </c>
      <c r="HM142" s="142">
        <f t="shared" ref="HM142:IP142" si="740">IF(ISBLANK($A142),,FE142*($AH142-($AH142*$AJ142))/$AI142)</f>
        <v>0</v>
      </c>
      <c r="HN142" s="142">
        <f t="shared" si="740"/>
        <v>0</v>
      </c>
      <c r="HO142" s="142">
        <f t="shared" si="740"/>
        <v>0</v>
      </c>
      <c r="HP142" s="142">
        <f t="shared" si="740"/>
        <v>0</v>
      </c>
      <c r="HQ142" s="142">
        <f t="shared" si="740"/>
        <v>0</v>
      </c>
      <c r="HR142" s="142">
        <f t="shared" si="740"/>
        <v>0</v>
      </c>
      <c r="HS142" s="142">
        <f t="shared" si="740"/>
        <v>0</v>
      </c>
      <c r="HT142" s="142">
        <f t="shared" si="740"/>
        <v>0</v>
      </c>
      <c r="HU142" s="142">
        <f t="shared" si="740"/>
        <v>0</v>
      </c>
      <c r="HV142" s="142">
        <f t="shared" si="740"/>
        <v>0</v>
      </c>
      <c r="HW142" s="142">
        <f t="shared" si="740"/>
        <v>0</v>
      </c>
      <c r="HX142" s="142">
        <f t="shared" si="740"/>
        <v>0</v>
      </c>
      <c r="HY142" s="142">
        <f t="shared" si="740"/>
        <v>0</v>
      </c>
      <c r="HZ142" s="142">
        <f t="shared" si="740"/>
        <v>0</v>
      </c>
      <c r="IA142" s="142">
        <f t="shared" si="740"/>
        <v>0</v>
      </c>
      <c r="IB142" s="142">
        <f t="shared" si="740"/>
        <v>0</v>
      </c>
      <c r="IC142" s="142">
        <f t="shared" si="740"/>
        <v>0</v>
      </c>
      <c r="ID142" s="142">
        <f t="shared" si="740"/>
        <v>0</v>
      </c>
      <c r="IE142" s="142">
        <f t="shared" si="740"/>
        <v>0</v>
      </c>
      <c r="IF142" s="142">
        <f t="shared" si="740"/>
        <v>0</v>
      </c>
      <c r="IG142" s="142">
        <f t="shared" si="740"/>
        <v>0</v>
      </c>
      <c r="IH142" s="142">
        <f t="shared" si="740"/>
        <v>0</v>
      </c>
      <c r="II142" s="142">
        <f t="shared" si="740"/>
        <v>0</v>
      </c>
      <c r="IJ142" s="142">
        <f t="shared" si="740"/>
        <v>0</v>
      </c>
      <c r="IK142" s="142">
        <f t="shared" si="740"/>
        <v>0</v>
      </c>
      <c r="IL142" s="142">
        <f t="shared" si="740"/>
        <v>0</v>
      </c>
      <c r="IM142" s="142">
        <f t="shared" si="740"/>
        <v>0</v>
      </c>
      <c r="IN142" s="142">
        <f t="shared" si="740"/>
        <v>0</v>
      </c>
      <c r="IO142" s="142">
        <f t="shared" si="740"/>
        <v>0</v>
      </c>
      <c r="IP142" s="142">
        <f t="shared" si="740"/>
        <v>0</v>
      </c>
      <c r="IQ142" s="141">
        <f>IF(ISBLANK($A142),,IF($AN142="Não",0,(SUM($AO142:AO142)*$AH142)-SUM($HM142:HM142)-SUM($CW142:CW142)))</f>
        <v>0</v>
      </c>
      <c r="IR142" s="141">
        <f>IF(ISBLANK($A142),,IF($AN142="Não",0,(SUM($AO142:AP142)*$AH142)-SUM($HM142:HN142)-SUM($CW142:CX142)))</f>
        <v>0</v>
      </c>
      <c r="IS142" s="141">
        <f>IF(ISBLANK($A142),,IF($AN142="Não",0,(SUM($AO142:AQ142)*$AH142)-SUM($HM142:HO142)-SUM($CW142:CY142)))</f>
        <v>0</v>
      </c>
      <c r="IT142" s="141">
        <f>IF(ISBLANK($A142),,IF($AN142="Não",0,(SUM($AO142:AR142)*$AH142)-SUM($HM142:HP142)-SUM($CW142:CZ142)))</f>
        <v>0</v>
      </c>
      <c r="IU142" s="141">
        <f>IF(ISBLANK($A142),,IF($AN142="Não",0,(SUM($AO142:AS142)*$AH142)-SUM($HM142:HQ142)-SUM($CW142:DA142)))</f>
        <v>0</v>
      </c>
      <c r="IV142" s="141">
        <f>IF(ISBLANK($A142),,IF($AN142="Não",0,(SUM($AO142:AT142)*$AH142)-SUM($HM142:HR142)-SUM($CW142:DB142)))</f>
        <v>0</v>
      </c>
      <c r="IW142" s="141">
        <f>IF(ISBLANK($A142),,IF($AN142="Não",0,(SUM($AO142:AU142)*$AH142)-SUM($HM142:HS142)-SUM($CW142:DC142)))</f>
        <v>0</v>
      </c>
      <c r="IX142" s="141">
        <f>IF(ISBLANK($A142),,IF($AN142="Não",0,(SUM($AO142:AV142)*$AH142)-SUM($HM142:HT142)-SUM($CW142:DD142)))</f>
        <v>0</v>
      </c>
      <c r="IY142" s="141">
        <f>IF(ISBLANK($A142),,IF($AN142="Não",0,(SUM($AO142:AW142)*$AH142)-SUM($HM142:HU142)-SUM($CW142:DE142)))</f>
        <v>0</v>
      </c>
      <c r="IZ142" s="141">
        <f>IF(ISBLANK($A142),,IF($AN142="Não",0,(SUM($AO142:AX142)*$AH142)-SUM($HM142:HV142)-SUM($CW142:DF142)))</f>
        <v>0</v>
      </c>
      <c r="JA142" s="141">
        <f>IF(ISBLANK($A142),,IF($AN142="Não",0,(SUM($AO142:AY142)*$AH142)-SUM($HM142:HW142)-SUM($CW142:DG142)))</f>
        <v>0</v>
      </c>
      <c r="JB142" s="141">
        <f>IF(ISBLANK($A142),,IF($AN142="Não",0,(SUM($AO142:AZ142)*$AH142)-SUM($HM142:HX142)-SUM($CW142:DH142)))</f>
        <v>0</v>
      </c>
      <c r="JC142" s="141">
        <f>IF(ISBLANK($A142),,IF($AN142="Não",0,(SUM($AO142:BA142)*$AH142)-SUM($HM142:HY142)-SUM($CW142:DI142)))</f>
        <v>0</v>
      </c>
      <c r="JD142" s="141">
        <f>IF(ISBLANK($A142),,IF($AN142="Não",0,(SUM($AO142:BB142)*$AH142)-SUM($HM142:HZ142)-SUM($CW142:DJ142)))</f>
        <v>0</v>
      </c>
      <c r="JE142" s="141">
        <f>IF(ISBLANK($A142),,IF($AN142="Não",0,(SUM($AO142:BC142)*$AH142)-SUM($HM142:IA142)-SUM($CW142:DK142)))</f>
        <v>0</v>
      </c>
      <c r="JF142" s="141">
        <f>IF(ISBLANK($A142),,IF($AN142="Não",0,(SUM($AO142:BD142)*$AH142)-SUM($HM142:IB142)-SUM($CW142:DL142)))</f>
        <v>0</v>
      </c>
      <c r="JG142" s="141">
        <f>IF(ISBLANK($A142),,IF($AN142="Não",0,(SUM($AO142:BE142)*$AH142)-SUM($HM142:IC142)-SUM($CW142:DM142)))</f>
        <v>0</v>
      </c>
      <c r="JH142" s="141">
        <f>IF(ISBLANK($A142),,IF($AN142="Não",0,(SUM($AO142:BF142)*$AH142)-SUM($HM142:ID142)-SUM($CW142:DN142)))</f>
        <v>0</v>
      </c>
      <c r="JI142" s="141">
        <f>IF(ISBLANK($A142),,IF($AN142="Não",0,(SUM($AO142:BG142)*$AH142)-SUM($HM142:IE142)-SUM($CW142:DO142)))</f>
        <v>0</v>
      </c>
      <c r="JJ142" s="141">
        <f>IF(ISBLANK($A142),,IF($AN142="Não",0,(SUM($AO142:BH142)*$AH142)-SUM($HM142:IF142)-SUM($CW142:DP142)))</f>
        <v>0</v>
      </c>
      <c r="JK142" s="141">
        <f>IF(ISBLANK($A142),,IF($AN142="Não",0,(SUM($AO142:BI142)*$AH142)-SUM($HM142:IG142)-SUM($CW142:DQ142)))</f>
        <v>0</v>
      </c>
      <c r="JL142" s="141">
        <f>IF(ISBLANK($A142),,IF($AN142="Não",0,(SUM($AO142:BJ142)*$AH142)-SUM($HM142:IH142)-SUM($CW142:DR142)))</f>
        <v>0</v>
      </c>
      <c r="JM142" s="141">
        <f>IF(ISBLANK($A142),,IF($AN142="Não",0,(SUM($AO142:BK142)*$AH142)-SUM($HM142:II142)-SUM($CW142:DS142)))</f>
        <v>0</v>
      </c>
      <c r="JN142" s="141">
        <f>IF(ISBLANK($A142),,IF($AN142="Não",0,(SUM($AO142:BL142)*$AH142)-SUM($HM142:IJ142)-SUM($CW142:DT142)))</f>
        <v>0</v>
      </c>
      <c r="JO142" s="141">
        <f>IF(ISBLANK($A142),,IF($AN142="Não",0,(SUM($AO142:BM142)*$AH142)-SUM($HM142:IK142)-SUM($CW142:DU142)))</f>
        <v>0</v>
      </c>
      <c r="JP142" s="141">
        <f>IF(ISBLANK($A142),,IF($AN142="Não",0,(SUM($AO142:BN142)*$AH142)-SUM($HM142:IL142)-SUM($CW142:DV142)))</f>
        <v>0</v>
      </c>
      <c r="JQ142" s="141">
        <f>IF(ISBLANK($A142),,IF($AN142="Não",0,(SUM($AO142:BO142)*$AH142)-SUM($HM142:IM142)-SUM($CW142:DW142)))</f>
        <v>0</v>
      </c>
      <c r="JR142" s="141">
        <f>IF(ISBLANK($A142),,IF($AN142="Não",0,(SUM($AO142:BP142)*$AH142)-SUM($HM142:IN142)-SUM($CW142:DX142)))</f>
        <v>0</v>
      </c>
      <c r="JS142" s="141">
        <f>IF(ISBLANK($A142),,IF($AN142="Não",0,(SUM($AO142:BQ142)*$AH142)-SUM($HM142:IO142)-SUM($CW142:DY142)))</f>
        <v>0</v>
      </c>
      <c r="JT142" s="141">
        <f>IF(ISBLANK($A142),,IF($AN142="Não",0,(SUM($AO142:BR142)*$AH142)-SUM($HM142:IP142)-SUM($CW142:DZ142)))</f>
        <v>0</v>
      </c>
    </row>
    <row r="143" spans="1:280" ht="15.75" customHeight="1">
      <c r="A143" s="129"/>
      <c r="B143" s="129"/>
      <c r="C143" s="138"/>
      <c r="D143" s="139"/>
      <c r="E143" s="139"/>
      <c r="F143" s="139"/>
      <c r="G143" s="139"/>
      <c r="H143" s="139"/>
      <c r="I143" s="139"/>
      <c r="J143" s="139"/>
      <c r="K143" s="139"/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607">
        <f t="shared" si="710"/>
        <v>0</v>
      </c>
      <c r="AI143" s="608">
        <f t="shared" si="711"/>
        <v>0</v>
      </c>
      <c r="AJ143" s="609">
        <f t="shared" si="712"/>
        <v>0</v>
      </c>
      <c r="AK143" s="610" t="str">
        <f t="shared" si="713"/>
        <v/>
      </c>
      <c r="AL143" s="609">
        <f t="shared" si="714"/>
        <v>0</v>
      </c>
      <c r="AM143" s="611" t="str">
        <f t="shared" si="715"/>
        <v/>
      </c>
      <c r="AN143" s="611" t="str">
        <f t="shared" si="716"/>
        <v/>
      </c>
      <c r="AO143" s="140">
        <f t="array" ref="AO143">IF(ISBLANK($A143),0,IF(OR(AO$5-$AI143&lt;=0,$AM143="Não"),D143,D143+INDEX($AO$6:$BR$176,ROW()-5,COLUMN()-40-$AI143)))*IF($B143="Operacional",IFERROR(VLOOKUP($C143,SN_UGC,28,0),0),1)</f>
        <v>0</v>
      </c>
      <c r="AP143" s="140">
        <f t="array" ref="AP143">IF(ISBLANK($A143),0,IF(OR(AP$5-$AI143&lt;=0,$AM143="Não"),E143,E143+INDEX($AO$6:$BR$176,ROW()-5,COLUMN()-40-$AI143)))*IF($B143="Operacional",IFERROR(VLOOKUP($C143,SN_UGC,28,0),0),1)</f>
        <v>0</v>
      </c>
      <c r="AQ143" s="140">
        <f t="array" ref="AQ143">IF(ISBLANK($A143),0,IF(OR(AQ$5-$AI143&lt;=0,$AM143="Não"),F143,F143+INDEX($AO$6:$BR$176,ROW()-5,COLUMN()-40-$AI143)))*IF($B143="Operacional",IFERROR(VLOOKUP($C143,SN_UGC,28,0),0),1)</f>
        <v>0</v>
      </c>
      <c r="AR143" s="140">
        <f t="array" ref="AR143">IF(ISBLANK($A143),0,IF(OR(AR$5-$AI143&lt;=0,$AM143="Não"),G143,G143+INDEX($AO$6:$BR$176,ROW()-5,COLUMN()-40-$AI143)))*IF($B143="Operacional",IFERROR(VLOOKUP($C143,SN_UGC,28,0),0),1)</f>
        <v>0</v>
      </c>
      <c r="AS143" s="140">
        <f t="array" ref="AS143">IF(ISBLANK($A143),0,IF(OR(AS$5-$AI143&lt;=0,$AM143="Não"),H143,H143+INDEX($AO$6:$BR$176,ROW()-5,COLUMN()-40-$AI143)))*IF($B143="Operacional",IFERROR(VLOOKUP($C143,SN_UGC,28,0),0),1)</f>
        <v>0</v>
      </c>
      <c r="AT143" s="140">
        <f t="array" ref="AT143">IF(ISBLANK($A143),0,IF(OR(AT$5-$AI143&lt;=0,$AM143="Não"),I143,I143+INDEX($AO$6:$BR$176,ROW()-5,COLUMN()-40-$AI143)))*IF($B143="Operacional",IFERROR(VLOOKUP($C143,SN_UGC,28,0),0),1)</f>
        <v>0</v>
      </c>
      <c r="AU143" s="140">
        <f t="array" ref="AU143">IF(ISBLANK($A143),0,IF(OR(AU$5-$AI143&lt;=0,$AM143="Não"),J143,J143+INDEX($AO$6:$BR$176,ROW()-5,COLUMN()-40-$AI143)))*IF($B143="Operacional",IFERROR(VLOOKUP($C143,SN_UGC,28,0),0),1)</f>
        <v>0</v>
      </c>
      <c r="AV143" s="140">
        <f t="array" ref="AV143">IF(ISBLANK($A143),0,IF(OR(AV$5-$AI143&lt;=0,$AM143="Não"),K143,K143+INDEX($AO$6:$BR$176,ROW()-5,COLUMN()-40-$AI143)))*IF($B143="Operacional",IFERROR(VLOOKUP($C143,SN_UGC,28,0),0),1)</f>
        <v>0</v>
      </c>
      <c r="AW143" s="140">
        <f t="array" ref="AW143">IF(ISBLANK($A143),0,IF(OR(AW$5-$AI143&lt;=0,$AM143="Não"),L143,L143+INDEX($AO$6:$BR$176,ROW()-5,COLUMN()-40-$AI143)))*IF($B143="Operacional",IFERROR(VLOOKUP($C143,SN_UGC,28,0),0),1)</f>
        <v>0</v>
      </c>
      <c r="AX143" s="140">
        <f t="array" ref="AX143">IF(ISBLANK($A143),0,IF(OR(AX$5-$AI143&lt;=0,$AM143="Não"),M143,M143+INDEX($AO$6:$BR$176,ROW()-5,COLUMN()-40-$AI143)))*IF($B143="Operacional",IFERROR(VLOOKUP($C143,SN_UGC,28,0),0),1)</f>
        <v>0</v>
      </c>
      <c r="AY143" s="140">
        <f t="array" ref="AY143">IF(ISBLANK($A143),0,IF(OR(AY$5-$AI143&lt;=0,$AM143="Não"),N143,N143+INDEX($AO$6:$BR$176,ROW()-5,COLUMN()-40-$AI143)))*IF($B143="Operacional",IFERROR(VLOOKUP($C143,SN_UGC,28,0),0),1)</f>
        <v>0</v>
      </c>
      <c r="AZ143" s="140">
        <f t="array" ref="AZ143">IF(ISBLANK($A143),0,IF(OR(AZ$5-$AI143&lt;=0,$AM143="Não"),O143,O143+INDEX($AO$6:$BR$176,ROW()-5,COLUMN()-40-$AI143)))*IF($B143="Operacional",IFERROR(VLOOKUP($C143,SN_UGC,28,0),0),1)</f>
        <v>0</v>
      </c>
      <c r="BA143" s="140">
        <f t="array" ref="BA143">IF(ISBLANK($A143),0,IF(OR(BA$5-$AI143&lt;=0,$AM143="Não"),P143,P143+INDEX($AO$6:$BR$176,ROW()-5,COLUMN()-40-$AI143)))*IF($B143="Operacional",IFERROR(VLOOKUP($C143,SN_UGC,28,0),0),1)</f>
        <v>0</v>
      </c>
      <c r="BB143" s="140">
        <f t="array" ref="BB143">IF(ISBLANK($A143),0,IF(OR(BB$5-$AI143&lt;=0,$AM143="Não"),Q143,Q143+INDEX($AO$6:$BR$176,ROW()-5,COLUMN()-40-$AI143)))*IF($B143="Operacional",IFERROR(VLOOKUP($C143,SN_UGC,28,0),0),1)</f>
        <v>0</v>
      </c>
      <c r="BC143" s="140">
        <f t="array" ref="BC143">IF(ISBLANK($A143),0,IF(OR(BC$5-$AI143&lt;=0,$AM143="Não"),R143,R143+INDEX($AO$6:$BR$176,ROW()-5,COLUMN()-40-$AI143)))*IF($B143="Operacional",IFERROR(VLOOKUP($C143,SN_UGC,28,0),0),1)</f>
        <v>0</v>
      </c>
      <c r="BD143" s="140">
        <f t="array" ref="BD143">IF(ISBLANK($A143),0,IF(OR(BD$5-$AI143&lt;=0,$AM143="Não"),S143,S143+INDEX($AO$6:$BR$176,ROW()-5,COLUMN()-40-$AI143)))*IF($B143="Operacional",IFERROR(VLOOKUP($C143,SN_UGC,28,0),0),1)</f>
        <v>0</v>
      </c>
      <c r="BE143" s="140">
        <f t="array" ref="BE143">IF(ISBLANK($A143),0,IF(OR(BE$5-$AI143&lt;=0,$AM143="Não"),T143,T143+INDEX($AO$6:$BR$176,ROW()-5,COLUMN()-40-$AI143)))*IF($B143="Operacional",IFERROR(VLOOKUP($C143,SN_UGC,28,0),0),1)</f>
        <v>0</v>
      </c>
      <c r="BF143" s="140">
        <f t="array" ref="BF143">IF(ISBLANK($A143),0,IF(OR(BF$5-$AI143&lt;=0,$AM143="Não"),U143,U143+INDEX($AO$6:$BR$176,ROW()-5,COLUMN()-40-$AI143)))*IF($B143="Operacional",IFERROR(VLOOKUP($C143,SN_UGC,28,0),0),1)</f>
        <v>0</v>
      </c>
      <c r="BG143" s="140">
        <f t="array" ref="BG143">IF(ISBLANK($A143),0,IF(OR(BG$5-$AI143&lt;=0,$AM143="Não"),V143,V143+INDEX($AO$6:$BR$176,ROW()-5,COLUMN()-40-$AI143)))*IF($B143="Operacional",IFERROR(VLOOKUP($C143,SN_UGC,28,0),0),1)</f>
        <v>0</v>
      </c>
      <c r="BH143" s="140">
        <f t="array" ref="BH143">IF(ISBLANK($A143),0,IF(OR(BH$5-$AI143&lt;=0,$AM143="Não"),W143,W143+INDEX($AO$6:$BR$176,ROW()-5,COLUMN()-40-$AI143)))*IF($B143="Operacional",IFERROR(VLOOKUP($C143,SN_UGC,28,0),0),1)</f>
        <v>0</v>
      </c>
      <c r="BI143" s="140">
        <f t="array" ref="BI143">IF(ISBLANK($A143),0,IF(OR(BI$5-$AI143&lt;=0,$AM143="Não"),X143,X143+INDEX($AO$6:$BR$176,ROW()-5,COLUMN()-40-$AI143)))*IF($B143="Operacional",IFERROR(VLOOKUP($C143,SN_UGC,28,0),0),1)</f>
        <v>0</v>
      </c>
      <c r="BJ143" s="140">
        <f t="array" ref="BJ143">IF(ISBLANK($A143),0,IF(OR(BJ$5-$AI143&lt;=0,$AM143="Não"),Y143,Y143+INDEX($AO$6:$BR$176,ROW()-5,COLUMN()-40-$AI143)))*IF($B143="Operacional",IFERROR(VLOOKUP($C143,SN_UGC,28,0),0),1)</f>
        <v>0</v>
      </c>
      <c r="BK143" s="140">
        <f t="array" ref="BK143">IF(ISBLANK($A143),0,IF(OR(BK$5-$AI143&lt;=0,$AM143="Não"),Z143,Z143+INDEX($AO$6:$BR$176,ROW()-5,COLUMN()-40-$AI143)))*IF($B143="Operacional",IFERROR(VLOOKUP($C143,SN_UGC,28,0),0),1)</f>
        <v>0</v>
      </c>
      <c r="BL143" s="140">
        <f t="array" ref="BL143">IF(ISBLANK($A143),0,IF(OR(BL$5-$AI143&lt;=0,$AM143="Não"),AA143,AA143+INDEX($AO$6:$BR$176,ROW()-5,COLUMN()-40-$AI143)))*IF($B143="Operacional",IFERROR(VLOOKUP($C143,SN_UGC,28,0),0),1)</f>
        <v>0</v>
      </c>
      <c r="BM143" s="140">
        <f t="array" ref="BM143">IF(ISBLANK($A143),0,IF(OR(BM$5-$AI143&lt;=0,$AM143="Não"),AB143,AB143+INDEX($AO$6:$BR$176,ROW()-5,COLUMN()-40-$AI143)))*IF($B143="Operacional",IFERROR(VLOOKUP($C143,SN_UGC,28,0),0),1)</f>
        <v>0</v>
      </c>
      <c r="BN143" s="140">
        <f t="array" ref="BN143">IF(ISBLANK($A143),0,IF(OR(BN$5-$AI143&lt;=0,$AM143="Não"),AC143,AC143+INDEX($AO$6:$BR$176,ROW()-5,COLUMN()-40-$AI143)))*IF($B143="Operacional",IFERROR(VLOOKUP($C143,SN_UGC,28,0),0),1)</f>
        <v>0</v>
      </c>
      <c r="BO143" s="140">
        <f t="array" ref="BO143">IF(ISBLANK($A143),0,IF(OR(BO$5-$AI143&lt;=0,$AM143="Não"),AD143,AD143+INDEX($AO$6:$BR$176,ROW()-5,COLUMN()-40-$AI143)))*IF($B143="Operacional",IFERROR(VLOOKUP($C143,SN_UGC,28,0),0),1)</f>
        <v>0</v>
      </c>
      <c r="BP143" s="140">
        <f t="array" ref="BP143">IF(ISBLANK($A143),0,IF(OR(BP$5-$AI143&lt;=0,$AM143="Não"),AE143,AE143+INDEX($AO$6:$BR$176,ROW()-5,COLUMN()-40-$AI143)))*IF($B143="Operacional",IFERROR(VLOOKUP($C143,SN_UGC,28,0),0),1)</f>
        <v>0</v>
      </c>
      <c r="BQ143" s="140">
        <f t="array" ref="BQ143">IF(ISBLANK($A143),0,IF(OR(BQ$5-$AI143&lt;=0,$AM143="Não"),AF143,AF143+INDEX($AO$6:$BR$176,ROW()-5,COLUMN()-40-$AI143)))*IF($B143="Operacional",IFERROR(VLOOKUP($C143,SN_UGC,28,0),0),1)</f>
        <v>0</v>
      </c>
      <c r="BR143" s="140">
        <f t="array" ref="BR143">IF(ISBLANK($A143),0,IF(OR(BR$5-$AI143&lt;=0,$AM143="Não"),AG143,AG143+INDEX($AO$6:$BR$176,ROW()-5,COLUMN()-40-$AI143)))*IF($B143="Operacional",IFERROR(VLOOKUP($C143,SN_UGC,28,0),0),1)</f>
        <v>0</v>
      </c>
      <c r="BS143" s="141">
        <f t="shared" ref="BS143:CV143" si="741">IF(ISBLANK($A143),0,$AH143*AO143)</f>
        <v>0</v>
      </c>
      <c r="BT143" s="141">
        <f t="shared" si="741"/>
        <v>0</v>
      </c>
      <c r="BU143" s="141">
        <f t="shared" si="741"/>
        <v>0</v>
      </c>
      <c r="BV143" s="141">
        <f t="shared" si="741"/>
        <v>0</v>
      </c>
      <c r="BW143" s="141">
        <f t="shared" si="741"/>
        <v>0</v>
      </c>
      <c r="BX143" s="141">
        <f t="shared" si="741"/>
        <v>0</v>
      </c>
      <c r="BY143" s="141">
        <f t="shared" si="741"/>
        <v>0</v>
      </c>
      <c r="BZ143" s="141">
        <f t="shared" si="741"/>
        <v>0</v>
      </c>
      <c r="CA143" s="141">
        <f t="shared" si="741"/>
        <v>0</v>
      </c>
      <c r="CB143" s="141">
        <f t="shared" si="741"/>
        <v>0</v>
      </c>
      <c r="CC143" s="141">
        <f t="shared" si="741"/>
        <v>0</v>
      </c>
      <c r="CD143" s="141">
        <f t="shared" si="741"/>
        <v>0</v>
      </c>
      <c r="CE143" s="141">
        <f t="shared" si="741"/>
        <v>0</v>
      </c>
      <c r="CF143" s="141">
        <f t="shared" si="741"/>
        <v>0</v>
      </c>
      <c r="CG143" s="141">
        <f t="shared" si="741"/>
        <v>0</v>
      </c>
      <c r="CH143" s="141">
        <f t="shared" si="741"/>
        <v>0</v>
      </c>
      <c r="CI143" s="141">
        <f t="shared" si="741"/>
        <v>0</v>
      </c>
      <c r="CJ143" s="141">
        <f t="shared" si="741"/>
        <v>0</v>
      </c>
      <c r="CK143" s="141">
        <f t="shared" si="741"/>
        <v>0</v>
      </c>
      <c r="CL143" s="141">
        <f t="shared" si="741"/>
        <v>0</v>
      </c>
      <c r="CM143" s="141">
        <f t="shared" si="741"/>
        <v>0</v>
      </c>
      <c r="CN143" s="141">
        <f t="shared" si="741"/>
        <v>0</v>
      </c>
      <c r="CO143" s="141">
        <f t="shared" si="741"/>
        <v>0</v>
      </c>
      <c r="CP143" s="141">
        <f t="shared" si="741"/>
        <v>0</v>
      </c>
      <c r="CQ143" s="141">
        <f t="shared" si="741"/>
        <v>0</v>
      </c>
      <c r="CR143" s="141">
        <f t="shared" si="741"/>
        <v>0</v>
      </c>
      <c r="CS143" s="141">
        <f t="shared" si="741"/>
        <v>0</v>
      </c>
      <c r="CT143" s="141">
        <f t="shared" si="741"/>
        <v>0</v>
      </c>
      <c r="CU143" s="141">
        <f t="shared" si="741"/>
        <v>0</v>
      </c>
      <c r="CV143" s="141">
        <f t="shared" si="741"/>
        <v>0</v>
      </c>
      <c r="CW143" s="142">
        <f t="shared" ref="CW143:DZ143" si="742">EA143*$AH143*$AJ143</f>
        <v>0</v>
      </c>
      <c r="CX143" s="142">
        <f t="shared" si="742"/>
        <v>0</v>
      </c>
      <c r="CY143" s="142">
        <f t="shared" si="742"/>
        <v>0</v>
      </c>
      <c r="CZ143" s="142">
        <f t="shared" si="742"/>
        <v>0</v>
      </c>
      <c r="DA143" s="142">
        <f t="shared" si="742"/>
        <v>0</v>
      </c>
      <c r="DB143" s="142">
        <f t="shared" si="742"/>
        <v>0</v>
      </c>
      <c r="DC143" s="142">
        <f t="shared" si="742"/>
        <v>0</v>
      </c>
      <c r="DD143" s="142">
        <f t="shared" si="742"/>
        <v>0</v>
      </c>
      <c r="DE143" s="142">
        <f t="shared" si="742"/>
        <v>0</v>
      </c>
      <c r="DF143" s="142">
        <f t="shared" si="742"/>
        <v>0</v>
      </c>
      <c r="DG143" s="142">
        <f t="shared" si="742"/>
        <v>0</v>
      </c>
      <c r="DH143" s="142">
        <f t="shared" si="742"/>
        <v>0</v>
      </c>
      <c r="DI143" s="142">
        <f t="shared" si="742"/>
        <v>0</v>
      </c>
      <c r="DJ143" s="142">
        <f t="shared" si="742"/>
        <v>0</v>
      </c>
      <c r="DK143" s="142">
        <f t="shared" si="742"/>
        <v>0</v>
      </c>
      <c r="DL143" s="142">
        <f t="shared" si="742"/>
        <v>0</v>
      </c>
      <c r="DM143" s="142">
        <f t="shared" si="742"/>
        <v>0</v>
      </c>
      <c r="DN143" s="142">
        <f t="shared" si="742"/>
        <v>0</v>
      </c>
      <c r="DO143" s="142">
        <f t="shared" si="742"/>
        <v>0</v>
      </c>
      <c r="DP143" s="142">
        <f t="shared" si="742"/>
        <v>0</v>
      </c>
      <c r="DQ143" s="142">
        <f t="shared" si="742"/>
        <v>0</v>
      </c>
      <c r="DR143" s="142">
        <f t="shared" si="742"/>
        <v>0</v>
      </c>
      <c r="DS143" s="142">
        <f t="shared" si="742"/>
        <v>0</v>
      </c>
      <c r="DT143" s="142">
        <f t="shared" si="742"/>
        <v>0</v>
      </c>
      <c r="DU143" s="142">
        <f t="shared" si="742"/>
        <v>0</v>
      </c>
      <c r="DV143" s="142">
        <f t="shared" si="742"/>
        <v>0</v>
      </c>
      <c r="DW143" s="142">
        <f t="shared" si="742"/>
        <v>0</v>
      </c>
      <c r="DX143" s="142">
        <f t="shared" si="742"/>
        <v>0</v>
      </c>
      <c r="DY143" s="142">
        <f t="shared" si="742"/>
        <v>0</v>
      </c>
      <c r="DZ143" s="142">
        <f t="shared" si="742"/>
        <v>0</v>
      </c>
      <c r="EA143" s="143">
        <f t="shared" si="670"/>
        <v>0</v>
      </c>
      <c r="EB143" s="143">
        <f t="shared" si="671"/>
        <v>0</v>
      </c>
      <c r="EC143" s="143">
        <f t="shared" si="672"/>
        <v>0</v>
      </c>
      <c r="ED143" s="143">
        <f t="shared" si="673"/>
        <v>0</v>
      </c>
      <c r="EE143" s="143">
        <f t="shared" si="674"/>
        <v>0</v>
      </c>
      <c r="EF143" s="143">
        <f t="shared" si="675"/>
        <v>0</v>
      </c>
      <c r="EG143" s="143">
        <f t="shared" si="676"/>
        <v>0</v>
      </c>
      <c r="EH143" s="143">
        <f t="shared" si="677"/>
        <v>0</v>
      </c>
      <c r="EI143" s="143">
        <f t="shared" si="678"/>
        <v>0</v>
      </c>
      <c r="EJ143" s="143">
        <f t="shared" si="679"/>
        <v>0</v>
      </c>
      <c r="EK143" s="143">
        <f t="shared" si="680"/>
        <v>0</v>
      </c>
      <c r="EL143" s="143">
        <f t="shared" si="681"/>
        <v>0</v>
      </c>
      <c r="EM143" s="143">
        <f t="shared" si="682"/>
        <v>0</v>
      </c>
      <c r="EN143" s="143">
        <f t="shared" si="683"/>
        <v>0</v>
      </c>
      <c r="EO143" s="143">
        <f t="shared" si="684"/>
        <v>0</v>
      </c>
      <c r="EP143" s="143">
        <f t="shared" si="685"/>
        <v>0</v>
      </c>
      <c r="EQ143" s="143">
        <f t="shared" si="686"/>
        <v>0</v>
      </c>
      <c r="ER143" s="143">
        <f t="shared" si="687"/>
        <v>0</v>
      </c>
      <c r="ES143" s="143">
        <f t="shared" si="688"/>
        <v>0</v>
      </c>
      <c r="ET143" s="143">
        <f t="shared" si="689"/>
        <v>0</v>
      </c>
      <c r="EU143" s="143">
        <f t="shared" si="690"/>
        <v>0</v>
      </c>
      <c r="EV143" s="143">
        <f t="shared" si="691"/>
        <v>0</v>
      </c>
      <c r="EW143" s="143">
        <f t="shared" si="692"/>
        <v>0</v>
      </c>
      <c r="EX143" s="143">
        <f t="shared" si="693"/>
        <v>0</v>
      </c>
      <c r="EY143" s="143">
        <f t="shared" si="694"/>
        <v>0</v>
      </c>
      <c r="EZ143" s="143">
        <f t="shared" si="695"/>
        <v>0</v>
      </c>
      <c r="FA143" s="143">
        <f t="shared" si="696"/>
        <v>0</v>
      </c>
      <c r="FB143" s="143">
        <f t="shared" si="697"/>
        <v>0</v>
      </c>
      <c r="FC143" s="143">
        <f t="shared" si="698"/>
        <v>0</v>
      </c>
      <c r="FD143" s="143">
        <f t="shared" si="699"/>
        <v>0</v>
      </c>
      <c r="FE143" s="140">
        <f>SUM($D143:D143)*IF($B143="Operacional",IFERROR(VLOOKUP($C143,SN_UGC,28,0),0),1)</f>
        <v>0</v>
      </c>
      <c r="FF143" s="140">
        <f>SUM($D143:E143)*IF($B143="Operacional",IFERROR(VLOOKUP($C143,SN_UGC,28,0),0),1)</f>
        <v>0</v>
      </c>
      <c r="FG143" s="140">
        <f>SUM($D143:F143)*IF($B143="Operacional",IFERROR(VLOOKUP($C143,SN_UGC,28,0),0),1)</f>
        <v>0</v>
      </c>
      <c r="FH143" s="140">
        <f>SUM($D143:G143)*IF($B143="Operacional",IFERROR(VLOOKUP($C143,SN_UGC,28,0),0),1)</f>
        <v>0</v>
      </c>
      <c r="FI143" s="140">
        <f>SUM($D143:H143)*IF($B143="Operacional",IFERROR(VLOOKUP($C143,SN_UGC,28,0),0),1)</f>
        <v>0</v>
      </c>
      <c r="FJ143" s="140">
        <f>SUM($D143:I143)*IF($B143="Operacional",IFERROR(VLOOKUP($C143,SN_UGC,28,0),0),1)</f>
        <v>0</v>
      </c>
      <c r="FK143" s="140">
        <f>SUM($D143:J143)*IF($B143="Operacional",IFERROR(VLOOKUP($C143,SN_UGC,28,0),0),1)</f>
        <v>0</v>
      </c>
      <c r="FL143" s="140">
        <f>SUM($D143:K143)*IF($B143="Operacional",IFERROR(VLOOKUP($C143,SN_UGC,28,0),0),1)</f>
        <v>0</v>
      </c>
      <c r="FM143" s="140">
        <f>SUM($D143:L143)*IF($B143="Operacional",IFERROR(VLOOKUP($C143,SN_UGC,28,0),0),1)</f>
        <v>0</v>
      </c>
      <c r="FN143" s="140">
        <f>SUM($D143:M143)*IF($B143="Operacional",IFERROR(VLOOKUP($C143,SN_UGC,28,0),0),1)</f>
        <v>0</v>
      </c>
      <c r="FO143" s="140">
        <f>SUM($D143:N143)*IF($B143="Operacional",IFERROR(VLOOKUP($C143,SN_UGC,28,0),0),1)</f>
        <v>0</v>
      </c>
      <c r="FP143" s="140">
        <f>SUM($D143:O143)*IF($B143="Operacional",IFERROR(VLOOKUP($C143,SN_UGC,28,0),0),1)</f>
        <v>0</v>
      </c>
      <c r="FQ143" s="140">
        <f>SUM($D143:P143)*IF($B143="Operacional",IFERROR(VLOOKUP($C143,SN_UGC,28,0),0),1)</f>
        <v>0</v>
      </c>
      <c r="FR143" s="140">
        <f>SUM($D143:Q143)*IF($B143="Operacional",IFERROR(VLOOKUP($C143,SN_UGC,28,0),0),1)</f>
        <v>0</v>
      </c>
      <c r="FS143" s="140">
        <f>SUM($D143:R143)*IF($B143="Operacional",IFERROR(VLOOKUP($C143,SN_UGC,28,0),0),1)</f>
        <v>0</v>
      </c>
      <c r="FT143" s="140">
        <f>SUM($D143:S143)*IF($B143="Operacional",IFERROR(VLOOKUP($C143,SN_UGC,28,0),0),1)</f>
        <v>0</v>
      </c>
      <c r="FU143" s="140">
        <f>SUM($D143:T143)*IF($B143="Operacional",IFERROR(VLOOKUP($C143,SN_UGC,28,0),0),1)</f>
        <v>0</v>
      </c>
      <c r="FV143" s="140">
        <f>SUM($D143:U143)*IF($B143="Operacional",IFERROR(VLOOKUP($C143,SN_UGC,28,0),0),1)</f>
        <v>0</v>
      </c>
      <c r="FW143" s="140">
        <f>SUM($D143:V143)*IF($B143="Operacional",IFERROR(VLOOKUP($C143,SN_UGC,28,0),0),1)</f>
        <v>0</v>
      </c>
      <c r="FX143" s="140">
        <f>SUM($D143:W143)*IF($B143="Operacional",IFERROR(VLOOKUP($C143,SN_UGC,28,0),0),1)</f>
        <v>0</v>
      </c>
      <c r="FY143" s="140">
        <f>SUM($D143:X143)*IF($B143="Operacional",IFERROR(VLOOKUP($C143,SN_UGC,28,0),0),1)</f>
        <v>0</v>
      </c>
      <c r="FZ143" s="140">
        <f>SUM($D143:Y143)*IF($B143="Operacional",IFERROR(VLOOKUP($C143,SN_UGC,28,0),0),1)</f>
        <v>0</v>
      </c>
      <c r="GA143" s="140">
        <f>SUM($D143:Z143)*IF($B143="Operacional",IFERROR(VLOOKUP($C143,SN_UGC,28,0),0),1)</f>
        <v>0</v>
      </c>
      <c r="GB143" s="140">
        <f>SUM($D143:AA143)*IF($B143="Operacional",IFERROR(VLOOKUP($C143,SN_UGC,28,0),0),1)</f>
        <v>0</v>
      </c>
      <c r="GC143" s="140">
        <f>SUM($D143:AB143)*IF($B143="Operacional",IFERROR(VLOOKUP($C143,SN_UGC,28,0),0),1)</f>
        <v>0</v>
      </c>
      <c r="GD143" s="140">
        <f>SUM($D143:AC143)*IF($B143="Operacional",IFERROR(VLOOKUP($C143,SN_UGC,28,0),0),1)</f>
        <v>0</v>
      </c>
      <c r="GE143" s="140">
        <f>SUM($D143:AD143)*IF($B143="Operacional",IFERROR(VLOOKUP($C143,SN_UGC,28,0),0),1)</f>
        <v>0</v>
      </c>
      <c r="GF143" s="140">
        <f>SUM($D143:AE143)*IF($B143="Operacional",IFERROR(VLOOKUP($C143,SN_UGC,28,0),0),1)</f>
        <v>0</v>
      </c>
      <c r="GG143" s="140">
        <f>SUM($D143:AF143)*IF($B143="Operacional",IFERROR(VLOOKUP($C143,SN_UGC,28,0),0),1)</f>
        <v>0</v>
      </c>
      <c r="GH143" s="140">
        <f>SUM($D143:AG143)*IF($B143="Operacional",IFERROR(VLOOKUP($C143,SN_UGC,28,0),0),1)</f>
        <v>0</v>
      </c>
      <c r="GI143" s="141">
        <f t="shared" ref="GI143:HL143" si="743">FE143*$AH143*$AL143</f>
        <v>0</v>
      </c>
      <c r="GJ143" s="141">
        <f t="shared" si="743"/>
        <v>0</v>
      </c>
      <c r="GK143" s="141">
        <f t="shared" si="743"/>
        <v>0</v>
      </c>
      <c r="GL143" s="141">
        <f t="shared" si="743"/>
        <v>0</v>
      </c>
      <c r="GM143" s="141">
        <f t="shared" si="743"/>
        <v>0</v>
      </c>
      <c r="GN143" s="141">
        <f t="shared" si="743"/>
        <v>0</v>
      </c>
      <c r="GO143" s="141">
        <f t="shared" si="743"/>
        <v>0</v>
      </c>
      <c r="GP143" s="141">
        <f t="shared" si="743"/>
        <v>0</v>
      </c>
      <c r="GQ143" s="141">
        <f t="shared" si="743"/>
        <v>0</v>
      </c>
      <c r="GR143" s="141">
        <f t="shared" si="743"/>
        <v>0</v>
      </c>
      <c r="GS143" s="141">
        <f t="shared" si="743"/>
        <v>0</v>
      </c>
      <c r="GT143" s="141">
        <f t="shared" si="743"/>
        <v>0</v>
      </c>
      <c r="GU143" s="141">
        <f t="shared" si="743"/>
        <v>0</v>
      </c>
      <c r="GV143" s="141">
        <f t="shared" si="743"/>
        <v>0</v>
      </c>
      <c r="GW143" s="141">
        <f t="shared" si="743"/>
        <v>0</v>
      </c>
      <c r="GX143" s="141">
        <f t="shared" si="743"/>
        <v>0</v>
      </c>
      <c r="GY143" s="141">
        <f t="shared" si="743"/>
        <v>0</v>
      </c>
      <c r="GZ143" s="141">
        <f t="shared" si="743"/>
        <v>0</v>
      </c>
      <c r="HA143" s="141">
        <f t="shared" si="743"/>
        <v>0</v>
      </c>
      <c r="HB143" s="141">
        <f t="shared" si="743"/>
        <v>0</v>
      </c>
      <c r="HC143" s="141">
        <f t="shared" si="743"/>
        <v>0</v>
      </c>
      <c r="HD143" s="141">
        <f t="shared" si="743"/>
        <v>0</v>
      </c>
      <c r="HE143" s="141">
        <f t="shared" si="743"/>
        <v>0</v>
      </c>
      <c r="HF143" s="141">
        <f t="shared" si="743"/>
        <v>0</v>
      </c>
      <c r="HG143" s="141">
        <f t="shared" si="743"/>
        <v>0</v>
      </c>
      <c r="HH143" s="141">
        <f t="shared" si="743"/>
        <v>0</v>
      </c>
      <c r="HI143" s="141">
        <f t="shared" si="743"/>
        <v>0</v>
      </c>
      <c r="HJ143" s="141">
        <f t="shared" si="743"/>
        <v>0</v>
      </c>
      <c r="HK143" s="141">
        <f t="shared" si="743"/>
        <v>0</v>
      </c>
      <c r="HL143" s="141">
        <f t="shared" si="743"/>
        <v>0</v>
      </c>
      <c r="HM143" s="142">
        <f t="shared" ref="HM143:IP143" si="744">IF(ISBLANK($A143),,FE143*($AH143-($AH143*$AJ143))/$AI143)</f>
        <v>0</v>
      </c>
      <c r="HN143" s="142">
        <f t="shared" si="744"/>
        <v>0</v>
      </c>
      <c r="HO143" s="142">
        <f t="shared" si="744"/>
        <v>0</v>
      </c>
      <c r="HP143" s="142">
        <f t="shared" si="744"/>
        <v>0</v>
      </c>
      <c r="HQ143" s="142">
        <f t="shared" si="744"/>
        <v>0</v>
      </c>
      <c r="HR143" s="142">
        <f t="shared" si="744"/>
        <v>0</v>
      </c>
      <c r="HS143" s="142">
        <f t="shared" si="744"/>
        <v>0</v>
      </c>
      <c r="HT143" s="142">
        <f t="shared" si="744"/>
        <v>0</v>
      </c>
      <c r="HU143" s="142">
        <f t="shared" si="744"/>
        <v>0</v>
      </c>
      <c r="HV143" s="142">
        <f t="shared" si="744"/>
        <v>0</v>
      </c>
      <c r="HW143" s="142">
        <f t="shared" si="744"/>
        <v>0</v>
      </c>
      <c r="HX143" s="142">
        <f t="shared" si="744"/>
        <v>0</v>
      </c>
      <c r="HY143" s="142">
        <f t="shared" si="744"/>
        <v>0</v>
      </c>
      <c r="HZ143" s="142">
        <f t="shared" si="744"/>
        <v>0</v>
      </c>
      <c r="IA143" s="142">
        <f t="shared" si="744"/>
        <v>0</v>
      </c>
      <c r="IB143" s="142">
        <f t="shared" si="744"/>
        <v>0</v>
      </c>
      <c r="IC143" s="142">
        <f t="shared" si="744"/>
        <v>0</v>
      </c>
      <c r="ID143" s="142">
        <f t="shared" si="744"/>
        <v>0</v>
      </c>
      <c r="IE143" s="142">
        <f t="shared" si="744"/>
        <v>0</v>
      </c>
      <c r="IF143" s="142">
        <f t="shared" si="744"/>
        <v>0</v>
      </c>
      <c r="IG143" s="142">
        <f t="shared" si="744"/>
        <v>0</v>
      </c>
      <c r="IH143" s="142">
        <f t="shared" si="744"/>
        <v>0</v>
      </c>
      <c r="II143" s="142">
        <f t="shared" si="744"/>
        <v>0</v>
      </c>
      <c r="IJ143" s="142">
        <f t="shared" si="744"/>
        <v>0</v>
      </c>
      <c r="IK143" s="142">
        <f t="shared" si="744"/>
        <v>0</v>
      </c>
      <c r="IL143" s="142">
        <f t="shared" si="744"/>
        <v>0</v>
      </c>
      <c r="IM143" s="142">
        <f t="shared" si="744"/>
        <v>0</v>
      </c>
      <c r="IN143" s="142">
        <f t="shared" si="744"/>
        <v>0</v>
      </c>
      <c r="IO143" s="142">
        <f t="shared" si="744"/>
        <v>0</v>
      </c>
      <c r="IP143" s="142">
        <f t="shared" si="744"/>
        <v>0</v>
      </c>
      <c r="IQ143" s="141">
        <f>IF(ISBLANK($A143),,IF($AN143="Não",0,(SUM($AO143:AO143)*$AH143)-SUM($HM143:HM143)-SUM($CW143:CW143)))</f>
        <v>0</v>
      </c>
      <c r="IR143" s="141">
        <f>IF(ISBLANK($A143),,IF($AN143="Não",0,(SUM($AO143:AP143)*$AH143)-SUM($HM143:HN143)-SUM($CW143:CX143)))</f>
        <v>0</v>
      </c>
      <c r="IS143" s="141">
        <f>IF(ISBLANK($A143),,IF($AN143="Não",0,(SUM($AO143:AQ143)*$AH143)-SUM($HM143:HO143)-SUM($CW143:CY143)))</f>
        <v>0</v>
      </c>
      <c r="IT143" s="141">
        <f>IF(ISBLANK($A143),,IF($AN143="Não",0,(SUM($AO143:AR143)*$AH143)-SUM($HM143:HP143)-SUM($CW143:CZ143)))</f>
        <v>0</v>
      </c>
      <c r="IU143" s="141">
        <f>IF(ISBLANK($A143),,IF($AN143="Não",0,(SUM($AO143:AS143)*$AH143)-SUM($HM143:HQ143)-SUM($CW143:DA143)))</f>
        <v>0</v>
      </c>
      <c r="IV143" s="141">
        <f>IF(ISBLANK($A143),,IF($AN143="Não",0,(SUM($AO143:AT143)*$AH143)-SUM($HM143:HR143)-SUM($CW143:DB143)))</f>
        <v>0</v>
      </c>
      <c r="IW143" s="141">
        <f>IF(ISBLANK($A143),,IF($AN143="Não",0,(SUM($AO143:AU143)*$AH143)-SUM($HM143:HS143)-SUM($CW143:DC143)))</f>
        <v>0</v>
      </c>
      <c r="IX143" s="141">
        <f>IF(ISBLANK($A143),,IF($AN143="Não",0,(SUM($AO143:AV143)*$AH143)-SUM($HM143:HT143)-SUM($CW143:DD143)))</f>
        <v>0</v>
      </c>
      <c r="IY143" s="141">
        <f>IF(ISBLANK($A143),,IF($AN143="Não",0,(SUM($AO143:AW143)*$AH143)-SUM($HM143:HU143)-SUM($CW143:DE143)))</f>
        <v>0</v>
      </c>
      <c r="IZ143" s="141">
        <f>IF(ISBLANK($A143),,IF($AN143="Não",0,(SUM($AO143:AX143)*$AH143)-SUM($HM143:HV143)-SUM($CW143:DF143)))</f>
        <v>0</v>
      </c>
      <c r="JA143" s="141">
        <f>IF(ISBLANK($A143),,IF($AN143="Não",0,(SUM($AO143:AY143)*$AH143)-SUM($HM143:HW143)-SUM($CW143:DG143)))</f>
        <v>0</v>
      </c>
      <c r="JB143" s="141">
        <f>IF(ISBLANK($A143),,IF($AN143="Não",0,(SUM($AO143:AZ143)*$AH143)-SUM($HM143:HX143)-SUM($CW143:DH143)))</f>
        <v>0</v>
      </c>
      <c r="JC143" s="141">
        <f>IF(ISBLANK($A143),,IF($AN143="Não",0,(SUM($AO143:BA143)*$AH143)-SUM($HM143:HY143)-SUM($CW143:DI143)))</f>
        <v>0</v>
      </c>
      <c r="JD143" s="141">
        <f>IF(ISBLANK($A143),,IF($AN143="Não",0,(SUM($AO143:BB143)*$AH143)-SUM($HM143:HZ143)-SUM($CW143:DJ143)))</f>
        <v>0</v>
      </c>
      <c r="JE143" s="141">
        <f>IF(ISBLANK($A143),,IF($AN143="Não",0,(SUM($AO143:BC143)*$AH143)-SUM($HM143:IA143)-SUM($CW143:DK143)))</f>
        <v>0</v>
      </c>
      <c r="JF143" s="141">
        <f>IF(ISBLANK($A143),,IF($AN143="Não",0,(SUM($AO143:BD143)*$AH143)-SUM($HM143:IB143)-SUM($CW143:DL143)))</f>
        <v>0</v>
      </c>
      <c r="JG143" s="141">
        <f>IF(ISBLANK($A143),,IF($AN143="Não",0,(SUM($AO143:BE143)*$AH143)-SUM($HM143:IC143)-SUM($CW143:DM143)))</f>
        <v>0</v>
      </c>
      <c r="JH143" s="141">
        <f>IF(ISBLANK($A143),,IF($AN143="Não",0,(SUM($AO143:BF143)*$AH143)-SUM($HM143:ID143)-SUM($CW143:DN143)))</f>
        <v>0</v>
      </c>
      <c r="JI143" s="141">
        <f>IF(ISBLANK($A143),,IF($AN143="Não",0,(SUM($AO143:BG143)*$AH143)-SUM($HM143:IE143)-SUM($CW143:DO143)))</f>
        <v>0</v>
      </c>
      <c r="JJ143" s="141">
        <f>IF(ISBLANK($A143),,IF($AN143="Não",0,(SUM($AO143:BH143)*$AH143)-SUM($HM143:IF143)-SUM($CW143:DP143)))</f>
        <v>0</v>
      </c>
      <c r="JK143" s="141">
        <f>IF(ISBLANK($A143),,IF($AN143="Não",0,(SUM($AO143:BI143)*$AH143)-SUM($HM143:IG143)-SUM($CW143:DQ143)))</f>
        <v>0</v>
      </c>
      <c r="JL143" s="141">
        <f>IF(ISBLANK($A143),,IF($AN143="Não",0,(SUM($AO143:BJ143)*$AH143)-SUM($HM143:IH143)-SUM($CW143:DR143)))</f>
        <v>0</v>
      </c>
      <c r="JM143" s="141">
        <f>IF(ISBLANK($A143),,IF($AN143="Não",0,(SUM($AO143:BK143)*$AH143)-SUM($HM143:II143)-SUM($CW143:DS143)))</f>
        <v>0</v>
      </c>
      <c r="JN143" s="141">
        <f>IF(ISBLANK($A143),,IF($AN143="Não",0,(SUM($AO143:BL143)*$AH143)-SUM($HM143:IJ143)-SUM($CW143:DT143)))</f>
        <v>0</v>
      </c>
      <c r="JO143" s="141">
        <f>IF(ISBLANK($A143),,IF($AN143="Não",0,(SUM($AO143:BM143)*$AH143)-SUM($HM143:IK143)-SUM($CW143:DU143)))</f>
        <v>0</v>
      </c>
      <c r="JP143" s="141">
        <f>IF(ISBLANK($A143),,IF($AN143="Não",0,(SUM($AO143:BN143)*$AH143)-SUM($HM143:IL143)-SUM($CW143:DV143)))</f>
        <v>0</v>
      </c>
      <c r="JQ143" s="141">
        <f>IF(ISBLANK($A143),,IF($AN143="Não",0,(SUM($AO143:BO143)*$AH143)-SUM($HM143:IM143)-SUM($CW143:DW143)))</f>
        <v>0</v>
      </c>
      <c r="JR143" s="141">
        <f>IF(ISBLANK($A143),,IF($AN143="Não",0,(SUM($AO143:BP143)*$AH143)-SUM($HM143:IN143)-SUM($CW143:DX143)))</f>
        <v>0</v>
      </c>
      <c r="JS143" s="141">
        <f>IF(ISBLANK($A143),,IF($AN143="Não",0,(SUM($AO143:BQ143)*$AH143)-SUM($HM143:IO143)-SUM($CW143:DY143)))</f>
        <v>0</v>
      </c>
      <c r="JT143" s="141">
        <f>IF(ISBLANK($A143),,IF($AN143="Não",0,(SUM($AO143:BR143)*$AH143)-SUM($HM143:IP143)-SUM($CW143:DZ143)))</f>
        <v>0</v>
      </c>
    </row>
    <row r="144" spans="1:280" ht="15.75" customHeight="1">
      <c r="A144" s="129"/>
      <c r="B144" s="129"/>
      <c r="C144" s="138"/>
      <c r="D144" s="139"/>
      <c r="E144" s="139"/>
      <c r="F144" s="139"/>
      <c r="G144" s="139"/>
      <c r="H144" s="139"/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607">
        <f t="shared" si="710"/>
        <v>0</v>
      </c>
      <c r="AI144" s="608">
        <f t="shared" si="711"/>
        <v>0</v>
      </c>
      <c r="AJ144" s="609">
        <f t="shared" si="712"/>
        <v>0</v>
      </c>
      <c r="AK144" s="610" t="str">
        <f t="shared" si="713"/>
        <v/>
      </c>
      <c r="AL144" s="609">
        <f t="shared" si="714"/>
        <v>0</v>
      </c>
      <c r="AM144" s="611" t="str">
        <f t="shared" si="715"/>
        <v/>
      </c>
      <c r="AN144" s="611" t="str">
        <f t="shared" si="716"/>
        <v/>
      </c>
      <c r="AO144" s="140">
        <f t="array" ref="AO144">IF(ISBLANK($A144),0,IF(OR(AO$5-$AI144&lt;=0,$AM144="Não"),D144,D144+INDEX($AO$6:$BR$176,ROW()-5,COLUMN()-40-$AI144)))*IF($B144="Operacional",IFERROR(VLOOKUP($C144,SN_UGC,28,0),0),1)</f>
        <v>0</v>
      </c>
      <c r="AP144" s="140">
        <f t="array" ref="AP144">IF(ISBLANK($A144),0,IF(OR(AP$5-$AI144&lt;=0,$AM144="Não"),E144,E144+INDEX($AO$6:$BR$176,ROW()-5,COLUMN()-40-$AI144)))*IF($B144="Operacional",IFERROR(VLOOKUP($C144,SN_UGC,28,0),0),1)</f>
        <v>0</v>
      </c>
      <c r="AQ144" s="140">
        <f t="array" ref="AQ144">IF(ISBLANK($A144),0,IF(OR(AQ$5-$AI144&lt;=0,$AM144="Não"),F144,F144+INDEX($AO$6:$BR$176,ROW()-5,COLUMN()-40-$AI144)))*IF($B144="Operacional",IFERROR(VLOOKUP($C144,SN_UGC,28,0),0),1)</f>
        <v>0</v>
      </c>
      <c r="AR144" s="140">
        <f t="array" ref="AR144">IF(ISBLANK($A144),0,IF(OR(AR$5-$AI144&lt;=0,$AM144="Não"),G144,G144+INDEX($AO$6:$BR$176,ROW()-5,COLUMN()-40-$AI144)))*IF($B144="Operacional",IFERROR(VLOOKUP($C144,SN_UGC,28,0),0),1)</f>
        <v>0</v>
      </c>
      <c r="AS144" s="140">
        <f t="array" ref="AS144">IF(ISBLANK($A144),0,IF(OR(AS$5-$AI144&lt;=0,$AM144="Não"),H144,H144+INDEX($AO$6:$BR$176,ROW()-5,COLUMN()-40-$AI144)))*IF($B144="Operacional",IFERROR(VLOOKUP($C144,SN_UGC,28,0),0),1)</f>
        <v>0</v>
      </c>
      <c r="AT144" s="140">
        <f t="array" ref="AT144">IF(ISBLANK($A144),0,IF(OR(AT$5-$AI144&lt;=0,$AM144="Não"),I144,I144+INDEX($AO$6:$BR$176,ROW()-5,COLUMN()-40-$AI144)))*IF($B144="Operacional",IFERROR(VLOOKUP($C144,SN_UGC,28,0),0),1)</f>
        <v>0</v>
      </c>
      <c r="AU144" s="140">
        <f t="array" ref="AU144">IF(ISBLANK($A144),0,IF(OR(AU$5-$AI144&lt;=0,$AM144="Não"),J144,J144+INDEX($AO$6:$BR$176,ROW()-5,COLUMN()-40-$AI144)))*IF($B144="Operacional",IFERROR(VLOOKUP($C144,SN_UGC,28,0),0),1)</f>
        <v>0</v>
      </c>
      <c r="AV144" s="140">
        <f t="array" ref="AV144">IF(ISBLANK($A144),0,IF(OR(AV$5-$AI144&lt;=0,$AM144="Não"),K144,K144+INDEX($AO$6:$BR$176,ROW()-5,COLUMN()-40-$AI144)))*IF($B144="Operacional",IFERROR(VLOOKUP($C144,SN_UGC,28,0),0),1)</f>
        <v>0</v>
      </c>
      <c r="AW144" s="140">
        <f t="array" ref="AW144">IF(ISBLANK($A144),0,IF(OR(AW$5-$AI144&lt;=0,$AM144="Não"),L144,L144+INDEX($AO$6:$BR$176,ROW()-5,COLUMN()-40-$AI144)))*IF($B144="Operacional",IFERROR(VLOOKUP($C144,SN_UGC,28,0),0),1)</f>
        <v>0</v>
      </c>
      <c r="AX144" s="140">
        <f t="array" ref="AX144">IF(ISBLANK($A144),0,IF(OR(AX$5-$AI144&lt;=0,$AM144="Não"),M144,M144+INDEX($AO$6:$BR$176,ROW()-5,COLUMN()-40-$AI144)))*IF($B144="Operacional",IFERROR(VLOOKUP($C144,SN_UGC,28,0),0),1)</f>
        <v>0</v>
      </c>
      <c r="AY144" s="140">
        <f t="array" ref="AY144">IF(ISBLANK($A144),0,IF(OR(AY$5-$AI144&lt;=0,$AM144="Não"),N144,N144+INDEX($AO$6:$BR$176,ROW()-5,COLUMN()-40-$AI144)))*IF($B144="Operacional",IFERROR(VLOOKUP($C144,SN_UGC,28,0),0),1)</f>
        <v>0</v>
      </c>
      <c r="AZ144" s="140">
        <f t="array" ref="AZ144">IF(ISBLANK($A144),0,IF(OR(AZ$5-$AI144&lt;=0,$AM144="Não"),O144,O144+INDEX($AO$6:$BR$176,ROW()-5,COLUMN()-40-$AI144)))*IF($B144="Operacional",IFERROR(VLOOKUP($C144,SN_UGC,28,0),0),1)</f>
        <v>0</v>
      </c>
      <c r="BA144" s="140">
        <f t="array" ref="BA144">IF(ISBLANK($A144),0,IF(OR(BA$5-$AI144&lt;=0,$AM144="Não"),P144,P144+INDEX($AO$6:$BR$176,ROW()-5,COLUMN()-40-$AI144)))*IF($B144="Operacional",IFERROR(VLOOKUP($C144,SN_UGC,28,0),0),1)</f>
        <v>0</v>
      </c>
      <c r="BB144" s="140">
        <f t="array" ref="BB144">IF(ISBLANK($A144),0,IF(OR(BB$5-$AI144&lt;=0,$AM144="Não"),Q144,Q144+INDEX($AO$6:$BR$176,ROW()-5,COLUMN()-40-$AI144)))*IF($B144="Operacional",IFERROR(VLOOKUP($C144,SN_UGC,28,0),0),1)</f>
        <v>0</v>
      </c>
      <c r="BC144" s="140">
        <f t="array" ref="BC144">IF(ISBLANK($A144),0,IF(OR(BC$5-$AI144&lt;=0,$AM144="Não"),R144,R144+INDEX($AO$6:$BR$176,ROW()-5,COLUMN()-40-$AI144)))*IF($B144="Operacional",IFERROR(VLOOKUP($C144,SN_UGC,28,0),0),1)</f>
        <v>0</v>
      </c>
      <c r="BD144" s="140">
        <f t="array" ref="BD144">IF(ISBLANK($A144),0,IF(OR(BD$5-$AI144&lt;=0,$AM144="Não"),S144,S144+INDEX($AO$6:$BR$176,ROW()-5,COLUMN()-40-$AI144)))*IF($B144="Operacional",IFERROR(VLOOKUP($C144,SN_UGC,28,0),0),1)</f>
        <v>0</v>
      </c>
      <c r="BE144" s="140">
        <f t="array" ref="BE144">IF(ISBLANK($A144),0,IF(OR(BE$5-$AI144&lt;=0,$AM144="Não"),T144,T144+INDEX($AO$6:$BR$176,ROW()-5,COLUMN()-40-$AI144)))*IF($B144="Operacional",IFERROR(VLOOKUP($C144,SN_UGC,28,0),0),1)</f>
        <v>0</v>
      </c>
      <c r="BF144" s="140">
        <f t="array" ref="BF144">IF(ISBLANK($A144),0,IF(OR(BF$5-$AI144&lt;=0,$AM144="Não"),U144,U144+INDEX($AO$6:$BR$176,ROW()-5,COLUMN()-40-$AI144)))*IF($B144="Operacional",IFERROR(VLOOKUP($C144,SN_UGC,28,0),0),1)</f>
        <v>0</v>
      </c>
      <c r="BG144" s="140">
        <f t="array" ref="BG144">IF(ISBLANK($A144),0,IF(OR(BG$5-$AI144&lt;=0,$AM144="Não"),V144,V144+INDEX($AO$6:$BR$176,ROW()-5,COLUMN()-40-$AI144)))*IF($B144="Operacional",IFERROR(VLOOKUP($C144,SN_UGC,28,0),0),1)</f>
        <v>0</v>
      </c>
      <c r="BH144" s="140">
        <f t="array" ref="BH144">IF(ISBLANK($A144),0,IF(OR(BH$5-$AI144&lt;=0,$AM144="Não"),W144,W144+INDEX($AO$6:$BR$176,ROW()-5,COLUMN()-40-$AI144)))*IF($B144="Operacional",IFERROR(VLOOKUP($C144,SN_UGC,28,0),0),1)</f>
        <v>0</v>
      </c>
      <c r="BI144" s="140">
        <f t="array" ref="BI144">IF(ISBLANK($A144),0,IF(OR(BI$5-$AI144&lt;=0,$AM144="Não"),X144,X144+INDEX($AO$6:$BR$176,ROW()-5,COLUMN()-40-$AI144)))*IF($B144="Operacional",IFERROR(VLOOKUP($C144,SN_UGC,28,0),0),1)</f>
        <v>0</v>
      </c>
      <c r="BJ144" s="140">
        <f t="array" ref="BJ144">IF(ISBLANK($A144),0,IF(OR(BJ$5-$AI144&lt;=0,$AM144="Não"),Y144,Y144+INDEX($AO$6:$BR$176,ROW()-5,COLUMN()-40-$AI144)))*IF($B144="Operacional",IFERROR(VLOOKUP($C144,SN_UGC,28,0),0),1)</f>
        <v>0</v>
      </c>
      <c r="BK144" s="140">
        <f t="array" ref="BK144">IF(ISBLANK($A144),0,IF(OR(BK$5-$AI144&lt;=0,$AM144="Não"),Z144,Z144+INDEX($AO$6:$BR$176,ROW()-5,COLUMN()-40-$AI144)))*IF($B144="Operacional",IFERROR(VLOOKUP($C144,SN_UGC,28,0),0),1)</f>
        <v>0</v>
      </c>
      <c r="BL144" s="140">
        <f t="array" ref="BL144">IF(ISBLANK($A144),0,IF(OR(BL$5-$AI144&lt;=0,$AM144="Não"),AA144,AA144+INDEX($AO$6:$BR$176,ROW()-5,COLUMN()-40-$AI144)))*IF($B144="Operacional",IFERROR(VLOOKUP($C144,SN_UGC,28,0),0),1)</f>
        <v>0</v>
      </c>
      <c r="BM144" s="140">
        <f t="array" ref="BM144">IF(ISBLANK($A144),0,IF(OR(BM$5-$AI144&lt;=0,$AM144="Não"),AB144,AB144+INDEX($AO$6:$BR$176,ROW()-5,COLUMN()-40-$AI144)))*IF($B144="Operacional",IFERROR(VLOOKUP($C144,SN_UGC,28,0),0),1)</f>
        <v>0</v>
      </c>
      <c r="BN144" s="140">
        <f t="array" ref="BN144">IF(ISBLANK($A144),0,IF(OR(BN$5-$AI144&lt;=0,$AM144="Não"),AC144,AC144+INDEX($AO$6:$BR$176,ROW()-5,COLUMN()-40-$AI144)))*IF($B144="Operacional",IFERROR(VLOOKUP($C144,SN_UGC,28,0),0),1)</f>
        <v>0</v>
      </c>
      <c r="BO144" s="140">
        <f t="array" ref="BO144">IF(ISBLANK($A144),0,IF(OR(BO$5-$AI144&lt;=0,$AM144="Não"),AD144,AD144+INDEX($AO$6:$BR$176,ROW()-5,COLUMN()-40-$AI144)))*IF($B144="Operacional",IFERROR(VLOOKUP($C144,SN_UGC,28,0),0),1)</f>
        <v>0</v>
      </c>
      <c r="BP144" s="140">
        <f t="array" ref="BP144">IF(ISBLANK($A144),0,IF(OR(BP$5-$AI144&lt;=0,$AM144="Não"),AE144,AE144+INDEX($AO$6:$BR$176,ROW()-5,COLUMN()-40-$AI144)))*IF($B144="Operacional",IFERROR(VLOOKUP($C144,SN_UGC,28,0),0),1)</f>
        <v>0</v>
      </c>
      <c r="BQ144" s="140">
        <f t="array" ref="BQ144">IF(ISBLANK($A144),0,IF(OR(BQ$5-$AI144&lt;=0,$AM144="Não"),AF144,AF144+INDEX($AO$6:$BR$176,ROW()-5,COLUMN()-40-$AI144)))*IF($B144="Operacional",IFERROR(VLOOKUP($C144,SN_UGC,28,0),0),1)</f>
        <v>0</v>
      </c>
      <c r="BR144" s="140">
        <f t="array" ref="BR144">IF(ISBLANK($A144),0,IF(OR(BR$5-$AI144&lt;=0,$AM144="Não"),AG144,AG144+INDEX($AO$6:$BR$176,ROW()-5,COLUMN()-40-$AI144)))*IF($B144="Operacional",IFERROR(VLOOKUP($C144,SN_UGC,28,0),0),1)</f>
        <v>0</v>
      </c>
      <c r="BS144" s="141">
        <f t="shared" ref="BS144:CV144" si="745">IF(ISBLANK($A144),0,$AH144*AO144)</f>
        <v>0</v>
      </c>
      <c r="BT144" s="141">
        <f t="shared" si="745"/>
        <v>0</v>
      </c>
      <c r="BU144" s="141">
        <f t="shared" si="745"/>
        <v>0</v>
      </c>
      <c r="BV144" s="141">
        <f t="shared" si="745"/>
        <v>0</v>
      </c>
      <c r="BW144" s="141">
        <f t="shared" si="745"/>
        <v>0</v>
      </c>
      <c r="BX144" s="141">
        <f t="shared" si="745"/>
        <v>0</v>
      </c>
      <c r="BY144" s="141">
        <f t="shared" si="745"/>
        <v>0</v>
      </c>
      <c r="BZ144" s="141">
        <f t="shared" si="745"/>
        <v>0</v>
      </c>
      <c r="CA144" s="141">
        <f t="shared" si="745"/>
        <v>0</v>
      </c>
      <c r="CB144" s="141">
        <f t="shared" si="745"/>
        <v>0</v>
      </c>
      <c r="CC144" s="141">
        <f t="shared" si="745"/>
        <v>0</v>
      </c>
      <c r="CD144" s="141">
        <f t="shared" si="745"/>
        <v>0</v>
      </c>
      <c r="CE144" s="141">
        <f t="shared" si="745"/>
        <v>0</v>
      </c>
      <c r="CF144" s="141">
        <f t="shared" si="745"/>
        <v>0</v>
      </c>
      <c r="CG144" s="141">
        <f t="shared" si="745"/>
        <v>0</v>
      </c>
      <c r="CH144" s="141">
        <f t="shared" si="745"/>
        <v>0</v>
      </c>
      <c r="CI144" s="141">
        <f t="shared" si="745"/>
        <v>0</v>
      </c>
      <c r="CJ144" s="141">
        <f t="shared" si="745"/>
        <v>0</v>
      </c>
      <c r="CK144" s="141">
        <f t="shared" si="745"/>
        <v>0</v>
      </c>
      <c r="CL144" s="141">
        <f t="shared" si="745"/>
        <v>0</v>
      </c>
      <c r="CM144" s="141">
        <f t="shared" si="745"/>
        <v>0</v>
      </c>
      <c r="CN144" s="141">
        <f t="shared" si="745"/>
        <v>0</v>
      </c>
      <c r="CO144" s="141">
        <f t="shared" si="745"/>
        <v>0</v>
      </c>
      <c r="CP144" s="141">
        <f t="shared" si="745"/>
        <v>0</v>
      </c>
      <c r="CQ144" s="141">
        <f t="shared" si="745"/>
        <v>0</v>
      </c>
      <c r="CR144" s="141">
        <f t="shared" si="745"/>
        <v>0</v>
      </c>
      <c r="CS144" s="141">
        <f t="shared" si="745"/>
        <v>0</v>
      </c>
      <c r="CT144" s="141">
        <f t="shared" si="745"/>
        <v>0</v>
      </c>
      <c r="CU144" s="141">
        <f t="shared" si="745"/>
        <v>0</v>
      </c>
      <c r="CV144" s="141">
        <f t="shared" si="745"/>
        <v>0</v>
      </c>
      <c r="CW144" s="142">
        <f t="shared" ref="CW144:DZ144" si="746">EA144*$AH144*$AJ144</f>
        <v>0</v>
      </c>
      <c r="CX144" s="142">
        <f t="shared" si="746"/>
        <v>0</v>
      </c>
      <c r="CY144" s="142">
        <f t="shared" si="746"/>
        <v>0</v>
      </c>
      <c r="CZ144" s="142">
        <f t="shared" si="746"/>
        <v>0</v>
      </c>
      <c r="DA144" s="142">
        <f t="shared" si="746"/>
        <v>0</v>
      </c>
      <c r="DB144" s="142">
        <f t="shared" si="746"/>
        <v>0</v>
      </c>
      <c r="DC144" s="142">
        <f t="shared" si="746"/>
        <v>0</v>
      </c>
      <c r="DD144" s="142">
        <f t="shared" si="746"/>
        <v>0</v>
      </c>
      <c r="DE144" s="142">
        <f t="shared" si="746"/>
        <v>0</v>
      </c>
      <c r="DF144" s="142">
        <f t="shared" si="746"/>
        <v>0</v>
      </c>
      <c r="DG144" s="142">
        <f t="shared" si="746"/>
        <v>0</v>
      </c>
      <c r="DH144" s="142">
        <f t="shared" si="746"/>
        <v>0</v>
      </c>
      <c r="DI144" s="142">
        <f t="shared" si="746"/>
        <v>0</v>
      </c>
      <c r="DJ144" s="142">
        <f t="shared" si="746"/>
        <v>0</v>
      </c>
      <c r="DK144" s="142">
        <f t="shared" si="746"/>
        <v>0</v>
      </c>
      <c r="DL144" s="142">
        <f t="shared" si="746"/>
        <v>0</v>
      </c>
      <c r="DM144" s="142">
        <f t="shared" si="746"/>
        <v>0</v>
      </c>
      <c r="DN144" s="142">
        <f t="shared" si="746"/>
        <v>0</v>
      </c>
      <c r="DO144" s="142">
        <f t="shared" si="746"/>
        <v>0</v>
      </c>
      <c r="DP144" s="142">
        <f t="shared" si="746"/>
        <v>0</v>
      </c>
      <c r="DQ144" s="142">
        <f t="shared" si="746"/>
        <v>0</v>
      </c>
      <c r="DR144" s="142">
        <f t="shared" si="746"/>
        <v>0</v>
      </c>
      <c r="DS144" s="142">
        <f t="shared" si="746"/>
        <v>0</v>
      </c>
      <c r="DT144" s="142">
        <f t="shared" si="746"/>
        <v>0</v>
      </c>
      <c r="DU144" s="142">
        <f t="shared" si="746"/>
        <v>0</v>
      </c>
      <c r="DV144" s="142">
        <f t="shared" si="746"/>
        <v>0</v>
      </c>
      <c r="DW144" s="142">
        <f t="shared" si="746"/>
        <v>0</v>
      </c>
      <c r="DX144" s="142">
        <f t="shared" si="746"/>
        <v>0</v>
      </c>
      <c r="DY144" s="142">
        <f t="shared" si="746"/>
        <v>0</v>
      </c>
      <c r="DZ144" s="142">
        <f t="shared" si="746"/>
        <v>0</v>
      </c>
      <c r="EA144" s="143">
        <f t="shared" si="670"/>
        <v>0</v>
      </c>
      <c r="EB144" s="143">
        <f t="shared" si="671"/>
        <v>0</v>
      </c>
      <c r="EC144" s="143">
        <f t="shared" si="672"/>
        <v>0</v>
      </c>
      <c r="ED144" s="143">
        <f t="shared" si="673"/>
        <v>0</v>
      </c>
      <c r="EE144" s="143">
        <f t="shared" si="674"/>
        <v>0</v>
      </c>
      <c r="EF144" s="143">
        <f t="shared" si="675"/>
        <v>0</v>
      </c>
      <c r="EG144" s="143">
        <f t="shared" si="676"/>
        <v>0</v>
      </c>
      <c r="EH144" s="143">
        <f t="shared" si="677"/>
        <v>0</v>
      </c>
      <c r="EI144" s="143">
        <f t="shared" si="678"/>
        <v>0</v>
      </c>
      <c r="EJ144" s="143">
        <f t="shared" si="679"/>
        <v>0</v>
      </c>
      <c r="EK144" s="143">
        <f t="shared" si="680"/>
        <v>0</v>
      </c>
      <c r="EL144" s="143">
        <f t="shared" si="681"/>
        <v>0</v>
      </c>
      <c r="EM144" s="143">
        <f t="shared" si="682"/>
        <v>0</v>
      </c>
      <c r="EN144" s="143">
        <f t="shared" si="683"/>
        <v>0</v>
      </c>
      <c r="EO144" s="143">
        <f t="shared" si="684"/>
        <v>0</v>
      </c>
      <c r="EP144" s="143">
        <f t="shared" si="685"/>
        <v>0</v>
      </c>
      <c r="EQ144" s="143">
        <f t="shared" si="686"/>
        <v>0</v>
      </c>
      <c r="ER144" s="143">
        <f t="shared" si="687"/>
        <v>0</v>
      </c>
      <c r="ES144" s="143">
        <f t="shared" si="688"/>
        <v>0</v>
      </c>
      <c r="ET144" s="143">
        <f t="shared" si="689"/>
        <v>0</v>
      </c>
      <c r="EU144" s="143">
        <f t="shared" si="690"/>
        <v>0</v>
      </c>
      <c r="EV144" s="143">
        <f t="shared" si="691"/>
        <v>0</v>
      </c>
      <c r="EW144" s="143">
        <f t="shared" si="692"/>
        <v>0</v>
      </c>
      <c r="EX144" s="143">
        <f t="shared" si="693"/>
        <v>0</v>
      </c>
      <c r="EY144" s="143">
        <f t="shared" si="694"/>
        <v>0</v>
      </c>
      <c r="EZ144" s="143">
        <f t="shared" si="695"/>
        <v>0</v>
      </c>
      <c r="FA144" s="143">
        <f t="shared" si="696"/>
        <v>0</v>
      </c>
      <c r="FB144" s="143">
        <f t="shared" si="697"/>
        <v>0</v>
      </c>
      <c r="FC144" s="143">
        <f t="shared" si="698"/>
        <v>0</v>
      </c>
      <c r="FD144" s="143">
        <f t="shared" si="699"/>
        <v>0</v>
      </c>
      <c r="FE144" s="140">
        <f>SUM($D144:D144)*IF($B144="Operacional",IFERROR(VLOOKUP($C144,SN_UGC,28,0),0),1)</f>
        <v>0</v>
      </c>
      <c r="FF144" s="140">
        <f>SUM($D144:E144)*IF($B144="Operacional",IFERROR(VLOOKUP($C144,SN_UGC,28,0),0),1)</f>
        <v>0</v>
      </c>
      <c r="FG144" s="140">
        <f>SUM($D144:F144)*IF($B144="Operacional",IFERROR(VLOOKUP($C144,SN_UGC,28,0),0),1)</f>
        <v>0</v>
      </c>
      <c r="FH144" s="140">
        <f>SUM($D144:G144)*IF($B144="Operacional",IFERROR(VLOOKUP($C144,SN_UGC,28,0),0),1)</f>
        <v>0</v>
      </c>
      <c r="FI144" s="140">
        <f>SUM($D144:H144)*IF($B144="Operacional",IFERROR(VLOOKUP($C144,SN_UGC,28,0),0),1)</f>
        <v>0</v>
      </c>
      <c r="FJ144" s="140">
        <f>SUM($D144:I144)*IF($B144="Operacional",IFERROR(VLOOKUP($C144,SN_UGC,28,0),0),1)</f>
        <v>0</v>
      </c>
      <c r="FK144" s="140">
        <f>SUM($D144:J144)*IF($B144="Operacional",IFERROR(VLOOKUP($C144,SN_UGC,28,0),0),1)</f>
        <v>0</v>
      </c>
      <c r="FL144" s="140">
        <f>SUM($D144:K144)*IF($B144="Operacional",IFERROR(VLOOKUP($C144,SN_UGC,28,0),0),1)</f>
        <v>0</v>
      </c>
      <c r="FM144" s="140">
        <f>SUM($D144:L144)*IF($B144="Operacional",IFERROR(VLOOKUP($C144,SN_UGC,28,0),0),1)</f>
        <v>0</v>
      </c>
      <c r="FN144" s="140">
        <f>SUM($D144:M144)*IF($B144="Operacional",IFERROR(VLOOKUP($C144,SN_UGC,28,0),0),1)</f>
        <v>0</v>
      </c>
      <c r="FO144" s="140">
        <f>SUM($D144:N144)*IF($B144="Operacional",IFERROR(VLOOKUP($C144,SN_UGC,28,0),0),1)</f>
        <v>0</v>
      </c>
      <c r="FP144" s="140">
        <f>SUM($D144:O144)*IF($B144="Operacional",IFERROR(VLOOKUP($C144,SN_UGC,28,0),0),1)</f>
        <v>0</v>
      </c>
      <c r="FQ144" s="140">
        <f>SUM($D144:P144)*IF($B144="Operacional",IFERROR(VLOOKUP($C144,SN_UGC,28,0),0),1)</f>
        <v>0</v>
      </c>
      <c r="FR144" s="140">
        <f>SUM($D144:Q144)*IF($B144="Operacional",IFERROR(VLOOKUP($C144,SN_UGC,28,0),0),1)</f>
        <v>0</v>
      </c>
      <c r="FS144" s="140">
        <f>SUM($D144:R144)*IF($B144="Operacional",IFERROR(VLOOKUP($C144,SN_UGC,28,0),0),1)</f>
        <v>0</v>
      </c>
      <c r="FT144" s="140">
        <f>SUM($D144:S144)*IF($B144="Operacional",IFERROR(VLOOKUP($C144,SN_UGC,28,0),0),1)</f>
        <v>0</v>
      </c>
      <c r="FU144" s="140">
        <f>SUM($D144:T144)*IF($B144="Operacional",IFERROR(VLOOKUP($C144,SN_UGC,28,0),0),1)</f>
        <v>0</v>
      </c>
      <c r="FV144" s="140">
        <f>SUM($D144:U144)*IF($B144="Operacional",IFERROR(VLOOKUP($C144,SN_UGC,28,0),0),1)</f>
        <v>0</v>
      </c>
      <c r="FW144" s="140">
        <f>SUM($D144:V144)*IF($B144="Operacional",IFERROR(VLOOKUP($C144,SN_UGC,28,0),0),1)</f>
        <v>0</v>
      </c>
      <c r="FX144" s="140">
        <f>SUM($D144:W144)*IF($B144="Operacional",IFERROR(VLOOKUP($C144,SN_UGC,28,0),0),1)</f>
        <v>0</v>
      </c>
      <c r="FY144" s="140">
        <f>SUM($D144:X144)*IF($B144="Operacional",IFERROR(VLOOKUP($C144,SN_UGC,28,0),0),1)</f>
        <v>0</v>
      </c>
      <c r="FZ144" s="140">
        <f>SUM($D144:Y144)*IF($B144="Operacional",IFERROR(VLOOKUP($C144,SN_UGC,28,0),0),1)</f>
        <v>0</v>
      </c>
      <c r="GA144" s="140">
        <f>SUM($D144:Z144)*IF($B144="Operacional",IFERROR(VLOOKUP($C144,SN_UGC,28,0),0),1)</f>
        <v>0</v>
      </c>
      <c r="GB144" s="140">
        <f>SUM($D144:AA144)*IF($B144="Operacional",IFERROR(VLOOKUP($C144,SN_UGC,28,0),0),1)</f>
        <v>0</v>
      </c>
      <c r="GC144" s="140">
        <f>SUM($D144:AB144)*IF($B144="Operacional",IFERROR(VLOOKUP($C144,SN_UGC,28,0),0),1)</f>
        <v>0</v>
      </c>
      <c r="GD144" s="140">
        <f>SUM($D144:AC144)*IF($B144="Operacional",IFERROR(VLOOKUP($C144,SN_UGC,28,0),0),1)</f>
        <v>0</v>
      </c>
      <c r="GE144" s="140">
        <f>SUM($D144:AD144)*IF($B144="Operacional",IFERROR(VLOOKUP($C144,SN_UGC,28,0),0),1)</f>
        <v>0</v>
      </c>
      <c r="GF144" s="140">
        <f>SUM($D144:AE144)*IF($B144="Operacional",IFERROR(VLOOKUP($C144,SN_UGC,28,0),0),1)</f>
        <v>0</v>
      </c>
      <c r="GG144" s="140">
        <f>SUM($D144:AF144)*IF($B144="Operacional",IFERROR(VLOOKUP($C144,SN_UGC,28,0),0),1)</f>
        <v>0</v>
      </c>
      <c r="GH144" s="140">
        <f>SUM($D144:AG144)*IF($B144="Operacional",IFERROR(VLOOKUP($C144,SN_UGC,28,0),0),1)</f>
        <v>0</v>
      </c>
      <c r="GI144" s="141">
        <f t="shared" ref="GI144:HL144" si="747">FE144*$AH144*$AL144</f>
        <v>0</v>
      </c>
      <c r="GJ144" s="141">
        <f t="shared" si="747"/>
        <v>0</v>
      </c>
      <c r="GK144" s="141">
        <f t="shared" si="747"/>
        <v>0</v>
      </c>
      <c r="GL144" s="141">
        <f t="shared" si="747"/>
        <v>0</v>
      </c>
      <c r="GM144" s="141">
        <f t="shared" si="747"/>
        <v>0</v>
      </c>
      <c r="GN144" s="141">
        <f t="shared" si="747"/>
        <v>0</v>
      </c>
      <c r="GO144" s="141">
        <f t="shared" si="747"/>
        <v>0</v>
      </c>
      <c r="GP144" s="141">
        <f t="shared" si="747"/>
        <v>0</v>
      </c>
      <c r="GQ144" s="141">
        <f t="shared" si="747"/>
        <v>0</v>
      </c>
      <c r="GR144" s="141">
        <f t="shared" si="747"/>
        <v>0</v>
      </c>
      <c r="GS144" s="141">
        <f t="shared" si="747"/>
        <v>0</v>
      </c>
      <c r="GT144" s="141">
        <f t="shared" si="747"/>
        <v>0</v>
      </c>
      <c r="GU144" s="141">
        <f t="shared" si="747"/>
        <v>0</v>
      </c>
      <c r="GV144" s="141">
        <f t="shared" si="747"/>
        <v>0</v>
      </c>
      <c r="GW144" s="141">
        <f t="shared" si="747"/>
        <v>0</v>
      </c>
      <c r="GX144" s="141">
        <f t="shared" si="747"/>
        <v>0</v>
      </c>
      <c r="GY144" s="141">
        <f t="shared" si="747"/>
        <v>0</v>
      </c>
      <c r="GZ144" s="141">
        <f t="shared" si="747"/>
        <v>0</v>
      </c>
      <c r="HA144" s="141">
        <f t="shared" si="747"/>
        <v>0</v>
      </c>
      <c r="HB144" s="141">
        <f t="shared" si="747"/>
        <v>0</v>
      </c>
      <c r="HC144" s="141">
        <f t="shared" si="747"/>
        <v>0</v>
      </c>
      <c r="HD144" s="141">
        <f t="shared" si="747"/>
        <v>0</v>
      </c>
      <c r="HE144" s="141">
        <f t="shared" si="747"/>
        <v>0</v>
      </c>
      <c r="HF144" s="141">
        <f t="shared" si="747"/>
        <v>0</v>
      </c>
      <c r="HG144" s="141">
        <f t="shared" si="747"/>
        <v>0</v>
      </c>
      <c r="HH144" s="141">
        <f t="shared" si="747"/>
        <v>0</v>
      </c>
      <c r="HI144" s="141">
        <f t="shared" si="747"/>
        <v>0</v>
      </c>
      <c r="HJ144" s="141">
        <f t="shared" si="747"/>
        <v>0</v>
      </c>
      <c r="HK144" s="141">
        <f t="shared" si="747"/>
        <v>0</v>
      </c>
      <c r="HL144" s="141">
        <f t="shared" si="747"/>
        <v>0</v>
      </c>
      <c r="HM144" s="142">
        <f t="shared" ref="HM144:IP144" si="748">IF(ISBLANK($A144),,FE144*($AH144-($AH144*$AJ144))/$AI144)</f>
        <v>0</v>
      </c>
      <c r="HN144" s="142">
        <f t="shared" si="748"/>
        <v>0</v>
      </c>
      <c r="HO144" s="142">
        <f t="shared" si="748"/>
        <v>0</v>
      </c>
      <c r="HP144" s="142">
        <f t="shared" si="748"/>
        <v>0</v>
      </c>
      <c r="HQ144" s="142">
        <f t="shared" si="748"/>
        <v>0</v>
      </c>
      <c r="HR144" s="142">
        <f t="shared" si="748"/>
        <v>0</v>
      </c>
      <c r="HS144" s="142">
        <f t="shared" si="748"/>
        <v>0</v>
      </c>
      <c r="HT144" s="142">
        <f t="shared" si="748"/>
        <v>0</v>
      </c>
      <c r="HU144" s="142">
        <f t="shared" si="748"/>
        <v>0</v>
      </c>
      <c r="HV144" s="142">
        <f t="shared" si="748"/>
        <v>0</v>
      </c>
      <c r="HW144" s="142">
        <f t="shared" si="748"/>
        <v>0</v>
      </c>
      <c r="HX144" s="142">
        <f t="shared" si="748"/>
        <v>0</v>
      </c>
      <c r="HY144" s="142">
        <f t="shared" si="748"/>
        <v>0</v>
      </c>
      <c r="HZ144" s="142">
        <f t="shared" si="748"/>
        <v>0</v>
      </c>
      <c r="IA144" s="142">
        <f t="shared" si="748"/>
        <v>0</v>
      </c>
      <c r="IB144" s="142">
        <f t="shared" si="748"/>
        <v>0</v>
      </c>
      <c r="IC144" s="142">
        <f t="shared" si="748"/>
        <v>0</v>
      </c>
      <c r="ID144" s="142">
        <f t="shared" si="748"/>
        <v>0</v>
      </c>
      <c r="IE144" s="142">
        <f t="shared" si="748"/>
        <v>0</v>
      </c>
      <c r="IF144" s="142">
        <f t="shared" si="748"/>
        <v>0</v>
      </c>
      <c r="IG144" s="142">
        <f t="shared" si="748"/>
        <v>0</v>
      </c>
      <c r="IH144" s="142">
        <f t="shared" si="748"/>
        <v>0</v>
      </c>
      <c r="II144" s="142">
        <f t="shared" si="748"/>
        <v>0</v>
      </c>
      <c r="IJ144" s="142">
        <f t="shared" si="748"/>
        <v>0</v>
      </c>
      <c r="IK144" s="142">
        <f t="shared" si="748"/>
        <v>0</v>
      </c>
      <c r="IL144" s="142">
        <f t="shared" si="748"/>
        <v>0</v>
      </c>
      <c r="IM144" s="142">
        <f t="shared" si="748"/>
        <v>0</v>
      </c>
      <c r="IN144" s="142">
        <f t="shared" si="748"/>
        <v>0</v>
      </c>
      <c r="IO144" s="142">
        <f t="shared" si="748"/>
        <v>0</v>
      </c>
      <c r="IP144" s="142">
        <f t="shared" si="748"/>
        <v>0</v>
      </c>
      <c r="IQ144" s="141">
        <f>IF(ISBLANK($A144),,IF($AN144="Não",0,(SUM($AO144:AO144)*$AH144)-SUM($HM144:HM144)-SUM($CW144:CW144)))</f>
        <v>0</v>
      </c>
      <c r="IR144" s="141">
        <f>IF(ISBLANK($A144),,IF($AN144="Não",0,(SUM($AO144:AP144)*$AH144)-SUM($HM144:HN144)-SUM($CW144:CX144)))</f>
        <v>0</v>
      </c>
      <c r="IS144" s="141">
        <f>IF(ISBLANK($A144),,IF($AN144="Não",0,(SUM($AO144:AQ144)*$AH144)-SUM($HM144:HO144)-SUM($CW144:CY144)))</f>
        <v>0</v>
      </c>
      <c r="IT144" s="141">
        <f>IF(ISBLANK($A144),,IF($AN144="Não",0,(SUM($AO144:AR144)*$AH144)-SUM($HM144:HP144)-SUM($CW144:CZ144)))</f>
        <v>0</v>
      </c>
      <c r="IU144" s="141">
        <f>IF(ISBLANK($A144),,IF($AN144="Não",0,(SUM($AO144:AS144)*$AH144)-SUM($HM144:HQ144)-SUM($CW144:DA144)))</f>
        <v>0</v>
      </c>
      <c r="IV144" s="141">
        <f>IF(ISBLANK($A144),,IF($AN144="Não",0,(SUM($AO144:AT144)*$AH144)-SUM($HM144:HR144)-SUM($CW144:DB144)))</f>
        <v>0</v>
      </c>
      <c r="IW144" s="141">
        <f>IF(ISBLANK($A144),,IF($AN144="Não",0,(SUM($AO144:AU144)*$AH144)-SUM($HM144:HS144)-SUM($CW144:DC144)))</f>
        <v>0</v>
      </c>
      <c r="IX144" s="141">
        <f>IF(ISBLANK($A144),,IF($AN144="Não",0,(SUM($AO144:AV144)*$AH144)-SUM($HM144:HT144)-SUM($CW144:DD144)))</f>
        <v>0</v>
      </c>
      <c r="IY144" s="141">
        <f>IF(ISBLANK($A144),,IF($AN144="Não",0,(SUM($AO144:AW144)*$AH144)-SUM($HM144:HU144)-SUM($CW144:DE144)))</f>
        <v>0</v>
      </c>
      <c r="IZ144" s="141">
        <f>IF(ISBLANK($A144),,IF($AN144="Não",0,(SUM($AO144:AX144)*$AH144)-SUM($HM144:HV144)-SUM($CW144:DF144)))</f>
        <v>0</v>
      </c>
      <c r="JA144" s="141">
        <f>IF(ISBLANK($A144),,IF($AN144="Não",0,(SUM($AO144:AY144)*$AH144)-SUM($HM144:HW144)-SUM($CW144:DG144)))</f>
        <v>0</v>
      </c>
      <c r="JB144" s="141">
        <f>IF(ISBLANK($A144),,IF($AN144="Não",0,(SUM($AO144:AZ144)*$AH144)-SUM($HM144:HX144)-SUM($CW144:DH144)))</f>
        <v>0</v>
      </c>
      <c r="JC144" s="141">
        <f>IF(ISBLANK($A144),,IF($AN144="Não",0,(SUM($AO144:BA144)*$AH144)-SUM($HM144:HY144)-SUM($CW144:DI144)))</f>
        <v>0</v>
      </c>
      <c r="JD144" s="141">
        <f>IF(ISBLANK($A144),,IF($AN144="Não",0,(SUM($AO144:BB144)*$AH144)-SUM($HM144:HZ144)-SUM($CW144:DJ144)))</f>
        <v>0</v>
      </c>
      <c r="JE144" s="141">
        <f>IF(ISBLANK($A144),,IF($AN144="Não",0,(SUM($AO144:BC144)*$AH144)-SUM($HM144:IA144)-SUM($CW144:DK144)))</f>
        <v>0</v>
      </c>
      <c r="JF144" s="141">
        <f>IF(ISBLANK($A144),,IF($AN144="Não",0,(SUM($AO144:BD144)*$AH144)-SUM($HM144:IB144)-SUM($CW144:DL144)))</f>
        <v>0</v>
      </c>
      <c r="JG144" s="141">
        <f>IF(ISBLANK($A144),,IF($AN144="Não",0,(SUM($AO144:BE144)*$AH144)-SUM($HM144:IC144)-SUM($CW144:DM144)))</f>
        <v>0</v>
      </c>
      <c r="JH144" s="141">
        <f>IF(ISBLANK($A144),,IF($AN144="Não",0,(SUM($AO144:BF144)*$AH144)-SUM($HM144:ID144)-SUM($CW144:DN144)))</f>
        <v>0</v>
      </c>
      <c r="JI144" s="141">
        <f>IF(ISBLANK($A144),,IF($AN144="Não",0,(SUM($AO144:BG144)*$AH144)-SUM($HM144:IE144)-SUM($CW144:DO144)))</f>
        <v>0</v>
      </c>
      <c r="JJ144" s="141">
        <f>IF(ISBLANK($A144),,IF($AN144="Não",0,(SUM($AO144:BH144)*$AH144)-SUM($HM144:IF144)-SUM($CW144:DP144)))</f>
        <v>0</v>
      </c>
      <c r="JK144" s="141">
        <f>IF(ISBLANK($A144),,IF($AN144="Não",0,(SUM($AO144:BI144)*$AH144)-SUM($HM144:IG144)-SUM($CW144:DQ144)))</f>
        <v>0</v>
      </c>
      <c r="JL144" s="141">
        <f>IF(ISBLANK($A144),,IF($AN144="Não",0,(SUM($AO144:BJ144)*$AH144)-SUM($HM144:IH144)-SUM($CW144:DR144)))</f>
        <v>0</v>
      </c>
      <c r="JM144" s="141">
        <f>IF(ISBLANK($A144),,IF($AN144="Não",0,(SUM($AO144:BK144)*$AH144)-SUM($HM144:II144)-SUM($CW144:DS144)))</f>
        <v>0</v>
      </c>
      <c r="JN144" s="141">
        <f>IF(ISBLANK($A144),,IF($AN144="Não",0,(SUM($AO144:BL144)*$AH144)-SUM($HM144:IJ144)-SUM($CW144:DT144)))</f>
        <v>0</v>
      </c>
      <c r="JO144" s="141">
        <f>IF(ISBLANK($A144),,IF($AN144="Não",0,(SUM($AO144:BM144)*$AH144)-SUM($HM144:IK144)-SUM($CW144:DU144)))</f>
        <v>0</v>
      </c>
      <c r="JP144" s="141">
        <f>IF(ISBLANK($A144),,IF($AN144="Não",0,(SUM($AO144:BN144)*$AH144)-SUM($HM144:IL144)-SUM($CW144:DV144)))</f>
        <v>0</v>
      </c>
      <c r="JQ144" s="141">
        <f>IF(ISBLANK($A144),,IF($AN144="Não",0,(SUM($AO144:BO144)*$AH144)-SUM($HM144:IM144)-SUM($CW144:DW144)))</f>
        <v>0</v>
      </c>
      <c r="JR144" s="141">
        <f>IF(ISBLANK($A144),,IF($AN144="Não",0,(SUM($AO144:BP144)*$AH144)-SUM($HM144:IN144)-SUM($CW144:DX144)))</f>
        <v>0</v>
      </c>
      <c r="JS144" s="141">
        <f>IF(ISBLANK($A144),,IF($AN144="Não",0,(SUM($AO144:BQ144)*$AH144)-SUM($HM144:IO144)-SUM($CW144:DY144)))</f>
        <v>0</v>
      </c>
      <c r="JT144" s="141">
        <f>IF(ISBLANK($A144),,IF($AN144="Não",0,(SUM($AO144:BR144)*$AH144)-SUM($HM144:IP144)-SUM($CW144:DZ144)))</f>
        <v>0</v>
      </c>
    </row>
    <row r="145" spans="1:280" ht="15.75" customHeight="1">
      <c r="A145" s="129"/>
      <c r="B145" s="129"/>
      <c r="C145" s="138"/>
      <c r="D145" s="139"/>
      <c r="E145" s="139"/>
      <c r="F145" s="139"/>
      <c r="G145" s="139"/>
      <c r="H145" s="139"/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607">
        <f t="shared" si="710"/>
        <v>0</v>
      </c>
      <c r="AI145" s="608">
        <f t="shared" si="711"/>
        <v>0</v>
      </c>
      <c r="AJ145" s="609">
        <f t="shared" si="712"/>
        <v>0</v>
      </c>
      <c r="AK145" s="610" t="str">
        <f t="shared" si="713"/>
        <v/>
      </c>
      <c r="AL145" s="609">
        <f t="shared" si="714"/>
        <v>0</v>
      </c>
      <c r="AM145" s="611" t="str">
        <f t="shared" si="715"/>
        <v/>
      </c>
      <c r="AN145" s="611" t="str">
        <f t="shared" si="716"/>
        <v/>
      </c>
      <c r="AO145" s="140">
        <f t="array" ref="AO145">IF(ISBLANK($A145),0,IF(OR(AO$5-$AI145&lt;=0,$AM145="Não"),D145,D145+INDEX($AO$6:$BR$176,ROW()-5,COLUMN()-40-$AI145)))*IF($B145="Operacional",IFERROR(VLOOKUP($C145,SN_UGC,28,0),0),1)</f>
        <v>0</v>
      </c>
      <c r="AP145" s="140">
        <f t="array" ref="AP145">IF(ISBLANK($A145),0,IF(OR(AP$5-$AI145&lt;=0,$AM145="Não"),E145,E145+INDEX($AO$6:$BR$176,ROW()-5,COLUMN()-40-$AI145)))*IF($B145="Operacional",IFERROR(VLOOKUP($C145,SN_UGC,28,0),0),1)</f>
        <v>0</v>
      </c>
      <c r="AQ145" s="140">
        <f t="array" ref="AQ145">IF(ISBLANK($A145),0,IF(OR(AQ$5-$AI145&lt;=0,$AM145="Não"),F145,F145+INDEX($AO$6:$BR$176,ROW()-5,COLUMN()-40-$AI145)))*IF($B145="Operacional",IFERROR(VLOOKUP($C145,SN_UGC,28,0),0),1)</f>
        <v>0</v>
      </c>
      <c r="AR145" s="140">
        <f t="array" ref="AR145">IF(ISBLANK($A145),0,IF(OR(AR$5-$AI145&lt;=0,$AM145="Não"),G145,G145+INDEX($AO$6:$BR$176,ROW()-5,COLUMN()-40-$AI145)))*IF($B145="Operacional",IFERROR(VLOOKUP($C145,SN_UGC,28,0),0),1)</f>
        <v>0</v>
      </c>
      <c r="AS145" s="140">
        <f t="array" ref="AS145">IF(ISBLANK($A145),0,IF(OR(AS$5-$AI145&lt;=0,$AM145="Não"),H145,H145+INDEX($AO$6:$BR$176,ROW()-5,COLUMN()-40-$AI145)))*IF($B145="Operacional",IFERROR(VLOOKUP($C145,SN_UGC,28,0),0),1)</f>
        <v>0</v>
      </c>
      <c r="AT145" s="140">
        <f t="array" ref="AT145">IF(ISBLANK($A145),0,IF(OR(AT$5-$AI145&lt;=0,$AM145="Não"),I145,I145+INDEX($AO$6:$BR$176,ROW()-5,COLUMN()-40-$AI145)))*IF($B145="Operacional",IFERROR(VLOOKUP($C145,SN_UGC,28,0),0),1)</f>
        <v>0</v>
      </c>
      <c r="AU145" s="140">
        <f t="array" ref="AU145">IF(ISBLANK($A145),0,IF(OR(AU$5-$AI145&lt;=0,$AM145="Não"),J145,J145+INDEX($AO$6:$BR$176,ROW()-5,COLUMN()-40-$AI145)))*IF($B145="Operacional",IFERROR(VLOOKUP($C145,SN_UGC,28,0),0),1)</f>
        <v>0</v>
      </c>
      <c r="AV145" s="140">
        <f t="array" ref="AV145">IF(ISBLANK($A145),0,IF(OR(AV$5-$AI145&lt;=0,$AM145="Não"),K145,K145+INDEX($AO$6:$BR$176,ROW()-5,COLUMN()-40-$AI145)))*IF($B145="Operacional",IFERROR(VLOOKUP($C145,SN_UGC,28,0),0),1)</f>
        <v>0</v>
      </c>
      <c r="AW145" s="140">
        <f t="array" ref="AW145">IF(ISBLANK($A145),0,IF(OR(AW$5-$AI145&lt;=0,$AM145="Não"),L145,L145+INDEX($AO$6:$BR$176,ROW()-5,COLUMN()-40-$AI145)))*IF($B145="Operacional",IFERROR(VLOOKUP($C145,SN_UGC,28,0),0),1)</f>
        <v>0</v>
      </c>
      <c r="AX145" s="140">
        <f t="array" ref="AX145">IF(ISBLANK($A145),0,IF(OR(AX$5-$AI145&lt;=0,$AM145="Não"),M145,M145+INDEX($AO$6:$BR$176,ROW()-5,COLUMN()-40-$AI145)))*IF($B145="Operacional",IFERROR(VLOOKUP($C145,SN_UGC,28,0),0),1)</f>
        <v>0</v>
      </c>
      <c r="AY145" s="140">
        <f t="array" ref="AY145">IF(ISBLANK($A145),0,IF(OR(AY$5-$AI145&lt;=0,$AM145="Não"),N145,N145+INDEX($AO$6:$BR$176,ROW()-5,COLUMN()-40-$AI145)))*IF($B145="Operacional",IFERROR(VLOOKUP($C145,SN_UGC,28,0),0),1)</f>
        <v>0</v>
      </c>
      <c r="AZ145" s="140">
        <f t="array" ref="AZ145">IF(ISBLANK($A145),0,IF(OR(AZ$5-$AI145&lt;=0,$AM145="Não"),O145,O145+INDEX($AO$6:$BR$176,ROW()-5,COLUMN()-40-$AI145)))*IF($B145="Operacional",IFERROR(VLOOKUP($C145,SN_UGC,28,0),0),1)</f>
        <v>0</v>
      </c>
      <c r="BA145" s="140">
        <f t="array" ref="BA145">IF(ISBLANK($A145),0,IF(OR(BA$5-$AI145&lt;=0,$AM145="Não"),P145,P145+INDEX($AO$6:$BR$176,ROW()-5,COLUMN()-40-$AI145)))*IF($B145="Operacional",IFERROR(VLOOKUP($C145,SN_UGC,28,0),0),1)</f>
        <v>0</v>
      </c>
      <c r="BB145" s="140">
        <f t="array" ref="BB145">IF(ISBLANK($A145),0,IF(OR(BB$5-$AI145&lt;=0,$AM145="Não"),Q145,Q145+INDEX($AO$6:$BR$176,ROW()-5,COLUMN()-40-$AI145)))*IF($B145="Operacional",IFERROR(VLOOKUP($C145,SN_UGC,28,0),0),1)</f>
        <v>0</v>
      </c>
      <c r="BC145" s="140">
        <f t="array" ref="BC145">IF(ISBLANK($A145),0,IF(OR(BC$5-$AI145&lt;=0,$AM145="Não"),R145,R145+INDEX($AO$6:$BR$176,ROW()-5,COLUMN()-40-$AI145)))*IF($B145="Operacional",IFERROR(VLOOKUP($C145,SN_UGC,28,0),0),1)</f>
        <v>0</v>
      </c>
      <c r="BD145" s="140">
        <f t="array" ref="BD145">IF(ISBLANK($A145),0,IF(OR(BD$5-$AI145&lt;=0,$AM145="Não"),S145,S145+INDEX($AO$6:$BR$176,ROW()-5,COLUMN()-40-$AI145)))*IF($B145="Operacional",IFERROR(VLOOKUP($C145,SN_UGC,28,0),0),1)</f>
        <v>0</v>
      </c>
      <c r="BE145" s="140">
        <f t="array" ref="BE145">IF(ISBLANK($A145),0,IF(OR(BE$5-$AI145&lt;=0,$AM145="Não"),T145,T145+INDEX($AO$6:$BR$176,ROW()-5,COLUMN()-40-$AI145)))*IF($B145="Operacional",IFERROR(VLOOKUP($C145,SN_UGC,28,0),0),1)</f>
        <v>0</v>
      </c>
      <c r="BF145" s="140">
        <f t="array" ref="BF145">IF(ISBLANK($A145),0,IF(OR(BF$5-$AI145&lt;=0,$AM145="Não"),U145,U145+INDEX($AO$6:$BR$176,ROW()-5,COLUMN()-40-$AI145)))*IF($B145="Operacional",IFERROR(VLOOKUP($C145,SN_UGC,28,0),0),1)</f>
        <v>0</v>
      </c>
      <c r="BG145" s="140">
        <f t="array" ref="BG145">IF(ISBLANK($A145),0,IF(OR(BG$5-$AI145&lt;=0,$AM145="Não"),V145,V145+INDEX($AO$6:$BR$176,ROW()-5,COLUMN()-40-$AI145)))*IF($B145="Operacional",IFERROR(VLOOKUP($C145,SN_UGC,28,0),0),1)</f>
        <v>0</v>
      </c>
      <c r="BH145" s="140">
        <f t="array" ref="BH145">IF(ISBLANK($A145),0,IF(OR(BH$5-$AI145&lt;=0,$AM145="Não"),W145,W145+INDEX($AO$6:$BR$176,ROW()-5,COLUMN()-40-$AI145)))*IF($B145="Operacional",IFERROR(VLOOKUP($C145,SN_UGC,28,0),0),1)</f>
        <v>0</v>
      </c>
      <c r="BI145" s="140">
        <f t="array" ref="BI145">IF(ISBLANK($A145),0,IF(OR(BI$5-$AI145&lt;=0,$AM145="Não"),X145,X145+INDEX($AO$6:$BR$176,ROW()-5,COLUMN()-40-$AI145)))*IF($B145="Operacional",IFERROR(VLOOKUP($C145,SN_UGC,28,0),0),1)</f>
        <v>0</v>
      </c>
      <c r="BJ145" s="140">
        <f t="array" ref="BJ145">IF(ISBLANK($A145),0,IF(OR(BJ$5-$AI145&lt;=0,$AM145="Não"),Y145,Y145+INDEX($AO$6:$BR$176,ROW()-5,COLUMN()-40-$AI145)))*IF($B145="Operacional",IFERROR(VLOOKUP($C145,SN_UGC,28,0),0),1)</f>
        <v>0</v>
      </c>
      <c r="BK145" s="140">
        <f t="array" ref="BK145">IF(ISBLANK($A145),0,IF(OR(BK$5-$AI145&lt;=0,$AM145="Não"),Z145,Z145+INDEX($AO$6:$BR$176,ROW()-5,COLUMN()-40-$AI145)))*IF($B145="Operacional",IFERROR(VLOOKUP($C145,SN_UGC,28,0),0),1)</f>
        <v>0</v>
      </c>
      <c r="BL145" s="140">
        <f t="array" ref="BL145">IF(ISBLANK($A145),0,IF(OR(BL$5-$AI145&lt;=0,$AM145="Não"),AA145,AA145+INDEX($AO$6:$BR$176,ROW()-5,COLUMN()-40-$AI145)))*IF($B145="Operacional",IFERROR(VLOOKUP($C145,SN_UGC,28,0),0),1)</f>
        <v>0</v>
      </c>
      <c r="BM145" s="140">
        <f t="array" ref="BM145">IF(ISBLANK($A145),0,IF(OR(BM$5-$AI145&lt;=0,$AM145="Não"),AB145,AB145+INDEX($AO$6:$BR$176,ROW()-5,COLUMN()-40-$AI145)))*IF($B145="Operacional",IFERROR(VLOOKUP($C145,SN_UGC,28,0),0),1)</f>
        <v>0</v>
      </c>
      <c r="BN145" s="140">
        <f t="array" ref="BN145">IF(ISBLANK($A145),0,IF(OR(BN$5-$AI145&lt;=0,$AM145="Não"),AC145,AC145+INDEX($AO$6:$BR$176,ROW()-5,COLUMN()-40-$AI145)))*IF($B145="Operacional",IFERROR(VLOOKUP($C145,SN_UGC,28,0),0),1)</f>
        <v>0</v>
      </c>
      <c r="BO145" s="140">
        <f t="array" ref="BO145">IF(ISBLANK($A145),0,IF(OR(BO$5-$AI145&lt;=0,$AM145="Não"),AD145,AD145+INDEX($AO$6:$BR$176,ROW()-5,COLUMN()-40-$AI145)))*IF($B145="Operacional",IFERROR(VLOOKUP($C145,SN_UGC,28,0),0),1)</f>
        <v>0</v>
      </c>
      <c r="BP145" s="140">
        <f t="array" ref="BP145">IF(ISBLANK($A145),0,IF(OR(BP$5-$AI145&lt;=0,$AM145="Não"),AE145,AE145+INDEX($AO$6:$BR$176,ROW()-5,COLUMN()-40-$AI145)))*IF($B145="Operacional",IFERROR(VLOOKUP($C145,SN_UGC,28,0),0),1)</f>
        <v>0</v>
      </c>
      <c r="BQ145" s="140">
        <f t="array" ref="BQ145">IF(ISBLANK($A145),0,IF(OR(BQ$5-$AI145&lt;=0,$AM145="Não"),AF145,AF145+INDEX($AO$6:$BR$176,ROW()-5,COLUMN()-40-$AI145)))*IF($B145="Operacional",IFERROR(VLOOKUP($C145,SN_UGC,28,0),0),1)</f>
        <v>0</v>
      </c>
      <c r="BR145" s="140">
        <f t="array" ref="BR145">IF(ISBLANK($A145),0,IF(OR(BR$5-$AI145&lt;=0,$AM145="Não"),AG145,AG145+INDEX($AO$6:$BR$176,ROW()-5,COLUMN()-40-$AI145)))*IF($B145="Operacional",IFERROR(VLOOKUP($C145,SN_UGC,28,0),0),1)</f>
        <v>0</v>
      </c>
      <c r="BS145" s="141">
        <f t="shared" ref="BS145:CV145" si="749">IF(ISBLANK($A145),0,$AH145*AO145)</f>
        <v>0</v>
      </c>
      <c r="BT145" s="141">
        <f t="shared" si="749"/>
        <v>0</v>
      </c>
      <c r="BU145" s="141">
        <f t="shared" si="749"/>
        <v>0</v>
      </c>
      <c r="BV145" s="141">
        <f t="shared" si="749"/>
        <v>0</v>
      </c>
      <c r="BW145" s="141">
        <f t="shared" si="749"/>
        <v>0</v>
      </c>
      <c r="BX145" s="141">
        <f t="shared" si="749"/>
        <v>0</v>
      </c>
      <c r="BY145" s="141">
        <f t="shared" si="749"/>
        <v>0</v>
      </c>
      <c r="BZ145" s="141">
        <f t="shared" si="749"/>
        <v>0</v>
      </c>
      <c r="CA145" s="141">
        <f t="shared" si="749"/>
        <v>0</v>
      </c>
      <c r="CB145" s="141">
        <f t="shared" si="749"/>
        <v>0</v>
      </c>
      <c r="CC145" s="141">
        <f t="shared" si="749"/>
        <v>0</v>
      </c>
      <c r="CD145" s="141">
        <f t="shared" si="749"/>
        <v>0</v>
      </c>
      <c r="CE145" s="141">
        <f t="shared" si="749"/>
        <v>0</v>
      </c>
      <c r="CF145" s="141">
        <f t="shared" si="749"/>
        <v>0</v>
      </c>
      <c r="CG145" s="141">
        <f t="shared" si="749"/>
        <v>0</v>
      </c>
      <c r="CH145" s="141">
        <f t="shared" si="749"/>
        <v>0</v>
      </c>
      <c r="CI145" s="141">
        <f t="shared" si="749"/>
        <v>0</v>
      </c>
      <c r="CJ145" s="141">
        <f t="shared" si="749"/>
        <v>0</v>
      </c>
      <c r="CK145" s="141">
        <f t="shared" si="749"/>
        <v>0</v>
      </c>
      <c r="CL145" s="141">
        <f t="shared" si="749"/>
        <v>0</v>
      </c>
      <c r="CM145" s="141">
        <f t="shared" si="749"/>
        <v>0</v>
      </c>
      <c r="CN145" s="141">
        <f t="shared" si="749"/>
        <v>0</v>
      </c>
      <c r="CO145" s="141">
        <f t="shared" si="749"/>
        <v>0</v>
      </c>
      <c r="CP145" s="141">
        <f t="shared" si="749"/>
        <v>0</v>
      </c>
      <c r="CQ145" s="141">
        <f t="shared" si="749"/>
        <v>0</v>
      </c>
      <c r="CR145" s="141">
        <f t="shared" si="749"/>
        <v>0</v>
      </c>
      <c r="CS145" s="141">
        <f t="shared" si="749"/>
        <v>0</v>
      </c>
      <c r="CT145" s="141">
        <f t="shared" si="749"/>
        <v>0</v>
      </c>
      <c r="CU145" s="141">
        <f t="shared" si="749"/>
        <v>0</v>
      </c>
      <c r="CV145" s="141">
        <f t="shared" si="749"/>
        <v>0</v>
      </c>
      <c r="CW145" s="142">
        <f t="shared" ref="CW145:DZ145" si="750">EA145*$AH145*$AJ145</f>
        <v>0</v>
      </c>
      <c r="CX145" s="142">
        <f t="shared" si="750"/>
        <v>0</v>
      </c>
      <c r="CY145" s="142">
        <f t="shared" si="750"/>
        <v>0</v>
      </c>
      <c r="CZ145" s="142">
        <f t="shared" si="750"/>
        <v>0</v>
      </c>
      <c r="DA145" s="142">
        <f t="shared" si="750"/>
        <v>0</v>
      </c>
      <c r="DB145" s="142">
        <f t="shared" si="750"/>
        <v>0</v>
      </c>
      <c r="DC145" s="142">
        <f t="shared" si="750"/>
        <v>0</v>
      </c>
      <c r="DD145" s="142">
        <f t="shared" si="750"/>
        <v>0</v>
      </c>
      <c r="DE145" s="142">
        <f t="shared" si="750"/>
        <v>0</v>
      </c>
      <c r="DF145" s="142">
        <f t="shared" si="750"/>
        <v>0</v>
      </c>
      <c r="DG145" s="142">
        <f t="shared" si="750"/>
        <v>0</v>
      </c>
      <c r="DH145" s="142">
        <f t="shared" si="750"/>
        <v>0</v>
      </c>
      <c r="DI145" s="142">
        <f t="shared" si="750"/>
        <v>0</v>
      </c>
      <c r="DJ145" s="142">
        <f t="shared" si="750"/>
        <v>0</v>
      </c>
      <c r="DK145" s="142">
        <f t="shared" si="750"/>
        <v>0</v>
      </c>
      <c r="DL145" s="142">
        <f t="shared" si="750"/>
        <v>0</v>
      </c>
      <c r="DM145" s="142">
        <f t="shared" si="750"/>
        <v>0</v>
      </c>
      <c r="DN145" s="142">
        <f t="shared" si="750"/>
        <v>0</v>
      </c>
      <c r="DO145" s="142">
        <f t="shared" si="750"/>
        <v>0</v>
      </c>
      <c r="DP145" s="142">
        <f t="shared" si="750"/>
        <v>0</v>
      </c>
      <c r="DQ145" s="142">
        <f t="shared" si="750"/>
        <v>0</v>
      </c>
      <c r="DR145" s="142">
        <f t="shared" si="750"/>
        <v>0</v>
      </c>
      <c r="DS145" s="142">
        <f t="shared" si="750"/>
        <v>0</v>
      </c>
      <c r="DT145" s="142">
        <f t="shared" si="750"/>
        <v>0</v>
      </c>
      <c r="DU145" s="142">
        <f t="shared" si="750"/>
        <v>0</v>
      </c>
      <c r="DV145" s="142">
        <f t="shared" si="750"/>
        <v>0</v>
      </c>
      <c r="DW145" s="142">
        <f t="shared" si="750"/>
        <v>0</v>
      </c>
      <c r="DX145" s="142">
        <f t="shared" si="750"/>
        <v>0</v>
      </c>
      <c r="DY145" s="142">
        <f t="shared" si="750"/>
        <v>0</v>
      </c>
      <c r="DZ145" s="142">
        <f t="shared" si="750"/>
        <v>0</v>
      </c>
      <c r="EA145" s="143">
        <f t="shared" si="670"/>
        <v>0</v>
      </c>
      <c r="EB145" s="143">
        <f t="shared" si="671"/>
        <v>0</v>
      </c>
      <c r="EC145" s="143">
        <f t="shared" si="672"/>
        <v>0</v>
      </c>
      <c r="ED145" s="143">
        <f t="shared" si="673"/>
        <v>0</v>
      </c>
      <c r="EE145" s="143">
        <f t="shared" si="674"/>
        <v>0</v>
      </c>
      <c r="EF145" s="143">
        <f t="shared" si="675"/>
        <v>0</v>
      </c>
      <c r="EG145" s="143">
        <f t="shared" si="676"/>
        <v>0</v>
      </c>
      <c r="EH145" s="143">
        <f t="shared" si="677"/>
        <v>0</v>
      </c>
      <c r="EI145" s="143">
        <f t="shared" si="678"/>
        <v>0</v>
      </c>
      <c r="EJ145" s="143">
        <f t="shared" si="679"/>
        <v>0</v>
      </c>
      <c r="EK145" s="143">
        <f t="shared" si="680"/>
        <v>0</v>
      </c>
      <c r="EL145" s="143">
        <f t="shared" si="681"/>
        <v>0</v>
      </c>
      <c r="EM145" s="143">
        <f t="shared" si="682"/>
        <v>0</v>
      </c>
      <c r="EN145" s="143">
        <f t="shared" si="683"/>
        <v>0</v>
      </c>
      <c r="EO145" s="143">
        <f t="shared" si="684"/>
        <v>0</v>
      </c>
      <c r="EP145" s="143">
        <f t="shared" si="685"/>
        <v>0</v>
      </c>
      <c r="EQ145" s="143">
        <f t="shared" si="686"/>
        <v>0</v>
      </c>
      <c r="ER145" s="143">
        <f t="shared" si="687"/>
        <v>0</v>
      </c>
      <c r="ES145" s="143">
        <f t="shared" si="688"/>
        <v>0</v>
      </c>
      <c r="ET145" s="143">
        <f t="shared" si="689"/>
        <v>0</v>
      </c>
      <c r="EU145" s="143">
        <f t="shared" si="690"/>
        <v>0</v>
      </c>
      <c r="EV145" s="143">
        <f t="shared" si="691"/>
        <v>0</v>
      </c>
      <c r="EW145" s="143">
        <f t="shared" si="692"/>
        <v>0</v>
      </c>
      <c r="EX145" s="143">
        <f t="shared" si="693"/>
        <v>0</v>
      </c>
      <c r="EY145" s="143">
        <f t="shared" si="694"/>
        <v>0</v>
      </c>
      <c r="EZ145" s="143">
        <f t="shared" si="695"/>
        <v>0</v>
      </c>
      <c r="FA145" s="143">
        <f t="shared" si="696"/>
        <v>0</v>
      </c>
      <c r="FB145" s="143">
        <f t="shared" si="697"/>
        <v>0</v>
      </c>
      <c r="FC145" s="143">
        <f t="shared" si="698"/>
        <v>0</v>
      </c>
      <c r="FD145" s="143">
        <f t="shared" si="699"/>
        <v>0</v>
      </c>
      <c r="FE145" s="140">
        <f>SUM($D145:D145)*IF($B145="Operacional",IFERROR(VLOOKUP($C145,SN_UGC,28,0),0),1)</f>
        <v>0</v>
      </c>
      <c r="FF145" s="140">
        <f>SUM($D145:E145)*IF($B145="Operacional",IFERROR(VLOOKUP($C145,SN_UGC,28,0),0),1)</f>
        <v>0</v>
      </c>
      <c r="FG145" s="140">
        <f>SUM($D145:F145)*IF($B145="Operacional",IFERROR(VLOOKUP($C145,SN_UGC,28,0),0),1)</f>
        <v>0</v>
      </c>
      <c r="FH145" s="140">
        <f>SUM($D145:G145)*IF($B145="Operacional",IFERROR(VLOOKUP($C145,SN_UGC,28,0),0),1)</f>
        <v>0</v>
      </c>
      <c r="FI145" s="140">
        <f>SUM($D145:H145)*IF($B145="Operacional",IFERROR(VLOOKUP($C145,SN_UGC,28,0),0),1)</f>
        <v>0</v>
      </c>
      <c r="FJ145" s="140">
        <f>SUM($D145:I145)*IF($B145="Operacional",IFERROR(VLOOKUP($C145,SN_UGC,28,0),0),1)</f>
        <v>0</v>
      </c>
      <c r="FK145" s="140">
        <f>SUM($D145:J145)*IF($B145="Operacional",IFERROR(VLOOKUP($C145,SN_UGC,28,0),0),1)</f>
        <v>0</v>
      </c>
      <c r="FL145" s="140">
        <f>SUM($D145:K145)*IF($B145="Operacional",IFERROR(VLOOKUP($C145,SN_UGC,28,0),0),1)</f>
        <v>0</v>
      </c>
      <c r="FM145" s="140">
        <f>SUM($D145:L145)*IF($B145="Operacional",IFERROR(VLOOKUP($C145,SN_UGC,28,0),0),1)</f>
        <v>0</v>
      </c>
      <c r="FN145" s="140">
        <f>SUM($D145:M145)*IF($B145="Operacional",IFERROR(VLOOKUP($C145,SN_UGC,28,0),0),1)</f>
        <v>0</v>
      </c>
      <c r="FO145" s="140">
        <f>SUM($D145:N145)*IF($B145="Operacional",IFERROR(VLOOKUP($C145,SN_UGC,28,0),0),1)</f>
        <v>0</v>
      </c>
      <c r="FP145" s="140">
        <f>SUM($D145:O145)*IF($B145="Operacional",IFERROR(VLOOKUP($C145,SN_UGC,28,0),0),1)</f>
        <v>0</v>
      </c>
      <c r="FQ145" s="140">
        <f>SUM($D145:P145)*IF($B145="Operacional",IFERROR(VLOOKUP($C145,SN_UGC,28,0),0),1)</f>
        <v>0</v>
      </c>
      <c r="FR145" s="140">
        <f>SUM($D145:Q145)*IF($B145="Operacional",IFERROR(VLOOKUP($C145,SN_UGC,28,0),0),1)</f>
        <v>0</v>
      </c>
      <c r="FS145" s="140">
        <f>SUM($D145:R145)*IF($B145="Operacional",IFERROR(VLOOKUP($C145,SN_UGC,28,0),0),1)</f>
        <v>0</v>
      </c>
      <c r="FT145" s="140">
        <f>SUM($D145:S145)*IF($B145="Operacional",IFERROR(VLOOKUP($C145,SN_UGC,28,0),0),1)</f>
        <v>0</v>
      </c>
      <c r="FU145" s="140">
        <f>SUM($D145:T145)*IF($B145="Operacional",IFERROR(VLOOKUP($C145,SN_UGC,28,0),0),1)</f>
        <v>0</v>
      </c>
      <c r="FV145" s="140">
        <f>SUM($D145:U145)*IF($B145="Operacional",IFERROR(VLOOKUP($C145,SN_UGC,28,0),0),1)</f>
        <v>0</v>
      </c>
      <c r="FW145" s="140">
        <f>SUM($D145:V145)*IF($B145="Operacional",IFERROR(VLOOKUP($C145,SN_UGC,28,0),0),1)</f>
        <v>0</v>
      </c>
      <c r="FX145" s="140">
        <f>SUM($D145:W145)*IF($B145="Operacional",IFERROR(VLOOKUP($C145,SN_UGC,28,0),0),1)</f>
        <v>0</v>
      </c>
      <c r="FY145" s="140">
        <f>SUM($D145:X145)*IF($B145="Operacional",IFERROR(VLOOKUP($C145,SN_UGC,28,0),0),1)</f>
        <v>0</v>
      </c>
      <c r="FZ145" s="140">
        <f>SUM($D145:Y145)*IF($B145="Operacional",IFERROR(VLOOKUP($C145,SN_UGC,28,0),0),1)</f>
        <v>0</v>
      </c>
      <c r="GA145" s="140">
        <f>SUM($D145:Z145)*IF($B145="Operacional",IFERROR(VLOOKUP($C145,SN_UGC,28,0),0),1)</f>
        <v>0</v>
      </c>
      <c r="GB145" s="140">
        <f>SUM($D145:AA145)*IF($B145="Operacional",IFERROR(VLOOKUP($C145,SN_UGC,28,0),0),1)</f>
        <v>0</v>
      </c>
      <c r="GC145" s="140">
        <f>SUM($D145:AB145)*IF($B145="Operacional",IFERROR(VLOOKUP($C145,SN_UGC,28,0),0),1)</f>
        <v>0</v>
      </c>
      <c r="GD145" s="140">
        <f>SUM($D145:AC145)*IF($B145="Operacional",IFERROR(VLOOKUP($C145,SN_UGC,28,0),0),1)</f>
        <v>0</v>
      </c>
      <c r="GE145" s="140">
        <f>SUM($D145:AD145)*IF($B145="Operacional",IFERROR(VLOOKUP($C145,SN_UGC,28,0),0),1)</f>
        <v>0</v>
      </c>
      <c r="GF145" s="140">
        <f>SUM($D145:AE145)*IF($B145="Operacional",IFERROR(VLOOKUP($C145,SN_UGC,28,0),0),1)</f>
        <v>0</v>
      </c>
      <c r="GG145" s="140">
        <f>SUM($D145:AF145)*IF($B145="Operacional",IFERROR(VLOOKUP($C145,SN_UGC,28,0),0),1)</f>
        <v>0</v>
      </c>
      <c r="GH145" s="140">
        <f>SUM($D145:AG145)*IF($B145="Operacional",IFERROR(VLOOKUP($C145,SN_UGC,28,0),0),1)</f>
        <v>0</v>
      </c>
      <c r="GI145" s="141">
        <f t="shared" ref="GI145:HL145" si="751">FE145*$AH145*$AL145</f>
        <v>0</v>
      </c>
      <c r="GJ145" s="141">
        <f t="shared" si="751"/>
        <v>0</v>
      </c>
      <c r="GK145" s="141">
        <f t="shared" si="751"/>
        <v>0</v>
      </c>
      <c r="GL145" s="141">
        <f t="shared" si="751"/>
        <v>0</v>
      </c>
      <c r="GM145" s="141">
        <f t="shared" si="751"/>
        <v>0</v>
      </c>
      <c r="GN145" s="141">
        <f t="shared" si="751"/>
        <v>0</v>
      </c>
      <c r="GO145" s="141">
        <f t="shared" si="751"/>
        <v>0</v>
      </c>
      <c r="GP145" s="141">
        <f t="shared" si="751"/>
        <v>0</v>
      </c>
      <c r="GQ145" s="141">
        <f t="shared" si="751"/>
        <v>0</v>
      </c>
      <c r="GR145" s="141">
        <f t="shared" si="751"/>
        <v>0</v>
      </c>
      <c r="GS145" s="141">
        <f t="shared" si="751"/>
        <v>0</v>
      </c>
      <c r="GT145" s="141">
        <f t="shared" si="751"/>
        <v>0</v>
      </c>
      <c r="GU145" s="141">
        <f t="shared" si="751"/>
        <v>0</v>
      </c>
      <c r="GV145" s="141">
        <f t="shared" si="751"/>
        <v>0</v>
      </c>
      <c r="GW145" s="141">
        <f t="shared" si="751"/>
        <v>0</v>
      </c>
      <c r="GX145" s="141">
        <f t="shared" si="751"/>
        <v>0</v>
      </c>
      <c r="GY145" s="141">
        <f t="shared" si="751"/>
        <v>0</v>
      </c>
      <c r="GZ145" s="141">
        <f t="shared" si="751"/>
        <v>0</v>
      </c>
      <c r="HA145" s="141">
        <f t="shared" si="751"/>
        <v>0</v>
      </c>
      <c r="HB145" s="141">
        <f t="shared" si="751"/>
        <v>0</v>
      </c>
      <c r="HC145" s="141">
        <f t="shared" si="751"/>
        <v>0</v>
      </c>
      <c r="HD145" s="141">
        <f t="shared" si="751"/>
        <v>0</v>
      </c>
      <c r="HE145" s="141">
        <f t="shared" si="751"/>
        <v>0</v>
      </c>
      <c r="HF145" s="141">
        <f t="shared" si="751"/>
        <v>0</v>
      </c>
      <c r="HG145" s="141">
        <f t="shared" si="751"/>
        <v>0</v>
      </c>
      <c r="HH145" s="141">
        <f t="shared" si="751"/>
        <v>0</v>
      </c>
      <c r="HI145" s="141">
        <f t="shared" si="751"/>
        <v>0</v>
      </c>
      <c r="HJ145" s="141">
        <f t="shared" si="751"/>
        <v>0</v>
      </c>
      <c r="HK145" s="141">
        <f t="shared" si="751"/>
        <v>0</v>
      </c>
      <c r="HL145" s="141">
        <f t="shared" si="751"/>
        <v>0</v>
      </c>
      <c r="HM145" s="142">
        <f t="shared" ref="HM145:IP145" si="752">IF(ISBLANK($A145),,FE145*($AH145-($AH145*$AJ145))/$AI145)</f>
        <v>0</v>
      </c>
      <c r="HN145" s="142">
        <f t="shared" si="752"/>
        <v>0</v>
      </c>
      <c r="HO145" s="142">
        <f t="shared" si="752"/>
        <v>0</v>
      </c>
      <c r="HP145" s="142">
        <f t="shared" si="752"/>
        <v>0</v>
      </c>
      <c r="HQ145" s="142">
        <f t="shared" si="752"/>
        <v>0</v>
      </c>
      <c r="HR145" s="142">
        <f t="shared" si="752"/>
        <v>0</v>
      </c>
      <c r="HS145" s="142">
        <f t="shared" si="752"/>
        <v>0</v>
      </c>
      <c r="HT145" s="142">
        <f t="shared" si="752"/>
        <v>0</v>
      </c>
      <c r="HU145" s="142">
        <f t="shared" si="752"/>
        <v>0</v>
      </c>
      <c r="HV145" s="142">
        <f t="shared" si="752"/>
        <v>0</v>
      </c>
      <c r="HW145" s="142">
        <f t="shared" si="752"/>
        <v>0</v>
      </c>
      <c r="HX145" s="142">
        <f t="shared" si="752"/>
        <v>0</v>
      </c>
      <c r="HY145" s="142">
        <f t="shared" si="752"/>
        <v>0</v>
      </c>
      <c r="HZ145" s="142">
        <f t="shared" si="752"/>
        <v>0</v>
      </c>
      <c r="IA145" s="142">
        <f t="shared" si="752"/>
        <v>0</v>
      </c>
      <c r="IB145" s="142">
        <f t="shared" si="752"/>
        <v>0</v>
      </c>
      <c r="IC145" s="142">
        <f t="shared" si="752"/>
        <v>0</v>
      </c>
      <c r="ID145" s="142">
        <f t="shared" si="752"/>
        <v>0</v>
      </c>
      <c r="IE145" s="142">
        <f t="shared" si="752"/>
        <v>0</v>
      </c>
      <c r="IF145" s="142">
        <f t="shared" si="752"/>
        <v>0</v>
      </c>
      <c r="IG145" s="142">
        <f t="shared" si="752"/>
        <v>0</v>
      </c>
      <c r="IH145" s="142">
        <f t="shared" si="752"/>
        <v>0</v>
      </c>
      <c r="II145" s="142">
        <f t="shared" si="752"/>
        <v>0</v>
      </c>
      <c r="IJ145" s="142">
        <f t="shared" si="752"/>
        <v>0</v>
      </c>
      <c r="IK145" s="142">
        <f t="shared" si="752"/>
        <v>0</v>
      </c>
      <c r="IL145" s="142">
        <f t="shared" si="752"/>
        <v>0</v>
      </c>
      <c r="IM145" s="142">
        <f t="shared" si="752"/>
        <v>0</v>
      </c>
      <c r="IN145" s="142">
        <f t="shared" si="752"/>
        <v>0</v>
      </c>
      <c r="IO145" s="142">
        <f t="shared" si="752"/>
        <v>0</v>
      </c>
      <c r="IP145" s="142">
        <f t="shared" si="752"/>
        <v>0</v>
      </c>
      <c r="IQ145" s="141">
        <f>IF(ISBLANK($A145),,IF($AN145="Não",0,(SUM($AO145:AO145)*$AH145)-SUM($HM145:HM145)-SUM($CW145:CW145)))</f>
        <v>0</v>
      </c>
      <c r="IR145" s="141">
        <f>IF(ISBLANK($A145),,IF($AN145="Não",0,(SUM($AO145:AP145)*$AH145)-SUM($HM145:HN145)-SUM($CW145:CX145)))</f>
        <v>0</v>
      </c>
      <c r="IS145" s="141">
        <f>IF(ISBLANK($A145),,IF($AN145="Não",0,(SUM($AO145:AQ145)*$AH145)-SUM($HM145:HO145)-SUM($CW145:CY145)))</f>
        <v>0</v>
      </c>
      <c r="IT145" s="141">
        <f>IF(ISBLANK($A145),,IF($AN145="Não",0,(SUM($AO145:AR145)*$AH145)-SUM($HM145:HP145)-SUM($CW145:CZ145)))</f>
        <v>0</v>
      </c>
      <c r="IU145" s="141">
        <f>IF(ISBLANK($A145),,IF($AN145="Não",0,(SUM($AO145:AS145)*$AH145)-SUM($HM145:HQ145)-SUM($CW145:DA145)))</f>
        <v>0</v>
      </c>
      <c r="IV145" s="141">
        <f>IF(ISBLANK($A145),,IF($AN145="Não",0,(SUM($AO145:AT145)*$AH145)-SUM($HM145:HR145)-SUM($CW145:DB145)))</f>
        <v>0</v>
      </c>
      <c r="IW145" s="141">
        <f>IF(ISBLANK($A145),,IF($AN145="Não",0,(SUM($AO145:AU145)*$AH145)-SUM($HM145:HS145)-SUM($CW145:DC145)))</f>
        <v>0</v>
      </c>
      <c r="IX145" s="141">
        <f>IF(ISBLANK($A145),,IF($AN145="Não",0,(SUM($AO145:AV145)*$AH145)-SUM($HM145:HT145)-SUM($CW145:DD145)))</f>
        <v>0</v>
      </c>
      <c r="IY145" s="141">
        <f>IF(ISBLANK($A145),,IF($AN145="Não",0,(SUM($AO145:AW145)*$AH145)-SUM($HM145:HU145)-SUM($CW145:DE145)))</f>
        <v>0</v>
      </c>
      <c r="IZ145" s="141">
        <f>IF(ISBLANK($A145),,IF($AN145="Não",0,(SUM($AO145:AX145)*$AH145)-SUM($HM145:HV145)-SUM($CW145:DF145)))</f>
        <v>0</v>
      </c>
      <c r="JA145" s="141">
        <f>IF(ISBLANK($A145),,IF($AN145="Não",0,(SUM($AO145:AY145)*$AH145)-SUM($HM145:HW145)-SUM($CW145:DG145)))</f>
        <v>0</v>
      </c>
      <c r="JB145" s="141">
        <f>IF(ISBLANK($A145),,IF($AN145="Não",0,(SUM($AO145:AZ145)*$AH145)-SUM($HM145:HX145)-SUM($CW145:DH145)))</f>
        <v>0</v>
      </c>
      <c r="JC145" s="141">
        <f>IF(ISBLANK($A145),,IF($AN145="Não",0,(SUM($AO145:BA145)*$AH145)-SUM($HM145:HY145)-SUM($CW145:DI145)))</f>
        <v>0</v>
      </c>
      <c r="JD145" s="141">
        <f>IF(ISBLANK($A145),,IF($AN145="Não",0,(SUM($AO145:BB145)*$AH145)-SUM($HM145:HZ145)-SUM($CW145:DJ145)))</f>
        <v>0</v>
      </c>
      <c r="JE145" s="141">
        <f>IF(ISBLANK($A145),,IF($AN145="Não",0,(SUM($AO145:BC145)*$AH145)-SUM($HM145:IA145)-SUM($CW145:DK145)))</f>
        <v>0</v>
      </c>
      <c r="JF145" s="141">
        <f>IF(ISBLANK($A145),,IF($AN145="Não",0,(SUM($AO145:BD145)*$AH145)-SUM($HM145:IB145)-SUM($CW145:DL145)))</f>
        <v>0</v>
      </c>
      <c r="JG145" s="141">
        <f>IF(ISBLANK($A145),,IF($AN145="Não",0,(SUM($AO145:BE145)*$AH145)-SUM($HM145:IC145)-SUM($CW145:DM145)))</f>
        <v>0</v>
      </c>
      <c r="JH145" s="141">
        <f>IF(ISBLANK($A145),,IF($AN145="Não",0,(SUM($AO145:BF145)*$AH145)-SUM($HM145:ID145)-SUM($CW145:DN145)))</f>
        <v>0</v>
      </c>
      <c r="JI145" s="141">
        <f>IF(ISBLANK($A145),,IF($AN145="Não",0,(SUM($AO145:BG145)*$AH145)-SUM($HM145:IE145)-SUM($CW145:DO145)))</f>
        <v>0</v>
      </c>
      <c r="JJ145" s="141">
        <f>IF(ISBLANK($A145),,IF($AN145="Não",0,(SUM($AO145:BH145)*$AH145)-SUM($HM145:IF145)-SUM($CW145:DP145)))</f>
        <v>0</v>
      </c>
      <c r="JK145" s="141">
        <f>IF(ISBLANK($A145),,IF($AN145="Não",0,(SUM($AO145:BI145)*$AH145)-SUM($HM145:IG145)-SUM($CW145:DQ145)))</f>
        <v>0</v>
      </c>
      <c r="JL145" s="141">
        <f>IF(ISBLANK($A145),,IF($AN145="Não",0,(SUM($AO145:BJ145)*$AH145)-SUM($HM145:IH145)-SUM($CW145:DR145)))</f>
        <v>0</v>
      </c>
      <c r="JM145" s="141">
        <f>IF(ISBLANK($A145),,IF($AN145="Não",0,(SUM($AO145:BK145)*$AH145)-SUM($HM145:II145)-SUM($CW145:DS145)))</f>
        <v>0</v>
      </c>
      <c r="JN145" s="141">
        <f>IF(ISBLANK($A145),,IF($AN145="Não",0,(SUM($AO145:BL145)*$AH145)-SUM($HM145:IJ145)-SUM($CW145:DT145)))</f>
        <v>0</v>
      </c>
      <c r="JO145" s="141">
        <f>IF(ISBLANK($A145),,IF($AN145="Não",0,(SUM($AO145:BM145)*$AH145)-SUM($HM145:IK145)-SUM($CW145:DU145)))</f>
        <v>0</v>
      </c>
      <c r="JP145" s="141">
        <f>IF(ISBLANK($A145),,IF($AN145="Não",0,(SUM($AO145:BN145)*$AH145)-SUM($HM145:IL145)-SUM($CW145:DV145)))</f>
        <v>0</v>
      </c>
      <c r="JQ145" s="141">
        <f>IF(ISBLANK($A145),,IF($AN145="Não",0,(SUM($AO145:BO145)*$AH145)-SUM($HM145:IM145)-SUM($CW145:DW145)))</f>
        <v>0</v>
      </c>
      <c r="JR145" s="141">
        <f>IF(ISBLANK($A145),,IF($AN145="Não",0,(SUM($AO145:BP145)*$AH145)-SUM($HM145:IN145)-SUM($CW145:DX145)))</f>
        <v>0</v>
      </c>
      <c r="JS145" s="141">
        <f>IF(ISBLANK($A145),,IF($AN145="Não",0,(SUM($AO145:BQ145)*$AH145)-SUM($HM145:IO145)-SUM($CW145:DY145)))</f>
        <v>0</v>
      </c>
      <c r="JT145" s="141">
        <f>IF(ISBLANK($A145),,IF($AN145="Não",0,(SUM($AO145:BR145)*$AH145)-SUM($HM145:IP145)-SUM($CW145:DZ145)))</f>
        <v>0</v>
      </c>
    </row>
    <row r="146" spans="1:280" ht="15.75" customHeight="1">
      <c r="A146" s="129"/>
      <c r="B146" s="129"/>
      <c r="C146" s="138"/>
      <c r="D146" s="139"/>
      <c r="E146" s="139"/>
      <c r="F146" s="139"/>
      <c r="G146" s="139"/>
      <c r="H146" s="139"/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607">
        <f t="shared" si="710"/>
        <v>0</v>
      </c>
      <c r="AI146" s="608">
        <f t="shared" si="711"/>
        <v>0</v>
      </c>
      <c r="AJ146" s="609">
        <f t="shared" si="712"/>
        <v>0</v>
      </c>
      <c r="AK146" s="610" t="str">
        <f t="shared" si="713"/>
        <v/>
      </c>
      <c r="AL146" s="609">
        <f t="shared" si="714"/>
        <v>0</v>
      </c>
      <c r="AM146" s="611" t="str">
        <f t="shared" si="715"/>
        <v/>
      </c>
      <c r="AN146" s="611" t="str">
        <f t="shared" si="716"/>
        <v/>
      </c>
      <c r="AO146" s="140">
        <f t="array" ref="AO146">IF(ISBLANK($A146),0,IF(OR(AO$5-$AI146&lt;=0,$AM146="Não"),D146,D146+INDEX($AO$6:$BR$176,ROW()-5,COLUMN()-40-$AI146)))*IF($B146="Operacional",IFERROR(VLOOKUP($C146,SN_UGC,28,0),0),1)</f>
        <v>0</v>
      </c>
      <c r="AP146" s="140">
        <f t="array" ref="AP146">IF(ISBLANK($A146),0,IF(OR(AP$5-$AI146&lt;=0,$AM146="Não"),E146,E146+INDEX($AO$6:$BR$176,ROW()-5,COLUMN()-40-$AI146)))*IF($B146="Operacional",IFERROR(VLOOKUP($C146,SN_UGC,28,0),0),1)</f>
        <v>0</v>
      </c>
      <c r="AQ146" s="140">
        <f t="array" ref="AQ146">IF(ISBLANK($A146),0,IF(OR(AQ$5-$AI146&lt;=0,$AM146="Não"),F146,F146+INDEX($AO$6:$BR$176,ROW()-5,COLUMN()-40-$AI146)))*IF($B146="Operacional",IFERROR(VLOOKUP($C146,SN_UGC,28,0),0),1)</f>
        <v>0</v>
      </c>
      <c r="AR146" s="140">
        <f t="array" ref="AR146">IF(ISBLANK($A146),0,IF(OR(AR$5-$AI146&lt;=0,$AM146="Não"),G146,G146+INDEX($AO$6:$BR$176,ROW()-5,COLUMN()-40-$AI146)))*IF($B146="Operacional",IFERROR(VLOOKUP($C146,SN_UGC,28,0),0),1)</f>
        <v>0</v>
      </c>
      <c r="AS146" s="140">
        <f t="array" ref="AS146">IF(ISBLANK($A146),0,IF(OR(AS$5-$AI146&lt;=0,$AM146="Não"),H146,H146+INDEX($AO$6:$BR$176,ROW()-5,COLUMN()-40-$AI146)))*IF($B146="Operacional",IFERROR(VLOOKUP($C146,SN_UGC,28,0),0),1)</f>
        <v>0</v>
      </c>
      <c r="AT146" s="140">
        <f t="array" ref="AT146">IF(ISBLANK($A146),0,IF(OR(AT$5-$AI146&lt;=0,$AM146="Não"),I146,I146+INDEX($AO$6:$BR$176,ROW()-5,COLUMN()-40-$AI146)))*IF($B146="Operacional",IFERROR(VLOOKUP($C146,SN_UGC,28,0),0),1)</f>
        <v>0</v>
      </c>
      <c r="AU146" s="140">
        <f t="array" ref="AU146">IF(ISBLANK($A146),0,IF(OR(AU$5-$AI146&lt;=0,$AM146="Não"),J146,J146+INDEX($AO$6:$BR$176,ROW()-5,COLUMN()-40-$AI146)))*IF($B146="Operacional",IFERROR(VLOOKUP($C146,SN_UGC,28,0),0),1)</f>
        <v>0</v>
      </c>
      <c r="AV146" s="140">
        <f t="array" ref="AV146">IF(ISBLANK($A146),0,IF(OR(AV$5-$AI146&lt;=0,$AM146="Não"),K146,K146+INDEX($AO$6:$BR$176,ROW()-5,COLUMN()-40-$AI146)))*IF($B146="Operacional",IFERROR(VLOOKUP($C146,SN_UGC,28,0),0),1)</f>
        <v>0</v>
      </c>
      <c r="AW146" s="140">
        <f t="array" ref="AW146">IF(ISBLANK($A146),0,IF(OR(AW$5-$AI146&lt;=0,$AM146="Não"),L146,L146+INDEX($AO$6:$BR$176,ROW()-5,COLUMN()-40-$AI146)))*IF($B146="Operacional",IFERROR(VLOOKUP($C146,SN_UGC,28,0),0),1)</f>
        <v>0</v>
      </c>
      <c r="AX146" s="140">
        <f t="array" ref="AX146">IF(ISBLANK($A146),0,IF(OR(AX$5-$AI146&lt;=0,$AM146="Não"),M146,M146+INDEX($AO$6:$BR$176,ROW()-5,COLUMN()-40-$AI146)))*IF($B146="Operacional",IFERROR(VLOOKUP($C146,SN_UGC,28,0),0),1)</f>
        <v>0</v>
      </c>
      <c r="AY146" s="140">
        <f t="array" ref="AY146">IF(ISBLANK($A146),0,IF(OR(AY$5-$AI146&lt;=0,$AM146="Não"),N146,N146+INDEX($AO$6:$BR$176,ROW()-5,COLUMN()-40-$AI146)))*IF($B146="Operacional",IFERROR(VLOOKUP($C146,SN_UGC,28,0),0),1)</f>
        <v>0</v>
      </c>
      <c r="AZ146" s="140">
        <f t="array" ref="AZ146">IF(ISBLANK($A146),0,IF(OR(AZ$5-$AI146&lt;=0,$AM146="Não"),O146,O146+INDEX($AO$6:$BR$176,ROW()-5,COLUMN()-40-$AI146)))*IF($B146="Operacional",IFERROR(VLOOKUP($C146,SN_UGC,28,0),0),1)</f>
        <v>0</v>
      </c>
      <c r="BA146" s="140">
        <f t="array" ref="BA146">IF(ISBLANK($A146),0,IF(OR(BA$5-$AI146&lt;=0,$AM146="Não"),P146,P146+INDEX($AO$6:$BR$176,ROW()-5,COLUMN()-40-$AI146)))*IF($B146="Operacional",IFERROR(VLOOKUP($C146,SN_UGC,28,0),0),1)</f>
        <v>0</v>
      </c>
      <c r="BB146" s="140">
        <f t="array" ref="BB146">IF(ISBLANK($A146),0,IF(OR(BB$5-$AI146&lt;=0,$AM146="Não"),Q146,Q146+INDEX($AO$6:$BR$176,ROW()-5,COLUMN()-40-$AI146)))*IF($B146="Operacional",IFERROR(VLOOKUP($C146,SN_UGC,28,0),0),1)</f>
        <v>0</v>
      </c>
      <c r="BC146" s="140">
        <f t="array" ref="BC146">IF(ISBLANK($A146),0,IF(OR(BC$5-$AI146&lt;=0,$AM146="Não"),R146,R146+INDEX($AO$6:$BR$176,ROW()-5,COLUMN()-40-$AI146)))*IF($B146="Operacional",IFERROR(VLOOKUP($C146,SN_UGC,28,0),0),1)</f>
        <v>0</v>
      </c>
      <c r="BD146" s="140">
        <f t="array" ref="BD146">IF(ISBLANK($A146),0,IF(OR(BD$5-$AI146&lt;=0,$AM146="Não"),S146,S146+INDEX($AO$6:$BR$176,ROW()-5,COLUMN()-40-$AI146)))*IF($B146="Operacional",IFERROR(VLOOKUP($C146,SN_UGC,28,0),0),1)</f>
        <v>0</v>
      </c>
      <c r="BE146" s="140">
        <f t="array" ref="BE146">IF(ISBLANK($A146),0,IF(OR(BE$5-$AI146&lt;=0,$AM146="Não"),T146,T146+INDEX($AO$6:$BR$176,ROW()-5,COLUMN()-40-$AI146)))*IF($B146="Operacional",IFERROR(VLOOKUP($C146,SN_UGC,28,0),0),1)</f>
        <v>0</v>
      </c>
      <c r="BF146" s="140">
        <f t="array" ref="BF146">IF(ISBLANK($A146),0,IF(OR(BF$5-$AI146&lt;=0,$AM146="Não"),U146,U146+INDEX($AO$6:$BR$176,ROW()-5,COLUMN()-40-$AI146)))*IF($B146="Operacional",IFERROR(VLOOKUP($C146,SN_UGC,28,0),0),1)</f>
        <v>0</v>
      </c>
      <c r="BG146" s="140">
        <f t="array" ref="BG146">IF(ISBLANK($A146),0,IF(OR(BG$5-$AI146&lt;=0,$AM146="Não"),V146,V146+INDEX($AO$6:$BR$176,ROW()-5,COLUMN()-40-$AI146)))*IF($B146="Operacional",IFERROR(VLOOKUP($C146,SN_UGC,28,0),0),1)</f>
        <v>0</v>
      </c>
      <c r="BH146" s="140">
        <f t="array" ref="BH146">IF(ISBLANK($A146),0,IF(OR(BH$5-$AI146&lt;=0,$AM146="Não"),W146,W146+INDEX($AO$6:$BR$176,ROW()-5,COLUMN()-40-$AI146)))*IF($B146="Operacional",IFERROR(VLOOKUP($C146,SN_UGC,28,0),0),1)</f>
        <v>0</v>
      </c>
      <c r="BI146" s="140">
        <f t="array" ref="BI146">IF(ISBLANK($A146),0,IF(OR(BI$5-$AI146&lt;=0,$AM146="Não"),X146,X146+INDEX($AO$6:$BR$176,ROW()-5,COLUMN()-40-$AI146)))*IF($B146="Operacional",IFERROR(VLOOKUP($C146,SN_UGC,28,0),0),1)</f>
        <v>0</v>
      </c>
      <c r="BJ146" s="140">
        <f t="array" ref="BJ146">IF(ISBLANK($A146),0,IF(OR(BJ$5-$AI146&lt;=0,$AM146="Não"),Y146,Y146+INDEX($AO$6:$BR$176,ROW()-5,COLUMN()-40-$AI146)))*IF($B146="Operacional",IFERROR(VLOOKUP($C146,SN_UGC,28,0),0),1)</f>
        <v>0</v>
      </c>
      <c r="BK146" s="140">
        <f t="array" ref="BK146">IF(ISBLANK($A146),0,IF(OR(BK$5-$AI146&lt;=0,$AM146="Não"),Z146,Z146+INDEX($AO$6:$BR$176,ROW()-5,COLUMN()-40-$AI146)))*IF($B146="Operacional",IFERROR(VLOOKUP($C146,SN_UGC,28,0),0),1)</f>
        <v>0</v>
      </c>
      <c r="BL146" s="140">
        <f t="array" ref="BL146">IF(ISBLANK($A146),0,IF(OR(BL$5-$AI146&lt;=0,$AM146="Não"),AA146,AA146+INDEX($AO$6:$BR$176,ROW()-5,COLUMN()-40-$AI146)))*IF($B146="Operacional",IFERROR(VLOOKUP($C146,SN_UGC,28,0),0),1)</f>
        <v>0</v>
      </c>
      <c r="BM146" s="140">
        <f t="array" ref="BM146">IF(ISBLANK($A146),0,IF(OR(BM$5-$AI146&lt;=0,$AM146="Não"),AB146,AB146+INDEX($AO$6:$BR$176,ROW()-5,COLUMN()-40-$AI146)))*IF($B146="Operacional",IFERROR(VLOOKUP($C146,SN_UGC,28,0),0),1)</f>
        <v>0</v>
      </c>
      <c r="BN146" s="140">
        <f t="array" ref="BN146">IF(ISBLANK($A146),0,IF(OR(BN$5-$AI146&lt;=0,$AM146="Não"),AC146,AC146+INDEX($AO$6:$BR$176,ROW()-5,COLUMN()-40-$AI146)))*IF($B146="Operacional",IFERROR(VLOOKUP($C146,SN_UGC,28,0),0),1)</f>
        <v>0</v>
      </c>
      <c r="BO146" s="140">
        <f t="array" ref="BO146">IF(ISBLANK($A146),0,IF(OR(BO$5-$AI146&lt;=0,$AM146="Não"),AD146,AD146+INDEX($AO$6:$BR$176,ROW()-5,COLUMN()-40-$AI146)))*IF($B146="Operacional",IFERROR(VLOOKUP($C146,SN_UGC,28,0),0),1)</f>
        <v>0</v>
      </c>
      <c r="BP146" s="140">
        <f t="array" ref="BP146">IF(ISBLANK($A146),0,IF(OR(BP$5-$AI146&lt;=0,$AM146="Não"),AE146,AE146+INDEX($AO$6:$BR$176,ROW()-5,COLUMN()-40-$AI146)))*IF($B146="Operacional",IFERROR(VLOOKUP($C146,SN_UGC,28,0),0),1)</f>
        <v>0</v>
      </c>
      <c r="BQ146" s="140">
        <f t="array" ref="BQ146">IF(ISBLANK($A146),0,IF(OR(BQ$5-$AI146&lt;=0,$AM146="Não"),AF146,AF146+INDEX($AO$6:$BR$176,ROW()-5,COLUMN()-40-$AI146)))*IF($B146="Operacional",IFERROR(VLOOKUP($C146,SN_UGC,28,0),0),1)</f>
        <v>0</v>
      </c>
      <c r="BR146" s="140">
        <f t="array" ref="BR146">IF(ISBLANK($A146),0,IF(OR(BR$5-$AI146&lt;=0,$AM146="Não"),AG146,AG146+INDEX($AO$6:$BR$176,ROW()-5,COLUMN()-40-$AI146)))*IF($B146="Operacional",IFERROR(VLOOKUP($C146,SN_UGC,28,0),0),1)</f>
        <v>0</v>
      </c>
      <c r="BS146" s="141">
        <f t="shared" ref="BS146:CV146" si="753">IF(ISBLANK($A146),0,$AH146*AO146)</f>
        <v>0</v>
      </c>
      <c r="BT146" s="141">
        <f t="shared" si="753"/>
        <v>0</v>
      </c>
      <c r="BU146" s="141">
        <f t="shared" si="753"/>
        <v>0</v>
      </c>
      <c r="BV146" s="141">
        <f t="shared" si="753"/>
        <v>0</v>
      </c>
      <c r="BW146" s="141">
        <f t="shared" si="753"/>
        <v>0</v>
      </c>
      <c r="BX146" s="141">
        <f t="shared" si="753"/>
        <v>0</v>
      </c>
      <c r="BY146" s="141">
        <f t="shared" si="753"/>
        <v>0</v>
      </c>
      <c r="BZ146" s="141">
        <f t="shared" si="753"/>
        <v>0</v>
      </c>
      <c r="CA146" s="141">
        <f t="shared" si="753"/>
        <v>0</v>
      </c>
      <c r="CB146" s="141">
        <f t="shared" si="753"/>
        <v>0</v>
      </c>
      <c r="CC146" s="141">
        <f t="shared" si="753"/>
        <v>0</v>
      </c>
      <c r="CD146" s="141">
        <f t="shared" si="753"/>
        <v>0</v>
      </c>
      <c r="CE146" s="141">
        <f t="shared" si="753"/>
        <v>0</v>
      </c>
      <c r="CF146" s="141">
        <f t="shared" si="753"/>
        <v>0</v>
      </c>
      <c r="CG146" s="141">
        <f t="shared" si="753"/>
        <v>0</v>
      </c>
      <c r="CH146" s="141">
        <f t="shared" si="753"/>
        <v>0</v>
      </c>
      <c r="CI146" s="141">
        <f t="shared" si="753"/>
        <v>0</v>
      </c>
      <c r="CJ146" s="141">
        <f t="shared" si="753"/>
        <v>0</v>
      </c>
      <c r="CK146" s="141">
        <f t="shared" si="753"/>
        <v>0</v>
      </c>
      <c r="CL146" s="141">
        <f t="shared" si="753"/>
        <v>0</v>
      </c>
      <c r="CM146" s="141">
        <f t="shared" si="753"/>
        <v>0</v>
      </c>
      <c r="CN146" s="141">
        <f t="shared" si="753"/>
        <v>0</v>
      </c>
      <c r="CO146" s="141">
        <f t="shared" si="753"/>
        <v>0</v>
      </c>
      <c r="CP146" s="141">
        <f t="shared" si="753"/>
        <v>0</v>
      </c>
      <c r="CQ146" s="141">
        <f t="shared" si="753"/>
        <v>0</v>
      </c>
      <c r="CR146" s="141">
        <f t="shared" si="753"/>
        <v>0</v>
      </c>
      <c r="CS146" s="141">
        <f t="shared" si="753"/>
        <v>0</v>
      </c>
      <c r="CT146" s="141">
        <f t="shared" si="753"/>
        <v>0</v>
      </c>
      <c r="CU146" s="141">
        <f t="shared" si="753"/>
        <v>0</v>
      </c>
      <c r="CV146" s="141">
        <f t="shared" si="753"/>
        <v>0</v>
      </c>
      <c r="CW146" s="142">
        <f t="shared" ref="CW146:DZ146" si="754">EA146*$AH146*$AJ146</f>
        <v>0</v>
      </c>
      <c r="CX146" s="142">
        <f t="shared" si="754"/>
        <v>0</v>
      </c>
      <c r="CY146" s="142">
        <f t="shared" si="754"/>
        <v>0</v>
      </c>
      <c r="CZ146" s="142">
        <f t="shared" si="754"/>
        <v>0</v>
      </c>
      <c r="DA146" s="142">
        <f t="shared" si="754"/>
        <v>0</v>
      </c>
      <c r="DB146" s="142">
        <f t="shared" si="754"/>
        <v>0</v>
      </c>
      <c r="DC146" s="142">
        <f t="shared" si="754"/>
        <v>0</v>
      </c>
      <c r="DD146" s="142">
        <f t="shared" si="754"/>
        <v>0</v>
      </c>
      <c r="DE146" s="142">
        <f t="shared" si="754"/>
        <v>0</v>
      </c>
      <c r="DF146" s="142">
        <f t="shared" si="754"/>
        <v>0</v>
      </c>
      <c r="DG146" s="142">
        <f t="shared" si="754"/>
        <v>0</v>
      </c>
      <c r="DH146" s="142">
        <f t="shared" si="754"/>
        <v>0</v>
      </c>
      <c r="DI146" s="142">
        <f t="shared" si="754"/>
        <v>0</v>
      </c>
      <c r="DJ146" s="142">
        <f t="shared" si="754"/>
        <v>0</v>
      </c>
      <c r="DK146" s="142">
        <f t="shared" si="754"/>
        <v>0</v>
      </c>
      <c r="DL146" s="142">
        <f t="shared" si="754"/>
        <v>0</v>
      </c>
      <c r="DM146" s="142">
        <f t="shared" si="754"/>
        <v>0</v>
      </c>
      <c r="DN146" s="142">
        <f t="shared" si="754"/>
        <v>0</v>
      </c>
      <c r="DO146" s="142">
        <f t="shared" si="754"/>
        <v>0</v>
      </c>
      <c r="DP146" s="142">
        <f t="shared" si="754"/>
        <v>0</v>
      </c>
      <c r="DQ146" s="142">
        <f t="shared" si="754"/>
        <v>0</v>
      </c>
      <c r="DR146" s="142">
        <f t="shared" si="754"/>
        <v>0</v>
      </c>
      <c r="DS146" s="142">
        <f t="shared" si="754"/>
        <v>0</v>
      </c>
      <c r="DT146" s="142">
        <f t="shared" si="754"/>
        <v>0</v>
      </c>
      <c r="DU146" s="142">
        <f t="shared" si="754"/>
        <v>0</v>
      </c>
      <c r="DV146" s="142">
        <f t="shared" si="754"/>
        <v>0</v>
      </c>
      <c r="DW146" s="142">
        <f t="shared" si="754"/>
        <v>0</v>
      </c>
      <c r="DX146" s="142">
        <f t="shared" si="754"/>
        <v>0</v>
      </c>
      <c r="DY146" s="142">
        <f t="shared" si="754"/>
        <v>0</v>
      </c>
      <c r="DZ146" s="142">
        <f t="shared" si="754"/>
        <v>0</v>
      </c>
      <c r="EA146" s="143">
        <f t="shared" si="670"/>
        <v>0</v>
      </c>
      <c r="EB146" s="143">
        <f t="shared" si="671"/>
        <v>0</v>
      </c>
      <c r="EC146" s="143">
        <f t="shared" si="672"/>
        <v>0</v>
      </c>
      <c r="ED146" s="143">
        <f t="shared" si="673"/>
        <v>0</v>
      </c>
      <c r="EE146" s="143">
        <f t="shared" si="674"/>
        <v>0</v>
      </c>
      <c r="EF146" s="143">
        <f t="shared" si="675"/>
        <v>0</v>
      </c>
      <c r="EG146" s="143">
        <f t="shared" si="676"/>
        <v>0</v>
      </c>
      <c r="EH146" s="143">
        <f t="shared" si="677"/>
        <v>0</v>
      </c>
      <c r="EI146" s="143">
        <f t="shared" si="678"/>
        <v>0</v>
      </c>
      <c r="EJ146" s="143">
        <f t="shared" si="679"/>
        <v>0</v>
      </c>
      <c r="EK146" s="143">
        <f t="shared" si="680"/>
        <v>0</v>
      </c>
      <c r="EL146" s="143">
        <f t="shared" si="681"/>
        <v>0</v>
      </c>
      <c r="EM146" s="143">
        <f t="shared" si="682"/>
        <v>0</v>
      </c>
      <c r="EN146" s="143">
        <f t="shared" si="683"/>
        <v>0</v>
      </c>
      <c r="EO146" s="143">
        <f t="shared" si="684"/>
        <v>0</v>
      </c>
      <c r="EP146" s="143">
        <f t="shared" si="685"/>
        <v>0</v>
      </c>
      <c r="EQ146" s="143">
        <f t="shared" si="686"/>
        <v>0</v>
      </c>
      <c r="ER146" s="143">
        <f t="shared" si="687"/>
        <v>0</v>
      </c>
      <c r="ES146" s="143">
        <f t="shared" si="688"/>
        <v>0</v>
      </c>
      <c r="ET146" s="143">
        <f t="shared" si="689"/>
        <v>0</v>
      </c>
      <c r="EU146" s="143">
        <f t="shared" si="690"/>
        <v>0</v>
      </c>
      <c r="EV146" s="143">
        <f t="shared" si="691"/>
        <v>0</v>
      </c>
      <c r="EW146" s="143">
        <f t="shared" si="692"/>
        <v>0</v>
      </c>
      <c r="EX146" s="143">
        <f t="shared" si="693"/>
        <v>0</v>
      </c>
      <c r="EY146" s="143">
        <f t="shared" si="694"/>
        <v>0</v>
      </c>
      <c r="EZ146" s="143">
        <f t="shared" si="695"/>
        <v>0</v>
      </c>
      <c r="FA146" s="143">
        <f t="shared" si="696"/>
        <v>0</v>
      </c>
      <c r="FB146" s="143">
        <f t="shared" si="697"/>
        <v>0</v>
      </c>
      <c r="FC146" s="143">
        <f t="shared" si="698"/>
        <v>0</v>
      </c>
      <c r="FD146" s="143">
        <f t="shared" si="699"/>
        <v>0</v>
      </c>
      <c r="FE146" s="140">
        <f>SUM($D146:D146)*IF($B146="Operacional",IFERROR(VLOOKUP($C146,SN_UGC,28,0),0),1)</f>
        <v>0</v>
      </c>
      <c r="FF146" s="140">
        <f>SUM($D146:E146)*IF($B146="Operacional",IFERROR(VLOOKUP($C146,SN_UGC,28,0),0),1)</f>
        <v>0</v>
      </c>
      <c r="FG146" s="140">
        <f>SUM($D146:F146)*IF($B146="Operacional",IFERROR(VLOOKUP($C146,SN_UGC,28,0),0),1)</f>
        <v>0</v>
      </c>
      <c r="FH146" s="140">
        <f>SUM($D146:G146)*IF($B146="Operacional",IFERROR(VLOOKUP($C146,SN_UGC,28,0),0),1)</f>
        <v>0</v>
      </c>
      <c r="FI146" s="140">
        <f>SUM($D146:H146)*IF($B146="Operacional",IFERROR(VLOOKUP($C146,SN_UGC,28,0),0),1)</f>
        <v>0</v>
      </c>
      <c r="FJ146" s="140">
        <f>SUM($D146:I146)*IF($B146="Operacional",IFERROR(VLOOKUP($C146,SN_UGC,28,0),0),1)</f>
        <v>0</v>
      </c>
      <c r="FK146" s="140">
        <f>SUM($D146:J146)*IF($B146="Operacional",IFERROR(VLOOKUP($C146,SN_UGC,28,0),0),1)</f>
        <v>0</v>
      </c>
      <c r="FL146" s="140">
        <f>SUM($D146:K146)*IF($B146="Operacional",IFERROR(VLOOKUP($C146,SN_UGC,28,0),0),1)</f>
        <v>0</v>
      </c>
      <c r="FM146" s="140">
        <f>SUM($D146:L146)*IF($B146="Operacional",IFERROR(VLOOKUP($C146,SN_UGC,28,0),0),1)</f>
        <v>0</v>
      </c>
      <c r="FN146" s="140">
        <f>SUM($D146:M146)*IF($B146="Operacional",IFERROR(VLOOKUP($C146,SN_UGC,28,0),0),1)</f>
        <v>0</v>
      </c>
      <c r="FO146" s="140">
        <f>SUM($D146:N146)*IF($B146="Operacional",IFERROR(VLOOKUP($C146,SN_UGC,28,0),0),1)</f>
        <v>0</v>
      </c>
      <c r="FP146" s="140">
        <f>SUM($D146:O146)*IF($B146="Operacional",IFERROR(VLOOKUP($C146,SN_UGC,28,0),0),1)</f>
        <v>0</v>
      </c>
      <c r="FQ146" s="140">
        <f>SUM($D146:P146)*IF($B146="Operacional",IFERROR(VLOOKUP($C146,SN_UGC,28,0),0),1)</f>
        <v>0</v>
      </c>
      <c r="FR146" s="140">
        <f>SUM($D146:Q146)*IF($B146="Operacional",IFERROR(VLOOKUP($C146,SN_UGC,28,0),0),1)</f>
        <v>0</v>
      </c>
      <c r="FS146" s="140">
        <f>SUM($D146:R146)*IF($B146="Operacional",IFERROR(VLOOKUP($C146,SN_UGC,28,0),0),1)</f>
        <v>0</v>
      </c>
      <c r="FT146" s="140">
        <f>SUM($D146:S146)*IF($B146="Operacional",IFERROR(VLOOKUP($C146,SN_UGC,28,0),0),1)</f>
        <v>0</v>
      </c>
      <c r="FU146" s="140">
        <f>SUM($D146:T146)*IF($B146="Operacional",IFERROR(VLOOKUP($C146,SN_UGC,28,0),0),1)</f>
        <v>0</v>
      </c>
      <c r="FV146" s="140">
        <f>SUM($D146:U146)*IF($B146="Operacional",IFERROR(VLOOKUP($C146,SN_UGC,28,0),0),1)</f>
        <v>0</v>
      </c>
      <c r="FW146" s="140">
        <f>SUM($D146:V146)*IF($B146="Operacional",IFERROR(VLOOKUP($C146,SN_UGC,28,0),0),1)</f>
        <v>0</v>
      </c>
      <c r="FX146" s="140">
        <f>SUM($D146:W146)*IF($B146="Operacional",IFERROR(VLOOKUP($C146,SN_UGC,28,0),0),1)</f>
        <v>0</v>
      </c>
      <c r="FY146" s="140">
        <f>SUM($D146:X146)*IF($B146="Operacional",IFERROR(VLOOKUP($C146,SN_UGC,28,0),0),1)</f>
        <v>0</v>
      </c>
      <c r="FZ146" s="140">
        <f>SUM($D146:Y146)*IF($B146="Operacional",IFERROR(VLOOKUP($C146,SN_UGC,28,0),0),1)</f>
        <v>0</v>
      </c>
      <c r="GA146" s="140">
        <f>SUM($D146:Z146)*IF($B146="Operacional",IFERROR(VLOOKUP($C146,SN_UGC,28,0),0),1)</f>
        <v>0</v>
      </c>
      <c r="GB146" s="140">
        <f>SUM($D146:AA146)*IF($B146="Operacional",IFERROR(VLOOKUP($C146,SN_UGC,28,0),0),1)</f>
        <v>0</v>
      </c>
      <c r="GC146" s="140">
        <f>SUM($D146:AB146)*IF($B146="Operacional",IFERROR(VLOOKUP($C146,SN_UGC,28,0),0),1)</f>
        <v>0</v>
      </c>
      <c r="GD146" s="140">
        <f>SUM($D146:AC146)*IF($B146="Operacional",IFERROR(VLOOKUP($C146,SN_UGC,28,0),0),1)</f>
        <v>0</v>
      </c>
      <c r="GE146" s="140">
        <f>SUM($D146:AD146)*IF($B146="Operacional",IFERROR(VLOOKUP($C146,SN_UGC,28,0),0),1)</f>
        <v>0</v>
      </c>
      <c r="GF146" s="140">
        <f>SUM($D146:AE146)*IF($B146="Operacional",IFERROR(VLOOKUP($C146,SN_UGC,28,0),0),1)</f>
        <v>0</v>
      </c>
      <c r="GG146" s="140">
        <f>SUM($D146:AF146)*IF($B146="Operacional",IFERROR(VLOOKUP($C146,SN_UGC,28,0),0),1)</f>
        <v>0</v>
      </c>
      <c r="GH146" s="140">
        <f>SUM($D146:AG146)*IF($B146="Operacional",IFERROR(VLOOKUP($C146,SN_UGC,28,0),0),1)</f>
        <v>0</v>
      </c>
      <c r="GI146" s="141">
        <f t="shared" ref="GI146:HL146" si="755">FE146*$AH146*$AL146</f>
        <v>0</v>
      </c>
      <c r="GJ146" s="141">
        <f t="shared" si="755"/>
        <v>0</v>
      </c>
      <c r="GK146" s="141">
        <f t="shared" si="755"/>
        <v>0</v>
      </c>
      <c r="GL146" s="141">
        <f t="shared" si="755"/>
        <v>0</v>
      </c>
      <c r="GM146" s="141">
        <f t="shared" si="755"/>
        <v>0</v>
      </c>
      <c r="GN146" s="141">
        <f t="shared" si="755"/>
        <v>0</v>
      </c>
      <c r="GO146" s="141">
        <f t="shared" si="755"/>
        <v>0</v>
      </c>
      <c r="GP146" s="141">
        <f t="shared" si="755"/>
        <v>0</v>
      </c>
      <c r="GQ146" s="141">
        <f t="shared" si="755"/>
        <v>0</v>
      </c>
      <c r="GR146" s="141">
        <f t="shared" si="755"/>
        <v>0</v>
      </c>
      <c r="GS146" s="141">
        <f t="shared" si="755"/>
        <v>0</v>
      </c>
      <c r="GT146" s="141">
        <f t="shared" si="755"/>
        <v>0</v>
      </c>
      <c r="GU146" s="141">
        <f t="shared" si="755"/>
        <v>0</v>
      </c>
      <c r="GV146" s="141">
        <f t="shared" si="755"/>
        <v>0</v>
      </c>
      <c r="GW146" s="141">
        <f t="shared" si="755"/>
        <v>0</v>
      </c>
      <c r="GX146" s="141">
        <f t="shared" si="755"/>
        <v>0</v>
      </c>
      <c r="GY146" s="141">
        <f t="shared" si="755"/>
        <v>0</v>
      </c>
      <c r="GZ146" s="141">
        <f t="shared" si="755"/>
        <v>0</v>
      </c>
      <c r="HA146" s="141">
        <f t="shared" si="755"/>
        <v>0</v>
      </c>
      <c r="HB146" s="141">
        <f t="shared" si="755"/>
        <v>0</v>
      </c>
      <c r="HC146" s="141">
        <f t="shared" si="755"/>
        <v>0</v>
      </c>
      <c r="HD146" s="141">
        <f t="shared" si="755"/>
        <v>0</v>
      </c>
      <c r="HE146" s="141">
        <f t="shared" si="755"/>
        <v>0</v>
      </c>
      <c r="HF146" s="141">
        <f t="shared" si="755"/>
        <v>0</v>
      </c>
      <c r="HG146" s="141">
        <f t="shared" si="755"/>
        <v>0</v>
      </c>
      <c r="HH146" s="141">
        <f t="shared" si="755"/>
        <v>0</v>
      </c>
      <c r="HI146" s="141">
        <f t="shared" si="755"/>
        <v>0</v>
      </c>
      <c r="HJ146" s="141">
        <f t="shared" si="755"/>
        <v>0</v>
      </c>
      <c r="HK146" s="141">
        <f t="shared" si="755"/>
        <v>0</v>
      </c>
      <c r="HL146" s="141">
        <f t="shared" si="755"/>
        <v>0</v>
      </c>
      <c r="HM146" s="142">
        <f t="shared" ref="HM146:IP146" si="756">IF(ISBLANK($A146),,FE146*($AH146-($AH146*$AJ146))/$AI146)</f>
        <v>0</v>
      </c>
      <c r="HN146" s="142">
        <f t="shared" si="756"/>
        <v>0</v>
      </c>
      <c r="HO146" s="142">
        <f t="shared" si="756"/>
        <v>0</v>
      </c>
      <c r="HP146" s="142">
        <f t="shared" si="756"/>
        <v>0</v>
      </c>
      <c r="HQ146" s="142">
        <f t="shared" si="756"/>
        <v>0</v>
      </c>
      <c r="HR146" s="142">
        <f t="shared" si="756"/>
        <v>0</v>
      </c>
      <c r="HS146" s="142">
        <f t="shared" si="756"/>
        <v>0</v>
      </c>
      <c r="HT146" s="142">
        <f t="shared" si="756"/>
        <v>0</v>
      </c>
      <c r="HU146" s="142">
        <f t="shared" si="756"/>
        <v>0</v>
      </c>
      <c r="HV146" s="142">
        <f t="shared" si="756"/>
        <v>0</v>
      </c>
      <c r="HW146" s="142">
        <f t="shared" si="756"/>
        <v>0</v>
      </c>
      <c r="HX146" s="142">
        <f t="shared" si="756"/>
        <v>0</v>
      </c>
      <c r="HY146" s="142">
        <f t="shared" si="756"/>
        <v>0</v>
      </c>
      <c r="HZ146" s="142">
        <f t="shared" si="756"/>
        <v>0</v>
      </c>
      <c r="IA146" s="142">
        <f t="shared" si="756"/>
        <v>0</v>
      </c>
      <c r="IB146" s="142">
        <f t="shared" si="756"/>
        <v>0</v>
      </c>
      <c r="IC146" s="142">
        <f t="shared" si="756"/>
        <v>0</v>
      </c>
      <c r="ID146" s="142">
        <f t="shared" si="756"/>
        <v>0</v>
      </c>
      <c r="IE146" s="142">
        <f t="shared" si="756"/>
        <v>0</v>
      </c>
      <c r="IF146" s="142">
        <f t="shared" si="756"/>
        <v>0</v>
      </c>
      <c r="IG146" s="142">
        <f t="shared" si="756"/>
        <v>0</v>
      </c>
      <c r="IH146" s="142">
        <f t="shared" si="756"/>
        <v>0</v>
      </c>
      <c r="II146" s="142">
        <f t="shared" si="756"/>
        <v>0</v>
      </c>
      <c r="IJ146" s="142">
        <f t="shared" si="756"/>
        <v>0</v>
      </c>
      <c r="IK146" s="142">
        <f t="shared" si="756"/>
        <v>0</v>
      </c>
      <c r="IL146" s="142">
        <f t="shared" si="756"/>
        <v>0</v>
      </c>
      <c r="IM146" s="142">
        <f t="shared" si="756"/>
        <v>0</v>
      </c>
      <c r="IN146" s="142">
        <f t="shared" si="756"/>
        <v>0</v>
      </c>
      <c r="IO146" s="142">
        <f t="shared" si="756"/>
        <v>0</v>
      </c>
      <c r="IP146" s="142">
        <f t="shared" si="756"/>
        <v>0</v>
      </c>
      <c r="IQ146" s="141">
        <f>IF(ISBLANK($A146),,IF($AN146="Não",0,(SUM($AO146:AO146)*$AH146)-SUM($HM146:HM146)-SUM($CW146:CW146)))</f>
        <v>0</v>
      </c>
      <c r="IR146" s="141">
        <f>IF(ISBLANK($A146),,IF($AN146="Não",0,(SUM($AO146:AP146)*$AH146)-SUM($HM146:HN146)-SUM($CW146:CX146)))</f>
        <v>0</v>
      </c>
      <c r="IS146" s="141">
        <f>IF(ISBLANK($A146),,IF($AN146="Não",0,(SUM($AO146:AQ146)*$AH146)-SUM($HM146:HO146)-SUM($CW146:CY146)))</f>
        <v>0</v>
      </c>
      <c r="IT146" s="141">
        <f>IF(ISBLANK($A146),,IF($AN146="Não",0,(SUM($AO146:AR146)*$AH146)-SUM($HM146:HP146)-SUM($CW146:CZ146)))</f>
        <v>0</v>
      </c>
      <c r="IU146" s="141">
        <f>IF(ISBLANK($A146),,IF($AN146="Não",0,(SUM($AO146:AS146)*$AH146)-SUM($HM146:HQ146)-SUM($CW146:DA146)))</f>
        <v>0</v>
      </c>
      <c r="IV146" s="141">
        <f>IF(ISBLANK($A146),,IF($AN146="Não",0,(SUM($AO146:AT146)*$AH146)-SUM($HM146:HR146)-SUM($CW146:DB146)))</f>
        <v>0</v>
      </c>
      <c r="IW146" s="141">
        <f>IF(ISBLANK($A146),,IF($AN146="Não",0,(SUM($AO146:AU146)*$AH146)-SUM($HM146:HS146)-SUM($CW146:DC146)))</f>
        <v>0</v>
      </c>
      <c r="IX146" s="141">
        <f>IF(ISBLANK($A146),,IF($AN146="Não",0,(SUM($AO146:AV146)*$AH146)-SUM($HM146:HT146)-SUM($CW146:DD146)))</f>
        <v>0</v>
      </c>
      <c r="IY146" s="141">
        <f>IF(ISBLANK($A146),,IF($AN146="Não",0,(SUM($AO146:AW146)*$AH146)-SUM($HM146:HU146)-SUM($CW146:DE146)))</f>
        <v>0</v>
      </c>
      <c r="IZ146" s="141">
        <f>IF(ISBLANK($A146),,IF($AN146="Não",0,(SUM($AO146:AX146)*$AH146)-SUM($HM146:HV146)-SUM($CW146:DF146)))</f>
        <v>0</v>
      </c>
      <c r="JA146" s="141">
        <f>IF(ISBLANK($A146),,IF($AN146="Não",0,(SUM($AO146:AY146)*$AH146)-SUM($HM146:HW146)-SUM($CW146:DG146)))</f>
        <v>0</v>
      </c>
      <c r="JB146" s="141">
        <f>IF(ISBLANK($A146),,IF($AN146="Não",0,(SUM($AO146:AZ146)*$AH146)-SUM($HM146:HX146)-SUM($CW146:DH146)))</f>
        <v>0</v>
      </c>
      <c r="JC146" s="141">
        <f>IF(ISBLANK($A146),,IF($AN146="Não",0,(SUM($AO146:BA146)*$AH146)-SUM($HM146:HY146)-SUM($CW146:DI146)))</f>
        <v>0</v>
      </c>
      <c r="JD146" s="141">
        <f>IF(ISBLANK($A146),,IF($AN146="Não",0,(SUM($AO146:BB146)*$AH146)-SUM($HM146:HZ146)-SUM($CW146:DJ146)))</f>
        <v>0</v>
      </c>
      <c r="JE146" s="141">
        <f>IF(ISBLANK($A146),,IF($AN146="Não",0,(SUM($AO146:BC146)*$AH146)-SUM($HM146:IA146)-SUM($CW146:DK146)))</f>
        <v>0</v>
      </c>
      <c r="JF146" s="141">
        <f>IF(ISBLANK($A146),,IF($AN146="Não",0,(SUM($AO146:BD146)*$AH146)-SUM($HM146:IB146)-SUM($CW146:DL146)))</f>
        <v>0</v>
      </c>
      <c r="JG146" s="141">
        <f>IF(ISBLANK($A146),,IF($AN146="Não",0,(SUM($AO146:BE146)*$AH146)-SUM($HM146:IC146)-SUM($CW146:DM146)))</f>
        <v>0</v>
      </c>
      <c r="JH146" s="141">
        <f>IF(ISBLANK($A146),,IF($AN146="Não",0,(SUM($AO146:BF146)*$AH146)-SUM($HM146:ID146)-SUM($CW146:DN146)))</f>
        <v>0</v>
      </c>
      <c r="JI146" s="141">
        <f>IF(ISBLANK($A146),,IF($AN146="Não",0,(SUM($AO146:BG146)*$AH146)-SUM($HM146:IE146)-SUM($CW146:DO146)))</f>
        <v>0</v>
      </c>
      <c r="JJ146" s="141">
        <f>IF(ISBLANK($A146),,IF($AN146="Não",0,(SUM($AO146:BH146)*$AH146)-SUM($HM146:IF146)-SUM($CW146:DP146)))</f>
        <v>0</v>
      </c>
      <c r="JK146" s="141">
        <f>IF(ISBLANK($A146),,IF($AN146="Não",0,(SUM($AO146:BI146)*$AH146)-SUM($HM146:IG146)-SUM($CW146:DQ146)))</f>
        <v>0</v>
      </c>
      <c r="JL146" s="141">
        <f>IF(ISBLANK($A146),,IF($AN146="Não",0,(SUM($AO146:BJ146)*$AH146)-SUM($HM146:IH146)-SUM($CW146:DR146)))</f>
        <v>0</v>
      </c>
      <c r="JM146" s="141">
        <f>IF(ISBLANK($A146),,IF($AN146="Não",0,(SUM($AO146:BK146)*$AH146)-SUM($HM146:II146)-SUM($CW146:DS146)))</f>
        <v>0</v>
      </c>
      <c r="JN146" s="141">
        <f>IF(ISBLANK($A146),,IF($AN146="Não",0,(SUM($AO146:BL146)*$AH146)-SUM($HM146:IJ146)-SUM($CW146:DT146)))</f>
        <v>0</v>
      </c>
      <c r="JO146" s="141">
        <f>IF(ISBLANK($A146),,IF($AN146="Não",0,(SUM($AO146:BM146)*$AH146)-SUM($HM146:IK146)-SUM($CW146:DU146)))</f>
        <v>0</v>
      </c>
      <c r="JP146" s="141">
        <f>IF(ISBLANK($A146),,IF($AN146="Não",0,(SUM($AO146:BN146)*$AH146)-SUM($HM146:IL146)-SUM($CW146:DV146)))</f>
        <v>0</v>
      </c>
      <c r="JQ146" s="141">
        <f>IF(ISBLANK($A146),,IF($AN146="Não",0,(SUM($AO146:BO146)*$AH146)-SUM($HM146:IM146)-SUM($CW146:DW146)))</f>
        <v>0</v>
      </c>
      <c r="JR146" s="141">
        <f>IF(ISBLANK($A146),,IF($AN146="Não",0,(SUM($AO146:BP146)*$AH146)-SUM($HM146:IN146)-SUM($CW146:DX146)))</f>
        <v>0</v>
      </c>
      <c r="JS146" s="141">
        <f>IF(ISBLANK($A146),,IF($AN146="Não",0,(SUM($AO146:BQ146)*$AH146)-SUM($HM146:IO146)-SUM($CW146:DY146)))</f>
        <v>0</v>
      </c>
      <c r="JT146" s="141">
        <f>IF(ISBLANK($A146),,IF($AN146="Não",0,(SUM($AO146:BR146)*$AH146)-SUM($HM146:IP146)-SUM($CW146:DZ146)))</f>
        <v>0</v>
      </c>
    </row>
    <row r="147" spans="1:280" ht="15.75" customHeight="1">
      <c r="A147" s="129"/>
      <c r="B147" s="129"/>
      <c r="C147" s="138"/>
      <c r="D147" s="139"/>
      <c r="E147" s="139"/>
      <c r="F147" s="139"/>
      <c r="G147" s="139"/>
      <c r="H147" s="139"/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607">
        <f t="shared" si="710"/>
        <v>0</v>
      </c>
      <c r="AI147" s="608">
        <f t="shared" si="711"/>
        <v>0</v>
      </c>
      <c r="AJ147" s="609">
        <f t="shared" si="712"/>
        <v>0</v>
      </c>
      <c r="AK147" s="610" t="str">
        <f t="shared" si="713"/>
        <v/>
      </c>
      <c r="AL147" s="609">
        <f t="shared" si="714"/>
        <v>0</v>
      </c>
      <c r="AM147" s="611" t="str">
        <f t="shared" si="715"/>
        <v/>
      </c>
      <c r="AN147" s="611" t="str">
        <f t="shared" si="716"/>
        <v/>
      </c>
      <c r="AO147" s="140">
        <f t="array" ref="AO147">IF(ISBLANK($A147),0,IF(OR(AO$5-$AI147&lt;=0,$AM147="Não"),D147,D147+INDEX($AO$6:$BR$176,ROW()-5,COLUMN()-40-$AI147)))*IF($B147="Operacional",IFERROR(VLOOKUP($C147,SN_UGC,28,0),0),1)</f>
        <v>0</v>
      </c>
      <c r="AP147" s="140">
        <f t="array" ref="AP147">IF(ISBLANK($A147),0,IF(OR(AP$5-$AI147&lt;=0,$AM147="Não"),E147,E147+INDEX($AO$6:$BR$176,ROW()-5,COLUMN()-40-$AI147)))*IF($B147="Operacional",IFERROR(VLOOKUP($C147,SN_UGC,28,0),0),1)</f>
        <v>0</v>
      </c>
      <c r="AQ147" s="140">
        <f t="array" ref="AQ147">IF(ISBLANK($A147),0,IF(OR(AQ$5-$AI147&lt;=0,$AM147="Não"),F147,F147+INDEX($AO$6:$BR$176,ROW()-5,COLUMN()-40-$AI147)))*IF($B147="Operacional",IFERROR(VLOOKUP($C147,SN_UGC,28,0),0),1)</f>
        <v>0</v>
      </c>
      <c r="AR147" s="140">
        <f t="array" ref="AR147">IF(ISBLANK($A147),0,IF(OR(AR$5-$AI147&lt;=0,$AM147="Não"),G147,G147+INDEX($AO$6:$BR$176,ROW()-5,COLUMN()-40-$AI147)))*IF($B147="Operacional",IFERROR(VLOOKUP($C147,SN_UGC,28,0),0),1)</f>
        <v>0</v>
      </c>
      <c r="AS147" s="140">
        <f t="array" ref="AS147">IF(ISBLANK($A147),0,IF(OR(AS$5-$AI147&lt;=0,$AM147="Não"),H147,H147+INDEX($AO$6:$BR$176,ROW()-5,COLUMN()-40-$AI147)))*IF($B147="Operacional",IFERROR(VLOOKUP($C147,SN_UGC,28,0),0),1)</f>
        <v>0</v>
      </c>
      <c r="AT147" s="140">
        <f t="array" ref="AT147">IF(ISBLANK($A147),0,IF(OR(AT$5-$AI147&lt;=0,$AM147="Não"),I147,I147+INDEX($AO$6:$BR$176,ROW()-5,COLUMN()-40-$AI147)))*IF($B147="Operacional",IFERROR(VLOOKUP($C147,SN_UGC,28,0),0),1)</f>
        <v>0</v>
      </c>
      <c r="AU147" s="140">
        <f t="array" ref="AU147">IF(ISBLANK($A147),0,IF(OR(AU$5-$AI147&lt;=0,$AM147="Não"),J147,J147+INDEX($AO$6:$BR$176,ROW()-5,COLUMN()-40-$AI147)))*IF($B147="Operacional",IFERROR(VLOOKUP($C147,SN_UGC,28,0),0),1)</f>
        <v>0</v>
      </c>
      <c r="AV147" s="140">
        <f t="array" ref="AV147">IF(ISBLANK($A147),0,IF(OR(AV$5-$AI147&lt;=0,$AM147="Não"),K147,K147+INDEX($AO$6:$BR$176,ROW()-5,COLUMN()-40-$AI147)))*IF($B147="Operacional",IFERROR(VLOOKUP($C147,SN_UGC,28,0),0),1)</f>
        <v>0</v>
      </c>
      <c r="AW147" s="140">
        <f t="array" ref="AW147">IF(ISBLANK($A147),0,IF(OR(AW$5-$AI147&lt;=0,$AM147="Não"),L147,L147+INDEX($AO$6:$BR$176,ROW()-5,COLUMN()-40-$AI147)))*IF($B147="Operacional",IFERROR(VLOOKUP($C147,SN_UGC,28,0),0),1)</f>
        <v>0</v>
      </c>
      <c r="AX147" s="140">
        <f t="array" ref="AX147">IF(ISBLANK($A147),0,IF(OR(AX$5-$AI147&lt;=0,$AM147="Não"),M147,M147+INDEX($AO$6:$BR$176,ROW()-5,COLUMN()-40-$AI147)))*IF($B147="Operacional",IFERROR(VLOOKUP($C147,SN_UGC,28,0),0),1)</f>
        <v>0</v>
      </c>
      <c r="AY147" s="140">
        <f t="array" ref="AY147">IF(ISBLANK($A147),0,IF(OR(AY$5-$AI147&lt;=0,$AM147="Não"),N147,N147+INDEX($AO$6:$BR$176,ROW()-5,COLUMN()-40-$AI147)))*IF($B147="Operacional",IFERROR(VLOOKUP($C147,SN_UGC,28,0),0),1)</f>
        <v>0</v>
      </c>
      <c r="AZ147" s="140">
        <f t="array" ref="AZ147">IF(ISBLANK($A147),0,IF(OR(AZ$5-$AI147&lt;=0,$AM147="Não"),O147,O147+INDEX($AO$6:$BR$176,ROW()-5,COLUMN()-40-$AI147)))*IF($B147="Operacional",IFERROR(VLOOKUP($C147,SN_UGC,28,0),0),1)</f>
        <v>0</v>
      </c>
      <c r="BA147" s="140">
        <f t="array" ref="BA147">IF(ISBLANK($A147),0,IF(OR(BA$5-$AI147&lt;=0,$AM147="Não"),P147,P147+INDEX($AO$6:$BR$176,ROW()-5,COLUMN()-40-$AI147)))*IF($B147="Operacional",IFERROR(VLOOKUP($C147,SN_UGC,28,0),0),1)</f>
        <v>0</v>
      </c>
      <c r="BB147" s="140">
        <f t="array" ref="BB147">IF(ISBLANK($A147),0,IF(OR(BB$5-$AI147&lt;=0,$AM147="Não"),Q147,Q147+INDEX($AO$6:$BR$176,ROW()-5,COLUMN()-40-$AI147)))*IF($B147="Operacional",IFERROR(VLOOKUP($C147,SN_UGC,28,0),0),1)</f>
        <v>0</v>
      </c>
      <c r="BC147" s="140">
        <f t="array" ref="BC147">IF(ISBLANK($A147),0,IF(OR(BC$5-$AI147&lt;=0,$AM147="Não"),R147,R147+INDEX($AO$6:$BR$176,ROW()-5,COLUMN()-40-$AI147)))*IF($B147="Operacional",IFERROR(VLOOKUP($C147,SN_UGC,28,0),0),1)</f>
        <v>0</v>
      </c>
      <c r="BD147" s="140">
        <f t="array" ref="BD147">IF(ISBLANK($A147),0,IF(OR(BD$5-$AI147&lt;=0,$AM147="Não"),S147,S147+INDEX($AO$6:$BR$176,ROW()-5,COLUMN()-40-$AI147)))*IF($B147="Operacional",IFERROR(VLOOKUP($C147,SN_UGC,28,0),0),1)</f>
        <v>0</v>
      </c>
      <c r="BE147" s="140">
        <f t="array" ref="BE147">IF(ISBLANK($A147),0,IF(OR(BE$5-$AI147&lt;=0,$AM147="Não"),T147,T147+INDEX($AO$6:$BR$176,ROW()-5,COLUMN()-40-$AI147)))*IF($B147="Operacional",IFERROR(VLOOKUP($C147,SN_UGC,28,0),0),1)</f>
        <v>0</v>
      </c>
      <c r="BF147" s="140">
        <f t="array" ref="BF147">IF(ISBLANK($A147),0,IF(OR(BF$5-$AI147&lt;=0,$AM147="Não"),U147,U147+INDEX($AO$6:$BR$176,ROW()-5,COLUMN()-40-$AI147)))*IF($B147="Operacional",IFERROR(VLOOKUP($C147,SN_UGC,28,0),0),1)</f>
        <v>0</v>
      </c>
      <c r="BG147" s="140">
        <f t="array" ref="BG147">IF(ISBLANK($A147),0,IF(OR(BG$5-$AI147&lt;=0,$AM147="Não"),V147,V147+INDEX($AO$6:$BR$176,ROW()-5,COLUMN()-40-$AI147)))*IF($B147="Operacional",IFERROR(VLOOKUP($C147,SN_UGC,28,0),0),1)</f>
        <v>0</v>
      </c>
      <c r="BH147" s="140">
        <f t="array" ref="BH147">IF(ISBLANK($A147),0,IF(OR(BH$5-$AI147&lt;=0,$AM147="Não"),W147,W147+INDEX($AO$6:$BR$176,ROW()-5,COLUMN()-40-$AI147)))*IF($B147="Operacional",IFERROR(VLOOKUP($C147,SN_UGC,28,0),0),1)</f>
        <v>0</v>
      </c>
      <c r="BI147" s="140">
        <f t="array" ref="BI147">IF(ISBLANK($A147),0,IF(OR(BI$5-$AI147&lt;=0,$AM147="Não"),X147,X147+INDEX($AO$6:$BR$176,ROW()-5,COLUMN()-40-$AI147)))*IF($B147="Operacional",IFERROR(VLOOKUP($C147,SN_UGC,28,0),0),1)</f>
        <v>0</v>
      </c>
      <c r="BJ147" s="140">
        <f t="array" ref="BJ147">IF(ISBLANK($A147),0,IF(OR(BJ$5-$AI147&lt;=0,$AM147="Não"),Y147,Y147+INDEX($AO$6:$BR$176,ROW()-5,COLUMN()-40-$AI147)))*IF($B147="Operacional",IFERROR(VLOOKUP($C147,SN_UGC,28,0),0),1)</f>
        <v>0</v>
      </c>
      <c r="BK147" s="140">
        <f t="array" ref="BK147">IF(ISBLANK($A147),0,IF(OR(BK$5-$AI147&lt;=0,$AM147="Não"),Z147,Z147+INDEX($AO$6:$BR$176,ROW()-5,COLUMN()-40-$AI147)))*IF($B147="Operacional",IFERROR(VLOOKUP($C147,SN_UGC,28,0),0),1)</f>
        <v>0</v>
      </c>
      <c r="BL147" s="140">
        <f t="array" ref="BL147">IF(ISBLANK($A147),0,IF(OR(BL$5-$AI147&lt;=0,$AM147="Não"),AA147,AA147+INDEX($AO$6:$BR$176,ROW()-5,COLUMN()-40-$AI147)))*IF($B147="Operacional",IFERROR(VLOOKUP($C147,SN_UGC,28,0),0),1)</f>
        <v>0</v>
      </c>
      <c r="BM147" s="140">
        <f t="array" ref="BM147">IF(ISBLANK($A147),0,IF(OR(BM$5-$AI147&lt;=0,$AM147="Não"),AB147,AB147+INDEX($AO$6:$BR$176,ROW()-5,COLUMN()-40-$AI147)))*IF($B147="Operacional",IFERROR(VLOOKUP($C147,SN_UGC,28,0),0),1)</f>
        <v>0</v>
      </c>
      <c r="BN147" s="140">
        <f t="array" ref="BN147">IF(ISBLANK($A147),0,IF(OR(BN$5-$AI147&lt;=0,$AM147="Não"),AC147,AC147+INDEX($AO$6:$BR$176,ROW()-5,COLUMN()-40-$AI147)))*IF($B147="Operacional",IFERROR(VLOOKUP($C147,SN_UGC,28,0),0),1)</f>
        <v>0</v>
      </c>
      <c r="BO147" s="140">
        <f t="array" ref="BO147">IF(ISBLANK($A147),0,IF(OR(BO$5-$AI147&lt;=0,$AM147="Não"),AD147,AD147+INDEX($AO$6:$BR$176,ROW()-5,COLUMN()-40-$AI147)))*IF($B147="Operacional",IFERROR(VLOOKUP($C147,SN_UGC,28,0),0),1)</f>
        <v>0</v>
      </c>
      <c r="BP147" s="140">
        <f t="array" ref="BP147">IF(ISBLANK($A147),0,IF(OR(BP$5-$AI147&lt;=0,$AM147="Não"),AE147,AE147+INDEX($AO$6:$BR$176,ROW()-5,COLUMN()-40-$AI147)))*IF($B147="Operacional",IFERROR(VLOOKUP($C147,SN_UGC,28,0),0),1)</f>
        <v>0</v>
      </c>
      <c r="BQ147" s="140">
        <f t="array" ref="BQ147">IF(ISBLANK($A147),0,IF(OR(BQ$5-$AI147&lt;=0,$AM147="Não"),AF147,AF147+INDEX($AO$6:$BR$176,ROW()-5,COLUMN()-40-$AI147)))*IF($B147="Operacional",IFERROR(VLOOKUP($C147,SN_UGC,28,0),0),1)</f>
        <v>0</v>
      </c>
      <c r="BR147" s="140">
        <f t="array" ref="BR147">IF(ISBLANK($A147),0,IF(OR(BR$5-$AI147&lt;=0,$AM147="Não"),AG147,AG147+INDEX($AO$6:$BR$176,ROW()-5,COLUMN()-40-$AI147)))*IF($B147="Operacional",IFERROR(VLOOKUP($C147,SN_UGC,28,0),0),1)</f>
        <v>0</v>
      </c>
      <c r="BS147" s="141">
        <f t="shared" ref="BS147:CV147" si="757">IF(ISBLANK($A147),0,$AH147*AO147)</f>
        <v>0</v>
      </c>
      <c r="BT147" s="141">
        <f t="shared" si="757"/>
        <v>0</v>
      </c>
      <c r="BU147" s="141">
        <f t="shared" si="757"/>
        <v>0</v>
      </c>
      <c r="BV147" s="141">
        <f t="shared" si="757"/>
        <v>0</v>
      </c>
      <c r="BW147" s="141">
        <f t="shared" si="757"/>
        <v>0</v>
      </c>
      <c r="BX147" s="141">
        <f t="shared" si="757"/>
        <v>0</v>
      </c>
      <c r="BY147" s="141">
        <f t="shared" si="757"/>
        <v>0</v>
      </c>
      <c r="BZ147" s="141">
        <f t="shared" si="757"/>
        <v>0</v>
      </c>
      <c r="CA147" s="141">
        <f t="shared" si="757"/>
        <v>0</v>
      </c>
      <c r="CB147" s="141">
        <f t="shared" si="757"/>
        <v>0</v>
      </c>
      <c r="CC147" s="141">
        <f t="shared" si="757"/>
        <v>0</v>
      </c>
      <c r="CD147" s="141">
        <f t="shared" si="757"/>
        <v>0</v>
      </c>
      <c r="CE147" s="141">
        <f t="shared" si="757"/>
        <v>0</v>
      </c>
      <c r="CF147" s="141">
        <f t="shared" si="757"/>
        <v>0</v>
      </c>
      <c r="CG147" s="141">
        <f t="shared" si="757"/>
        <v>0</v>
      </c>
      <c r="CH147" s="141">
        <f t="shared" si="757"/>
        <v>0</v>
      </c>
      <c r="CI147" s="141">
        <f t="shared" si="757"/>
        <v>0</v>
      </c>
      <c r="CJ147" s="141">
        <f t="shared" si="757"/>
        <v>0</v>
      </c>
      <c r="CK147" s="141">
        <f t="shared" si="757"/>
        <v>0</v>
      </c>
      <c r="CL147" s="141">
        <f t="shared" si="757"/>
        <v>0</v>
      </c>
      <c r="CM147" s="141">
        <f t="shared" si="757"/>
        <v>0</v>
      </c>
      <c r="CN147" s="141">
        <f t="shared" si="757"/>
        <v>0</v>
      </c>
      <c r="CO147" s="141">
        <f t="shared" si="757"/>
        <v>0</v>
      </c>
      <c r="CP147" s="141">
        <f t="shared" si="757"/>
        <v>0</v>
      </c>
      <c r="CQ147" s="141">
        <f t="shared" si="757"/>
        <v>0</v>
      </c>
      <c r="CR147" s="141">
        <f t="shared" si="757"/>
        <v>0</v>
      </c>
      <c r="CS147" s="141">
        <f t="shared" si="757"/>
        <v>0</v>
      </c>
      <c r="CT147" s="141">
        <f t="shared" si="757"/>
        <v>0</v>
      </c>
      <c r="CU147" s="141">
        <f t="shared" si="757"/>
        <v>0</v>
      </c>
      <c r="CV147" s="141">
        <f t="shared" si="757"/>
        <v>0</v>
      </c>
      <c r="CW147" s="142">
        <f t="shared" ref="CW147:DZ147" si="758">EA147*$AH147*$AJ147</f>
        <v>0</v>
      </c>
      <c r="CX147" s="142">
        <f t="shared" si="758"/>
        <v>0</v>
      </c>
      <c r="CY147" s="142">
        <f t="shared" si="758"/>
        <v>0</v>
      </c>
      <c r="CZ147" s="142">
        <f t="shared" si="758"/>
        <v>0</v>
      </c>
      <c r="DA147" s="142">
        <f t="shared" si="758"/>
        <v>0</v>
      </c>
      <c r="DB147" s="142">
        <f t="shared" si="758"/>
        <v>0</v>
      </c>
      <c r="DC147" s="142">
        <f t="shared" si="758"/>
        <v>0</v>
      </c>
      <c r="DD147" s="142">
        <f t="shared" si="758"/>
        <v>0</v>
      </c>
      <c r="DE147" s="142">
        <f t="shared" si="758"/>
        <v>0</v>
      </c>
      <c r="DF147" s="142">
        <f t="shared" si="758"/>
        <v>0</v>
      </c>
      <c r="DG147" s="142">
        <f t="shared" si="758"/>
        <v>0</v>
      </c>
      <c r="DH147" s="142">
        <f t="shared" si="758"/>
        <v>0</v>
      </c>
      <c r="DI147" s="142">
        <f t="shared" si="758"/>
        <v>0</v>
      </c>
      <c r="DJ147" s="142">
        <f t="shared" si="758"/>
        <v>0</v>
      </c>
      <c r="DK147" s="142">
        <f t="shared" si="758"/>
        <v>0</v>
      </c>
      <c r="DL147" s="142">
        <f t="shared" si="758"/>
        <v>0</v>
      </c>
      <c r="DM147" s="142">
        <f t="shared" si="758"/>
        <v>0</v>
      </c>
      <c r="DN147" s="142">
        <f t="shared" si="758"/>
        <v>0</v>
      </c>
      <c r="DO147" s="142">
        <f t="shared" si="758"/>
        <v>0</v>
      </c>
      <c r="DP147" s="142">
        <f t="shared" si="758"/>
        <v>0</v>
      </c>
      <c r="DQ147" s="142">
        <f t="shared" si="758"/>
        <v>0</v>
      </c>
      <c r="DR147" s="142">
        <f t="shared" si="758"/>
        <v>0</v>
      </c>
      <c r="DS147" s="142">
        <f t="shared" si="758"/>
        <v>0</v>
      </c>
      <c r="DT147" s="142">
        <f t="shared" si="758"/>
        <v>0</v>
      </c>
      <c r="DU147" s="142">
        <f t="shared" si="758"/>
        <v>0</v>
      </c>
      <c r="DV147" s="142">
        <f t="shared" si="758"/>
        <v>0</v>
      </c>
      <c r="DW147" s="142">
        <f t="shared" si="758"/>
        <v>0</v>
      </c>
      <c r="DX147" s="142">
        <f t="shared" si="758"/>
        <v>0</v>
      </c>
      <c r="DY147" s="142">
        <f t="shared" si="758"/>
        <v>0</v>
      </c>
      <c r="DZ147" s="142">
        <f t="shared" si="758"/>
        <v>0</v>
      </c>
      <c r="EA147" s="143">
        <f t="shared" si="670"/>
        <v>0</v>
      </c>
      <c r="EB147" s="143">
        <f t="shared" si="671"/>
        <v>0</v>
      </c>
      <c r="EC147" s="143">
        <f t="shared" si="672"/>
        <v>0</v>
      </c>
      <c r="ED147" s="143">
        <f t="shared" si="673"/>
        <v>0</v>
      </c>
      <c r="EE147" s="143">
        <f t="shared" si="674"/>
        <v>0</v>
      </c>
      <c r="EF147" s="143">
        <f t="shared" si="675"/>
        <v>0</v>
      </c>
      <c r="EG147" s="143">
        <f t="shared" si="676"/>
        <v>0</v>
      </c>
      <c r="EH147" s="143">
        <f t="shared" si="677"/>
        <v>0</v>
      </c>
      <c r="EI147" s="143">
        <f t="shared" si="678"/>
        <v>0</v>
      </c>
      <c r="EJ147" s="143">
        <f t="shared" si="679"/>
        <v>0</v>
      </c>
      <c r="EK147" s="143">
        <f t="shared" si="680"/>
        <v>0</v>
      </c>
      <c r="EL147" s="143">
        <f t="shared" si="681"/>
        <v>0</v>
      </c>
      <c r="EM147" s="143">
        <f t="shared" si="682"/>
        <v>0</v>
      </c>
      <c r="EN147" s="143">
        <f t="shared" si="683"/>
        <v>0</v>
      </c>
      <c r="EO147" s="143">
        <f t="shared" si="684"/>
        <v>0</v>
      </c>
      <c r="EP147" s="143">
        <f t="shared" si="685"/>
        <v>0</v>
      </c>
      <c r="EQ147" s="143">
        <f t="shared" si="686"/>
        <v>0</v>
      </c>
      <c r="ER147" s="143">
        <f t="shared" si="687"/>
        <v>0</v>
      </c>
      <c r="ES147" s="143">
        <f t="shared" si="688"/>
        <v>0</v>
      </c>
      <c r="ET147" s="143">
        <f t="shared" si="689"/>
        <v>0</v>
      </c>
      <c r="EU147" s="143">
        <f t="shared" si="690"/>
        <v>0</v>
      </c>
      <c r="EV147" s="143">
        <f t="shared" si="691"/>
        <v>0</v>
      </c>
      <c r="EW147" s="143">
        <f t="shared" si="692"/>
        <v>0</v>
      </c>
      <c r="EX147" s="143">
        <f t="shared" si="693"/>
        <v>0</v>
      </c>
      <c r="EY147" s="143">
        <f t="shared" si="694"/>
        <v>0</v>
      </c>
      <c r="EZ147" s="143">
        <f t="shared" si="695"/>
        <v>0</v>
      </c>
      <c r="FA147" s="143">
        <f t="shared" si="696"/>
        <v>0</v>
      </c>
      <c r="FB147" s="143">
        <f t="shared" si="697"/>
        <v>0</v>
      </c>
      <c r="FC147" s="143">
        <f t="shared" si="698"/>
        <v>0</v>
      </c>
      <c r="FD147" s="143">
        <f t="shared" si="699"/>
        <v>0</v>
      </c>
      <c r="FE147" s="140">
        <f>SUM($D147:D147)*IF($B147="Operacional",IFERROR(VLOOKUP($C147,SN_UGC,28,0),0),1)</f>
        <v>0</v>
      </c>
      <c r="FF147" s="140">
        <f>SUM($D147:E147)*IF($B147="Operacional",IFERROR(VLOOKUP($C147,SN_UGC,28,0),0),1)</f>
        <v>0</v>
      </c>
      <c r="FG147" s="140">
        <f>SUM($D147:F147)*IF($B147="Operacional",IFERROR(VLOOKUP($C147,SN_UGC,28,0),0),1)</f>
        <v>0</v>
      </c>
      <c r="FH147" s="140">
        <f>SUM($D147:G147)*IF($B147="Operacional",IFERROR(VLOOKUP($C147,SN_UGC,28,0),0),1)</f>
        <v>0</v>
      </c>
      <c r="FI147" s="140">
        <f>SUM($D147:H147)*IF($B147="Operacional",IFERROR(VLOOKUP($C147,SN_UGC,28,0),0),1)</f>
        <v>0</v>
      </c>
      <c r="FJ147" s="140">
        <f>SUM($D147:I147)*IF($B147="Operacional",IFERROR(VLOOKUP($C147,SN_UGC,28,0),0),1)</f>
        <v>0</v>
      </c>
      <c r="FK147" s="140">
        <f>SUM($D147:J147)*IF($B147="Operacional",IFERROR(VLOOKUP($C147,SN_UGC,28,0),0),1)</f>
        <v>0</v>
      </c>
      <c r="FL147" s="140">
        <f>SUM($D147:K147)*IF($B147="Operacional",IFERROR(VLOOKUP($C147,SN_UGC,28,0),0),1)</f>
        <v>0</v>
      </c>
      <c r="FM147" s="140">
        <f>SUM($D147:L147)*IF($B147="Operacional",IFERROR(VLOOKUP($C147,SN_UGC,28,0),0),1)</f>
        <v>0</v>
      </c>
      <c r="FN147" s="140">
        <f>SUM($D147:M147)*IF($B147="Operacional",IFERROR(VLOOKUP($C147,SN_UGC,28,0),0),1)</f>
        <v>0</v>
      </c>
      <c r="FO147" s="140">
        <f>SUM($D147:N147)*IF($B147="Operacional",IFERROR(VLOOKUP($C147,SN_UGC,28,0),0),1)</f>
        <v>0</v>
      </c>
      <c r="FP147" s="140">
        <f>SUM($D147:O147)*IF($B147="Operacional",IFERROR(VLOOKUP($C147,SN_UGC,28,0),0),1)</f>
        <v>0</v>
      </c>
      <c r="FQ147" s="140">
        <f>SUM($D147:P147)*IF($B147="Operacional",IFERROR(VLOOKUP($C147,SN_UGC,28,0),0),1)</f>
        <v>0</v>
      </c>
      <c r="FR147" s="140">
        <f>SUM($D147:Q147)*IF($B147="Operacional",IFERROR(VLOOKUP($C147,SN_UGC,28,0),0),1)</f>
        <v>0</v>
      </c>
      <c r="FS147" s="140">
        <f>SUM($D147:R147)*IF($B147="Operacional",IFERROR(VLOOKUP($C147,SN_UGC,28,0),0),1)</f>
        <v>0</v>
      </c>
      <c r="FT147" s="140">
        <f>SUM($D147:S147)*IF($B147="Operacional",IFERROR(VLOOKUP($C147,SN_UGC,28,0),0),1)</f>
        <v>0</v>
      </c>
      <c r="FU147" s="140">
        <f>SUM($D147:T147)*IF($B147="Operacional",IFERROR(VLOOKUP($C147,SN_UGC,28,0),0),1)</f>
        <v>0</v>
      </c>
      <c r="FV147" s="140">
        <f>SUM($D147:U147)*IF($B147="Operacional",IFERROR(VLOOKUP($C147,SN_UGC,28,0),0),1)</f>
        <v>0</v>
      </c>
      <c r="FW147" s="140">
        <f>SUM($D147:V147)*IF($B147="Operacional",IFERROR(VLOOKUP($C147,SN_UGC,28,0),0),1)</f>
        <v>0</v>
      </c>
      <c r="FX147" s="140">
        <f>SUM($D147:W147)*IF($B147="Operacional",IFERROR(VLOOKUP($C147,SN_UGC,28,0),0),1)</f>
        <v>0</v>
      </c>
      <c r="FY147" s="140">
        <f>SUM($D147:X147)*IF($B147="Operacional",IFERROR(VLOOKUP($C147,SN_UGC,28,0),0),1)</f>
        <v>0</v>
      </c>
      <c r="FZ147" s="140">
        <f>SUM($D147:Y147)*IF($B147="Operacional",IFERROR(VLOOKUP($C147,SN_UGC,28,0),0),1)</f>
        <v>0</v>
      </c>
      <c r="GA147" s="140">
        <f>SUM($D147:Z147)*IF($B147="Operacional",IFERROR(VLOOKUP($C147,SN_UGC,28,0),0),1)</f>
        <v>0</v>
      </c>
      <c r="GB147" s="140">
        <f>SUM($D147:AA147)*IF($B147="Operacional",IFERROR(VLOOKUP($C147,SN_UGC,28,0),0),1)</f>
        <v>0</v>
      </c>
      <c r="GC147" s="140">
        <f>SUM($D147:AB147)*IF($B147="Operacional",IFERROR(VLOOKUP($C147,SN_UGC,28,0),0),1)</f>
        <v>0</v>
      </c>
      <c r="GD147" s="140">
        <f>SUM($D147:AC147)*IF($B147="Operacional",IFERROR(VLOOKUP($C147,SN_UGC,28,0),0),1)</f>
        <v>0</v>
      </c>
      <c r="GE147" s="140">
        <f>SUM($D147:AD147)*IF($B147="Operacional",IFERROR(VLOOKUP($C147,SN_UGC,28,0),0),1)</f>
        <v>0</v>
      </c>
      <c r="GF147" s="140">
        <f>SUM($D147:AE147)*IF($B147="Operacional",IFERROR(VLOOKUP($C147,SN_UGC,28,0),0),1)</f>
        <v>0</v>
      </c>
      <c r="GG147" s="140">
        <f>SUM($D147:AF147)*IF($B147="Operacional",IFERROR(VLOOKUP($C147,SN_UGC,28,0),0),1)</f>
        <v>0</v>
      </c>
      <c r="GH147" s="140">
        <f>SUM($D147:AG147)*IF($B147="Operacional",IFERROR(VLOOKUP($C147,SN_UGC,28,0),0),1)</f>
        <v>0</v>
      </c>
      <c r="GI147" s="141">
        <f t="shared" ref="GI147:HL147" si="759">FE147*$AH147*$AL147</f>
        <v>0</v>
      </c>
      <c r="GJ147" s="141">
        <f t="shared" si="759"/>
        <v>0</v>
      </c>
      <c r="GK147" s="141">
        <f t="shared" si="759"/>
        <v>0</v>
      </c>
      <c r="GL147" s="141">
        <f t="shared" si="759"/>
        <v>0</v>
      </c>
      <c r="GM147" s="141">
        <f t="shared" si="759"/>
        <v>0</v>
      </c>
      <c r="GN147" s="141">
        <f t="shared" si="759"/>
        <v>0</v>
      </c>
      <c r="GO147" s="141">
        <f t="shared" si="759"/>
        <v>0</v>
      </c>
      <c r="GP147" s="141">
        <f t="shared" si="759"/>
        <v>0</v>
      </c>
      <c r="GQ147" s="141">
        <f t="shared" si="759"/>
        <v>0</v>
      </c>
      <c r="GR147" s="141">
        <f t="shared" si="759"/>
        <v>0</v>
      </c>
      <c r="GS147" s="141">
        <f t="shared" si="759"/>
        <v>0</v>
      </c>
      <c r="GT147" s="141">
        <f t="shared" si="759"/>
        <v>0</v>
      </c>
      <c r="GU147" s="141">
        <f t="shared" si="759"/>
        <v>0</v>
      </c>
      <c r="GV147" s="141">
        <f t="shared" si="759"/>
        <v>0</v>
      </c>
      <c r="GW147" s="141">
        <f t="shared" si="759"/>
        <v>0</v>
      </c>
      <c r="GX147" s="141">
        <f t="shared" si="759"/>
        <v>0</v>
      </c>
      <c r="GY147" s="141">
        <f t="shared" si="759"/>
        <v>0</v>
      </c>
      <c r="GZ147" s="141">
        <f t="shared" si="759"/>
        <v>0</v>
      </c>
      <c r="HA147" s="141">
        <f t="shared" si="759"/>
        <v>0</v>
      </c>
      <c r="HB147" s="141">
        <f t="shared" si="759"/>
        <v>0</v>
      </c>
      <c r="HC147" s="141">
        <f t="shared" si="759"/>
        <v>0</v>
      </c>
      <c r="HD147" s="141">
        <f t="shared" si="759"/>
        <v>0</v>
      </c>
      <c r="HE147" s="141">
        <f t="shared" si="759"/>
        <v>0</v>
      </c>
      <c r="HF147" s="141">
        <f t="shared" si="759"/>
        <v>0</v>
      </c>
      <c r="HG147" s="141">
        <f t="shared" si="759"/>
        <v>0</v>
      </c>
      <c r="HH147" s="141">
        <f t="shared" si="759"/>
        <v>0</v>
      </c>
      <c r="HI147" s="141">
        <f t="shared" si="759"/>
        <v>0</v>
      </c>
      <c r="HJ147" s="141">
        <f t="shared" si="759"/>
        <v>0</v>
      </c>
      <c r="HK147" s="141">
        <f t="shared" si="759"/>
        <v>0</v>
      </c>
      <c r="HL147" s="141">
        <f t="shared" si="759"/>
        <v>0</v>
      </c>
      <c r="HM147" s="142">
        <f t="shared" ref="HM147:IP147" si="760">IF(ISBLANK($A147),,FE147*($AH147-($AH147*$AJ147))/$AI147)</f>
        <v>0</v>
      </c>
      <c r="HN147" s="142">
        <f t="shared" si="760"/>
        <v>0</v>
      </c>
      <c r="HO147" s="142">
        <f t="shared" si="760"/>
        <v>0</v>
      </c>
      <c r="HP147" s="142">
        <f t="shared" si="760"/>
        <v>0</v>
      </c>
      <c r="HQ147" s="142">
        <f t="shared" si="760"/>
        <v>0</v>
      </c>
      <c r="HR147" s="142">
        <f t="shared" si="760"/>
        <v>0</v>
      </c>
      <c r="HS147" s="142">
        <f t="shared" si="760"/>
        <v>0</v>
      </c>
      <c r="HT147" s="142">
        <f t="shared" si="760"/>
        <v>0</v>
      </c>
      <c r="HU147" s="142">
        <f t="shared" si="760"/>
        <v>0</v>
      </c>
      <c r="HV147" s="142">
        <f t="shared" si="760"/>
        <v>0</v>
      </c>
      <c r="HW147" s="142">
        <f t="shared" si="760"/>
        <v>0</v>
      </c>
      <c r="HX147" s="142">
        <f t="shared" si="760"/>
        <v>0</v>
      </c>
      <c r="HY147" s="142">
        <f t="shared" si="760"/>
        <v>0</v>
      </c>
      <c r="HZ147" s="142">
        <f t="shared" si="760"/>
        <v>0</v>
      </c>
      <c r="IA147" s="142">
        <f t="shared" si="760"/>
        <v>0</v>
      </c>
      <c r="IB147" s="142">
        <f t="shared" si="760"/>
        <v>0</v>
      </c>
      <c r="IC147" s="142">
        <f t="shared" si="760"/>
        <v>0</v>
      </c>
      <c r="ID147" s="142">
        <f t="shared" si="760"/>
        <v>0</v>
      </c>
      <c r="IE147" s="142">
        <f t="shared" si="760"/>
        <v>0</v>
      </c>
      <c r="IF147" s="142">
        <f t="shared" si="760"/>
        <v>0</v>
      </c>
      <c r="IG147" s="142">
        <f t="shared" si="760"/>
        <v>0</v>
      </c>
      <c r="IH147" s="142">
        <f t="shared" si="760"/>
        <v>0</v>
      </c>
      <c r="II147" s="142">
        <f t="shared" si="760"/>
        <v>0</v>
      </c>
      <c r="IJ147" s="142">
        <f t="shared" si="760"/>
        <v>0</v>
      </c>
      <c r="IK147" s="142">
        <f t="shared" si="760"/>
        <v>0</v>
      </c>
      <c r="IL147" s="142">
        <f t="shared" si="760"/>
        <v>0</v>
      </c>
      <c r="IM147" s="142">
        <f t="shared" si="760"/>
        <v>0</v>
      </c>
      <c r="IN147" s="142">
        <f t="shared" si="760"/>
        <v>0</v>
      </c>
      <c r="IO147" s="142">
        <f t="shared" si="760"/>
        <v>0</v>
      </c>
      <c r="IP147" s="142">
        <f t="shared" si="760"/>
        <v>0</v>
      </c>
      <c r="IQ147" s="141">
        <f>IF(ISBLANK($A147),,IF($AN147="Não",0,(SUM($AO147:AO147)*$AH147)-SUM($HM147:HM147)-SUM($CW147:CW147)))</f>
        <v>0</v>
      </c>
      <c r="IR147" s="141">
        <f>IF(ISBLANK($A147),,IF($AN147="Não",0,(SUM($AO147:AP147)*$AH147)-SUM($HM147:HN147)-SUM($CW147:CX147)))</f>
        <v>0</v>
      </c>
      <c r="IS147" s="141">
        <f>IF(ISBLANK($A147),,IF($AN147="Não",0,(SUM($AO147:AQ147)*$AH147)-SUM($HM147:HO147)-SUM($CW147:CY147)))</f>
        <v>0</v>
      </c>
      <c r="IT147" s="141">
        <f>IF(ISBLANK($A147),,IF($AN147="Não",0,(SUM($AO147:AR147)*$AH147)-SUM($HM147:HP147)-SUM($CW147:CZ147)))</f>
        <v>0</v>
      </c>
      <c r="IU147" s="141">
        <f>IF(ISBLANK($A147),,IF($AN147="Não",0,(SUM($AO147:AS147)*$AH147)-SUM($HM147:HQ147)-SUM($CW147:DA147)))</f>
        <v>0</v>
      </c>
      <c r="IV147" s="141">
        <f>IF(ISBLANK($A147),,IF($AN147="Não",0,(SUM($AO147:AT147)*$AH147)-SUM($HM147:HR147)-SUM($CW147:DB147)))</f>
        <v>0</v>
      </c>
      <c r="IW147" s="141">
        <f>IF(ISBLANK($A147),,IF($AN147="Não",0,(SUM($AO147:AU147)*$AH147)-SUM($HM147:HS147)-SUM($CW147:DC147)))</f>
        <v>0</v>
      </c>
      <c r="IX147" s="141">
        <f>IF(ISBLANK($A147),,IF($AN147="Não",0,(SUM($AO147:AV147)*$AH147)-SUM($HM147:HT147)-SUM($CW147:DD147)))</f>
        <v>0</v>
      </c>
      <c r="IY147" s="141">
        <f>IF(ISBLANK($A147),,IF($AN147="Não",0,(SUM($AO147:AW147)*$AH147)-SUM($HM147:HU147)-SUM($CW147:DE147)))</f>
        <v>0</v>
      </c>
      <c r="IZ147" s="141">
        <f>IF(ISBLANK($A147),,IF($AN147="Não",0,(SUM($AO147:AX147)*$AH147)-SUM($HM147:HV147)-SUM($CW147:DF147)))</f>
        <v>0</v>
      </c>
      <c r="JA147" s="141">
        <f>IF(ISBLANK($A147),,IF($AN147="Não",0,(SUM($AO147:AY147)*$AH147)-SUM($HM147:HW147)-SUM($CW147:DG147)))</f>
        <v>0</v>
      </c>
      <c r="JB147" s="141">
        <f>IF(ISBLANK($A147),,IF($AN147="Não",0,(SUM($AO147:AZ147)*$AH147)-SUM($HM147:HX147)-SUM($CW147:DH147)))</f>
        <v>0</v>
      </c>
      <c r="JC147" s="141">
        <f>IF(ISBLANK($A147),,IF($AN147="Não",0,(SUM($AO147:BA147)*$AH147)-SUM($HM147:HY147)-SUM($CW147:DI147)))</f>
        <v>0</v>
      </c>
      <c r="JD147" s="141">
        <f>IF(ISBLANK($A147),,IF($AN147="Não",0,(SUM($AO147:BB147)*$AH147)-SUM($HM147:HZ147)-SUM($CW147:DJ147)))</f>
        <v>0</v>
      </c>
      <c r="JE147" s="141">
        <f>IF(ISBLANK($A147),,IF($AN147="Não",0,(SUM($AO147:BC147)*$AH147)-SUM($HM147:IA147)-SUM($CW147:DK147)))</f>
        <v>0</v>
      </c>
      <c r="JF147" s="141">
        <f>IF(ISBLANK($A147),,IF($AN147="Não",0,(SUM($AO147:BD147)*$AH147)-SUM($HM147:IB147)-SUM($CW147:DL147)))</f>
        <v>0</v>
      </c>
      <c r="JG147" s="141">
        <f>IF(ISBLANK($A147),,IF($AN147="Não",0,(SUM($AO147:BE147)*$AH147)-SUM($HM147:IC147)-SUM($CW147:DM147)))</f>
        <v>0</v>
      </c>
      <c r="JH147" s="141">
        <f>IF(ISBLANK($A147),,IF($AN147="Não",0,(SUM($AO147:BF147)*$AH147)-SUM($HM147:ID147)-SUM($CW147:DN147)))</f>
        <v>0</v>
      </c>
      <c r="JI147" s="141">
        <f>IF(ISBLANK($A147),,IF($AN147="Não",0,(SUM($AO147:BG147)*$AH147)-SUM($HM147:IE147)-SUM($CW147:DO147)))</f>
        <v>0</v>
      </c>
      <c r="JJ147" s="141">
        <f>IF(ISBLANK($A147),,IF($AN147="Não",0,(SUM($AO147:BH147)*$AH147)-SUM($HM147:IF147)-SUM($CW147:DP147)))</f>
        <v>0</v>
      </c>
      <c r="JK147" s="141">
        <f>IF(ISBLANK($A147),,IF($AN147="Não",0,(SUM($AO147:BI147)*$AH147)-SUM($HM147:IG147)-SUM($CW147:DQ147)))</f>
        <v>0</v>
      </c>
      <c r="JL147" s="141">
        <f>IF(ISBLANK($A147),,IF($AN147="Não",0,(SUM($AO147:BJ147)*$AH147)-SUM($HM147:IH147)-SUM($CW147:DR147)))</f>
        <v>0</v>
      </c>
      <c r="JM147" s="141">
        <f>IF(ISBLANK($A147),,IF($AN147="Não",0,(SUM($AO147:BK147)*$AH147)-SUM($HM147:II147)-SUM($CW147:DS147)))</f>
        <v>0</v>
      </c>
      <c r="JN147" s="141">
        <f>IF(ISBLANK($A147),,IF($AN147="Não",0,(SUM($AO147:BL147)*$AH147)-SUM($HM147:IJ147)-SUM($CW147:DT147)))</f>
        <v>0</v>
      </c>
      <c r="JO147" s="141">
        <f>IF(ISBLANK($A147),,IF($AN147="Não",0,(SUM($AO147:BM147)*$AH147)-SUM($HM147:IK147)-SUM($CW147:DU147)))</f>
        <v>0</v>
      </c>
      <c r="JP147" s="141">
        <f>IF(ISBLANK($A147),,IF($AN147="Não",0,(SUM($AO147:BN147)*$AH147)-SUM($HM147:IL147)-SUM($CW147:DV147)))</f>
        <v>0</v>
      </c>
      <c r="JQ147" s="141">
        <f>IF(ISBLANK($A147),,IF($AN147="Não",0,(SUM($AO147:BO147)*$AH147)-SUM($HM147:IM147)-SUM($CW147:DW147)))</f>
        <v>0</v>
      </c>
      <c r="JR147" s="141">
        <f>IF(ISBLANK($A147),,IF($AN147="Não",0,(SUM($AO147:BP147)*$AH147)-SUM($HM147:IN147)-SUM($CW147:DX147)))</f>
        <v>0</v>
      </c>
      <c r="JS147" s="141">
        <f>IF(ISBLANK($A147),,IF($AN147="Não",0,(SUM($AO147:BQ147)*$AH147)-SUM($HM147:IO147)-SUM($CW147:DY147)))</f>
        <v>0</v>
      </c>
      <c r="JT147" s="141">
        <f>IF(ISBLANK($A147),,IF($AN147="Não",0,(SUM($AO147:BR147)*$AH147)-SUM($HM147:IP147)-SUM($CW147:DZ147)))</f>
        <v>0</v>
      </c>
    </row>
    <row r="148" spans="1:280" ht="15.75" customHeight="1">
      <c r="A148" s="129"/>
      <c r="B148" s="129"/>
      <c r="C148" s="138"/>
      <c r="D148" s="139"/>
      <c r="E148" s="139"/>
      <c r="F148" s="139"/>
      <c r="G148" s="139"/>
      <c r="H148" s="139"/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607">
        <f t="shared" si="710"/>
        <v>0</v>
      </c>
      <c r="AI148" s="608">
        <f t="shared" si="711"/>
        <v>0</v>
      </c>
      <c r="AJ148" s="609">
        <f t="shared" si="712"/>
        <v>0</v>
      </c>
      <c r="AK148" s="610" t="str">
        <f t="shared" si="713"/>
        <v/>
      </c>
      <c r="AL148" s="609">
        <f t="shared" si="714"/>
        <v>0</v>
      </c>
      <c r="AM148" s="611" t="str">
        <f t="shared" si="715"/>
        <v/>
      </c>
      <c r="AN148" s="611" t="str">
        <f t="shared" si="716"/>
        <v/>
      </c>
      <c r="AO148" s="140">
        <f t="array" ref="AO148">IF(ISBLANK($A148),0,IF(OR(AO$5-$AI148&lt;=0,$AM148="Não"),D148,D148+INDEX($AO$6:$BR$176,ROW()-5,COLUMN()-40-$AI148)))*IF($B148="Operacional",IFERROR(VLOOKUP($C148,SN_UGC,28,0),0),1)</f>
        <v>0</v>
      </c>
      <c r="AP148" s="140">
        <f t="array" ref="AP148">IF(ISBLANK($A148),0,IF(OR(AP$5-$AI148&lt;=0,$AM148="Não"),E148,E148+INDEX($AO$6:$BR$176,ROW()-5,COLUMN()-40-$AI148)))*IF($B148="Operacional",IFERROR(VLOOKUP($C148,SN_UGC,28,0),0),1)</f>
        <v>0</v>
      </c>
      <c r="AQ148" s="140">
        <f t="array" ref="AQ148">IF(ISBLANK($A148),0,IF(OR(AQ$5-$AI148&lt;=0,$AM148="Não"),F148,F148+INDEX($AO$6:$BR$176,ROW()-5,COLUMN()-40-$AI148)))*IF($B148="Operacional",IFERROR(VLOOKUP($C148,SN_UGC,28,0),0),1)</f>
        <v>0</v>
      </c>
      <c r="AR148" s="140">
        <f t="array" ref="AR148">IF(ISBLANK($A148),0,IF(OR(AR$5-$AI148&lt;=0,$AM148="Não"),G148,G148+INDEX($AO$6:$BR$176,ROW()-5,COLUMN()-40-$AI148)))*IF($B148="Operacional",IFERROR(VLOOKUP($C148,SN_UGC,28,0),0),1)</f>
        <v>0</v>
      </c>
      <c r="AS148" s="140">
        <f t="array" ref="AS148">IF(ISBLANK($A148),0,IF(OR(AS$5-$AI148&lt;=0,$AM148="Não"),H148,H148+INDEX($AO$6:$BR$176,ROW()-5,COLUMN()-40-$AI148)))*IF($B148="Operacional",IFERROR(VLOOKUP($C148,SN_UGC,28,0),0),1)</f>
        <v>0</v>
      </c>
      <c r="AT148" s="140">
        <f t="array" ref="AT148">IF(ISBLANK($A148),0,IF(OR(AT$5-$AI148&lt;=0,$AM148="Não"),I148,I148+INDEX($AO$6:$BR$176,ROW()-5,COLUMN()-40-$AI148)))*IF($B148="Operacional",IFERROR(VLOOKUP($C148,SN_UGC,28,0),0),1)</f>
        <v>0</v>
      </c>
      <c r="AU148" s="140">
        <f t="array" ref="AU148">IF(ISBLANK($A148),0,IF(OR(AU$5-$AI148&lt;=0,$AM148="Não"),J148,J148+INDEX($AO$6:$BR$176,ROW()-5,COLUMN()-40-$AI148)))*IF($B148="Operacional",IFERROR(VLOOKUP($C148,SN_UGC,28,0),0),1)</f>
        <v>0</v>
      </c>
      <c r="AV148" s="140">
        <f t="array" ref="AV148">IF(ISBLANK($A148),0,IF(OR(AV$5-$AI148&lt;=0,$AM148="Não"),K148,K148+INDEX($AO$6:$BR$176,ROW()-5,COLUMN()-40-$AI148)))*IF($B148="Operacional",IFERROR(VLOOKUP($C148,SN_UGC,28,0),0),1)</f>
        <v>0</v>
      </c>
      <c r="AW148" s="140">
        <f t="array" ref="AW148">IF(ISBLANK($A148),0,IF(OR(AW$5-$AI148&lt;=0,$AM148="Não"),L148,L148+INDEX($AO$6:$BR$176,ROW()-5,COLUMN()-40-$AI148)))*IF($B148="Operacional",IFERROR(VLOOKUP($C148,SN_UGC,28,0),0),1)</f>
        <v>0</v>
      </c>
      <c r="AX148" s="140">
        <f t="array" ref="AX148">IF(ISBLANK($A148),0,IF(OR(AX$5-$AI148&lt;=0,$AM148="Não"),M148,M148+INDEX($AO$6:$BR$176,ROW()-5,COLUMN()-40-$AI148)))*IF($B148="Operacional",IFERROR(VLOOKUP($C148,SN_UGC,28,0),0),1)</f>
        <v>0</v>
      </c>
      <c r="AY148" s="140">
        <f t="array" ref="AY148">IF(ISBLANK($A148),0,IF(OR(AY$5-$AI148&lt;=0,$AM148="Não"),N148,N148+INDEX($AO$6:$BR$176,ROW()-5,COLUMN()-40-$AI148)))*IF($B148="Operacional",IFERROR(VLOOKUP($C148,SN_UGC,28,0),0),1)</f>
        <v>0</v>
      </c>
      <c r="AZ148" s="140">
        <f t="array" ref="AZ148">IF(ISBLANK($A148),0,IF(OR(AZ$5-$AI148&lt;=0,$AM148="Não"),O148,O148+INDEX($AO$6:$BR$176,ROW()-5,COLUMN()-40-$AI148)))*IF($B148="Operacional",IFERROR(VLOOKUP($C148,SN_UGC,28,0),0),1)</f>
        <v>0</v>
      </c>
      <c r="BA148" s="140">
        <f t="array" ref="BA148">IF(ISBLANK($A148),0,IF(OR(BA$5-$AI148&lt;=0,$AM148="Não"),P148,P148+INDEX($AO$6:$BR$176,ROW()-5,COLUMN()-40-$AI148)))*IF($B148="Operacional",IFERROR(VLOOKUP($C148,SN_UGC,28,0),0),1)</f>
        <v>0</v>
      </c>
      <c r="BB148" s="140">
        <f t="array" ref="BB148">IF(ISBLANK($A148),0,IF(OR(BB$5-$AI148&lt;=0,$AM148="Não"),Q148,Q148+INDEX($AO$6:$BR$176,ROW()-5,COLUMN()-40-$AI148)))*IF($B148="Operacional",IFERROR(VLOOKUP($C148,SN_UGC,28,0),0),1)</f>
        <v>0</v>
      </c>
      <c r="BC148" s="140">
        <f t="array" ref="BC148">IF(ISBLANK($A148),0,IF(OR(BC$5-$AI148&lt;=0,$AM148="Não"),R148,R148+INDEX($AO$6:$BR$176,ROW()-5,COLUMN()-40-$AI148)))*IF($B148="Operacional",IFERROR(VLOOKUP($C148,SN_UGC,28,0),0),1)</f>
        <v>0</v>
      </c>
      <c r="BD148" s="140">
        <f t="array" ref="BD148">IF(ISBLANK($A148),0,IF(OR(BD$5-$AI148&lt;=0,$AM148="Não"),S148,S148+INDEX($AO$6:$BR$176,ROW()-5,COLUMN()-40-$AI148)))*IF($B148="Operacional",IFERROR(VLOOKUP($C148,SN_UGC,28,0),0),1)</f>
        <v>0</v>
      </c>
      <c r="BE148" s="140">
        <f t="array" ref="BE148">IF(ISBLANK($A148),0,IF(OR(BE$5-$AI148&lt;=0,$AM148="Não"),T148,T148+INDEX($AO$6:$BR$176,ROW()-5,COLUMN()-40-$AI148)))*IF($B148="Operacional",IFERROR(VLOOKUP($C148,SN_UGC,28,0),0),1)</f>
        <v>0</v>
      </c>
      <c r="BF148" s="140">
        <f t="array" ref="BF148">IF(ISBLANK($A148),0,IF(OR(BF$5-$AI148&lt;=0,$AM148="Não"),U148,U148+INDEX($AO$6:$BR$176,ROW()-5,COLUMN()-40-$AI148)))*IF($B148="Operacional",IFERROR(VLOOKUP($C148,SN_UGC,28,0),0),1)</f>
        <v>0</v>
      </c>
      <c r="BG148" s="140">
        <f t="array" ref="BG148">IF(ISBLANK($A148),0,IF(OR(BG$5-$AI148&lt;=0,$AM148="Não"),V148,V148+INDEX($AO$6:$BR$176,ROW()-5,COLUMN()-40-$AI148)))*IF($B148="Operacional",IFERROR(VLOOKUP($C148,SN_UGC,28,0),0),1)</f>
        <v>0</v>
      </c>
      <c r="BH148" s="140">
        <f t="array" ref="BH148">IF(ISBLANK($A148),0,IF(OR(BH$5-$AI148&lt;=0,$AM148="Não"),W148,W148+INDEX($AO$6:$BR$176,ROW()-5,COLUMN()-40-$AI148)))*IF($B148="Operacional",IFERROR(VLOOKUP($C148,SN_UGC,28,0),0),1)</f>
        <v>0</v>
      </c>
      <c r="BI148" s="140">
        <f t="array" ref="BI148">IF(ISBLANK($A148),0,IF(OR(BI$5-$AI148&lt;=0,$AM148="Não"),X148,X148+INDEX($AO$6:$BR$176,ROW()-5,COLUMN()-40-$AI148)))*IF($B148="Operacional",IFERROR(VLOOKUP($C148,SN_UGC,28,0),0),1)</f>
        <v>0</v>
      </c>
      <c r="BJ148" s="140">
        <f t="array" ref="BJ148">IF(ISBLANK($A148),0,IF(OR(BJ$5-$AI148&lt;=0,$AM148="Não"),Y148,Y148+INDEX($AO$6:$BR$176,ROW()-5,COLUMN()-40-$AI148)))*IF($B148="Operacional",IFERROR(VLOOKUP($C148,SN_UGC,28,0),0),1)</f>
        <v>0</v>
      </c>
      <c r="BK148" s="140">
        <f t="array" ref="BK148">IF(ISBLANK($A148),0,IF(OR(BK$5-$AI148&lt;=0,$AM148="Não"),Z148,Z148+INDEX($AO$6:$BR$176,ROW()-5,COLUMN()-40-$AI148)))*IF($B148="Operacional",IFERROR(VLOOKUP($C148,SN_UGC,28,0),0),1)</f>
        <v>0</v>
      </c>
      <c r="BL148" s="140">
        <f t="array" ref="BL148">IF(ISBLANK($A148),0,IF(OR(BL$5-$AI148&lt;=0,$AM148="Não"),AA148,AA148+INDEX($AO$6:$BR$176,ROW()-5,COLUMN()-40-$AI148)))*IF($B148="Operacional",IFERROR(VLOOKUP($C148,SN_UGC,28,0),0),1)</f>
        <v>0</v>
      </c>
      <c r="BM148" s="140">
        <f t="array" ref="BM148">IF(ISBLANK($A148),0,IF(OR(BM$5-$AI148&lt;=0,$AM148="Não"),AB148,AB148+INDEX($AO$6:$BR$176,ROW()-5,COLUMN()-40-$AI148)))*IF($B148="Operacional",IFERROR(VLOOKUP($C148,SN_UGC,28,0),0),1)</f>
        <v>0</v>
      </c>
      <c r="BN148" s="140">
        <f t="array" ref="BN148">IF(ISBLANK($A148),0,IF(OR(BN$5-$AI148&lt;=0,$AM148="Não"),AC148,AC148+INDEX($AO$6:$BR$176,ROW()-5,COLUMN()-40-$AI148)))*IF($B148="Operacional",IFERROR(VLOOKUP($C148,SN_UGC,28,0),0),1)</f>
        <v>0</v>
      </c>
      <c r="BO148" s="140">
        <f t="array" ref="BO148">IF(ISBLANK($A148),0,IF(OR(BO$5-$AI148&lt;=0,$AM148="Não"),AD148,AD148+INDEX($AO$6:$BR$176,ROW()-5,COLUMN()-40-$AI148)))*IF($B148="Operacional",IFERROR(VLOOKUP($C148,SN_UGC,28,0),0),1)</f>
        <v>0</v>
      </c>
      <c r="BP148" s="140">
        <f t="array" ref="BP148">IF(ISBLANK($A148),0,IF(OR(BP$5-$AI148&lt;=0,$AM148="Não"),AE148,AE148+INDEX($AO$6:$BR$176,ROW()-5,COLUMN()-40-$AI148)))*IF($B148="Operacional",IFERROR(VLOOKUP($C148,SN_UGC,28,0),0),1)</f>
        <v>0</v>
      </c>
      <c r="BQ148" s="140">
        <f t="array" ref="BQ148">IF(ISBLANK($A148),0,IF(OR(BQ$5-$AI148&lt;=0,$AM148="Não"),AF148,AF148+INDEX($AO$6:$BR$176,ROW()-5,COLUMN()-40-$AI148)))*IF($B148="Operacional",IFERROR(VLOOKUP($C148,SN_UGC,28,0),0),1)</f>
        <v>0</v>
      </c>
      <c r="BR148" s="140">
        <f t="array" ref="BR148">IF(ISBLANK($A148),0,IF(OR(BR$5-$AI148&lt;=0,$AM148="Não"),AG148,AG148+INDEX($AO$6:$BR$176,ROW()-5,COLUMN()-40-$AI148)))*IF($B148="Operacional",IFERROR(VLOOKUP($C148,SN_UGC,28,0),0),1)</f>
        <v>0</v>
      </c>
      <c r="BS148" s="141">
        <f t="shared" ref="BS148:CV148" si="761">IF(ISBLANK($A148),0,$AH148*AO148)</f>
        <v>0</v>
      </c>
      <c r="BT148" s="141">
        <f t="shared" si="761"/>
        <v>0</v>
      </c>
      <c r="BU148" s="141">
        <f t="shared" si="761"/>
        <v>0</v>
      </c>
      <c r="BV148" s="141">
        <f t="shared" si="761"/>
        <v>0</v>
      </c>
      <c r="BW148" s="141">
        <f t="shared" si="761"/>
        <v>0</v>
      </c>
      <c r="BX148" s="141">
        <f t="shared" si="761"/>
        <v>0</v>
      </c>
      <c r="BY148" s="141">
        <f t="shared" si="761"/>
        <v>0</v>
      </c>
      <c r="BZ148" s="141">
        <f t="shared" si="761"/>
        <v>0</v>
      </c>
      <c r="CA148" s="141">
        <f t="shared" si="761"/>
        <v>0</v>
      </c>
      <c r="CB148" s="141">
        <f t="shared" si="761"/>
        <v>0</v>
      </c>
      <c r="CC148" s="141">
        <f t="shared" si="761"/>
        <v>0</v>
      </c>
      <c r="CD148" s="141">
        <f t="shared" si="761"/>
        <v>0</v>
      </c>
      <c r="CE148" s="141">
        <f t="shared" si="761"/>
        <v>0</v>
      </c>
      <c r="CF148" s="141">
        <f t="shared" si="761"/>
        <v>0</v>
      </c>
      <c r="CG148" s="141">
        <f t="shared" si="761"/>
        <v>0</v>
      </c>
      <c r="CH148" s="141">
        <f t="shared" si="761"/>
        <v>0</v>
      </c>
      <c r="CI148" s="141">
        <f t="shared" si="761"/>
        <v>0</v>
      </c>
      <c r="CJ148" s="141">
        <f t="shared" si="761"/>
        <v>0</v>
      </c>
      <c r="CK148" s="141">
        <f t="shared" si="761"/>
        <v>0</v>
      </c>
      <c r="CL148" s="141">
        <f t="shared" si="761"/>
        <v>0</v>
      </c>
      <c r="CM148" s="141">
        <f t="shared" si="761"/>
        <v>0</v>
      </c>
      <c r="CN148" s="141">
        <f t="shared" si="761"/>
        <v>0</v>
      </c>
      <c r="CO148" s="141">
        <f t="shared" si="761"/>
        <v>0</v>
      </c>
      <c r="CP148" s="141">
        <f t="shared" si="761"/>
        <v>0</v>
      </c>
      <c r="CQ148" s="141">
        <f t="shared" si="761"/>
        <v>0</v>
      </c>
      <c r="CR148" s="141">
        <f t="shared" si="761"/>
        <v>0</v>
      </c>
      <c r="CS148" s="141">
        <f t="shared" si="761"/>
        <v>0</v>
      </c>
      <c r="CT148" s="141">
        <f t="shared" si="761"/>
        <v>0</v>
      </c>
      <c r="CU148" s="141">
        <f t="shared" si="761"/>
        <v>0</v>
      </c>
      <c r="CV148" s="141">
        <f t="shared" si="761"/>
        <v>0</v>
      </c>
      <c r="CW148" s="142">
        <f t="shared" ref="CW148:DZ148" si="762">EA148*$AH148*$AJ148</f>
        <v>0</v>
      </c>
      <c r="CX148" s="142">
        <f t="shared" si="762"/>
        <v>0</v>
      </c>
      <c r="CY148" s="142">
        <f t="shared" si="762"/>
        <v>0</v>
      </c>
      <c r="CZ148" s="142">
        <f t="shared" si="762"/>
        <v>0</v>
      </c>
      <c r="DA148" s="142">
        <f t="shared" si="762"/>
        <v>0</v>
      </c>
      <c r="DB148" s="142">
        <f t="shared" si="762"/>
        <v>0</v>
      </c>
      <c r="DC148" s="142">
        <f t="shared" si="762"/>
        <v>0</v>
      </c>
      <c r="DD148" s="142">
        <f t="shared" si="762"/>
        <v>0</v>
      </c>
      <c r="DE148" s="142">
        <f t="shared" si="762"/>
        <v>0</v>
      </c>
      <c r="DF148" s="142">
        <f t="shared" si="762"/>
        <v>0</v>
      </c>
      <c r="DG148" s="142">
        <f t="shared" si="762"/>
        <v>0</v>
      </c>
      <c r="DH148" s="142">
        <f t="shared" si="762"/>
        <v>0</v>
      </c>
      <c r="DI148" s="142">
        <f t="shared" si="762"/>
        <v>0</v>
      </c>
      <c r="DJ148" s="142">
        <f t="shared" si="762"/>
        <v>0</v>
      </c>
      <c r="DK148" s="142">
        <f t="shared" si="762"/>
        <v>0</v>
      </c>
      <c r="DL148" s="142">
        <f t="shared" si="762"/>
        <v>0</v>
      </c>
      <c r="DM148" s="142">
        <f t="shared" si="762"/>
        <v>0</v>
      </c>
      <c r="DN148" s="142">
        <f t="shared" si="762"/>
        <v>0</v>
      </c>
      <c r="DO148" s="142">
        <f t="shared" si="762"/>
        <v>0</v>
      </c>
      <c r="DP148" s="142">
        <f t="shared" si="762"/>
        <v>0</v>
      </c>
      <c r="DQ148" s="142">
        <f t="shared" si="762"/>
        <v>0</v>
      </c>
      <c r="DR148" s="142">
        <f t="shared" si="762"/>
        <v>0</v>
      </c>
      <c r="DS148" s="142">
        <f t="shared" si="762"/>
        <v>0</v>
      </c>
      <c r="DT148" s="142">
        <f t="shared" si="762"/>
        <v>0</v>
      </c>
      <c r="DU148" s="142">
        <f t="shared" si="762"/>
        <v>0</v>
      </c>
      <c r="DV148" s="142">
        <f t="shared" si="762"/>
        <v>0</v>
      </c>
      <c r="DW148" s="142">
        <f t="shared" si="762"/>
        <v>0</v>
      </c>
      <c r="DX148" s="142">
        <f t="shared" si="762"/>
        <v>0</v>
      </c>
      <c r="DY148" s="142">
        <f t="shared" si="762"/>
        <v>0</v>
      </c>
      <c r="DZ148" s="142">
        <f t="shared" si="762"/>
        <v>0</v>
      </c>
      <c r="EA148" s="143">
        <f t="shared" si="670"/>
        <v>0</v>
      </c>
      <c r="EB148" s="143">
        <f t="shared" si="671"/>
        <v>0</v>
      </c>
      <c r="EC148" s="143">
        <f t="shared" si="672"/>
        <v>0</v>
      </c>
      <c r="ED148" s="143">
        <f t="shared" si="673"/>
        <v>0</v>
      </c>
      <c r="EE148" s="143">
        <f t="shared" si="674"/>
        <v>0</v>
      </c>
      <c r="EF148" s="143">
        <f t="shared" si="675"/>
        <v>0</v>
      </c>
      <c r="EG148" s="143">
        <f t="shared" si="676"/>
        <v>0</v>
      </c>
      <c r="EH148" s="143">
        <f t="shared" si="677"/>
        <v>0</v>
      </c>
      <c r="EI148" s="143">
        <f t="shared" si="678"/>
        <v>0</v>
      </c>
      <c r="EJ148" s="143">
        <f t="shared" si="679"/>
        <v>0</v>
      </c>
      <c r="EK148" s="143">
        <f t="shared" si="680"/>
        <v>0</v>
      </c>
      <c r="EL148" s="143">
        <f t="shared" si="681"/>
        <v>0</v>
      </c>
      <c r="EM148" s="143">
        <f t="shared" si="682"/>
        <v>0</v>
      </c>
      <c r="EN148" s="143">
        <f t="shared" si="683"/>
        <v>0</v>
      </c>
      <c r="EO148" s="143">
        <f t="shared" si="684"/>
        <v>0</v>
      </c>
      <c r="EP148" s="143">
        <f t="shared" si="685"/>
        <v>0</v>
      </c>
      <c r="EQ148" s="143">
        <f t="shared" si="686"/>
        <v>0</v>
      </c>
      <c r="ER148" s="143">
        <f t="shared" si="687"/>
        <v>0</v>
      </c>
      <c r="ES148" s="143">
        <f t="shared" si="688"/>
        <v>0</v>
      </c>
      <c r="ET148" s="143">
        <f t="shared" si="689"/>
        <v>0</v>
      </c>
      <c r="EU148" s="143">
        <f t="shared" si="690"/>
        <v>0</v>
      </c>
      <c r="EV148" s="143">
        <f t="shared" si="691"/>
        <v>0</v>
      </c>
      <c r="EW148" s="143">
        <f t="shared" si="692"/>
        <v>0</v>
      </c>
      <c r="EX148" s="143">
        <f t="shared" si="693"/>
        <v>0</v>
      </c>
      <c r="EY148" s="143">
        <f t="shared" si="694"/>
        <v>0</v>
      </c>
      <c r="EZ148" s="143">
        <f t="shared" si="695"/>
        <v>0</v>
      </c>
      <c r="FA148" s="143">
        <f t="shared" si="696"/>
        <v>0</v>
      </c>
      <c r="FB148" s="143">
        <f t="shared" si="697"/>
        <v>0</v>
      </c>
      <c r="FC148" s="143">
        <f t="shared" si="698"/>
        <v>0</v>
      </c>
      <c r="FD148" s="143">
        <f t="shared" si="699"/>
        <v>0</v>
      </c>
      <c r="FE148" s="140">
        <f>SUM($D148:D148)*IF($B148="Operacional",IFERROR(VLOOKUP($C148,SN_UGC,28,0),0),1)</f>
        <v>0</v>
      </c>
      <c r="FF148" s="140">
        <f>SUM($D148:E148)*IF($B148="Operacional",IFERROR(VLOOKUP($C148,SN_UGC,28,0),0),1)</f>
        <v>0</v>
      </c>
      <c r="FG148" s="140">
        <f>SUM($D148:F148)*IF($B148="Operacional",IFERROR(VLOOKUP($C148,SN_UGC,28,0),0),1)</f>
        <v>0</v>
      </c>
      <c r="FH148" s="140">
        <f>SUM($D148:G148)*IF($B148="Operacional",IFERROR(VLOOKUP($C148,SN_UGC,28,0),0),1)</f>
        <v>0</v>
      </c>
      <c r="FI148" s="140">
        <f>SUM($D148:H148)*IF($B148="Operacional",IFERROR(VLOOKUP($C148,SN_UGC,28,0),0),1)</f>
        <v>0</v>
      </c>
      <c r="FJ148" s="140">
        <f>SUM($D148:I148)*IF($B148="Operacional",IFERROR(VLOOKUP($C148,SN_UGC,28,0),0),1)</f>
        <v>0</v>
      </c>
      <c r="FK148" s="140">
        <f>SUM($D148:J148)*IF($B148="Operacional",IFERROR(VLOOKUP($C148,SN_UGC,28,0),0),1)</f>
        <v>0</v>
      </c>
      <c r="FL148" s="140">
        <f>SUM($D148:K148)*IF($B148="Operacional",IFERROR(VLOOKUP($C148,SN_UGC,28,0),0),1)</f>
        <v>0</v>
      </c>
      <c r="FM148" s="140">
        <f>SUM($D148:L148)*IF($B148="Operacional",IFERROR(VLOOKUP($C148,SN_UGC,28,0),0),1)</f>
        <v>0</v>
      </c>
      <c r="FN148" s="140">
        <f>SUM($D148:M148)*IF($B148="Operacional",IFERROR(VLOOKUP($C148,SN_UGC,28,0),0),1)</f>
        <v>0</v>
      </c>
      <c r="FO148" s="140">
        <f>SUM($D148:N148)*IF($B148="Operacional",IFERROR(VLOOKUP($C148,SN_UGC,28,0),0),1)</f>
        <v>0</v>
      </c>
      <c r="FP148" s="140">
        <f>SUM($D148:O148)*IF($B148="Operacional",IFERROR(VLOOKUP($C148,SN_UGC,28,0),0),1)</f>
        <v>0</v>
      </c>
      <c r="FQ148" s="140">
        <f>SUM($D148:P148)*IF($B148="Operacional",IFERROR(VLOOKUP($C148,SN_UGC,28,0),0),1)</f>
        <v>0</v>
      </c>
      <c r="FR148" s="140">
        <f>SUM($D148:Q148)*IF($B148="Operacional",IFERROR(VLOOKUP($C148,SN_UGC,28,0),0),1)</f>
        <v>0</v>
      </c>
      <c r="FS148" s="140">
        <f>SUM($D148:R148)*IF($B148="Operacional",IFERROR(VLOOKUP($C148,SN_UGC,28,0),0),1)</f>
        <v>0</v>
      </c>
      <c r="FT148" s="140">
        <f>SUM($D148:S148)*IF($B148="Operacional",IFERROR(VLOOKUP($C148,SN_UGC,28,0),0),1)</f>
        <v>0</v>
      </c>
      <c r="FU148" s="140">
        <f>SUM($D148:T148)*IF($B148="Operacional",IFERROR(VLOOKUP($C148,SN_UGC,28,0),0),1)</f>
        <v>0</v>
      </c>
      <c r="FV148" s="140">
        <f>SUM($D148:U148)*IF($B148="Operacional",IFERROR(VLOOKUP($C148,SN_UGC,28,0),0),1)</f>
        <v>0</v>
      </c>
      <c r="FW148" s="140">
        <f>SUM($D148:V148)*IF($B148="Operacional",IFERROR(VLOOKUP($C148,SN_UGC,28,0),0),1)</f>
        <v>0</v>
      </c>
      <c r="FX148" s="140">
        <f>SUM($D148:W148)*IF($B148="Operacional",IFERROR(VLOOKUP($C148,SN_UGC,28,0),0),1)</f>
        <v>0</v>
      </c>
      <c r="FY148" s="140">
        <f>SUM($D148:X148)*IF($B148="Operacional",IFERROR(VLOOKUP($C148,SN_UGC,28,0),0),1)</f>
        <v>0</v>
      </c>
      <c r="FZ148" s="140">
        <f>SUM($D148:Y148)*IF($B148="Operacional",IFERROR(VLOOKUP($C148,SN_UGC,28,0),0),1)</f>
        <v>0</v>
      </c>
      <c r="GA148" s="140">
        <f>SUM($D148:Z148)*IF($B148="Operacional",IFERROR(VLOOKUP($C148,SN_UGC,28,0),0),1)</f>
        <v>0</v>
      </c>
      <c r="GB148" s="140">
        <f>SUM($D148:AA148)*IF($B148="Operacional",IFERROR(VLOOKUP($C148,SN_UGC,28,0),0),1)</f>
        <v>0</v>
      </c>
      <c r="GC148" s="140">
        <f>SUM($D148:AB148)*IF($B148="Operacional",IFERROR(VLOOKUP($C148,SN_UGC,28,0),0),1)</f>
        <v>0</v>
      </c>
      <c r="GD148" s="140">
        <f>SUM($D148:AC148)*IF($B148="Operacional",IFERROR(VLOOKUP($C148,SN_UGC,28,0),0),1)</f>
        <v>0</v>
      </c>
      <c r="GE148" s="140">
        <f>SUM($D148:AD148)*IF($B148="Operacional",IFERROR(VLOOKUP($C148,SN_UGC,28,0),0),1)</f>
        <v>0</v>
      </c>
      <c r="GF148" s="140">
        <f>SUM($D148:AE148)*IF($B148="Operacional",IFERROR(VLOOKUP($C148,SN_UGC,28,0),0),1)</f>
        <v>0</v>
      </c>
      <c r="GG148" s="140">
        <f>SUM($D148:AF148)*IF($B148="Operacional",IFERROR(VLOOKUP($C148,SN_UGC,28,0),0),1)</f>
        <v>0</v>
      </c>
      <c r="GH148" s="140">
        <f>SUM($D148:AG148)*IF($B148="Operacional",IFERROR(VLOOKUP($C148,SN_UGC,28,0),0),1)</f>
        <v>0</v>
      </c>
      <c r="GI148" s="141">
        <f t="shared" ref="GI148:HL148" si="763">FE148*$AH148*$AL148</f>
        <v>0</v>
      </c>
      <c r="GJ148" s="141">
        <f t="shared" si="763"/>
        <v>0</v>
      </c>
      <c r="GK148" s="141">
        <f t="shared" si="763"/>
        <v>0</v>
      </c>
      <c r="GL148" s="141">
        <f t="shared" si="763"/>
        <v>0</v>
      </c>
      <c r="GM148" s="141">
        <f t="shared" si="763"/>
        <v>0</v>
      </c>
      <c r="GN148" s="141">
        <f t="shared" si="763"/>
        <v>0</v>
      </c>
      <c r="GO148" s="141">
        <f t="shared" si="763"/>
        <v>0</v>
      </c>
      <c r="GP148" s="141">
        <f t="shared" si="763"/>
        <v>0</v>
      </c>
      <c r="GQ148" s="141">
        <f t="shared" si="763"/>
        <v>0</v>
      </c>
      <c r="GR148" s="141">
        <f t="shared" si="763"/>
        <v>0</v>
      </c>
      <c r="GS148" s="141">
        <f t="shared" si="763"/>
        <v>0</v>
      </c>
      <c r="GT148" s="141">
        <f t="shared" si="763"/>
        <v>0</v>
      </c>
      <c r="GU148" s="141">
        <f t="shared" si="763"/>
        <v>0</v>
      </c>
      <c r="GV148" s="141">
        <f t="shared" si="763"/>
        <v>0</v>
      </c>
      <c r="GW148" s="141">
        <f t="shared" si="763"/>
        <v>0</v>
      </c>
      <c r="GX148" s="141">
        <f t="shared" si="763"/>
        <v>0</v>
      </c>
      <c r="GY148" s="141">
        <f t="shared" si="763"/>
        <v>0</v>
      </c>
      <c r="GZ148" s="141">
        <f t="shared" si="763"/>
        <v>0</v>
      </c>
      <c r="HA148" s="141">
        <f t="shared" si="763"/>
        <v>0</v>
      </c>
      <c r="HB148" s="141">
        <f t="shared" si="763"/>
        <v>0</v>
      </c>
      <c r="HC148" s="141">
        <f t="shared" si="763"/>
        <v>0</v>
      </c>
      <c r="HD148" s="141">
        <f t="shared" si="763"/>
        <v>0</v>
      </c>
      <c r="HE148" s="141">
        <f t="shared" si="763"/>
        <v>0</v>
      </c>
      <c r="HF148" s="141">
        <f t="shared" si="763"/>
        <v>0</v>
      </c>
      <c r="HG148" s="141">
        <f t="shared" si="763"/>
        <v>0</v>
      </c>
      <c r="HH148" s="141">
        <f t="shared" si="763"/>
        <v>0</v>
      </c>
      <c r="HI148" s="141">
        <f t="shared" si="763"/>
        <v>0</v>
      </c>
      <c r="HJ148" s="141">
        <f t="shared" si="763"/>
        <v>0</v>
      </c>
      <c r="HK148" s="141">
        <f t="shared" si="763"/>
        <v>0</v>
      </c>
      <c r="HL148" s="141">
        <f t="shared" si="763"/>
        <v>0</v>
      </c>
      <c r="HM148" s="142">
        <f t="shared" ref="HM148:IP148" si="764">IF(ISBLANK($A148),,FE148*($AH148-($AH148*$AJ148))/$AI148)</f>
        <v>0</v>
      </c>
      <c r="HN148" s="142">
        <f t="shared" si="764"/>
        <v>0</v>
      </c>
      <c r="HO148" s="142">
        <f t="shared" si="764"/>
        <v>0</v>
      </c>
      <c r="HP148" s="142">
        <f t="shared" si="764"/>
        <v>0</v>
      </c>
      <c r="HQ148" s="142">
        <f t="shared" si="764"/>
        <v>0</v>
      </c>
      <c r="HR148" s="142">
        <f t="shared" si="764"/>
        <v>0</v>
      </c>
      <c r="HS148" s="142">
        <f t="shared" si="764"/>
        <v>0</v>
      </c>
      <c r="HT148" s="142">
        <f t="shared" si="764"/>
        <v>0</v>
      </c>
      <c r="HU148" s="142">
        <f t="shared" si="764"/>
        <v>0</v>
      </c>
      <c r="HV148" s="142">
        <f t="shared" si="764"/>
        <v>0</v>
      </c>
      <c r="HW148" s="142">
        <f t="shared" si="764"/>
        <v>0</v>
      </c>
      <c r="HX148" s="142">
        <f t="shared" si="764"/>
        <v>0</v>
      </c>
      <c r="HY148" s="142">
        <f t="shared" si="764"/>
        <v>0</v>
      </c>
      <c r="HZ148" s="142">
        <f t="shared" si="764"/>
        <v>0</v>
      </c>
      <c r="IA148" s="142">
        <f t="shared" si="764"/>
        <v>0</v>
      </c>
      <c r="IB148" s="142">
        <f t="shared" si="764"/>
        <v>0</v>
      </c>
      <c r="IC148" s="142">
        <f t="shared" si="764"/>
        <v>0</v>
      </c>
      <c r="ID148" s="142">
        <f t="shared" si="764"/>
        <v>0</v>
      </c>
      <c r="IE148" s="142">
        <f t="shared" si="764"/>
        <v>0</v>
      </c>
      <c r="IF148" s="142">
        <f t="shared" si="764"/>
        <v>0</v>
      </c>
      <c r="IG148" s="142">
        <f t="shared" si="764"/>
        <v>0</v>
      </c>
      <c r="IH148" s="142">
        <f t="shared" si="764"/>
        <v>0</v>
      </c>
      <c r="II148" s="142">
        <f t="shared" si="764"/>
        <v>0</v>
      </c>
      <c r="IJ148" s="142">
        <f t="shared" si="764"/>
        <v>0</v>
      </c>
      <c r="IK148" s="142">
        <f t="shared" si="764"/>
        <v>0</v>
      </c>
      <c r="IL148" s="142">
        <f t="shared" si="764"/>
        <v>0</v>
      </c>
      <c r="IM148" s="142">
        <f t="shared" si="764"/>
        <v>0</v>
      </c>
      <c r="IN148" s="142">
        <f t="shared" si="764"/>
        <v>0</v>
      </c>
      <c r="IO148" s="142">
        <f t="shared" si="764"/>
        <v>0</v>
      </c>
      <c r="IP148" s="142">
        <f t="shared" si="764"/>
        <v>0</v>
      </c>
      <c r="IQ148" s="141">
        <f>IF(ISBLANK($A148),,IF($AN148="Não",0,(SUM($AO148:AO148)*$AH148)-SUM($HM148:HM148)-SUM($CW148:CW148)))</f>
        <v>0</v>
      </c>
      <c r="IR148" s="141">
        <f>IF(ISBLANK($A148),,IF($AN148="Não",0,(SUM($AO148:AP148)*$AH148)-SUM($HM148:HN148)-SUM($CW148:CX148)))</f>
        <v>0</v>
      </c>
      <c r="IS148" s="141">
        <f>IF(ISBLANK($A148),,IF($AN148="Não",0,(SUM($AO148:AQ148)*$AH148)-SUM($HM148:HO148)-SUM($CW148:CY148)))</f>
        <v>0</v>
      </c>
      <c r="IT148" s="141">
        <f>IF(ISBLANK($A148),,IF($AN148="Não",0,(SUM($AO148:AR148)*$AH148)-SUM($HM148:HP148)-SUM($CW148:CZ148)))</f>
        <v>0</v>
      </c>
      <c r="IU148" s="141">
        <f>IF(ISBLANK($A148),,IF($AN148="Não",0,(SUM($AO148:AS148)*$AH148)-SUM($HM148:HQ148)-SUM($CW148:DA148)))</f>
        <v>0</v>
      </c>
      <c r="IV148" s="141">
        <f>IF(ISBLANK($A148),,IF($AN148="Não",0,(SUM($AO148:AT148)*$AH148)-SUM($HM148:HR148)-SUM($CW148:DB148)))</f>
        <v>0</v>
      </c>
      <c r="IW148" s="141">
        <f>IF(ISBLANK($A148),,IF($AN148="Não",0,(SUM($AO148:AU148)*$AH148)-SUM($HM148:HS148)-SUM($CW148:DC148)))</f>
        <v>0</v>
      </c>
      <c r="IX148" s="141">
        <f>IF(ISBLANK($A148),,IF($AN148="Não",0,(SUM($AO148:AV148)*$AH148)-SUM($HM148:HT148)-SUM($CW148:DD148)))</f>
        <v>0</v>
      </c>
      <c r="IY148" s="141">
        <f>IF(ISBLANK($A148),,IF($AN148="Não",0,(SUM($AO148:AW148)*$AH148)-SUM($HM148:HU148)-SUM($CW148:DE148)))</f>
        <v>0</v>
      </c>
      <c r="IZ148" s="141">
        <f>IF(ISBLANK($A148),,IF($AN148="Não",0,(SUM($AO148:AX148)*$AH148)-SUM($HM148:HV148)-SUM($CW148:DF148)))</f>
        <v>0</v>
      </c>
      <c r="JA148" s="141">
        <f>IF(ISBLANK($A148),,IF($AN148="Não",0,(SUM($AO148:AY148)*$AH148)-SUM($HM148:HW148)-SUM($CW148:DG148)))</f>
        <v>0</v>
      </c>
      <c r="JB148" s="141">
        <f>IF(ISBLANK($A148),,IF($AN148="Não",0,(SUM($AO148:AZ148)*$AH148)-SUM($HM148:HX148)-SUM($CW148:DH148)))</f>
        <v>0</v>
      </c>
      <c r="JC148" s="141">
        <f>IF(ISBLANK($A148),,IF($AN148="Não",0,(SUM($AO148:BA148)*$AH148)-SUM($HM148:HY148)-SUM($CW148:DI148)))</f>
        <v>0</v>
      </c>
      <c r="JD148" s="141">
        <f>IF(ISBLANK($A148),,IF($AN148="Não",0,(SUM($AO148:BB148)*$AH148)-SUM($HM148:HZ148)-SUM($CW148:DJ148)))</f>
        <v>0</v>
      </c>
      <c r="JE148" s="141">
        <f>IF(ISBLANK($A148),,IF($AN148="Não",0,(SUM($AO148:BC148)*$AH148)-SUM($HM148:IA148)-SUM($CW148:DK148)))</f>
        <v>0</v>
      </c>
      <c r="JF148" s="141">
        <f>IF(ISBLANK($A148),,IF($AN148="Não",0,(SUM($AO148:BD148)*$AH148)-SUM($HM148:IB148)-SUM($CW148:DL148)))</f>
        <v>0</v>
      </c>
      <c r="JG148" s="141">
        <f>IF(ISBLANK($A148),,IF($AN148="Não",0,(SUM($AO148:BE148)*$AH148)-SUM($HM148:IC148)-SUM($CW148:DM148)))</f>
        <v>0</v>
      </c>
      <c r="JH148" s="141">
        <f>IF(ISBLANK($A148),,IF($AN148="Não",0,(SUM($AO148:BF148)*$AH148)-SUM($HM148:ID148)-SUM($CW148:DN148)))</f>
        <v>0</v>
      </c>
      <c r="JI148" s="141">
        <f>IF(ISBLANK($A148),,IF($AN148="Não",0,(SUM($AO148:BG148)*$AH148)-SUM($HM148:IE148)-SUM($CW148:DO148)))</f>
        <v>0</v>
      </c>
      <c r="JJ148" s="141">
        <f>IF(ISBLANK($A148),,IF($AN148="Não",0,(SUM($AO148:BH148)*$AH148)-SUM($HM148:IF148)-SUM($CW148:DP148)))</f>
        <v>0</v>
      </c>
      <c r="JK148" s="141">
        <f>IF(ISBLANK($A148),,IF($AN148="Não",0,(SUM($AO148:BI148)*$AH148)-SUM($HM148:IG148)-SUM($CW148:DQ148)))</f>
        <v>0</v>
      </c>
      <c r="JL148" s="141">
        <f>IF(ISBLANK($A148),,IF($AN148="Não",0,(SUM($AO148:BJ148)*$AH148)-SUM($HM148:IH148)-SUM($CW148:DR148)))</f>
        <v>0</v>
      </c>
      <c r="JM148" s="141">
        <f>IF(ISBLANK($A148),,IF($AN148="Não",0,(SUM($AO148:BK148)*$AH148)-SUM($HM148:II148)-SUM($CW148:DS148)))</f>
        <v>0</v>
      </c>
      <c r="JN148" s="141">
        <f>IF(ISBLANK($A148),,IF($AN148="Não",0,(SUM($AO148:BL148)*$AH148)-SUM($HM148:IJ148)-SUM($CW148:DT148)))</f>
        <v>0</v>
      </c>
      <c r="JO148" s="141">
        <f>IF(ISBLANK($A148),,IF($AN148="Não",0,(SUM($AO148:BM148)*$AH148)-SUM($HM148:IK148)-SUM($CW148:DU148)))</f>
        <v>0</v>
      </c>
      <c r="JP148" s="141">
        <f>IF(ISBLANK($A148),,IF($AN148="Não",0,(SUM($AO148:BN148)*$AH148)-SUM($HM148:IL148)-SUM($CW148:DV148)))</f>
        <v>0</v>
      </c>
      <c r="JQ148" s="141">
        <f>IF(ISBLANK($A148),,IF($AN148="Não",0,(SUM($AO148:BO148)*$AH148)-SUM($HM148:IM148)-SUM($CW148:DW148)))</f>
        <v>0</v>
      </c>
      <c r="JR148" s="141">
        <f>IF(ISBLANK($A148),,IF($AN148="Não",0,(SUM($AO148:BP148)*$AH148)-SUM($HM148:IN148)-SUM($CW148:DX148)))</f>
        <v>0</v>
      </c>
      <c r="JS148" s="141">
        <f>IF(ISBLANK($A148),,IF($AN148="Não",0,(SUM($AO148:BQ148)*$AH148)-SUM($HM148:IO148)-SUM($CW148:DY148)))</f>
        <v>0</v>
      </c>
      <c r="JT148" s="141">
        <f>IF(ISBLANK($A148),,IF($AN148="Não",0,(SUM($AO148:BR148)*$AH148)-SUM($HM148:IP148)-SUM($CW148:DZ148)))</f>
        <v>0</v>
      </c>
    </row>
    <row r="149" spans="1:280" ht="15.75" customHeight="1">
      <c r="A149" s="129"/>
      <c r="B149" s="129"/>
      <c r="C149" s="138"/>
      <c r="D149" s="139"/>
      <c r="E149" s="139"/>
      <c r="F149" s="139"/>
      <c r="G149" s="139"/>
      <c r="H149" s="139"/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607">
        <f t="shared" si="710"/>
        <v>0</v>
      </c>
      <c r="AI149" s="608">
        <f t="shared" si="711"/>
        <v>0</v>
      </c>
      <c r="AJ149" s="609">
        <f t="shared" si="712"/>
        <v>0</v>
      </c>
      <c r="AK149" s="610" t="str">
        <f t="shared" si="713"/>
        <v/>
      </c>
      <c r="AL149" s="609">
        <f t="shared" si="714"/>
        <v>0</v>
      </c>
      <c r="AM149" s="611" t="str">
        <f t="shared" si="715"/>
        <v/>
      </c>
      <c r="AN149" s="611" t="str">
        <f t="shared" si="716"/>
        <v/>
      </c>
      <c r="AO149" s="140">
        <f t="array" ref="AO149">IF(ISBLANK($A149),0,IF(OR(AO$5-$AI149&lt;=0,$AM149="Não"),D149,D149+INDEX($AO$6:$BR$176,ROW()-5,COLUMN()-40-$AI149)))*IF($B149="Operacional",IFERROR(VLOOKUP($C149,SN_UGC,28,0),0),1)</f>
        <v>0</v>
      </c>
      <c r="AP149" s="140">
        <f t="array" ref="AP149">IF(ISBLANK($A149),0,IF(OR(AP$5-$AI149&lt;=0,$AM149="Não"),E149,E149+INDEX($AO$6:$BR$176,ROW()-5,COLUMN()-40-$AI149)))*IF($B149="Operacional",IFERROR(VLOOKUP($C149,SN_UGC,28,0),0),1)</f>
        <v>0</v>
      </c>
      <c r="AQ149" s="140">
        <f t="array" ref="AQ149">IF(ISBLANK($A149),0,IF(OR(AQ$5-$AI149&lt;=0,$AM149="Não"),F149,F149+INDEX($AO$6:$BR$176,ROW()-5,COLUMN()-40-$AI149)))*IF($B149="Operacional",IFERROR(VLOOKUP($C149,SN_UGC,28,0),0),1)</f>
        <v>0</v>
      </c>
      <c r="AR149" s="140">
        <f t="array" ref="AR149">IF(ISBLANK($A149),0,IF(OR(AR$5-$AI149&lt;=0,$AM149="Não"),G149,G149+INDEX($AO$6:$BR$176,ROW()-5,COLUMN()-40-$AI149)))*IF($B149="Operacional",IFERROR(VLOOKUP($C149,SN_UGC,28,0),0),1)</f>
        <v>0</v>
      </c>
      <c r="AS149" s="140">
        <f t="array" ref="AS149">IF(ISBLANK($A149),0,IF(OR(AS$5-$AI149&lt;=0,$AM149="Não"),H149,H149+INDEX($AO$6:$BR$176,ROW()-5,COLUMN()-40-$AI149)))*IF($B149="Operacional",IFERROR(VLOOKUP($C149,SN_UGC,28,0),0),1)</f>
        <v>0</v>
      </c>
      <c r="AT149" s="140">
        <f t="array" ref="AT149">IF(ISBLANK($A149),0,IF(OR(AT$5-$AI149&lt;=0,$AM149="Não"),I149,I149+INDEX($AO$6:$BR$176,ROW()-5,COLUMN()-40-$AI149)))*IF($B149="Operacional",IFERROR(VLOOKUP($C149,SN_UGC,28,0),0),1)</f>
        <v>0</v>
      </c>
      <c r="AU149" s="140">
        <f t="array" ref="AU149">IF(ISBLANK($A149),0,IF(OR(AU$5-$AI149&lt;=0,$AM149="Não"),J149,J149+INDEX($AO$6:$BR$176,ROW()-5,COLUMN()-40-$AI149)))*IF($B149="Operacional",IFERROR(VLOOKUP($C149,SN_UGC,28,0),0),1)</f>
        <v>0</v>
      </c>
      <c r="AV149" s="140">
        <f t="array" ref="AV149">IF(ISBLANK($A149),0,IF(OR(AV$5-$AI149&lt;=0,$AM149="Não"),K149,K149+INDEX($AO$6:$BR$176,ROW()-5,COLUMN()-40-$AI149)))*IF($B149="Operacional",IFERROR(VLOOKUP($C149,SN_UGC,28,0),0),1)</f>
        <v>0</v>
      </c>
      <c r="AW149" s="140">
        <f t="array" ref="AW149">IF(ISBLANK($A149),0,IF(OR(AW$5-$AI149&lt;=0,$AM149="Não"),L149,L149+INDEX($AO$6:$BR$176,ROW()-5,COLUMN()-40-$AI149)))*IF($B149="Operacional",IFERROR(VLOOKUP($C149,SN_UGC,28,0),0),1)</f>
        <v>0</v>
      </c>
      <c r="AX149" s="140">
        <f t="array" ref="AX149">IF(ISBLANK($A149),0,IF(OR(AX$5-$AI149&lt;=0,$AM149="Não"),M149,M149+INDEX($AO$6:$BR$176,ROW()-5,COLUMN()-40-$AI149)))*IF($B149="Operacional",IFERROR(VLOOKUP($C149,SN_UGC,28,0),0),1)</f>
        <v>0</v>
      </c>
      <c r="AY149" s="140">
        <f t="array" ref="AY149">IF(ISBLANK($A149),0,IF(OR(AY$5-$AI149&lt;=0,$AM149="Não"),N149,N149+INDEX($AO$6:$BR$176,ROW()-5,COLUMN()-40-$AI149)))*IF($B149="Operacional",IFERROR(VLOOKUP($C149,SN_UGC,28,0),0),1)</f>
        <v>0</v>
      </c>
      <c r="AZ149" s="140">
        <f t="array" ref="AZ149">IF(ISBLANK($A149),0,IF(OR(AZ$5-$AI149&lt;=0,$AM149="Não"),O149,O149+INDEX($AO$6:$BR$176,ROW()-5,COLUMN()-40-$AI149)))*IF($B149="Operacional",IFERROR(VLOOKUP($C149,SN_UGC,28,0),0),1)</f>
        <v>0</v>
      </c>
      <c r="BA149" s="140">
        <f t="array" ref="BA149">IF(ISBLANK($A149),0,IF(OR(BA$5-$AI149&lt;=0,$AM149="Não"),P149,P149+INDEX($AO$6:$BR$176,ROW()-5,COLUMN()-40-$AI149)))*IF($B149="Operacional",IFERROR(VLOOKUP($C149,SN_UGC,28,0),0),1)</f>
        <v>0</v>
      </c>
      <c r="BB149" s="140">
        <f t="array" ref="BB149">IF(ISBLANK($A149),0,IF(OR(BB$5-$AI149&lt;=0,$AM149="Não"),Q149,Q149+INDEX($AO$6:$BR$176,ROW()-5,COLUMN()-40-$AI149)))*IF($B149="Operacional",IFERROR(VLOOKUP($C149,SN_UGC,28,0),0),1)</f>
        <v>0</v>
      </c>
      <c r="BC149" s="140">
        <f t="array" ref="BC149">IF(ISBLANK($A149),0,IF(OR(BC$5-$AI149&lt;=0,$AM149="Não"),R149,R149+INDEX($AO$6:$BR$176,ROW()-5,COLUMN()-40-$AI149)))*IF($B149="Operacional",IFERROR(VLOOKUP($C149,SN_UGC,28,0),0),1)</f>
        <v>0</v>
      </c>
      <c r="BD149" s="140">
        <f t="array" ref="BD149">IF(ISBLANK($A149),0,IF(OR(BD$5-$AI149&lt;=0,$AM149="Não"),S149,S149+INDEX($AO$6:$BR$176,ROW()-5,COLUMN()-40-$AI149)))*IF($B149="Operacional",IFERROR(VLOOKUP($C149,SN_UGC,28,0),0),1)</f>
        <v>0</v>
      </c>
      <c r="BE149" s="140">
        <f t="array" ref="BE149">IF(ISBLANK($A149),0,IF(OR(BE$5-$AI149&lt;=0,$AM149="Não"),T149,T149+INDEX($AO$6:$BR$176,ROW()-5,COLUMN()-40-$AI149)))*IF($B149="Operacional",IFERROR(VLOOKUP($C149,SN_UGC,28,0),0),1)</f>
        <v>0</v>
      </c>
      <c r="BF149" s="140">
        <f t="array" ref="BF149">IF(ISBLANK($A149),0,IF(OR(BF$5-$AI149&lt;=0,$AM149="Não"),U149,U149+INDEX($AO$6:$BR$176,ROW()-5,COLUMN()-40-$AI149)))*IF($B149="Operacional",IFERROR(VLOOKUP($C149,SN_UGC,28,0),0),1)</f>
        <v>0</v>
      </c>
      <c r="BG149" s="140">
        <f t="array" ref="BG149">IF(ISBLANK($A149),0,IF(OR(BG$5-$AI149&lt;=0,$AM149="Não"),V149,V149+INDEX($AO$6:$BR$176,ROW()-5,COLUMN()-40-$AI149)))*IF($B149="Operacional",IFERROR(VLOOKUP($C149,SN_UGC,28,0),0),1)</f>
        <v>0</v>
      </c>
      <c r="BH149" s="140">
        <f t="array" ref="BH149">IF(ISBLANK($A149),0,IF(OR(BH$5-$AI149&lt;=0,$AM149="Não"),W149,W149+INDEX($AO$6:$BR$176,ROW()-5,COLUMN()-40-$AI149)))*IF($B149="Operacional",IFERROR(VLOOKUP($C149,SN_UGC,28,0),0),1)</f>
        <v>0</v>
      </c>
      <c r="BI149" s="140">
        <f t="array" ref="BI149">IF(ISBLANK($A149),0,IF(OR(BI$5-$AI149&lt;=0,$AM149="Não"),X149,X149+INDEX($AO$6:$BR$176,ROW()-5,COLUMN()-40-$AI149)))*IF($B149="Operacional",IFERROR(VLOOKUP($C149,SN_UGC,28,0),0),1)</f>
        <v>0</v>
      </c>
      <c r="BJ149" s="140">
        <f t="array" ref="BJ149">IF(ISBLANK($A149),0,IF(OR(BJ$5-$AI149&lt;=0,$AM149="Não"),Y149,Y149+INDEX($AO$6:$BR$176,ROW()-5,COLUMN()-40-$AI149)))*IF($B149="Operacional",IFERROR(VLOOKUP($C149,SN_UGC,28,0),0),1)</f>
        <v>0</v>
      </c>
      <c r="BK149" s="140">
        <f t="array" ref="BK149">IF(ISBLANK($A149),0,IF(OR(BK$5-$AI149&lt;=0,$AM149="Não"),Z149,Z149+INDEX($AO$6:$BR$176,ROW()-5,COLUMN()-40-$AI149)))*IF($B149="Operacional",IFERROR(VLOOKUP($C149,SN_UGC,28,0),0),1)</f>
        <v>0</v>
      </c>
      <c r="BL149" s="140">
        <f t="array" ref="BL149">IF(ISBLANK($A149),0,IF(OR(BL$5-$AI149&lt;=0,$AM149="Não"),AA149,AA149+INDEX($AO$6:$BR$176,ROW()-5,COLUMN()-40-$AI149)))*IF($B149="Operacional",IFERROR(VLOOKUP($C149,SN_UGC,28,0),0),1)</f>
        <v>0</v>
      </c>
      <c r="BM149" s="140">
        <f t="array" ref="BM149">IF(ISBLANK($A149),0,IF(OR(BM$5-$AI149&lt;=0,$AM149="Não"),AB149,AB149+INDEX($AO$6:$BR$176,ROW()-5,COLUMN()-40-$AI149)))*IF($B149="Operacional",IFERROR(VLOOKUP($C149,SN_UGC,28,0),0),1)</f>
        <v>0</v>
      </c>
      <c r="BN149" s="140">
        <f t="array" ref="BN149">IF(ISBLANK($A149),0,IF(OR(BN$5-$AI149&lt;=0,$AM149="Não"),AC149,AC149+INDEX($AO$6:$BR$176,ROW()-5,COLUMN()-40-$AI149)))*IF($B149="Operacional",IFERROR(VLOOKUP($C149,SN_UGC,28,0),0),1)</f>
        <v>0</v>
      </c>
      <c r="BO149" s="140">
        <f t="array" ref="BO149">IF(ISBLANK($A149),0,IF(OR(BO$5-$AI149&lt;=0,$AM149="Não"),AD149,AD149+INDEX($AO$6:$BR$176,ROW()-5,COLUMN()-40-$AI149)))*IF($B149="Operacional",IFERROR(VLOOKUP($C149,SN_UGC,28,0),0),1)</f>
        <v>0</v>
      </c>
      <c r="BP149" s="140">
        <f t="array" ref="BP149">IF(ISBLANK($A149),0,IF(OR(BP$5-$AI149&lt;=0,$AM149="Não"),AE149,AE149+INDEX($AO$6:$BR$176,ROW()-5,COLUMN()-40-$AI149)))*IF($B149="Operacional",IFERROR(VLOOKUP($C149,SN_UGC,28,0),0),1)</f>
        <v>0</v>
      </c>
      <c r="BQ149" s="140">
        <f t="array" ref="BQ149">IF(ISBLANK($A149),0,IF(OR(BQ$5-$AI149&lt;=0,$AM149="Não"),AF149,AF149+INDEX($AO$6:$BR$176,ROW()-5,COLUMN()-40-$AI149)))*IF($B149="Operacional",IFERROR(VLOOKUP($C149,SN_UGC,28,0),0),1)</f>
        <v>0</v>
      </c>
      <c r="BR149" s="140">
        <f t="array" ref="BR149">IF(ISBLANK($A149),0,IF(OR(BR$5-$AI149&lt;=0,$AM149="Não"),AG149,AG149+INDEX($AO$6:$BR$176,ROW()-5,COLUMN()-40-$AI149)))*IF($B149="Operacional",IFERROR(VLOOKUP($C149,SN_UGC,28,0),0),1)</f>
        <v>0</v>
      </c>
      <c r="BS149" s="141">
        <f t="shared" ref="BS149:CV149" si="765">IF(ISBLANK($A149),0,$AH149*AO149)</f>
        <v>0</v>
      </c>
      <c r="BT149" s="141">
        <f t="shared" si="765"/>
        <v>0</v>
      </c>
      <c r="BU149" s="141">
        <f t="shared" si="765"/>
        <v>0</v>
      </c>
      <c r="BV149" s="141">
        <f t="shared" si="765"/>
        <v>0</v>
      </c>
      <c r="BW149" s="141">
        <f t="shared" si="765"/>
        <v>0</v>
      </c>
      <c r="BX149" s="141">
        <f t="shared" si="765"/>
        <v>0</v>
      </c>
      <c r="BY149" s="141">
        <f t="shared" si="765"/>
        <v>0</v>
      </c>
      <c r="BZ149" s="141">
        <f t="shared" si="765"/>
        <v>0</v>
      </c>
      <c r="CA149" s="141">
        <f t="shared" si="765"/>
        <v>0</v>
      </c>
      <c r="CB149" s="141">
        <f t="shared" si="765"/>
        <v>0</v>
      </c>
      <c r="CC149" s="141">
        <f t="shared" si="765"/>
        <v>0</v>
      </c>
      <c r="CD149" s="141">
        <f t="shared" si="765"/>
        <v>0</v>
      </c>
      <c r="CE149" s="141">
        <f t="shared" si="765"/>
        <v>0</v>
      </c>
      <c r="CF149" s="141">
        <f t="shared" si="765"/>
        <v>0</v>
      </c>
      <c r="CG149" s="141">
        <f t="shared" si="765"/>
        <v>0</v>
      </c>
      <c r="CH149" s="141">
        <f t="shared" si="765"/>
        <v>0</v>
      </c>
      <c r="CI149" s="141">
        <f t="shared" si="765"/>
        <v>0</v>
      </c>
      <c r="CJ149" s="141">
        <f t="shared" si="765"/>
        <v>0</v>
      </c>
      <c r="CK149" s="141">
        <f t="shared" si="765"/>
        <v>0</v>
      </c>
      <c r="CL149" s="141">
        <f t="shared" si="765"/>
        <v>0</v>
      </c>
      <c r="CM149" s="141">
        <f t="shared" si="765"/>
        <v>0</v>
      </c>
      <c r="CN149" s="141">
        <f t="shared" si="765"/>
        <v>0</v>
      </c>
      <c r="CO149" s="141">
        <f t="shared" si="765"/>
        <v>0</v>
      </c>
      <c r="CP149" s="141">
        <f t="shared" si="765"/>
        <v>0</v>
      </c>
      <c r="CQ149" s="141">
        <f t="shared" si="765"/>
        <v>0</v>
      </c>
      <c r="CR149" s="141">
        <f t="shared" si="765"/>
        <v>0</v>
      </c>
      <c r="CS149" s="141">
        <f t="shared" si="765"/>
        <v>0</v>
      </c>
      <c r="CT149" s="141">
        <f t="shared" si="765"/>
        <v>0</v>
      </c>
      <c r="CU149" s="141">
        <f t="shared" si="765"/>
        <v>0</v>
      </c>
      <c r="CV149" s="141">
        <f t="shared" si="765"/>
        <v>0</v>
      </c>
      <c r="CW149" s="142">
        <f t="shared" ref="CW149:DZ149" si="766">EA149*$AH149*$AJ149</f>
        <v>0</v>
      </c>
      <c r="CX149" s="142">
        <f t="shared" si="766"/>
        <v>0</v>
      </c>
      <c r="CY149" s="142">
        <f t="shared" si="766"/>
        <v>0</v>
      </c>
      <c r="CZ149" s="142">
        <f t="shared" si="766"/>
        <v>0</v>
      </c>
      <c r="DA149" s="142">
        <f t="shared" si="766"/>
        <v>0</v>
      </c>
      <c r="DB149" s="142">
        <f t="shared" si="766"/>
        <v>0</v>
      </c>
      <c r="DC149" s="142">
        <f t="shared" si="766"/>
        <v>0</v>
      </c>
      <c r="DD149" s="142">
        <f t="shared" si="766"/>
        <v>0</v>
      </c>
      <c r="DE149" s="142">
        <f t="shared" si="766"/>
        <v>0</v>
      </c>
      <c r="DF149" s="142">
        <f t="shared" si="766"/>
        <v>0</v>
      </c>
      <c r="DG149" s="142">
        <f t="shared" si="766"/>
        <v>0</v>
      </c>
      <c r="DH149" s="142">
        <f t="shared" si="766"/>
        <v>0</v>
      </c>
      <c r="DI149" s="142">
        <f t="shared" si="766"/>
        <v>0</v>
      </c>
      <c r="DJ149" s="142">
        <f t="shared" si="766"/>
        <v>0</v>
      </c>
      <c r="DK149" s="142">
        <f t="shared" si="766"/>
        <v>0</v>
      </c>
      <c r="DL149" s="142">
        <f t="shared" si="766"/>
        <v>0</v>
      </c>
      <c r="DM149" s="142">
        <f t="shared" si="766"/>
        <v>0</v>
      </c>
      <c r="DN149" s="142">
        <f t="shared" si="766"/>
        <v>0</v>
      </c>
      <c r="DO149" s="142">
        <f t="shared" si="766"/>
        <v>0</v>
      </c>
      <c r="DP149" s="142">
        <f t="shared" si="766"/>
        <v>0</v>
      </c>
      <c r="DQ149" s="142">
        <f t="shared" si="766"/>
        <v>0</v>
      </c>
      <c r="DR149" s="142">
        <f t="shared" si="766"/>
        <v>0</v>
      </c>
      <c r="DS149" s="142">
        <f t="shared" si="766"/>
        <v>0</v>
      </c>
      <c r="DT149" s="142">
        <f t="shared" si="766"/>
        <v>0</v>
      </c>
      <c r="DU149" s="142">
        <f t="shared" si="766"/>
        <v>0</v>
      </c>
      <c r="DV149" s="142">
        <f t="shared" si="766"/>
        <v>0</v>
      </c>
      <c r="DW149" s="142">
        <f t="shared" si="766"/>
        <v>0</v>
      </c>
      <c r="DX149" s="142">
        <f t="shared" si="766"/>
        <v>0</v>
      </c>
      <c r="DY149" s="142">
        <f t="shared" si="766"/>
        <v>0</v>
      </c>
      <c r="DZ149" s="142">
        <f t="shared" si="766"/>
        <v>0</v>
      </c>
      <c r="EA149" s="143">
        <f t="shared" si="670"/>
        <v>0</v>
      </c>
      <c r="EB149" s="143">
        <f t="shared" si="671"/>
        <v>0</v>
      </c>
      <c r="EC149" s="143">
        <f t="shared" si="672"/>
        <v>0</v>
      </c>
      <c r="ED149" s="143">
        <f t="shared" si="673"/>
        <v>0</v>
      </c>
      <c r="EE149" s="143">
        <f t="shared" si="674"/>
        <v>0</v>
      </c>
      <c r="EF149" s="143">
        <f t="shared" si="675"/>
        <v>0</v>
      </c>
      <c r="EG149" s="143">
        <f t="shared" si="676"/>
        <v>0</v>
      </c>
      <c r="EH149" s="143">
        <f t="shared" si="677"/>
        <v>0</v>
      </c>
      <c r="EI149" s="143">
        <f t="shared" si="678"/>
        <v>0</v>
      </c>
      <c r="EJ149" s="143">
        <f t="shared" si="679"/>
        <v>0</v>
      </c>
      <c r="EK149" s="143">
        <f t="shared" si="680"/>
        <v>0</v>
      </c>
      <c r="EL149" s="143">
        <f t="shared" si="681"/>
        <v>0</v>
      </c>
      <c r="EM149" s="143">
        <f t="shared" si="682"/>
        <v>0</v>
      </c>
      <c r="EN149" s="143">
        <f t="shared" si="683"/>
        <v>0</v>
      </c>
      <c r="EO149" s="143">
        <f t="shared" si="684"/>
        <v>0</v>
      </c>
      <c r="EP149" s="143">
        <f t="shared" si="685"/>
        <v>0</v>
      </c>
      <c r="EQ149" s="143">
        <f t="shared" si="686"/>
        <v>0</v>
      </c>
      <c r="ER149" s="143">
        <f t="shared" si="687"/>
        <v>0</v>
      </c>
      <c r="ES149" s="143">
        <f t="shared" si="688"/>
        <v>0</v>
      </c>
      <c r="ET149" s="143">
        <f t="shared" si="689"/>
        <v>0</v>
      </c>
      <c r="EU149" s="143">
        <f t="shared" si="690"/>
        <v>0</v>
      </c>
      <c r="EV149" s="143">
        <f t="shared" si="691"/>
        <v>0</v>
      </c>
      <c r="EW149" s="143">
        <f t="shared" si="692"/>
        <v>0</v>
      </c>
      <c r="EX149" s="143">
        <f t="shared" si="693"/>
        <v>0</v>
      </c>
      <c r="EY149" s="143">
        <f t="shared" si="694"/>
        <v>0</v>
      </c>
      <c r="EZ149" s="143">
        <f t="shared" si="695"/>
        <v>0</v>
      </c>
      <c r="FA149" s="143">
        <f t="shared" si="696"/>
        <v>0</v>
      </c>
      <c r="FB149" s="143">
        <f t="shared" si="697"/>
        <v>0</v>
      </c>
      <c r="FC149" s="143">
        <f t="shared" si="698"/>
        <v>0</v>
      </c>
      <c r="FD149" s="143">
        <f t="shared" si="699"/>
        <v>0</v>
      </c>
      <c r="FE149" s="140">
        <f>SUM($D149:D149)*IF($B149="Operacional",IFERROR(VLOOKUP($C149,SN_UGC,28,0),0),1)</f>
        <v>0</v>
      </c>
      <c r="FF149" s="140">
        <f>SUM($D149:E149)*IF($B149="Operacional",IFERROR(VLOOKUP($C149,SN_UGC,28,0),0),1)</f>
        <v>0</v>
      </c>
      <c r="FG149" s="140">
        <f>SUM($D149:F149)*IF($B149="Operacional",IFERROR(VLOOKUP($C149,SN_UGC,28,0),0),1)</f>
        <v>0</v>
      </c>
      <c r="FH149" s="140">
        <f>SUM($D149:G149)*IF($B149="Operacional",IFERROR(VLOOKUP($C149,SN_UGC,28,0),0),1)</f>
        <v>0</v>
      </c>
      <c r="FI149" s="140">
        <f>SUM($D149:H149)*IF($B149="Operacional",IFERROR(VLOOKUP($C149,SN_UGC,28,0),0),1)</f>
        <v>0</v>
      </c>
      <c r="FJ149" s="140">
        <f>SUM($D149:I149)*IF($B149="Operacional",IFERROR(VLOOKUP($C149,SN_UGC,28,0),0),1)</f>
        <v>0</v>
      </c>
      <c r="FK149" s="140">
        <f>SUM($D149:J149)*IF($B149="Operacional",IFERROR(VLOOKUP($C149,SN_UGC,28,0),0),1)</f>
        <v>0</v>
      </c>
      <c r="FL149" s="140">
        <f>SUM($D149:K149)*IF($B149="Operacional",IFERROR(VLOOKUP($C149,SN_UGC,28,0),0),1)</f>
        <v>0</v>
      </c>
      <c r="FM149" s="140">
        <f>SUM($D149:L149)*IF($B149="Operacional",IFERROR(VLOOKUP($C149,SN_UGC,28,0),0),1)</f>
        <v>0</v>
      </c>
      <c r="FN149" s="140">
        <f>SUM($D149:M149)*IF($B149="Operacional",IFERROR(VLOOKUP($C149,SN_UGC,28,0),0),1)</f>
        <v>0</v>
      </c>
      <c r="FO149" s="140">
        <f>SUM($D149:N149)*IF($B149="Operacional",IFERROR(VLOOKUP($C149,SN_UGC,28,0),0),1)</f>
        <v>0</v>
      </c>
      <c r="FP149" s="140">
        <f>SUM($D149:O149)*IF($B149="Operacional",IFERROR(VLOOKUP($C149,SN_UGC,28,0),0),1)</f>
        <v>0</v>
      </c>
      <c r="FQ149" s="140">
        <f>SUM($D149:P149)*IF($B149="Operacional",IFERROR(VLOOKUP($C149,SN_UGC,28,0),0),1)</f>
        <v>0</v>
      </c>
      <c r="FR149" s="140">
        <f>SUM($D149:Q149)*IF($B149="Operacional",IFERROR(VLOOKUP($C149,SN_UGC,28,0),0),1)</f>
        <v>0</v>
      </c>
      <c r="FS149" s="140">
        <f>SUM($D149:R149)*IF($B149="Operacional",IFERROR(VLOOKUP($C149,SN_UGC,28,0),0),1)</f>
        <v>0</v>
      </c>
      <c r="FT149" s="140">
        <f>SUM($D149:S149)*IF($B149="Operacional",IFERROR(VLOOKUP($C149,SN_UGC,28,0),0),1)</f>
        <v>0</v>
      </c>
      <c r="FU149" s="140">
        <f>SUM($D149:T149)*IF($B149="Operacional",IFERROR(VLOOKUP($C149,SN_UGC,28,0),0),1)</f>
        <v>0</v>
      </c>
      <c r="FV149" s="140">
        <f>SUM($D149:U149)*IF($B149="Operacional",IFERROR(VLOOKUP($C149,SN_UGC,28,0),0),1)</f>
        <v>0</v>
      </c>
      <c r="FW149" s="140">
        <f>SUM($D149:V149)*IF($B149="Operacional",IFERROR(VLOOKUP($C149,SN_UGC,28,0),0),1)</f>
        <v>0</v>
      </c>
      <c r="FX149" s="140">
        <f>SUM($D149:W149)*IF($B149="Operacional",IFERROR(VLOOKUP($C149,SN_UGC,28,0),0),1)</f>
        <v>0</v>
      </c>
      <c r="FY149" s="140">
        <f>SUM($D149:X149)*IF($B149="Operacional",IFERROR(VLOOKUP($C149,SN_UGC,28,0),0),1)</f>
        <v>0</v>
      </c>
      <c r="FZ149" s="140">
        <f>SUM($D149:Y149)*IF($B149="Operacional",IFERROR(VLOOKUP($C149,SN_UGC,28,0),0),1)</f>
        <v>0</v>
      </c>
      <c r="GA149" s="140">
        <f>SUM($D149:Z149)*IF($B149="Operacional",IFERROR(VLOOKUP($C149,SN_UGC,28,0),0),1)</f>
        <v>0</v>
      </c>
      <c r="GB149" s="140">
        <f>SUM($D149:AA149)*IF($B149="Operacional",IFERROR(VLOOKUP($C149,SN_UGC,28,0),0),1)</f>
        <v>0</v>
      </c>
      <c r="GC149" s="140">
        <f>SUM($D149:AB149)*IF($B149="Operacional",IFERROR(VLOOKUP($C149,SN_UGC,28,0),0),1)</f>
        <v>0</v>
      </c>
      <c r="GD149" s="140">
        <f>SUM($D149:AC149)*IF($B149="Operacional",IFERROR(VLOOKUP($C149,SN_UGC,28,0),0),1)</f>
        <v>0</v>
      </c>
      <c r="GE149" s="140">
        <f>SUM($D149:AD149)*IF($B149="Operacional",IFERROR(VLOOKUP($C149,SN_UGC,28,0),0),1)</f>
        <v>0</v>
      </c>
      <c r="GF149" s="140">
        <f>SUM($D149:AE149)*IF($B149="Operacional",IFERROR(VLOOKUP($C149,SN_UGC,28,0),0),1)</f>
        <v>0</v>
      </c>
      <c r="GG149" s="140">
        <f>SUM($D149:AF149)*IF($B149="Operacional",IFERROR(VLOOKUP($C149,SN_UGC,28,0),0),1)</f>
        <v>0</v>
      </c>
      <c r="GH149" s="140">
        <f>SUM($D149:AG149)*IF($B149="Operacional",IFERROR(VLOOKUP($C149,SN_UGC,28,0),0),1)</f>
        <v>0</v>
      </c>
      <c r="GI149" s="141">
        <f t="shared" ref="GI149:HL149" si="767">FE149*$AH149*$AL149</f>
        <v>0</v>
      </c>
      <c r="GJ149" s="141">
        <f t="shared" si="767"/>
        <v>0</v>
      </c>
      <c r="GK149" s="141">
        <f t="shared" si="767"/>
        <v>0</v>
      </c>
      <c r="GL149" s="141">
        <f t="shared" si="767"/>
        <v>0</v>
      </c>
      <c r="GM149" s="141">
        <f t="shared" si="767"/>
        <v>0</v>
      </c>
      <c r="GN149" s="141">
        <f t="shared" si="767"/>
        <v>0</v>
      </c>
      <c r="GO149" s="141">
        <f t="shared" si="767"/>
        <v>0</v>
      </c>
      <c r="GP149" s="141">
        <f t="shared" si="767"/>
        <v>0</v>
      </c>
      <c r="GQ149" s="141">
        <f t="shared" si="767"/>
        <v>0</v>
      </c>
      <c r="GR149" s="141">
        <f t="shared" si="767"/>
        <v>0</v>
      </c>
      <c r="GS149" s="141">
        <f t="shared" si="767"/>
        <v>0</v>
      </c>
      <c r="GT149" s="141">
        <f t="shared" si="767"/>
        <v>0</v>
      </c>
      <c r="GU149" s="141">
        <f t="shared" si="767"/>
        <v>0</v>
      </c>
      <c r="GV149" s="141">
        <f t="shared" si="767"/>
        <v>0</v>
      </c>
      <c r="GW149" s="141">
        <f t="shared" si="767"/>
        <v>0</v>
      </c>
      <c r="GX149" s="141">
        <f t="shared" si="767"/>
        <v>0</v>
      </c>
      <c r="GY149" s="141">
        <f t="shared" si="767"/>
        <v>0</v>
      </c>
      <c r="GZ149" s="141">
        <f t="shared" si="767"/>
        <v>0</v>
      </c>
      <c r="HA149" s="141">
        <f t="shared" si="767"/>
        <v>0</v>
      </c>
      <c r="HB149" s="141">
        <f t="shared" si="767"/>
        <v>0</v>
      </c>
      <c r="HC149" s="141">
        <f t="shared" si="767"/>
        <v>0</v>
      </c>
      <c r="HD149" s="141">
        <f t="shared" si="767"/>
        <v>0</v>
      </c>
      <c r="HE149" s="141">
        <f t="shared" si="767"/>
        <v>0</v>
      </c>
      <c r="HF149" s="141">
        <f t="shared" si="767"/>
        <v>0</v>
      </c>
      <c r="HG149" s="141">
        <f t="shared" si="767"/>
        <v>0</v>
      </c>
      <c r="HH149" s="141">
        <f t="shared" si="767"/>
        <v>0</v>
      </c>
      <c r="HI149" s="141">
        <f t="shared" si="767"/>
        <v>0</v>
      </c>
      <c r="HJ149" s="141">
        <f t="shared" si="767"/>
        <v>0</v>
      </c>
      <c r="HK149" s="141">
        <f t="shared" si="767"/>
        <v>0</v>
      </c>
      <c r="HL149" s="141">
        <f t="shared" si="767"/>
        <v>0</v>
      </c>
      <c r="HM149" s="142">
        <f t="shared" ref="HM149:IP149" si="768">IF(ISBLANK($A149),,FE149*($AH149-($AH149*$AJ149))/$AI149)</f>
        <v>0</v>
      </c>
      <c r="HN149" s="142">
        <f t="shared" si="768"/>
        <v>0</v>
      </c>
      <c r="HO149" s="142">
        <f t="shared" si="768"/>
        <v>0</v>
      </c>
      <c r="HP149" s="142">
        <f t="shared" si="768"/>
        <v>0</v>
      </c>
      <c r="HQ149" s="142">
        <f t="shared" si="768"/>
        <v>0</v>
      </c>
      <c r="HR149" s="142">
        <f t="shared" si="768"/>
        <v>0</v>
      </c>
      <c r="HS149" s="142">
        <f t="shared" si="768"/>
        <v>0</v>
      </c>
      <c r="HT149" s="142">
        <f t="shared" si="768"/>
        <v>0</v>
      </c>
      <c r="HU149" s="142">
        <f t="shared" si="768"/>
        <v>0</v>
      </c>
      <c r="HV149" s="142">
        <f t="shared" si="768"/>
        <v>0</v>
      </c>
      <c r="HW149" s="142">
        <f t="shared" si="768"/>
        <v>0</v>
      </c>
      <c r="HX149" s="142">
        <f t="shared" si="768"/>
        <v>0</v>
      </c>
      <c r="HY149" s="142">
        <f t="shared" si="768"/>
        <v>0</v>
      </c>
      <c r="HZ149" s="142">
        <f t="shared" si="768"/>
        <v>0</v>
      </c>
      <c r="IA149" s="142">
        <f t="shared" si="768"/>
        <v>0</v>
      </c>
      <c r="IB149" s="142">
        <f t="shared" si="768"/>
        <v>0</v>
      </c>
      <c r="IC149" s="142">
        <f t="shared" si="768"/>
        <v>0</v>
      </c>
      <c r="ID149" s="142">
        <f t="shared" si="768"/>
        <v>0</v>
      </c>
      <c r="IE149" s="142">
        <f t="shared" si="768"/>
        <v>0</v>
      </c>
      <c r="IF149" s="142">
        <f t="shared" si="768"/>
        <v>0</v>
      </c>
      <c r="IG149" s="142">
        <f t="shared" si="768"/>
        <v>0</v>
      </c>
      <c r="IH149" s="142">
        <f t="shared" si="768"/>
        <v>0</v>
      </c>
      <c r="II149" s="142">
        <f t="shared" si="768"/>
        <v>0</v>
      </c>
      <c r="IJ149" s="142">
        <f t="shared" si="768"/>
        <v>0</v>
      </c>
      <c r="IK149" s="142">
        <f t="shared" si="768"/>
        <v>0</v>
      </c>
      <c r="IL149" s="142">
        <f t="shared" si="768"/>
        <v>0</v>
      </c>
      <c r="IM149" s="142">
        <f t="shared" si="768"/>
        <v>0</v>
      </c>
      <c r="IN149" s="142">
        <f t="shared" si="768"/>
        <v>0</v>
      </c>
      <c r="IO149" s="142">
        <f t="shared" si="768"/>
        <v>0</v>
      </c>
      <c r="IP149" s="142">
        <f t="shared" si="768"/>
        <v>0</v>
      </c>
      <c r="IQ149" s="141">
        <f>IF(ISBLANK($A149),,IF($AN149="Não",0,(SUM($AO149:AO149)*$AH149)-SUM($HM149:HM149)-SUM($CW149:CW149)))</f>
        <v>0</v>
      </c>
      <c r="IR149" s="141">
        <f>IF(ISBLANK($A149),,IF($AN149="Não",0,(SUM($AO149:AP149)*$AH149)-SUM($HM149:HN149)-SUM($CW149:CX149)))</f>
        <v>0</v>
      </c>
      <c r="IS149" s="141">
        <f>IF(ISBLANK($A149),,IF($AN149="Não",0,(SUM($AO149:AQ149)*$AH149)-SUM($HM149:HO149)-SUM($CW149:CY149)))</f>
        <v>0</v>
      </c>
      <c r="IT149" s="141">
        <f>IF(ISBLANK($A149),,IF($AN149="Não",0,(SUM($AO149:AR149)*$AH149)-SUM($HM149:HP149)-SUM($CW149:CZ149)))</f>
        <v>0</v>
      </c>
      <c r="IU149" s="141">
        <f>IF(ISBLANK($A149),,IF($AN149="Não",0,(SUM($AO149:AS149)*$AH149)-SUM($HM149:HQ149)-SUM($CW149:DA149)))</f>
        <v>0</v>
      </c>
      <c r="IV149" s="141">
        <f>IF(ISBLANK($A149),,IF($AN149="Não",0,(SUM($AO149:AT149)*$AH149)-SUM($HM149:HR149)-SUM($CW149:DB149)))</f>
        <v>0</v>
      </c>
      <c r="IW149" s="141">
        <f>IF(ISBLANK($A149),,IF($AN149="Não",0,(SUM($AO149:AU149)*$AH149)-SUM($HM149:HS149)-SUM($CW149:DC149)))</f>
        <v>0</v>
      </c>
      <c r="IX149" s="141">
        <f>IF(ISBLANK($A149),,IF($AN149="Não",0,(SUM($AO149:AV149)*$AH149)-SUM($HM149:HT149)-SUM($CW149:DD149)))</f>
        <v>0</v>
      </c>
      <c r="IY149" s="141">
        <f>IF(ISBLANK($A149),,IF($AN149="Não",0,(SUM($AO149:AW149)*$AH149)-SUM($HM149:HU149)-SUM($CW149:DE149)))</f>
        <v>0</v>
      </c>
      <c r="IZ149" s="141">
        <f>IF(ISBLANK($A149),,IF($AN149="Não",0,(SUM($AO149:AX149)*$AH149)-SUM($HM149:HV149)-SUM($CW149:DF149)))</f>
        <v>0</v>
      </c>
      <c r="JA149" s="141">
        <f>IF(ISBLANK($A149),,IF($AN149="Não",0,(SUM($AO149:AY149)*$AH149)-SUM($HM149:HW149)-SUM($CW149:DG149)))</f>
        <v>0</v>
      </c>
      <c r="JB149" s="141">
        <f>IF(ISBLANK($A149),,IF($AN149="Não",0,(SUM($AO149:AZ149)*$AH149)-SUM($HM149:HX149)-SUM($CW149:DH149)))</f>
        <v>0</v>
      </c>
      <c r="JC149" s="141">
        <f>IF(ISBLANK($A149),,IF($AN149="Não",0,(SUM($AO149:BA149)*$AH149)-SUM($HM149:HY149)-SUM($CW149:DI149)))</f>
        <v>0</v>
      </c>
      <c r="JD149" s="141">
        <f>IF(ISBLANK($A149),,IF($AN149="Não",0,(SUM($AO149:BB149)*$AH149)-SUM($HM149:HZ149)-SUM($CW149:DJ149)))</f>
        <v>0</v>
      </c>
      <c r="JE149" s="141">
        <f>IF(ISBLANK($A149),,IF($AN149="Não",0,(SUM($AO149:BC149)*$AH149)-SUM($HM149:IA149)-SUM($CW149:DK149)))</f>
        <v>0</v>
      </c>
      <c r="JF149" s="141">
        <f>IF(ISBLANK($A149),,IF($AN149="Não",0,(SUM($AO149:BD149)*$AH149)-SUM($HM149:IB149)-SUM($CW149:DL149)))</f>
        <v>0</v>
      </c>
      <c r="JG149" s="141">
        <f>IF(ISBLANK($A149),,IF($AN149="Não",0,(SUM($AO149:BE149)*$AH149)-SUM($HM149:IC149)-SUM($CW149:DM149)))</f>
        <v>0</v>
      </c>
      <c r="JH149" s="141">
        <f>IF(ISBLANK($A149),,IF($AN149="Não",0,(SUM($AO149:BF149)*$AH149)-SUM($HM149:ID149)-SUM($CW149:DN149)))</f>
        <v>0</v>
      </c>
      <c r="JI149" s="141">
        <f>IF(ISBLANK($A149),,IF($AN149="Não",0,(SUM($AO149:BG149)*$AH149)-SUM($HM149:IE149)-SUM($CW149:DO149)))</f>
        <v>0</v>
      </c>
      <c r="JJ149" s="141">
        <f>IF(ISBLANK($A149),,IF($AN149="Não",0,(SUM($AO149:BH149)*$AH149)-SUM($HM149:IF149)-SUM($CW149:DP149)))</f>
        <v>0</v>
      </c>
      <c r="JK149" s="141">
        <f>IF(ISBLANK($A149),,IF($AN149="Não",0,(SUM($AO149:BI149)*$AH149)-SUM($HM149:IG149)-SUM($CW149:DQ149)))</f>
        <v>0</v>
      </c>
      <c r="JL149" s="141">
        <f>IF(ISBLANK($A149),,IF($AN149="Não",0,(SUM($AO149:BJ149)*$AH149)-SUM($HM149:IH149)-SUM($CW149:DR149)))</f>
        <v>0</v>
      </c>
      <c r="JM149" s="141">
        <f>IF(ISBLANK($A149),,IF($AN149="Não",0,(SUM($AO149:BK149)*$AH149)-SUM($HM149:II149)-SUM($CW149:DS149)))</f>
        <v>0</v>
      </c>
      <c r="JN149" s="141">
        <f>IF(ISBLANK($A149),,IF($AN149="Não",0,(SUM($AO149:BL149)*$AH149)-SUM($HM149:IJ149)-SUM($CW149:DT149)))</f>
        <v>0</v>
      </c>
      <c r="JO149" s="141">
        <f>IF(ISBLANK($A149),,IF($AN149="Não",0,(SUM($AO149:BM149)*$AH149)-SUM($HM149:IK149)-SUM($CW149:DU149)))</f>
        <v>0</v>
      </c>
      <c r="JP149" s="141">
        <f>IF(ISBLANK($A149),,IF($AN149="Não",0,(SUM($AO149:BN149)*$AH149)-SUM($HM149:IL149)-SUM($CW149:DV149)))</f>
        <v>0</v>
      </c>
      <c r="JQ149" s="141">
        <f>IF(ISBLANK($A149),,IF($AN149="Não",0,(SUM($AO149:BO149)*$AH149)-SUM($HM149:IM149)-SUM($CW149:DW149)))</f>
        <v>0</v>
      </c>
      <c r="JR149" s="141">
        <f>IF(ISBLANK($A149),,IF($AN149="Não",0,(SUM($AO149:BP149)*$AH149)-SUM($HM149:IN149)-SUM($CW149:DX149)))</f>
        <v>0</v>
      </c>
      <c r="JS149" s="141">
        <f>IF(ISBLANK($A149),,IF($AN149="Não",0,(SUM($AO149:BQ149)*$AH149)-SUM($HM149:IO149)-SUM($CW149:DY149)))</f>
        <v>0</v>
      </c>
      <c r="JT149" s="141">
        <f>IF(ISBLANK($A149),,IF($AN149="Não",0,(SUM($AO149:BR149)*$AH149)-SUM($HM149:IP149)-SUM($CW149:DZ149)))</f>
        <v>0</v>
      </c>
    </row>
    <row r="150" spans="1:280" ht="15.75" customHeight="1">
      <c r="A150" s="129"/>
      <c r="B150" s="129"/>
      <c r="C150" s="138"/>
      <c r="D150" s="139"/>
      <c r="E150" s="139"/>
      <c r="F150" s="139"/>
      <c r="G150" s="139"/>
      <c r="H150" s="139"/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607">
        <f t="shared" si="710"/>
        <v>0</v>
      </c>
      <c r="AI150" s="608">
        <f t="shared" si="711"/>
        <v>0</v>
      </c>
      <c r="AJ150" s="609">
        <f t="shared" si="712"/>
        <v>0</v>
      </c>
      <c r="AK150" s="610" t="str">
        <f t="shared" si="713"/>
        <v/>
      </c>
      <c r="AL150" s="609">
        <f t="shared" si="714"/>
        <v>0</v>
      </c>
      <c r="AM150" s="611" t="str">
        <f t="shared" si="715"/>
        <v/>
      </c>
      <c r="AN150" s="611" t="str">
        <f t="shared" si="716"/>
        <v/>
      </c>
      <c r="AO150" s="140">
        <f t="array" ref="AO150">IF(ISBLANK($A150),0,IF(OR(AO$5-$AI150&lt;=0,$AM150="Não"),D150,D150+INDEX($AO$6:$BR$176,ROW()-5,COLUMN()-40-$AI150)))*IF($B150="Operacional",IFERROR(VLOOKUP($C150,SN_UGC,28,0),0),1)</f>
        <v>0</v>
      </c>
      <c r="AP150" s="140">
        <f t="array" ref="AP150">IF(ISBLANK($A150),0,IF(OR(AP$5-$AI150&lt;=0,$AM150="Não"),E150,E150+INDEX($AO$6:$BR$176,ROW()-5,COLUMN()-40-$AI150)))*IF($B150="Operacional",IFERROR(VLOOKUP($C150,SN_UGC,28,0),0),1)</f>
        <v>0</v>
      </c>
      <c r="AQ150" s="140">
        <f t="array" ref="AQ150">IF(ISBLANK($A150),0,IF(OR(AQ$5-$AI150&lt;=0,$AM150="Não"),F150,F150+INDEX($AO$6:$BR$176,ROW()-5,COLUMN()-40-$AI150)))*IF($B150="Operacional",IFERROR(VLOOKUP($C150,SN_UGC,28,0),0),1)</f>
        <v>0</v>
      </c>
      <c r="AR150" s="140">
        <f t="array" ref="AR150">IF(ISBLANK($A150),0,IF(OR(AR$5-$AI150&lt;=0,$AM150="Não"),G150,G150+INDEX($AO$6:$BR$176,ROW()-5,COLUMN()-40-$AI150)))*IF($B150="Operacional",IFERROR(VLOOKUP($C150,SN_UGC,28,0),0),1)</f>
        <v>0</v>
      </c>
      <c r="AS150" s="140">
        <f t="array" ref="AS150">IF(ISBLANK($A150),0,IF(OR(AS$5-$AI150&lt;=0,$AM150="Não"),H150,H150+INDEX($AO$6:$BR$176,ROW()-5,COLUMN()-40-$AI150)))*IF($B150="Operacional",IFERROR(VLOOKUP($C150,SN_UGC,28,0),0),1)</f>
        <v>0</v>
      </c>
      <c r="AT150" s="140">
        <f t="array" ref="AT150">IF(ISBLANK($A150),0,IF(OR(AT$5-$AI150&lt;=0,$AM150="Não"),I150,I150+INDEX($AO$6:$BR$176,ROW()-5,COLUMN()-40-$AI150)))*IF($B150="Operacional",IFERROR(VLOOKUP($C150,SN_UGC,28,0),0),1)</f>
        <v>0</v>
      </c>
      <c r="AU150" s="140">
        <f t="array" ref="AU150">IF(ISBLANK($A150),0,IF(OR(AU$5-$AI150&lt;=0,$AM150="Não"),J150,J150+INDEX($AO$6:$BR$176,ROW()-5,COLUMN()-40-$AI150)))*IF($B150="Operacional",IFERROR(VLOOKUP($C150,SN_UGC,28,0),0),1)</f>
        <v>0</v>
      </c>
      <c r="AV150" s="140">
        <f t="array" ref="AV150">IF(ISBLANK($A150),0,IF(OR(AV$5-$AI150&lt;=0,$AM150="Não"),K150,K150+INDEX($AO$6:$BR$176,ROW()-5,COLUMN()-40-$AI150)))*IF($B150="Operacional",IFERROR(VLOOKUP($C150,SN_UGC,28,0),0),1)</f>
        <v>0</v>
      </c>
      <c r="AW150" s="140">
        <f t="array" ref="AW150">IF(ISBLANK($A150),0,IF(OR(AW$5-$AI150&lt;=0,$AM150="Não"),L150,L150+INDEX($AO$6:$BR$176,ROW()-5,COLUMN()-40-$AI150)))*IF($B150="Operacional",IFERROR(VLOOKUP($C150,SN_UGC,28,0),0),1)</f>
        <v>0</v>
      </c>
      <c r="AX150" s="140">
        <f t="array" ref="AX150">IF(ISBLANK($A150),0,IF(OR(AX$5-$AI150&lt;=0,$AM150="Não"),M150,M150+INDEX($AO$6:$BR$176,ROW()-5,COLUMN()-40-$AI150)))*IF($B150="Operacional",IFERROR(VLOOKUP($C150,SN_UGC,28,0),0),1)</f>
        <v>0</v>
      </c>
      <c r="AY150" s="140">
        <f t="array" ref="AY150">IF(ISBLANK($A150),0,IF(OR(AY$5-$AI150&lt;=0,$AM150="Não"),N150,N150+INDEX($AO$6:$BR$176,ROW()-5,COLUMN()-40-$AI150)))*IF($B150="Operacional",IFERROR(VLOOKUP($C150,SN_UGC,28,0),0),1)</f>
        <v>0</v>
      </c>
      <c r="AZ150" s="140">
        <f t="array" ref="AZ150">IF(ISBLANK($A150),0,IF(OR(AZ$5-$AI150&lt;=0,$AM150="Não"),O150,O150+INDEX($AO$6:$BR$176,ROW()-5,COLUMN()-40-$AI150)))*IF($B150="Operacional",IFERROR(VLOOKUP($C150,SN_UGC,28,0),0),1)</f>
        <v>0</v>
      </c>
      <c r="BA150" s="140">
        <f t="array" ref="BA150">IF(ISBLANK($A150),0,IF(OR(BA$5-$AI150&lt;=0,$AM150="Não"),P150,P150+INDEX($AO$6:$BR$176,ROW()-5,COLUMN()-40-$AI150)))*IF($B150="Operacional",IFERROR(VLOOKUP($C150,SN_UGC,28,0),0),1)</f>
        <v>0</v>
      </c>
      <c r="BB150" s="140">
        <f t="array" ref="BB150">IF(ISBLANK($A150),0,IF(OR(BB$5-$AI150&lt;=0,$AM150="Não"),Q150,Q150+INDEX($AO$6:$BR$176,ROW()-5,COLUMN()-40-$AI150)))*IF($B150="Operacional",IFERROR(VLOOKUP($C150,SN_UGC,28,0),0),1)</f>
        <v>0</v>
      </c>
      <c r="BC150" s="140">
        <f t="array" ref="BC150">IF(ISBLANK($A150),0,IF(OR(BC$5-$AI150&lt;=0,$AM150="Não"),R150,R150+INDEX($AO$6:$BR$176,ROW()-5,COLUMN()-40-$AI150)))*IF($B150="Operacional",IFERROR(VLOOKUP($C150,SN_UGC,28,0),0),1)</f>
        <v>0</v>
      </c>
      <c r="BD150" s="140">
        <f t="array" ref="BD150">IF(ISBLANK($A150),0,IF(OR(BD$5-$AI150&lt;=0,$AM150="Não"),S150,S150+INDEX($AO$6:$BR$176,ROW()-5,COLUMN()-40-$AI150)))*IF($B150="Operacional",IFERROR(VLOOKUP($C150,SN_UGC,28,0),0),1)</f>
        <v>0</v>
      </c>
      <c r="BE150" s="140">
        <f t="array" ref="BE150">IF(ISBLANK($A150),0,IF(OR(BE$5-$AI150&lt;=0,$AM150="Não"),T150,T150+INDEX($AO$6:$BR$176,ROW()-5,COLUMN()-40-$AI150)))*IF($B150="Operacional",IFERROR(VLOOKUP($C150,SN_UGC,28,0),0),1)</f>
        <v>0</v>
      </c>
      <c r="BF150" s="140">
        <f t="array" ref="BF150">IF(ISBLANK($A150),0,IF(OR(BF$5-$AI150&lt;=0,$AM150="Não"),U150,U150+INDEX($AO$6:$BR$176,ROW()-5,COLUMN()-40-$AI150)))*IF($B150="Operacional",IFERROR(VLOOKUP($C150,SN_UGC,28,0),0),1)</f>
        <v>0</v>
      </c>
      <c r="BG150" s="140">
        <f t="array" ref="BG150">IF(ISBLANK($A150),0,IF(OR(BG$5-$AI150&lt;=0,$AM150="Não"),V150,V150+INDEX($AO$6:$BR$176,ROW()-5,COLUMN()-40-$AI150)))*IF($B150="Operacional",IFERROR(VLOOKUP($C150,SN_UGC,28,0),0),1)</f>
        <v>0</v>
      </c>
      <c r="BH150" s="140">
        <f t="array" ref="BH150">IF(ISBLANK($A150),0,IF(OR(BH$5-$AI150&lt;=0,$AM150="Não"),W150,W150+INDEX($AO$6:$BR$176,ROW()-5,COLUMN()-40-$AI150)))*IF($B150="Operacional",IFERROR(VLOOKUP($C150,SN_UGC,28,0),0),1)</f>
        <v>0</v>
      </c>
      <c r="BI150" s="140">
        <f t="array" ref="BI150">IF(ISBLANK($A150),0,IF(OR(BI$5-$AI150&lt;=0,$AM150="Não"),X150,X150+INDEX($AO$6:$BR$176,ROW()-5,COLUMN()-40-$AI150)))*IF($B150="Operacional",IFERROR(VLOOKUP($C150,SN_UGC,28,0),0),1)</f>
        <v>0</v>
      </c>
      <c r="BJ150" s="140">
        <f t="array" ref="BJ150">IF(ISBLANK($A150),0,IF(OR(BJ$5-$AI150&lt;=0,$AM150="Não"),Y150,Y150+INDEX($AO$6:$BR$176,ROW()-5,COLUMN()-40-$AI150)))*IF($B150="Operacional",IFERROR(VLOOKUP($C150,SN_UGC,28,0),0),1)</f>
        <v>0</v>
      </c>
      <c r="BK150" s="140">
        <f t="array" ref="BK150">IF(ISBLANK($A150),0,IF(OR(BK$5-$AI150&lt;=0,$AM150="Não"),Z150,Z150+INDEX($AO$6:$BR$176,ROW()-5,COLUMN()-40-$AI150)))*IF($B150="Operacional",IFERROR(VLOOKUP($C150,SN_UGC,28,0),0),1)</f>
        <v>0</v>
      </c>
      <c r="BL150" s="140">
        <f t="array" ref="BL150">IF(ISBLANK($A150),0,IF(OR(BL$5-$AI150&lt;=0,$AM150="Não"),AA150,AA150+INDEX($AO$6:$BR$176,ROW()-5,COLUMN()-40-$AI150)))*IF($B150="Operacional",IFERROR(VLOOKUP($C150,SN_UGC,28,0),0),1)</f>
        <v>0</v>
      </c>
      <c r="BM150" s="140">
        <f t="array" ref="BM150">IF(ISBLANK($A150),0,IF(OR(BM$5-$AI150&lt;=0,$AM150="Não"),AB150,AB150+INDEX($AO$6:$BR$176,ROW()-5,COLUMN()-40-$AI150)))*IF($B150="Operacional",IFERROR(VLOOKUP($C150,SN_UGC,28,0),0),1)</f>
        <v>0</v>
      </c>
      <c r="BN150" s="140">
        <f t="array" ref="BN150">IF(ISBLANK($A150),0,IF(OR(BN$5-$AI150&lt;=0,$AM150="Não"),AC150,AC150+INDEX($AO$6:$BR$176,ROW()-5,COLUMN()-40-$AI150)))*IF($B150="Operacional",IFERROR(VLOOKUP($C150,SN_UGC,28,0),0),1)</f>
        <v>0</v>
      </c>
      <c r="BO150" s="140">
        <f t="array" ref="BO150">IF(ISBLANK($A150),0,IF(OR(BO$5-$AI150&lt;=0,$AM150="Não"),AD150,AD150+INDEX($AO$6:$BR$176,ROW()-5,COLUMN()-40-$AI150)))*IF($B150="Operacional",IFERROR(VLOOKUP($C150,SN_UGC,28,0),0),1)</f>
        <v>0</v>
      </c>
      <c r="BP150" s="140">
        <f t="array" ref="BP150">IF(ISBLANK($A150),0,IF(OR(BP$5-$AI150&lt;=0,$AM150="Não"),AE150,AE150+INDEX($AO$6:$BR$176,ROW()-5,COLUMN()-40-$AI150)))*IF($B150="Operacional",IFERROR(VLOOKUP($C150,SN_UGC,28,0),0),1)</f>
        <v>0</v>
      </c>
      <c r="BQ150" s="140">
        <f t="array" ref="BQ150">IF(ISBLANK($A150),0,IF(OR(BQ$5-$AI150&lt;=0,$AM150="Não"),AF150,AF150+INDEX($AO$6:$BR$176,ROW()-5,COLUMN()-40-$AI150)))*IF($B150="Operacional",IFERROR(VLOOKUP($C150,SN_UGC,28,0),0),1)</f>
        <v>0</v>
      </c>
      <c r="BR150" s="140">
        <f t="array" ref="BR150">IF(ISBLANK($A150),0,IF(OR(BR$5-$AI150&lt;=0,$AM150="Não"),AG150,AG150+INDEX($AO$6:$BR$176,ROW()-5,COLUMN()-40-$AI150)))*IF($B150="Operacional",IFERROR(VLOOKUP($C150,SN_UGC,28,0),0),1)</f>
        <v>0</v>
      </c>
      <c r="BS150" s="141">
        <f t="shared" ref="BS150:CV150" si="769">IF(ISBLANK($A150),0,$AH150*AO150)</f>
        <v>0</v>
      </c>
      <c r="BT150" s="141">
        <f t="shared" si="769"/>
        <v>0</v>
      </c>
      <c r="BU150" s="141">
        <f t="shared" si="769"/>
        <v>0</v>
      </c>
      <c r="BV150" s="141">
        <f t="shared" si="769"/>
        <v>0</v>
      </c>
      <c r="BW150" s="141">
        <f t="shared" si="769"/>
        <v>0</v>
      </c>
      <c r="BX150" s="141">
        <f t="shared" si="769"/>
        <v>0</v>
      </c>
      <c r="BY150" s="141">
        <f t="shared" si="769"/>
        <v>0</v>
      </c>
      <c r="BZ150" s="141">
        <f t="shared" si="769"/>
        <v>0</v>
      </c>
      <c r="CA150" s="141">
        <f t="shared" si="769"/>
        <v>0</v>
      </c>
      <c r="CB150" s="141">
        <f t="shared" si="769"/>
        <v>0</v>
      </c>
      <c r="CC150" s="141">
        <f t="shared" si="769"/>
        <v>0</v>
      </c>
      <c r="CD150" s="141">
        <f t="shared" si="769"/>
        <v>0</v>
      </c>
      <c r="CE150" s="141">
        <f t="shared" si="769"/>
        <v>0</v>
      </c>
      <c r="CF150" s="141">
        <f t="shared" si="769"/>
        <v>0</v>
      </c>
      <c r="CG150" s="141">
        <f t="shared" si="769"/>
        <v>0</v>
      </c>
      <c r="CH150" s="141">
        <f t="shared" si="769"/>
        <v>0</v>
      </c>
      <c r="CI150" s="141">
        <f t="shared" si="769"/>
        <v>0</v>
      </c>
      <c r="CJ150" s="141">
        <f t="shared" si="769"/>
        <v>0</v>
      </c>
      <c r="CK150" s="141">
        <f t="shared" si="769"/>
        <v>0</v>
      </c>
      <c r="CL150" s="141">
        <f t="shared" si="769"/>
        <v>0</v>
      </c>
      <c r="CM150" s="141">
        <f t="shared" si="769"/>
        <v>0</v>
      </c>
      <c r="CN150" s="141">
        <f t="shared" si="769"/>
        <v>0</v>
      </c>
      <c r="CO150" s="141">
        <f t="shared" si="769"/>
        <v>0</v>
      </c>
      <c r="CP150" s="141">
        <f t="shared" si="769"/>
        <v>0</v>
      </c>
      <c r="CQ150" s="141">
        <f t="shared" si="769"/>
        <v>0</v>
      </c>
      <c r="CR150" s="141">
        <f t="shared" si="769"/>
        <v>0</v>
      </c>
      <c r="CS150" s="141">
        <f t="shared" si="769"/>
        <v>0</v>
      </c>
      <c r="CT150" s="141">
        <f t="shared" si="769"/>
        <v>0</v>
      </c>
      <c r="CU150" s="141">
        <f t="shared" si="769"/>
        <v>0</v>
      </c>
      <c r="CV150" s="141">
        <f t="shared" si="769"/>
        <v>0</v>
      </c>
      <c r="CW150" s="142">
        <f t="shared" ref="CW150:DZ150" si="770">EA150*$AH150*$AJ150</f>
        <v>0</v>
      </c>
      <c r="CX150" s="142">
        <f t="shared" si="770"/>
        <v>0</v>
      </c>
      <c r="CY150" s="142">
        <f t="shared" si="770"/>
        <v>0</v>
      </c>
      <c r="CZ150" s="142">
        <f t="shared" si="770"/>
        <v>0</v>
      </c>
      <c r="DA150" s="142">
        <f t="shared" si="770"/>
        <v>0</v>
      </c>
      <c r="DB150" s="142">
        <f t="shared" si="770"/>
        <v>0</v>
      </c>
      <c r="DC150" s="142">
        <f t="shared" si="770"/>
        <v>0</v>
      </c>
      <c r="DD150" s="142">
        <f t="shared" si="770"/>
        <v>0</v>
      </c>
      <c r="DE150" s="142">
        <f t="shared" si="770"/>
        <v>0</v>
      </c>
      <c r="DF150" s="142">
        <f t="shared" si="770"/>
        <v>0</v>
      </c>
      <c r="DG150" s="142">
        <f t="shared" si="770"/>
        <v>0</v>
      </c>
      <c r="DH150" s="142">
        <f t="shared" si="770"/>
        <v>0</v>
      </c>
      <c r="DI150" s="142">
        <f t="shared" si="770"/>
        <v>0</v>
      </c>
      <c r="DJ150" s="142">
        <f t="shared" si="770"/>
        <v>0</v>
      </c>
      <c r="DK150" s="142">
        <f t="shared" si="770"/>
        <v>0</v>
      </c>
      <c r="DL150" s="142">
        <f t="shared" si="770"/>
        <v>0</v>
      </c>
      <c r="DM150" s="142">
        <f t="shared" si="770"/>
        <v>0</v>
      </c>
      <c r="DN150" s="142">
        <f t="shared" si="770"/>
        <v>0</v>
      </c>
      <c r="DO150" s="142">
        <f t="shared" si="770"/>
        <v>0</v>
      </c>
      <c r="DP150" s="142">
        <f t="shared" si="770"/>
        <v>0</v>
      </c>
      <c r="DQ150" s="142">
        <f t="shared" si="770"/>
        <v>0</v>
      </c>
      <c r="DR150" s="142">
        <f t="shared" si="770"/>
        <v>0</v>
      </c>
      <c r="DS150" s="142">
        <f t="shared" si="770"/>
        <v>0</v>
      </c>
      <c r="DT150" s="142">
        <f t="shared" si="770"/>
        <v>0</v>
      </c>
      <c r="DU150" s="142">
        <f t="shared" si="770"/>
        <v>0</v>
      </c>
      <c r="DV150" s="142">
        <f t="shared" si="770"/>
        <v>0</v>
      </c>
      <c r="DW150" s="142">
        <f t="shared" si="770"/>
        <v>0</v>
      </c>
      <c r="DX150" s="142">
        <f t="shared" si="770"/>
        <v>0</v>
      </c>
      <c r="DY150" s="142">
        <f t="shared" si="770"/>
        <v>0</v>
      </c>
      <c r="DZ150" s="142">
        <f t="shared" si="770"/>
        <v>0</v>
      </c>
      <c r="EA150" s="143">
        <f t="shared" si="670"/>
        <v>0</v>
      </c>
      <c r="EB150" s="143">
        <f t="shared" si="671"/>
        <v>0</v>
      </c>
      <c r="EC150" s="143">
        <f t="shared" si="672"/>
        <v>0</v>
      </c>
      <c r="ED150" s="143">
        <f t="shared" si="673"/>
        <v>0</v>
      </c>
      <c r="EE150" s="143">
        <f t="shared" si="674"/>
        <v>0</v>
      </c>
      <c r="EF150" s="143">
        <f t="shared" si="675"/>
        <v>0</v>
      </c>
      <c r="EG150" s="143">
        <f t="shared" si="676"/>
        <v>0</v>
      </c>
      <c r="EH150" s="143">
        <f t="shared" si="677"/>
        <v>0</v>
      </c>
      <c r="EI150" s="143">
        <f t="shared" si="678"/>
        <v>0</v>
      </c>
      <c r="EJ150" s="143">
        <f t="shared" si="679"/>
        <v>0</v>
      </c>
      <c r="EK150" s="143">
        <f t="shared" si="680"/>
        <v>0</v>
      </c>
      <c r="EL150" s="143">
        <f t="shared" si="681"/>
        <v>0</v>
      </c>
      <c r="EM150" s="143">
        <f t="shared" si="682"/>
        <v>0</v>
      </c>
      <c r="EN150" s="143">
        <f t="shared" si="683"/>
        <v>0</v>
      </c>
      <c r="EO150" s="143">
        <f t="shared" si="684"/>
        <v>0</v>
      </c>
      <c r="EP150" s="143">
        <f t="shared" si="685"/>
        <v>0</v>
      </c>
      <c r="EQ150" s="143">
        <f t="shared" si="686"/>
        <v>0</v>
      </c>
      <c r="ER150" s="143">
        <f t="shared" si="687"/>
        <v>0</v>
      </c>
      <c r="ES150" s="143">
        <f t="shared" si="688"/>
        <v>0</v>
      </c>
      <c r="ET150" s="143">
        <f t="shared" si="689"/>
        <v>0</v>
      </c>
      <c r="EU150" s="143">
        <f t="shared" si="690"/>
        <v>0</v>
      </c>
      <c r="EV150" s="143">
        <f t="shared" si="691"/>
        <v>0</v>
      </c>
      <c r="EW150" s="143">
        <f t="shared" si="692"/>
        <v>0</v>
      </c>
      <c r="EX150" s="143">
        <f t="shared" si="693"/>
        <v>0</v>
      </c>
      <c r="EY150" s="143">
        <f t="shared" si="694"/>
        <v>0</v>
      </c>
      <c r="EZ150" s="143">
        <f t="shared" si="695"/>
        <v>0</v>
      </c>
      <c r="FA150" s="143">
        <f t="shared" si="696"/>
        <v>0</v>
      </c>
      <c r="FB150" s="143">
        <f t="shared" si="697"/>
        <v>0</v>
      </c>
      <c r="FC150" s="143">
        <f t="shared" si="698"/>
        <v>0</v>
      </c>
      <c r="FD150" s="143">
        <f t="shared" si="699"/>
        <v>0</v>
      </c>
      <c r="FE150" s="140">
        <f>SUM($D150:D150)*IF($B150="Operacional",IFERROR(VLOOKUP($C150,SN_UGC,28,0),0),1)</f>
        <v>0</v>
      </c>
      <c r="FF150" s="140">
        <f>SUM($D150:E150)*IF($B150="Operacional",IFERROR(VLOOKUP($C150,SN_UGC,28,0),0),1)</f>
        <v>0</v>
      </c>
      <c r="FG150" s="140">
        <f>SUM($D150:F150)*IF($B150="Operacional",IFERROR(VLOOKUP($C150,SN_UGC,28,0),0),1)</f>
        <v>0</v>
      </c>
      <c r="FH150" s="140">
        <f>SUM($D150:G150)*IF($B150="Operacional",IFERROR(VLOOKUP($C150,SN_UGC,28,0),0),1)</f>
        <v>0</v>
      </c>
      <c r="FI150" s="140">
        <f>SUM($D150:H150)*IF($B150="Operacional",IFERROR(VLOOKUP($C150,SN_UGC,28,0),0),1)</f>
        <v>0</v>
      </c>
      <c r="FJ150" s="140">
        <f>SUM($D150:I150)*IF($B150="Operacional",IFERROR(VLOOKUP($C150,SN_UGC,28,0),0),1)</f>
        <v>0</v>
      </c>
      <c r="FK150" s="140">
        <f>SUM($D150:J150)*IF($B150="Operacional",IFERROR(VLOOKUP($C150,SN_UGC,28,0),0),1)</f>
        <v>0</v>
      </c>
      <c r="FL150" s="140">
        <f>SUM($D150:K150)*IF($B150="Operacional",IFERROR(VLOOKUP($C150,SN_UGC,28,0),0),1)</f>
        <v>0</v>
      </c>
      <c r="FM150" s="140">
        <f>SUM($D150:L150)*IF($B150="Operacional",IFERROR(VLOOKUP($C150,SN_UGC,28,0),0),1)</f>
        <v>0</v>
      </c>
      <c r="FN150" s="140">
        <f>SUM($D150:M150)*IF($B150="Operacional",IFERROR(VLOOKUP($C150,SN_UGC,28,0),0),1)</f>
        <v>0</v>
      </c>
      <c r="FO150" s="140">
        <f>SUM($D150:N150)*IF($B150="Operacional",IFERROR(VLOOKUP($C150,SN_UGC,28,0),0),1)</f>
        <v>0</v>
      </c>
      <c r="FP150" s="140">
        <f>SUM($D150:O150)*IF($B150="Operacional",IFERROR(VLOOKUP($C150,SN_UGC,28,0),0),1)</f>
        <v>0</v>
      </c>
      <c r="FQ150" s="140">
        <f>SUM($D150:P150)*IF($B150="Operacional",IFERROR(VLOOKUP($C150,SN_UGC,28,0),0),1)</f>
        <v>0</v>
      </c>
      <c r="FR150" s="140">
        <f>SUM($D150:Q150)*IF($B150="Operacional",IFERROR(VLOOKUP($C150,SN_UGC,28,0),0),1)</f>
        <v>0</v>
      </c>
      <c r="FS150" s="140">
        <f>SUM($D150:R150)*IF($B150="Operacional",IFERROR(VLOOKUP($C150,SN_UGC,28,0),0),1)</f>
        <v>0</v>
      </c>
      <c r="FT150" s="140">
        <f>SUM($D150:S150)*IF($B150="Operacional",IFERROR(VLOOKUP($C150,SN_UGC,28,0),0),1)</f>
        <v>0</v>
      </c>
      <c r="FU150" s="140">
        <f>SUM($D150:T150)*IF($B150="Operacional",IFERROR(VLOOKUP($C150,SN_UGC,28,0),0),1)</f>
        <v>0</v>
      </c>
      <c r="FV150" s="140">
        <f>SUM($D150:U150)*IF($B150="Operacional",IFERROR(VLOOKUP($C150,SN_UGC,28,0),0),1)</f>
        <v>0</v>
      </c>
      <c r="FW150" s="140">
        <f>SUM($D150:V150)*IF($B150="Operacional",IFERROR(VLOOKUP($C150,SN_UGC,28,0),0),1)</f>
        <v>0</v>
      </c>
      <c r="FX150" s="140">
        <f>SUM($D150:W150)*IF($B150="Operacional",IFERROR(VLOOKUP($C150,SN_UGC,28,0),0),1)</f>
        <v>0</v>
      </c>
      <c r="FY150" s="140">
        <f>SUM($D150:X150)*IF($B150="Operacional",IFERROR(VLOOKUP($C150,SN_UGC,28,0),0),1)</f>
        <v>0</v>
      </c>
      <c r="FZ150" s="140">
        <f>SUM($D150:Y150)*IF($B150="Operacional",IFERROR(VLOOKUP($C150,SN_UGC,28,0),0),1)</f>
        <v>0</v>
      </c>
      <c r="GA150" s="140">
        <f>SUM($D150:Z150)*IF($B150="Operacional",IFERROR(VLOOKUP($C150,SN_UGC,28,0),0),1)</f>
        <v>0</v>
      </c>
      <c r="GB150" s="140">
        <f>SUM($D150:AA150)*IF($B150="Operacional",IFERROR(VLOOKUP($C150,SN_UGC,28,0),0),1)</f>
        <v>0</v>
      </c>
      <c r="GC150" s="140">
        <f>SUM($D150:AB150)*IF($B150="Operacional",IFERROR(VLOOKUP($C150,SN_UGC,28,0),0),1)</f>
        <v>0</v>
      </c>
      <c r="GD150" s="140">
        <f>SUM($D150:AC150)*IF($B150="Operacional",IFERROR(VLOOKUP($C150,SN_UGC,28,0),0),1)</f>
        <v>0</v>
      </c>
      <c r="GE150" s="140">
        <f>SUM($D150:AD150)*IF($B150="Operacional",IFERROR(VLOOKUP($C150,SN_UGC,28,0),0),1)</f>
        <v>0</v>
      </c>
      <c r="GF150" s="140">
        <f>SUM($D150:AE150)*IF($B150="Operacional",IFERROR(VLOOKUP($C150,SN_UGC,28,0),0),1)</f>
        <v>0</v>
      </c>
      <c r="GG150" s="140">
        <f>SUM($D150:AF150)*IF($B150="Operacional",IFERROR(VLOOKUP($C150,SN_UGC,28,0),0),1)</f>
        <v>0</v>
      </c>
      <c r="GH150" s="140">
        <f>SUM($D150:AG150)*IF($B150="Operacional",IFERROR(VLOOKUP($C150,SN_UGC,28,0),0),1)</f>
        <v>0</v>
      </c>
      <c r="GI150" s="141">
        <f t="shared" ref="GI150:HL150" si="771">FE150*$AH150*$AL150</f>
        <v>0</v>
      </c>
      <c r="GJ150" s="141">
        <f t="shared" si="771"/>
        <v>0</v>
      </c>
      <c r="GK150" s="141">
        <f t="shared" si="771"/>
        <v>0</v>
      </c>
      <c r="GL150" s="141">
        <f t="shared" si="771"/>
        <v>0</v>
      </c>
      <c r="GM150" s="141">
        <f t="shared" si="771"/>
        <v>0</v>
      </c>
      <c r="GN150" s="141">
        <f t="shared" si="771"/>
        <v>0</v>
      </c>
      <c r="GO150" s="141">
        <f t="shared" si="771"/>
        <v>0</v>
      </c>
      <c r="GP150" s="141">
        <f t="shared" si="771"/>
        <v>0</v>
      </c>
      <c r="GQ150" s="141">
        <f t="shared" si="771"/>
        <v>0</v>
      </c>
      <c r="GR150" s="141">
        <f t="shared" si="771"/>
        <v>0</v>
      </c>
      <c r="GS150" s="141">
        <f t="shared" si="771"/>
        <v>0</v>
      </c>
      <c r="GT150" s="141">
        <f t="shared" si="771"/>
        <v>0</v>
      </c>
      <c r="GU150" s="141">
        <f t="shared" si="771"/>
        <v>0</v>
      </c>
      <c r="GV150" s="141">
        <f t="shared" si="771"/>
        <v>0</v>
      </c>
      <c r="GW150" s="141">
        <f t="shared" si="771"/>
        <v>0</v>
      </c>
      <c r="GX150" s="141">
        <f t="shared" si="771"/>
        <v>0</v>
      </c>
      <c r="GY150" s="141">
        <f t="shared" si="771"/>
        <v>0</v>
      </c>
      <c r="GZ150" s="141">
        <f t="shared" si="771"/>
        <v>0</v>
      </c>
      <c r="HA150" s="141">
        <f t="shared" si="771"/>
        <v>0</v>
      </c>
      <c r="HB150" s="141">
        <f t="shared" si="771"/>
        <v>0</v>
      </c>
      <c r="HC150" s="141">
        <f t="shared" si="771"/>
        <v>0</v>
      </c>
      <c r="HD150" s="141">
        <f t="shared" si="771"/>
        <v>0</v>
      </c>
      <c r="HE150" s="141">
        <f t="shared" si="771"/>
        <v>0</v>
      </c>
      <c r="HF150" s="141">
        <f t="shared" si="771"/>
        <v>0</v>
      </c>
      <c r="HG150" s="141">
        <f t="shared" si="771"/>
        <v>0</v>
      </c>
      <c r="HH150" s="141">
        <f t="shared" si="771"/>
        <v>0</v>
      </c>
      <c r="HI150" s="141">
        <f t="shared" si="771"/>
        <v>0</v>
      </c>
      <c r="HJ150" s="141">
        <f t="shared" si="771"/>
        <v>0</v>
      </c>
      <c r="HK150" s="141">
        <f t="shared" si="771"/>
        <v>0</v>
      </c>
      <c r="HL150" s="141">
        <f t="shared" si="771"/>
        <v>0</v>
      </c>
      <c r="HM150" s="142">
        <f t="shared" ref="HM150:IP150" si="772">IF(ISBLANK($A150),,FE150*($AH150-($AH150*$AJ150))/$AI150)</f>
        <v>0</v>
      </c>
      <c r="HN150" s="142">
        <f t="shared" si="772"/>
        <v>0</v>
      </c>
      <c r="HO150" s="142">
        <f t="shared" si="772"/>
        <v>0</v>
      </c>
      <c r="HP150" s="142">
        <f t="shared" si="772"/>
        <v>0</v>
      </c>
      <c r="HQ150" s="142">
        <f t="shared" si="772"/>
        <v>0</v>
      </c>
      <c r="HR150" s="142">
        <f t="shared" si="772"/>
        <v>0</v>
      </c>
      <c r="HS150" s="142">
        <f t="shared" si="772"/>
        <v>0</v>
      </c>
      <c r="HT150" s="142">
        <f t="shared" si="772"/>
        <v>0</v>
      </c>
      <c r="HU150" s="142">
        <f t="shared" si="772"/>
        <v>0</v>
      </c>
      <c r="HV150" s="142">
        <f t="shared" si="772"/>
        <v>0</v>
      </c>
      <c r="HW150" s="142">
        <f t="shared" si="772"/>
        <v>0</v>
      </c>
      <c r="HX150" s="142">
        <f t="shared" si="772"/>
        <v>0</v>
      </c>
      <c r="HY150" s="142">
        <f t="shared" si="772"/>
        <v>0</v>
      </c>
      <c r="HZ150" s="142">
        <f t="shared" si="772"/>
        <v>0</v>
      </c>
      <c r="IA150" s="142">
        <f t="shared" si="772"/>
        <v>0</v>
      </c>
      <c r="IB150" s="142">
        <f t="shared" si="772"/>
        <v>0</v>
      </c>
      <c r="IC150" s="142">
        <f t="shared" si="772"/>
        <v>0</v>
      </c>
      <c r="ID150" s="142">
        <f t="shared" si="772"/>
        <v>0</v>
      </c>
      <c r="IE150" s="142">
        <f t="shared" si="772"/>
        <v>0</v>
      </c>
      <c r="IF150" s="142">
        <f t="shared" si="772"/>
        <v>0</v>
      </c>
      <c r="IG150" s="142">
        <f t="shared" si="772"/>
        <v>0</v>
      </c>
      <c r="IH150" s="142">
        <f t="shared" si="772"/>
        <v>0</v>
      </c>
      <c r="II150" s="142">
        <f t="shared" si="772"/>
        <v>0</v>
      </c>
      <c r="IJ150" s="142">
        <f t="shared" si="772"/>
        <v>0</v>
      </c>
      <c r="IK150" s="142">
        <f t="shared" si="772"/>
        <v>0</v>
      </c>
      <c r="IL150" s="142">
        <f t="shared" si="772"/>
        <v>0</v>
      </c>
      <c r="IM150" s="142">
        <f t="shared" si="772"/>
        <v>0</v>
      </c>
      <c r="IN150" s="142">
        <f t="shared" si="772"/>
        <v>0</v>
      </c>
      <c r="IO150" s="142">
        <f t="shared" si="772"/>
        <v>0</v>
      </c>
      <c r="IP150" s="142">
        <f t="shared" si="772"/>
        <v>0</v>
      </c>
      <c r="IQ150" s="141">
        <f>IF(ISBLANK($A150),,IF($AN150="Não",0,(SUM($AO150:AO150)*$AH150)-SUM($HM150:HM150)-SUM($CW150:CW150)))</f>
        <v>0</v>
      </c>
      <c r="IR150" s="141">
        <f>IF(ISBLANK($A150),,IF($AN150="Não",0,(SUM($AO150:AP150)*$AH150)-SUM($HM150:HN150)-SUM($CW150:CX150)))</f>
        <v>0</v>
      </c>
      <c r="IS150" s="141">
        <f>IF(ISBLANK($A150),,IF($AN150="Não",0,(SUM($AO150:AQ150)*$AH150)-SUM($HM150:HO150)-SUM($CW150:CY150)))</f>
        <v>0</v>
      </c>
      <c r="IT150" s="141">
        <f>IF(ISBLANK($A150),,IF($AN150="Não",0,(SUM($AO150:AR150)*$AH150)-SUM($HM150:HP150)-SUM($CW150:CZ150)))</f>
        <v>0</v>
      </c>
      <c r="IU150" s="141">
        <f>IF(ISBLANK($A150),,IF($AN150="Não",0,(SUM($AO150:AS150)*$AH150)-SUM($HM150:HQ150)-SUM($CW150:DA150)))</f>
        <v>0</v>
      </c>
      <c r="IV150" s="141">
        <f>IF(ISBLANK($A150),,IF($AN150="Não",0,(SUM($AO150:AT150)*$AH150)-SUM($HM150:HR150)-SUM($CW150:DB150)))</f>
        <v>0</v>
      </c>
      <c r="IW150" s="141">
        <f>IF(ISBLANK($A150),,IF($AN150="Não",0,(SUM($AO150:AU150)*$AH150)-SUM($HM150:HS150)-SUM($CW150:DC150)))</f>
        <v>0</v>
      </c>
      <c r="IX150" s="141">
        <f>IF(ISBLANK($A150),,IF($AN150="Não",0,(SUM($AO150:AV150)*$AH150)-SUM($HM150:HT150)-SUM($CW150:DD150)))</f>
        <v>0</v>
      </c>
      <c r="IY150" s="141">
        <f>IF(ISBLANK($A150),,IF($AN150="Não",0,(SUM($AO150:AW150)*$AH150)-SUM($HM150:HU150)-SUM($CW150:DE150)))</f>
        <v>0</v>
      </c>
      <c r="IZ150" s="141">
        <f>IF(ISBLANK($A150),,IF($AN150="Não",0,(SUM($AO150:AX150)*$AH150)-SUM($HM150:HV150)-SUM($CW150:DF150)))</f>
        <v>0</v>
      </c>
      <c r="JA150" s="141">
        <f>IF(ISBLANK($A150),,IF($AN150="Não",0,(SUM($AO150:AY150)*$AH150)-SUM($HM150:HW150)-SUM($CW150:DG150)))</f>
        <v>0</v>
      </c>
      <c r="JB150" s="141">
        <f>IF(ISBLANK($A150),,IF($AN150="Não",0,(SUM($AO150:AZ150)*$AH150)-SUM($HM150:HX150)-SUM($CW150:DH150)))</f>
        <v>0</v>
      </c>
      <c r="JC150" s="141">
        <f>IF(ISBLANK($A150),,IF($AN150="Não",0,(SUM($AO150:BA150)*$AH150)-SUM($HM150:HY150)-SUM($CW150:DI150)))</f>
        <v>0</v>
      </c>
      <c r="JD150" s="141">
        <f>IF(ISBLANK($A150),,IF($AN150="Não",0,(SUM($AO150:BB150)*$AH150)-SUM($HM150:HZ150)-SUM($CW150:DJ150)))</f>
        <v>0</v>
      </c>
      <c r="JE150" s="141">
        <f>IF(ISBLANK($A150),,IF($AN150="Não",0,(SUM($AO150:BC150)*$AH150)-SUM($HM150:IA150)-SUM($CW150:DK150)))</f>
        <v>0</v>
      </c>
      <c r="JF150" s="141">
        <f>IF(ISBLANK($A150),,IF($AN150="Não",0,(SUM($AO150:BD150)*$AH150)-SUM($HM150:IB150)-SUM($CW150:DL150)))</f>
        <v>0</v>
      </c>
      <c r="JG150" s="141">
        <f>IF(ISBLANK($A150),,IF($AN150="Não",0,(SUM($AO150:BE150)*$AH150)-SUM($HM150:IC150)-SUM($CW150:DM150)))</f>
        <v>0</v>
      </c>
      <c r="JH150" s="141">
        <f>IF(ISBLANK($A150),,IF($AN150="Não",0,(SUM($AO150:BF150)*$AH150)-SUM($HM150:ID150)-SUM($CW150:DN150)))</f>
        <v>0</v>
      </c>
      <c r="JI150" s="141">
        <f>IF(ISBLANK($A150),,IF($AN150="Não",0,(SUM($AO150:BG150)*$AH150)-SUM($HM150:IE150)-SUM($CW150:DO150)))</f>
        <v>0</v>
      </c>
      <c r="JJ150" s="141">
        <f>IF(ISBLANK($A150),,IF($AN150="Não",0,(SUM($AO150:BH150)*$AH150)-SUM($HM150:IF150)-SUM($CW150:DP150)))</f>
        <v>0</v>
      </c>
      <c r="JK150" s="141">
        <f>IF(ISBLANK($A150),,IF($AN150="Não",0,(SUM($AO150:BI150)*$AH150)-SUM($HM150:IG150)-SUM($CW150:DQ150)))</f>
        <v>0</v>
      </c>
      <c r="JL150" s="141">
        <f>IF(ISBLANK($A150),,IF($AN150="Não",0,(SUM($AO150:BJ150)*$AH150)-SUM($HM150:IH150)-SUM($CW150:DR150)))</f>
        <v>0</v>
      </c>
      <c r="JM150" s="141">
        <f>IF(ISBLANK($A150),,IF($AN150="Não",0,(SUM($AO150:BK150)*$AH150)-SUM($HM150:II150)-SUM($CW150:DS150)))</f>
        <v>0</v>
      </c>
      <c r="JN150" s="141">
        <f>IF(ISBLANK($A150),,IF($AN150="Não",0,(SUM($AO150:BL150)*$AH150)-SUM($HM150:IJ150)-SUM($CW150:DT150)))</f>
        <v>0</v>
      </c>
      <c r="JO150" s="141">
        <f>IF(ISBLANK($A150),,IF($AN150="Não",0,(SUM($AO150:BM150)*$AH150)-SUM($HM150:IK150)-SUM($CW150:DU150)))</f>
        <v>0</v>
      </c>
      <c r="JP150" s="141">
        <f>IF(ISBLANK($A150),,IF($AN150="Não",0,(SUM($AO150:BN150)*$AH150)-SUM($HM150:IL150)-SUM($CW150:DV150)))</f>
        <v>0</v>
      </c>
      <c r="JQ150" s="141">
        <f>IF(ISBLANK($A150),,IF($AN150="Não",0,(SUM($AO150:BO150)*$AH150)-SUM($HM150:IM150)-SUM($CW150:DW150)))</f>
        <v>0</v>
      </c>
      <c r="JR150" s="141">
        <f>IF(ISBLANK($A150),,IF($AN150="Não",0,(SUM($AO150:BP150)*$AH150)-SUM($HM150:IN150)-SUM($CW150:DX150)))</f>
        <v>0</v>
      </c>
      <c r="JS150" s="141">
        <f>IF(ISBLANK($A150),,IF($AN150="Não",0,(SUM($AO150:BQ150)*$AH150)-SUM($HM150:IO150)-SUM($CW150:DY150)))</f>
        <v>0</v>
      </c>
      <c r="JT150" s="141">
        <f>IF(ISBLANK($A150),,IF($AN150="Não",0,(SUM($AO150:BR150)*$AH150)-SUM($HM150:IP150)-SUM($CW150:DZ150)))</f>
        <v>0</v>
      </c>
    </row>
    <row r="151" spans="1:280" ht="15.75" customHeight="1">
      <c r="A151" s="129"/>
      <c r="B151" s="129"/>
      <c r="C151" s="138"/>
      <c r="D151" s="139"/>
      <c r="E151" s="139"/>
      <c r="F151" s="139"/>
      <c r="G151" s="139"/>
      <c r="H151" s="139"/>
      <c r="I151" s="139"/>
      <c r="J151" s="139"/>
      <c r="K151" s="139"/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607">
        <f t="shared" si="710"/>
        <v>0</v>
      </c>
      <c r="AI151" s="608">
        <f t="shared" si="711"/>
        <v>0</v>
      </c>
      <c r="AJ151" s="609">
        <f t="shared" si="712"/>
        <v>0</v>
      </c>
      <c r="AK151" s="610" t="str">
        <f t="shared" si="713"/>
        <v/>
      </c>
      <c r="AL151" s="609">
        <f t="shared" si="714"/>
        <v>0</v>
      </c>
      <c r="AM151" s="611" t="str">
        <f t="shared" si="715"/>
        <v/>
      </c>
      <c r="AN151" s="611" t="str">
        <f t="shared" si="716"/>
        <v/>
      </c>
      <c r="AO151" s="140">
        <f t="array" ref="AO151">IF(ISBLANK($A151),0,IF(OR(AO$5-$AI151&lt;=0,$AM151="Não"),D151,D151+INDEX($AO$6:$BR$176,ROW()-5,COLUMN()-40-$AI151)))*IF($B151="Operacional",IFERROR(VLOOKUP($C151,SN_UGC,28,0),0),1)</f>
        <v>0</v>
      </c>
      <c r="AP151" s="140">
        <f t="array" ref="AP151">IF(ISBLANK($A151),0,IF(OR(AP$5-$AI151&lt;=0,$AM151="Não"),E151,E151+INDEX($AO$6:$BR$176,ROW()-5,COLUMN()-40-$AI151)))*IF($B151="Operacional",IFERROR(VLOOKUP($C151,SN_UGC,28,0),0),1)</f>
        <v>0</v>
      </c>
      <c r="AQ151" s="140">
        <f t="array" ref="AQ151">IF(ISBLANK($A151),0,IF(OR(AQ$5-$AI151&lt;=0,$AM151="Não"),F151,F151+INDEX($AO$6:$BR$176,ROW()-5,COLUMN()-40-$AI151)))*IF($B151="Operacional",IFERROR(VLOOKUP($C151,SN_UGC,28,0),0),1)</f>
        <v>0</v>
      </c>
      <c r="AR151" s="140">
        <f t="array" ref="AR151">IF(ISBLANK($A151),0,IF(OR(AR$5-$AI151&lt;=0,$AM151="Não"),G151,G151+INDEX($AO$6:$BR$176,ROW()-5,COLUMN()-40-$AI151)))*IF($B151="Operacional",IFERROR(VLOOKUP($C151,SN_UGC,28,0),0),1)</f>
        <v>0</v>
      </c>
      <c r="AS151" s="140">
        <f t="array" ref="AS151">IF(ISBLANK($A151),0,IF(OR(AS$5-$AI151&lt;=0,$AM151="Não"),H151,H151+INDEX($AO$6:$BR$176,ROW()-5,COLUMN()-40-$AI151)))*IF($B151="Operacional",IFERROR(VLOOKUP($C151,SN_UGC,28,0),0),1)</f>
        <v>0</v>
      </c>
      <c r="AT151" s="140">
        <f t="array" ref="AT151">IF(ISBLANK($A151),0,IF(OR(AT$5-$AI151&lt;=0,$AM151="Não"),I151,I151+INDEX($AO$6:$BR$176,ROW()-5,COLUMN()-40-$AI151)))*IF($B151="Operacional",IFERROR(VLOOKUP($C151,SN_UGC,28,0),0),1)</f>
        <v>0</v>
      </c>
      <c r="AU151" s="140">
        <f t="array" ref="AU151">IF(ISBLANK($A151),0,IF(OR(AU$5-$AI151&lt;=0,$AM151="Não"),J151,J151+INDEX($AO$6:$BR$176,ROW()-5,COLUMN()-40-$AI151)))*IF($B151="Operacional",IFERROR(VLOOKUP($C151,SN_UGC,28,0),0),1)</f>
        <v>0</v>
      </c>
      <c r="AV151" s="140">
        <f t="array" ref="AV151">IF(ISBLANK($A151),0,IF(OR(AV$5-$AI151&lt;=0,$AM151="Não"),K151,K151+INDEX($AO$6:$BR$176,ROW()-5,COLUMN()-40-$AI151)))*IF($B151="Operacional",IFERROR(VLOOKUP($C151,SN_UGC,28,0),0),1)</f>
        <v>0</v>
      </c>
      <c r="AW151" s="140">
        <f t="array" ref="AW151">IF(ISBLANK($A151),0,IF(OR(AW$5-$AI151&lt;=0,$AM151="Não"),L151,L151+INDEX($AO$6:$BR$176,ROW()-5,COLUMN()-40-$AI151)))*IF($B151="Operacional",IFERROR(VLOOKUP($C151,SN_UGC,28,0),0),1)</f>
        <v>0</v>
      </c>
      <c r="AX151" s="140">
        <f t="array" ref="AX151">IF(ISBLANK($A151),0,IF(OR(AX$5-$AI151&lt;=0,$AM151="Não"),M151,M151+INDEX($AO$6:$BR$176,ROW()-5,COLUMN()-40-$AI151)))*IF($B151="Operacional",IFERROR(VLOOKUP($C151,SN_UGC,28,0),0),1)</f>
        <v>0</v>
      </c>
      <c r="AY151" s="140">
        <f t="array" ref="AY151">IF(ISBLANK($A151),0,IF(OR(AY$5-$AI151&lt;=0,$AM151="Não"),N151,N151+INDEX($AO$6:$BR$176,ROW()-5,COLUMN()-40-$AI151)))*IF($B151="Operacional",IFERROR(VLOOKUP($C151,SN_UGC,28,0),0),1)</f>
        <v>0</v>
      </c>
      <c r="AZ151" s="140">
        <f t="array" ref="AZ151">IF(ISBLANK($A151),0,IF(OR(AZ$5-$AI151&lt;=0,$AM151="Não"),O151,O151+INDEX($AO$6:$BR$176,ROW()-5,COLUMN()-40-$AI151)))*IF($B151="Operacional",IFERROR(VLOOKUP($C151,SN_UGC,28,0),0),1)</f>
        <v>0</v>
      </c>
      <c r="BA151" s="140">
        <f t="array" ref="BA151">IF(ISBLANK($A151),0,IF(OR(BA$5-$AI151&lt;=0,$AM151="Não"),P151,P151+INDEX($AO$6:$BR$176,ROW()-5,COLUMN()-40-$AI151)))*IF($B151="Operacional",IFERROR(VLOOKUP($C151,SN_UGC,28,0),0),1)</f>
        <v>0</v>
      </c>
      <c r="BB151" s="140">
        <f t="array" ref="BB151">IF(ISBLANK($A151),0,IF(OR(BB$5-$AI151&lt;=0,$AM151="Não"),Q151,Q151+INDEX($AO$6:$BR$176,ROW()-5,COLUMN()-40-$AI151)))*IF($B151="Operacional",IFERROR(VLOOKUP($C151,SN_UGC,28,0),0),1)</f>
        <v>0</v>
      </c>
      <c r="BC151" s="140">
        <f t="array" ref="BC151">IF(ISBLANK($A151),0,IF(OR(BC$5-$AI151&lt;=0,$AM151="Não"),R151,R151+INDEX($AO$6:$BR$176,ROW()-5,COLUMN()-40-$AI151)))*IF($B151="Operacional",IFERROR(VLOOKUP($C151,SN_UGC,28,0),0),1)</f>
        <v>0</v>
      </c>
      <c r="BD151" s="140">
        <f t="array" ref="BD151">IF(ISBLANK($A151),0,IF(OR(BD$5-$AI151&lt;=0,$AM151="Não"),S151,S151+INDEX($AO$6:$BR$176,ROW()-5,COLUMN()-40-$AI151)))*IF($B151="Operacional",IFERROR(VLOOKUP($C151,SN_UGC,28,0),0),1)</f>
        <v>0</v>
      </c>
      <c r="BE151" s="140">
        <f t="array" ref="BE151">IF(ISBLANK($A151),0,IF(OR(BE$5-$AI151&lt;=0,$AM151="Não"),T151,T151+INDEX($AO$6:$BR$176,ROW()-5,COLUMN()-40-$AI151)))*IF($B151="Operacional",IFERROR(VLOOKUP($C151,SN_UGC,28,0),0),1)</f>
        <v>0</v>
      </c>
      <c r="BF151" s="140">
        <f t="array" ref="BF151">IF(ISBLANK($A151),0,IF(OR(BF$5-$AI151&lt;=0,$AM151="Não"),U151,U151+INDEX($AO$6:$BR$176,ROW()-5,COLUMN()-40-$AI151)))*IF($B151="Operacional",IFERROR(VLOOKUP($C151,SN_UGC,28,0),0),1)</f>
        <v>0</v>
      </c>
      <c r="BG151" s="140">
        <f t="array" ref="BG151">IF(ISBLANK($A151),0,IF(OR(BG$5-$AI151&lt;=0,$AM151="Não"),V151,V151+INDEX($AO$6:$BR$176,ROW()-5,COLUMN()-40-$AI151)))*IF($B151="Operacional",IFERROR(VLOOKUP($C151,SN_UGC,28,0),0),1)</f>
        <v>0</v>
      </c>
      <c r="BH151" s="140">
        <f t="array" ref="BH151">IF(ISBLANK($A151),0,IF(OR(BH$5-$AI151&lt;=0,$AM151="Não"),W151,W151+INDEX($AO$6:$BR$176,ROW()-5,COLUMN()-40-$AI151)))*IF($B151="Operacional",IFERROR(VLOOKUP($C151,SN_UGC,28,0),0),1)</f>
        <v>0</v>
      </c>
      <c r="BI151" s="140">
        <f t="array" ref="BI151">IF(ISBLANK($A151),0,IF(OR(BI$5-$AI151&lt;=0,$AM151="Não"),X151,X151+INDEX($AO$6:$BR$176,ROW()-5,COLUMN()-40-$AI151)))*IF($B151="Operacional",IFERROR(VLOOKUP($C151,SN_UGC,28,0),0),1)</f>
        <v>0</v>
      </c>
      <c r="BJ151" s="140">
        <f t="array" ref="BJ151">IF(ISBLANK($A151),0,IF(OR(BJ$5-$AI151&lt;=0,$AM151="Não"),Y151,Y151+INDEX($AO$6:$BR$176,ROW()-5,COLUMN()-40-$AI151)))*IF($B151="Operacional",IFERROR(VLOOKUP($C151,SN_UGC,28,0),0),1)</f>
        <v>0</v>
      </c>
      <c r="BK151" s="140">
        <f t="array" ref="BK151">IF(ISBLANK($A151),0,IF(OR(BK$5-$AI151&lt;=0,$AM151="Não"),Z151,Z151+INDEX($AO$6:$BR$176,ROW()-5,COLUMN()-40-$AI151)))*IF($B151="Operacional",IFERROR(VLOOKUP($C151,SN_UGC,28,0),0),1)</f>
        <v>0</v>
      </c>
      <c r="BL151" s="140">
        <f t="array" ref="BL151">IF(ISBLANK($A151),0,IF(OR(BL$5-$AI151&lt;=0,$AM151="Não"),AA151,AA151+INDEX($AO$6:$BR$176,ROW()-5,COLUMN()-40-$AI151)))*IF($B151="Operacional",IFERROR(VLOOKUP($C151,SN_UGC,28,0),0),1)</f>
        <v>0</v>
      </c>
      <c r="BM151" s="140">
        <f t="array" ref="BM151">IF(ISBLANK($A151),0,IF(OR(BM$5-$AI151&lt;=0,$AM151="Não"),AB151,AB151+INDEX($AO$6:$BR$176,ROW()-5,COLUMN()-40-$AI151)))*IF($B151="Operacional",IFERROR(VLOOKUP($C151,SN_UGC,28,0),0),1)</f>
        <v>0</v>
      </c>
      <c r="BN151" s="140">
        <f t="array" ref="BN151">IF(ISBLANK($A151),0,IF(OR(BN$5-$AI151&lt;=0,$AM151="Não"),AC151,AC151+INDEX($AO$6:$BR$176,ROW()-5,COLUMN()-40-$AI151)))*IF($B151="Operacional",IFERROR(VLOOKUP($C151,SN_UGC,28,0),0),1)</f>
        <v>0</v>
      </c>
      <c r="BO151" s="140">
        <f t="array" ref="BO151">IF(ISBLANK($A151),0,IF(OR(BO$5-$AI151&lt;=0,$AM151="Não"),AD151,AD151+INDEX($AO$6:$BR$176,ROW()-5,COLUMN()-40-$AI151)))*IF($B151="Operacional",IFERROR(VLOOKUP($C151,SN_UGC,28,0),0),1)</f>
        <v>0</v>
      </c>
      <c r="BP151" s="140">
        <f t="array" ref="BP151">IF(ISBLANK($A151),0,IF(OR(BP$5-$AI151&lt;=0,$AM151="Não"),AE151,AE151+INDEX($AO$6:$BR$176,ROW()-5,COLUMN()-40-$AI151)))*IF($B151="Operacional",IFERROR(VLOOKUP($C151,SN_UGC,28,0),0),1)</f>
        <v>0</v>
      </c>
      <c r="BQ151" s="140">
        <f t="array" ref="BQ151">IF(ISBLANK($A151),0,IF(OR(BQ$5-$AI151&lt;=0,$AM151="Não"),AF151,AF151+INDEX($AO$6:$BR$176,ROW()-5,COLUMN()-40-$AI151)))*IF($B151="Operacional",IFERROR(VLOOKUP($C151,SN_UGC,28,0),0),1)</f>
        <v>0</v>
      </c>
      <c r="BR151" s="140">
        <f t="array" ref="BR151">IF(ISBLANK($A151),0,IF(OR(BR$5-$AI151&lt;=0,$AM151="Não"),AG151,AG151+INDEX($AO$6:$BR$176,ROW()-5,COLUMN()-40-$AI151)))*IF($B151="Operacional",IFERROR(VLOOKUP($C151,SN_UGC,28,0),0),1)</f>
        <v>0</v>
      </c>
      <c r="BS151" s="141">
        <f t="shared" ref="BS151:CV151" si="773">IF(ISBLANK($A151),0,$AH151*AO151)</f>
        <v>0</v>
      </c>
      <c r="BT151" s="141">
        <f t="shared" si="773"/>
        <v>0</v>
      </c>
      <c r="BU151" s="141">
        <f t="shared" si="773"/>
        <v>0</v>
      </c>
      <c r="BV151" s="141">
        <f t="shared" si="773"/>
        <v>0</v>
      </c>
      <c r="BW151" s="141">
        <f t="shared" si="773"/>
        <v>0</v>
      </c>
      <c r="BX151" s="141">
        <f t="shared" si="773"/>
        <v>0</v>
      </c>
      <c r="BY151" s="141">
        <f t="shared" si="773"/>
        <v>0</v>
      </c>
      <c r="BZ151" s="141">
        <f t="shared" si="773"/>
        <v>0</v>
      </c>
      <c r="CA151" s="141">
        <f t="shared" si="773"/>
        <v>0</v>
      </c>
      <c r="CB151" s="141">
        <f t="shared" si="773"/>
        <v>0</v>
      </c>
      <c r="CC151" s="141">
        <f t="shared" si="773"/>
        <v>0</v>
      </c>
      <c r="CD151" s="141">
        <f t="shared" si="773"/>
        <v>0</v>
      </c>
      <c r="CE151" s="141">
        <f t="shared" si="773"/>
        <v>0</v>
      </c>
      <c r="CF151" s="141">
        <f t="shared" si="773"/>
        <v>0</v>
      </c>
      <c r="CG151" s="141">
        <f t="shared" si="773"/>
        <v>0</v>
      </c>
      <c r="CH151" s="141">
        <f t="shared" si="773"/>
        <v>0</v>
      </c>
      <c r="CI151" s="141">
        <f t="shared" si="773"/>
        <v>0</v>
      </c>
      <c r="CJ151" s="141">
        <f t="shared" si="773"/>
        <v>0</v>
      </c>
      <c r="CK151" s="141">
        <f t="shared" si="773"/>
        <v>0</v>
      </c>
      <c r="CL151" s="141">
        <f t="shared" si="773"/>
        <v>0</v>
      </c>
      <c r="CM151" s="141">
        <f t="shared" si="773"/>
        <v>0</v>
      </c>
      <c r="CN151" s="141">
        <f t="shared" si="773"/>
        <v>0</v>
      </c>
      <c r="CO151" s="141">
        <f t="shared" si="773"/>
        <v>0</v>
      </c>
      <c r="CP151" s="141">
        <f t="shared" si="773"/>
        <v>0</v>
      </c>
      <c r="CQ151" s="141">
        <f t="shared" si="773"/>
        <v>0</v>
      </c>
      <c r="CR151" s="141">
        <f t="shared" si="773"/>
        <v>0</v>
      </c>
      <c r="CS151" s="141">
        <f t="shared" si="773"/>
        <v>0</v>
      </c>
      <c r="CT151" s="141">
        <f t="shared" si="773"/>
        <v>0</v>
      </c>
      <c r="CU151" s="141">
        <f t="shared" si="773"/>
        <v>0</v>
      </c>
      <c r="CV151" s="141">
        <f t="shared" si="773"/>
        <v>0</v>
      </c>
      <c r="CW151" s="142">
        <f t="shared" ref="CW151:DZ151" si="774">EA151*$AH151*$AJ151</f>
        <v>0</v>
      </c>
      <c r="CX151" s="142">
        <f t="shared" si="774"/>
        <v>0</v>
      </c>
      <c r="CY151" s="142">
        <f t="shared" si="774"/>
        <v>0</v>
      </c>
      <c r="CZ151" s="142">
        <f t="shared" si="774"/>
        <v>0</v>
      </c>
      <c r="DA151" s="142">
        <f t="shared" si="774"/>
        <v>0</v>
      </c>
      <c r="DB151" s="142">
        <f t="shared" si="774"/>
        <v>0</v>
      </c>
      <c r="DC151" s="142">
        <f t="shared" si="774"/>
        <v>0</v>
      </c>
      <c r="DD151" s="142">
        <f t="shared" si="774"/>
        <v>0</v>
      </c>
      <c r="DE151" s="142">
        <f t="shared" si="774"/>
        <v>0</v>
      </c>
      <c r="DF151" s="142">
        <f t="shared" si="774"/>
        <v>0</v>
      </c>
      <c r="DG151" s="142">
        <f t="shared" si="774"/>
        <v>0</v>
      </c>
      <c r="DH151" s="142">
        <f t="shared" si="774"/>
        <v>0</v>
      </c>
      <c r="DI151" s="142">
        <f t="shared" si="774"/>
        <v>0</v>
      </c>
      <c r="DJ151" s="142">
        <f t="shared" si="774"/>
        <v>0</v>
      </c>
      <c r="DK151" s="142">
        <f t="shared" si="774"/>
        <v>0</v>
      </c>
      <c r="DL151" s="142">
        <f t="shared" si="774"/>
        <v>0</v>
      </c>
      <c r="DM151" s="142">
        <f t="shared" si="774"/>
        <v>0</v>
      </c>
      <c r="DN151" s="142">
        <f t="shared" si="774"/>
        <v>0</v>
      </c>
      <c r="DO151" s="142">
        <f t="shared" si="774"/>
        <v>0</v>
      </c>
      <c r="DP151" s="142">
        <f t="shared" si="774"/>
        <v>0</v>
      </c>
      <c r="DQ151" s="142">
        <f t="shared" si="774"/>
        <v>0</v>
      </c>
      <c r="DR151" s="142">
        <f t="shared" si="774"/>
        <v>0</v>
      </c>
      <c r="DS151" s="142">
        <f t="shared" si="774"/>
        <v>0</v>
      </c>
      <c r="DT151" s="142">
        <f t="shared" si="774"/>
        <v>0</v>
      </c>
      <c r="DU151" s="142">
        <f t="shared" si="774"/>
        <v>0</v>
      </c>
      <c r="DV151" s="142">
        <f t="shared" si="774"/>
        <v>0</v>
      </c>
      <c r="DW151" s="142">
        <f t="shared" si="774"/>
        <v>0</v>
      </c>
      <c r="DX151" s="142">
        <f t="shared" si="774"/>
        <v>0</v>
      </c>
      <c r="DY151" s="142">
        <f t="shared" si="774"/>
        <v>0</v>
      </c>
      <c r="DZ151" s="142">
        <f t="shared" si="774"/>
        <v>0</v>
      </c>
      <c r="EA151" s="143">
        <f t="shared" si="670"/>
        <v>0</v>
      </c>
      <c r="EB151" s="143">
        <f t="shared" si="671"/>
        <v>0</v>
      </c>
      <c r="EC151" s="143">
        <f t="shared" si="672"/>
        <v>0</v>
      </c>
      <c r="ED151" s="143">
        <f t="shared" si="673"/>
        <v>0</v>
      </c>
      <c r="EE151" s="143">
        <f t="shared" si="674"/>
        <v>0</v>
      </c>
      <c r="EF151" s="143">
        <f t="shared" si="675"/>
        <v>0</v>
      </c>
      <c r="EG151" s="143">
        <f t="shared" si="676"/>
        <v>0</v>
      </c>
      <c r="EH151" s="143">
        <f t="shared" si="677"/>
        <v>0</v>
      </c>
      <c r="EI151" s="143">
        <f t="shared" si="678"/>
        <v>0</v>
      </c>
      <c r="EJ151" s="143">
        <f t="shared" si="679"/>
        <v>0</v>
      </c>
      <c r="EK151" s="143">
        <f t="shared" si="680"/>
        <v>0</v>
      </c>
      <c r="EL151" s="143">
        <f t="shared" si="681"/>
        <v>0</v>
      </c>
      <c r="EM151" s="143">
        <f t="shared" si="682"/>
        <v>0</v>
      </c>
      <c r="EN151" s="143">
        <f t="shared" si="683"/>
        <v>0</v>
      </c>
      <c r="EO151" s="143">
        <f t="shared" si="684"/>
        <v>0</v>
      </c>
      <c r="EP151" s="143">
        <f t="shared" si="685"/>
        <v>0</v>
      </c>
      <c r="EQ151" s="143">
        <f t="shared" si="686"/>
        <v>0</v>
      </c>
      <c r="ER151" s="143">
        <f t="shared" si="687"/>
        <v>0</v>
      </c>
      <c r="ES151" s="143">
        <f t="shared" si="688"/>
        <v>0</v>
      </c>
      <c r="ET151" s="143">
        <f t="shared" si="689"/>
        <v>0</v>
      </c>
      <c r="EU151" s="143">
        <f t="shared" si="690"/>
        <v>0</v>
      </c>
      <c r="EV151" s="143">
        <f t="shared" si="691"/>
        <v>0</v>
      </c>
      <c r="EW151" s="143">
        <f t="shared" si="692"/>
        <v>0</v>
      </c>
      <c r="EX151" s="143">
        <f t="shared" si="693"/>
        <v>0</v>
      </c>
      <c r="EY151" s="143">
        <f t="shared" si="694"/>
        <v>0</v>
      </c>
      <c r="EZ151" s="143">
        <f t="shared" si="695"/>
        <v>0</v>
      </c>
      <c r="FA151" s="143">
        <f t="shared" si="696"/>
        <v>0</v>
      </c>
      <c r="FB151" s="143">
        <f t="shared" si="697"/>
        <v>0</v>
      </c>
      <c r="FC151" s="143">
        <f t="shared" si="698"/>
        <v>0</v>
      </c>
      <c r="FD151" s="143">
        <f t="shared" si="699"/>
        <v>0</v>
      </c>
      <c r="FE151" s="140">
        <f>SUM($D151:D151)*IF($B151="Operacional",IFERROR(VLOOKUP($C151,SN_UGC,28,0),0),1)</f>
        <v>0</v>
      </c>
      <c r="FF151" s="140">
        <f>SUM($D151:E151)*IF($B151="Operacional",IFERROR(VLOOKUP($C151,SN_UGC,28,0),0),1)</f>
        <v>0</v>
      </c>
      <c r="FG151" s="140">
        <f>SUM($D151:F151)*IF($B151="Operacional",IFERROR(VLOOKUP($C151,SN_UGC,28,0),0),1)</f>
        <v>0</v>
      </c>
      <c r="FH151" s="140">
        <f>SUM($D151:G151)*IF($B151="Operacional",IFERROR(VLOOKUP($C151,SN_UGC,28,0),0),1)</f>
        <v>0</v>
      </c>
      <c r="FI151" s="140">
        <f>SUM($D151:H151)*IF($B151="Operacional",IFERROR(VLOOKUP($C151,SN_UGC,28,0),0),1)</f>
        <v>0</v>
      </c>
      <c r="FJ151" s="140">
        <f>SUM($D151:I151)*IF($B151="Operacional",IFERROR(VLOOKUP($C151,SN_UGC,28,0),0),1)</f>
        <v>0</v>
      </c>
      <c r="FK151" s="140">
        <f>SUM($D151:J151)*IF($B151="Operacional",IFERROR(VLOOKUP($C151,SN_UGC,28,0),0),1)</f>
        <v>0</v>
      </c>
      <c r="FL151" s="140">
        <f>SUM($D151:K151)*IF($B151="Operacional",IFERROR(VLOOKUP($C151,SN_UGC,28,0),0),1)</f>
        <v>0</v>
      </c>
      <c r="FM151" s="140">
        <f>SUM($D151:L151)*IF($B151="Operacional",IFERROR(VLOOKUP($C151,SN_UGC,28,0),0),1)</f>
        <v>0</v>
      </c>
      <c r="FN151" s="140">
        <f>SUM($D151:M151)*IF($B151="Operacional",IFERROR(VLOOKUP($C151,SN_UGC,28,0),0),1)</f>
        <v>0</v>
      </c>
      <c r="FO151" s="140">
        <f>SUM($D151:N151)*IF($B151="Operacional",IFERROR(VLOOKUP($C151,SN_UGC,28,0),0),1)</f>
        <v>0</v>
      </c>
      <c r="FP151" s="140">
        <f>SUM($D151:O151)*IF($B151="Operacional",IFERROR(VLOOKUP($C151,SN_UGC,28,0),0),1)</f>
        <v>0</v>
      </c>
      <c r="FQ151" s="140">
        <f>SUM($D151:P151)*IF($B151="Operacional",IFERROR(VLOOKUP($C151,SN_UGC,28,0),0),1)</f>
        <v>0</v>
      </c>
      <c r="FR151" s="140">
        <f>SUM($D151:Q151)*IF($B151="Operacional",IFERROR(VLOOKUP($C151,SN_UGC,28,0),0),1)</f>
        <v>0</v>
      </c>
      <c r="FS151" s="140">
        <f>SUM($D151:R151)*IF($B151="Operacional",IFERROR(VLOOKUP($C151,SN_UGC,28,0),0),1)</f>
        <v>0</v>
      </c>
      <c r="FT151" s="140">
        <f>SUM($D151:S151)*IF($B151="Operacional",IFERROR(VLOOKUP($C151,SN_UGC,28,0),0),1)</f>
        <v>0</v>
      </c>
      <c r="FU151" s="140">
        <f>SUM($D151:T151)*IF($B151="Operacional",IFERROR(VLOOKUP($C151,SN_UGC,28,0),0),1)</f>
        <v>0</v>
      </c>
      <c r="FV151" s="140">
        <f>SUM($D151:U151)*IF($B151="Operacional",IFERROR(VLOOKUP($C151,SN_UGC,28,0),0),1)</f>
        <v>0</v>
      </c>
      <c r="FW151" s="140">
        <f>SUM($D151:V151)*IF($B151="Operacional",IFERROR(VLOOKUP($C151,SN_UGC,28,0),0),1)</f>
        <v>0</v>
      </c>
      <c r="FX151" s="140">
        <f>SUM($D151:W151)*IF($B151="Operacional",IFERROR(VLOOKUP($C151,SN_UGC,28,0),0),1)</f>
        <v>0</v>
      </c>
      <c r="FY151" s="140">
        <f>SUM($D151:X151)*IF($B151="Operacional",IFERROR(VLOOKUP($C151,SN_UGC,28,0),0),1)</f>
        <v>0</v>
      </c>
      <c r="FZ151" s="140">
        <f>SUM($D151:Y151)*IF($B151="Operacional",IFERROR(VLOOKUP($C151,SN_UGC,28,0),0),1)</f>
        <v>0</v>
      </c>
      <c r="GA151" s="140">
        <f>SUM($D151:Z151)*IF($B151="Operacional",IFERROR(VLOOKUP($C151,SN_UGC,28,0),0),1)</f>
        <v>0</v>
      </c>
      <c r="GB151" s="140">
        <f>SUM($D151:AA151)*IF($B151="Operacional",IFERROR(VLOOKUP($C151,SN_UGC,28,0),0),1)</f>
        <v>0</v>
      </c>
      <c r="GC151" s="140">
        <f>SUM($D151:AB151)*IF($B151="Operacional",IFERROR(VLOOKUP($C151,SN_UGC,28,0),0),1)</f>
        <v>0</v>
      </c>
      <c r="GD151" s="140">
        <f>SUM($D151:AC151)*IF($B151="Operacional",IFERROR(VLOOKUP($C151,SN_UGC,28,0),0),1)</f>
        <v>0</v>
      </c>
      <c r="GE151" s="140">
        <f>SUM($D151:AD151)*IF($B151="Operacional",IFERROR(VLOOKUP($C151,SN_UGC,28,0),0),1)</f>
        <v>0</v>
      </c>
      <c r="GF151" s="140">
        <f>SUM($D151:AE151)*IF($B151="Operacional",IFERROR(VLOOKUP($C151,SN_UGC,28,0),0),1)</f>
        <v>0</v>
      </c>
      <c r="GG151" s="140">
        <f>SUM($D151:AF151)*IF($B151="Operacional",IFERROR(VLOOKUP($C151,SN_UGC,28,0),0),1)</f>
        <v>0</v>
      </c>
      <c r="GH151" s="140">
        <f>SUM($D151:AG151)*IF($B151="Operacional",IFERROR(VLOOKUP($C151,SN_UGC,28,0),0),1)</f>
        <v>0</v>
      </c>
      <c r="GI151" s="141">
        <f t="shared" ref="GI151:HL151" si="775">FE151*$AH151*$AL151</f>
        <v>0</v>
      </c>
      <c r="GJ151" s="141">
        <f t="shared" si="775"/>
        <v>0</v>
      </c>
      <c r="GK151" s="141">
        <f t="shared" si="775"/>
        <v>0</v>
      </c>
      <c r="GL151" s="141">
        <f t="shared" si="775"/>
        <v>0</v>
      </c>
      <c r="GM151" s="141">
        <f t="shared" si="775"/>
        <v>0</v>
      </c>
      <c r="GN151" s="141">
        <f t="shared" si="775"/>
        <v>0</v>
      </c>
      <c r="GO151" s="141">
        <f t="shared" si="775"/>
        <v>0</v>
      </c>
      <c r="GP151" s="141">
        <f t="shared" si="775"/>
        <v>0</v>
      </c>
      <c r="GQ151" s="141">
        <f t="shared" si="775"/>
        <v>0</v>
      </c>
      <c r="GR151" s="141">
        <f t="shared" si="775"/>
        <v>0</v>
      </c>
      <c r="GS151" s="141">
        <f t="shared" si="775"/>
        <v>0</v>
      </c>
      <c r="GT151" s="141">
        <f t="shared" si="775"/>
        <v>0</v>
      </c>
      <c r="GU151" s="141">
        <f t="shared" si="775"/>
        <v>0</v>
      </c>
      <c r="GV151" s="141">
        <f t="shared" si="775"/>
        <v>0</v>
      </c>
      <c r="GW151" s="141">
        <f t="shared" si="775"/>
        <v>0</v>
      </c>
      <c r="GX151" s="141">
        <f t="shared" si="775"/>
        <v>0</v>
      </c>
      <c r="GY151" s="141">
        <f t="shared" si="775"/>
        <v>0</v>
      </c>
      <c r="GZ151" s="141">
        <f t="shared" si="775"/>
        <v>0</v>
      </c>
      <c r="HA151" s="141">
        <f t="shared" si="775"/>
        <v>0</v>
      </c>
      <c r="HB151" s="141">
        <f t="shared" si="775"/>
        <v>0</v>
      </c>
      <c r="HC151" s="141">
        <f t="shared" si="775"/>
        <v>0</v>
      </c>
      <c r="HD151" s="141">
        <f t="shared" si="775"/>
        <v>0</v>
      </c>
      <c r="HE151" s="141">
        <f t="shared" si="775"/>
        <v>0</v>
      </c>
      <c r="HF151" s="141">
        <f t="shared" si="775"/>
        <v>0</v>
      </c>
      <c r="HG151" s="141">
        <f t="shared" si="775"/>
        <v>0</v>
      </c>
      <c r="HH151" s="141">
        <f t="shared" si="775"/>
        <v>0</v>
      </c>
      <c r="HI151" s="141">
        <f t="shared" si="775"/>
        <v>0</v>
      </c>
      <c r="HJ151" s="141">
        <f t="shared" si="775"/>
        <v>0</v>
      </c>
      <c r="HK151" s="141">
        <f t="shared" si="775"/>
        <v>0</v>
      </c>
      <c r="HL151" s="141">
        <f t="shared" si="775"/>
        <v>0</v>
      </c>
      <c r="HM151" s="142">
        <f t="shared" ref="HM151:IP151" si="776">IF(ISBLANK($A151),,FE151*($AH151-($AH151*$AJ151))/$AI151)</f>
        <v>0</v>
      </c>
      <c r="HN151" s="142">
        <f t="shared" si="776"/>
        <v>0</v>
      </c>
      <c r="HO151" s="142">
        <f t="shared" si="776"/>
        <v>0</v>
      </c>
      <c r="HP151" s="142">
        <f t="shared" si="776"/>
        <v>0</v>
      </c>
      <c r="HQ151" s="142">
        <f t="shared" si="776"/>
        <v>0</v>
      </c>
      <c r="HR151" s="142">
        <f t="shared" si="776"/>
        <v>0</v>
      </c>
      <c r="HS151" s="142">
        <f t="shared" si="776"/>
        <v>0</v>
      </c>
      <c r="HT151" s="142">
        <f t="shared" si="776"/>
        <v>0</v>
      </c>
      <c r="HU151" s="142">
        <f t="shared" si="776"/>
        <v>0</v>
      </c>
      <c r="HV151" s="142">
        <f t="shared" si="776"/>
        <v>0</v>
      </c>
      <c r="HW151" s="142">
        <f t="shared" si="776"/>
        <v>0</v>
      </c>
      <c r="HX151" s="142">
        <f t="shared" si="776"/>
        <v>0</v>
      </c>
      <c r="HY151" s="142">
        <f t="shared" si="776"/>
        <v>0</v>
      </c>
      <c r="HZ151" s="142">
        <f t="shared" si="776"/>
        <v>0</v>
      </c>
      <c r="IA151" s="142">
        <f t="shared" si="776"/>
        <v>0</v>
      </c>
      <c r="IB151" s="142">
        <f t="shared" si="776"/>
        <v>0</v>
      </c>
      <c r="IC151" s="142">
        <f t="shared" si="776"/>
        <v>0</v>
      </c>
      <c r="ID151" s="142">
        <f t="shared" si="776"/>
        <v>0</v>
      </c>
      <c r="IE151" s="142">
        <f t="shared" si="776"/>
        <v>0</v>
      </c>
      <c r="IF151" s="142">
        <f t="shared" si="776"/>
        <v>0</v>
      </c>
      <c r="IG151" s="142">
        <f t="shared" si="776"/>
        <v>0</v>
      </c>
      <c r="IH151" s="142">
        <f t="shared" si="776"/>
        <v>0</v>
      </c>
      <c r="II151" s="142">
        <f t="shared" si="776"/>
        <v>0</v>
      </c>
      <c r="IJ151" s="142">
        <f t="shared" si="776"/>
        <v>0</v>
      </c>
      <c r="IK151" s="142">
        <f t="shared" si="776"/>
        <v>0</v>
      </c>
      <c r="IL151" s="142">
        <f t="shared" si="776"/>
        <v>0</v>
      </c>
      <c r="IM151" s="142">
        <f t="shared" si="776"/>
        <v>0</v>
      </c>
      <c r="IN151" s="142">
        <f t="shared" si="776"/>
        <v>0</v>
      </c>
      <c r="IO151" s="142">
        <f t="shared" si="776"/>
        <v>0</v>
      </c>
      <c r="IP151" s="142">
        <f t="shared" si="776"/>
        <v>0</v>
      </c>
      <c r="IQ151" s="141">
        <f>IF(ISBLANK($A151),,IF($AN151="Não",0,(SUM($AO151:AO151)*$AH151)-SUM($HM151:HM151)-SUM($CW151:CW151)))</f>
        <v>0</v>
      </c>
      <c r="IR151" s="141">
        <f>IF(ISBLANK($A151),,IF($AN151="Não",0,(SUM($AO151:AP151)*$AH151)-SUM($HM151:HN151)-SUM($CW151:CX151)))</f>
        <v>0</v>
      </c>
      <c r="IS151" s="141">
        <f>IF(ISBLANK($A151),,IF($AN151="Não",0,(SUM($AO151:AQ151)*$AH151)-SUM($HM151:HO151)-SUM($CW151:CY151)))</f>
        <v>0</v>
      </c>
      <c r="IT151" s="141">
        <f>IF(ISBLANK($A151),,IF($AN151="Não",0,(SUM($AO151:AR151)*$AH151)-SUM($HM151:HP151)-SUM($CW151:CZ151)))</f>
        <v>0</v>
      </c>
      <c r="IU151" s="141">
        <f>IF(ISBLANK($A151),,IF($AN151="Não",0,(SUM($AO151:AS151)*$AH151)-SUM($HM151:HQ151)-SUM($CW151:DA151)))</f>
        <v>0</v>
      </c>
      <c r="IV151" s="141">
        <f>IF(ISBLANK($A151),,IF($AN151="Não",0,(SUM($AO151:AT151)*$AH151)-SUM($HM151:HR151)-SUM($CW151:DB151)))</f>
        <v>0</v>
      </c>
      <c r="IW151" s="141">
        <f>IF(ISBLANK($A151),,IF($AN151="Não",0,(SUM($AO151:AU151)*$AH151)-SUM($HM151:HS151)-SUM($CW151:DC151)))</f>
        <v>0</v>
      </c>
      <c r="IX151" s="141">
        <f>IF(ISBLANK($A151),,IF($AN151="Não",0,(SUM($AO151:AV151)*$AH151)-SUM($HM151:HT151)-SUM($CW151:DD151)))</f>
        <v>0</v>
      </c>
      <c r="IY151" s="141">
        <f>IF(ISBLANK($A151),,IF($AN151="Não",0,(SUM($AO151:AW151)*$AH151)-SUM($HM151:HU151)-SUM($CW151:DE151)))</f>
        <v>0</v>
      </c>
      <c r="IZ151" s="141">
        <f>IF(ISBLANK($A151),,IF($AN151="Não",0,(SUM($AO151:AX151)*$AH151)-SUM($HM151:HV151)-SUM($CW151:DF151)))</f>
        <v>0</v>
      </c>
      <c r="JA151" s="141">
        <f>IF(ISBLANK($A151),,IF($AN151="Não",0,(SUM($AO151:AY151)*$AH151)-SUM($HM151:HW151)-SUM($CW151:DG151)))</f>
        <v>0</v>
      </c>
      <c r="JB151" s="141">
        <f>IF(ISBLANK($A151),,IF($AN151="Não",0,(SUM($AO151:AZ151)*$AH151)-SUM($HM151:HX151)-SUM($CW151:DH151)))</f>
        <v>0</v>
      </c>
      <c r="JC151" s="141">
        <f>IF(ISBLANK($A151),,IF($AN151="Não",0,(SUM($AO151:BA151)*$AH151)-SUM($HM151:HY151)-SUM($CW151:DI151)))</f>
        <v>0</v>
      </c>
      <c r="JD151" s="141">
        <f>IF(ISBLANK($A151),,IF($AN151="Não",0,(SUM($AO151:BB151)*$AH151)-SUM($HM151:HZ151)-SUM($CW151:DJ151)))</f>
        <v>0</v>
      </c>
      <c r="JE151" s="141">
        <f>IF(ISBLANK($A151),,IF($AN151="Não",0,(SUM($AO151:BC151)*$AH151)-SUM($HM151:IA151)-SUM($CW151:DK151)))</f>
        <v>0</v>
      </c>
      <c r="JF151" s="141">
        <f>IF(ISBLANK($A151),,IF($AN151="Não",0,(SUM($AO151:BD151)*$AH151)-SUM($HM151:IB151)-SUM($CW151:DL151)))</f>
        <v>0</v>
      </c>
      <c r="JG151" s="141">
        <f>IF(ISBLANK($A151),,IF($AN151="Não",0,(SUM($AO151:BE151)*$AH151)-SUM($HM151:IC151)-SUM($CW151:DM151)))</f>
        <v>0</v>
      </c>
      <c r="JH151" s="141">
        <f>IF(ISBLANK($A151),,IF($AN151="Não",0,(SUM($AO151:BF151)*$AH151)-SUM($HM151:ID151)-SUM($CW151:DN151)))</f>
        <v>0</v>
      </c>
      <c r="JI151" s="141">
        <f>IF(ISBLANK($A151),,IF($AN151="Não",0,(SUM($AO151:BG151)*$AH151)-SUM($HM151:IE151)-SUM($CW151:DO151)))</f>
        <v>0</v>
      </c>
      <c r="JJ151" s="141">
        <f>IF(ISBLANK($A151),,IF($AN151="Não",0,(SUM($AO151:BH151)*$AH151)-SUM($HM151:IF151)-SUM($CW151:DP151)))</f>
        <v>0</v>
      </c>
      <c r="JK151" s="141">
        <f>IF(ISBLANK($A151),,IF($AN151="Não",0,(SUM($AO151:BI151)*$AH151)-SUM($HM151:IG151)-SUM($CW151:DQ151)))</f>
        <v>0</v>
      </c>
      <c r="JL151" s="141">
        <f>IF(ISBLANK($A151),,IF($AN151="Não",0,(SUM($AO151:BJ151)*$AH151)-SUM($HM151:IH151)-SUM($CW151:DR151)))</f>
        <v>0</v>
      </c>
      <c r="JM151" s="141">
        <f>IF(ISBLANK($A151),,IF($AN151="Não",0,(SUM($AO151:BK151)*$AH151)-SUM($HM151:II151)-SUM($CW151:DS151)))</f>
        <v>0</v>
      </c>
      <c r="JN151" s="141">
        <f>IF(ISBLANK($A151),,IF($AN151="Não",0,(SUM($AO151:BL151)*$AH151)-SUM($HM151:IJ151)-SUM($CW151:DT151)))</f>
        <v>0</v>
      </c>
      <c r="JO151" s="141">
        <f>IF(ISBLANK($A151),,IF($AN151="Não",0,(SUM($AO151:BM151)*$AH151)-SUM($HM151:IK151)-SUM($CW151:DU151)))</f>
        <v>0</v>
      </c>
      <c r="JP151" s="141">
        <f>IF(ISBLANK($A151),,IF($AN151="Não",0,(SUM($AO151:BN151)*$AH151)-SUM($HM151:IL151)-SUM($CW151:DV151)))</f>
        <v>0</v>
      </c>
      <c r="JQ151" s="141">
        <f>IF(ISBLANK($A151),,IF($AN151="Não",0,(SUM($AO151:BO151)*$AH151)-SUM($HM151:IM151)-SUM($CW151:DW151)))</f>
        <v>0</v>
      </c>
      <c r="JR151" s="141">
        <f>IF(ISBLANK($A151),,IF($AN151="Não",0,(SUM($AO151:BP151)*$AH151)-SUM($HM151:IN151)-SUM($CW151:DX151)))</f>
        <v>0</v>
      </c>
      <c r="JS151" s="141">
        <f>IF(ISBLANK($A151),,IF($AN151="Não",0,(SUM($AO151:BQ151)*$AH151)-SUM($HM151:IO151)-SUM($CW151:DY151)))</f>
        <v>0</v>
      </c>
      <c r="JT151" s="141">
        <f>IF(ISBLANK($A151),,IF($AN151="Não",0,(SUM($AO151:BR151)*$AH151)-SUM($HM151:IP151)-SUM($CW151:DZ151)))</f>
        <v>0</v>
      </c>
    </row>
    <row r="152" spans="1:280" ht="15.75" customHeight="1">
      <c r="A152" s="129"/>
      <c r="B152" s="129"/>
      <c r="C152" s="138"/>
      <c r="D152" s="139"/>
      <c r="E152" s="139"/>
      <c r="F152" s="139"/>
      <c r="G152" s="139"/>
      <c r="H152" s="139"/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607">
        <f t="shared" si="710"/>
        <v>0</v>
      </c>
      <c r="AI152" s="608">
        <f t="shared" si="711"/>
        <v>0</v>
      </c>
      <c r="AJ152" s="609">
        <f t="shared" si="712"/>
        <v>0</v>
      </c>
      <c r="AK152" s="610" t="str">
        <f t="shared" si="713"/>
        <v/>
      </c>
      <c r="AL152" s="609">
        <f t="shared" si="714"/>
        <v>0</v>
      </c>
      <c r="AM152" s="611" t="str">
        <f t="shared" si="715"/>
        <v/>
      </c>
      <c r="AN152" s="611" t="str">
        <f t="shared" si="716"/>
        <v/>
      </c>
      <c r="AO152" s="140">
        <f t="array" ref="AO152">IF(ISBLANK($A152),0,IF(OR(AO$5-$AI152&lt;=0,$AM152="Não"),D152,D152+INDEX($AO$6:$BR$176,ROW()-5,COLUMN()-40-$AI152)))*IF($B152="Operacional",IFERROR(VLOOKUP($C152,SN_UGC,28,0),0),1)</f>
        <v>0</v>
      </c>
      <c r="AP152" s="140">
        <f t="array" ref="AP152">IF(ISBLANK($A152),0,IF(OR(AP$5-$AI152&lt;=0,$AM152="Não"),E152,E152+INDEX($AO$6:$BR$176,ROW()-5,COLUMN()-40-$AI152)))*IF($B152="Operacional",IFERROR(VLOOKUP($C152,SN_UGC,28,0),0),1)</f>
        <v>0</v>
      </c>
      <c r="AQ152" s="140">
        <f t="array" ref="AQ152">IF(ISBLANK($A152),0,IF(OR(AQ$5-$AI152&lt;=0,$AM152="Não"),F152,F152+INDEX($AO$6:$BR$176,ROW()-5,COLUMN()-40-$AI152)))*IF($B152="Operacional",IFERROR(VLOOKUP($C152,SN_UGC,28,0),0),1)</f>
        <v>0</v>
      </c>
      <c r="AR152" s="140">
        <f t="array" ref="AR152">IF(ISBLANK($A152),0,IF(OR(AR$5-$AI152&lt;=0,$AM152="Não"),G152,G152+INDEX($AO$6:$BR$176,ROW()-5,COLUMN()-40-$AI152)))*IF($B152="Operacional",IFERROR(VLOOKUP($C152,SN_UGC,28,0),0),1)</f>
        <v>0</v>
      </c>
      <c r="AS152" s="140">
        <f t="array" ref="AS152">IF(ISBLANK($A152),0,IF(OR(AS$5-$AI152&lt;=0,$AM152="Não"),H152,H152+INDEX($AO$6:$BR$176,ROW()-5,COLUMN()-40-$AI152)))*IF($B152="Operacional",IFERROR(VLOOKUP($C152,SN_UGC,28,0),0),1)</f>
        <v>0</v>
      </c>
      <c r="AT152" s="140">
        <f t="array" ref="AT152">IF(ISBLANK($A152),0,IF(OR(AT$5-$AI152&lt;=0,$AM152="Não"),I152,I152+INDEX($AO$6:$BR$176,ROW()-5,COLUMN()-40-$AI152)))*IF($B152="Operacional",IFERROR(VLOOKUP($C152,SN_UGC,28,0),0),1)</f>
        <v>0</v>
      </c>
      <c r="AU152" s="140">
        <f t="array" ref="AU152">IF(ISBLANK($A152),0,IF(OR(AU$5-$AI152&lt;=0,$AM152="Não"),J152,J152+INDEX($AO$6:$BR$176,ROW()-5,COLUMN()-40-$AI152)))*IF($B152="Operacional",IFERROR(VLOOKUP($C152,SN_UGC,28,0),0),1)</f>
        <v>0</v>
      </c>
      <c r="AV152" s="140">
        <f t="array" ref="AV152">IF(ISBLANK($A152),0,IF(OR(AV$5-$AI152&lt;=0,$AM152="Não"),K152,K152+INDEX($AO$6:$BR$176,ROW()-5,COLUMN()-40-$AI152)))*IF($B152="Operacional",IFERROR(VLOOKUP($C152,SN_UGC,28,0),0),1)</f>
        <v>0</v>
      </c>
      <c r="AW152" s="140">
        <f t="array" ref="AW152">IF(ISBLANK($A152),0,IF(OR(AW$5-$AI152&lt;=0,$AM152="Não"),L152,L152+INDEX($AO$6:$BR$176,ROW()-5,COLUMN()-40-$AI152)))*IF($B152="Operacional",IFERROR(VLOOKUP($C152,SN_UGC,28,0),0),1)</f>
        <v>0</v>
      </c>
      <c r="AX152" s="140">
        <f t="array" ref="AX152">IF(ISBLANK($A152),0,IF(OR(AX$5-$AI152&lt;=0,$AM152="Não"),M152,M152+INDEX($AO$6:$BR$176,ROW()-5,COLUMN()-40-$AI152)))*IF($B152="Operacional",IFERROR(VLOOKUP($C152,SN_UGC,28,0),0),1)</f>
        <v>0</v>
      </c>
      <c r="AY152" s="140">
        <f t="array" ref="AY152">IF(ISBLANK($A152),0,IF(OR(AY$5-$AI152&lt;=0,$AM152="Não"),N152,N152+INDEX($AO$6:$BR$176,ROW()-5,COLUMN()-40-$AI152)))*IF($B152="Operacional",IFERROR(VLOOKUP($C152,SN_UGC,28,0),0),1)</f>
        <v>0</v>
      </c>
      <c r="AZ152" s="140">
        <f t="array" ref="AZ152">IF(ISBLANK($A152),0,IF(OR(AZ$5-$AI152&lt;=0,$AM152="Não"),O152,O152+INDEX($AO$6:$BR$176,ROW()-5,COLUMN()-40-$AI152)))*IF($B152="Operacional",IFERROR(VLOOKUP($C152,SN_UGC,28,0),0),1)</f>
        <v>0</v>
      </c>
      <c r="BA152" s="140">
        <f t="array" ref="BA152">IF(ISBLANK($A152),0,IF(OR(BA$5-$AI152&lt;=0,$AM152="Não"),P152,P152+INDEX($AO$6:$BR$176,ROW()-5,COLUMN()-40-$AI152)))*IF($B152="Operacional",IFERROR(VLOOKUP($C152,SN_UGC,28,0),0),1)</f>
        <v>0</v>
      </c>
      <c r="BB152" s="140">
        <f t="array" ref="BB152">IF(ISBLANK($A152),0,IF(OR(BB$5-$AI152&lt;=0,$AM152="Não"),Q152,Q152+INDEX($AO$6:$BR$176,ROW()-5,COLUMN()-40-$AI152)))*IF($B152="Operacional",IFERROR(VLOOKUP($C152,SN_UGC,28,0),0),1)</f>
        <v>0</v>
      </c>
      <c r="BC152" s="140">
        <f t="array" ref="BC152">IF(ISBLANK($A152),0,IF(OR(BC$5-$AI152&lt;=0,$AM152="Não"),R152,R152+INDEX($AO$6:$BR$176,ROW()-5,COLUMN()-40-$AI152)))*IF($B152="Operacional",IFERROR(VLOOKUP($C152,SN_UGC,28,0),0),1)</f>
        <v>0</v>
      </c>
      <c r="BD152" s="140">
        <f t="array" ref="BD152">IF(ISBLANK($A152),0,IF(OR(BD$5-$AI152&lt;=0,$AM152="Não"),S152,S152+INDEX($AO$6:$BR$176,ROW()-5,COLUMN()-40-$AI152)))*IF($B152="Operacional",IFERROR(VLOOKUP($C152,SN_UGC,28,0),0),1)</f>
        <v>0</v>
      </c>
      <c r="BE152" s="140">
        <f t="array" ref="BE152">IF(ISBLANK($A152),0,IF(OR(BE$5-$AI152&lt;=0,$AM152="Não"),T152,T152+INDEX($AO$6:$BR$176,ROW()-5,COLUMN()-40-$AI152)))*IF($B152="Operacional",IFERROR(VLOOKUP($C152,SN_UGC,28,0),0),1)</f>
        <v>0</v>
      </c>
      <c r="BF152" s="140">
        <f t="array" ref="BF152">IF(ISBLANK($A152),0,IF(OR(BF$5-$AI152&lt;=0,$AM152="Não"),U152,U152+INDEX($AO$6:$BR$176,ROW()-5,COLUMN()-40-$AI152)))*IF($B152="Operacional",IFERROR(VLOOKUP($C152,SN_UGC,28,0),0),1)</f>
        <v>0</v>
      </c>
      <c r="BG152" s="140">
        <f t="array" ref="BG152">IF(ISBLANK($A152),0,IF(OR(BG$5-$AI152&lt;=0,$AM152="Não"),V152,V152+INDEX($AO$6:$BR$176,ROW()-5,COLUMN()-40-$AI152)))*IF($B152="Operacional",IFERROR(VLOOKUP($C152,SN_UGC,28,0),0),1)</f>
        <v>0</v>
      </c>
      <c r="BH152" s="140">
        <f t="array" ref="BH152">IF(ISBLANK($A152),0,IF(OR(BH$5-$AI152&lt;=0,$AM152="Não"),W152,W152+INDEX($AO$6:$BR$176,ROW()-5,COLUMN()-40-$AI152)))*IF($B152="Operacional",IFERROR(VLOOKUP($C152,SN_UGC,28,0),0),1)</f>
        <v>0</v>
      </c>
      <c r="BI152" s="140">
        <f t="array" ref="BI152">IF(ISBLANK($A152),0,IF(OR(BI$5-$AI152&lt;=0,$AM152="Não"),X152,X152+INDEX($AO$6:$BR$176,ROW()-5,COLUMN()-40-$AI152)))*IF($B152="Operacional",IFERROR(VLOOKUP($C152,SN_UGC,28,0),0),1)</f>
        <v>0</v>
      </c>
      <c r="BJ152" s="140">
        <f t="array" ref="BJ152">IF(ISBLANK($A152),0,IF(OR(BJ$5-$AI152&lt;=0,$AM152="Não"),Y152,Y152+INDEX($AO$6:$BR$176,ROW()-5,COLUMN()-40-$AI152)))*IF($B152="Operacional",IFERROR(VLOOKUP($C152,SN_UGC,28,0),0),1)</f>
        <v>0</v>
      </c>
      <c r="BK152" s="140">
        <f t="array" ref="BK152">IF(ISBLANK($A152),0,IF(OR(BK$5-$AI152&lt;=0,$AM152="Não"),Z152,Z152+INDEX($AO$6:$BR$176,ROW()-5,COLUMN()-40-$AI152)))*IF($B152="Operacional",IFERROR(VLOOKUP($C152,SN_UGC,28,0),0),1)</f>
        <v>0</v>
      </c>
      <c r="BL152" s="140">
        <f t="array" ref="BL152">IF(ISBLANK($A152),0,IF(OR(BL$5-$AI152&lt;=0,$AM152="Não"),AA152,AA152+INDEX($AO$6:$BR$176,ROW()-5,COLUMN()-40-$AI152)))*IF($B152="Operacional",IFERROR(VLOOKUP($C152,SN_UGC,28,0),0),1)</f>
        <v>0</v>
      </c>
      <c r="BM152" s="140">
        <f t="array" ref="BM152">IF(ISBLANK($A152),0,IF(OR(BM$5-$AI152&lt;=0,$AM152="Não"),AB152,AB152+INDEX($AO$6:$BR$176,ROW()-5,COLUMN()-40-$AI152)))*IF($B152="Operacional",IFERROR(VLOOKUP($C152,SN_UGC,28,0),0),1)</f>
        <v>0</v>
      </c>
      <c r="BN152" s="140">
        <f t="array" ref="BN152">IF(ISBLANK($A152),0,IF(OR(BN$5-$AI152&lt;=0,$AM152="Não"),AC152,AC152+INDEX($AO$6:$BR$176,ROW()-5,COLUMN()-40-$AI152)))*IF($B152="Operacional",IFERROR(VLOOKUP($C152,SN_UGC,28,0),0),1)</f>
        <v>0</v>
      </c>
      <c r="BO152" s="140">
        <f t="array" ref="BO152">IF(ISBLANK($A152),0,IF(OR(BO$5-$AI152&lt;=0,$AM152="Não"),AD152,AD152+INDEX($AO$6:$BR$176,ROW()-5,COLUMN()-40-$AI152)))*IF($B152="Operacional",IFERROR(VLOOKUP($C152,SN_UGC,28,0),0),1)</f>
        <v>0</v>
      </c>
      <c r="BP152" s="140">
        <f t="array" ref="BP152">IF(ISBLANK($A152),0,IF(OR(BP$5-$AI152&lt;=0,$AM152="Não"),AE152,AE152+INDEX($AO$6:$BR$176,ROW()-5,COLUMN()-40-$AI152)))*IF($B152="Operacional",IFERROR(VLOOKUP($C152,SN_UGC,28,0),0),1)</f>
        <v>0</v>
      </c>
      <c r="BQ152" s="140">
        <f t="array" ref="BQ152">IF(ISBLANK($A152),0,IF(OR(BQ$5-$AI152&lt;=0,$AM152="Não"),AF152,AF152+INDEX($AO$6:$BR$176,ROW()-5,COLUMN()-40-$AI152)))*IF($B152="Operacional",IFERROR(VLOOKUP($C152,SN_UGC,28,0),0),1)</f>
        <v>0</v>
      </c>
      <c r="BR152" s="140">
        <f t="array" ref="BR152">IF(ISBLANK($A152),0,IF(OR(BR$5-$AI152&lt;=0,$AM152="Não"),AG152,AG152+INDEX($AO$6:$BR$176,ROW()-5,COLUMN()-40-$AI152)))*IF($B152="Operacional",IFERROR(VLOOKUP($C152,SN_UGC,28,0),0),1)</f>
        <v>0</v>
      </c>
      <c r="BS152" s="141">
        <f t="shared" ref="BS152:CV152" si="777">IF(ISBLANK($A152),0,$AH152*AO152)</f>
        <v>0</v>
      </c>
      <c r="BT152" s="141">
        <f t="shared" si="777"/>
        <v>0</v>
      </c>
      <c r="BU152" s="141">
        <f t="shared" si="777"/>
        <v>0</v>
      </c>
      <c r="BV152" s="141">
        <f t="shared" si="777"/>
        <v>0</v>
      </c>
      <c r="BW152" s="141">
        <f t="shared" si="777"/>
        <v>0</v>
      </c>
      <c r="BX152" s="141">
        <f t="shared" si="777"/>
        <v>0</v>
      </c>
      <c r="BY152" s="141">
        <f t="shared" si="777"/>
        <v>0</v>
      </c>
      <c r="BZ152" s="141">
        <f t="shared" si="777"/>
        <v>0</v>
      </c>
      <c r="CA152" s="141">
        <f t="shared" si="777"/>
        <v>0</v>
      </c>
      <c r="CB152" s="141">
        <f t="shared" si="777"/>
        <v>0</v>
      </c>
      <c r="CC152" s="141">
        <f t="shared" si="777"/>
        <v>0</v>
      </c>
      <c r="CD152" s="141">
        <f t="shared" si="777"/>
        <v>0</v>
      </c>
      <c r="CE152" s="141">
        <f t="shared" si="777"/>
        <v>0</v>
      </c>
      <c r="CF152" s="141">
        <f t="shared" si="777"/>
        <v>0</v>
      </c>
      <c r="CG152" s="141">
        <f t="shared" si="777"/>
        <v>0</v>
      </c>
      <c r="CH152" s="141">
        <f t="shared" si="777"/>
        <v>0</v>
      </c>
      <c r="CI152" s="141">
        <f t="shared" si="777"/>
        <v>0</v>
      </c>
      <c r="CJ152" s="141">
        <f t="shared" si="777"/>
        <v>0</v>
      </c>
      <c r="CK152" s="141">
        <f t="shared" si="777"/>
        <v>0</v>
      </c>
      <c r="CL152" s="141">
        <f t="shared" si="777"/>
        <v>0</v>
      </c>
      <c r="CM152" s="141">
        <f t="shared" si="777"/>
        <v>0</v>
      </c>
      <c r="CN152" s="141">
        <f t="shared" si="777"/>
        <v>0</v>
      </c>
      <c r="CO152" s="141">
        <f t="shared" si="777"/>
        <v>0</v>
      </c>
      <c r="CP152" s="141">
        <f t="shared" si="777"/>
        <v>0</v>
      </c>
      <c r="CQ152" s="141">
        <f t="shared" si="777"/>
        <v>0</v>
      </c>
      <c r="CR152" s="141">
        <f t="shared" si="777"/>
        <v>0</v>
      </c>
      <c r="CS152" s="141">
        <f t="shared" si="777"/>
        <v>0</v>
      </c>
      <c r="CT152" s="141">
        <f t="shared" si="777"/>
        <v>0</v>
      </c>
      <c r="CU152" s="141">
        <f t="shared" si="777"/>
        <v>0</v>
      </c>
      <c r="CV152" s="141">
        <f t="shared" si="777"/>
        <v>0</v>
      </c>
      <c r="CW152" s="142">
        <f t="shared" ref="CW152:DZ152" si="778">EA152*$AH152*$AJ152</f>
        <v>0</v>
      </c>
      <c r="CX152" s="142">
        <f t="shared" si="778"/>
        <v>0</v>
      </c>
      <c r="CY152" s="142">
        <f t="shared" si="778"/>
        <v>0</v>
      </c>
      <c r="CZ152" s="142">
        <f t="shared" si="778"/>
        <v>0</v>
      </c>
      <c r="DA152" s="142">
        <f t="shared" si="778"/>
        <v>0</v>
      </c>
      <c r="DB152" s="142">
        <f t="shared" si="778"/>
        <v>0</v>
      </c>
      <c r="DC152" s="142">
        <f t="shared" si="778"/>
        <v>0</v>
      </c>
      <c r="DD152" s="142">
        <f t="shared" si="778"/>
        <v>0</v>
      </c>
      <c r="DE152" s="142">
        <f t="shared" si="778"/>
        <v>0</v>
      </c>
      <c r="DF152" s="142">
        <f t="shared" si="778"/>
        <v>0</v>
      </c>
      <c r="DG152" s="142">
        <f t="shared" si="778"/>
        <v>0</v>
      </c>
      <c r="DH152" s="142">
        <f t="shared" si="778"/>
        <v>0</v>
      </c>
      <c r="DI152" s="142">
        <f t="shared" si="778"/>
        <v>0</v>
      </c>
      <c r="DJ152" s="142">
        <f t="shared" si="778"/>
        <v>0</v>
      </c>
      <c r="DK152" s="142">
        <f t="shared" si="778"/>
        <v>0</v>
      </c>
      <c r="DL152" s="142">
        <f t="shared" si="778"/>
        <v>0</v>
      </c>
      <c r="DM152" s="142">
        <f t="shared" si="778"/>
        <v>0</v>
      </c>
      <c r="DN152" s="142">
        <f t="shared" si="778"/>
        <v>0</v>
      </c>
      <c r="DO152" s="142">
        <f t="shared" si="778"/>
        <v>0</v>
      </c>
      <c r="DP152" s="142">
        <f t="shared" si="778"/>
        <v>0</v>
      </c>
      <c r="DQ152" s="142">
        <f t="shared" si="778"/>
        <v>0</v>
      </c>
      <c r="DR152" s="142">
        <f t="shared" si="778"/>
        <v>0</v>
      </c>
      <c r="DS152" s="142">
        <f t="shared" si="778"/>
        <v>0</v>
      </c>
      <c r="DT152" s="142">
        <f t="shared" si="778"/>
        <v>0</v>
      </c>
      <c r="DU152" s="142">
        <f t="shared" si="778"/>
        <v>0</v>
      </c>
      <c r="DV152" s="142">
        <f t="shared" si="778"/>
        <v>0</v>
      </c>
      <c r="DW152" s="142">
        <f t="shared" si="778"/>
        <v>0</v>
      </c>
      <c r="DX152" s="142">
        <f t="shared" si="778"/>
        <v>0</v>
      </c>
      <c r="DY152" s="142">
        <f t="shared" si="778"/>
        <v>0</v>
      </c>
      <c r="DZ152" s="142">
        <f t="shared" si="778"/>
        <v>0</v>
      </c>
      <c r="EA152" s="143">
        <f t="shared" si="670"/>
        <v>0</v>
      </c>
      <c r="EB152" s="143">
        <f t="shared" si="671"/>
        <v>0</v>
      </c>
      <c r="EC152" s="143">
        <f t="shared" si="672"/>
        <v>0</v>
      </c>
      <c r="ED152" s="143">
        <f t="shared" si="673"/>
        <v>0</v>
      </c>
      <c r="EE152" s="143">
        <f t="shared" si="674"/>
        <v>0</v>
      </c>
      <c r="EF152" s="143">
        <f t="shared" si="675"/>
        <v>0</v>
      </c>
      <c r="EG152" s="143">
        <f t="shared" si="676"/>
        <v>0</v>
      </c>
      <c r="EH152" s="143">
        <f t="shared" si="677"/>
        <v>0</v>
      </c>
      <c r="EI152" s="143">
        <f t="shared" si="678"/>
        <v>0</v>
      </c>
      <c r="EJ152" s="143">
        <f t="shared" si="679"/>
        <v>0</v>
      </c>
      <c r="EK152" s="143">
        <f t="shared" si="680"/>
        <v>0</v>
      </c>
      <c r="EL152" s="143">
        <f t="shared" si="681"/>
        <v>0</v>
      </c>
      <c r="EM152" s="143">
        <f t="shared" si="682"/>
        <v>0</v>
      </c>
      <c r="EN152" s="143">
        <f t="shared" si="683"/>
        <v>0</v>
      </c>
      <c r="EO152" s="143">
        <f t="shared" si="684"/>
        <v>0</v>
      </c>
      <c r="EP152" s="143">
        <f t="shared" si="685"/>
        <v>0</v>
      </c>
      <c r="EQ152" s="143">
        <f t="shared" si="686"/>
        <v>0</v>
      </c>
      <c r="ER152" s="143">
        <f t="shared" si="687"/>
        <v>0</v>
      </c>
      <c r="ES152" s="143">
        <f t="shared" si="688"/>
        <v>0</v>
      </c>
      <c r="ET152" s="143">
        <f t="shared" si="689"/>
        <v>0</v>
      </c>
      <c r="EU152" s="143">
        <f t="shared" si="690"/>
        <v>0</v>
      </c>
      <c r="EV152" s="143">
        <f t="shared" si="691"/>
        <v>0</v>
      </c>
      <c r="EW152" s="143">
        <f t="shared" si="692"/>
        <v>0</v>
      </c>
      <c r="EX152" s="143">
        <f t="shared" si="693"/>
        <v>0</v>
      </c>
      <c r="EY152" s="143">
        <f t="shared" si="694"/>
        <v>0</v>
      </c>
      <c r="EZ152" s="143">
        <f t="shared" si="695"/>
        <v>0</v>
      </c>
      <c r="FA152" s="143">
        <f t="shared" si="696"/>
        <v>0</v>
      </c>
      <c r="FB152" s="143">
        <f t="shared" si="697"/>
        <v>0</v>
      </c>
      <c r="FC152" s="143">
        <f t="shared" si="698"/>
        <v>0</v>
      </c>
      <c r="FD152" s="143">
        <f t="shared" si="699"/>
        <v>0</v>
      </c>
      <c r="FE152" s="140">
        <f>SUM($D152:D152)*IF($B152="Operacional",IFERROR(VLOOKUP($C152,SN_UGC,28,0),0),1)</f>
        <v>0</v>
      </c>
      <c r="FF152" s="140">
        <f>SUM($D152:E152)*IF($B152="Operacional",IFERROR(VLOOKUP($C152,SN_UGC,28,0),0),1)</f>
        <v>0</v>
      </c>
      <c r="FG152" s="140">
        <f>SUM($D152:F152)*IF($B152="Operacional",IFERROR(VLOOKUP($C152,SN_UGC,28,0),0),1)</f>
        <v>0</v>
      </c>
      <c r="FH152" s="140">
        <f>SUM($D152:G152)*IF($B152="Operacional",IFERROR(VLOOKUP($C152,SN_UGC,28,0),0),1)</f>
        <v>0</v>
      </c>
      <c r="FI152" s="140">
        <f>SUM($D152:H152)*IF($B152="Operacional",IFERROR(VLOOKUP($C152,SN_UGC,28,0),0),1)</f>
        <v>0</v>
      </c>
      <c r="FJ152" s="140">
        <f>SUM($D152:I152)*IF($B152="Operacional",IFERROR(VLOOKUP($C152,SN_UGC,28,0),0),1)</f>
        <v>0</v>
      </c>
      <c r="FK152" s="140">
        <f>SUM($D152:J152)*IF($B152="Operacional",IFERROR(VLOOKUP($C152,SN_UGC,28,0),0),1)</f>
        <v>0</v>
      </c>
      <c r="FL152" s="140">
        <f>SUM($D152:K152)*IF($B152="Operacional",IFERROR(VLOOKUP($C152,SN_UGC,28,0),0),1)</f>
        <v>0</v>
      </c>
      <c r="FM152" s="140">
        <f>SUM($D152:L152)*IF($B152="Operacional",IFERROR(VLOOKUP($C152,SN_UGC,28,0),0),1)</f>
        <v>0</v>
      </c>
      <c r="FN152" s="140">
        <f>SUM($D152:M152)*IF($B152="Operacional",IFERROR(VLOOKUP($C152,SN_UGC,28,0),0),1)</f>
        <v>0</v>
      </c>
      <c r="FO152" s="140">
        <f>SUM($D152:N152)*IF($B152="Operacional",IFERROR(VLOOKUP($C152,SN_UGC,28,0),0),1)</f>
        <v>0</v>
      </c>
      <c r="FP152" s="140">
        <f>SUM($D152:O152)*IF($B152="Operacional",IFERROR(VLOOKUP($C152,SN_UGC,28,0),0),1)</f>
        <v>0</v>
      </c>
      <c r="FQ152" s="140">
        <f>SUM($D152:P152)*IF($B152="Operacional",IFERROR(VLOOKUP($C152,SN_UGC,28,0),0),1)</f>
        <v>0</v>
      </c>
      <c r="FR152" s="140">
        <f>SUM($D152:Q152)*IF($B152="Operacional",IFERROR(VLOOKUP($C152,SN_UGC,28,0),0),1)</f>
        <v>0</v>
      </c>
      <c r="FS152" s="140">
        <f>SUM($D152:R152)*IF($B152="Operacional",IFERROR(VLOOKUP($C152,SN_UGC,28,0),0),1)</f>
        <v>0</v>
      </c>
      <c r="FT152" s="140">
        <f>SUM($D152:S152)*IF($B152="Operacional",IFERROR(VLOOKUP($C152,SN_UGC,28,0),0),1)</f>
        <v>0</v>
      </c>
      <c r="FU152" s="140">
        <f>SUM($D152:T152)*IF($B152="Operacional",IFERROR(VLOOKUP($C152,SN_UGC,28,0),0),1)</f>
        <v>0</v>
      </c>
      <c r="FV152" s="140">
        <f>SUM($D152:U152)*IF($B152="Operacional",IFERROR(VLOOKUP($C152,SN_UGC,28,0),0),1)</f>
        <v>0</v>
      </c>
      <c r="FW152" s="140">
        <f>SUM($D152:V152)*IF($B152="Operacional",IFERROR(VLOOKUP($C152,SN_UGC,28,0),0),1)</f>
        <v>0</v>
      </c>
      <c r="FX152" s="140">
        <f>SUM($D152:W152)*IF($B152="Operacional",IFERROR(VLOOKUP($C152,SN_UGC,28,0),0),1)</f>
        <v>0</v>
      </c>
      <c r="FY152" s="140">
        <f>SUM($D152:X152)*IF($B152="Operacional",IFERROR(VLOOKUP($C152,SN_UGC,28,0),0),1)</f>
        <v>0</v>
      </c>
      <c r="FZ152" s="140">
        <f>SUM($D152:Y152)*IF($B152="Operacional",IFERROR(VLOOKUP($C152,SN_UGC,28,0),0),1)</f>
        <v>0</v>
      </c>
      <c r="GA152" s="140">
        <f>SUM($D152:Z152)*IF($B152="Operacional",IFERROR(VLOOKUP($C152,SN_UGC,28,0),0),1)</f>
        <v>0</v>
      </c>
      <c r="GB152" s="140">
        <f>SUM($D152:AA152)*IF($B152="Operacional",IFERROR(VLOOKUP($C152,SN_UGC,28,0),0),1)</f>
        <v>0</v>
      </c>
      <c r="GC152" s="140">
        <f>SUM($D152:AB152)*IF($B152="Operacional",IFERROR(VLOOKUP($C152,SN_UGC,28,0),0),1)</f>
        <v>0</v>
      </c>
      <c r="GD152" s="140">
        <f>SUM($D152:AC152)*IF($B152="Operacional",IFERROR(VLOOKUP($C152,SN_UGC,28,0),0),1)</f>
        <v>0</v>
      </c>
      <c r="GE152" s="140">
        <f>SUM($D152:AD152)*IF($B152="Operacional",IFERROR(VLOOKUP($C152,SN_UGC,28,0),0),1)</f>
        <v>0</v>
      </c>
      <c r="GF152" s="140">
        <f>SUM($D152:AE152)*IF($B152="Operacional",IFERROR(VLOOKUP($C152,SN_UGC,28,0),0),1)</f>
        <v>0</v>
      </c>
      <c r="GG152" s="140">
        <f>SUM($D152:AF152)*IF($B152="Operacional",IFERROR(VLOOKUP($C152,SN_UGC,28,0),0),1)</f>
        <v>0</v>
      </c>
      <c r="GH152" s="140">
        <f>SUM($D152:AG152)*IF($B152="Operacional",IFERROR(VLOOKUP($C152,SN_UGC,28,0),0),1)</f>
        <v>0</v>
      </c>
      <c r="GI152" s="141">
        <f t="shared" ref="GI152:HL152" si="779">FE152*$AH152*$AL152</f>
        <v>0</v>
      </c>
      <c r="GJ152" s="141">
        <f t="shared" si="779"/>
        <v>0</v>
      </c>
      <c r="GK152" s="141">
        <f t="shared" si="779"/>
        <v>0</v>
      </c>
      <c r="GL152" s="141">
        <f t="shared" si="779"/>
        <v>0</v>
      </c>
      <c r="GM152" s="141">
        <f t="shared" si="779"/>
        <v>0</v>
      </c>
      <c r="GN152" s="141">
        <f t="shared" si="779"/>
        <v>0</v>
      </c>
      <c r="GO152" s="141">
        <f t="shared" si="779"/>
        <v>0</v>
      </c>
      <c r="GP152" s="141">
        <f t="shared" si="779"/>
        <v>0</v>
      </c>
      <c r="GQ152" s="141">
        <f t="shared" si="779"/>
        <v>0</v>
      </c>
      <c r="GR152" s="141">
        <f t="shared" si="779"/>
        <v>0</v>
      </c>
      <c r="GS152" s="141">
        <f t="shared" si="779"/>
        <v>0</v>
      </c>
      <c r="GT152" s="141">
        <f t="shared" si="779"/>
        <v>0</v>
      </c>
      <c r="GU152" s="141">
        <f t="shared" si="779"/>
        <v>0</v>
      </c>
      <c r="GV152" s="141">
        <f t="shared" si="779"/>
        <v>0</v>
      </c>
      <c r="GW152" s="141">
        <f t="shared" si="779"/>
        <v>0</v>
      </c>
      <c r="GX152" s="141">
        <f t="shared" si="779"/>
        <v>0</v>
      </c>
      <c r="GY152" s="141">
        <f t="shared" si="779"/>
        <v>0</v>
      </c>
      <c r="GZ152" s="141">
        <f t="shared" si="779"/>
        <v>0</v>
      </c>
      <c r="HA152" s="141">
        <f t="shared" si="779"/>
        <v>0</v>
      </c>
      <c r="HB152" s="141">
        <f t="shared" si="779"/>
        <v>0</v>
      </c>
      <c r="HC152" s="141">
        <f t="shared" si="779"/>
        <v>0</v>
      </c>
      <c r="HD152" s="141">
        <f t="shared" si="779"/>
        <v>0</v>
      </c>
      <c r="HE152" s="141">
        <f t="shared" si="779"/>
        <v>0</v>
      </c>
      <c r="HF152" s="141">
        <f t="shared" si="779"/>
        <v>0</v>
      </c>
      <c r="HG152" s="141">
        <f t="shared" si="779"/>
        <v>0</v>
      </c>
      <c r="HH152" s="141">
        <f t="shared" si="779"/>
        <v>0</v>
      </c>
      <c r="HI152" s="141">
        <f t="shared" si="779"/>
        <v>0</v>
      </c>
      <c r="HJ152" s="141">
        <f t="shared" si="779"/>
        <v>0</v>
      </c>
      <c r="HK152" s="141">
        <f t="shared" si="779"/>
        <v>0</v>
      </c>
      <c r="HL152" s="141">
        <f t="shared" si="779"/>
        <v>0</v>
      </c>
      <c r="HM152" s="142">
        <f t="shared" ref="HM152:IP152" si="780">IF(ISBLANK($A152),,FE152*($AH152-($AH152*$AJ152))/$AI152)</f>
        <v>0</v>
      </c>
      <c r="HN152" s="142">
        <f t="shared" si="780"/>
        <v>0</v>
      </c>
      <c r="HO152" s="142">
        <f t="shared" si="780"/>
        <v>0</v>
      </c>
      <c r="HP152" s="142">
        <f t="shared" si="780"/>
        <v>0</v>
      </c>
      <c r="HQ152" s="142">
        <f t="shared" si="780"/>
        <v>0</v>
      </c>
      <c r="HR152" s="142">
        <f t="shared" si="780"/>
        <v>0</v>
      </c>
      <c r="HS152" s="142">
        <f t="shared" si="780"/>
        <v>0</v>
      </c>
      <c r="HT152" s="142">
        <f t="shared" si="780"/>
        <v>0</v>
      </c>
      <c r="HU152" s="142">
        <f t="shared" si="780"/>
        <v>0</v>
      </c>
      <c r="HV152" s="142">
        <f t="shared" si="780"/>
        <v>0</v>
      </c>
      <c r="HW152" s="142">
        <f t="shared" si="780"/>
        <v>0</v>
      </c>
      <c r="HX152" s="142">
        <f t="shared" si="780"/>
        <v>0</v>
      </c>
      <c r="HY152" s="142">
        <f t="shared" si="780"/>
        <v>0</v>
      </c>
      <c r="HZ152" s="142">
        <f t="shared" si="780"/>
        <v>0</v>
      </c>
      <c r="IA152" s="142">
        <f t="shared" si="780"/>
        <v>0</v>
      </c>
      <c r="IB152" s="142">
        <f t="shared" si="780"/>
        <v>0</v>
      </c>
      <c r="IC152" s="142">
        <f t="shared" si="780"/>
        <v>0</v>
      </c>
      <c r="ID152" s="142">
        <f t="shared" si="780"/>
        <v>0</v>
      </c>
      <c r="IE152" s="142">
        <f t="shared" si="780"/>
        <v>0</v>
      </c>
      <c r="IF152" s="142">
        <f t="shared" si="780"/>
        <v>0</v>
      </c>
      <c r="IG152" s="142">
        <f t="shared" si="780"/>
        <v>0</v>
      </c>
      <c r="IH152" s="142">
        <f t="shared" si="780"/>
        <v>0</v>
      </c>
      <c r="II152" s="142">
        <f t="shared" si="780"/>
        <v>0</v>
      </c>
      <c r="IJ152" s="142">
        <f t="shared" si="780"/>
        <v>0</v>
      </c>
      <c r="IK152" s="142">
        <f t="shared" si="780"/>
        <v>0</v>
      </c>
      <c r="IL152" s="142">
        <f t="shared" si="780"/>
        <v>0</v>
      </c>
      <c r="IM152" s="142">
        <f t="shared" si="780"/>
        <v>0</v>
      </c>
      <c r="IN152" s="142">
        <f t="shared" si="780"/>
        <v>0</v>
      </c>
      <c r="IO152" s="142">
        <f t="shared" si="780"/>
        <v>0</v>
      </c>
      <c r="IP152" s="142">
        <f t="shared" si="780"/>
        <v>0</v>
      </c>
      <c r="IQ152" s="141">
        <f>IF(ISBLANK($A152),,IF($AN152="Não",0,(SUM($AO152:AO152)*$AH152)-SUM($HM152:HM152)-SUM($CW152:CW152)))</f>
        <v>0</v>
      </c>
      <c r="IR152" s="141">
        <f>IF(ISBLANK($A152),,IF($AN152="Não",0,(SUM($AO152:AP152)*$AH152)-SUM($HM152:HN152)-SUM($CW152:CX152)))</f>
        <v>0</v>
      </c>
      <c r="IS152" s="141">
        <f>IF(ISBLANK($A152),,IF($AN152="Não",0,(SUM($AO152:AQ152)*$AH152)-SUM($HM152:HO152)-SUM($CW152:CY152)))</f>
        <v>0</v>
      </c>
      <c r="IT152" s="141">
        <f>IF(ISBLANK($A152),,IF($AN152="Não",0,(SUM($AO152:AR152)*$AH152)-SUM($HM152:HP152)-SUM($CW152:CZ152)))</f>
        <v>0</v>
      </c>
      <c r="IU152" s="141">
        <f>IF(ISBLANK($A152),,IF($AN152="Não",0,(SUM($AO152:AS152)*$AH152)-SUM($HM152:HQ152)-SUM($CW152:DA152)))</f>
        <v>0</v>
      </c>
      <c r="IV152" s="141">
        <f>IF(ISBLANK($A152),,IF($AN152="Não",0,(SUM($AO152:AT152)*$AH152)-SUM($HM152:HR152)-SUM($CW152:DB152)))</f>
        <v>0</v>
      </c>
      <c r="IW152" s="141">
        <f>IF(ISBLANK($A152),,IF($AN152="Não",0,(SUM($AO152:AU152)*$AH152)-SUM($HM152:HS152)-SUM($CW152:DC152)))</f>
        <v>0</v>
      </c>
      <c r="IX152" s="141">
        <f>IF(ISBLANK($A152),,IF($AN152="Não",0,(SUM($AO152:AV152)*$AH152)-SUM($HM152:HT152)-SUM($CW152:DD152)))</f>
        <v>0</v>
      </c>
      <c r="IY152" s="141">
        <f>IF(ISBLANK($A152),,IF($AN152="Não",0,(SUM($AO152:AW152)*$AH152)-SUM($HM152:HU152)-SUM($CW152:DE152)))</f>
        <v>0</v>
      </c>
      <c r="IZ152" s="141">
        <f>IF(ISBLANK($A152),,IF($AN152="Não",0,(SUM($AO152:AX152)*$AH152)-SUM($HM152:HV152)-SUM($CW152:DF152)))</f>
        <v>0</v>
      </c>
      <c r="JA152" s="141">
        <f>IF(ISBLANK($A152),,IF($AN152="Não",0,(SUM($AO152:AY152)*$AH152)-SUM($HM152:HW152)-SUM($CW152:DG152)))</f>
        <v>0</v>
      </c>
      <c r="JB152" s="141">
        <f>IF(ISBLANK($A152),,IF($AN152="Não",0,(SUM($AO152:AZ152)*$AH152)-SUM($HM152:HX152)-SUM($CW152:DH152)))</f>
        <v>0</v>
      </c>
      <c r="JC152" s="141">
        <f>IF(ISBLANK($A152),,IF($AN152="Não",0,(SUM($AO152:BA152)*$AH152)-SUM($HM152:HY152)-SUM($CW152:DI152)))</f>
        <v>0</v>
      </c>
      <c r="JD152" s="141">
        <f>IF(ISBLANK($A152),,IF($AN152="Não",0,(SUM($AO152:BB152)*$AH152)-SUM($HM152:HZ152)-SUM($CW152:DJ152)))</f>
        <v>0</v>
      </c>
      <c r="JE152" s="141">
        <f>IF(ISBLANK($A152),,IF($AN152="Não",0,(SUM($AO152:BC152)*$AH152)-SUM($HM152:IA152)-SUM($CW152:DK152)))</f>
        <v>0</v>
      </c>
      <c r="JF152" s="141">
        <f>IF(ISBLANK($A152),,IF($AN152="Não",0,(SUM($AO152:BD152)*$AH152)-SUM($HM152:IB152)-SUM($CW152:DL152)))</f>
        <v>0</v>
      </c>
      <c r="JG152" s="141">
        <f>IF(ISBLANK($A152),,IF($AN152="Não",0,(SUM($AO152:BE152)*$AH152)-SUM($HM152:IC152)-SUM($CW152:DM152)))</f>
        <v>0</v>
      </c>
      <c r="JH152" s="141">
        <f>IF(ISBLANK($A152),,IF($AN152="Não",0,(SUM($AO152:BF152)*$AH152)-SUM($HM152:ID152)-SUM($CW152:DN152)))</f>
        <v>0</v>
      </c>
      <c r="JI152" s="141">
        <f>IF(ISBLANK($A152),,IF($AN152="Não",0,(SUM($AO152:BG152)*$AH152)-SUM($HM152:IE152)-SUM($CW152:DO152)))</f>
        <v>0</v>
      </c>
      <c r="JJ152" s="141">
        <f>IF(ISBLANK($A152),,IF($AN152="Não",0,(SUM($AO152:BH152)*$AH152)-SUM($HM152:IF152)-SUM($CW152:DP152)))</f>
        <v>0</v>
      </c>
      <c r="JK152" s="141">
        <f>IF(ISBLANK($A152),,IF($AN152="Não",0,(SUM($AO152:BI152)*$AH152)-SUM($HM152:IG152)-SUM($CW152:DQ152)))</f>
        <v>0</v>
      </c>
      <c r="JL152" s="141">
        <f>IF(ISBLANK($A152),,IF($AN152="Não",0,(SUM($AO152:BJ152)*$AH152)-SUM($HM152:IH152)-SUM($CW152:DR152)))</f>
        <v>0</v>
      </c>
      <c r="JM152" s="141">
        <f>IF(ISBLANK($A152),,IF($AN152="Não",0,(SUM($AO152:BK152)*$AH152)-SUM($HM152:II152)-SUM($CW152:DS152)))</f>
        <v>0</v>
      </c>
      <c r="JN152" s="141">
        <f>IF(ISBLANK($A152),,IF($AN152="Não",0,(SUM($AO152:BL152)*$AH152)-SUM($HM152:IJ152)-SUM($CW152:DT152)))</f>
        <v>0</v>
      </c>
      <c r="JO152" s="141">
        <f>IF(ISBLANK($A152),,IF($AN152="Não",0,(SUM($AO152:BM152)*$AH152)-SUM($HM152:IK152)-SUM($CW152:DU152)))</f>
        <v>0</v>
      </c>
      <c r="JP152" s="141">
        <f>IF(ISBLANK($A152),,IF($AN152="Não",0,(SUM($AO152:BN152)*$AH152)-SUM($HM152:IL152)-SUM($CW152:DV152)))</f>
        <v>0</v>
      </c>
      <c r="JQ152" s="141">
        <f>IF(ISBLANK($A152),,IF($AN152="Não",0,(SUM($AO152:BO152)*$AH152)-SUM($HM152:IM152)-SUM($CW152:DW152)))</f>
        <v>0</v>
      </c>
      <c r="JR152" s="141">
        <f>IF(ISBLANK($A152),,IF($AN152="Não",0,(SUM($AO152:BP152)*$AH152)-SUM($HM152:IN152)-SUM($CW152:DX152)))</f>
        <v>0</v>
      </c>
      <c r="JS152" s="141">
        <f>IF(ISBLANK($A152),,IF($AN152="Não",0,(SUM($AO152:BQ152)*$AH152)-SUM($HM152:IO152)-SUM($CW152:DY152)))</f>
        <v>0</v>
      </c>
      <c r="JT152" s="141">
        <f>IF(ISBLANK($A152),,IF($AN152="Não",0,(SUM($AO152:BR152)*$AH152)-SUM($HM152:IP152)-SUM($CW152:DZ152)))</f>
        <v>0</v>
      </c>
    </row>
    <row r="153" spans="1:280" ht="15.75" customHeight="1">
      <c r="A153" s="129"/>
      <c r="B153" s="129"/>
      <c r="C153" s="138"/>
      <c r="D153" s="139"/>
      <c r="E153" s="139"/>
      <c r="F153" s="139"/>
      <c r="G153" s="139"/>
      <c r="H153" s="139"/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607">
        <f t="shared" si="710"/>
        <v>0</v>
      </c>
      <c r="AI153" s="608">
        <f t="shared" si="711"/>
        <v>0</v>
      </c>
      <c r="AJ153" s="609">
        <f t="shared" si="712"/>
        <v>0</v>
      </c>
      <c r="AK153" s="610" t="str">
        <f t="shared" si="713"/>
        <v/>
      </c>
      <c r="AL153" s="609">
        <f t="shared" si="714"/>
        <v>0</v>
      </c>
      <c r="AM153" s="611" t="str">
        <f t="shared" si="715"/>
        <v/>
      </c>
      <c r="AN153" s="611" t="str">
        <f t="shared" si="716"/>
        <v/>
      </c>
      <c r="AO153" s="140">
        <f t="array" ref="AO153">IF(ISBLANK($A153),0,IF(OR(AO$5-$AI153&lt;=0,$AM153="Não"),D153,D153+INDEX($AO$6:$BR$176,ROW()-5,COLUMN()-40-$AI153)))*IF($B153="Operacional",IFERROR(VLOOKUP($C153,SN_UGC,28,0),0),1)</f>
        <v>0</v>
      </c>
      <c r="AP153" s="140">
        <f t="array" ref="AP153">IF(ISBLANK($A153),0,IF(OR(AP$5-$AI153&lt;=0,$AM153="Não"),E153,E153+INDEX($AO$6:$BR$176,ROW()-5,COLUMN()-40-$AI153)))*IF($B153="Operacional",IFERROR(VLOOKUP($C153,SN_UGC,28,0),0),1)</f>
        <v>0</v>
      </c>
      <c r="AQ153" s="140">
        <f t="array" ref="AQ153">IF(ISBLANK($A153),0,IF(OR(AQ$5-$AI153&lt;=0,$AM153="Não"),F153,F153+INDEX($AO$6:$BR$176,ROW()-5,COLUMN()-40-$AI153)))*IF($B153="Operacional",IFERROR(VLOOKUP($C153,SN_UGC,28,0),0),1)</f>
        <v>0</v>
      </c>
      <c r="AR153" s="140">
        <f t="array" ref="AR153">IF(ISBLANK($A153),0,IF(OR(AR$5-$AI153&lt;=0,$AM153="Não"),G153,G153+INDEX($AO$6:$BR$176,ROW()-5,COLUMN()-40-$AI153)))*IF($B153="Operacional",IFERROR(VLOOKUP($C153,SN_UGC,28,0),0),1)</f>
        <v>0</v>
      </c>
      <c r="AS153" s="140">
        <f t="array" ref="AS153">IF(ISBLANK($A153),0,IF(OR(AS$5-$AI153&lt;=0,$AM153="Não"),H153,H153+INDEX($AO$6:$BR$176,ROW()-5,COLUMN()-40-$AI153)))*IF($B153="Operacional",IFERROR(VLOOKUP($C153,SN_UGC,28,0),0),1)</f>
        <v>0</v>
      </c>
      <c r="AT153" s="140">
        <f t="array" ref="AT153">IF(ISBLANK($A153),0,IF(OR(AT$5-$AI153&lt;=0,$AM153="Não"),I153,I153+INDEX($AO$6:$BR$176,ROW()-5,COLUMN()-40-$AI153)))*IF($B153="Operacional",IFERROR(VLOOKUP($C153,SN_UGC,28,0),0),1)</f>
        <v>0</v>
      </c>
      <c r="AU153" s="140">
        <f t="array" ref="AU153">IF(ISBLANK($A153),0,IF(OR(AU$5-$AI153&lt;=0,$AM153="Não"),J153,J153+INDEX($AO$6:$BR$176,ROW()-5,COLUMN()-40-$AI153)))*IF($B153="Operacional",IFERROR(VLOOKUP($C153,SN_UGC,28,0),0),1)</f>
        <v>0</v>
      </c>
      <c r="AV153" s="140">
        <f t="array" ref="AV153">IF(ISBLANK($A153),0,IF(OR(AV$5-$AI153&lt;=0,$AM153="Não"),K153,K153+INDEX($AO$6:$BR$176,ROW()-5,COLUMN()-40-$AI153)))*IF($B153="Operacional",IFERROR(VLOOKUP($C153,SN_UGC,28,0),0),1)</f>
        <v>0</v>
      </c>
      <c r="AW153" s="140">
        <f t="array" ref="AW153">IF(ISBLANK($A153),0,IF(OR(AW$5-$AI153&lt;=0,$AM153="Não"),L153,L153+INDEX($AO$6:$BR$176,ROW()-5,COLUMN()-40-$AI153)))*IF($B153="Operacional",IFERROR(VLOOKUP($C153,SN_UGC,28,0),0),1)</f>
        <v>0</v>
      </c>
      <c r="AX153" s="140">
        <f t="array" ref="AX153">IF(ISBLANK($A153),0,IF(OR(AX$5-$AI153&lt;=0,$AM153="Não"),M153,M153+INDEX($AO$6:$BR$176,ROW()-5,COLUMN()-40-$AI153)))*IF($B153="Operacional",IFERROR(VLOOKUP($C153,SN_UGC,28,0),0),1)</f>
        <v>0</v>
      </c>
      <c r="AY153" s="140">
        <f t="array" ref="AY153">IF(ISBLANK($A153),0,IF(OR(AY$5-$AI153&lt;=0,$AM153="Não"),N153,N153+INDEX($AO$6:$BR$176,ROW()-5,COLUMN()-40-$AI153)))*IF($B153="Operacional",IFERROR(VLOOKUP($C153,SN_UGC,28,0),0),1)</f>
        <v>0</v>
      </c>
      <c r="AZ153" s="140">
        <f t="array" ref="AZ153">IF(ISBLANK($A153),0,IF(OR(AZ$5-$AI153&lt;=0,$AM153="Não"),O153,O153+INDEX($AO$6:$BR$176,ROW()-5,COLUMN()-40-$AI153)))*IF($B153="Operacional",IFERROR(VLOOKUP($C153,SN_UGC,28,0),0),1)</f>
        <v>0</v>
      </c>
      <c r="BA153" s="140">
        <f t="array" ref="BA153">IF(ISBLANK($A153),0,IF(OR(BA$5-$AI153&lt;=0,$AM153="Não"),P153,P153+INDEX($AO$6:$BR$176,ROW()-5,COLUMN()-40-$AI153)))*IF($B153="Operacional",IFERROR(VLOOKUP($C153,SN_UGC,28,0),0),1)</f>
        <v>0</v>
      </c>
      <c r="BB153" s="140">
        <f t="array" ref="BB153">IF(ISBLANK($A153),0,IF(OR(BB$5-$AI153&lt;=0,$AM153="Não"),Q153,Q153+INDEX($AO$6:$BR$176,ROW()-5,COLUMN()-40-$AI153)))*IF($B153="Operacional",IFERROR(VLOOKUP($C153,SN_UGC,28,0),0),1)</f>
        <v>0</v>
      </c>
      <c r="BC153" s="140">
        <f t="array" ref="BC153">IF(ISBLANK($A153),0,IF(OR(BC$5-$AI153&lt;=0,$AM153="Não"),R153,R153+INDEX($AO$6:$BR$176,ROW()-5,COLUMN()-40-$AI153)))*IF($B153="Operacional",IFERROR(VLOOKUP($C153,SN_UGC,28,0),0),1)</f>
        <v>0</v>
      </c>
      <c r="BD153" s="140">
        <f t="array" ref="BD153">IF(ISBLANK($A153),0,IF(OR(BD$5-$AI153&lt;=0,$AM153="Não"),S153,S153+INDEX($AO$6:$BR$176,ROW()-5,COLUMN()-40-$AI153)))*IF($B153="Operacional",IFERROR(VLOOKUP($C153,SN_UGC,28,0),0),1)</f>
        <v>0</v>
      </c>
      <c r="BE153" s="140">
        <f t="array" ref="BE153">IF(ISBLANK($A153),0,IF(OR(BE$5-$AI153&lt;=0,$AM153="Não"),T153,T153+INDEX($AO$6:$BR$176,ROW()-5,COLUMN()-40-$AI153)))*IF($B153="Operacional",IFERROR(VLOOKUP($C153,SN_UGC,28,0),0),1)</f>
        <v>0</v>
      </c>
      <c r="BF153" s="140">
        <f t="array" ref="BF153">IF(ISBLANK($A153),0,IF(OR(BF$5-$AI153&lt;=0,$AM153="Não"),U153,U153+INDEX($AO$6:$BR$176,ROW()-5,COLUMN()-40-$AI153)))*IF($B153="Operacional",IFERROR(VLOOKUP($C153,SN_UGC,28,0),0),1)</f>
        <v>0</v>
      </c>
      <c r="BG153" s="140">
        <f t="array" ref="BG153">IF(ISBLANK($A153),0,IF(OR(BG$5-$AI153&lt;=0,$AM153="Não"),V153,V153+INDEX($AO$6:$BR$176,ROW()-5,COLUMN()-40-$AI153)))*IF($B153="Operacional",IFERROR(VLOOKUP($C153,SN_UGC,28,0),0),1)</f>
        <v>0</v>
      </c>
      <c r="BH153" s="140">
        <f t="array" ref="BH153">IF(ISBLANK($A153),0,IF(OR(BH$5-$AI153&lt;=0,$AM153="Não"),W153,W153+INDEX($AO$6:$BR$176,ROW()-5,COLUMN()-40-$AI153)))*IF($B153="Operacional",IFERROR(VLOOKUP($C153,SN_UGC,28,0),0),1)</f>
        <v>0</v>
      </c>
      <c r="BI153" s="140">
        <f t="array" ref="BI153">IF(ISBLANK($A153),0,IF(OR(BI$5-$AI153&lt;=0,$AM153="Não"),X153,X153+INDEX($AO$6:$BR$176,ROW()-5,COLUMN()-40-$AI153)))*IF($B153="Operacional",IFERROR(VLOOKUP($C153,SN_UGC,28,0),0),1)</f>
        <v>0</v>
      </c>
      <c r="BJ153" s="140">
        <f t="array" ref="BJ153">IF(ISBLANK($A153),0,IF(OR(BJ$5-$AI153&lt;=0,$AM153="Não"),Y153,Y153+INDEX($AO$6:$BR$176,ROW()-5,COLUMN()-40-$AI153)))*IF($B153="Operacional",IFERROR(VLOOKUP($C153,SN_UGC,28,0),0),1)</f>
        <v>0</v>
      </c>
      <c r="BK153" s="140">
        <f t="array" ref="BK153">IF(ISBLANK($A153),0,IF(OR(BK$5-$AI153&lt;=0,$AM153="Não"),Z153,Z153+INDEX($AO$6:$BR$176,ROW()-5,COLUMN()-40-$AI153)))*IF($B153="Operacional",IFERROR(VLOOKUP($C153,SN_UGC,28,0),0),1)</f>
        <v>0</v>
      </c>
      <c r="BL153" s="140">
        <f t="array" ref="BL153">IF(ISBLANK($A153),0,IF(OR(BL$5-$AI153&lt;=0,$AM153="Não"),AA153,AA153+INDEX($AO$6:$BR$176,ROW()-5,COLUMN()-40-$AI153)))*IF($B153="Operacional",IFERROR(VLOOKUP($C153,SN_UGC,28,0),0),1)</f>
        <v>0</v>
      </c>
      <c r="BM153" s="140">
        <f t="array" ref="BM153">IF(ISBLANK($A153),0,IF(OR(BM$5-$AI153&lt;=0,$AM153="Não"),AB153,AB153+INDEX($AO$6:$BR$176,ROW()-5,COLUMN()-40-$AI153)))*IF($B153="Operacional",IFERROR(VLOOKUP($C153,SN_UGC,28,0),0),1)</f>
        <v>0</v>
      </c>
      <c r="BN153" s="140">
        <f t="array" ref="BN153">IF(ISBLANK($A153),0,IF(OR(BN$5-$AI153&lt;=0,$AM153="Não"),AC153,AC153+INDEX($AO$6:$BR$176,ROW()-5,COLUMN()-40-$AI153)))*IF($B153="Operacional",IFERROR(VLOOKUP($C153,SN_UGC,28,0),0),1)</f>
        <v>0</v>
      </c>
      <c r="BO153" s="140">
        <f t="array" ref="BO153">IF(ISBLANK($A153),0,IF(OR(BO$5-$AI153&lt;=0,$AM153="Não"),AD153,AD153+INDEX($AO$6:$BR$176,ROW()-5,COLUMN()-40-$AI153)))*IF($B153="Operacional",IFERROR(VLOOKUP($C153,SN_UGC,28,0),0),1)</f>
        <v>0</v>
      </c>
      <c r="BP153" s="140">
        <f t="array" ref="BP153">IF(ISBLANK($A153),0,IF(OR(BP$5-$AI153&lt;=0,$AM153="Não"),AE153,AE153+INDEX($AO$6:$BR$176,ROW()-5,COLUMN()-40-$AI153)))*IF($B153="Operacional",IFERROR(VLOOKUP($C153,SN_UGC,28,0),0),1)</f>
        <v>0</v>
      </c>
      <c r="BQ153" s="140">
        <f t="array" ref="BQ153">IF(ISBLANK($A153),0,IF(OR(BQ$5-$AI153&lt;=0,$AM153="Não"),AF153,AF153+INDEX($AO$6:$BR$176,ROW()-5,COLUMN()-40-$AI153)))*IF($B153="Operacional",IFERROR(VLOOKUP($C153,SN_UGC,28,0),0),1)</f>
        <v>0</v>
      </c>
      <c r="BR153" s="140">
        <f t="array" ref="BR153">IF(ISBLANK($A153),0,IF(OR(BR$5-$AI153&lt;=0,$AM153="Não"),AG153,AG153+INDEX($AO$6:$BR$176,ROW()-5,COLUMN()-40-$AI153)))*IF($B153="Operacional",IFERROR(VLOOKUP($C153,SN_UGC,28,0),0),1)</f>
        <v>0</v>
      </c>
      <c r="BS153" s="141">
        <f t="shared" ref="BS153:CV153" si="781">IF(ISBLANK($A153),0,$AH153*AO153)</f>
        <v>0</v>
      </c>
      <c r="BT153" s="141">
        <f t="shared" si="781"/>
        <v>0</v>
      </c>
      <c r="BU153" s="141">
        <f t="shared" si="781"/>
        <v>0</v>
      </c>
      <c r="BV153" s="141">
        <f t="shared" si="781"/>
        <v>0</v>
      </c>
      <c r="BW153" s="141">
        <f t="shared" si="781"/>
        <v>0</v>
      </c>
      <c r="BX153" s="141">
        <f t="shared" si="781"/>
        <v>0</v>
      </c>
      <c r="BY153" s="141">
        <f t="shared" si="781"/>
        <v>0</v>
      </c>
      <c r="BZ153" s="141">
        <f t="shared" si="781"/>
        <v>0</v>
      </c>
      <c r="CA153" s="141">
        <f t="shared" si="781"/>
        <v>0</v>
      </c>
      <c r="CB153" s="141">
        <f t="shared" si="781"/>
        <v>0</v>
      </c>
      <c r="CC153" s="141">
        <f t="shared" si="781"/>
        <v>0</v>
      </c>
      <c r="CD153" s="141">
        <f t="shared" si="781"/>
        <v>0</v>
      </c>
      <c r="CE153" s="141">
        <f t="shared" si="781"/>
        <v>0</v>
      </c>
      <c r="CF153" s="141">
        <f t="shared" si="781"/>
        <v>0</v>
      </c>
      <c r="CG153" s="141">
        <f t="shared" si="781"/>
        <v>0</v>
      </c>
      <c r="CH153" s="141">
        <f t="shared" si="781"/>
        <v>0</v>
      </c>
      <c r="CI153" s="141">
        <f t="shared" si="781"/>
        <v>0</v>
      </c>
      <c r="CJ153" s="141">
        <f t="shared" si="781"/>
        <v>0</v>
      </c>
      <c r="CK153" s="141">
        <f t="shared" si="781"/>
        <v>0</v>
      </c>
      <c r="CL153" s="141">
        <f t="shared" si="781"/>
        <v>0</v>
      </c>
      <c r="CM153" s="141">
        <f t="shared" si="781"/>
        <v>0</v>
      </c>
      <c r="CN153" s="141">
        <f t="shared" si="781"/>
        <v>0</v>
      </c>
      <c r="CO153" s="141">
        <f t="shared" si="781"/>
        <v>0</v>
      </c>
      <c r="CP153" s="141">
        <f t="shared" si="781"/>
        <v>0</v>
      </c>
      <c r="CQ153" s="141">
        <f t="shared" si="781"/>
        <v>0</v>
      </c>
      <c r="CR153" s="141">
        <f t="shared" si="781"/>
        <v>0</v>
      </c>
      <c r="CS153" s="141">
        <f t="shared" si="781"/>
        <v>0</v>
      </c>
      <c r="CT153" s="141">
        <f t="shared" si="781"/>
        <v>0</v>
      </c>
      <c r="CU153" s="141">
        <f t="shared" si="781"/>
        <v>0</v>
      </c>
      <c r="CV153" s="141">
        <f t="shared" si="781"/>
        <v>0</v>
      </c>
      <c r="CW153" s="142">
        <f t="shared" ref="CW153:DZ153" si="782">EA153*$AH153*$AJ153</f>
        <v>0</v>
      </c>
      <c r="CX153" s="142">
        <f t="shared" si="782"/>
        <v>0</v>
      </c>
      <c r="CY153" s="142">
        <f t="shared" si="782"/>
        <v>0</v>
      </c>
      <c r="CZ153" s="142">
        <f t="shared" si="782"/>
        <v>0</v>
      </c>
      <c r="DA153" s="142">
        <f t="shared" si="782"/>
        <v>0</v>
      </c>
      <c r="DB153" s="142">
        <f t="shared" si="782"/>
        <v>0</v>
      </c>
      <c r="DC153" s="142">
        <f t="shared" si="782"/>
        <v>0</v>
      </c>
      <c r="DD153" s="142">
        <f t="shared" si="782"/>
        <v>0</v>
      </c>
      <c r="DE153" s="142">
        <f t="shared" si="782"/>
        <v>0</v>
      </c>
      <c r="DF153" s="142">
        <f t="shared" si="782"/>
        <v>0</v>
      </c>
      <c r="DG153" s="142">
        <f t="shared" si="782"/>
        <v>0</v>
      </c>
      <c r="DH153" s="142">
        <f t="shared" si="782"/>
        <v>0</v>
      </c>
      <c r="DI153" s="142">
        <f t="shared" si="782"/>
        <v>0</v>
      </c>
      <c r="DJ153" s="142">
        <f t="shared" si="782"/>
        <v>0</v>
      </c>
      <c r="DK153" s="142">
        <f t="shared" si="782"/>
        <v>0</v>
      </c>
      <c r="DL153" s="142">
        <f t="shared" si="782"/>
        <v>0</v>
      </c>
      <c r="DM153" s="142">
        <f t="shared" si="782"/>
        <v>0</v>
      </c>
      <c r="DN153" s="142">
        <f t="shared" si="782"/>
        <v>0</v>
      </c>
      <c r="DO153" s="142">
        <f t="shared" si="782"/>
        <v>0</v>
      </c>
      <c r="DP153" s="142">
        <f t="shared" si="782"/>
        <v>0</v>
      </c>
      <c r="DQ153" s="142">
        <f t="shared" si="782"/>
        <v>0</v>
      </c>
      <c r="DR153" s="142">
        <f t="shared" si="782"/>
        <v>0</v>
      </c>
      <c r="DS153" s="142">
        <f t="shared" si="782"/>
        <v>0</v>
      </c>
      <c r="DT153" s="142">
        <f t="shared" si="782"/>
        <v>0</v>
      </c>
      <c r="DU153" s="142">
        <f t="shared" si="782"/>
        <v>0</v>
      </c>
      <c r="DV153" s="142">
        <f t="shared" si="782"/>
        <v>0</v>
      </c>
      <c r="DW153" s="142">
        <f t="shared" si="782"/>
        <v>0</v>
      </c>
      <c r="DX153" s="142">
        <f t="shared" si="782"/>
        <v>0</v>
      </c>
      <c r="DY153" s="142">
        <f t="shared" si="782"/>
        <v>0</v>
      </c>
      <c r="DZ153" s="142">
        <f t="shared" si="782"/>
        <v>0</v>
      </c>
      <c r="EA153" s="143">
        <f t="shared" si="670"/>
        <v>0</v>
      </c>
      <c r="EB153" s="143">
        <f t="shared" si="671"/>
        <v>0</v>
      </c>
      <c r="EC153" s="143">
        <f t="shared" si="672"/>
        <v>0</v>
      </c>
      <c r="ED153" s="143">
        <f t="shared" si="673"/>
        <v>0</v>
      </c>
      <c r="EE153" s="143">
        <f t="shared" si="674"/>
        <v>0</v>
      </c>
      <c r="EF153" s="143">
        <f t="shared" si="675"/>
        <v>0</v>
      </c>
      <c r="EG153" s="143">
        <f t="shared" si="676"/>
        <v>0</v>
      </c>
      <c r="EH153" s="143">
        <f t="shared" si="677"/>
        <v>0</v>
      </c>
      <c r="EI153" s="143">
        <f t="shared" si="678"/>
        <v>0</v>
      </c>
      <c r="EJ153" s="143">
        <f t="shared" si="679"/>
        <v>0</v>
      </c>
      <c r="EK153" s="143">
        <f t="shared" si="680"/>
        <v>0</v>
      </c>
      <c r="EL153" s="143">
        <f t="shared" si="681"/>
        <v>0</v>
      </c>
      <c r="EM153" s="143">
        <f t="shared" si="682"/>
        <v>0</v>
      </c>
      <c r="EN153" s="143">
        <f t="shared" si="683"/>
        <v>0</v>
      </c>
      <c r="EO153" s="143">
        <f t="shared" si="684"/>
        <v>0</v>
      </c>
      <c r="EP153" s="143">
        <f t="shared" si="685"/>
        <v>0</v>
      </c>
      <c r="EQ153" s="143">
        <f t="shared" si="686"/>
        <v>0</v>
      </c>
      <c r="ER153" s="143">
        <f t="shared" si="687"/>
        <v>0</v>
      </c>
      <c r="ES153" s="143">
        <f t="shared" si="688"/>
        <v>0</v>
      </c>
      <c r="ET153" s="143">
        <f t="shared" si="689"/>
        <v>0</v>
      </c>
      <c r="EU153" s="143">
        <f t="shared" si="690"/>
        <v>0</v>
      </c>
      <c r="EV153" s="143">
        <f t="shared" si="691"/>
        <v>0</v>
      </c>
      <c r="EW153" s="143">
        <f t="shared" si="692"/>
        <v>0</v>
      </c>
      <c r="EX153" s="143">
        <f t="shared" si="693"/>
        <v>0</v>
      </c>
      <c r="EY153" s="143">
        <f t="shared" si="694"/>
        <v>0</v>
      </c>
      <c r="EZ153" s="143">
        <f t="shared" si="695"/>
        <v>0</v>
      </c>
      <c r="FA153" s="143">
        <f t="shared" si="696"/>
        <v>0</v>
      </c>
      <c r="FB153" s="143">
        <f t="shared" si="697"/>
        <v>0</v>
      </c>
      <c r="FC153" s="143">
        <f t="shared" si="698"/>
        <v>0</v>
      </c>
      <c r="FD153" s="143">
        <f t="shared" si="699"/>
        <v>0</v>
      </c>
      <c r="FE153" s="140">
        <f>SUM($D153:D153)*IF($B153="Operacional",IFERROR(VLOOKUP($C153,SN_UGC,28,0),0),1)</f>
        <v>0</v>
      </c>
      <c r="FF153" s="140">
        <f>SUM($D153:E153)*IF($B153="Operacional",IFERROR(VLOOKUP($C153,SN_UGC,28,0),0),1)</f>
        <v>0</v>
      </c>
      <c r="FG153" s="140">
        <f>SUM($D153:F153)*IF($B153="Operacional",IFERROR(VLOOKUP($C153,SN_UGC,28,0),0),1)</f>
        <v>0</v>
      </c>
      <c r="FH153" s="140">
        <f>SUM($D153:G153)*IF($B153="Operacional",IFERROR(VLOOKUP($C153,SN_UGC,28,0),0),1)</f>
        <v>0</v>
      </c>
      <c r="FI153" s="140">
        <f>SUM($D153:H153)*IF($B153="Operacional",IFERROR(VLOOKUP($C153,SN_UGC,28,0),0),1)</f>
        <v>0</v>
      </c>
      <c r="FJ153" s="140">
        <f>SUM($D153:I153)*IF($B153="Operacional",IFERROR(VLOOKUP($C153,SN_UGC,28,0),0),1)</f>
        <v>0</v>
      </c>
      <c r="FK153" s="140">
        <f>SUM($D153:J153)*IF($B153="Operacional",IFERROR(VLOOKUP($C153,SN_UGC,28,0),0),1)</f>
        <v>0</v>
      </c>
      <c r="FL153" s="140">
        <f>SUM($D153:K153)*IF($B153="Operacional",IFERROR(VLOOKUP($C153,SN_UGC,28,0),0),1)</f>
        <v>0</v>
      </c>
      <c r="FM153" s="140">
        <f>SUM($D153:L153)*IF($B153="Operacional",IFERROR(VLOOKUP($C153,SN_UGC,28,0),0),1)</f>
        <v>0</v>
      </c>
      <c r="FN153" s="140">
        <f>SUM($D153:M153)*IF($B153="Operacional",IFERROR(VLOOKUP($C153,SN_UGC,28,0),0),1)</f>
        <v>0</v>
      </c>
      <c r="FO153" s="140">
        <f>SUM($D153:N153)*IF($B153="Operacional",IFERROR(VLOOKUP($C153,SN_UGC,28,0),0),1)</f>
        <v>0</v>
      </c>
      <c r="FP153" s="140">
        <f>SUM($D153:O153)*IF($B153="Operacional",IFERROR(VLOOKUP($C153,SN_UGC,28,0),0),1)</f>
        <v>0</v>
      </c>
      <c r="FQ153" s="140">
        <f>SUM($D153:P153)*IF($B153="Operacional",IFERROR(VLOOKUP($C153,SN_UGC,28,0),0),1)</f>
        <v>0</v>
      </c>
      <c r="FR153" s="140">
        <f>SUM($D153:Q153)*IF($B153="Operacional",IFERROR(VLOOKUP($C153,SN_UGC,28,0),0),1)</f>
        <v>0</v>
      </c>
      <c r="FS153" s="140">
        <f>SUM($D153:R153)*IF($B153="Operacional",IFERROR(VLOOKUP($C153,SN_UGC,28,0),0),1)</f>
        <v>0</v>
      </c>
      <c r="FT153" s="140">
        <f>SUM($D153:S153)*IF($B153="Operacional",IFERROR(VLOOKUP($C153,SN_UGC,28,0),0),1)</f>
        <v>0</v>
      </c>
      <c r="FU153" s="140">
        <f>SUM($D153:T153)*IF($B153="Operacional",IFERROR(VLOOKUP($C153,SN_UGC,28,0),0),1)</f>
        <v>0</v>
      </c>
      <c r="FV153" s="140">
        <f>SUM($D153:U153)*IF($B153="Operacional",IFERROR(VLOOKUP($C153,SN_UGC,28,0),0),1)</f>
        <v>0</v>
      </c>
      <c r="FW153" s="140">
        <f>SUM($D153:V153)*IF($B153="Operacional",IFERROR(VLOOKUP($C153,SN_UGC,28,0),0),1)</f>
        <v>0</v>
      </c>
      <c r="FX153" s="140">
        <f>SUM($D153:W153)*IF($B153="Operacional",IFERROR(VLOOKUP($C153,SN_UGC,28,0),0),1)</f>
        <v>0</v>
      </c>
      <c r="FY153" s="140">
        <f>SUM($D153:X153)*IF($B153="Operacional",IFERROR(VLOOKUP($C153,SN_UGC,28,0),0),1)</f>
        <v>0</v>
      </c>
      <c r="FZ153" s="140">
        <f>SUM($D153:Y153)*IF($B153="Operacional",IFERROR(VLOOKUP($C153,SN_UGC,28,0),0),1)</f>
        <v>0</v>
      </c>
      <c r="GA153" s="140">
        <f>SUM($D153:Z153)*IF($B153="Operacional",IFERROR(VLOOKUP($C153,SN_UGC,28,0),0),1)</f>
        <v>0</v>
      </c>
      <c r="GB153" s="140">
        <f>SUM($D153:AA153)*IF($B153="Operacional",IFERROR(VLOOKUP($C153,SN_UGC,28,0),0),1)</f>
        <v>0</v>
      </c>
      <c r="GC153" s="140">
        <f>SUM($D153:AB153)*IF($B153="Operacional",IFERROR(VLOOKUP($C153,SN_UGC,28,0),0),1)</f>
        <v>0</v>
      </c>
      <c r="GD153" s="140">
        <f>SUM($D153:AC153)*IF($B153="Operacional",IFERROR(VLOOKUP($C153,SN_UGC,28,0),0),1)</f>
        <v>0</v>
      </c>
      <c r="GE153" s="140">
        <f>SUM($D153:AD153)*IF($B153="Operacional",IFERROR(VLOOKUP($C153,SN_UGC,28,0),0),1)</f>
        <v>0</v>
      </c>
      <c r="GF153" s="140">
        <f>SUM($D153:AE153)*IF($B153="Operacional",IFERROR(VLOOKUP($C153,SN_UGC,28,0),0),1)</f>
        <v>0</v>
      </c>
      <c r="GG153" s="140">
        <f>SUM($D153:AF153)*IF($B153="Operacional",IFERROR(VLOOKUP($C153,SN_UGC,28,0),0),1)</f>
        <v>0</v>
      </c>
      <c r="GH153" s="140">
        <f>SUM($D153:AG153)*IF($B153="Operacional",IFERROR(VLOOKUP($C153,SN_UGC,28,0),0),1)</f>
        <v>0</v>
      </c>
      <c r="GI153" s="141">
        <f t="shared" ref="GI153:HL153" si="783">FE153*$AH153*$AL153</f>
        <v>0</v>
      </c>
      <c r="GJ153" s="141">
        <f t="shared" si="783"/>
        <v>0</v>
      </c>
      <c r="GK153" s="141">
        <f t="shared" si="783"/>
        <v>0</v>
      </c>
      <c r="GL153" s="141">
        <f t="shared" si="783"/>
        <v>0</v>
      </c>
      <c r="GM153" s="141">
        <f t="shared" si="783"/>
        <v>0</v>
      </c>
      <c r="GN153" s="141">
        <f t="shared" si="783"/>
        <v>0</v>
      </c>
      <c r="GO153" s="141">
        <f t="shared" si="783"/>
        <v>0</v>
      </c>
      <c r="GP153" s="141">
        <f t="shared" si="783"/>
        <v>0</v>
      </c>
      <c r="GQ153" s="141">
        <f t="shared" si="783"/>
        <v>0</v>
      </c>
      <c r="GR153" s="141">
        <f t="shared" si="783"/>
        <v>0</v>
      </c>
      <c r="GS153" s="141">
        <f t="shared" si="783"/>
        <v>0</v>
      </c>
      <c r="GT153" s="141">
        <f t="shared" si="783"/>
        <v>0</v>
      </c>
      <c r="GU153" s="141">
        <f t="shared" si="783"/>
        <v>0</v>
      </c>
      <c r="GV153" s="141">
        <f t="shared" si="783"/>
        <v>0</v>
      </c>
      <c r="GW153" s="141">
        <f t="shared" si="783"/>
        <v>0</v>
      </c>
      <c r="GX153" s="141">
        <f t="shared" si="783"/>
        <v>0</v>
      </c>
      <c r="GY153" s="141">
        <f t="shared" si="783"/>
        <v>0</v>
      </c>
      <c r="GZ153" s="141">
        <f t="shared" si="783"/>
        <v>0</v>
      </c>
      <c r="HA153" s="141">
        <f t="shared" si="783"/>
        <v>0</v>
      </c>
      <c r="HB153" s="141">
        <f t="shared" si="783"/>
        <v>0</v>
      </c>
      <c r="HC153" s="141">
        <f t="shared" si="783"/>
        <v>0</v>
      </c>
      <c r="HD153" s="141">
        <f t="shared" si="783"/>
        <v>0</v>
      </c>
      <c r="HE153" s="141">
        <f t="shared" si="783"/>
        <v>0</v>
      </c>
      <c r="HF153" s="141">
        <f t="shared" si="783"/>
        <v>0</v>
      </c>
      <c r="HG153" s="141">
        <f t="shared" si="783"/>
        <v>0</v>
      </c>
      <c r="HH153" s="141">
        <f t="shared" si="783"/>
        <v>0</v>
      </c>
      <c r="HI153" s="141">
        <f t="shared" si="783"/>
        <v>0</v>
      </c>
      <c r="HJ153" s="141">
        <f t="shared" si="783"/>
        <v>0</v>
      </c>
      <c r="HK153" s="141">
        <f t="shared" si="783"/>
        <v>0</v>
      </c>
      <c r="HL153" s="141">
        <f t="shared" si="783"/>
        <v>0</v>
      </c>
      <c r="HM153" s="142">
        <f t="shared" ref="HM153:IP153" si="784">IF(ISBLANK($A153),,FE153*($AH153-($AH153*$AJ153))/$AI153)</f>
        <v>0</v>
      </c>
      <c r="HN153" s="142">
        <f t="shared" si="784"/>
        <v>0</v>
      </c>
      <c r="HO153" s="142">
        <f t="shared" si="784"/>
        <v>0</v>
      </c>
      <c r="HP153" s="142">
        <f t="shared" si="784"/>
        <v>0</v>
      </c>
      <c r="HQ153" s="142">
        <f t="shared" si="784"/>
        <v>0</v>
      </c>
      <c r="HR153" s="142">
        <f t="shared" si="784"/>
        <v>0</v>
      </c>
      <c r="HS153" s="142">
        <f t="shared" si="784"/>
        <v>0</v>
      </c>
      <c r="HT153" s="142">
        <f t="shared" si="784"/>
        <v>0</v>
      </c>
      <c r="HU153" s="142">
        <f t="shared" si="784"/>
        <v>0</v>
      </c>
      <c r="HV153" s="142">
        <f t="shared" si="784"/>
        <v>0</v>
      </c>
      <c r="HW153" s="142">
        <f t="shared" si="784"/>
        <v>0</v>
      </c>
      <c r="HX153" s="142">
        <f t="shared" si="784"/>
        <v>0</v>
      </c>
      <c r="HY153" s="142">
        <f t="shared" si="784"/>
        <v>0</v>
      </c>
      <c r="HZ153" s="142">
        <f t="shared" si="784"/>
        <v>0</v>
      </c>
      <c r="IA153" s="142">
        <f t="shared" si="784"/>
        <v>0</v>
      </c>
      <c r="IB153" s="142">
        <f t="shared" si="784"/>
        <v>0</v>
      </c>
      <c r="IC153" s="142">
        <f t="shared" si="784"/>
        <v>0</v>
      </c>
      <c r="ID153" s="142">
        <f t="shared" si="784"/>
        <v>0</v>
      </c>
      <c r="IE153" s="142">
        <f t="shared" si="784"/>
        <v>0</v>
      </c>
      <c r="IF153" s="142">
        <f t="shared" si="784"/>
        <v>0</v>
      </c>
      <c r="IG153" s="142">
        <f t="shared" si="784"/>
        <v>0</v>
      </c>
      <c r="IH153" s="142">
        <f t="shared" si="784"/>
        <v>0</v>
      </c>
      <c r="II153" s="142">
        <f t="shared" si="784"/>
        <v>0</v>
      </c>
      <c r="IJ153" s="142">
        <f t="shared" si="784"/>
        <v>0</v>
      </c>
      <c r="IK153" s="142">
        <f t="shared" si="784"/>
        <v>0</v>
      </c>
      <c r="IL153" s="142">
        <f t="shared" si="784"/>
        <v>0</v>
      </c>
      <c r="IM153" s="142">
        <f t="shared" si="784"/>
        <v>0</v>
      </c>
      <c r="IN153" s="142">
        <f t="shared" si="784"/>
        <v>0</v>
      </c>
      <c r="IO153" s="142">
        <f t="shared" si="784"/>
        <v>0</v>
      </c>
      <c r="IP153" s="142">
        <f t="shared" si="784"/>
        <v>0</v>
      </c>
      <c r="IQ153" s="141">
        <f>IF(ISBLANK($A153),,IF($AN153="Não",0,(SUM($AO153:AO153)*$AH153)-SUM($HM153:HM153)-SUM($CW153:CW153)))</f>
        <v>0</v>
      </c>
      <c r="IR153" s="141">
        <f>IF(ISBLANK($A153),,IF($AN153="Não",0,(SUM($AO153:AP153)*$AH153)-SUM($HM153:HN153)-SUM($CW153:CX153)))</f>
        <v>0</v>
      </c>
      <c r="IS153" s="141">
        <f>IF(ISBLANK($A153),,IF($AN153="Não",0,(SUM($AO153:AQ153)*$AH153)-SUM($HM153:HO153)-SUM($CW153:CY153)))</f>
        <v>0</v>
      </c>
      <c r="IT153" s="141">
        <f>IF(ISBLANK($A153),,IF($AN153="Não",0,(SUM($AO153:AR153)*$AH153)-SUM($HM153:HP153)-SUM($CW153:CZ153)))</f>
        <v>0</v>
      </c>
      <c r="IU153" s="141">
        <f>IF(ISBLANK($A153),,IF($AN153="Não",0,(SUM($AO153:AS153)*$AH153)-SUM($HM153:HQ153)-SUM($CW153:DA153)))</f>
        <v>0</v>
      </c>
      <c r="IV153" s="141">
        <f>IF(ISBLANK($A153),,IF($AN153="Não",0,(SUM($AO153:AT153)*$AH153)-SUM($HM153:HR153)-SUM($CW153:DB153)))</f>
        <v>0</v>
      </c>
      <c r="IW153" s="141">
        <f>IF(ISBLANK($A153),,IF($AN153="Não",0,(SUM($AO153:AU153)*$AH153)-SUM($HM153:HS153)-SUM($CW153:DC153)))</f>
        <v>0</v>
      </c>
      <c r="IX153" s="141">
        <f>IF(ISBLANK($A153),,IF($AN153="Não",0,(SUM($AO153:AV153)*$AH153)-SUM($HM153:HT153)-SUM($CW153:DD153)))</f>
        <v>0</v>
      </c>
      <c r="IY153" s="141">
        <f>IF(ISBLANK($A153),,IF($AN153="Não",0,(SUM($AO153:AW153)*$AH153)-SUM($HM153:HU153)-SUM($CW153:DE153)))</f>
        <v>0</v>
      </c>
      <c r="IZ153" s="141">
        <f>IF(ISBLANK($A153),,IF($AN153="Não",0,(SUM($AO153:AX153)*$AH153)-SUM($HM153:HV153)-SUM($CW153:DF153)))</f>
        <v>0</v>
      </c>
      <c r="JA153" s="141">
        <f>IF(ISBLANK($A153),,IF($AN153="Não",0,(SUM($AO153:AY153)*$AH153)-SUM($HM153:HW153)-SUM($CW153:DG153)))</f>
        <v>0</v>
      </c>
      <c r="JB153" s="141">
        <f>IF(ISBLANK($A153),,IF($AN153="Não",0,(SUM($AO153:AZ153)*$AH153)-SUM($HM153:HX153)-SUM($CW153:DH153)))</f>
        <v>0</v>
      </c>
      <c r="JC153" s="141">
        <f>IF(ISBLANK($A153),,IF($AN153="Não",0,(SUM($AO153:BA153)*$AH153)-SUM($HM153:HY153)-SUM($CW153:DI153)))</f>
        <v>0</v>
      </c>
      <c r="JD153" s="141">
        <f>IF(ISBLANK($A153),,IF($AN153="Não",0,(SUM($AO153:BB153)*$AH153)-SUM($HM153:HZ153)-SUM($CW153:DJ153)))</f>
        <v>0</v>
      </c>
      <c r="JE153" s="141">
        <f>IF(ISBLANK($A153),,IF($AN153="Não",0,(SUM($AO153:BC153)*$AH153)-SUM($HM153:IA153)-SUM($CW153:DK153)))</f>
        <v>0</v>
      </c>
      <c r="JF153" s="141">
        <f>IF(ISBLANK($A153),,IF($AN153="Não",0,(SUM($AO153:BD153)*$AH153)-SUM($HM153:IB153)-SUM($CW153:DL153)))</f>
        <v>0</v>
      </c>
      <c r="JG153" s="141">
        <f>IF(ISBLANK($A153),,IF($AN153="Não",0,(SUM($AO153:BE153)*$AH153)-SUM($HM153:IC153)-SUM($CW153:DM153)))</f>
        <v>0</v>
      </c>
      <c r="JH153" s="141">
        <f>IF(ISBLANK($A153),,IF($AN153="Não",0,(SUM($AO153:BF153)*$AH153)-SUM($HM153:ID153)-SUM($CW153:DN153)))</f>
        <v>0</v>
      </c>
      <c r="JI153" s="141">
        <f>IF(ISBLANK($A153),,IF($AN153="Não",0,(SUM($AO153:BG153)*$AH153)-SUM($HM153:IE153)-SUM($CW153:DO153)))</f>
        <v>0</v>
      </c>
      <c r="JJ153" s="141">
        <f>IF(ISBLANK($A153),,IF($AN153="Não",0,(SUM($AO153:BH153)*$AH153)-SUM($HM153:IF153)-SUM($CW153:DP153)))</f>
        <v>0</v>
      </c>
      <c r="JK153" s="141">
        <f>IF(ISBLANK($A153),,IF($AN153="Não",0,(SUM($AO153:BI153)*$AH153)-SUM($HM153:IG153)-SUM($CW153:DQ153)))</f>
        <v>0</v>
      </c>
      <c r="JL153" s="141">
        <f>IF(ISBLANK($A153),,IF($AN153="Não",0,(SUM($AO153:BJ153)*$AH153)-SUM($HM153:IH153)-SUM($CW153:DR153)))</f>
        <v>0</v>
      </c>
      <c r="JM153" s="141">
        <f>IF(ISBLANK($A153),,IF($AN153="Não",0,(SUM($AO153:BK153)*$AH153)-SUM($HM153:II153)-SUM($CW153:DS153)))</f>
        <v>0</v>
      </c>
      <c r="JN153" s="141">
        <f>IF(ISBLANK($A153),,IF($AN153="Não",0,(SUM($AO153:BL153)*$AH153)-SUM($HM153:IJ153)-SUM($CW153:DT153)))</f>
        <v>0</v>
      </c>
      <c r="JO153" s="141">
        <f>IF(ISBLANK($A153),,IF($AN153="Não",0,(SUM($AO153:BM153)*$AH153)-SUM($HM153:IK153)-SUM($CW153:DU153)))</f>
        <v>0</v>
      </c>
      <c r="JP153" s="141">
        <f>IF(ISBLANK($A153),,IF($AN153="Não",0,(SUM($AO153:BN153)*$AH153)-SUM($HM153:IL153)-SUM($CW153:DV153)))</f>
        <v>0</v>
      </c>
      <c r="JQ153" s="141">
        <f>IF(ISBLANK($A153),,IF($AN153="Não",0,(SUM($AO153:BO153)*$AH153)-SUM($HM153:IM153)-SUM($CW153:DW153)))</f>
        <v>0</v>
      </c>
      <c r="JR153" s="141">
        <f>IF(ISBLANK($A153),,IF($AN153="Não",0,(SUM($AO153:BP153)*$AH153)-SUM($HM153:IN153)-SUM($CW153:DX153)))</f>
        <v>0</v>
      </c>
      <c r="JS153" s="141">
        <f>IF(ISBLANK($A153),,IF($AN153="Não",0,(SUM($AO153:BQ153)*$AH153)-SUM($HM153:IO153)-SUM($CW153:DY153)))</f>
        <v>0</v>
      </c>
      <c r="JT153" s="141">
        <f>IF(ISBLANK($A153),,IF($AN153="Não",0,(SUM($AO153:BR153)*$AH153)-SUM($HM153:IP153)-SUM($CW153:DZ153)))</f>
        <v>0</v>
      </c>
    </row>
    <row r="154" spans="1:280" ht="15.75" customHeight="1">
      <c r="A154" s="129"/>
      <c r="B154" s="129"/>
      <c r="C154" s="138"/>
      <c r="D154" s="139"/>
      <c r="E154" s="139"/>
      <c r="F154" s="139"/>
      <c r="G154" s="139"/>
      <c r="H154" s="139"/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607">
        <f t="shared" si="710"/>
        <v>0</v>
      </c>
      <c r="AI154" s="608">
        <f t="shared" si="711"/>
        <v>0</v>
      </c>
      <c r="AJ154" s="609">
        <f t="shared" si="712"/>
        <v>0</v>
      </c>
      <c r="AK154" s="610" t="str">
        <f t="shared" si="713"/>
        <v/>
      </c>
      <c r="AL154" s="609">
        <f t="shared" si="714"/>
        <v>0</v>
      </c>
      <c r="AM154" s="611" t="str">
        <f t="shared" si="715"/>
        <v/>
      </c>
      <c r="AN154" s="611" t="str">
        <f t="shared" si="716"/>
        <v/>
      </c>
      <c r="AO154" s="140">
        <f t="array" ref="AO154">IF(ISBLANK($A154),0,IF(OR(AO$5-$AI154&lt;=0,$AM154="Não"),D154,D154+INDEX($AO$6:$BR$176,ROW()-5,COLUMN()-40-$AI154)))*IF($B154="Operacional",IFERROR(VLOOKUP($C154,SN_UGC,28,0),0),1)</f>
        <v>0</v>
      </c>
      <c r="AP154" s="140">
        <f t="array" ref="AP154">IF(ISBLANK($A154),0,IF(OR(AP$5-$AI154&lt;=0,$AM154="Não"),E154,E154+INDEX($AO$6:$BR$176,ROW()-5,COLUMN()-40-$AI154)))*IF($B154="Operacional",IFERROR(VLOOKUP($C154,SN_UGC,28,0),0),1)</f>
        <v>0</v>
      </c>
      <c r="AQ154" s="140">
        <f t="array" ref="AQ154">IF(ISBLANK($A154),0,IF(OR(AQ$5-$AI154&lt;=0,$AM154="Não"),F154,F154+INDEX($AO$6:$BR$176,ROW()-5,COLUMN()-40-$AI154)))*IF($B154="Operacional",IFERROR(VLOOKUP($C154,SN_UGC,28,0),0),1)</f>
        <v>0</v>
      </c>
      <c r="AR154" s="140">
        <f t="array" ref="AR154">IF(ISBLANK($A154),0,IF(OR(AR$5-$AI154&lt;=0,$AM154="Não"),G154,G154+INDEX($AO$6:$BR$176,ROW()-5,COLUMN()-40-$AI154)))*IF($B154="Operacional",IFERROR(VLOOKUP($C154,SN_UGC,28,0),0),1)</f>
        <v>0</v>
      </c>
      <c r="AS154" s="140">
        <f t="array" ref="AS154">IF(ISBLANK($A154),0,IF(OR(AS$5-$AI154&lt;=0,$AM154="Não"),H154,H154+INDEX($AO$6:$BR$176,ROW()-5,COLUMN()-40-$AI154)))*IF($B154="Operacional",IFERROR(VLOOKUP($C154,SN_UGC,28,0),0),1)</f>
        <v>0</v>
      </c>
      <c r="AT154" s="140">
        <f t="array" ref="AT154">IF(ISBLANK($A154),0,IF(OR(AT$5-$AI154&lt;=0,$AM154="Não"),I154,I154+INDEX($AO$6:$BR$176,ROW()-5,COLUMN()-40-$AI154)))*IF($B154="Operacional",IFERROR(VLOOKUP($C154,SN_UGC,28,0),0),1)</f>
        <v>0</v>
      </c>
      <c r="AU154" s="140">
        <f t="array" ref="AU154">IF(ISBLANK($A154),0,IF(OR(AU$5-$AI154&lt;=0,$AM154="Não"),J154,J154+INDEX($AO$6:$BR$176,ROW()-5,COLUMN()-40-$AI154)))*IF($B154="Operacional",IFERROR(VLOOKUP($C154,SN_UGC,28,0),0),1)</f>
        <v>0</v>
      </c>
      <c r="AV154" s="140">
        <f t="array" ref="AV154">IF(ISBLANK($A154),0,IF(OR(AV$5-$AI154&lt;=0,$AM154="Não"),K154,K154+INDEX($AO$6:$BR$176,ROW()-5,COLUMN()-40-$AI154)))*IF($B154="Operacional",IFERROR(VLOOKUP($C154,SN_UGC,28,0),0),1)</f>
        <v>0</v>
      </c>
      <c r="AW154" s="140">
        <f t="array" ref="AW154">IF(ISBLANK($A154),0,IF(OR(AW$5-$AI154&lt;=0,$AM154="Não"),L154,L154+INDEX($AO$6:$BR$176,ROW()-5,COLUMN()-40-$AI154)))*IF($B154="Operacional",IFERROR(VLOOKUP($C154,SN_UGC,28,0),0),1)</f>
        <v>0</v>
      </c>
      <c r="AX154" s="140">
        <f t="array" ref="AX154">IF(ISBLANK($A154),0,IF(OR(AX$5-$AI154&lt;=0,$AM154="Não"),M154,M154+INDEX($AO$6:$BR$176,ROW()-5,COLUMN()-40-$AI154)))*IF($B154="Operacional",IFERROR(VLOOKUP($C154,SN_UGC,28,0),0),1)</f>
        <v>0</v>
      </c>
      <c r="AY154" s="140">
        <f t="array" ref="AY154">IF(ISBLANK($A154),0,IF(OR(AY$5-$AI154&lt;=0,$AM154="Não"),N154,N154+INDEX($AO$6:$BR$176,ROW()-5,COLUMN()-40-$AI154)))*IF($B154="Operacional",IFERROR(VLOOKUP($C154,SN_UGC,28,0),0),1)</f>
        <v>0</v>
      </c>
      <c r="AZ154" s="140">
        <f t="array" ref="AZ154">IF(ISBLANK($A154),0,IF(OR(AZ$5-$AI154&lt;=0,$AM154="Não"),O154,O154+INDEX($AO$6:$BR$176,ROW()-5,COLUMN()-40-$AI154)))*IF($B154="Operacional",IFERROR(VLOOKUP($C154,SN_UGC,28,0),0),1)</f>
        <v>0</v>
      </c>
      <c r="BA154" s="140">
        <f t="array" ref="BA154">IF(ISBLANK($A154),0,IF(OR(BA$5-$AI154&lt;=0,$AM154="Não"),P154,P154+INDEX($AO$6:$BR$176,ROW()-5,COLUMN()-40-$AI154)))*IF($B154="Operacional",IFERROR(VLOOKUP($C154,SN_UGC,28,0),0),1)</f>
        <v>0</v>
      </c>
      <c r="BB154" s="140">
        <f t="array" ref="BB154">IF(ISBLANK($A154),0,IF(OR(BB$5-$AI154&lt;=0,$AM154="Não"),Q154,Q154+INDEX($AO$6:$BR$176,ROW()-5,COLUMN()-40-$AI154)))*IF($B154="Operacional",IFERROR(VLOOKUP($C154,SN_UGC,28,0),0),1)</f>
        <v>0</v>
      </c>
      <c r="BC154" s="140">
        <f t="array" ref="BC154">IF(ISBLANK($A154),0,IF(OR(BC$5-$AI154&lt;=0,$AM154="Não"),R154,R154+INDEX($AO$6:$BR$176,ROW()-5,COLUMN()-40-$AI154)))*IF($B154="Operacional",IFERROR(VLOOKUP($C154,SN_UGC,28,0),0),1)</f>
        <v>0</v>
      </c>
      <c r="BD154" s="140">
        <f t="array" ref="BD154">IF(ISBLANK($A154),0,IF(OR(BD$5-$AI154&lt;=0,$AM154="Não"),S154,S154+INDEX($AO$6:$BR$176,ROW()-5,COLUMN()-40-$AI154)))*IF($B154="Operacional",IFERROR(VLOOKUP($C154,SN_UGC,28,0),0),1)</f>
        <v>0</v>
      </c>
      <c r="BE154" s="140">
        <f t="array" ref="BE154">IF(ISBLANK($A154),0,IF(OR(BE$5-$AI154&lt;=0,$AM154="Não"),T154,T154+INDEX($AO$6:$BR$176,ROW()-5,COLUMN()-40-$AI154)))*IF($B154="Operacional",IFERROR(VLOOKUP($C154,SN_UGC,28,0),0),1)</f>
        <v>0</v>
      </c>
      <c r="BF154" s="140">
        <f t="array" ref="BF154">IF(ISBLANK($A154),0,IF(OR(BF$5-$AI154&lt;=0,$AM154="Não"),U154,U154+INDEX($AO$6:$BR$176,ROW()-5,COLUMN()-40-$AI154)))*IF($B154="Operacional",IFERROR(VLOOKUP($C154,SN_UGC,28,0),0),1)</f>
        <v>0</v>
      </c>
      <c r="BG154" s="140">
        <f t="array" ref="BG154">IF(ISBLANK($A154),0,IF(OR(BG$5-$AI154&lt;=0,$AM154="Não"),V154,V154+INDEX($AO$6:$BR$176,ROW()-5,COLUMN()-40-$AI154)))*IF($B154="Operacional",IFERROR(VLOOKUP($C154,SN_UGC,28,0),0),1)</f>
        <v>0</v>
      </c>
      <c r="BH154" s="140">
        <f t="array" ref="BH154">IF(ISBLANK($A154),0,IF(OR(BH$5-$AI154&lt;=0,$AM154="Não"),W154,W154+INDEX($AO$6:$BR$176,ROW()-5,COLUMN()-40-$AI154)))*IF($B154="Operacional",IFERROR(VLOOKUP($C154,SN_UGC,28,0),0),1)</f>
        <v>0</v>
      </c>
      <c r="BI154" s="140">
        <f t="array" ref="BI154">IF(ISBLANK($A154),0,IF(OR(BI$5-$AI154&lt;=0,$AM154="Não"),X154,X154+INDEX($AO$6:$BR$176,ROW()-5,COLUMN()-40-$AI154)))*IF($B154="Operacional",IFERROR(VLOOKUP($C154,SN_UGC,28,0),0),1)</f>
        <v>0</v>
      </c>
      <c r="BJ154" s="140">
        <f t="array" ref="BJ154">IF(ISBLANK($A154),0,IF(OR(BJ$5-$AI154&lt;=0,$AM154="Não"),Y154,Y154+INDEX($AO$6:$BR$176,ROW()-5,COLUMN()-40-$AI154)))*IF($B154="Operacional",IFERROR(VLOOKUP($C154,SN_UGC,28,0),0),1)</f>
        <v>0</v>
      </c>
      <c r="BK154" s="140">
        <f t="array" ref="BK154">IF(ISBLANK($A154),0,IF(OR(BK$5-$AI154&lt;=0,$AM154="Não"),Z154,Z154+INDEX($AO$6:$BR$176,ROW()-5,COLUMN()-40-$AI154)))*IF($B154="Operacional",IFERROR(VLOOKUP($C154,SN_UGC,28,0),0),1)</f>
        <v>0</v>
      </c>
      <c r="BL154" s="140">
        <f t="array" ref="BL154">IF(ISBLANK($A154),0,IF(OR(BL$5-$AI154&lt;=0,$AM154="Não"),AA154,AA154+INDEX($AO$6:$BR$176,ROW()-5,COLUMN()-40-$AI154)))*IF($B154="Operacional",IFERROR(VLOOKUP($C154,SN_UGC,28,0),0),1)</f>
        <v>0</v>
      </c>
      <c r="BM154" s="140">
        <f t="array" ref="BM154">IF(ISBLANK($A154),0,IF(OR(BM$5-$AI154&lt;=0,$AM154="Não"),AB154,AB154+INDEX($AO$6:$BR$176,ROW()-5,COLUMN()-40-$AI154)))*IF($B154="Operacional",IFERROR(VLOOKUP($C154,SN_UGC,28,0),0),1)</f>
        <v>0</v>
      </c>
      <c r="BN154" s="140">
        <f t="array" ref="BN154">IF(ISBLANK($A154),0,IF(OR(BN$5-$AI154&lt;=0,$AM154="Não"),AC154,AC154+INDEX($AO$6:$BR$176,ROW()-5,COLUMN()-40-$AI154)))*IF($B154="Operacional",IFERROR(VLOOKUP($C154,SN_UGC,28,0),0),1)</f>
        <v>0</v>
      </c>
      <c r="BO154" s="140">
        <f t="array" ref="BO154">IF(ISBLANK($A154),0,IF(OR(BO$5-$AI154&lt;=0,$AM154="Não"),AD154,AD154+INDEX($AO$6:$BR$176,ROW()-5,COLUMN()-40-$AI154)))*IF($B154="Operacional",IFERROR(VLOOKUP($C154,SN_UGC,28,0),0),1)</f>
        <v>0</v>
      </c>
      <c r="BP154" s="140">
        <f t="array" ref="BP154">IF(ISBLANK($A154),0,IF(OR(BP$5-$AI154&lt;=0,$AM154="Não"),AE154,AE154+INDEX($AO$6:$BR$176,ROW()-5,COLUMN()-40-$AI154)))*IF($B154="Operacional",IFERROR(VLOOKUP($C154,SN_UGC,28,0),0),1)</f>
        <v>0</v>
      </c>
      <c r="BQ154" s="140">
        <f t="array" ref="BQ154">IF(ISBLANK($A154),0,IF(OR(BQ$5-$AI154&lt;=0,$AM154="Não"),AF154,AF154+INDEX($AO$6:$BR$176,ROW()-5,COLUMN()-40-$AI154)))*IF($B154="Operacional",IFERROR(VLOOKUP($C154,SN_UGC,28,0),0),1)</f>
        <v>0</v>
      </c>
      <c r="BR154" s="140">
        <f t="array" ref="BR154">IF(ISBLANK($A154),0,IF(OR(BR$5-$AI154&lt;=0,$AM154="Não"),AG154,AG154+INDEX($AO$6:$BR$176,ROW()-5,COLUMN()-40-$AI154)))*IF($B154="Operacional",IFERROR(VLOOKUP($C154,SN_UGC,28,0),0),1)</f>
        <v>0</v>
      </c>
      <c r="BS154" s="141">
        <f t="shared" ref="BS154:CV154" si="785">IF(ISBLANK($A154),0,$AH154*AO154)</f>
        <v>0</v>
      </c>
      <c r="BT154" s="141">
        <f t="shared" si="785"/>
        <v>0</v>
      </c>
      <c r="BU154" s="141">
        <f t="shared" si="785"/>
        <v>0</v>
      </c>
      <c r="BV154" s="141">
        <f t="shared" si="785"/>
        <v>0</v>
      </c>
      <c r="BW154" s="141">
        <f t="shared" si="785"/>
        <v>0</v>
      </c>
      <c r="BX154" s="141">
        <f t="shared" si="785"/>
        <v>0</v>
      </c>
      <c r="BY154" s="141">
        <f t="shared" si="785"/>
        <v>0</v>
      </c>
      <c r="BZ154" s="141">
        <f t="shared" si="785"/>
        <v>0</v>
      </c>
      <c r="CA154" s="141">
        <f t="shared" si="785"/>
        <v>0</v>
      </c>
      <c r="CB154" s="141">
        <f t="shared" si="785"/>
        <v>0</v>
      </c>
      <c r="CC154" s="141">
        <f t="shared" si="785"/>
        <v>0</v>
      </c>
      <c r="CD154" s="141">
        <f t="shared" si="785"/>
        <v>0</v>
      </c>
      <c r="CE154" s="141">
        <f t="shared" si="785"/>
        <v>0</v>
      </c>
      <c r="CF154" s="141">
        <f t="shared" si="785"/>
        <v>0</v>
      </c>
      <c r="CG154" s="141">
        <f t="shared" si="785"/>
        <v>0</v>
      </c>
      <c r="CH154" s="141">
        <f t="shared" si="785"/>
        <v>0</v>
      </c>
      <c r="CI154" s="141">
        <f t="shared" si="785"/>
        <v>0</v>
      </c>
      <c r="CJ154" s="141">
        <f t="shared" si="785"/>
        <v>0</v>
      </c>
      <c r="CK154" s="141">
        <f t="shared" si="785"/>
        <v>0</v>
      </c>
      <c r="CL154" s="141">
        <f t="shared" si="785"/>
        <v>0</v>
      </c>
      <c r="CM154" s="141">
        <f t="shared" si="785"/>
        <v>0</v>
      </c>
      <c r="CN154" s="141">
        <f t="shared" si="785"/>
        <v>0</v>
      </c>
      <c r="CO154" s="141">
        <f t="shared" si="785"/>
        <v>0</v>
      </c>
      <c r="CP154" s="141">
        <f t="shared" si="785"/>
        <v>0</v>
      </c>
      <c r="CQ154" s="141">
        <f t="shared" si="785"/>
        <v>0</v>
      </c>
      <c r="CR154" s="141">
        <f t="shared" si="785"/>
        <v>0</v>
      </c>
      <c r="CS154" s="141">
        <f t="shared" si="785"/>
        <v>0</v>
      </c>
      <c r="CT154" s="141">
        <f t="shared" si="785"/>
        <v>0</v>
      </c>
      <c r="CU154" s="141">
        <f t="shared" si="785"/>
        <v>0</v>
      </c>
      <c r="CV154" s="141">
        <f t="shared" si="785"/>
        <v>0</v>
      </c>
      <c r="CW154" s="142">
        <f t="shared" ref="CW154:DZ154" si="786">EA154*$AH154*$AJ154</f>
        <v>0</v>
      </c>
      <c r="CX154" s="142">
        <f t="shared" si="786"/>
        <v>0</v>
      </c>
      <c r="CY154" s="142">
        <f t="shared" si="786"/>
        <v>0</v>
      </c>
      <c r="CZ154" s="142">
        <f t="shared" si="786"/>
        <v>0</v>
      </c>
      <c r="DA154" s="142">
        <f t="shared" si="786"/>
        <v>0</v>
      </c>
      <c r="DB154" s="142">
        <f t="shared" si="786"/>
        <v>0</v>
      </c>
      <c r="DC154" s="142">
        <f t="shared" si="786"/>
        <v>0</v>
      </c>
      <c r="DD154" s="142">
        <f t="shared" si="786"/>
        <v>0</v>
      </c>
      <c r="DE154" s="142">
        <f t="shared" si="786"/>
        <v>0</v>
      </c>
      <c r="DF154" s="142">
        <f t="shared" si="786"/>
        <v>0</v>
      </c>
      <c r="DG154" s="142">
        <f t="shared" si="786"/>
        <v>0</v>
      </c>
      <c r="DH154" s="142">
        <f t="shared" si="786"/>
        <v>0</v>
      </c>
      <c r="DI154" s="142">
        <f t="shared" si="786"/>
        <v>0</v>
      </c>
      <c r="DJ154" s="142">
        <f t="shared" si="786"/>
        <v>0</v>
      </c>
      <c r="DK154" s="142">
        <f t="shared" si="786"/>
        <v>0</v>
      </c>
      <c r="DL154" s="142">
        <f t="shared" si="786"/>
        <v>0</v>
      </c>
      <c r="DM154" s="142">
        <f t="shared" si="786"/>
        <v>0</v>
      </c>
      <c r="DN154" s="142">
        <f t="shared" si="786"/>
        <v>0</v>
      </c>
      <c r="DO154" s="142">
        <f t="shared" si="786"/>
        <v>0</v>
      </c>
      <c r="DP154" s="142">
        <f t="shared" si="786"/>
        <v>0</v>
      </c>
      <c r="DQ154" s="142">
        <f t="shared" si="786"/>
        <v>0</v>
      </c>
      <c r="DR154" s="142">
        <f t="shared" si="786"/>
        <v>0</v>
      </c>
      <c r="DS154" s="142">
        <f t="shared" si="786"/>
        <v>0</v>
      </c>
      <c r="DT154" s="142">
        <f t="shared" si="786"/>
        <v>0</v>
      </c>
      <c r="DU154" s="142">
        <f t="shared" si="786"/>
        <v>0</v>
      </c>
      <c r="DV154" s="142">
        <f t="shared" si="786"/>
        <v>0</v>
      </c>
      <c r="DW154" s="142">
        <f t="shared" si="786"/>
        <v>0</v>
      </c>
      <c r="DX154" s="142">
        <f t="shared" si="786"/>
        <v>0</v>
      </c>
      <c r="DY154" s="142">
        <f t="shared" si="786"/>
        <v>0</v>
      </c>
      <c r="DZ154" s="142">
        <f t="shared" si="786"/>
        <v>0</v>
      </c>
      <c r="EA154" s="143">
        <f t="shared" si="670"/>
        <v>0</v>
      </c>
      <c r="EB154" s="143">
        <f t="shared" si="671"/>
        <v>0</v>
      </c>
      <c r="EC154" s="143">
        <f t="shared" si="672"/>
        <v>0</v>
      </c>
      <c r="ED154" s="143">
        <f t="shared" si="673"/>
        <v>0</v>
      </c>
      <c r="EE154" s="143">
        <f t="shared" si="674"/>
        <v>0</v>
      </c>
      <c r="EF154" s="143">
        <f t="shared" si="675"/>
        <v>0</v>
      </c>
      <c r="EG154" s="143">
        <f t="shared" si="676"/>
        <v>0</v>
      </c>
      <c r="EH154" s="143">
        <f t="shared" si="677"/>
        <v>0</v>
      </c>
      <c r="EI154" s="143">
        <f t="shared" si="678"/>
        <v>0</v>
      </c>
      <c r="EJ154" s="143">
        <f t="shared" si="679"/>
        <v>0</v>
      </c>
      <c r="EK154" s="143">
        <f t="shared" si="680"/>
        <v>0</v>
      </c>
      <c r="EL154" s="143">
        <f t="shared" si="681"/>
        <v>0</v>
      </c>
      <c r="EM154" s="143">
        <f t="shared" si="682"/>
        <v>0</v>
      </c>
      <c r="EN154" s="143">
        <f t="shared" si="683"/>
        <v>0</v>
      </c>
      <c r="EO154" s="143">
        <f t="shared" si="684"/>
        <v>0</v>
      </c>
      <c r="EP154" s="143">
        <f t="shared" si="685"/>
        <v>0</v>
      </c>
      <c r="EQ154" s="143">
        <f t="shared" si="686"/>
        <v>0</v>
      </c>
      <c r="ER154" s="143">
        <f t="shared" si="687"/>
        <v>0</v>
      </c>
      <c r="ES154" s="143">
        <f t="shared" si="688"/>
        <v>0</v>
      </c>
      <c r="ET154" s="143">
        <f t="shared" si="689"/>
        <v>0</v>
      </c>
      <c r="EU154" s="143">
        <f t="shared" si="690"/>
        <v>0</v>
      </c>
      <c r="EV154" s="143">
        <f t="shared" si="691"/>
        <v>0</v>
      </c>
      <c r="EW154" s="143">
        <f t="shared" si="692"/>
        <v>0</v>
      </c>
      <c r="EX154" s="143">
        <f t="shared" si="693"/>
        <v>0</v>
      </c>
      <c r="EY154" s="143">
        <f t="shared" si="694"/>
        <v>0</v>
      </c>
      <c r="EZ154" s="143">
        <f t="shared" si="695"/>
        <v>0</v>
      </c>
      <c r="FA154" s="143">
        <f t="shared" si="696"/>
        <v>0</v>
      </c>
      <c r="FB154" s="143">
        <f t="shared" si="697"/>
        <v>0</v>
      </c>
      <c r="FC154" s="143">
        <f t="shared" si="698"/>
        <v>0</v>
      </c>
      <c r="FD154" s="143">
        <f t="shared" si="699"/>
        <v>0</v>
      </c>
      <c r="FE154" s="140">
        <f>SUM($D154:D154)*IF($B154="Operacional",IFERROR(VLOOKUP($C154,SN_UGC,28,0),0),1)</f>
        <v>0</v>
      </c>
      <c r="FF154" s="140">
        <f>SUM($D154:E154)*IF($B154="Operacional",IFERROR(VLOOKUP($C154,SN_UGC,28,0),0),1)</f>
        <v>0</v>
      </c>
      <c r="FG154" s="140">
        <f>SUM($D154:F154)*IF($B154="Operacional",IFERROR(VLOOKUP($C154,SN_UGC,28,0),0),1)</f>
        <v>0</v>
      </c>
      <c r="FH154" s="140">
        <f>SUM($D154:G154)*IF($B154="Operacional",IFERROR(VLOOKUP($C154,SN_UGC,28,0),0),1)</f>
        <v>0</v>
      </c>
      <c r="FI154" s="140">
        <f>SUM($D154:H154)*IF($B154="Operacional",IFERROR(VLOOKUP($C154,SN_UGC,28,0),0),1)</f>
        <v>0</v>
      </c>
      <c r="FJ154" s="140">
        <f>SUM($D154:I154)*IF($B154="Operacional",IFERROR(VLOOKUP($C154,SN_UGC,28,0),0),1)</f>
        <v>0</v>
      </c>
      <c r="FK154" s="140">
        <f>SUM($D154:J154)*IF($B154="Operacional",IFERROR(VLOOKUP($C154,SN_UGC,28,0),0),1)</f>
        <v>0</v>
      </c>
      <c r="FL154" s="140">
        <f>SUM($D154:K154)*IF($B154="Operacional",IFERROR(VLOOKUP($C154,SN_UGC,28,0),0),1)</f>
        <v>0</v>
      </c>
      <c r="FM154" s="140">
        <f>SUM($D154:L154)*IF($B154="Operacional",IFERROR(VLOOKUP($C154,SN_UGC,28,0),0),1)</f>
        <v>0</v>
      </c>
      <c r="FN154" s="140">
        <f>SUM($D154:M154)*IF($B154="Operacional",IFERROR(VLOOKUP($C154,SN_UGC,28,0),0),1)</f>
        <v>0</v>
      </c>
      <c r="FO154" s="140">
        <f>SUM($D154:N154)*IF($B154="Operacional",IFERROR(VLOOKUP($C154,SN_UGC,28,0),0),1)</f>
        <v>0</v>
      </c>
      <c r="FP154" s="140">
        <f>SUM($D154:O154)*IF($B154="Operacional",IFERROR(VLOOKUP($C154,SN_UGC,28,0),0),1)</f>
        <v>0</v>
      </c>
      <c r="FQ154" s="140">
        <f>SUM($D154:P154)*IF($B154="Operacional",IFERROR(VLOOKUP($C154,SN_UGC,28,0),0),1)</f>
        <v>0</v>
      </c>
      <c r="FR154" s="140">
        <f>SUM($D154:Q154)*IF($B154="Operacional",IFERROR(VLOOKUP($C154,SN_UGC,28,0),0),1)</f>
        <v>0</v>
      </c>
      <c r="FS154" s="140">
        <f>SUM($D154:R154)*IF($B154="Operacional",IFERROR(VLOOKUP($C154,SN_UGC,28,0),0),1)</f>
        <v>0</v>
      </c>
      <c r="FT154" s="140">
        <f>SUM($D154:S154)*IF($B154="Operacional",IFERROR(VLOOKUP($C154,SN_UGC,28,0),0),1)</f>
        <v>0</v>
      </c>
      <c r="FU154" s="140">
        <f>SUM($D154:T154)*IF($B154="Operacional",IFERROR(VLOOKUP($C154,SN_UGC,28,0),0),1)</f>
        <v>0</v>
      </c>
      <c r="FV154" s="140">
        <f>SUM($D154:U154)*IF($B154="Operacional",IFERROR(VLOOKUP($C154,SN_UGC,28,0),0),1)</f>
        <v>0</v>
      </c>
      <c r="FW154" s="140">
        <f>SUM($D154:V154)*IF($B154="Operacional",IFERROR(VLOOKUP($C154,SN_UGC,28,0),0),1)</f>
        <v>0</v>
      </c>
      <c r="FX154" s="140">
        <f>SUM($D154:W154)*IF($B154="Operacional",IFERROR(VLOOKUP($C154,SN_UGC,28,0),0),1)</f>
        <v>0</v>
      </c>
      <c r="FY154" s="140">
        <f>SUM($D154:X154)*IF($B154="Operacional",IFERROR(VLOOKUP($C154,SN_UGC,28,0),0),1)</f>
        <v>0</v>
      </c>
      <c r="FZ154" s="140">
        <f>SUM($D154:Y154)*IF($B154="Operacional",IFERROR(VLOOKUP($C154,SN_UGC,28,0),0),1)</f>
        <v>0</v>
      </c>
      <c r="GA154" s="140">
        <f>SUM($D154:Z154)*IF($B154="Operacional",IFERROR(VLOOKUP($C154,SN_UGC,28,0),0),1)</f>
        <v>0</v>
      </c>
      <c r="GB154" s="140">
        <f>SUM($D154:AA154)*IF($B154="Operacional",IFERROR(VLOOKUP($C154,SN_UGC,28,0),0),1)</f>
        <v>0</v>
      </c>
      <c r="GC154" s="140">
        <f>SUM($D154:AB154)*IF($B154="Operacional",IFERROR(VLOOKUP($C154,SN_UGC,28,0),0),1)</f>
        <v>0</v>
      </c>
      <c r="GD154" s="140">
        <f>SUM($D154:AC154)*IF($B154="Operacional",IFERROR(VLOOKUP($C154,SN_UGC,28,0),0),1)</f>
        <v>0</v>
      </c>
      <c r="GE154" s="140">
        <f>SUM($D154:AD154)*IF($B154="Operacional",IFERROR(VLOOKUP($C154,SN_UGC,28,0),0),1)</f>
        <v>0</v>
      </c>
      <c r="GF154" s="140">
        <f>SUM($D154:AE154)*IF($B154="Operacional",IFERROR(VLOOKUP($C154,SN_UGC,28,0),0),1)</f>
        <v>0</v>
      </c>
      <c r="GG154" s="140">
        <f>SUM($D154:AF154)*IF($B154="Operacional",IFERROR(VLOOKUP($C154,SN_UGC,28,0),0),1)</f>
        <v>0</v>
      </c>
      <c r="GH154" s="140">
        <f>SUM($D154:AG154)*IF($B154="Operacional",IFERROR(VLOOKUP($C154,SN_UGC,28,0),0),1)</f>
        <v>0</v>
      </c>
      <c r="GI154" s="141">
        <f t="shared" ref="GI154:HL154" si="787">FE154*$AH154*$AL154</f>
        <v>0</v>
      </c>
      <c r="GJ154" s="141">
        <f t="shared" si="787"/>
        <v>0</v>
      </c>
      <c r="GK154" s="141">
        <f t="shared" si="787"/>
        <v>0</v>
      </c>
      <c r="GL154" s="141">
        <f t="shared" si="787"/>
        <v>0</v>
      </c>
      <c r="GM154" s="141">
        <f t="shared" si="787"/>
        <v>0</v>
      </c>
      <c r="GN154" s="141">
        <f t="shared" si="787"/>
        <v>0</v>
      </c>
      <c r="GO154" s="141">
        <f t="shared" si="787"/>
        <v>0</v>
      </c>
      <c r="GP154" s="141">
        <f t="shared" si="787"/>
        <v>0</v>
      </c>
      <c r="GQ154" s="141">
        <f t="shared" si="787"/>
        <v>0</v>
      </c>
      <c r="GR154" s="141">
        <f t="shared" si="787"/>
        <v>0</v>
      </c>
      <c r="GS154" s="141">
        <f t="shared" si="787"/>
        <v>0</v>
      </c>
      <c r="GT154" s="141">
        <f t="shared" si="787"/>
        <v>0</v>
      </c>
      <c r="GU154" s="141">
        <f t="shared" si="787"/>
        <v>0</v>
      </c>
      <c r="GV154" s="141">
        <f t="shared" si="787"/>
        <v>0</v>
      </c>
      <c r="GW154" s="141">
        <f t="shared" si="787"/>
        <v>0</v>
      </c>
      <c r="GX154" s="141">
        <f t="shared" si="787"/>
        <v>0</v>
      </c>
      <c r="GY154" s="141">
        <f t="shared" si="787"/>
        <v>0</v>
      </c>
      <c r="GZ154" s="141">
        <f t="shared" si="787"/>
        <v>0</v>
      </c>
      <c r="HA154" s="141">
        <f t="shared" si="787"/>
        <v>0</v>
      </c>
      <c r="HB154" s="141">
        <f t="shared" si="787"/>
        <v>0</v>
      </c>
      <c r="HC154" s="141">
        <f t="shared" si="787"/>
        <v>0</v>
      </c>
      <c r="HD154" s="141">
        <f t="shared" si="787"/>
        <v>0</v>
      </c>
      <c r="HE154" s="141">
        <f t="shared" si="787"/>
        <v>0</v>
      </c>
      <c r="HF154" s="141">
        <f t="shared" si="787"/>
        <v>0</v>
      </c>
      <c r="HG154" s="141">
        <f t="shared" si="787"/>
        <v>0</v>
      </c>
      <c r="HH154" s="141">
        <f t="shared" si="787"/>
        <v>0</v>
      </c>
      <c r="HI154" s="141">
        <f t="shared" si="787"/>
        <v>0</v>
      </c>
      <c r="HJ154" s="141">
        <f t="shared" si="787"/>
        <v>0</v>
      </c>
      <c r="HK154" s="141">
        <f t="shared" si="787"/>
        <v>0</v>
      </c>
      <c r="HL154" s="141">
        <f t="shared" si="787"/>
        <v>0</v>
      </c>
      <c r="HM154" s="142">
        <f t="shared" ref="HM154:IP154" si="788">IF(ISBLANK($A154),,FE154*($AH154-($AH154*$AJ154))/$AI154)</f>
        <v>0</v>
      </c>
      <c r="HN154" s="142">
        <f t="shared" si="788"/>
        <v>0</v>
      </c>
      <c r="HO154" s="142">
        <f t="shared" si="788"/>
        <v>0</v>
      </c>
      <c r="HP154" s="142">
        <f t="shared" si="788"/>
        <v>0</v>
      </c>
      <c r="HQ154" s="142">
        <f t="shared" si="788"/>
        <v>0</v>
      </c>
      <c r="HR154" s="142">
        <f t="shared" si="788"/>
        <v>0</v>
      </c>
      <c r="HS154" s="142">
        <f t="shared" si="788"/>
        <v>0</v>
      </c>
      <c r="HT154" s="142">
        <f t="shared" si="788"/>
        <v>0</v>
      </c>
      <c r="HU154" s="142">
        <f t="shared" si="788"/>
        <v>0</v>
      </c>
      <c r="HV154" s="142">
        <f t="shared" si="788"/>
        <v>0</v>
      </c>
      <c r="HW154" s="142">
        <f t="shared" si="788"/>
        <v>0</v>
      </c>
      <c r="HX154" s="142">
        <f t="shared" si="788"/>
        <v>0</v>
      </c>
      <c r="HY154" s="142">
        <f t="shared" si="788"/>
        <v>0</v>
      </c>
      <c r="HZ154" s="142">
        <f t="shared" si="788"/>
        <v>0</v>
      </c>
      <c r="IA154" s="142">
        <f t="shared" si="788"/>
        <v>0</v>
      </c>
      <c r="IB154" s="142">
        <f t="shared" si="788"/>
        <v>0</v>
      </c>
      <c r="IC154" s="142">
        <f t="shared" si="788"/>
        <v>0</v>
      </c>
      <c r="ID154" s="142">
        <f t="shared" si="788"/>
        <v>0</v>
      </c>
      <c r="IE154" s="142">
        <f t="shared" si="788"/>
        <v>0</v>
      </c>
      <c r="IF154" s="142">
        <f t="shared" si="788"/>
        <v>0</v>
      </c>
      <c r="IG154" s="142">
        <f t="shared" si="788"/>
        <v>0</v>
      </c>
      <c r="IH154" s="142">
        <f t="shared" si="788"/>
        <v>0</v>
      </c>
      <c r="II154" s="142">
        <f t="shared" si="788"/>
        <v>0</v>
      </c>
      <c r="IJ154" s="142">
        <f t="shared" si="788"/>
        <v>0</v>
      </c>
      <c r="IK154" s="142">
        <f t="shared" si="788"/>
        <v>0</v>
      </c>
      <c r="IL154" s="142">
        <f t="shared" si="788"/>
        <v>0</v>
      </c>
      <c r="IM154" s="142">
        <f t="shared" si="788"/>
        <v>0</v>
      </c>
      <c r="IN154" s="142">
        <f t="shared" si="788"/>
        <v>0</v>
      </c>
      <c r="IO154" s="142">
        <f t="shared" si="788"/>
        <v>0</v>
      </c>
      <c r="IP154" s="142">
        <f t="shared" si="788"/>
        <v>0</v>
      </c>
      <c r="IQ154" s="141">
        <f>IF(ISBLANK($A154),,IF($AN154="Não",0,(SUM($AO154:AO154)*$AH154)-SUM($HM154:HM154)-SUM($CW154:CW154)))</f>
        <v>0</v>
      </c>
      <c r="IR154" s="141">
        <f>IF(ISBLANK($A154),,IF($AN154="Não",0,(SUM($AO154:AP154)*$AH154)-SUM($HM154:HN154)-SUM($CW154:CX154)))</f>
        <v>0</v>
      </c>
      <c r="IS154" s="141">
        <f>IF(ISBLANK($A154),,IF($AN154="Não",0,(SUM($AO154:AQ154)*$AH154)-SUM($HM154:HO154)-SUM($CW154:CY154)))</f>
        <v>0</v>
      </c>
      <c r="IT154" s="141">
        <f>IF(ISBLANK($A154),,IF($AN154="Não",0,(SUM($AO154:AR154)*$AH154)-SUM($HM154:HP154)-SUM($CW154:CZ154)))</f>
        <v>0</v>
      </c>
      <c r="IU154" s="141">
        <f>IF(ISBLANK($A154),,IF($AN154="Não",0,(SUM($AO154:AS154)*$AH154)-SUM($HM154:HQ154)-SUM($CW154:DA154)))</f>
        <v>0</v>
      </c>
      <c r="IV154" s="141">
        <f>IF(ISBLANK($A154),,IF($AN154="Não",0,(SUM($AO154:AT154)*$AH154)-SUM($HM154:HR154)-SUM($CW154:DB154)))</f>
        <v>0</v>
      </c>
      <c r="IW154" s="141">
        <f>IF(ISBLANK($A154),,IF($AN154="Não",0,(SUM($AO154:AU154)*$AH154)-SUM($HM154:HS154)-SUM($CW154:DC154)))</f>
        <v>0</v>
      </c>
      <c r="IX154" s="141">
        <f>IF(ISBLANK($A154),,IF($AN154="Não",0,(SUM($AO154:AV154)*$AH154)-SUM($HM154:HT154)-SUM($CW154:DD154)))</f>
        <v>0</v>
      </c>
      <c r="IY154" s="141">
        <f>IF(ISBLANK($A154),,IF($AN154="Não",0,(SUM($AO154:AW154)*$AH154)-SUM($HM154:HU154)-SUM($CW154:DE154)))</f>
        <v>0</v>
      </c>
      <c r="IZ154" s="141">
        <f>IF(ISBLANK($A154),,IF($AN154="Não",0,(SUM($AO154:AX154)*$AH154)-SUM($HM154:HV154)-SUM($CW154:DF154)))</f>
        <v>0</v>
      </c>
      <c r="JA154" s="141">
        <f>IF(ISBLANK($A154),,IF($AN154="Não",0,(SUM($AO154:AY154)*$AH154)-SUM($HM154:HW154)-SUM($CW154:DG154)))</f>
        <v>0</v>
      </c>
      <c r="JB154" s="141">
        <f>IF(ISBLANK($A154),,IF($AN154="Não",0,(SUM($AO154:AZ154)*$AH154)-SUM($HM154:HX154)-SUM($CW154:DH154)))</f>
        <v>0</v>
      </c>
      <c r="JC154" s="141">
        <f>IF(ISBLANK($A154),,IF($AN154="Não",0,(SUM($AO154:BA154)*$AH154)-SUM($HM154:HY154)-SUM($CW154:DI154)))</f>
        <v>0</v>
      </c>
      <c r="JD154" s="141">
        <f>IF(ISBLANK($A154),,IF($AN154="Não",0,(SUM($AO154:BB154)*$AH154)-SUM($HM154:HZ154)-SUM($CW154:DJ154)))</f>
        <v>0</v>
      </c>
      <c r="JE154" s="141">
        <f>IF(ISBLANK($A154),,IF($AN154="Não",0,(SUM($AO154:BC154)*$AH154)-SUM($HM154:IA154)-SUM($CW154:DK154)))</f>
        <v>0</v>
      </c>
      <c r="JF154" s="141">
        <f>IF(ISBLANK($A154),,IF($AN154="Não",0,(SUM($AO154:BD154)*$AH154)-SUM($HM154:IB154)-SUM($CW154:DL154)))</f>
        <v>0</v>
      </c>
      <c r="JG154" s="141">
        <f>IF(ISBLANK($A154),,IF($AN154="Não",0,(SUM($AO154:BE154)*$AH154)-SUM($HM154:IC154)-SUM($CW154:DM154)))</f>
        <v>0</v>
      </c>
      <c r="JH154" s="141">
        <f>IF(ISBLANK($A154),,IF($AN154="Não",0,(SUM($AO154:BF154)*$AH154)-SUM($HM154:ID154)-SUM($CW154:DN154)))</f>
        <v>0</v>
      </c>
      <c r="JI154" s="141">
        <f>IF(ISBLANK($A154),,IF($AN154="Não",0,(SUM($AO154:BG154)*$AH154)-SUM($HM154:IE154)-SUM($CW154:DO154)))</f>
        <v>0</v>
      </c>
      <c r="JJ154" s="141">
        <f>IF(ISBLANK($A154),,IF($AN154="Não",0,(SUM($AO154:BH154)*$AH154)-SUM($HM154:IF154)-SUM($CW154:DP154)))</f>
        <v>0</v>
      </c>
      <c r="JK154" s="141">
        <f>IF(ISBLANK($A154),,IF($AN154="Não",0,(SUM($AO154:BI154)*$AH154)-SUM($HM154:IG154)-SUM($CW154:DQ154)))</f>
        <v>0</v>
      </c>
      <c r="JL154" s="141">
        <f>IF(ISBLANK($A154),,IF($AN154="Não",0,(SUM($AO154:BJ154)*$AH154)-SUM($HM154:IH154)-SUM($CW154:DR154)))</f>
        <v>0</v>
      </c>
      <c r="JM154" s="141">
        <f>IF(ISBLANK($A154),,IF($AN154="Não",0,(SUM($AO154:BK154)*$AH154)-SUM($HM154:II154)-SUM($CW154:DS154)))</f>
        <v>0</v>
      </c>
      <c r="JN154" s="141">
        <f>IF(ISBLANK($A154),,IF($AN154="Não",0,(SUM($AO154:BL154)*$AH154)-SUM($HM154:IJ154)-SUM($CW154:DT154)))</f>
        <v>0</v>
      </c>
      <c r="JO154" s="141">
        <f>IF(ISBLANK($A154),,IF($AN154="Não",0,(SUM($AO154:BM154)*$AH154)-SUM($HM154:IK154)-SUM($CW154:DU154)))</f>
        <v>0</v>
      </c>
      <c r="JP154" s="141">
        <f>IF(ISBLANK($A154),,IF($AN154="Não",0,(SUM($AO154:BN154)*$AH154)-SUM($HM154:IL154)-SUM($CW154:DV154)))</f>
        <v>0</v>
      </c>
      <c r="JQ154" s="141">
        <f>IF(ISBLANK($A154),,IF($AN154="Não",0,(SUM($AO154:BO154)*$AH154)-SUM($HM154:IM154)-SUM($CW154:DW154)))</f>
        <v>0</v>
      </c>
      <c r="JR154" s="141">
        <f>IF(ISBLANK($A154),,IF($AN154="Não",0,(SUM($AO154:BP154)*$AH154)-SUM($HM154:IN154)-SUM($CW154:DX154)))</f>
        <v>0</v>
      </c>
      <c r="JS154" s="141">
        <f>IF(ISBLANK($A154),,IF($AN154="Não",0,(SUM($AO154:BQ154)*$AH154)-SUM($HM154:IO154)-SUM($CW154:DY154)))</f>
        <v>0</v>
      </c>
      <c r="JT154" s="141">
        <f>IF(ISBLANK($A154),,IF($AN154="Não",0,(SUM($AO154:BR154)*$AH154)-SUM($HM154:IP154)-SUM($CW154:DZ154)))</f>
        <v>0</v>
      </c>
    </row>
    <row r="155" spans="1:280" ht="15.75" customHeight="1">
      <c r="A155" s="129"/>
      <c r="B155" s="129"/>
      <c r="C155" s="138"/>
      <c r="D155" s="139"/>
      <c r="E155" s="139"/>
      <c r="F155" s="139"/>
      <c r="G155" s="139"/>
      <c r="H155" s="139"/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607">
        <f t="shared" si="710"/>
        <v>0</v>
      </c>
      <c r="AI155" s="608">
        <f t="shared" si="711"/>
        <v>0</v>
      </c>
      <c r="AJ155" s="609">
        <f t="shared" si="712"/>
        <v>0</v>
      </c>
      <c r="AK155" s="610" t="str">
        <f t="shared" si="713"/>
        <v/>
      </c>
      <c r="AL155" s="609">
        <f t="shared" si="714"/>
        <v>0</v>
      </c>
      <c r="AM155" s="611" t="str">
        <f t="shared" si="715"/>
        <v/>
      </c>
      <c r="AN155" s="611" t="str">
        <f t="shared" si="716"/>
        <v/>
      </c>
      <c r="AO155" s="140">
        <f t="array" ref="AO155">IF(ISBLANK($A155),0,IF(OR(AO$5-$AI155&lt;=0,$AM155="Não"),D155,D155+INDEX($AO$6:$BR$176,ROW()-5,COLUMN()-40-$AI155)))*IF($B155="Operacional",IFERROR(VLOOKUP($C155,SN_UGC,28,0),0),1)</f>
        <v>0</v>
      </c>
      <c r="AP155" s="140">
        <f t="array" ref="AP155">IF(ISBLANK($A155),0,IF(OR(AP$5-$AI155&lt;=0,$AM155="Não"),E155,E155+INDEX($AO$6:$BR$176,ROW()-5,COLUMN()-40-$AI155)))*IF($B155="Operacional",IFERROR(VLOOKUP($C155,SN_UGC,28,0),0),1)</f>
        <v>0</v>
      </c>
      <c r="AQ155" s="140">
        <f t="array" ref="AQ155">IF(ISBLANK($A155),0,IF(OR(AQ$5-$AI155&lt;=0,$AM155="Não"),F155,F155+INDEX($AO$6:$BR$176,ROW()-5,COLUMN()-40-$AI155)))*IF($B155="Operacional",IFERROR(VLOOKUP($C155,SN_UGC,28,0),0),1)</f>
        <v>0</v>
      </c>
      <c r="AR155" s="140">
        <f t="array" ref="AR155">IF(ISBLANK($A155),0,IF(OR(AR$5-$AI155&lt;=0,$AM155="Não"),G155,G155+INDEX($AO$6:$BR$176,ROW()-5,COLUMN()-40-$AI155)))*IF($B155="Operacional",IFERROR(VLOOKUP($C155,SN_UGC,28,0),0),1)</f>
        <v>0</v>
      </c>
      <c r="AS155" s="140">
        <f t="array" ref="AS155">IF(ISBLANK($A155),0,IF(OR(AS$5-$AI155&lt;=0,$AM155="Não"),H155,H155+INDEX($AO$6:$BR$176,ROW()-5,COLUMN()-40-$AI155)))*IF($B155="Operacional",IFERROR(VLOOKUP($C155,SN_UGC,28,0),0),1)</f>
        <v>0</v>
      </c>
      <c r="AT155" s="140">
        <f t="array" ref="AT155">IF(ISBLANK($A155),0,IF(OR(AT$5-$AI155&lt;=0,$AM155="Não"),I155,I155+INDEX($AO$6:$BR$176,ROW()-5,COLUMN()-40-$AI155)))*IF($B155="Operacional",IFERROR(VLOOKUP($C155,SN_UGC,28,0),0),1)</f>
        <v>0</v>
      </c>
      <c r="AU155" s="140">
        <f t="array" ref="AU155">IF(ISBLANK($A155),0,IF(OR(AU$5-$AI155&lt;=0,$AM155="Não"),J155,J155+INDEX($AO$6:$BR$176,ROW()-5,COLUMN()-40-$AI155)))*IF($B155="Operacional",IFERROR(VLOOKUP($C155,SN_UGC,28,0),0),1)</f>
        <v>0</v>
      </c>
      <c r="AV155" s="140">
        <f t="array" ref="AV155">IF(ISBLANK($A155),0,IF(OR(AV$5-$AI155&lt;=0,$AM155="Não"),K155,K155+INDEX($AO$6:$BR$176,ROW()-5,COLUMN()-40-$AI155)))*IF($B155="Operacional",IFERROR(VLOOKUP($C155,SN_UGC,28,0),0),1)</f>
        <v>0</v>
      </c>
      <c r="AW155" s="140">
        <f t="array" ref="AW155">IF(ISBLANK($A155),0,IF(OR(AW$5-$AI155&lt;=0,$AM155="Não"),L155,L155+INDEX($AO$6:$BR$176,ROW()-5,COLUMN()-40-$AI155)))*IF($B155="Operacional",IFERROR(VLOOKUP($C155,SN_UGC,28,0),0),1)</f>
        <v>0</v>
      </c>
      <c r="AX155" s="140">
        <f t="array" ref="AX155">IF(ISBLANK($A155),0,IF(OR(AX$5-$AI155&lt;=0,$AM155="Não"),M155,M155+INDEX($AO$6:$BR$176,ROW()-5,COLUMN()-40-$AI155)))*IF($B155="Operacional",IFERROR(VLOOKUP($C155,SN_UGC,28,0),0),1)</f>
        <v>0</v>
      </c>
      <c r="AY155" s="140">
        <f t="array" ref="AY155">IF(ISBLANK($A155),0,IF(OR(AY$5-$AI155&lt;=0,$AM155="Não"),N155,N155+INDEX($AO$6:$BR$176,ROW()-5,COLUMN()-40-$AI155)))*IF($B155="Operacional",IFERROR(VLOOKUP($C155,SN_UGC,28,0),0),1)</f>
        <v>0</v>
      </c>
      <c r="AZ155" s="140">
        <f t="array" ref="AZ155">IF(ISBLANK($A155),0,IF(OR(AZ$5-$AI155&lt;=0,$AM155="Não"),O155,O155+INDEX($AO$6:$BR$176,ROW()-5,COLUMN()-40-$AI155)))*IF($B155="Operacional",IFERROR(VLOOKUP($C155,SN_UGC,28,0),0),1)</f>
        <v>0</v>
      </c>
      <c r="BA155" s="140">
        <f t="array" ref="BA155">IF(ISBLANK($A155),0,IF(OR(BA$5-$AI155&lt;=0,$AM155="Não"),P155,P155+INDEX($AO$6:$BR$176,ROW()-5,COLUMN()-40-$AI155)))*IF($B155="Operacional",IFERROR(VLOOKUP($C155,SN_UGC,28,0),0),1)</f>
        <v>0</v>
      </c>
      <c r="BB155" s="140">
        <f t="array" ref="BB155">IF(ISBLANK($A155),0,IF(OR(BB$5-$AI155&lt;=0,$AM155="Não"),Q155,Q155+INDEX($AO$6:$BR$176,ROW()-5,COLUMN()-40-$AI155)))*IF($B155="Operacional",IFERROR(VLOOKUP($C155,SN_UGC,28,0),0),1)</f>
        <v>0</v>
      </c>
      <c r="BC155" s="140">
        <f t="array" ref="BC155">IF(ISBLANK($A155),0,IF(OR(BC$5-$AI155&lt;=0,$AM155="Não"),R155,R155+INDEX($AO$6:$BR$176,ROW()-5,COLUMN()-40-$AI155)))*IF($B155="Operacional",IFERROR(VLOOKUP($C155,SN_UGC,28,0),0),1)</f>
        <v>0</v>
      </c>
      <c r="BD155" s="140">
        <f t="array" ref="BD155">IF(ISBLANK($A155),0,IF(OR(BD$5-$AI155&lt;=0,$AM155="Não"),S155,S155+INDEX($AO$6:$BR$176,ROW()-5,COLUMN()-40-$AI155)))*IF($B155="Operacional",IFERROR(VLOOKUP($C155,SN_UGC,28,0),0),1)</f>
        <v>0</v>
      </c>
      <c r="BE155" s="140">
        <f t="array" ref="BE155">IF(ISBLANK($A155),0,IF(OR(BE$5-$AI155&lt;=0,$AM155="Não"),T155,T155+INDEX($AO$6:$BR$176,ROW()-5,COLUMN()-40-$AI155)))*IF($B155="Operacional",IFERROR(VLOOKUP($C155,SN_UGC,28,0),0),1)</f>
        <v>0</v>
      </c>
      <c r="BF155" s="140">
        <f t="array" ref="BF155">IF(ISBLANK($A155),0,IF(OR(BF$5-$AI155&lt;=0,$AM155="Não"),U155,U155+INDEX($AO$6:$BR$176,ROW()-5,COLUMN()-40-$AI155)))*IF($B155="Operacional",IFERROR(VLOOKUP($C155,SN_UGC,28,0),0),1)</f>
        <v>0</v>
      </c>
      <c r="BG155" s="140">
        <f t="array" ref="BG155">IF(ISBLANK($A155),0,IF(OR(BG$5-$AI155&lt;=0,$AM155="Não"),V155,V155+INDEX($AO$6:$BR$176,ROW()-5,COLUMN()-40-$AI155)))*IF($B155="Operacional",IFERROR(VLOOKUP($C155,SN_UGC,28,0),0),1)</f>
        <v>0</v>
      </c>
      <c r="BH155" s="140">
        <f t="array" ref="BH155">IF(ISBLANK($A155),0,IF(OR(BH$5-$AI155&lt;=0,$AM155="Não"),W155,W155+INDEX($AO$6:$BR$176,ROW()-5,COLUMN()-40-$AI155)))*IF($B155="Operacional",IFERROR(VLOOKUP($C155,SN_UGC,28,0),0),1)</f>
        <v>0</v>
      </c>
      <c r="BI155" s="140">
        <f t="array" ref="BI155">IF(ISBLANK($A155),0,IF(OR(BI$5-$AI155&lt;=0,$AM155="Não"),X155,X155+INDEX($AO$6:$BR$176,ROW()-5,COLUMN()-40-$AI155)))*IF($B155="Operacional",IFERROR(VLOOKUP($C155,SN_UGC,28,0),0),1)</f>
        <v>0</v>
      </c>
      <c r="BJ155" s="140">
        <f t="array" ref="BJ155">IF(ISBLANK($A155),0,IF(OR(BJ$5-$AI155&lt;=0,$AM155="Não"),Y155,Y155+INDEX($AO$6:$BR$176,ROW()-5,COLUMN()-40-$AI155)))*IF($B155="Operacional",IFERROR(VLOOKUP($C155,SN_UGC,28,0),0),1)</f>
        <v>0</v>
      </c>
      <c r="BK155" s="140">
        <f t="array" ref="BK155">IF(ISBLANK($A155),0,IF(OR(BK$5-$AI155&lt;=0,$AM155="Não"),Z155,Z155+INDEX($AO$6:$BR$176,ROW()-5,COLUMN()-40-$AI155)))*IF($B155="Operacional",IFERROR(VLOOKUP($C155,SN_UGC,28,0),0),1)</f>
        <v>0</v>
      </c>
      <c r="BL155" s="140">
        <f t="array" ref="BL155">IF(ISBLANK($A155),0,IF(OR(BL$5-$AI155&lt;=0,$AM155="Não"),AA155,AA155+INDEX($AO$6:$BR$176,ROW()-5,COLUMN()-40-$AI155)))*IF($B155="Operacional",IFERROR(VLOOKUP($C155,SN_UGC,28,0),0),1)</f>
        <v>0</v>
      </c>
      <c r="BM155" s="140">
        <f t="array" ref="BM155">IF(ISBLANK($A155),0,IF(OR(BM$5-$AI155&lt;=0,$AM155="Não"),AB155,AB155+INDEX($AO$6:$BR$176,ROW()-5,COLUMN()-40-$AI155)))*IF($B155="Operacional",IFERROR(VLOOKUP($C155,SN_UGC,28,0),0),1)</f>
        <v>0</v>
      </c>
      <c r="BN155" s="140">
        <f t="array" ref="BN155">IF(ISBLANK($A155),0,IF(OR(BN$5-$AI155&lt;=0,$AM155="Não"),AC155,AC155+INDEX($AO$6:$BR$176,ROW()-5,COLUMN()-40-$AI155)))*IF($B155="Operacional",IFERROR(VLOOKUP($C155,SN_UGC,28,0),0),1)</f>
        <v>0</v>
      </c>
      <c r="BO155" s="140">
        <f t="array" ref="BO155">IF(ISBLANK($A155),0,IF(OR(BO$5-$AI155&lt;=0,$AM155="Não"),AD155,AD155+INDEX($AO$6:$BR$176,ROW()-5,COLUMN()-40-$AI155)))*IF($B155="Operacional",IFERROR(VLOOKUP($C155,SN_UGC,28,0),0),1)</f>
        <v>0</v>
      </c>
      <c r="BP155" s="140">
        <f t="array" ref="BP155">IF(ISBLANK($A155),0,IF(OR(BP$5-$AI155&lt;=0,$AM155="Não"),AE155,AE155+INDEX($AO$6:$BR$176,ROW()-5,COLUMN()-40-$AI155)))*IF($B155="Operacional",IFERROR(VLOOKUP($C155,SN_UGC,28,0),0),1)</f>
        <v>0</v>
      </c>
      <c r="BQ155" s="140">
        <f t="array" ref="BQ155">IF(ISBLANK($A155),0,IF(OR(BQ$5-$AI155&lt;=0,$AM155="Não"),AF155,AF155+INDEX($AO$6:$BR$176,ROW()-5,COLUMN()-40-$AI155)))*IF($B155="Operacional",IFERROR(VLOOKUP($C155,SN_UGC,28,0),0),1)</f>
        <v>0</v>
      </c>
      <c r="BR155" s="140">
        <f t="array" ref="BR155">IF(ISBLANK($A155),0,IF(OR(BR$5-$AI155&lt;=0,$AM155="Não"),AG155,AG155+INDEX($AO$6:$BR$176,ROW()-5,COLUMN()-40-$AI155)))*IF($B155="Operacional",IFERROR(VLOOKUP($C155,SN_UGC,28,0),0),1)</f>
        <v>0</v>
      </c>
      <c r="BS155" s="141">
        <f t="shared" ref="BS155:CV155" si="789">IF(ISBLANK($A155),0,$AH155*AO155)</f>
        <v>0</v>
      </c>
      <c r="BT155" s="141">
        <f t="shared" si="789"/>
        <v>0</v>
      </c>
      <c r="BU155" s="141">
        <f t="shared" si="789"/>
        <v>0</v>
      </c>
      <c r="BV155" s="141">
        <f t="shared" si="789"/>
        <v>0</v>
      </c>
      <c r="BW155" s="141">
        <f t="shared" si="789"/>
        <v>0</v>
      </c>
      <c r="BX155" s="141">
        <f t="shared" si="789"/>
        <v>0</v>
      </c>
      <c r="BY155" s="141">
        <f t="shared" si="789"/>
        <v>0</v>
      </c>
      <c r="BZ155" s="141">
        <f t="shared" si="789"/>
        <v>0</v>
      </c>
      <c r="CA155" s="141">
        <f t="shared" si="789"/>
        <v>0</v>
      </c>
      <c r="CB155" s="141">
        <f t="shared" si="789"/>
        <v>0</v>
      </c>
      <c r="CC155" s="141">
        <f t="shared" si="789"/>
        <v>0</v>
      </c>
      <c r="CD155" s="141">
        <f t="shared" si="789"/>
        <v>0</v>
      </c>
      <c r="CE155" s="141">
        <f t="shared" si="789"/>
        <v>0</v>
      </c>
      <c r="CF155" s="141">
        <f t="shared" si="789"/>
        <v>0</v>
      </c>
      <c r="CG155" s="141">
        <f t="shared" si="789"/>
        <v>0</v>
      </c>
      <c r="CH155" s="141">
        <f t="shared" si="789"/>
        <v>0</v>
      </c>
      <c r="CI155" s="141">
        <f t="shared" si="789"/>
        <v>0</v>
      </c>
      <c r="CJ155" s="141">
        <f t="shared" si="789"/>
        <v>0</v>
      </c>
      <c r="CK155" s="141">
        <f t="shared" si="789"/>
        <v>0</v>
      </c>
      <c r="CL155" s="141">
        <f t="shared" si="789"/>
        <v>0</v>
      </c>
      <c r="CM155" s="141">
        <f t="shared" si="789"/>
        <v>0</v>
      </c>
      <c r="CN155" s="141">
        <f t="shared" si="789"/>
        <v>0</v>
      </c>
      <c r="CO155" s="141">
        <f t="shared" si="789"/>
        <v>0</v>
      </c>
      <c r="CP155" s="141">
        <f t="shared" si="789"/>
        <v>0</v>
      </c>
      <c r="CQ155" s="141">
        <f t="shared" si="789"/>
        <v>0</v>
      </c>
      <c r="CR155" s="141">
        <f t="shared" si="789"/>
        <v>0</v>
      </c>
      <c r="CS155" s="141">
        <f t="shared" si="789"/>
        <v>0</v>
      </c>
      <c r="CT155" s="141">
        <f t="shared" si="789"/>
        <v>0</v>
      </c>
      <c r="CU155" s="141">
        <f t="shared" si="789"/>
        <v>0</v>
      </c>
      <c r="CV155" s="141">
        <f t="shared" si="789"/>
        <v>0</v>
      </c>
      <c r="CW155" s="142">
        <f t="shared" ref="CW155:DZ155" si="790">EA155*$AH155*$AJ155</f>
        <v>0</v>
      </c>
      <c r="CX155" s="142">
        <f t="shared" si="790"/>
        <v>0</v>
      </c>
      <c r="CY155" s="142">
        <f t="shared" si="790"/>
        <v>0</v>
      </c>
      <c r="CZ155" s="142">
        <f t="shared" si="790"/>
        <v>0</v>
      </c>
      <c r="DA155" s="142">
        <f t="shared" si="790"/>
        <v>0</v>
      </c>
      <c r="DB155" s="142">
        <f t="shared" si="790"/>
        <v>0</v>
      </c>
      <c r="DC155" s="142">
        <f t="shared" si="790"/>
        <v>0</v>
      </c>
      <c r="DD155" s="142">
        <f t="shared" si="790"/>
        <v>0</v>
      </c>
      <c r="DE155" s="142">
        <f t="shared" si="790"/>
        <v>0</v>
      </c>
      <c r="DF155" s="142">
        <f t="shared" si="790"/>
        <v>0</v>
      </c>
      <c r="DG155" s="142">
        <f t="shared" si="790"/>
        <v>0</v>
      </c>
      <c r="DH155" s="142">
        <f t="shared" si="790"/>
        <v>0</v>
      </c>
      <c r="DI155" s="142">
        <f t="shared" si="790"/>
        <v>0</v>
      </c>
      <c r="DJ155" s="142">
        <f t="shared" si="790"/>
        <v>0</v>
      </c>
      <c r="DK155" s="142">
        <f t="shared" si="790"/>
        <v>0</v>
      </c>
      <c r="DL155" s="142">
        <f t="shared" si="790"/>
        <v>0</v>
      </c>
      <c r="DM155" s="142">
        <f t="shared" si="790"/>
        <v>0</v>
      </c>
      <c r="DN155" s="142">
        <f t="shared" si="790"/>
        <v>0</v>
      </c>
      <c r="DO155" s="142">
        <f t="shared" si="790"/>
        <v>0</v>
      </c>
      <c r="DP155" s="142">
        <f t="shared" si="790"/>
        <v>0</v>
      </c>
      <c r="DQ155" s="142">
        <f t="shared" si="790"/>
        <v>0</v>
      </c>
      <c r="DR155" s="142">
        <f t="shared" si="790"/>
        <v>0</v>
      </c>
      <c r="DS155" s="142">
        <f t="shared" si="790"/>
        <v>0</v>
      </c>
      <c r="DT155" s="142">
        <f t="shared" si="790"/>
        <v>0</v>
      </c>
      <c r="DU155" s="142">
        <f t="shared" si="790"/>
        <v>0</v>
      </c>
      <c r="DV155" s="142">
        <f t="shared" si="790"/>
        <v>0</v>
      </c>
      <c r="DW155" s="142">
        <f t="shared" si="790"/>
        <v>0</v>
      </c>
      <c r="DX155" s="142">
        <f t="shared" si="790"/>
        <v>0</v>
      </c>
      <c r="DY155" s="142">
        <f t="shared" si="790"/>
        <v>0</v>
      </c>
      <c r="DZ155" s="142">
        <f t="shared" si="790"/>
        <v>0</v>
      </c>
      <c r="EA155" s="143">
        <f t="shared" si="670"/>
        <v>0</v>
      </c>
      <c r="EB155" s="143">
        <f t="shared" si="671"/>
        <v>0</v>
      </c>
      <c r="EC155" s="143">
        <f t="shared" si="672"/>
        <v>0</v>
      </c>
      <c r="ED155" s="143">
        <f t="shared" si="673"/>
        <v>0</v>
      </c>
      <c r="EE155" s="143">
        <f t="shared" si="674"/>
        <v>0</v>
      </c>
      <c r="EF155" s="143">
        <f t="shared" si="675"/>
        <v>0</v>
      </c>
      <c r="EG155" s="143">
        <f t="shared" si="676"/>
        <v>0</v>
      </c>
      <c r="EH155" s="143">
        <f t="shared" si="677"/>
        <v>0</v>
      </c>
      <c r="EI155" s="143">
        <f t="shared" si="678"/>
        <v>0</v>
      </c>
      <c r="EJ155" s="143">
        <f t="shared" si="679"/>
        <v>0</v>
      </c>
      <c r="EK155" s="143">
        <f t="shared" si="680"/>
        <v>0</v>
      </c>
      <c r="EL155" s="143">
        <f t="shared" si="681"/>
        <v>0</v>
      </c>
      <c r="EM155" s="143">
        <f t="shared" si="682"/>
        <v>0</v>
      </c>
      <c r="EN155" s="143">
        <f t="shared" si="683"/>
        <v>0</v>
      </c>
      <c r="EO155" s="143">
        <f t="shared" si="684"/>
        <v>0</v>
      </c>
      <c r="EP155" s="143">
        <f t="shared" si="685"/>
        <v>0</v>
      </c>
      <c r="EQ155" s="143">
        <f t="shared" si="686"/>
        <v>0</v>
      </c>
      <c r="ER155" s="143">
        <f t="shared" si="687"/>
        <v>0</v>
      </c>
      <c r="ES155" s="143">
        <f t="shared" si="688"/>
        <v>0</v>
      </c>
      <c r="ET155" s="143">
        <f t="shared" si="689"/>
        <v>0</v>
      </c>
      <c r="EU155" s="143">
        <f t="shared" si="690"/>
        <v>0</v>
      </c>
      <c r="EV155" s="143">
        <f t="shared" si="691"/>
        <v>0</v>
      </c>
      <c r="EW155" s="143">
        <f t="shared" si="692"/>
        <v>0</v>
      </c>
      <c r="EX155" s="143">
        <f t="shared" si="693"/>
        <v>0</v>
      </c>
      <c r="EY155" s="143">
        <f t="shared" si="694"/>
        <v>0</v>
      </c>
      <c r="EZ155" s="143">
        <f t="shared" si="695"/>
        <v>0</v>
      </c>
      <c r="FA155" s="143">
        <f t="shared" si="696"/>
        <v>0</v>
      </c>
      <c r="FB155" s="143">
        <f t="shared" si="697"/>
        <v>0</v>
      </c>
      <c r="FC155" s="143">
        <f t="shared" si="698"/>
        <v>0</v>
      </c>
      <c r="FD155" s="143">
        <f t="shared" si="699"/>
        <v>0</v>
      </c>
      <c r="FE155" s="140">
        <f>SUM($D155:D155)*IF($B155="Operacional",IFERROR(VLOOKUP($C155,SN_UGC,28,0),0),1)</f>
        <v>0</v>
      </c>
      <c r="FF155" s="140">
        <f>SUM($D155:E155)*IF($B155="Operacional",IFERROR(VLOOKUP($C155,SN_UGC,28,0),0),1)</f>
        <v>0</v>
      </c>
      <c r="FG155" s="140">
        <f>SUM($D155:F155)*IF($B155="Operacional",IFERROR(VLOOKUP($C155,SN_UGC,28,0),0),1)</f>
        <v>0</v>
      </c>
      <c r="FH155" s="140">
        <f>SUM($D155:G155)*IF($B155="Operacional",IFERROR(VLOOKUP($C155,SN_UGC,28,0),0),1)</f>
        <v>0</v>
      </c>
      <c r="FI155" s="140">
        <f>SUM($D155:H155)*IF($B155="Operacional",IFERROR(VLOOKUP($C155,SN_UGC,28,0),0),1)</f>
        <v>0</v>
      </c>
      <c r="FJ155" s="140">
        <f>SUM($D155:I155)*IF($B155="Operacional",IFERROR(VLOOKUP($C155,SN_UGC,28,0),0),1)</f>
        <v>0</v>
      </c>
      <c r="FK155" s="140">
        <f>SUM($D155:J155)*IF($B155="Operacional",IFERROR(VLOOKUP($C155,SN_UGC,28,0),0),1)</f>
        <v>0</v>
      </c>
      <c r="FL155" s="140">
        <f>SUM($D155:K155)*IF($B155="Operacional",IFERROR(VLOOKUP($C155,SN_UGC,28,0),0),1)</f>
        <v>0</v>
      </c>
      <c r="FM155" s="140">
        <f>SUM($D155:L155)*IF($B155="Operacional",IFERROR(VLOOKUP($C155,SN_UGC,28,0),0),1)</f>
        <v>0</v>
      </c>
      <c r="FN155" s="140">
        <f>SUM($D155:M155)*IF($B155="Operacional",IFERROR(VLOOKUP($C155,SN_UGC,28,0),0),1)</f>
        <v>0</v>
      </c>
      <c r="FO155" s="140">
        <f>SUM($D155:N155)*IF($B155="Operacional",IFERROR(VLOOKUP($C155,SN_UGC,28,0),0),1)</f>
        <v>0</v>
      </c>
      <c r="FP155" s="140">
        <f>SUM($D155:O155)*IF($B155="Operacional",IFERROR(VLOOKUP($C155,SN_UGC,28,0),0),1)</f>
        <v>0</v>
      </c>
      <c r="FQ155" s="140">
        <f>SUM($D155:P155)*IF($B155="Operacional",IFERROR(VLOOKUP($C155,SN_UGC,28,0),0),1)</f>
        <v>0</v>
      </c>
      <c r="FR155" s="140">
        <f>SUM($D155:Q155)*IF($B155="Operacional",IFERROR(VLOOKUP($C155,SN_UGC,28,0),0),1)</f>
        <v>0</v>
      </c>
      <c r="FS155" s="140">
        <f>SUM($D155:R155)*IF($B155="Operacional",IFERROR(VLOOKUP($C155,SN_UGC,28,0),0),1)</f>
        <v>0</v>
      </c>
      <c r="FT155" s="140">
        <f>SUM($D155:S155)*IF($B155="Operacional",IFERROR(VLOOKUP($C155,SN_UGC,28,0),0),1)</f>
        <v>0</v>
      </c>
      <c r="FU155" s="140">
        <f>SUM($D155:T155)*IF($B155="Operacional",IFERROR(VLOOKUP($C155,SN_UGC,28,0),0),1)</f>
        <v>0</v>
      </c>
      <c r="FV155" s="140">
        <f>SUM($D155:U155)*IF($B155="Operacional",IFERROR(VLOOKUP($C155,SN_UGC,28,0),0),1)</f>
        <v>0</v>
      </c>
      <c r="FW155" s="140">
        <f>SUM($D155:V155)*IF($B155="Operacional",IFERROR(VLOOKUP($C155,SN_UGC,28,0),0),1)</f>
        <v>0</v>
      </c>
      <c r="FX155" s="140">
        <f>SUM($D155:W155)*IF($B155="Operacional",IFERROR(VLOOKUP($C155,SN_UGC,28,0),0),1)</f>
        <v>0</v>
      </c>
      <c r="FY155" s="140">
        <f>SUM($D155:X155)*IF($B155="Operacional",IFERROR(VLOOKUP($C155,SN_UGC,28,0),0),1)</f>
        <v>0</v>
      </c>
      <c r="FZ155" s="140">
        <f>SUM($D155:Y155)*IF($B155="Operacional",IFERROR(VLOOKUP($C155,SN_UGC,28,0),0),1)</f>
        <v>0</v>
      </c>
      <c r="GA155" s="140">
        <f>SUM($D155:Z155)*IF($B155="Operacional",IFERROR(VLOOKUP($C155,SN_UGC,28,0),0),1)</f>
        <v>0</v>
      </c>
      <c r="GB155" s="140">
        <f>SUM($D155:AA155)*IF($B155="Operacional",IFERROR(VLOOKUP($C155,SN_UGC,28,0),0),1)</f>
        <v>0</v>
      </c>
      <c r="GC155" s="140">
        <f>SUM($D155:AB155)*IF($B155="Operacional",IFERROR(VLOOKUP($C155,SN_UGC,28,0),0),1)</f>
        <v>0</v>
      </c>
      <c r="GD155" s="140">
        <f>SUM($D155:AC155)*IF($B155="Operacional",IFERROR(VLOOKUP($C155,SN_UGC,28,0),0),1)</f>
        <v>0</v>
      </c>
      <c r="GE155" s="140">
        <f>SUM($D155:AD155)*IF($B155="Operacional",IFERROR(VLOOKUP($C155,SN_UGC,28,0),0),1)</f>
        <v>0</v>
      </c>
      <c r="GF155" s="140">
        <f>SUM($D155:AE155)*IF($B155="Operacional",IFERROR(VLOOKUP($C155,SN_UGC,28,0),0),1)</f>
        <v>0</v>
      </c>
      <c r="GG155" s="140">
        <f>SUM($D155:AF155)*IF($B155="Operacional",IFERROR(VLOOKUP($C155,SN_UGC,28,0),0),1)</f>
        <v>0</v>
      </c>
      <c r="GH155" s="140">
        <f>SUM($D155:AG155)*IF($B155="Operacional",IFERROR(VLOOKUP($C155,SN_UGC,28,0),0),1)</f>
        <v>0</v>
      </c>
      <c r="GI155" s="141">
        <f t="shared" ref="GI155:HL155" si="791">FE155*$AH155*$AL155</f>
        <v>0</v>
      </c>
      <c r="GJ155" s="141">
        <f t="shared" si="791"/>
        <v>0</v>
      </c>
      <c r="GK155" s="141">
        <f t="shared" si="791"/>
        <v>0</v>
      </c>
      <c r="GL155" s="141">
        <f t="shared" si="791"/>
        <v>0</v>
      </c>
      <c r="GM155" s="141">
        <f t="shared" si="791"/>
        <v>0</v>
      </c>
      <c r="GN155" s="141">
        <f t="shared" si="791"/>
        <v>0</v>
      </c>
      <c r="GO155" s="141">
        <f t="shared" si="791"/>
        <v>0</v>
      </c>
      <c r="GP155" s="141">
        <f t="shared" si="791"/>
        <v>0</v>
      </c>
      <c r="GQ155" s="141">
        <f t="shared" si="791"/>
        <v>0</v>
      </c>
      <c r="GR155" s="141">
        <f t="shared" si="791"/>
        <v>0</v>
      </c>
      <c r="GS155" s="141">
        <f t="shared" si="791"/>
        <v>0</v>
      </c>
      <c r="GT155" s="141">
        <f t="shared" si="791"/>
        <v>0</v>
      </c>
      <c r="GU155" s="141">
        <f t="shared" si="791"/>
        <v>0</v>
      </c>
      <c r="GV155" s="141">
        <f t="shared" si="791"/>
        <v>0</v>
      </c>
      <c r="GW155" s="141">
        <f t="shared" si="791"/>
        <v>0</v>
      </c>
      <c r="GX155" s="141">
        <f t="shared" si="791"/>
        <v>0</v>
      </c>
      <c r="GY155" s="141">
        <f t="shared" si="791"/>
        <v>0</v>
      </c>
      <c r="GZ155" s="141">
        <f t="shared" si="791"/>
        <v>0</v>
      </c>
      <c r="HA155" s="141">
        <f t="shared" si="791"/>
        <v>0</v>
      </c>
      <c r="HB155" s="141">
        <f t="shared" si="791"/>
        <v>0</v>
      </c>
      <c r="HC155" s="141">
        <f t="shared" si="791"/>
        <v>0</v>
      </c>
      <c r="HD155" s="141">
        <f t="shared" si="791"/>
        <v>0</v>
      </c>
      <c r="HE155" s="141">
        <f t="shared" si="791"/>
        <v>0</v>
      </c>
      <c r="HF155" s="141">
        <f t="shared" si="791"/>
        <v>0</v>
      </c>
      <c r="HG155" s="141">
        <f t="shared" si="791"/>
        <v>0</v>
      </c>
      <c r="HH155" s="141">
        <f t="shared" si="791"/>
        <v>0</v>
      </c>
      <c r="HI155" s="141">
        <f t="shared" si="791"/>
        <v>0</v>
      </c>
      <c r="HJ155" s="141">
        <f t="shared" si="791"/>
        <v>0</v>
      </c>
      <c r="HK155" s="141">
        <f t="shared" si="791"/>
        <v>0</v>
      </c>
      <c r="HL155" s="141">
        <f t="shared" si="791"/>
        <v>0</v>
      </c>
      <c r="HM155" s="142">
        <f t="shared" ref="HM155:IP155" si="792">IF(ISBLANK($A155),,FE155*($AH155-($AH155*$AJ155))/$AI155)</f>
        <v>0</v>
      </c>
      <c r="HN155" s="142">
        <f t="shared" si="792"/>
        <v>0</v>
      </c>
      <c r="HO155" s="142">
        <f t="shared" si="792"/>
        <v>0</v>
      </c>
      <c r="HP155" s="142">
        <f t="shared" si="792"/>
        <v>0</v>
      </c>
      <c r="HQ155" s="142">
        <f t="shared" si="792"/>
        <v>0</v>
      </c>
      <c r="HR155" s="142">
        <f t="shared" si="792"/>
        <v>0</v>
      </c>
      <c r="HS155" s="142">
        <f t="shared" si="792"/>
        <v>0</v>
      </c>
      <c r="HT155" s="142">
        <f t="shared" si="792"/>
        <v>0</v>
      </c>
      <c r="HU155" s="142">
        <f t="shared" si="792"/>
        <v>0</v>
      </c>
      <c r="HV155" s="142">
        <f t="shared" si="792"/>
        <v>0</v>
      </c>
      <c r="HW155" s="142">
        <f t="shared" si="792"/>
        <v>0</v>
      </c>
      <c r="HX155" s="142">
        <f t="shared" si="792"/>
        <v>0</v>
      </c>
      <c r="HY155" s="142">
        <f t="shared" si="792"/>
        <v>0</v>
      </c>
      <c r="HZ155" s="142">
        <f t="shared" si="792"/>
        <v>0</v>
      </c>
      <c r="IA155" s="142">
        <f t="shared" si="792"/>
        <v>0</v>
      </c>
      <c r="IB155" s="142">
        <f t="shared" si="792"/>
        <v>0</v>
      </c>
      <c r="IC155" s="142">
        <f t="shared" si="792"/>
        <v>0</v>
      </c>
      <c r="ID155" s="142">
        <f t="shared" si="792"/>
        <v>0</v>
      </c>
      <c r="IE155" s="142">
        <f t="shared" si="792"/>
        <v>0</v>
      </c>
      <c r="IF155" s="142">
        <f t="shared" si="792"/>
        <v>0</v>
      </c>
      <c r="IG155" s="142">
        <f t="shared" si="792"/>
        <v>0</v>
      </c>
      <c r="IH155" s="142">
        <f t="shared" si="792"/>
        <v>0</v>
      </c>
      <c r="II155" s="142">
        <f t="shared" si="792"/>
        <v>0</v>
      </c>
      <c r="IJ155" s="142">
        <f t="shared" si="792"/>
        <v>0</v>
      </c>
      <c r="IK155" s="142">
        <f t="shared" si="792"/>
        <v>0</v>
      </c>
      <c r="IL155" s="142">
        <f t="shared" si="792"/>
        <v>0</v>
      </c>
      <c r="IM155" s="142">
        <f t="shared" si="792"/>
        <v>0</v>
      </c>
      <c r="IN155" s="142">
        <f t="shared" si="792"/>
        <v>0</v>
      </c>
      <c r="IO155" s="142">
        <f t="shared" si="792"/>
        <v>0</v>
      </c>
      <c r="IP155" s="142">
        <f t="shared" si="792"/>
        <v>0</v>
      </c>
      <c r="IQ155" s="141">
        <f>IF(ISBLANK($A155),,IF($AN155="Não",0,(SUM($AO155:AO155)*$AH155)-SUM($HM155:HM155)-SUM($CW155:CW155)))</f>
        <v>0</v>
      </c>
      <c r="IR155" s="141">
        <f>IF(ISBLANK($A155),,IF($AN155="Não",0,(SUM($AO155:AP155)*$AH155)-SUM($HM155:HN155)-SUM($CW155:CX155)))</f>
        <v>0</v>
      </c>
      <c r="IS155" s="141">
        <f>IF(ISBLANK($A155),,IF($AN155="Não",0,(SUM($AO155:AQ155)*$AH155)-SUM($HM155:HO155)-SUM($CW155:CY155)))</f>
        <v>0</v>
      </c>
      <c r="IT155" s="141">
        <f>IF(ISBLANK($A155),,IF($AN155="Não",0,(SUM($AO155:AR155)*$AH155)-SUM($HM155:HP155)-SUM($CW155:CZ155)))</f>
        <v>0</v>
      </c>
      <c r="IU155" s="141">
        <f>IF(ISBLANK($A155),,IF($AN155="Não",0,(SUM($AO155:AS155)*$AH155)-SUM($HM155:HQ155)-SUM($CW155:DA155)))</f>
        <v>0</v>
      </c>
      <c r="IV155" s="141">
        <f>IF(ISBLANK($A155),,IF($AN155="Não",0,(SUM($AO155:AT155)*$AH155)-SUM($HM155:HR155)-SUM($CW155:DB155)))</f>
        <v>0</v>
      </c>
      <c r="IW155" s="141">
        <f>IF(ISBLANK($A155),,IF($AN155="Não",0,(SUM($AO155:AU155)*$AH155)-SUM($HM155:HS155)-SUM($CW155:DC155)))</f>
        <v>0</v>
      </c>
      <c r="IX155" s="141">
        <f>IF(ISBLANK($A155),,IF($AN155="Não",0,(SUM($AO155:AV155)*$AH155)-SUM($HM155:HT155)-SUM($CW155:DD155)))</f>
        <v>0</v>
      </c>
      <c r="IY155" s="141">
        <f>IF(ISBLANK($A155),,IF($AN155="Não",0,(SUM($AO155:AW155)*$AH155)-SUM($HM155:HU155)-SUM($CW155:DE155)))</f>
        <v>0</v>
      </c>
      <c r="IZ155" s="141">
        <f>IF(ISBLANK($A155),,IF($AN155="Não",0,(SUM($AO155:AX155)*$AH155)-SUM($HM155:HV155)-SUM($CW155:DF155)))</f>
        <v>0</v>
      </c>
      <c r="JA155" s="141">
        <f>IF(ISBLANK($A155),,IF($AN155="Não",0,(SUM($AO155:AY155)*$AH155)-SUM($HM155:HW155)-SUM($CW155:DG155)))</f>
        <v>0</v>
      </c>
      <c r="JB155" s="141">
        <f>IF(ISBLANK($A155),,IF($AN155="Não",0,(SUM($AO155:AZ155)*$AH155)-SUM($HM155:HX155)-SUM($CW155:DH155)))</f>
        <v>0</v>
      </c>
      <c r="JC155" s="141">
        <f>IF(ISBLANK($A155),,IF($AN155="Não",0,(SUM($AO155:BA155)*$AH155)-SUM($HM155:HY155)-SUM($CW155:DI155)))</f>
        <v>0</v>
      </c>
      <c r="JD155" s="141">
        <f>IF(ISBLANK($A155),,IF($AN155="Não",0,(SUM($AO155:BB155)*$AH155)-SUM($HM155:HZ155)-SUM($CW155:DJ155)))</f>
        <v>0</v>
      </c>
      <c r="JE155" s="141">
        <f>IF(ISBLANK($A155),,IF($AN155="Não",0,(SUM($AO155:BC155)*$AH155)-SUM($HM155:IA155)-SUM($CW155:DK155)))</f>
        <v>0</v>
      </c>
      <c r="JF155" s="141">
        <f>IF(ISBLANK($A155),,IF($AN155="Não",0,(SUM($AO155:BD155)*$AH155)-SUM($HM155:IB155)-SUM($CW155:DL155)))</f>
        <v>0</v>
      </c>
      <c r="JG155" s="141">
        <f>IF(ISBLANK($A155),,IF($AN155="Não",0,(SUM($AO155:BE155)*$AH155)-SUM($HM155:IC155)-SUM($CW155:DM155)))</f>
        <v>0</v>
      </c>
      <c r="JH155" s="141">
        <f>IF(ISBLANK($A155),,IF($AN155="Não",0,(SUM($AO155:BF155)*$AH155)-SUM($HM155:ID155)-SUM($CW155:DN155)))</f>
        <v>0</v>
      </c>
      <c r="JI155" s="141">
        <f>IF(ISBLANK($A155),,IF($AN155="Não",0,(SUM($AO155:BG155)*$AH155)-SUM($HM155:IE155)-SUM($CW155:DO155)))</f>
        <v>0</v>
      </c>
      <c r="JJ155" s="141">
        <f>IF(ISBLANK($A155),,IF($AN155="Não",0,(SUM($AO155:BH155)*$AH155)-SUM($HM155:IF155)-SUM($CW155:DP155)))</f>
        <v>0</v>
      </c>
      <c r="JK155" s="141">
        <f>IF(ISBLANK($A155),,IF($AN155="Não",0,(SUM($AO155:BI155)*$AH155)-SUM($HM155:IG155)-SUM($CW155:DQ155)))</f>
        <v>0</v>
      </c>
      <c r="JL155" s="141">
        <f>IF(ISBLANK($A155),,IF($AN155="Não",0,(SUM($AO155:BJ155)*$AH155)-SUM($HM155:IH155)-SUM($CW155:DR155)))</f>
        <v>0</v>
      </c>
      <c r="JM155" s="141">
        <f>IF(ISBLANK($A155),,IF($AN155="Não",0,(SUM($AO155:BK155)*$AH155)-SUM($HM155:II155)-SUM($CW155:DS155)))</f>
        <v>0</v>
      </c>
      <c r="JN155" s="141">
        <f>IF(ISBLANK($A155),,IF($AN155="Não",0,(SUM($AO155:BL155)*$AH155)-SUM($HM155:IJ155)-SUM($CW155:DT155)))</f>
        <v>0</v>
      </c>
      <c r="JO155" s="141">
        <f>IF(ISBLANK($A155),,IF($AN155="Não",0,(SUM($AO155:BM155)*$AH155)-SUM($HM155:IK155)-SUM($CW155:DU155)))</f>
        <v>0</v>
      </c>
      <c r="JP155" s="141">
        <f>IF(ISBLANK($A155),,IF($AN155="Não",0,(SUM($AO155:BN155)*$AH155)-SUM($HM155:IL155)-SUM($CW155:DV155)))</f>
        <v>0</v>
      </c>
      <c r="JQ155" s="141">
        <f>IF(ISBLANK($A155),,IF($AN155="Não",0,(SUM($AO155:BO155)*$AH155)-SUM($HM155:IM155)-SUM($CW155:DW155)))</f>
        <v>0</v>
      </c>
      <c r="JR155" s="141">
        <f>IF(ISBLANK($A155),,IF($AN155="Não",0,(SUM($AO155:BP155)*$AH155)-SUM($HM155:IN155)-SUM($CW155:DX155)))</f>
        <v>0</v>
      </c>
      <c r="JS155" s="141">
        <f>IF(ISBLANK($A155),,IF($AN155="Não",0,(SUM($AO155:BQ155)*$AH155)-SUM($HM155:IO155)-SUM($CW155:DY155)))</f>
        <v>0</v>
      </c>
      <c r="JT155" s="141">
        <f>IF(ISBLANK($A155),,IF($AN155="Não",0,(SUM($AO155:BR155)*$AH155)-SUM($HM155:IP155)-SUM($CW155:DZ155)))</f>
        <v>0</v>
      </c>
    </row>
    <row r="156" spans="1:280" ht="15.75" customHeight="1">
      <c r="A156" s="129"/>
      <c r="B156" s="129"/>
      <c r="C156" s="138"/>
      <c r="D156" s="139"/>
      <c r="E156" s="139"/>
      <c r="F156" s="139"/>
      <c r="G156" s="139"/>
      <c r="H156" s="139"/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607">
        <f t="shared" si="710"/>
        <v>0</v>
      </c>
      <c r="AI156" s="608">
        <f t="shared" si="711"/>
        <v>0</v>
      </c>
      <c r="AJ156" s="609">
        <f t="shared" si="712"/>
        <v>0</v>
      </c>
      <c r="AK156" s="610" t="str">
        <f t="shared" si="713"/>
        <v/>
      </c>
      <c r="AL156" s="609">
        <f t="shared" si="714"/>
        <v>0</v>
      </c>
      <c r="AM156" s="611" t="str">
        <f t="shared" si="715"/>
        <v/>
      </c>
      <c r="AN156" s="611" t="str">
        <f t="shared" si="716"/>
        <v/>
      </c>
      <c r="AO156" s="140">
        <f t="array" ref="AO156">IF(ISBLANK($A156),0,IF(OR(AO$5-$AI156&lt;=0,$AM156="Não"),D156,D156+INDEX($AO$6:$BR$176,ROW()-5,COLUMN()-40-$AI156)))*IF($B156="Operacional",IFERROR(VLOOKUP($C156,SN_UGC,28,0),0),1)</f>
        <v>0</v>
      </c>
      <c r="AP156" s="140">
        <f t="array" ref="AP156">IF(ISBLANK($A156),0,IF(OR(AP$5-$AI156&lt;=0,$AM156="Não"),E156,E156+INDEX($AO$6:$BR$176,ROW()-5,COLUMN()-40-$AI156)))*IF($B156="Operacional",IFERROR(VLOOKUP($C156,SN_UGC,28,0),0),1)</f>
        <v>0</v>
      </c>
      <c r="AQ156" s="140">
        <f t="array" ref="AQ156">IF(ISBLANK($A156),0,IF(OR(AQ$5-$AI156&lt;=0,$AM156="Não"),F156,F156+INDEX($AO$6:$BR$176,ROW()-5,COLUMN()-40-$AI156)))*IF($B156="Operacional",IFERROR(VLOOKUP($C156,SN_UGC,28,0),0),1)</f>
        <v>0</v>
      </c>
      <c r="AR156" s="140">
        <f t="array" ref="AR156">IF(ISBLANK($A156),0,IF(OR(AR$5-$AI156&lt;=0,$AM156="Não"),G156,G156+INDEX($AO$6:$BR$176,ROW()-5,COLUMN()-40-$AI156)))*IF($B156="Operacional",IFERROR(VLOOKUP($C156,SN_UGC,28,0),0),1)</f>
        <v>0</v>
      </c>
      <c r="AS156" s="140">
        <f t="array" ref="AS156">IF(ISBLANK($A156),0,IF(OR(AS$5-$AI156&lt;=0,$AM156="Não"),H156,H156+INDEX($AO$6:$BR$176,ROW()-5,COLUMN()-40-$AI156)))*IF($B156="Operacional",IFERROR(VLOOKUP($C156,SN_UGC,28,0),0),1)</f>
        <v>0</v>
      </c>
      <c r="AT156" s="140">
        <f t="array" ref="AT156">IF(ISBLANK($A156),0,IF(OR(AT$5-$AI156&lt;=0,$AM156="Não"),I156,I156+INDEX($AO$6:$BR$176,ROW()-5,COLUMN()-40-$AI156)))*IF($B156="Operacional",IFERROR(VLOOKUP($C156,SN_UGC,28,0),0),1)</f>
        <v>0</v>
      </c>
      <c r="AU156" s="140">
        <f t="array" ref="AU156">IF(ISBLANK($A156),0,IF(OR(AU$5-$AI156&lt;=0,$AM156="Não"),J156,J156+INDEX($AO$6:$BR$176,ROW()-5,COLUMN()-40-$AI156)))*IF($B156="Operacional",IFERROR(VLOOKUP($C156,SN_UGC,28,0),0),1)</f>
        <v>0</v>
      </c>
      <c r="AV156" s="140">
        <f t="array" ref="AV156">IF(ISBLANK($A156),0,IF(OR(AV$5-$AI156&lt;=0,$AM156="Não"),K156,K156+INDEX($AO$6:$BR$176,ROW()-5,COLUMN()-40-$AI156)))*IF($B156="Operacional",IFERROR(VLOOKUP($C156,SN_UGC,28,0),0),1)</f>
        <v>0</v>
      </c>
      <c r="AW156" s="140">
        <f t="array" ref="AW156">IF(ISBLANK($A156),0,IF(OR(AW$5-$AI156&lt;=0,$AM156="Não"),L156,L156+INDEX($AO$6:$BR$176,ROW()-5,COLUMN()-40-$AI156)))*IF($B156="Operacional",IFERROR(VLOOKUP($C156,SN_UGC,28,0),0),1)</f>
        <v>0</v>
      </c>
      <c r="AX156" s="140">
        <f t="array" ref="AX156">IF(ISBLANK($A156),0,IF(OR(AX$5-$AI156&lt;=0,$AM156="Não"),M156,M156+INDEX($AO$6:$BR$176,ROW()-5,COLUMN()-40-$AI156)))*IF($B156="Operacional",IFERROR(VLOOKUP($C156,SN_UGC,28,0),0),1)</f>
        <v>0</v>
      </c>
      <c r="AY156" s="140">
        <f t="array" ref="AY156">IF(ISBLANK($A156),0,IF(OR(AY$5-$AI156&lt;=0,$AM156="Não"),N156,N156+INDEX($AO$6:$BR$176,ROW()-5,COLUMN()-40-$AI156)))*IF($B156="Operacional",IFERROR(VLOOKUP($C156,SN_UGC,28,0),0),1)</f>
        <v>0</v>
      </c>
      <c r="AZ156" s="140">
        <f t="array" ref="AZ156">IF(ISBLANK($A156),0,IF(OR(AZ$5-$AI156&lt;=0,$AM156="Não"),O156,O156+INDEX($AO$6:$BR$176,ROW()-5,COLUMN()-40-$AI156)))*IF($B156="Operacional",IFERROR(VLOOKUP($C156,SN_UGC,28,0),0),1)</f>
        <v>0</v>
      </c>
      <c r="BA156" s="140">
        <f t="array" ref="BA156">IF(ISBLANK($A156),0,IF(OR(BA$5-$AI156&lt;=0,$AM156="Não"),P156,P156+INDEX($AO$6:$BR$176,ROW()-5,COLUMN()-40-$AI156)))*IF($B156="Operacional",IFERROR(VLOOKUP($C156,SN_UGC,28,0),0),1)</f>
        <v>0</v>
      </c>
      <c r="BB156" s="140">
        <f t="array" ref="BB156">IF(ISBLANK($A156),0,IF(OR(BB$5-$AI156&lt;=0,$AM156="Não"),Q156,Q156+INDEX($AO$6:$BR$176,ROW()-5,COLUMN()-40-$AI156)))*IF($B156="Operacional",IFERROR(VLOOKUP($C156,SN_UGC,28,0),0),1)</f>
        <v>0</v>
      </c>
      <c r="BC156" s="140">
        <f t="array" ref="BC156">IF(ISBLANK($A156),0,IF(OR(BC$5-$AI156&lt;=0,$AM156="Não"),R156,R156+INDEX($AO$6:$BR$176,ROW()-5,COLUMN()-40-$AI156)))*IF($B156="Operacional",IFERROR(VLOOKUP($C156,SN_UGC,28,0),0),1)</f>
        <v>0</v>
      </c>
      <c r="BD156" s="140">
        <f t="array" ref="BD156">IF(ISBLANK($A156),0,IF(OR(BD$5-$AI156&lt;=0,$AM156="Não"),S156,S156+INDEX($AO$6:$BR$176,ROW()-5,COLUMN()-40-$AI156)))*IF($B156="Operacional",IFERROR(VLOOKUP($C156,SN_UGC,28,0),0),1)</f>
        <v>0</v>
      </c>
      <c r="BE156" s="140">
        <f t="array" ref="BE156">IF(ISBLANK($A156),0,IF(OR(BE$5-$AI156&lt;=0,$AM156="Não"),T156,T156+INDEX($AO$6:$BR$176,ROW()-5,COLUMN()-40-$AI156)))*IF($B156="Operacional",IFERROR(VLOOKUP($C156,SN_UGC,28,0),0),1)</f>
        <v>0</v>
      </c>
      <c r="BF156" s="140">
        <f t="array" ref="BF156">IF(ISBLANK($A156),0,IF(OR(BF$5-$AI156&lt;=0,$AM156="Não"),U156,U156+INDEX($AO$6:$BR$176,ROW()-5,COLUMN()-40-$AI156)))*IF($B156="Operacional",IFERROR(VLOOKUP($C156,SN_UGC,28,0),0),1)</f>
        <v>0</v>
      </c>
      <c r="BG156" s="140">
        <f t="array" ref="BG156">IF(ISBLANK($A156),0,IF(OR(BG$5-$AI156&lt;=0,$AM156="Não"),V156,V156+INDEX($AO$6:$BR$176,ROW()-5,COLUMN()-40-$AI156)))*IF($B156="Operacional",IFERROR(VLOOKUP($C156,SN_UGC,28,0),0),1)</f>
        <v>0</v>
      </c>
      <c r="BH156" s="140">
        <f t="array" ref="BH156">IF(ISBLANK($A156),0,IF(OR(BH$5-$AI156&lt;=0,$AM156="Não"),W156,W156+INDEX($AO$6:$BR$176,ROW()-5,COLUMN()-40-$AI156)))*IF($B156="Operacional",IFERROR(VLOOKUP($C156,SN_UGC,28,0),0),1)</f>
        <v>0</v>
      </c>
      <c r="BI156" s="140">
        <f t="array" ref="BI156">IF(ISBLANK($A156),0,IF(OR(BI$5-$AI156&lt;=0,$AM156="Não"),X156,X156+INDEX($AO$6:$BR$176,ROW()-5,COLUMN()-40-$AI156)))*IF($B156="Operacional",IFERROR(VLOOKUP($C156,SN_UGC,28,0),0),1)</f>
        <v>0</v>
      </c>
      <c r="BJ156" s="140">
        <f t="array" ref="BJ156">IF(ISBLANK($A156),0,IF(OR(BJ$5-$AI156&lt;=0,$AM156="Não"),Y156,Y156+INDEX($AO$6:$BR$176,ROW()-5,COLUMN()-40-$AI156)))*IF($B156="Operacional",IFERROR(VLOOKUP($C156,SN_UGC,28,0),0),1)</f>
        <v>0</v>
      </c>
      <c r="BK156" s="140">
        <f t="array" ref="BK156">IF(ISBLANK($A156),0,IF(OR(BK$5-$AI156&lt;=0,$AM156="Não"),Z156,Z156+INDEX($AO$6:$BR$176,ROW()-5,COLUMN()-40-$AI156)))*IF($B156="Operacional",IFERROR(VLOOKUP($C156,SN_UGC,28,0),0),1)</f>
        <v>0</v>
      </c>
      <c r="BL156" s="140">
        <f t="array" ref="BL156">IF(ISBLANK($A156),0,IF(OR(BL$5-$AI156&lt;=0,$AM156="Não"),AA156,AA156+INDEX($AO$6:$BR$176,ROW()-5,COLUMN()-40-$AI156)))*IF($B156="Operacional",IFERROR(VLOOKUP($C156,SN_UGC,28,0),0),1)</f>
        <v>0</v>
      </c>
      <c r="BM156" s="140">
        <f t="array" ref="BM156">IF(ISBLANK($A156),0,IF(OR(BM$5-$AI156&lt;=0,$AM156="Não"),AB156,AB156+INDEX($AO$6:$BR$176,ROW()-5,COLUMN()-40-$AI156)))*IF($B156="Operacional",IFERROR(VLOOKUP($C156,SN_UGC,28,0),0),1)</f>
        <v>0</v>
      </c>
      <c r="BN156" s="140">
        <f t="array" ref="BN156">IF(ISBLANK($A156),0,IF(OR(BN$5-$AI156&lt;=0,$AM156="Não"),AC156,AC156+INDEX($AO$6:$BR$176,ROW()-5,COLUMN()-40-$AI156)))*IF($B156="Operacional",IFERROR(VLOOKUP($C156,SN_UGC,28,0),0),1)</f>
        <v>0</v>
      </c>
      <c r="BO156" s="140">
        <f t="array" ref="BO156">IF(ISBLANK($A156),0,IF(OR(BO$5-$AI156&lt;=0,$AM156="Não"),AD156,AD156+INDEX($AO$6:$BR$176,ROW()-5,COLUMN()-40-$AI156)))*IF($B156="Operacional",IFERROR(VLOOKUP($C156,SN_UGC,28,0),0),1)</f>
        <v>0</v>
      </c>
      <c r="BP156" s="140">
        <f t="array" ref="BP156">IF(ISBLANK($A156),0,IF(OR(BP$5-$AI156&lt;=0,$AM156="Não"),AE156,AE156+INDEX($AO$6:$BR$176,ROW()-5,COLUMN()-40-$AI156)))*IF($B156="Operacional",IFERROR(VLOOKUP($C156,SN_UGC,28,0),0),1)</f>
        <v>0</v>
      </c>
      <c r="BQ156" s="140">
        <f t="array" ref="BQ156">IF(ISBLANK($A156),0,IF(OR(BQ$5-$AI156&lt;=0,$AM156="Não"),AF156,AF156+INDEX($AO$6:$BR$176,ROW()-5,COLUMN()-40-$AI156)))*IF($B156="Operacional",IFERROR(VLOOKUP($C156,SN_UGC,28,0),0),1)</f>
        <v>0</v>
      </c>
      <c r="BR156" s="140">
        <f t="array" ref="BR156">IF(ISBLANK($A156),0,IF(OR(BR$5-$AI156&lt;=0,$AM156="Não"),AG156,AG156+INDEX($AO$6:$BR$176,ROW()-5,COLUMN()-40-$AI156)))*IF($B156="Operacional",IFERROR(VLOOKUP($C156,SN_UGC,28,0),0),1)</f>
        <v>0</v>
      </c>
      <c r="BS156" s="141">
        <f t="shared" ref="BS156:CV156" si="793">IF(ISBLANK($A156),0,$AH156*AO156)</f>
        <v>0</v>
      </c>
      <c r="BT156" s="141">
        <f t="shared" si="793"/>
        <v>0</v>
      </c>
      <c r="BU156" s="141">
        <f t="shared" si="793"/>
        <v>0</v>
      </c>
      <c r="BV156" s="141">
        <f t="shared" si="793"/>
        <v>0</v>
      </c>
      <c r="BW156" s="141">
        <f t="shared" si="793"/>
        <v>0</v>
      </c>
      <c r="BX156" s="141">
        <f t="shared" si="793"/>
        <v>0</v>
      </c>
      <c r="BY156" s="141">
        <f t="shared" si="793"/>
        <v>0</v>
      </c>
      <c r="BZ156" s="141">
        <f t="shared" si="793"/>
        <v>0</v>
      </c>
      <c r="CA156" s="141">
        <f t="shared" si="793"/>
        <v>0</v>
      </c>
      <c r="CB156" s="141">
        <f t="shared" si="793"/>
        <v>0</v>
      </c>
      <c r="CC156" s="141">
        <f t="shared" si="793"/>
        <v>0</v>
      </c>
      <c r="CD156" s="141">
        <f t="shared" si="793"/>
        <v>0</v>
      </c>
      <c r="CE156" s="141">
        <f t="shared" si="793"/>
        <v>0</v>
      </c>
      <c r="CF156" s="141">
        <f t="shared" si="793"/>
        <v>0</v>
      </c>
      <c r="CG156" s="141">
        <f t="shared" si="793"/>
        <v>0</v>
      </c>
      <c r="CH156" s="141">
        <f t="shared" si="793"/>
        <v>0</v>
      </c>
      <c r="CI156" s="141">
        <f t="shared" si="793"/>
        <v>0</v>
      </c>
      <c r="CJ156" s="141">
        <f t="shared" si="793"/>
        <v>0</v>
      </c>
      <c r="CK156" s="141">
        <f t="shared" si="793"/>
        <v>0</v>
      </c>
      <c r="CL156" s="141">
        <f t="shared" si="793"/>
        <v>0</v>
      </c>
      <c r="CM156" s="141">
        <f t="shared" si="793"/>
        <v>0</v>
      </c>
      <c r="CN156" s="141">
        <f t="shared" si="793"/>
        <v>0</v>
      </c>
      <c r="CO156" s="141">
        <f t="shared" si="793"/>
        <v>0</v>
      </c>
      <c r="CP156" s="141">
        <f t="shared" si="793"/>
        <v>0</v>
      </c>
      <c r="CQ156" s="141">
        <f t="shared" si="793"/>
        <v>0</v>
      </c>
      <c r="CR156" s="141">
        <f t="shared" si="793"/>
        <v>0</v>
      </c>
      <c r="CS156" s="141">
        <f t="shared" si="793"/>
        <v>0</v>
      </c>
      <c r="CT156" s="141">
        <f t="shared" si="793"/>
        <v>0</v>
      </c>
      <c r="CU156" s="141">
        <f t="shared" si="793"/>
        <v>0</v>
      </c>
      <c r="CV156" s="141">
        <f t="shared" si="793"/>
        <v>0</v>
      </c>
      <c r="CW156" s="142">
        <f t="shared" ref="CW156:DZ156" si="794">EA156*$AH156*$AJ156</f>
        <v>0</v>
      </c>
      <c r="CX156" s="142">
        <f t="shared" si="794"/>
        <v>0</v>
      </c>
      <c r="CY156" s="142">
        <f t="shared" si="794"/>
        <v>0</v>
      </c>
      <c r="CZ156" s="142">
        <f t="shared" si="794"/>
        <v>0</v>
      </c>
      <c r="DA156" s="142">
        <f t="shared" si="794"/>
        <v>0</v>
      </c>
      <c r="DB156" s="142">
        <f t="shared" si="794"/>
        <v>0</v>
      </c>
      <c r="DC156" s="142">
        <f t="shared" si="794"/>
        <v>0</v>
      </c>
      <c r="DD156" s="142">
        <f t="shared" si="794"/>
        <v>0</v>
      </c>
      <c r="DE156" s="142">
        <f t="shared" si="794"/>
        <v>0</v>
      </c>
      <c r="DF156" s="142">
        <f t="shared" si="794"/>
        <v>0</v>
      </c>
      <c r="DG156" s="142">
        <f t="shared" si="794"/>
        <v>0</v>
      </c>
      <c r="DH156" s="142">
        <f t="shared" si="794"/>
        <v>0</v>
      </c>
      <c r="DI156" s="142">
        <f t="shared" si="794"/>
        <v>0</v>
      </c>
      <c r="DJ156" s="142">
        <f t="shared" si="794"/>
        <v>0</v>
      </c>
      <c r="DK156" s="142">
        <f t="shared" si="794"/>
        <v>0</v>
      </c>
      <c r="DL156" s="142">
        <f t="shared" si="794"/>
        <v>0</v>
      </c>
      <c r="DM156" s="142">
        <f t="shared" si="794"/>
        <v>0</v>
      </c>
      <c r="DN156" s="142">
        <f t="shared" si="794"/>
        <v>0</v>
      </c>
      <c r="DO156" s="142">
        <f t="shared" si="794"/>
        <v>0</v>
      </c>
      <c r="DP156" s="142">
        <f t="shared" si="794"/>
        <v>0</v>
      </c>
      <c r="DQ156" s="142">
        <f t="shared" si="794"/>
        <v>0</v>
      </c>
      <c r="DR156" s="142">
        <f t="shared" si="794"/>
        <v>0</v>
      </c>
      <c r="DS156" s="142">
        <f t="shared" si="794"/>
        <v>0</v>
      </c>
      <c r="DT156" s="142">
        <f t="shared" si="794"/>
        <v>0</v>
      </c>
      <c r="DU156" s="142">
        <f t="shared" si="794"/>
        <v>0</v>
      </c>
      <c r="DV156" s="142">
        <f t="shared" si="794"/>
        <v>0</v>
      </c>
      <c r="DW156" s="142">
        <f t="shared" si="794"/>
        <v>0</v>
      </c>
      <c r="DX156" s="142">
        <f t="shared" si="794"/>
        <v>0</v>
      </c>
      <c r="DY156" s="142">
        <f t="shared" si="794"/>
        <v>0</v>
      </c>
      <c r="DZ156" s="142">
        <f t="shared" si="794"/>
        <v>0</v>
      </c>
      <c r="EA156" s="143">
        <f t="shared" si="670"/>
        <v>0</v>
      </c>
      <c r="EB156" s="143">
        <f t="shared" si="671"/>
        <v>0</v>
      </c>
      <c r="EC156" s="143">
        <f t="shared" si="672"/>
        <v>0</v>
      </c>
      <c r="ED156" s="143">
        <f t="shared" si="673"/>
        <v>0</v>
      </c>
      <c r="EE156" s="143">
        <f t="shared" si="674"/>
        <v>0</v>
      </c>
      <c r="EF156" s="143">
        <f t="shared" si="675"/>
        <v>0</v>
      </c>
      <c r="EG156" s="143">
        <f t="shared" si="676"/>
        <v>0</v>
      </c>
      <c r="EH156" s="143">
        <f t="shared" si="677"/>
        <v>0</v>
      </c>
      <c r="EI156" s="143">
        <f t="shared" si="678"/>
        <v>0</v>
      </c>
      <c r="EJ156" s="143">
        <f t="shared" si="679"/>
        <v>0</v>
      </c>
      <c r="EK156" s="143">
        <f t="shared" si="680"/>
        <v>0</v>
      </c>
      <c r="EL156" s="143">
        <f t="shared" si="681"/>
        <v>0</v>
      </c>
      <c r="EM156" s="143">
        <f t="shared" si="682"/>
        <v>0</v>
      </c>
      <c r="EN156" s="143">
        <f t="shared" si="683"/>
        <v>0</v>
      </c>
      <c r="EO156" s="143">
        <f t="shared" si="684"/>
        <v>0</v>
      </c>
      <c r="EP156" s="143">
        <f t="shared" si="685"/>
        <v>0</v>
      </c>
      <c r="EQ156" s="143">
        <f t="shared" si="686"/>
        <v>0</v>
      </c>
      <c r="ER156" s="143">
        <f t="shared" si="687"/>
        <v>0</v>
      </c>
      <c r="ES156" s="143">
        <f t="shared" si="688"/>
        <v>0</v>
      </c>
      <c r="ET156" s="143">
        <f t="shared" si="689"/>
        <v>0</v>
      </c>
      <c r="EU156" s="143">
        <f t="shared" si="690"/>
        <v>0</v>
      </c>
      <c r="EV156" s="143">
        <f t="shared" si="691"/>
        <v>0</v>
      </c>
      <c r="EW156" s="143">
        <f t="shared" si="692"/>
        <v>0</v>
      </c>
      <c r="EX156" s="143">
        <f t="shared" si="693"/>
        <v>0</v>
      </c>
      <c r="EY156" s="143">
        <f t="shared" si="694"/>
        <v>0</v>
      </c>
      <c r="EZ156" s="143">
        <f t="shared" si="695"/>
        <v>0</v>
      </c>
      <c r="FA156" s="143">
        <f t="shared" si="696"/>
        <v>0</v>
      </c>
      <c r="FB156" s="143">
        <f t="shared" si="697"/>
        <v>0</v>
      </c>
      <c r="FC156" s="143">
        <f t="shared" si="698"/>
        <v>0</v>
      </c>
      <c r="FD156" s="143">
        <f t="shared" si="699"/>
        <v>0</v>
      </c>
      <c r="FE156" s="140">
        <f>SUM($D156:D156)*IF($B156="Operacional",IFERROR(VLOOKUP($C156,SN_UGC,28,0),0),1)</f>
        <v>0</v>
      </c>
      <c r="FF156" s="140">
        <f>SUM($D156:E156)*IF($B156="Operacional",IFERROR(VLOOKUP($C156,SN_UGC,28,0),0),1)</f>
        <v>0</v>
      </c>
      <c r="FG156" s="140">
        <f>SUM($D156:F156)*IF($B156="Operacional",IFERROR(VLOOKUP($C156,SN_UGC,28,0),0),1)</f>
        <v>0</v>
      </c>
      <c r="FH156" s="140">
        <f>SUM($D156:G156)*IF($B156="Operacional",IFERROR(VLOOKUP($C156,SN_UGC,28,0),0),1)</f>
        <v>0</v>
      </c>
      <c r="FI156" s="140">
        <f>SUM($D156:H156)*IF($B156="Operacional",IFERROR(VLOOKUP($C156,SN_UGC,28,0),0),1)</f>
        <v>0</v>
      </c>
      <c r="FJ156" s="140">
        <f>SUM($D156:I156)*IF($B156="Operacional",IFERROR(VLOOKUP($C156,SN_UGC,28,0),0),1)</f>
        <v>0</v>
      </c>
      <c r="FK156" s="140">
        <f>SUM($D156:J156)*IF($B156="Operacional",IFERROR(VLOOKUP($C156,SN_UGC,28,0),0),1)</f>
        <v>0</v>
      </c>
      <c r="FL156" s="140">
        <f>SUM($D156:K156)*IF($B156="Operacional",IFERROR(VLOOKUP($C156,SN_UGC,28,0),0),1)</f>
        <v>0</v>
      </c>
      <c r="FM156" s="140">
        <f>SUM($D156:L156)*IF($B156="Operacional",IFERROR(VLOOKUP($C156,SN_UGC,28,0),0),1)</f>
        <v>0</v>
      </c>
      <c r="FN156" s="140">
        <f>SUM($D156:M156)*IF($B156="Operacional",IFERROR(VLOOKUP($C156,SN_UGC,28,0),0),1)</f>
        <v>0</v>
      </c>
      <c r="FO156" s="140">
        <f>SUM($D156:N156)*IF($B156="Operacional",IFERROR(VLOOKUP($C156,SN_UGC,28,0),0),1)</f>
        <v>0</v>
      </c>
      <c r="FP156" s="140">
        <f>SUM($D156:O156)*IF($B156="Operacional",IFERROR(VLOOKUP($C156,SN_UGC,28,0),0),1)</f>
        <v>0</v>
      </c>
      <c r="FQ156" s="140">
        <f>SUM($D156:P156)*IF($B156="Operacional",IFERROR(VLOOKUP($C156,SN_UGC,28,0),0),1)</f>
        <v>0</v>
      </c>
      <c r="FR156" s="140">
        <f>SUM($D156:Q156)*IF($B156="Operacional",IFERROR(VLOOKUP($C156,SN_UGC,28,0),0),1)</f>
        <v>0</v>
      </c>
      <c r="FS156" s="140">
        <f>SUM($D156:R156)*IF($B156="Operacional",IFERROR(VLOOKUP($C156,SN_UGC,28,0),0),1)</f>
        <v>0</v>
      </c>
      <c r="FT156" s="140">
        <f>SUM($D156:S156)*IF($B156="Operacional",IFERROR(VLOOKUP($C156,SN_UGC,28,0),0),1)</f>
        <v>0</v>
      </c>
      <c r="FU156" s="140">
        <f>SUM($D156:T156)*IF($B156="Operacional",IFERROR(VLOOKUP($C156,SN_UGC,28,0),0),1)</f>
        <v>0</v>
      </c>
      <c r="FV156" s="140">
        <f>SUM($D156:U156)*IF($B156="Operacional",IFERROR(VLOOKUP($C156,SN_UGC,28,0),0),1)</f>
        <v>0</v>
      </c>
      <c r="FW156" s="140">
        <f>SUM($D156:V156)*IF($B156="Operacional",IFERROR(VLOOKUP($C156,SN_UGC,28,0),0),1)</f>
        <v>0</v>
      </c>
      <c r="FX156" s="140">
        <f>SUM($D156:W156)*IF($B156="Operacional",IFERROR(VLOOKUP($C156,SN_UGC,28,0),0),1)</f>
        <v>0</v>
      </c>
      <c r="FY156" s="140">
        <f>SUM($D156:X156)*IF($B156="Operacional",IFERROR(VLOOKUP($C156,SN_UGC,28,0),0),1)</f>
        <v>0</v>
      </c>
      <c r="FZ156" s="140">
        <f>SUM($D156:Y156)*IF($B156="Operacional",IFERROR(VLOOKUP($C156,SN_UGC,28,0),0),1)</f>
        <v>0</v>
      </c>
      <c r="GA156" s="140">
        <f>SUM($D156:Z156)*IF($B156="Operacional",IFERROR(VLOOKUP($C156,SN_UGC,28,0),0),1)</f>
        <v>0</v>
      </c>
      <c r="GB156" s="140">
        <f>SUM($D156:AA156)*IF($B156="Operacional",IFERROR(VLOOKUP($C156,SN_UGC,28,0),0),1)</f>
        <v>0</v>
      </c>
      <c r="GC156" s="140">
        <f>SUM($D156:AB156)*IF($B156="Operacional",IFERROR(VLOOKUP($C156,SN_UGC,28,0),0),1)</f>
        <v>0</v>
      </c>
      <c r="GD156" s="140">
        <f>SUM($D156:AC156)*IF($B156="Operacional",IFERROR(VLOOKUP($C156,SN_UGC,28,0),0),1)</f>
        <v>0</v>
      </c>
      <c r="GE156" s="140">
        <f>SUM($D156:AD156)*IF($B156="Operacional",IFERROR(VLOOKUP($C156,SN_UGC,28,0),0),1)</f>
        <v>0</v>
      </c>
      <c r="GF156" s="140">
        <f>SUM($D156:AE156)*IF($B156="Operacional",IFERROR(VLOOKUP($C156,SN_UGC,28,0),0),1)</f>
        <v>0</v>
      </c>
      <c r="GG156" s="140">
        <f>SUM($D156:AF156)*IF($B156="Operacional",IFERROR(VLOOKUP($C156,SN_UGC,28,0),0),1)</f>
        <v>0</v>
      </c>
      <c r="GH156" s="140">
        <f>SUM($D156:AG156)*IF($B156="Operacional",IFERROR(VLOOKUP($C156,SN_UGC,28,0),0),1)</f>
        <v>0</v>
      </c>
      <c r="GI156" s="141">
        <f t="shared" ref="GI156:HL156" si="795">FE156*$AH156*$AL156</f>
        <v>0</v>
      </c>
      <c r="GJ156" s="141">
        <f t="shared" si="795"/>
        <v>0</v>
      </c>
      <c r="GK156" s="141">
        <f t="shared" si="795"/>
        <v>0</v>
      </c>
      <c r="GL156" s="141">
        <f t="shared" si="795"/>
        <v>0</v>
      </c>
      <c r="GM156" s="141">
        <f t="shared" si="795"/>
        <v>0</v>
      </c>
      <c r="GN156" s="141">
        <f t="shared" si="795"/>
        <v>0</v>
      </c>
      <c r="GO156" s="141">
        <f t="shared" si="795"/>
        <v>0</v>
      </c>
      <c r="GP156" s="141">
        <f t="shared" si="795"/>
        <v>0</v>
      </c>
      <c r="GQ156" s="141">
        <f t="shared" si="795"/>
        <v>0</v>
      </c>
      <c r="GR156" s="141">
        <f t="shared" si="795"/>
        <v>0</v>
      </c>
      <c r="GS156" s="141">
        <f t="shared" si="795"/>
        <v>0</v>
      </c>
      <c r="GT156" s="141">
        <f t="shared" si="795"/>
        <v>0</v>
      </c>
      <c r="GU156" s="141">
        <f t="shared" si="795"/>
        <v>0</v>
      </c>
      <c r="GV156" s="141">
        <f t="shared" si="795"/>
        <v>0</v>
      </c>
      <c r="GW156" s="141">
        <f t="shared" si="795"/>
        <v>0</v>
      </c>
      <c r="GX156" s="141">
        <f t="shared" si="795"/>
        <v>0</v>
      </c>
      <c r="GY156" s="141">
        <f t="shared" si="795"/>
        <v>0</v>
      </c>
      <c r="GZ156" s="141">
        <f t="shared" si="795"/>
        <v>0</v>
      </c>
      <c r="HA156" s="141">
        <f t="shared" si="795"/>
        <v>0</v>
      </c>
      <c r="HB156" s="141">
        <f t="shared" si="795"/>
        <v>0</v>
      </c>
      <c r="HC156" s="141">
        <f t="shared" si="795"/>
        <v>0</v>
      </c>
      <c r="HD156" s="141">
        <f t="shared" si="795"/>
        <v>0</v>
      </c>
      <c r="HE156" s="141">
        <f t="shared" si="795"/>
        <v>0</v>
      </c>
      <c r="HF156" s="141">
        <f t="shared" si="795"/>
        <v>0</v>
      </c>
      <c r="HG156" s="141">
        <f t="shared" si="795"/>
        <v>0</v>
      </c>
      <c r="HH156" s="141">
        <f t="shared" si="795"/>
        <v>0</v>
      </c>
      <c r="HI156" s="141">
        <f t="shared" si="795"/>
        <v>0</v>
      </c>
      <c r="HJ156" s="141">
        <f t="shared" si="795"/>
        <v>0</v>
      </c>
      <c r="HK156" s="141">
        <f t="shared" si="795"/>
        <v>0</v>
      </c>
      <c r="HL156" s="141">
        <f t="shared" si="795"/>
        <v>0</v>
      </c>
      <c r="HM156" s="142">
        <f t="shared" ref="HM156:IP156" si="796">IF(ISBLANK($A156),,FE156*($AH156-($AH156*$AJ156))/$AI156)</f>
        <v>0</v>
      </c>
      <c r="HN156" s="142">
        <f t="shared" si="796"/>
        <v>0</v>
      </c>
      <c r="HO156" s="142">
        <f t="shared" si="796"/>
        <v>0</v>
      </c>
      <c r="HP156" s="142">
        <f t="shared" si="796"/>
        <v>0</v>
      </c>
      <c r="HQ156" s="142">
        <f t="shared" si="796"/>
        <v>0</v>
      </c>
      <c r="HR156" s="142">
        <f t="shared" si="796"/>
        <v>0</v>
      </c>
      <c r="HS156" s="142">
        <f t="shared" si="796"/>
        <v>0</v>
      </c>
      <c r="HT156" s="142">
        <f t="shared" si="796"/>
        <v>0</v>
      </c>
      <c r="HU156" s="142">
        <f t="shared" si="796"/>
        <v>0</v>
      </c>
      <c r="HV156" s="142">
        <f t="shared" si="796"/>
        <v>0</v>
      </c>
      <c r="HW156" s="142">
        <f t="shared" si="796"/>
        <v>0</v>
      </c>
      <c r="HX156" s="142">
        <f t="shared" si="796"/>
        <v>0</v>
      </c>
      <c r="HY156" s="142">
        <f t="shared" si="796"/>
        <v>0</v>
      </c>
      <c r="HZ156" s="142">
        <f t="shared" si="796"/>
        <v>0</v>
      </c>
      <c r="IA156" s="142">
        <f t="shared" si="796"/>
        <v>0</v>
      </c>
      <c r="IB156" s="142">
        <f t="shared" si="796"/>
        <v>0</v>
      </c>
      <c r="IC156" s="142">
        <f t="shared" si="796"/>
        <v>0</v>
      </c>
      <c r="ID156" s="142">
        <f t="shared" si="796"/>
        <v>0</v>
      </c>
      <c r="IE156" s="142">
        <f t="shared" si="796"/>
        <v>0</v>
      </c>
      <c r="IF156" s="142">
        <f t="shared" si="796"/>
        <v>0</v>
      </c>
      <c r="IG156" s="142">
        <f t="shared" si="796"/>
        <v>0</v>
      </c>
      <c r="IH156" s="142">
        <f t="shared" si="796"/>
        <v>0</v>
      </c>
      <c r="II156" s="142">
        <f t="shared" si="796"/>
        <v>0</v>
      </c>
      <c r="IJ156" s="142">
        <f t="shared" si="796"/>
        <v>0</v>
      </c>
      <c r="IK156" s="142">
        <f t="shared" si="796"/>
        <v>0</v>
      </c>
      <c r="IL156" s="142">
        <f t="shared" si="796"/>
        <v>0</v>
      </c>
      <c r="IM156" s="142">
        <f t="shared" si="796"/>
        <v>0</v>
      </c>
      <c r="IN156" s="142">
        <f t="shared" si="796"/>
        <v>0</v>
      </c>
      <c r="IO156" s="142">
        <f t="shared" si="796"/>
        <v>0</v>
      </c>
      <c r="IP156" s="142">
        <f t="shared" si="796"/>
        <v>0</v>
      </c>
      <c r="IQ156" s="141">
        <f>IF(ISBLANK($A156),,IF($AN156="Não",0,(SUM($AO156:AO156)*$AH156)-SUM($HM156:HM156)-SUM($CW156:CW156)))</f>
        <v>0</v>
      </c>
      <c r="IR156" s="141">
        <f>IF(ISBLANK($A156),,IF($AN156="Não",0,(SUM($AO156:AP156)*$AH156)-SUM($HM156:HN156)-SUM($CW156:CX156)))</f>
        <v>0</v>
      </c>
      <c r="IS156" s="141">
        <f>IF(ISBLANK($A156),,IF($AN156="Não",0,(SUM($AO156:AQ156)*$AH156)-SUM($HM156:HO156)-SUM($CW156:CY156)))</f>
        <v>0</v>
      </c>
      <c r="IT156" s="141">
        <f>IF(ISBLANK($A156),,IF($AN156="Não",0,(SUM($AO156:AR156)*$AH156)-SUM($HM156:HP156)-SUM($CW156:CZ156)))</f>
        <v>0</v>
      </c>
      <c r="IU156" s="141">
        <f>IF(ISBLANK($A156),,IF($AN156="Não",0,(SUM($AO156:AS156)*$AH156)-SUM($HM156:HQ156)-SUM($CW156:DA156)))</f>
        <v>0</v>
      </c>
      <c r="IV156" s="141">
        <f>IF(ISBLANK($A156),,IF($AN156="Não",0,(SUM($AO156:AT156)*$AH156)-SUM($HM156:HR156)-SUM($CW156:DB156)))</f>
        <v>0</v>
      </c>
      <c r="IW156" s="141">
        <f>IF(ISBLANK($A156),,IF($AN156="Não",0,(SUM($AO156:AU156)*$AH156)-SUM($HM156:HS156)-SUM($CW156:DC156)))</f>
        <v>0</v>
      </c>
      <c r="IX156" s="141">
        <f>IF(ISBLANK($A156),,IF($AN156="Não",0,(SUM($AO156:AV156)*$AH156)-SUM($HM156:HT156)-SUM($CW156:DD156)))</f>
        <v>0</v>
      </c>
      <c r="IY156" s="141">
        <f>IF(ISBLANK($A156),,IF($AN156="Não",0,(SUM($AO156:AW156)*$AH156)-SUM($HM156:HU156)-SUM($CW156:DE156)))</f>
        <v>0</v>
      </c>
      <c r="IZ156" s="141">
        <f>IF(ISBLANK($A156),,IF($AN156="Não",0,(SUM($AO156:AX156)*$AH156)-SUM($HM156:HV156)-SUM($CW156:DF156)))</f>
        <v>0</v>
      </c>
      <c r="JA156" s="141">
        <f>IF(ISBLANK($A156),,IF($AN156="Não",0,(SUM($AO156:AY156)*$AH156)-SUM($HM156:HW156)-SUM($CW156:DG156)))</f>
        <v>0</v>
      </c>
      <c r="JB156" s="141">
        <f>IF(ISBLANK($A156),,IF($AN156="Não",0,(SUM($AO156:AZ156)*$AH156)-SUM($HM156:HX156)-SUM($CW156:DH156)))</f>
        <v>0</v>
      </c>
      <c r="JC156" s="141">
        <f>IF(ISBLANK($A156),,IF($AN156="Não",0,(SUM($AO156:BA156)*$AH156)-SUM($HM156:HY156)-SUM($CW156:DI156)))</f>
        <v>0</v>
      </c>
      <c r="JD156" s="141">
        <f>IF(ISBLANK($A156),,IF($AN156="Não",0,(SUM($AO156:BB156)*$AH156)-SUM($HM156:HZ156)-SUM($CW156:DJ156)))</f>
        <v>0</v>
      </c>
      <c r="JE156" s="141">
        <f>IF(ISBLANK($A156),,IF($AN156="Não",0,(SUM($AO156:BC156)*$AH156)-SUM($HM156:IA156)-SUM($CW156:DK156)))</f>
        <v>0</v>
      </c>
      <c r="JF156" s="141">
        <f>IF(ISBLANK($A156),,IF($AN156="Não",0,(SUM($AO156:BD156)*$AH156)-SUM($HM156:IB156)-SUM($CW156:DL156)))</f>
        <v>0</v>
      </c>
      <c r="JG156" s="141">
        <f>IF(ISBLANK($A156),,IF($AN156="Não",0,(SUM($AO156:BE156)*$AH156)-SUM($HM156:IC156)-SUM($CW156:DM156)))</f>
        <v>0</v>
      </c>
      <c r="JH156" s="141">
        <f>IF(ISBLANK($A156),,IF($AN156="Não",0,(SUM($AO156:BF156)*$AH156)-SUM($HM156:ID156)-SUM($CW156:DN156)))</f>
        <v>0</v>
      </c>
      <c r="JI156" s="141">
        <f>IF(ISBLANK($A156),,IF($AN156="Não",0,(SUM($AO156:BG156)*$AH156)-SUM($HM156:IE156)-SUM($CW156:DO156)))</f>
        <v>0</v>
      </c>
      <c r="JJ156" s="141">
        <f>IF(ISBLANK($A156),,IF($AN156="Não",0,(SUM($AO156:BH156)*$AH156)-SUM($HM156:IF156)-SUM($CW156:DP156)))</f>
        <v>0</v>
      </c>
      <c r="JK156" s="141">
        <f>IF(ISBLANK($A156),,IF($AN156="Não",0,(SUM($AO156:BI156)*$AH156)-SUM($HM156:IG156)-SUM($CW156:DQ156)))</f>
        <v>0</v>
      </c>
      <c r="JL156" s="141">
        <f>IF(ISBLANK($A156),,IF($AN156="Não",0,(SUM($AO156:BJ156)*$AH156)-SUM($HM156:IH156)-SUM($CW156:DR156)))</f>
        <v>0</v>
      </c>
      <c r="JM156" s="141">
        <f>IF(ISBLANK($A156),,IF($AN156="Não",0,(SUM($AO156:BK156)*$AH156)-SUM($HM156:II156)-SUM($CW156:DS156)))</f>
        <v>0</v>
      </c>
      <c r="JN156" s="141">
        <f>IF(ISBLANK($A156),,IF($AN156="Não",0,(SUM($AO156:BL156)*$AH156)-SUM($HM156:IJ156)-SUM($CW156:DT156)))</f>
        <v>0</v>
      </c>
      <c r="JO156" s="141">
        <f>IF(ISBLANK($A156),,IF($AN156="Não",0,(SUM($AO156:BM156)*$AH156)-SUM($HM156:IK156)-SUM($CW156:DU156)))</f>
        <v>0</v>
      </c>
      <c r="JP156" s="141">
        <f>IF(ISBLANK($A156),,IF($AN156="Não",0,(SUM($AO156:BN156)*$AH156)-SUM($HM156:IL156)-SUM($CW156:DV156)))</f>
        <v>0</v>
      </c>
      <c r="JQ156" s="141">
        <f>IF(ISBLANK($A156),,IF($AN156="Não",0,(SUM($AO156:BO156)*$AH156)-SUM($HM156:IM156)-SUM($CW156:DW156)))</f>
        <v>0</v>
      </c>
      <c r="JR156" s="141">
        <f>IF(ISBLANK($A156),,IF($AN156="Não",0,(SUM($AO156:BP156)*$AH156)-SUM($HM156:IN156)-SUM($CW156:DX156)))</f>
        <v>0</v>
      </c>
      <c r="JS156" s="141">
        <f>IF(ISBLANK($A156),,IF($AN156="Não",0,(SUM($AO156:BQ156)*$AH156)-SUM($HM156:IO156)-SUM($CW156:DY156)))</f>
        <v>0</v>
      </c>
      <c r="JT156" s="141">
        <f>IF(ISBLANK($A156),,IF($AN156="Não",0,(SUM($AO156:BR156)*$AH156)-SUM($HM156:IP156)-SUM($CW156:DZ156)))</f>
        <v>0</v>
      </c>
    </row>
    <row r="157" spans="1:280" ht="15.75" customHeight="1">
      <c r="A157" s="129"/>
      <c r="B157" s="129"/>
      <c r="C157" s="138"/>
      <c r="D157" s="139"/>
      <c r="E157" s="139"/>
      <c r="F157" s="139"/>
      <c r="G157" s="139"/>
      <c r="H157" s="139"/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607">
        <f t="shared" si="710"/>
        <v>0</v>
      </c>
      <c r="AI157" s="608">
        <f t="shared" si="711"/>
        <v>0</v>
      </c>
      <c r="AJ157" s="609">
        <f t="shared" si="712"/>
        <v>0</v>
      </c>
      <c r="AK157" s="610" t="str">
        <f t="shared" si="713"/>
        <v/>
      </c>
      <c r="AL157" s="609">
        <f t="shared" si="714"/>
        <v>0</v>
      </c>
      <c r="AM157" s="611" t="str">
        <f t="shared" si="715"/>
        <v/>
      </c>
      <c r="AN157" s="611" t="str">
        <f t="shared" si="716"/>
        <v/>
      </c>
      <c r="AO157" s="140">
        <f t="array" ref="AO157">IF(ISBLANK($A157),0,IF(OR(AO$5-$AI157&lt;=0,$AM157="Não"),D157,D157+INDEX($AO$6:$BR$176,ROW()-5,COLUMN()-40-$AI157)))*IF($B157="Operacional",IFERROR(VLOOKUP($C157,SN_UGC,28,0),0),1)</f>
        <v>0</v>
      </c>
      <c r="AP157" s="140">
        <f t="array" ref="AP157">IF(ISBLANK($A157),0,IF(OR(AP$5-$AI157&lt;=0,$AM157="Não"),E157,E157+INDEX($AO$6:$BR$176,ROW()-5,COLUMN()-40-$AI157)))*IF($B157="Operacional",IFERROR(VLOOKUP($C157,SN_UGC,28,0),0),1)</f>
        <v>0</v>
      </c>
      <c r="AQ157" s="140">
        <f t="array" ref="AQ157">IF(ISBLANK($A157),0,IF(OR(AQ$5-$AI157&lt;=0,$AM157="Não"),F157,F157+INDEX($AO$6:$BR$176,ROW()-5,COLUMN()-40-$AI157)))*IF($B157="Operacional",IFERROR(VLOOKUP($C157,SN_UGC,28,0),0),1)</f>
        <v>0</v>
      </c>
      <c r="AR157" s="140">
        <f t="array" ref="AR157">IF(ISBLANK($A157),0,IF(OR(AR$5-$AI157&lt;=0,$AM157="Não"),G157,G157+INDEX($AO$6:$BR$176,ROW()-5,COLUMN()-40-$AI157)))*IF($B157="Operacional",IFERROR(VLOOKUP($C157,SN_UGC,28,0),0),1)</f>
        <v>0</v>
      </c>
      <c r="AS157" s="140">
        <f t="array" ref="AS157">IF(ISBLANK($A157),0,IF(OR(AS$5-$AI157&lt;=0,$AM157="Não"),H157,H157+INDEX($AO$6:$BR$176,ROW()-5,COLUMN()-40-$AI157)))*IF($B157="Operacional",IFERROR(VLOOKUP($C157,SN_UGC,28,0),0),1)</f>
        <v>0</v>
      </c>
      <c r="AT157" s="140">
        <f t="array" ref="AT157">IF(ISBLANK($A157),0,IF(OR(AT$5-$AI157&lt;=0,$AM157="Não"),I157,I157+INDEX($AO$6:$BR$176,ROW()-5,COLUMN()-40-$AI157)))*IF($B157="Operacional",IFERROR(VLOOKUP($C157,SN_UGC,28,0),0),1)</f>
        <v>0</v>
      </c>
      <c r="AU157" s="140">
        <f t="array" ref="AU157">IF(ISBLANK($A157),0,IF(OR(AU$5-$AI157&lt;=0,$AM157="Não"),J157,J157+INDEX($AO$6:$BR$176,ROW()-5,COLUMN()-40-$AI157)))*IF($B157="Operacional",IFERROR(VLOOKUP($C157,SN_UGC,28,0),0),1)</f>
        <v>0</v>
      </c>
      <c r="AV157" s="140">
        <f t="array" ref="AV157">IF(ISBLANK($A157),0,IF(OR(AV$5-$AI157&lt;=0,$AM157="Não"),K157,K157+INDEX($AO$6:$BR$176,ROW()-5,COLUMN()-40-$AI157)))*IF($B157="Operacional",IFERROR(VLOOKUP($C157,SN_UGC,28,0),0),1)</f>
        <v>0</v>
      </c>
      <c r="AW157" s="140">
        <f t="array" ref="AW157">IF(ISBLANK($A157),0,IF(OR(AW$5-$AI157&lt;=0,$AM157="Não"),L157,L157+INDEX($AO$6:$BR$176,ROW()-5,COLUMN()-40-$AI157)))*IF($B157="Operacional",IFERROR(VLOOKUP($C157,SN_UGC,28,0),0),1)</f>
        <v>0</v>
      </c>
      <c r="AX157" s="140">
        <f t="array" ref="AX157">IF(ISBLANK($A157),0,IF(OR(AX$5-$AI157&lt;=0,$AM157="Não"),M157,M157+INDEX($AO$6:$BR$176,ROW()-5,COLUMN()-40-$AI157)))*IF($B157="Operacional",IFERROR(VLOOKUP($C157,SN_UGC,28,0),0),1)</f>
        <v>0</v>
      </c>
      <c r="AY157" s="140">
        <f t="array" ref="AY157">IF(ISBLANK($A157),0,IF(OR(AY$5-$AI157&lt;=0,$AM157="Não"),N157,N157+INDEX($AO$6:$BR$176,ROW()-5,COLUMN()-40-$AI157)))*IF($B157="Operacional",IFERROR(VLOOKUP($C157,SN_UGC,28,0),0),1)</f>
        <v>0</v>
      </c>
      <c r="AZ157" s="140">
        <f t="array" ref="AZ157">IF(ISBLANK($A157),0,IF(OR(AZ$5-$AI157&lt;=0,$AM157="Não"),O157,O157+INDEX($AO$6:$BR$176,ROW()-5,COLUMN()-40-$AI157)))*IF($B157="Operacional",IFERROR(VLOOKUP($C157,SN_UGC,28,0),0),1)</f>
        <v>0</v>
      </c>
      <c r="BA157" s="140">
        <f t="array" ref="BA157">IF(ISBLANK($A157),0,IF(OR(BA$5-$AI157&lt;=0,$AM157="Não"),P157,P157+INDEX($AO$6:$BR$176,ROW()-5,COLUMN()-40-$AI157)))*IF($B157="Operacional",IFERROR(VLOOKUP($C157,SN_UGC,28,0),0),1)</f>
        <v>0</v>
      </c>
      <c r="BB157" s="140">
        <f t="array" ref="BB157">IF(ISBLANK($A157),0,IF(OR(BB$5-$AI157&lt;=0,$AM157="Não"),Q157,Q157+INDEX($AO$6:$BR$176,ROW()-5,COLUMN()-40-$AI157)))*IF($B157="Operacional",IFERROR(VLOOKUP($C157,SN_UGC,28,0),0),1)</f>
        <v>0</v>
      </c>
      <c r="BC157" s="140">
        <f t="array" ref="BC157">IF(ISBLANK($A157),0,IF(OR(BC$5-$AI157&lt;=0,$AM157="Não"),R157,R157+INDEX($AO$6:$BR$176,ROW()-5,COLUMN()-40-$AI157)))*IF($B157="Operacional",IFERROR(VLOOKUP($C157,SN_UGC,28,0),0),1)</f>
        <v>0</v>
      </c>
      <c r="BD157" s="140">
        <f t="array" ref="BD157">IF(ISBLANK($A157),0,IF(OR(BD$5-$AI157&lt;=0,$AM157="Não"),S157,S157+INDEX($AO$6:$BR$176,ROW()-5,COLUMN()-40-$AI157)))*IF($B157="Operacional",IFERROR(VLOOKUP($C157,SN_UGC,28,0),0),1)</f>
        <v>0</v>
      </c>
      <c r="BE157" s="140">
        <f t="array" ref="BE157">IF(ISBLANK($A157),0,IF(OR(BE$5-$AI157&lt;=0,$AM157="Não"),T157,T157+INDEX($AO$6:$BR$176,ROW()-5,COLUMN()-40-$AI157)))*IF($B157="Operacional",IFERROR(VLOOKUP($C157,SN_UGC,28,0),0),1)</f>
        <v>0</v>
      </c>
      <c r="BF157" s="140">
        <f t="array" ref="BF157">IF(ISBLANK($A157),0,IF(OR(BF$5-$AI157&lt;=0,$AM157="Não"),U157,U157+INDEX($AO$6:$BR$176,ROW()-5,COLUMN()-40-$AI157)))*IF($B157="Operacional",IFERROR(VLOOKUP($C157,SN_UGC,28,0),0),1)</f>
        <v>0</v>
      </c>
      <c r="BG157" s="140">
        <f t="array" ref="BG157">IF(ISBLANK($A157),0,IF(OR(BG$5-$AI157&lt;=0,$AM157="Não"),V157,V157+INDEX($AO$6:$BR$176,ROW()-5,COLUMN()-40-$AI157)))*IF($B157="Operacional",IFERROR(VLOOKUP($C157,SN_UGC,28,0),0),1)</f>
        <v>0</v>
      </c>
      <c r="BH157" s="140">
        <f t="array" ref="BH157">IF(ISBLANK($A157),0,IF(OR(BH$5-$AI157&lt;=0,$AM157="Não"),W157,W157+INDEX($AO$6:$BR$176,ROW()-5,COLUMN()-40-$AI157)))*IF($B157="Operacional",IFERROR(VLOOKUP($C157,SN_UGC,28,0),0),1)</f>
        <v>0</v>
      </c>
      <c r="BI157" s="140">
        <f t="array" ref="BI157">IF(ISBLANK($A157),0,IF(OR(BI$5-$AI157&lt;=0,$AM157="Não"),X157,X157+INDEX($AO$6:$BR$176,ROW()-5,COLUMN()-40-$AI157)))*IF($B157="Operacional",IFERROR(VLOOKUP($C157,SN_UGC,28,0),0),1)</f>
        <v>0</v>
      </c>
      <c r="BJ157" s="140">
        <f t="array" ref="BJ157">IF(ISBLANK($A157),0,IF(OR(BJ$5-$AI157&lt;=0,$AM157="Não"),Y157,Y157+INDEX($AO$6:$BR$176,ROW()-5,COLUMN()-40-$AI157)))*IF($B157="Operacional",IFERROR(VLOOKUP($C157,SN_UGC,28,0),0),1)</f>
        <v>0</v>
      </c>
      <c r="BK157" s="140">
        <f t="array" ref="BK157">IF(ISBLANK($A157),0,IF(OR(BK$5-$AI157&lt;=0,$AM157="Não"),Z157,Z157+INDEX($AO$6:$BR$176,ROW()-5,COLUMN()-40-$AI157)))*IF($B157="Operacional",IFERROR(VLOOKUP($C157,SN_UGC,28,0),0),1)</f>
        <v>0</v>
      </c>
      <c r="BL157" s="140">
        <f t="array" ref="BL157">IF(ISBLANK($A157),0,IF(OR(BL$5-$AI157&lt;=0,$AM157="Não"),AA157,AA157+INDEX($AO$6:$BR$176,ROW()-5,COLUMN()-40-$AI157)))*IF($B157="Operacional",IFERROR(VLOOKUP($C157,SN_UGC,28,0),0),1)</f>
        <v>0</v>
      </c>
      <c r="BM157" s="140">
        <f t="array" ref="BM157">IF(ISBLANK($A157),0,IF(OR(BM$5-$AI157&lt;=0,$AM157="Não"),AB157,AB157+INDEX($AO$6:$BR$176,ROW()-5,COLUMN()-40-$AI157)))*IF($B157="Operacional",IFERROR(VLOOKUP($C157,SN_UGC,28,0),0),1)</f>
        <v>0</v>
      </c>
      <c r="BN157" s="140">
        <f t="array" ref="BN157">IF(ISBLANK($A157),0,IF(OR(BN$5-$AI157&lt;=0,$AM157="Não"),AC157,AC157+INDEX($AO$6:$BR$176,ROW()-5,COLUMN()-40-$AI157)))*IF($B157="Operacional",IFERROR(VLOOKUP($C157,SN_UGC,28,0),0),1)</f>
        <v>0</v>
      </c>
      <c r="BO157" s="140">
        <f t="array" ref="BO157">IF(ISBLANK($A157),0,IF(OR(BO$5-$AI157&lt;=0,$AM157="Não"),AD157,AD157+INDEX($AO$6:$BR$176,ROW()-5,COLUMN()-40-$AI157)))*IF($B157="Operacional",IFERROR(VLOOKUP($C157,SN_UGC,28,0),0),1)</f>
        <v>0</v>
      </c>
      <c r="BP157" s="140">
        <f t="array" ref="BP157">IF(ISBLANK($A157),0,IF(OR(BP$5-$AI157&lt;=0,$AM157="Não"),AE157,AE157+INDEX($AO$6:$BR$176,ROW()-5,COLUMN()-40-$AI157)))*IF($B157="Operacional",IFERROR(VLOOKUP($C157,SN_UGC,28,0),0),1)</f>
        <v>0</v>
      </c>
      <c r="BQ157" s="140">
        <f t="array" ref="BQ157">IF(ISBLANK($A157),0,IF(OR(BQ$5-$AI157&lt;=0,$AM157="Não"),AF157,AF157+INDEX($AO$6:$BR$176,ROW()-5,COLUMN()-40-$AI157)))*IF($B157="Operacional",IFERROR(VLOOKUP($C157,SN_UGC,28,0),0),1)</f>
        <v>0</v>
      </c>
      <c r="BR157" s="140">
        <f t="array" ref="BR157">IF(ISBLANK($A157),0,IF(OR(BR$5-$AI157&lt;=0,$AM157="Não"),AG157,AG157+INDEX($AO$6:$BR$176,ROW()-5,COLUMN()-40-$AI157)))*IF($B157="Operacional",IFERROR(VLOOKUP($C157,SN_UGC,28,0),0),1)</f>
        <v>0</v>
      </c>
      <c r="BS157" s="141">
        <f t="shared" ref="BS157:CV157" si="797">IF(ISBLANK($A157),0,$AH157*AO157)</f>
        <v>0</v>
      </c>
      <c r="BT157" s="141">
        <f t="shared" si="797"/>
        <v>0</v>
      </c>
      <c r="BU157" s="141">
        <f t="shared" si="797"/>
        <v>0</v>
      </c>
      <c r="BV157" s="141">
        <f t="shared" si="797"/>
        <v>0</v>
      </c>
      <c r="BW157" s="141">
        <f t="shared" si="797"/>
        <v>0</v>
      </c>
      <c r="BX157" s="141">
        <f t="shared" si="797"/>
        <v>0</v>
      </c>
      <c r="BY157" s="141">
        <f t="shared" si="797"/>
        <v>0</v>
      </c>
      <c r="BZ157" s="141">
        <f t="shared" si="797"/>
        <v>0</v>
      </c>
      <c r="CA157" s="141">
        <f t="shared" si="797"/>
        <v>0</v>
      </c>
      <c r="CB157" s="141">
        <f t="shared" si="797"/>
        <v>0</v>
      </c>
      <c r="CC157" s="141">
        <f t="shared" si="797"/>
        <v>0</v>
      </c>
      <c r="CD157" s="141">
        <f t="shared" si="797"/>
        <v>0</v>
      </c>
      <c r="CE157" s="141">
        <f t="shared" si="797"/>
        <v>0</v>
      </c>
      <c r="CF157" s="141">
        <f t="shared" si="797"/>
        <v>0</v>
      </c>
      <c r="CG157" s="141">
        <f t="shared" si="797"/>
        <v>0</v>
      </c>
      <c r="CH157" s="141">
        <f t="shared" si="797"/>
        <v>0</v>
      </c>
      <c r="CI157" s="141">
        <f t="shared" si="797"/>
        <v>0</v>
      </c>
      <c r="CJ157" s="141">
        <f t="shared" si="797"/>
        <v>0</v>
      </c>
      <c r="CK157" s="141">
        <f t="shared" si="797"/>
        <v>0</v>
      </c>
      <c r="CL157" s="141">
        <f t="shared" si="797"/>
        <v>0</v>
      </c>
      <c r="CM157" s="141">
        <f t="shared" si="797"/>
        <v>0</v>
      </c>
      <c r="CN157" s="141">
        <f t="shared" si="797"/>
        <v>0</v>
      </c>
      <c r="CO157" s="141">
        <f t="shared" si="797"/>
        <v>0</v>
      </c>
      <c r="CP157" s="141">
        <f t="shared" si="797"/>
        <v>0</v>
      </c>
      <c r="CQ157" s="141">
        <f t="shared" si="797"/>
        <v>0</v>
      </c>
      <c r="CR157" s="141">
        <f t="shared" si="797"/>
        <v>0</v>
      </c>
      <c r="CS157" s="141">
        <f t="shared" si="797"/>
        <v>0</v>
      </c>
      <c r="CT157" s="141">
        <f t="shared" si="797"/>
        <v>0</v>
      </c>
      <c r="CU157" s="141">
        <f t="shared" si="797"/>
        <v>0</v>
      </c>
      <c r="CV157" s="141">
        <f t="shared" si="797"/>
        <v>0</v>
      </c>
      <c r="CW157" s="142">
        <f t="shared" ref="CW157:DZ157" si="798">EA157*$AH157*$AJ157</f>
        <v>0</v>
      </c>
      <c r="CX157" s="142">
        <f t="shared" si="798"/>
        <v>0</v>
      </c>
      <c r="CY157" s="142">
        <f t="shared" si="798"/>
        <v>0</v>
      </c>
      <c r="CZ157" s="142">
        <f t="shared" si="798"/>
        <v>0</v>
      </c>
      <c r="DA157" s="142">
        <f t="shared" si="798"/>
        <v>0</v>
      </c>
      <c r="DB157" s="142">
        <f t="shared" si="798"/>
        <v>0</v>
      </c>
      <c r="DC157" s="142">
        <f t="shared" si="798"/>
        <v>0</v>
      </c>
      <c r="DD157" s="142">
        <f t="shared" si="798"/>
        <v>0</v>
      </c>
      <c r="DE157" s="142">
        <f t="shared" si="798"/>
        <v>0</v>
      </c>
      <c r="DF157" s="142">
        <f t="shared" si="798"/>
        <v>0</v>
      </c>
      <c r="DG157" s="142">
        <f t="shared" si="798"/>
        <v>0</v>
      </c>
      <c r="DH157" s="142">
        <f t="shared" si="798"/>
        <v>0</v>
      </c>
      <c r="DI157" s="142">
        <f t="shared" si="798"/>
        <v>0</v>
      </c>
      <c r="DJ157" s="142">
        <f t="shared" si="798"/>
        <v>0</v>
      </c>
      <c r="DK157" s="142">
        <f t="shared" si="798"/>
        <v>0</v>
      </c>
      <c r="DL157" s="142">
        <f t="shared" si="798"/>
        <v>0</v>
      </c>
      <c r="DM157" s="142">
        <f t="shared" si="798"/>
        <v>0</v>
      </c>
      <c r="DN157" s="142">
        <f t="shared" si="798"/>
        <v>0</v>
      </c>
      <c r="DO157" s="142">
        <f t="shared" si="798"/>
        <v>0</v>
      </c>
      <c r="DP157" s="142">
        <f t="shared" si="798"/>
        <v>0</v>
      </c>
      <c r="DQ157" s="142">
        <f t="shared" si="798"/>
        <v>0</v>
      </c>
      <c r="DR157" s="142">
        <f t="shared" si="798"/>
        <v>0</v>
      </c>
      <c r="DS157" s="142">
        <f t="shared" si="798"/>
        <v>0</v>
      </c>
      <c r="DT157" s="142">
        <f t="shared" si="798"/>
        <v>0</v>
      </c>
      <c r="DU157" s="142">
        <f t="shared" si="798"/>
        <v>0</v>
      </c>
      <c r="DV157" s="142">
        <f t="shared" si="798"/>
        <v>0</v>
      </c>
      <c r="DW157" s="142">
        <f t="shared" si="798"/>
        <v>0</v>
      </c>
      <c r="DX157" s="142">
        <f t="shared" si="798"/>
        <v>0</v>
      </c>
      <c r="DY157" s="142">
        <f t="shared" si="798"/>
        <v>0</v>
      </c>
      <c r="DZ157" s="142">
        <f t="shared" si="798"/>
        <v>0</v>
      </c>
      <c r="EA157" s="143">
        <f t="shared" si="670"/>
        <v>0</v>
      </c>
      <c r="EB157" s="143">
        <f t="shared" si="671"/>
        <v>0</v>
      </c>
      <c r="EC157" s="143">
        <f t="shared" si="672"/>
        <v>0</v>
      </c>
      <c r="ED157" s="143">
        <f t="shared" si="673"/>
        <v>0</v>
      </c>
      <c r="EE157" s="143">
        <f t="shared" si="674"/>
        <v>0</v>
      </c>
      <c r="EF157" s="143">
        <f t="shared" si="675"/>
        <v>0</v>
      </c>
      <c r="EG157" s="143">
        <f t="shared" si="676"/>
        <v>0</v>
      </c>
      <c r="EH157" s="143">
        <f t="shared" si="677"/>
        <v>0</v>
      </c>
      <c r="EI157" s="143">
        <f t="shared" si="678"/>
        <v>0</v>
      </c>
      <c r="EJ157" s="143">
        <f t="shared" si="679"/>
        <v>0</v>
      </c>
      <c r="EK157" s="143">
        <f t="shared" si="680"/>
        <v>0</v>
      </c>
      <c r="EL157" s="143">
        <f t="shared" si="681"/>
        <v>0</v>
      </c>
      <c r="EM157" s="143">
        <f t="shared" si="682"/>
        <v>0</v>
      </c>
      <c r="EN157" s="143">
        <f t="shared" si="683"/>
        <v>0</v>
      </c>
      <c r="EO157" s="143">
        <f t="shared" si="684"/>
        <v>0</v>
      </c>
      <c r="EP157" s="143">
        <f t="shared" si="685"/>
        <v>0</v>
      </c>
      <c r="EQ157" s="143">
        <f t="shared" si="686"/>
        <v>0</v>
      </c>
      <c r="ER157" s="143">
        <f t="shared" si="687"/>
        <v>0</v>
      </c>
      <c r="ES157" s="143">
        <f t="shared" si="688"/>
        <v>0</v>
      </c>
      <c r="ET157" s="143">
        <f t="shared" si="689"/>
        <v>0</v>
      </c>
      <c r="EU157" s="143">
        <f t="shared" si="690"/>
        <v>0</v>
      </c>
      <c r="EV157" s="143">
        <f t="shared" si="691"/>
        <v>0</v>
      </c>
      <c r="EW157" s="143">
        <f t="shared" si="692"/>
        <v>0</v>
      </c>
      <c r="EX157" s="143">
        <f t="shared" si="693"/>
        <v>0</v>
      </c>
      <c r="EY157" s="143">
        <f t="shared" si="694"/>
        <v>0</v>
      </c>
      <c r="EZ157" s="143">
        <f t="shared" si="695"/>
        <v>0</v>
      </c>
      <c r="FA157" s="143">
        <f t="shared" si="696"/>
        <v>0</v>
      </c>
      <c r="FB157" s="143">
        <f t="shared" si="697"/>
        <v>0</v>
      </c>
      <c r="FC157" s="143">
        <f t="shared" si="698"/>
        <v>0</v>
      </c>
      <c r="FD157" s="143">
        <f t="shared" si="699"/>
        <v>0</v>
      </c>
      <c r="FE157" s="140">
        <f>SUM($D157:D157)*IF($B157="Operacional",IFERROR(VLOOKUP($C157,SN_UGC,28,0),0),1)</f>
        <v>0</v>
      </c>
      <c r="FF157" s="140">
        <f>SUM($D157:E157)*IF($B157="Operacional",IFERROR(VLOOKUP($C157,SN_UGC,28,0),0),1)</f>
        <v>0</v>
      </c>
      <c r="FG157" s="140">
        <f>SUM($D157:F157)*IF($B157="Operacional",IFERROR(VLOOKUP($C157,SN_UGC,28,0),0),1)</f>
        <v>0</v>
      </c>
      <c r="FH157" s="140">
        <f>SUM($D157:G157)*IF($B157="Operacional",IFERROR(VLOOKUP($C157,SN_UGC,28,0),0),1)</f>
        <v>0</v>
      </c>
      <c r="FI157" s="140">
        <f>SUM($D157:H157)*IF($B157="Operacional",IFERROR(VLOOKUP($C157,SN_UGC,28,0),0),1)</f>
        <v>0</v>
      </c>
      <c r="FJ157" s="140">
        <f>SUM($D157:I157)*IF($B157="Operacional",IFERROR(VLOOKUP($C157,SN_UGC,28,0),0),1)</f>
        <v>0</v>
      </c>
      <c r="FK157" s="140">
        <f>SUM($D157:J157)*IF($B157="Operacional",IFERROR(VLOOKUP($C157,SN_UGC,28,0),0),1)</f>
        <v>0</v>
      </c>
      <c r="FL157" s="140">
        <f>SUM($D157:K157)*IF($B157="Operacional",IFERROR(VLOOKUP($C157,SN_UGC,28,0),0),1)</f>
        <v>0</v>
      </c>
      <c r="FM157" s="140">
        <f>SUM($D157:L157)*IF($B157="Operacional",IFERROR(VLOOKUP($C157,SN_UGC,28,0),0),1)</f>
        <v>0</v>
      </c>
      <c r="FN157" s="140">
        <f>SUM($D157:M157)*IF($B157="Operacional",IFERROR(VLOOKUP($C157,SN_UGC,28,0),0),1)</f>
        <v>0</v>
      </c>
      <c r="FO157" s="140">
        <f>SUM($D157:N157)*IF($B157="Operacional",IFERROR(VLOOKUP($C157,SN_UGC,28,0),0),1)</f>
        <v>0</v>
      </c>
      <c r="FP157" s="140">
        <f>SUM($D157:O157)*IF($B157="Operacional",IFERROR(VLOOKUP($C157,SN_UGC,28,0),0),1)</f>
        <v>0</v>
      </c>
      <c r="FQ157" s="140">
        <f>SUM($D157:P157)*IF($B157="Operacional",IFERROR(VLOOKUP($C157,SN_UGC,28,0),0),1)</f>
        <v>0</v>
      </c>
      <c r="FR157" s="140">
        <f>SUM($D157:Q157)*IF($B157="Operacional",IFERROR(VLOOKUP($C157,SN_UGC,28,0),0),1)</f>
        <v>0</v>
      </c>
      <c r="FS157" s="140">
        <f>SUM($D157:R157)*IF($B157="Operacional",IFERROR(VLOOKUP($C157,SN_UGC,28,0),0),1)</f>
        <v>0</v>
      </c>
      <c r="FT157" s="140">
        <f>SUM($D157:S157)*IF($B157="Operacional",IFERROR(VLOOKUP($C157,SN_UGC,28,0),0),1)</f>
        <v>0</v>
      </c>
      <c r="FU157" s="140">
        <f>SUM($D157:T157)*IF($B157="Operacional",IFERROR(VLOOKUP($C157,SN_UGC,28,0),0),1)</f>
        <v>0</v>
      </c>
      <c r="FV157" s="140">
        <f>SUM($D157:U157)*IF($B157="Operacional",IFERROR(VLOOKUP($C157,SN_UGC,28,0),0),1)</f>
        <v>0</v>
      </c>
      <c r="FW157" s="140">
        <f>SUM($D157:V157)*IF($B157="Operacional",IFERROR(VLOOKUP($C157,SN_UGC,28,0),0),1)</f>
        <v>0</v>
      </c>
      <c r="FX157" s="140">
        <f>SUM($D157:W157)*IF($B157="Operacional",IFERROR(VLOOKUP($C157,SN_UGC,28,0),0),1)</f>
        <v>0</v>
      </c>
      <c r="FY157" s="140">
        <f>SUM($D157:X157)*IF($B157="Operacional",IFERROR(VLOOKUP($C157,SN_UGC,28,0),0),1)</f>
        <v>0</v>
      </c>
      <c r="FZ157" s="140">
        <f>SUM($D157:Y157)*IF($B157="Operacional",IFERROR(VLOOKUP($C157,SN_UGC,28,0),0),1)</f>
        <v>0</v>
      </c>
      <c r="GA157" s="140">
        <f>SUM($D157:Z157)*IF($B157="Operacional",IFERROR(VLOOKUP($C157,SN_UGC,28,0),0),1)</f>
        <v>0</v>
      </c>
      <c r="GB157" s="140">
        <f>SUM($D157:AA157)*IF($B157="Operacional",IFERROR(VLOOKUP($C157,SN_UGC,28,0),0),1)</f>
        <v>0</v>
      </c>
      <c r="GC157" s="140">
        <f>SUM($D157:AB157)*IF($B157="Operacional",IFERROR(VLOOKUP($C157,SN_UGC,28,0),0),1)</f>
        <v>0</v>
      </c>
      <c r="GD157" s="140">
        <f>SUM($D157:AC157)*IF($B157="Operacional",IFERROR(VLOOKUP($C157,SN_UGC,28,0),0),1)</f>
        <v>0</v>
      </c>
      <c r="GE157" s="140">
        <f>SUM($D157:AD157)*IF($B157="Operacional",IFERROR(VLOOKUP($C157,SN_UGC,28,0),0),1)</f>
        <v>0</v>
      </c>
      <c r="GF157" s="140">
        <f>SUM($D157:AE157)*IF($B157="Operacional",IFERROR(VLOOKUP($C157,SN_UGC,28,0),0),1)</f>
        <v>0</v>
      </c>
      <c r="GG157" s="140">
        <f>SUM($D157:AF157)*IF($B157="Operacional",IFERROR(VLOOKUP($C157,SN_UGC,28,0),0),1)</f>
        <v>0</v>
      </c>
      <c r="GH157" s="140">
        <f>SUM($D157:AG157)*IF($B157="Operacional",IFERROR(VLOOKUP($C157,SN_UGC,28,0),0),1)</f>
        <v>0</v>
      </c>
      <c r="GI157" s="141">
        <f t="shared" ref="GI157:HL157" si="799">FE157*$AH157*$AL157</f>
        <v>0</v>
      </c>
      <c r="GJ157" s="141">
        <f t="shared" si="799"/>
        <v>0</v>
      </c>
      <c r="GK157" s="141">
        <f t="shared" si="799"/>
        <v>0</v>
      </c>
      <c r="GL157" s="141">
        <f t="shared" si="799"/>
        <v>0</v>
      </c>
      <c r="GM157" s="141">
        <f t="shared" si="799"/>
        <v>0</v>
      </c>
      <c r="GN157" s="141">
        <f t="shared" si="799"/>
        <v>0</v>
      </c>
      <c r="GO157" s="141">
        <f t="shared" si="799"/>
        <v>0</v>
      </c>
      <c r="GP157" s="141">
        <f t="shared" si="799"/>
        <v>0</v>
      </c>
      <c r="GQ157" s="141">
        <f t="shared" si="799"/>
        <v>0</v>
      </c>
      <c r="GR157" s="141">
        <f t="shared" si="799"/>
        <v>0</v>
      </c>
      <c r="GS157" s="141">
        <f t="shared" si="799"/>
        <v>0</v>
      </c>
      <c r="GT157" s="141">
        <f t="shared" si="799"/>
        <v>0</v>
      </c>
      <c r="GU157" s="141">
        <f t="shared" si="799"/>
        <v>0</v>
      </c>
      <c r="GV157" s="141">
        <f t="shared" si="799"/>
        <v>0</v>
      </c>
      <c r="GW157" s="141">
        <f t="shared" si="799"/>
        <v>0</v>
      </c>
      <c r="GX157" s="141">
        <f t="shared" si="799"/>
        <v>0</v>
      </c>
      <c r="GY157" s="141">
        <f t="shared" si="799"/>
        <v>0</v>
      </c>
      <c r="GZ157" s="141">
        <f t="shared" si="799"/>
        <v>0</v>
      </c>
      <c r="HA157" s="141">
        <f t="shared" si="799"/>
        <v>0</v>
      </c>
      <c r="HB157" s="141">
        <f t="shared" si="799"/>
        <v>0</v>
      </c>
      <c r="HC157" s="141">
        <f t="shared" si="799"/>
        <v>0</v>
      </c>
      <c r="HD157" s="141">
        <f t="shared" si="799"/>
        <v>0</v>
      </c>
      <c r="HE157" s="141">
        <f t="shared" si="799"/>
        <v>0</v>
      </c>
      <c r="HF157" s="141">
        <f t="shared" si="799"/>
        <v>0</v>
      </c>
      <c r="HG157" s="141">
        <f t="shared" si="799"/>
        <v>0</v>
      </c>
      <c r="HH157" s="141">
        <f t="shared" si="799"/>
        <v>0</v>
      </c>
      <c r="HI157" s="141">
        <f t="shared" si="799"/>
        <v>0</v>
      </c>
      <c r="HJ157" s="141">
        <f t="shared" si="799"/>
        <v>0</v>
      </c>
      <c r="HK157" s="141">
        <f t="shared" si="799"/>
        <v>0</v>
      </c>
      <c r="HL157" s="141">
        <f t="shared" si="799"/>
        <v>0</v>
      </c>
      <c r="HM157" s="142">
        <f t="shared" ref="HM157:IP157" si="800">IF(ISBLANK($A157),,FE157*($AH157-($AH157*$AJ157))/$AI157)</f>
        <v>0</v>
      </c>
      <c r="HN157" s="142">
        <f t="shared" si="800"/>
        <v>0</v>
      </c>
      <c r="HO157" s="142">
        <f t="shared" si="800"/>
        <v>0</v>
      </c>
      <c r="HP157" s="142">
        <f t="shared" si="800"/>
        <v>0</v>
      </c>
      <c r="HQ157" s="142">
        <f t="shared" si="800"/>
        <v>0</v>
      </c>
      <c r="HR157" s="142">
        <f t="shared" si="800"/>
        <v>0</v>
      </c>
      <c r="HS157" s="142">
        <f t="shared" si="800"/>
        <v>0</v>
      </c>
      <c r="HT157" s="142">
        <f t="shared" si="800"/>
        <v>0</v>
      </c>
      <c r="HU157" s="142">
        <f t="shared" si="800"/>
        <v>0</v>
      </c>
      <c r="HV157" s="142">
        <f t="shared" si="800"/>
        <v>0</v>
      </c>
      <c r="HW157" s="142">
        <f t="shared" si="800"/>
        <v>0</v>
      </c>
      <c r="HX157" s="142">
        <f t="shared" si="800"/>
        <v>0</v>
      </c>
      <c r="HY157" s="142">
        <f t="shared" si="800"/>
        <v>0</v>
      </c>
      <c r="HZ157" s="142">
        <f t="shared" si="800"/>
        <v>0</v>
      </c>
      <c r="IA157" s="142">
        <f t="shared" si="800"/>
        <v>0</v>
      </c>
      <c r="IB157" s="142">
        <f t="shared" si="800"/>
        <v>0</v>
      </c>
      <c r="IC157" s="142">
        <f t="shared" si="800"/>
        <v>0</v>
      </c>
      <c r="ID157" s="142">
        <f t="shared" si="800"/>
        <v>0</v>
      </c>
      <c r="IE157" s="142">
        <f t="shared" si="800"/>
        <v>0</v>
      </c>
      <c r="IF157" s="142">
        <f t="shared" si="800"/>
        <v>0</v>
      </c>
      <c r="IG157" s="142">
        <f t="shared" si="800"/>
        <v>0</v>
      </c>
      <c r="IH157" s="142">
        <f t="shared" si="800"/>
        <v>0</v>
      </c>
      <c r="II157" s="142">
        <f t="shared" si="800"/>
        <v>0</v>
      </c>
      <c r="IJ157" s="142">
        <f t="shared" si="800"/>
        <v>0</v>
      </c>
      <c r="IK157" s="142">
        <f t="shared" si="800"/>
        <v>0</v>
      </c>
      <c r="IL157" s="142">
        <f t="shared" si="800"/>
        <v>0</v>
      </c>
      <c r="IM157" s="142">
        <f t="shared" si="800"/>
        <v>0</v>
      </c>
      <c r="IN157" s="142">
        <f t="shared" si="800"/>
        <v>0</v>
      </c>
      <c r="IO157" s="142">
        <f t="shared" si="800"/>
        <v>0</v>
      </c>
      <c r="IP157" s="142">
        <f t="shared" si="800"/>
        <v>0</v>
      </c>
      <c r="IQ157" s="141">
        <f>IF(ISBLANK($A157),,IF($AN157="Não",0,(SUM($AO157:AO157)*$AH157)-SUM($HM157:HM157)-SUM($CW157:CW157)))</f>
        <v>0</v>
      </c>
      <c r="IR157" s="141">
        <f>IF(ISBLANK($A157),,IF($AN157="Não",0,(SUM($AO157:AP157)*$AH157)-SUM($HM157:HN157)-SUM($CW157:CX157)))</f>
        <v>0</v>
      </c>
      <c r="IS157" s="141">
        <f>IF(ISBLANK($A157),,IF($AN157="Não",0,(SUM($AO157:AQ157)*$AH157)-SUM($HM157:HO157)-SUM($CW157:CY157)))</f>
        <v>0</v>
      </c>
      <c r="IT157" s="141">
        <f>IF(ISBLANK($A157),,IF($AN157="Não",0,(SUM($AO157:AR157)*$AH157)-SUM($HM157:HP157)-SUM($CW157:CZ157)))</f>
        <v>0</v>
      </c>
      <c r="IU157" s="141">
        <f>IF(ISBLANK($A157),,IF($AN157="Não",0,(SUM($AO157:AS157)*$AH157)-SUM($HM157:HQ157)-SUM($CW157:DA157)))</f>
        <v>0</v>
      </c>
      <c r="IV157" s="141">
        <f>IF(ISBLANK($A157),,IF($AN157="Não",0,(SUM($AO157:AT157)*$AH157)-SUM($HM157:HR157)-SUM($CW157:DB157)))</f>
        <v>0</v>
      </c>
      <c r="IW157" s="141">
        <f>IF(ISBLANK($A157),,IF($AN157="Não",0,(SUM($AO157:AU157)*$AH157)-SUM($HM157:HS157)-SUM($CW157:DC157)))</f>
        <v>0</v>
      </c>
      <c r="IX157" s="141">
        <f>IF(ISBLANK($A157),,IF($AN157="Não",0,(SUM($AO157:AV157)*$AH157)-SUM($HM157:HT157)-SUM($CW157:DD157)))</f>
        <v>0</v>
      </c>
      <c r="IY157" s="141">
        <f>IF(ISBLANK($A157),,IF($AN157="Não",0,(SUM($AO157:AW157)*$AH157)-SUM($HM157:HU157)-SUM($CW157:DE157)))</f>
        <v>0</v>
      </c>
      <c r="IZ157" s="141">
        <f>IF(ISBLANK($A157),,IF($AN157="Não",0,(SUM($AO157:AX157)*$AH157)-SUM($HM157:HV157)-SUM($CW157:DF157)))</f>
        <v>0</v>
      </c>
      <c r="JA157" s="141">
        <f>IF(ISBLANK($A157),,IF($AN157="Não",0,(SUM($AO157:AY157)*$AH157)-SUM($HM157:HW157)-SUM($CW157:DG157)))</f>
        <v>0</v>
      </c>
      <c r="JB157" s="141">
        <f>IF(ISBLANK($A157),,IF($AN157="Não",0,(SUM($AO157:AZ157)*$AH157)-SUM($HM157:HX157)-SUM($CW157:DH157)))</f>
        <v>0</v>
      </c>
      <c r="JC157" s="141">
        <f>IF(ISBLANK($A157),,IF($AN157="Não",0,(SUM($AO157:BA157)*$AH157)-SUM($HM157:HY157)-SUM($CW157:DI157)))</f>
        <v>0</v>
      </c>
      <c r="JD157" s="141">
        <f>IF(ISBLANK($A157),,IF($AN157="Não",0,(SUM($AO157:BB157)*$AH157)-SUM($HM157:HZ157)-SUM($CW157:DJ157)))</f>
        <v>0</v>
      </c>
      <c r="JE157" s="141">
        <f>IF(ISBLANK($A157),,IF($AN157="Não",0,(SUM($AO157:BC157)*$AH157)-SUM($HM157:IA157)-SUM($CW157:DK157)))</f>
        <v>0</v>
      </c>
      <c r="JF157" s="141">
        <f>IF(ISBLANK($A157),,IF($AN157="Não",0,(SUM($AO157:BD157)*$AH157)-SUM($HM157:IB157)-SUM($CW157:DL157)))</f>
        <v>0</v>
      </c>
      <c r="JG157" s="141">
        <f>IF(ISBLANK($A157),,IF($AN157="Não",0,(SUM($AO157:BE157)*$AH157)-SUM($HM157:IC157)-SUM($CW157:DM157)))</f>
        <v>0</v>
      </c>
      <c r="JH157" s="141">
        <f>IF(ISBLANK($A157),,IF($AN157="Não",0,(SUM($AO157:BF157)*$AH157)-SUM($HM157:ID157)-SUM($CW157:DN157)))</f>
        <v>0</v>
      </c>
      <c r="JI157" s="141">
        <f>IF(ISBLANK($A157),,IF($AN157="Não",0,(SUM($AO157:BG157)*$AH157)-SUM($HM157:IE157)-SUM($CW157:DO157)))</f>
        <v>0</v>
      </c>
      <c r="JJ157" s="141">
        <f>IF(ISBLANK($A157),,IF($AN157="Não",0,(SUM($AO157:BH157)*$AH157)-SUM($HM157:IF157)-SUM($CW157:DP157)))</f>
        <v>0</v>
      </c>
      <c r="JK157" s="141">
        <f>IF(ISBLANK($A157),,IF($AN157="Não",0,(SUM($AO157:BI157)*$AH157)-SUM($HM157:IG157)-SUM($CW157:DQ157)))</f>
        <v>0</v>
      </c>
      <c r="JL157" s="141">
        <f>IF(ISBLANK($A157),,IF($AN157="Não",0,(SUM($AO157:BJ157)*$AH157)-SUM($HM157:IH157)-SUM($CW157:DR157)))</f>
        <v>0</v>
      </c>
      <c r="JM157" s="141">
        <f>IF(ISBLANK($A157),,IF($AN157="Não",0,(SUM($AO157:BK157)*$AH157)-SUM($HM157:II157)-SUM($CW157:DS157)))</f>
        <v>0</v>
      </c>
      <c r="JN157" s="141">
        <f>IF(ISBLANK($A157),,IF($AN157="Não",0,(SUM($AO157:BL157)*$AH157)-SUM($HM157:IJ157)-SUM($CW157:DT157)))</f>
        <v>0</v>
      </c>
      <c r="JO157" s="141">
        <f>IF(ISBLANK($A157),,IF($AN157="Não",0,(SUM($AO157:BM157)*$AH157)-SUM($HM157:IK157)-SUM($CW157:DU157)))</f>
        <v>0</v>
      </c>
      <c r="JP157" s="141">
        <f>IF(ISBLANK($A157),,IF($AN157="Não",0,(SUM($AO157:BN157)*$AH157)-SUM($HM157:IL157)-SUM($CW157:DV157)))</f>
        <v>0</v>
      </c>
      <c r="JQ157" s="141">
        <f>IF(ISBLANK($A157),,IF($AN157="Não",0,(SUM($AO157:BO157)*$AH157)-SUM($HM157:IM157)-SUM($CW157:DW157)))</f>
        <v>0</v>
      </c>
      <c r="JR157" s="141">
        <f>IF(ISBLANK($A157),,IF($AN157="Não",0,(SUM($AO157:BP157)*$AH157)-SUM($HM157:IN157)-SUM($CW157:DX157)))</f>
        <v>0</v>
      </c>
      <c r="JS157" s="141">
        <f>IF(ISBLANK($A157),,IF($AN157="Não",0,(SUM($AO157:BQ157)*$AH157)-SUM($HM157:IO157)-SUM($CW157:DY157)))</f>
        <v>0</v>
      </c>
      <c r="JT157" s="141">
        <f>IF(ISBLANK($A157),,IF($AN157="Não",0,(SUM($AO157:BR157)*$AH157)-SUM($HM157:IP157)-SUM($CW157:DZ157)))</f>
        <v>0</v>
      </c>
    </row>
    <row r="158" spans="1:280" ht="15.75" customHeight="1">
      <c r="A158" s="129"/>
      <c r="B158" s="129"/>
      <c r="C158" s="138"/>
      <c r="D158" s="139"/>
      <c r="E158" s="139"/>
      <c r="F158" s="139"/>
      <c r="G158" s="139"/>
      <c r="H158" s="139"/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607">
        <f t="shared" si="710"/>
        <v>0</v>
      </c>
      <c r="AI158" s="608">
        <f t="shared" si="711"/>
        <v>0</v>
      </c>
      <c r="AJ158" s="609">
        <f t="shared" si="712"/>
        <v>0</v>
      </c>
      <c r="AK158" s="610" t="str">
        <f t="shared" si="713"/>
        <v/>
      </c>
      <c r="AL158" s="609">
        <f t="shared" si="714"/>
        <v>0</v>
      </c>
      <c r="AM158" s="611" t="str">
        <f t="shared" si="715"/>
        <v/>
      </c>
      <c r="AN158" s="611" t="str">
        <f t="shared" si="716"/>
        <v/>
      </c>
      <c r="AO158" s="140">
        <f t="array" ref="AO158">IF(ISBLANK($A158),0,IF(OR(AO$5-$AI158&lt;=0,$AM158="Não"),D158,D158+INDEX($AO$6:$BR$176,ROW()-5,COLUMN()-40-$AI158)))*IF($B158="Operacional",IFERROR(VLOOKUP($C158,SN_UGC,28,0),0),1)</f>
        <v>0</v>
      </c>
      <c r="AP158" s="140">
        <f t="array" ref="AP158">IF(ISBLANK($A158),0,IF(OR(AP$5-$AI158&lt;=0,$AM158="Não"),E158,E158+INDEX($AO$6:$BR$176,ROW()-5,COLUMN()-40-$AI158)))*IF($B158="Operacional",IFERROR(VLOOKUP($C158,SN_UGC,28,0),0),1)</f>
        <v>0</v>
      </c>
      <c r="AQ158" s="140">
        <f t="array" ref="AQ158">IF(ISBLANK($A158),0,IF(OR(AQ$5-$AI158&lt;=0,$AM158="Não"),F158,F158+INDEX($AO$6:$BR$176,ROW()-5,COLUMN()-40-$AI158)))*IF($B158="Operacional",IFERROR(VLOOKUP($C158,SN_UGC,28,0),0),1)</f>
        <v>0</v>
      </c>
      <c r="AR158" s="140">
        <f t="array" ref="AR158">IF(ISBLANK($A158),0,IF(OR(AR$5-$AI158&lt;=0,$AM158="Não"),G158,G158+INDEX($AO$6:$BR$176,ROW()-5,COLUMN()-40-$AI158)))*IF($B158="Operacional",IFERROR(VLOOKUP($C158,SN_UGC,28,0),0),1)</f>
        <v>0</v>
      </c>
      <c r="AS158" s="140">
        <f t="array" ref="AS158">IF(ISBLANK($A158),0,IF(OR(AS$5-$AI158&lt;=0,$AM158="Não"),H158,H158+INDEX($AO$6:$BR$176,ROW()-5,COLUMN()-40-$AI158)))*IF($B158="Operacional",IFERROR(VLOOKUP($C158,SN_UGC,28,0),0),1)</f>
        <v>0</v>
      </c>
      <c r="AT158" s="140">
        <f t="array" ref="AT158">IF(ISBLANK($A158),0,IF(OR(AT$5-$AI158&lt;=0,$AM158="Não"),I158,I158+INDEX($AO$6:$BR$176,ROW()-5,COLUMN()-40-$AI158)))*IF($B158="Operacional",IFERROR(VLOOKUP($C158,SN_UGC,28,0),0),1)</f>
        <v>0</v>
      </c>
      <c r="AU158" s="140">
        <f t="array" ref="AU158">IF(ISBLANK($A158),0,IF(OR(AU$5-$AI158&lt;=0,$AM158="Não"),J158,J158+INDEX($AO$6:$BR$176,ROW()-5,COLUMN()-40-$AI158)))*IF($B158="Operacional",IFERROR(VLOOKUP($C158,SN_UGC,28,0),0),1)</f>
        <v>0</v>
      </c>
      <c r="AV158" s="140">
        <f t="array" ref="AV158">IF(ISBLANK($A158),0,IF(OR(AV$5-$AI158&lt;=0,$AM158="Não"),K158,K158+INDEX($AO$6:$BR$176,ROW()-5,COLUMN()-40-$AI158)))*IF($B158="Operacional",IFERROR(VLOOKUP($C158,SN_UGC,28,0),0),1)</f>
        <v>0</v>
      </c>
      <c r="AW158" s="140">
        <f t="array" ref="AW158">IF(ISBLANK($A158),0,IF(OR(AW$5-$AI158&lt;=0,$AM158="Não"),L158,L158+INDEX($AO$6:$BR$176,ROW()-5,COLUMN()-40-$AI158)))*IF($B158="Operacional",IFERROR(VLOOKUP($C158,SN_UGC,28,0),0),1)</f>
        <v>0</v>
      </c>
      <c r="AX158" s="140">
        <f t="array" ref="AX158">IF(ISBLANK($A158),0,IF(OR(AX$5-$AI158&lt;=0,$AM158="Não"),M158,M158+INDEX($AO$6:$BR$176,ROW()-5,COLUMN()-40-$AI158)))*IF($B158="Operacional",IFERROR(VLOOKUP($C158,SN_UGC,28,0),0),1)</f>
        <v>0</v>
      </c>
      <c r="AY158" s="140">
        <f t="array" ref="AY158">IF(ISBLANK($A158),0,IF(OR(AY$5-$AI158&lt;=0,$AM158="Não"),N158,N158+INDEX($AO$6:$BR$176,ROW()-5,COLUMN()-40-$AI158)))*IF($B158="Operacional",IFERROR(VLOOKUP($C158,SN_UGC,28,0),0),1)</f>
        <v>0</v>
      </c>
      <c r="AZ158" s="140">
        <f t="array" ref="AZ158">IF(ISBLANK($A158),0,IF(OR(AZ$5-$AI158&lt;=0,$AM158="Não"),O158,O158+INDEX($AO$6:$BR$176,ROW()-5,COLUMN()-40-$AI158)))*IF($B158="Operacional",IFERROR(VLOOKUP($C158,SN_UGC,28,0),0),1)</f>
        <v>0</v>
      </c>
      <c r="BA158" s="140">
        <f t="array" ref="BA158">IF(ISBLANK($A158),0,IF(OR(BA$5-$AI158&lt;=0,$AM158="Não"),P158,P158+INDEX($AO$6:$BR$176,ROW()-5,COLUMN()-40-$AI158)))*IF($B158="Operacional",IFERROR(VLOOKUP($C158,SN_UGC,28,0),0),1)</f>
        <v>0</v>
      </c>
      <c r="BB158" s="140">
        <f t="array" ref="BB158">IF(ISBLANK($A158),0,IF(OR(BB$5-$AI158&lt;=0,$AM158="Não"),Q158,Q158+INDEX($AO$6:$BR$176,ROW()-5,COLUMN()-40-$AI158)))*IF($B158="Operacional",IFERROR(VLOOKUP($C158,SN_UGC,28,0),0),1)</f>
        <v>0</v>
      </c>
      <c r="BC158" s="140">
        <f t="array" ref="BC158">IF(ISBLANK($A158),0,IF(OR(BC$5-$AI158&lt;=0,$AM158="Não"),R158,R158+INDEX($AO$6:$BR$176,ROW()-5,COLUMN()-40-$AI158)))*IF($B158="Operacional",IFERROR(VLOOKUP($C158,SN_UGC,28,0),0),1)</f>
        <v>0</v>
      </c>
      <c r="BD158" s="140">
        <f t="array" ref="BD158">IF(ISBLANK($A158),0,IF(OR(BD$5-$AI158&lt;=0,$AM158="Não"),S158,S158+INDEX($AO$6:$BR$176,ROW()-5,COLUMN()-40-$AI158)))*IF($B158="Operacional",IFERROR(VLOOKUP($C158,SN_UGC,28,0),0),1)</f>
        <v>0</v>
      </c>
      <c r="BE158" s="140">
        <f t="array" ref="BE158">IF(ISBLANK($A158),0,IF(OR(BE$5-$AI158&lt;=0,$AM158="Não"),T158,T158+INDEX($AO$6:$BR$176,ROW()-5,COLUMN()-40-$AI158)))*IF($B158="Operacional",IFERROR(VLOOKUP($C158,SN_UGC,28,0),0),1)</f>
        <v>0</v>
      </c>
      <c r="BF158" s="140">
        <f t="array" ref="BF158">IF(ISBLANK($A158),0,IF(OR(BF$5-$AI158&lt;=0,$AM158="Não"),U158,U158+INDEX($AO$6:$BR$176,ROW()-5,COLUMN()-40-$AI158)))*IF($B158="Operacional",IFERROR(VLOOKUP($C158,SN_UGC,28,0),0),1)</f>
        <v>0</v>
      </c>
      <c r="BG158" s="140">
        <f t="array" ref="BG158">IF(ISBLANK($A158),0,IF(OR(BG$5-$AI158&lt;=0,$AM158="Não"),V158,V158+INDEX($AO$6:$BR$176,ROW()-5,COLUMN()-40-$AI158)))*IF($B158="Operacional",IFERROR(VLOOKUP($C158,SN_UGC,28,0),0),1)</f>
        <v>0</v>
      </c>
      <c r="BH158" s="140">
        <f t="array" ref="BH158">IF(ISBLANK($A158),0,IF(OR(BH$5-$AI158&lt;=0,$AM158="Não"),W158,W158+INDEX($AO$6:$BR$176,ROW()-5,COLUMN()-40-$AI158)))*IF($B158="Operacional",IFERROR(VLOOKUP($C158,SN_UGC,28,0),0),1)</f>
        <v>0</v>
      </c>
      <c r="BI158" s="140">
        <f t="array" ref="BI158">IF(ISBLANK($A158),0,IF(OR(BI$5-$AI158&lt;=0,$AM158="Não"),X158,X158+INDEX($AO$6:$BR$176,ROW()-5,COLUMN()-40-$AI158)))*IF($B158="Operacional",IFERROR(VLOOKUP($C158,SN_UGC,28,0),0),1)</f>
        <v>0</v>
      </c>
      <c r="BJ158" s="140">
        <f t="array" ref="BJ158">IF(ISBLANK($A158),0,IF(OR(BJ$5-$AI158&lt;=0,$AM158="Não"),Y158,Y158+INDEX($AO$6:$BR$176,ROW()-5,COLUMN()-40-$AI158)))*IF($B158="Operacional",IFERROR(VLOOKUP($C158,SN_UGC,28,0),0),1)</f>
        <v>0</v>
      </c>
      <c r="BK158" s="140">
        <f t="array" ref="BK158">IF(ISBLANK($A158),0,IF(OR(BK$5-$AI158&lt;=0,$AM158="Não"),Z158,Z158+INDEX($AO$6:$BR$176,ROW()-5,COLUMN()-40-$AI158)))*IF($B158="Operacional",IFERROR(VLOOKUP($C158,SN_UGC,28,0),0),1)</f>
        <v>0</v>
      </c>
      <c r="BL158" s="140">
        <f t="array" ref="BL158">IF(ISBLANK($A158),0,IF(OR(BL$5-$AI158&lt;=0,$AM158="Não"),AA158,AA158+INDEX($AO$6:$BR$176,ROW()-5,COLUMN()-40-$AI158)))*IF($B158="Operacional",IFERROR(VLOOKUP($C158,SN_UGC,28,0),0),1)</f>
        <v>0</v>
      </c>
      <c r="BM158" s="140">
        <f t="array" ref="BM158">IF(ISBLANK($A158),0,IF(OR(BM$5-$AI158&lt;=0,$AM158="Não"),AB158,AB158+INDEX($AO$6:$BR$176,ROW()-5,COLUMN()-40-$AI158)))*IF($B158="Operacional",IFERROR(VLOOKUP($C158,SN_UGC,28,0),0),1)</f>
        <v>0</v>
      </c>
      <c r="BN158" s="140">
        <f t="array" ref="BN158">IF(ISBLANK($A158),0,IF(OR(BN$5-$AI158&lt;=0,$AM158="Não"),AC158,AC158+INDEX($AO$6:$BR$176,ROW()-5,COLUMN()-40-$AI158)))*IF($B158="Operacional",IFERROR(VLOOKUP($C158,SN_UGC,28,0),0),1)</f>
        <v>0</v>
      </c>
      <c r="BO158" s="140">
        <f t="array" ref="BO158">IF(ISBLANK($A158),0,IF(OR(BO$5-$AI158&lt;=0,$AM158="Não"),AD158,AD158+INDEX($AO$6:$BR$176,ROW()-5,COLUMN()-40-$AI158)))*IF($B158="Operacional",IFERROR(VLOOKUP($C158,SN_UGC,28,0),0),1)</f>
        <v>0</v>
      </c>
      <c r="BP158" s="140">
        <f t="array" ref="BP158">IF(ISBLANK($A158),0,IF(OR(BP$5-$AI158&lt;=0,$AM158="Não"),AE158,AE158+INDEX($AO$6:$BR$176,ROW()-5,COLUMN()-40-$AI158)))*IF($B158="Operacional",IFERROR(VLOOKUP($C158,SN_UGC,28,0),0),1)</f>
        <v>0</v>
      </c>
      <c r="BQ158" s="140">
        <f t="array" ref="BQ158">IF(ISBLANK($A158),0,IF(OR(BQ$5-$AI158&lt;=0,$AM158="Não"),AF158,AF158+INDEX($AO$6:$BR$176,ROW()-5,COLUMN()-40-$AI158)))*IF($B158="Operacional",IFERROR(VLOOKUP($C158,SN_UGC,28,0),0),1)</f>
        <v>0</v>
      </c>
      <c r="BR158" s="140">
        <f t="array" ref="BR158">IF(ISBLANK($A158),0,IF(OR(BR$5-$AI158&lt;=0,$AM158="Não"),AG158,AG158+INDEX($AO$6:$BR$176,ROW()-5,COLUMN()-40-$AI158)))*IF($B158="Operacional",IFERROR(VLOOKUP($C158,SN_UGC,28,0),0),1)</f>
        <v>0</v>
      </c>
      <c r="BS158" s="141">
        <f t="shared" ref="BS158:CV158" si="801">IF(ISBLANK($A158),0,$AH158*AO158)</f>
        <v>0</v>
      </c>
      <c r="BT158" s="141">
        <f t="shared" si="801"/>
        <v>0</v>
      </c>
      <c r="BU158" s="141">
        <f t="shared" si="801"/>
        <v>0</v>
      </c>
      <c r="BV158" s="141">
        <f t="shared" si="801"/>
        <v>0</v>
      </c>
      <c r="BW158" s="141">
        <f t="shared" si="801"/>
        <v>0</v>
      </c>
      <c r="BX158" s="141">
        <f t="shared" si="801"/>
        <v>0</v>
      </c>
      <c r="BY158" s="141">
        <f t="shared" si="801"/>
        <v>0</v>
      </c>
      <c r="BZ158" s="141">
        <f t="shared" si="801"/>
        <v>0</v>
      </c>
      <c r="CA158" s="141">
        <f t="shared" si="801"/>
        <v>0</v>
      </c>
      <c r="CB158" s="141">
        <f t="shared" si="801"/>
        <v>0</v>
      </c>
      <c r="CC158" s="141">
        <f t="shared" si="801"/>
        <v>0</v>
      </c>
      <c r="CD158" s="141">
        <f t="shared" si="801"/>
        <v>0</v>
      </c>
      <c r="CE158" s="141">
        <f t="shared" si="801"/>
        <v>0</v>
      </c>
      <c r="CF158" s="141">
        <f t="shared" si="801"/>
        <v>0</v>
      </c>
      <c r="CG158" s="141">
        <f t="shared" si="801"/>
        <v>0</v>
      </c>
      <c r="CH158" s="141">
        <f t="shared" si="801"/>
        <v>0</v>
      </c>
      <c r="CI158" s="141">
        <f t="shared" si="801"/>
        <v>0</v>
      </c>
      <c r="CJ158" s="141">
        <f t="shared" si="801"/>
        <v>0</v>
      </c>
      <c r="CK158" s="141">
        <f t="shared" si="801"/>
        <v>0</v>
      </c>
      <c r="CL158" s="141">
        <f t="shared" si="801"/>
        <v>0</v>
      </c>
      <c r="CM158" s="141">
        <f t="shared" si="801"/>
        <v>0</v>
      </c>
      <c r="CN158" s="141">
        <f t="shared" si="801"/>
        <v>0</v>
      </c>
      <c r="CO158" s="141">
        <f t="shared" si="801"/>
        <v>0</v>
      </c>
      <c r="CP158" s="141">
        <f t="shared" si="801"/>
        <v>0</v>
      </c>
      <c r="CQ158" s="141">
        <f t="shared" si="801"/>
        <v>0</v>
      </c>
      <c r="CR158" s="141">
        <f t="shared" si="801"/>
        <v>0</v>
      </c>
      <c r="CS158" s="141">
        <f t="shared" si="801"/>
        <v>0</v>
      </c>
      <c r="CT158" s="141">
        <f t="shared" si="801"/>
        <v>0</v>
      </c>
      <c r="CU158" s="141">
        <f t="shared" si="801"/>
        <v>0</v>
      </c>
      <c r="CV158" s="141">
        <f t="shared" si="801"/>
        <v>0</v>
      </c>
      <c r="CW158" s="142">
        <f t="shared" ref="CW158:DZ158" si="802">EA158*$AH158*$AJ158</f>
        <v>0</v>
      </c>
      <c r="CX158" s="142">
        <f t="shared" si="802"/>
        <v>0</v>
      </c>
      <c r="CY158" s="142">
        <f t="shared" si="802"/>
        <v>0</v>
      </c>
      <c r="CZ158" s="142">
        <f t="shared" si="802"/>
        <v>0</v>
      </c>
      <c r="DA158" s="142">
        <f t="shared" si="802"/>
        <v>0</v>
      </c>
      <c r="DB158" s="142">
        <f t="shared" si="802"/>
        <v>0</v>
      </c>
      <c r="DC158" s="142">
        <f t="shared" si="802"/>
        <v>0</v>
      </c>
      <c r="DD158" s="142">
        <f t="shared" si="802"/>
        <v>0</v>
      </c>
      <c r="DE158" s="142">
        <f t="shared" si="802"/>
        <v>0</v>
      </c>
      <c r="DF158" s="142">
        <f t="shared" si="802"/>
        <v>0</v>
      </c>
      <c r="DG158" s="142">
        <f t="shared" si="802"/>
        <v>0</v>
      </c>
      <c r="DH158" s="142">
        <f t="shared" si="802"/>
        <v>0</v>
      </c>
      <c r="DI158" s="142">
        <f t="shared" si="802"/>
        <v>0</v>
      </c>
      <c r="DJ158" s="142">
        <f t="shared" si="802"/>
        <v>0</v>
      </c>
      <c r="DK158" s="142">
        <f t="shared" si="802"/>
        <v>0</v>
      </c>
      <c r="DL158" s="142">
        <f t="shared" si="802"/>
        <v>0</v>
      </c>
      <c r="DM158" s="142">
        <f t="shared" si="802"/>
        <v>0</v>
      </c>
      <c r="DN158" s="142">
        <f t="shared" si="802"/>
        <v>0</v>
      </c>
      <c r="DO158" s="142">
        <f t="shared" si="802"/>
        <v>0</v>
      </c>
      <c r="DP158" s="142">
        <f t="shared" si="802"/>
        <v>0</v>
      </c>
      <c r="DQ158" s="142">
        <f t="shared" si="802"/>
        <v>0</v>
      </c>
      <c r="DR158" s="142">
        <f t="shared" si="802"/>
        <v>0</v>
      </c>
      <c r="DS158" s="142">
        <f t="shared" si="802"/>
        <v>0</v>
      </c>
      <c r="DT158" s="142">
        <f t="shared" si="802"/>
        <v>0</v>
      </c>
      <c r="DU158" s="142">
        <f t="shared" si="802"/>
        <v>0</v>
      </c>
      <c r="DV158" s="142">
        <f t="shared" si="802"/>
        <v>0</v>
      </c>
      <c r="DW158" s="142">
        <f t="shared" si="802"/>
        <v>0</v>
      </c>
      <c r="DX158" s="142">
        <f t="shared" si="802"/>
        <v>0</v>
      </c>
      <c r="DY158" s="142">
        <f t="shared" si="802"/>
        <v>0</v>
      </c>
      <c r="DZ158" s="142">
        <f t="shared" si="802"/>
        <v>0</v>
      </c>
      <c r="EA158" s="143">
        <f t="shared" si="670"/>
        <v>0</v>
      </c>
      <c r="EB158" s="143">
        <f t="shared" si="671"/>
        <v>0</v>
      </c>
      <c r="EC158" s="143">
        <f t="shared" si="672"/>
        <v>0</v>
      </c>
      <c r="ED158" s="143">
        <f t="shared" si="673"/>
        <v>0</v>
      </c>
      <c r="EE158" s="143">
        <f t="shared" si="674"/>
        <v>0</v>
      </c>
      <c r="EF158" s="143">
        <f t="shared" si="675"/>
        <v>0</v>
      </c>
      <c r="EG158" s="143">
        <f t="shared" si="676"/>
        <v>0</v>
      </c>
      <c r="EH158" s="143">
        <f t="shared" si="677"/>
        <v>0</v>
      </c>
      <c r="EI158" s="143">
        <f t="shared" si="678"/>
        <v>0</v>
      </c>
      <c r="EJ158" s="143">
        <f t="shared" si="679"/>
        <v>0</v>
      </c>
      <c r="EK158" s="143">
        <f t="shared" si="680"/>
        <v>0</v>
      </c>
      <c r="EL158" s="143">
        <f t="shared" si="681"/>
        <v>0</v>
      </c>
      <c r="EM158" s="143">
        <f t="shared" si="682"/>
        <v>0</v>
      </c>
      <c r="EN158" s="143">
        <f t="shared" si="683"/>
        <v>0</v>
      </c>
      <c r="EO158" s="143">
        <f t="shared" si="684"/>
        <v>0</v>
      </c>
      <c r="EP158" s="143">
        <f t="shared" si="685"/>
        <v>0</v>
      </c>
      <c r="EQ158" s="143">
        <f t="shared" si="686"/>
        <v>0</v>
      </c>
      <c r="ER158" s="143">
        <f t="shared" si="687"/>
        <v>0</v>
      </c>
      <c r="ES158" s="143">
        <f t="shared" si="688"/>
        <v>0</v>
      </c>
      <c r="ET158" s="143">
        <f t="shared" si="689"/>
        <v>0</v>
      </c>
      <c r="EU158" s="143">
        <f t="shared" si="690"/>
        <v>0</v>
      </c>
      <c r="EV158" s="143">
        <f t="shared" si="691"/>
        <v>0</v>
      </c>
      <c r="EW158" s="143">
        <f t="shared" si="692"/>
        <v>0</v>
      </c>
      <c r="EX158" s="143">
        <f t="shared" si="693"/>
        <v>0</v>
      </c>
      <c r="EY158" s="143">
        <f t="shared" si="694"/>
        <v>0</v>
      </c>
      <c r="EZ158" s="143">
        <f t="shared" si="695"/>
        <v>0</v>
      </c>
      <c r="FA158" s="143">
        <f t="shared" si="696"/>
        <v>0</v>
      </c>
      <c r="FB158" s="143">
        <f t="shared" si="697"/>
        <v>0</v>
      </c>
      <c r="FC158" s="143">
        <f t="shared" si="698"/>
        <v>0</v>
      </c>
      <c r="FD158" s="143">
        <f t="shared" si="699"/>
        <v>0</v>
      </c>
      <c r="FE158" s="140">
        <f>SUM($D158:D158)*IF($B158="Operacional",IFERROR(VLOOKUP($C158,SN_UGC,28,0),0),1)</f>
        <v>0</v>
      </c>
      <c r="FF158" s="140">
        <f>SUM($D158:E158)*IF($B158="Operacional",IFERROR(VLOOKUP($C158,SN_UGC,28,0),0),1)</f>
        <v>0</v>
      </c>
      <c r="FG158" s="140">
        <f>SUM($D158:F158)*IF($B158="Operacional",IFERROR(VLOOKUP($C158,SN_UGC,28,0),0),1)</f>
        <v>0</v>
      </c>
      <c r="FH158" s="140">
        <f>SUM($D158:G158)*IF($B158="Operacional",IFERROR(VLOOKUP($C158,SN_UGC,28,0),0),1)</f>
        <v>0</v>
      </c>
      <c r="FI158" s="140">
        <f>SUM($D158:H158)*IF($B158="Operacional",IFERROR(VLOOKUP($C158,SN_UGC,28,0),0),1)</f>
        <v>0</v>
      </c>
      <c r="FJ158" s="140">
        <f>SUM($D158:I158)*IF($B158="Operacional",IFERROR(VLOOKUP($C158,SN_UGC,28,0),0),1)</f>
        <v>0</v>
      </c>
      <c r="FK158" s="140">
        <f>SUM($D158:J158)*IF($B158="Operacional",IFERROR(VLOOKUP($C158,SN_UGC,28,0),0),1)</f>
        <v>0</v>
      </c>
      <c r="FL158" s="140">
        <f>SUM($D158:K158)*IF($B158="Operacional",IFERROR(VLOOKUP($C158,SN_UGC,28,0),0),1)</f>
        <v>0</v>
      </c>
      <c r="FM158" s="140">
        <f>SUM($D158:L158)*IF($B158="Operacional",IFERROR(VLOOKUP($C158,SN_UGC,28,0),0),1)</f>
        <v>0</v>
      </c>
      <c r="FN158" s="140">
        <f>SUM($D158:M158)*IF($B158="Operacional",IFERROR(VLOOKUP($C158,SN_UGC,28,0),0),1)</f>
        <v>0</v>
      </c>
      <c r="FO158" s="140">
        <f>SUM($D158:N158)*IF($B158="Operacional",IFERROR(VLOOKUP($C158,SN_UGC,28,0),0),1)</f>
        <v>0</v>
      </c>
      <c r="FP158" s="140">
        <f>SUM($D158:O158)*IF($B158="Operacional",IFERROR(VLOOKUP($C158,SN_UGC,28,0),0),1)</f>
        <v>0</v>
      </c>
      <c r="FQ158" s="140">
        <f>SUM($D158:P158)*IF($B158="Operacional",IFERROR(VLOOKUP($C158,SN_UGC,28,0),0),1)</f>
        <v>0</v>
      </c>
      <c r="FR158" s="140">
        <f>SUM($D158:Q158)*IF($B158="Operacional",IFERROR(VLOOKUP($C158,SN_UGC,28,0),0),1)</f>
        <v>0</v>
      </c>
      <c r="FS158" s="140">
        <f>SUM($D158:R158)*IF($B158="Operacional",IFERROR(VLOOKUP($C158,SN_UGC,28,0),0),1)</f>
        <v>0</v>
      </c>
      <c r="FT158" s="140">
        <f>SUM($D158:S158)*IF($B158="Operacional",IFERROR(VLOOKUP($C158,SN_UGC,28,0),0),1)</f>
        <v>0</v>
      </c>
      <c r="FU158" s="140">
        <f>SUM($D158:T158)*IF($B158="Operacional",IFERROR(VLOOKUP($C158,SN_UGC,28,0),0),1)</f>
        <v>0</v>
      </c>
      <c r="FV158" s="140">
        <f>SUM($D158:U158)*IF($B158="Operacional",IFERROR(VLOOKUP($C158,SN_UGC,28,0),0),1)</f>
        <v>0</v>
      </c>
      <c r="FW158" s="140">
        <f>SUM($D158:V158)*IF($B158="Operacional",IFERROR(VLOOKUP($C158,SN_UGC,28,0),0),1)</f>
        <v>0</v>
      </c>
      <c r="FX158" s="140">
        <f>SUM($D158:W158)*IF($B158="Operacional",IFERROR(VLOOKUP($C158,SN_UGC,28,0),0),1)</f>
        <v>0</v>
      </c>
      <c r="FY158" s="140">
        <f>SUM($D158:X158)*IF($B158="Operacional",IFERROR(VLOOKUP($C158,SN_UGC,28,0),0),1)</f>
        <v>0</v>
      </c>
      <c r="FZ158" s="140">
        <f>SUM($D158:Y158)*IF($B158="Operacional",IFERROR(VLOOKUP($C158,SN_UGC,28,0),0),1)</f>
        <v>0</v>
      </c>
      <c r="GA158" s="140">
        <f>SUM($D158:Z158)*IF($B158="Operacional",IFERROR(VLOOKUP($C158,SN_UGC,28,0),0),1)</f>
        <v>0</v>
      </c>
      <c r="GB158" s="140">
        <f>SUM($D158:AA158)*IF($B158="Operacional",IFERROR(VLOOKUP($C158,SN_UGC,28,0),0),1)</f>
        <v>0</v>
      </c>
      <c r="GC158" s="140">
        <f>SUM($D158:AB158)*IF($B158="Operacional",IFERROR(VLOOKUP($C158,SN_UGC,28,0),0),1)</f>
        <v>0</v>
      </c>
      <c r="GD158" s="140">
        <f>SUM($D158:AC158)*IF($B158="Operacional",IFERROR(VLOOKUP($C158,SN_UGC,28,0),0),1)</f>
        <v>0</v>
      </c>
      <c r="GE158" s="140">
        <f>SUM($D158:AD158)*IF($B158="Operacional",IFERROR(VLOOKUP($C158,SN_UGC,28,0),0),1)</f>
        <v>0</v>
      </c>
      <c r="GF158" s="140">
        <f>SUM($D158:AE158)*IF($B158="Operacional",IFERROR(VLOOKUP($C158,SN_UGC,28,0),0),1)</f>
        <v>0</v>
      </c>
      <c r="GG158" s="140">
        <f>SUM($D158:AF158)*IF($B158="Operacional",IFERROR(VLOOKUP($C158,SN_UGC,28,0),0),1)</f>
        <v>0</v>
      </c>
      <c r="GH158" s="140">
        <f>SUM($D158:AG158)*IF($B158="Operacional",IFERROR(VLOOKUP($C158,SN_UGC,28,0),0),1)</f>
        <v>0</v>
      </c>
      <c r="GI158" s="141">
        <f t="shared" ref="GI158:HL158" si="803">FE158*$AH158*$AL158</f>
        <v>0</v>
      </c>
      <c r="GJ158" s="141">
        <f t="shared" si="803"/>
        <v>0</v>
      </c>
      <c r="GK158" s="141">
        <f t="shared" si="803"/>
        <v>0</v>
      </c>
      <c r="GL158" s="141">
        <f t="shared" si="803"/>
        <v>0</v>
      </c>
      <c r="GM158" s="141">
        <f t="shared" si="803"/>
        <v>0</v>
      </c>
      <c r="GN158" s="141">
        <f t="shared" si="803"/>
        <v>0</v>
      </c>
      <c r="GO158" s="141">
        <f t="shared" si="803"/>
        <v>0</v>
      </c>
      <c r="GP158" s="141">
        <f t="shared" si="803"/>
        <v>0</v>
      </c>
      <c r="GQ158" s="141">
        <f t="shared" si="803"/>
        <v>0</v>
      </c>
      <c r="GR158" s="141">
        <f t="shared" si="803"/>
        <v>0</v>
      </c>
      <c r="GS158" s="141">
        <f t="shared" si="803"/>
        <v>0</v>
      </c>
      <c r="GT158" s="141">
        <f t="shared" si="803"/>
        <v>0</v>
      </c>
      <c r="GU158" s="141">
        <f t="shared" si="803"/>
        <v>0</v>
      </c>
      <c r="GV158" s="141">
        <f t="shared" si="803"/>
        <v>0</v>
      </c>
      <c r="GW158" s="141">
        <f t="shared" si="803"/>
        <v>0</v>
      </c>
      <c r="GX158" s="141">
        <f t="shared" si="803"/>
        <v>0</v>
      </c>
      <c r="GY158" s="141">
        <f t="shared" si="803"/>
        <v>0</v>
      </c>
      <c r="GZ158" s="141">
        <f t="shared" si="803"/>
        <v>0</v>
      </c>
      <c r="HA158" s="141">
        <f t="shared" si="803"/>
        <v>0</v>
      </c>
      <c r="HB158" s="141">
        <f t="shared" si="803"/>
        <v>0</v>
      </c>
      <c r="HC158" s="141">
        <f t="shared" si="803"/>
        <v>0</v>
      </c>
      <c r="HD158" s="141">
        <f t="shared" si="803"/>
        <v>0</v>
      </c>
      <c r="HE158" s="141">
        <f t="shared" si="803"/>
        <v>0</v>
      </c>
      <c r="HF158" s="141">
        <f t="shared" si="803"/>
        <v>0</v>
      </c>
      <c r="HG158" s="141">
        <f t="shared" si="803"/>
        <v>0</v>
      </c>
      <c r="HH158" s="141">
        <f t="shared" si="803"/>
        <v>0</v>
      </c>
      <c r="HI158" s="141">
        <f t="shared" si="803"/>
        <v>0</v>
      </c>
      <c r="HJ158" s="141">
        <f t="shared" si="803"/>
        <v>0</v>
      </c>
      <c r="HK158" s="141">
        <f t="shared" si="803"/>
        <v>0</v>
      </c>
      <c r="HL158" s="141">
        <f t="shared" si="803"/>
        <v>0</v>
      </c>
      <c r="HM158" s="142">
        <f t="shared" ref="HM158:IP158" si="804">IF(ISBLANK($A158),,FE158*($AH158-($AH158*$AJ158))/$AI158)</f>
        <v>0</v>
      </c>
      <c r="HN158" s="142">
        <f t="shared" si="804"/>
        <v>0</v>
      </c>
      <c r="HO158" s="142">
        <f t="shared" si="804"/>
        <v>0</v>
      </c>
      <c r="HP158" s="142">
        <f t="shared" si="804"/>
        <v>0</v>
      </c>
      <c r="HQ158" s="142">
        <f t="shared" si="804"/>
        <v>0</v>
      </c>
      <c r="HR158" s="142">
        <f t="shared" si="804"/>
        <v>0</v>
      </c>
      <c r="HS158" s="142">
        <f t="shared" si="804"/>
        <v>0</v>
      </c>
      <c r="HT158" s="142">
        <f t="shared" si="804"/>
        <v>0</v>
      </c>
      <c r="HU158" s="142">
        <f t="shared" si="804"/>
        <v>0</v>
      </c>
      <c r="HV158" s="142">
        <f t="shared" si="804"/>
        <v>0</v>
      </c>
      <c r="HW158" s="142">
        <f t="shared" si="804"/>
        <v>0</v>
      </c>
      <c r="HX158" s="142">
        <f t="shared" si="804"/>
        <v>0</v>
      </c>
      <c r="HY158" s="142">
        <f t="shared" si="804"/>
        <v>0</v>
      </c>
      <c r="HZ158" s="142">
        <f t="shared" si="804"/>
        <v>0</v>
      </c>
      <c r="IA158" s="142">
        <f t="shared" si="804"/>
        <v>0</v>
      </c>
      <c r="IB158" s="142">
        <f t="shared" si="804"/>
        <v>0</v>
      </c>
      <c r="IC158" s="142">
        <f t="shared" si="804"/>
        <v>0</v>
      </c>
      <c r="ID158" s="142">
        <f t="shared" si="804"/>
        <v>0</v>
      </c>
      <c r="IE158" s="142">
        <f t="shared" si="804"/>
        <v>0</v>
      </c>
      <c r="IF158" s="142">
        <f t="shared" si="804"/>
        <v>0</v>
      </c>
      <c r="IG158" s="142">
        <f t="shared" si="804"/>
        <v>0</v>
      </c>
      <c r="IH158" s="142">
        <f t="shared" si="804"/>
        <v>0</v>
      </c>
      <c r="II158" s="142">
        <f t="shared" si="804"/>
        <v>0</v>
      </c>
      <c r="IJ158" s="142">
        <f t="shared" si="804"/>
        <v>0</v>
      </c>
      <c r="IK158" s="142">
        <f t="shared" si="804"/>
        <v>0</v>
      </c>
      <c r="IL158" s="142">
        <f t="shared" si="804"/>
        <v>0</v>
      </c>
      <c r="IM158" s="142">
        <f t="shared" si="804"/>
        <v>0</v>
      </c>
      <c r="IN158" s="142">
        <f t="shared" si="804"/>
        <v>0</v>
      </c>
      <c r="IO158" s="142">
        <f t="shared" si="804"/>
        <v>0</v>
      </c>
      <c r="IP158" s="142">
        <f t="shared" si="804"/>
        <v>0</v>
      </c>
      <c r="IQ158" s="141">
        <f>IF(ISBLANK($A158),,IF($AN158="Não",0,(SUM($AO158:AO158)*$AH158)-SUM($HM158:HM158)-SUM($CW158:CW158)))</f>
        <v>0</v>
      </c>
      <c r="IR158" s="141">
        <f>IF(ISBLANK($A158),,IF($AN158="Não",0,(SUM($AO158:AP158)*$AH158)-SUM($HM158:HN158)-SUM($CW158:CX158)))</f>
        <v>0</v>
      </c>
      <c r="IS158" s="141">
        <f>IF(ISBLANK($A158),,IF($AN158="Não",0,(SUM($AO158:AQ158)*$AH158)-SUM($HM158:HO158)-SUM($CW158:CY158)))</f>
        <v>0</v>
      </c>
      <c r="IT158" s="141">
        <f>IF(ISBLANK($A158),,IF($AN158="Não",0,(SUM($AO158:AR158)*$AH158)-SUM($HM158:HP158)-SUM($CW158:CZ158)))</f>
        <v>0</v>
      </c>
      <c r="IU158" s="141">
        <f>IF(ISBLANK($A158),,IF($AN158="Não",0,(SUM($AO158:AS158)*$AH158)-SUM($HM158:HQ158)-SUM($CW158:DA158)))</f>
        <v>0</v>
      </c>
      <c r="IV158" s="141">
        <f>IF(ISBLANK($A158),,IF($AN158="Não",0,(SUM($AO158:AT158)*$AH158)-SUM($HM158:HR158)-SUM($CW158:DB158)))</f>
        <v>0</v>
      </c>
      <c r="IW158" s="141">
        <f>IF(ISBLANK($A158),,IF($AN158="Não",0,(SUM($AO158:AU158)*$AH158)-SUM($HM158:HS158)-SUM($CW158:DC158)))</f>
        <v>0</v>
      </c>
      <c r="IX158" s="141">
        <f>IF(ISBLANK($A158),,IF($AN158="Não",0,(SUM($AO158:AV158)*$AH158)-SUM($HM158:HT158)-SUM($CW158:DD158)))</f>
        <v>0</v>
      </c>
      <c r="IY158" s="141">
        <f>IF(ISBLANK($A158),,IF($AN158="Não",0,(SUM($AO158:AW158)*$AH158)-SUM($HM158:HU158)-SUM($CW158:DE158)))</f>
        <v>0</v>
      </c>
      <c r="IZ158" s="141">
        <f>IF(ISBLANK($A158),,IF($AN158="Não",0,(SUM($AO158:AX158)*$AH158)-SUM($HM158:HV158)-SUM($CW158:DF158)))</f>
        <v>0</v>
      </c>
      <c r="JA158" s="141">
        <f>IF(ISBLANK($A158),,IF($AN158="Não",0,(SUM($AO158:AY158)*$AH158)-SUM($HM158:HW158)-SUM($CW158:DG158)))</f>
        <v>0</v>
      </c>
      <c r="JB158" s="141">
        <f>IF(ISBLANK($A158),,IF($AN158="Não",0,(SUM($AO158:AZ158)*$AH158)-SUM($HM158:HX158)-SUM($CW158:DH158)))</f>
        <v>0</v>
      </c>
      <c r="JC158" s="141">
        <f>IF(ISBLANK($A158),,IF($AN158="Não",0,(SUM($AO158:BA158)*$AH158)-SUM($HM158:HY158)-SUM($CW158:DI158)))</f>
        <v>0</v>
      </c>
      <c r="JD158" s="141">
        <f>IF(ISBLANK($A158),,IF($AN158="Não",0,(SUM($AO158:BB158)*$AH158)-SUM($HM158:HZ158)-SUM($CW158:DJ158)))</f>
        <v>0</v>
      </c>
      <c r="JE158" s="141">
        <f>IF(ISBLANK($A158),,IF($AN158="Não",0,(SUM($AO158:BC158)*$AH158)-SUM($HM158:IA158)-SUM($CW158:DK158)))</f>
        <v>0</v>
      </c>
      <c r="JF158" s="141">
        <f>IF(ISBLANK($A158),,IF($AN158="Não",0,(SUM($AO158:BD158)*$AH158)-SUM($HM158:IB158)-SUM($CW158:DL158)))</f>
        <v>0</v>
      </c>
      <c r="JG158" s="141">
        <f>IF(ISBLANK($A158),,IF($AN158="Não",0,(SUM($AO158:BE158)*$AH158)-SUM($HM158:IC158)-SUM($CW158:DM158)))</f>
        <v>0</v>
      </c>
      <c r="JH158" s="141">
        <f>IF(ISBLANK($A158),,IF($AN158="Não",0,(SUM($AO158:BF158)*$AH158)-SUM($HM158:ID158)-SUM($CW158:DN158)))</f>
        <v>0</v>
      </c>
      <c r="JI158" s="141">
        <f>IF(ISBLANK($A158),,IF($AN158="Não",0,(SUM($AO158:BG158)*$AH158)-SUM($HM158:IE158)-SUM($CW158:DO158)))</f>
        <v>0</v>
      </c>
      <c r="JJ158" s="141">
        <f>IF(ISBLANK($A158),,IF($AN158="Não",0,(SUM($AO158:BH158)*$AH158)-SUM($HM158:IF158)-SUM($CW158:DP158)))</f>
        <v>0</v>
      </c>
      <c r="JK158" s="141">
        <f>IF(ISBLANK($A158),,IF($AN158="Não",0,(SUM($AO158:BI158)*$AH158)-SUM($HM158:IG158)-SUM($CW158:DQ158)))</f>
        <v>0</v>
      </c>
      <c r="JL158" s="141">
        <f>IF(ISBLANK($A158),,IF($AN158="Não",0,(SUM($AO158:BJ158)*$AH158)-SUM($HM158:IH158)-SUM($CW158:DR158)))</f>
        <v>0</v>
      </c>
      <c r="JM158" s="141">
        <f>IF(ISBLANK($A158),,IF($AN158="Não",0,(SUM($AO158:BK158)*$AH158)-SUM($HM158:II158)-SUM($CW158:DS158)))</f>
        <v>0</v>
      </c>
      <c r="JN158" s="141">
        <f>IF(ISBLANK($A158),,IF($AN158="Não",0,(SUM($AO158:BL158)*$AH158)-SUM($HM158:IJ158)-SUM($CW158:DT158)))</f>
        <v>0</v>
      </c>
      <c r="JO158" s="141">
        <f>IF(ISBLANK($A158),,IF($AN158="Não",0,(SUM($AO158:BM158)*$AH158)-SUM($HM158:IK158)-SUM($CW158:DU158)))</f>
        <v>0</v>
      </c>
      <c r="JP158" s="141">
        <f>IF(ISBLANK($A158),,IF($AN158="Não",0,(SUM($AO158:BN158)*$AH158)-SUM($HM158:IL158)-SUM($CW158:DV158)))</f>
        <v>0</v>
      </c>
      <c r="JQ158" s="141">
        <f>IF(ISBLANK($A158),,IF($AN158="Não",0,(SUM($AO158:BO158)*$AH158)-SUM($HM158:IM158)-SUM($CW158:DW158)))</f>
        <v>0</v>
      </c>
      <c r="JR158" s="141">
        <f>IF(ISBLANK($A158),,IF($AN158="Não",0,(SUM($AO158:BP158)*$AH158)-SUM($HM158:IN158)-SUM($CW158:DX158)))</f>
        <v>0</v>
      </c>
      <c r="JS158" s="141">
        <f>IF(ISBLANK($A158),,IF($AN158="Não",0,(SUM($AO158:BQ158)*$AH158)-SUM($HM158:IO158)-SUM($CW158:DY158)))</f>
        <v>0</v>
      </c>
      <c r="JT158" s="141">
        <f>IF(ISBLANK($A158),,IF($AN158="Não",0,(SUM($AO158:BR158)*$AH158)-SUM($HM158:IP158)-SUM($CW158:DZ158)))</f>
        <v>0</v>
      </c>
    </row>
    <row r="159" spans="1:280" ht="15.75" customHeight="1">
      <c r="A159" s="129"/>
      <c r="B159" s="129"/>
      <c r="C159" s="138"/>
      <c r="D159" s="139"/>
      <c r="E159" s="139"/>
      <c r="F159" s="139"/>
      <c r="G159" s="139"/>
      <c r="H159" s="139"/>
      <c r="I159" s="139"/>
      <c r="J159" s="139"/>
      <c r="K159" s="139"/>
      <c r="L159" s="139"/>
      <c r="M159" s="139"/>
      <c r="N159" s="139"/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607">
        <f t="shared" si="710"/>
        <v>0</v>
      </c>
      <c r="AI159" s="608">
        <f t="shared" si="711"/>
        <v>0</v>
      </c>
      <c r="AJ159" s="609">
        <f t="shared" si="712"/>
        <v>0</v>
      </c>
      <c r="AK159" s="610" t="str">
        <f t="shared" si="713"/>
        <v/>
      </c>
      <c r="AL159" s="609">
        <f t="shared" si="714"/>
        <v>0</v>
      </c>
      <c r="AM159" s="611" t="str">
        <f t="shared" si="715"/>
        <v/>
      </c>
      <c r="AN159" s="611" t="str">
        <f t="shared" si="716"/>
        <v/>
      </c>
      <c r="AO159" s="140">
        <f t="array" ref="AO159">IF(ISBLANK($A159),0,IF(OR(AO$5-$AI159&lt;=0,$AM159="Não"),D159,D159+INDEX($AO$6:$BR$176,ROW()-5,COLUMN()-40-$AI159)))*IF($B159="Operacional",IFERROR(VLOOKUP($C159,SN_UGC,28,0),0),1)</f>
        <v>0</v>
      </c>
      <c r="AP159" s="140">
        <f t="array" ref="AP159">IF(ISBLANK($A159),0,IF(OR(AP$5-$AI159&lt;=0,$AM159="Não"),E159,E159+INDEX($AO$6:$BR$176,ROW()-5,COLUMN()-40-$AI159)))*IF($B159="Operacional",IFERROR(VLOOKUP($C159,SN_UGC,28,0),0),1)</f>
        <v>0</v>
      </c>
      <c r="AQ159" s="140">
        <f t="array" ref="AQ159">IF(ISBLANK($A159),0,IF(OR(AQ$5-$AI159&lt;=0,$AM159="Não"),F159,F159+INDEX($AO$6:$BR$176,ROW()-5,COLUMN()-40-$AI159)))*IF($B159="Operacional",IFERROR(VLOOKUP($C159,SN_UGC,28,0),0),1)</f>
        <v>0</v>
      </c>
      <c r="AR159" s="140">
        <f t="array" ref="AR159">IF(ISBLANK($A159),0,IF(OR(AR$5-$AI159&lt;=0,$AM159="Não"),G159,G159+INDEX($AO$6:$BR$176,ROW()-5,COLUMN()-40-$AI159)))*IF($B159="Operacional",IFERROR(VLOOKUP($C159,SN_UGC,28,0),0),1)</f>
        <v>0</v>
      </c>
      <c r="AS159" s="140">
        <f t="array" ref="AS159">IF(ISBLANK($A159),0,IF(OR(AS$5-$AI159&lt;=0,$AM159="Não"),H159,H159+INDEX($AO$6:$BR$176,ROW()-5,COLUMN()-40-$AI159)))*IF($B159="Operacional",IFERROR(VLOOKUP($C159,SN_UGC,28,0),0),1)</f>
        <v>0</v>
      </c>
      <c r="AT159" s="140">
        <f t="array" ref="AT159">IF(ISBLANK($A159),0,IF(OR(AT$5-$AI159&lt;=0,$AM159="Não"),I159,I159+INDEX($AO$6:$BR$176,ROW()-5,COLUMN()-40-$AI159)))*IF($B159="Operacional",IFERROR(VLOOKUP($C159,SN_UGC,28,0),0),1)</f>
        <v>0</v>
      </c>
      <c r="AU159" s="140">
        <f t="array" ref="AU159">IF(ISBLANK($A159),0,IF(OR(AU$5-$AI159&lt;=0,$AM159="Não"),J159,J159+INDEX($AO$6:$BR$176,ROW()-5,COLUMN()-40-$AI159)))*IF($B159="Operacional",IFERROR(VLOOKUP($C159,SN_UGC,28,0),0),1)</f>
        <v>0</v>
      </c>
      <c r="AV159" s="140">
        <f t="array" ref="AV159">IF(ISBLANK($A159),0,IF(OR(AV$5-$AI159&lt;=0,$AM159="Não"),K159,K159+INDEX($AO$6:$BR$176,ROW()-5,COLUMN()-40-$AI159)))*IF($B159="Operacional",IFERROR(VLOOKUP($C159,SN_UGC,28,0),0),1)</f>
        <v>0</v>
      </c>
      <c r="AW159" s="140">
        <f t="array" ref="AW159">IF(ISBLANK($A159),0,IF(OR(AW$5-$AI159&lt;=0,$AM159="Não"),L159,L159+INDEX($AO$6:$BR$176,ROW()-5,COLUMN()-40-$AI159)))*IF($B159="Operacional",IFERROR(VLOOKUP($C159,SN_UGC,28,0),0),1)</f>
        <v>0</v>
      </c>
      <c r="AX159" s="140">
        <f t="array" ref="AX159">IF(ISBLANK($A159),0,IF(OR(AX$5-$AI159&lt;=0,$AM159="Não"),M159,M159+INDEX($AO$6:$BR$176,ROW()-5,COLUMN()-40-$AI159)))*IF($B159="Operacional",IFERROR(VLOOKUP($C159,SN_UGC,28,0),0),1)</f>
        <v>0</v>
      </c>
      <c r="AY159" s="140">
        <f t="array" ref="AY159">IF(ISBLANK($A159),0,IF(OR(AY$5-$AI159&lt;=0,$AM159="Não"),N159,N159+INDEX($AO$6:$BR$176,ROW()-5,COLUMN()-40-$AI159)))*IF($B159="Operacional",IFERROR(VLOOKUP($C159,SN_UGC,28,0),0),1)</f>
        <v>0</v>
      </c>
      <c r="AZ159" s="140">
        <f t="array" ref="AZ159">IF(ISBLANK($A159),0,IF(OR(AZ$5-$AI159&lt;=0,$AM159="Não"),O159,O159+INDEX($AO$6:$BR$176,ROW()-5,COLUMN()-40-$AI159)))*IF($B159="Operacional",IFERROR(VLOOKUP($C159,SN_UGC,28,0),0),1)</f>
        <v>0</v>
      </c>
      <c r="BA159" s="140">
        <f t="array" ref="BA159">IF(ISBLANK($A159),0,IF(OR(BA$5-$AI159&lt;=0,$AM159="Não"),P159,P159+INDEX($AO$6:$BR$176,ROW()-5,COLUMN()-40-$AI159)))*IF($B159="Operacional",IFERROR(VLOOKUP($C159,SN_UGC,28,0),0),1)</f>
        <v>0</v>
      </c>
      <c r="BB159" s="140">
        <f t="array" ref="BB159">IF(ISBLANK($A159),0,IF(OR(BB$5-$AI159&lt;=0,$AM159="Não"),Q159,Q159+INDEX($AO$6:$BR$176,ROW()-5,COLUMN()-40-$AI159)))*IF($B159="Operacional",IFERROR(VLOOKUP($C159,SN_UGC,28,0),0),1)</f>
        <v>0</v>
      </c>
      <c r="BC159" s="140">
        <f t="array" ref="BC159">IF(ISBLANK($A159),0,IF(OR(BC$5-$AI159&lt;=0,$AM159="Não"),R159,R159+INDEX($AO$6:$BR$176,ROW()-5,COLUMN()-40-$AI159)))*IF($B159="Operacional",IFERROR(VLOOKUP($C159,SN_UGC,28,0),0),1)</f>
        <v>0</v>
      </c>
      <c r="BD159" s="140">
        <f t="array" ref="BD159">IF(ISBLANK($A159),0,IF(OR(BD$5-$AI159&lt;=0,$AM159="Não"),S159,S159+INDEX($AO$6:$BR$176,ROW()-5,COLUMN()-40-$AI159)))*IF($B159="Operacional",IFERROR(VLOOKUP($C159,SN_UGC,28,0),0),1)</f>
        <v>0</v>
      </c>
      <c r="BE159" s="140">
        <f t="array" ref="BE159">IF(ISBLANK($A159),0,IF(OR(BE$5-$AI159&lt;=0,$AM159="Não"),T159,T159+INDEX($AO$6:$BR$176,ROW()-5,COLUMN()-40-$AI159)))*IF($B159="Operacional",IFERROR(VLOOKUP($C159,SN_UGC,28,0),0),1)</f>
        <v>0</v>
      </c>
      <c r="BF159" s="140">
        <f t="array" ref="BF159">IF(ISBLANK($A159),0,IF(OR(BF$5-$AI159&lt;=0,$AM159="Não"),U159,U159+INDEX($AO$6:$BR$176,ROW()-5,COLUMN()-40-$AI159)))*IF($B159="Operacional",IFERROR(VLOOKUP($C159,SN_UGC,28,0),0),1)</f>
        <v>0</v>
      </c>
      <c r="BG159" s="140">
        <f t="array" ref="BG159">IF(ISBLANK($A159),0,IF(OR(BG$5-$AI159&lt;=0,$AM159="Não"),V159,V159+INDEX($AO$6:$BR$176,ROW()-5,COLUMN()-40-$AI159)))*IF($B159="Operacional",IFERROR(VLOOKUP($C159,SN_UGC,28,0),0),1)</f>
        <v>0</v>
      </c>
      <c r="BH159" s="140">
        <f t="array" ref="BH159">IF(ISBLANK($A159),0,IF(OR(BH$5-$AI159&lt;=0,$AM159="Não"),W159,W159+INDEX($AO$6:$BR$176,ROW()-5,COLUMN()-40-$AI159)))*IF($B159="Operacional",IFERROR(VLOOKUP($C159,SN_UGC,28,0),0),1)</f>
        <v>0</v>
      </c>
      <c r="BI159" s="140">
        <f t="array" ref="BI159">IF(ISBLANK($A159),0,IF(OR(BI$5-$AI159&lt;=0,$AM159="Não"),X159,X159+INDEX($AO$6:$BR$176,ROW()-5,COLUMN()-40-$AI159)))*IF($B159="Operacional",IFERROR(VLOOKUP($C159,SN_UGC,28,0),0),1)</f>
        <v>0</v>
      </c>
      <c r="BJ159" s="140">
        <f t="array" ref="BJ159">IF(ISBLANK($A159),0,IF(OR(BJ$5-$AI159&lt;=0,$AM159="Não"),Y159,Y159+INDEX($AO$6:$BR$176,ROW()-5,COLUMN()-40-$AI159)))*IF($B159="Operacional",IFERROR(VLOOKUP($C159,SN_UGC,28,0),0),1)</f>
        <v>0</v>
      </c>
      <c r="BK159" s="140">
        <f t="array" ref="BK159">IF(ISBLANK($A159),0,IF(OR(BK$5-$AI159&lt;=0,$AM159="Não"),Z159,Z159+INDEX($AO$6:$BR$176,ROW()-5,COLUMN()-40-$AI159)))*IF($B159="Operacional",IFERROR(VLOOKUP($C159,SN_UGC,28,0),0),1)</f>
        <v>0</v>
      </c>
      <c r="BL159" s="140">
        <f t="array" ref="BL159">IF(ISBLANK($A159),0,IF(OR(BL$5-$AI159&lt;=0,$AM159="Não"),AA159,AA159+INDEX($AO$6:$BR$176,ROW()-5,COLUMN()-40-$AI159)))*IF($B159="Operacional",IFERROR(VLOOKUP($C159,SN_UGC,28,0),0),1)</f>
        <v>0</v>
      </c>
      <c r="BM159" s="140">
        <f t="array" ref="BM159">IF(ISBLANK($A159),0,IF(OR(BM$5-$AI159&lt;=0,$AM159="Não"),AB159,AB159+INDEX($AO$6:$BR$176,ROW()-5,COLUMN()-40-$AI159)))*IF($B159="Operacional",IFERROR(VLOOKUP($C159,SN_UGC,28,0),0),1)</f>
        <v>0</v>
      </c>
      <c r="BN159" s="140">
        <f t="array" ref="BN159">IF(ISBLANK($A159),0,IF(OR(BN$5-$AI159&lt;=0,$AM159="Não"),AC159,AC159+INDEX($AO$6:$BR$176,ROW()-5,COLUMN()-40-$AI159)))*IF($B159="Operacional",IFERROR(VLOOKUP($C159,SN_UGC,28,0),0),1)</f>
        <v>0</v>
      </c>
      <c r="BO159" s="140">
        <f t="array" ref="BO159">IF(ISBLANK($A159),0,IF(OR(BO$5-$AI159&lt;=0,$AM159="Não"),AD159,AD159+INDEX($AO$6:$BR$176,ROW()-5,COLUMN()-40-$AI159)))*IF($B159="Operacional",IFERROR(VLOOKUP($C159,SN_UGC,28,0),0),1)</f>
        <v>0</v>
      </c>
      <c r="BP159" s="140">
        <f t="array" ref="BP159">IF(ISBLANK($A159),0,IF(OR(BP$5-$AI159&lt;=0,$AM159="Não"),AE159,AE159+INDEX($AO$6:$BR$176,ROW()-5,COLUMN()-40-$AI159)))*IF($B159="Operacional",IFERROR(VLOOKUP($C159,SN_UGC,28,0),0),1)</f>
        <v>0</v>
      </c>
      <c r="BQ159" s="140">
        <f t="array" ref="BQ159">IF(ISBLANK($A159),0,IF(OR(BQ$5-$AI159&lt;=0,$AM159="Não"),AF159,AF159+INDEX($AO$6:$BR$176,ROW()-5,COLUMN()-40-$AI159)))*IF($B159="Operacional",IFERROR(VLOOKUP($C159,SN_UGC,28,0),0),1)</f>
        <v>0</v>
      </c>
      <c r="BR159" s="140">
        <f t="array" ref="BR159">IF(ISBLANK($A159),0,IF(OR(BR$5-$AI159&lt;=0,$AM159="Não"),AG159,AG159+INDEX($AO$6:$BR$176,ROW()-5,COLUMN()-40-$AI159)))*IF($B159="Operacional",IFERROR(VLOOKUP($C159,SN_UGC,28,0),0),1)</f>
        <v>0</v>
      </c>
      <c r="BS159" s="141">
        <f t="shared" ref="BS159:CV159" si="805">IF(ISBLANK($A159),0,$AH159*AO159)</f>
        <v>0</v>
      </c>
      <c r="BT159" s="141">
        <f t="shared" si="805"/>
        <v>0</v>
      </c>
      <c r="BU159" s="141">
        <f t="shared" si="805"/>
        <v>0</v>
      </c>
      <c r="BV159" s="141">
        <f t="shared" si="805"/>
        <v>0</v>
      </c>
      <c r="BW159" s="141">
        <f t="shared" si="805"/>
        <v>0</v>
      </c>
      <c r="BX159" s="141">
        <f t="shared" si="805"/>
        <v>0</v>
      </c>
      <c r="BY159" s="141">
        <f t="shared" si="805"/>
        <v>0</v>
      </c>
      <c r="BZ159" s="141">
        <f t="shared" si="805"/>
        <v>0</v>
      </c>
      <c r="CA159" s="141">
        <f t="shared" si="805"/>
        <v>0</v>
      </c>
      <c r="CB159" s="141">
        <f t="shared" si="805"/>
        <v>0</v>
      </c>
      <c r="CC159" s="141">
        <f t="shared" si="805"/>
        <v>0</v>
      </c>
      <c r="CD159" s="141">
        <f t="shared" si="805"/>
        <v>0</v>
      </c>
      <c r="CE159" s="141">
        <f t="shared" si="805"/>
        <v>0</v>
      </c>
      <c r="CF159" s="141">
        <f t="shared" si="805"/>
        <v>0</v>
      </c>
      <c r="CG159" s="141">
        <f t="shared" si="805"/>
        <v>0</v>
      </c>
      <c r="CH159" s="141">
        <f t="shared" si="805"/>
        <v>0</v>
      </c>
      <c r="CI159" s="141">
        <f t="shared" si="805"/>
        <v>0</v>
      </c>
      <c r="CJ159" s="141">
        <f t="shared" si="805"/>
        <v>0</v>
      </c>
      <c r="CK159" s="141">
        <f t="shared" si="805"/>
        <v>0</v>
      </c>
      <c r="CL159" s="141">
        <f t="shared" si="805"/>
        <v>0</v>
      </c>
      <c r="CM159" s="141">
        <f t="shared" si="805"/>
        <v>0</v>
      </c>
      <c r="CN159" s="141">
        <f t="shared" si="805"/>
        <v>0</v>
      </c>
      <c r="CO159" s="141">
        <f t="shared" si="805"/>
        <v>0</v>
      </c>
      <c r="CP159" s="141">
        <f t="shared" si="805"/>
        <v>0</v>
      </c>
      <c r="CQ159" s="141">
        <f t="shared" si="805"/>
        <v>0</v>
      </c>
      <c r="CR159" s="141">
        <f t="shared" si="805"/>
        <v>0</v>
      </c>
      <c r="CS159" s="141">
        <f t="shared" si="805"/>
        <v>0</v>
      </c>
      <c r="CT159" s="141">
        <f t="shared" si="805"/>
        <v>0</v>
      </c>
      <c r="CU159" s="141">
        <f t="shared" si="805"/>
        <v>0</v>
      </c>
      <c r="CV159" s="141">
        <f t="shared" si="805"/>
        <v>0</v>
      </c>
      <c r="CW159" s="142">
        <f t="shared" ref="CW159:DZ159" si="806">EA159*$AH159*$AJ159</f>
        <v>0</v>
      </c>
      <c r="CX159" s="142">
        <f t="shared" si="806"/>
        <v>0</v>
      </c>
      <c r="CY159" s="142">
        <f t="shared" si="806"/>
        <v>0</v>
      </c>
      <c r="CZ159" s="142">
        <f t="shared" si="806"/>
        <v>0</v>
      </c>
      <c r="DA159" s="142">
        <f t="shared" si="806"/>
        <v>0</v>
      </c>
      <c r="DB159" s="142">
        <f t="shared" si="806"/>
        <v>0</v>
      </c>
      <c r="DC159" s="142">
        <f t="shared" si="806"/>
        <v>0</v>
      </c>
      <c r="DD159" s="142">
        <f t="shared" si="806"/>
        <v>0</v>
      </c>
      <c r="DE159" s="142">
        <f t="shared" si="806"/>
        <v>0</v>
      </c>
      <c r="DF159" s="142">
        <f t="shared" si="806"/>
        <v>0</v>
      </c>
      <c r="DG159" s="142">
        <f t="shared" si="806"/>
        <v>0</v>
      </c>
      <c r="DH159" s="142">
        <f t="shared" si="806"/>
        <v>0</v>
      </c>
      <c r="DI159" s="142">
        <f t="shared" si="806"/>
        <v>0</v>
      </c>
      <c r="DJ159" s="142">
        <f t="shared" si="806"/>
        <v>0</v>
      </c>
      <c r="DK159" s="142">
        <f t="shared" si="806"/>
        <v>0</v>
      </c>
      <c r="DL159" s="142">
        <f t="shared" si="806"/>
        <v>0</v>
      </c>
      <c r="DM159" s="142">
        <f t="shared" si="806"/>
        <v>0</v>
      </c>
      <c r="DN159" s="142">
        <f t="shared" si="806"/>
        <v>0</v>
      </c>
      <c r="DO159" s="142">
        <f t="shared" si="806"/>
        <v>0</v>
      </c>
      <c r="DP159" s="142">
        <f t="shared" si="806"/>
        <v>0</v>
      </c>
      <c r="DQ159" s="142">
        <f t="shared" si="806"/>
        <v>0</v>
      </c>
      <c r="DR159" s="142">
        <f t="shared" si="806"/>
        <v>0</v>
      </c>
      <c r="DS159" s="142">
        <f t="shared" si="806"/>
        <v>0</v>
      </c>
      <c r="DT159" s="142">
        <f t="shared" si="806"/>
        <v>0</v>
      </c>
      <c r="DU159" s="142">
        <f t="shared" si="806"/>
        <v>0</v>
      </c>
      <c r="DV159" s="142">
        <f t="shared" si="806"/>
        <v>0</v>
      </c>
      <c r="DW159" s="142">
        <f t="shared" si="806"/>
        <v>0</v>
      </c>
      <c r="DX159" s="142">
        <f t="shared" si="806"/>
        <v>0</v>
      </c>
      <c r="DY159" s="142">
        <f t="shared" si="806"/>
        <v>0</v>
      </c>
      <c r="DZ159" s="142">
        <f t="shared" si="806"/>
        <v>0</v>
      </c>
      <c r="EA159" s="143">
        <f t="shared" si="670"/>
        <v>0</v>
      </c>
      <c r="EB159" s="143">
        <f t="shared" si="671"/>
        <v>0</v>
      </c>
      <c r="EC159" s="143">
        <f t="shared" si="672"/>
        <v>0</v>
      </c>
      <c r="ED159" s="143">
        <f t="shared" si="673"/>
        <v>0</v>
      </c>
      <c r="EE159" s="143">
        <f t="shared" si="674"/>
        <v>0</v>
      </c>
      <c r="EF159" s="143">
        <f t="shared" si="675"/>
        <v>0</v>
      </c>
      <c r="EG159" s="143">
        <f t="shared" si="676"/>
        <v>0</v>
      </c>
      <c r="EH159" s="143">
        <f t="shared" si="677"/>
        <v>0</v>
      </c>
      <c r="EI159" s="143">
        <f t="shared" si="678"/>
        <v>0</v>
      </c>
      <c r="EJ159" s="143">
        <f t="shared" si="679"/>
        <v>0</v>
      </c>
      <c r="EK159" s="143">
        <f t="shared" si="680"/>
        <v>0</v>
      </c>
      <c r="EL159" s="143">
        <f t="shared" si="681"/>
        <v>0</v>
      </c>
      <c r="EM159" s="143">
        <f t="shared" si="682"/>
        <v>0</v>
      </c>
      <c r="EN159" s="143">
        <f t="shared" si="683"/>
        <v>0</v>
      </c>
      <c r="EO159" s="143">
        <f t="shared" si="684"/>
        <v>0</v>
      </c>
      <c r="EP159" s="143">
        <f t="shared" si="685"/>
        <v>0</v>
      </c>
      <c r="EQ159" s="143">
        <f t="shared" si="686"/>
        <v>0</v>
      </c>
      <c r="ER159" s="143">
        <f t="shared" si="687"/>
        <v>0</v>
      </c>
      <c r="ES159" s="143">
        <f t="shared" si="688"/>
        <v>0</v>
      </c>
      <c r="ET159" s="143">
        <f t="shared" si="689"/>
        <v>0</v>
      </c>
      <c r="EU159" s="143">
        <f t="shared" si="690"/>
        <v>0</v>
      </c>
      <c r="EV159" s="143">
        <f t="shared" si="691"/>
        <v>0</v>
      </c>
      <c r="EW159" s="143">
        <f t="shared" si="692"/>
        <v>0</v>
      </c>
      <c r="EX159" s="143">
        <f t="shared" si="693"/>
        <v>0</v>
      </c>
      <c r="EY159" s="143">
        <f t="shared" si="694"/>
        <v>0</v>
      </c>
      <c r="EZ159" s="143">
        <f t="shared" si="695"/>
        <v>0</v>
      </c>
      <c r="FA159" s="143">
        <f t="shared" si="696"/>
        <v>0</v>
      </c>
      <c r="FB159" s="143">
        <f t="shared" si="697"/>
        <v>0</v>
      </c>
      <c r="FC159" s="143">
        <f t="shared" si="698"/>
        <v>0</v>
      </c>
      <c r="FD159" s="143">
        <f t="shared" si="699"/>
        <v>0</v>
      </c>
      <c r="FE159" s="140">
        <f>SUM($D159:D159)*IF($B159="Operacional",IFERROR(VLOOKUP($C159,SN_UGC,28,0),0),1)</f>
        <v>0</v>
      </c>
      <c r="FF159" s="140">
        <f>SUM($D159:E159)*IF($B159="Operacional",IFERROR(VLOOKUP($C159,SN_UGC,28,0),0),1)</f>
        <v>0</v>
      </c>
      <c r="FG159" s="140">
        <f>SUM($D159:F159)*IF($B159="Operacional",IFERROR(VLOOKUP($C159,SN_UGC,28,0),0),1)</f>
        <v>0</v>
      </c>
      <c r="FH159" s="140">
        <f>SUM($D159:G159)*IF($B159="Operacional",IFERROR(VLOOKUP($C159,SN_UGC,28,0),0),1)</f>
        <v>0</v>
      </c>
      <c r="FI159" s="140">
        <f>SUM($D159:H159)*IF($B159="Operacional",IFERROR(VLOOKUP($C159,SN_UGC,28,0),0),1)</f>
        <v>0</v>
      </c>
      <c r="FJ159" s="140">
        <f>SUM($D159:I159)*IF($B159="Operacional",IFERROR(VLOOKUP($C159,SN_UGC,28,0),0),1)</f>
        <v>0</v>
      </c>
      <c r="FK159" s="140">
        <f>SUM($D159:J159)*IF($B159="Operacional",IFERROR(VLOOKUP($C159,SN_UGC,28,0),0),1)</f>
        <v>0</v>
      </c>
      <c r="FL159" s="140">
        <f>SUM($D159:K159)*IF($B159="Operacional",IFERROR(VLOOKUP($C159,SN_UGC,28,0),0),1)</f>
        <v>0</v>
      </c>
      <c r="FM159" s="140">
        <f>SUM($D159:L159)*IF($B159="Operacional",IFERROR(VLOOKUP($C159,SN_UGC,28,0),0),1)</f>
        <v>0</v>
      </c>
      <c r="FN159" s="140">
        <f>SUM($D159:M159)*IF($B159="Operacional",IFERROR(VLOOKUP($C159,SN_UGC,28,0),0),1)</f>
        <v>0</v>
      </c>
      <c r="FO159" s="140">
        <f>SUM($D159:N159)*IF($B159="Operacional",IFERROR(VLOOKUP($C159,SN_UGC,28,0),0),1)</f>
        <v>0</v>
      </c>
      <c r="FP159" s="140">
        <f>SUM($D159:O159)*IF($B159="Operacional",IFERROR(VLOOKUP($C159,SN_UGC,28,0),0),1)</f>
        <v>0</v>
      </c>
      <c r="FQ159" s="140">
        <f>SUM($D159:P159)*IF($B159="Operacional",IFERROR(VLOOKUP($C159,SN_UGC,28,0),0),1)</f>
        <v>0</v>
      </c>
      <c r="FR159" s="140">
        <f>SUM($D159:Q159)*IF($B159="Operacional",IFERROR(VLOOKUP($C159,SN_UGC,28,0),0),1)</f>
        <v>0</v>
      </c>
      <c r="FS159" s="140">
        <f>SUM($D159:R159)*IF($B159="Operacional",IFERROR(VLOOKUP($C159,SN_UGC,28,0),0),1)</f>
        <v>0</v>
      </c>
      <c r="FT159" s="140">
        <f>SUM($D159:S159)*IF($B159="Operacional",IFERROR(VLOOKUP($C159,SN_UGC,28,0),0),1)</f>
        <v>0</v>
      </c>
      <c r="FU159" s="140">
        <f>SUM($D159:T159)*IF($B159="Operacional",IFERROR(VLOOKUP($C159,SN_UGC,28,0),0),1)</f>
        <v>0</v>
      </c>
      <c r="FV159" s="140">
        <f>SUM($D159:U159)*IF($B159="Operacional",IFERROR(VLOOKUP($C159,SN_UGC,28,0),0),1)</f>
        <v>0</v>
      </c>
      <c r="FW159" s="140">
        <f>SUM($D159:V159)*IF($B159="Operacional",IFERROR(VLOOKUP($C159,SN_UGC,28,0),0),1)</f>
        <v>0</v>
      </c>
      <c r="FX159" s="140">
        <f>SUM($D159:W159)*IF($B159="Operacional",IFERROR(VLOOKUP($C159,SN_UGC,28,0),0),1)</f>
        <v>0</v>
      </c>
      <c r="FY159" s="140">
        <f>SUM($D159:X159)*IF($B159="Operacional",IFERROR(VLOOKUP($C159,SN_UGC,28,0),0),1)</f>
        <v>0</v>
      </c>
      <c r="FZ159" s="140">
        <f>SUM($D159:Y159)*IF($B159="Operacional",IFERROR(VLOOKUP($C159,SN_UGC,28,0),0),1)</f>
        <v>0</v>
      </c>
      <c r="GA159" s="140">
        <f>SUM($D159:Z159)*IF($B159="Operacional",IFERROR(VLOOKUP($C159,SN_UGC,28,0),0),1)</f>
        <v>0</v>
      </c>
      <c r="GB159" s="140">
        <f>SUM($D159:AA159)*IF($B159="Operacional",IFERROR(VLOOKUP($C159,SN_UGC,28,0),0),1)</f>
        <v>0</v>
      </c>
      <c r="GC159" s="140">
        <f>SUM($D159:AB159)*IF($B159="Operacional",IFERROR(VLOOKUP($C159,SN_UGC,28,0),0),1)</f>
        <v>0</v>
      </c>
      <c r="GD159" s="140">
        <f>SUM($D159:AC159)*IF($B159="Operacional",IFERROR(VLOOKUP($C159,SN_UGC,28,0),0),1)</f>
        <v>0</v>
      </c>
      <c r="GE159" s="140">
        <f>SUM($D159:AD159)*IF($B159="Operacional",IFERROR(VLOOKUP($C159,SN_UGC,28,0),0),1)</f>
        <v>0</v>
      </c>
      <c r="GF159" s="140">
        <f>SUM($D159:AE159)*IF($B159="Operacional",IFERROR(VLOOKUP($C159,SN_UGC,28,0),0),1)</f>
        <v>0</v>
      </c>
      <c r="GG159" s="140">
        <f>SUM($D159:AF159)*IF($B159="Operacional",IFERROR(VLOOKUP($C159,SN_UGC,28,0),0),1)</f>
        <v>0</v>
      </c>
      <c r="GH159" s="140">
        <f>SUM($D159:AG159)*IF($B159="Operacional",IFERROR(VLOOKUP($C159,SN_UGC,28,0),0),1)</f>
        <v>0</v>
      </c>
      <c r="GI159" s="141">
        <f t="shared" ref="GI159:HL159" si="807">FE159*$AH159*$AL159</f>
        <v>0</v>
      </c>
      <c r="GJ159" s="141">
        <f t="shared" si="807"/>
        <v>0</v>
      </c>
      <c r="GK159" s="141">
        <f t="shared" si="807"/>
        <v>0</v>
      </c>
      <c r="GL159" s="141">
        <f t="shared" si="807"/>
        <v>0</v>
      </c>
      <c r="GM159" s="141">
        <f t="shared" si="807"/>
        <v>0</v>
      </c>
      <c r="GN159" s="141">
        <f t="shared" si="807"/>
        <v>0</v>
      </c>
      <c r="GO159" s="141">
        <f t="shared" si="807"/>
        <v>0</v>
      </c>
      <c r="GP159" s="141">
        <f t="shared" si="807"/>
        <v>0</v>
      </c>
      <c r="GQ159" s="141">
        <f t="shared" si="807"/>
        <v>0</v>
      </c>
      <c r="GR159" s="141">
        <f t="shared" si="807"/>
        <v>0</v>
      </c>
      <c r="GS159" s="141">
        <f t="shared" si="807"/>
        <v>0</v>
      </c>
      <c r="GT159" s="141">
        <f t="shared" si="807"/>
        <v>0</v>
      </c>
      <c r="GU159" s="141">
        <f t="shared" si="807"/>
        <v>0</v>
      </c>
      <c r="GV159" s="141">
        <f t="shared" si="807"/>
        <v>0</v>
      </c>
      <c r="GW159" s="141">
        <f t="shared" si="807"/>
        <v>0</v>
      </c>
      <c r="GX159" s="141">
        <f t="shared" si="807"/>
        <v>0</v>
      </c>
      <c r="GY159" s="141">
        <f t="shared" si="807"/>
        <v>0</v>
      </c>
      <c r="GZ159" s="141">
        <f t="shared" si="807"/>
        <v>0</v>
      </c>
      <c r="HA159" s="141">
        <f t="shared" si="807"/>
        <v>0</v>
      </c>
      <c r="HB159" s="141">
        <f t="shared" si="807"/>
        <v>0</v>
      </c>
      <c r="HC159" s="141">
        <f t="shared" si="807"/>
        <v>0</v>
      </c>
      <c r="HD159" s="141">
        <f t="shared" si="807"/>
        <v>0</v>
      </c>
      <c r="HE159" s="141">
        <f t="shared" si="807"/>
        <v>0</v>
      </c>
      <c r="HF159" s="141">
        <f t="shared" si="807"/>
        <v>0</v>
      </c>
      <c r="HG159" s="141">
        <f t="shared" si="807"/>
        <v>0</v>
      </c>
      <c r="HH159" s="141">
        <f t="shared" si="807"/>
        <v>0</v>
      </c>
      <c r="HI159" s="141">
        <f t="shared" si="807"/>
        <v>0</v>
      </c>
      <c r="HJ159" s="141">
        <f t="shared" si="807"/>
        <v>0</v>
      </c>
      <c r="HK159" s="141">
        <f t="shared" si="807"/>
        <v>0</v>
      </c>
      <c r="HL159" s="141">
        <f t="shared" si="807"/>
        <v>0</v>
      </c>
      <c r="HM159" s="142">
        <f t="shared" ref="HM159:IP159" si="808">IF(ISBLANK($A159),,FE159*($AH159-($AH159*$AJ159))/$AI159)</f>
        <v>0</v>
      </c>
      <c r="HN159" s="142">
        <f t="shared" si="808"/>
        <v>0</v>
      </c>
      <c r="HO159" s="142">
        <f t="shared" si="808"/>
        <v>0</v>
      </c>
      <c r="HP159" s="142">
        <f t="shared" si="808"/>
        <v>0</v>
      </c>
      <c r="HQ159" s="142">
        <f t="shared" si="808"/>
        <v>0</v>
      </c>
      <c r="HR159" s="142">
        <f t="shared" si="808"/>
        <v>0</v>
      </c>
      <c r="HS159" s="142">
        <f t="shared" si="808"/>
        <v>0</v>
      </c>
      <c r="HT159" s="142">
        <f t="shared" si="808"/>
        <v>0</v>
      </c>
      <c r="HU159" s="142">
        <f t="shared" si="808"/>
        <v>0</v>
      </c>
      <c r="HV159" s="142">
        <f t="shared" si="808"/>
        <v>0</v>
      </c>
      <c r="HW159" s="142">
        <f t="shared" si="808"/>
        <v>0</v>
      </c>
      <c r="HX159" s="142">
        <f t="shared" si="808"/>
        <v>0</v>
      </c>
      <c r="HY159" s="142">
        <f t="shared" si="808"/>
        <v>0</v>
      </c>
      <c r="HZ159" s="142">
        <f t="shared" si="808"/>
        <v>0</v>
      </c>
      <c r="IA159" s="142">
        <f t="shared" si="808"/>
        <v>0</v>
      </c>
      <c r="IB159" s="142">
        <f t="shared" si="808"/>
        <v>0</v>
      </c>
      <c r="IC159" s="142">
        <f t="shared" si="808"/>
        <v>0</v>
      </c>
      <c r="ID159" s="142">
        <f t="shared" si="808"/>
        <v>0</v>
      </c>
      <c r="IE159" s="142">
        <f t="shared" si="808"/>
        <v>0</v>
      </c>
      <c r="IF159" s="142">
        <f t="shared" si="808"/>
        <v>0</v>
      </c>
      <c r="IG159" s="142">
        <f t="shared" si="808"/>
        <v>0</v>
      </c>
      <c r="IH159" s="142">
        <f t="shared" si="808"/>
        <v>0</v>
      </c>
      <c r="II159" s="142">
        <f t="shared" si="808"/>
        <v>0</v>
      </c>
      <c r="IJ159" s="142">
        <f t="shared" si="808"/>
        <v>0</v>
      </c>
      <c r="IK159" s="142">
        <f t="shared" si="808"/>
        <v>0</v>
      </c>
      <c r="IL159" s="142">
        <f t="shared" si="808"/>
        <v>0</v>
      </c>
      <c r="IM159" s="142">
        <f t="shared" si="808"/>
        <v>0</v>
      </c>
      <c r="IN159" s="142">
        <f t="shared" si="808"/>
        <v>0</v>
      </c>
      <c r="IO159" s="142">
        <f t="shared" si="808"/>
        <v>0</v>
      </c>
      <c r="IP159" s="142">
        <f t="shared" si="808"/>
        <v>0</v>
      </c>
      <c r="IQ159" s="141">
        <f>IF(ISBLANK($A159),,IF($AN159="Não",0,(SUM($AO159:AO159)*$AH159)-SUM($HM159:HM159)-SUM($CW159:CW159)))</f>
        <v>0</v>
      </c>
      <c r="IR159" s="141">
        <f>IF(ISBLANK($A159),,IF($AN159="Não",0,(SUM($AO159:AP159)*$AH159)-SUM($HM159:HN159)-SUM($CW159:CX159)))</f>
        <v>0</v>
      </c>
      <c r="IS159" s="141">
        <f>IF(ISBLANK($A159),,IF($AN159="Não",0,(SUM($AO159:AQ159)*$AH159)-SUM($HM159:HO159)-SUM($CW159:CY159)))</f>
        <v>0</v>
      </c>
      <c r="IT159" s="141">
        <f>IF(ISBLANK($A159),,IF($AN159="Não",0,(SUM($AO159:AR159)*$AH159)-SUM($HM159:HP159)-SUM($CW159:CZ159)))</f>
        <v>0</v>
      </c>
      <c r="IU159" s="141">
        <f>IF(ISBLANK($A159),,IF($AN159="Não",0,(SUM($AO159:AS159)*$AH159)-SUM($HM159:HQ159)-SUM($CW159:DA159)))</f>
        <v>0</v>
      </c>
      <c r="IV159" s="141">
        <f>IF(ISBLANK($A159),,IF($AN159="Não",0,(SUM($AO159:AT159)*$AH159)-SUM($HM159:HR159)-SUM($CW159:DB159)))</f>
        <v>0</v>
      </c>
      <c r="IW159" s="141">
        <f>IF(ISBLANK($A159),,IF($AN159="Não",0,(SUM($AO159:AU159)*$AH159)-SUM($HM159:HS159)-SUM($CW159:DC159)))</f>
        <v>0</v>
      </c>
      <c r="IX159" s="141">
        <f>IF(ISBLANK($A159),,IF($AN159="Não",0,(SUM($AO159:AV159)*$AH159)-SUM($HM159:HT159)-SUM($CW159:DD159)))</f>
        <v>0</v>
      </c>
      <c r="IY159" s="141">
        <f>IF(ISBLANK($A159),,IF($AN159="Não",0,(SUM($AO159:AW159)*$AH159)-SUM($HM159:HU159)-SUM($CW159:DE159)))</f>
        <v>0</v>
      </c>
      <c r="IZ159" s="141">
        <f>IF(ISBLANK($A159),,IF($AN159="Não",0,(SUM($AO159:AX159)*$AH159)-SUM($HM159:HV159)-SUM($CW159:DF159)))</f>
        <v>0</v>
      </c>
      <c r="JA159" s="141">
        <f>IF(ISBLANK($A159),,IF($AN159="Não",0,(SUM($AO159:AY159)*$AH159)-SUM($HM159:HW159)-SUM($CW159:DG159)))</f>
        <v>0</v>
      </c>
      <c r="JB159" s="141">
        <f>IF(ISBLANK($A159),,IF($AN159="Não",0,(SUM($AO159:AZ159)*$AH159)-SUM($HM159:HX159)-SUM($CW159:DH159)))</f>
        <v>0</v>
      </c>
      <c r="JC159" s="141">
        <f>IF(ISBLANK($A159),,IF($AN159="Não",0,(SUM($AO159:BA159)*$AH159)-SUM($HM159:HY159)-SUM($CW159:DI159)))</f>
        <v>0</v>
      </c>
      <c r="JD159" s="141">
        <f>IF(ISBLANK($A159),,IF($AN159="Não",0,(SUM($AO159:BB159)*$AH159)-SUM($HM159:HZ159)-SUM($CW159:DJ159)))</f>
        <v>0</v>
      </c>
      <c r="JE159" s="141">
        <f>IF(ISBLANK($A159),,IF($AN159="Não",0,(SUM($AO159:BC159)*$AH159)-SUM($HM159:IA159)-SUM($CW159:DK159)))</f>
        <v>0</v>
      </c>
      <c r="JF159" s="141">
        <f>IF(ISBLANK($A159),,IF($AN159="Não",0,(SUM($AO159:BD159)*$AH159)-SUM($HM159:IB159)-SUM($CW159:DL159)))</f>
        <v>0</v>
      </c>
      <c r="JG159" s="141">
        <f>IF(ISBLANK($A159),,IF($AN159="Não",0,(SUM($AO159:BE159)*$AH159)-SUM($HM159:IC159)-SUM($CW159:DM159)))</f>
        <v>0</v>
      </c>
      <c r="JH159" s="141">
        <f>IF(ISBLANK($A159),,IF($AN159="Não",0,(SUM($AO159:BF159)*$AH159)-SUM($HM159:ID159)-SUM($CW159:DN159)))</f>
        <v>0</v>
      </c>
      <c r="JI159" s="141">
        <f>IF(ISBLANK($A159),,IF($AN159="Não",0,(SUM($AO159:BG159)*$AH159)-SUM($HM159:IE159)-SUM($CW159:DO159)))</f>
        <v>0</v>
      </c>
      <c r="JJ159" s="141">
        <f>IF(ISBLANK($A159),,IF($AN159="Não",0,(SUM($AO159:BH159)*$AH159)-SUM($HM159:IF159)-SUM($CW159:DP159)))</f>
        <v>0</v>
      </c>
      <c r="JK159" s="141">
        <f>IF(ISBLANK($A159),,IF($AN159="Não",0,(SUM($AO159:BI159)*$AH159)-SUM($HM159:IG159)-SUM($CW159:DQ159)))</f>
        <v>0</v>
      </c>
      <c r="JL159" s="141">
        <f>IF(ISBLANK($A159),,IF($AN159="Não",0,(SUM($AO159:BJ159)*$AH159)-SUM($HM159:IH159)-SUM($CW159:DR159)))</f>
        <v>0</v>
      </c>
      <c r="JM159" s="141">
        <f>IF(ISBLANK($A159),,IF($AN159="Não",0,(SUM($AO159:BK159)*$AH159)-SUM($HM159:II159)-SUM($CW159:DS159)))</f>
        <v>0</v>
      </c>
      <c r="JN159" s="141">
        <f>IF(ISBLANK($A159),,IF($AN159="Não",0,(SUM($AO159:BL159)*$AH159)-SUM($HM159:IJ159)-SUM($CW159:DT159)))</f>
        <v>0</v>
      </c>
      <c r="JO159" s="141">
        <f>IF(ISBLANK($A159),,IF($AN159="Não",0,(SUM($AO159:BM159)*$AH159)-SUM($HM159:IK159)-SUM($CW159:DU159)))</f>
        <v>0</v>
      </c>
      <c r="JP159" s="141">
        <f>IF(ISBLANK($A159),,IF($AN159="Não",0,(SUM($AO159:BN159)*$AH159)-SUM($HM159:IL159)-SUM($CW159:DV159)))</f>
        <v>0</v>
      </c>
      <c r="JQ159" s="141">
        <f>IF(ISBLANK($A159),,IF($AN159="Não",0,(SUM($AO159:BO159)*$AH159)-SUM($HM159:IM159)-SUM($CW159:DW159)))</f>
        <v>0</v>
      </c>
      <c r="JR159" s="141">
        <f>IF(ISBLANK($A159),,IF($AN159="Não",0,(SUM($AO159:BP159)*$AH159)-SUM($HM159:IN159)-SUM($CW159:DX159)))</f>
        <v>0</v>
      </c>
      <c r="JS159" s="141">
        <f>IF(ISBLANK($A159),,IF($AN159="Não",0,(SUM($AO159:BQ159)*$AH159)-SUM($HM159:IO159)-SUM($CW159:DY159)))</f>
        <v>0</v>
      </c>
      <c r="JT159" s="141">
        <f>IF(ISBLANK($A159),,IF($AN159="Não",0,(SUM($AO159:BR159)*$AH159)-SUM($HM159:IP159)-SUM($CW159:DZ159)))</f>
        <v>0</v>
      </c>
    </row>
    <row r="160" spans="1:280" ht="15.75" customHeight="1">
      <c r="A160" s="129"/>
      <c r="B160" s="129"/>
      <c r="C160" s="138"/>
      <c r="D160" s="139"/>
      <c r="E160" s="139"/>
      <c r="F160" s="139"/>
      <c r="G160" s="139"/>
      <c r="H160" s="139"/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607">
        <f t="shared" si="710"/>
        <v>0</v>
      </c>
      <c r="AI160" s="608">
        <f t="shared" si="711"/>
        <v>0</v>
      </c>
      <c r="AJ160" s="609">
        <f t="shared" si="712"/>
        <v>0</v>
      </c>
      <c r="AK160" s="610" t="str">
        <f t="shared" si="713"/>
        <v/>
      </c>
      <c r="AL160" s="609">
        <f t="shared" si="714"/>
        <v>0</v>
      </c>
      <c r="AM160" s="611" t="str">
        <f t="shared" si="715"/>
        <v/>
      </c>
      <c r="AN160" s="611" t="str">
        <f t="shared" si="716"/>
        <v/>
      </c>
      <c r="AO160" s="140">
        <f t="array" ref="AO160">IF(ISBLANK($A160),0,IF(OR(AO$5-$AI160&lt;=0,$AM160="Não"),D160,D160+INDEX($AO$6:$BR$176,ROW()-5,COLUMN()-40-$AI160)))*IF($B160="Operacional",IFERROR(VLOOKUP($C160,SN_UGC,28,0),0),1)</f>
        <v>0</v>
      </c>
      <c r="AP160" s="140">
        <f t="array" ref="AP160">IF(ISBLANK($A160),0,IF(OR(AP$5-$AI160&lt;=0,$AM160="Não"),E160,E160+INDEX($AO$6:$BR$176,ROW()-5,COLUMN()-40-$AI160)))*IF($B160="Operacional",IFERROR(VLOOKUP($C160,SN_UGC,28,0),0),1)</f>
        <v>0</v>
      </c>
      <c r="AQ160" s="140">
        <f t="array" ref="AQ160">IF(ISBLANK($A160),0,IF(OR(AQ$5-$AI160&lt;=0,$AM160="Não"),F160,F160+INDEX($AO$6:$BR$176,ROW()-5,COLUMN()-40-$AI160)))*IF($B160="Operacional",IFERROR(VLOOKUP($C160,SN_UGC,28,0),0),1)</f>
        <v>0</v>
      </c>
      <c r="AR160" s="140">
        <f t="array" ref="AR160">IF(ISBLANK($A160),0,IF(OR(AR$5-$AI160&lt;=0,$AM160="Não"),G160,G160+INDEX($AO$6:$BR$176,ROW()-5,COLUMN()-40-$AI160)))*IF($B160="Operacional",IFERROR(VLOOKUP($C160,SN_UGC,28,0),0),1)</f>
        <v>0</v>
      </c>
      <c r="AS160" s="140">
        <f t="array" ref="AS160">IF(ISBLANK($A160),0,IF(OR(AS$5-$AI160&lt;=0,$AM160="Não"),H160,H160+INDEX($AO$6:$BR$176,ROW()-5,COLUMN()-40-$AI160)))*IF($B160="Operacional",IFERROR(VLOOKUP($C160,SN_UGC,28,0),0),1)</f>
        <v>0</v>
      </c>
      <c r="AT160" s="140">
        <f t="array" ref="AT160">IF(ISBLANK($A160),0,IF(OR(AT$5-$AI160&lt;=0,$AM160="Não"),I160,I160+INDEX($AO$6:$BR$176,ROW()-5,COLUMN()-40-$AI160)))*IF($B160="Operacional",IFERROR(VLOOKUP($C160,SN_UGC,28,0),0),1)</f>
        <v>0</v>
      </c>
      <c r="AU160" s="140">
        <f t="array" ref="AU160">IF(ISBLANK($A160),0,IF(OR(AU$5-$AI160&lt;=0,$AM160="Não"),J160,J160+INDEX($AO$6:$BR$176,ROW()-5,COLUMN()-40-$AI160)))*IF($B160="Operacional",IFERROR(VLOOKUP($C160,SN_UGC,28,0),0),1)</f>
        <v>0</v>
      </c>
      <c r="AV160" s="140">
        <f t="array" ref="AV160">IF(ISBLANK($A160),0,IF(OR(AV$5-$AI160&lt;=0,$AM160="Não"),K160,K160+INDEX($AO$6:$BR$176,ROW()-5,COLUMN()-40-$AI160)))*IF($B160="Operacional",IFERROR(VLOOKUP($C160,SN_UGC,28,0),0),1)</f>
        <v>0</v>
      </c>
      <c r="AW160" s="140">
        <f t="array" ref="AW160">IF(ISBLANK($A160),0,IF(OR(AW$5-$AI160&lt;=0,$AM160="Não"),L160,L160+INDEX($AO$6:$BR$176,ROW()-5,COLUMN()-40-$AI160)))*IF($B160="Operacional",IFERROR(VLOOKUP($C160,SN_UGC,28,0),0),1)</f>
        <v>0</v>
      </c>
      <c r="AX160" s="140">
        <f t="array" ref="AX160">IF(ISBLANK($A160),0,IF(OR(AX$5-$AI160&lt;=0,$AM160="Não"),M160,M160+INDEX($AO$6:$BR$176,ROW()-5,COLUMN()-40-$AI160)))*IF($B160="Operacional",IFERROR(VLOOKUP($C160,SN_UGC,28,0),0),1)</f>
        <v>0</v>
      </c>
      <c r="AY160" s="140">
        <f t="array" ref="AY160">IF(ISBLANK($A160),0,IF(OR(AY$5-$AI160&lt;=0,$AM160="Não"),N160,N160+INDEX($AO$6:$BR$176,ROW()-5,COLUMN()-40-$AI160)))*IF($B160="Operacional",IFERROR(VLOOKUP($C160,SN_UGC,28,0),0),1)</f>
        <v>0</v>
      </c>
      <c r="AZ160" s="140">
        <f t="array" ref="AZ160">IF(ISBLANK($A160),0,IF(OR(AZ$5-$AI160&lt;=0,$AM160="Não"),O160,O160+INDEX($AO$6:$BR$176,ROW()-5,COLUMN()-40-$AI160)))*IF($B160="Operacional",IFERROR(VLOOKUP($C160,SN_UGC,28,0),0),1)</f>
        <v>0</v>
      </c>
      <c r="BA160" s="140">
        <f t="array" ref="BA160">IF(ISBLANK($A160),0,IF(OR(BA$5-$AI160&lt;=0,$AM160="Não"),P160,P160+INDEX($AO$6:$BR$176,ROW()-5,COLUMN()-40-$AI160)))*IF($B160="Operacional",IFERROR(VLOOKUP($C160,SN_UGC,28,0),0),1)</f>
        <v>0</v>
      </c>
      <c r="BB160" s="140">
        <f t="array" ref="BB160">IF(ISBLANK($A160),0,IF(OR(BB$5-$AI160&lt;=0,$AM160="Não"),Q160,Q160+INDEX($AO$6:$BR$176,ROW()-5,COLUMN()-40-$AI160)))*IF($B160="Operacional",IFERROR(VLOOKUP($C160,SN_UGC,28,0),0),1)</f>
        <v>0</v>
      </c>
      <c r="BC160" s="140">
        <f t="array" ref="BC160">IF(ISBLANK($A160),0,IF(OR(BC$5-$AI160&lt;=0,$AM160="Não"),R160,R160+INDEX($AO$6:$BR$176,ROW()-5,COLUMN()-40-$AI160)))*IF($B160="Operacional",IFERROR(VLOOKUP($C160,SN_UGC,28,0),0),1)</f>
        <v>0</v>
      </c>
      <c r="BD160" s="140">
        <f t="array" ref="BD160">IF(ISBLANK($A160),0,IF(OR(BD$5-$AI160&lt;=0,$AM160="Não"),S160,S160+INDEX($AO$6:$BR$176,ROW()-5,COLUMN()-40-$AI160)))*IF($B160="Operacional",IFERROR(VLOOKUP($C160,SN_UGC,28,0),0),1)</f>
        <v>0</v>
      </c>
      <c r="BE160" s="140">
        <f t="array" ref="BE160">IF(ISBLANK($A160),0,IF(OR(BE$5-$AI160&lt;=0,$AM160="Não"),T160,T160+INDEX($AO$6:$BR$176,ROW()-5,COLUMN()-40-$AI160)))*IF($B160="Operacional",IFERROR(VLOOKUP($C160,SN_UGC,28,0),0),1)</f>
        <v>0</v>
      </c>
      <c r="BF160" s="140">
        <f t="array" ref="BF160">IF(ISBLANK($A160),0,IF(OR(BF$5-$AI160&lt;=0,$AM160="Não"),U160,U160+INDEX($AO$6:$BR$176,ROW()-5,COLUMN()-40-$AI160)))*IF($B160="Operacional",IFERROR(VLOOKUP($C160,SN_UGC,28,0),0),1)</f>
        <v>0</v>
      </c>
      <c r="BG160" s="140">
        <f t="array" ref="BG160">IF(ISBLANK($A160),0,IF(OR(BG$5-$AI160&lt;=0,$AM160="Não"),V160,V160+INDEX($AO$6:$BR$176,ROW()-5,COLUMN()-40-$AI160)))*IF($B160="Operacional",IFERROR(VLOOKUP($C160,SN_UGC,28,0),0),1)</f>
        <v>0</v>
      </c>
      <c r="BH160" s="140">
        <f t="array" ref="BH160">IF(ISBLANK($A160),0,IF(OR(BH$5-$AI160&lt;=0,$AM160="Não"),W160,W160+INDEX($AO$6:$BR$176,ROW()-5,COLUMN()-40-$AI160)))*IF($B160="Operacional",IFERROR(VLOOKUP($C160,SN_UGC,28,0),0),1)</f>
        <v>0</v>
      </c>
      <c r="BI160" s="140">
        <f t="array" ref="BI160">IF(ISBLANK($A160),0,IF(OR(BI$5-$AI160&lt;=0,$AM160="Não"),X160,X160+INDEX($AO$6:$BR$176,ROW()-5,COLUMN()-40-$AI160)))*IF($B160="Operacional",IFERROR(VLOOKUP($C160,SN_UGC,28,0),0),1)</f>
        <v>0</v>
      </c>
      <c r="BJ160" s="140">
        <f t="array" ref="BJ160">IF(ISBLANK($A160),0,IF(OR(BJ$5-$AI160&lt;=0,$AM160="Não"),Y160,Y160+INDEX($AO$6:$BR$176,ROW()-5,COLUMN()-40-$AI160)))*IF($B160="Operacional",IFERROR(VLOOKUP($C160,SN_UGC,28,0),0),1)</f>
        <v>0</v>
      </c>
      <c r="BK160" s="140">
        <f t="array" ref="BK160">IF(ISBLANK($A160),0,IF(OR(BK$5-$AI160&lt;=0,$AM160="Não"),Z160,Z160+INDEX($AO$6:$BR$176,ROW()-5,COLUMN()-40-$AI160)))*IF($B160="Operacional",IFERROR(VLOOKUP($C160,SN_UGC,28,0),0),1)</f>
        <v>0</v>
      </c>
      <c r="BL160" s="140">
        <f t="array" ref="BL160">IF(ISBLANK($A160),0,IF(OR(BL$5-$AI160&lt;=0,$AM160="Não"),AA160,AA160+INDEX($AO$6:$BR$176,ROW()-5,COLUMN()-40-$AI160)))*IF($B160="Operacional",IFERROR(VLOOKUP($C160,SN_UGC,28,0),0),1)</f>
        <v>0</v>
      </c>
      <c r="BM160" s="140">
        <f t="array" ref="BM160">IF(ISBLANK($A160),0,IF(OR(BM$5-$AI160&lt;=0,$AM160="Não"),AB160,AB160+INDEX($AO$6:$BR$176,ROW()-5,COLUMN()-40-$AI160)))*IF($B160="Operacional",IFERROR(VLOOKUP($C160,SN_UGC,28,0),0),1)</f>
        <v>0</v>
      </c>
      <c r="BN160" s="140">
        <f t="array" ref="BN160">IF(ISBLANK($A160),0,IF(OR(BN$5-$AI160&lt;=0,$AM160="Não"),AC160,AC160+INDEX($AO$6:$BR$176,ROW()-5,COLUMN()-40-$AI160)))*IF($B160="Operacional",IFERROR(VLOOKUP($C160,SN_UGC,28,0),0),1)</f>
        <v>0</v>
      </c>
      <c r="BO160" s="140">
        <f t="array" ref="BO160">IF(ISBLANK($A160),0,IF(OR(BO$5-$AI160&lt;=0,$AM160="Não"),AD160,AD160+INDEX($AO$6:$BR$176,ROW()-5,COLUMN()-40-$AI160)))*IF($B160="Operacional",IFERROR(VLOOKUP($C160,SN_UGC,28,0),0),1)</f>
        <v>0</v>
      </c>
      <c r="BP160" s="140">
        <f t="array" ref="BP160">IF(ISBLANK($A160),0,IF(OR(BP$5-$AI160&lt;=0,$AM160="Não"),AE160,AE160+INDEX($AO$6:$BR$176,ROW()-5,COLUMN()-40-$AI160)))*IF($B160="Operacional",IFERROR(VLOOKUP($C160,SN_UGC,28,0),0),1)</f>
        <v>0</v>
      </c>
      <c r="BQ160" s="140">
        <f t="array" ref="BQ160">IF(ISBLANK($A160),0,IF(OR(BQ$5-$AI160&lt;=0,$AM160="Não"),AF160,AF160+INDEX($AO$6:$BR$176,ROW()-5,COLUMN()-40-$AI160)))*IF($B160="Operacional",IFERROR(VLOOKUP($C160,SN_UGC,28,0),0),1)</f>
        <v>0</v>
      </c>
      <c r="BR160" s="140">
        <f t="array" ref="BR160">IF(ISBLANK($A160),0,IF(OR(BR$5-$AI160&lt;=0,$AM160="Não"),AG160,AG160+INDEX($AO$6:$BR$176,ROW()-5,COLUMN()-40-$AI160)))*IF($B160="Operacional",IFERROR(VLOOKUP($C160,SN_UGC,28,0),0),1)</f>
        <v>0</v>
      </c>
      <c r="BS160" s="141">
        <f t="shared" ref="BS160:CV160" si="809">IF(ISBLANK($A160),0,$AH160*AO160)</f>
        <v>0</v>
      </c>
      <c r="BT160" s="141">
        <f t="shared" si="809"/>
        <v>0</v>
      </c>
      <c r="BU160" s="141">
        <f t="shared" si="809"/>
        <v>0</v>
      </c>
      <c r="BV160" s="141">
        <f t="shared" si="809"/>
        <v>0</v>
      </c>
      <c r="BW160" s="141">
        <f t="shared" si="809"/>
        <v>0</v>
      </c>
      <c r="BX160" s="141">
        <f t="shared" si="809"/>
        <v>0</v>
      </c>
      <c r="BY160" s="141">
        <f t="shared" si="809"/>
        <v>0</v>
      </c>
      <c r="BZ160" s="141">
        <f t="shared" si="809"/>
        <v>0</v>
      </c>
      <c r="CA160" s="141">
        <f t="shared" si="809"/>
        <v>0</v>
      </c>
      <c r="CB160" s="141">
        <f t="shared" si="809"/>
        <v>0</v>
      </c>
      <c r="CC160" s="141">
        <f t="shared" si="809"/>
        <v>0</v>
      </c>
      <c r="CD160" s="141">
        <f t="shared" si="809"/>
        <v>0</v>
      </c>
      <c r="CE160" s="141">
        <f t="shared" si="809"/>
        <v>0</v>
      </c>
      <c r="CF160" s="141">
        <f t="shared" si="809"/>
        <v>0</v>
      </c>
      <c r="CG160" s="141">
        <f t="shared" si="809"/>
        <v>0</v>
      </c>
      <c r="CH160" s="141">
        <f t="shared" si="809"/>
        <v>0</v>
      </c>
      <c r="CI160" s="141">
        <f t="shared" si="809"/>
        <v>0</v>
      </c>
      <c r="CJ160" s="141">
        <f t="shared" si="809"/>
        <v>0</v>
      </c>
      <c r="CK160" s="141">
        <f t="shared" si="809"/>
        <v>0</v>
      </c>
      <c r="CL160" s="141">
        <f t="shared" si="809"/>
        <v>0</v>
      </c>
      <c r="CM160" s="141">
        <f t="shared" si="809"/>
        <v>0</v>
      </c>
      <c r="CN160" s="141">
        <f t="shared" si="809"/>
        <v>0</v>
      </c>
      <c r="CO160" s="141">
        <f t="shared" si="809"/>
        <v>0</v>
      </c>
      <c r="CP160" s="141">
        <f t="shared" si="809"/>
        <v>0</v>
      </c>
      <c r="CQ160" s="141">
        <f t="shared" si="809"/>
        <v>0</v>
      </c>
      <c r="CR160" s="141">
        <f t="shared" si="809"/>
        <v>0</v>
      </c>
      <c r="CS160" s="141">
        <f t="shared" si="809"/>
        <v>0</v>
      </c>
      <c r="CT160" s="141">
        <f t="shared" si="809"/>
        <v>0</v>
      </c>
      <c r="CU160" s="141">
        <f t="shared" si="809"/>
        <v>0</v>
      </c>
      <c r="CV160" s="141">
        <f t="shared" si="809"/>
        <v>0</v>
      </c>
      <c r="CW160" s="142">
        <f t="shared" ref="CW160:DZ160" si="810">EA160*$AH160*$AJ160</f>
        <v>0</v>
      </c>
      <c r="CX160" s="142">
        <f t="shared" si="810"/>
        <v>0</v>
      </c>
      <c r="CY160" s="142">
        <f t="shared" si="810"/>
        <v>0</v>
      </c>
      <c r="CZ160" s="142">
        <f t="shared" si="810"/>
        <v>0</v>
      </c>
      <c r="DA160" s="142">
        <f t="shared" si="810"/>
        <v>0</v>
      </c>
      <c r="DB160" s="142">
        <f t="shared" si="810"/>
        <v>0</v>
      </c>
      <c r="DC160" s="142">
        <f t="shared" si="810"/>
        <v>0</v>
      </c>
      <c r="DD160" s="142">
        <f t="shared" si="810"/>
        <v>0</v>
      </c>
      <c r="DE160" s="142">
        <f t="shared" si="810"/>
        <v>0</v>
      </c>
      <c r="DF160" s="142">
        <f t="shared" si="810"/>
        <v>0</v>
      </c>
      <c r="DG160" s="142">
        <f t="shared" si="810"/>
        <v>0</v>
      </c>
      <c r="DH160" s="142">
        <f t="shared" si="810"/>
        <v>0</v>
      </c>
      <c r="DI160" s="142">
        <f t="shared" si="810"/>
        <v>0</v>
      </c>
      <c r="DJ160" s="142">
        <f t="shared" si="810"/>
        <v>0</v>
      </c>
      <c r="DK160" s="142">
        <f t="shared" si="810"/>
        <v>0</v>
      </c>
      <c r="DL160" s="142">
        <f t="shared" si="810"/>
        <v>0</v>
      </c>
      <c r="DM160" s="142">
        <f t="shared" si="810"/>
        <v>0</v>
      </c>
      <c r="DN160" s="142">
        <f t="shared" si="810"/>
        <v>0</v>
      </c>
      <c r="DO160" s="142">
        <f t="shared" si="810"/>
        <v>0</v>
      </c>
      <c r="DP160" s="142">
        <f t="shared" si="810"/>
        <v>0</v>
      </c>
      <c r="DQ160" s="142">
        <f t="shared" si="810"/>
        <v>0</v>
      </c>
      <c r="DR160" s="142">
        <f t="shared" si="810"/>
        <v>0</v>
      </c>
      <c r="DS160" s="142">
        <f t="shared" si="810"/>
        <v>0</v>
      </c>
      <c r="DT160" s="142">
        <f t="shared" si="810"/>
        <v>0</v>
      </c>
      <c r="DU160" s="142">
        <f t="shared" si="810"/>
        <v>0</v>
      </c>
      <c r="DV160" s="142">
        <f t="shared" si="810"/>
        <v>0</v>
      </c>
      <c r="DW160" s="142">
        <f t="shared" si="810"/>
        <v>0</v>
      </c>
      <c r="DX160" s="142">
        <f t="shared" si="810"/>
        <v>0</v>
      </c>
      <c r="DY160" s="142">
        <f t="shared" si="810"/>
        <v>0</v>
      </c>
      <c r="DZ160" s="142">
        <f t="shared" si="810"/>
        <v>0</v>
      </c>
      <c r="EA160" s="143">
        <f t="shared" si="670"/>
        <v>0</v>
      </c>
      <c r="EB160" s="143">
        <f t="shared" si="671"/>
        <v>0</v>
      </c>
      <c r="EC160" s="143">
        <f t="shared" si="672"/>
        <v>0</v>
      </c>
      <c r="ED160" s="143">
        <f t="shared" si="673"/>
        <v>0</v>
      </c>
      <c r="EE160" s="143">
        <f t="shared" si="674"/>
        <v>0</v>
      </c>
      <c r="EF160" s="143">
        <f t="shared" si="675"/>
        <v>0</v>
      </c>
      <c r="EG160" s="143">
        <f t="shared" si="676"/>
        <v>0</v>
      </c>
      <c r="EH160" s="143">
        <f t="shared" si="677"/>
        <v>0</v>
      </c>
      <c r="EI160" s="143">
        <f t="shared" si="678"/>
        <v>0</v>
      </c>
      <c r="EJ160" s="143">
        <f t="shared" si="679"/>
        <v>0</v>
      </c>
      <c r="EK160" s="143">
        <f t="shared" si="680"/>
        <v>0</v>
      </c>
      <c r="EL160" s="143">
        <f t="shared" si="681"/>
        <v>0</v>
      </c>
      <c r="EM160" s="143">
        <f t="shared" si="682"/>
        <v>0</v>
      </c>
      <c r="EN160" s="143">
        <f t="shared" si="683"/>
        <v>0</v>
      </c>
      <c r="EO160" s="143">
        <f t="shared" si="684"/>
        <v>0</v>
      </c>
      <c r="EP160" s="143">
        <f t="shared" si="685"/>
        <v>0</v>
      </c>
      <c r="EQ160" s="143">
        <f t="shared" si="686"/>
        <v>0</v>
      </c>
      <c r="ER160" s="143">
        <f t="shared" si="687"/>
        <v>0</v>
      </c>
      <c r="ES160" s="143">
        <f t="shared" si="688"/>
        <v>0</v>
      </c>
      <c r="ET160" s="143">
        <f t="shared" si="689"/>
        <v>0</v>
      </c>
      <c r="EU160" s="143">
        <f t="shared" si="690"/>
        <v>0</v>
      </c>
      <c r="EV160" s="143">
        <f t="shared" si="691"/>
        <v>0</v>
      </c>
      <c r="EW160" s="143">
        <f t="shared" si="692"/>
        <v>0</v>
      </c>
      <c r="EX160" s="143">
        <f t="shared" si="693"/>
        <v>0</v>
      </c>
      <c r="EY160" s="143">
        <f t="shared" si="694"/>
        <v>0</v>
      </c>
      <c r="EZ160" s="143">
        <f t="shared" si="695"/>
        <v>0</v>
      </c>
      <c r="FA160" s="143">
        <f t="shared" si="696"/>
        <v>0</v>
      </c>
      <c r="FB160" s="143">
        <f t="shared" si="697"/>
        <v>0</v>
      </c>
      <c r="FC160" s="143">
        <f t="shared" si="698"/>
        <v>0</v>
      </c>
      <c r="FD160" s="143">
        <f t="shared" si="699"/>
        <v>0</v>
      </c>
      <c r="FE160" s="140">
        <f>SUM($D160:D160)*IF($B160="Operacional",IFERROR(VLOOKUP($C160,SN_UGC,28,0),0),1)</f>
        <v>0</v>
      </c>
      <c r="FF160" s="140">
        <f>SUM($D160:E160)*IF($B160="Operacional",IFERROR(VLOOKUP($C160,SN_UGC,28,0),0),1)</f>
        <v>0</v>
      </c>
      <c r="FG160" s="140">
        <f>SUM($D160:F160)*IF($B160="Operacional",IFERROR(VLOOKUP($C160,SN_UGC,28,0),0),1)</f>
        <v>0</v>
      </c>
      <c r="FH160" s="140">
        <f>SUM($D160:G160)*IF($B160="Operacional",IFERROR(VLOOKUP($C160,SN_UGC,28,0),0),1)</f>
        <v>0</v>
      </c>
      <c r="FI160" s="140">
        <f>SUM($D160:H160)*IF($B160="Operacional",IFERROR(VLOOKUP($C160,SN_UGC,28,0),0),1)</f>
        <v>0</v>
      </c>
      <c r="FJ160" s="140">
        <f>SUM($D160:I160)*IF($B160="Operacional",IFERROR(VLOOKUP($C160,SN_UGC,28,0),0),1)</f>
        <v>0</v>
      </c>
      <c r="FK160" s="140">
        <f>SUM($D160:J160)*IF($B160="Operacional",IFERROR(VLOOKUP($C160,SN_UGC,28,0),0),1)</f>
        <v>0</v>
      </c>
      <c r="FL160" s="140">
        <f>SUM($D160:K160)*IF($B160="Operacional",IFERROR(VLOOKUP($C160,SN_UGC,28,0),0),1)</f>
        <v>0</v>
      </c>
      <c r="FM160" s="140">
        <f>SUM($D160:L160)*IF($B160="Operacional",IFERROR(VLOOKUP($C160,SN_UGC,28,0),0),1)</f>
        <v>0</v>
      </c>
      <c r="FN160" s="140">
        <f>SUM($D160:M160)*IF($B160="Operacional",IFERROR(VLOOKUP($C160,SN_UGC,28,0),0),1)</f>
        <v>0</v>
      </c>
      <c r="FO160" s="140">
        <f>SUM($D160:N160)*IF($B160="Operacional",IFERROR(VLOOKUP($C160,SN_UGC,28,0),0),1)</f>
        <v>0</v>
      </c>
      <c r="FP160" s="140">
        <f>SUM($D160:O160)*IF($B160="Operacional",IFERROR(VLOOKUP($C160,SN_UGC,28,0),0),1)</f>
        <v>0</v>
      </c>
      <c r="FQ160" s="140">
        <f>SUM($D160:P160)*IF($B160="Operacional",IFERROR(VLOOKUP($C160,SN_UGC,28,0),0),1)</f>
        <v>0</v>
      </c>
      <c r="FR160" s="140">
        <f>SUM($D160:Q160)*IF($B160="Operacional",IFERROR(VLOOKUP($C160,SN_UGC,28,0),0),1)</f>
        <v>0</v>
      </c>
      <c r="FS160" s="140">
        <f>SUM($D160:R160)*IF($B160="Operacional",IFERROR(VLOOKUP($C160,SN_UGC,28,0),0),1)</f>
        <v>0</v>
      </c>
      <c r="FT160" s="140">
        <f>SUM($D160:S160)*IF($B160="Operacional",IFERROR(VLOOKUP($C160,SN_UGC,28,0),0),1)</f>
        <v>0</v>
      </c>
      <c r="FU160" s="140">
        <f>SUM($D160:T160)*IF($B160="Operacional",IFERROR(VLOOKUP($C160,SN_UGC,28,0),0),1)</f>
        <v>0</v>
      </c>
      <c r="FV160" s="140">
        <f>SUM($D160:U160)*IF($B160="Operacional",IFERROR(VLOOKUP($C160,SN_UGC,28,0),0),1)</f>
        <v>0</v>
      </c>
      <c r="FW160" s="140">
        <f>SUM($D160:V160)*IF($B160="Operacional",IFERROR(VLOOKUP($C160,SN_UGC,28,0),0),1)</f>
        <v>0</v>
      </c>
      <c r="FX160" s="140">
        <f>SUM($D160:W160)*IF($B160="Operacional",IFERROR(VLOOKUP($C160,SN_UGC,28,0),0),1)</f>
        <v>0</v>
      </c>
      <c r="FY160" s="140">
        <f>SUM($D160:X160)*IF($B160="Operacional",IFERROR(VLOOKUP($C160,SN_UGC,28,0),0),1)</f>
        <v>0</v>
      </c>
      <c r="FZ160" s="140">
        <f>SUM($D160:Y160)*IF($B160="Operacional",IFERROR(VLOOKUP($C160,SN_UGC,28,0),0),1)</f>
        <v>0</v>
      </c>
      <c r="GA160" s="140">
        <f>SUM($D160:Z160)*IF($B160="Operacional",IFERROR(VLOOKUP($C160,SN_UGC,28,0),0),1)</f>
        <v>0</v>
      </c>
      <c r="GB160" s="140">
        <f>SUM($D160:AA160)*IF($B160="Operacional",IFERROR(VLOOKUP($C160,SN_UGC,28,0),0),1)</f>
        <v>0</v>
      </c>
      <c r="GC160" s="140">
        <f>SUM($D160:AB160)*IF($B160="Operacional",IFERROR(VLOOKUP($C160,SN_UGC,28,0),0),1)</f>
        <v>0</v>
      </c>
      <c r="GD160" s="140">
        <f>SUM($D160:AC160)*IF($B160="Operacional",IFERROR(VLOOKUP($C160,SN_UGC,28,0),0),1)</f>
        <v>0</v>
      </c>
      <c r="GE160" s="140">
        <f>SUM($D160:AD160)*IF($B160="Operacional",IFERROR(VLOOKUP($C160,SN_UGC,28,0),0),1)</f>
        <v>0</v>
      </c>
      <c r="GF160" s="140">
        <f>SUM($D160:AE160)*IF($B160="Operacional",IFERROR(VLOOKUP($C160,SN_UGC,28,0),0),1)</f>
        <v>0</v>
      </c>
      <c r="GG160" s="140">
        <f>SUM($D160:AF160)*IF($B160="Operacional",IFERROR(VLOOKUP($C160,SN_UGC,28,0),0),1)</f>
        <v>0</v>
      </c>
      <c r="GH160" s="140">
        <f>SUM($D160:AG160)*IF($B160="Operacional",IFERROR(VLOOKUP($C160,SN_UGC,28,0),0),1)</f>
        <v>0</v>
      </c>
      <c r="GI160" s="141">
        <f t="shared" ref="GI160:HL160" si="811">FE160*$AH160*$AL160</f>
        <v>0</v>
      </c>
      <c r="GJ160" s="141">
        <f t="shared" si="811"/>
        <v>0</v>
      </c>
      <c r="GK160" s="141">
        <f t="shared" si="811"/>
        <v>0</v>
      </c>
      <c r="GL160" s="141">
        <f t="shared" si="811"/>
        <v>0</v>
      </c>
      <c r="GM160" s="141">
        <f t="shared" si="811"/>
        <v>0</v>
      </c>
      <c r="GN160" s="141">
        <f t="shared" si="811"/>
        <v>0</v>
      </c>
      <c r="GO160" s="141">
        <f t="shared" si="811"/>
        <v>0</v>
      </c>
      <c r="GP160" s="141">
        <f t="shared" si="811"/>
        <v>0</v>
      </c>
      <c r="GQ160" s="141">
        <f t="shared" si="811"/>
        <v>0</v>
      </c>
      <c r="GR160" s="141">
        <f t="shared" si="811"/>
        <v>0</v>
      </c>
      <c r="GS160" s="141">
        <f t="shared" si="811"/>
        <v>0</v>
      </c>
      <c r="GT160" s="141">
        <f t="shared" si="811"/>
        <v>0</v>
      </c>
      <c r="GU160" s="141">
        <f t="shared" si="811"/>
        <v>0</v>
      </c>
      <c r="GV160" s="141">
        <f t="shared" si="811"/>
        <v>0</v>
      </c>
      <c r="GW160" s="141">
        <f t="shared" si="811"/>
        <v>0</v>
      </c>
      <c r="GX160" s="141">
        <f t="shared" si="811"/>
        <v>0</v>
      </c>
      <c r="GY160" s="141">
        <f t="shared" si="811"/>
        <v>0</v>
      </c>
      <c r="GZ160" s="141">
        <f t="shared" si="811"/>
        <v>0</v>
      </c>
      <c r="HA160" s="141">
        <f t="shared" si="811"/>
        <v>0</v>
      </c>
      <c r="HB160" s="141">
        <f t="shared" si="811"/>
        <v>0</v>
      </c>
      <c r="HC160" s="141">
        <f t="shared" si="811"/>
        <v>0</v>
      </c>
      <c r="HD160" s="141">
        <f t="shared" si="811"/>
        <v>0</v>
      </c>
      <c r="HE160" s="141">
        <f t="shared" si="811"/>
        <v>0</v>
      </c>
      <c r="HF160" s="141">
        <f t="shared" si="811"/>
        <v>0</v>
      </c>
      <c r="HG160" s="141">
        <f t="shared" si="811"/>
        <v>0</v>
      </c>
      <c r="HH160" s="141">
        <f t="shared" si="811"/>
        <v>0</v>
      </c>
      <c r="HI160" s="141">
        <f t="shared" si="811"/>
        <v>0</v>
      </c>
      <c r="HJ160" s="141">
        <f t="shared" si="811"/>
        <v>0</v>
      </c>
      <c r="HK160" s="141">
        <f t="shared" si="811"/>
        <v>0</v>
      </c>
      <c r="HL160" s="141">
        <f t="shared" si="811"/>
        <v>0</v>
      </c>
      <c r="HM160" s="142">
        <f t="shared" ref="HM160:IP160" si="812">IF(ISBLANK($A160),,FE160*($AH160-($AH160*$AJ160))/$AI160)</f>
        <v>0</v>
      </c>
      <c r="HN160" s="142">
        <f t="shared" si="812"/>
        <v>0</v>
      </c>
      <c r="HO160" s="142">
        <f t="shared" si="812"/>
        <v>0</v>
      </c>
      <c r="HP160" s="142">
        <f t="shared" si="812"/>
        <v>0</v>
      </c>
      <c r="HQ160" s="142">
        <f t="shared" si="812"/>
        <v>0</v>
      </c>
      <c r="HR160" s="142">
        <f t="shared" si="812"/>
        <v>0</v>
      </c>
      <c r="HS160" s="142">
        <f t="shared" si="812"/>
        <v>0</v>
      </c>
      <c r="HT160" s="142">
        <f t="shared" si="812"/>
        <v>0</v>
      </c>
      <c r="HU160" s="142">
        <f t="shared" si="812"/>
        <v>0</v>
      </c>
      <c r="HV160" s="142">
        <f t="shared" si="812"/>
        <v>0</v>
      </c>
      <c r="HW160" s="142">
        <f t="shared" si="812"/>
        <v>0</v>
      </c>
      <c r="HX160" s="142">
        <f t="shared" si="812"/>
        <v>0</v>
      </c>
      <c r="HY160" s="142">
        <f t="shared" si="812"/>
        <v>0</v>
      </c>
      <c r="HZ160" s="142">
        <f t="shared" si="812"/>
        <v>0</v>
      </c>
      <c r="IA160" s="142">
        <f t="shared" si="812"/>
        <v>0</v>
      </c>
      <c r="IB160" s="142">
        <f t="shared" si="812"/>
        <v>0</v>
      </c>
      <c r="IC160" s="142">
        <f t="shared" si="812"/>
        <v>0</v>
      </c>
      <c r="ID160" s="142">
        <f t="shared" si="812"/>
        <v>0</v>
      </c>
      <c r="IE160" s="142">
        <f t="shared" si="812"/>
        <v>0</v>
      </c>
      <c r="IF160" s="142">
        <f t="shared" si="812"/>
        <v>0</v>
      </c>
      <c r="IG160" s="142">
        <f t="shared" si="812"/>
        <v>0</v>
      </c>
      <c r="IH160" s="142">
        <f t="shared" si="812"/>
        <v>0</v>
      </c>
      <c r="II160" s="142">
        <f t="shared" si="812"/>
        <v>0</v>
      </c>
      <c r="IJ160" s="142">
        <f t="shared" si="812"/>
        <v>0</v>
      </c>
      <c r="IK160" s="142">
        <f t="shared" si="812"/>
        <v>0</v>
      </c>
      <c r="IL160" s="142">
        <f t="shared" si="812"/>
        <v>0</v>
      </c>
      <c r="IM160" s="142">
        <f t="shared" si="812"/>
        <v>0</v>
      </c>
      <c r="IN160" s="142">
        <f t="shared" si="812"/>
        <v>0</v>
      </c>
      <c r="IO160" s="142">
        <f t="shared" si="812"/>
        <v>0</v>
      </c>
      <c r="IP160" s="142">
        <f t="shared" si="812"/>
        <v>0</v>
      </c>
      <c r="IQ160" s="141">
        <f>IF(ISBLANK($A160),,IF($AN160="Não",0,(SUM($AO160:AO160)*$AH160)-SUM($HM160:HM160)-SUM($CW160:CW160)))</f>
        <v>0</v>
      </c>
      <c r="IR160" s="141">
        <f>IF(ISBLANK($A160),,IF($AN160="Não",0,(SUM($AO160:AP160)*$AH160)-SUM($HM160:HN160)-SUM($CW160:CX160)))</f>
        <v>0</v>
      </c>
      <c r="IS160" s="141">
        <f>IF(ISBLANK($A160),,IF($AN160="Não",0,(SUM($AO160:AQ160)*$AH160)-SUM($HM160:HO160)-SUM($CW160:CY160)))</f>
        <v>0</v>
      </c>
      <c r="IT160" s="141">
        <f>IF(ISBLANK($A160),,IF($AN160="Não",0,(SUM($AO160:AR160)*$AH160)-SUM($HM160:HP160)-SUM($CW160:CZ160)))</f>
        <v>0</v>
      </c>
      <c r="IU160" s="141">
        <f>IF(ISBLANK($A160),,IF($AN160="Não",0,(SUM($AO160:AS160)*$AH160)-SUM($HM160:HQ160)-SUM($CW160:DA160)))</f>
        <v>0</v>
      </c>
      <c r="IV160" s="141">
        <f>IF(ISBLANK($A160),,IF($AN160="Não",0,(SUM($AO160:AT160)*$AH160)-SUM($HM160:HR160)-SUM($CW160:DB160)))</f>
        <v>0</v>
      </c>
      <c r="IW160" s="141">
        <f>IF(ISBLANK($A160),,IF($AN160="Não",0,(SUM($AO160:AU160)*$AH160)-SUM($HM160:HS160)-SUM($CW160:DC160)))</f>
        <v>0</v>
      </c>
      <c r="IX160" s="141">
        <f>IF(ISBLANK($A160),,IF($AN160="Não",0,(SUM($AO160:AV160)*$AH160)-SUM($HM160:HT160)-SUM($CW160:DD160)))</f>
        <v>0</v>
      </c>
      <c r="IY160" s="141">
        <f>IF(ISBLANK($A160),,IF($AN160="Não",0,(SUM($AO160:AW160)*$AH160)-SUM($HM160:HU160)-SUM($CW160:DE160)))</f>
        <v>0</v>
      </c>
      <c r="IZ160" s="141">
        <f>IF(ISBLANK($A160),,IF($AN160="Não",0,(SUM($AO160:AX160)*$AH160)-SUM($HM160:HV160)-SUM($CW160:DF160)))</f>
        <v>0</v>
      </c>
      <c r="JA160" s="141">
        <f>IF(ISBLANK($A160),,IF($AN160="Não",0,(SUM($AO160:AY160)*$AH160)-SUM($HM160:HW160)-SUM($CW160:DG160)))</f>
        <v>0</v>
      </c>
      <c r="JB160" s="141">
        <f>IF(ISBLANK($A160),,IF($AN160="Não",0,(SUM($AO160:AZ160)*$AH160)-SUM($HM160:HX160)-SUM($CW160:DH160)))</f>
        <v>0</v>
      </c>
      <c r="JC160" s="141">
        <f>IF(ISBLANK($A160),,IF($AN160="Não",0,(SUM($AO160:BA160)*$AH160)-SUM($HM160:HY160)-SUM($CW160:DI160)))</f>
        <v>0</v>
      </c>
      <c r="JD160" s="141">
        <f>IF(ISBLANK($A160),,IF($AN160="Não",0,(SUM($AO160:BB160)*$AH160)-SUM($HM160:HZ160)-SUM($CW160:DJ160)))</f>
        <v>0</v>
      </c>
      <c r="JE160" s="141">
        <f>IF(ISBLANK($A160),,IF($AN160="Não",0,(SUM($AO160:BC160)*$AH160)-SUM($HM160:IA160)-SUM($CW160:DK160)))</f>
        <v>0</v>
      </c>
      <c r="JF160" s="141">
        <f>IF(ISBLANK($A160),,IF($AN160="Não",0,(SUM($AO160:BD160)*$AH160)-SUM($HM160:IB160)-SUM($CW160:DL160)))</f>
        <v>0</v>
      </c>
      <c r="JG160" s="141">
        <f>IF(ISBLANK($A160),,IF($AN160="Não",0,(SUM($AO160:BE160)*$AH160)-SUM($HM160:IC160)-SUM($CW160:DM160)))</f>
        <v>0</v>
      </c>
      <c r="JH160" s="141">
        <f>IF(ISBLANK($A160),,IF($AN160="Não",0,(SUM($AO160:BF160)*$AH160)-SUM($HM160:ID160)-SUM($CW160:DN160)))</f>
        <v>0</v>
      </c>
      <c r="JI160" s="141">
        <f>IF(ISBLANK($A160),,IF($AN160="Não",0,(SUM($AO160:BG160)*$AH160)-SUM($HM160:IE160)-SUM($CW160:DO160)))</f>
        <v>0</v>
      </c>
      <c r="JJ160" s="141">
        <f>IF(ISBLANK($A160),,IF($AN160="Não",0,(SUM($AO160:BH160)*$AH160)-SUM($HM160:IF160)-SUM($CW160:DP160)))</f>
        <v>0</v>
      </c>
      <c r="JK160" s="141">
        <f>IF(ISBLANK($A160),,IF($AN160="Não",0,(SUM($AO160:BI160)*$AH160)-SUM($HM160:IG160)-SUM($CW160:DQ160)))</f>
        <v>0</v>
      </c>
      <c r="JL160" s="141">
        <f>IF(ISBLANK($A160),,IF($AN160="Não",0,(SUM($AO160:BJ160)*$AH160)-SUM($HM160:IH160)-SUM($CW160:DR160)))</f>
        <v>0</v>
      </c>
      <c r="JM160" s="141">
        <f>IF(ISBLANK($A160),,IF($AN160="Não",0,(SUM($AO160:BK160)*$AH160)-SUM($HM160:II160)-SUM($CW160:DS160)))</f>
        <v>0</v>
      </c>
      <c r="JN160" s="141">
        <f>IF(ISBLANK($A160),,IF($AN160="Não",0,(SUM($AO160:BL160)*$AH160)-SUM($HM160:IJ160)-SUM($CW160:DT160)))</f>
        <v>0</v>
      </c>
      <c r="JO160" s="141">
        <f>IF(ISBLANK($A160),,IF($AN160="Não",0,(SUM($AO160:BM160)*$AH160)-SUM($HM160:IK160)-SUM($CW160:DU160)))</f>
        <v>0</v>
      </c>
      <c r="JP160" s="141">
        <f>IF(ISBLANK($A160),,IF($AN160="Não",0,(SUM($AO160:BN160)*$AH160)-SUM($HM160:IL160)-SUM($CW160:DV160)))</f>
        <v>0</v>
      </c>
      <c r="JQ160" s="141">
        <f>IF(ISBLANK($A160),,IF($AN160="Não",0,(SUM($AO160:BO160)*$AH160)-SUM($HM160:IM160)-SUM($CW160:DW160)))</f>
        <v>0</v>
      </c>
      <c r="JR160" s="141">
        <f>IF(ISBLANK($A160),,IF($AN160="Não",0,(SUM($AO160:BP160)*$AH160)-SUM($HM160:IN160)-SUM($CW160:DX160)))</f>
        <v>0</v>
      </c>
      <c r="JS160" s="141">
        <f>IF(ISBLANK($A160),,IF($AN160="Não",0,(SUM($AO160:BQ160)*$AH160)-SUM($HM160:IO160)-SUM($CW160:DY160)))</f>
        <v>0</v>
      </c>
      <c r="JT160" s="141">
        <f>IF(ISBLANK($A160),,IF($AN160="Não",0,(SUM($AO160:BR160)*$AH160)-SUM($HM160:IP160)-SUM($CW160:DZ160)))</f>
        <v>0</v>
      </c>
    </row>
    <row r="161" spans="1:280" ht="15.75" customHeight="1">
      <c r="A161" s="129"/>
      <c r="B161" s="129"/>
      <c r="C161" s="138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607">
        <f t="shared" si="710"/>
        <v>0</v>
      </c>
      <c r="AI161" s="608">
        <f t="shared" si="711"/>
        <v>0</v>
      </c>
      <c r="AJ161" s="609">
        <f t="shared" si="712"/>
        <v>0</v>
      </c>
      <c r="AK161" s="610" t="str">
        <f t="shared" si="713"/>
        <v/>
      </c>
      <c r="AL161" s="609">
        <f t="shared" si="714"/>
        <v>0</v>
      </c>
      <c r="AM161" s="611" t="str">
        <f t="shared" si="715"/>
        <v/>
      </c>
      <c r="AN161" s="611" t="str">
        <f t="shared" si="716"/>
        <v/>
      </c>
      <c r="AO161" s="140">
        <f t="array" ref="AO161">IF(ISBLANK($A161),0,IF(OR(AO$5-$AI161&lt;=0,$AM161="Não"),D161,D161+INDEX($AO$6:$BR$176,ROW()-5,COLUMN()-40-$AI161)))*IF($B161="Operacional",IFERROR(VLOOKUP($C161,SN_UGC,28,0),0),1)</f>
        <v>0</v>
      </c>
      <c r="AP161" s="140">
        <f t="array" ref="AP161">IF(ISBLANK($A161),0,IF(OR(AP$5-$AI161&lt;=0,$AM161="Não"),E161,E161+INDEX($AO$6:$BR$176,ROW()-5,COLUMN()-40-$AI161)))*IF($B161="Operacional",IFERROR(VLOOKUP($C161,SN_UGC,28,0),0),1)</f>
        <v>0</v>
      </c>
      <c r="AQ161" s="140">
        <f t="array" ref="AQ161">IF(ISBLANK($A161),0,IF(OR(AQ$5-$AI161&lt;=0,$AM161="Não"),F161,F161+INDEX($AO$6:$BR$176,ROW()-5,COLUMN()-40-$AI161)))*IF($B161="Operacional",IFERROR(VLOOKUP($C161,SN_UGC,28,0),0),1)</f>
        <v>0</v>
      </c>
      <c r="AR161" s="140">
        <f t="array" ref="AR161">IF(ISBLANK($A161),0,IF(OR(AR$5-$AI161&lt;=0,$AM161="Não"),G161,G161+INDEX($AO$6:$BR$176,ROW()-5,COLUMN()-40-$AI161)))*IF($B161="Operacional",IFERROR(VLOOKUP($C161,SN_UGC,28,0),0),1)</f>
        <v>0</v>
      </c>
      <c r="AS161" s="140">
        <f t="array" ref="AS161">IF(ISBLANK($A161),0,IF(OR(AS$5-$AI161&lt;=0,$AM161="Não"),H161,H161+INDEX($AO$6:$BR$176,ROW()-5,COLUMN()-40-$AI161)))*IF($B161="Operacional",IFERROR(VLOOKUP($C161,SN_UGC,28,0),0),1)</f>
        <v>0</v>
      </c>
      <c r="AT161" s="140">
        <f t="array" ref="AT161">IF(ISBLANK($A161),0,IF(OR(AT$5-$AI161&lt;=0,$AM161="Não"),I161,I161+INDEX($AO$6:$BR$176,ROW()-5,COLUMN()-40-$AI161)))*IF($B161="Operacional",IFERROR(VLOOKUP($C161,SN_UGC,28,0),0),1)</f>
        <v>0</v>
      </c>
      <c r="AU161" s="140">
        <f t="array" ref="AU161">IF(ISBLANK($A161),0,IF(OR(AU$5-$AI161&lt;=0,$AM161="Não"),J161,J161+INDEX($AO$6:$BR$176,ROW()-5,COLUMN()-40-$AI161)))*IF($B161="Operacional",IFERROR(VLOOKUP($C161,SN_UGC,28,0),0),1)</f>
        <v>0</v>
      </c>
      <c r="AV161" s="140">
        <f t="array" ref="AV161">IF(ISBLANK($A161),0,IF(OR(AV$5-$AI161&lt;=0,$AM161="Não"),K161,K161+INDEX($AO$6:$BR$176,ROW()-5,COLUMN()-40-$AI161)))*IF($B161="Operacional",IFERROR(VLOOKUP($C161,SN_UGC,28,0),0),1)</f>
        <v>0</v>
      </c>
      <c r="AW161" s="140">
        <f t="array" ref="AW161">IF(ISBLANK($A161),0,IF(OR(AW$5-$AI161&lt;=0,$AM161="Não"),L161,L161+INDEX($AO$6:$BR$176,ROW()-5,COLUMN()-40-$AI161)))*IF($B161="Operacional",IFERROR(VLOOKUP($C161,SN_UGC,28,0),0),1)</f>
        <v>0</v>
      </c>
      <c r="AX161" s="140">
        <f t="array" ref="AX161">IF(ISBLANK($A161),0,IF(OR(AX$5-$AI161&lt;=0,$AM161="Não"),M161,M161+INDEX($AO$6:$BR$176,ROW()-5,COLUMN()-40-$AI161)))*IF($B161="Operacional",IFERROR(VLOOKUP($C161,SN_UGC,28,0),0),1)</f>
        <v>0</v>
      </c>
      <c r="AY161" s="140">
        <f t="array" ref="AY161">IF(ISBLANK($A161),0,IF(OR(AY$5-$AI161&lt;=0,$AM161="Não"),N161,N161+INDEX($AO$6:$BR$176,ROW()-5,COLUMN()-40-$AI161)))*IF($B161="Operacional",IFERROR(VLOOKUP($C161,SN_UGC,28,0),0),1)</f>
        <v>0</v>
      </c>
      <c r="AZ161" s="140">
        <f t="array" ref="AZ161">IF(ISBLANK($A161),0,IF(OR(AZ$5-$AI161&lt;=0,$AM161="Não"),O161,O161+INDEX($AO$6:$BR$176,ROW()-5,COLUMN()-40-$AI161)))*IF($B161="Operacional",IFERROR(VLOOKUP($C161,SN_UGC,28,0),0),1)</f>
        <v>0</v>
      </c>
      <c r="BA161" s="140">
        <f t="array" ref="BA161">IF(ISBLANK($A161),0,IF(OR(BA$5-$AI161&lt;=0,$AM161="Não"),P161,P161+INDEX($AO$6:$BR$176,ROW()-5,COLUMN()-40-$AI161)))*IF($B161="Operacional",IFERROR(VLOOKUP($C161,SN_UGC,28,0),0),1)</f>
        <v>0</v>
      </c>
      <c r="BB161" s="140">
        <f t="array" ref="BB161">IF(ISBLANK($A161),0,IF(OR(BB$5-$AI161&lt;=0,$AM161="Não"),Q161,Q161+INDEX($AO$6:$BR$176,ROW()-5,COLUMN()-40-$AI161)))*IF($B161="Operacional",IFERROR(VLOOKUP($C161,SN_UGC,28,0),0),1)</f>
        <v>0</v>
      </c>
      <c r="BC161" s="140">
        <f t="array" ref="BC161">IF(ISBLANK($A161),0,IF(OR(BC$5-$AI161&lt;=0,$AM161="Não"),R161,R161+INDEX($AO$6:$BR$176,ROW()-5,COLUMN()-40-$AI161)))*IF($B161="Operacional",IFERROR(VLOOKUP($C161,SN_UGC,28,0),0),1)</f>
        <v>0</v>
      </c>
      <c r="BD161" s="140">
        <f t="array" ref="BD161">IF(ISBLANK($A161),0,IF(OR(BD$5-$AI161&lt;=0,$AM161="Não"),S161,S161+INDEX($AO$6:$BR$176,ROW()-5,COLUMN()-40-$AI161)))*IF($B161="Operacional",IFERROR(VLOOKUP($C161,SN_UGC,28,0),0),1)</f>
        <v>0</v>
      </c>
      <c r="BE161" s="140">
        <f t="array" ref="BE161">IF(ISBLANK($A161),0,IF(OR(BE$5-$AI161&lt;=0,$AM161="Não"),T161,T161+INDEX($AO$6:$BR$176,ROW()-5,COLUMN()-40-$AI161)))*IF($B161="Operacional",IFERROR(VLOOKUP($C161,SN_UGC,28,0),0),1)</f>
        <v>0</v>
      </c>
      <c r="BF161" s="140">
        <f t="array" ref="BF161">IF(ISBLANK($A161),0,IF(OR(BF$5-$AI161&lt;=0,$AM161="Não"),U161,U161+INDEX($AO$6:$BR$176,ROW()-5,COLUMN()-40-$AI161)))*IF($B161="Operacional",IFERROR(VLOOKUP($C161,SN_UGC,28,0),0),1)</f>
        <v>0</v>
      </c>
      <c r="BG161" s="140">
        <f t="array" ref="BG161">IF(ISBLANK($A161),0,IF(OR(BG$5-$AI161&lt;=0,$AM161="Não"),V161,V161+INDEX($AO$6:$BR$176,ROW()-5,COLUMN()-40-$AI161)))*IF($B161="Operacional",IFERROR(VLOOKUP($C161,SN_UGC,28,0),0),1)</f>
        <v>0</v>
      </c>
      <c r="BH161" s="140">
        <f t="array" ref="BH161">IF(ISBLANK($A161),0,IF(OR(BH$5-$AI161&lt;=0,$AM161="Não"),W161,W161+INDEX($AO$6:$BR$176,ROW()-5,COLUMN()-40-$AI161)))*IF($B161="Operacional",IFERROR(VLOOKUP($C161,SN_UGC,28,0),0),1)</f>
        <v>0</v>
      </c>
      <c r="BI161" s="140">
        <f t="array" ref="BI161">IF(ISBLANK($A161),0,IF(OR(BI$5-$AI161&lt;=0,$AM161="Não"),X161,X161+INDEX($AO$6:$BR$176,ROW()-5,COLUMN()-40-$AI161)))*IF($B161="Operacional",IFERROR(VLOOKUP($C161,SN_UGC,28,0),0),1)</f>
        <v>0</v>
      </c>
      <c r="BJ161" s="140">
        <f t="array" ref="BJ161">IF(ISBLANK($A161),0,IF(OR(BJ$5-$AI161&lt;=0,$AM161="Não"),Y161,Y161+INDEX($AO$6:$BR$176,ROW()-5,COLUMN()-40-$AI161)))*IF($B161="Operacional",IFERROR(VLOOKUP($C161,SN_UGC,28,0),0),1)</f>
        <v>0</v>
      </c>
      <c r="BK161" s="140">
        <f t="array" ref="BK161">IF(ISBLANK($A161),0,IF(OR(BK$5-$AI161&lt;=0,$AM161="Não"),Z161,Z161+INDEX($AO$6:$BR$176,ROW()-5,COLUMN()-40-$AI161)))*IF($B161="Operacional",IFERROR(VLOOKUP($C161,SN_UGC,28,0),0),1)</f>
        <v>0</v>
      </c>
      <c r="BL161" s="140">
        <f t="array" ref="BL161">IF(ISBLANK($A161),0,IF(OR(BL$5-$AI161&lt;=0,$AM161="Não"),AA161,AA161+INDEX($AO$6:$BR$176,ROW()-5,COLUMN()-40-$AI161)))*IF($B161="Operacional",IFERROR(VLOOKUP($C161,SN_UGC,28,0),0),1)</f>
        <v>0</v>
      </c>
      <c r="BM161" s="140">
        <f t="array" ref="BM161">IF(ISBLANK($A161),0,IF(OR(BM$5-$AI161&lt;=0,$AM161="Não"),AB161,AB161+INDEX($AO$6:$BR$176,ROW()-5,COLUMN()-40-$AI161)))*IF($B161="Operacional",IFERROR(VLOOKUP($C161,SN_UGC,28,0),0),1)</f>
        <v>0</v>
      </c>
      <c r="BN161" s="140">
        <f t="array" ref="BN161">IF(ISBLANK($A161),0,IF(OR(BN$5-$AI161&lt;=0,$AM161="Não"),AC161,AC161+INDEX($AO$6:$BR$176,ROW()-5,COLUMN()-40-$AI161)))*IF($B161="Operacional",IFERROR(VLOOKUP($C161,SN_UGC,28,0),0),1)</f>
        <v>0</v>
      </c>
      <c r="BO161" s="140">
        <f t="array" ref="BO161">IF(ISBLANK($A161),0,IF(OR(BO$5-$AI161&lt;=0,$AM161="Não"),AD161,AD161+INDEX($AO$6:$BR$176,ROW()-5,COLUMN()-40-$AI161)))*IF($B161="Operacional",IFERROR(VLOOKUP($C161,SN_UGC,28,0),0),1)</f>
        <v>0</v>
      </c>
      <c r="BP161" s="140">
        <f t="array" ref="BP161">IF(ISBLANK($A161),0,IF(OR(BP$5-$AI161&lt;=0,$AM161="Não"),AE161,AE161+INDEX($AO$6:$BR$176,ROW()-5,COLUMN()-40-$AI161)))*IF($B161="Operacional",IFERROR(VLOOKUP($C161,SN_UGC,28,0),0),1)</f>
        <v>0</v>
      </c>
      <c r="BQ161" s="140">
        <f t="array" ref="BQ161">IF(ISBLANK($A161),0,IF(OR(BQ$5-$AI161&lt;=0,$AM161="Não"),AF161,AF161+INDEX($AO$6:$BR$176,ROW()-5,COLUMN()-40-$AI161)))*IF($B161="Operacional",IFERROR(VLOOKUP($C161,SN_UGC,28,0),0),1)</f>
        <v>0</v>
      </c>
      <c r="BR161" s="140">
        <f t="array" ref="BR161">IF(ISBLANK($A161),0,IF(OR(BR$5-$AI161&lt;=0,$AM161="Não"),AG161,AG161+INDEX($AO$6:$BR$176,ROW()-5,COLUMN()-40-$AI161)))*IF($B161="Operacional",IFERROR(VLOOKUP($C161,SN_UGC,28,0),0),1)</f>
        <v>0</v>
      </c>
      <c r="BS161" s="141">
        <f t="shared" ref="BS161:CV161" si="813">IF(ISBLANK($A161),0,$AH161*AO161)</f>
        <v>0</v>
      </c>
      <c r="BT161" s="141">
        <f t="shared" si="813"/>
        <v>0</v>
      </c>
      <c r="BU161" s="141">
        <f t="shared" si="813"/>
        <v>0</v>
      </c>
      <c r="BV161" s="141">
        <f t="shared" si="813"/>
        <v>0</v>
      </c>
      <c r="BW161" s="141">
        <f t="shared" si="813"/>
        <v>0</v>
      </c>
      <c r="BX161" s="141">
        <f t="shared" si="813"/>
        <v>0</v>
      </c>
      <c r="BY161" s="141">
        <f t="shared" si="813"/>
        <v>0</v>
      </c>
      <c r="BZ161" s="141">
        <f t="shared" si="813"/>
        <v>0</v>
      </c>
      <c r="CA161" s="141">
        <f t="shared" si="813"/>
        <v>0</v>
      </c>
      <c r="CB161" s="141">
        <f t="shared" si="813"/>
        <v>0</v>
      </c>
      <c r="CC161" s="141">
        <f t="shared" si="813"/>
        <v>0</v>
      </c>
      <c r="CD161" s="141">
        <f t="shared" si="813"/>
        <v>0</v>
      </c>
      <c r="CE161" s="141">
        <f t="shared" si="813"/>
        <v>0</v>
      </c>
      <c r="CF161" s="141">
        <f t="shared" si="813"/>
        <v>0</v>
      </c>
      <c r="CG161" s="141">
        <f t="shared" si="813"/>
        <v>0</v>
      </c>
      <c r="CH161" s="141">
        <f t="shared" si="813"/>
        <v>0</v>
      </c>
      <c r="CI161" s="141">
        <f t="shared" si="813"/>
        <v>0</v>
      </c>
      <c r="CJ161" s="141">
        <f t="shared" si="813"/>
        <v>0</v>
      </c>
      <c r="CK161" s="141">
        <f t="shared" si="813"/>
        <v>0</v>
      </c>
      <c r="CL161" s="141">
        <f t="shared" si="813"/>
        <v>0</v>
      </c>
      <c r="CM161" s="141">
        <f t="shared" si="813"/>
        <v>0</v>
      </c>
      <c r="CN161" s="141">
        <f t="shared" si="813"/>
        <v>0</v>
      </c>
      <c r="CO161" s="141">
        <f t="shared" si="813"/>
        <v>0</v>
      </c>
      <c r="CP161" s="141">
        <f t="shared" si="813"/>
        <v>0</v>
      </c>
      <c r="CQ161" s="141">
        <f t="shared" si="813"/>
        <v>0</v>
      </c>
      <c r="CR161" s="141">
        <f t="shared" si="813"/>
        <v>0</v>
      </c>
      <c r="CS161" s="141">
        <f t="shared" si="813"/>
        <v>0</v>
      </c>
      <c r="CT161" s="141">
        <f t="shared" si="813"/>
        <v>0</v>
      </c>
      <c r="CU161" s="141">
        <f t="shared" si="813"/>
        <v>0</v>
      </c>
      <c r="CV161" s="141">
        <f t="shared" si="813"/>
        <v>0</v>
      </c>
      <c r="CW161" s="142">
        <f t="shared" ref="CW161:DZ161" si="814">EA161*$AH161*$AJ161</f>
        <v>0</v>
      </c>
      <c r="CX161" s="142">
        <f t="shared" si="814"/>
        <v>0</v>
      </c>
      <c r="CY161" s="142">
        <f t="shared" si="814"/>
        <v>0</v>
      </c>
      <c r="CZ161" s="142">
        <f t="shared" si="814"/>
        <v>0</v>
      </c>
      <c r="DA161" s="142">
        <f t="shared" si="814"/>
        <v>0</v>
      </c>
      <c r="DB161" s="142">
        <f t="shared" si="814"/>
        <v>0</v>
      </c>
      <c r="DC161" s="142">
        <f t="shared" si="814"/>
        <v>0</v>
      </c>
      <c r="DD161" s="142">
        <f t="shared" si="814"/>
        <v>0</v>
      </c>
      <c r="DE161" s="142">
        <f t="shared" si="814"/>
        <v>0</v>
      </c>
      <c r="DF161" s="142">
        <f t="shared" si="814"/>
        <v>0</v>
      </c>
      <c r="DG161" s="142">
        <f t="shared" si="814"/>
        <v>0</v>
      </c>
      <c r="DH161" s="142">
        <f t="shared" si="814"/>
        <v>0</v>
      </c>
      <c r="DI161" s="142">
        <f t="shared" si="814"/>
        <v>0</v>
      </c>
      <c r="DJ161" s="142">
        <f t="shared" si="814"/>
        <v>0</v>
      </c>
      <c r="DK161" s="142">
        <f t="shared" si="814"/>
        <v>0</v>
      </c>
      <c r="DL161" s="142">
        <f t="shared" si="814"/>
        <v>0</v>
      </c>
      <c r="DM161" s="142">
        <f t="shared" si="814"/>
        <v>0</v>
      </c>
      <c r="DN161" s="142">
        <f t="shared" si="814"/>
        <v>0</v>
      </c>
      <c r="DO161" s="142">
        <f t="shared" si="814"/>
        <v>0</v>
      </c>
      <c r="DP161" s="142">
        <f t="shared" si="814"/>
        <v>0</v>
      </c>
      <c r="DQ161" s="142">
        <f t="shared" si="814"/>
        <v>0</v>
      </c>
      <c r="DR161" s="142">
        <f t="shared" si="814"/>
        <v>0</v>
      </c>
      <c r="DS161" s="142">
        <f t="shared" si="814"/>
        <v>0</v>
      </c>
      <c r="DT161" s="142">
        <f t="shared" si="814"/>
        <v>0</v>
      </c>
      <c r="DU161" s="142">
        <f t="shared" si="814"/>
        <v>0</v>
      </c>
      <c r="DV161" s="142">
        <f t="shared" si="814"/>
        <v>0</v>
      </c>
      <c r="DW161" s="142">
        <f t="shared" si="814"/>
        <v>0</v>
      </c>
      <c r="DX161" s="142">
        <f t="shared" si="814"/>
        <v>0</v>
      </c>
      <c r="DY161" s="142">
        <f t="shared" si="814"/>
        <v>0</v>
      </c>
      <c r="DZ161" s="142">
        <f t="shared" si="814"/>
        <v>0</v>
      </c>
      <c r="EA161" s="143">
        <f t="shared" si="670"/>
        <v>0</v>
      </c>
      <c r="EB161" s="143">
        <f t="shared" si="671"/>
        <v>0</v>
      </c>
      <c r="EC161" s="143">
        <f t="shared" si="672"/>
        <v>0</v>
      </c>
      <c r="ED161" s="143">
        <f t="shared" si="673"/>
        <v>0</v>
      </c>
      <c r="EE161" s="143">
        <f t="shared" si="674"/>
        <v>0</v>
      </c>
      <c r="EF161" s="143">
        <f t="shared" si="675"/>
        <v>0</v>
      </c>
      <c r="EG161" s="143">
        <f t="shared" si="676"/>
        <v>0</v>
      </c>
      <c r="EH161" s="143">
        <f t="shared" si="677"/>
        <v>0</v>
      </c>
      <c r="EI161" s="143">
        <f t="shared" si="678"/>
        <v>0</v>
      </c>
      <c r="EJ161" s="143">
        <f t="shared" si="679"/>
        <v>0</v>
      </c>
      <c r="EK161" s="143">
        <f t="shared" si="680"/>
        <v>0</v>
      </c>
      <c r="EL161" s="143">
        <f t="shared" si="681"/>
        <v>0</v>
      </c>
      <c r="EM161" s="143">
        <f t="shared" si="682"/>
        <v>0</v>
      </c>
      <c r="EN161" s="143">
        <f t="shared" si="683"/>
        <v>0</v>
      </c>
      <c r="EO161" s="143">
        <f t="shared" si="684"/>
        <v>0</v>
      </c>
      <c r="EP161" s="143">
        <f t="shared" si="685"/>
        <v>0</v>
      </c>
      <c r="EQ161" s="143">
        <f t="shared" si="686"/>
        <v>0</v>
      </c>
      <c r="ER161" s="143">
        <f t="shared" si="687"/>
        <v>0</v>
      </c>
      <c r="ES161" s="143">
        <f t="shared" si="688"/>
        <v>0</v>
      </c>
      <c r="ET161" s="143">
        <f t="shared" si="689"/>
        <v>0</v>
      </c>
      <c r="EU161" s="143">
        <f t="shared" si="690"/>
        <v>0</v>
      </c>
      <c r="EV161" s="143">
        <f t="shared" si="691"/>
        <v>0</v>
      </c>
      <c r="EW161" s="143">
        <f t="shared" si="692"/>
        <v>0</v>
      </c>
      <c r="EX161" s="143">
        <f t="shared" si="693"/>
        <v>0</v>
      </c>
      <c r="EY161" s="143">
        <f t="shared" si="694"/>
        <v>0</v>
      </c>
      <c r="EZ161" s="143">
        <f t="shared" si="695"/>
        <v>0</v>
      </c>
      <c r="FA161" s="143">
        <f t="shared" si="696"/>
        <v>0</v>
      </c>
      <c r="FB161" s="143">
        <f t="shared" si="697"/>
        <v>0</v>
      </c>
      <c r="FC161" s="143">
        <f t="shared" si="698"/>
        <v>0</v>
      </c>
      <c r="FD161" s="143">
        <f t="shared" si="699"/>
        <v>0</v>
      </c>
      <c r="FE161" s="140">
        <f>SUM($D161:D161)*IF($B161="Operacional",IFERROR(VLOOKUP($C161,SN_UGC,28,0),0),1)</f>
        <v>0</v>
      </c>
      <c r="FF161" s="140">
        <f>SUM($D161:E161)*IF($B161="Operacional",IFERROR(VLOOKUP($C161,SN_UGC,28,0),0),1)</f>
        <v>0</v>
      </c>
      <c r="FG161" s="140">
        <f>SUM($D161:F161)*IF($B161="Operacional",IFERROR(VLOOKUP($C161,SN_UGC,28,0),0),1)</f>
        <v>0</v>
      </c>
      <c r="FH161" s="140">
        <f>SUM($D161:G161)*IF($B161="Operacional",IFERROR(VLOOKUP($C161,SN_UGC,28,0),0),1)</f>
        <v>0</v>
      </c>
      <c r="FI161" s="140">
        <f>SUM($D161:H161)*IF($B161="Operacional",IFERROR(VLOOKUP($C161,SN_UGC,28,0),0),1)</f>
        <v>0</v>
      </c>
      <c r="FJ161" s="140">
        <f>SUM($D161:I161)*IF($B161="Operacional",IFERROR(VLOOKUP($C161,SN_UGC,28,0),0),1)</f>
        <v>0</v>
      </c>
      <c r="FK161" s="140">
        <f>SUM($D161:J161)*IF($B161="Operacional",IFERROR(VLOOKUP($C161,SN_UGC,28,0),0),1)</f>
        <v>0</v>
      </c>
      <c r="FL161" s="140">
        <f>SUM($D161:K161)*IF($B161="Operacional",IFERROR(VLOOKUP($C161,SN_UGC,28,0),0),1)</f>
        <v>0</v>
      </c>
      <c r="FM161" s="140">
        <f>SUM($D161:L161)*IF($B161="Operacional",IFERROR(VLOOKUP($C161,SN_UGC,28,0),0),1)</f>
        <v>0</v>
      </c>
      <c r="FN161" s="140">
        <f>SUM($D161:M161)*IF($B161="Operacional",IFERROR(VLOOKUP($C161,SN_UGC,28,0),0),1)</f>
        <v>0</v>
      </c>
      <c r="FO161" s="140">
        <f>SUM($D161:N161)*IF($B161="Operacional",IFERROR(VLOOKUP($C161,SN_UGC,28,0),0),1)</f>
        <v>0</v>
      </c>
      <c r="FP161" s="140">
        <f>SUM($D161:O161)*IF($B161="Operacional",IFERROR(VLOOKUP($C161,SN_UGC,28,0),0),1)</f>
        <v>0</v>
      </c>
      <c r="FQ161" s="140">
        <f>SUM($D161:P161)*IF($B161="Operacional",IFERROR(VLOOKUP($C161,SN_UGC,28,0),0),1)</f>
        <v>0</v>
      </c>
      <c r="FR161" s="140">
        <f>SUM($D161:Q161)*IF($B161="Operacional",IFERROR(VLOOKUP($C161,SN_UGC,28,0),0),1)</f>
        <v>0</v>
      </c>
      <c r="FS161" s="140">
        <f>SUM($D161:R161)*IF($B161="Operacional",IFERROR(VLOOKUP($C161,SN_UGC,28,0),0),1)</f>
        <v>0</v>
      </c>
      <c r="FT161" s="140">
        <f>SUM($D161:S161)*IF($B161="Operacional",IFERROR(VLOOKUP($C161,SN_UGC,28,0),0),1)</f>
        <v>0</v>
      </c>
      <c r="FU161" s="140">
        <f>SUM($D161:T161)*IF($B161="Operacional",IFERROR(VLOOKUP($C161,SN_UGC,28,0),0),1)</f>
        <v>0</v>
      </c>
      <c r="FV161" s="140">
        <f>SUM($D161:U161)*IF($B161="Operacional",IFERROR(VLOOKUP($C161,SN_UGC,28,0),0),1)</f>
        <v>0</v>
      </c>
      <c r="FW161" s="140">
        <f>SUM($D161:V161)*IF($B161="Operacional",IFERROR(VLOOKUP($C161,SN_UGC,28,0),0),1)</f>
        <v>0</v>
      </c>
      <c r="FX161" s="140">
        <f>SUM($D161:W161)*IF($B161="Operacional",IFERROR(VLOOKUP($C161,SN_UGC,28,0),0),1)</f>
        <v>0</v>
      </c>
      <c r="FY161" s="140">
        <f>SUM($D161:X161)*IF($B161="Operacional",IFERROR(VLOOKUP($C161,SN_UGC,28,0),0),1)</f>
        <v>0</v>
      </c>
      <c r="FZ161" s="140">
        <f>SUM($D161:Y161)*IF($B161="Operacional",IFERROR(VLOOKUP($C161,SN_UGC,28,0),0),1)</f>
        <v>0</v>
      </c>
      <c r="GA161" s="140">
        <f>SUM($D161:Z161)*IF($B161="Operacional",IFERROR(VLOOKUP($C161,SN_UGC,28,0),0),1)</f>
        <v>0</v>
      </c>
      <c r="GB161" s="140">
        <f>SUM($D161:AA161)*IF($B161="Operacional",IFERROR(VLOOKUP($C161,SN_UGC,28,0),0),1)</f>
        <v>0</v>
      </c>
      <c r="GC161" s="140">
        <f>SUM($D161:AB161)*IF($B161="Operacional",IFERROR(VLOOKUP($C161,SN_UGC,28,0),0),1)</f>
        <v>0</v>
      </c>
      <c r="GD161" s="140">
        <f>SUM($D161:AC161)*IF($B161="Operacional",IFERROR(VLOOKUP($C161,SN_UGC,28,0),0),1)</f>
        <v>0</v>
      </c>
      <c r="GE161" s="140">
        <f>SUM($D161:AD161)*IF($B161="Operacional",IFERROR(VLOOKUP($C161,SN_UGC,28,0),0),1)</f>
        <v>0</v>
      </c>
      <c r="GF161" s="140">
        <f>SUM($D161:AE161)*IF($B161="Operacional",IFERROR(VLOOKUP($C161,SN_UGC,28,0),0),1)</f>
        <v>0</v>
      </c>
      <c r="GG161" s="140">
        <f>SUM($D161:AF161)*IF($B161="Operacional",IFERROR(VLOOKUP($C161,SN_UGC,28,0),0),1)</f>
        <v>0</v>
      </c>
      <c r="GH161" s="140">
        <f>SUM($D161:AG161)*IF($B161="Operacional",IFERROR(VLOOKUP($C161,SN_UGC,28,0),0),1)</f>
        <v>0</v>
      </c>
      <c r="GI161" s="141">
        <f t="shared" ref="GI161:HL161" si="815">FE161*$AH161*$AL161</f>
        <v>0</v>
      </c>
      <c r="GJ161" s="141">
        <f t="shared" si="815"/>
        <v>0</v>
      </c>
      <c r="GK161" s="141">
        <f t="shared" si="815"/>
        <v>0</v>
      </c>
      <c r="GL161" s="141">
        <f t="shared" si="815"/>
        <v>0</v>
      </c>
      <c r="GM161" s="141">
        <f t="shared" si="815"/>
        <v>0</v>
      </c>
      <c r="GN161" s="141">
        <f t="shared" si="815"/>
        <v>0</v>
      </c>
      <c r="GO161" s="141">
        <f t="shared" si="815"/>
        <v>0</v>
      </c>
      <c r="GP161" s="141">
        <f t="shared" si="815"/>
        <v>0</v>
      </c>
      <c r="GQ161" s="141">
        <f t="shared" si="815"/>
        <v>0</v>
      </c>
      <c r="GR161" s="141">
        <f t="shared" si="815"/>
        <v>0</v>
      </c>
      <c r="GS161" s="141">
        <f t="shared" si="815"/>
        <v>0</v>
      </c>
      <c r="GT161" s="141">
        <f t="shared" si="815"/>
        <v>0</v>
      </c>
      <c r="GU161" s="141">
        <f t="shared" si="815"/>
        <v>0</v>
      </c>
      <c r="GV161" s="141">
        <f t="shared" si="815"/>
        <v>0</v>
      </c>
      <c r="GW161" s="141">
        <f t="shared" si="815"/>
        <v>0</v>
      </c>
      <c r="GX161" s="141">
        <f t="shared" si="815"/>
        <v>0</v>
      </c>
      <c r="GY161" s="141">
        <f t="shared" si="815"/>
        <v>0</v>
      </c>
      <c r="GZ161" s="141">
        <f t="shared" si="815"/>
        <v>0</v>
      </c>
      <c r="HA161" s="141">
        <f t="shared" si="815"/>
        <v>0</v>
      </c>
      <c r="HB161" s="141">
        <f t="shared" si="815"/>
        <v>0</v>
      </c>
      <c r="HC161" s="141">
        <f t="shared" si="815"/>
        <v>0</v>
      </c>
      <c r="HD161" s="141">
        <f t="shared" si="815"/>
        <v>0</v>
      </c>
      <c r="HE161" s="141">
        <f t="shared" si="815"/>
        <v>0</v>
      </c>
      <c r="HF161" s="141">
        <f t="shared" si="815"/>
        <v>0</v>
      </c>
      <c r="HG161" s="141">
        <f t="shared" si="815"/>
        <v>0</v>
      </c>
      <c r="HH161" s="141">
        <f t="shared" si="815"/>
        <v>0</v>
      </c>
      <c r="HI161" s="141">
        <f t="shared" si="815"/>
        <v>0</v>
      </c>
      <c r="HJ161" s="141">
        <f t="shared" si="815"/>
        <v>0</v>
      </c>
      <c r="HK161" s="141">
        <f t="shared" si="815"/>
        <v>0</v>
      </c>
      <c r="HL161" s="141">
        <f t="shared" si="815"/>
        <v>0</v>
      </c>
      <c r="HM161" s="142">
        <f t="shared" ref="HM161:IP161" si="816">IF(ISBLANK($A161),,FE161*($AH161-($AH161*$AJ161))/$AI161)</f>
        <v>0</v>
      </c>
      <c r="HN161" s="142">
        <f t="shared" si="816"/>
        <v>0</v>
      </c>
      <c r="HO161" s="142">
        <f t="shared" si="816"/>
        <v>0</v>
      </c>
      <c r="HP161" s="142">
        <f t="shared" si="816"/>
        <v>0</v>
      </c>
      <c r="HQ161" s="142">
        <f t="shared" si="816"/>
        <v>0</v>
      </c>
      <c r="HR161" s="142">
        <f t="shared" si="816"/>
        <v>0</v>
      </c>
      <c r="HS161" s="142">
        <f t="shared" si="816"/>
        <v>0</v>
      </c>
      <c r="HT161" s="142">
        <f t="shared" si="816"/>
        <v>0</v>
      </c>
      <c r="HU161" s="142">
        <f t="shared" si="816"/>
        <v>0</v>
      </c>
      <c r="HV161" s="142">
        <f t="shared" si="816"/>
        <v>0</v>
      </c>
      <c r="HW161" s="142">
        <f t="shared" si="816"/>
        <v>0</v>
      </c>
      <c r="HX161" s="142">
        <f t="shared" si="816"/>
        <v>0</v>
      </c>
      <c r="HY161" s="142">
        <f t="shared" si="816"/>
        <v>0</v>
      </c>
      <c r="HZ161" s="142">
        <f t="shared" si="816"/>
        <v>0</v>
      </c>
      <c r="IA161" s="142">
        <f t="shared" si="816"/>
        <v>0</v>
      </c>
      <c r="IB161" s="142">
        <f t="shared" si="816"/>
        <v>0</v>
      </c>
      <c r="IC161" s="142">
        <f t="shared" si="816"/>
        <v>0</v>
      </c>
      <c r="ID161" s="142">
        <f t="shared" si="816"/>
        <v>0</v>
      </c>
      <c r="IE161" s="142">
        <f t="shared" si="816"/>
        <v>0</v>
      </c>
      <c r="IF161" s="142">
        <f t="shared" si="816"/>
        <v>0</v>
      </c>
      <c r="IG161" s="142">
        <f t="shared" si="816"/>
        <v>0</v>
      </c>
      <c r="IH161" s="142">
        <f t="shared" si="816"/>
        <v>0</v>
      </c>
      <c r="II161" s="142">
        <f t="shared" si="816"/>
        <v>0</v>
      </c>
      <c r="IJ161" s="142">
        <f t="shared" si="816"/>
        <v>0</v>
      </c>
      <c r="IK161" s="142">
        <f t="shared" si="816"/>
        <v>0</v>
      </c>
      <c r="IL161" s="142">
        <f t="shared" si="816"/>
        <v>0</v>
      </c>
      <c r="IM161" s="142">
        <f t="shared" si="816"/>
        <v>0</v>
      </c>
      <c r="IN161" s="142">
        <f t="shared" si="816"/>
        <v>0</v>
      </c>
      <c r="IO161" s="142">
        <f t="shared" si="816"/>
        <v>0</v>
      </c>
      <c r="IP161" s="142">
        <f t="shared" si="816"/>
        <v>0</v>
      </c>
      <c r="IQ161" s="141">
        <f>IF(ISBLANK($A161),,IF($AN161="Não",0,(SUM($AO161:AO161)*$AH161)-SUM($HM161:HM161)-SUM($CW161:CW161)))</f>
        <v>0</v>
      </c>
      <c r="IR161" s="141">
        <f>IF(ISBLANK($A161),,IF($AN161="Não",0,(SUM($AO161:AP161)*$AH161)-SUM($HM161:HN161)-SUM($CW161:CX161)))</f>
        <v>0</v>
      </c>
      <c r="IS161" s="141">
        <f>IF(ISBLANK($A161),,IF($AN161="Não",0,(SUM($AO161:AQ161)*$AH161)-SUM($HM161:HO161)-SUM($CW161:CY161)))</f>
        <v>0</v>
      </c>
      <c r="IT161" s="141">
        <f>IF(ISBLANK($A161),,IF($AN161="Não",0,(SUM($AO161:AR161)*$AH161)-SUM($HM161:HP161)-SUM($CW161:CZ161)))</f>
        <v>0</v>
      </c>
      <c r="IU161" s="141">
        <f>IF(ISBLANK($A161),,IF($AN161="Não",0,(SUM($AO161:AS161)*$AH161)-SUM($HM161:HQ161)-SUM($CW161:DA161)))</f>
        <v>0</v>
      </c>
      <c r="IV161" s="141">
        <f>IF(ISBLANK($A161),,IF($AN161="Não",0,(SUM($AO161:AT161)*$AH161)-SUM($HM161:HR161)-SUM($CW161:DB161)))</f>
        <v>0</v>
      </c>
      <c r="IW161" s="141">
        <f>IF(ISBLANK($A161),,IF($AN161="Não",0,(SUM($AO161:AU161)*$AH161)-SUM($HM161:HS161)-SUM($CW161:DC161)))</f>
        <v>0</v>
      </c>
      <c r="IX161" s="141">
        <f>IF(ISBLANK($A161),,IF($AN161="Não",0,(SUM($AO161:AV161)*$AH161)-SUM($HM161:HT161)-SUM($CW161:DD161)))</f>
        <v>0</v>
      </c>
      <c r="IY161" s="141">
        <f>IF(ISBLANK($A161),,IF($AN161="Não",0,(SUM($AO161:AW161)*$AH161)-SUM($HM161:HU161)-SUM($CW161:DE161)))</f>
        <v>0</v>
      </c>
      <c r="IZ161" s="141">
        <f>IF(ISBLANK($A161),,IF($AN161="Não",0,(SUM($AO161:AX161)*$AH161)-SUM($HM161:HV161)-SUM($CW161:DF161)))</f>
        <v>0</v>
      </c>
      <c r="JA161" s="141">
        <f>IF(ISBLANK($A161),,IF($AN161="Não",0,(SUM($AO161:AY161)*$AH161)-SUM($HM161:HW161)-SUM($CW161:DG161)))</f>
        <v>0</v>
      </c>
      <c r="JB161" s="141">
        <f>IF(ISBLANK($A161),,IF($AN161="Não",0,(SUM($AO161:AZ161)*$AH161)-SUM($HM161:HX161)-SUM($CW161:DH161)))</f>
        <v>0</v>
      </c>
      <c r="JC161" s="141">
        <f>IF(ISBLANK($A161),,IF($AN161="Não",0,(SUM($AO161:BA161)*$AH161)-SUM($HM161:HY161)-SUM($CW161:DI161)))</f>
        <v>0</v>
      </c>
      <c r="JD161" s="141">
        <f>IF(ISBLANK($A161),,IF($AN161="Não",0,(SUM($AO161:BB161)*$AH161)-SUM($HM161:HZ161)-SUM($CW161:DJ161)))</f>
        <v>0</v>
      </c>
      <c r="JE161" s="141">
        <f>IF(ISBLANK($A161),,IF($AN161="Não",0,(SUM($AO161:BC161)*$AH161)-SUM($HM161:IA161)-SUM($CW161:DK161)))</f>
        <v>0</v>
      </c>
      <c r="JF161" s="141">
        <f>IF(ISBLANK($A161),,IF($AN161="Não",0,(SUM($AO161:BD161)*$AH161)-SUM($HM161:IB161)-SUM($CW161:DL161)))</f>
        <v>0</v>
      </c>
      <c r="JG161" s="141">
        <f>IF(ISBLANK($A161),,IF($AN161="Não",0,(SUM($AO161:BE161)*$AH161)-SUM($HM161:IC161)-SUM($CW161:DM161)))</f>
        <v>0</v>
      </c>
      <c r="JH161" s="141">
        <f>IF(ISBLANK($A161),,IF($AN161="Não",0,(SUM($AO161:BF161)*$AH161)-SUM($HM161:ID161)-SUM($CW161:DN161)))</f>
        <v>0</v>
      </c>
      <c r="JI161" s="141">
        <f>IF(ISBLANK($A161),,IF($AN161="Não",0,(SUM($AO161:BG161)*$AH161)-SUM($HM161:IE161)-SUM($CW161:DO161)))</f>
        <v>0</v>
      </c>
      <c r="JJ161" s="141">
        <f>IF(ISBLANK($A161),,IF($AN161="Não",0,(SUM($AO161:BH161)*$AH161)-SUM($HM161:IF161)-SUM($CW161:DP161)))</f>
        <v>0</v>
      </c>
      <c r="JK161" s="141">
        <f>IF(ISBLANK($A161),,IF($AN161="Não",0,(SUM($AO161:BI161)*$AH161)-SUM($HM161:IG161)-SUM($CW161:DQ161)))</f>
        <v>0</v>
      </c>
      <c r="JL161" s="141">
        <f>IF(ISBLANK($A161),,IF($AN161="Não",0,(SUM($AO161:BJ161)*$AH161)-SUM($HM161:IH161)-SUM($CW161:DR161)))</f>
        <v>0</v>
      </c>
      <c r="JM161" s="141">
        <f>IF(ISBLANK($A161),,IF($AN161="Não",0,(SUM($AO161:BK161)*$AH161)-SUM($HM161:II161)-SUM($CW161:DS161)))</f>
        <v>0</v>
      </c>
      <c r="JN161" s="141">
        <f>IF(ISBLANK($A161),,IF($AN161="Não",0,(SUM($AO161:BL161)*$AH161)-SUM($HM161:IJ161)-SUM($CW161:DT161)))</f>
        <v>0</v>
      </c>
      <c r="JO161" s="141">
        <f>IF(ISBLANK($A161),,IF($AN161="Não",0,(SUM($AO161:BM161)*$AH161)-SUM($HM161:IK161)-SUM($CW161:DU161)))</f>
        <v>0</v>
      </c>
      <c r="JP161" s="141">
        <f>IF(ISBLANK($A161),,IF($AN161="Não",0,(SUM($AO161:BN161)*$AH161)-SUM($HM161:IL161)-SUM($CW161:DV161)))</f>
        <v>0</v>
      </c>
      <c r="JQ161" s="141">
        <f>IF(ISBLANK($A161),,IF($AN161="Não",0,(SUM($AO161:BO161)*$AH161)-SUM($HM161:IM161)-SUM($CW161:DW161)))</f>
        <v>0</v>
      </c>
      <c r="JR161" s="141">
        <f>IF(ISBLANK($A161),,IF($AN161="Não",0,(SUM($AO161:BP161)*$AH161)-SUM($HM161:IN161)-SUM($CW161:DX161)))</f>
        <v>0</v>
      </c>
      <c r="JS161" s="141">
        <f>IF(ISBLANK($A161),,IF($AN161="Não",0,(SUM($AO161:BQ161)*$AH161)-SUM($HM161:IO161)-SUM($CW161:DY161)))</f>
        <v>0</v>
      </c>
      <c r="JT161" s="141">
        <f>IF(ISBLANK($A161),,IF($AN161="Não",0,(SUM($AO161:BR161)*$AH161)-SUM($HM161:IP161)-SUM($CW161:DZ161)))</f>
        <v>0</v>
      </c>
    </row>
    <row r="162" spans="1:280" ht="15.75" customHeight="1">
      <c r="A162" s="129"/>
      <c r="B162" s="129"/>
      <c r="C162" s="138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607">
        <f t="shared" si="710"/>
        <v>0</v>
      </c>
      <c r="AI162" s="608">
        <f t="shared" si="711"/>
        <v>0</v>
      </c>
      <c r="AJ162" s="609">
        <f t="shared" si="712"/>
        <v>0</v>
      </c>
      <c r="AK162" s="610" t="str">
        <f t="shared" si="713"/>
        <v/>
      </c>
      <c r="AL162" s="609">
        <f t="shared" si="714"/>
        <v>0</v>
      </c>
      <c r="AM162" s="611" t="str">
        <f t="shared" si="715"/>
        <v/>
      </c>
      <c r="AN162" s="611" t="str">
        <f t="shared" si="716"/>
        <v/>
      </c>
      <c r="AO162" s="140">
        <f t="array" ref="AO162">IF(ISBLANK($A162),0,IF(OR(AO$5-$AI162&lt;=0,$AM162="Não"),D162,D162+INDEX($AO$6:$BR$176,ROW()-5,COLUMN()-40-$AI162)))*IF($B162="Operacional",IFERROR(VLOOKUP($C162,SN_UGC,28,0),0),1)</f>
        <v>0</v>
      </c>
      <c r="AP162" s="140">
        <f t="array" ref="AP162">IF(ISBLANK($A162),0,IF(OR(AP$5-$AI162&lt;=0,$AM162="Não"),E162,E162+INDEX($AO$6:$BR$176,ROW()-5,COLUMN()-40-$AI162)))*IF($B162="Operacional",IFERROR(VLOOKUP($C162,SN_UGC,28,0),0),1)</f>
        <v>0</v>
      </c>
      <c r="AQ162" s="140">
        <f t="array" ref="AQ162">IF(ISBLANK($A162),0,IF(OR(AQ$5-$AI162&lt;=0,$AM162="Não"),F162,F162+INDEX($AO$6:$BR$176,ROW()-5,COLUMN()-40-$AI162)))*IF($B162="Operacional",IFERROR(VLOOKUP($C162,SN_UGC,28,0),0),1)</f>
        <v>0</v>
      </c>
      <c r="AR162" s="140">
        <f t="array" ref="AR162">IF(ISBLANK($A162),0,IF(OR(AR$5-$AI162&lt;=0,$AM162="Não"),G162,G162+INDEX($AO$6:$BR$176,ROW()-5,COLUMN()-40-$AI162)))*IF($B162="Operacional",IFERROR(VLOOKUP($C162,SN_UGC,28,0),0),1)</f>
        <v>0</v>
      </c>
      <c r="AS162" s="140">
        <f t="array" ref="AS162">IF(ISBLANK($A162),0,IF(OR(AS$5-$AI162&lt;=0,$AM162="Não"),H162,H162+INDEX($AO$6:$BR$176,ROW()-5,COLUMN()-40-$AI162)))*IF($B162="Operacional",IFERROR(VLOOKUP($C162,SN_UGC,28,0),0),1)</f>
        <v>0</v>
      </c>
      <c r="AT162" s="140">
        <f t="array" ref="AT162">IF(ISBLANK($A162),0,IF(OR(AT$5-$AI162&lt;=0,$AM162="Não"),I162,I162+INDEX($AO$6:$BR$176,ROW()-5,COLUMN()-40-$AI162)))*IF($B162="Operacional",IFERROR(VLOOKUP($C162,SN_UGC,28,0),0),1)</f>
        <v>0</v>
      </c>
      <c r="AU162" s="140">
        <f t="array" ref="AU162">IF(ISBLANK($A162),0,IF(OR(AU$5-$AI162&lt;=0,$AM162="Não"),J162,J162+INDEX($AO$6:$BR$176,ROW()-5,COLUMN()-40-$AI162)))*IF($B162="Operacional",IFERROR(VLOOKUP($C162,SN_UGC,28,0),0),1)</f>
        <v>0</v>
      </c>
      <c r="AV162" s="140">
        <f t="array" ref="AV162">IF(ISBLANK($A162),0,IF(OR(AV$5-$AI162&lt;=0,$AM162="Não"),K162,K162+INDEX($AO$6:$BR$176,ROW()-5,COLUMN()-40-$AI162)))*IF($B162="Operacional",IFERROR(VLOOKUP($C162,SN_UGC,28,0),0),1)</f>
        <v>0</v>
      </c>
      <c r="AW162" s="140">
        <f t="array" ref="AW162">IF(ISBLANK($A162),0,IF(OR(AW$5-$AI162&lt;=0,$AM162="Não"),L162,L162+INDEX($AO$6:$BR$176,ROW()-5,COLUMN()-40-$AI162)))*IF($B162="Operacional",IFERROR(VLOOKUP($C162,SN_UGC,28,0),0),1)</f>
        <v>0</v>
      </c>
      <c r="AX162" s="140">
        <f t="array" ref="AX162">IF(ISBLANK($A162),0,IF(OR(AX$5-$AI162&lt;=0,$AM162="Não"),M162,M162+INDEX($AO$6:$BR$176,ROW()-5,COLUMN()-40-$AI162)))*IF($B162="Operacional",IFERROR(VLOOKUP($C162,SN_UGC,28,0),0),1)</f>
        <v>0</v>
      </c>
      <c r="AY162" s="140">
        <f t="array" ref="AY162">IF(ISBLANK($A162),0,IF(OR(AY$5-$AI162&lt;=0,$AM162="Não"),N162,N162+INDEX($AO$6:$BR$176,ROW()-5,COLUMN()-40-$AI162)))*IF($B162="Operacional",IFERROR(VLOOKUP($C162,SN_UGC,28,0),0),1)</f>
        <v>0</v>
      </c>
      <c r="AZ162" s="140">
        <f t="array" ref="AZ162">IF(ISBLANK($A162),0,IF(OR(AZ$5-$AI162&lt;=0,$AM162="Não"),O162,O162+INDEX($AO$6:$BR$176,ROW()-5,COLUMN()-40-$AI162)))*IF($B162="Operacional",IFERROR(VLOOKUP($C162,SN_UGC,28,0),0),1)</f>
        <v>0</v>
      </c>
      <c r="BA162" s="140">
        <f t="array" ref="BA162">IF(ISBLANK($A162),0,IF(OR(BA$5-$AI162&lt;=0,$AM162="Não"),P162,P162+INDEX($AO$6:$BR$176,ROW()-5,COLUMN()-40-$AI162)))*IF($B162="Operacional",IFERROR(VLOOKUP($C162,SN_UGC,28,0),0),1)</f>
        <v>0</v>
      </c>
      <c r="BB162" s="140">
        <f t="array" ref="BB162">IF(ISBLANK($A162),0,IF(OR(BB$5-$AI162&lt;=0,$AM162="Não"),Q162,Q162+INDEX($AO$6:$BR$176,ROW()-5,COLUMN()-40-$AI162)))*IF($B162="Operacional",IFERROR(VLOOKUP($C162,SN_UGC,28,0),0),1)</f>
        <v>0</v>
      </c>
      <c r="BC162" s="140">
        <f t="array" ref="BC162">IF(ISBLANK($A162),0,IF(OR(BC$5-$AI162&lt;=0,$AM162="Não"),R162,R162+INDEX($AO$6:$BR$176,ROW()-5,COLUMN()-40-$AI162)))*IF($B162="Operacional",IFERROR(VLOOKUP($C162,SN_UGC,28,0),0),1)</f>
        <v>0</v>
      </c>
      <c r="BD162" s="140">
        <f t="array" ref="BD162">IF(ISBLANK($A162),0,IF(OR(BD$5-$AI162&lt;=0,$AM162="Não"),S162,S162+INDEX($AO$6:$BR$176,ROW()-5,COLUMN()-40-$AI162)))*IF($B162="Operacional",IFERROR(VLOOKUP($C162,SN_UGC,28,0),0),1)</f>
        <v>0</v>
      </c>
      <c r="BE162" s="140">
        <f t="array" ref="BE162">IF(ISBLANK($A162),0,IF(OR(BE$5-$AI162&lt;=0,$AM162="Não"),T162,T162+INDEX($AO$6:$BR$176,ROW()-5,COLUMN()-40-$AI162)))*IF($B162="Operacional",IFERROR(VLOOKUP($C162,SN_UGC,28,0),0),1)</f>
        <v>0</v>
      </c>
      <c r="BF162" s="140">
        <f t="array" ref="BF162">IF(ISBLANK($A162),0,IF(OR(BF$5-$AI162&lt;=0,$AM162="Não"),U162,U162+INDEX($AO$6:$BR$176,ROW()-5,COLUMN()-40-$AI162)))*IF($B162="Operacional",IFERROR(VLOOKUP($C162,SN_UGC,28,0),0),1)</f>
        <v>0</v>
      </c>
      <c r="BG162" s="140">
        <f t="array" ref="BG162">IF(ISBLANK($A162),0,IF(OR(BG$5-$AI162&lt;=0,$AM162="Não"),V162,V162+INDEX($AO$6:$BR$176,ROW()-5,COLUMN()-40-$AI162)))*IF($B162="Operacional",IFERROR(VLOOKUP($C162,SN_UGC,28,0),0),1)</f>
        <v>0</v>
      </c>
      <c r="BH162" s="140">
        <f t="array" ref="BH162">IF(ISBLANK($A162),0,IF(OR(BH$5-$AI162&lt;=0,$AM162="Não"),W162,W162+INDEX($AO$6:$BR$176,ROW()-5,COLUMN()-40-$AI162)))*IF($B162="Operacional",IFERROR(VLOOKUP($C162,SN_UGC,28,0),0),1)</f>
        <v>0</v>
      </c>
      <c r="BI162" s="140">
        <f t="array" ref="BI162">IF(ISBLANK($A162),0,IF(OR(BI$5-$AI162&lt;=0,$AM162="Não"),X162,X162+INDEX($AO$6:$BR$176,ROW()-5,COLUMN()-40-$AI162)))*IF($B162="Operacional",IFERROR(VLOOKUP($C162,SN_UGC,28,0),0),1)</f>
        <v>0</v>
      </c>
      <c r="BJ162" s="140">
        <f t="array" ref="BJ162">IF(ISBLANK($A162),0,IF(OR(BJ$5-$AI162&lt;=0,$AM162="Não"),Y162,Y162+INDEX($AO$6:$BR$176,ROW()-5,COLUMN()-40-$AI162)))*IF($B162="Operacional",IFERROR(VLOOKUP($C162,SN_UGC,28,0),0),1)</f>
        <v>0</v>
      </c>
      <c r="BK162" s="140">
        <f t="array" ref="BK162">IF(ISBLANK($A162),0,IF(OR(BK$5-$AI162&lt;=0,$AM162="Não"),Z162,Z162+INDEX($AO$6:$BR$176,ROW()-5,COLUMN()-40-$AI162)))*IF($B162="Operacional",IFERROR(VLOOKUP($C162,SN_UGC,28,0),0),1)</f>
        <v>0</v>
      </c>
      <c r="BL162" s="140">
        <f t="array" ref="BL162">IF(ISBLANK($A162),0,IF(OR(BL$5-$AI162&lt;=0,$AM162="Não"),AA162,AA162+INDEX($AO$6:$BR$176,ROW()-5,COLUMN()-40-$AI162)))*IF($B162="Operacional",IFERROR(VLOOKUP($C162,SN_UGC,28,0),0),1)</f>
        <v>0</v>
      </c>
      <c r="BM162" s="140">
        <f t="array" ref="BM162">IF(ISBLANK($A162),0,IF(OR(BM$5-$AI162&lt;=0,$AM162="Não"),AB162,AB162+INDEX($AO$6:$BR$176,ROW()-5,COLUMN()-40-$AI162)))*IF($B162="Operacional",IFERROR(VLOOKUP($C162,SN_UGC,28,0),0),1)</f>
        <v>0</v>
      </c>
      <c r="BN162" s="140">
        <f t="array" ref="BN162">IF(ISBLANK($A162),0,IF(OR(BN$5-$AI162&lt;=0,$AM162="Não"),AC162,AC162+INDEX($AO$6:$BR$176,ROW()-5,COLUMN()-40-$AI162)))*IF($B162="Operacional",IFERROR(VLOOKUP($C162,SN_UGC,28,0),0),1)</f>
        <v>0</v>
      </c>
      <c r="BO162" s="140">
        <f t="array" ref="BO162">IF(ISBLANK($A162),0,IF(OR(BO$5-$AI162&lt;=0,$AM162="Não"),AD162,AD162+INDEX($AO$6:$BR$176,ROW()-5,COLUMN()-40-$AI162)))*IF($B162="Operacional",IFERROR(VLOOKUP($C162,SN_UGC,28,0),0),1)</f>
        <v>0</v>
      </c>
      <c r="BP162" s="140">
        <f t="array" ref="BP162">IF(ISBLANK($A162),0,IF(OR(BP$5-$AI162&lt;=0,$AM162="Não"),AE162,AE162+INDEX($AO$6:$BR$176,ROW()-5,COLUMN()-40-$AI162)))*IF($B162="Operacional",IFERROR(VLOOKUP($C162,SN_UGC,28,0),0),1)</f>
        <v>0</v>
      </c>
      <c r="BQ162" s="140">
        <f t="array" ref="BQ162">IF(ISBLANK($A162),0,IF(OR(BQ$5-$AI162&lt;=0,$AM162="Não"),AF162,AF162+INDEX($AO$6:$BR$176,ROW()-5,COLUMN()-40-$AI162)))*IF($B162="Operacional",IFERROR(VLOOKUP($C162,SN_UGC,28,0),0),1)</f>
        <v>0</v>
      </c>
      <c r="BR162" s="140">
        <f t="array" ref="BR162">IF(ISBLANK($A162),0,IF(OR(BR$5-$AI162&lt;=0,$AM162="Não"),AG162,AG162+INDEX($AO$6:$BR$176,ROW()-5,COLUMN()-40-$AI162)))*IF($B162="Operacional",IFERROR(VLOOKUP($C162,SN_UGC,28,0),0),1)</f>
        <v>0</v>
      </c>
      <c r="BS162" s="141">
        <f t="shared" ref="BS162:CV162" si="817">IF(ISBLANK($A162),0,$AH162*AO162)</f>
        <v>0</v>
      </c>
      <c r="BT162" s="141">
        <f t="shared" si="817"/>
        <v>0</v>
      </c>
      <c r="BU162" s="141">
        <f t="shared" si="817"/>
        <v>0</v>
      </c>
      <c r="BV162" s="141">
        <f t="shared" si="817"/>
        <v>0</v>
      </c>
      <c r="BW162" s="141">
        <f t="shared" si="817"/>
        <v>0</v>
      </c>
      <c r="BX162" s="141">
        <f t="shared" si="817"/>
        <v>0</v>
      </c>
      <c r="BY162" s="141">
        <f t="shared" si="817"/>
        <v>0</v>
      </c>
      <c r="BZ162" s="141">
        <f t="shared" si="817"/>
        <v>0</v>
      </c>
      <c r="CA162" s="141">
        <f t="shared" si="817"/>
        <v>0</v>
      </c>
      <c r="CB162" s="141">
        <f t="shared" si="817"/>
        <v>0</v>
      </c>
      <c r="CC162" s="141">
        <f t="shared" si="817"/>
        <v>0</v>
      </c>
      <c r="CD162" s="141">
        <f t="shared" si="817"/>
        <v>0</v>
      </c>
      <c r="CE162" s="141">
        <f t="shared" si="817"/>
        <v>0</v>
      </c>
      <c r="CF162" s="141">
        <f t="shared" si="817"/>
        <v>0</v>
      </c>
      <c r="CG162" s="141">
        <f t="shared" si="817"/>
        <v>0</v>
      </c>
      <c r="CH162" s="141">
        <f t="shared" si="817"/>
        <v>0</v>
      </c>
      <c r="CI162" s="141">
        <f t="shared" si="817"/>
        <v>0</v>
      </c>
      <c r="CJ162" s="141">
        <f t="shared" si="817"/>
        <v>0</v>
      </c>
      <c r="CK162" s="141">
        <f t="shared" si="817"/>
        <v>0</v>
      </c>
      <c r="CL162" s="141">
        <f t="shared" si="817"/>
        <v>0</v>
      </c>
      <c r="CM162" s="141">
        <f t="shared" si="817"/>
        <v>0</v>
      </c>
      <c r="CN162" s="141">
        <f t="shared" si="817"/>
        <v>0</v>
      </c>
      <c r="CO162" s="141">
        <f t="shared" si="817"/>
        <v>0</v>
      </c>
      <c r="CP162" s="141">
        <f t="shared" si="817"/>
        <v>0</v>
      </c>
      <c r="CQ162" s="141">
        <f t="shared" si="817"/>
        <v>0</v>
      </c>
      <c r="CR162" s="141">
        <f t="shared" si="817"/>
        <v>0</v>
      </c>
      <c r="CS162" s="141">
        <f t="shared" si="817"/>
        <v>0</v>
      </c>
      <c r="CT162" s="141">
        <f t="shared" si="817"/>
        <v>0</v>
      </c>
      <c r="CU162" s="141">
        <f t="shared" si="817"/>
        <v>0</v>
      </c>
      <c r="CV162" s="141">
        <f t="shared" si="817"/>
        <v>0</v>
      </c>
      <c r="CW162" s="142">
        <f t="shared" ref="CW162:DZ162" si="818">EA162*$AH162*$AJ162</f>
        <v>0</v>
      </c>
      <c r="CX162" s="142">
        <f t="shared" si="818"/>
        <v>0</v>
      </c>
      <c r="CY162" s="142">
        <f t="shared" si="818"/>
        <v>0</v>
      </c>
      <c r="CZ162" s="142">
        <f t="shared" si="818"/>
        <v>0</v>
      </c>
      <c r="DA162" s="142">
        <f t="shared" si="818"/>
        <v>0</v>
      </c>
      <c r="DB162" s="142">
        <f t="shared" si="818"/>
        <v>0</v>
      </c>
      <c r="DC162" s="142">
        <f t="shared" si="818"/>
        <v>0</v>
      </c>
      <c r="DD162" s="142">
        <f t="shared" si="818"/>
        <v>0</v>
      </c>
      <c r="DE162" s="142">
        <f t="shared" si="818"/>
        <v>0</v>
      </c>
      <c r="DF162" s="142">
        <f t="shared" si="818"/>
        <v>0</v>
      </c>
      <c r="DG162" s="142">
        <f t="shared" si="818"/>
        <v>0</v>
      </c>
      <c r="DH162" s="142">
        <f t="shared" si="818"/>
        <v>0</v>
      </c>
      <c r="DI162" s="142">
        <f t="shared" si="818"/>
        <v>0</v>
      </c>
      <c r="DJ162" s="142">
        <f t="shared" si="818"/>
        <v>0</v>
      </c>
      <c r="DK162" s="142">
        <f t="shared" si="818"/>
        <v>0</v>
      </c>
      <c r="DL162" s="142">
        <f t="shared" si="818"/>
        <v>0</v>
      </c>
      <c r="DM162" s="142">
        <f t="shared" si="818"/>
        <v>0</v>
      </c>
      <c r="DN162" s="142">
        <f t="shared" si="818"/>
        <v>0</v>
      </c>
      <c r="DO162" s="142">
        <f t="shared" si="818"/>
        <v>0</v>
      </c>
      <c r="DP162" s="142">
        <f t="shared" si="818"/>
        <v>0</v>
      </c>
      <c r="DQ162" s="142">
        <f t="shared" si="818"/>
        <v>0</v>
      </c>
      <c r="DR162" s="142">
        <f t="shared" si="818"/>
        <v>0</v>
      </c>
      <c r="DS162" s="142">
        <f t="shared" si="818"/>
        <v>0</v>
      </c>
      <c r="DT162" s="142">
        <f t="shared" si="818"/>
        <v>0</v>
      </c>
      <c r="DU162" s="142">
        <f t="shared" si="818"/>
        <v>0</v>
      </c>
      <c r="DV162" s="142">
        <f t="shared" si="818"/>
        <v>0</v>
      </c>
      <c r="DW162" s="142">
        <f t="shared" si="818"/>
        <v>0</v>
      </c>
      <c r="DX162" s="142">
        <f t="shared" si="818"/>
        <v>0</v>
      </c>
      <c r="DY162" s="142">
        <f t="shared" si="818"/>
        <v>0</v>
      </c>
      <c r="DZ162" s="142">
        <f t="shared" si="818"/>
        <v>0</v>
      </c>
      <c r="EA162" s="143">
        <f t="shared" si="670"/>
        <v>0</v>
      </c>
      <c r="EB162" s="143">
        <f t="shared" si="671"/>
        <v>0</v>
      </c>
      <c r="EC162" s="143">
        <f t="shared" si="672"/>
        <v>0</v>
      </c>
      <c r="ED162" s="143">
        <f t="shared" si="673"/>
        <v>0</v>
      </c>
      <c r="EE162" s="143">
        <f t="shared" si="674"/>
        <v>0</v>
      </c>
      <c r="EF162" s="143">
        <f t="shared" si="675"/>
        <v>0</v>
      </c>
      <c r="EG162" s="143">
        <f t="shared" si="676"/>
        <v>0</v>
      </c>
      <c r="EH162" s="143">
        <f t="shared" si="677"/>
        <v>0</v>
      </c>
      <c r="EI162" s="143">
        <f t="shared" si="678"/>
        <v>0</v>
      </c>
      <c r="EJ162" s="143">
        <f t="shared" si="679"/>
        <v>0</v>
      </c>
      <c r="EK162" s="143">
        <f t="shared" si="680"/>
        <v>0</v>
      </c>
      <c r="EL162" s="143">
        <f t="shared" si="681"/>
        <v>0</v>
      </c>
      <c r="EM162" s="143">
        <f t="shared" si="682"/>
        <v>0</v>
      </c>
      <c r="EN162" s="143">
        <f t="shared" si="683"/>
        <v>0</v>
      </c>
      <c r="EO162" s="143">
        <f t="shared" si="684"/>
        <v>0</v>
      </c>
      <c r="EP162" s="143">
        <f t="shared" si="685"/>
        <v>0</v>
      </c>
      <c r="EQ162" s="143">
        <f t="shared" si="686"/>
        <v>0</v>
      </c>
      <c r="ER162" s="143">
        <f t="shared" si="687"/>
        <v>0</v>
      </c>
      <c r="ES162" s="143">
        <f t="shared" si="688"/>
        <v>0</v>
      </c>
      <c r="ET162" s="143">
        <f t="shared" si="689"/>
        <v>0</v>
      </c>
      <c r="EU162" s="143">
        <f t="shared" si="690"/>
        <v>0</v>
      </c>
      <c r="EV162" s="143">
        <f t="shared" si="691"/>
        <v>0</v>
      </c>
      <c r="EW162" s="143">
        <f t="shared" si="692"/>
        <v>0</v>
      </c>
      <c r="EX162" s="143">
        <f t="shared" si="693"/>
        <v>0</v>
      </c>
      <c r="EY162" s="143">
        <f t="shared" si="694"/>
        <v>0</v>
      </c>
      <c r="EZ162" s="143">
        <f t="shared" si="695"/>
        <v>0</v>
      </c>
      <c r="FA162" s="143">
        <f t="shared" si="696"/>
        <v>0</v>
      </c>
      <c r="FB162" s="143">
        <f t="shared" si="697"/>
        <v>0</v>
      </c>
      <c r="FC162" s="143">
        <f t="shared" si="698"/>
        <v>0</v>
      </c>
      <c r="FD162" s="143">
        <f t="shared" si="699"/>
        <v>0</v>
      </c>
      <c r="FE162" s="140">
        <f>SUM($D162:D162)*IF($B162="Operacional",IFERROR(VLOOKUP($C162,SN_UGC,28,0),0),1)</f>
        <v>0</v>
      </c>
      <c r="FF162" s="140">
        <f>SUM($D162:E162)*IF($B162="Operacional",IFERROR(VLOOKUP($C162,SN_UGC,28,0),0),1)</f>
        <v>0</v>
      </c>
      <c r="FG162" s="140">
        <f>SUM($D162:F162)*IF($B162="Operacional",IFERROR(VLOOKUP($C162,SN_UGC,28,0),0),1)</f>
        <v>0</v>
      </c>
      <c r="FH162" s="140">
        <f>SUM($D162:G162)*IF($B162="Operacional",IFERROR(VLOOKUP($C162,SN_UGC,28,0),0),1)</f>
        <v>0</v>
      </c>
      <c r="FI162" s="140">
        <f>SUM($D162:H162)*IF($B162="Operacional",IFERROR(VLOOKUP($C162,SN_UGC,28,0),0),1)</f>
        <v>0</v>
      </c>
      <c r="FJ162" s="140">
        <f>SUM($D162:I162)*IF($B162="Operacional",IFERROR(VLOOKUP($C162,SN_UGC,28,0),0),1)</f>
        <v>0</v>
      </c>
      <c r="FK162" s="140">
        <f>SUM($D162:J162)*IF($B162="Operacional",IFERROR(VLOOKUP($C162,SN_UGC,28,0),0),1)</f>
        <v>0</v>
      </c>
      <c r="FL162" s="140">
        <f>SUM($D162:K162)*IF($B162="Operacional",IFERROR(VLOOKUP($C162,SN_UGC,28,0),0),1)</f>
        <v>0</v>
      </c>
      <c r="FM162" s="140">
        <f>SUM($D162:L162)*IF($B162="Operacional",IFERROR(VLOOKUP($C162,SN_UGC,28,0),0),1)</f>
        <v>0</v>
      </c>
      <c r="FN162" s="140">
        <f>SUM($D162:M162)*IF($B162="Operacional",IFERROR(VLOOKUP($C162,SN_UGC,28,0),0),1)</f>
        <v>0</v>
      </c>
      <c r="FO162" s="140">
        <f>SUM($D162:N162)*IF($B162="Operacional",IFERROR(VLOOKUP($C162,SN_UGC,28,0),0),1)</f>
        <v>0</v>
      </c>
      <c r="FP162" s="140">
        <f>SUM($D162:O162)*IF($B162="Operacional",IFERROR(VLOOKUP($C162,SN_UGC,28,0),0),1)</f>
        <v>0</v>
      </c>
      <c r="FQ162" s="140">
        <f>SUM($D162:P162)*IF($B162="Operacional",IFERROR(VLOOKUP($C162,SN_UGC,28,0),0),1)</f>
        <v>0</v>
      </c>
      <c r="FR162" s="140">
        <f>SUM($D162:Q162)*IF($B162="Operacional",IFERROR(VLOOKUP($C162,SN_UGC,28,0),0),1)</f>
        <v>0</v>
      </c>
      <c r="FS162" s="140">
        <f>SUM($D162:R162)*IF($B162="Operacional",IFERROR(VLOOKUP($C162,SN_UGC,28,0),0),1)</f>
        <v>0</v>
      </c>
      <c r="FT162" s="140">
        <f>SUM($D162:S162)*IF($B162="Operacional",IFERROR(VLOOKUP($C162,SN_UGC,28,0),0),1)</f>
        <v>0</v>
      </c>
      <c r="FU162" s="140">
        <f>SUM($D162:T162)*IF($B162="Operacional",IFERROR(VLOOKUP($C162,SN_UGC,28,0),0),1)</f>
        <v>0</v>
      </c>
      <c r="FV162" s="140">
        <f>SUM($D162:U162)*IF($B162="Operacional",IFERROR(VLOOKUP($C162,SN_UGC,28,0),0),1)</f>
        <v>0</v>
      </c>
      <c r="FW162" s="140">
        <f>SUM($D162:V162)*IF($B162="Operacional",IFERROR(VLOOKUP($C162,SN_UGC,28,0),0),1)</f>
        <v>0</v>
      </c>
      <c r="FX162" s="140">
        <f>SUM($D162:W162)*IF($B162="Operacional",IFERROR(VLOOKUP($C162,SN_UGC,28,0),0),1)</f>
        <v>0</v>
      </c>
      <c r="FY162" s="140">
        <f>SUM($D162:X162)*IF($B162="Operacional",IFERROR(VLOOKUP($C162,SN_UGC,28,0),0),1)</f>
        <v>0</v>
      </c>
      <c r="FZ162" s="140">
        <f>SUM($D162:Y162)*IF($B162="Operacional",IFERROR(VLOOKUP($C162,SN_UGC,28,0),0),1)</f>
        <v>0</v>
      </c>
      <c r="GA162" s="140">
        <f>SUM($D162:Z162)*IF($B162="Operacional",IFERROR(VLOOKUP($C162,SN_UGC,28,0),0),1)</f>
        <v>0</v>
      </c>
      <c r="GB162" s="140">
        <f>SUM($D162:AA162)*IF($B162="Operacional",IFERROR(VLOOKUP($C162,SN_UGC,28,0),0),1)</f>
        <v>0</v>
      </c>
      <c r="GC162" s="140">
        <f>SUM($D162:AB162)*IF($B162="Operacional",IFERROR(VLOOKUP($C162,SN_UGC,28,0),0),1)</f>
        <v>0</v>
      </c>
      <c r="GD162" s="140">
        <f>SUM($D162:AC162)*IF($B162="Operacional",IFERROR(VLOOKUP($C162,SN_UGC,28,0),0),1)</f>
        <v>0</v>
      </c>
      <c r="GE162" s="140">
        <f>SUM($D162:AD162)*IF($B162="Operacional",IFERROR(VLOOKUP($C162,SN_UGC,28,0),0),1)</f>
        <v>0</v>
      </c>
      <c r="GF162" s="140">
        <f>SUM($D162:AE162)*IF($B162="Operacional",IFERROR(VLOOKUP($C162,SN_UGC,28,0),0),1)</f>
        <v>0</v>
      </c>
      <c r="GG162" s="140">
        <f>SUM($D162:AF162)*IF($B162="Operacional",IFERROR(VLOOKUP($C162,SN_UGC,28,0),0),1)</f>
        <v>0</v>
      </c>
      <c r="GH162" s="140">
        <f>SUM($D162:AG162)*IF($B162="Operacional",IFERROR(VLOOKUP($C162,SN_UGC,28,0),0),1)</f>
        <v>0</v>
      </c>
      <c r="GI162" s="141">
        <f t="shared" ref="GI162:HL162" si="819">FE162*$AH162*$AL162</f>
        <v>0</v>
      </c>
      <c r="GJ162" s="141">
        <f t="shared" si="819"/>
        <v>0</v>
      </c>
      <c r="GK162" s="141">
        <f t="shared" si="819"/>
        <v>0</v>
      </c>
      <c r="GL162" s="141">
        <f t="shared" si="819"/>
        <v>0</v>
      </c>
      <c r="GM162" s="141">
        <f t="shared" si="819"/>
        <v>0</v>
      </c>
      <c r="GN162" s="141">
        <f t="shared" si="819"/>
        <v>0</v>
      </c>
      <c r="GO162" s="141">
        <f t="shared" si="819"/>
        <v>0</v>
      </c>
      <c r="GP162" s="141">
        <f t="shared" si="819"/>
        <v>0</v>
      </c>
      <c r="GQ162" s="141">
        <f t="shared" si="819"/>
        <v>0</v>
      </c>
      <c r="GR162" s="141">
        <f t="shared" si="819"/>
        <v>0</v>
      </c>
      <c r="GS162" s="141">
        <f t="shared" si="819"/>
        <v>0</v>
      </c>
      <c r="GT162" s="141">
        <f t="shared" si="819"/>
        <v>0</v>
      </c>
      <c r="GU162" s="141">
        <f t="shared" si="819"/>
        <v>0</v>
      </c>
      <c r="GV162" s="141">
        <f t="shared" si="819"/>
        <v>0</v>
      </c>
      <c r="GW162" s="141">
        <f t="shared" si="819"/>
        <v>0</v>
      </c>
      <c r="GX162" s="141">
        <f t="shared" si="819"/>
        <v>0</v>
      </c>
      <c r="GY162" s="141">
        <f t="shared" si="819"/>
        <v>0</v>
      </c>
      <c r="GZ162" s="141">
        <f t="shared" si="819"/>
        <v>0</v>
      </c>
      <c r="HA162" s="141">
        <f t="shared" si="819"/>
        <v>0</v>
      </c>
      <c r="HB162" s="141">
        <f t="shared" si="819"/>
        <v>0</v>
      </c>
      <c r="HC162" s="141">
        <f t="shared" si="819"/>
        <v>0</v>
      </c>
      <c r="HD162" s="141">
        <f t="shared" si="819"/>
        <v>0</v>
      </c>
      <c r="HE162" s="141">
        <f t="shared" si="819"/>
        <v>0</v>
      </c>
      <c r="HF162" s="141">
        <f t="shared" si="819"/>
        <v>0</v>
      </c>
      <c r="HG162" s="141">
        <f t="shared" si="819"/>
        <v>0</v>
      </c>
      <c r="HH162" s="141">
        <f t="shared" si="819"/>
        <v>0</v>
      </c>
      <c r="HI162" s="141">
        <f t="shared" si="819"/>
        <v>0</v>
      </c>
      <c r="HJ162" s="141">
        <f t="shared" si="819"/>
        <v>0</v>
      </c>
      <c r="HK162" s="141">
        <f t="shared" si="819"/>
        <v>0</v>
      </c>
      <c r="HL162" s="141">
        <f t="shared" si="819"/>
        <v>0</v>
      </c>
      <c r="HM162" s="142">
        <f t="shared" ref="HM162:IP162" si="820">IF(ISBLANK($A162),,FE162*($AH162-($AH162*$AJ162))/$AI162)</f>
        <v>0</v>
      </c>
      <c r="HN162" s="142">
        <f t="shared" si="820"/>
        <v>0</v>
      </c>
      <c r="HO162" s="142">
        <f t="shared" si="820"/>
        <v>0</v>
      </c>
      <c r="HP162" s="142">
        <f t="shared" si="820"/>
        <v>0</v>
      </c>
      <c r="HQ162" s="142">
        <f t="shared" si="820"/>
        <v>0</v>
      </c>
      <c r="HR162" s="142">
        <f t="shared" si="820"/>
        <v>0</v>
      </c>
      <c r="HS162" s="142">
        <f t="shared" si="820"/>
        <v>0</v>
      </c>
      <c r="HT162" s="142">
        <f t="shared" si="820"/>
        <v>0</v>
      </c>
      <c r="HU162" s="142">
        <f t="shared" si="820"/>
        <v>0</v>
      </c>
      <c r="HV162" s="142">
        <f t="shared" si="820"/>
        <v>0</v>
      </c>
      <c r="HW162" s="142">
        <f t="shared" si="820"/>
        <v>0</v>
      </c>
      <c r="HX162" s="142">
        <f t="shared" si="820"/>
        <v>0</v>
      </c>
      <c r="HY162" s="142">
        <f t="shared" si="820"/>
        <v>0</v>
      </c>
      <c r="HZ162" s="142">
        <f t="shared" si="820"/>
        <v>0</v>
      </c>
      <c r="IA162" s="142">
        <f t="shared" si="820"/>
        <v>0</v>
      </c>
      <c r="IB162" s="142">
        <f t="shared" si="820"/>
        <v>0</v>
      </c>
      <c r="IC162" s="142">
        <f t="shared" si="820"/>
        <v>0</v>
      </c>
      <c r="ID162" s="142">
        <f t="shared" si="820"/>
        <v>0</v>
      </c>
      <c r="IE162" s="142">
        <f t="shared" si="820"/>
        <v>0</v>
      </c>
      <c r="IF162" s="142">
        <f t="shared" si="820"/>
        <v>0</v>
      </c>
      <c r="IG162" s="142">
        <f t="shared" si="820"/>
        <v>0</v>
      </c>
      <c r="IH162" s="142">
        <f t="shared" si="820"/>
        <v>0</v>
      </c>
      <c r="II162" s="142">
        <f t="shared" si="820"/>
        <v>0</v>
      </c>
      <c r="IJ162" s="142">
        <f t="shared" si="820"/>
        <v>0</v>
      </c>
      <c r="IK162" s="142">
        <f t="shared" si="820"/>
        <v>0</v>
      </c>
      <c r="IL162" s="142">
        <f t="shared" si="820"/>
        <v>0</v>
      </c>
      <c r="IM162" s="142">
        <f t="shared" si="820"/>
        <v>0</v>
      </c>
      <c r="IN162" s="142">
        <f t="shared" si="820"/>
        <v>0</v>
      </c>
      <c r="IO162" s="142">
        <f t="shared" si="820"/>
        <v>0</v>
      </c>
      <c r="IP162" s="142">
        <f t="shared" si="820"/>
        <v>0</v>
      </c>
      <c r="IQ162" s="141">
        <f>IF(ISBLANK($A162),,IF($AN162="Não",0,(SUM($AO162:AO162)*$AH162)-SUM($HM162:HM162)-SUM($CW162:CW162)))</f>
        <v>0</v>
      </c>
      <c r="IR162" s="141">
        <f>IF(ISBLANK($A162),,IF($AN162="Não",0,(SUM($AO162:AP162)*$AH162)-SUM($HM162:HN162)-SUM($CW162:CX162)))</f>
        <v>0</v>
      </c>
      <c r="IS162" s="141">
        <f>IF(ISBLANK($A162),,IF($AN162="Não",0,(SUM($AO162:AQ162)*$AH162)-SUM($HM162:HO162)-SUM($CW162:CY162)))</f>
        <v>0</v>
      </c>
      <c r="IT162" s="141">
        <f>IF(ISBLANK($A162),,IF($AN162="Não",0,(SUM($AO162:AR162)*$AH162)-SUM($HM162:HP162)-SUM($CW162:CZ162)))</f>
        <v>0</v>
      </c>
      <c r="IU162" s="141">
        <f>IF(ISBLANK($A162),,IF($AN162="Não",0,(SUM($AO162:AS162)*$AH162)-SUM($HM162:HQ162)-SUM($CW162:DA162)))</f>
        <v>0</v>
      </c>
      <c r="IV162" s="141">
        <f>IF(ISBLANK($A162),,IF($AN162="Não",0,(SUM($AO162:AT162)*$AH162)-SUM($HM162:HR162)-SUM($CW162:DB162)))</f>
        <v>0</v>
      </c>
      <c r="IW162" s="141">
        <f>IF(ISBLANK($A162),,IF($AN162="Não",0,(SUM($AO162:AU162)*$AH162)-SUM($HM162:HS162)-SUM($CW162:DC162)))</f>
        <v>0</v>
      </c>
      <c r="IX162" s="141">
        <f>IF(ISBLANK($A162),,IF($AN162="Não",0,(SUM($AO162:AV162)*$AH162)-SUM($HM162:HT162)-SUM($CW162:DD162)))</f>
        <v>0</v>
      </c>
      <c r="IY162" s="141">
        <f>IF(ISBLANK($A162),,IF($AN162="Não",0,(SUM($AO162:AW162)*$AH162)-SUM($HM162:HU162)-SUM($CW162:DE162)))</f>
        <v>0</v>
      </c>
      <c r="IZ162" s="141">
        <f>IF(ISBLANK($A162),,IF($AN162="Não",0,(SUM($AO162:AX162)*$AH162)-SUM($HM162:HV162)-SUM($CW162:DF162)))</f>
        <v>0</v>
      </c>
      <c r="JA162" s="141">
        <f>IF(ISBLANK($A162),,IF($AN162="Não",0,(SUM($AO162:AY162)*$AH162)-SUM($HM162:HW162)-SUM($CW162:DG162)))</f>
        <v>0</v>
      </c>
      <c r="JB162" s="141">
        <f>IF(ISBLANK($A162),,IF($AN162="Não",0,(SUM($AO162:AZ162)*$AH162)-SUM($HM162:HX162)-SUM($CW162:DH162)))</f>
        <v>0</v>
      </c>
      <c r="JC162" s="141">
        <f>IF(ISBLANK($A162),,IF($AN162="Não",0,(SUM($AO162:BA162)*$AH162)-SUM($HM162:HY162)-SUM($CW162:DI162)))</f>
        <v>0</v>
      </c>
      <c r="JD162" s="141">
        <f>IF(ISBLANK($A162),,IF($AN162="Não",0,(SUM($AO162:BB162)*$AH162)-SUM($HM162:HZ162)-SUM($CW162:DJ162)))</f>
        <v>0</v>
      </c>
      <c r="JE162" s="141">
        <f>IF(ISBLANK($A162),,IF($AN162="Não",0,(SUM($AO162:BC162)*$AH162)-SUM($HM162:IA162)-SUM($CW162:DK162)))</f>
        <v>0</v>
      </c>
      <c r="JF162" s="141">
        <f>IF(ISBLANK($A162),,IF($AN162="Não",0,(SUM($AO162:BD162)*$AH162)-SUM($HM162:IB162)-SUM($CW162:DL162)))</f>
        <v>0</v>
      </c>
      <c r="JG162" s="141">
        <f>IF(ISBLANK($A162),,IF($AN162="Não",0,(SUM($AO162:BE162)*$AH162)-SUM($HM162:IC162)-SUM($CW162:DM162)))</f>
        <v>0</v>
      </c>
      <c r="JH162" s="141">
        <f>IF(ISBLANK($A162),,IF($AN162="Não",0,(SUM($AO162:BF162)*$AH162)-SUM($HM162:ID162)-SUM($CW162:DN162)))</f>
        <v>0</v>
      </c>
      <c r="JI162" s="141">
        <f>IF(ISBLANK($A162),,IF($AN162="Não",0,(SUM($AO162:BG162)*$AH162)-SUM($HM162:IE162)-SUM($CW162:DO162)))</f>
        <v>0</v>
      </c>
      <c r="JJ162" s="141">
        <f>IF(ISBLANK($A162),,IF($AN162="Não",0,(SUM($AO162:BH162)*$AH162)-SUM($HM162:IF162)-SUM($CW162:DP162)))</f>
        <v>0</v>
      </c>
      <c r="JK162" s="141">
        <f>IF(ISBLANK($A162),,IF($AN162="Não",0,(SUM($AO162:BI162)*$AH162)-SUM($HM162:IG162)-SUM($CW162:DQ162)))</f>
        <v>0</v>
      </c>
      <c r="JL162" s="141">
        <f>IF(ISBLANK($A162),,IF($AN162="Não",0,(SUM($AO162:BJ162)*$AH162)-SUM($HM162:IH162)-SUM($CW162:DR162)))</f>
        <v>0</v>
      </c>
      <c r="JM162" s="141">
        <f>IF(ISBLANK($A162),,IF($AN162="Não",0,(SUM($AO162:BK162)*$AH162)-SUM($HM162:II162)-SUM($CW162:DS162)))</f>
        <v>0</v>
      </c>
      <c r="JN162" s="141">
        <f>IF(ISBLANK($A162),,IF($AN162="Não",0,(SUM($AO162:BL162)*$AH162)-SUM($HM162:IJ162)-SUM($CW162:DT162)))</f>
        <v>0</v>
      </c>
      <c r="JO162" s="141">
        <f>IF(ISBLANK($A162),,IF($AN162="Não",0,(SUM($AO162:BM162)*$AH162)-SUM($HM162:IK162)-SUM($CW162:DU162)))</f>
        <v>0</v>
      </c>
      <c r="JP162" s="141">
        <f>IF(ISBLANK($A162),,IF($AN162="Não",0,(SUM($AO162:BN162)*$AH162)-SUM($HM162:IL162)-SUM($CW162:DV162)))</f>
        <v>0</v>
      </c>
      <c r="JQ162" s="141">
        <f>IF(ISBLANK($A162),,IF($AN162="Não",0,(SUM($AO162:BO162)*$AH162)-SUM($HM162:IM162)-SUM($CW162:DW162)))</f>
        <v>0</v>
      </c>
      <c r="JR162" s="141">
        <f>IF(ISBLANK($A162),,IF($AN162="Não",0,(SUM($AO162:BP162)*$AH162)-SUM($HM162:IN162)-SUM($CW162:DX162)))</f>
        <v>0</v>
      </c>
      <c r="JS162" s="141">
        <f>IF(ISBLANK($A162),,IF($AN162="Não",0,(SUM($AO162:BQ162)*$AH162)-SUM($HM162:IO162)-SUM($CW162:DY162)))</f>
        <v>0</v>
      </c>
      <c r="JT162" s="141">
        <f>IF(ISBLANK($A162),,IF($AN162="Não",0,(SUM($AO162:BR162)*$AH162)-SUM($HM162:IP162)-SUM($CW162:DZ162)))</f>
        <v>0</v>
      </c>
    </row>
    <row r="163" spans="1:280" ht="15.75" customHeight="1">
      <c r="A163" s="129"/>
      <c r="B163" s="129"/>
      <c r="C163" s="138"/>
      <c r="D163" s="139"/>
      <c r="E163" s="139"/>
      <c r="F163" s="139"/>
      <c r="G163" s="139"/>
      <c r="H163" s="139"/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607">
        <f t="shared" si="710"/>
        <v>0</v>
      </c>
      <c r="AI163" s="608">
        <f t="shared" si="711"/>
        <v>0</v>
      </c>
      <c r="AJ163" s="609">
        <f t="shared" si="712"/>
        <v>0</v>
      </c>
      <c r="AK163" s="610" t="str">
        <f t="shared" si="713"/>
        <v/>
      </c>
      <c r="AL163" s="609">
        <f t="shared" si="714"/>
        <v>0</v>
      </c>
      <c r="AM163" s="611" t="str">
        <f t="shared" si="715"/>
        <v/>
      </c>
      <c r="AN163" s="611" t="str">
        <f t="shared" si="716"/>
        <v/>
      </c>
      <c r="AO163" s="140">
        <f t="array" ref="AO163">IF(ISBLANK($A163),0,IF(OR(AO$5-$AI163&lt;=0,$AM163="Não"),D163,D163+INDEX($AO$6:$BR$176,ROW()-5,COLUMN()-40-$AI163)))*IF($B163="Operacional",IFERROR(VLOOKUP($C163,SN_UGC,28,0),0),1)</f>
        <v>0</v>
      </c>
      <c r="AP163" s="140">
        <f t="array" ref="AP163">IF(ISBLANK($A163),0,IF(OR(AP$5-$AI163&lt;=0,$AM163="Não"),E163,E163+INDEX($AO$6:$BR$176,ROW()-5,COLUMN()-40-$AI163)))*IF($B163="Operacional",IFERROR(VLOOKUP($C163,SN_UGC,28,0),0),1)</f>
        <v>0</v>
      </c>
      <c r="AQ163" s="140">
        <f t="array" ref="AQ163">IF(ISBLANK($A163),0,IF(OR(AQ$5-$AI163&lt;=0,$AM163="Não"),F163,F163+INDEX($AO$6:$BR$176,ROW()-5,COLUMN()-40-$AI163)))*IF($B163="Operacional",IFERROR(VLOOKUP($C163,SN_UGC,28,0),0),1)</f>
        <v>0</v>
      </c>
      <c r="AR163" s="140">
        <f t="array" ref="AR163">IF(ISBLANK($A163),0,IF(OR(AR$5-$AI163&lt;=0,$AM163="Não"),G163,G163+INDEX($AO$6:$BR$176,ROW()-5,COLUMN()-40-$AI163)))*IF($B163="Operacional",IFERROR(VLOOKUP($C163,SN_UGC,28,0),0),1)</f>
        <v>0</v>
      </c>
      <c r="AS163" s="140">
        <f t="array" ref="AS163">IF(ISBLANK($A163),0,IF(OR(AS$5-$AI163&lt;=0,$AM163="Não"),H163,H163+INDEX($AO$6:$BR$176,ROW()-5,COLUMN()-40-$AI163)))*IF($B163="Operacional",IFERROR(VLOOKUP($C163,SN_UGC,28,0),0),1)</f>
        <v>0</v>
      </c>
      <c r="AT163" s="140">
        <f t="array" ref="AT163">IF(ISBLANK($A163),0,IF(OR(AT$5-$AI163&lt;=0,$AM163="Não"),I163,I163+INDEX($AO$6:$BR$176,ROW()-5,COLUMN()-40-$AI163)))*IF($B163="Operacional",IFERROR(VLOOKUP($C163,SN_UGC,28,0),0),1)</f>
        <v>0</v>
      </c>
      <c r="AU163" s="140">
        <f t="array" ref="AU163">IF(ISBLANK($A163),0,IF(OR(AU$5-$AI163&lt;=0,$AM163="Não"),J163,J163+INDEX($AO$6:$BR$176,ROW()-5,COLUMN()-40-$AI163)))*IF($B163="Operacional",IFERROR(VLOOKUP($C163,SN_UGC,28,0),0),1)</f>
        <v>0</v>
      </c>
      <c r="AV163" s="140">
        <f t="array" ref="AV163">IF(ISBLANK($A163),0,IF(OR(AV$5-$AI163&lt;=0,$AM163="Não"),K163,K163+INDEX($AO$6:$BR$176,ROW()-5,COLUMN()-40-$AI163)))*IF($B163="Operacional",IFERROR(VLOOKUP($C163,SN_UGC,28,0),0),1)</f>
        <v>0</v>
      </c>
      <c r="AW163" s="140">
        <f t="array" ref="AW163">IF(ISBLANK($A163),0,IF(OR(AW$5-$AI163&lt;=0,$AM163="Não"),L163,L163+INDEX($AO$6:$BR$176,ROW()-5,COLUMN()-40-$AI163)))*IF($B163="Operacional",IFERROR(VLOOKUP($C163,SN_UGC,28,0),0),1)</f>
        <v>0</v>
      </c>
      <c r="AX163" s="140">
        <f t="array" ref="AX163">IF(ISBLANK($A163),0,IF(OR(AX$5-$AI163&lt;=0,$AM163="Não"),M163,M163+INDEX($AO$6:$BR$176,ROW()-5,COLUMN()-40-$AI163)))*IF($B163="Operacional",IFERROR(VLOOKUP($C163,SN_UGC,28,0),0),1)</f>
        <v>0</v>
      </c>
      <c r="AY163" s="140">
        <f t="array" ref="AY163">IF(ISBLANK($A163),0,IF(OR(AY$5-$AI163&lt;=0,$AM163="Não"),N163,N163+INDEX($AO$6:$BR$176,ROW()-5,COLUMN()-40-$AI163)))*IF($B163="Operacional",IFERROR(VLOOKUP($C163,SN_UGC,28,0),0),1)</f>
        <v>0</v>
      </c>
      <c r="AZ163" s="140">
        <f t="array" ref="AZ163">IF(ISBLANK($A163),0,IF(OR(AZ$5-$AI163&lt;=0,$AM163="Não"),O163,O163+INDEX($AO$6:$BR$176,ROW()-5,COLUMN()-40-$AI163)))*IF($B163="Operacional",IFERROR(VLOOKUP($C163,SN_UGC,28,0),0),1)</f>
        <v>0</v>
      </c>
      <c r="BA163" s="140">
        <f t="array" ref="BA163">IF(ISBLANK($A163),0,IF(OR(BA$5-$AI163&lt;=0,$AM163="Não"),P163,P163+INDEX($AO$6:$BR$176,ROW()-5,COLUMN()-40-$AI163)))*IF($B163="Operacional",IFERROR(VLOOKUP($C163,SN_UGC,28,0),0),1)</f>
        <v>0</v>
      </c>
      <c r="BB163" s="140">
        <f t="array" ref="BB163">IF(ISBLANK($A163),0,IF(OR(BB$5-$AI163&lt;=0,$AM163="Não"),Q163,Q163+INDEX($AO$6:$BR$176,ROW()-5,COLUMN()-40-$AI163)))*IF($B163="Operacional",IFERROR(VLOOKUP($C163,SN_UGC,28,0),0),1)</f>
        <v>0</v>
      </c>
      <c r="BC163" s="140">
        <f t="array" ref="BC163">IF(ISBLANK($A163),0,IF(OR(BC$5-$AI163&lt;=0,$AM163="Não"),R163,R163+INDEX($AO$6:$BR$176,ROW()-5,COLUMN()-40-$AI163)))*IF($B163="Operacional",IFERROR(VLOOKUP($C163,SN_UGC,28,0),0),1)</f>
        <v>0</v>
      </c>
      <c r="BD163" s="140">
        <f t="array" ref="BD163">IF(ISBLANK($A163),0,IF(OR(BD$5-$AI163&lt;=0,$AM163="Não"),S163,S163+INDEX($AO$6:$BR$176,ROW()-5,COLUMN()-40-$AI163)))*IF($B163="Operacional",IFERROR(VLOOKUP($C163,SN_UGC,28,0),0),1)</f>
        <v>0</v>
      </c>
      <c r="BE163" s="140">
        <f t="array" ref="BE163">IF(ISBLANK($A163),0,IF(OR(BE$5-$AI163&lt;=0,$AM163="Não"),T163,T163+INDEX($AO$6:$BR$176,ROW()-5,COLUMN()-40-$AI163)))*IF($B163="Operacional",IFERROR(VLOOKUP($C163,SN_UGC,28,0),0),1)</f>
        <v>0</v>
      </c>
      <c r="BF163" s="140">
        <f t="array" ref="BF163">IF(ISBLANK($A163),0,IF(OR(BF$5-$AI163&lt;=0,$AM163="Não"),U163,U163+INDEX($AO$6:$BR$176,ROW()-5,COLUMN()-40-$AI163)))*IF($B163="Operacional",IFERROR(VLOOKUP($C163,SN_UGC,28,0),0),1)</f>
        <v>0</v>
      </c>
      <c r="BG163" s="140">
        <f t="array" ref="BG163">IF(ISBLANK($A163),0,IF(OR(BG$5-$AI163&lt;=0,$AM163="Não"),V163,V163+INDEX($AO$6:$BR$176,ROW()-5,COLUMN()-40-$AI163)))*IF($B163="Operacional",IFERROR(VLOOKUP($C163,SN_UGC,28,0),0),1)</f>
        <v>0</v>
      </c>
      <c r="BH163" s="140">
        <f t="array" ref="BH163">IF(ISBLANK($A163),0,IF(OR(BH$5-$AI163&lt;=0,$AM163="Não"),W163,W163+INDEX($AO$6:$BR$176,ROW()-5,COLUMN()-40-$AI163)))*IF($B163="Operacional",IFERROR(VLOOKUP($C163,SN_UGC,28,0),0),1)</f>
        <v>0</v>
      </c>
      <c r="BI163" s="140">
        <f t="array" ref="BI163">IF(ISBLANK($A163),0,IF(OR(BI$5-$AI163&lt;=0,$AM163="Não"),X163,X163+INDEX($AO$6:$BR$176,ROW()-5,COLUMN()-40-$AI163)))*IF($B163="Operacional",IFERROR(VLOOKUP($C163,SN_UGC,28,0),0),1)</f>
        <v>0</v>
      </c>
      <c r="BJ163" s="140">
        <f t="array" ref="BJ163">IF(ISBLANK($A163),0,IF(OR(BJ$5-$AI163&lt;=0,$AM163="Não"),Y163,Y163+INDEX($AO$6:$BR$176,ROW()-5,COLUMN()-40-$AI163)))*IF($B163="Operacional",IFERROR(VLOOKUP($C163,SN_UGC,28,0),0),1)</f>
        <v>0</v>
      </c>
      <c r="BK163" s="140">
        <f t="array" ref="BK163">IF(ISBLANK($A163),0,IF(OR(BK$5-$AI163&lt;=0,$AM163="Não"),Z163,Z163+INDEX($AO$6:$BR$176,ROW()-5,COLUMN()-40-$AI163)))*IF($B163="Operacional",IFERROR(VLOOKUP($C163,SN_UGC,28,0),0),1)</f>
        <v>0</v>
      </c>
      <c r="BL163" s="140">
        <f t="array" ref="BL163">IF(ISBLANK($A163),0,IF(OR(BL$5-$AI163&lt;=0,$AM163="Não"),AA163,AA163+INDEX($AO$6:$BR$176,ROW()-5,COLUMN()-40-$AI163)))*IF($B163="Operacional",IFERROR(VLOOKUP($C163,SN_UGC,28,0),0),1)</f>
        <v>0</v>
      </c>
      <c r="BM163" s="140">
        <f t="array" ref="BM163">IF(ISBLANK($A163),0,IF(OR(BM$5-$AI163&lt;=0,$AM163="Não"),AB163,AB163+INDEX($AO$6:$BR$176,ROW()-5,COLUMN()-40-$AI163)))*IF($B163="Operacional",IFERROR(VLOOKUP($C163,SN_UGC,28,0),0),1)</f>
        <v>0</v>
      </c>
      <c r="BN163" s="140">
        <f t="array" ref="BN163">IF(ISBLANK($A163),0,IF(OR(BN$5-$AI163&lt;=0,$AM163="Não"),AC163,AC163+INDEX($AO$6:$BR$176,ROW()-5,COLUMN()-40-$AI163)))*IF($B163="Operacional",IFERROR(VLOOKUP($C163,SN_UGC,28,0),0),1)</f>
        <v>0</v>
      </c>
      <c r="BO163" s="140">
        <f t="array" ref="BO163">IF(ISBLANK($A163),0,IF(OR(BO$5-$AI163&lt;=0,$AM163="Não"),AD163,AD163+INDEX($AO$6:$BR$176,ROW()-5,COLUMN()-40-$AI163)))*IF($B163="Operacional",IFERROR(VLOOKUP($C163,SN_UGC,28,0),0),1)</f>
        <v>0</v>
      </c>
      <c r="BP163" s="140">
        <f t="array" ref="BP163">IF(ISBLANK($A163),0,IF(OR(BP$5-$AI163&lt;=0,$AM163="Não"),AE163,AE163+INDEX($AO$6:$BR$176,ROW()-5,COLUMN()-40-$AI163)))*IF($B163="Operacional",IFERROR(VLOOKUP($C163,SN_UGC,28,0),0),1)</f>
        <v>0</v>
      </c>
      <c r="BQ163" s="140">
        <f t="array" ref="BQ163">IF(ISBLANK($A163),0,IF(OR(BQ$5-$AI163&lt;=0,$AM163="Não"),AF163,AF163+INDEX($AO$6:$BR$176,ROW()-5,COLUMN()-40-$AI163)))*IF($B163="Operacional",IFERROR(VLOOKUP($C163,SN_UGC,28,0),0),1)</f>
        <v>0</v>
      </c>
      <c r="BR163" s="140">
        <f t="array" ref="BR163">IF(ISBLANK($A163),0,IF(OR(BR$5-$AI163&lt;=0,$AM163="Não"),AG163,AG163+INDEX($AO$6:$BR$176,ROW()-5,COLUMN()-40-$AI163)))*IF($B163="Operacional",IFERROR(VLOOKUP($C163,SN_UGC,28,0),0),1)</f>
        <v>0</v>
      </c>
      <c r="BS163" s="141">
        <f t="shared" ref="BS163:CV163" si="821">IF(ISBLANK($A163),0,$AH163*AO163)</f>
        <v>0</v>
      </c>
      <c r="BT163" s="141">
        <f t="shared" si="821"/>
        <v>0</v>
      </c>
      <c r="BU163" s="141">
        <f t="shared" si="821"/>
        <v>0</v>
      </c>
      <c r="BV163" s="141">
        <f t="shared" si="821"/>
        <v>0</v>
      </c>
      <c r="BW163" s="141">
        <f t="shared" si="821"/>
        <v>0</v>
      </c>
      <c r="BX163" s="141">
        <f t="shared" si="821"/>
        <v>0</v>
      </c>
      <c r="BY163" s="141">
        <f t="shared" si="821"/>
        <v>0</v>
      </c>
      <c r="BZ163" s="141">
        <f t="shared" si="821"/>
        <v>0</v>
      </c>
      <c r="CA163" s="141">
        <f t="shared" si="821"/>
        <v>0</v>
      </c>
      <c r="CB163" s="141">
        <f t="shared" si="821"/>
        <v>0</v>
      </c>
      <c r="CC163" s="141">
        <f t="shared" si="821"/>
        <v>0</v>
      </c>
      <c r="CD163" s="141">
        <f t="shared" si="821"/>
        <v>0</v>
      </c>
      <c r="CE163" s="141">
        <f t="shared" si="821"/>
        <v>0</v>
      </c>
      <c r="CF163" s="141">
        <f t="shared" si="821"/>
        <v>0</v>
      </c>
      <c r="CG163" s="141">
        <f t="shared" si="821"/>
        <v>0</v>
      </c>
      <c r="CH163" s="141">
        <f t="shared" si="821"/>
        <v>0</v>
      </c>
      <c r="CI163" s="141">
        <f t="shared" si="821"/>
        <v>0</v>
      </c>
      <c r="CJ163" s="141">
        <f t="shared" si="821"/>
        <v>0</v>
      </c>
      <c r="CK163" s="141">
        <f t="shared" si="821"/>
        <v>0</v>
      </c>
      <c r="CL163" s="141">
        <f t="shared" si="821"/>
        <v>0</v>
      </c>
      <c r="CM163" s="141">
        <f t="shared" si="821"/>
        <v>0</v>
      </c>
      <c r="CN163" s="141">
        <f t="shared" si="821"/>
        <v>0</v>
      </c>
      <c r="CO163" s="141">
        <f t="shared" si="821"/>
        <v>0</v>
      </c>
      <c r="CP163" s="141">
        <f t="shared" si="821"/>
        <v>0</v>
      </c>
      <c r="CQ163" s="141">
        <f t="shared" si="821"/>
        <v>0</v>
      </c>
      <c r="CR163" s="141">
        <f t="shared" si="821"/>
        <v>0</v>
      </c>
      <c r="CS163" s="141">
        <f t="shared" si="821"/>
        <v>0</v>
      </c>
      <c r="CT163" s="141">
        <f t="shared" si="821"/>
        <v>0</v>
      </c>
      <c r="CU163" s="141">
        <f t="shared" si="821"/>
        <v>0</v>
      </c>
      <c r="CV163" s="141">
        <f t="shared" si="821"/>
        <v>0</v>
      </c>
      <c r="CW163" s="142">
        <f t="shared" ref="CW163:DZ163" si="822">EA163*$AH163*$AJ163</f>
        <v>0</v>
      </c>
      <c r="CX163" s="142">
        <f t="shared" si="822"/>
        <v>0</v>
      </c>
      <c r="CY163" s="142">
        <f t="shared" si="822"/>
        <v>0</v>
      </c>
      <c r="CZ163" s="142">
        <f t="shared" si="822"/>
        <v>0</v>
      </c>
      <c r="DA163" s="142">
        <f t="shared" si="822"/>
        <v>0</v>
      </c>
      <c r="DB163" s="142">
        <f t="shared" si="822"/>
        <v>0</v>
      </c>
      <c r="DC163" s="142">
        <f t="shared" si="822"/>
        <v>0</v>
      </c>
      <c r="DD163" s="142">
        <f t="shared" si="822"/>
        <v>0</v>
      </c>
      <c r="DE163" s="142">
        <f t="shared" si="822"/>
        <v>0</v>
      </c>
      <c r="DF163" s="142">
        <f t="shared" si="822"/>
        <v>0</v>
      </c>
      <c r="DG163" s="142">
        <f t="shared" si="822"/>
        <v>0</v>
      </c>
      <c r="DH163" s="142">
        <f t="shared" si="822"/>
        <v>0</v>
      </c>
      <c r="DI163" s="142">
        <f t="shared" si="822"/>
        <v>0</v>
      </c>
      <c r="DJ163" s="142">
        <f t="shared" si="822"/>
        <v>0</v>
      </c>
      <c r="DK163" s="142">
        <f t="shared" si="822"/>
        <v>0</v>
      </c>
      <c r="DL163" s="142">
        <f t="shared" si="822"/>
        <v>0</v>
      </c>
      <c r="DM163" s="142">
        <f t="shared" si="822"/>
        <v>0</v>
      </c>
      <c r="DN163" s="142">
        <f t="shared" si="822"/>
        <v>0</v>
      </c>
      <c r="DO163" s="142">
        <f t="shared" si="822"/>
        <v>0</v>
      </c>
      <c r="DP163" s="142">
        <f t="shared" si="822"/>
        <v>0</v>
      </c>
      <c r="DQ163" s="142">
        <f t="shared" si="822"/>
        <v>0</v>
      </c>
      <c r="DR163" s="142">
        <f t="shared" si="822"/>
        <v>0</v>
      </c>
      <c r="DS163" s="142">
        <f t="shared" si="822"/>
        <v>0</v>
      </c>
      <c r="DT163" s="142">
        <f t="shared" si="822"/>
        <v>0</v>
      </c>
      <c r="DU163" s="142">
        <f t="shared" si="822"/>
        <v>0</v>
      </c>
      <c r="DV163" s="142">
        <f t="shared" si="822"/>
        <v>0</v>
      </c>
      <c r="DW163" s="142">
        <f t="shared" si="822"/>
        <v>0</v>
      </c>
      <c r="DX163" s="142">
        <f t="shared" si="822"/>
        <v>0</v>
      </c>
      <c r="DY163" s="142">
        <f t="shared" si="822"/>
        <v>0</v>
      </c>
      <c r="DZ163" s="142">
        <f t="shared" si="822"/>
        <v>0</v>
      </c>
      <c r="EA163" s="143">
        <f t="shared" si="670"/>
        <v>0</v>
      </c>
      <c r="EB163" s="143">
        <f t="shared" si="671"/>
        <v>0</v>
      </c>
      <c r="EC163" s="143">
        <f t="shared" si="672"/>
        <v>0</v>
      </c>
      <c r="ED163" s="143">
        <f t="shared" si="673"/>
        <v>0</v>
      </c>
      <c r="EE163" s="143">
        <f t="shared" si="674"/>
        <v>0</v>
      </c>
      <c r="EF163" s="143">
        <f t="shared" si="675"/>
        <v>0</v>
      </c>
      <c r="EG163" s="143">
        <f t="shared" si="676"/>
        <v>0</v>
      </c>
      <c r="EH163" s="143">
        <f t="shared" si="677"/>
        <v>0</v>
      </c>
      <c r="EI163" s="143">
        <f t="shared" si="678"/>
        <v>0</v>
      </c>
      <c r="EJ163" s="143">
        <f t="shared" si="679"/>
        <v>0</v>
      </c>
      <c r="EK163" s="143">
        <f t="shared" si="680"/>
        <v>0</v>
      </c>
      <c r="EL163" s="143">
        <f t="shared" si="681"/>
        <v>0</v>
      </c>
      <c r="EM163" s="143">
        <f t="shared" si="682"/>
        <v>0</v>
      </c>
      <c r="EN163" s="143">
        <f t="shared" si="683"/>
        <v>0</v>
      </c>
      <c r="EO163" s="143">
        <f t="shared" si="684"/>
        <v>0</v>
      </c>
      <c r="EP163" s="143">
        <f t="shared" si="685"/>
        <v>0</v>
      </c>
      <c r="EQ163" s="143">
        <f t="shared" si="686"/>
        <v>0</v>
      </c>
      <c r="ER163" s="143">
        <f t="shared" si="687"/>
        <v>0</v>
      </c>
      <c r="ES163" s="143">
        <f t="shared" si="688"/>
        <v>0</v>
      </c>
      <c r="ET163" s="143">
        <f t="shared" si="689"/>
        <v>0</v>
      </c>
      <c r="EU163" s="143">
        <f t="shared" si="690"/>
        <v>0</v>
      </c>
      <c r="EV163" s="143">
        <f t="shared" si="691"/>
        <v>0</v>
      </c>
      <c r="EW163" s="143">
        <f t="shared" si="692"/>
        <v>0</v>
      </c>
      <c r="EX163" s="143">
        <f t="shared" si="693"/>
        <v>0</v>
      </c>
      <c r="EY163" s="143">
        <f t="shared" si="694"/>
        <v>0</v>
      </c>
      <c r="EZ163" s="143">
        <f t="shared" si="695"/>
        <v>0</v>
      </c>
      <c r="FA163" s="143">
        <f t="shared" si="696"/>
        <v>0</v>
      </c>
      <c r="FB163" s="143">
        <f t="shared" si="697"/>
        <v>0</v>
      </c>
      <c r="FC163" s="143">
        <f t="shared" si="698"/>
        <v>0</v>
      </c>
      <c r="FD163" s="143">
        <f t="shared" si="699"/>
        <v>0</v>
      </c>
      <c r="FE163" s="140">
        <f>SUM($D163:D163)*IF($B163="Operacional",IFERROR(VLOOKUP($C163,SN_UGC,28,0),0),1)</f>
        <v>0</v>
      </c>
      <c r="FF163" s="140">
        <f>SUM($D163:E163)*IF($B163="Operacional",IFERROR(VLOOKUP($C163,SN_UGC,28,0),0),1)</f>
        <v>0</v>
      </c>
      <c r="FG163" s="140">
        <f>SUM($D163:F163)*IF($B163="Operacional",IFERROR(VLOOKUP($C163,SN_UGC,28,0),0),1)</f>
        <v>0</v>
      </c>
      <c r="FH163" s="140">
        <f>SUM($D163:G163)*IF($B163="Operacional",IFERROR(VLOOKUP($C163,SN_UGC,28,0),0),1)</f>
        <v>0</v>
      </c>
      <c r="FI163" s="140">
        <f>SUM($D163:H163)*IF($B163="Operacional",IFERROR(VLOOKUP($C163,SN_UGC,28,0),0),1)</f>
        <v>0</v>
      </c>
      <c r="FJ163" s="140">
        <f>SUM($D163:I163)*IF($B163="Operacional",IFERROR(VLOOKUP($C163,SN_UGC,28,0),0),1)</f>
        <v>0</v>
      </c>
      <c r="FK163" s="140">
        <f>SUM($D163:J163)*IF($B163="Operacional",IFERROR(VLOOKUP($C163,SN_UGC,28,0),0),1)</f>
        <v>0</v>
      </c>
      <c r="FL163" s="140">
        <f>SUM($D163:K163)*IF($B163="Operacional",IFERROR(VLOOKUP($C163,SN_UGC,28,0),0),1)</f>
        <v>0</v>
      </c>
      <c r="FM163" s="140">
        <f>SUM($D163:L163)*IF($B163="Operacional",IFERROR(VLOOKUP($C163,SN_UGC,28,0),0),1)</f>
        <v>0</v>
      </c>
      <c r="FN163" s="140">
        <f>SUM($D163:M163)*IF($B163="Operacional",IFERROR(VLOOKUP($C163,SN_UGC,28,0),0),1)</f>
        <v>0</v>
      </c>
      <c r="FO163" s="140">
        <f>SUM($D163:N163)*IF($B163="Operacional",IFERROR(VLOOKUP($C163,SN_UGC,28,0),0),1)</f>
        <v>0</v>
      </c>
      <c r="FP163" s="140">
        <f>SUM($D163:O163)*IF($B163="Operacional",IFERROR(VLOOKUP($C163,SN_UGC,28,0),0),1)</f>
        <v>0</v>
      </c>
      <c r="FQ163" s="140">
        <f>SUM($D163:P163)*IF($B163="Operacional",IFERROR(VLOOKUP($C163,SN_UGC,28,0),0),1)</f>
        <v>0</v>
      </c>
      <c r="FR163" s="140">
        <f>SUM($D163:Q163)*IF($B163="Operacional",IFERROR(VLOOKUP($C163,SN_UGC,28,0),0),1)</f>
        <v>0</v>
      </c>
      <c r="FS163" s="140">
        <f>SUM($D163:R163)*IF($B163="Operacional",IFERROR(VLOOKUP($C163,SN_UGC,28,0),0),1)</f>
        <v>0</v>
      </c>
      <c r="FT163" s="140">
        <f>SUM($D163:S163)*IF($B163="Operacional",IFERROR(VLOOKUP($C163,SN_UGC,28,0),0),1)</f>
        <v>0</v>
      </c>
      <c r="FU163" s="140">
        <f>SUM($D163:T163)*IF($B163="Operacional",IFERROR(VLOOKUP($C163,SN_UGC,28,0),0),1)</f>
        <v>0</v>
      </c>
      <c r="FV163" s="140">
        <f>SUM($D163:U163)*IF($B163="Operacional",IFERROR(VLOOKUP($C163,SN_UGC,28,0),0),1)</f>
        <v>0</v>
      </c>
      <c r="FW163" s="140">
        <f>SUM($D163:V163)*IF($B163="Operacional",IFERROR(VLOOKUP($C163,SN_UGC,28,0),0),1)</f>
        <v>0</v>
      </c>
      <c r="FX163" s="140">
        <f>SUM($D163:W163)*IF($B163="Operacional",IFERROR(VLOOKUP($C163,SN_UGC,28,0),0),1)</f>
        <v>0</v>
      </c>
      <c r="FY163" s="140">
        <f>SUM($D163:X163)*IF($B163="Operacional",IFERROR(VLOOKUP($C163,SN_UGC,28,0),0),1)</f>
        <v>0</v>
      </c>
      <c r="FZ163" s="140">
        <f>SUM($D163:Y163)*IF($B163="Operacional",IFERROR(VLOOKUP($C163,SN_UGC,28,0),0),1)</f>
        <v>0</v>
      </c>
      <c r="GA163" s="140">
        <f>SUM($D163:Z163)*IF($B163="Operacional",IFERROR(VLOOKUP($C163,SN_UGC,28,0),0),1)</f>
        <v>0</v>
      </c>
      <c r="GB163" s="140">
        <f>SUM($D163:AA163)*IF($B163="Operacional",IFERROR(VLOOKUP($C163,SN_UGC,28,0),0),1)</f>
        <v>0</v>
      </c>
      <c r="GC163" s="140">
        <f>SUM($D163:AB163)*IF($B163="Operacional",IFERROR(VLOOKUP($C163,SN_UGC,28,0),0),1)</f>
        <v>0</v>
      </c>
      <c r="GD163" s="140">
        <f>SUM($D163:AC163)*IF($B163="Operacional",IFERROR(VLOOKUP($C163,SN_UGC,28,0),0),1)</f>
        <v>0</v>
      </c>
      <c r="GE163" s="140">
        <f>SUM($D163:AD163)*IF($B163="Operacional",IFERROR(VLOOKUP($C163,SN_UGC,28,0),0),1)</f>
        <v>0</v>
      </c>
      <c r="GF163" s="140">
        <f>SUM($D163:AE163)*IF($B163="Operacional",IFERROR(VLOOKUP($C163,SN_UGC,28,0),0),1)</f>
        <v>0</v>
      </c>
      <c r="GG163" s="140">
        <f>SUM($D163:AF163)*IF($B163="Operacional",IFERROR(VLOOKUP($C163,SN_UGC,28,0),0),1)</f>
        <v>0</v>
      </c>
      <c r="GH163" s="140">
        <f>SUM($D163:AG163)*IF($B163="Operacional",IFERROR(VLOOKUP($C163,SN_UGC,28,0),0),1)</f>
        <v>0</v>
      </c>
      <c r="GI163" s="141">
        <f t="shared" ref="GI163:HL163" si="823">FE163*$AH163*$AL163</f>
        <v>0</v>
      </c>
      <c r="GJ163" s="141">
        <f t="shared" si="823"/>
        <v>0</v>
      </c>
      <c r="GK163" s="141">
        <f t="shared" si="823"/>
        <v>0</v>
      </c>
      <c r="GL163" s="141">
        <f t="shared" si="823"/>
        <v>0</v>
      </c>
      <c r="GM163" s="141">
        <f t="shared" si="823"/>
        <v>0</v>
      </c>
      <c r="GN163" s="141">
        <f t="shared" si="823"/>
        <v>0</v>
      </c>
      <c r="GO163" s="141">
        <f t="shared" si="823"/>
        <v>0</v>
      </c>
      <c r="GP163" s="141">
        <f t="shared" si="823"/>
        <v>0</v>
      </c>
      <c r="GQ163" s="141">
        <f t="shared" si="823"/>
        <v>0</v>
      </c>
      <c r="GR163" s="141">
        <f t="shared" si="823"/>
        <v>0</v>
      </c>
      <c r="GS163" s="141">
        <f t="shared" si="823"/>
        <v>0</v>
      </c>
      <c r="GT163" s="141">
        <f t="shared" si="823"/>
        <v>0</v>
      </c>
      <c r="GU163" s="141">
        <f t="shared" si="823"/>
        <v>0</v>
      </c>
      <c r="GV163" s="141">
        <f t="shared" si="823"/>
        <v>0</v>
      </c>
      <c r="GW163" s="141">
        <f t="shared" si="823"/>
        <v>0</v>
      </c>
      <c r="GX163" s="141">
        <f t="shared" si="823"/>
        <v>0</v>
      </c>
      <c r="GY163" s="141">
        <f t="shared" si="823"/>
        <v>0</v>
      </c>
      <c r="GZ163" s="141">
        <f t="shared" si="823"/>
        <v>0</v>
      </c>
      <c r="HA163" s="141">
        <f t="shared" si="823"/>
        <v>0</v>
      </c>
      <c r="HB163" s="141">
        <f t="shared" si="823"/>
        <v>0</v>
      </c>
      <c r="HC163" s="141">
        <f t="shared" si="823"/>
        <v>0</v>
      </c>
      <c r="HD163" s="141">
        <f t="shared" si="823"/>
        <v>0</v>
      </c>
      <c r="HE163" s="141">
        <f t="shared" si="823"/>
        <v>0</v>
      </c>
      <c r="HF163" s="141">
        <f t="shared" si="823"/>
        <v>0</v>
      </c>
      <c r="HG163" s="141">
        <f t="shared" si="823"/>
        <v>0</v>
      </c>
      <c r="HH163" s="141">
        <f t="shared" si="823"/>
        <v>0</v>
      </c>
      <c r="HI163" s="141">
        <f t="shared" si="823"/>
        <v>0</v>
      </c>
      <c r="HJ163" s="141">
        <f t="shared" si="823"/>
        <v>0</v>
      </c>
      <c r="HK163" s="141">
        <f t="shared" si="823"/>
        <v>0</v>
      </c>
      <c r="HL163" s="141">
        <f t="shared" si="823"/>
        <v>0</v>
      </c>
      <c r="HM163" s="142">
        <f t="shared" ref="HM163:IP163" si="824">IF(ISBLANK($A163),,FE163*($AH163-($AH163*$AJ163))/$AI163)</f>
        <v>0</v>
      </c>
      <c r="HN163" s="142">
        <f t="shared" si="824"/>
        <v>0</v>
      </c>
      <c r="HO163" s="142">
        <f t="shared" si="824"/>
        <v>0</v>
      </c>
      <c r="HP163" s="142">
        <f t="shared" si="824"/>
        <v>0</v>
      </c>
      <c r="HQ163" s="142">
        <f t="shared" si="824"/>
        <v>0</v>
      </c>
      <c r="HR163" s="142">
        <f t="shared" si="824"/>
        <v>0</v>
      </c>
      <c r="HS163" s="142">
        <f t="shared" si="824"/>
        <v>0</v>
      </c>
      <c r="HT163" s="142">
        <f t="shared" si="824"/>
        <v>0</v>
      </c>
      <c r="HU163" s="142">
        <f t="shared" si="824"/>
        <v>0</v>
      </c>
      <c r="HV163" s="142">
        <f t="shared" si="824"/>
        <v>0</v>
      </c>
      <c r="HW163" s="142">
        <f t="shared" si="824"/>
        <v>0</v>
      </c>
      <c r="HX163" s="142">
        <f t="shared" si="824"/>
        <v>0</v>
      </c>
      <c r="HY163" s="142">
        <f t="shared" si="824"/>
        <v>0</v>
      </c>
      <c r="HZ163" s="142">
        <f t="shared" si="824"/>
        <v>0</v>
      </c>
      <c r="IA163" s="142">
        <f t="shared" si="824"/>
        <v>0</v>
      </c>
      <c r="IB163" s="142">
        <f t="shared" si="824"/>
        <v>0</v>
      </c>
      <c r="IC163" s="142">
        <f t="shared" si="824"/>
        <v>0</v>
      </c>
      <c r="ID163" s="142">
        <f t="shared" si="824"/>
        <v>0</v>
      </c>
      <c r="IE163" s="142">
        <f t="shared" si="824"/>
        <v>0</v>
      </c>
      <c r="IF163" s="142">
        <f t="shared" si="824"/>
        <v>0</v>
      </c>
      <c r="IG163" s="142">
        <f t="shared" si="824"/>
        <v>0</v>
      </c>
      <c r="IH163" s="142">
        <f t="shared" si="824"/>
        <v>0</v>
      </c>
      <c r="II163" s="142">
        <f t="shared" si="824"/>
        <v>0</v>
      </c>
      <c r="IJ163" s="142">
        <f t="shared" si="824"/>
        <v>0</v>
      </c>
      <c r="IK163" s="142">
        <f t="shared" si="824"/>
        <v>0</v>
      </c>
      <c r="IL163" s="142">
        <f t="shared" si="824"/>
        <v>0</v>
      </c>
      <c r="IM163" s="142">
        <f t="shared" si="824"/>
        <v>0</v>
      </c>
      <c r="IN163" s="142">
        <f t="shared" si="824"/>
        <v>0</v>
      </c>
      <c r="IO163" s="142">
        <f t="shared" si="824"/>
        <v>0</v>
      </c>
      <c r="IP163" s="142">
        <f t="shared" si="824"/>
        <v>0</v>
      </c>
      <c r="IQ163" s="141">
        <f>IF(ISBLANK($A163),,IF($AN163="Não",0,(SUM($AO163:AO163)*$AH163)-SUM($HM163:HM163)-SUM($CW163:CW163)))</f>
        <v>0</v>
      </c>
      <c r="IR163" s="141">
        <f>IF(ISBLANK($A163),,IF($AN163="Não",0,(SUM($AO163:AP163)*$AH163)-SUM($HM163:HN163)-SUM($CW163:CX163)))</f>
        <v>0</v>
      </c>
      <c r="IS163" s="141">
        <f>IF(ISBLANK($A163),,IF($AN163="Não",0,(SUM($AO163:AQ163)*$AH163)-SUM($HM163:HO163)-SUM($CW163:CY163)))</f>
        <v>0</v>
      </c>
      <c r="IT163" s="141">
        <f>IF(ISBLANK($A163),,IF($AN163="Não",0,(SUM($AO163:AR163)*$AH163)-SUM($HM163:HP163)-SUM($CW163:CZ163)))</f>
        <v>0</v>
      </c>
      <c r="IU163" s="141">
        <f>IF(ISBLANK($A163),,IF($AN163="Não",0,(SUM($AO163:AS163)*$AH163)-SUM($HM163:HQ163)-SUM($CW163:DA163)))</f>
        <v>0</v>
      </c>
      <c r="IV163" s="141">
        <f>IF(ISBLANK($A163),,IF($AN163="Não",0,(SUM($AO163:AT163)*$AH163)-SUM($HM163:HR163)-SUM($CW163:DB163)))</f>
        <v>0</v>
      </c>
      <c r="IW163" s="141">
        <f>IF(ISBLANK($A163),,IF($AN163="Não",0,(SUM($AO163:AU163)*$AH163)-SUM($HM163:HS163)-SUM($CW163:DC163)))</f>
        <v>0</v>
      </c>
      <c r="IX163" s="141">
        <f>IF(ISBLANK($A163),,IF($AN163="Não",0,(SUM($AO163:AV163)*$AH163)-SUM($HM163:HT163)-SUM($CW163:DD163)))</f>
        <v>0</v>
      </c>
      <c r="IY163" s="141">
        <f>IF(ISBLANK($A163),,IF($AN163="Não",0,(SUM($AO163:AW163)*$AH163)-SUM($HM163:HU163)-SUM($CW163:DE163)))</f>
        <v>0</v>
      </c>
      <c r="IZ163" s="141">
        <f>IF(ISBLANK($A163),,IF($AN163="Não",0,(SUM($AO163:AX163)*$AH163)-SUM($HM163:HV163)-SUM($CW163:DF163)))</f>
        <v>0</v>
      </c>
      <c r="JA163" s="141">
        <f>IF(ISBLANK($A163),,IF($AN163="Não",0,(SUM($AO163:AY163)*$AH163)-SUM($HM163:HW163)-SUM($CW163:DG163)))</f>
        <v>0</v>
      </c>
      <c r="JB163" s="141">
        <f>IF(ISBLANK($A163),,IF($AN163="Não",0,(SUM($AO163:AZ163)*$AH163)-SUM($HM163:HX163)-SUM($CW163:DH163)))</f>
        <v>0</v>
      </c>
      <c r="JC163" s="141">
        <f>IF(ISBLANK($A163),,IF($AN163="Não",0,(SUM($AO163:BA163)*$AH163)-SUM($HM163:HY163)-SUM($CW163:DI163)))</f>
        <v>0</v>
      </c>
      <c r="JD163" s="141">
        <f>IF(ISBLANK($A163),,IF($AN163="Não",0,(SUM($AO163:BB163)*$AH163)-SUM($HM163:HZ163)-SUM($CW163:DJ163)))</f>
        <v>0</v>
      </c>
      <c r="JE163" s="141">
        <f>IF(ISBLANK($A163),,IF($AN163="Não",0,(SUM($AO163:BC163)*$AH163)-SUM($HM163:IA163)-SUM($CW163:DK163)))</f>
        <v>0</v>
      </c>
      <c r="JF163" s="141">
        <f>IF(ISBLANK($A163),,IF($AN163="Não",0,(SUM($AO163:BD163)*$AH163)-SUM($HM163:IB163)-SUM($CW163:DL163)))</f>
        <v>0</v>
      </c>
      <c r="JG163" s="141">
        <f>IF(ISBLANK($A163),,IF($AN163="Não",0,(SUM($AO163:BE163)*$AH163)-SUM($HM163:IC163)-SUM($CW163:DM163)))</f>
        <v>0</v>
      </c>
      <c r="JH163" s="141">
        <f>IF(ISBLANK($A163),,IF($AN163="Não",0,(SUM($AO163:BF163)*$AH163)-SUM($HM163:ID163)-SUM($CW163:DN163)))</f>
        <v>0</v>
      </c>
      <c r="JI163" s="141">
        <f>IF(ISBLANK($A163),,IF($AN163="Não",0,(SUM($AO163:BG163)*$AH163)-SUM($HM163:IE163)-SUM($CW163:DO163)))</f>
        <v>0</v>
      </c>
      <c r="JJ163" s="141">
        <f>IF(ISBLANK($A163),,IF($AN163="Não",0,(SUM($AO163:BH163)*$AH163)-SUM($HM163:IF163)-SUM($CW163:DP163)))</f>
        <v>0</v>
      </c>
      <c r="JK163" s="141">
        <f>IF(ISBLANK($A163),,IF($AN163="Não",0,(SUM($AO163:BI163)*$AH163)-SUM($HM163:IG163)-SUM($CW163:DQ163)))</f>
        <v>0</v>
      </c>
      <c r="JL163" s="141">
        <f>IF(ISBLANK($A163),,IF($AN163="Não",0,(SUM($AO163:BJ163)*$AH163)-SUM($HM163:IH163)-SUM($CW163:DR163)))</f>
        <v>0</v>
      </c>
      <c r="JM163" s="141">
        <f>IF(ISBLANK($A163),,IF($AN163="Não",0,(SUM($AO163:BK163)*$AH163)-SUM($HM163:II163)-SUM($CW163:DS163)))</f>
        <v>0</v>
      </c>
      <c r="JN163" s="141">
        <f>IF(ISBLANK($A163),,IF($AN163="Não",0,(SUM($AO163:BL163)*$AH163)-SUM($HM163:IJ163)-SUM($CW163:DT163)))</f>
        <v>0</v>
      </c>
      <c r="JO163" s="141">
        <f>IF(ISBLANK($A163),,IF($AN163="Não",0,(SUM($AO163:BM163)*$AH163)-SUM($HM163:IK163)-SUM($CW163:DU163)))</f>
        <v>0</v>
      </c>
      <c r="JP163" s="141">
        <f>IF(ISBLANK($A163),,IF($AN163="Não",0,(SUM($AO163:BN163)*$AH163)-SUM($HM163:IL163)-SUM($CW163:DV163)))</f>
        <v>0</v>
      </c>
      <c r="JQ163" s="141">
        <f>IF(ISBLANK($A163),,IF($AN163="Não",0,(SUM($AO163:BO163)*$AH163)-SUM($HM163:IM163)-SUM($CW163:DW163)))</f>
        <v>0</v>
      </c>
      <c r="JR163" s="141">
        <f>IF(ISBLANK($A163),,IF($AN163="Não",0,(SUM($AO163:BP163)*$AH163)-SUM($HM163:IN163)-SUM($CW163:DX163)))</f>
        <v>0</v>
      </c>
      <c r="JS163" s="141">
        <f>IF(ISBLANK($A163),,IF($AN163="Não",0,(SUM($AO163:BQ163)*$AH163)-SUM($HM163:IO163)-SUM($CW163:DY163)))</f>
        <v>0</v>
      </c>
      <c r="JT163" s="141">
        <f>IF(ISBLANK($A163),,IF($AN163="Não",0,(SUM($AO163:BR163)*$AH163)-SUM($HM163:IP163)-SUM($CW163:DZ163)))</f>
        <v>0</v>
      </c>
    </row>
    <row r="164" spans="1:280" ht="15.75" customHeight="1">
      <c r="A164" s="129"/>
      <c r="B164" s="129"/>
      <c r="C164" s="138"/>
      <c r="D164" s="139"/>
      <c r="E164" s="139"/>
      <c r="F164" s="139"/>
      <c r="G164" s="139"/>
      <c r="H164" s="139"/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607">
        <f t="shared" si="710"/>
        <v>0</v>
      </c>
      <c r="AI164" s="608">
        <f t="shared" si="711"/>
        <v>0</v>
      </c>
      <c r="AJ164" s="609">
        <f t="shared" si="712"/>
        <v>0</v>
      </c>
      <c r="AK164" s="610" t="str">
        <f t="shared" si="713"/>
        <v/>
      </c>
      <c r="AL164" s="609">
        <f t="shared" si="714"/>
        <v>0</v>
      </c>
      <c r="AM164" s="611" t="str">
        <f t="shared" si="715"/>
        <v/>
      </c>
      <c r="AN164" s="611" t="str">
        <f t="shared" si="716"/>
        <v/>
      </c>
      <c r="AO164" s="140">
        <f t="array" ref="AO164">IF(ISBLANK($A164),0,IF(OR(AO$5-$AI164&lt;=0,$AM164="Não"),D164,D164+INDEX($AO$6:$BR$176,ROW()-5,COLUMN()-40-$AI164)))*IF($B164="Operacional",IFERROR(VLOOKUP($C164,SN_UGC,28,0),0),1)</f>
        <v>0</v>
      </c>
      <c r="AP164" s="140">
        <f t="array" ref="AP164">IF(ISBLANK($A164),0,IF(OR(AP$5-$AI164&lt;=0,$AM164="Não"),E164,E164+INDEX($AO$6:$BR$176,ROW()-5,COLUMN()-40-$AI164)))*IF($B164="Operacional",IFERROR(VLOOKUP($C164,SN_UGC,28,0),0),1)</f>
        <v>0</v>
      </c>
      <c r="AQ164" s="140">
        <f t="array" ref="AQ164">IF(ISBLANK($A164),0,IF(OR(AQ$5-$AI164&lt;=0,$AM164="Não"),F164,F164+INDEX($AO$6:$BR$176,ROW()-5,COLUMN()-40-$AI164)))*IF($B164="Operacional",IFERROR(VLOOKUP($C164,SN_UGC,28,0),0),1)</f>
        <v>0</v>
      </c>
      <c r="AR164" s="140">
        <f t="array" ref="AR164">IF(ISBLANK($A164),0,IF(OR(AR$5-$AI164&lt;=0,$AM164="Não"),G164,G164+INDEX($AO$6:$BR$176,ROW()-5,COLUMN()-40-$AI164)))*IF($B164="Operacional",IFERROR(VLOOKUP($C164,SN_UGC,28,0),0),1)</f>
        <v>0</v>
      </c>
      <c r="AS164" s="140">
        <f t="array" ref="AS164">IF(ISBLANK($A164),0,IF(OR(AS$5-$AI164&lt;=0,$AM164="Não"),H164,H164+INDEX($AO$6:$BR$176,ROW()-5,COLUMN()-40-$AI164)))*IF($B164="Operacional",IFERROR(VLOOKUP($C164,SN_UGC,28,0),0),1)</f>
        <v>0</v>
      </c>
      <c r="AT164" s="140">
        <f t="array" ref="AT164">IF(ISBLANK($A164),0,IF(OR(AT$5-$AI164&lt;=0,$AM164="Não"),I164,I164+INDEX($AO$6:$BR$176,ROW()-5,COLUMN()-40-$AI164)))*IF($B164="Operacional",IFERROR(VLOOKUP($C164,SN_UGC,28,0),0),1)</f>
        <v>0</v>
      </c>
      <c r="AU164" s="140">
        <f t="array" ref="AU164">IF(ISBLANK($A164),0,IF(OR(AU$5-$AI164&lt;=0,$AM164="Não"),J164,J164+INDEX($AO$6:$BR$176,ROW()-5,COLUMN()-40-$AI164)))*IF($B164="Operacional",IFERROR(VLOOKUP($C164,SN_UGC,28,0),0),1)</f>
        <v>0</v>
      </c>
      <c r="AV164" s="140">
        <f t="array" ref="AV164">IF(ISBLANK($A164),0,IF(OR(AV$5-$AI164&lt;=0,$AM164="Não"),K164,K164+INDEX($AO$6:$BR$176,ROW()-5,COLUMN()-40-$AI164)))*IF($B164="Operacional",IFERROR(VLOOKUP($C164,SN_UGC,28,0),0),1)</f>
        <v>0</v>
      </c>
      <c r="AW164" s="140">
        <f t="array" ref="AW164">IF(ISBLANK($A164),0,IF(OR(AW$5-$AI164&lt;=0,$AM164="Não"),L164,L164+INDEX($AO$6:$BR$176,ROW()-5,COLUMN()-40-$AI164)))*IF($B164="Operacional",IFERROR(VLOOKUP($C164,SN_UGC,28,0),0),1)</f>
        <v>0</v>
      </c>
      <c r="AX164" s="140">
        <f t="array" ref="AX164">IF(ISBLANK($A164),0,IF(OR(AX$5-$AI164&lt;=0,$AM164="Não"),M164,M164+INDEX($AO$6:$BR$176,ROW()-5,COLUMN()-40-$AI164)))*IF($B164="Operacional",IFERROR(VLOOKUP($C164,SN_UGC,28,0),0),1)</f>
        <v>0</v>
      </c>
      <c r="AY164" s="140">
        <f t="array" ref="AY164">IF(ISBLANK($A164),0,IF(OR(AY$5-$AI164&lt;=0,$AM164="Não"),N164,N164+INDEX($AO$6:$BR$176,ROW()-5,COLUMN()-40-$AI164)))*IF($B164="Operacional",IFERROR(VLOOKUP($C164,SN_UGC,28,0),0),1)</f>
        <v>0</v>
      </c>
      <c r="AZ164" s="140">
        <f t="array" ref="AZ164">IF(ISBLANK($A164),0,IF(OR(AZ$5-$AI164&lt;=0,$AM164="Não"),O164,O164+INDEX($AO$6:$BR$176,ROW()-5,COLUMN()-40-$AI164)))*IF($B164="Operacional",IFERROR(VLOOKUP($C164,SN_UGC,28,0),0),1)</f>
        <v>0</v>
      </c>
      <c r="BA164" s="140">
        <f t="array" ref="BA164">IF(ISBLANK($A164),0,IF(OR(BA$5-$AI164&lt;=0,$AM164="Não"),P164,P164+INDEX($AO$6:$BR$176,ROW()-5,COLUMN()-40-$AI164)))*IF($B164="Operacional",IFERROR(VLOOKUP($C164,SN_UGC,28,0),0),1)</f>
        <v>0</v>
      </c>
      <c r="BB164" s="140">
        <f t="array" ref="BB164">IF(ISBLANK($A164),0,IF(OR(BB$5-$AI164&lt;=0,$AM164="Não"),Q164,Q164+INDEX($AO$6:$BR$176,ROW()-5,COLUMN()-40-$AI164)))*IF($B164="Operacional",IFERROR(VLOOKUP($C164,SN_UGC,28,0),0),1)</f>
        <v>0</v>
      </c>
      <c r="BC164" s="140">
        <f t="array" ref="BC164">IF(ISBLANK($A164),0,IF(OR(BC$5-$AI164&lt;=0,$AM164="Não"),R164,R164+INDEX($AO$6:$BR$176,ROW()-5,COLUMN()-40-$AI164)))*IF($B164="Operacional",IFERROR(VLOOKUP($C164,SN_UGC,28,0),0),1)</f>
        <v>0</v>
      </c>
      <c r="BD164" s="140">
        <f t="array" ref="BD164">IF(ISBLANK($A164),0,IF(OR(BD$5-$AI164&lt;=0,$AM164="Não"),S164,S164+INDEX($AO$6:$BR$176,ROW()-5,COLUMN()-40-$AI164)))*IF($B164="Operacional",IFERROR(VLOOKUP($C164,SN_UGC,28,0),0),1)</f>
        <v>0</v>
      </c>
      <c r="BE164" s="140">
        <f t="array" ref="BE164">IF(ISBLANK($A164),0,IF(OR(BE$5-$AI164&lt;=0,$AM164="Não"),T164,T164+INDEX($AO$6:$BR$176,ROW()-5,COLUMN()-40-$AI164)))*IF($B164="Operacional",IFERROR(VLOOKUP($C164,SN_UGC,28,0),0),1)</f>
        <v>0</v>
      </c>
      <c r="BF164" s="140">
        <f t="array" ref="BF164">IF(ISBLANK($A164),0,IF(OR(BF$5-$AI164&lt;=0,$AM164="Não"),U164,U164+INDEX($AO$6:$BR$176,ROW()-5,COLUMN()-40-$AI164)))*IF($B164="Operacional",IFERROR(VLOOKUP($C164,SN_UGC,28,0),0),1)</f>
        <v>0</v>
      </c>
      <c r="BG164" s="140">
        <f t="array" ref="BG164">IF(ISBLANK($A164),0,IF(OR(BG$5-$AI164&lt;=0,$AM164="Não"),V164,V164+INDEX($AO$6:$BR$176,ROW()-5,COLUMN()-40-$AI164)))*IF($B164="Operacional",IFERROR(VLOOKUP($C164,SN_UGC,28,0),0),1)</f>
        <v>0</v>
      </c>
      <c r="BH164" s="140">
        <f t="array" ref="BH164">IF(ISBLANK($A164),0,IF(OR(BH$5-$AI164&lt;=0,$AM164="Não"),W164,W164+INDEX($AO$6:$BR$176,ROW()-5,COLUMN()-40-$AI164)))*IF($B164="Operacional",IFERROR(VLOOKUP($C164,SN_UGC,28,0),0),1)</f>
        <v>0</v>
      </c>
      <c r="BI164" s="140">
        <f t="array" ref="BI164">IF(ISBLANK($A164),0,IF(OR(BI$5-$AI164&lt;=0,$AM164="Não"),X164,X164+INDEX($AO$6:$BR$176,ROW()-5,COLUMN()-40-$AI164)))*IF($B164="Operacional",IFERROR(VLOOKUP($C164,SN_UGC,28,0),0),1)</f>
        <v>0</v>
      </c>
      <c r="BJ164" s="140">
        <f t="array" ref="BJ164">IF(ISBLANK($A164),0,IF(OR(BJ$5-$AI164&lt;=0,$AM164="Não"),Y164,Y164+INDEX($AO$6:$BR$176,ROW()-5,COLUMN()-40-$AI164)))*IF($B164="Operacional",IFERROR(VLOOKUP($C164,SN_UGC,28,0),0),1)</f>
        <v>0</v>
      </c>
      <c r="BK164" s="140">
        <f t="array" ref="BK164">IF(ISBLANK($A164),0,IF(OR(BK$5-$AI164&lt;=0,$AM164="Não"),Z164,Z164+INDEX($AO$6:$BR$176,ROW()-5,COLUMN()-40-$AI164)))*IF($B164="Operacional",IFERROR(VLOOKUP($C164,SN_UGC,28,0),0),1)</f>
        <v>0</v>
      </c>
      <c r="BL164" s="140">
        <f t="array" ref="BL164">IF(ISBLANK($A164),0,IF(OR(BL$5-$AI164&lt;=0,$AM164="Não"),AA164,AA164+INDEX($AO$6:$BR$176,ROW()-5,COLUMN()-40-$AI164)))*IF($B164="Operacional",IFERROR(VLOOKUP($C164,SN_UGC,28,0),0),1)</f>
        <v>0</v>
      </c>
      <c r="BM164" s="140">
        <f t="array" ref="BM164">IF(ISBLANK($A164),0,IF(OR(BM$5-$AI164&lt;=0,$AM164="Não"),AB164,AB164+INDEX($AO$6:$BR$176,ROW()-5,COLUMN()-40-$AI164)))*IF($B164="Operacional",IFERROR(VLOOKUP($C164,SN_UGC,28,0),0),1)</f>
        <v>0</v>
      </c>
      <c r="BN164" s="140">
        <f t="array" ref="BN164">IF(ISBLANK($A164),0,IF(OR(BN$5-$AI164&lt;=0,$AM164="Não"),AC164,AC164+INDEX($AO$6:$BR$176,ROW()-5,COLUMN()-40-$AI164)))*IF($B164="Operacional",IFERROR(VLOOKUP($C164,SN_UGC,28,0),0),1)</f>
        <v>0</v>
      </c>
      <c r="BO164" s="140">
        <f t="array" ref="BO164">IF(ISBLANK($A164),0,IF(OR(BO$5-$AI164&lt;=0,$AM164="Não"),AD164,AD164+INDEX($AO$6:$BR$176,ROW()-5,COLUMN()-40-$AI164)))*IF($B164="Operacional",IFERROR(VLOOKUP($C164,SN_UGC,28,0),0),1)</f>
        <v>0</v>
      </c>
      <c r="BP164" s="140">
        <f t="array" ref="BP164">IF(ISBLANK($A164),0,IF(OR(BP$5-$AI164&lt;=0,$AM164="Não"),AE164,AE164+INDEX($AO$6:$BR$176,ROW()-5,COLUMN()-40-$AI164)))*IF($B164="Operacional",IFERROR(VLOOKUP($C164,SN_UGC,28,0),0),1)</f>
        <v>0</v>
      </c>
      <c r="BQ164" s="140">
        <f t="array" ref="BQ164">IF(ISBLANK($A164),0,IF(OR(BQ$5-$AI164&lt;=0,$AM164="Não"),AF164,AF164+INDEX($AO$6:$BR$176,ROW()-5,COLUMN()-40-$AI164)))*IF($B164="Operacional",IFERROR(VLOOKUP($C164,SN_UGC,28,0),0),1)</f>
        <v>0</v>
      </c>
      <c r="BR164" s="140">
        <f t="array" ref="BR164">IF(ISBLANK($A164),0,IF(OR(BR$5-$AI164&lt;=0,$AM164="Não"),AG164,AG164+INDEX($AO$6:$BR$176,ROW()-5,COLUMN()-40-$AI164)))*IF($B164="Operacional",IFERROR(VLOOKUP($C164,SN_UGC,28,0),0),1)</f>
        <v>0</v>
      </c>
      <c r="BS164" s="141">
        <f t="shared" ref="BS164:CV164" si="825">IF(ISBLANK($A164),0,$AH164*AO164)</f>
        <v>0</v>
      </c>
      <c r="BT164" s="141">
        <f t="shared" si="825"/>
        <v>0</v>
      </c>
      <c r="BU164" s="141">
        <f t="shared" si="825"/>
        <v>0</v>
      </c>
      <c r="BV164" s="141">
        <f t="shared" si="825"/>
        <v>0</v>
      </c>
      <c r="BW164" s="141">
        <f t="shared" si="825"/>
        <v>0</v>
      </c>
      <c r="BX164" s="141">
        <f t="shared" si="825"/>
        <v>0</v>
      </c>
      <c r="BY164" s="141">
        <f t="shared" si="825"/>
        <v>0</v>
      </c>
      <c r="BZ164" s="141">
        <f t="shared" si="825"/>
        <v>0</v>
      </c>
      <c r="CA164" s="141">
        <f t="shared" si="825"/>
        <v>0</v>
      </c>
      <c r="CB164" s="141">
        <f t="shared" si="825"/>
        <v>0</v>
      </c>
      <c r="CC164" s="141">
        <f t="shared" si="825"/>
        <v>0</v>
      </c>
      <c r="CD164" s="141">
        <f t="shared" si="825"/>
        <v>0</v>
      </c>
      <c r="CE164" s="141">
        <f t="shared" si="825"/>
        <v>0</v>
      </c>
      <c r="CF164" s="141">
        <f t="shared" si="825"/>
        <v>0</v>
      </c>
      <c r="CG164" s="141">
        <f t="shared" si="825"/>
        <v>0</v>
      </c>
      <c r="CH164" s="141">
        <f t="shared" si="825"/>
        <v>0</v>
      </c>
      <c r="CI164" s="141">
        <f t="shared" si="825"/>
        <v>0</v>
      </c>
      <c r="CJ164" s="141">
        <f t="shared" si="825"/>
        <v>0</v>
      </c>
      <c r="CK164" s="141">
        <f t="shared" si="825"/>
        <v>0</v>
      </c>
      <c r="CL164" s="141">
        <f t="shared" si="825"/>
        <v>0</v>
      </c>
      <c r="CM164" s="141">
        <f t="shared" si="825"/>
        <v>0</v>
      </c>
      <c r="CN164" s="141">
        <f t="shared" si="825"/>
        <v>0</v>
      </c>
      <c r="CO164" s="141">
        <f t="shared" si="825"/>
        <v>0</v>
      </c>
      <c r="CP164" s="141">
        <f t="shared" si="825"/>
        <v>0</v>
      </c>
      <c r="CQ164" s="141">
        <f t="shared" si="825"/>
        <v>0</v>
      </c>
      <c r="CR164" s="141">
        <f t="shared" si="825"/>
        <v>0</v>
      </c>
      <c r="CS164" s="141">
        <f t="shared" si="825"/>
        <v>0</v>
      </c>
      <c r="CT164" s="141">
        <f t="shared" si="825"/>
        <v>0</v>
      </c>
      <c r="CU164" s="141">
        <f t="shared" si="825"/>
        <v>0</v>
      </c>
      <c r="CV164" s="141">
        <f t="shared" si="825"/>
        <v>0</v>
      </c>
      <c r="CW164" s="142">
        <f t="shared" ref="CW164:DZ164" si="826">EA164*$AH164*$AJ164</f>
        <v>0</v>
      </c>
      <c r="CX164" s="142">
        <f t="shared" si="826"/>
        <v>0</v>
      </c>
      <c r="CY164" s="142">
        <f t="shared" si="826"/>
        <v>0</v>
      </c>
      <c r="CZ164" s="142">
        <f t="shared" si="826"/>
        <v>0</v>
      </c>
      <c r="DA164" s="142">
        <f t="shared" si="826"/>
        <v>0</v>
      </c>
      <c r="DB164" s="142">
        <f t="shared" si="826"/>
        <v>0</v>
      </c>
      <c r="DC164" s="142">
        <f t="shared" si="826"/>
        <v>0</v>
      </c>
      <c r="DD164" s="142">
        <f t="shared" si="826"/>
        <v>0</v>
      </c>
      <c r="DE164" s="142">
        <f t="shared" si="826"/>
        <v>0</v>
      </c>
      <c r="DF164" s="142">
        <f t="shared" si="826"/>
        <v>0</v>
      </c>
      <c r="DG164" s="142">
        <f t="shared" si="826"/>
        <v>0</v>
      </c>
      <c r="DH164" s="142">
        <f t="shared" si="826"/>
        <v>0</v>
      </c>
      <c r="DI164" s="142">
        <f t="shared" si="826"/>
        <v>0</v>
      </c>
      <c r="DJ164" s="142">
        <f t="shared" si="826"/>
        <v>0</v>
      </c>
      <c r="DK164" s="142">
        <f t="shared" si="826"/>
        <v>0</v>
      </c>
      <c r="DL164" s="142">
        <f t="shared" si="826"/>
        <v>0</v>
      </c>
      <c r="DM164" s="142">
        <f t="shared" si="826"/>
        <v>0</v>
      </c>
      <c r="DN164" s="142">
        <f t="shared" si="826"/>
        <v>0</v>
      </c>
      <c r="DO164" s="142">
        <f t="shared" si="826"/>
        <v>0</v>
      </c>
      <c r="DP164" s="142">
        <f t="shared" si="826"/>
        <v>0</v>
      </c>
      <c r="DQ164" s="142">
        <f t="shared" si="826"/>
        <v>0</v>
      </c>
      <c r="DR164" s="142">
        <f t="shared" si="826"/>
        <v>0</v>
      </c>
      <c r="DS164" s="142">
        <f t="shared" si="826"/>
        <v>0</v>
      </c>
      <c r="DT164" s="142">
        <f t="shared" si="826"/>
        <v>0</v>
      </c>
      <c r="DU164" s="142">
        <f t="shared" si="826"/>
        <v>0</v>
      </c>
      <c r="DV164" s="142">
        <f t="shared" si="826"/>
        <v>0</v>
      </c>
      <c r="DW164" s="142">
        <f t="shared" si="826"/>
        <v>0</v>
      </c>
      <c r="DX164" s="142">
        <f t="shared" si="826"/>
        <v>0</v>
      </c>
      <c r="DY164" s="142">
        <f t="shared" si="826"/>
        <v>0</v>
      </c>
      <c r="DZ164" s="142">
        <f t="shared" si="826"/>
        <v>0</v>
      </c>
      <c r="EA164" s="143">
        <f t="shared" si="670"/>
        <v>0</v>
      </c>
      <c r="EB164" s="143">
        <f t="shared" si="671"/>
        <v>0</v>
      </c>
      <c r="EC164" s="143">
        <f t="shared" si="672"/>
        <v>0</v>
      </c>
      <c r="ED164" s="143">
        <f t="shared" si="673"/>
        <v>0</v>
      </c>
      <c r="EE164" s="143">
        <f t="shared" si="674"/>
        <v>0</v>
      </c>
      <c r="EF164" s="143">
        <f t="shared" si="675"/>
        <v>0</v>
      </c>
      <c r="EG164" s="143">
        <f t="shared" si="676"/>
        <v>0</v>
      </c>
      <c r="EH164" s="143">
        <f t="shared" si="677"/>
        <v>0</v>
      </c>
      <c r="EI164" s="143">
        <f t="shared" si="678"/>
        <v>0</v>
      </c>
      <c r="EJ164" s="143">
        <f t="shared" si="679"/>
        <v>0</v>
      </c>
      <c r="EK164" s="143">
        <f t="shared" si="680"/>
        <v>0</v>
      </c>
      <c r="EL164" s="143">
        <f t="shared" si="681"/>
        <v>0</v>
      </c>
      <c r="EM164" s="143">
        <f t="shared" si="682"/>
        <v>0</v>
      </c>
      <c r="EN164" s="143">
        <f t="shared" si="683"/>
        <v>0</v>
      </c>
      <c r="EO164" s="143">
        <f t="shared" si="684"/>
        <v>0</v>
      </c>
      <c r="EP164" s="143">
        <f t="shared" si="685"/>
        <v>0</v>
      </c>
      <c r="EQ164" s="143">
        <f t="shared" si="686"/>
        <v>0</v>
      </c>
      <c r="ER164" s="143">
        <f t="shared" si="687"/>
        <v>0</v>
      </c>
      <c r="ES164" s="143">
        <f t="shared" si="688"/>
        <v>0</v>
      </c>
      <c r="ET164" s="143">
        <f t="shared" si="689"/>
        <v>0</v>
      </c>
      <c r="EU164" s="143">
        <f t="shared" si="690"/>
        <v>0</v>
      </c>
      <c r="EV164" s="143">
        <f t="shared" si="691"/>
        <v>0</v>
      </c>
      <c r="EW164" s="143">
        <f t="shared" si="692"/>
        <v>0</v>
      </c>
      <c r="EX164" s="143">
        <f t="shared" si="693"/>
        <v>0</v>
      </c>
      <c r="EY164" s="143">
        <f t="shared" si="694"/>
        <v>0</v>
      </c>
      <c r="EZ164" s="143">
        <f t="shared" si="695"/>
        <v>0</v>
      </c>
      <c r="FA164" s="143">
        <f t="shared" si="696"/>
        <v>0</v>
      </c>
      <c r="FB164" s="143">
        <f t="shared" si="697"/>
        <v>0</v>
      </c>
      <c r="FC164" s="143">
        <f t="shared" si="698"/>
        <v>0</v>
      </c>
      <c r="FD164" s="143">
        <f t="shared" si="699"/>
        <v>0</v>
      </c>
      <c r="FE164" s="140">
        <f>SUM($D164:D164)*IF($B164="Operacional",IFERROR(VLOOKUP($C164,SN_UGC,28,0),0),1)</f>
        <v>0</v>
      </c>
      <c r="FF164" s="140">
        <f>SUM($D164:E164)*IF($B164="Operacional",IFERROR(VLOOKUP($C164,SN_UGC,28,0),0),1)</f>
        <v>0</v>
      </c>
      <c r="FG164" s="140">
        <f>SUM($D164:F164)*IF($B164="Operacional",IFERROR(VLOOKUP($C164,SN_UGC,28,0),0),1)</f>
        <v>0</v>
      </c>
      <c r="FH164" s="140">
        <f>SUM($D164:G164)*IF($B164="Operacional",IFERROR(VLOOKUP($C164,SN_UGC,28,0),0),1)</f>
        <v>0</v>
      </c>
      <c r="FI164" s="140">
        <f>SUM($D164:H164)*IF($B164="Operacional",IFERROR(VLOOKUP($C164,SN_UGC,28,0),0),1)</f>
        <v>0</v>
      </c>
      <c r="FJ164" s="140">
        <f>SUM($D164:I164)*IF($B164="Operacional",IFERROR(VLOOKUP($C164,SN_UGC,28,0),0),1)</f>
        <v>0</v>
      </c>
      <c r="FK164" s="140">
        <f>SUM($D164:J164)*IF($B164="Operacional",IFERROR(VLOOKUP($C164,SN_UGC,28,0),0),1)</f>
        <v>0</v>
      </c>
      <c r="FL164" s="140">
        <f>SUM($D164:K164)*IF($B164="Operacional",IFERROR(VLOOKUP($C164,SN_UGC,28,0),0),1)</f>
        <v>0</v>
      </c>
      <c r="FM164" s="140">
        <f>SUM($D164:L164)*IF($B164="Operacional",IFERROR(VLOOKUP($C164,SN_UGC,28,0),0),1)</f>
        <v>0</v>
      </c>
      <c r="FN164" s="140">
        <f>SUM($D164:M164)*IF($B164="Operacional",IFERROR(VLOOKUP($C164,SN_UGC,28,0),0),1)</f>
        <v>0</v>
      </c>
      <c r="FO164" s="140">
        <f>SUM($D164:N164)*IF($B164="Operacional",IFERROR(VLOOKUP($C164,SN_UGC,28,0),0),1)</f>
        <v>0</v>
      </c>
      <c r="FP164" s="140">
        <f>SUM($D164:O164)*IF($B164="Operacional",IFERROR(VLOOKUP($C164,SN_UGC,28,0),0),1)</f>
        <v>0</v>
      </c>
      <c r="FQ164" s="140">
        <f>SUM($D164:P164)*IF($B164="Operacional",IFERROR(VLOOKUP($C164,SN_UGC,28,0),0),1)</f>
        <v>0</v>
      </c>
      <c r="FR164" s="140">
        <f>SUM($D164:Q164)*IF($B164="Operacional",IFERROR(VLOOKUP($C164,SN_UGC,28,0),0),1)</f>
        <v>0</v>
      </c>
      <c r="FS164" s="140">
        <f>SUM($D164:R164)*IF($B164="Operacional",IFERROR(VLOOKUP($C164,SN_UGC,28,0),0),1)</f>
        <v>0</v>
      </c>
      <c r="FT164" s="140">
        <f>SUM($D164:S164)*IF($B164="Operacional",IFERROR(VLOOKUP($C164,SN_UGC,28,0),0),1)</f>
        <v>0</v>
      </c>
      <c r="FU164" s="140">
        <f>SUM($D164:T164)*IF($B164="Operacional",IFERROR(VLOOKUP($C164,SN_UGC,28,0),0),1)</f>
        <v>0</v>
      </c>
      <c r="FV164" s="140">
        <f>SUM($D164:U164)*IF($B164="Operacional",IFERROR(VLOOKUP($C164,SN_UGC,28,0),0),1)</f>
        <v>0</v>
      </c>
      <c r="FW164" s="140">
        <f>SUM($D164:V164)*IF($B164="Operacional",IFERROR(VLOOKUP($C164,SN_UGC,28,0),0),1)</f>
        <v>0</v>
      </c>
      <c r="FX164" s="140">
        <f>SUM($D164:W164)*IF($B164="Operacional",IFERROR(VLOOKUP($C164,SN_UGC,28,0),0),1)</f>
        <v>0</v>
      </c>
      <c r="FY164" s="140">
        <f>SUM($D164:X164)*IF($B164="Operacional",IFERROR(VLOOKUP($C164,SN_UGC,28,0),0),1)</f>
        <v>0</v>
      </c>
      <c r="FZ164" s="140">
        <f>SUM($D164:Y164)*IF($B164="Operacional",IFERROR(VLOOKUP($C164,SN_UGC,28,0),0),1)</f>
        <v>0</v>
      </c>
      <c r="GA164" s="140">
        <f>SUM($D164:Z164)*IF($B164="Operacional",IFERROR(VLOOKUP($C164,SN_UGC,28,0),0),1)</f>
        <v>0</v>
      </c>
      <c r="GB164" s="140">
        <f>SUM($D164:AA164)*IF($B164="Operacional",IFERROR(VLOOKUP($C164,SN_UGC,28,0),0),1)</f>
        <v>0</v>
      </c>
      <c r="GC164" s="140">
        <f>SUM($D164:AB164)*IF($B164="Operacional",IFERROR(VLOOKUP($C164,SN_UGC,28,0),0),1)</f>
        <v>0</v>
      </c>
      <c r="GD164" s="140">
        <f>SUM($D164:AC164)*IF($B164="Operacional",IFERROR(VLOOKUP($C164,SN_UGC,28,0),0),1)</f>
        <v>0</v>
      </c>
      <c r="GE164" s="140">
        <f>SUM($D164:AD164)*IF($B164="Operacional",IFERROR(VLOOKUP($C164,SN_UGC,28,0),0),1)</f>
        <v>0</v>
      </c>
      <c r="GF164" s="140">
        <f>SUM($D164:AE164)*IF($B164="Operacional",IFERROR(VLOOKUP($C164,SN_UGC,28,0),0),1)</f>
        <v>0</v>
      </c>
      <c r="GG164" s="140">
        <f>SUM($D164:AF164)*IF($B164="Operacional",IFERROR(VLOOKUP($C164,SN_UGC,28,0),0),1)</f>
        <v>0</v>
      </c>
      <c r="GH164" s="140">
        <f>SUM($D164:AG164)*IF($B164="Operacional",IFERROR(VLOOKUP($C164,SN_UGC,28,0),0),1)</f>
        <v>0</v>
      </c>
      <c r="GI164" s="141">
        <f t="shared" ref="GI164:HL164" si="827">FE164*$AH164*$AL164</f>
        <v>0</v>
      </c>
      <c r="GJ164" s="141">
        <f t="shared" si="827"/>
        <v>0</v>
      </c>
      <c r="GK164" s="141">
        <f t="shared" si="827"/>
        <v>0</v>
      </c>
      <c r="GL164" s="141">
        <f t="shared" si="827"/>
        <v>0</v>
      </c>
      <c r="GM164" s="141">
        <f t="shared" si="827"/>
        <v>0</v>
      </c>
      <c r="GN164" s="141">
        <f t="shared" si="827"/>
        <v>0</v>
      </c>
      <c r="GO164" s="141">
        <f t="shared" si="827"/>
        <v>0</v>
      </c>
      <c r="GP164" s="141">
        <f t="shared" si="827"/>
        <v>0</v>
      </c>
      <c r="GQ164" s="141">
        <f t="shared" si="827"/>
        <v>0</v>
      </c>
      <c r="GR164" s="141">
        <f t="shared" si="827"/>
        <v>0</v>
      </c>
      <c r="GS164" s="141">
        <f t="shared" si="827"/>
        <v>0</v>
      </c>
      <c r="GT164" s="141">
        <f t="shared" si="827"/>
        <v>0</v>
      </c>
      <c r="GU164" s="141">
        <f t="shared" si="827"/>
        <v>0</v>
      </c>
      <c r="GV164" s="141">
        <f t="shared" si="827"/>
        <v>0</v>
      </c>
      <c r="GW164" s="141">
        <f t="shared" si="827"/>
        <v>0</v>
      </c>
      <c r="GX164" s="141">
        <f t="shared" si="827"/>
        <v>0</v>
      </c>
      <c r="GY164" s="141">
        <f t="shared" si="827"/>
        <v>0</v>
      </c>
      <c r="GZ164" s="141">
        <f t="shared" si="827"/>
        <v>0</v>
      </c>
      <c r="HA164" s="141">
        <f t="shared" si="827"/>
        <v>0</v>
      </c>
      <c r="HB164" s="141">
        <f t="shared" si="827"/>
        <v>0</v>
      </c>
      <c r="HC164" s="141">
        <f t="shared" si="827"/>
        <v>0</v>
      </c>
      <c r="HD164" s="141">
        <f t="shared" si="827"/>
        <v>0</v>
      </c>
      <c r="HE164" s="141">
        <f t="shared" si="827"/>
        <v>0</v>
      </c>
      <c r="HF164" s="141">
        <f t="shared" si="827"/>
        <v>0</v>
      </c>
      <c r="HG164" s="141">
        <f t="shared" si="827"/>
        <v>0</v>
      </c>
      <c r="HH164" s="141">
        <f t="shared" si="827"/>
        <v>0</v>
      </c>
      <c r="HI164" s="141">
        <f t="shared" si="827"/>
        <v>0</v>
      </c>
      <c r="HJ164" s="141">
        <f t="shared" si="827"/>
        <v>0</v>
      </c>
      <c r="HK164" s="141">
        <f t="shared" si="827"/>
        <v>0</v>
      </c>
      <c r="HL164" s="141">
        <f t="shared" si="827"/>
        <v>0</v>
      </c>
      <c r="HM164" s="142">
        <f t="shared" ref="HM164:IP164" si="828">IF(ISBLANK($A164),,FE164*($AH164-($AH164*$AJ164))/$AI164)</f>
        <v>0</v>
      </c>
      <c r="HN164" s="142">
        <f t="shared" si="828"/>
        <v>0</v>
      </c>
      <c r="HO164" s="142">
        <f t="shared" si="828"/>
        <v>0</v>
      </c>
      <c r="HP164" s="142">
        <f t="shared" si="828"/>
        <v>0</v>
      </c>
      <c r="HQ164" s="142">
        <f t="shared" si="828"/>
        <v>0</v>
      </c>
      <c r="HR164" s="142">
        <f t="shared" si="828"/>
        <v>0</v>
      </c>
      <c r="HS164" s="142">
        <f t="shared" si="828"/>
        <v>0</v>
      </c>
      <c r="HT164" s="142">
        <f t="shared" si="828"/>
        <v>0</v>
      </c>
      <c r="HU164" s="142">
        <f t="shared" si="828"/>
        <v>0</v>
      </c>
      <c r="HV164" s="142">
        <f t="shared" si="828"/>
        <v>0</v>
      </c>
      <c r="HW164" s="142">
        <f t="shared" si="828"/>
        <v>0</v>
      </c>
      <c r="HX164" s="142">
        <f t="shared" si="828"/>
        <v>0</v>
      </c>
      <c r="HY164" s="142">
        <f t="shared" si="828"/>
        <v>0</v>
      </c>
      <c r="HZ164" s="142">
        <f t="shared" si="828"/>
        <v>0</v>
      </c>
      <c r="IA164" s="142">
        <f t="shared" si="828"/>
        <v>0</v>
      </c>
      <c r="IB164" s="142">
        <f t="shared" si="828"/>
        <v>0</v>
      </c>
      <c r="IC164" s="142">
        <f t="shared" si="828"/>
        <v>0</v>
      </c>
      <c r="ID164" s="142">
        <f t="shared" si="828"/>
        <v>0</v>
      </c>
      <c r="IE164" s="142">
        <f t="shared" si="828"/>
        <v>0</v>
      </c>
      <c r="IF164" s="142">
        <f t="shared" si="828"/>
        <v>0</v>
      </c>
      <c r="IG164" s="142">
        <f t="shared" si="828"/>
        <v>0</v>
      </c>
      <c r="IH164" s="142">
        <f t="shared" si="828"/>
        <v>0</v>
      </c>
      <c r="II164" s="142">
        <f t="shared" si="828"/>
        <v>0</v>
      </c>
      <c r="IJ164" s="142">
        <f t="shared" si="828"/>
        <v>0</v>
      </c>
      <c r="IK164" s="142">
        <f t="shared" si="828"/>
        <v>0</v>
      </c>
      <c r="IL164" s="142">
        <f t="shared" si="828"/>
        <v>0</v>
      </c>
      <c r="IM164" s="142">
        <f t="shared" si="828"/>
        <v>0</v>
      </c>
      <c r="IN164" s="142">
        <f t="shared" si="828"/>
        <v>0</v>
      </c>
      <c r="IO164" s="142">
        <f t="shared" si="828"/>
        <v>0</v>
      </c>
      <c r="IP164" s="142">
        <f t="shared" si="828"/>
        <v>0</v>
      </c>
      <c r="IQ164" s="141">
        <f>IF(ISBLANK($A164),,IF($AN164="Não",0,(SUM($AO164:AO164)*$AH164)-SUM($HM164:HM164)-SUM($CW164:CW164)))</f>
        <v>0</v>
      </c>
      <c r="IR164" s="141">
        <f>IF(ISBLANK($A164),,IF($AN164="Não",0,(SUM($AO164:AP164)*$AH164)-SUM($HM164:HN164)-SUM($CW164:CX164)))</f>
        <v>0</v>
      </c>
      <c r="IS164" s="141">
        <f>IF(ISBLANK($A164),,IF($AN164="Não",0,(SUM($AO164:AQ164)*$AH164)-SUM($HM164:HO164)-SUM($CW164:CY164)))</f>
        <v>0</v>
      </c>
      <c r="IT164" s="141">
        <f>IF(ISBLANK($A164),,IF($AN164="Não",0,(SUM($AO164:AR164)*$AH164)-SUM($HM164:HP164)-SUM($CW164:CZ164)))</f>
        <v>0</v>
      </c>
      <c r="IU164" s="141">
        <f>IF(ISBLANK($A164),,IF($AN164="Não",0,(SUM($AO164:AS164)*$AH164)-SUM($HM164:HQ164)-SUM($CW164:DA164)))</f>
        <v>0</v>
      </c>
      <c r="IV164" s="141">
        <f>IF(ISBLANK($A164),,IF($AN164="Não",0,(SUM($AO164:AT164)*$AH164)-SUM($HM164:HR164)-SUM($CW164:DB164)))</f>
        <v>0</v>
      </c>
      <c r="IW164" s="141">
        <f>IF(ISBLANK($A164),,IF($AN164="Não",0,(SUM($AO164:AU164)*$AH164)-SUM($HM164:HS164)-SUM($CW164:DC164)))</f>
        <v>0</v>
      </c>
      <c r="IX164" s="141">
        <f>IF(ISBLANK($A164),,IF($AN164="Não",0,(SUM($AO164:AV164)*$AH164)-SUM($HM164:HT164)-SUM($CW164:DD164)))</f>
        <v>0</v>
      </c>
      <c r="IY164" s="141">
        <f>IF(ISBLANK($A164),,IF($AN164="Não",0,(SUM($AO164:AW164)*$AH164)-SUM($HM164:HU164)-SUM($CW164:DE164)))</f>
        <v>0</v>
      </c>
      <c r="IZ164" s="141">
        <f>IF(ISBLANK($A164),,IF($AN164="Não",0,(SUM($AO164:AX164)*$AH164)-SUM($HM164:HV164)-SUM($CW164:DF164)))</f>
        <v>0</v>
      </c>
      <c r="JA164" s="141">
        <f>IF(ISBLANK($A164),,IF($AN164="Não",0,(SUM($AO164:AY164)*$AH164)-SUM($HM164:HW164)-SUM($CW164:DG164)))</f>
        <v>0</v>
      </c>
      <c r="JB164" s="141">
        <f>IF(ISBLANK($A164),,IF($AN164="Não",0,(SUM($AO164:AZ164)*$AH164)-SUM($HM164:HX164)-SUM($CW164:DH164)))</f>
        <v>0</v>
      </c>
      <c r="JC164" s="141">
        <f>IF(ISBLANK($A164),,IF($AN164="Não",0,(SUM($AO164:BA164)*$AH164)-SUM($HM164:HY164)-SUM($CW164:DI164)))</f>
        <v>0</v>
      </c>
      <c r="JD164" s="141">
        <f>IF(ISBLANK($A164),,IF($AN164="Não",0,(SUM($AO164:BB164)*$AH164)-SUM($HM164:HZ164)-SUM($CW164:DJ164)))</f>
        <v>0</v>
      </c>
      <c r="JE164" s="141">
        <f>IF(ISBLANK($A164),,IF($AN164="Não",0,(SUM($AO164:BC164)*$AH164)-SUM($HM164:IA164)-SUM($CW164:DK164)))</f>
        <v>0</v>
      </c>
      <c r="JF164" s="141">
        <f>IF(ISBLANK($A164),,IF($AN164="Não",0,(SUM($AO164:BD164)*$AH164)-SUM($HM164:IB164)-SUM($CW164:DL164)))</f>
        <v>0</v>
      </c>
      <c r="JG164" s="141">
        <f>IF(ISBLANK($A164),,IF($AN164="Não",0,(SUM($AO164:BE164)*$AH164)-SUM($HM164:IC164)-SUM($CW164:DM164)))</f>
        <v>0</v>
      </c>
      <c r="JH164" s="141">
        <f>IF(ISBLANK($A164),,IF($AN164="Não",0,(SUM($AO164:BF164)*$AH164)-SUM($HM164:ID164)-SUM($CW164:DN164)))</f>
        <v>0</v>
      </c>
      <c r="JI164" s="141">
        <f>IF(ISBLANK($A164),,IF($AN164="Não",0,(SUM($AO164:BG164)*$AH164)-SUM($HM164:IE164)-SUM($CW164:DO164)))</f>
        <v>0</v>
      </c>
      <c r="JJ164" s="141">
        <f>IF(ISBLANK($A164),,IF($AN164="Não",0,(SUM($AO164:BH164)*$AH164)-SUM($HM164:IF164)-SUM($CW164:DP164)))</f>
        <v>0</v>
      </c>
      <c r="JK164" s="141">
        <f>IF(ISBLANK($A164),,IF($AN164="Não",0,(SUM($AO164:BI164)*$AH164)-SUM($HM164:IG164)-SUM($CW164:DQ164)))</f>
        <v>0</v>
      </c>
      <c r="JL164" s="141">
        <f>IF(ISBLANK($A164),,IF($AN164="Não",0,(SUM($AO164:BJ164)*$AH164)-SUM($HM164:IH164)-SUM($CW164:DR164)))</f>
        <v>0</v>
      </c>
      <c r="JM164" s="141">
        <f>IF(ISBLANK($A164),,IF($AN164="Não",0,(SUM($AO164:BK164)*$AH164)-SUM($HM164:II164)-SUM($CW164:DS164)))</f>
        <v>0</v>
      </c>
      <c r="JN164" s="141">
        <f>IF(ISBLANK($A164),,IF($AN164="Não",0,(SUM($AO164:BL164)*$AH164)-SUM($HM164:IJ164)-SUM($CW164:DT164)))</f>
        <v>0</v>
      </c>
      <c r="JO164" s="141">
        <f>IF(ISBLANK($A164),,IF($AN164="Não",0,(SUM($AO164:BM164)*$AH164)-SUM($HM164:IK164)-SUM($CW164:DU164)))</f>
        <v>0</v>
      </c>
      <c r="JP164" s="141">
        <f>IF(ISBLANK($A164),,IF($AN164="Não",0,(SUM($AO164:BN164)*$AH164)-SUM($HM164:IL164)-SUM($CW164:DV164)))</f>
        <v>0</v>
      </c>
      <c r="JQ164" s="141">
        <f>IF(ISBLANK($A164),,IF($AN164="Não",0,(SUM($AO164:BO164)*$AH164)-SUM($HM164:IM164)-SUM($CW164:DW164)))</f>
        <v>0</v>
      </c>
      <c r="JR164" s="141">
        <f>IF(ISBLANK($A164),,IF($AN164="Não",0,(SUM($AO164:BP164)*$AH164)-SUM($HM164:IN164)-SUM($CW164:DX164)))</f>
        <v>0</v>
      </c>
      <c r="JS164" s="141">
        <f>IF(ISBLANK($A164),,IF($AN164="Não",0,(SUM($AO164:BQ164)*$AH164)-SUM($HM164:IO164)-SUM($CW164:DY164)))</f>
        <v>0</v>
      </c>
      <c r="JT164" s="141">
        <f>IF(ISBLANK($A164),,IF($AN164="Não",0,(SUM($AO164:BR164)*$AH164)-SUM($HM164:IP164)-SUM($CW164:DZ164)))</f>
        <v>0</v>
      </c>
    </row>
    <row r="165" spans="1:280" ht="15.75" customHeight="1">
      <c r="A165" s="129"/>
      <c r="B165" s="129"/>
      <c r="C165" s="138"/>
      <c r="D165" s="139"/>
      <c r="E165" s="139"/>
      <c r="F165" s="139"/>
      <c r="G165" s="139"/>
      <c r="H165" s="139"/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  <c r="AA165" s="139"/>
      <c r="AB165" s="139"/>
      <c r="AC165" s="139"/>
      <c r="AD165" s="139"/>
      <c r="AE165" s="139"/>
      <c r="AF165" s="139"/>
      <c r="AG165" s="139"/>
      <c r="AH165" s="607">
        <f t="shared" si="710"/>
        <v>0</v>
      </c>
      <c r="AI165" s="608">
        <f t="shared" si="711"/>
        <v>0</v>
      </c>
      <c r="AJ165" s="609">
        <f t="shared" si="712"/>
        <v>0</v>
      </c>
      <c r="AK165" s="610" t="str">
        <f t="shared" si="713"/>
        <v/>
      </c>
      <c r="AL165" s="609">
        <f t="shared" si="714"/>
        <v>0</v>
      </c>
      <c r="AM165" s="611" t="str">
        <f t="shared" si="715"/>
        <v/>
      </c>
      <c r="AN165" s="611" t="str">
        <f t="shared" si="716"/>
        <v/>
      </c>
      <c r="AO165" s="140">
        <f t="array" ref="AO165">IF(ISBLANK($A165),0,IF(OR(AO$5-$AI165&lt;=0,$AM165="Não"),D165,D165+INDEX($AO$6:$BR$176,ROW()-5,COLUMN()-40-$AI165)))*IF($B165="Operacional",IFERROR(VLOOKUP($C165,SN_UGC,28,0),0),1)</f>
        <v>0</v>
      </c>
      <c r="AP165" s="140">
        <f t="array" ref="AP165">IF(ISBLANK($A165),0,IF(OR(AP$5-$AI165&lt;=0,$AM165="Não"),E165,E165+INDEX($AO$6:$BR$176,ROW()-5,COLUMN()-40-$AI165)))*IF($B165="Operacional",IFERROR(VLOOKUP($C165,SN_UGC,28,0),0),1)</f>
        <v>0</v>
      </c>
      <c r="AQ165" s="140">
        <f t="array" ref="AQ165">IF(ISBLANK($A165),0,IF(OR(AQ$5-$AI165&lt;=0,$AM165="Não"),F165,F165+INDEX($AO$6:$BR$176,ROW()-5,COLUMN()-40-$AI165)))*IF($B165="Operacional",IFERROR(VLOOKUP($C165,SN_UGC,28,0),0),1)</f>
        <v>0</v>
      </c>
      <c r="AR165" s="140">
        <f t="array" ref="AR165">IF(ISBLANK($A165),0,IF(OR(AR$5-$AI165&lt;=0,$AM165="Não"),G165,G165+INDEX($AO$6:$BR$176,ROW()-5,COLUMN()-40-$AI165)))*IF($B165="Operacional",IFERROR(VLOOKUP($C165,SN_UGC,28,0),0),1)</f>
        <v>0</v>
      </c>
      <c r="AS165" s="140">
        <f t="array" ref="AS165">IF(ISBLANK($A165),0,IF(OR(AS$5-$AI165&lt;=0,$AM165="Não"),H165,H165+INDEX($AO$6:$BR$176,ROW()-5,COLUMN()-40-$AI165)))*IF($B165="Operacional",IFERROR(VLOOKUP($C165,SN_UGC,28,0),0),1)</f>
        <v>0</v>
      </c>
      <c r="AT165" s="140">
        <f t="array" ref="AT165">IF(ISBLANK($A165),0,IF(OR(AT$5-$AI165&lt;=0,$AM165="Não"),I165,I165+INDEX($AO$6:$BR$176,ROW()-5,COLUMN()-40-$AI165)))*IF($B165="Operacional",IFERROR(VLOOKUP($C165,SN_UGC,28,0),0),1)</f>
        <v>0</v>
      </c>
      <c r="AU165" s="140">
        <f t="array" ref="AU165">IF(ISBLANK($A165),0,IF(OR(AU$5-$AI165&lt;=0,$AM165="Não"),J165,J165+INDEX($AO$6:$BR$176,ROW()-5,COLUMN()-40-$AI165)))*IF($B165="Operacional",IFERROR(VLOOKUP($C165,SN_UGC,28,0),0),1)</f>
        <v>0</v>
      </c>
      <c r="AV165" s="140">
        <f t="array" ref="AV165">IF(ISBLANK($A165),0,IF(OR(AV$5-$AI165&lt;=0,$AM165="Não"),K165,K165+INDEX($AO$6:$BR$176,ROW()-5,COLUMN()-40-$AI165)))*IF($B165="Operacional",IFERROR(VLOOKUP($C165,SN_UGC,28,0),0),1)</f>
        <v>0</v>
      </c>
      <c r="AW165" s="140">
        <f t="array" ref="AW165">IF(ISBLANK($A165),0,IF(OR(AW$5-$AI165&lt;=0,$AM165="Não"),L165,L165+INDEX($AO$6:$BR$176,ROW()-5,COLUMN()-40-$AI165)))*IF($B165="Operacional",IFERROR(VLOOKUP($C165,SN_UGC,28,0),0),1)</f>
        <v>0</v>
      </c>
      <c r="AX165" s="140">
        <f t="array" ref="AX165">IF(ISBLANK($A165),0,IF(OR(AX$5-$AI165&lt;=0,$AM165="Não"),M165,M165+INDEX($AO$6:$BR$176,ROW()-5,COLUMN()-40-$AI165)))*IF($B165="Operacional",IFERROR(VLOOKUP($C165,SN_UGC,28,0),0),1)</f>
        <v>0</v>
      </c>
      <c r="AY165" s="140">
        <f t="array" ref="AY165">IF(ISBLANK($A165),0,IF(OR(AY$5-$AI165&lt;=0,$AM165="Não"),N165,N165+INDEX($AO$6:$BR$176,ROW()-5,COLUMN()-40-$AI165)))*IF($B165="Operacional",IFERROR(VLOOKUP($C165,SN_UGC,28,0),0),1)</f>
        <v>0</v>
      </c>
      <c r="AZ165" s="140">
        <f t="array" ref="AZ165">IF(ISBLANK($A165),0,IF(OR(AZ$5-$AI165&lt;=0,$AM165="Não"),O165,O165+INDEX($AO$6:$BR$176,ROW()-5,COLUMN()-40-$AI165)))*IF($B165="Operacional",IFERROR(VLOOKUP($C165,SN_UGC,28,0),0),1)</f>
        <v>0</v>
      </c>
      <c r="BA165" s="140">
        <f t="array" ref="BA165">IF(ISBLANK($A165),0,IF(OR(BA$5-$AI165&lt;=0,$AM165="Não"),P165,P165+INDEX($AO$6:$BR$176,ROW()-5,COLUMN()-40-$AI165)))*IF($B165="Operacional",IFERROR(VLOOKUP($C165,SN_UGC,28,0),0),1)</f>
        <v>0</v>
      </c>
      <c r="BB165" s="140">
        <f t="array" ref="BB165">IF(ISBLANK($A165),0,IF(OR(BB$5-$AI165&lt;=0,$AM165="Não"),Q165,Q165+INDEX($AO$6:$BR$176,ROW()-5,COLUMN()-40-$AI165)))*IF($B165="Operacional",IFERROR(VLOOKUP($C165,SN_UGC,28,0),0),1)</f>
        <v>0</v>
      </c>
      <c r="BC165" s="140">
        <f t="array" ref="BC165">IF(ISBLANK($A165),0,IF(OR(BC$5-$AI165&lt;=0,$AM165="Não"),R165,R165+INDEX($AO$6:$BR$176,ROW()-5,COLUMN()-40-$AI165)))*IF($B165="Operacional",IFERROR(VLOOKUP($C165,SN_UGC,28,0),0),1)</f>
        <v>0</v>
      </c>
      <c r="BD165" s="140">
        <f t="array" ref="BD165">IF(ISBLANK($A165),0,IF(OR(BD$5-$AI165&lt;=0,$AM165="Não"),S165,S165+INDEX($AO$6:$BR$176,ROW()-5,COLUMN()-40-$AI165)))*IF($B165="Operacional",IFERROR(VLOOKUP($C165,SN_UGC,28,0),0),1)</f>
        <v>0</v>
      </c>
      <c r="BE165" s="140">
        <f t="array" ref="BE165">IF(ISBLANK($A165),0,IF(OR(BE$5-$AI165&lt;=0,$AM165="Não"),T165,T165+INDEX($AO$6:$BR$176,ROW()-5,COLUMN()-40-$AI165)))*IF($B165="Operacional",IFERROR(VLOOKUP($C165,SN_UGC,28,0),0),1)</f>
        <v>0</v>
      </c>
      <c r="BF165" s="140">
        <f t="array" ref="BF165">IF(ISBLANK($A165),0,IF(OR(BF$5-$AI165&lt;=0,$AM165="Não"),U165,U165+INDEX($AO$6:$BR$176,ROW()-5,COLUMN()-40-$AI165)))*IF($B165="Operacional",IFERROR(VLOOKUP($C165,SN_UGC,28,0),0),1)</f>
        <v>0</v>
      </c>
      <c r="BG165" s="140">
        <f t="array" ref="BG165">IF(ISBLANK($A165),0,IF(OR(BG$5-$AI165&lt;=0,$AM165="Não"),V165,V165+INDEX($AO$6:$BR$176,ROW()-5,COLUMN()-40-$AI165)))*IF($B165="Operacional",IFERROR(VLOOKUP($C165,SN_UGC,28,0),0),1)</f>
        <v>0</v>
      </c>
      <c r="BH165" s="140">
        <f t="array" ref="BH165">IF(ISBLANK($A165),0,IF(OR(BH$5-$AI165&lt;=0,$AM165="Não"),W165,W165+INDEX($AO$6:$BR$176,ROW()-5,COLUMN()-40-$AI165)))*IF($B165="Operacional",IFERROR(VLOOKUP($C165,SN_UGC,28,0),0),1)</f>
        <v>0</v>
      </c>
      <c r="BI165" s="140">
        <f t="array" ref="BI165">IF(ISBLANK($A165),0,IF(OR(BI$5-$AI165&lt;=0,$AM165="Não"),X165,X165+INDEX($AO$6:$BR$176,ROW()-5,COLUMN()-40-$AI165)))*IF($B165="Operacional",IFERROR(VLOOKUP($C165,SN_UGC,28,0),0),1)</f>
        <v>0</v>
      </c>
      <c r="BJ165" s="140">
        <f t="array" ref="BJ165">IF(ISBLANK($A165),0,IF(OR(BJ$5-$AI165&lt;=0,$AM165="Não"),Y165,Y165+INDEX($AO$6:$BR$176,ROW()-5,COLUMN()-40-$AI165)))*IF($B165="Operacional",IFERROR(VLOOKUP($C165,SN_UGC,28,0),0),1)</f>
        <v>0</v>
      </c>
      <c r="BK165" s="140">
        <f t="array" ref="BK165">IF(ISBLANK($A165),0,IF(OR(BK$5-$AI165&lt;=0,$AM165="Não"),Z165,Z165+INDEX($AO$6:$BR$176,ROW()-5,COLUMN()-40-$AI165)))*IF($B165="Operacional",IFERROR(VLOOKUP($C165,SN_UGC,28,0),0),1)</f>
        <v>0</v>
      </c>
      <c r="BL165" s="140">
        <f t="array" ref="BL165">IF(ISBLANK($A165),0,IF(OR(BL$5-$AI165&lt;=0,$AM165="Não"),AA165,AA165+INDEX($AO$6:$BR$176,ROW()-5,COLUMN()-40-$AI165)))*IF($B165="Operacional",IFERROR(VLOOKUP($C165,SN_UGC,28,0),0),1)</f>
        <v>0</v>
      </c>
      <c r="BM165" s="140">
        <f t="array" ref="BM165">IF(ISBLANK($A165),0,IF(OR(BM$5-$AI165&lt;=0,$AM165="Não"),AB165,AB165+INDEX($AO$6:$BR$176,ROW()-5,COLUMN()-40-$AI165)))*IF($B165="Operacional",IFERROR(VLOOKUP($C165,SN_UGC,28,0),0),1)</f>
        <v>0</v>
      </c>
      <c r="BN165" s="140">
        <f t="array" ref="BN165">IF(ISBLANK($A165),0,IF(OR(BN$5-$AI165&lt;=0,$AM165="Não"),AC165,AC165+INDEX($AO$6:$BR$176,ROW()-5,COLUMN()-40-$AI165)))*IF($B165="Operacional",IFERROR(VLOOKUP($C165,SN_UGC,28,0),0),1)</f>
        <v>0</v>
      </c>
      <c r="BO165" s="140">
        <f t="array" ref="BO165">IF(ISBLANK($A165),0,IF(OR(BO$5-$AI165&lt;=0,$AM165="Não"),AD165,AD165+INDEX($AO$6:$BR$176,ROW()-5,COLUMN()-40-$AI165)))*IF($B165="Operacional",IFERROR(VLOOKUP($C165,SN_UGC,28,0),0),1)</f>
        <v>0</v>
      </c>
      <c r="BP165" s="140">
        <f t="array" ref="BP165">IF(ISBLANK($A165),0,IF(OR(BP$5-$AI165&lt;=0,$AM165="Não"),AE165,AE165+INDEX($AO$6:$BR$176,ROW()-5,COLUMN()-40-$AI165)))*IF($B165="Operacional",IFERROR(VLOOKUP($C165,SN_UGC,28,0),0),1)</f>
        <v>0</v>
      </c>
      <c r="BQ165" s="140">
        <f t="array" ref="BQ165">IF(ISBLANK($A165),0,IF(OR(BQ$5-$AI165&lt;=0,$AM165="Não"),AF165,AF165+INDEX($AO$6:$BR$176,ROW()-5,COLUMN()-40-$AI165)))*IF($B165="Operacional",IFERROR(VLOOKUP($C165,SN_UGC,28,0),0),1)</f>
        <v>0</v>
      </c>
      <c r="BR165" s="140">
        <f t="array" ref="BR165">IF(ISBLANK($A165),0,IF(OR(BR$5-$AI165&lt;=0,$AM165="Não"),AG165,AG165+INDEX($AO$6:$BR$176,ROW()-5,COLUMN()-40-$AI165)))*IF($B165="Operacional",IFERROR(VLOOKUP($C165,SN_UGC,28,0),0),1)</f>
        <v>0</v>
      </c>
      <c r="BS165" s="141">
        <f t="shared" ref="BS165:CV165" si="829">IF(ISBLANK($A165),0,$AH165*AO165)</f>
        <v>0</v>
      </c>
      <c r="BT165" s="141">
        <f t="shared" si="829"/>
        <v>0</v>
      </c>
      <c r="BU165" s="141">
        <f t="shared" si="829"/>
        <v>0</v>
      </c>
      <c r="BV165" s="141">
        <f t="shared" si="829"/>
        <v>0</v>
      </c>
      <c r="BW165" s="141">
        <f t="shared" si="829"/>
        <v>0</v>
      </c>
      <c r="BX165" s="141">
        <f t="shared" si="829"/>
        <v>0</v>
      </c>
      <c r="BY165" s="141">
        <f t="shared" si="829"/>
        <v>0</v>
      </c>
      <c r="BZ165" s="141">
        <f t="shared" si="829"/>
        <v>0</v>
      </c>
      <c r="CA165" s="141">
        <f t="shared" si="829"/>
        <v>0</v>
      </c>
      <c r="CB165" s="141">
        <f t="shared" si="829"/>
        <v>0</v>
      </c>
      <c r="CC165" s="141">
        <f t="shared" si="829"/>
        <v>0</v>
      </c>
      <c r="CD165" s="141">
        <f t="shared" si="829"/>
        <v>0</v>
      </c>
      <c r="CE165" s="141">
        <f t="shared" si="829"/>
        <v>0</v>
      </c>
      <c r="CF165" s="141">
        <f t="shared" si="829"/>
        <v>0</v>
      </c>
      <c r="CG165" s="141">
        <f t="shared" si="829"/>
        <v>0</v>
      </c>
      <c r="CH165" s="141">
        <f t="shared" si="829"/>
        <v>0</v>
      </c>
      <c r="CI165" s="141">
        <f t="shared" si="829"/>
        <v>0</v>
      </c>
      <c r="CJ165" s="141">
        <f t="shared" si="829"/>
        <v>0</v>
      </c>
      <c r="CK165" s="141">
        <f t="shared" si="829"/>
        <v>0</v>
      </c>
      <c r="CL165" s="141">
        <f t="shared" si="829"/>
        <v>0</v>
      </c>
      <c r="CM165" s="141">
        <f t="shared" si="829"/>
        <v>0</v>
      </c>
      <c r="CN165" s="141">
        <f t="shared" si="829"/>
        <v>0</v>
      </c>
      <c r="CO165" s="141">
        <f t="shared" si="829"/>
        <v>0</v>
      </c>
      <c r="CP165" s="141">
        <f t="shared" si="829"/>
        <v>0</v>
      </c>
      <c r="CQ165" s="141">
        <f t="shared" si="829"/>
        <v>0</v>
      </c>
      <c r="CR165" s="141">
        <f t="shared" si="829"/>
        <v>0</v>
      </c>
      <c r="CS165" s="141">
        <f t="shared" si="829"/>
        <v>0</v>
      </c>
      <c r="CT165" s="141">
        <f t="shared" si="829"/>
        <v>0</v>
      </c>
      <c r="CU165" s="141">
        <f t="shared" si="829"/>
        <v>0</v>
      </c>
      <c r="CV165" s="141">
        <f t="shared" si="829"/>
        <v>0</v>
      </c>
      <c r="CW165" s="142">
        <f t="shared" ref="CW165:DZ165" si="830">EA165*$AH165*$AJ165</f>
        <v>0</v>
      </c>
      <c r="CX165" s="142">
        <f t="shared" si="830"/>
        <v>0</v>
      </c>
      <c r="CY165" s="142">
        <f t="shared" si="830"/>
        <v>0</v>
      </c>
      <c r="CZ165" s="142">
        <f t="shared" si="830"/>
        <v>0</v>
      </c>
      <c r="DA165" s="142">
        <f t="shared" si="830"/>
        <v>0</v>
      </c>
      <c r="DB165" s="142">
        <f t="shared" si="830"/>
        <v>0</v>
      </c>
      <c r="DC165" s="142">
        <f t="shared" si="830"/>
        <v>0</v>
      </c>
      <c r="DD165" s="142">
        <f t="shared" si="830"/>
        <v>0</v>
      </c>
      <c r="DE165" s="142">
        <f t="shared" si="830"/>
        <v>0</v>
      </c>
      <c r="DF165" s="142">
        <f t="shared" si="830"/>
        <v>0</v>
      </c>
      <c r="DG165" s="142">
        <f t="shared" si="830"/>
        <v>0</v>
      </c>
      <c r="DH165" s="142">
        <f t="shared" si="830"/>
        <v>0</v>
      </c>
      <c r="DI165" s="142">
        <f t="shared" si="830"/>
        <v>0</v>
      </c>
      <c r="DJ165" s="142">
        <f t="shared" si="830"/>
        <v>0</v>
      </c>
      <c r="DK165" s="142">
        <f t="shared" si="830"/>
        <v>0</v>
      </c>
      <c r="DL165" s="142">
        <f t="shared" si="830"/>
        <v>0</v>
      </c>
      <c r="DM165" s="142">
        <f t="shared" si="830"/>
        <v>0</v>
      </c>
      <c r="DN165" s="142">
        <f t="shared" si="830"/>
        <v>0</v>
      </c>
      <c r="DO165" s="142">
        <f t="shared" si="830"/>
        <v>0</v>
      </c>
      <c r="DP165" s="142">
        <f t="shared" si="830"/>
        <v>0</v>
      </c>
      <c r="DQ165" s="142">
        <f t="shared" si="830"/>
        <v>0</v>
      </c>
      <c r="DR165" s="142">
        <f t="shared" si="830"/>
        <v>0</v>
      </c>
      <c r="DS165" s="142">
        <f t="shared" si="830"/>
        <v>0</v>
      </c>
      <c r="DT165" s="142">
        <f t="shared" si="830"/>
        <v>0</v>
      </c>
      <c r="DU165" s="142">
        <f t="shared" si="830"/>
        <v>0</v>
      </c>
      <c r="DV165" s="142">
        <f t="shared" si="830"/>
        <v>0</v>
      </c>
      <c r="DW165" s="142">
        <f t="shared" si="830"/>
        <v>0</v>
      </c>
      <c r="DX165" s="142">
        <f t="shared" si="830"/>
        <v>0</v>
      </c>
      <c r="DY165" s="142">
        <f t="shared" si="830"/>
        <v>0</v>
      </c>
      <c r="DZ165" s="142">
        <f t="shared" si="830"/>
        <v>0</v>
      </c>
      <c r="EA165" s="143">
        <f t="shared" si="670"/>
        <v>0</v>
      </c>
      <c r="EB165" s="143">
        <f t="shared" si="671"/>
        <v>0</v>
      </c>
      <c r="EC165" s="143">
        <f t="shared" si="672"/>
        <v>0</v>
      </c>
      <c r="ED165" s="143">
        <f t="shared" si="673"/>
        <v>0</v>
      </c>
      <c r="EE165" s="143">
        <f t="shared" si="674"/>
        <v>0</v>
      </c>
      <c r="EF165" s="143">
        <f t="shared" si="675"/>
        <v>0</v>
      </c>
      <c r="EG165" s="143">
        <f t="shared" si="676"/>
        <v>0</v>
      </c>
      <c r="EH165" s="143">
        <f t="shared" si="677"/>
        <v>0</v>
      </c>
      <c r="EI165" s="143">
        <f t="shared" si="678"/>
        <v>0</v>
      </c>
      <c r="EJ165" s="143">
        <f t="shared" si="679"/>
        <v>0</v>
      </c>
      <c r="EK165" s="143">
        <f t="shared" si="680"/>
        <v>0</v>
      </c>
      <c r="EL165" s="143">
        <f t="shared" si="681"/>
        <v>0</v>
      </c>
      <c r="EM165" s="143">
        <f t="shared" si="682"/>
        <v>0</v>
      </c>
      <c r="EN165" s="143">
        <f t="shared" si="683"/>
        <v>0</v>
      </c>
      <c r="EO165" s="143">
        <f t="shared" si="684"/>
        <v>0</v>
      </c>
      <c r="EP165" s="143">
        <f t="shared" si="685"/>
        <v>0</v>
      </c>
      <c r="EQ165" s="143">
        <f t="shared" si="686"/>
        <v>0</v>
      </c>
      <c r="ER165" s="143">
        <f t="shared" si="687"/>
        <v>0</v>
      </c>
      <c r="ES165" s="143">
        <f t="shared" si="688"/>
        <v>0</v>
      </c>
      <c r="ET165" s="143">
        <f t="shared" si="689"/>
        <v>0</v>
      </c>
      <c r="EU165" s="143">
        <f t="shared" si="690"/>
        <v>0</v>
      </c>
      <c r="EV165" s="143">
        <f t="shared" si="691"/>
        <v>0</v>
      </c>
      <c r="EW165" s="143">
        <f t="shared" si="692"/>
        <v>0</v>
      </c>
      <c r="EX165" s="143">
        <f t="shared" si="693"/>
        <v>0</v>
      </c>
      <c r="EY165" s="143">
        <f t="shared" si="694"/>
        <v>0</v>
      </c>
      <c r="EZ165" s="143">
        <f t="shared" si="695"/>
        <v>0</v>
      </c>
      <c r="FA165" s="143">
        <f t="shared" si="696"/>
        <v>0</v>
      </c>
      <c r="FB165" s="143">
        <f t="shared" si="697"/>
        <v>0</v>
      </c>
      <c r="FC165" s="143">
        <f t="shared" si="698"/>
        <v>0</v>
      </c>
      <c r="FD165" s="143">
        <f t="shared" si="699"/>
        <v>0</v>
      </c>
      <c r="FE165" s="140">
        <f>SUM($D165:D165)*IF($B165="Operacional",IFERROR(VLOOKUP($C165,SN_UGC,28,0),0),1)</f>
        <v>0</v>
      </c>
      <c r="FF165" s="140">
        <f>SUM($D165:E165)*IF($B165="Operacional",IFERROR(VLOOKUP($C165,SN_UGC,28,0),0),1)</f>
        <v>0</v>
      </c>
      <c r="FG165" s="140">
        <f>SUM($D165:F165)*IF($B165="Operacional",IFERROR(VLOOKUP($C165,SN_UGC,28,0),0),1)</f>
        <v>0</v>
      </c>
      <c r="FH165" s="140">
        <f>SUM($D165:G165)*IF($B165="Operacional",IFERROR(VLOOKUP($C165,SN_UGC,28,0),0),1)</f>
        <v>0</v>
      </c>
      <c r="FI165" s="140">
        <f>SUM($D165:H165)*IF($B165="Operacional",IFERROR(VLOOKUP($C165,SN_UGC,28,0),0),1)</f>
        <v>0</v>
      </c>
      <c r="FJ165" s="140">
        <f>SUM($D165:I165)*IF($B165="Operacional",IFERROR(VLOOKUP($C165,SN_UGC,28,0),0),1)</f>
        <v>0</v>
      </c>
      <c r="FK165" s="140">
        <f>SUM($D165:J165)*IF($B165="Operacional",IFERROR(VLOOKUP($C165,SN_UGC,28,0),0),1)</f>
        <v>0</v>
      </c>
      <c r="FL165" s="140">
        <f>SUM($D165:K165)*IF($B165="Operacional",IFERROR(VLOOKUP($C165,SN_UGC,28,0),0),1)</f>
        <v>0</v>
      </c>
      <c r="FM165" s="140">
        <f>SUM($D165:L165)*IF($B165="Operacional",IFERROR(VLOOKUP($C165,SN_UGC,28,0),0),1)</f>
        <v>0</v>
      </c>
      <c r="FN165" s="140">
        <f>SUM($D165:M165)*IF($B165="Operacional",IFERROR(VLOOKUP($C165,SN_UGC,28,0),0),1)</f>
        <v>0</v>
      </c>
      <c r="FO165" s="140">
        <f>SUM($D165:N165)*IF($B165="Operacional",IFERROR(VLOOKUP($C165,SN_UGC,28,0),0),1)</f>
        <v>0</v>
      </c>
      <c r="FP165" s="140">
        <f>SUM($D165:O165)*IF($B165="Operacional",IFERROR(VLOOKUP($C165,SN_UGC,28,0),0),1)</f>
        <v>0</v>
      </c>
      <c r="FQ165" s="140">
        <f>SUM($D165:P165)*IF($B165="Operacional",IFERROR(VLOOKUP($C165,SN_UGC,28,0),0),1)</f>
        <v>0</v>
      </c>
      <c r="FR165" s="140">
        <f>SUM($D165:Q165)*IF($B165="Operacional",IFERROR(VLOOKUP($C165,SN_UGC,28,0),0),1)</f>
        <v>0</v>
      </c>
      <c r="FS165" s="140">
        <f>SUM($D165:R165)*IF($B165="Operacional",IFERROR(VLOOKUP($C165,SN_UGC,28,0),0),1)</f>
        <v>0</v>
      </c>
      <c r="FT165" s="140">
        <f>SUM($D165:S165)*IF($B165="Operacional",IFERROR(VLOOKUP($C165,SN_UGC,28,0),0),1)</f>
        <v>0</v>
      </c>
      <c r="FU165" s="140">
        <f>SUM($D165:T165)*IF($B165="Operacional",IFERROR(VLOOKUP($C165,SN_UGC,28,0),0),1)</f>
        <v>0</v>
      </c>
      <c r="FV165" s="140">
        <f>SUM($D165:U165)*IF($B165="Operacional",IFERROR(VLOOKUP($C165,SN_UGC,28,0),0),1)</f>
        <v>0</v>
      </c>
      <c r="FW165" s="140">
        <f>SUM($D165:V165)*IF($B165="Operacional",IFERROR(VLOOKUP($C165,SN_UGC,28,0),0),1)</f>
        <v>0</v>
      </c>
      <c r="FX165" s="140">
        <f>SUM($D165:W165)*IF($B165="Operacional",IFERROR(VLOOKUP($C165,SN_UGC,28,0),0),1)</f>
        <v>0</v>
      </c>
      <c r="FY165" s="140">
        <f>SUM($D165:X165)*IF($B165="Operacional",IFERROR(VLOOKUP($C165,SN_UGC,28,0),0),1)</f>
        <v>0</v>
      </c>
      <c r="FZ165" s="140">
        <f>SUM($D165:Y165)*IF($B165="Operacional",IFERROR(VLOOKUP($C165,SN_UGC,28,0),0),1)</f>
        <v>0</v>
      </c>
      <c r="GA165" s="140">
        <f>SUM($D165:Z165)*IF($B165="Operacional",IFERROR(VLOOKUP($C165,SN_UGC,28,0),0),1)</f>
        <v>0</v>
      </c>
      <c r="GB165" s="140">
        <f>SUM($D165:AA165)*IF($B165="Operacional",IFERROR(VLOOKUP($C165,SN_UGC,28,0),0),1)</f>
        <v>0</v>
      </c>
      <c r="GC165" s="140">
        <f>SUM($D165:AB165)*IF($B165="Operacional",IFERROR(VLOOKUP($C165,SN_UGC,28,0),0),1)</f>
        <v>0</v>
      </c>
      <c r="GD165" s="140">
        <f>SUM($D165:AC165)*IF($B165="Operacional",IFERROR(VLOOKUP($C165,SN_UGC,28,0),0),1)</f>
        <v>0</v>
      </c>
      <c r="GE165" s="140">
        <f>SUM($D165:AD165)*IF($B165="Operacional",IFERROR(VLOOKUP($C165,SN_UGC,28,0),0),1)</f>
        <v>0</v>
      </c>
      <c r="GF165" s="140">
        <f>SUM($D165:AE165)*IF($B165="Operacional",IFERROR(VLOOKUP($C165,SN_UGC,28,0),0),1)</f>
        <v>0</v>
      </c>
      <c r="GG165" s="140">
        <f>SUM($D165:AF165)*IF($B165="Operacional",IFERROR(VLOOKUP($C165,SN_UGC,28,0),0),1)</f>
        <v>0</v>
      </c>
      <c r="GH165" s="140">
        <f>SUM($D165:AG165)*IF($B165="Operacional",IFERROR(VLOOKUP($C165,SN_UGC,28,0),0),1)</f>
        <v>0</v>
      </c>
      <c r="GI165" s="141">
        <f t="shared" ref="GI165:HL165" si="831">FE165*$AH165*$AL165</f>
        <v>0</v>
      </c>
      <c r="GJ165" s="141">
        <f t="shared" si="831"/>
        <v>0</v>
      </c>
      <c r="GK165" s="141">
        <f t="shared" si="831"/>
        <v>0</v>
      </c>
      <c r="GL165" s="141">
        <f t="shared" si="831"/>
        <v>0</v>
      </c>
      <c r="GM165" s="141">
        <f t="shared" si="831"/>
        <v>0</v>
      </c>
      <c r="GN165" s="141">
        <f t="shared" si="831"/>
        <v>0</v>
      </c>
      <c r="GO165" s="141">
        <f t="shared" si="831"/>
        <v>0</v>
      </c>
      <c r="GP165" s="141">
        <f t="shared" si="831"/>
        <v>0</v>
      </c>
      <c r="GQ165" s="141">
        <f t="shared" si="831"/>
        <v>0</v>
      </c>
      <c r="GR165" s="141">
        <f t="shared" si="831"/>
        <v>0</v>
      </c>
      <c r="GS165" s="141">
        <f t="shared" si="831"/>
        <v>0</v>
      </c>
      <c r="GT165" s="141">
        <f t="shared" si="831"/>
        <v>0</v>
      </c>
      <c r="GU165" s="141">
        <f t="shared" si="831"/>
        <v>0</v>
      </c>
      <c r="GV165" s="141">
        <f t="shared" si="831"/>
        <v>0</v>
      </c>
      <c r="GW165" s="141">
        <f t="shared" si="831"/>
        <v>0</v>
      </c>
      <c r="GX165" s="141">
        <f t="shared" si="831"/>
        <v>0</v>
      </c>
      <c r="GY165" s="141">
        <f t="shared" si="831"/>
        <v>0</v>
      </c>
      <c r="GZ165" s="141">
        <f t="shared" si="831"/>
        <v>0</v>
      </c>
      <c r="HA165" s="141">
        <f t="shared" si="831"/>
        <v>0</v>
      </c>
      <c r="HB165" s="141">
        <f t="shared" si="831"/>
        <v>0</v>
      </c>
      <c r="HC165" s="141">
        <f t="shared" si="831"/>
        <v>0</v>
      </c>
      <c r="HD165" s="141">
        <f t="shared" si="831"/>
        <v>0</v>
      </c>
      <c r="HE165" s="141">
        <f t="shared" si="831"/>
        <v>0</v>
      </c>
      <c r="HF165" s="141">
        <f t="shared" si="831"/>
        <v>0</v>
      </c>
      <c r="HG165" s="141">
        <f t="shared" si="831"/>
        <v>0</v>
      </c>
      <c r="HH165" s="141">
        <f t="shared" si="831"/>
        <v>0</v>
      </c>
      <c r="HI165" s="141">
        <f t="shared" si="831"/>
        <v>0</v>
      </c>
      <c r="HJ165" s="141">
        <f t="shared" si="831"/>
        <v>0</v>
      </c>
      <c r="HK165" s="141">
        <f t="shared" si="831"/>
        <v>0</v>
      </c>
      <c r="HL165" s="141">
        <f t="shared" si="831"/>
        <v>0</v>
      </c>
      <c r="HM165" s="142">
        <f t="shared" ref="HM165:IP165" si="832">IF(ISBLANK($A165),,FE165*($AH165-($AH165*$AJ165))/$AI165)</f>
        <v>0</v>
      </c>
      <c r="HN165" s="142">
        <f t="shared" si="832"/>
        <v>0</v>
      </c>
      <c r="HO165" s="142">
        <f t="shared" si="832"/>
        <v>0</v>
      </c>
      <c r="HP165" s="142">
        <f t="shared" si="832"/>
        <v>0</v>
      </c>
      <c r="HQ165" s="142">
        <f t="shared" si="832"/>
        <v>0</v>
      </c>
      <c r="HR165" s="142">
        <f t="shared" si="832"/>
        <v>0</v>
      </c>
      <c r="HS165" s="142">
        <f t="shared" si="832"/>
        <v>0</v>
      </c>
      <c r="HT165" s="142">
        <f t="shared" si="832"/>
        <v>0</v>
      </c>
      <c r="HU165" s="142">
        <f t="shared" si="832"/>
        <v>0</v>
      </c>
      <c r="HV165" s="142">
        <f t="shared" si="832"/>
        <v>0</v>
      </c>
      <c r="HW165" s="142">
        <f t="shared" si="832"/>
        <v>0</v>
      </c>
      <c r="HX165" s="142">
        <f t="shared" si="832"/>
        <v>0</v>
      </c>
      <c r="HY165" s="142">
        <f t="shared" si="832"/>
        <v>0</v>
      </c>
      <c r="HZ165" s="142">
        <f t="shared" si="832"/>
        <v>0</v>
      </c>
      <c r="IA165" s="142">
        <f t="shared" si="832"/>
        <v>0</v>
      </c>
      <c r="IB165" s="142">
        <f t="shared" si="832"/>
        <v>0</v>
      </c>
      <c r="IC165" s="142">
        <f t="shared" si="832"/>
        <v>0</v>
      </c>
      <c r="ID165" s="142">
        <f t="shared" si="832"/>
        <v>0</v>
      </c>
      <c r="IE165" s="142">
        <f t="shared" si="832"/>
        <v>0</v>
      </c>
      <c r="IF165" s="142">
        <f t="shared" si="832"/>
        <v>0</v>
      </c>
      <c r="IG165" s="142">
        <f t="shared" si="832"/>
        <v>0</v>
      </c>
      <c r="IH165" s="142">
        <f t="shared" si="832"/>
        <v>0</v>
      </c>
      <c r="II165" s="142">
        <f t="shared" si="832"/>
        <v>0</v>
      </c>
      <c r="IJ165" s="142">
        <f t="shared" si="832"/>
        <v>0</v>
      </c>
      <c r="IK165" s="142">
        <f t="shared" si="832"/>
        <v>0</v>
      </c>
      <c r="IL165" s="142">
        <f t="shared" si="832"/>
        <v>0</v>
      </c>
      <c r="IM165" s="142">
        <f t="shared" si="832"/>
        <v>0</v>
      </c>
      <c r="IN165" s="142">
        <f t="shared" si="832"/>
        <v>0</v>
      </c>
      <c r="IO165" s="142">
        <f t="shared" si="832"/>
        <v>0</v>
      </c>
      <c r="IP165" s="142">
        <f t="shared" si="832"/>
        <v>0</v>
      </c>
      <c r="IQ165" s="141">
        <f>IF(ISBLANK($A165),,IF($AN165="Não",0,(SUM($AO165:AO165)*$AH165)-SUM($HM165:HM165)-SUM($CW165:CW165)))</f>
        <v>0</v>
      </c>
      <c r="IR165" s="141">
        <f>IF(ISBLANK($A165),,IF($AN165="Não",0,(SUM($AO165:AP165)*$AH165)-SUM($HM165:HN165)-SUM($CW165:CX165)))</f>
        <v>0</v>
      </c>
      <c r="IS165" s="141">
        <f>IF(ISBLANK($A165),,IF($AN165="Não",0,(SUM($AO165:AQ165)*$AH165)-SUM($HM165:HO165)-SUM($CW165:CY165)))</f>
        <v>0</v>
      </c>
      <c r="IT165" s="141">
        <f>IF(ISBLANK($A165),,IF($AN165="Não",0,(SUM($AO165:AR165)*$AH165)-SUM($HM165:HP165)-SUM($CW165:CZ165)))</f>
        <v>0</v>
      </c>
      <c r="IU165" s="141">
        <f>IF(ISBLANK($A165),,IF($AN165="Não",0,(SUM($AO165:AS165)*$AH165)-SUM($HM165:HQ165)-SUM($CW165:DA165)))</f>
        <v>0</v>
      </c>
      <c r="IV165" s="141">
        <f>IF(ISBLANK($A165),,IF($AN165="Não",0,(SUM($AO165:AT165)*$AH165)-SUM($HM165:HR165)-SUM($CW165:DB165)))</f>
        <v>0</v>
      </c>
      <c r="IW165" s="141">
        <f>IF(ISBLANK($A165),,IF($AN165="Não",0,(SUM($AO165:AU165)*$AH165)-SUM($HM165:HS165)-SUM($CW165:DC165)))</f>
        <v>0</v>
      </c>
      <c r="IX165" s="141">
        <f>IF(ISBLANK($A165),,IF($AN165="Não",0,(SUM($AO165:AV165)*$AH165)-SUM($HM165:HT165)-SUM($CW165:DD165)))</f>
        <v>0</v>
      </c>
      <c r="IY165" s="141">
        <f>IF(ISBLANK($A165),,IF($AN165="Não",0,(SUM($AO165:AW165)*$AH165)-SUM($HM165:HU165)-SUM($CW165:DE165)))</f>
        <v>0</v>
      </c>
      <c r="IZ165" s="141">
        <f>IF(ISBLANK($A165),,IF($AN165="Não",0,(SUM($AO165:AX165)*$AH165)-SUM($HM165:HV165)-SUM($CW165:DF165)))</f>
        <v>0</v>
      </c>
      <c r="JA165" s="141">
        <f>IF(ISBLANK($A165),,IF($AN165="Não",0,(SUM($AO165:AY165)*$AH165)-SUM($HM165:HW165)-SUM($CW165:DG165)))</f>
        <v>0</v>
      </c>
      <c r="JB165" s="141">
        <f>IF(ISBLANK($A165),,IF($AN165="Não",0,(SUM($AO165:AZ165)*$AH165)-SUM($HM165:HX165)-SUM($CW165:DH165)))</f>
        <v>0</v>
      </c>
      <c r="JC165" s="141">
        <f>IF(ISBLANK($A165),,IF($AN165="Não",0,(SUM($AO165:BA165)*$AH165)-SUM($HM165:HY165)-SUM($CW165:DI165)))</f>
        <v>0</v>
      </c>
      <c r="JD165" s="141">
        <f>IF(ISBLANK($A165),,IF($AN165="Não",0,(SUM($AO165:BB165)*$AH165)-SUM($HM165:HZ165)-SUM($CW165:DJ165)))</f>
        <v>0</v>
      </c>
      <c r="JE165" s="141">
        <f>IF(ISBLANK($A165),,IF($AN165="Não",0,(SUM($AO165:BC165)*$AH165)-SUM($HM165:IA165)-SUM($CW165:DK165)))</f>
        <v>0</v>
      </c>
      <c r="JF165" s="141">
        <f>IF(ISBLANK($A165),,IF($AN165="Não",0,(SUM($AO165:BD165)*$AH165)-SUM($HM165:IB165)-SUM($CW165:DL165)))</f>
        <v>0</v>
      </c>
      <c r="JG165" s="141">
        <f>IF(ISBLANK($A165),,IF($AN165="Não",0,(SUM($AO165:BE165)*$AH165)-SUM($HM165:IC165)-SUM($CW165:DM165)))</f>
        <v>0</v>
      </c>
      <c r="JH165" s="141">
        <f>IF(ISBLANK($A165),,IF($AN165="Não",0,(SUM($AO165:BF165)*$AH165)-SUM($HM165:ID165)-SUM($CW165:DN165)))</f>
        <v>0</v>
      </c>
      <c r="JI165" s="141">
        <f>IF(ISBLANK($A165),,IF($AN165="Não",0,(SUM($AO165:BG165)*$AH165)-SUM($HM165:IE165)-SUM($CW165:DO165)))</f>
        <v>0</v>
      </c>
      <c r="JJ165" s="141">
        <f>IF(ISBLANK($A165),,IF($AN165="Não",0,(SUM($AO165:BH165)*$AH165)-SUM($HM165:IF165)-SUM($CW165:DP165)))</f>
        <v>0</v>
      </c>
      <c r="JK165" s="141">
        <f>IF(ISBLANK($A165),,IF($AN165="Não",0,(SUM($AO165:BI165)*$AH165)-SUM($HM165:IG165)-SUM($CW165:DQ165)))</f>
        <v>0</v>
      </c>
      <c r="JL165" s="141">
        <f>IF(ISBLANK($A165),,IF($AN165="Não",0,(SUM($AO165:BJ165)*$AH165)-SUM($HM165:IH165)-SUM($CW165:DR165)))</f>
        <v>0</v>
      </c>
      <c r="JM165" s="141">
        <f>IF(ISBLANK($A165),,IF($AN165="Não",0,(SUM($AO165:BK165)*$AH165)-SUM($HM165:II165)-SUM($CW165:DS165)))</f>
        <v>0</v>
      </c>
      <c r="JN165" s="141">
        <f>IF(ISBLANK($A165),,IF($AN165="Não",0,(SUM($AO165:BL165)*$AH165)-SUM($HM165:IJ165)-SUM($CW165:DT165)))</f>
        <v>0</v>
      </c>
      <c r="JO165" s="141">
        <f>IF(ISBLANK($A165),,IF($AN165="Não",0,(SUM($AO165:BM165)*$AH165)-SUM($HM165:IK165)-SUM($CW165:DU165)))</f>
        <v>0</v>
      </c>
      <c r="JP165" s="141">
        <f>IF(ISBLANK($A165),,IF($AN165="Não",0,(SUM($AO165:BN165)*$AH165)-SUM($HM165:IL165)-SUM($CW165:DV165)))</f>
        <v>0</v>
      </c>
      <c r="JQ165" s="141">
        <f>IF(ISBLANK($A165),,IF($AN165="Não",0,(SUM($AO165:BO165)*$AH165)-SUM($HM165:IM165)-SUM($CW165:DW165)))</f>
        <v>0</v>
      </c>
      <c r="JR165" s="141">
        <f>IF(ISBLANK($A165),,IF($AN165="Não",0,(SUM($AO165:BP165)*$AH165)-SUM($HM165:IN165)-SUM($CW165:DX165)))</f>
        <v>0</v>
      </c>
      <c r="JS165" s="141">
        <f>IF(ISBLANK($A165),,IF($AN165="Não",0,(SUM($AO165:BQ165)*$AH165)-SUM($HM165:IO165)-SUM($CW165:DY165)))</f>
        <v>0</v>
      </c>
      <c r="JT165" s="141">
        <f>IF(ISBLANK($A165),,IF($AN165="Não",0,(SUM($AO165:BR165)*$AH165)-SUM($HM165:IP165)-SUM($CW165:DZ165)))</f>
        <v>0</v>
      </c>
    </row>
    <row r="166" spans="1:280" ht="15.75" customHeight="1">
      <c r="A166" s="129"/>
      <c r="B166" s="129"/>
      <c r="C166" s="138"/>
      <c r="D166" s="139"/>
      <c r="E166" s="139"/>
      <c r="F166" s="139"/>
      <c r="G166" s="139"/>
      <c r="H166" s="139"/>
      <c r="I166" s="139"/>
      <c r="J166" s="139"/>
      <c r="K166" s="139"/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607">
        <f t="shared" si="710"/>
        <v>0</v>
      </c>
      <c r="AI166" s="608">
        <f t="shared" si="711"/>
        <v>0</v>
      </c>
      <c r="AJ166" s="609">
        <f t="shared" si="712"/>
        <v>0</v>
      </c>
      <c r="AK166" s="610" t="str">
        <f t="shared" si="713"/>
        <v/>
      </c>
      <c r="AL166" s="609">
        <f t="shared" si="714"/>
        <v>0</v>
      </c>
      <c r="AM166" s="611" t="str">
        <f t="shared" si="715"/>
        <v/>
      </c>
      <c r="AN166" s="611" t="str">
        <f t="shared" si="716"/>
        <v/>
      </c>
      <c r="AO166" s="140">
        <f t="array" ref="AO166">IF(ISBLANK($A166),0,IF(OR(AO$5-$AI166&lt;=0,$AM166="Não"),D166,D166+INDEX($AO$6:$BR$176,ROW()-5,COLUMN()-40-$AI166)))*IF($B166="Operacional",IFERROR(VLOOKUP($C166,SN_UGC,28,0),0),1)</f>
        <v>0</v>
      </c>
      <c r="AP166" s="140">
        <f t="array" ref="AP166">IF(ISBLANK($A166),0,IF(OR(AP$5-$AI166&lt;=0,$AM166="Não"),E166,E166+INDEX($AO$6:$BR$176,ROW()-5,COLUMN()-40-$AI166)))*IF($B166="Operacional",IFERROR(VLOOKUP($C166,SN_UGC,28,0),0),1)</f>
        <v>0</v>
      </c>
      <c r="AQ166" s="140">
        <f t="array" ref="AQ166">IF(ISBLANK($A166),0,IF(OR(AQ$5-$AI166&lt;=0,$AM166="Não"),F166,F166+INDEX($AO$6:$BR$176,ROW()-5,COLUMN()-40-$AI166)))*IF($B166="Operacional",IFERROR(VLOOKUP($C166,SN_UGC,28,0),0),1)</f>
        <v>0</v>
      </c>
      <c r="AR166" s="140">
        <f t="array" ref="AR166">IF(ISBLANK($A166),0,IF(OR(AR$5-$AI166&lt;=0,$AM166="Não"),G166,G166+INDEX($AO$6:$BR$176,ROW()-5,COLUMN()-40-$AI166)))*IF($B166="Operacional",IFERROR(VLOOKUP($C166,SN_UGC,28,0),0),1)</f>
        <v>0</v>
      </c>
      <c r="AS166" s="140">
        <f t="array" ref="AS166">IF(ISBLANK($A166),0,IF(OR(AS$5-$AI166&lt;=0,$AM166="Não"),H166,H166+INDEX($AO$6:$BR$176,ROW()-5,COLUMN()-40-$AI166)))*IF($B166="Operacional",IFERROR(VLOOKUP($C166,SN_UGC,28,0),0),1)</f>
        <v>0</v>
      </c>
      <c r="AT166" s="140">
        <f t="array" ref="AT166">IF(ISBLANK($A166),0,IF(OR(AT$5-$AI166&lt;=0,$AM166="Não"),I166,I166+INDEX($AO$6:$BR$176,ROW()-5,COLUMN()-40-$AI166)))*IF($B166="Operacional",IFERROR(VLOOKUP($C166,SN_UGC,28,0),0),1)</f>
        <v>0</v>
      </c>
      <c r="AU166" s="140">
        <f t="array" ref="AU166">IF(ISBLANK($A166),0,IF(OR(AU$5-$AI166&lt;=0,$AM166="Não"),J166,J166+INDEX($AO$6:$BR$176,ROW()-5,COLUMN()-40-$AI166)))*IF($B166="Operacional",IFERROR(VLOOKUP($C166,SN_UGC,28,0),0),1)</f>
        <v>0</v>
      </c>
      <c r="AV166" s="140">
        <f t="array" ref="AV166">IF(ISBLANK($A166),0,IF(OR(AV$5-$AI166&lt;=0,$AM166="Não"),K166,K166+INDEX($AO$6:$BR$176,ROW()-5,COLUMN()-40-$AI166)))*IF($B166="Operacional",IFERROR(VLOOKUP($C166,SN_UGC,28,0),0),1)</f>
        <v>0</v>
      </c>
      <c r="AW166" s="140">
        <f t="array" ref="AW166">IF(ISBLANK($A166),0,IF(OR(AW$5-$AI166&lt;=0,$AM166="Não"),L166,L166+INDEX($AO$6:$BR$176,ROW()-5,COLUMN()-40-$AI166)))*IF($B166="Operacional",IFERROR(VLOOKUP($C166,SN_UGC,28,0),0),1)</f>
        <v>0</v>
      </c>
      <c r="AX166" s="140">
        <f t="array" ref="AX166">IF(ISBLANK($A166),0,IF(OR(AX$5-$AI166&lt;=0,$AM166="Não"),M166,M166+INDEX($AO$6:$BR$176,ROW()-5,COLUMN()-40-$AI166)))*IF($B166="Operacional",IFERROR(VLOOKUP($C166,SN_UGC,28,0),0),1)</f>
        <v>0</v>
      </c>
      <c r="AY166" s="140">
        <f t="array" ref="AY166">IF(ISBLANK($A166),0,IF(OR(AY$5-$AI166&lt;=0,$AM166="Não"),N166,N166+INDEX($AO$6:$BR$176,ROW()-5,COLUMN()-40-$AI166)))*IF($B166="Operacional",IFERROR(VLOOKUP($C166,SN_UGC,28,0),0),1)</f>
        <v>0</v>
      </c>
      <c r="AZ166" s="140">
        <f t="array" ref="AZ166">IF(ISBLANK($A166),0,IF(OR(AZ$5-$AI166&lt;=0,$AM166="Não"),O166,O166+INDEX($AO$6:$BR$176,ROW()-5,COLUMN()-40-$AI166)))*IF($B166="Operacional",IFERROR(VLOOKUP($C166,SN_UGC,28,0),0),1)</f>
        <v>0</v>
      </c>
      <c r="BA166" s="140">
        <f t="array" ref="BA166">IF(ISBLANK($A166),0,IF(OR(BA$5-$AI166&lt;=0,$AM166="Não"),P166,P166+INDEX($AO$6:$BR$176,ROW()-5,COLUMN()-40-$AI166)))*IF($B166="Operacional",IFERROR(VLOOKUP($C166,SN_UGC,28,0),0),1)</f>
        <v>0</v>
      </c>
      <c r="BB166" s="140">
        <f t="array" ref="BB166">IF(ISBLANK($A166),0,IF(OR(BB$5-$AI166&lt;=0,$AM166="Não"),Q166,Q166+INDEX($AO$6:$BR$176,ROW()-5,COLUMN()-40-$AI166)))*IF($B166="Operacional",IFERROR(VLOOKUP($C166,SN_UGC,28,0),0),1)</f>
        <v>0</v>
      </c>
      <c r="BC166" s="140">
        <f t="array" ref="BC166">IF(ISBLANK($A166),0,IF(OR(BC$5-$AI166&lt;=0,$AM166="Não"),R166,R166+INDEX($AO$6:$BR$176,ROW()-5,COLUMN()-40-$AI166)))*IF($B166="Operacional",IFERROR(VLOOKUP($C166,SN_UGC,28,0),0),1)</f>
        <v>0</v>
      </c>
      <c r="BD166" s="140">
        <f t="array" ref="BD166">IF(ISBLANK($A166),0,IF(OR(BD$5-$AI166&lt;=0,$AM166="Não"),S166,S166+INDEX($AO$6:$BR$176,ROW()-5,COLUMN()-40-$AI166)))*IF($B166="Operacional",IFERROR(VLOOKUP($C166,SN_UGC,28,0),0),1)</f>
        <v>0</v>
      </c>
      <c r="BE166" s="140">
        <f t="array" ref="BE166">IF(ISBLANK($A166),0,IF(OR(BE$5-$AI166&lt;=0,$AM166="Não"),T166,T166+INDEX($AO$6:$BR$176,ROW()-5,COLUMN()-40-$AI166)))*IF($B166="Operacional",IFERROR(VLOOKUP($C166,SN_UGC,28,0),0),1)</f>
        <v>0</v>
      </c>
      <c r="BF166" s="140">
        <f t="array" ref="BF166">IF(ISBLANK($A166),0,IF(OR(BF$5-$AI166&lt;=0,$AM166="Não"),U166,U166+INDEX($AO$6:$BR$176,ROW()-5,COLUMN()-40-$AI166)))*IF($B166="Operacional",IFERROR(VLOOKUP($C166,SN_UGC,28,0),0),1)</f>
        <v>0</v>
      </c>
      <c r="BG166" s="140">
        <f t="array" ref="BG166">IF(ISBLANK($A166),0,IF(OR(BG$5-$AI166&lt;=0,$AM166="Não"),V166,V166+INDEX($AO$6:$BR$176,ROW()-5,COLUMN()-40-$AI166)))*IF($B166="Operacional",IFERROR(VLOOKUP($C166,SN_UGC,28,0),0),1)</f>
        <v>0</v>
      </c>
      <c r="BH166" s="140">
        <f t="array" ref="BH166">IF(ISBLANK($A166),0,IF(OR(BH$5-$AI166&lt;=0,$AM166="Não"),W166,W166+INDEX($AO$6:$BR$176,ROW()-5,COLUMN()-40-$AI166)))*IF($B166="Operacional",IFERROR(VLOOKUP($C166,SN_UGC,28,0),0),1)</f>
        <v>0</v>
      </c>
      <c r="BI166" s="140">
        <f t="array" ref="BI166">IF(ISBLANK($A166),0,IF(OR(BI$5-$AI166&lt;=0,$AM166="Não"),X166,X166+INDEX($AO$6:$BR$176,ROW()-5,COLUMN()-40-$AI166)))*IF($B166="Operacional",IFERROR(VLOOKUP($C166,SN_UGC,28,0),0),1)</f>
        <v>0</v>
      </c>
      <c r="BJ166" s="140">
        <f t="array" ref="BJ166">IF(ISBLANK($A166),0,IF(OR(BJ$5-$AI166&lt;=0,$AM166="Não"),Y166,Y166+INDEX($AO$6:$BR$176,ROW()-5,COLUMN()-40-$AI166)))*IF($B166="Operacional",IFERROR(VLOOKUP($C166,SN_UGC,28,0),0),1)</f>
        <v>0</v>
      </c>
      <c r="BK166" s="140">
        <f t="array" ref="BK166">IF(ISBLANK($A166),0,IF(OR(BK$5-$AI166&lt;=0,$AM166="Não"),Z166,Z166+INDEX($AO$6:$BR$176,ROW()-5,COLUMN()-40-$AI166)))*IF($B166="Operacional",IFERROR(VLOOKUP($C166,SN_UGC,28,0),0),1)</f>
        <v>0</v>
      </c>
      <c r="BL166" s="140">
        <f t="array" ref="BL166">IF(ISBLANK($A166),0,IF(OR(BL$5-$AI166&lt;=0,$AM166="Não"),AA166,AA166+INDEX($AO$6:$BR$176,ROW()-5,COLUMN()-40-$AI166)))*IF($B166="Operacional",IFERROR(VLOOKUP($C166,SN_UGC,28,0),0),1)</f>
        <v>0</v>
      </c>
      <c r="BM166" s="140">
        <f t="array" ref="BM166">IF(ISBLANK($A166),0,IF(OR(BM$5-$AI166&lt;=0,$AM166="Não"),AB166,AB166+INDEX($AO$6:$BR$176,ROW()-5,COLUMN()-40-$AI166)))*IF($B166="Operacional",IFERROR(VLOOKUP($C166,SN_UGC,28,0),0),1)</f>
        <v>0</v>
      </c>
      <c r="BN166" s="140">
        <f t="array" ref="BN166">IF(ISBLANK($A166),0,IF(OR(BN$5-$AI166&lt;=0,$AM166="Não"),AC166,AC166+INDEX($AO$6:$BR$176,ROW()-5,COLUMN()-40-$AI166)))*IF($B166="Operacional",IFERROR(VLOOKUP($C166,SN_UGC,28,0),0),1)</f>
        <v>0</v>
      </c>
      <c r="BO166" s="140">
        <f t="array" ref="BO166">IF(ISBLANK($A166),0,IF(OR(BO$5-$AI166&lt;=0,$AM166="Não"),AD166,AD166+INDEX($AO$6:$BR$176,ROW()-5,COLUMN()-40-$AI166)))*IF($B166="Operacional",IFERROR(VLOOKUP($C166,SN_UGC,28,0),0),1)</f>
        <v>0</v>
      </c>
      <c r="BP166" s="140">
        <f t="array" ref="BP166">IF(ISBLANK($A166),0,IF(OR(BP$5-$AI166&lt;=0,$AM166="Não"),AE166,AE166+INDEX($AO$6:$BR$176,ROW()-5,COLUMN()-40-$AI166)))*IF($B166="Operacional",IFERROR(VLOOKUP($C166,SN_UGC,28,0),0),1)</f>
        <v>0</v>
      </c>
      <c r="BQ166" s="140">
        <f t="array" ref="BQ166">IF(ISBLANK($A166),0,IF(OR(BQ$5-$AI166&lt;=0,$AM166="Não"),AF166,AF166+INDEX($AO$6:$BR$176,ROW()-5,COLUMN()-40-$AI166)))*IF($B166="Operacional",IFERROR(VLOOKUP($C166,SN_UGC,28,0),0),1)</f>
        <v>0</v>
      </c>
      <c r="BR166" s="140">
        <f t="array" ref="BR166">IF(ISBLANK($A166),0,IF(OR(BR$5-$AI166&lt;=0,$AM166="Não"),AG166,AG166+INDEX($AO$6:$BR$176,ROW()-5,COLUMN()-40-$AI166)))*IF($B166="Operacional",IFERROR(VLOOKUP($C166,SN_UGC,28,0),0),1)</f>
        <v>0</v>
      </c>
      <c r="BS166" s="141">
        <f t="shared" ref="BS166:CV166" si="833">IF(ISBLANK($A166),0,$AH166*AO166)</f>
        <v>0</v>
      </c>
      <c r="BT166" s="141">
        <f t="shared" si="833"/>
        <v>0</v>
      </c>
      <c r="BU166" s="141">
        <f t="shared" si="833"/>
        <v>0</v>
      </c>
      <c r="BV166" s="141">
        <f t="shared" si="833"/>
        <v>0</v>
      </c>
      <c r="BW166" s="141">
        <f t="shared" si="833"/>
        <v>0</v>
      </c>
      <c r="BX166" s="141">
        <f t="shared" si="833"/>
        <v>0</v>
      </c>
      <c r="BY166" s="141">
        <f t="shared" si="833"/>
        <v>0</v>
      </c>
      <c r="BZ166" s="141">
        <f t="shared" si="833"/>
        <v>0</v>
      </c>
      <c r="CA166" s="141">
        <f t="shared" si="833"/>
        <v>0</v>
      </c>
      <c r="CB166" s="141">
        <f t="shared" si="833"/>
        <v>0</v>
      </c>
      <c r="CC166" s="141">
        <f t="shared" si="833"/>
        <v>0</v>
      </c>
      <c r="CD166" s="141">
        <f t="shared" si="833"/>
        <v>0</v>
      </c>
      <c r="CE166" s="141">
        <f t="shared" si="833"/>
        <v>0</v>
      </c>
      <c r="CF166" s="141">
        <f t="shared" si="833"/>
        <v>0</v>
      </c>
      <c r="CG166" s="141">
        <f t="shared" si="833"/>
        <v>0</v>
      </c>
      <c r="CH166" s="141">
        <f t="shared" si="833"/>
        <v>0</v>
      </c>
      <c r="CI166" s="141">
        <f t="shared" si="833"/>
        <v>0</v>
      </c>
      <c r="CJ166" s="141">
        <f t="shared" si="833"/>
        <v>0</v>
      </c>
      <c r="CK166" s="141">
        <f t="shared" si="833"/>
        <v>0</v>
      </c>
      <c r="CL166" s="141">
        <f t="shared" si="833"/>
        <v>0</v>
      </c>
      <c r="CM166" s="141">
        <f t="shared" si="833"/>
        <v>0</v>
      </c>
      <c r="CN166" s="141">
        <f t="shared" si="833"/>
        <v>0</v>
      </c>
      <c r="CO166" s="141">
        <f t="shared" si="833"/>
        <v>0</v>
      </c>
      <c r="CP166" s="141">
        <f t="shared" si="833"/>
        <v>0</v>
      </c>
      <c r="CQ166" s="141">
        <f t="shared" si="833"/>
        <v>0</v>
      </c>
      <c r="CR166" s="141">
        <f t="shared" si="833"/>
        <v>0</v>
      </c>
      <c r="CS166" s="141">
        <f t="shared" si="833"/>
        <v>0</v>
      </c>
      <c r="CT166" s="141">
        <f t="shared" si="833"/>
        <v>0</v>
      </c>
      <c r="CU166" s="141">
        <f t="shared" si="833"/>
        <v>0</v>
      </c>
      <c r="CV166" s="141">
        <f t="shared" si="833"/>
        <v>0</v>
      </c>
      <c r="CW166" s="142">
        <f t="shared" ref="CW166:DZ166" si="834">EA166*$AH166*$AJ166</f>
        <v>0</v>
      </c>
      <c r="CX166" s="142">
        <f t="shared" si="834"/>
        <v>0</v>
      </c>
      <c r="CY166" s="142">
        <f t="shared" si="834"/>
        <v>0</v>
      </c>
      <c r="CZ166" s="142">
        <f t="shared" si="834"/>
        <v>0</v>
      </c>
      <c r="DA166" s="142">
        <f t="shared" si="834"/>
        <v>0</v>
      </c>
      <c r="DB166" s="142">
        <f t="shared" si="834"/>
        <v>0</v>
      </c>
      <c r="DC166" s="142">
        <f t="shared" si="834"/>
        <v>0</v>
      </c>
      <c r="DD166" s="142">
        <f t="shared" si="834"/>
        <v>0</v>
      </c>
      <c r="DE166" s="142">
        <f t="shared" si="834"/>
        <v>0</v>
      </c>
      <c r="DF166" s="142">
        <f t="shared" si="834"/>
        <v>0</v>
      </c>
      <c r="DG166" s="142">
        <f t="shared" si="834"/>
        <v>0</v>
      </c>
      <c r="DH166" s="142">
        <f t="shared" si="834"/>
        <v>0</v>
      </c>
      <c r="DI166" s="142">
        <f t="shared" si="834"/>
        <v>0</v>
      </c>
      <c r="DJ166" s="142">
        <f t="shared" si="834"/>
        <v>0</v>
      </c>
      <c r="DK166" s="142">
        <f t="shared" si="834"/>
        <v>0</v>
      </c>
      <c r="DL166" s="142">
        <f t="shared" si="834"/>
        <v>0</v>
      </c>
      <c r="DM166" s="142">
        <f t="shared" si="834"/>
        <v>0</v>
      </c>
      <c r="DN166" s="142">
        <f t="shared" si="834"/>
        <v>0</v>
      </c>
      <c r="DO166" s="142">
        <f t="shared" si="834"/>
        <v>0</v>
      </c>
      <c r="DP166" s="142">
        <f t="shared" si="834"/>
        <v>0</v>
      </c>
      <c r="DQ166" s="142">
        <f t="shared" si="834"/>
        <v>0</v>
      </c>
      <c r="DR166" s="142">
        <f t="shared" si="834"/>
        <v>0</v>
      </c>
      <c r="DS166" s="142">
        <f t="shared" si="834"/>
        <v>0</v>
      </c>
      <c r="DT166" s="142">
        <f t="shared" si="834"/>
        <v>0</v>
      </c>
      <c r="DU166" s="142">
        <f t="shared" si="834"/>
        <v>0</v>
      </c>
      <c r="DV166" s="142">
        <f t="shared" si="834"/>
        <v>0</v>
      </c>
      <c r="DW166" s="142">
        <f t="shared" si="834"/>
        <v>0</v>
      </c>
      <c r="DX166" s="142">
        <f t="shared" si="834"/>
        <v>0</v>
      </c>
      <c r="DY166" s="142">
        <f t="shared" si="834"/>
        <v>0</v>
      </c>
      <c r="DZ166" s="142">
        <f t="shared" si="834"/>
        <v>0</v>
      </c>
      <c r="EA166" s="143">
        <f t="shared" ref="EA166:EA176" si="835">IF(OR(EA$5-$AI166&lt;=0,ISBLANK($A166)),0,INDEX($AO$6:$BR$176,ROW()-5,COLUMN(AP166)-41-$AI166))</f>
        <v>0</v>
      </c>
      <c r="EB166" s="143">
        <f t="shared" ref="EB166:EB176" si="836">IF(OR(EB$5-$AI166&lt;=0,ISBLANK($A166)),0,INDEX($AO$6:$BR$176,ROW()-5,COLUMN(AQ166)-41-$AI166))</f>
        <v>0</v>
      </c>
      <c r="EC166" s="143">
        <f t="shared" ref="EC166:EC176" si="837">IF(OR(EC$5-$AI166&lt;=0,ISBLANK($A166)),0,INDEX($AO$6:$BR$176,ROW()-5,COLUMN(AR166)-41-$AI166))</f>
        <v>0</v>
      </c>
      <c r="ED166" s="143">
        <f t="shared" ref="ED166:ED176" si="838">IF(OR(ED$5-$AI166&lt;=0,ISBLANK($A166)),0,INDEX($AO$6:$BR$176,ROW()-5,COLUMN(AS166)-41-$AI166))</f>
        <v>0</v>
      </c>
      <c r="EE166" s="143">
        <f t="shared" ref="EE166:EE176" si="839">IF(OR(EE$5-$AI166&lt;=0,ISBLANK($A166)),0,INDEX($AO$6:$BR$176,ROW()-5,COLUMN(AT166)-41-$AI166))</f>
        <v>0</v>
      </c>
      <c r="EF166" s="143">
        <f t="shared" ref="EF166:EF176" si="840">IF(OR(EF$5-$AI166&lt;=0,ISBLANK($A166)),0,INDEX($AO$6:$BR$176,ROW()-5,COLUMN(AU166)-41-$AI166))</f>
        <v>0</v>
      </c>
      <c r="EG166" s="143">
        <f t="shared" ref="EG166:EG176" si="841">IF(OR(EG$5-$AI166&lt;=0,ISBLANK($A166)),0,INDEX($AO$6:$BR$176,ROW()-5,COLUMN(AV166)-41-$AI166))</f>
        <v>0</v>
      </c>
      <c r="EH166" s="143">
        <f t="shared" ref="EH166:EH176" si="842">IF(OR(EH$5-$AI166&lt;=0,ISBLANK($A166)),0,INDEX($AO$6:$BR$176,ROW()-5,COLUMN(AW166)-41-$AI166))</f>
        <v>0</v>
      </c>
      <c r="EI166" s="143">
        <f t="shared" ref="EI166:EI176" si="843">IF(OR(EI$5-$AI166&lt;=0,ISBLANK($A166)),0,INDEX($AO$6:$BR$176,ROW()-5,COLUMN(AX166)-41-$AI166))</f>
        <v>0</v>
      </c>
      <c r="EJ166" s="143">
        <f t="shared" ref="EJ166:EJ176" si="844">IF(OR(EJ$5-$AI166&lt;=0,ISBLANK($A166)),0,INDEX($AO$6:$BR$176,ROW()-5,COLUMN(AY166)-41-$AI166))</f>
        <v>0</v>
      </c>
      <c r="EK166" s="143">
        <f t="shared" ref="EK166:EK176" si="845">IF(OR(EK$5-$AI166&lt;=0,ISBLANK($A166)),0,INDEX($AO$6:$BR$176,ROW()-5,COLUMN(AZ166)-41-$AI166))</f>
        <v>0</v>
      </c>
      <c r="EL166" s="143">
        <f t="shared" ref="EL166:EL176" si="846">IF(OR(EL$5-$AI166&lt;=0,ISBLANK($A166)),0,INDEX($AO$6:$BR$176,ROW()-5,COLUMN(BA166)-41-$AI166))</f>
        <v>0</v>
      </c>
      <c r="EM166" s="143">
        <f t="shared" ref="EM166:EM176" si="847">IF(OR(EM$5-$AI166&lt;=0,ISBLANK($A166)),0,INDEX($AO$6:$BR$176,ROW()-5,COLUMN(BB166)-41-$AI166))</f>
        <v>0</v>
      </c>
      <c r="EN166" s="143">
        <f t="shared" ref="EN166:EN176" si="848">IF(OR(EN$5-$AI166&lt;=0,ISBLANK($A166)),0,INDEX($AO$6:$BR$176,ROW()-5,COLUMN(BC166)-41-$AI166))</f>
        <v>0</v>
      </c>
      <c r="EO166" s="143">
        <f t="shared" ref="EO166:EO176" si="849">IF(OR(EO$5-$AI166&lt;=0,ISBLANK($A166)),0,INDEX($AO$6:$BR$176,ROW()-5,COLUMN(BD166)-41-$AI166))</f>
        <v>0</v>
      </c>
      <c r="EP166" s="143">
        <f t="shared" ref="EP166:EP176" si="850">IF(OR(EP$5-$AI166&lt;=0,ISBLANK($A166)),0,INDEX($AO$6:$BR$176,ROW()-5,COLUMN(BE166)-41-$AI166))</f>
        <v>0</v>
      </c>
      <c r="EQ166" s="143">
        <f t="shared" ref="EQ166:EQ176" si="851">IF(OR(EQ$5-$AI166&lt;=0,ISBLANK($A166)),0,INDEX($AO$6:$BR$176,ROW()-5,COLUMN(BF166)-41-$AI166))</f>
        <v>0</v>
      </c>
      <c r="ER166" s="143">
        <f t="shared" ref="ER166:ER176" si="852">IF(OR(ER$5-$AI166&lt;=0,ISBLANK($A166)),0,INDEX($AO$6:$BR$176,ROW()-5,COLUMN(BG166)-41-$AI166))</f>
        <v>0</v>
      </c>
      <c r="ES166" s="143">
        <f t="shared" ref="ES166:ES176" si="853">IF(OR(ES$5-$AI166&lt;=0,ISBLANK($A166)),0,INDEX($AO$6:$BR$176,ROW()-5,COLUMN(BH166)-41-$AI166))</f>
        <v>0</v>
      </c>
      <c r="ET166" s="143">
        <f t="shared" ref="ET166:ET176" si="854">IF(OR(ET$5-$AI166&lt;=0,ISBLANK($A166)),0,INDEX($AO$6:$BR$176,ROW()-5,COLUMN(BI166)-41-$AI166))</f>
        <v>0</v>
      </c>
      <c r="EU166" s="143">
        <f t="shared" ref="EU166:EU176" si="855">IF(OR(EU$5-$AI166&lt;=0,ISBLANK($A166)),0,INDEX($AO$6:$BR$176,ROW()-5,COLUMN(BJ166)-41-$AI166))</f>
        <v>0</v>
      </c>
      <c r="EV166" s="143">
        <f t="shared" ref="EV166:EV176" si="856">IF(OR(EV$5-$AI166&lt;=0,ISBLANK($A166)),0,INDEX($AO$6:$BR$176,ROW()-5,COLUMN(BK166)-41-$AI166))</f>
        <v>0</v>
      </c>
      <c r="EW166" s="143">
        <f t="shared" ref="EW166:EW176" si="857">IF(OR(EW$5-$AI166&lt;=0,ISBLANK($A166)),0,INDEX($AO$6:$BR$176,ROW()-5,COLUMN(BL166)-41-$AI166))</f>
        <v>0</v>
      </c>
      <c r="EX166" s="143">
        <f t="shared" ref="EX166:EX176" si="858">IF(OR(EX$5-$AI166&lt;=0,ISBLANK($A166)),0,INDEX($AO$6:$BR$176,ROW()-5,COLUMN(BM166)-41-$AI166))</f>
        <v>0</v>
      </c>
      <c r="EY166" s="143">
        <f t="shared" ref="EY166:EY176" si="859">IF(OR(EY$5-$AI166&lt;=0,ISBLANK($A166)),0,INDEX($AO$6:$BR$176,ROW()-5,COLUMN(BN166)-41-$AI166))</f>
        <v>0</v>
      </c>
      <c r="EZ166" s="143">
        <f t="shared" ref="EZ166:EZ176" si="860">IF(OR(EZ$5-$AI166&lt;=0,ISBLANK($A166)),0,INDEX($AO$6:$BR$176,ROW()-5,COLUMN(BO166)-41-$AI166))</f>
        <v>0</v>
      </c>
      <c r="FA166" s="143">
        <f t="shared" ref="FA166:FA176" si="861">IF(OR(FA$5-$AI166&lt;=0,ISBLANK($A166)),0,INDEX($AO$6:$BR$176,ROW()-5,COLUMN(BP166)-41-$AI166))</f>
        <v>0</v>
      </c>
      <c r="FB166" s="143">
        <f t="shared" ref="FB166:FB176" si="862">IF(OR(FB$5-$AI166&lt;=0,ISBLANK($A166)),0,INDEX($AO$6:$BR$176,ROW()-5,COLUMN(BQ166)-41-$AI166))</f>
        <v>0</v>
      </c>
      <c r="FC166" s="143">
        <f t="shared" ref="FC166:FC176" si="863">IF(OR(FC$5-$AI166&lt;=0,ISBLANK($A166)),0,INDEX($AO$6:$BR$176,ROW()-5,COLUMN(BR166)-41-$AI166))</f>
        <v>0</v>
      </c>
      <c r="FD166" s="143">
        <f t="shared" ref="FD166:FD176" si="864">IF(OR(FD$5-$AI166&lt;=0,ISBLANK($A166)),0,INDEX($AO$6:$BR$176,ROW()-5,COLUMN(BS166)-41-$AI166))</f>
        <v>0</v>
      </c>
      <c r="FE166" s="140">
        <f>SUM($D166:D166)*IF($B166="Operacional",IFERROR(VLOOKUP($C166,SN_UGC,28,0),0),1)</f>
        <v>0</v>
      </c>
      <c r="FF166" s="140">
        <f>SUM($D166:E166)*IF($B166="Operacional",IFERROR(VLOOKUP($C166,SN_UGC,28,0),0),1)</f>
        <v>0</v>
      </c>
      <c r="FG166" s="140">
        <f>SUM($D166:F166)*IF($B166="Operacional",IFERROR(VLOOKUP($C166,SN_UGC,28,0),0),1)</f>
        <v>0</v>
      </c>
      <c r="FH166" s="140">
        <f>SUM($D166:G166)*IF($B166="Operacional",IFERROR(VLOOKUP($C166,SN_UGC,28,0),0),1)</f>
        <v>0</v>
      </c>
      <c r="FI166" s="140">
        <f>SUM($D166:H166)*IF($B166="Operacional",IFERROR(VLOOKUP($C166,SN_UGC,28,0),0),1)</f>
        <v>0</v>
      </c>
      <c r="FJ166" s="140">
        <f>SUM($D166:I166)*IF($B166="Operacional",IFERROR(VLOOKUP($C166,SN_UGC,28,0),0),1)</f>
        <v>0</v>
      </c>
      <c r="FK166" s="140">
        <f>SUM($D166:J166)*IF($B166="Operacional",IFERROR(VLOOKUP($C166,SN_UGC,28,0),0),1)</f>
        <v>0</v>
      </c>
      <c r="FL166" s="140">
        <f>SUM($D166:K166)*IF($B166="Operacional",IFERROR(VLOOKUP($C166,SN_UGC,28,0),0),1)</f>
        <v>0</v>
      </c>
      <c r="FM166" s="140">
        <f>SUM($D166:L166)*IF($B166="Operacional",IFERROR(VLOOKUP($C166,SN_UGC,28,0),0),1)</f>
        <v>0</v>
      </c>
      <c r="FN166" s="140">
        <f>SUM($D166:M166)*IF($B166="Operacional",IFERROR(VLOOKUP($C166,SN_UGC,28,0),0),1)</f>
        <v>0</v>
      </c>
      <c r="FO166" s="140">
        <f>SUM($D166:N166)*IF($B166="Operacional",IFERROR(VLOOKUP($C166,SN_UGC,28,0),0),1)</f>
        <v>0</v>
      </c>
      <c r="FP166" s="140">
        <f>SUM($D166:O166)*IF($B166="Operacional",IFERROR(VLOOKUP($C166,SN_UGC,28,0),0),1)</f>
        <v>0</v>
      </c>
      <c r="FQ166" s="140">
        <f>SUM($D166:P166)*IF($B166="Operacional",IFERROR(VLOOKUP($C166,SN_UGC,28,0),0),1)</f>
        <v>0</v>
      </c>
      <c r="FR166" s="140">
        <f>SUM($D166:Q166)*IF($B166="Operacional",IFERROR(VLOOKUP($C166,SN_UGC,28,0),0),1)</f>
        <v>0</v>
      </c>
      <c r="FS166" s="140">
        <f>SUM($D166:R166)*IF($B166="Operacional",IFERROR(VLOOKUP($C166,SN_UGC,28,0),0),1)</f>
        <v>0</v>
      </c>
      <c r="FT166" s="140">
        <f>SUM($D166:S166)*IF($B166="Operacional",IFERROR(VLOOKUP($C166,SN_UGC,28,0),0),1)</f>
        <v>0</v>
      </c>
      <c r="FU166" s="140">
        <f>SUM($D166:T166)*IF($B166="Operacional",IFERROR(VLOOKUP($C166,SN_UGC,28,0),0),1)</f>
        <v>0</v>
      </c>
      <c r="FV166" s="140">
        <f>SUM($D166:U166)*IF($B166="Operacional",IFERROR(VLOOKUP($C166,SN_UGC,28,0),0),1)</f>
        <v>0</v>
      </c>
      <c r="FW166" s="140">
        <f>SUM($D166:V166)*IF($B166="Operacional",IFERROR(VLOOKUP($C166,SN_UGC,28,0),0),1)</f>
        <v>0</v>
      </c>
      <c r="FX166" s="140">
        <f>SUM($D166:W166)*IF($B166="Operacional",IFERROR(VLOOKUP($C166,SN_UGC,28,0),0),1)</f>
        <v>0</v>
      </c>
      <c r="FY166" s="140">
        <f>SUM($D166:X166)*IF($B166="Operacional",IFERROR(VLOOKUP($C166,SN_UGC,28,0),0),1)</f>
        <v>0</v>
      </c>
      <c r="FZ166" s="140">
        <f>SUM($D166:Y166)*IF($B166="Operacional",IFERROR(VLOOKUP($C166,SN_UGC,28,0),0),1)</f>
        <v>0</v>
      </c>
      <c r="GA166" s="140">
        <f>SUM($D166:Z166)*IF($B166="Operacional",IFERROR(VLOOKUP($C166,SN_UGC,28,0),0),1)</f>
        <v>0</v>
      </c>
      <c r="GB166" s="140">
        <f>SUM($D166:AA166)*IF($B166="Operacional",IFERROR(VLOOKUP($C166,SN_UGC,28,0),0),1)</f>
        <v>0</v>
      </c>
      <c r="GC166" s="140">
        <f>SUM($D166:AB166)*IF($B166="Operacional",IFERROR(VLOOKUP($C166,SN_UGC,28,0),0),1)</f>
        <v>0</v>
      </c>
      <c r="GD166" s="140">
        <f>SUM($D166:AC166)*IF($B166="Operacional",IFERROR(VLOOKUP($C166,SN_UGC,28,0),0),1)</f>
        <v>0</v>
      </c>
      <c r="GE166" s="140">
        <f>SUM($D166:AD166)*IF($B166="Operacional",IFERROR(VLOOKUP($C166,SN_UGC,28,0),0),1)</f>
        <v>0</v>
      </c>
      <c r="GF166" s="140">
        <f>SUM($D166:AE166)*IF($B166="Operacional",IFERROR(VLOOKUP($C166,SN_UGC,28,0),0),1)</f>
        <v>0</v>
      </c>
      <c r="GG166" s="140">
        <f>SUM($D166:AF166)*IF($B166="Operacional",IFERROR(VLOOKUP($C166,SN_UGC,28,0),0),1)</f>
        <v>0</v>
      </c>
      <c r="GH166" s="140">
        <f>SUM($D166:AG166)*IF($B166="Operacional",IFERROR(VLOOKUP($C166,SN_UGC,28,0),0),1)</f>
        <v>0</v>
      </c>
      <c r="GI166" s="141">
        <f t="shared" ref="GI166:HL166" si="865">FE166*$AH166*$AL166</f>
        <v>0</v>
      </c>
      <c r="GJ166" s="141">
        <f t="shared" si="865"/>
        <v>0</v>
      </c>
      <c r="GK166" s="141">
        <f t="shared" si="865"/>
        <v>0</v>
      </c>
      <c r="GL166" s="141">
        <f t="shared" si="865"/>
        <v>0</v>
      </c>
      <c r="GM166" s="141">
        <f t="shared" si="865"/>
        <v>0</v>
      </c>
      <c r="GN166" s="141">
        <f t="shared" si="865"/>
        <v>0</v>
      </c>
      <c r="GO166" s="141">
        <f t="shared" si="865"/>
        <v>0</v>
      </c>
      <c r="GP166" s="141">
        <f t="shared" si="865"/>
        <v>0</v>
      </c>
      <c r="GQ166" s="141">
        <f t="shared" si="865"/>
        <v>0</v>
      </c>
      <c r="GR166" s="141">
        <f t="shared" si="865"/>
        <v>0</v>
      </c>
      <c r="GS166" s="141">
        <f t="shared" si="865"/>
        <v>0</v>
      </c>
      <c r="GT166" s="141">
        <f t="shared" si="865"/>
        <v>0</v>
      </c>
      <c r="GU166" s="141">
        <f t="shared" si="865"/>
        <v>0</v>
      </c>
      <c r="GV166" s="141">
        <f t="shared" si="865"/>
        <v>0</v>
      </c>
      <c r="GW166" s="141">
        <f t="shared" si="865"/>
        <v>0</v>
      </c>
      <c r="GX166" s="141">
        <f t="shared" si="865"/>
        <v>0</v>
      </c>
      <c r="GY166" s="141">
        <f t="shared" si="865"/>
        <v>0</v>
      </c>
      <c r="GZ166" s="141">
        <f t="shared" si="865"/>
        <v>0</v>
      </c>
      <c r="HA166" s="141">
        <f t="shared" si="865"/>
        <v>0</v>
      </c>
      <c r="HB166" s="141">
        <f t="shared" si="865"/>
        <v>0</v>
      </c>
      <c r="HC166" s="141">
        <f t="shared" si="865"/>
        <v>0</v>
      </c>
      <c r="HD166" s="141">
        <f t="shared" si="865"/>
        <v>0</v>
      </c>
      <c r="HE166" s="141">
        <f t="shared" si="865"/>
        <v>0</v>
      </c>
      <c r="HF166" s="141">
        <f t="shared" si="865"/>
        <v>0</v>
      </c>
      <c r="HG166" s="141">
        <f t="shared" si="865"/>
        <v>0</v>
      </c>
      <c r="HH166" s="141">
        <f t="shared" si="865"/>
        <v>0</v>
      </c>
      <c r="HI166" s="141">
        <f t="shared" si="865"/>
        <v>0</v>
      </c>
      <c r="HJ166" s="141">
        <f t="shared" si="865"/>
        <v>0</v>
      </c>
      <c r="HK166" s="141">
        <f t="shared" si="865"/>
        <v>0</v>
      </c>
      <c r="HL166" s="141">
        <f t="shared" si="865"/>
        <v>0</v>
      </c>
      <c r="HM166" s="142">
        <f t="shared" ref="HM166:IP166" si="866">IF(ISBLANK($A166),,FE166*($AH166-($AH166*$AJ166))/$AI166)</f>
        <v>0</v>
      </c>
      <c r="HN166" s="142">
        <f t="shared" si="866"/>
        <v>0</v>
      </c>
      <c r="HO166" s="142">
        <f t="shared" si="866"/>
        <v>0</v>
      </c>
      <c r="HP166" s="142">
        <f t="shared" si="866"/>
        <v>0</v>
      </c>
      <c r="HQ166" s="142">
        <f t="shared" si="866"/>
        <v>0</v>
      </c>
      <c r="HR166" s="142">
        <f t="shared" si="866"/>
        <v>0</v>
      </c>
      <c r="HS166" s="142">
        <f t="shared" si="866"/>
        <v>0</v>
      </c>
      <c r="HT166" s="142">
        <f t="shared" si="866"/>
        <v>0</v>
      </c>
      <c r="HU166" s="142">
        <f t="shared" si="866"/>
        <v>0</v>
      </c>
      <c r="HV166" s="142">
        <f t="shared" si="866"/>
        <v>0</v>
      </c>
      <c r="HW166" s="142">
        <f t="shared" si="866"/>
        <v>0</v>
      </c>
      <c r="HX166" s="142">
        <f t="shared" si="866"/>
        <v>0</v>
      </c>
      <c r="HY166" s="142">
        <f t="shared" si="866"/>
        <v>0</v>
      </c>
      <c r="HZ166" s="142">
        <f t="shared" si="866"/>
        <v>0</v>
      </c>
      <c r="IA166" s="142">
        <f t="shared" si="866"/>
        <v>0</v>
      </c>
      <c r="IB166" s="142">
        <f t="shared" si="866"/>
        <v>0</v>
      </c>
      <c r="IC166" s="142">
        <f t="shared" si="866"/>
        <v>0</v>
      </c>
      <c r="ID166" s="142">
        <f t="shared" si="866"/>
        <v>0</v>
      </c>
      <c r="IE166" s="142">
        <f t="shared" si="866"/>
        <v>0</v>
      </c>
      <c r="IF166" s="142">
        <f t="shared" si="866"/>
        <v>0</v>
      </c>
      <c r="IG166" s="142">
        <f t="shared" si="866"/>
        <v>0</v>
      </c>
      <c r="IH166" s="142">
        <f t="shared" si="866"/>
        <v>0</v>
      </c>
      <c r="II166" s="142">
        <f t="shared" si="866"/>
        <v>0</v>
      </c>
      <c r="IJ166" s="142">
        <f t="shared" si="866"/>
        <v>0</v>
      </c>
      <c r="IK166" s="142">
        <f t="shared" si="866"/>
        <v>0</v>
      </c>
      <c r="IL166" s="142">
        <f t="shared" si="866"/>
        <v>0</v>
      </c>
      <c r="IM166" s="142">
        <f t="shared" si="866"/>
        <v>0</v>
      </c>
      <c r="IN166" s="142">
        <f t="shared" si="866"/>
        <v>0</v>
      </c>
      <c r="IO166" s="142">
        <f t="shared" si="866"/>
        <v>0</v>
      </c>
      <c r="IP166" s="142">
        <f t="shared" si="866"/>
        <v>0</v>
      </c>
      <c r="IQ166" s="141">
        <f>IF(ISBLANK($A166),,IF($AN166="Não",0,(SUM($AO166:AO166)*$AH166)-SUM($HM166:HM166)-SUM($CW166:CW166)))</f>
        <v>0</v>
      </c>
      <c r="IR166" s="141">
        <f>IF(ISBLANK($A166),,IF($AN166="Não",0,(SUM($AO166:AP166)*$AH166)-SUM($HM166:HN166)-SUM($CW166:CX166)))</f>
        <v>0</v>
      </c>
      <c r="IS166" s="141">
        <f>IF(ISBLANK($A166),,IF($AN166="Não",0,(SUM($AO166:AQ166)*$AH166)-SUM($HM166:HO166)-SUM($CW166:CY166)))</f>
        <v>0</v>
      </c>
      <c r="IT166" s="141">
        <f>IF(ISBLANK($A166),,IF($AN166="Não",0,(SUM($AO166:AR166)*$AH166)-SUM($HM166:HP166)-SUM($CW166:CZ166)))</f>
        <v>0</v>
      </c>
      <c r="IU166" s="141">
        <f>IF(ISBLANK($A166),,IF($AN166="Não",0,(SUM($AO166:AS166)*$AH166)-SUM($HM166:HQ166)-SUM($CW166:DA166)))</f>
        <v>0</v>
      </c>
      <c r="IV166" s="141">
        <f>IF(ISBLANK($A166),,IF($AN166="Não",0,(SUM($AO166:AT166)*$AH166)-SUM($HM166:HR166)-SUM($CW166:DB166)))</f>
        <v>0</v>
      </c>
      <c r="IW166" s="141">
        <f>IF(ISBLANK($A166),,IF($AN166="Não",0,(SUM($AO166:AU166)*$AH166)-SUM($HM166:HS166)-SUM($CW166:DC166)))</f>
        <v>0</v>
      </c>
      <c r="IX166" s="141">
        <f>IF(ISBLANK($A166),,IF($AN166="Não",0,(SUM($AO166:AV166)*$AH166)-SUM($HM166:HT166)-SUM($CW166:DD166)))</f>
        <v>0</v>
      </c>
      <c r="IY166" s="141">
        <f>IF(ISBLANK($A166),,IF($AN166="Não",0,(SUM($AO166:AW166)*$AH166)-SUM($HM166:HU166)-SUM($CW166:DE166)))</f>
        <v>0</v>
      </c>
      <c r="IZ166" s="141">
        <f>IF(ISBLANK($A166),,IF($AN166="Não",0,(SUM($AO166:AX166)*$AH166)-SUM($HM166:HV166)-SUM($CW166:DF166)))</f>
        <v>0</v>
      </c>
      <c r="JA166" s="141">
        <f>IF(ISBLANK($A166),,IF($AN166="Não",0,(SUM($AO166:AY166)*$AH166)-SUM($HM166:HW166)-SUM($CW166:DG166)))</f>
        <v>0</v>
      </c>
      <c r="JB166" s="141">
        <f>IF(ISBLANK($A166),,IF($AN166="Não",0,(SUM($AO166:AZ166)*$AH166)-SUM($HM166:HX166)-SUM($CW166:DH166)))</f>
        <v>0</v>
      </c>
      <c r="JC166" s="141">
        <f>IF(ISBLANK($A166),,IF($AN166="Não",0,(SUM($AO166:BA166)*$AH166)-SUM($HM166:HY166)-SUM($CW166:DI166)))</f>
        <v>0</v>
      </c>
      <c r="JD166" s="141">
        <f>IF(ISBLANK($A166),,IF($AN166="Não",0,(SUM($AO166:BB166)*$AH166)-SUM($HM166:HZ166)-SUM($CW166:DJ166)))</f>
        <v>0</v>
      </c>
      <c r="JE166" s="141">
        <f>IF(ISBLANK($A166),,IF($AN166="Não",0,(SUM($AO166:BC166)*$AH166)-SUM($HM166:IA166)-SUM($CW166:DK166)))</f>
        <v>0</v>
      </c>
      <c r="JF166" s="141">
        <f>IF(ISBLANK($A166),,IF($AN166="Não",0,(SUM($AO166:BD166)*$AH166)-SUM($HM166:IB166)-SUM($CW166:DL166)))</f>
        <v>0</v>
      </c>
      <c r="JG166" s="141">
        <f>IF(ISBLANK($A166),,IF($AN166="Não",0,(SUM($AO166:BE166)*$AH166)-SUM($HM166:IC166)-SUM($CW166:DM166)))</f>
        <v>0</v>
      </c>
      <c r="JH166" s="141">
        <f>IF(ISBLANK($A166),,IF($AN166="Não",0,(SUM($AO166:BF166)*$AH166)-SUM($HM166:ID166)-SUM($CW166:DN166)))</f>
        <v>0</v>
      </c>
      <c r="JI166" s="141">
        <f>IF(ISBLANK($A166),,IF($AN166="Não",0,(SUM($AO166:BG166)*$AH166)-SUM($HM166:IE166)-SUM($CW166:DO166)))</f>
        <v>0</v>
      </c>
      <c r="JJ166" s="141">
        <f>IF(ISBLANK($A166),,IF($AN166="Não",0,(SUM($AO166:BH166)*$AH166)-SUM($HM166:IF166)-SUM($CW166:DP166)))</f>
        <v>0</v>
      </c>
      <c r="JK166" s="141">
        <f>IF(ISBLANK($A166),,IF($AN166="Não",0,(SUM($AO166:BI166)*$AH166)-SUM($HM166:IG166)-SUM($CW166:DQ166)))</f>
        <v>0</v>
      </c>
      <c r="JL166" s="141">
        <f>IF(ISBLANK($A166),,IF($AN166="Não",0,(SUM($AO166:BJ166)*$AH166)-SUM($HM166:IH166)-SUM($CW166:DR166)))</f>
        <v>0</v>
      </c>
      <c r="JM166" s="141">
        <f>IF(ISBLANK($A166),,IF($AN166="Não",0,(SUM($AO166:BK166)*$AH166)-SUM($HM166:II166)-SUM($CW166:DS166)))</f>
        <v>0</v>
      </c>
      <c r="JN166" s="141">
        <f>IF(ISBLANK($A166),,IF($AN166="Não",0,(SUM($AO166:BL166)*$AH166)-SUM($HM166:IJ166)-SUM($CW166:DT166)))</f>
        <v>0</v>
      </c>
      <c r="JO166" s="141">
        <f>IF(ISBLANK($A166),,IF($AN166="Não",0,(SUM($AO166:BM166)*$AH166)-SUM($HM166:IK166)-SUM($CW166:DU166)))</f>
        <v>0</v>
      </c>
      <c r="JP166" s="141">
        <f>IF(ISBLANK($A166),,IF($AN166="Não",0,(SUM($AO166:BN166)*$AH166)-SUM($HM166:IL166)-SUM($CW166:DV166)))</f>
        <v>0</v>
      </c>
      <c r="JQ166" s="141">
        <f>IF(ISBLANK($A166),,IF($AN166="Não",0,(SUM($AO166:BO166)*$AH166)-SUM($HM166:IM166)-SUM($CW166:DW166)))</f>
        <v>0</v>
      </c>
      <c r="JR166" s="141">
        <f>IF(ISBLANK($A166),,IF($AN166="Não",0,(SUM($AO166:BP166)*$AH166)-SUM($HM166:IN166)-SUM($CW166:DX166)))</f>
        <v>0</v>
      </c>
      <c r="JS166" s="141">
        <f>IF(ISBLANK($A166),,IF($AN166="Não",0,(SUM($AO166:BQ166)*$AH166)-SUM($HM166:IO166)-SUM($CW166:DY166)))</f>
        <v>0</v>
      </c>
      <c r="JT166" s="141">
        <f>IF(ISBLANK($A166),,IF($AN166="Não",0,(SUM($AO166:BR166)*$AH166)-SUM($HM166:IP166)-SUM($CW166:DZ166)))</f>
        <v>0</v>
      </c>
    </row>
    <row r="167" spans="1:280" ht="15.75" customHeight="1">
      <c r="A167" s="129"/>
      <c r="B167" s="129"/>
      <c r="C167" s="138"/>
      <c r="D167" s="139"/>
      <c r="E167" s="139"/>
      <c r="F167" s="139"/>
      <c r="G167" s="139"/>
      <c r="H167" s="139"/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607">
        <f t="shared" si="710"/>
        <v>0</v>
      </c>
      <c r="AI167" s="608">
        <f t="shared" si="711"/>
        <v>0</v>
      </c>
      <c r="AJ167" s="609">
        <f t="shared" si="712"/>
        <v>0</v>
      </c>
      <c r="AK167" s="610" t="str">
        <f t="shared" si="713"/>
        <v/>
      </c>
      <c r="AL167" s="609">
        <f t="shared" si="714"/>
        <v>0</v>
      </c>
      <c r="AM167" s="611" t="str">
        <f t="shared" si="715"/>
        <v/>
      </c>
      <c r="AN167" s="611" t="str">
        <f t="shared" si="716"/>
        <v/>
      </c>
      <c r="AO167" s="140">
        <f t="array" ref="AO167">IF(ISBLANK($A167),0,IF(OR(AO$5-$AI167&lt;=0,$AM167="Não"),D167,D167+INDEX($AO$6:$BR$176,ROW()-5,COLUMN()-40-$AI167)))*IF($B167="Operacional",IFERROR(VLOOKUP($C167,SN_UGC,28,0),0),1)</f>
        <v>0</v>
      </c>
      <c r="AP167" s="140">
        <f t="array" ref="AP167">IF(ISBLANK($A167),0,IF(OR(AP$5-$AI167&lt;=0,$AM167="Não"),E167,E167+INDEX($AO$6:$BR$176,ROW()-5,COLUMN()-40-$AI167)))*IF($B167="Operacional",IFERROR(VLOOKUP($C167,SN_UGC,28,0),0),1)</f>
        <v>0</v>
      </c>
      <c r="AQ167" s="140">
        <f t="array" ref="AQ167">IF(ISBLANK($A167),0,IF(OR(AQ$5-$AI167&lt;=0,$AM167="Não"),F167,F167+INDEX($AO$6:$BR$176,ROW()-5,COLUMN()-40-$AI167)))*IF($B167="Operacional",IFERROR(VLOOKUP($C167,SN_UGC,28,0),0),1)</f>
        <v>0</v>
      </c>
      <c r="AR167" s="140">
        <f t="array" ref="AR167">IF(ISBLANK($A167),0,IF(OR(AR$5-$AI167&lt;=0,$AM167="Não"),G167,G167+INDEX($AO$6:$BR$176,ROW()-5,COLUMN()-40-$AI167)))*IF($B167="Operacional",IFERROR(VLOOKUP($C167,SN_UGC,28,0),0),1)</f>
        <v>0</v>
      </c>
      <c r="AS167" s="140">
        <f t="array" ref="AS167">IF(ISBLANK($A167),0,IF(OR(AS$5-$AI167&lt;=0,$AM167="Não"),H167,H167+INDEX($AO$6:$BR$176,ROW()-5,COLUMN()-40-$AI167)))*IF($B167="Operacional",IFERROR(VLOOKUP($C167,SN_UGC,28,0),0),1)</f>
        <v>0</v>
      </c>
      <c r="AT167" s="140">
        <f t="array" ref="AT167">IF(ISBLANK($A167),0,IF(OR(AT$5-$AI167&lt;=0,$AM167="Não"),I167,I167+INDEX($AO$6:$BR$176,ROW()-5,COLUMN()-40-$AI167)))*IF($B167="Operacional",IFERROR(VLOOKUP($C167,SN_UGC,28,0),0),1)</f>
        <v>0</v>
      </c>
      <c r="AU167" s="140">
        <f t="array" ref="AU167">IF(ISBLANK($A167),0,IF(OR(AU$5-$AI167&lt;=0,$AM167="Não"),J167,J167+INDEX($AO$6:$BR$176,ROW()-5,COLUMN()-40-$AI167)))*IF($B167="Operacional",IFERROR(VLOOKUP($C167,SN_UGC,28,0),0),1)</f>
        <v>0</v>
      </c>
      <c r="AV167" s="140">
        <f t="array" ref="AV167">IF(ISBLANK($A167),0,IF(OR(AV$5-$AI167&lt;=0,$AM167="Não"),K167,K167+INDEX($AO$6:$BR$176,ROW()-5,COLUMN()-40-$AI167)))*IF($B167="Operacional",IFERROR(VLOOKUP($C167,SN_UGC,28,0),0),1)</f>
        <v>0</v>
      </c>
      <c r="AW167" s="140">
        <f t="array" ref="AW167">IF(ISBLANK($A167),0,IF(OR(AW$5-$AI167&lt;=0,$AM167="Não"),L167,L167+INDEX($AO$6:$BR$176,ROW()-5,COLUMN()-40-$AI167)))*IF($B167="Operacional",IFERROR(VLOOKUP($C167,SN_UGC,28,0),0),1)</f>
        <v>0</v>
      </c>
      <c r="AX167" s="140">
        <f t="array" ref="AX167">IF(ISBLANK($A167),0,IF(OR(AX$5-$AI167&lt;=0,$AM167="Não"),M167,M167+INDEX($AO$6:$BR$176,ROW()-5,COLUMN()-40-$AI167)))*IF($B167="Operacional",IFERROR(VLOOKUP($C167,SN_UGC,28,0),0),1)</f>
        <v>0</v>
      </c>
      <c r="AY167" s="140">
        <f t="array" ref="AY167">IF(ISBLANK($A167),0,IF(OR(AY$5-$AI167&lt;=0,$AM167="Não"),N167,N167+INDEX($AO$6:$BR$176,ROW()-5,COLUMN()-40-$AI167)))*IF($B167="Operacional",IFERROR(VLOOKUP($C167,SN_UGC,28,0),0),1)</f>
        <v>0</v>
      </c>
      <c r="AZ167" s="140">
        <f t="array" ref="AZ167">IF(ISBLANK($A167),0,IF(OR(AZ$5-$AI167&lt;=0,$AM167="Não"),O167,O167+INDEX($AO$6:$BR$176,ROW()-5,COLUMN()-40-$AI167)))*IF($B167="Operacional",IFERROR(VLOOKUP($C167,SN_UGC,28,0),0),1)</f>
        <v>0</v>
      </c>
      <c r="BA167" s="140">
        <f t="array" ref="BA167">IF(ISBLANK($A167),0,IF(OR(BA$5-$AI167&lt;=0,$AM167="Não"),P167,P167+INDEX($AO$6:$BR$176,ROW()-5,COLUMN()-40-$AI167)))*IF($B167="Operacional",IFERROR(VLOOKUP($C167,SN_UGC,28,0),0),1)</f>
        <v>0</v>
      </c>
      <c r="BB167" s="140">
        <f t="array" ref="BB167">IF(ISBLANK($A167),0,IF(OR(BB$5-$AI167&lt;=0,$AM167="Não"),Q167,Q167+INDEX($AO$6:$BR$176,ROW()-5,COLUMN()-40-$AI167)))*IF($B167="Operacional",IFERROR(VLOOKUP($C167,SN_UGC,28,0),0),1)</f>
        <v>0</v>
      </c>
      <c r="BC167" s="140">
        <f t="array" ref="BC167">IF(ISBLANK($A167),0,IF(OR(BC$5-$AI167&lt;=0,$AM167="Não"),R167,R167+INDEX($AO$6:$BR$176,ROW()-5,COLUMN()-40-$AI167)))*IF($B167="Operacional",IFERROR(VLOOKUP($C167,SN_UGC,28,0),0),1)</f>
        <v>0</v>
      </c>
      <c r="BD167" s="140">
        <f t="array" ref="BD167">IF(ISBLANK($A167),0,IF(OR(BD$5-$AI167&lt;=0,$AM167="Não"),S167,S167+INDEX($AO$6:$BR$176,ROW()-5,COLUMN()-40-$AI167)))*IF($B167="Operacional",IFERROR(VLOOKUP($C167,SN_UGC,28,0),0),1)</f>
        <v>0</v>
      </c>
      <c r="BE167" s="140">
        <f t="array" ref="BE167">IF(ISBLANK($A167),0,IF(OR(BE$5-$AI167&lt;=0,$AM167="Não"),T167,T167+INDEX($AO$6:$BR$176,ROW()-5,COLUMN()-40-$AI167)))*IF($B167="Operacional",IFERROR(VLOOKUP($C167,SN_UGC,28,0),0),1)</f>
        <v>0</v>
      </c>
      <c r="BF167" s="140">
        <f t="array" ref="BF167">IF(ISBLANK($A167),0,IF(OR(BF$5-$AI167&lt;=0,$AM167="Não"),U167,U167+INDEX($AO$6:$BR$176,ROW()-5,COLUMN()-40-$AI167)))*IF($B167="Operacional",IFERROR(VLOOKUP($C167,SN_UGC,28,0),0),1)</f>
        <v>0</v>
      </c>
      <c r="BG167" s="140">
        <f t="array" ref="BG167">IF(ISBLANK($A167),0,IF(OR(BG$5-$AI167&lt;=0,$AM167="Não"),V167,V167+INDEX($AO$6:$BR$176,ROW()-5,COLUMN()-40-$AI167)))*IF($B167="Operacional",IFERROR(VLOOKUP($C167,SN_UGC,28,0),0),1)</f>
        <v>0</v>
      </c>
      <c r="BH167" s="140">
        <f t="array" ref="BH167">IF(ISBLANK($A167),0,IF(OR(BH$5-$AI167&lt;=0,$AM167="Não"),W167,W167+INDEX($AO$6:$BR$176,ROW()-5,COLUMN()-40-$AI167)))*IF($B167="Operacional",IFERROR(VLOOKUP($C167,SN_UGC,28,0),0),1)</f>
        <v>0</v>
      </c>
      <c r="BI167" s="140">
        <f t="array" ref="BI167">IF(ISBLANK($A167),0,IF(OR(BI$5-$AI167&lt;=0,$AM167="Não"),X167,X167+INDEX($AO$6:$BR$176,ROW()-5,COLUMN()-40-$AI167)))*IF($B167="Operacional",IFERROR(VLOOKUP($C167,SN_UGC,28,0),0),1)</f>
        <v>0</v>
      </c>
      <c r="BJ167" s="140">
        <f t="array" ref="BJ167">IF(ISBLANK($A167),0,IF(OR(BJ$5-$AI167&lt;=0,$AM167="Não"),Y167,Y167+INDEX($AO$6:$BR$176,ROW()-5,COLUMN()-40-$AI167)))*IF($B167="Operacional",IFERROR(VLOOKUP($C167,SN_UGC,28,0),0),1)</f>
        <v>0</v>
      </c>
      <c r="BK167" s="140">
        <f t="array" ref="BK167">IF(ISBLANK($A167),0,IF(OR(BK$5-$AI167&lt;=0,$AM167="Não"),Z167,Z167+INDEX($AO$6:$BR$176,ROW()-5,COLUMN()-40-$AI167)))*IF($B167="Operacional",IFERROR(VLOOKUP($C167,SN_UGC,28,0),0),1)</f>
        <v>0</v>
      </c>
      <c r="BL167" s="140">
        <f t="array" ref="BL167">IF(ISBLANK($A167),0,IF(OR(BL$5-$AI167&lt;=0,$AM167="Não"),AA167,AA167+INDEX($AO$6:$BR$176,ROW()-5,COLUMN()-40-$AI167)))*IF($B167="Operacional",IFERROR(VLOOKUP($C167,SN_UGC,28,0),0),1)</f>
        <v>0</v>
      </c>
      <c r="BM167" s="140">
        <f t="array" ref="BM167">IF(ISBLANK($A167),0,IF(OR(BM$5-$AI167&lt;=0,$AM167="Não"),AB167,AB167+INDEX($AO$6:$BR$176,ROW()-5,COLUMN()-40-$AI167)))*IF($B167="Operacional",IFERROR(VLOOKUP($C167,SN_UGC,28,0),0),1)</f>
        <v>0</v>
      </c>
      <c r="BN167" s="140">
        <f t="array" ref="BN167">IF(ISBLANK($A167),0,IF(OR(BN$5-$AI167&lt;=0,$AM167="Não"),AC167,AC167+INDEX($AO$6:$BR$176,ROW()-5,COLUMN()-40-$AI167)))*IF($B167="Operacional",IFERROR(VLOOKUP($C167,SN_UGC,28,0),0),1)</f>
        <v>0</v>
      </c>
      <c r="BO167" s="140">
        <f t="array" ref="BO167">IF(ISBLANK($A167),0,IF(OR(BO$5-$AI167&lt;=0,$AM167="Não"),AD167,AD167+INDEX($AO$6:$BR$176,ROW()-5,COLUMN()-40-$AI167)))*IF($B167="Operacional",IFERROR(VLOOKUP($C167,SN_UGC,28,0),0),1)</f>
        <v>0</v>
      </c>
      <c r="BP167" s="140">
        <f t="array" ref="BP167">IF(ISBLANK($A167),0,IF(OR(BP$5-$AI167&lt;=0,$AM167="Não"),AE167,AE167+INDEX($AO$6:$BR$176,ROW()-5,COLUMN()-40-$AI167)))*IF($B167="Operacional",IFERROR(VLOOKUP($C167,SN_UGC,28,0),0),1)</f>
        <v>0</v>
      </c>
      <c r="BQ167" s="140">
        <f t="array" ref="BQ167">IF(ISBLANK($A167),0,IF(OR(BQ$5-$AI167&lt;=0,$AM167="Não"),AF167,AF167+INDEX($AO$6:$BR$176,ROW()-5,COLUMN()-40-$AI167)))*IF($B167="Operacional",IFERROR(VLOOKUP($C167,SN_UGC,28,0),0),1)</f>
        <v>0</v>
      </c>
      <c r="BR167" s="140">
        <f t="array" ref="BR167">IF(ISBLANK($A167),0,IF(OR(BR$5-$AI167&lt;=0,$AM167="Não"),AG167,AG167+INDEX($AO$6:$BR$176,ROW()-5,COLUMN()-40-$AI167)))*IF($B167="Operacional",IFERROR(VLOOKUP($C167,SN_UGC,28,0),0),1)</f>
        <v>0</v>
      </c>
      <c r="BS167" s="141">
        <f t="shared" ref="BS167:CV167" si="867">IF(ISBLANK($A167),0,$AH167*AO167)</f>
        <v>0</v>
      </c>
      <c r="BT167" s="141">
        <f t="shared" si="867"/>
        <v>0</v>
      </c>
      <c r="BU167" s="141">
        <f t="shared" si="867"/>
        <v>0</v>
      </c>
      <c r="BV167" s="141">
        <f t="shared" si="867"/>
        <v>0</v>
      </c>
      <c r="BW167" s="141">
        <f t="shared" si="867"/>
        <v>0</v>
      </c>
      <c r="BX167" s="141">
        <f t="shared" si="867"/>
        <v>0</v>
      </c>
      <c r="BY167" s="141">
        <f t="shared" si="867"/>
        <v>0</v>
      </c>
      <c r="BZ167" s="141">
        <f t="shared" si="867"/>
        <v>0</v>
      </c>
      <c r="CA167" s="141">
        <f t="shared" si="867"/>
        <v>0</v>
      </c>
      <c r="CB167" s="141">
        <f t="shared" si="867"/>
        <v>0</v>
      </c>
      <c r="CC167" s="141">
        <f t="shared" si="867"/>
        <v>0</v>
      </c>
      <c r="CD167" s="141">
        <f t="shared" si="867"/>
        <v>0</v>
      </c>
      <c r="CE167" s="141">
        <f t="shared" si="867"/>
        <v>0</v>
      </c>
      <c r="CF167" s="141">
        <f t="shared" si="867"/>
        <v>0</v>
      </c>
      <c r="CG167" s="141">
        <f t="shared" si="867"/>
        <v>0</v>
      </c>
      <c r="CH167" s="141">
        <f t="shared" si="867"/>
        <v>0</v>
      </c>
      <c r="CI167" s="141">
        <f t="shared" si="867"/>
        <v>0</v>
      </c>
      <c r="CJ167" s="141">
        <f t="shared" si="867"/>
        <v>0</v>
      </c>
      <c r="CK167" s="141">
        <f t="shared" si="867"/>
        <v>0</v>
      </c>
      <c r="CL167" s="141">
        <f t="shared" si="867"/>
        <v>0</v>
      </c>
      <c r="CM167" s="141">
        <f t="shared" si="867"/>
        <v>0</v>
      </c>
      <c r="CN167" s="141">
        <f t="shared" si="867"/>
        <v>0</v>
      </c>
      <c r="CO167" s="141">
        <f t="shared" si="867"/>
        <v>0</v>
      </c>
      <c r="CP167" s="141">
        <f t="shared" si="867"/>
        <v>0</v>
      </c>
      <c r="CQ167" s="141">
        <f t="shared" si="867"/>
        <v>0</v>
      </c>
      <c r="CR167" s="141">
        <f t="shared" si="867"/>
        <v>0</v>
      </c>
      <c r="CS167" s="141">
        <f t="shared" si="867"/>
        <v>0</v>
      </c>
      <c r="CT167" s="141">
        <f t="shared" si="867"/>
        <v>0</v>
      </c>
      <c r="CU167" s="141">
        <f t="shared" si="867"/>
        <v>0</v>
      </c>
      <c r="CV167" s="141">
        <f t="shared" si="867"/>
        <v>0</v>
      </c>
      <c r="CW167" s="142">
        <f t="shared" ref="CW167:DZ167" si="868">EA167*$AH167*$AJ167</f>
        <v>0</v>
      </c>
      <c r="CX167" s="142">
        <f t="shared" si="868"/>
        <v>0</v>
      </c>
      <c r="CY167" s="142">
        <f t="shared" si="868"/>
        <v>0</v>
      </c>
      <c r="CZ167" s="142">
        <f t="shared" si="868"/>
        <v>0</v>
      </c>
      <c r="DA167" s="142">
        <f t="shared" si="868"/>
        <v>0</v>
      </c>
      <c r="DB167" s="142">
        <f t="shared" si="868"/>
        <v>0</v>
      </c>
      <c r="DC167" s="142">
        <f t="shared" si="868"/>
        <v>0</v>
      </c>
      <c r="DD167" s="142">
        <f t="shared" si="868"/>
        <v>0</v>
      </c>
      <c r="DE167" s="142">
        <f t="shared" si="868"/>
        <v>0</v>
      </c>
      <c r="DF167" s="142">
        <f t="shared" si="868"/>
        <v>0</v>
      </c>
      <c r="DG167" s="142">
        <f t="shared" si="868"/>
        <v>0</v>
      </c>
      <c r="DH167" s="142">
        <f t="shared" si="868"/>
        <v>0</v>
      </c>
      <c r="DI167" s="142">
        <f t="shared" si="868"/>
        <v>0</v>
      </c>
      <c r="DJ167" s="142">
        <f t="shared" si="868"/>
        <v>0</v>
      </c>
      <c r="DK167" s="142">
        <f t="shared" si="868"/>
        <v>0</v>
      </c>
      <c r="DL167" s="142">
        <f t="shared" si="868"/>
        <v>0</v>
      </c>
      <c r="DM167" s="142">
        <f t="shared" si="868"/>
        <v>0</v>
      </c>
      <c r="DN167" s="142">
        <f t="shared" si="868"/>
        <v>0</v>
      </c>
      <c r="DO167" s="142">
        <f t="shared" si="868"/>
        <v>0</v>
      </c>
      <c r="DP167" s="142">
        <f t="shared" si="868"/>
        <v>0</v>
      </c>
      <c r="DQ167" s="142">
        <f t="shared" si="868"/>
        <v>0</v>
      </c>
      <c r="DR167" s="142">
        <f t="shared" si="868"/>
        <v>0</v>
      </c>
      <c r="DS167" s="142">
        <f t="shared" si="868"/>
        <v>0</v>
      </c>
      <c r="DT167" s="142">
        <f t="shared" si="868"/>
        <v>0</v>
      </c>
      <c r="DU167" s="142">
        <f t="shared" si="868"/>
        <v>0</v>
      </c>
      <c r="DV167" s="142">
        <f t="shared" si="868"/>
        <v>0</v>
      </c>
      <c r="DW167" s="142">
        <f t="shared" si="868"/>
        <v>0</v>
      </c>
      <c r="DX167" s="142">
        <f t="shared" si="868"/>
        <v>0</v>
      </c>
      <c r="DY167" s="142">
        <f t="shared" si="868"/>
        <v>0</v>
      </c>
      <c r="DZ167" s="142">
        <f t="shared" si="868"/>
        <v>0</v>
      </c>
      <c r="EA167" s="143">
        <f t="shared" si="835"/>
        <v>0</v>
      </c>
      <c r="EB167" s="143">
        <f t="shared" si="836"/>
        <v>0</v>
      </c>
      <c r="EC167" s="143">
        <f t="shared" si="837"/>
        <v>0</v>
      </c>
      <c r="ED167" s="143">
        <f t="shared" si="838"/>
        <v>0</v>
      </c>
      <c r="EE167" s="143">
        <f t="shared" si="839"/>
        <v>0</v>
      </c>
      <c r="EF167" s="143">
        <f t="shared" si="840"/>
        <v>0</v>
      </c>
      <c r="EG167" s="143">
        <f t="shared" si="841"/>
        <v>0</v>
      </c>
      <c r="EH167" s="143">
        <f t="shared" si="842"/>
        <v>0</v>
      </c>
      <c r="EI167" s="143">
        <f t="shared" si="843"/>
        <v>0</v>
      </c>
      <c r="EJ167" s="143">
        <f t="shared" si="844"/>
        <v>0</v>
      </c>
      <c r="EK167" s="143">
        <f t="shared" si="845"/>
        <v>0</v>
      </c>
      <c r="EL167" s="143">
        <f t="shared" si="846"/>
        <v>0</v>
      </c>
      <c r="EM167" s="143">
        <f t="shared" si="847"/>
        <v>0</v>
      </c>
      <c r="EN167" s="143">
        <f t="shared" si="848"/>
        <v>0</v>
      </c>
      <c r="EO167" s="143">
        <f t="shared" si="849"/>
        <v>0</v>
      </c>
      <c r="EP167" s="143">
        <f t="shared" si="850"/>
        <v>0</v>
      </c>
      <c r="EQ167" s="143">
        <f t="shared" si="851"/>
        <v>0</v>
      </c>
      <c r="ER167" s="143">
        <f t="shared" si="852"/>
        <v>0</v>
      </c>
      <c r="ES167" s="143">
        <f t="shared" si="853"/>
        <v>0</v>
      </c>
      <c r="ET167" s="143">
        <f t="shared" si="854"/>
        <v>0</v>
      </c>
      <c r="EU167" s="143">
        <f t="shared" si="855"/>
        <v>0</v>
      </c>
      <c r="EV167" s="143">
        <f t="shared" si="856"/>
        <v>0</v>
      </c>
      <c r="EW167" s="143">
        <f t="shared" si="857"/>
        <v>0</v>
      </c>
      <c r="EX167" s="143">
        <f t="shared" si="858"/>
        <v>0</v>
      </c>
      <c r="EY167" s="143">
        <f t="shared" si="859"/>
        <v>0</v>
      </c>
      <c r="EZ167" s="143">
        <f t="shared" si="860"/>
        <v>0</v>
      </c>
      <c r="FA167" s="143">
        <f t="shared" si="861"/>
        <v>0</v>
      </c>
      <c r="FB167" s="143">
        <f t="shared" si="862"/>
        <v>0</v>
      </c>
      <c r="FC167" s="143">
        <f t="shared" si="863"/>
        <v>0</v>
      </c>
      <c r="FD167" s="143">
        <f t="shared" si="864"/>
        <v>0</v>
      </c>
      <c r="FE167" s="140">
        <f>SUM($D167:D167)*IF($B167="Operacional",IFERROR(VLOOKUP($C167,SN_UGC,28,0),0),1)</f>
        <v>0</v>
      </c>
      <c r="FF167" s="140">
        <f>SUM($D167:E167)*IF($B167="Operacional",IFERROR(VLOOKUP($C167,SN_UGC,28,0),0),1)</f>
        <v>0</v>
      </c>
      <c r="FG167" s="140">
        <f>SUM($D167:F167)*IF($B167="Operacional",IFERROR(VLOOKUP($C167,SN_UGC,28,0),0),1)</f>
        <v>0</v>
      </c>
      <c r="FH167" s="140">
        <f>SUM($D167:G167)*IF($B167="Operacional",IFERROR(VLOOKUP($C167,SN_UGC,28,0),0),1)</f>
        <v>0</v>
      </c>
      <c r="FI167" s="140">
        <f>SUM($D167:H167)*IF($B167="Operacional",IFERROR(VLOOKUP($C167,SN_UGC,28,0),0),1)</f>
        <v>0</v>
      </c>
      <c r="FJ167" s="140">
        <f>SUM($D167:I167)*IF($B167="Operacional",IFERROR(VLOOKUP($C167,SN_UGC,28,0),0),1)</f>
        <v>0</v>
      </c>
      <c r="FK167" s="140">
        <f>SUM($D167:J167)*IF($B167="Operacional",IFERROR(VLOOKUP($C167,SN_UGC,28,0),0),1)</f>
        <v>0</v>
      </c>
      <c r="FL167" s="140">
        <f>SUM($D167:K167)*IF($B167="Operacional",IFERROR(VLOOKUP($C167,SN_UGC,28,0),0),1)</f>
        <v>0</v>
      </c>
      <c r="FM167" s="140">
        <f>SUM($D167:L167)*IF($B167="Operacional",IFERROR(VLOOKUP($C167,SN_UGC,28,0),0),1)</f>
        <v>0</v>
      </c>
      <c r="FN167" s="140">
        <f>SUM($D167:M167)*IF($B167="Operacional",IFERROR(VLOOKUP($C167,SN_UGC,28,0),0),1)</f>
        <v>0</v>
      </c>
      <c r="FO167" s="140">
        <f>SUM($D167:N167)*IF($B167="Operacional",IFERROR(VLOOKUP($C167,SN_UGC,28,0),0),1)</f>
        <v>0</v>
      </c>
      <c r="FP167" s="140">
        <f>SUM($D167:O167)*IF($B167="Operacional",IFERROR(VLOOKUP($C167,SN_UGC,28,0),0),1)</f>
        <v>0</v>
      </c>
      <c r="FQ167" s="140">
        <f>SUM($D167:P167)*IF($B167="Operacional",IFERROR(VLOOKUP($C167,SN_UGC,28,0),0),1)</f>
        <v>0</v>
      </c>
      <c r="FR167" s="140">
        <f>SUM($D167:Q167)*IF($B167="Operacional",IFERROR(VLOOKUP($C167,SN_UGC,28,0),0),1)</f>
        <v>0</v>
      </c>
      <c r="FS167" s="140">
        <f>SUM($D167:R167)*IF($B167="Operacional",IFERROR(VLOOKUP($C167,SN_UGC,28,0),0),1)</f>
        <v>0</v>
      </c>
      <c r="FT167" s="140">
        <f>SUM($D167:S167)*IF($B167="Operacional",IFERROR(VLOOKUP($C167,SN_UGC,28,0),0),1)</f>
        <v>0</v>
      </c>
      <c r="FU167" s="140">
        <f>SUM($D167:T167)*IF($B167="Operacional",IFERROR(VLOOKUP($C167,SN_UGC,28,0),0),1)</f>
        <v>0</v>
      </c>
      <c r="FV167" s="140">
        <f>SUM($D167:U167)*IF($B167="Operacional",IFERROR(VLOOKUP($C167,SN_UGC,28,0),0),1)</f>
        <v>0</v>
      </c>
      <c r="FW167" s="140">
        <f>SUM($D167:V167)*IF($B167="Operacional",IFERROR(VLOOKUP($C167,SN_UGC,28,0),0),1)</f>
        <v>0</v>
      </c>
      <c r="FX167" s="140">
        <f>SUM($D167:W167)*IF($B167="Operacional",IFERROR(VLOOKUP($C167,SN_UGC,28,0),0),1)</f>
        <v>0</v>
      </c>
      <c r="FY167" s="140">
        <f>SUM($D167:X167)*IF($B167="Operacional",IFERROR(VLOOKUP($C167,SN_UGC,28,0),0),1)</f>
        <v>0</v>
      </c>
      <c r="FZ167" s="140">
        <f>SUM($D167:Y167)*IF($B167="Operacional",IFERROR(VLOOKUP($C167,SN_UGC,28,0),0),1)</f>
        <v>0</v>
      </c>
      <c r="GA167" s="140">
        <f>SUM($D167:Z167)*IF($B167="Operacional",IFERROR(VLOOKUP($C167,SN_UGC,28,0),0),1)</f>
        <v>0</v>
      </c>
      <c r="GB167" s="140">
        <f>SUM($D167:AA167)*IF($B167="Operacional",IFERROR(VLOOKUP($C167,SN_UGC,28,0),0),1)</f>
        <v>0</v>
      </c>
      <c r="GC167" s="140">
        <f>SUM($D167:AB167)*IF($B167="Operacional",IFERROR(VLOOKUP($C167,SN_UGC,28,0),0),1)</f>
        <v>0</v>
      </c>
      <c r="GD167" s="140">
        <f>SUM($D167:AC167)*IF($B167="Operacional",IFERROR(VLOOKUP($C167,SN_UGC,28,0),0),1)</f>
        <v>0</v>
      </c>
      <c r="GE167" s="140">
        <f>SUM($D167:AD167)*IF($B167="Operacional",IFERROR(VLOOKUP($C167,SN_UGC,28,0),0),1)</f>
        <v>0</v>
      </c>
      <c r="GF167" s="140">
        <f>SUM($D167:AE167)*IF($B167="Operacional",IFERROR(VLOOKUP($C167,SN_UGC,28,0),0),1)</f>
        <v>0</v>
      </c>
      <c r="GG167" s="140">
        <f>SUM($D167:AF167)*IF($B167="Operacional",IFERROR(VLOOKUP($C167,SN_UGC,28,0),0),1)</f>
        <v>0</v>
      </c>
      <c r="GH167" s="140">
        <f>SUM($D167:AG167)*IF($B167="Operacional",IFERROR(VLOOKUP($C167,SN_UGC,28,0),0),1)</f>
        <v>0</v>
      </c>
      <c r="GI167" s="141">
        <f t="shared" ref="GI167:HL167" si="869">FE167*$AH167*$AL167</f>
        <v>0</v>
      </c>
      <c r="GJ167" s="141">
        <f t="shared" si="869"/>
        <v>0</v>
      </c>
      <c r="GK167" s="141">
        <f t="shared" si="869"/>
        <v>0</v>
      </c>
      <c r="GL167" s="141">
        <f t="shared" si="869"/>
        <v>0</v>
      </c>
      <c r="GM167" s="141">
        <f t="shared" si="869"/>
        <v>0</v>
      </c>
      <c r="GN167" s="141">
        <f t="shared" si="869"/>
        <v>0</v>
      </c>
      <c r="GO167" s="141">
        <f t="shared" si="869"/>
        <v>0</v>
      </c>
      <c r="GP167" s="141">
        <f t="shared" si="869"/>
        <v>0</v>
      </c>
      <c r="GQ167" s="141">
        <f t="shared" si="869"/>
        <v>0</v>
      </c>
      <c r="GR167" s="141">
        <f t="shared" si="869"/>
        <v>0</v>
      </c>
      <c r="GS167" s="141">
        <f t="shared" si="869"/>
        <v>0</v>
      </c>
      <c r="GT167" s="141">
        <f t="shared" si="869"/>
        <v>0</v>
      </c>
      <c r="GU167" s="141">
        <f t="shared" si="869"/>
        <v>0</v>
      </c>
      <c r="GV167" s="141">
        <f t="shared" si="869"/>
        <v>0</v>
      </c>
      <c r="GW167" s="141">
        <f t="shared" si="869"/>
        <v>0</v>
      </c>
      <c r="GX167" s="141">
        <f t="shared" si="869"/>
        <v>0</v>
      </c>
      <c r="GY167" s="141">
        <f t="shared" si="869"/>
        <v>0</v>
      </c>
      <c r="GZ167" s="141">
        <f t="shared" si="869"/>
        <v>0</v>
      </c>
      <c r="HA167" s="141">
        <f t="shared" si="869"/>
        <v>0</v>
      </c>
      <c r="HB167" s="141">
        <f t="shared" si="869"/>
        <v>0</v>
      </c>
      <c r="HC167" s="141">
        <f t="shared" si="869"/>
        <v>0</v>
      </c>
      <c r="HD167" s="141">
        <f t="shared" si="869"/>
        <v>0</v>
      </c>
      <c r="HE167" s="141">
        <f t="shared" si="869"/>
        <v>0</v>
      </c>
      <c r="HF167" s="141">
        <f t="shared" si="869"/>
        <v>0</v>
      </c>
      <c r="HG167" s="141">
        <f t="shared" si="869"/>
        <v>0</v>
      </c>
      <c r="HH167" s="141">
        <f t="shared" si="869"/>
        <v>0</v>
      </c>
      <c r="HI167" s="141">
        <f t="shared" si="869"/>
        <v>0</v>
      </c>
      <c r="HJ167" s="141">
        <f t="shared" si="869"/>
        <v>0</v>
      </c>
      <c r="HK167" s="141">
        <f t="shared" si="869"/>
        <v>0</v>
      </c>
      <c r="HL167" s="141">
        <f t="shared" si="869"/>
        <v>0</v>
      </c>
      <c r="HM167" s="142">
        <f t="shared" ref="HM167:IP167" si="870">IF(ISBLANK($A167),,FE167*($AH167-($AH167*$AJ167))/$AI167)</f>
        <v>0</v>
      </c>
      <c r="HN167" s="142">
        <f t="shared" si="870"/>
        <v>0</v>
      </c>
      <c r="HO167" s="142">
        <f t="shared" si="870"/>
        <v>0</v>
      </c>
      <c r="HP167" s="142">
        <f t="shared" si="870"/>
        <v>0</v>
      </c>
      <c r="HQ167" s="142">
        <f t="shared" si="870"/>
        <v>0</v>
      </c>
      <c r="HR167" s="142">
        <f t="shared" si="870"/>
        <v>0</v>
      </c>
      <c r="HS167" s="142">
        <f t="shared" si="870"/>
        <v>0</v>
      </c>
      <c r="HT167" s="142">
        <f t="shared" si="870"/>
        <v>0</v>
      </c>
      <c r="HU167" s="142">
        <f t="shared" si="870"/>
        <v>0</v>
      </c>
      <c r="HV167" s="142">
        <f t="shared" si="870"/>
        <v>0</v>
      </c>
      <c r="HW167" s="142">
        <f t="shared" si="870"/>
        <v>0</v>
      </c>
      <c r="HX167" s="142">
        <f t="shared" si="870"/>
        <v>0</v>
      </c>
      <c r="HY167" s="142">
        <f t="shared" si="870"/>
        <v>0</v>
      </c>
      <c r="HZ167" s="142">
        <f t="shared" si="870"/>
        <v>0</v>
      </c>
      <c r="IA167" s="142">
        <f t="shared" si="870"/>
        <v>0</v>
      </c>
      <c r="IB167" s="142">
        <f t="shared" si="870"/>
        <v>0</v>
      </c>
      <c r="IC167" s="142">
        <f t="shared" si="870"/>
        <v>0</v>
      </c>
      <c r="ID167" s="142">
        <f t="shared" si="870"/>
        <v>0</v>
      </c>
      <c r="IE167" s="142">
        <f t="shared" si="870"/>
        <v>0</v>
      </c>
      <c r="IF167" s="142">
        <f t="shared" si="870"/>
        <v>0</v>
      </c>
      <c r="IG167" s="142">
        <f t="shared" si="870"/>
        <v>0</v>
      </c>
      <c r="IH167" s="142">
        <f t="shared" si="870"/>
        <v>0</v>
      </c>
      <c r="II167" s="142">
        <f t="shared" si="870"/>
        <v>0</v>
      </c>
      <c r="IJ167" s="142">
        <f t="shared" si="870"/>
        <v>0</v>
      </c>
      <c r="IK167" s="142">
        <f t="shared" si="870"/>
        <v>0</v>
      </c>
      <c r="IL167" s="142">
        <f t="shared" si="870"/>
        <v>0</v>
      </c>
      <c r="IM167" s="142">
        <f t="shared" si="870"/>
        <v>0</v>
      </c>
      <c r="IN167" s="142">
        <f t="shared" si="870"/>
        <v>0</v>
      </c>
      <c r="IO167" s="142">
        <f t="shared" si="870"/>
        <v>0</v>
      </c>
      <c r="IP167" s="142">
        <f t="shared" si="870"/>
        <v>0</v>
      </c>
      <c r="IQ167" s="141">
        <f>IF(ISBLANK($A167),,IF($AN167="Não",0,(SUM($AO167:AO167)*$AH167)-SUM($HM167:HM167)-SUM($CW167:CW167)))</f>
        <v>0</v>
      </c>
      <c r="IR167" s="141">
        <f>IF(ISBLANK($A167),,IF($AN167="Não",0,(SUM($AO167:AP167)*$AH167)-SUM($HM167:HN167)-SUM($CW167:CX167)))</f>
        <v>0</v>
      </c>
      <c r="IS167" s="141">
        <f>IF(ISBLANK($A167),,IF($AN167="Não",0,(SUM($AO167:AQ167)*$AH167)-SUM($HM167:HO167)-SUM($CW167:CY167)))</f>
        <v>0</v>
      </c>
      <c r="IT167" s="141">
        <f>IF(ISBLANK($A167),,IF($AN167="Não",0,(SUM($AO167:AR167)*$AH167)-SUM($HM167:HP167)-SUM($CW167:CZ167)))</f>
        <v>0</v>
      </c>
      <c r="IU167" s="141">
        <f>IF(ISBLANK($A167),,IF($AN167="Não",0,(SUM($AO167:AS167)*$AH167)-SUM($HM167:HQ167)-SUM($CW167:DA167)))</f>
        <v>0</v>
      </c>
      <c r="IV167" s="141">
        <f>IF(ISBLANK($A167),,IF($AN167="Não",0,(SUM($AO167:AT167)*$AH167)-SUM($HM167:HR167)-SUM($CW167:DB167)))</f>
        <v>0</v>
      </c>
      <c r="IW167" s="141">
        <f>IF(ISBLANK($A167),,IF($AN167="Não",0,(SUM($AO167:AU167)*$AH167)-SUM($HM167:HS167)-SUM($CW167:DC167)))</f>
        <v>0</v>
      </c>
      <c r="IX167" s="141">
        <f>IF(ISBLANK($A167),,IF($AN167="Não",0,(SUM($AO167:AV167)*$AH167)-SUM($HM167:HT167)-SUM($CW167:DD167)))</f>
        <v>0</v>
      </c>
      <c r="IY167" s="141">
        <f>IF(ISBLANK($A167),,IF($AN167="Não",0,(SUM($AO167:AW167)*$AH167)-SUM($HM167:HU167)-SUM($CW167:DE167)))</f>
        <v>0</v>
      </c>
      <c r="IZ167" s="141">
        <f>IF(ISBLANK($A167),,IF($AN167="Não",0,(SUM($AO167:AX167)*$AH167)-SUM($HM167:HV167)-SUM($CW167:DF167)))</f>
        <v>0</v>
      </c>
      <c r="JA167" s="141">
        <f>IF(ISBLANK($A167),,IF($AN167="Não",0,(SUM($AO167:AY167)*$AH167)-SUM($HM167:HW167)-SUM($CW167:DG167)))</f>
        <v>0</v>
      </c>
      <c r="JB167" s="141">
        <f>IF(ISBLANK($A167),,IF($AN167="Não",0,(SUM($AO167:AZ167)*$AH167)-SUM($HM167:HX167)-SUM($CW167:DH167)))</f>
        <v>0</v>
      </c>
      <c r="JC167" s="141">
        <f>IF(ISBLANK($A167),,IF($AN167="Não",0,(SUM($AO167:BA167)*$AH167)-SUM($HM167:HY167)-SUM($CW167:DI167)))</f>
        <v>0</v>
      </c>
      <c r="JD167" s="141">
        <f>IF(ISBLANK($A167),,IF($AN167="Não",0,(SUM($AO167:BB167)*$AH167)-SUM($HM167:HZ167)-SUM($CW167:DJ167)))</f>
        <v>0</v>
      </c>
      <c r="JE167" s="141">
        <f>IF(ISBLANK($A167),,IF($AN167="Não",0,(SUM($AO167:BC167)*$AH167)-SUM($HM167:IA167)-SUM($CW167:DK167)))</f>
        <v>0</v>
      </c>
      <c r="JF167" s="141">
        <f>IF(ISBLANK($A167),,IF($AN167="Não",0,(SUM($AO167:BD167)*$AH167)-SUM($HM167:IB167)-SUM($CW167:DL167)))</f>
        <v>0</v>
      </c>
      <c r="JG167" s="141">
        <f>IF(ISBLANK($A167),,IF($AN167="Não",0,(SUM($AO167:BE167)*$AH167)-SUM($HM167:IC167)-SUM($CW167:DM167)))</f>
        <v>0</v>
      </c>
      <c r="JH167" s="141">
        <f>IF(ISBLANK($A167),,IF($AN167="Não",0,(SUM($AO167:BF167)*$AH167)-SUM($HM167:ID167)-SUM($CW167:DN167)))</f>
        <v>0</v>
      </c>
      <c r="JI167" s="141">
        <f>IF(ISBLANK($A167),,IF($AN167="Não",0,(SUM($AO167:BG167)*$AH167)-SUM($HM167:IE167)-SUM($CW167:DO167)))</f>
        <v>0</v>
      </c>
      <c r="JJ167" s="141">
        <f>IF(ISBLANK($A167),,IF($AN167="Não",0,(SUM($AO167:BH167)*$AH167)-SUM($HM167:IF167)-SUM($CW167:DP167)))</f>
        <v>0</v>
      </c>
      <c r="JK167" s="141">
        <f>IF(ISBLANK($A167),,IF($AN167="Não",0,(SUM($AO167:BI167)*$AH167)-SUM($HM167:IG167)-SUM($CW167:DQ167)))</f>
        <v>0</v>
      </c>
      <c r="JL167" s="141">
        <f>IF(ISBLANK($A167),,IF($AN167="Não",0,(SUM($AO167:BJ167)*$AH167)-SUM($HM167:IH167)-SUM($CW167:DR167)))</f>
        <v>0</v>
      </c>
      <c r="JM167" s="141">
        <f>IF(ISBLANK($A167),,IF($AN167="Não",0,(SUM($AO167:BK167)*$AH167)-SUM($HM167:II167)-SUM($CW167:DS167)))</f>
        <v>0</v>
      </c>
      <c r="JN167" s="141">
        <f>IF(ISBLANK($A167),,IF($AN167="Não",0,(SUM($AO167:BL167)*$AH167)-SUM($HM167:IJ167)-SUM($CW167:DT167)))</f>
        <v>0</v>
      </c>
      <c r="JO167" s="141">
        <f>IF(ISBLANK($A167),,IF($AN167="Não",0,(SUM($AO167:BM167)*$AH167)-SUM($HM167:IK167)-SUM($CW167:DU167)))</f>
        <v>0</v>
      </c>
      <c r="JP167" s="141">
        <f>IF(ISBLANK($A167),,IF($AN167="Não",0,(SUM($AO167:BN167)*$AH167)-SUM($HM167:IL167)-SUM($CW167:DV167)))</f>
        <v>0</v>
      </c>
      <c r="JQ167" s="141">
        <f>IF(ISBLANK($A167),,IF($AN167="Não",0,(SUM($AO167:BO167)*$AH167)-SUM($HM167:IM167)-SUM($CW167:DW167)))</f>
        <v>0</v>
      </c>
      <c r="JR167" s="141">
        <f>IF(ISBLANK($A167),,IF($AN167="Não",0,(SUM($AO167:BP167)*$AH167)-SUM($HM167:IN167)-SUM($CW167:DX167)))</f>
        <v>0</v>
      </c>
      <c r="JS167" s="141">
        <f>IF(ISBLANK($A167),,IF($AN167="Não",0,(SUM($AO167:BQ167)*$AH167)-SUM($HM167:IO167)-SUM($CW167:DY167)))</f>
        <v>0</v>
      </c>
      <c r="JT167" s="141">
        <f>IF(ISBLANK($A167),,IF($AN167="Não",0,(SUM($AO167:BR167)*$AH167)-SUM($HM167:IP167)-SUM($CW167:DZ167)))</f>
        <v>0</v>
      </c>
    </row>
    <row r="168" spans="1:280" ht="15.75" customHeight="1">
      <c r="A168" s="129"/>
      <c r="B168" s="129"/>
      <c r="C168" s="138"/>
      <c r="D168" s="139"/>
      <c r="E168" s="139"/>
      <c r="F168" s="139"/>
      <c r="G168" s="139"/>
      <c r="H168" s="139"/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607">
        <f t="shared" si="710"/>
        <v>0</v>
      </c>
      <c r="AI168" s="608">
        <f t="shared" si="711"/>
        <v>0</v>
      </c>
      <c r="AJ168" s="609">
        <f t="shared" si="712"/>
        <v>0</v>
      </c>
      <c r="AK168" s="610" t="str">
        <f t="shared" si="713"/>
        <v/>
      </c>
      <c r="AL168" s="609">
        <f t="shared" si="714"/>
        <v>0</v>
      </c>
      <c r="AM168" s="611" t="str">
        <f t="shared" si="715"/>
        <v/>
      </c>
      <c r="AN168" s="611" t="str">
        <f t="shared" si="716"/>
        <v/>
      </c>
      <c r="AO168" s="140">
        <f t="array" ref="AO168">IF(ISBLANK($A168),0,IF(OR(AO$5-$AI168&lt;=0,$AM168="Não"),D168,D168+INDEX($AO$6:$BR$176,ROW()-5,COLUMN()-40-$AI168)))*IF($B168="Operacional",IFERROR(VLOOKUP($C168,SN_UGC,28,0),0),1)</f>
        <v>0</v>
      </c>
      <c r="AP168" s="140">
        <f t="array" ref="AP168">IF(ISBLANK($A168),0,IF(OR(AP$5-$AI168&lt;=0,$AM168="Não"),E168,E168+INDEX($AO$6:$BR$176,ROW()-5,COLUMN()-40-$AI168)))*IF($B168="Operacional",IFERROR(VLOOKUP($C168,SN_UGC,28,0),0),1)</f>
        <v>0</v>
      </c>
      <c r="AQ168" s="140">
        <f t="array" ref="AQ168">IF(ISBLANK($A168),0,IF(OR(AQ$5-$AI168&lt;=0,$AM168="Não"),F168,F168+INDEX($AO$6:$BR$176,ROW()-5,COLUMN()-40-$AI168)))*IF($B168="Operacional",IFERROR(VLOOKUP($C168,SN_UGC,28,0),0),1)</f>
        <v>0</v>
      </c>
      <c r="AR168" s="140">
        <f t="array" ref="AR168">IF(ISBLANK($A168),0,IF(OR(AR$5-$AI168&lt;=0,$AM168="Não"),G168,G168+INDEX($AO$6:$BR$176,ROW()-5,COLUMN()-40-$AI168)))*IF($B168="Operacional",IFERROR(VLOOKUP($C168,SN_UGC,28,0),0),1)</f>
        <v>0</v>
      </c>
      <c r="AS168" s="140">
        <f t="array" ref="AS168">IF(ISBLANK($A168),0,IF(OR(AS$5-$AI168&lt;=0,$AM168="Não"),H168,H168+INDEX($AO$6:$BR$176,ROW()-5,COLUMN()-40-$AI168)))*IF($B168="Operacional",IFERROR(VLOOKUP($C168,SN_UGC,28,0),0),1)</f>
        <v>0</v>
      </c>
      <c r="AT168" s="140">
        <f t="array" ref="AT168">IF(ISBLANK($A168),0,IF(OR(AT$5-$AI168&lt;=0,$AM168="Não"),I168,I168+INDEX($AO$6:$BR$176,ROW()-5,COLUMN()-40-$AI168)))*IF($B168="Operacional",IFERROR(VLOOKUP($C168,SN_UGC,28,0),0),1)</f>
        <v>0</v>
      </c>
      <c r="AU168" s="140">
        <f t="array" ref="AU168">IF(ISBLANK($A168),0,IF(OR(AU$5-$AI168&lt;=0,$AM168="Não"),J168,J168+INDEX($AO$6:$BR$176,ROW()-5,COLUMN()-40-$AI168)))*IF($B168="Operacional",IFERROR(VLOOKUP($C168,SN_UGC,28,0),0),1)</f>
        <v>0</v>
      </c>
      <c r="AV168" s="140">
        <f t="array" ref="AV168">IF(ISBLANK($A168),0,IF(OR(AV$5-$AI168&lt;=0,$AM168="Não"),K168,K168+INDEX($AO$6:$BR$176,ROW()-5,COLUMN()-40-$AI168)))*IF($B168="Operacional",IFERROR(VLOOKUP($C168,SN_UGC,28,0),0),1)</f>
        <v>0</v>
      </c>
      <c r="AW168" s="140">
        <f t="array" ref="AW168">IF(ISBLANK($A168),0,IF(OR(AW$5-$AI168&lt;=0,$AM168="Não"),L168,L168+INDEX($AO$6:$BR$176,ROW()-5,COLUMN()-40-$AI168)))*IF($B168="Operacional",IFERROR(VLOOKUP($C168,SN_UGC,28,0),0),1)</f>
        <v>0</v>
      </c>
      <c r="AX168" s="140">
        <f t="array" ref="AX168">IF(ISBLANK($A168),0,IF(OR(AX$5-$AI168&lt;=0,$AM168="Não"),M168,M168+INDEX($AO$6:$BR$176,ROW()-5,COLUMN()-40-$AI168)))*IF($B168="Operacional",IFERROR(VLOOKUP($C168,SN_UGC,28,0),0),1)</f>
        <v>0</v>
      </c>
      <c r="AY168" s="140">
        <f t="array" ref="AY168">IF(ISBLANK($A168),0,IF(OR(AY$5-$AI168&lt;=0,$AM168="Não"),N168,N168+INDEX($AO$6:$BR$176,ROW()-5,COLUMN()-40-$AI168)))*IF($B168="Operacional",IFERROR(VLOOKUP($C168,SN_UGC,28,0),0),1)</f>
        <v>0</v>
      </c>
      <c r="AZ168" s="140">
        <f t="array" ref="AZ168">IF(ISBLANK($A168),0,IF(OR(AZ$5-$AI168&lt;=0,$AM168="Não"),O168,O168+INDEX($AO$6:$BR$176,ROW()-5,COLUMN()-40-$AI168)))*IF($B168="Operacional",IFERROR(VLOOKUP($C168,SN_UGC,28,0),0),1)</f>
        <v>0</v>
      </c>
      <c r="BA168" s="140">
        <f t="array" ref="BA168">IF(ISBLANK($A168),0,IF(OR(BA$5-$AI168&lt;=0,$AM168="Não"),P168,P168+INDEX($AO$6:$BR$176,ROW()-5,COLUMN()-40-$AI168)))*IF($B168="Operacional",IFERROR(VLOOKUP($C168,SN_UGC,28,0),0),1)</f>
        <v>0</v>
      </c>
      <c r="BB168" s="140">
        <f t="array" ref="BB168">IF(ISBLANK($A168),0,IF(OR(BB$5-$AI168&lt;=0,$AM168="Não"),Q168,Q168+INDEX($AO$6:$BR$176,ROW()-5,COLUMN()-40-$AI168)))*IF($B168="Operacional",IFERROR(VLOOKUP($C168,SN_UGC,28,0),0),1)</f>
        <v>0</v>
      </c>
      <c r="BC168" s="140">
        <f t="array" ref="BC168">IF(ISBLANK($A168),0,IF(OR(BC$5-$AI168&lt;=0,$AM168="Não"),R168,R168+INDEX($AO$6:$BR$176,ROW()-5,COLUMN()-40-$AI168)))*IF($B168="Operacional",IFERROR(VLOOKUP($C168,SN_UGC,28,0),0),1)</f>
        <v>0</v>
      </c>
      <c r="BD168" s="140">
        <f t="array" ref="BD168">IF(ISBLANK($A168),0,IF(OR(BD$5-$AI168&lt;=0,$AM168="Não"),S168,S168+INDEX($AO$6:$BR$176,ROW()-5,COLUMN()-40-$AI168)))*IF($B168="Operacional",IFERROR(VLOOKUP($C168,SN_UGC,28,0),0),1)</f>
        <v>0</v>
      </c>
      <c r="BE168" s="140">
        <f t="array" ref="BE168">IF(ISBLANK($A168),0,IF(OR(BE$5-$AI168&lt;=0,$AM168="Não"),T168,T168+INDEX($AO$6:$BR$176,ROW()-5,COLUMN()-40-$AI168)))*IF($B168="Operacional",IFERROR(VLOOKUP($C168,SN_UGC,28,0),0),1)</f>
        <v>0</v>
      </c>
      <c r="BF168" s="140">
        <f t="array" ref="BF168">IF(ISBLANK($A168),0,IF(OR(BF$5-$AI168&lt;=0,$AM168="Não"),U168,U168+INDEX($AO$6:$BR$176,ROW()-5,COLUMN()-40-$AI168)))*IF($B168="Operacional",IFERROR(VLOOKUP($C168,SN_UGC,28,0),0),1)</f>
        <v>0</v>
      </c>
      <c r="BG168" s="140">
        <f t="array" ref="BG168">IF(ISBLANK($A168),0,IF(OR(BG$5-$AI168&lt;=0,$AM168="Não"),V168,V168+INDEX($AO$6:$BR$176,ROW()-5,COLUMN()-40-$AI168)))*IF($B168="Operacional",IFERROR(VLOOKUP($C168,SN_UGC,28,0),0),1)</f>
        <v>0</v>
      </c>
      <c r="BH168" s="140">
        <f t="array" ref="BH168">IF(ISBLANK($A168),0,IF(OR(BH$5-$AI168&lt;=0,$AM168="Não"),W168,W168+INDEX($AO$6:$BR$176,ROW()-5,COLUMN()-40-$AI168)))*IF($B168="Operacional",IFERROR(VLOOKUP($C168,SN_UGC,28,0),0),1)</f>
        <v>0</v>
      </c>
      <c r="BI168" s="140">
        <f t="array" ref="BI168">IF(ISBLANK($A168),0,IF(OR(BI$5-$AI168&lt;=0,$AM168="Não"),X168,X168+INDEX($AO$6:$BR$176,ROW()-5,COLUMN()-40-$AI168)))*IF($B168="Operacional",IFERROR(VLOOKUP($C168,SN_UGC,28,0),0),1)</f>
        <v>0</v>
      </c>
      <c r="BJ168" s="140">
        <f t="array" ref="BJ168">IF(ISBLANK($A168),0,IF(OR(BJ$5-$AI168&lt;=0,$AM168="Não"),Y168,Y168+INDEX($AO$6:$BR$176,ROW()-5,COLUMN()-40-$AI168)))*IF($B168="Operacional",IFERROR(VLOOKUP($C168,SN_UGC,28,0),0),1)</f>
        <v>0</v>
      </c>
      <c r="BK168" s="140">
        <f t="array" ref="BK168">IF(ISBLANK($A168),0,IF(OR(BK$5-$AI168&lt;=0,$AM168="Não"),Z168,Z168+INDEX($AO$6:$BR$176,ROW()-5,COLUMN()-40-$AI168)))*IF($B168="Operacional",IFERROR(VLOOKUP($C168,SN_UGC,28,0),0),1)</f>
        <v>0</v>
      </c>
      <c r="BL168" s="140">
        <f t="array" ref="BL168">IF(ISBLANK($A168),0,IF(OR(BL$5-$AI168&lt;=0,$AM168="Não"),AA168,AA168+INDEX($AO$6:$BR$176,ROW()-5,COLUMN()-40-$AI168)))*IF($B168="Operacional",IFERROR(VLOOKUP($C168,SN_UGC,28,0),0),1)</f>
        <v>0</v>
      </c>
      <c r="BM168" s="140">
        <f t="array" ref="BM168">IF(ISBLANK($A168),0,IF(OR(BM$5-$AI168&lt;=0,$AM168="Não"),AB168,AB168+INDEX($AO$6:$BR$176,ROW()-5,COLUMN()-40-$AI168)))*IF($B168="Operacional",IFERROR(VLOOKUP($C168,SN_UGC,28,0),0),1)</f>
        <v>0</v>
      </c>
      <c r="BN168" s="140">
        <f t="array" ref="BN168">IF(ISBLANK($A168),0,IF(OR(BN$5-$AI168&lt;=0,$AM168="Não"),AC168,AC168+INDEX($AO$6:$BR$176,ROW()-5,COLUMN()-40-$AI168)))*IF($B168="Operacional",IFERROR(VLOOKUP($C168,SN_UGC,28,0),0),1)</f>
        <v>0</v>
      </c>
      <c r="BO168" s="140">
        <f t="array" ref="BO168">IF(ISBLANK($A168),0,IF(OR(BO$5-$AI168&lt;=0,$AM168="Não"),AD168,AD168+INDEX($AO$6:$BR$176,ROW()-5,COLUMN()-40-$AI168)))*IF($B168="Operacional",IFERROR(VLOOKUP($C168,SN_UGC,28,0),0),1)</f>
        <v>0</v>
      </c>
      <c r="BP168" s="140">
        <f t="array" ref="BP168">IF(ISBLANK($A168),0,IF(OR(BP$5-$AI168&lt;=0,$AM168="Não"),AE168,AE168+INDEX($AO$6:$BR$176,ROW()-5,COLUMN()-40-$AI168)))*IF($B168="Operacional",IFERROR(VLOOKUP($C168,SN_UGC,28,0),0),1)</f>
        <v>0</v>
      </c>
      <c r="BQ168" s="140">
        <f t="array" ref="BQ168">IF(ISBLANK($A168),0,IF(OR(BQ$5-$AI168&lt;=0,$AM168="Não"),AF168,AF168+INDEX($AO$6:$BR$176,ROW()-5,COLUMN()-40-$AI168)))*IF($B168="Operacional",IFERROR(VLOOKUP($C168,SN_UGC,28,0),0),1)</f>
        <v>0</v>
      </c>
      <c r="BR168" s="140">
        <f t="array" ref="BR168">IF(ISBLANK($A168),0,IF(OR(BR$5-$AI168&lt;=0,$AM168="Não"),AG168,AG168+INDEX($AO$6:$BR$176,ROW()-5,COLUMN()-40-$AI168)))*IF($B168="Operacional",IFERROR(VLOOKUP($C168,SN_UGC,28,0),0),1)</f>
        <v>0</v>
      </c>
      <c r="BS168" s="141">
        <f t="shared" ref="BS168:CV168" si="871">IF(ISBLANK($A168),0,$AH168*AO168)</f>
        <v>0</v>
      </c>
      <c r="BT168" s="141">
        <f t="shared" si="871"/>
        <v>0</v>
      </c>
      <c r="BU168" s="141">
        <f t="shared" si="871"/>
        <v>0</v>
      </c>
      <c r="BV168" s="141">
        <f t="shared" si="871"/>
        <v>0</v>
      </c>
      <c r="BW168" s="141">
        <f t="shared" si="871"/>
        <v>0</v>
      </c>
      <c r="BX168" s="141">
        <f t="shared" si="871"/>
        <v>0</v>
      </c>
      <c r="BY168" s="141">
        <f t="shared" si="871"/>
        <v>0</v>
      </c>
      <c r="BZ168" s="141">
        <f t="shared" si="871"/>
        <v>0</v>
      </c>
      <c r="CA168" s="141">
        <f t="shared" si="871"/>
        <v>0</v>
      </c>
      <c r="CB168" s="141">
        <f t="shared" si="871"/>
        <v>0</v>
      </c>
      <c r="CC168" s="141">
        <f t="shared" si="871"/>
        <v>0</v>
      </c>
      <c r="CD168" s="141">
        <f t="shared" si="871"/>
        <v>0</v>
      </c>
      <c r="CE168" s="141">
        <f t="shared" si="871"/>
        <v>0</v>
      </c>
      <c r="CF168" s="141">
        <f t="shared" si="871"/>
        <v>0</v>
      </c>
      <c r="CG168" s="141">
        <f t="shared" si="871"/>
        <v>0</v>
      </c>
      <c r="CH168" s="141">
        <f t="shared" si="871"/>
        <v>0</v>
      </c>
      <c r="CI168" s="141">
        <f t="shared" si="871"/>
        <v>0</v>
      </c>
      <c r="CJ168" s="141">
        <f t="shared" si="871"/>
        <v>0</v>
      </c>
      <c r="CK168" s="141">
        <f t="shared" si="871"/>
        <v>0</v>
      </c>
      <c r="CL168" s="141">
        <f t="shared" si="871"/>
        <v>0</v>
      </c>
      <c r="CM168" s="141">
        <f t="shared" si="871"/>
        <v>0</v>
      </c>
      <c r="CN168" s="141">
        <f t="shared" si="871"/>
        <v>0</v>
      </c>
      <c r="CO168" s="141">
        <f t="shared" si="871"/>
        <v>0</v>
      </c>
      <c r="CP168" s="141">
        <f t="shared" si="871"/>
        <v>0</v>
      </c>
      <c r="CQ168" s="141">
        <f t="shared" si="871"/>
        <v>0</v>
      </c>
      <c r="CR168" s="141">
        <f t="shared" si="871"/>
        <v>0</v>
      </c>
      <c r="CS168" s="141">
        <f t="shared" si="871"/>
        <v>0</v>
      </c>
      <c r="CT168" s="141">
        <f t="shared" si="871"/>
        <v>0</v>
      </c>
      <c r="CU168" s="141">
        <f t="shared" si="871"/>
        <v>0</v>
      </c>
      <c r="CV168" s="141">
        <f t="shared" si="871"/>
        <v>0</v>
      </c>
      <c r="CW168" s="142">
        <f t="shared" ref="CW168:DZ168" si="872">EA168*$AH168*$AJ168</f>
        <v>0</v>
      </c>
      <c r="CX168" s="142">
        <f t="shared" si="872"/>
        <v>0</v>
      </c>
      <c r="CY168" s="142">
        <f t="shared" si="872"/>
        <v>0</v>
      </c>
      <c r="CZ168" s="142">
        <f t="shared" si="872"/>
        <v>0</v>
      </c>
      <c r="DA168" s="142">
        <f t="shared" si="872"/>
        <v>0</v>
      </c>
      <c r="DB168" s="142">
        <f t="shared" si="872"/>
        <v>0</v>
      </c>
      <c r="DC168" s="142">
        <f t="shared" si="872"/>
        <v>0</v>
      </c>
      <c r="DD168" s="142">
        <f t="shared" si="872"/>
        <v>0</v>
      </c>
      <c r="DE168" s="142">
        <f t="shared" si="872"/>
        <v>0</v>
      </c>
      <c r="DF168" s="142">
        <f t="shared" si="872"/>
        <v>0</v>
      </c>
      <c r="DG168" s="142">
        <f t="shared" si="872"/>
        <v>0</v>
      </c>
      <c r="DH168" s="142">
        <f t="shared" si="872"/>
        <v>0</v>
      </c>
      <c r="DI168" s="142">
        <f t="shared" si="872"/>
        <v>0</v>
      </c>
      <c r="DJ168" s="142">
        <f t="shared" si="872"/>
        <v>0</v>
      </c>
      <c r="DK168" s="142">
        <f t="shared" si="872"/>
        <v>0</v>
      </c>
      <c r="DL168" s="142">
        <f t="shared" si="872"/>
        <v>0</v>
      </c>
      <c r="DM168" s="142">
        <f t="shared" si="872"/>
        <v>0</v>
      </c>
      <c r="DN168" s="142">
        <f t="shared" si="872"/>
        <v>0</v>
      </c>
      <c r="DO168" s="142">
        <f t="shared" si="872"/>
        <v>0</v>
      </c>
      <c r="DP168" s="142">
        <f t="shared" si="872"/>
        <v>0</v>
      </c>
      <c r="DQ168" s="142">
        <f t="shared" si="872"/>
        <v>0</v>
      </c>
      <c r="DR168" s="142">
        <f t="shared" si="872"/>
        <v>0</v>
      </c>
      <c r="DS168" s="142">
        <f t="shared" si="872"/>
        <v>0</v>
      </c>
      <c r="DT168" s="142">
        <f t="shared" si="872"/>
        <v>0</v>
      </c>
      <c r="DU168" s="142">
        <f t="shared" si="872"/>
        <v>0</v>
      </c>
      <c r="DV168" s="142">
        <f t="shared" si="872"/>
        <v>0</v>
      </c>
      <c r="DW168" s="142">
        <f t="shared" si="872"/>
        <v>0</v>
      </c>
      <c r="DX168" s="142">
        <f t="shared" si="872"/>
        <v>0</v>
      </c>
      <c r="DY168" s="142">
        <f t="shared" si="872"/>
        <v>0</v>
      </c>
      <c r="DZ168" s="142">
        <f t="shared" si="872"/>
        <v>0</v>
      </c>
      <c r="EA168" s="143">
        <f t="shared" si="835"/>
        <v>0</v>
      </c>
      <c r="EB168" s="143">
        <f t="shared" si="836"/>
        <v>0</v>
      </c>
      <c r="EC168" s="143">
        <f t="shared" si="837"/>
        <v>0</v>
      </c>
      <c r="ED168" s="143">
        <f t="shared" si="838"/>
        <v>0</v>
      </c>
      <c r="EE168" s="143">
        <f t="shared" si="839"/>
        <v>0</v>
      </c>
      <c r="EF168" s="143">
        <f t="shared" si="840"/>
        <v>0</v>
      </c>
      <c r="EG168" s="143">
        <f t="shared" si="841"/>
        <v>0</v>
      </c>
      <c r="EH168" s="143">
        <f t="shared" si="842"/>
        <v>0</v>
      </c>
      <c r="EI168" s="143">
        <f t="shared" si="843"/>
        <v>0</v>
      </c>
      <c r="EJ168" s="143">
        <f t="shared" si="844"/>
        <v>0</v>
      </c>
      <c r="EK168" s="143">
        <f t="shared" si="845"/>
        <v>0</v>
      </c>
      <c r="EL168" s="143">
        <f t="shared" si="846"/>
        <v>0</v>
      </c>
      <c r="EM168" s="143">
        <f t="shared" si="847"/>
        <v>0</v>
      </c>
      <c r="EN168" s="143">
        <f t="shared" si="848"/>
        <v>0</v>
      </c>
      <c r="EO168" s="143">
        <f t="shared" si="849"/>
        <v>0</v>
      </c>
      <c r="EP168" s="143">
        <f t="shared" si="850"/>
        <v>0</v>
      </c>
      <c r="EQ168" s="143">
        <f t="shared" si="851"/>
        <v>0</v>
      </c>
      <c r="ER168" s="143">
        <f t="shared" si="852"/>
        <v>0</v>
      </c>
      <c r="ES168" s="143">
        <f t="shared" si="853"/>
        <v>0</v>
      </c>
      <c r="ET168" s="143">
        <f t="shared" si="854"/>
        <v>0</v>
      </c>
      <c r="EU168" s="143">
        <f t="shared" si="855"/>
        <v>0</v>
      </c>
      <c r="EV168" s="143">
        <f t="shared" si="856"/>
        <v>0</v>
      </c>
      <c r="EW168" s="143">
        <f t="shared" si="857"/>
        <v>0</v>
      </c>
      <c r="EX168" s="143">
        <f t="shared" si="858"/>
        <v>0</v>
      </c>
      <c r="EY168" s="143">
        <f t="shared" si="859"/>
        <v>0</v>
      </c>
      <c r="EZ168" s="143">
        <f t="shared" si="860"/>
        <v>0</v>
      </c>
      <c r="FA168" s="143">
        <f t="shared" si="861"/>
        <v>0</v>
      </c>
      <c r="FB168" s="143">
        <f t="shared" si="862"/>
        <v>0</v>
      </c>
      <c r="FC168" s="143">
        <f t="shared" si="863"/>
        <v>0</v>
      </c>
      <c r="FD168" s="143">
        <f t="shared" si="864"/>
        <v>0</v>
      </c>
      <c r="FE168" s="140">
        <f>SUM($D168:D168)*IF($B168="Operacional",IFERROR(VLOOKUP($C168,SN_UGC,28,0),0),1)</f>
        <v>0</v>
      </c>
      <c r="FF168" s="140">
        <f>SUM($D168:E168)*IF($B168="Operacional",IFERROR(VLOOKUP($C168,SN_UGC,28,0),0),1)</f>
        <v>0</v>
      </c>
      <c r="FG168" s="140">
        <f>SUM($D168:F168)*IF($B168="Operacional",IFERROR(VLOOKUP($C168,SN_UGC,28,0),0),1)</f>
        <v>0</v>
      </c>
      <c r="FH168" s="140">
        <f>SUM($D168:G168)*IF($B168="Operacional",IFERROR(VLOOKUP($C168,SN_UGC,28,0),0),1)</f>
        <v>0</v>
      </c>
      <c r="FI168" s="140">
        <f>SUM($D168:H168)*IF($B168="Operacional",IFERROR(VLOOKUP($C168,SN_UGC,28,0),0),1)</f>
        <v>0</v>
      </c>
      <c r="FJ168" s="140">
        <f>SUM($D168:I168)*IF($B168="Operacional",IFERROR(VLOOKUP($C168,SN_UGC,28,0),0),1)</f>
        <v>0</v>
      </c>
      <c r="FK168" s="140">
        <f>SUM($D168:J168)*IF($B168="Operacional",IFERROR(VLOOKUP($C168,SN_UGC,28,0),0),1)</f>
        <v>0</v>
      </c>
      <c r="FL168" s="140">
        <f>SUM($D168:K168)*IF($B168="Operacional",IFERROR(VLOOKUP($C168,SN_UGC,28,0),0),1)</f>
        <v>0</v>
      </c>
      <c r="FM168" s="140">
        <f>SUM($D168:L168)*IF($B168="Operacional",IFERROR(VLOOKUP($C168,SN_UGC,28,0),0),1)</f>
        <v>0</v>
      </c>
      <c r="FN168" s="140">
        <f>SUM($D168:M168)*IF($B168="Operacional",IFERROR(VLOOKUP($C168,SN_UGC,28,0),0),1)</f>
        <v>0</v>
      </c>
      <c r="FO168" s="140">
        <f>SUM($D168:N168)*IF($B168="Operacional",IFERROR(VLOOKUP($C168,SN_UGC,28,0),0),1)</f>
        <v>0</v>
      </c>
      <c r="FP168" s="140">
        <f>SUM($D168:O168)*IF($B168="Operacional",IFERROR(VLOOKUP($C168,SN_UGC,28,0),0),1)</f>
        <v>0</v>
      </c>
      <c r="FQ168" s="140">
        <f>SUM($D168:P168)*IF($B168="Operacional",IFERROR(VLOOKUP($C168,SN_UGC,28,0),0),1)</f>
        <v>0</v>
      </c>
      <c r="FR168" s="140">
        <f>SUM($D168:Q168)*IF($B168="Operacional",IFERROR(VLOOKUP($C168,SN_UGC,28,0),0),1)</f>
        <v>0</v>
      </c>
      <c r="FS168" s="140">
        <f>SUM($D168:R168)*IF($B168="Operacional",IFERROR(VLOOKUP($C168,SN_UGC,28,0),0),1)</f>
        <v>0</v>
      </c>
      <c r="FT168" s="140">
        <f>SUM($D168:S168)*IF($B168="Operacional",IFERROR(VLOOKUP($C168,SN_UGC,28,0),0),1)</f>
        <v>0</v>
      </c>
      <c r="FU168" s="140">
        <f>SUM($D168:T168)*IF($B168="Operacional",IFERROR(VLOOKUP($C168,SN_UGC,28,0),0),1)</f>
        <v>0</v>
      </c>
      <c r="FV168" s="140">
        <f>SUM($D168:U168)*IF($B168="Operacional",IFERROR(VLOOKUP($C168,SN_UGC,28,0),0),1)</f>
        <v>0</v>
      </c>
      <c r="FW168" s="140">
        <f>SUM($D168:V168)*IF($B168="Operacional",IFERROR(VLOOKUP($C168,SN_UGC,28,0),0),1)</f>
        <v>0</v>
      </c>
      <c r="FX168" s="140">
        <f>SUM($D168:W168)*IF($B168="Operacional",IFERROR(VLOOKUP($C168,SN_UGC,28,0),0),1)</f>
        <v>0</v>
      </c>
      <c r="FY168" s="140">
        <f>SUM($D168:X168)*IF($B168="Operacional",IFERROR(VLOOKUP($C168,SN_UGC,28,0),0),1)</f>
        <v>0</v>
      </c>
      <c r="FZ168" s="140">
        <f>SUM($D168:Y168)*IF($B168="Operacional",IFERROR(VLOOKUP($C168,SN_UGC,28,0),0),1)</f>
        <v>0</v>
      </c>
      <c r="GA168" s="140">
        <f>SUM($D168:Z168)*IF($B168="Operacional",IFERROR(VLOOKUP($C168,SN_UGC,28,0),0),1)</f>
        <v>0</v>
      </c>
      <c r="GB168" s="140">
        <f>SUM($D168:AA168)*IF($B168="Operacional",IFERROR(VLOOKUP($C168,SN_UGC,28,0),0),1)</f>
        <v>0</v>
      </c>
      <c r="GC168" s="140">
        <f>SUM($D168:AB168)*IF($B168="Operacional",IFERROR(VLOOKUP($C168,SN_UGC,28,0),0),1)</f>
        <v>0</v>
      </c>
      <c r="GD168" s="140">
        <f>SUM($D168:AC168)*IF($B168="Operacional",IFERROR(VLOOKUP($C168,SN_UGC,28,0),0),1)</f>
        <v>0</v>
      </c>
      <c r="GE168" s="140">
        <f>SUM($D168:AD168)*IF($B168="Operacional",IFERROR(VLOOKUP($C168,SN_UGC,28,0),0),1)</f>
        <v>0</v>
      </c>
      <c r="GF168" s="140">
        <f>SUM($D168:AE168)*IF($B168="Operacional",IFERROR(VLOOKUP($C168,SN_UGC,28,0),0),1)</f>
        <v>0</v>
      </c>
      <c r="GG168" s="140">
        <f>SUM($D168:AF168)*IF($B168="Operacional",IFERROR(VLOOKUP($C168,SN_UGC,28,0),0),1)</f>
        <v>0</v>
      </c>
      <c r="GH168" s="140">
        <f>SUM($D168:AG168)*IF($B168="Operacional",IFERROR(VLOOKUP($C168,SN_UGC,28,0),0),1)</f>
        <v>0</v>
      </c>
      <c r="GI168" s="141">
        <f t="shared" ref="GI168:HL168" si="873">FE168*$AH168*$AL168</f>
        <v>0</v>
      </c>
      <c r="GJ168" s="141">
        <f t="shared" si="873"/>
        <v>0</v>
      </c>
      <c r="GK168" s="141">
        <f t="shared" si="873"/>
        <v>0</v>
      </c>
      <c r="GL168" s="141">
        <f t="shared" si="873"/>
        <v>0</v>
      </c>
      <c r="GM168" s="141">
        <f t="shared" si="873"/>
        <v>0</v>
      </c>
      <c r="GN168" s="141">
        <f t="shared" si="873"/>
        <v>0</v>
      </c>
      <c r="GO168" s="141">
        <f t="shared" si="873"/>
        <v>0</v>
      </c>
      <c r="GP168" s="141">
        <f t="shared" si="873"/>
        <v>0</v>
      </c>
      <c r="GQ168" s="141">
        <f t="shared" si="873"/>
        <v>0</v>
      </c>
      <c r="GR168" s="141">
        <f t="shared" si="873"/>
        <v>0</v>
      </c>
      <c r="GS168" s="141">
        <f t="shared" si="873"/>
        <v>0</v>
      </c>
      <c r="GT168" s="141">
        <f t="shared" si="873"/>
        <v>0</v>
      </c>
      <c r="GU168" s="141">
        <f t="shared" si="873"/>
        <v>0</v>
      </c>
      <c r="GV168" s="141">
        <f t="shared" si="873"/>
        <v>0</v>
      </c>
      <c r="GW168" s="141">
        <f t="shared" si="873"/>
        <v>0</v>
      </c>
      <c r="GX168" s="141">
        <f t="shared" si="873"/>
        <v>0</v>
      </c>
      <c r="GY168" s="141">
        <f t="shared" si="873"/>
        <v>0</v>
      </c>
      <c r="GZ168" s="141">
        <f t="shared" si="873"/>
        <v>0</v>
      </c>
      <c r="HA168" s="141">
        <f t="shared" si="873"/>
        <v>0</v>
      </c>
      <c r="HB168" s="141">
        <f t="shared" si="873"/>
        <v>0</v>
      </c>
      <c r="HC168" s="141">
        <f t="shared" si="873"/>
        <v>0</v>
      </c>
      <c r="HD168" s="141">
        <f t="shared" si="873"/>
        <v>0</v>
      </c>
      <c r="HE168" s="141">
        <f t="shared" si="873"/>
        <v>0</v>
      </c>
      <c r="HF168" s="141">
        <f t="shared" si="873"/>
        <v>0</v>
      </c>
      <c r="HG168" s="141">
        <f t="shared" si="873"/>
        <v>0</v>
      </c>
      <c r="HH168" s="141">
        <f t="shared" si="873"/>
        <v>0</v>
      </c>
      <c r="HI168" s="141">
        <f t="shared" si="873"/>
        <v>0</v>
      </c>
      <c r="HJ168" s="141">
        <f t="shared" si="873"/>
        <v>0</v>
      </c>
      <c r="HK168" s="141">
        <f t="shared" si="873"/>
        <v>0</v>
      </c>
      <c r="HL168" s="141">
        <f t="shared" si="873"/>
        <v>0</v>
      </c>
      <c r="HM168" s="142">
        <f t="shared" ref="HM168:IP168" si="874">IF(ISBLANK($A168),,FE168*($AH168-($AH168*$AJ168))/$AI168)</f>
        <v>0</v>
      </c>
      <c r="HN168" s="142">
        <f t="shared" si="874"/>
        <v>0</v>
      </c>
      <c r="HO168" s="142">
        <f t="shared" si="874"/>
        <v>0</v>
      </c>
      <c r="HP168" s="142">
        <f t="shared" si="874"/>
        <v>0</v>
      </c>
      <c r="HQ168" s="142">
        <f t="shared" si="874"/>
        <v>0</v>
      </c>
      <c r="HR168" s="142">
        <f t="shared" si="874"/>
        <v>0</v>
      </c>
      <c r="HS168" s="142">
        <f t="shared" si="874"/>
        <v>0</v>
      </c>
      <c r="HT168" s="142">
        <f t="shared" si="874"/>
        <v>0</v>
      </c>
      <c r="HU168" s="142">
        <f t="shared" si="874"/>
        <v>0</v>
      </c>
      <c r="HV168" s="142">
        <f t="shared" si="874"/>
        <v>0</v>
      </c>
      <c r="HW168" s="142">
        <f t="shared" si="874"/>
        <v>0</v>
      </c>
      <c r="HX168" s="142">
        <f t="shared" si="874"/>
        <v>0</v>
      </c>
      <c r="HY168" s="142">
        <f t="shared" si="874"/>
        <v>0</v>
      </c>
      <c r="HZ168" s="142">
        <f t="shared" si="874"/>
        <v>0</v>
      </c>
      <c r="IA168" s="142">
        <f t="shared" si="874"/>
        <v>0</v>
      </c>
      <c r="IB168" s="142">
        <f t="shared" si="874"/>
        <v>0</v>
      </c>
      <c r="IC168" s="142">
        <f t="shared" si="874"/>
        <v>0</v>
      </c>
      <c r="ID168" s="142">
        <f t="shared" si="874"/>
        <v>0</v>
      </c>
      <c r="IE168" s="142">
        <f t="shared" si="874"/>
        <v>0</v>
      </c>
      <c r="IF168" s="142">
        <f t="shared" si="874"/>
        <v>0</v>
      </c>
      <c r="IG168" s="142">
        <f t="shared" si="874"/>
        <v>0</v>
      </c>
      <c r="IH168" s="142">
        <f t="shared" si="874"/>
        <v>0</v>
      </c>
      <c r="II168" s="142">
        <f t="shared" si="874"/>
        <v>0</v>
      </c>
      <c r="IJ168" s="142">
        <f t="shared" si="874"/>
        <v>0</v>
      </c>
      <c r="IK168" s="142">
        <f t="shared" si="874"/>
        <v>0</v>
      </c>
      <c r="IL168" s="142">
        <f t="shared" si="874"/>
        <v>0</v>
      </c>
      <c r="IM168" s="142">
        <f t="shared" si="874"/>
        <v>0</v>
      </c>
      <c r="IN168" s="142">
        <f t="shared" si="874"/>
        <v>0</v>
      </c>
      <c r="IO168" s="142">
        <f t="shared" si="874"/>
        <v>0</v>
      </c>
      <c r="IP168" s="142">
        <f t="shared" si="874"/>
        <v>0</v>
      </c>
      <c r="IQ168" s="141">
        <f>IF(ISBLANK($A168),,IF($AN168="Não",0,(SUM($AO168:AO168)*$AH168)-SUM($HM168:HM168)-SUM($CW168:CW168)))</f>
        <v>0</v>
      </c>
      <c r="IR168" s="141">
        <f>IF(ISBLANK($A168),,IF($AN168="Não",0,(SUM($AO168:AP168)*$AH168)-SUM($HM168:HN168)-SUM($CW168:CX168)))</f>
        <v>0</v>
      </c>
      <c r="IS168" s="141">
        <f>IF(ISBLANK($A168),,IF($AN168="Não",0,(SUM($AO168:AQ168)*$AH168)-SUM($HM168:HO168)-SUM($CW168:CY168)))</f>
        <v>0</v>
      </c>
      <c r="IT168" s="141">
        <f>IF(ISBLANK($A168),,IF($AN168="Não",0,(SUM($AO168:AR168)*$AH168)-SUM($HM168:HP168)-SUM($CW168:CZ168)))</f>
        <v>0</v>
      </c>
      <c r="IU168" s="141">
        <f>IF(ISBLANK($A168),,IF($AN168="Não",0,(SUM($AO168:AS168)*$AH168)-SUM($HM168:HQ168)-SUM($CW168:DA168)))</f>
        <v>0</v>
      </c>
      <c r="IV168" s="141">
        <f>IF(ISBLANK($A168),,IF($AN168="Não",0,(SUM($AO168:AT168)*$AH168)-SUM($HM168:HR168)-SUM($CW168:DB168)))</f>
        <v>0</v>
      </c>
      <c r="IW168" s="141">
        <f>IF(ISBLANK($A168),,IF($AN168="Não",0,(SUM($AO168:AU168)*$AH168)-SUM($HM168:HS168)-SUM($CW168:DC168)))</f>
        <v>0</v>
      </c>
      <c r="IX168" s="141">
        <f>IF(ISBLANK($A168),,IF($AN168="Não",0,(SUM($AO168:AV168)*$AH168)-SUM($HM168:HT168)-SUM($CW168:DD168)))</f>
        <v>0</v>
      </c>
      <c r="IY168" s="141">
        <f>IF(ISBLANK($A168),,IF($AN168="Não",0,(SUM($AO168:AW168)*$AH168)-SUM($HM168:HU168)-SUM($CW168:DE168)))</f>
        <v>0</v>
      </c>
      <c r="IZ168" s="141">
        <f>IF(ISBLANK($A168),,IF($AN168="Não",0,(SUM($AO168:AX168)*$AH168)-SUM($HM168:HV168)-SUM($CW168:DF168)))</f>
        <v>0</v>
      </c>
      <c r="JA168" s="141">
        <f>IF(ISBLANK($A168),,IF($AN168="Não",0,(SUM($AO168:AY168)*$AH168)-SUM($HM168:HW168)-SUM($CW168:DG168)))</f>
        <v>0</v>
      </c>
      <c r="JB168" s="141">
        <f>IF(ISBLANK($A168),,IF($AN168="Não",0,(SUM($AO168:AZ168)*$AH168)-SUM($HM168:HX168)-SUM($CW168:DH168)))</f>
        <v>0</v>
      </c>
      <c r="JC168" s="141">
        <f>IF(ISBLANK($A168),,IF($AN168="Não",0,(SUM($AO168:BA168)*$AH168)-SUM($HM168:HY168)-SUM($CW168:DI168)))</f>
        <v>0</v>
      </c>
      <c r="JD168" s="141">
        <f>IF(ISBLANK($A168),,IF($AN168="Não",0,(SUM($AO168:BB168)*$AH168)-SUM($HM168:HZ168)-SUM($CW168:DJ168)))</f>
        <v>0</v>
      </c>
      <c r="JE168" s="141">
        <f>IF(ISBLANK($A168),,IF($AN168="Não",0,(SUM($AO168:BC168)*$AH168)-SUM($HM168:IA168)-SUM($CW168:DK168)))</f>
        <v>0</v>
      </c>
      <c r="JF168" s="141">
        <f>IF(ISBLANK($A168),,IF($AN168="Não",0,(SUM($AO168:BD168)*$AH168)-SUM($HM168:IB168)-SUM($CW168:DL168)))</f>
        <v>0</v>
      </c>
      <c r="JG168" s="141">
        <f>IF(ISBLANK($A168),,IF($AN168="Não",0,(SUM($AO168:BE168)*$AH168)-SUM($HM168:IC168)-SUM($CW168:DM168)))</f>
        <v>0</v>
      </c>
      <c r="JH168" s="141">
        <f>IF(ISBLANK($A168),,IF($AN168="Não",0,(SUM($AO168:BF168)*$AH168)-SUM($HM168:ID168)-SUM($CW168:DN168)))</f>
        <v>0</v>
      </c>
      <c r="JI168" s="141">
        <f>IF(ISBLANK($A168),,IF($AN168="Não",0,(SUM($AO168:BG168)*$AH168)-SUM($HM168:IE168)-SUM($CW168:DO168)))</f>
        <v>0</v>
      </c>
      <c r="JJ168" s="141">
        <f>IF(ISBLANK($A168),,IF($AN168="Não",0,(SUM($AO168:BH168)*$AH168)-SUM($HM168:IF168)-SUM($CW168:DP168)))</f>
        <v>0</v>
      </c>
      <c r="JK168" s="141">
        <f>IF(ISBLANK($A168),,IF($AN168="Não",0,(SUM($AO168:BI168)*$AH168)-SUM($HM168:IG168)-SUM($CW168:DQ168)))</f>
        <v>0</v>
      </c>
      <c r="JL168" s="141">
        <f>IF(ISBLANK($A168),,IF($AN168="Não",0,(SUM($AO168:BJ168)*$AH168)-SUM($HM168:IH168)-SUM($CW168:DR168)))</f>
        <v>0</v>
      </c>
      <c r="JM168" s="141">
        <f>IF(ISBLANK($A168),,IF($AN168="Não",0,(SUM($AO168:BK168)*$AH168)-SUM($HM168:II168)-SUM($CW168:DS168)))</f>
        <v>0</v>
      </c>
      <c r="JN168" s="141">
        <f>IF(ISBLANK($A168),,IF($AN168="Não",0,(SUM($AO168:BL168)*$AH168)-SUM($HM168:IJ168)-SUM($CW168:DT168)))</f>
        <v>0</v>
      </c>
      <c r="JO168" s="141">
        <f>IF(ISBLANK($A168),,IF($AN168="Não",0,(SUM($AO168:BM168)*$AH168)-SUM($HM168:IK168)-SUM($CW168:DU168)))</f>
        <v>0</v>
      </c>
      <c r="JP168" s="141">
        <f>IF(ISBLANK($A168),,IF($AN168="Não",0,(SUM($AO168:BN168)*$AH168)-SUM($HM168:IL168)-SUM($CW168:DV168)))</f>
        <v>0</v>
      </c>
      <c r="JQ168" s="141">
        <f>IF(ISBLANK($A168),,IF($AN168="Não",0,(SUM($AO168:BO168)*$AH168)-SUM($HM168:IM168)-SUM($CW168:DW168)))</f>
        <v>0</v>
      </c>
      <c r="JR168" s="141">
        <f>IF(ISBLANK($A168),,IF($AN168="Não",0,(SUM($AO168:BP168)*$AH168)-SUM($HM168:IN168)-SUM($CW168:DX168)))</f>
        <v>0</v>
      </c>
      <c r="JS168" s="141">
        <f>IF(ISBLANK($A168),,IF($AN168="Não",0,(SUM($AO168:BQ168)*$AH168)-SUM($HM168:IO168)-SUM($CW168:DY168)))</f>
        <v>0</v>
      </c>
      <c r="JT168" s="141">
        <f>IF(ISBLANK($A168),,IF($AN168="Não",0,(SUM($AO168:BR168)*$AH168)-SUM($HM168:IP168)-SUM($CW168:DZ168)))</f>
        <v>0</v>
      </c>
    </row>
    <row r="169" spans="1:280" ht="15.75" customHeight="1">
      <c r="A169" s="129"/>
      <c r="B169" s="129"/>
      <c r="C169" s="138"/>
      <c r="D169" s="139"/>
      <c r="E169" s="139"/>
      <c r="F169" s="139"/>
      <c r="G169" s="139"/>
      <c r="H169" s="139"/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607">
        <f t="shared" ref="AH169:AH176" si="875">IF(ISBLANK(A169),,VLOOKUP(A169,ListaInvestimentos,3,0)*(1+CorrInvest))</f>
        <v>0</v>
      </c>
      <c r="AI169" s="608">
        <f t="shared" ref="AI169:AI176" si="876">IF(ISBLANK(A169),,VLOOKUP(A169,ListaInvestimentos,4,0))</f>
        <v>0</v>
      </c>
      <c r="AJ169" s="609">
        <f t="shared" ref="AJ169:AJ176" si="877">IF(ISBLANK(A169),,VLOOKUP(A169,ListaInvestimentos,5,0))</f>
        <v>0</v>
      </c>
      <c r="AK169" s="610" t="str">
        <f t="shared" ref="AK169:AK176" si="878">IF(ISBLANK(A169),"",VLOOKUP(A169,ListaInvestimentos,6,0))</f>
        <v/>
      </c>
      <c r="AL169" s="609">
        <f t="shared" ref="AL169:AL176" si="879">IF(ISBLANK(A169),,VLOOKUP(A169,ListaInvestimentos,7,0))</f>
        <v>0</v>
      </c>
      <c r="AM169" s="611" t="str">
        <f t="shared" ref="AM169:AM176" si="880">IF(ISBLANK(A169),"",VLOOKUP(A169,ListaInvestimentos,8,0))</f>
        <v/>
      </c>
      <c r="AN169" s="611" t="str">
        <f t="shared" ref="AN169:AN176" si="881">IF(ISBLANK(A169),"",VLOOKUP(A169,ListaInvestimentos,9,0))</f>
        <v/>
      </c>
      <c r="AO169" s="140">
        <f t="array" ref="AO169">IF(ISBLANK($A169),0,IF(OR(AO$5-$AI169&lt;=0,$AM169="Não"),D169,D169+INDEX($AO$6:$BR$176,ROW()-5,COLUMN()-40-$AI169)))*IF($B169="Operacional",IFERROR(VLOOKUP($C169,SN_UGC,28,0),0),1)</f>
        <v>0</v>
      </c>
      <c r="AP169" s="140">
        <f t="array" ref="AP169">IF(ISBLANK($A169),0,IF(OR(AP$5-$AI169&lt;=0,$AM169="Não"),E169,E169+INDEX($AO$6:$BR$176,ROW()-5,COLUMN()-40-$AI169)))*IF($B169="Operacional",IFERROR(VLOOKUP($C169,SN_UGC,28,0),0),1)</f>
        <v>0</v>
      </c>
      <c r="AQ169" s="140">
        <f t="array" ref="AQ169">IF(ISBLANK($A169),0,IF(OR(AQ$5-$AI169&lt;=0,$AM169="Não"),F169,F169+INDEX($AO$6:$BR$176,ROW()-5,COLUMN()-40-$AI169)))*IF($B169="Operacional",IFERROR(VLOOKUP($C169,SN_UGC,28,0),0),1)</f>
        <v>0</v>
      </c>
      <c r="AR169" s="140">
        <f t="array" ref="AR169">IF(ISBLANK($A169),0,IF(OR(AR$5-$AI169&lt;=0,$AM169="Não"),G169,G169+INDEX($AO$6:$BR$176,ROW()-5,COLUMN()-40-$AI169)))*IF($B169="Operacional",IFERROR(VLOOKUP($C169,SN_UGC,28,0),0),1)</f>
        <v>0</v>
      </c>
      <c r="AS169" s="140">
        <f t="array" ref="AS169">IF(ISBLANK($A169),0,IF(OR(AS$5-$AI169&lt;=0,$AM169="Não"),H169,H169+INDEX($AO$6:$BR$176,ROW()-5,COLUMN()-40-$AI169)))*IF($B169="Operacional",IFERROR(VLOOKUP($C169,SN_UGC,28,0),0),1)</f>
        <v>0</v>
      </c>
      <c r="AT169" s="140">
        <f t="array" ref="AT169">IF(ISBLANK($A169),0,IF(OR(AT$5-$AI169&lt;=0,$AM169="Não"),I169,I169+INDEX($AO$6:$BR$176,ROW()-5,COLUMN()-40-$AI169)))*IF($B169="Operacional",IFERROR(VLOOKUP($C169,SN_UGC,28,0),0),1)</f>
        <v>0</v>
      </c>
      <c r="AU169" s="140">
        <f t="array" ref="AU169">IF(ISBLANK($A169),0,IF(OR(AU$5-$AI169&lt;=0,$AM169="Não"),J169,J169+INDEX($AO$6:$BR$176,ROW()-5,COLUMN()-40-$AI169)))*IF($B169="Operacional",IFERROR(VLOOKUP($C169,SN_UGC,28,0),0),1)</f>
        <v>0</v>
      </c>
      <c r="AV169" s="140">
        <f t="array" ref="AV169">IF(ISBLANK($A169),0,IF(OR(AV$5-$AI169&lt;=0,$AM169="Não"),K169,K169+INDEX($AO$6:$BR$176,ROW()-5,COLUMN()-40-$AI169)))*IF($B169="Operacional",IFERROR(VLOOKUP($C169,SN_UGC,28,0),0),1)</f>
        <v>0</v>
      </c>
      <c r="AW169" s="140">
        <f t="array" ref="AW169">IF(ISBLANK($A169),0,IF(OR(AW$5-$AI169&lt;=0,$AM169="Não"),L169,L169+INDEX($AO$6:$BR$176,ROW()-5,COLUMN()-40-$AI169)))*IF($B169="Operacional",IFERROR(VLOOKUP($C169,SN_UGC,28,0),0),1)</f>
        <v>0</v>
      </c>
      <c r="AX169" s="140">
        <f t="array" ref="AX169">IF(ISBLANK($A169),0,IF(OR(AX$5-$AI169&lt;=0,$AM169="Não"),M169,M169+INDEX($AO$6:$BR$176,ROW()-5,COLUMN()-40-$AI169)))*IF($B169="Operacional",IFERROR(VLOOKUP($C169,SN_UGC,28,0),0),1)</f>
        <v>0</v>
      </c>
      <c r="AY169" s="140">
        <f t="array" ref="AY169">IF(ISBLANK($A169),0,IF(OR(AY$5-$AI169&lt;=0,$AM169="Não"),N169,N169+INDEX($AO$6:$BR$176,ROW()-5,COLUMN()-40-$AI169)))*IF($B169="Operacional",IFERROR(VLOOKUP($C169,SN_UGC,28,0),0),1)</f>
        <v>0</v>
      </c>
      <c r="AZ169" s="140">
        <f t="array" ref="AZ169">IF(ISBLANK($A169),0,IF(OR(AZ$5-$AI169&lt;=0,$AM169="Não"),O169,O169+INDEX($AO$6:$BR$176,ROW()-5,COLUMN()-40-$AI169)))*IF($B169="Operacional",IFERROR(VLOOKUP($C169,SN_UGC,28,0),0),1)</f>
        <v>0</v>
      </c>
      <c r="BA169" s="140">
        <f t="array" ref="BA169">IF(ISBLANK($A169),0,IF(OR(BA$5-$AI169&lt;=0,$AM169="Não"),P169,P169+INDEX($AO$6:$BR$176,ROW()-5,COLUMN()-40-$AI169)))*IF($B169="Operacional",IFERROR(VLOOKUP($C169,SN_UGC,28,0),0),1)</f>
        <v>0</v>
      </c>
      <c r="BB169" s="140">
        <f t="array" ref="BB169">IF(ISBLANK($A169),0,IF(OR(BB$5-$AI169&lt;=0,$AM169="Não"),Q169,Q169+INDEX($AO$6:$BR$176,ROW()-5,COLUMN()-40-$AI169)))*IF($B169="Operacional",IFERROR(VLOOKUP($C169,SN_UGC,28,0),0),1)</f>
        <v>0</v>
      </c>
      <c r="BC169" s="140">
        <f t="array" ref="BC169">IF(ISBLANK($A169),0,IF(OR(BC$5-$AI169&lt;=0,$AM169="Não"),R169,R169+INDEX($AO$6:$BR$176,ROW()-5,COLUMN()-40-$AI169)))*IF($B169="Operacional",IFERROR(VLOOKUP($C169,SN_UGC,28,0),0),1)</f>
        <v>0</v>
      </c>
      <c r="BD169" s="140">
        <f t="array" ref="BD169">IF(ISBLANK($A169),0,IF(OR(BD$5-$AI169&lt;=0,$AM169="Não"),S169,S169+INDEX($AO$6:$BR$176,ROW()-5,COLUMN()-40-$AI169)))*IF($B169="Operacional",IFERROR(VLOOKUP($C169,SN_UGC,28,0),0),1)</f>
        <v>0</v>
      </c>
      <c r="BE169" s="140">
        <f t="array" ref="BE169">IF(ISBLANK($A169),0,IF(OR(BE$5-$AI169&lt;=0,$AM169="Não"),T169,T169+INDEX($AO$6:$BR$176,ROW()-5,COLUMN()-40-$AI169)))*IF($B169="Operacional",IFERROR(VLOOKUP($C169,SN_UGC,28,0),0),1)</f>
        <v>0</v>
      </c>
      <c r="BF169" s="140">
        <f t="array" ref="BF169">IF(ISBLANK($A169),0,IF(OR(BF$5-$AI169&lt;=0,$AM169="Não"),U169,U169+INDEX($AO$6:$BR$176,ROW()-5,COLUMN()-40-$AI169)))*IF($B169="Operacional",IFERROR(VLOOKUP($C169,SN_UGC,28,0),0),1)</f>
        <v>0</v>
      </c>
      <c r="BG169" s="140">
        <f t="array" ref="BG169">IF(ISBLANK($A169),0,IF(OR(BG$5-$AI169&lt;=0,$AM169="Não"),V169,V169+INDEX($AO$6:$BR$176,ROW()-5,COLUMN()-40-$AI169)))*IF($B169="Operacional",IFERROR(VLOOKUP($C169,SN_UGC,28,0),0),1)</f>
        <v>0</v>
      </c>
      <c r="BH169" s="140">
        <f t="array" ref="BH169">IF(ISBLANK($A169),0,IF(OR(BH$5-$AI169&lt;=0,$AM169="Não"),W169,W169+INDEX($AO$6:$BR$176,ROW()-5,COLUMN()-40-$AI169)))*IF($B169="Operacional",IFERROR(VLOOKUP($C169,SN_UGC,28,0),0),1)</f>
        <v>0</v>
      </c>
      <c r="BI169" s="140">
        <f t="array" ref="BI169">IF(ISBLANK($A169),0,IF(OR(BI$5-$AI169&lt;=0,$AM169="Não"),X169,X169+INDEX($AO$6:$BR$176,ROW()-5,COLUMN()-40-$AI169)))*IF($B169="Operacional",IFERROR(VLOOKUP($C169,SN_UGC,28,0),0),1)</f>
        <v>0</v>
      </c>
      <c r="BJ169" s="140">
        <f t="array" ref="BJ169">IF(ISBLANK($A169),0,IF(OR(BJ$5-$AI169&lt;=0,$AM169="Não"),Y169,Y169+INDEX($AO$6:$BR$176,ROW()-5,COLUMN()-40-$AI169)))*IF($B169="Operacional",IFERROR(VLOOKUP($C169,SN_UGC,28,0),0),1)</f>
        <v>0</v>
      </c>
      <c r="BK169" s="140">
        <f t="array" ref="BK169">IF(ISBLANK($A169),0,IF(OR(BK$5-$AI169&lt;=0,$AM169="Não"),Z169,Z169+INDEX($AO$6:$BR$176,ROW()-5,COLUMN()-40-$AI169)))*IF($B169="Operacional",IFERROR(VLOOKUP($C169,SN_UGC,28,0),0),1)</f>
        <v>0</v>
      </c>
      <c r="BL169" s="140">
        <f t="array" ref="BL169">IF(ISBLANK($A169),0,IF(OR(BL$5-$AI169&lt;=0,$AM169="Não"),AA169,AA169+INDEX($AO$6:$BR$176,ROW()-5,COLUMN()-40-$AI169)))*IF($B169="Operacional",IFERROR(VLOOKUP($C169,SN_UGC,28,0),0),1)</f>
        <v>0</v>
      </c>
      <c r="BM169" s="140">
        <f t="array" ref="BM169">IF(ISBLANK($A169),0,IF(OR(BM$5-$AI169&lt;=0,$AM169="Não"),AB169,AB169+INDEX($AO$6:$BR$176,ROW()-5,COLUMN()-40-$AI169)))*IF($B169="Operacional",IFERROR(VLOOKUP($C169,SN_UGC,28,0),0),1)</f>
        <v>0</v>
      </c>
      <c r="BN169" s="140">
        <f t="array" ref="BN169">IF(ISBLANK($A169),0,IF(OR(BN$5-$AI169&lt;=0,$AM169="Não"),AC169,AC169+INDEX($AO$6:$BR$176,ROW()-5,COLUMN()-40-$AI169)))*IF($B169="Operacional",IFERROR(VLOOKUP($C169,SN_UGC,28,0),0),1)</f>
        <v>0</v>
      </c>
      <c r="BO169" s="140">
        <f t="array" ref="BO169">IF(ISBLANK($A169),0,IF(OR(BO$5-$AI169&lt;=0,$AM169="Não"),AD169,AD169+INDEX($AO$6:$BR$176,ROW()-5,COLUMN()-40-$AI169)))*IF($B169="Operacional",IFERROR(VLOOKUP($C169,SN_UGC,28,0),0),1)</f>
        <v>0</v>
      </c>
      <c r="BP169" s="140">
        <f t="array" ref="BP169">IF(ISBLANK($A169),0,IF(OR(BP$5-$AI169&lt;=0,$AM169="Não"),AE169,AE169+INDEX($AO$6:$BR$176,ROW()-5,COLUMN()-40-$AI169)))*IF($B169="Operacional",IFERROR(VLOOKUP($C169,SN_UGC,28,0),0),1)</f>
        <v>0</v>
      </c>
      <c r="BQ169" s="140">
        <f t="array" ref="BQ169">IF(ISBLANK($A169),0,IF(OR(BQ$5-$AI169&lt;=0,$AM169="Não"),AF169,AF169+INDEX($AO$6:$BR$176,ROW()-5,COLUMN()-40-$AI169)))*IF($B169="Operacional",IFERROR(VLOOKUP($C169,SN_UGC,28,0),0),1)</f>
        <v>0</v>
      </c>
      <c r="BR169" s="140">
        <f t="array" ref="BR169">IF(ISBLANK($A169),0,IF(OR(BR$5-$AI169&lt;=0,$AM169="Não"),AG169,AG169+INDEX($AO$6:$BR$176,ROW()-5,COLUMN()-40-$AI169)))*IF($B169="Operacional",IFERROR(VLOOKUP($C169,SN_UGC,28,0),0),1)</f>
        <v>0</v>
      </c>
      <c r="BS169" s="141">
        <f t="shared" ref="BS169:CV169" si="882">IF(ISBLANK($A169),0,$AH169*AO169)</f>
        <v>0</v>
      </c>
      <c r="BT169" s="141">
        <f t="shared" si="882"/>
        <v>0</v>
      </c>
      <c r="BU169" s="141">
        <f t="shared" si="882"/>
        <v>0</v>
      </c>
      <c r="BV169" s="141">
        <f t="shared" si="882"/>
        <v>0</v>
      </c>
      <c r="BW169" s="141">
        <f t="shared" si="882"/>
        <v>0</v>
      </c>
      <c r="BX169" s="141">
        <f t="shared" si="882"/>
        <v>0</v>
      </c>
      <c r="BY169" s="141">
        <f t="shared" si="882"/>
        <v>0</v>
      </c>
      <c r="BZ169" s="141">
        <f t="shared" si="882"/>
        <v>0</v>
      </c>
      <c r="CA169" s="141">
        <f t="shared" si="882"/>
        <v>0</v>
      </c>
      <c r="CB169" s="141">
        <f t="shared" si="882"/>
        <v>0</v>
      </c>
      <c r="CC169" s="141">
        <f t="shared" si="882"/>
        <v>0</v>
      </c>
      <c r="CD169" s="141">
        <f t="shared" si="882"/>
        <v>0</v>
      </c>
      <c r="CE169" s="141">
        <f t="shared" si="882"/>
        <v>0</v>
      </c>
      <c r="CF169" s="141">
        <f t="shared" si="882"/>
        <v>0</v>
      </c>
      <c r="CG169" s="141">
        <f t="shared" si="882"/>
        <v>0</v>
      </c>
      <c r="CH169" s="141">
        <f t="shared" si="882"/>
        <v>0</v>
      </c>
      <c r="CI169" s="141">
        <f t="shared" si="882"/>
        <v>0</v>
      </c>
      <c r="CJ169" s="141">
        <f t="shared" si="882"/>
        <v>0</v>
      </c>
      <c r="CK169" s="141">
        <f t="shared" si="882"/>
        <v>0</v>
      </c>
      <c r="CL169" s="141">
        <f t="shared" si="882"/>
        <v>0</v>
      </c>
      <c r="CM169" s="141">
        <f t="shared" si="882"/>
        <v>0</v>
      </c>
      <c r="CN169" s="141">
        <f t="shared" si="882"/>
        <v>0</v>
      </c>
      <c r="CO169" s="141">
        <f t="shared" si="882"/>
        <v>0</v>
      </c>
      <c r="CP169" s="141">
        <f t="shared" si="882"/>
        <v>0</v>
      </c>
      <c r="CQ169" s="141">
        <f t="shared" si="882"/>
        <v>0</v>
      </c>
      <c r="CR169" s="141">
        <f t="shared" si="882"/>
        <v>0</v>
      </c>
      <c r="CS169" s="141">
        <f t="shared" si="882"/>
        <v>0</v>
      </c>
      <c r="CT169" s="141">
        <f t="shared" si="882"/>
        <v>0</v>
      </c>
      <c r="CU169" s="141">
        <f t="shared" si="882"/>
        <v>0</v>
      </c>
      <c r="CV169" s="141">
        <f t="shared" si="882"/>
        <v>0</v>
      </c>
      <c r="CW169" s="142">
        <f t="shared" ref="CW169:DZ169" si="883">EA169*$AH169*$AJ169</f>
        <v>0</v>
      </c>
      <c r="CX169" s="142">
        <f t="shared" si="883"/>
        <v>0</v>
      </c>
      <c r="CY169" s="142">
        <f t="shared" si="883"/>
        <v>0</v>
      </c>
      <c r="CZ169" s="142">
        <f t="shared" si="883"/>
        <v>0</v>
      </c>
      <c r="DA169" s="142">
        <f t="shared" si="883"/>
        <v>0</v>
      </c>
      <c r="DB169" s="142">
        <f t="shared" si="883"/>
        <v>0</v>
      </c>
      <c r="DC169" s="142">
        <f t="shared" si="883"/>
        <v>0</v>
      </c>
      <c r="DD169" s="142">
        <f t="shared" si="883"/>
        <v>0</v>
      </c>
      <c r="DE169" s="142">
        <f t="shared" si="883"/>
        <v>0</v>
      </c>
      <c r="DF169" s="142">
        <f t="shared" si="883"/>
        <v>0</v>
      </c>
      <c r="DG169" s="142">
        <f t="shared" si="883"/>
        <v>0</v>
      </c>
      <c r="DH169" s="142">
        <f t="shared" si="883"/>
        <v>0</v>
      </c>
      <c r="DI169" s="142">
        <f t="shared" si="883"/>
        <v>0</v>
      </c>
      <c r="DJ169" s="142">
        <f t="shared" si="883"/>
        <v>0</v>
      </c>
      <c r="DK169" s="142">
        <f t="shared" si="883"/>
        <v>0</v>
      </c>
      <c r="DL169" s="142">
        <f t="shared" si="883"/>
        <v>0</v>
      </c>
      <c r="DM169" s="142">
        <f t="shared" si="883"/>
        <v>0</v>
      </c>
      <c r="DN169" s="142">
        <f t="shared" si="883"/>
        <v>0</v>
      </c>
      <c r="DO169" s="142">
        <f t="shared" si="883"/>
        <v>0</v>
      </c>
      <c r="DP169" s="142">
        <f t="shared" si="883"/>
        <v>0</v>
      </c>
      <c r="DQ169" s="142">
        <f t="shared" si="883"/>
        <v>0</v>
      </c>
      <c r="DR169" s="142">
        <f t="shared" si="883"/>
        <v>0</v>
      </c>
      <c r="DS169" s="142">
        <f t="shared" si="883"/>
        <v>0</v>
      </c>
      <c r="DT169" s="142">
        <f t="shared" si="883"/>
        <v>0</v>
      </c>
      <c r="DU169" s="142">
        <f t="shared" si="883"/>
        <v>0</v>
      </c>
      <c r="DV169" s="142">
        <f t="shared" si="883"/>
        <v>0</v>
      </c>
      <c r="DW169" s="142">
        <f t="shared" si="883"/>
        <v>0</v>
      </c>
      <c r="DX169" s="142">
        <f t="shared" si="883"/>
        <v>0</v>
      </c>
      <c r="DY169" s="142">
        <f t="shared" si="883"/>
        <v>0</v>
      </c>
      <c r="DZ169" s="142">
        <f t="shared" si="883"/>
        <v>0</v>
      </c>
      <c r="EA169" s="143">
        <f t="shared" si="835"/>
        <v>0</v>
      </c>
      <c r="EB169" s="143">
        <f t="shared" si="836"/>
        <v>0</v>
      </c>
      <c r="EC169" s="143">
        <f t="shared" si="837"/>
        <v>0</v>
      </c>
      <c r="ED169" s="143">
        <f t="shared" si="838"/>
        <v>0</v>
      </c>
      <c r="EE169" s="143">
        <f t="shared" si="839"/>
        <v>0</v>
      </c>
      <c r="EF169" s="143">
        <f t="shared" si="840"/>
        <v>0</v>
      </c>
      <c r="EG169" s="143">
        <f t="shared" si="841"/>
        <v>0</v>
      </c>
      <c r="EH169" s="143">
        <f t="shared" si="842"/>
        <v>0</v>
      </c>
      <c r="EI169" s="143">
        <f t="shared" si="843"/>
        <v>0</v>
      </c>
      <c r="EJ169" s="143">
        <f t="shared" si="844"/>
        <v>0</v>
      </c>
      <c r="EK169" s="143">
        <f t="shared" si="845"/>
        <v>0</v>
      </c>
      <c r="EL169" s="143">
        <f t="shared" si="846"/>
        <v>0</v>
      </c>
      <c r="EM169" s="143">
        <f t="shared" si="847"/>
        <v>0</v>
      </c>
      <c r="EN169" s="143">
        <f t="shared" si="848"/>
        <v>0</v>
      </c>
      <c r="EO169" s="143">
        <f t="shared" si="849"/>
        <v>0</v>
      </c>
      <c r="EP169" s="143">
        <f t="shared" si="850"/>
        <v>0</v>
      </c>
      <c r="EQ169" s="143">
        <f t="shared" si="851"/>
        <v>0</v>
      </c>
      <c r="ER169" s="143">
        <f t="shared" si="852"/>
        <v>0</v>
      </c>
      <c r="ES169" s="143">
        <f t="shared" si="853"/>
        <v>0</v>
      </c>
      <c r="ET169" s="143">
        <f t="shared" si="854"/>
        <v>0</v>
      </c>
      <c r="EU169" s="143">
        <f t="shared" si="855"/>
        <v>0</v>
      </c>
      <c r="EV169" s="143">
        <f t="shared" si="856"/>
        <v>0</v>
      </c>
      <c r="EW169" s="143">
        <f t="shared" si="857"/>
        <v>0</v>
      </c>
      <c r="EX169" s="143">
        <f t="shared" si="858"/>
        <v>0</v>
      </c>
      <c r="EY169" s="143">
        <f t="shared" si="859"/>
        <v>0</v>
      </c>
      <c r="EZ169" s="143">
        <f t="shared" si="860"/>
        <v>0</v>
      </c>
      <c r="FA169" s="143">
        <f t="shared" si="861"/>
        <v>0</v>
      </c>
      <c r="FB169" s="143">
        <f t="shared" si="862"/>
        <v>0</v>
      </c>
      <c r="FC169" s="143">
        <f t="shared" si="863"/>
        <v>0</v>
      </c>
      <c r="FD169" s="143">
        <f t="shared" si="864"/>
        <v>0</v>
      </c>
      <c r="FE169" s="140">
        <f>SUM($D169:D169)*IF($B169="Operacional",IFERROR(VLOOKUP($C169,SN_UGC,28,0),0),1)</f>
        <v>0</v>
      </c>
      <c r="FF169" s="140">
        <f>SUM($D169:E169)*IF($B169="Operacional",IFERROR(VLOOKUP($C169,SN_UGC,28,0),0),1)</f>
        <v>0</v>
      </c>
      <c r="FG169" s="140">
        <f>SUM($D169:F169)*IF($B169="Operacional",IFERROR(VLOOKUP($C169,SN_UGC,28,0),0),1)</f>
        <v>0</v>
      </c>
      <c r="FH169" s="140">
        <f>SUM($D169:G169)*IF($B169="Operacional",IFERROR(VLOOKUP($C169,SN_UGC,28,0),0),1)</f>
        <v>0</v>
      </c>
      <c r="FI169" s="140">
        <f>SUM($D169:H169)*IF($B169="Operacional",IFERROR(VLOOKUP($C169,SN_UGC,28,0),0),1)</f>
        <v>0</v>
      </c>
      <c r="FJ169" s="140">
        <f>SUM($D169:I169)*IF($B169="Operacional",IFERROR(VLOOKUP($C169,SN_UGC,28,0),0),1)</f>
        <v>0</v>
      </c>
      <c r="FK169" s="140">
        <f>SUM($D169:J169)*IF($B169="Operacional",IFERROR(VLOOKUP($C169,SN_UGC,28,0),0),1)</f>
        <v>0</v>
      </c>
      <c r="FL169" s="140">
        <f>SUM($D169:K169)*IF($B169="Operacional",IFERROR(VLOOKUP($C169,SN_UGC,28,0),0),1)</f>
        <v>0</v>
      </c>
      <c r="FM169" s="140">
        <f>SUM($D169:L169)*IF($B169="Operacional",IFERROR(VLOOKUP($C169,SN_UGC,28,0),0),1)</f>
        <v>0</v>
      </c>
      <c r="FN169" s="140">
        <f>SUM($D169:M169)*IF($B169="Operacional",IFERROR(VLOOKUP($C169,SN_UGC,28,0),0),1)</f>
        <v>0</v>
      </c>
      <c r="FO169" s="140">
        <f>SUM($D169:N169)*IF($B169="Operacional",IFERROR(VLOOKUP($C169,SN_UGC,28,0),0),1)</f>
        <v>0</v>
      </c>
      <c r="FP169" s="140">
        <f>SUM($D169:O169)*IF($B169="Operacional",IFERROR(VLOOKUP($C169,SN_UGC,28,0),0),1)</f>
        <v>0</v>
      </c>
      <c r="FQ169" s="140">
        <f>SUM($D169:P169)*IF($B169="Operacional",IFERROR(VLOOKUP($C169,SN_UGC,28,0),0),1)</f>
        <v>0</v>
      </c>
      <c r="FR169" s="140">
        <f>SUM($D169:Q169)*IF($B169="Operacional",IFERROR(VLOOKUP($C169,SN_UGC,28,0),0),1)</f>
        <v>0</v>
      </c>
      <c r="FS169" s="140">
        <f>SUM($D169:R169)*IF($B169="Operacional",IFERROR(VLOOKUP($C169,SN_UGC,28,0),0),1)</f>
        <v>0</v>
      </c>
      <c r="FT169" s="140">
        <f>SUM($D169:S169)*IF($B169="Operacional",IFERROR(VLOOKUP($C169,SN_UGC,28,0),0),1)</f>
        <v>0</v>
      </c>
      <c r="FU169" s="140">
        <f>SUM($D169:T169)*IF($B169="Operacional",IFERROR(VLOOKUP($C169,SN_UGC,28,0),0),1)</f>
        <v>0</v>
      </c>
      <c r="FV169" s="140">
        <f>SUM($D169:U169)*IF($B169="Operacional",IFERROR(VLOOKUP($C169,SN_UGC,28,0),0),1)</f>
        <v>0</v>
      </c>
      <c r="FW169" s="140">
        <f>SUM($D169:V169)*IF($B169="Operacional",IFERROR(VLOOKUP($C169,SN_UGC,28,0),0),1)</f>
        <v>0</v>
      </c>
      <c r="FX169" s="140">
        <f>SUM($D169:W169)*IF($B169="Operacional",IFERROR(VLOOKUP($C169,SN_UGC,28,0),0),1)</f>
        <v>0</v>
      </c>
      <c r="FY169" s="140">
        <f>SUM($D169:X169)*IF($B169="Operacional",IFERROR(VLOOKUP($C169,SN_UGC,28,0),0),1)</f>
        <v>0</v>
      </c>
      <c r="FZ169" s="140">
        <f>SUM($D169:Y169)*IF($B169="Operacional",IFERROR(VLOOKUP($C169,SN_UGC,28,0),0),1)</f>
        <v>0</v>
      </c>
      <c r="GA169" s="140">
        <f>SUM($D169:Z169)*IF($B169="Operacional",IFERROR(VLOOKUP($C169,SN_UGC,28,0),0),1)</f>
        <v>0</v>
      </c>
      <c r="GB169" s="140">
        <f>SUM($D169:AA169)*IF($B169="Operacional",IFERROR(VLOOKUP($C169,SN_UGC,28,0),0),1)</f>
        <v>0</v>
      </c>
      <c r="GC169" s="140">
        <f>SUM($D169:AB169)*IF($B169="Operacional",IFERROR(VLOOKUP($C169,SN_UGC,28,0),0),1)</f>
        <v>0</v>
      </c>
      <c r="GD169" s="140">
        <f>SUM($D169:AC169)*IF($B169="Operacional",IFERROR(VLOOKUP($C169,SN_UGC,28,0),0),1)</f>
        <v>0</v>
      </c>
      <c r="GE169" s="140">
        <f>SUM($D169:AD169)*IF($B169="Operacional",IFERROR(VLOOKUP($C169,SN_UGC,28,0),0),1)</f>
        <v>0</v>
      </c>
      <c r="GF169" s="140">
        <f>SUM($D169:AE169)*IF($B169="Operacional",IFERROR(VLOOKUP($C169,SN_UGC,28,0),0),1)</f>
        <v>0</v>
      </c>
      <c r="GG169" s="140">
        <f>SUM($D169:AF169)*IF($B169="Operacional",IFERROR(VLOOKUP($C169,SN_UGC,28,0),0),1)</f>
        <v>0</v>
      </c>
      <c r="GH169" s="140">
        <f>SUM($D169:AG169)*IF($B169="Operacional",IFERROR(VLOOKUP($C169,SN_UGC,28,0),0),1)</f>
        <v>0</v>
      </c>
      <c r="GI169" s="141">
        <f t="shared" ref="GI169:HL169" si="884">FE169*$AH169*$AL169</f>
        <v>0</v>
      </c>
      <c r="GJ169" s="141">
        <f t="shared" si="884"/>
        <v>0</v>
      </c>
      <c r="GK169" s="141">
        <f t="shared" si="884"/>
        <v>0</v>
      </c>
      <c r="GL169" s="141">
        <f t="shared" si="884"/>
        <v>0</v>
      </c>
      <c r="GM169" s="141">
        <f t="shared" si="884"/>
        <v>0</v>
      </c>
      <c r="GN169" s="141">
        <f t="shared" si="884"/>
        <v>0</v>
      </c>
      <c r="GO169" s="141">
        <f t="shared" si="884"/>
        <v>0</v>
      </c>
      <c r="GP169" s="141">
        <f t="shared" si="884"/>
        <v>0</v>
      </c>
      <c r="GQ169" s="141">
        <f t="shared" si="884"/>
        <v>0</v>
      </c>
      <c r="GR169" s="141">
        <f t="shared" si="884"/>
        <v>0</v>
      </c>
      <c r="GS169" s="141">
        <f t="shared" si="884"/>
        <v>0</v>
      </c>
      <c r="GT169" s="141">
        <f t="shared" si="884"/>
        <v>0</v>
      </c>
      <c r="GU169" s="141">
        <f t="shared" si="884"/>
        <v>0</v>
      </c>
      <c r="GV169" s="141">
        <f t="shared" si="884"/>
        <v>0</v>
      </c>
      <c r="GW169" s="141">
        <f t="shared" si="884"/>
        <v>0</v>
      </c>
      <c r="GX169" s="141">
        <f t="shared" si="884"/>
        <v>0</v>
      </c>
      <c r="GY169" s="141">
        <f t="shared" si="884"/>
        <v>0</v>
      </c>
      <c r="GZ169" s="141">
        <f t="shared" si="884"/>
        <v>0</v>
      </c>
      <c r="HA169" s="141">
        <f t="shared" si="884"/>
        <v>0</v>
      </c>
      <c r="HB169" s="141">
        <f t="shared" si="884"/>
        <v>0</v>
      </c>
      <c r="HC169" s="141">
        <f t="shared" si="884"/>
        <v>0</v>
      </c>
      <c r="HD169" s="141">
        <f t="shared" si="884"/>
        <v>0</v>
      </c>
      <c r="HE169" s="141">
        <f t="shared" si="884"/>
        <v>0</v>
      </c>
      <c r="HF169" s="141">
        <f t="shared" si="884"/>
        <v>0</v>
      </c>
      <c r="HG169" s="141">
        <f t="shared" si="884"/>
        <v>0</v>
      </c>
      <c r="HH169" s="141">
        <f t="shared" si="884"/>
        <v>0</v>
      </c>
      <c r="HI169" s="141">
        <f t="shared" si="884"/>
        <v>0</v>
      </c>
      <c r="HJ169" s="141">
        <f t="shared" si="884"/>
        <v>0</v>
      </c>
      <c r="HK169" s="141">
        <f t="shared" si="884"/>
        <v>0</v>
      </c>
      <c r="HL169" s="141">
        <f t="shared" si="884"/>
        <v>0</v>
      </c>
      <c r="HM169" s="142">
        <f t="shared" ref="HM169:IP169" si="885">IF(ISBLANK($A169),,FE169*($AH169-($AH169*$AJ169))/$AI169)</f>
        <v>0</v>
      </c>
      <c r="HN169" s="142">
        <f t="shared" si="885"/>
        <v>0</v>
      </c>
      <c r="HO169" s="142">
        <f t="shared" si="885"/>
        <v>0</v>
      </c>
      <c r="HP169" s="142">
        <f t="shared" si="885"/>
        <v>0</v>
      </c>
      <c r="HQ169" s="142">
        <f t="shared" si="885"/>
        <v>0</v>
      </c>
      <c r="HR169" s="142">
        <f t="shared" si="885"/>
        <v>0</v>
      </c>
      <c r="HS169" s="142">
        <f t="shared" si="885"/>
        <v>0</v>
      </c>
      <c r="HT169" s="142">
        <f t="shared" si="885"/>
        <v>0</v>
      </c>
      <c r="HU169" s="142">
        <f t="shared" si="885"/>
        <v>0</v>
      </c>
      <c r="HV169" s="142">
        <f t="shared" si="885"/>
        <v>0</v>
      </c>
      <c r="HW169" s="142">
        <f t="shared" si="885"/>
        <v>0</v>
      </c>
      <c r="HX169" s="142">
        <f t="shared" si="885"/>
        <v>0</v>
      </c>
      <c r="HY169" s="142">
        <f t="shared" si="885"/>
        <v>0</v>
      </c>
      <c r="HZ169" s="142">
        <f t="shared" si="885"/>
        <v>0</v>
      </c>
      <c r="IA169" s="142">
        <f t="shared" si="885"/>
        <v>0</v>
      </c>
      <c r="IB169" s="142">
        <f t="shared" si="885"/>
        <v>0</v>
      </c>
      <c r="IC169" s="142">
        <f t="shared" si="885"/>
        <v>0</v>
      </c>
      <c r="ID169" s="142">
        <f t="shared" si="885"/>
        <v>0</v>
      </c>
      <c r="IE169" s="142">
        <f t="shared" si="885"/>
        <v>0</v>
      </c>
      <c r="IF169" s="142">
        <f t="shared" si="885"/>
        <v>0</v>
      </c>
      <c r="IG169" s="142">
        <f t="shared" si="885"/>
        <v>0</v>
      </c>
      <c r="IH169" s="142">
        <f t="shared" si="885"/>
        <v>0</v>
      </c>
      <c r="II169" s="142">
        <f t="shared" si="885"/>
        <v>0</v>
      </c>
      <c r="IJ169" s="142">
        <f t="shared" si="885"/>
        <v>0</v>
      </c>
      <c r="IK169" s="142">
        <f t="shared" si="885"/>
        <v>0</v>
      </c>
      <c r="IL169" s="142">
        <f t="shared" si="885"/>
        <v>0</v>
      </c>
      <c r="IM169" s="142">
        <f t="shared" si="885"/>
        <v>0</v>
      </c>
      <c r="IN169" s="142">
        <f t="shared" si="885"/>
        <v>0</v>
      </c>
      <c r="IO169" s="142">
        <f t="shared" si="885"/>
        <v>0</v>
      </c>
      <c r="IP169" s="142">
        <f t="shared" si="885"/>
        <v>0</v>
      </c>
      <c r="IQ169" s="141">
        <f>IF(ISBLANK($A169),,IF($AN169="Não",0,(SUM($AO169:AO169)*$AH169)-SUM($HM169:HM169)-SUM($CW169:CW169)))</f>
        <v>0</v>
      </c>
      <c r="IR169" s="141">
        <f>IF(ISBLANK($A169),,IF($AN169="Não",0,(SUM($AO169:AP169)*$AH169)-SUM($HM169:HN169)-SUM($CW169:CX169)))</f>
        <v>0</v>
      </c>
      <c r="IS169" s="141">
        <f>IF(ISBLANK($A169),,IF($AN169="Não",0,(SUM($AO169:AQ169)*$AH169)-SUM($HM169:HO169)-SUM($CW169:CY169)))</f>
        <v>0</v>
      </c>
      <c r="IT169" s="141">
        <f>IF(ISBLANK($A169),,IF($AN169="Não",0,(SUM($AO169:AR169)*$AH169)-SUM($HM169:HP169)-SUM($CW169:CZ169)))</f>
        <v>0</v>
      </c>
      <c r="IU169" s="141">
        <f>IF(ISBLANK($A169),,IF($AN169="Não",0,(SUM($AO169:AS169)*$AH169)-SUM($HM169:HQ169)-SUM($CW169:DA169)))</f>
        <v>0</v>
      </c>
      <c r="IV169" s="141">
        <f>IF(ISBLANK($A169),,IF($AN169="Não",0,(SUM($AO169:AT169)*$AH169)-SUM($HM169:HR169)-SUM($CW169:DB169)))</f>
        <v>0</v>
      </c>
      <c r="IW169" s="141">
        <f>IF(ISBLANK($A169),,IF($AN169="Não",0,(SUM($AO169:AU169)*$AH169)-SUM($HM169:HS169)-SUM($CW169:DC169)))</f>
        <v>0</v>
      </c>
      <c r="IX169" s="141">
        <f>IF(ISBLANK($A169),,IF($AN169="Não",0,(SUM($AO169:AV169)*$AH169)-SUM($HM169:HT169)-SUM($CW169:DD169)))</f>
        <v>0</v>
      </c>
      <c r="IY169" s="141">
        <f>IF(ISBLANK($A169),,IF($AN169="Não",0,(SUM($AO169:AW169)*$AH169)-SUM($HM169:HU169)-SUM($CW169:DE169)))</f>
        <v>0</v>
      </c>
      <c r="IZ169" s="141">
        <f>IF(ISBLANK($A169),,IF($AN169="Não",0,(SUM($AO169:AX169)*$AH169)-SUM($HM169:HV169)-SUM($CW169:DF169)))</f>
        <v>0</v>
      </c>
      <c r="JA169" s="141">
        <f>IF(ISBLANK($A169),,IF($AN169="Não",0,(SUM($AO169:AY169)*$AH169)-SUM($HM169:HW169)-SUM($CW169:DG169)))</f>
        <v>0</v>
      </c>
      <c r="JB169" s="141">
        <f>IF(ISBLANK($A169),,IF($AN169="Não",0,(SUM($AO169:AZ169)*$AH169)-SUM($HM169:HX169)-SUM($CW169:DH169)))</f>
        <v>0</v>
      </c>
      <c r="JC169" s="141">
        <f>IF(ISBLANK($A169),,IF($AN169="Não",0,(SUM($AO169:BA169)*$AH169)-SUM($HM169:HY169)-SUM($CW169:DI169)))</f>
        <v>0</v>
      </c>
      <c r="JD169" s="141">
        <f>IF(ISBLANK($A169),,IF($AN169="Não",0,(SUM($AO169:BB169)*$AH169)-SUM($HM169:HZ169)-SUM($CW169:DJ169)))</f>
        <v>0</v>
      </c>
      <c r="JE169" s="141">
        <f>IF(ISBLANK($A169),,IF($AN169="Não",0,(SUM($AO169:BC169)*$AH169)-SUM($HM169:IA169)-SUM($CW169:DK169)))</f>
        <v>0</v>
      </c>
      <c r="JF169" s="141">
        <f>IF(ISBLANK($A169),,IF($AN169="Não",0,(SUM($AO169:BD169)*$AH169)-SUM($HM169:IB169)-SUM($CW169:DL169)))</f>
        <v>0</v>
      </c>
      <c r="JG169" s="141">
        <f>IF(ISBLANK($A169),,IF($AN169="Não",0,(SUM($AO169:BE169)*$AH169)-SUM($HM169:IC169)-SUM($CW169:DM169)))</f>
        <v>0</v>
      </c>
      <c r="JH169" s="141">
        <f>IF(ISBLANK($A169),,IF($AN169="Não",0,(SUM($AO169:BF169)*$AH169)-SUM($HM169:ID169)-SUM($CW169:DN169)))</f>
        <v>0</v>
      </c>
      <c r="JI169" s="141">
        <f>IF(ISBLANK($A169),,IF($AN169="Não",0,(SUM($AO169:BG169)*$AH169)-SUM($HM169:IE169)-SUM($CW169:DO169)))</f>
        <v>0</v>
      </c>
      <c r="JJ169" s="141">
        <f>IF(ISBLANK($A169),,IF($AN169="Não",0,(SUM($AO169:BH169)*$AH169)-SUM($HM169:IF169)-SUM($CW169:DP169)))</f>
        <v>0</v>
      </c>
      <c r="JK169" s="141">
        <f>IF(ISBLANK($A169),,IF($AN169="Não",0,(SUM($AO169:BI169)*$AH169)-SUM($HM169:IG169)-SUM($CW169:DQ169)))</f>
        <v>0</v>
      </c>
      <c r="JL169" s="141">
        <f>IF(ISBLANK($A169),,IF($AN169="Não",0,(SUM($AO169:BJ169)*$AH169)-SUM($HM169:IH169)-SUM($CW169:DR169)))</f>
        <v>0</v>
      </c>
      <c r="JM169" s="141">
        <f>IF(ISBLANK($A169),,IF($AN169="Não",0,(SUM($AO169:BK169)*$AH169)-SUM($HM169:II169)-SUM($CW169:DS169)))</f>
        <v>0</v>
      </c>
      <c r="JN169" s="141">
        <f>IF(ISBLANK($A169),,IF($AN169="Não",0,(SUM($AO169:BL169)*$AH169)-SUM($HM169:IJ169)-SUM($CW169:DT169)))</f>
        <v>0</v>
      </c>
      <c r="JO169" s="141">
        <f>IF(ISBLANK($A169),,IF($AN169="Não",0,(SUM($AO169:BM169)*$AH169)-SUM($HM169:IK169)-SUM($CW169:DU169)))</f>
        <v>0</v>
      </c>
      <c r="JP169" s="141">
        <f>IF(ISBLANK($A169),,IF($AN169="Não",0,(SUM($AO169:BN169)*$AH169)-SUM($HM169:IL169)-SUM($CW169:DV169)))</f>
        <v>0</v>
      </c>
      <c r="JQ169" s="141">
        <f>IF(ISBLANK($A169),,IF($AN169="Não",0,(SUM($AO169:BO169)*$AH169)-SUM($HM169:IM169)-SUM($CW169:DW169)))</f>
        <v>0</v>
      </c>
      <c r="JR169" s="141">
        <f>IF(ISBLANK($A169),,IF($AN169="Não",0,(SUM($AO169:BP169)*$AH169)-SUM($HM169:IN169)-SUM($CW169:DX169)))</f>
        <v>0</v>
      </c>
      <c r="JS169" s="141">
        <f>IF(ISBLANK($A169),,IF($AN169="Não",0,(SUM($AO169:BQ169)*$AH169)-SUM($HM169:IO169)-SUM($CW169:DY169)))</f>
        <v>0</v>
      </c>
      <c r="JT169" s="141">
        <f>IF(ISBLANK($A169),,IF($AN169="Não",0,(SUM($AO169:BR169)*$AH169)-SUM($HM169:IP169)-SUM($CW169:DZ169)))</f>
        <v>0</v>
      </c>
    </row>
    <row r="170" spans="1:280" ht="15.75" customHeight="1">
      <c r="A170" s="129"/>
      <c r="B170" s="129"/>
      <c r="C170" s="138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607">
        <f t="shared" si="875"/>
        <v>0</v>
      </c>
      <c r="AI170" s="608">
        <f t="shared" si="876"/>
        <v>0</v>
      </c>
      <c r="AJ170" s="609">
        <f t="shared" si="877"/>
        <v>0</v>
      </c>
      <c r="AK170" s="610" t="str">
        <f t="shared" si="878"/>
        <v/>
      </c>
      <c r="AL170" s="609">
        <f t="shared" si="879"/>
        <v>0</v>
      </c>
      <c r="AM170" s="611" t="str">
        <f t="shared" si="880"/>
        <v/>
      </c>
      <c r="AN170" s="611" t="str">
        <f t="shared" si="881"/>
        <v/>
      </c>
      <c r="AO170" s="140">
        <f t="array" ref="AO170">IF(ISBLANK($A170),0,IF(OR(AO$5-$AI170&lt;=0,$AM170="Não"),D170,D170+INDEX($AO$6:$BR$176,ROW()-5,COLUMN()-40-$AI170)))*IF($B170="Operacional",IFERROR(VLOOKUP($C170,SN_UGC,28,0),0),1)</f>
        <v>0</v>
      </c>
      <c r="AP170" s="140">
        <f t="array" ref="AP170">IF(ISBLANK($A170),0,IF(OR(AP$5-$AI170&lt;=0,$AM170="Não"),E170,E170+INDEX($AO$6:$BR$176,ROW()-5,COLUMN()-40-$AI170)))*IF($B170="Operacional",IFERROR(VLOOKUP($C170,SN_UGC,28,0),0),1)</f>
        <v>0</v>
      </c>
      <c r="AQ170" s="140">
        <f t="array" ref="AQ170">IF(ISBLANK($A170),0,IF(OR(AQ$5-$AI170&lt;=0,$AM170="Não"),F170,F170+INDEX($AO$6:$BR$176,ROW()-5,COLUMN()-40-$AI170)))*IF($B170="Operacional",IFERROR(VLOOKUP($C170,SN_UGC,28,0),0),1)</f>
        <v>0</v>
      </c>
      <c r="AR170" s="140">
        <f t="array" ref="AR170">IF(ISBLANK($A170),0,IF(OR(AR$5-$AI170&lt;=0,$AM170="Não"),G170,G170+INDEX($AO$6:$BR$176,ROW()-5,COLUMN()-40-$AI170)))*IF($B170="Operacional",IFERROR(VLOOKUP($C170,SN_UGC,28,0),0),1)</f>
        <v>0</v>
      </c>
      <c r="AS170" s="140">
        <f t="array" ref="AS170">IF(ISBLANK($A170),0,IF(OR(AS$5-$AI170&lt;=0,$AM170="Não"),H170,H170+INDEX($AO$6:$BR$176,ROW()-5,COLUMN()-40-$AI170)))*IF($B170="Operacional",IFERROR(VLOOKUP($C170,SN_UGC,28,0),0),1)</f>
        <v>0</v>
      </c>
      <c r="AT170" s="140">
        <f t="array" ref="AT170">IF(ISBLANK($A170),0,IF(OR(AT$5-$AI170&lt;=0,$AM170="Não"),I170,I170+INDEX($AO$6:$BR$176,ROW()-5,COLUMN()-40-$AI170)))*IF($B170="Operacional",IFERROR(VLOOKUP($C170,SN_UGC,28,0),0),1)</f>
        <v>0</v>
      </c>
      <c r="AU170" s="140">
        <f t="array" ref="AU170">IF(ISBLANK($A170),0,IF(OR(AU$5-$AI170&lt;=0,$AM170="Não"),J170,J170+INDEX($AO$6:$BR$176,ROW()-5,COLUMN()-40-$AI170)))*IF($B170="Operacional",IFERROR(VLOOKUP($C170,SN_UGC,28,0),0),1)</f>
        <v>0</v>
      </c>
      <c r="AV170" s="140">
        <f t="array" ref="AV170">IF(ISBLANK($A170),0,IF(OR(AV$5-$AI170&lt;=0,$AM170="Não"),K170,K170+INDEX($AO$6:$BR$176,ROW()-5,COLUMN()-40-$AI170)))*IF($B170="Operacional",IFERROR(VLOOKUP($C170,SN_UGC,28,0),0),1)</f>
        <v>0</v>
      </c>
      <c r="AW170" s="140">
        <f t="array" ref="AW170">IF(ISBLANK($A170),0,IF(OR(AW$5-$AI170&lt;=0,$AM170="Não"),L170,L170+INDEX($AO$6:$BR$176,ROW()-5,COLUMN()-40-$AI170)))*IF($B170="Operacional",IFERROR(VLOOKUP($C170,SN_UGC,28,0),0),1)</f>
        <v>0</v>
      </c>
      <c r="AX170" s="140">
        <f t="array" ref="AX170">IF(ISBLANK($A170),0,IF(OR(AX$5-$AI170&lt;=0,$AM170="Não"),M170,M170+INDEX($AO$6:$BR$176,ROW()-5,COLUMN()-40-$AI170)))*IF($B170="Operacional",IFERROR(VLOOKUP($C170,SN_UGC,28,0),0),1)</f>
        <v>0</v>
      </c>
      <c r="AY170" s="140">
        <f t="array" ref="AY170">IF(ISBLANK($A170),0,IF(OR(AY$5-$AI170&lt;=0,$AM170="Não"),N170,N170+INDEX($AO$6:$BR$176,ROW()-5,COLUMN()-40-$AI170)))*IF($B170="Operacional",IFERROR(VLOOKUP($C170,SN_UGC,28,0),0),1)</f>
        <v>0</v>
      </c>
      <c r="AZ170" s="140">
        <f t="array" ref="AZ170">IF(ISBLANK($A170),0,IF(OR(AZ$5-$AI170&lt;=0,$AM170="Não"),O170,O170+INDEX($AO$6:$BR$176,ROW()-5,COLUMN()-40-$AI170)))*IF($B170="Operacional",IFERROR(VLOOKUP($C170,SN_UGC,28,0),0),1)</f>
        <v>0</v>
      </c>
      <c r="BA170" s="140">
        <f t="array" ref="BA170">IF(ISBLANK($A170),0,IF(OR(BA$5-$AI170&lt;=0,$AM170="Não"),P170,P170+INDEX($AO$6:$BR$176,ROW()-5,COLUMN()-40-$AI170)))*IF($B170="Operacional",IFERROR(VLOOKUP($C170,SN_UGC,28,0),0),1)</f>
        <v>0</v>
      </c>
      <c r="BB170" s="140">
        <f t="array" ref="BB170">IF(ISBLANK($A170),0,IF(OR(BB$5-$AI170&lt;=0,$AM170="Não"),Q170,Q170+INDEX($AO$6:$BR$176,ROW()-5,COLUMN()-40-$AI170)))*IF($B170="Operacional",IFERROR(VLOOKUP($C170,SN_UGC,28,0),0),1)</f>
        <v>0</v>
      </c>
      <c r="BC170" s="140">
        <f t="array" ref="BC170">IF(ISBLANK($A170),0,IF(OR(BC$5-$AI170&lt;=0,$AM170="Não"),R170,R170+INDEX($AO$6:$BR$176,ROW()-5,COLUMN()-40-$AI170)))*IF($B170="Operacional",IFERROR(VLOOKUP($C170,SN_UGC,28,0),0),1)</f>
        <v>0</v>
      </c>
      <c r="BD170" s="140">
        <f t="array" ref="BD170">IF(ISBLANK($A170),0,IF(OR(BD$5-$AI170&lt;=0,$AM170="Não"),S170,S170+INDEX($AO$6:$BR$176,ROW()-5,COLUMN()-40-$AI170)))*IF($B170="Operacional",IFERROR(VLOOKUP($C170,SN_UGC,28,0),0),1)</f>
        <v>0</v>
      </c>
      <c r="BE170" s="140">
        <f t="array" ref="BE170">IF(ISBLANK($A170),0,IF(OR(BE$5-$AI170&lt;=0,$AM170="Não"),T170,T170+INDEX($AO$6:$BR$176,ROW()-5,COLUMN()-40-$AI170)))*IF($B170="Operacional",IFERROR(VLOOKUP($C170,SN_UGC,28,0),0),1)</f>
        <v>0</v>
      </c>
      <c r="BF170" s="140">
        <f t="array" ref="BF170">IF(ISBLANK($A170),0,IF(OR(BF$5-$AI170&lt;=0,$AM170="Não"),U170,U170+INDEX($AO$6:$BR$176,ROW()-5,COLUMN()-40-$AI170)))*IF($B170="Operacional",IFERROR(VLOOKUP($C170,SN_UGC,28,0),0),1)</f>
        <v>0</v>
      </c>
      <c r="BG170" s="140">
        <f t="array" ref="BG170">IF(ISBLANK($A170),0,IF(OR(BG$5-$AI170&lt;=0,$AM170="Não"),V170,V170+INDEX($AO$6:$BR$176,ROW()-5,COLUMN()-40-$AI170)))*IF($B170="Operacional",IFERROR(VLOOKUP($C170,SN_UGC,28,0),0),1)</f>
        <v>0</v>
      </c>
      <c r="BH170" s="140">
        <f t="array" ref="BH170">IF(ISBLANK($A170),0,IF(OR(BH$5-$AI170&lt;=0,$AM170="Não"),W170,W170+INDEX($AO$6:$BR$176,ROW()-5,COLUMN()-40-$AI170)))*IF($B170="Operacional",IFERROR(VLOOKUP($C170,SN_UGC,28,0),0),1)</f>
        <v>0</v>
      </c>
      <c r="BI170" s="140">
        <f t="array" ref="BI170">IF(ISBLANK($A170),0,IF(OR(BI$5-$AI170&lt;=0,$AM170="Não"),X170,X170+INDEX($AO$6:$BR$176,ROW()-5,COLUMN()-40-$AI170)))*IF($B170="Operacional",IFERROR(VLOOKUP($C170,SN_UGC,28,0),0),1)</f>
        <v>0</v>
      </c>
      <c r="BJ170" s="140">
        <f t="array" ref="BJ170">IF(ISBLANK($A170),0,IF(OR(BJ$5-$AI170&lt;=0,$AM170="Não"),Y170,Y170+INDEX($AO$6:$BR$176,ROW()-5,COLUMN()-40-$AI170)))*IF($B170="Operacional",IFERROR(VLOOKUP($C170,SN_UGC,28,0),0),1)</f>
        <v>0</v>
      </c>
      <c r="BK170" s="140">
        <f t="array" ref="BK170">IF(ISBLANK($A170),0,IF(OR(BK$5-$AI170&lt;=0,$AM170="Não"),Z170,Z170+INDEX($AO$6:$BR$176,ROW()-5,COLUMN()-40-$AI170)))*IF($B170="Operacional",IFERROR(VLOOKUP($C170,SN_UGC,28,0),0),1)</f>
        <v>0</v>
      </c>
      <c r="BL170" s="140">
        <f t="array" ref="BL170">IF(ISBLANK($A170),0,IF(OR(BL$5-$AI170&lt;=0,$AM170="Não"),AA170,AA170+INDEX($AO$6:$BR$176,ROW()-5,COLUMN()-40-$AI170)))*IF($B170="Operacional",IFERROR(VLOOKUP($C170,SN_UGC,28,0),0),1)</f>
        <v>0</v>
      </c>
      <c r="BM170" s="140">
        <f t="array" ref="BM170">IF(ISBLANK($A170),0,IF(OR(BM$5-$AI170&lt;=0,$AM170="Não"),AB170,AB170+INDEX($AO$6:$BR$176,ROW()-5,COLUMN()-40-$AI170)))*IF($B170="Operacional",IFERROR(VLOOKUP($C170,SN_UGC,28,0),0),1)</f>
        <v>0</v>
      </c>
      <c r="BN170" s="140">
        <f t="array" ref="BN170">IF(ISBLANK($A170),0,IF(OR(BN$5-$AI170&lt;=0,$AM170="Não"),AC170,AC170+INDEX($AO$6:$BR$176,ROW()-5,COLUMN()-40-$AI170)))*IF($B170="Operacional",IFERROR(VLOOKUP($C170,SN_UGC,28,0),0),1)</f>
        <v>0</v>
      </c>
      <c r="BO170" s="140">
        <f t="array" ref="BO170">IF(ISBLANK($A170),0,IF(OR(BO$5-$AI170&lt;=0,$AM170="Não"),AD170,AD170+INDEX($AO$6:$BR$176,ROW()-5,COLUMN()-40-$AI170)))*IF($B170="Operacional",IFERROR(VLOOKUP($C170,SN_UGC,28,0),0),1)</f>
        <v>0</v>
      </c>
      <c r="BP170" s="140">
        <f t="array" ref="BP170">IF(ISBLANK($A170),0,IF(OR(BP$5-$AI170&lt;=0,$AM170="Não"),AE170,AE170+INDEX($AO$6:$BR$176,ROW()-5,COLUMN()-40-$AI170)))*IF($B170="Operacional",IFERROR(VLOOKUP($C170,SN_UGC,28,0),0),1)</f>
        <v>0</v>
      </c>
      <c r="BQ170" s="140">
        <f t="array" ref="BQ170">IF(ISBLANK($A170),0,IF(OR(BQ$5-$AI170&lt;=0,$AM170="Não"),AF170,AF170+INDEX($AO$6:$BR$176,ROW()-5,COLUMN()-40-$AI170)))*IF($B170="Operacional",IFERROR(VLOOKUP($C170,SN_UGC,28,0),0),1)</f>
        <v>0</v>
      </c>
      <c r="BR170" s="140">
        <f t="array" ref="BR170">IF(ISBLANK($A170),0,IF(OR(BR$5-$AI170&lt;=0,$AM170="Não"),AG170,AG170+INDEX($AO$6:$BR$176,ROW()-5,COLUMN()-40-$AI170)))*IF($B170="Operacional",IFERROR(VLOOKUP($C170,SN_UGC,28,0),0),1)</f>
        <v>0</v>
      </c>
      <c r="BS170" s="141">
        <f t="shared" ref="BS170:CV170" si="886">IF(ISBLANK($A170),0,$AH170*AO170)</f>
        <v>0</v>
      </c>
      <c r="BT170" s="141">
        <f t="shared" si="886"/>
        <v>0</v>
      </c>
      <c r="BU170" s="141">
        <f t="shared" si="886"/>
        <v>0</v>
      </c>
      <c r="BV170" s="141">
        <f t="shared" si="886"/>
        <v>0</v>
      </c>
      <c r="BW170" s="141">
        <f t="shared" si="886"/>
        <v>0</v>
      </c>
      <c r="BX170" s="141">
        <f t="shared" si="886"/>
        <v>0</v>
      </c>
      <c r="BY170" s="141">
        <f t="shared" si="886"/>
        <v>0</v>
      </c>
      <c r="BZ170" s="141">
        <f t="shared" si="886"/>
        <v>0</v>
      </c>
      <c r="CA170" s="141">
        <f t="shared" si="886"/>
        <v>0</v>
      </c>
      <c r="CB170" s="141">
        <f t="shared" si="886"/>
        <v>0</v>
      </c>
      <c r="CC170" s="141">
        <f t="shared" si="886"/>
        <v>0</v>
      </c>
      <c r="CD170" s="141">
        <f t="shared" si="886"/>
        <v>0</v>
      </c>
      <c r="CE170" s="141">
        <f t="shared" si="886"/>
        <v>0</v>
      </c>
      <c r="CF170" s="141">
        <f t="shared" si="886"/>
        <v>0</v>
      </c>
      <c r="CG170" s="141">
        <f t="shared" si="886"/>
        <v>0</v>
      </c>
      <c r="CH170" s="141">
        <f t="shared" si="886"/>
        <v>0</v>
      </c>
      <c r="CI170" s="141">
        <f t="shared" si="886"/>
        <v>0</v>
      </c>
      <c r="CJ170" s="141">
        <f t="shared" si="886"/>
        <v>0</v>
      </c>
      <c r="CK170" s="141">
        <f t="shared" si="886"/>
        <v>0</v>
      </c>
      <c r="CL170" s="141">
        <f t="shared" si="886"/>
        <v>0</v>
      </c>
      <c r="CM170" s="141">
        <f t="shared" si="886"/>
        <v>0</v>
      </c>
      <c r="CN170" s="141">
        <f t="shared" si="886"/>
        <v>0</v>
      </c>
      <c r="CO170" s="141">
        <f t="shared" si="886"/>
        <v>0</v>
      </c>
      <c r="CP170" s="141">
        <f t="shared" si="886"/>
        <v>0</v>
      </c>
      <c r="CQ170" s="141">
        <f t="shared" si="886"/>
        <v>0</v>
      </c>
      <c r="CR170" s="141">
        <f t="shared" si="886"/>
        <v>0</v>
      </c>
      <c r="CS170" s="141">
        <f t="shared" si="886"/>
        <v>0</v>
      </c>
      <c r="CT170" s="141">
        <f t="shared" si="886"/>
        <v>0</v>
      </c>
      <c r="CU170" s="141">
        <f t="shared" si="886"/>
        <v>0</v>
      </c>
      <c r="CV170" s="141">
        <f t="shared" si="886"/>
        <v>0</v>
      </c>
      <c r="CW170" s="142">
        <f t="shared" ref="CW170:DZ170" si="887">EA170*$AH170*$AJ170</f>
        <v>0</v>
      </c>
      <c r="CX170" s="142">
        <f t="shared" si="887"/>
        <v>0</v>
      </c>
      <c r="CY170" s="142">
        <f t="shared" si="887"/>
        <v>0</v>
      </c>
      <c r="CZ170" s="142">
        <f t="shared" si="887"/>
        <v>0</v>
      </c>
      <c r="DA170" s="142">
        <f t="shared" si="887"/>
        <v>0</v>
      </c>
      <c r="DB170" s="142">
        <f t="shared" si="887"/>
        <v>0</v>
      </c>
      <c r="DC170" s="142">
        <f t="shared" si="887"/>
        <v>0</v>
      </c>
      <c r="DD170" s="142">
        <f t="shared" si="887"/>
        <v>0</v>
      </c>
      <c r="DE170" s="142">
        <f t="shared" si="887"/>
        <v>0</v>
      </c>
      <c r="DF170" s="142">
        <f t="shared" si="887"/>
        <v>0</v>
      </c>
      <c r="DG170" s="142">
        <f t="shared" si="887"/>
        <v>0</v>
      </c>
      <c r="DH170" s="142">
        <f t="shared" si="887"/>
        <v>0</v>
      </c>
      <c r="DI170" s="142">
        <f t="shared" si="887"/>
        <v>0</v>
      </c>
      <c r="DJ170" s="142">
        <f t="shared" si="887"/>
        <v>0</v>
      </c>
      <c r="DK170" s="142">
        <f t="shared" si="887"/>
        <v>0</v>
      </c>
      <c r="DL170" s="142">
        <f t="shared" si="887"/>
        <v>0</v>
      </c>
      <c r="DM170" s="142">
        <f t="shared" si="887"/>
        <v>0</v>
      </c>
      <c r="DN170" s="142">
        <f t="shared" si="887"/>
        <v>0</v>
      </c>
      <c r="DO170" s="142">
        <f t="shared" si="887"/>
        <v>0</v>
      </c>
      <c r="DP170" s="142">
        <f t="shared" si="887"/>
        <v>0</v>
      </c>
      <c r="DQ170" s="142">
        <f t="shared" si="887"/>
        <v>0</v>
      </c>
      <c r="DR170" s="142">
        <f t="shared" si="887"/>
        <v>0</v>
      </c>
      <c r="DS170" s="142">
        <f t="shared" si="887"/>
        <v>0</v>
      </c>
      <c r="DT170" s="142">
        <f t="shared" si="887"/>
        <v>0</v>
      </c>
      <c r="DU170" s="142">
        <f t="shared" si="887"/>
        <v>0</v>
      </c>
      <c r="DV170" s="142">
        <f t="shared" si="887"/>
        <v>0</v>
      </c>
      <c r="DW170" s="142">
        <f t="shared" si="887"/>
        <v>0</v>
      </c>
      <c r="DX170" s="142">
        <f t="shared" si="887"/>
        <v>0</v>
      </c>
      <c r="DY170" s="142">
        <f t="shared" si="887"/>
        <v>0</v>
      </c>
      <c r="DZ170" s="142">
        <f t="shared" si="887"/>
        <v>0</v>
      </c>
      <c r="EA170" s="143">
        <f t="shared" si="835"/>
        <v>0</v>
      </c>
      <c r="EB170" s="143">
        <f t="shared" si="836"/>
        <v>0</v>
      </c>
      <c r="EC170" s="143">
        <f t="shared" si="837"/>
        <v>0</v>
      </c>
      <c r="ED170" s="143">
        <f t="shared" si="838"/>
        <v>0</v>
      </c>
      <c r="EE170" s="143">
        <f t="shared" si="839"/>
        <v>0</v>
      </c>
      <c r="EF170" s="143">
        <f t="shared" si="840"/>
        <v>0</v>
      </c>
      <c r="EG170" s="143">
        <f t="shared" si="841"/>
        <v>0</v>
      </c>
      <c r="EH170" s="143">
        <f t="shared" si="842"/>
        <v>0</v>
      </c>
      <c r="EI170" s="143">
        <f t="shared" si="843"/>
        <v>0</v>
      </c>
      <c r="EJ170" s="143">
        <f t="shared" si="844"/>
        <v>0</v>
      </c>
      <c r="EK170" s="143">
        <f t="shared" si="845"/>
        <v>0</v>
      </c>
      <c r="EL170" s="143">
        <f t="shared" si="846"/>
        <v>0</v>
      </c>
      <c r="EM170" s="143">
        <f t="shared" si="847"/>
        <v>0</v>
      </c>
      <c r="EN170" s="143">
        <f t="shared" si="848"/>
        <v>0</v>
      </c>
      <c r="EO170" s="143">
        <f t="shared" si="849"/>
        <v>0</v>
      </c>
      <c r="EP170" s="143">
        <f t="shared" si="850"/>
        <v>0</v>
      </c>
      <c r="EQ170" s="143">
        <f t="shared" si="851"/>
        <v>0</v>
      </c>
      <c r="ER170" s="143">
        <f t="shared" si="852"/>
        <v>0</v>
      </c>
      <c r="ES170" s="143">
        <f t="shared" si="853"/>
        <v>0</v>
      </c>
      <c r="ET170" s="143">
        <f t="shared" si="854"/>
        <v>0</v>
      </c>
      <c r="EU170" s="143">
        <f t="shared" si="855"/>
        <v>0</v>
      </c>
      <c r="EV170" s="143">
        <f t="shared" si="856"/>
        <v>0</v>
      </c>
      <c r="EW170" s="143">
        <f t="shared" si="857"/>
        <v>0</v>
      </c>
      <c r="EX170" s="143">
        <f t="shared" si="858"/>
        <v>0</v>
      </c>
      <c r="EY170" s="143">
        <f t="shared" si="859"/>
        <v>0</v>
      </c>
      <c r="EZ170" s="143">
        <f t="shared" si="860"/>
        <v>0</v>
      </c>
      <c r="FA170" s="143">
        <f t="shared" si="861"/>
        <v>0</v>
      </c>
      <c r="FB170" s="143">
        <f t="shared" si="862"/>
        <v>0</v>
      </c>
      <c r="FC170" s="143">
        <f t="shared" si="863"/>
        <v>0</v>
      </c>
      <c r="FD170" s="143">
        <f t="shared" si="864"/>
        <v>0</v>
      </c>
      <c r="FE170" s="140">
        <f>SUM($D170:D170)*IF($B170="Operacional",IFERROR(VLOOKUP($C170,SN_UGC,28,0),0),1)</f>
        <v>0</v>
      </c>
      <c r="FF170" s="140">
        <f>SUM($D170:E170)*IF($B170="Operacional",IFERROR(VLOOKUP($C170,SN_UGC,28,0),0),1)</f>
        <v>0</v>
      </c>
      <c r="FG170" s="140">
        <f>SUM($D170:F170)*IF($B170="Operacional",IFERROR(VLOOKUP($C170,SN_UGC,28,0),0),1)</f>
        <v>0</v>
      </c>
      <c r="FH170" s="140">
        <f>SUM($D170:G170)*IF($B170="Operacional",IFERROR(VLOOKUP($C170,SN_UGC,28,0),0),1)</f>
        <v>0</v>
      </c>
      <c r="FI170" s="140">
        <f>SUM($D170:H170)*IF($B170="Operacional",IFERROR(VLOOKUP($C170,SN_UGC,28,0),0),1)</f>
        <v>0</v>
      </c>
      <c r="FJ170" s="140">
        <f>SUM($D170:I170)*IF($B170="Operacional",IFERROR(VLOOKUP($C170,SN_UGC,28,0),0),1)</f>
        <v>0</v>
      </c>
      <c r="FK170" s="140">
        <f>SUM($D170:J170)*IF($B170="Operacional",IFERROR(VLOOKUP($C170,SN_UGC,28,0),0),1)</f>
        <v>0</v>
      </c>
      <c r="FL170" s="140">
        <f>SUM($D170:K170)*IF($B170="Operacional",IFERROR(VLOOKUP($C170,SN_UGC,28,0),0),1)</f>
        <v>0</v>
      </c>
      <c r="FM170" s="140">
        <f>SUM($D170:L170)*IF($B170="Operacional",IFERROR(VLOOKUP($C170,SN_UGC,28,0),0),1)</f>
        <v>0</v>
      </c>
      <c r="FN170" s="140">
        <f>SUM($D170:M170)*IF($B170="Operacional",IFERROR(VLOOKUP($C170,SN_UGC,28,0),0),1)</f>
        <v>0</v>
      </c>
      <c r="FO170" s="140">
        <f>SUM($D170:N170)*IF($B170="Operacional",IFERROR(VLOOKUP($C170,SN_UGC,28,0),0),1)</f>
        <v>0</v>
      </c>
      <c r="FP170" s="140">
        <f>SUM($D170:O170)*IF($B170="Operacional",IFERROR(VLOOKUP($C170,SN_UGC,28,0),0),1)</f>
        <v>0</v>
      </c>
      <c r="FQ170" s="140">
        <f>SUM($D170:P170)*IF($B170="Operacional",IFERROR(VLOOKUP($C170,SN_UGC,28,0),0),1)</f>
        <v>0</v>
      </c>
      <c r="FR170" s="140">
        <f>SUM($D170:Q170)*IF($B170="Operacional",IFERROR(VLOOKUP($C170,SN_UGC,28,0),0),1)</f>
        <v>0</v>
      </c>
      <c r="FS170" s="140">
        <f>SUM($D170:R170)*IF($B170="Operacional",IFERROR(VLOOKUP($C170,SN_UGC,28,0),0),1)</f>
        <v>0</v>
      </c>
      <c r="FT170" s="140">
        <f>SUM($D170:S170)*IF($B170="Operacional",IFERROR(VLOOKUP($C170,SN_UGC,28,0),0),1)</f>
        <v>0</v>
      </c>
      <c r="FU170" s="140">
        <f>SUM($D170:T170)*IF($B170="Operacional",IFERROR(VLOOKUP($C170,SN_UGC,28,0),0),1)</f>
        <v>0</v>
      </c>
      <c r="FV170" s="140">
        <f>SUM($D170:U170)*IF($B170="Operacional",IFERROR(VLOOKUP($C170,SN_UGC,28,0),0),1)</f>
        <v>0</v>
      </c>
      <c r="FW170" s="140">
        <f>SUM($D170:V170)*IF($B170="Operacional",IFERROR(VLOOKUP($C170,SN_UGC,28,0),0),1)</f>
        <v>0</v>
      </c>
      <c r="FX170" s="140">
        <f>SUM($D170:W170)*IF($B170="Operacional",IFERROR(VLOOKUP($C170,SN_UGC,28,0),0),1)</f>
        <v>0</v>
      </c>
      <c r="FY170" s="140">
        <f>SUM($D170:X170)*IF($B170="Operacional",IFERROR(VLOOKUP($C170,SN_UGC,28,0),0),1)</f>
        <v>0</v>
      </c>
      <c r="FZ170" s="140">
        <f>SUM($D170:Y170)*IF($B170="Operacional",IFERROR(VLOOKUP($C170,SN_UGC,28,0),0),1)</f>
        <v>0</v>
      </c>
      <c r="GA170" s="140">
        <f>SUM($D170:Z170)*IF($B170="Operacional",IFERROR(VLOOKUP($C170,SN_UGC,28,0),0),1)</f>
        <v>0</v>
      </c>
      <c r="GB170" s="140">
        <f>SUM($D170:AA170)*IF($B170="Operacional",IFERROR(VLOOKUP($C170,SN_UGC,28,0),0),1)</f>
        <v>0</v>
      </c>
      <c r="GC170" s="140">
        <f>SUM($D170:AB170)*IF($B170="Operacional",IFERROR(VLOOKUP($C170,SN_UGC,28,0),0),1)</f>
        <v>0</v>
      </c>
      <c r="GD170" s="140">
        <f>SUM($D170:AC170)*IF($B170="Operacional",IFERROR(VLOOKUP($C170,SN_UGC,28,0),0),1)</f>
        <v>0</v>
      </c>
      <c r="GE170" s="140">
        <f>SUM($D170:AD170)*IF($B170="Operacional",IFERROR(VLOOKUP($C170,SN_UGC,28,0),0),1)</f>
        <v>0</v>
      </c>
      <c r="GF170" s="140">
        <f>SUM($D170:AE170)*IF($B170="Operacional",IFERROR(VLOOKUP($C170,SN_UGC,28,0),0),1)</f>
        <v>0</v>
      </c>
      <c r="GG170" s="140">
        <f>SUM($D170:AF170)*IF($B170="Operacional",IFERROR(VLOOKUP($C170,SN_UGC,28,0),0),1)</f>
        <v>0</v>
      </c>
      <c r="GH170" s="140">
        <f>SUM($D170:AG170)*IF($B170="Operacional",IFERROR(VLOOKUP($C170,SN_UGC,28,0),0),1)</f>
        <v>0</v>
      </c>
      <c r="GI170" s="141">
        <f t="shared" ref="GI170:HL170" si="888">FE170*$AH170*$AL170</f>
        <v>0</v>
      </c>
      <c r="GJ170" s="141">
        <f t="shared" si="888"/>
        <v>0</v>
      </c>
      <c r="GK170" s="141">
        <f t="shared" si="888"/>
        <v>0</v>
      </c>
      <c r="GL170" s="141">
        <f t="shared" si="888"/>
        <v>0</v>
      </c>
      <c r="GM170" s="141">
        <f t="shared" si="888"/>
        <v>0</v>
      </c>
      <c r="GN170" s="141">
        <f t="shared" si="888"/>
        <v>0</v>
      </c>
      <c r="GO170" s="141">
        <f t="shared" si="888"/>
        <v>0</v>
      </c>
      <c r="GP170" s="141">
        <f t="shared" si="888"/>
        <v>0</v>
      </c>
      <c r="GQ170" s="141">
        <f t="shared" si="888"/>
        <v>0</v>
      </c>
      <c r="GR170" s="141">
        <f t="shared" si="888"/>
        <v>0</v>
      </c>
      <c r="GS170" s="141">
        <f t="shared" si="888"/>
        <v>0</v>
      </c>
      <c r="GT170" s="141">
        <f t="shared" si="888"/>
        <v>0</v>
      </c>
      <c r="GU170" s="141">
        <f t="shared" si="888"/>
        <v>0</v>
      </c>
      <c r="GV170" s="141">
        <f t="shared" si="888"/>
        <v>0</v>
      </c>
      <c r="GW170" s="141">
        <f t="shared" si="888"/>
        <v>0</v>
      </c>
      <c r="GX170" s="141">
        <f t="shared" si="888"/>
        <v>0</v>
      </c>
      <c r="GY170" s="141">
        <f t="shared" si="888"/>
        <v>0</v>
      </c>
      <c r="GZ170" s="141">
        <f t="shared" si="888"/>
        <v>0</v>
      </c>
      <c r="HA170" s="141">
        <f t="shared" si="888"/>
        <v>0</v>
      </c>
      <c r="HB170" s="141">
        <f t="shared" si="888"/>
        <v>0</v>
      </c>
      <c r="HC170" s="141">
        <f t="shared" si="888"/>
        <v>0</v>
      </c>
      <c r="HD170" s="141">
        <f t="shared" si="888"/>
        <v>0</v>
      </c>
      <c r="HE170" s="141">
        <f t="shared" si="888"/>
        <v>0</v>
      </c>
      <c r="HF170" s="141">
        <f t="shared" si="888"/>
        <v>0</v>
      </c>
      <c r="HG170" s="141">
        <f t="shared" si="888"/>
        <v>0</v>
      </c>
      <c r="HH170" s="141">
        <f t="shared" si="888"/>
        <v>0</v>
      </c>
      <c r="HI170" s="141">
        <f t="shared" si="888"/>
        <v>0</v>
      </c>
      <c r="HJ170" s="141">
        <f t="shared" si="888"/>
        <v>0</v>
      </c>
      <c r="HK170" s="141">
        <f t="shared" si="888"/>
        <v>0</v>
      </c>
      <c r="HL170" s="141">
        <f t="shared" si="888"/>
        <v>0</v>
      </c>
      <c r="HM170" s="142">
        <f t="shared" ref="HM170:IP170" si="889">IF(ISBLANK($A170),,FE170*($AH170-($AH170*$AJ170))/$AI170)</f>
        <v>0</v>
      </c>
      <c r="HN170" s="142">
        <f t="shared" si="889"/>
        <v>0</v>
      </c>
      <c r="HO170" s="142">
        <f t="shared" si="889"/>
        <v>0</v>
      </c>
      <c r="HP170" s="142">
        <f t="shared" si="889"/>
        <v>0</v>
      </c>
      <c r="HQ170" s="142">
        <f t="shared" si="889"/>
        <v>0</v>
      </c>
      <c r="HR170" s="142">
        <f t="shared" si="889"/>
        <v>0</v>
      </c>
      <c r="HS170" s="142">
        <f t="shared" si="889"/>
        <v>0</v>
      </c>
      <c r="HT170" s="142">
        <f t="shared" si="889"/>
        <v>0</v>
      </c>
      <c r="HU170" s="142">
        <f t="shared" si="889"/>
        <v>0</v>
      </c>
      <c r="HV170" s="142">
        <f t="shared" si="889"/>
        <v>0</v>
      </c>
      <c r="HW170" s="142">
        <f t="shared" si="889"/>
        <v>0</v>
      </c>
      <c r="HX170" s="142">
        <f t="shared" si="889"/>
        <v>0</v>
      </c>
      <c r="HY170" s="142">
        <f t="shared" si="889"/>
        <v>0</v>
      </c>
      <c r="HZ170" s="142">
        <f t="shared" si="889"/>
        <v>0</v>
      </c>
      <c r="IA170" s="142">
        <f t="shared" si="889"/>
        <v>0</v>
      </c>
      <c r="IB170" s="142">
        <f t="shared" si="889"/>
        <v>0</v>
      </c>
      <c r="IC170" s="142">
        <f t="shared" si="889"/>
        <v>0</v>
      </c>
      <c r="ID170" s="142">
        <f t="shared" si="889"/>
        <v>0</v>
      </c>
      <c r="IE170" s="142">
        <f t="shared" si="889"/>
        <v>0</v>
      </c>
      <c r="IF170" s="142">
        <f t="shared" si="889"/>
        <v>0</v>
      </c>
      <c r="IG170" s="142">
        <f t="shared" si="889"/>
        <v>0</v>
      </c>
      <c r="IH170" s="142">
        <f t="shared" si="889"/>
        <v>0</v>
      </c>
      <c r="II170" s="142">
        <f t="shared" si="889"/>
        <v>0</v>
      </c>
      <c r="IJ170" s="142">
        <f t="shared" si="889"/>
        <v>0</v>
      </c>
      <c r="IK170" s="142">
        <f t="shared" si="889"/>
        <v>0</v>
      </c>
      <c r="IL170" s="142">
        <f t="shared" si="889"/>
        <v>0</v>
      </c>
      <c r="IM170" s="142">
        <f t="shared" si="889"/>
        <v>0</v>
      </c>
      <c r="IN170" s="142">
        <f t="shared" si="889"/>
        <v>0</v>
      </c>
      <c r="IO170" s="142">
        <f t="shared" si="889"/>
        <v>0</v>
      </c>
      <c r="IP170" s="142">
        <f t="shared" si="889"/>
        <v>0</v>
      </c>
      <c r="IQ170" s="141">
        <f>IF(ISBLANK($A170),,IF($AN170="Não",0,(SUM($AO170:AO170)*$AH170)-SUM($HM170:HM170)-SUM($CW170:CW170)))</f>
        <v>0</v>
      </c>
      <c r="IR170" s="141">
        <f>IF(ISBLANK($A170),,IF($AN170="Não",0,(SUM($AO170:AP170)*$AH170)-SUM($HM170:HN170)-SUM($CW170:CX170)))</f>
        <v>0</v>
      </c>
      <c r="IS170" s="141">
        <f>IF(ISBLANK($A170),,IF($AN170="Não",0,(SUM($AO170:AQ170)*$AH170)-SUM($HM170:HO170)-SUM($CW170:CY170)))</f>
        <v>0</v>
      </c>
      <c r="IT170" s="141">
        <f>IF(ISBLANK($A170),,IF($AN170="Não",0,(SUM($AO170:AR170)*$AH170)-SUM($HM170:HP170)-SUM($CW170:CZ170)))</f>
        <v>0</v>
      </c>
      <c r="IU170" s="141">
        <f>IF(ISBLANK($A170),,IF($AN170="Não",0,(SUM($AO170:AS170)*$AH170)-SUM($HM170:HQ170)-SUM($CW170:DA170)))</f>
        <v>0</v>
      </c>
      <c r="IV170" s="141">
        <f>IF(ISBLANK($A170),,IF($AN170="Não",0,(SUM($AO170:AT170)*$AH170)-SUM($HM170:HR170)-SUM($CW170:DB170)))</f>
        <v>0</v>
      </c>
      <c r="IW170" s="141">
        <f>IF(ISBLANK($A170),,IF($AN170="Não",0,(SUM($AO170:AU170)*$AH170)-SUM($HM170:HS170)-SUM($CW170:DC170)))</f>
        <v>0</v>
      </c>
      <c r="IX170" s="141">
        <f>IF(ISBLANK($A170),,IF($AN170="Não",0,(SUM($AO170:AV170)*$AH170)-SUM($HM170:HT170)-SUM($CW170:DD170)))</f>
        <v>0</v>
      </c>
      <c r="IY170" s="141">
        <f>IF(ISBLANK($A170),,IF($AN170="Não",0,(SUM($AO170:AW170)*$AH170)-SUM($HM170:HU170)-SUM($CW170:DE170)))</f>
        <v>0</v>
      </c>
      <c r="IZ170" s="141">
        <f>IF(ISBLANK($A170),,IF($AN170="Não",0,(SUM($AO170:AX170)*$AH170)-SUM($HM170:HV170)-SUM($CW170:DF170)))</f>
        <v>0</v>
      </c>
      <c r="JA170" s="141">
        <f>IF(ISBLANK($A170),,IF($AN170="Não",0,(SUM($AO170:AY170)*$AH170)-SUM($HM170:HW170)-SUM($CW170:DG170)))</f>
        <v>0</v>
      </c>
      <c r="JB170" s="141">
        <f>IF(ISBLANK($A170),,IF($AN170="Não",0,(SUM($AO170:AZ170)*$AH170)-SUM($HM170:HX170)-SUM($CW170:DH170)))</f>
        <v>0</v>
      </c>
      <c r="JC170" s="141">
        <f>IF(ISBLANK($A170),,IF($AN170="Não",0,(SUM($AO170:BA170)*$AH170)-SUM($HM170:HY170)-SUM($CW170:DI170)))</f>
        <v>0</v>
      </c>
      <c r="JD170" s="141">
        <f>IF(ISBLANK($A170),,IF($AN170="Não",0,(SUM($AO170:BB170)*$AH170)-SUM($HM170:HZ170)-SUM($CW170:DJ170)))</f>
        <v>0</v>
      </c>
      <c r="JE170" s="141">
        <f>IF(ISBLANK($A170),,IF($AN170="Não",0,(SUM($AO170:BC170)*$AH170)-SUM($HM170:IA170)-SUM($CW170:DK170)))</f>
        <v>0</v>
      </c>
      <c r="JF170" s="141">
        <f>IF(ISBLANK($A170),,IF($AN170="Não",0,(SUM($AO170:BD170)*$AH170)-SUM($HM170:IB170)-SUM($CW170:DL170)))</f>
        <v>0</v>
      </c>
      <c r="JG170" s="141">
        <f>IF(ISBLANK($A170),,IF($AN170="Não",0,(SUM($AO170:BE170)*$AH170)-SUM($HM170:IC170)-SUM($CW170:DM170)))</f>
        <v>0</v>
      </c>
      <c r="JH170" s="141">
        <f>IF(ISBLANK($A170),,IF($AN170="Não",0,(SUM($AO170:BF170)*$AH170)-SUM($HM170:ID170)-SUM($CW170:DN170)))</f>
        <v>0</v>
      </c>
      <c r="JI170" s="141">
        <f>IF(ISBLANK($A170),,IF($AN170="Não",0,(SUM($AO170:BG170)*$AH170)-SUM($HM170:IE170)-SUM($CW170:DO170)))</f>
        <v>0</v>
      </c>
      <c r="JJ170" s="141">
        <f>IF(ISBLANK($A170),,IF($AN170="Não",0,(SUM($AO170:BH170)*$AH170)-SUM($HM170:IF170)-SUM($CW170:DP170)))</f>
        <v>0</v>
      </c>
      <c r="JK170" s="141">
        <f>IF(ISBLANK($A170),,IF($AN170="Não",0,(SUM($AO170:BI170)*$AH170)-SUM($HM170:IG170)-SUM($CW170:DQ170)))</f>
        <v>0</v>
      </c>
      <c r="JL170" s="141">
        <f>IF(ISBLANK($A170),,IF($AN170="Não",0,(SUM($AO170:BJ170)*$AH170)-SUM($HM170:IH170)-SUM($CW170:DR170)))</f>
        <v>0</v>
      </c>
      <c r="JM170" s="141">
        <f>IF(ISBLANK($A170),,IF($AN170="Não",0,(SUM($AO170:BK170)*$AH170)-SUM($HM170:II170)-SUM($CW170:DS170)))</f>
        <v>0</v>
      </c>
      <c r="JN170" s="141">
        <f>IF(ISBLANK($A170),,IF($AN170="Não",0,(SUM($AO170:BL170)*$AH170)-SUM($HM170:IJ170)-SUM($CW170:DT170)))</f>
        <v>0</v>
      </c>
      <c r="JO170" s="141">
        <f>IF(ISBLANK($A170),,IF($AN170="Não",0,(SUM($AO170:BM170)*$AH170)-SUM($HM170:IK170)-SUM($CW170:DU170)))</f>
        <v>0</v>
      </c>
      <c r="JP170" s="141">
        <f>IF(ISBLANK($A170),,IF($AN170="Não",0,(SUM($AO170:BN170)*$AH170)-SUM($HM170:IL170)-SUM($CW170:DV170)))</f>
        <v>0</v>
      </c>
      <c r="JQ170" s="141">
        <f>IF(ISBLANK($A170),,IF($AN170="Não",0,(SUM($AO170:BO170)*$AH170)-SUM($HM170:IM170)-SUM($CW170:DW170)))</f>
        <v>0</v>
      </c>
      <c r="JR170" s="141">
        <f>IF(ISBLANK($A170),,IF($AN170="Não",0,(SUM($AO170:BP170)*$AH170)-SUM($HM170:IN170)-SUM($CW170:DX170)))</f>
        <v>0</v>
      </c>
      <c r="JS170" s="141">
        <f>IF(ISBLANK($A170),,IF($AN170="Não",0,(SUM($AO170:BQ170)*$AH170)-SUM($HM170:IO170)-SUM($CW170:DY170)))</f>
        <v>0</v>
      </c>
      <c r="JT170" s="141">
        <f>IF(ISBLANK($A170),,IF($AN170="Não",0,(SUM($AO170:BR170)*$AH170)-SUM($HM170:IP170)-SUM($CW170:DZ170)))</f>
        <v>0</v>
      </c>
    </row>
    <row r="171" spans="1:280" ht="15.75" customHeight="1">
      <c r="A171" s="129"/>
      <c r="B171" s="129"/>
      <c r="C171" s="138"/>
      <c r="D171" s="139"/>
      <c r="E171" s="139"/>
      <c r="F171" s="139"/>
      <c r="G171" s="139"/>
      <c r="H171" s="139"/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  <c r="AA171" s="139"/>
      <c r="AB171" s="139"/>
      <c r="AC171" s="139"/>
      <c r="AD171" s="139"/>
      <c r="AE171" s="139"/>
      <c r="AF171" s="139"/>
      <c r="AG171" s="139"/>
      <c r="AH171" s="607">
        <f t="shared" si="875"/>
        <v>0</v>
      </c>
      <c r="AI171" s="608">
        <f t="shared" si="876"/>
        <v>0</v>
      </c>
      <c r="AJ171" s="609">
        <f t="shared" si="877"/>
        <v>0</v>
      </c>
      <c r="AK171" s="610" t="str">
        <f t="shared" si="878"/>
        <v/>
      </c>
      <c r="AL171" s="609">
        <f t="shared" si="879"/>
        <v>0</v>
      </c>
      <c r="AM171" s="611" t="str">
        <f t="shared" si="880"/>
        <v/>
      </c>
      <c r="AN171" s="611" t="str">
        <f t="shared" si="881"/>
        <v/>
      </c>
      <c r="AO171" s="140">
        <f t="array" ref="AO171">IF(ISBLANK($A171),0,IF(OR(AO$5-$AI171&lt;=0,$AM171="Não"),D171,D171+INDEX($AO$6:$BR$176,ROW()-5,COLUMN()-40-$AI171)))*IF($B171="Operacional",IFERROR(VLOOKUP($C171,SN_UGC,28,0),0),1)</f>
        <v>0</v>
      </c>
      <c r="AP171" s="140">
        <f t="array" ref="AP171">IF(ISBLANK($A171),0,IF(OR(AP$5-$AI171&lt;=0,$AM171="Não"),E171,E171+INDEX($AO$6:$BR$176,ROW()-5,COLUMN()-40-$AI171)))*IF($B171="Operacional",IFERROR(VLOOKUP($C171,SN_UGC,28,0),0),1)</f>
        <v>0</v>
      </c>
      <c r="AQ171" s="140">
        <f t="array" ref="AQ171">IF(ISBLANK($A171),0,IF(OR(AQ$5-$AI171&lt;=0,$AM171="Não"),F171,F171+INDEX($AO$6:$BR$176,ROW()-5,COLUMN()-40-$AI171)))*IF($B171="Operacional",IFERROR(VLOOKUP($C171,SN_UGC,28,0),0),1)</f>
        <v>0</v>
      </c>
      <c r="AR171" s="140">
        <f t="array" ref="AR171">IF(ISBLANK($A171),0,IF(OR(AR$5-$AI171&lt;=0,$AM171="Não"),G171,G171+INDEX($AO$6:$BR$176,ROW()-5,COLUMN()-40-$AI171)))*IF($B171="Operacional",IFERROR(VLOOKUP($C171,SN_UGC,28,0),0),1)</f>
        <v>0</v>
      </c>
      <c r="AS171" s="140">
        <f t="array" ref="AS171">IF(ISBLANK($A171),0,IF(OR(AS$5-$AI171&lt;=0,$AM171="Não"),H171,H171+INDEX($AO$6:$BR$176,ROW()-5,COLUMN()-40-$AI171)))*IF($B171="Operacional",IFERROR(VLOOKUP($C171,SN_UGC,28,0),0),1)</f>
        <v>0</v>
      </c>
      <c r="AT171" s="140">
        <f t="array" ref="AT171">IF(ISBLANK($A171),0,IF(OR(AT$5-$AI171&lt;=0,$AM171="Não"),I171,I171+INDEX($AO$6:$BR$176,ROW()-5,COLUMN()-40-$AI171)))*IF($B171="Operacional",IFERROR(VLOOKUP($C171,SN_UGC,28,0),0),1)</f>
        <v>0</v>
      </c>
      <c r="AU171" s="140">
        <f t="array" ref="AU171">IF(ISBLANK($A171),0,IF(OR(AU$5-$AI171&lt;=0,$AM171="Não"),J171,J171+INDEX($AO$6:$BR$176,ROW()-5,COLUMN()-40-$AI171)))*IF($B171="Operacional",IFERROR(VLOOKUP($C171,SN_UGC,28,0),0),1)</f>
        <v>0</v>
      </c>
      <c r="AV171" s="140">
        <f t="array" ref="AV171">IF(ISBLANK($A171),0,IF(OR(AV$5-$AI171&lt;=0,$AM171="Não"),K171,K171+INDEX($AO$6:$BR$176,ROW()-5,COLUMN()-40-$AI171)))*IF($B171="Operacional",IFERROR(VLOOKUP($C171,SN_UGC,28,0),0),1)</f>
        <v>0</v>
      </c>
      <c r="AW171" s="140">
        <f t="array" ref="AW171">IF(ISBLANK($A171),0,IF(OR(AW$5-$AI171&lt;=0,$AM171="Não"),L171,L171+INDEX($AO$6:$BR$176,ROW()-5,COLUMN()-40-$AI171)))*IF($B171="Operacional",IFERROR(VLOOKUP($C171,SN_UGC,28,0),0),1)</f>
        <v>0</v>
      </c>
      <c r="AX171" s="140">
        <f t="array" ref="AX171">IF(ISBLANK($A171),0,IF(OR(AX$5-$AI171&lt;=0,$AM171="Não"),M171,M171+INDEX($AO$6:$BR$176,ROW()-5,COLUMN()-40-$AI171)))*IF($B171="Operacional",IFERROR(VLOOKUP($C171,SN_UGC,28,0),0),1)</f>
        <v>0</v>
      </c>
      <c r="AY171" s="140">
        <f t="array" ref="AY171">IF(ISBLANK($A171),0,IF(OR(AY$5-$AI171&lt;=0,$AM171="Não"),N171,N171+INDEX($AO$6:$BR$176,ROW()-5,COLUMN()-40-$AI171)))*IF($B171="Operacional",IFERROR(VLOOKUP($C171,SN_UGC,28,0),0),1)</f>
        <v>0</v>
      </c>
      <c r="AZ171" s="140">
        <f t="array" ref="AZ171">IF(ISBLANK($A171),0,IF(OR(AZ$5-$AI171&lt;=0,$AM171="Não"),O171,O171+INDEX($AO$6:$BR$176,ROW()-5,COLUMN()-40-$AI171)))*IF($B171="Operacional",IFERROR(VLOOKUP($C171,SN_UGC,28,0),0),1)</f>
        <v>0</v>
      </c>
      <c r="BA171" s="140">
        <f t="array" ref="BA171">IF(ISBLANK($A171),0,IF(OR(BA$5-$AI171&lt;=0,$AM171="Não"),P171,P171+INDEX($AO$6:$BR$176,ROW()-5,COLUMN()-40-$AI171)))*IF($B171="Operacional",IFERROR(VLOOKUP($C171,SN_UGC,28,0),0),1)</f>
        <v>0</v>
      </c>
      <c r="BB171" s="140">
        <f t="array" ref="BB171">IF(ISBLANK($A171),0,IF(OR(BB$5-$AI171&lt;=0,$AM171="Não"),Q171,Q171+INDEX($AO$6:$BR$176,ROW()-5,COLUMN()-40-$AI171)))*IF($B171="Operacional",IFERROR(VLOOKUP($C171,SN_UGC,28,0),0),1)</f>
        <v>0</v>
      </c>
      <c r="BC171" s="140">
        <f t="array" ref="BC171">IF(ISBLANK($A171),0,IF(OR(BC$5-$AI171&lt;=0,$AM171="Não"),R171,R171+INDEX($AO$6:$BR$176,ROW()-5,COLUMN()-40-$AI171)))*IF($B171="Operacional",IFERROR(VLOOKUP($C171,SN_UGC,28,0),0),1)</f>
        <v>0</v>
      </c>
      <c r="BD171" s="140">
        <f t="array" ref="BD171">IF(ISBLANK($A171),0,IF(OR(BD$5-$AI171&lt;=0,$AM171="Não"),S171,S171+INDEX($AO$6:$BR$176,ROW()-5,COLUMN()-40-$AI171)))*IF($B171="Operacional",IFERROR(VLOOKUP($C171,SN_UGC,28,0),0),1)</f>
        <v>0</v>
      </c>
      <c r="BE171" s="140">
        <f t="array" ref="BE171">IF(ISBLANK($A171),0,IF(OR(BE$5-$AI171&lt;=0,$AM171="Não"),T171,T171+INDEX($AO$6:$BR$176,ROW()-5,COLUMN()-40-$AI171)))*IF($B171="Operacional",IFERROR(VLOOKUP($C171,SN_UGC,28,0),0),1)</f>
        <v>0</v>
      </c>
      <c r="BF171" s="140">
        <f t="array" ref="BF171">IF(ISBLANK($A171),0,IF(OR(BF$5-$AI171&lt;=0,$AM171="Não"),U171,U171+INDEX($AO$6:$BR$176,ROW()-5,COLUMN()-40-$AI171)))*IF($B171="Operacional",IFERROR(VLOOKUP($C171,SN_UGC,28,0),0),1)</f>
        <v>0</v>
      </c>
      <c r="BG171" s="140">
        <f t="array" ref="BG171">IF(ISBLANK($A171),0,IF(OR(BG$5-$AI171&lt;=0,$AM171="Não"),V171,V171+INDEX($AO$6:$BR$176,ROW()-5,COLUMN()-40-$AI171)))*IF($B171="Operacional",IFERROR(VLOOKUP($C171,SN_UGC,28,0),0),1)</f>
        <v>0</v>
      </c>
      <c r="BH171" s="140">
        <f t="array" ref="BH171">IF(ISBLANK($A171),0,IF(OR(BH$5-$AI171&lt;=0,$AM171="Não"),W171,W171+INDEX($AO$6:$BR$176,ROW()-5,COLUMN()-40-$AI171)))*IF($B171="Operacional",IFERROR(VLOOKUP($C171,SN_UGC,28,0),0),1)</f>
        <v>0</v>
      </c>
      <c r="BI171" s="140">
        <f t="array" ref="BI171">IF(ISBLANK($A171),0,IF(OR(BI$5-$AI171&lt;=0,$AM171="Não"),X171,X171+INDEX($AO$6:$BR$176,ROW()-5,COLUMN()-40-$AI171)))*IF($B171="Operacional",IFERROR(VLOOKUP($C171,SN_UGC,28,0),0),1)</f>
        <v>0</v>
      </c>
      <c r="BJ171" s="140">
        <f t="array" ref="BJ171">IF(ISBLANK($A171),0,IF(OR(BJ$5-$AI171&lt;=0,$AM171="Não"),Y171,Y171+INDEX($AO$6:$BR$176,ROW()-5,COLUMN()-40-$AI171)))*IF($B171="Operacional",IFERROR(VLOOKUP($C171,SN_UGC,28,0),0),1)</f>
        <v>0</v>
      </c>
      <c r="BK171" s="140">
        <f t="array" ref="BK171">IF(ISBLANK($A171),0,IF(OR(BK$5-$AI171&lt;=0,$AM171="Não"),Z171,Z171+INDEX($AO$6:$BR$176,ROW()-5,COLUMN()-40-$AI171)))*IF($B171="Operacional",IFERROR(VLOOKUP($C171,SN_UGC,28,0),0),1)</f>
        <v>0</v>
      </c>
      <c r="BL171" s="140">
        <f t="array" ref="BL171">IF(ISBLANK($A171),0,IF(OR(BL$5-$AI171&lt;=0,$AM171="Não"),AA171,AA171+INDEX($AO$6:$BR$176,ROW()-5,COLUMN()-40-$AI171)))*IF($B171="Operacional",IFERROR(VLOOKUP($C171,SN_UGC,28,0),0),1)</f>
        <v>0</v>
      </c>
      <c r="BM171" s="140">
        <f t="array" ref="BM171">IF(ISBLANK($A171),0,IF(OR(BM$5-$AI171&lt;=0,$AM171="Não"),AB171,AB171+INDEX($AO$6:$BR$176,ROW()-5,COLUMN()-40-$AI171)))*IF($B171="Operacional",IFERROR(VLOOKUP($C171,SN_UGC,28,0),0),1)</f>
        <v>0</v>
      </c>
      <c r="BN171" s="140">
        <f t="array" ref="BN171">IF(ISBLANK($A171),0,IF(OR(BN$5-$AI171&lt;=0,$AM171="Não"),AC171,AC171+INDEX($AO$6:$BR$176,ROW()-5,COLUMN()-40-$AI171)))*IF($B171="Operacional",IFERROR(VLOOKUP($C171,SN_UGC,28,0),0),1)</f>
        <v>0</v>
      </c>
      <c r="BO171" s="140">
        <f t="array" ref="BO171">IF(ISBLANK($A171),0,IF(OR(BO$5-$AI171&lt;=0,$AM171="Não"),AD171,AD171+INDEX($AO$6:$BR$176,ROW()-5,COLUMN()-40-$AI171)))*IF($B171="Operacional",IFERROR(VLOOKUP($C171,SN_UGC,28,0),0),1)</f>
        <v>0</v>
      </c>
      <c r="BP171" s="140">
        <f t="array" ref="BP171">IF(ISBLANK($A171),0,IF(OR(BP$5-$AI171&lt;=0,$AM171="Não"),AE171,AE171+INDEX($AO$6:$BR$176,ROW()-5,COLUMN()-40-$AI171)))*IF($B171="Operacional",IFERROR(VLOOKUP($C171,SN_UGC,28,0),0),1)</f>
        <v>0</v>
      </c>
      <c r="BQ171" s="140">
        <f t="array" ref="BQ171">IF(ISBLANK($A171),0,IF(OR(BQ$5-$AI171&lt;=0,$AM171="Não"),AF171,AF171+INDEX($AO$6:$BR$176,ROW()-5,COLUMN()-40-$AI171)))*IF($B171="Operacional",IFERROR(VLOOKUP($C171,SN_UGC,28,0),0),1)</f>
        <v>0</v>
      </c>
      <c r="BR171" s="140">
        <f t="array" ref="BR171">IF(ISBLANK($A171),0,IF(OR(BR$5-$AI171&lt;=0,$AM171="Não"),AG171,AG171+INDEX($AO$6:$BR$176,ROW()-5,COLUMN()-40-$AI171)))*IF($B171="Operacional",IFERROR(VLOOKUP($C171,SN_UGC,28,0),0),1)</f>
        <v>0</v>
      </c>
      <c r="BS171" s="141">
        <f t="shared" ref="BS171:CV171" si="890">IF(ISBLANK($A171),0,$AH171*AO171)</f>
        <v>0</v>
      </c>
      <c r="BT171" s="141">
        <f t="shared" si="890"/>
        <v>0</v>
      </c>
      <c r="BU171" s="141">
        <f t="shared" si="890"/>
        <v>0</v>
      </c>
      <c r="BV171" s="141">
        <f t="shared" si="890"/>
        <v>0</v>
      </c>
      <c r="BW171" s="141">
        <f t="shared" si="890"/>
        <v>0</v>
      </c>
      <c r="BX171" s="141">
        <f t="shared" si="890"/>
        <v>0</v>
      </c>
      <c r="BY171" s="141">
        <f t="shared" si="890"/>
        <v>0</v>
      </c>
      <c r="BZ171" s="141">
        <f t="shared" si="890"/>
        <v>0</v>
      </c>
      <c r="CA171" s="141">
        <f t="shared" si="890"/>
        <v>0</v>
      </c>
      <c r="CB171" s="141">
        <f t="shared" si="890"/>
        <v>0</v>
      </c>
      <c r="CC171" s="141">
        <f t="shared" si="890"/>
        <v>0</v>
      </c>
      <c r="CD171" s="141">
        <f t="shared" si="890"/>
        <v>0</v>
      </c>
      <c r="CE171" s="141">
        <f t="shared" si="890"/>
        <v>0</v>
      </c>
      <c r="CF171" s="141">
        <f t="shared" si="890"/>
        <v>0</v>
      </c>
      <c r="CG171" s="141">
        <f t="shared" si="890"/>
        <v>0</v>
      </c>
      <c r="CH171" s="141">
        <f t="shared" si="890"/>
        <v>0</v>
      </c>
      <c r="CI171" s="141">
        <f t="shared" si="890"/>
        <v>0</v>
      </c>
      <c r="CJ171" s="141">
        <f t="shared" si="890"/>
        <v>0</v>
      </c>
      <c r="CK171" s="141">
        <f t="shared" si="890"/>
        <v>0</v>
      </c>
      <c r="CL171" s="141">
        <f t="shared" si="890"/>
        <v>0</v>
      </c>
      <c r="CM171" s="141">
        <f t="shared" si="890"/>
        <v>0</v>
      </c>
      <c r="CN171" s="141">
        <f t="shared" si="890"/>
        <v>0</v>
      </c>
      <c r="CO171" s="141">
        <f t="shared" si="890"/>
        <v>0</v>
      </c>
      <c r="CP171" s="141">
        <f t="shared" si="890"/>
        <v>0</v>
      </c>
      <c r="CQ171" s="141">
        <f t="shared" si="890"/>
        <v>0</v>
      </c>
      <c r="CR171" s="141">
        <f t="shared" si="890"/>
        <v>0</v>
      </c>
      <c r="CS171" s="141">
        <f t="shared" si="890"/>
        <v>0</v>
      </c>
      <c r="CT171" s="141">
        <f t="shared" si="890"/>
        <v>0</v>
      </c>
      <c r="CU171" s="141">
        <f t="shared" si="890"/>
        <v>0</v>
      </c>
      <c r="CV171" s="141">
        <f t="shared" si="890"/>
        <v>0</v>
      </c>
      <c r="CW171" s="142">
        <f t="shared" ref="CW171:DZ171" si="891">EA171*$AH171*$AJ171</f>
        <v>0</v>
      </c>
      <c r="CX171" s="142">
        <f t="shared" si="891"/>
        <v>0</v>
      </c>
      <c r="CY171" s="142">
        <f t="shared" si="891"/>
        <v>0</v>
      </c>
      <c r="CZ171" s="142">
        <f t="shared" si="891"/>
        <v>0</v>
      </c>
      <c r="DA171" s="142">
        <f t="shared" si="891"/>
        <v>0</v>
      </c>
      <c r="DB171" s="142">
        <f t="shared" si="891"/>
        <v>0</v>
      </c>
      <c r="DC171" s="142">
        <f t="shared" si="891"/>
        <v>0</v>
      </c>
      <c r="DD171" s="142">
        <f t="shared" si="891"/>
        <v>0</v>
      </c>
      <c r="DE171" s="142">
        <f t="shared" si="891"/>
        <v>0</v>
      </c>
      <c r="DF171" s="142">
        <f t="shared" si="891"/>
        <v>0</v>
      </c>
      <c r="DG171" s="142">
        <f t="shared" si="891"/>
        <v>0</v>
      </c>
      <c r="DH171" s="142">
        <f t="shared" si="891"/>
        <v>0</v>
      </c>
      <c r="DI171" s="142">
        <f t="shared" si="891"/>
        <v>0</v>
      </c>
      <c r="DJ171" s="142">
        <f t="shared" si="891"/>
        <v>0</v>
      </c>
      <c r="DK171" s="142">
        <f t="shared" si="891"/>
        <v>0</v>
      </c>
      <c r="DL171" s="142">
        <f t="shared" si="891"/>
        <v>0</v>
      </c>
      <c r="DM171" s="142">
        <f t="shared" si="891"/>
        <v>0</v>
      </c>
      <c r="DN171" s="142">
        <f t="shared" si="891"/>
        <v>0</v>
      </c>
      <c r="DO171" s="142">
        <f t="shared" si="891"/>
        <v>0</v>
      </c>
      <c r="DP171" s="142">
        <f t="shared" si="891"/>
        <v>0</v>
      </c>
      <c r="DQ171" s="142">
        <f t="shared" si="891"/>
        <v>0</v>
      </c>
      <c r="DR171" s="142">
        <f t="shared" si="891"/>
        <v>0</v>
      </c>
      <c r="DS171" s="142">
        <f t="shared" si="891"/>
        <v>0</v>
      </c>
      <c r="DT171" s="142">
        <f t="shared" si="891"/>
        <v>0</v>
      </c>
      <c r="DU171" s="142">
        <f t="shared" si="891"/>
        <v>0</v>
      </c>
      <c r="DV171" s="142">
        <f t="shared" si="891"/>
        <v>0</v>
      </c>
      <c r="DW171" s="142">
        <f t="shared" si="891"/>
        <v>0</v>
      </c>
      <c r="DX171" s="142">
        <f t="shared" si="891"/>
        <v>0</v>
      </c>
      <c r="DY171" s="142">
        <f t="shared" si="891"/>
        <v>0</v>
      </c>
      <c r="DZ171" s="142">
        <f t="shared" si="891"/>
        <v>0</v>
      </c>
      <c r="EA171" s="143">
        <f t="shared" si="835"/>
        <v>0</v>
      </c>
      <c r="EB171" s="143">
        <f t="shared" si="836"/>
        <v>0</v>
      </c>
      <c r="EC171" s="143">
        <f t="shared" si="837"/>
        <v>0</v>
      </c>
      <c r="ED171" s="143">
        <f t="shared" si="838"/>
        <v>0</v>
      </c>
      <c r="EE171" s="143">
        <f t="shared" si="839"/>
        <v>0</v>
      </c>
      <c r="EF171" s="143">
        <f t="shared" si="840"/>
        <v>0</v>
      </c>
      <c r="EG171" s="143">
        <f t="shared" si="841"/>
        <v>0</v>
      </c>
      <c r="EH171" s="143">
        <f t="shared" si="842"/>
        <v>0</v>
      </c>
      <c r="EI171" s="143">
        <f t="shared" si="843"/>
        <v>0</v>
      </c>
      <c r="EJ171" s="143">
        <f t="shared" si="844"/>
        <v>0</v>
      </c>
      <c r="EK171" s="143">
        <f t="shared" si="845"/>
        <v>0</v>
      </c>
      <c r="EL171" s="143">
        <f t="shared" si="846"/>
        <v>0</v>
      </c>
      <c r="EM171" s="143">
        <f t="shared" si="847"/>
        <v>0</v>
      </c>
      <c r="EN171" s="143">
        <f t="shared" si="848"/>
        <v>0</v>
      </c>
      <c r="EO171" s="143">
        <f t="shared" si="849"/>
        <v>0</v>
      </c>
      <c r="EP171" s="143">
        <f t="shared" si="850"/>
        <v>0</v>
      </c>
      <c r="EQ171" s="143">
        <f t="shared" si="851"/>
        <v>0</v>
      </c>
      <c r="ER171" s="143">
        <f t="shared" si="852"/>
        <v>0</v>
      </c>
      <c r="ES171" s="143">
        <f t="shared" si="853"/>
        <v>0</v>
      </c>
      <c r="ET171" s="143">
        <f t="shared" si="854"/>
        <v>0</v>
      </c>
      <c r="EU171" s="143">
        <f t="shared" si="855"/>
        <v>0</v>
      </c>
      <c r="EV171" s="143">
        <f t="shared" si="856"/>
        <v>0</v>
      </c>
      <c r="EW171" s="143">
        <f t="shared" si="857"/>
        <v>0</v>
      </c>
      <c r="EX171" s="143">
        <f t="shared" si="858"/>
        <v>0</v>
      </c>
      <c r="EY171" s="143">
        <f t="shared" si="859"/>
        <v>0</v>
      </c>
      <c r="EZ171" s="143">
        <f t="shared" si="860"/>
        <v>0</v>
      </c>
      <c r="FA171" s="143">
        <f t="shared" si="861"/>
        <v>0</v>
      </c>
      <c r="FB171" s="143">
        <f t="shared" si="862"/>
        <v>0</v>
      </c>
      <c r="FC171" s="143">
        <f t="shared" si="863"/>
        <v>0</v>
      </c>
      <c r="FD171" s="143">
        <f t="shared" si="864"/>
        <v>0</v>
      </c>
      <c r="FE171" s="140">
        <f>SUM($D171:D171)*IF($B171="Operacional",IFERROR(VLOOKUP($C171,SN_UGC,28,0),0),1)</f>
        <v>0</v>
      </c>
      <c r="FF171" s="140">
        <f>SUM($D171:E171)*IF($B171="Operacional",IFERROR(VLOOKUP($C171,SN_UGC,28,0),0),1)</f>
        <v>0</v>
      </c>
      <c r="FG171" s="140">
        <f>SUM($D171:F171)*IF($B171="Operacional",IFERROR(VLOOKUP($C171,SN_UGC,28,0),0),1)</f>
        <v>0</v>
      </c>
      <c r="FH171" s="140">
        <f>SUM($D171:G171)*IF($B171="Operacional",IFERROR(VLOOKUP($C171,SN_UGC,28,0),0),1)</f>
        <v>0</v>
      </c>
      <c r="FI171" s="140">
        <f>SUM($D171:H171)*IF($B171="Operacional",IFERROR(VLOOKUP($C171,SN_UGC,28,0),0),1)</f>
        <v>0</v>
      </c>
      <c r="FJ171" s="140">
        <f>SUM($D171:I171)*IF($B171="Operacional",IFERROR(VLOOKUP($C171,SN_UGC,28,0),0),1)</f>
        <v>0</v>
      </c>
      <c r="FK171" s="140">
        <f>SUM($D171:J171)*IF($B171="Operacional",IFERROR(VLOOKUP($C171,SN_UGC,28,0),0),1)</f>
        <v>0</v>
      </c>
      <c r="FL171" s="140">
        <f>SUM($D171:K171)*IF($B171="Operacional",IFERROR(VLOOKUP($C171,SN_UGC,28,0),0),1)</f>
        <v>0</v>
      </c>
      <c r="FM171" s="140">
        <f>SUM($D171:L171)*IF($B171="Operacional",IFERROR(VLOOKUP($C171,SN_UGC,28,0),0),1)</f>
        <v>0</v>
      </c>
      <c r="FN171" s="140">
        <f>SUM($D171:M171)*IF($B171="Operacional",IFERROR(VLOOKUP($C171,SN_UGC,28,0),0),1)</f>
        <v>0</v>
      </c>
      <c r="FO171" s="140">
        <f>SUM($D171:N171)*IF($B171="Operacional",IFERROR(VLOOKUP($C171,SN_UGC,28,0),0),1)</f>
        <v>0</v>
      </c>
      <c r="FP171" s="140">
        <f>SUM($D171:O171)*IF($B171="Operacional",IFERROR(VLOOKUP($C171,SN_UGC,28,0),0),1)</f>
        <v>0</v>
      </c>
      <c r="FQ171" s="140">
        <f>SUM($D171:P171)*IF($B171="Operacional",IFERROR(VLOOKUP($C171,SN_UGC,28,0),0),1)</f>
        <v>0</v>
      </c>
      <c r="FR171" s="140">
        <f>SUM($D171:Q171)*IF($B171="Operacional",IFERROR(VLOOKUP($C171,SN_UGC,28,0),0),1)</f>
        <v>0</v>
      </c>
      <c r="FS171" s="140">
        <f>SUM($D171:R171)*IF($B171="Operacional",IFERROR(VLOOKUP($C171,SN_UGC,28,0),0),1)</f>
        <v>0</v>
      </c>
      <c r="FT171" s="140">
        <f>SUM($D171:S171)*IF($B171="Operacional",IFERROR(VLOOKUP($C171,SN_UGC,28,0),0),1)</f>
        <v>0</v>
      </c>
      <c r="FU171" s="140">
        <f>SUM($D171:T171)*IF($B171="Operacional",IFERROR(VLOOKUP($C171,SN_UGC,28,0),0),1)</f>
        <v>0</v>
      </c>
      <c r="FV171" s="140">
        <f>SUM($D171:U171)*IF($B171="Operacional",IFERROR(VLOOKUP($C171,SN_UGC,28,0),0),1)</f>
        <v>0</v>
      </c>
      <c r="FW171" s="140">
        <f>SUM($D171:V171)*IF($B171="Operacional",IFERROR(VLOOKUP($C171,SN_UGC,28,0),0),1)</f>
        <v>0</v>
      </c>
      <c r="FX171" s="140">
        <f>SUM($D171:W171)*IF($B171="Operacional",IFERROR(VLOOKUP($C171,SN_UGC,28,0),0),1)</f>
        <v>0</v>
      </c>
      <c r="FY171" s="140">
        <f>SUM($D171:X171)*IF($B171="Operacional",IFERROR(VLOOKUP($C171,SN_UGC,28,0),0),1)</f>
        <v>0</v>
      </c>
      <c r="FZ171" s="140">
        <f>SUM($D171:Y171)*IF($B171="Operacional",IFERROR(VLOOKUP($C171,SN_UGC,28,0),0),1)</f>
        <v>0</v>
      </c>
      <c r="GA171" s="140">
        <f>SUM($D171:Z171)*IF($B171="Operacional",IFERROR(VLOOKUP($C171,SN_UGC,28,0),0),1)</f>
        <v>0</v>
      </c>
      <c r="GB171" s="140">
        <f>SUM($D171:AA171)*IF($B171="Operacional",IFERROR(VLOOKUP($C171,SN_UGC,28,0),0),1)</f>
        <v>0</v>
      </c>
      <c r="GC171" s="140">
        <f>SUM($D171:AB171)*IF($B171="Operacional",IFERROR(VLOOKUP($C171,SN_UGC,28,0),0),1)</f>
        <v>0</v>
      </c>
      <c r="GD171" s="140">
        <f>SUM($D171:AC171)*IF($B171="Operacional",IFERROR(VLOOKUP($C171,SN_UGC,28,0),0),1)</f>
        <v>0</v>
      </c>
      <c r="GE171" s="140">
        <f>SUM($D171:AD171)*IF($B171="Operacional",IFERROR(VLOOKUP($C171,SN_UGC,28,0),0),1)</f>
        <v>0</v>
      </c>
      <c r="GF171" s="140">
        <f>SUM($D171:AE171)*IF($B171="Operacional",IFERROR(VLOOKUP($C171,SN_UGC,28,0),0),1)</f>
        <v>0</v>
      </c>
      <c r="GG171" s="140">
        <f>SUM($D171:AF171)*IF($B171="Operacional",IFERROR(VLOOKUP($C171,SN_UGC,28,0),0),1)</f>
        <v>0</v>
      </c>
      <c r="GH171" s="140">
        <f>SUM($D171:AG171)*IF($B171="Operacional",IFERROR(VLOOKUP($C171,SN_UGC,28,0),0),1)</f>
        <v>0</v>
      </c>
      <c r="GI171" s="141">
        <f t="shared" ref="GI171:HL171" si="892">FE171*$AH171*$AL171</f>
        <v>0</v>
      </c>
      <c r="GJ171" s="141">
        <f t="shared" si="892"/>
        <v>0</v>
      </c>
      <c r="GK171" s="141">
        <f t="shared" si="892"/>
        <v>0</v>
      </c>
      <c r="GL171" s="141">
        <f t="shared" si="892"/>
        <v>0</v>
      </c>
      <c r="GM171" s="141">
        <f t="shared" si="892"/>
        <v>0</v>
      </c>
      <c r="GN171" s="141">
        <f t="shared" si="892"/>
        <v>0</v>
      </c>
      <c r="GO171" s="141">
        <f t="shared" si="892"/>
        <v>0</v>
      </c>
      <c r="GP171" s="141">
        <f t="shared" si="892"/>
        <v>0</v>
      </c>
      <c r="GQ171" s="141">
        <f t="shared" si="892"/>
        <v>0</v>
      </c>
      <c r="GR171" s="141">
        <f t="shared" si="892"/>
        <v>0</v>
      </c>
      <c r="GS171" s="141">
        <f t="shared" si="892"/>
        <v>0</v>
      </c>
      <c r="GT171" s="141">
        <f t="shared" si="892"/>
        <v>0</v>
      </c>
      <c r="GU171" s="141">
        <f t="shared" si="892"/>
        <v>0</v>
      </c>
      <c r="GV171" s="141">
        <f t="shared" si="892"/>
        <v>0</v>
      </c>
      <c r="GW171" s="141">
        <f t="shared" si="892"/>
        <v>0</v>
      </c>
      <c r="GX171" s="141">
        <f t="shared" si="892"/>
        <v>0</v>
      </c>
      <c r="GY171" s="141">
        <f t="shared" si="892"/>
        <v>0</v>
      </c>
      <c r="GZ171" s="141">
        <f t="shared" si="892"/>
        <v>0</v>
      </c>
      <c r="HA171" s="141">
        <f t="shared" si="892"/>
        <v>0</v>
      </c>
      <c r="HB171" s="141">
        <f t="shared" si="892"/>
        <v>0</v>
      </c>
      <c r="HC171" s="141">
        <f t="shared" si="892"/>
        <v>0</v>
      </c>
      <c r="HD171" s="141">
        <f t="shared" si="892"/>
        <v>0</v>
      </c>
      <c r="HE171" s="141">
        <f t="shared" si="892"/>
        <v>0</v>
      </c>
      <c r="HF171" s="141">
        <f t="shared" si="892"/>
        <v>0</v>
      </c>
      <c r="HG171" s="141">
        <f t="shared" si="892"/>
        <v>0</v>
      </c>
      <c r="HH171" s="141">
        <f t="shared" si="892"/>
        <v>0</v>
      </c>
      <c r="HI171" s="141">
        <f t="shared" si="892"/>
        <v>0</v>
      </c>
      <c r="HJ171" s="141">
        <f t="shared" si="892"/>
        <v>0</v>
      </c>
      <c r="HK171" s="141">
        <f t="shared" si="892"/>
        <v>0</v>
      </c>
      <c r="HL171" s="141">
        <f t="shared" si="892"/>
        <v>0</v>
      </c>
      <c r="HM171" s="142">
        <f t="shared" ref="HM171:IP171" si="893">IF(ISBLANK($A171),,FE171*($AH171-($AH171*$AJ171))/$AI171)</f>
        <v>0</v>
      </c>
      <c r="HN171" s="142">
        <f t="shared" si="893"/>
        <v>0</v>
      </c>
      <c r="HO171" s="142">
        <f t="shared" si="893"/>
        <v>0</v>
      </c>
      <c r="HP171" s="142">
        <f t="shared" si="893"/>
        <v>0</v>
      </c>
      <c r="HQ171" s="142">
        <f t="shared" si="893"/>
        <v>0</v>
      </c>
      <c r="HR171" s="142">
        <f t="shared" si="893"/>
        <v>0</v>
      </c>
      <c r="HS171" s="142">
        <f t="shared" si="893"/>
        <v>0</v>
      </c>
      <c r="HT171" s="142">
        <f t="shared" si="893"/>
        <v>0</v>
      </c>
      <c r="HU171" s="142">
        <f t="shared" si="893"/>
        <v>0</v>
      </c>
      <c r="HV171" s="142">
        <f t="shared" si="893"/>
        <v>0</v>
      </c>
      <c r="HW171" s="142">
        <f t="shared" si="893"/>
        <v>0</v>
      </c>
      <c r="HX171" s="142">
        <f t="shared" si="893"/>
        <v>0</v>
      </c>
      <c r="HY171" s="142">
        <f t="shared" si="893"/>
        <v>0</v>
      </c>
      <c r="HZ171" s="142">
        <f t="shared" si="893"/>
        <v>0</v>
      </c>
      <c r="IA171" s="142">
        <f t="shared" si="893"/>
        <v>0</v>
      </c>
      <c r="IB171" s="142">
        <f t="shared" si="893"/>
        <v>0</v>
      </c>
      <c r="IC171" s="142">
        <f t="shared" si="893"/>
        <v>0</v>
      </c>
      <c r="ID171" s="142">
        <f t="shared" si="893"/>
        <v>0</v>
      </c>
      <c r="IE171" s="142">
        <f t="shared" si="893"/>
        <v>0</v>
      </c>
      <c r="IF171" s="142">
        <f t="shared" si="893"/>
        <v>0</v>
      </c>
      <c r="IG171" s="142">
        <f t="shared" si="893"/>
        <v>0</v>
      </c>
      <c r="IH171" s="142">
        <f t="shared" si="893"/>
        <v>0</v>
      </c>
      <c r="II171" s="142">
        <f t="shared" si="893"/>
        <v>0</v>
      </c>
      <c r="IJ171" s="142">
        <f t="shared" si="893"/>
        <v>0</v>
      </c>
      <c r="IK171" s="142">
        <f t="shared" si="893"/>
        <v>0</v>
      </c>
      <c r="IL171" s="142">
        <f t="shared" si="893"/>
        <v>0</v>
      </c>
      <c r="IM171" s="142">
        <f t="shared" si="893"/>
        <v>0</v>
      </c>
      <c r="IN171" s="142">
        <f t="shared" si="893"/>
        <v>0</v>
      </c>
      <c r="IO171" s="142">
        <f t="shared" si="893"/>
        <v>0</v>
      </c>
      <c r="IP171" s="142">
        <f t="shared" si="893"/>
        <v>0</v>
      </c>
      <c r="IQ171" s="141">
        <f>IF(ISBLANK($A171),,IF($AN171="Não",0,(SUM($AO171:AO171)*$AH171)-SUM($HM171:HM171)-SUM($CW171:CW171)))</f>
        <v>0</v>
      </c>
      <c r="IR171" s="141">
        <f>IF(ISBLANK($A171),,IF($AN171="Não",0,(SUM($AO171:AP171)*$AH171)-SUM($HM171:HN171)-SUM($CW171:CX171)))</f>
        <v>0</v>
      </c>
      <c r="IS171" s="141">
        <f>IF(ISBLANK($A171),,IF($AN171="Não",0,(SUM($AO171:AQ171)*$AH171)-SUM($HM171:HO171)-SUM($CW171:CY171)))</f>
        <v>0</v>
      </c>
      <c r="IT171" s="141">
        <f>IF(ISBLANK($A171),,IF($AN171="Não",0,(SUM($AO171:AR171)*$AH171)-SUM($HM171:HP171)-SUM($CW171:CZ171)))</f>
        <v>0</v>
      </c>
      <c r="IU171" s="141">
        <f>IF(ISBLANK($A171),,IF($AN171="Não",0,(SUM($AO171:AS171)*$AH171)-SUM($HM171:HQ171)-SUM($CW171:DA171)))</f>
        <v>0</v>
      </c>
      <c r="IV171" s="141">
        <f>IF(ISBLANK($A171),,IF($AN171="Não",0,(SUM($AO171:AT171)*$AH171)-SUM($HM171:HR171)-SUM($CW171:DB171)))</f>
        <v>0</v>
      </c>
      <c r="IW171" s="141">
        <f>IF(ISBLANK($A171),,IF($AN171="Não",0,(SUM($AO171:AU171)*$AH171)-SUM($HM171:HS171)-SUM($CW171:DC171)))</f>
        <v>0</v>
      </c>
      <c r="IX171" s="141">
        <f>IF(ISBLANK($A171),,IF($AN171="Não",0,(SUM($AO171:AV171)*$AH171)-SUM($HM171:HT171)-SUM($CW171:DD171)))</f>
        <v>0</v>
      </c>
      <c r="IY171" s="141">
        <f>IF(ISBLANK($A171),,IF($AN171="Não",0,(SUM($AO171:AW171)*$AH171)-SUM($HM171:HU171)-SUM($CW171:DE171)))</f>
        <v>0</v>
      </c>
      <c r="IZ171" s="141">
        <f>IF(ISBLANK($A171),,IF($AN171="Não",0,(SUM($AO171:AX171)*$AH171)-SUM($HM171:HV171)-SUM($CW171:DF171)))</f>
        <v>0</v>
      </c>
      <c r="JA171" s="141">
        <f>IF(ISBLANK($A171),,IF($AN171="Não",0,(SUM($AO171:AY171)*$AH171)-SUM($HM171:HW171)-SUM($CW171:DG171)))</f>
        <v>0</v>
      </c>
      <c r="JB171" s="141">
        <f>IF(ISBLANK($A171),,IF($AN171="Não",0,(SUM($AO171:AZ171)*$AH171)-SUM($HM171:HX171)-SUM($CW171:DH171)))</f>
        <v>0</v>
      </c>
      <c r="JC171" s="141">
        <f>IF(ISBLANK($A171),,IF($AN171="Não",0,(SUM($AO171:BA171)*$AH171)-SUM($HM171:HY171)-SUM($CW171:DI171)))</f>
        <v>0</v>
      </c>
      <c r="JD171" s="141">
        <f>IF(ISBLANK($A171),,IF($AN171="Não",0,(SUM($AO171:BB171)*$AH171)-SUM($HM171:HZ171)-SUM($CW171:DJ171)))</f>
        <v>0</v>
      </c>
      <c r="JE171" s="141">
        <f>IF(ISBLANK($A171),,IF($AN171="Não",0,(SUM($AO171:BC171)*$AH171)-SUM($HM171:IA171)-SUM($CW171:DK171)))</f>
        <v>0</v>
      </c>
      <c r="JF171" s="141">
        <f>IF(ISBLANK($A171),,IF($AN171="Não",0,(SUM($AO171:BD171)*$AH171)-SUM($HM171:IB171)-SUM($CW171:DL171)))</f>
        <v>0</v>
      </c>
      <c r="JG171" s="141">
        <f>IF(ISBLANK($A171),,IF($AN171="Não",0,(SUM($AO171:BE171)*$AH171)-SUM($HM171:IC171)-SUM($CW171:DM171)))</f>
        <v>0</v>
      </c>
      <c r="JH171" s="141">
        <f>IF(ISBLANK($A171),,IF($AN171="Não",0,(SUM($AO171:BF171)*$AH171)-SUM($HM171:ID171)-SUM($CW171:DN171)))</f>
        <v>0</v>
      </c>
      <c r="JI171" s="141">
        <f>IF(ISBLANK($A171),,IF($AN171="Não",0,(SUM($AO171:BG171)*$AH171)-SUM($HM171:IE171)-SUM($CW171:DO171)))</f>
        <v>0</v>
      </c>
      <c r="JJ171" s="141">
        <f>IF(ISBLANK($A171),,IF($AN171="Não",0,(SUM($AO171:BH171)*$AH171)-SUM($HM171:IF171)-SUM($CW171:DP171)))</f>
        <v>0</v>
      </c>
      <c r="JK171" s="141">
        <f>IF(ISBLANK($A171),,IF($AN171="Não",0,(SUM($AO171:BI171)*$AH171)-SUM($HM171:IG171)-SUM($CW171:DQ171)))</f>
        <v>0</v>
      </c>
      <c r="JL171" s="141">
        <f>IF(ISBLANK($A171),,IF($AN171="Não",0,(SUM($AO171:BJ171)*$AH171)-SUM($HM171:IH171)-SUM($CW171:DR171)))</f>
        <v>0</v>
      </c>
      <c r="JM171" s="141">
        <f>IF(ISBLANK($A171),,IF($AN171="Não",0,(SUM($AO171:BK171)*$AH171)-SUM($HM171:II171)-SUM($CW171:DS171)))</f>
        <v>0</v>
      </c>
      <c r="JN171" s="141">
        <f>IF(ISBLANK($A171),,IF($AN171="Não",0,(SUM($AO171:BL171)*$AH171)-SUM($HM171:IJ171)-SUM($CW171:DT171)))</f>
        <v>0</v>
      </c>
      <c r="JO171" s="141">
        <f>IF(ISBLANK($A171),,IF($AN171="Não",0,(SUM($AO171:BM171)*$AH171)-SUM($HM171:IK171)-SUM($CW171:DU171)))</f>
        <v>0</v>
      </c>
      <c r="JP171" s="141">
        <f>IF(ISBLANK($A171),,IF($AN171="Não",0,(SUM($AO171:BN171)*$AH171)-SUM($HM171:IL171)-SUM($CW171:DV171)))</f>
        <v>0</v>
      </c>
      <c r="JQ171" s="141">
        <f>IF(ISBLANK($A171),,IF($AN171="Não",0,(SUM($AO171:BO171)*$AH171)-SUM($HM171:IM171)-SUM($CW171:DW171)))</f>
        <v>0</v>
      </c>
      <c r="JR171" s="141">
        <f>IF(ISBLANK($A171),,IF($AN171="Não",0,(SUM($AO171:BP171)*$AH171)-SUM($HM171:IN171)-SUM($CW171:DX171)))</f>
        <v>0</v>
      </c>
      <c r="JS171" s="141">
        <f>IF(ISBLANK($A171),,IF($AN171="Não",0,(SUM($AO171:BQ171)*$AH171)-SUM($HM171:IO171)-SUM($CW171:DY171)))</f>
        <v>0</v>
      </c>
      <c r="JT171" s="141">
        <f>IF(ISBLANK($A171),,IF($AN171="Não",0,(SUM($AO171:BR171)*$AH171)-SUM($HM171:IP171)-SUM($CW171:DZ171)))</f>
        <v>0</v>
      </c>
    </row>
    <row r="172" spans="1:280" ht="15.75" customHeight="1">
      <c r="A172" s="129"/>
      <c r="B172" s="129"/>
      <c r="C172" s="138"/>
      <c r="D172" s="139"/>
      <c r="E172" s="139"/>
      <c r="F172" s="139"/>
      <c r="G172" s="139"/>
      <c r="H172" s="139"/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607">
        <f t="shared" si="875"/>
        <v>0</v>
      </c>
      <c r="AI172" s="608">
        <f t="shared" si="876"/>
        <v>0</v>
      </c>
      <c r="AJ172" s="609">
        <f t="shared" si="877"/>
        <v>0</v>
      </c>
      <c r="AK172" s="610" t="str">
        <f t="shared" si="878"/>
        <v/>
      </c>
      <c r="AL172" s="609">
        <f t="shared" si="879"/>
        <v>0</v>
      </c>
      <c r="AM172" s="611" t="str">
        <f t="shared" si="880"/>
        <v/>
      </c>
      <c r="AN172" s="611" t="str">
        <f t="shared" si="881"/>
        <v/>
      </c>
      <c r="AO172" s="140">
        <f t="array" ref="AO172">IF(ISBLANK($A172),0,IF(OR(AO$5-$AI172&lt;=0,$AM172="Não"),D172,D172+INDEX($AO$6:$BR$176,ROW()-5,COLUMN()-40-$AI172)))*IF($B172="Operacional",IFERROR(VLOOKUP($C172,SN_UGC,28,0),0),1)</f>
        <v>0</v>
      </c>
      <c r="AP172" s="140">
        <f t="array" ref="AP172">IF(ISBLANK($A172),0,IF(OR(AP$5-$AI172&lt;=0,$AM172="Não"),E172,E172+INDEX($AO$6:$BR$176,ROW()-5,COLUMN()-40-$AI172)))*IF($B172="Operacional",IFERROR(VLOOKUP($C172,SN_UGC,28,0),0),1)</f>
        <v>0</v>
      </c>
      <c r="AQ172" s="140">
        <f t="array" ref="AQ172">IF(ISBLANK($A172),0,IF(OR(AQ$5-$AI172&lt;=0,$AM172="Não"),F172,F172+INDEX($AO$6:$BR$176,ROW()-5,COLUMN()-40-$AI172)))*IF($B172="Operacional",IFERROR(VLOOKUP($C172,SN_UGC,28,0),0),1)</f>
        <v>0</v>
      </c>
      <c r="AR172" s="140">
        <f t="array" ref="AR172">IF(ISBLANK($A172),0,IF(OR(AR$5-$AI172&lt;=0,$AM172="Não"),G172,G172+INDEX($AO$6:$BR$176,ROW()-5,COLUMN()-40-$AI172)))*IF($B172="Operacional",IFERROR(VLOOKUP($C172,SN_UGC,28,0),0),1)</f>
        <v>0</v>
      </c>
      <c r="AS172" s="140">
        <f t="array" ref="AS172">IF(ISBLANK($A172),0,IF(OR(AS$5-$AI172&lt;=0,$AM172="Não"),H172,H172+INDEX($AO$6:$BR$176,ROW()-5,COLUMN()-40-$AI172)))*IF($B172="Operacional",IFERROR(VLOOKUP($C172,SN_UGC,28,0),0),1)</f>
        <v>0</v>
      </c>
      <c r="AT172" s="140">
        <f t="array" ref="AT172">IF(ISBLANK($A172),0,IF(OR(AT$5-$AI172&lt;=0,$AM172="Não"),I172,I172+INDEX($AO$6:$BR$176,ROW()-5,COLUMN()-40-$AI172)))*IF($B172="Operacional",IFERROR(VLOOKUP($C172,SN_UGC,28,0),0),1)</f>
        <v>0</v>
      </c>
      <c r="AU172" s="140">
        <f t="array" ref="AU172">IF(ISBLANK($A172),0,IF(OR(AU$5-$AI172&lt;=0,$AM172="Não"),J172,J172+INDEX($AO$6:$BR$176,ROW()-5,COLUMN()-40-$AI172)))*IF($B172="Operacional",IFERROR(VLOOKUP($C172,SN_UGC,28,0),0),1)</f>
        <v>0</v>
      </c>
      <c r="AV172" s="140">
        <f t="array" ref="AV172">IF(ISBLANK($A172),0,IF(OR(AV$5-$AI172&lt;=0,$AM172="Não"),K172,K172+INDEX($AO$6:$BR$176,ROW()-5,COLUMN()-40-$AI172)))*IF($B172="Operacional",IFERROR(VLOOKUP($C172,SN_UGC,28,0),0),1)</f>
        <v>0</v>
      </c>
      <c r="AW172" s="140">
        <f t="array" ref="AW172">IF(ISBLANK($A172),0,IF(OR(AW$5-$AI172&lt;=0,$AM172="Não"),L172,L172+INDEX($AO$6:$BR$176,ROW()-5,COLUMN()-40-$AI172)))*IF($B172="Operacional",IFERROR(VLOOKUP($C172,SN_UGC,28,0),0),1)</f>
        <v>0</v>
      </c>
      <c r="AX172" s="140">
        <f t="array" ref="AX172">IF(ISBLANK($A172),0,IF(OR(AX$5-$AI172&lt;=0,$AM172="Não"),M172,M172+INDEX($AO$6:$BR$176,ROW()-5,COLUMN()-40-$AI172)))*IF($B172="Operacional",IFERROR(VLOOKUP($C172,SN_UGC,28,0),0),1)</f>
        <v>0</v>
      </c>
      <c r="AY172" s="140">
        <f t="array" ref="AY172">IF(ISBLANK($A172),0,IF(OR(AY$5-$AI172&lt;=0,$AM172="Não"),N172,N172+INDEX($AO$6:$BR$176,ROW()-5,COLUMN()-40-$AI172)))*IF($B172="Operacional",IFERROR(VLOOKUP($C172,SN_UGC,28,0),0),1)</f>
        <v>0</v>
      </c>
      <c r="AZ172" s="140">
        <f t="array" ref="AZ172">IF(ISBLANK($A172),0,IF(OR(AZ$5-$AI172&lt;=0,$AM172="Não"),O172,O172+INDEX($AO$6:$BR$176,ROW()-5,COLUMN()-40-$AI172)))*IF($B172="Operacional",IFERROR(VLOOKUP($C172,SN_UGC,28,0),0),1)</f>
        <v>0</v>
      </c>
      <c r="BA172" s="140">
        <f t="array" ref="BA172">IF(ISBLANK($A172),0,IF(OR(BA$5-$AI172&lt;=0,$AM172="Não"),P172,P172+INDEX($AO$6:$BR$176,ROW()-5,COLUMN()-40-$AI172)))*IF($B172="Operacional",IFERROR(VLOOKUP($C172,SN_UGC,28,0),0),1)</f>
        <v>0</v>
      </c>
      <c r="BB172" s="140">
        <f t="array" ref="BB172">IF(ISBLANK($A172),0,IF(OR(BB$5-$AI172&lt;=0,$AM172="Não"),Q172,Q172+INDEX($AO$6:$BR$176,ROW()-5,COLUMN()-40-$AI172)))*IF($B172="Operacional",IFERROR(VLOOKUP($C172,SN_UGC,28,0),0),1)</f>
        <v>0</v>
      </c>
      <c r="BC172" s="140">
        <f t="array" ref="BC172">IF(ISBLANK($A172),0,IF(OR(BC$5-$AI172&lt;=0,$AM172="Não"),R172,R172+INDEX($AO$6:$BR$176,ROW()-5,COLUMN()-40-$AI172)))*IF($B172="Operacional",IFERROR(VLOOKUP($C172,SN_UGC,28,0),0),1)</f>
        <v>0</v>
      </c>
      <c r="BD172" s="140">
        <f t="array" ref="BD172">IF(ISBLANK($A172),0,IF(OR(BD$5-$AI172&lt;=0,$AM172="Não"),S172,S172+INDEX($AO$6:$BR$176,ROW()-5,COLUMN()-40-$AI172)))*IF($B172="Operacional",IFERROR(VLOOKUP($C172,SN_UGC,28,0),0),1)</f>
        <v>0</v>
      </c>
      <c r="BE172" s="140">
        <f t="array" ref="BE172">IF(ISBLANK($A172),0,IF(OR(BE$5-$AI172&lt;=0,$AM172="Não"),T172,T172+INDEX($AO$6:$BR$176,ROW()-5,COLUMN()-40-$AI172)))*IF($B172="Operacional",IFERROR(VLOOKUP($C172,SN_UGC,28,0),0),1)</f>
        <v>0</v>
      </c>
      <c r="BF172" s="140">
        <f t="array" ref="BF172">IF(ISBLANK($A172),0,IF(OR(BF$5-$AI172&lt;=0,$AM172="Não"),U172,U172+INDEX($AO$6:$BR$176,ROW()-5,COLUMN()-40-$AI172)))*IF($B172="Operacional",IFERROR(VLOOKUP($C172,SN_UGC,28,0),0),1)</f>
        <v>0</v>
      </c>
      <c r="BG172" s="140">
        <f t="array" ref="BG172">IF(ISBLANK($A172),0,IF(OR(BG$5-$AI172&lt;=0,$AM172="Não"),V172,V172+INDEX($AO$6:$BR$176,ROW()-5,COLUMN()-40-$AI172)))*IF($B172="Operacional",IFERROR(VLOOKUP($C172,SN_UGC,28,0),0),1)</f>
        <v>0</v>
      </c>
      <c r="BH172" s="140">
        <f t="array" ref="BH172">IF(ISBLANK($A172),0,IF(OR(BH$5-$AI172&lt;=0,$AM172="Não"),W172,W172+INDEX($AO$6:$BR$176,ROW()-5,COLUMN()-40-$AI172)))*IF($B172="Operacional",IFERROR(VLOOKUP($C172,SN_UGC,28,0),0),1)</f>
        <v>0</v>
      </c>
      <c r="BI172" s="140">
        <f t="array" ref="BI172">IF(ISBLANK($A172),0,IF(OR(BI$5-$AI172&lt;=0,$AM172="Não"),X172,X172+INDEX($AO$6:$BR$176,ROW()-5,COLUMN()-40-$AI172)))*IF($B172="Operacional",IFERROR(VLOOKUP($C172,SN_UGC,28,0),0),1)</f>
        <v>0</v>
      </c>
      <c r="BJ172" s="140">
        <f t="array" ref="BJ172">IF(ISBLANK($A172),0,IF(OR(BJ$5-$AI172&lt;=0,$AM172="Não"),Y172,Y172+INDEX($AO$6:$BR$176,ROW()-5,COLUMN()-40-$AI172)))*IF($B172="Operacional",IFERROR(VLOOKUP($C172,SN_UGC,28,0),0),1)</f>
        <v>0</v>
      </c>
      <c r="BK172" s="140">
        <f t="array" ref="BK172">IF(ISBLANK($A172),0,IF(OR(BK$5-$AI172&lt;=0,$AM172="Não"),Z172,Z172+INDEX($AO$6:$BR$176,ROW()-5,COLUMN()-40-$AI172)))*IF($B172="Operacional",IFERROR(VLOOKUP($C172,SN_UGC,28,0),0),1)</f>
        <v>0</v>
      </c>
      <c r="BL172" s="140">
        <f t="array" ref="BL172">IF(ISBLANK($A172),0,IF(OR(BL$5-$AI172&lt;=0,$AM172="Não"),AA172,AA172+INDEX($AO$6:$BR$176,ROW()-5,COLUMN()-40-$AI172)))*IF($B172="Operacional",IFERROR(VLOOKUP($C172,SN_UGC,28,0),0),1)</f>
        <v>0</v>
      </c>
      <c r="BM172" s="140">
        <f t="array" ref="BM172">IF(ISBLANK($A172),0,IF(OR(BM$5-$AI172&lt;=0,$AM172="Não"),AB172,AB172+INDEX($AO$6:$BR$176,ROW()-5,COLUMN()-40-$AI172)))*IF($B172="Operacional",IFERROR(VLOOKUP($C172,SN_UGC,28,0),0),1)</f>
        <v>0</v>
      </c>
      <c r="BN172" s="140">
        <f t="array" ref="BN172">IF(ISBLANK($A172),0,IF(OR(BN$5-$AI172&lt;=0,$AM172="Não"),AC172,AC172+INDEX($AO$6:$BR$176,ROW()-5,COLUMN()-40-$AI172)))*IF($B172="Operacional",IFERROR(VLOOKUP($C172,SN_UGC,28,0),0),1)</f>
        <v>0</v>
      </c>
      <c r="BO172" s="140">
        <f t="array" ref="BO172">IF(ISBLANK($A172),0,IF(OR(BO$5-$AI172&lt;=0,$AM172="Não"),AD172,AD172+INDEX($AO$6:$BR$176,ROW()-5,COLUMN()-40-$AI172)))*IF($B172="Operacional",IFERROR(VLOOKUP($C172,SN_UGC,28,0),0),1)</f>
        <v>0</v>
      </c>
      <c r="BP172" s="140">
        <f t="array" ref="BP172">IF(ISBLANK($A172),0,IF(OR(BP$5-$AI172&lt;=0,$AM172="Não"),AE172,AE172+INDEX($AO$6:$BR$176,ROW()-5,COLUMN()-40-$AI172)))*IF($B172="Operacional",IFERROR(VLOOKUP($C172,SN_UGC,28,0),0),1)</f>
        <v>0</v>
      </c>
      <c r="BQ172" s="140">
        <f t="array" ref="BQ172">IF(ISBLANK($A172),0,IF(OR(BQ$5-$AI172&lt;=0,$AM172="Não"),AF172,AF172+INDEX($AO$6:$BR$176,ROW()-5,COLUMN()-40-$AI172)))*IF($B172="Operacional",IFERROR(VLOOKUP($C172,SN_UGC,28,0),0),1)</f>
        <v>0</v>
      </c>
      <c r="BR172" s="140">
        <f t="array" ref="BR172">IF(ISBLANK($A172),0,IF(OR(BR$5-$AI172&lt;=0,$AM172="Não"),AG172,AG172+INDEX($AO$6:$BR$176,ROW()-5,COLUMN()-40-$AI172)))*IF($B172="Operacional",IFERROR(VLOOKUP($C172,SN_UGC,28,0),0),1)</f>
        <v>0</v>
      </c>
      <c r="BS172" s="141">
        <f t="shared" ref="BS172:CV172" si="894">IF(ISBLANK($A172),0,$AH172*AO172)</f>
        <v>0</v>
      </c>
      <c r="BT172" s="141">
        <f t="shared" si="894"/>
        <v>0</v>
      </c>
      <c r="BU172" s="141">
        <f t="shared" si="894"/>
        <v>0</v>
      </c>
      <c r="BV172" s="141">
        <f t="shared" si="894"/>
        <v>0</v>
      </c>
      <c r="BW172" s="141">
        <f t="shared" si="894"/>
        <v>0</v>
      </c>
      <c r="BX172" s="141">
        <f t="shared" si="894"/>
        <v>0</v>
      </c>
      <c r="BY172" s="141">
        <f t="shared" si="894"/>
        <v>0</v>
      </c>
      <c r="BZ172" s="141">
        <f t="shared" si="894"/>
        <v>0</v>
      </c>
      <c r="CA172" s="141">
        <f t="shared" si="894"/>
        <v>0</v>
      </c>
      <c r="CB172" s="141">
        <f t="shared" si="894"/>
        <v>0</v>
      </c>
      <c r="CC172" s="141">
        <f t="shared" si="894"/>
        <v>0</v>
      </c>
      <c r="CD172" s="141">
        <f t="shared" si="894"/>
        <v>0</v>
      </c>
      <c r="CE172" s="141">
        <f t="shared" si="894"/>
        <v>0</v>
      </c>
      <c r="CF172" s="141">
        <f t="shared" si="894"/>
        <v>0</v>
      </c>
      <c r="CG172" s="141">
        <f t="shared" si="894"/>
        <v>0</v>
      </c>
      <c r="CH172" s="141">
        <f t="shared" si="894"/>
        <v>0</v>
      </c>
      <c r="CI172" s="141">
        <f t="shared" si="894"/>
        <v>0</v>
      </c>
      <c r="CJ172" s="141">
        <f t="shared" si="894"/>
        <v>0</v>
      </c>
      <c r="CK172" s="141">
        <f t="shared" si="894"/>
        <v>0</v>
      </c>
      <c r="CL172" s="141">
        <f t="shared" si="894"/>
        <v>0</v>
      </c>
      <c r="CM172" s="141">
        <f t="shared" si="894"/>
        <v>0</v>
      </c>
      <c r="CN172" s="141">
        <f t="shared" si="894"/>
        <v>0</v>
      </c>
      <c r="CO172" s="141">
        <f t="shared" si="894"/>
        <v>0</v>
      </c>
      <c r="CP172" s="141">
        <f t="shared" si="894"/>
        <v>0</v>
      </c>
      <c r="CQ172" s="141">
        <f t="shared" si="894"/>
        <v>0</v>
      </c>
      <c r="CR172" s="141">
        <f t="shared" si="894"/>
        <v>0</v>
      </c>
      <c r="CS172" s="141">
        <f t="shared" si="894"/>
        <v>0</v>
      </c>
      <c r="CT172" s="141">
        <f t="shared" si="894"/>
        <v>0</v>
      </c>
      <c r="CU172" s="141">
        <f t="shared" si="894"/>
        <v>0</v>
      </c>
      <c r="CV172" s="141">
        <f t="shared" si="894"/>
        <v>0</v>
      </c>
      <c r="CW172" s="142">
        <f t="shared" ref="CW172:DZ172" si="895">EA172*$AH172*$AJ172</f>
        <v>0</v>
      </c>
      <c r="CX172" s="142">
        <f t="shared" si="895"/>
        <v>0</v>
      </c>
      <c r="CY172" s="142">
        <f t="shared" si="895"/>
        <v>0</v>
      </c>
      <c r="CZ172" s="142">
        <f t="shared" si="895"/>
        <v>0</v>
      </c>
      <c r="DA172" s="142">
        <f t="shared" si="895"/>
        <v>0</v>
      </c>
      <c r="DB172" s="142">
        <f t="shared" si="895"/>
        <v>0</v>
      </c>
      <c r="DC172" s="142">
        <f t="shared" si="895"/>
        <v>0</v>
      </c>
      <c r="DD172" s="142">
        <f t="shared" si="895"/>
        <v>0</v>
      </c>
      <c r="DE172" s="142">
        <f t="shared" si="895"/>
        <v>0</v>
      </c>
      <c r="DF172" s="142">
        <f t="shared" si="895"/>
        <v>0</v>
      </c>
      <c r="DG172" s="142">
        <f t="shared" si="895"/>
        <v>0</v>
      </c>
      <c r="DH172" s="142">
        <f t="shared" si="895"/>
        <v>0</v>
      </c>
      <c r="DI172" s="142">
        <f t="shared" si="895"/>
        <v>0</v>
      </c>
      <c r="DJ172" s="142">
        <f t="shared" si="895"/>
        <v>0</v>
      </c>
      <c r="DK172" s="142">
        <f t="shared" si="895"/>
        <v>0</v>
      </c>
      <c r="DL172" s="142">
        <f t="shared" si="895"/>
        <v>0</v>
      </c>
      <c r="DM172" s="142">
        <f t="shared" si="895"/>
        <v>0</v>
      </c>
      <c r="DN172" s="142">
        <f t="shared" si="895"/>
        <v>0</v>
      </c>
      <c r="DO172" s="142">
        <f t="shared" si="895"/>
        <v>0</v>
      </c>
      <c r="DP172" s="142">
        <f t="shared" si="895"/>
        <v>0</v>
      </c>
      <c r="DQ172" s="142">
        <f t="shared" si="895"/>
        <v>0</v>
      </c>
      <c r="DR172" s="142">
        <f t="shared" si="895"/>
        <v>0</v>
      </c>
      <c r="DS172" s="142">
        <f t="shared" si="895"/>
        <v>0</v>
      </c>
      <c r="DT172" s="142">
        <f t="shared" si="895"/>
        <v>0</v>
      </c>
      <c r="DU172" s="142">
        <f t="shared" si="895"/>
        <v>0</v>
      </c>
      <c r="DV172" s="142">
        <f t="shared" si="895"/>
        <v>0</v>
      </c>
      <c r="DW172" s="142">
        <f t="shared" si="895"/>
        <v>0</v>
      </c>
      <c r="DX172" s="142">
        <f t="shared" si="895"/>
        <v>0</v>
      </c>
      <c r="DY172" s="142">
        <f t="shared" si="895"/>
        <v>0</v>
      </c>
      <c r="DZ172" s="142">
        <f t="shared" si="895"/>
        <v>0</v>
      </c>
      <c r="EA172" s="143">
        <f t="shared" si="835"/>
        <v>0</v>
      </c>
      <c r="EB172" s="143">
        <f t="shared" si="836"/>
        <v>0</v>
      </c>
      <c r="EC172" s="143">
        <f t="shared" si="837"/>
        <v>0</v>
      </c>
      <c r="ED172" s="143">
        <f t="shared" si="838"/>
        <v>0</v>
      </c>
      <c r="EE172" s="143">
        <f t="shared" si="839"/>
        <v>0</v>
      </c>
      <c r="EF172" s="143">
        <f t="shared" si="840"/>
        <v>0</v>
      </c>
      <c r="EG172" s="143">
        <f t="shared" si="841"/>
        <v>0</v>
      </c>
      <c r="EH172" s="143">
        <f t="shared" si="842"/>
        <v>0</v>
      </c>
      <c r="EI172" s="143">
        <f t="shared" si="843"/>
        <v>0</v>
      </c>
      <c r="EJ172" s="143">
        <f t="shared" si="844"/>
        <v>0</v>
      </c>
      <c r="EK172" s="143">
        <f t="shared" si="845"/>
        <v>0</v>
      </c>
      <c r="EL172" s="143">
        <f t="shared" si="846"/>
        <v>0</v>
      </c>
      <c r="EM172" s="143">
        <f t="shared" si="847"/>
        <v>0</v>
      </c>
      <c r="EN172" s="143">
        <f t="shared" si="848"/>
        <v>0</v>
      </c>
      <c r="EO172" s="143">
        <f t="shared" si="849"/>
        <v>0</v>
      </c>
      <c r="EP172" s="143">
        <f t="shared" si="850"/>
        <v>0</v>
      </c>
      <c r="EQ172" s="143">
        <f t="shared" si="851"/>
        <v>0</v>
      </c>
      <c r="ER172" s="143">
        <f t="shared" si="852"/>
        <v>0</v>
      </c>
      <c r="ES172" s="143">
        <f t="shared" si="853"/>
        <v>0</v>
      </c>
      <c r="ET172" s="143">
        <f t="shared" si="854"/>
        <v>0</v>
      </c>
      <c r="EU172" s="143">
        <f t="shared" si="855"/>
        <v>0</v>
      </c>
      <c r="EV172" s="143">
        <f t="shared" si="856"/>
        <v>0</v>
      </c>
      <c r="EW172" s="143">
        <f t="shared" si="857"/>
        <v>0</v>
      </c>
      <c r="EX172" s="143">
        <f t="shared" si="858"/>
        <v>0</v>
      </c>
      <c r="EY172" s="143">
        <f t="shared" si="859"/>
        <v>0</v>
      </c>
      <c r="EZ172" s="143">
        <f t="shared" si="860"/>
        <v>0</v>
      </c>
      <c r="FA172" s="143">
        <f t="shared" si="861"/>
        <v>0</v>
      </c>
      <c r="FB172" s="143">
        <f t="shared" si="862"/>
        <v>0</v>
      </c>
      <c r="FC172" s="143">
        <f t="shared" si="863"/>
        <v>0</v>
      </c>
      <c r="FD172" s="143">
        <f t="shared" si="864"/>
        <v>0</v>
      </c>
      <c r="FE172" s="140">
        <f>SUM($D172:D172)*IF($B172="Operacional",IFERROR(VLOOKUP($C172,SN_UGC,28,0),0),1)</f>
        <v>0</v>
      </c>
      <c r="FF172" s="140">
        <f>SUM($D172:E172)*IF($B172="Operacional",IFERROR(VLOOKUP($C172,SN_UGC,28,0),0),1)</f>
        <v>0</v>
      </c>
      <c r="FG172" s="140">
        <f>SUM($D172:F172)*IF($B172="Operacional",IFERROR(VLOOKUP($C172,SN_UGC,28,0),0),1)</f>
        <v>0</v>
      </c>
      <c r="FH172" s="140">
        <f>SUM($D172:G172)*IF($B172="Operacional",IFERROR(VLOOKUP($C172,SN_UGC,28,0),0),1)</f>
        <v>0</v>
      </c>
      <c r="FI172" s="140">
        <f>SUM($D172:H172)*IF($B172="Operacional",IFERROR(VLOOKUP($C172,SN_UGC,28,0),0),1)</f>
        <v>0</v>
      </c>
      <c r="FJ172" s="140">
        <f>SUM($D172:I172)*IF($B172="Operacional",IFERROR(VLOOKUP($C172,SN_UGC,28,0),0),1)</f>
        <v>0</v>
      </c>
      <c r="FK172" s="140">
        <f>SUM($D172:J172)*IF($B172="Operacional",IFERROR(VLOOKUP($C172,SN_UGC,28,0),0),1)</f>
        <v>0</v>
      </c>
      <c r="FL172" s="140">
        <f>SUM($D172:K172)*IF($B172="Operacional",IFERROR(VLOOKUP($C172,SN_UGC,28,0),0),1)</f>
        <v>0</v>
      </c>
      <c r="FM172" s="140">
        <f>SUM($D172:L172)*IF($B172="Operacional",IFERROR(VLOOKUP($C172,SN_UGC,28,0),0),1)</f>
        <v>0</v>
      </c>
      <c r="FN172" s="140">
        <f>SUM($D172:M172)*IF($B172="Operacional",IFERROR(VLOOKUP($C172,SN_UGC,28,0),0),1)</f>
        <v>0</v>
      </c>
      <c r="FO172" s="140">
        <f>SUM($D172:N172)*IF($B172="Operacional",IFERROR(VLOOKUP($C172,SN_UGC,28,0),0),1)</f>
        <v>0</v>
      </c>
      <c r="FP172" s="140">
        <f>SUM($D172:O172)*IF($B172="Operacional",IFERROR(VLOOKUP($C172,SN_UGC,28,0),0),1)</f>
        <v>0</v>
      </c>
      <c r="FQ172" s="140">
        <f>SUM($D172:P172)*IF($B172="Operacional",IFERROR(VLOOKUP($C172,SN_UGC,28,0),0),1)</f>
        <v>0</v>
      </c>
      <c r="FR172" s="140">
        <f>SUM($D172:Q172)*IF($B172="Operacional",IFERROR(VLOOKUP($C172,SN_UGC,28,0),0),1)</f>
        <v>0</v>
      </c>
      <c r="FS172" s="140">
        <f>SUM($D172:R172)*IF($B172="Operacional",IFERROR(VLOOKUP($C172,SN_UGC,28,0),0),1)</f>
        <v>0</v>
      </c>
      <c r="FT172" s="140">
        <f>SUM($D172:S172)*IF($B172="Operacional",IFERROR(VLOOKUP($C172,SN_UGC,28,0),0),1)</f>
        <v>0</v>
      </c>
      <c r="FU172" s="140">
        <f>SUM($D172:T172)*IF($B172="Operacional",IFERROR(VLOOKUP($C172,SN_UGC,28,0),0),1)</f>
        <v>0</v>
      </c>
      <c r="FV172" s="140">
        <f>SUM($D172:U172)*IF($B172="Operacional",IFERROR(VLOOKUP($C172,SN_UGC,28,0),0),1)</f>
        <v>0</v>
      </c>
      <c r="FW172" s="140">
        <f>SUM($D172:V172)*IF($B172="Operacional",IFERROR(VLOOKUP($C172,SN_UGC,28,0),0),1)</f>
        <v>0</v>
      </c>
      <c r="FX172" s="140">
        <f>SUM($D172:W172)*IF($B172="Operacional",IFERROR(VLOOKUP($C172,SN_UGC,28,0),0),1)</f>
        <v>0</v>
      </c>
      <c r="FY172" s="140">
        <f>SUM($D172:X172)*IF($B172="Operacional",IFERROR(VLOOKUP($C172,SN_UGC,28,0),0),1)</f>
        <v>0</v>
      </c>
      <c r="FZ172" s="140">
        <f>SUM($D172:Y172)*IF($B172="Operacional",IFERROR(VLOOKUP($C172,SN_UGC,28,0),0),1)</f>
        <v>0</v>
      </c>
      <c r="GA172" s="140">
        <f>SUM($D172:Z172)*IF($B172="Operacional",IFERROR(VLOOKUP($C172,SN_UGC,28,0),0),1)</f>
        <v>0</v>
      </c>
      <c r="GB172" s="140">
        <f>SUM($D172:AA172)*IF($B172="Operacional",IFERROR(VLOOKUP($C172,SN_UGC,28,0),0),1)</f>
        <v>0</v>
      </c>
      <c r="GC172" s="140">
        <f>SUM($D172:AB172)*IF($B172="Operacional",IFERROR(VLOOKUP($C172,SN_UGC,28,0),0),1)</f>
        <v>0</v>
      </c>
      <c r="GD172" s="140">
        <f>SUM($D172:AC172)*IF($B172="Operacional",IFERROR(VLOOKUP($C172,SN_UGC,28,0),0),1)</f>
        <v>0</v>
      </c>
      <c r="GE172" s="140">
        <f>SUM($D172:AD172)*IF($B172="Operacional",IFERROR(VLOOKUP($C172,SN_UGC,28,0),0),1)</f>
        <v>0</v>
      </c>
      <c r="GF172" s="140">
        <f>SUM($D172:AE172)*IF($B172="Operacional",IFERROR(VLOOKUP($C172,SN_UGC,28,0),0),1)</f>
        <v>0</v>
      </c>
      <c r="GG172" s="140">
        <f>SUM($D172:AF172)*IF($B172="Operacional",IFERROR(VLOOKUP($C172,SN_UGC,28,0),0),1)</f>
        <v>0</v>
      </c>
      <c r="GH172" s="140">
        <f>SUM($D172:AG172)*IF($B172="Operacional",IFERROR(VLOOKUP($C172,SN_UGC,28,0),0),1)</f>
        <v>0</v>
      </c>
      <c r="GI172" s="141">
        <f t="shared" ref="GI172:HL172" si="896">FE172*$AH172*$AL172</f>
        <v>0</v>
      </c>
      <c r="GJ172" s="141">
        <f t="shared" si="896"/>
        <v>0</v>
      </c>
      <c r="GK172" s="141">
        <f t="shared" si="896"/>
        <v>0</v>
      </c>
      <c r="GL172" s="141">
        <f t="shared" si="896"/>
        <v>0</v>
      </c>
      <c r="GM172" s="141">
        <f t="shared" si="896"/>
        <v>0</v>
      </c>
      <c r="GN172" s="141">
        <f t="shared" si="896"/>
        <v>0</v>
      </c>
      <c r="GO172" s="141">
        <f t="shared" si="896"/>
        <v>0</v>
      </c>
      <c r="GP172" s="141">
        <f t="shared" si="896"/>
        <v>0</v>
      </c>
      <c r="GQ172" s="141">
        <f t="shared" si="896"/>
        <v>0</v>
      </c>
      <c r="GR172" s="141">
        <f t="shared" si="896"/>
        <v>0</v>
      </c>
      <c r="GS172" s="141">
        <f t="shared" si="896"/>
        <v>0</v>
      </c>
      <c r="GT172" s="141">
        <f t="shared" si="896"/>
        <v>0</v>
      </c>
      <c r="GU172" s="141">
        <f t="shared" si="896"/>
        <v>0</v>
      </c>
      <c r="GV172" s="141">
        <f t="shared" si="896"/>
        <v>0</v>
      </c>
      <c r="GW172" s="141">
        <f t="shared" si="896"/>
        <v>0</v>
      </c>
      <c r="GX172" s="141">
        <f t="shared" si="896"/>
        <v>0</v>
      </c>
      <c r="GY172" s="141">
        <f t="shared" si="896"/>
        <v>0</v>
      </c>
      <c r="GZ172" s="141">
        <f t="shared" si="896"/>
        <v>0</v>
      </c>
      <c r="HA172" s="141">
        <f t="shared" si="896"/>
        <v>0</v>
      </c>
      <c r="HB172" s="141">
        <f t="shared" si="896"/>
        <v>0</v>
      </c>
      <c r="HC172" s="141">
        <f t="shared" si="896"/>
        <v>0</v>
      </c>
      <c r="HD172" s="141">
        <f t="shared" si="896"/>
        <v>0</v>
      </c>
      <c r="HE172" s="141">
        <f t="shared" si="896"/>
        <v>0</v>
      </c>
      <c r="HF172" s="141">
        <f t="shared" si="896"/>
        <v>0</v>
      </c>
      <c r="HG172" s="141">
        <f t="shared" si="896"/>
        <v>0</v>
      </c>
      <c r="HH172" s="141">
        <f t="shared" si="896"/>
        <v>0</v>
      </c>
      <c r="HI172" s="141">
        <f t="shared" si="896"/>
        <v>0</v>
      </c>
      <c r="HJ172" s="141">
        <f t="shared" si="896"/>
        <v>0</v>
      </c>
      <c r="HK172" s="141">
        <f t="shared" si="896"/>
        <v>0</v>
      </c>
      <c r="HL172" s="141">
        <f t="shared" si="896"/>
        <v>0</v>
      </c>
      <c r="HM172" s="142">
        <f t="shared" ref="HM172:IP172" si="897">IF(ISBLANK($A172),,FE172*($AH172-($AH172*$AJ172))/$AI172)</f>
        <v>0</v>
      </c>
      <c r="HN172" s="142">
        <f t="shared" si="897"/>
        <v>0</v>
      </c>
      <c r="HO172" s="142">
        <f t="shared" si="897"/>
        <v>0</v>
      </c>
      <c r="HP172" s="142">
        <f t="shared" si="897"/>
        <v>0</v>
      </c>
      <c r="HQ172" s="142">
        <f t="shared" si="897"/>
        <v>0</v>
      </c>
      <c r="HR172" s="142">
        <f t="shared" si="897"/>
        <v>0</v>
      </c>
      <c r="HS172" s="142">
        <f t="shared" si="897"/>
        <v>0</v>
      </c>
      <c r="HT172" s="142">
        <f t="shared" si="897"/>
        <v>0</v>
      </c>
      <c r="HU172" s="142">
        <f t="shared" si="897"/>
        <v>0</v>
      </c>
      <c r="HV172" s="142">
        <f t="shared" si="897"/>
        <v>0</v>
      </c>
      <c r="HW172" s="142">
        <f t="shared" si="897"/>
        <v>0</v>
      </c>
      <c r="HX172" s="142">
        <f t="shared" si="897"/>
        <v>0</v>
      </c>
      <c r="HY172" s="142">
        <f t="shared" si="897"/>
        <v>0</v>
      </c>
      <c r="HZ172" s="142">
        <f t="shared" si="897"/>
        <v>0</v>
      </c>
      <c r="IA172" s="142">
        <f t="shared" si="897"/>
        <v>0</v>
      </c>
      <c r="IB172" s="142">
        <f t="shared" si="897"/>
        <v>0</v>
      </c>
      <c r="IC172" s="142">
        <f t="shared" si="897"/>
        <v>0</v>
      </c>
      <c r="ID172" s="142">
        <f t="shared" si="897"/>
        <v>0</v>
      </c>
      <c r="IE172" s="142">
        <f t="shared" si="897"/>
        <v>0</v>
      </c>
      <c r="IF172" s="142">
        <f t="shared" si="897"/>
        <v>0</v>
      </c>
      <c r="IG172" s="142">
        <f t="shared" si="897"/>
        <v>0</v>
      </c>
      <c r="IH172" s="142">
        <f t="shared" si="897"/>
        <v>0</v>
      </c>
      <c r="II172" s="142">
        <f t="shared" si="897"/>
        <v>0</v>
      </c>
      <c r="IJ172" s="142">
        <f t="shared" si="897"/>
        <v>0</v>
      </c>
      <c r="IK172" s="142">
        <f t="shared" si="897"/>
        <v>0</v>
      </c>
      <c r="IL172" s="142">
        <f t="shared" si="897"/>
        <v>0</v>
      </c>
      <c r="IM172" s="142">
        <f t="shared" si="897"/>
        <v>0</v>
      </c>
      <c r="IN172" s="142">
        <f t="shared" si="897"/>
        <v>0</v>
      </c>
      <c r="IO172" s="142">
        <f t="shared" si="897"/>
        <v>0</v>
      </c>
      <c r="IP172" s="142">
        <f t="shared" si="897"/>
        <v>0</v>
      </c>
      <c r="IQ172" s="141">
        <f>IF(ISBLANK($A172),,IF($AN172="Não",0,(SUM($AO172:AO172)*$AH172)-SUM($HM172:HM172)-SUM($CW172:CW172)))</f>
        <v>0</v>
      </c>
      <c r="IR172" s="141">
        <f>IF(ISBLANK($A172),,IF($AN172="Não",0,(SUM($AO172:AP172)*$AH172)-SUM($HM172:HN172)-SUM($CW172:CX172)))</f>
        <v>0</v>
      </c>
      <c r="IS172" s="141">
        <f>IF(ISBLANK($A172),,IF($AN172="Não",0,(SUM($AO172:AQ172)*$AH172)-SUM($HM172:HO172)-SUM($CW172:CY172)))</f>
        <v>0</v>
      </c>
      <c r="IT172" s="141">
        <f>IF(ISBLANK($A172),,IF($AN172="Não",0,(SUM($AO172:AR172)*$AH172)-SUM($HM172:HP172)-SUM($CW172:CZ172)))</f>
        <v>0</v>
      </c>
      <c r="IU172" s="141">
        <f>IF(ISBLANK($A172),,IF($AN172="Não",0,(SUM($AO172:AS172)*$AH172)-SUM($HM172:HQ172)-SUM($CW172:DA172)))</f>
        <v>0</v>
      </c>
      <c r="IV172" s="141">
        <f>IF(ISBLANK($A172),,IF($AN172="Não",0,(SUM($AO172:AT172)*$AH172)-SUM($HM172:HR172)-SUM($CW172:DB172)))</f>
        <v>0</v>
      </c>
      <c r="IW172" s="141">
        <f>IF(ISBLANK($A172),,IF($AN172="Não",0,(SUM($AO172:AU172)*$AH172)-SUM($HM172:HS172)-SUM($CW172:DC172)))</f>
        <v>0</v>
      </c>
      <c r="IX172" s="141">
        <f>IF(ISBLANK($A172),,IF($AN172="Não",0,(SUM($AO172:AV172)*$AH172)-SUM($HM172:HT172)-SUM($CW172:DD172)))</f>
        <v>0</v>
      </c>
      <c r="IY172" s="141">
        <f>IF(ISBLANK($A172),,IF($AN172="Não",0,(SUM($AO172:AW172)*$AH172)-SUM($HM172:HU172)-SUM($CW172:DE172)))</f>
        <v>0</v>
      </c>
      <c r="IZ172" s="141">
        <f>IF(ISBLANK($A172),,IF($AN172="Não",0,(SUM($AO172:AX172)*$AH172)-SUM($HM172:HV172)-SUM($CW172:DF172)))</f>
        <v>0</v>
      </c>
      <c r="JA172" s="141">
        <f>IF(ISBLANK($A172),,IF($AN172="Não",0,(SUM($AO172:AY172)*$AH172)-SUM($HM172:HW172)-SUM($CW172:DG172)))</f>
        <v>0</v>
      </c>
      <c r="JB172" s="141">
        <f>IF(ISBLANK($A172),,IF($AN172="Não",0,(SUM($AO172:AZ172)*$AH172)-SUM($HM172:HX172)-SUM($CW172:DH172)))</f>
        <v>0</v>
      </c>
      <c r="JC172" s="141">
        <f>IF(ISBLANK($A172),,IF($AN172="Não",0,(SUM($AO172:BA172)*$AH172)-SUM($HM172:HY172)-SUM($CW172:DI172)))</f>
        <v>0</v>
      </c>
      <c r="JD172" s="141">
        <f>IF(ISBLANK($A172),,IF($AN172="Não",0,(SUM($AO172:BB172)*$AH172)-SUM($HM172:HZ172)-SUM($CW172:DJ172)))</f>
        <v>0</v>
      </c>
      <c r="JE172" s="141">
        <f>IF(ISBLANK($A172),,IF($AN172="Não",0,(SUM($AO172:BC172)*$AH172)-SUM($HM172:IA172)-SUM($CW172:DK172)))</f>
        <v>0</v>
      </c>
      <c r="JF172" s="141">
        <f>IF(ISBLANK($A172),,IF($AN172="Não",0,(SUM($AO172:BD172)*$AH172)-SUM($HM172:IB172)-SUM($CW172:DL172)))</f>
        <v>0</v>
      </c>
      <c r="JG172" s="141">
        <f>IF(ISBLANK($A172),,IF($AN172="Não",0,(SUM($AO172:BE172)*$AH172)-SUM($HM172:IC172)-SUM($CW172:DM172)))</f>
        <v>0</v>
      </c>
      <c r="JH172" s="141">
        <f>IF(ISBLANK($A172),,IF($AN172="Não",0,(SUM($AO172:BF172)*$AH172)-SUM($HM172:ID172)-SUM($CW172:DN172)))</f>
        <v>0</v>
      </c>
      <c r="JI172" s="141">
        <f>IF(ISBLANK($A172),,IF($AN172="Não",0,(SUM($AO172:BG172)*$AH172)-SUM($HM172:IE172)-SUM($CW172:DO172)))</f>
        <v>0</v>
      </c>
      <c r="JJ172" s="141">
        <f>IF(ISBLANK($A172),,IF($AN172="Não",0,(SUM($AO172:BH172)*$AH172)-SUM($HM172:IF172)-SUM($CW172:DP172)))</f>
        <v>0</v>
      </c>
      <c r="JK172" s="141">
        <f>IF(ISBLANK($A172),,IF($AN172="Não",0,(SUM($AO172:BI172)*$AH172)-SUM($HM172:IG172)-SUM($CW172:DQ172)))</f>
        <v>0</v>
      </c>
      <c r="JL172" s="141">
        <f>IF(ISBLANK($A172),,IF($AN172="Não",0,(SUM($AO172:BJ172)*$AH172)-SUM($HM172:IH172)-SUM($CW172:DR172)))</f>
        <v>0</v>
      </c>
      <c r="JM172" s="141">
        <f>IF(ISBLANK($A172),,IF($AN172="Não",0,(SUM($AO172:BK172)*$AH172)-SUM($HM172:II172)-SUM($CW172:DS172)))</f>
        <v>0</v>
      </c>
      <c r="JN172" s="141">
        <f>IF(ISBLANK($A172),,IF($AN172="Não",0,(SUM($AO172:BL172)*$AH172)-SUM($HM172:IJ172)-SUM($CW172:DT172)))</f>
        <v>0</v>
      </c>
      <c r="JO172" s="141">
        <f>IF(ISBLANK($A172),,IF($AN172="Não",0,(SUM($AO172:BM172)*$AH172)-SUM($HM172:IK172)-SUM($CW172:DU172)))</f>
        <v>0</v>
      </c>
      <c r="JP172" s="141">
        <f>IF(ISBLANK($A172),,IF($AN172="Não",0,(SUM($AO172:BN172)*$AH172)-SUM($HM172:IL172)-SUM($CW172:DV172)))</f>
        <v>0</v>
      </c>
      <c r="JQ172" s="141">
        <f>IF(ISBLANK($A172),,IF($AN172="Não",0,(SUM($AO172:BO172)*$AH172)-SUM($HM172:IM172)-SUM($CW172:DW172)))</f>
        <v>0</v>
      </c>
      <c r="JR172" s="141">
        <f>IF(ISBLANK($A172),,IF($AN172="Não",0,(SUM($AO172:BP172)*$AH172)-SUM($HM172:IN172)-SUM($CW172:DX172)))</f>
        <v>0</v>
      </c>
      <c r="JS172" s="141">
        <f>IF(ISBLANK($A172),,IF($AN172="Não",0,(SUM($AO172:BQ172)*$AH172)-SUM($HM172:IO172)-SUM($CW172:DY172)))</f>
        <v>0</v>
      </c>
      <c r="JT172" s="141">
        <f>IF(ISBLANK($A172),,IF($AN172="Não",0,(SUM($AO172:BR172)*$AH172)-SUM($HM172:IP172)-SUM($CW172:DZ172)))</f>
        <v>0</v>
      </c>
    </row>
    <row r="173" spans="1:280" ht="15.75" customHeight="1">
      <c r="A173" s="129"/>
      <c r="B173" s="129"/>
      <c r="C173" s="138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607">
        <f t="shared" si="875"/>
        <v>0</v>
      </c>
      <c r="AI173" s="608">
        <f t="shared" si="876"/>
        <v>0</v>
      </c>
      <c r="AJ173" s="609">
        <f t="shared" si="877"/>
        <v>0</v>
      </c>
      <c r="AK173" s="610" t="str">
        <f t="shared" si="878"/>
        <v/>
      </c>
      <c r="AL173" s="609">
        <f t="shared" si="879"/>
        <v>0</v>
      </c>
      <c r="AM173" s="611" t="str">
        <f t="shared" si="880"/>
        <v/>
      </c>
      <c r="AN173" s="611" t="str">
        <f t="shared" si="881"/>
        <v/>
      </c>
      <c r="AO173" s="140">
        <f t="array" ref="AO173">IF(ISBLANK($A173),0,IF(OR(AO$5-$AI173&lt;=0,$AM173="Não"),D173,D173+INDEX($AO$6:$BR$176,ROW()-5,COLUMN()-40-$AI173)))*IF($B173="Operacional",IFERROR(VLOOKUP($C173,SN_UGC,28,0),0),1)</f>
        <v>0</v>
      </c>
      <c r="AP173" s="140">
        <f t="array" ref="AP173">IF(ISBLANK($A173),0,IF(OR(AP$5-$AI173&lt;=0,$AM173="Não"),E173,E173+INDEX($AO$6:$BR$176,ROW()-5,COLUMN()-40-$AI173)))*IF($B173="Operacional",IFERROR(VLOOKUP($C173,SN_UGC,28,0),0),1)</f>
        <v>0</v>
      </c>
      <c r="AQ173" s="140">
        <f t="array" ref="AQ173">IF(ISBLANK($A173),0,IF(OR(AQ$5-$AI173&lt;=0,$AM173="Não"),F173,F173+INDEX($AO$6:$BR$176,ROW()-5,COLUMN()-40-$AI173)))*IF($B173="Operacional",IFERROR(VLOOKUP($C173,SN_UGC,28,0),0),1)</f>
        <v>0</v>
      </c>
      <c r="AR173" s="140">
        <f t="array" ref="AR173">IF(ISBLANK($A173),0,IF(OR(AR$5-$AI173&lt;=0,$AM173="Não"),G173,G173+INDEX($AO$6:$BR$176,ROW()-5,COLUMN()-40-$AI173)))*IF($B173="Operacional",IFERROR(VLOOKUP($C173,SN_UGC,28,0),0),1)</f>
        <v>0</v>
      </c>
      <c r="AS173" s="140">
        <f t="array" ref="AS173">IF(ISBLANK($A173),0,IF(OR(AS$5-$AI173&lt;=0,$AM173="Não"),H173,H173+INDEX($AO$6:$BR$176,ROW()-5,COLUMN()-40-$AI173)))*IF($B173="Operacional",IFERROR(VLOOKUP($C173,SN_UGC,28,0),0),1)</f>
        <v>0</v>
      </c>
      <c r="AT173" s="140">
        <f t="array" ref="AT173">IF(ISBLANK($A173),0,IF(OR(AT$5-$AI173&lt;=0,$AM173="Não"),I173,I173+INDEX($AO$6:$BR$176,ROW()-5,COLUMN()-40-$AI173)))*IF($B173="Operacional",IFERROR(VLOOKUP($C173,SN_UGC,28,0),0),1)</f>
        <v>0</v>
      </c>
      <c r="AU173" s="140">
        <f t="array" ref="AU173">IF(ISBLANK($A173),0,IF(OR(AU$5-$AI173&lt;=0,$AM173="Não"),J173,J173+INDEX($AO$6:$BR$176,ROW()-5,COLUMN()-40-$AI173)))*IF($B173="Operacional",IFERROR(VLOOKUP($C173,SN_UGC,28,0),0),1)</f>
        <v>0</v>
      </c>
      <c r="AV173" s="140">
        <f t="array" ref="AV173">IF(ISBLANK($A173),0,IF(OR(AV$5-$AI173&lt;=0,$AM173="Não"),K173,K173+INDEX($AO$6:$BR$176,ROW()-5,COLUMN()-40-$AI173)))*IF($B173="Operacional",IFERROR(VLOOKUP($C173,SN_UGC,28,0),0),1)</f>
        <v>0</v>
      </c>
      <c r="AW173" s="140">
        <f t="array" ref="AW173">IF(ISBLANK($A173),0,IF(OR(AW$5-$AI173&lt;=0,$AM173="Não"),L173,L173+INDEX($AO$6:$BR$176,ROW()-5,COLUMN()-40-$AI173)))*IF($B173="Operacional",IFERROR(VLOOKUP($C173,SN_UGC,28,0),0),1)</f>
        <v>0</v>
      </c>
      <c r="AX173" s="140">
        <f t="array" ref="AX173">IF(ISBLANK($A173),0,IF(OR(AX$5-$AI173&lt;=0,$AM173="Não"),M173,M173+INDEX($AO$6:$BR$176,ROW()-5,COLUMN()-40-$AI173)))*IF($B173="Operacional",IFERROR(VLOOKUP($C173,SN_UGC,28,0),0),1)</f>
        <v>0</v>
      </c>
      <c r="AY173" s="140">
        <f t="array" ref="AY173">IF(ISBLANK($A173),0,IF(OR(AY$5-$AI173&lt;=0,$AM173="Não"),N173,N173+INDEX($AO$6:$BR$176,ROW()-5,COLUMN()-40-$AI173)))*IF($B173="Operacional",IFERROR(VLOOKUP($C173,SN_UGC,28,0),0),1)</f>
        <v>0</v>
      </c>
      <c r="AZ173" s="140">
        <f t="array" ref="AZ173">IF(ISBLANK($A173),0,IF(OR(AZ$5-$AI173&lt;=0,$AM173="Não"),O173,O173+INDEX($AO$6:$BR$176,ROW()-5,COLUMN()-40-$AI173)))*IF($B173="Operacional",IFERROR(VLOOKUP($C173,SN_UGC,28,0),0),1)</f>
        <v>0</v>
      </c>
      <c r="BA173" s="140">
        <f t="array" ref="BA173">IF(ISBLANK($A173),0,IF(OR(BA$5-$AI173&lt;=0,$AM173="Não"),P173,P173+INDEX($AO$6:$BR$176,ROW()-5,COLUMN()-40-$AI173)))*IF($B173="Operacional",IFERROR(VLOOKUP($C173,SN_UGC,28,0),0),1)</f>
        <v>0</v>
      </c>
      <c r="BB173" s="140">
        <f t="array" ref="BB173">IF(ISBLANK($A173),0,IF(OR(BB$5-$AI173&lt;=0,$AM173="Não"),Q173,Q173+INDEX($AO$6:$BR$176,ROW()-5,COLUMN()-40-$AI173)))*IF($B173="Operacional",IFERROR(VLOOKUP($C173,SN_UGC,28,0),0),1)</f>
        <v>0</v>
      </c>
      <c r="BC173" s="140">
        <f t="array" ref="BC173">IF(ISBLANK($A173),0,IF(OR(BC$5-$AI173&lt;=0,$AM173="Não"),R173,R173+INDEX($AO$6:$BR$176,ROW()-5,COLUMN()-40-$AI173)))*IF($B173="Operacional",IFERROR(VLOOKUP($C173,SN_UGC,28,0),0),1)</f>
        <v>0</v>
      </c>
      <c r="BD173" s="140">
        <f t="array" ref="BD173">IF(ISBLANK($A173),0,IF(OR(BD$5-$AI173&lt;=0,$AM173="Não"),S173,S173+INDEX($AO$6:$BR$176,ROW()-5,COLUMN()-40-$AI173)))*IF($B173="Operacional",IFERROR(VLOOKUP($C173,SN_UGC,28,0),0),1)</f>
        <v>0</v>
      </c>
      <c r="BE173" s="140">
        <f t="array" ref="BE173">IF(ISBLANK($A173),0,IF(OR(BE$5-$AI173&lt;=0,$AM173="Não"),T173,T173+INDEX($AO$6:$BR$176,ROW()-5,COLUMN()-40-$AI173)))*IF($B173="Operacional",IFERROR(VLOOKUP($C173,SN_UGC,28,0),0),1)</f>
        <v>0</v>
      </c>
      <c r="BF173" s="140">
        <f t="array" ref="BF173">IF(ISBLANK($A173),0,IF(OR(BF$5-$AI173&lt;=0,$AM173="Não"),U173,U173+INDEX($AO$6:$BR$176,ROW()-5,COLUMN()-40-$AI173)))*IF($B173="Operacional",IFERROR(VLOOKUP($C173,SN_UGC,28,0),0),1)</f>
        <v>0</v>
      </c>
      <c r="BG173" s="140">
        <f t="array" ref="BG173">IF(ISBLANK($A173),0,IF(OR(BG$5-$AI173&lt;=0,$AM173="Não"),V173,V173+INDEX($AO$6:$BR$176,ROW()-5,COLUMN()-40-$AI173)))*IF($B173="Operacional",IFERROR(VLOOKUP($C173,SN_UGC,28,0),0),1)</f>
        <v>0</v>
      </c>
      <c r="BH173" s="140">
        <f t="array" ref="BH173">IF(ISBLANK($A173),0,IF(OR(BH$5-$AI173&lt;=0,$AM173="Não"),W173,W173+INDEX($AO$6:$BR$176,ROW()-5,COLUMN()-40-$AI173)))*IF($B173="Operacional",IFERROR(VLOOKUP($C173,SN_UGC,28,0),0),1)</f>
        <v>0</v>
      </c>
      <c r="BI173" s="140">
        <f t="array" ref="BI173">IF(ISBLANK($A173),0,IF(OR(BI$5-$AI173&lt;=0,$AM173="Não"),X173,X173+INDEX($AO$6:$BR$176,ROW()-5,COLUMN()-40-$AI173)))*IF($B173="Operacional",IFERROR(VLOOKUP($C173,SN_UGC,28,0),0),1)</f>
        <v>0</v>
      </c>
      <c r="BJ173" s="140">
        <f t="array" ref="BJ173">IF(ISBLANK($A173),0,IF(OR(BJ$5-$AI173&lt;=0,$AM173="Não"),Y173,Y173+INDEX($AO$6:$BR$176,ROW()-5,COLUMN()-40-$AI173)))*IF($B173="Operacional",IFERROR(VLOOKUP($C173,SN_UGC,28,0),0),1)</f>
        <v>0</v>
      </c>
      <c r="BK173" s="140">
        <f t="array" ref="BK173">IF(ISBLANK($A173),0,IF(OR(BK$5-$AI173&lt;=0,$AM173="Não"),Z173,Z173+INDEX($AO$6:$BR$176,ROW()-5,COLUMN()-40-$AI173)))*IF($B173="Operacional",IFERROR(VLOOKUP($C173,SN_UGC,28,0),0),1)</f>
        <v>0</v>
      </c>
      <c r="BL173" s="140">
        <f t="array" ref="BL173">IF(ISBLANK($A173),0,IF(OR(BL$5-$AI173&lt;=0,$AM173="Não"),AA173,AA173+INDEX($AO$6:$BR$176,ROW()-5,COLUMN()-40-$AI173)))*IF($B173="Operacional",IFERROR(VLOOKUP($C173,SN_UGC,28,0),0),1)</f>
        <v>0</v>
      </c>
      <c r="BM173" s="140">
        <f t="array" ref="BM173">IF(ISBLANK($A173),0,IF(OR(BM$5-$AI173&lt;=0,$AM173="Não"),AB173,AB173+INDEX($AO$6:$BR$176,ROW()-5,COLUMN()-40-$AI173)))*IF($B173="Operacional",IFERROR(VLOOKUP($C173,SN_UGC,28,0),0),1)</f>
        <v>0</v>
      </c>
      <c r="BN173" s="140">
        <f t="array" ref="BN173">IF(ISBLANK($A173),0,IF(OR(BN$5-$AI173&lt;=0,$AM173="Não"),AC173,AC173+INDEX($AO$6:$BR$176,ROW()-5,COLUMN()-40-$AI173)))*IF($B173="Operacional",IFERROR(VLOOKUP($C173,SN_UGC,28,0),0),1)</f>
        <v>0</v>
      </c>
      <c r="BO173" s="140">
        <f t="array" ref="BO173">IF(ISBLANK($A173),0,IF(OR(BO$5-$AI173&lt;=0,$AM173="Não"),AD173,AD173+INDEX($AO$6:$BR$176,ROW()-5,COLUMN()-40-$AI173)))*IF($B173="Operacional",IFERROR(VLOOKUP($C173,SN_UGC,28,0),0),1)</f>
        <v>0</v>
      </c>
      <c r="BP173" s="140">
        <f t="array" ref="BP173">IF(ISBLANK($A173),0,IF(OR(BP$5-$AI173&lt;=0,$AM173="Não"),AE173,AE173+INDEX($AO$6:$BR$176,ROW()-5,COLUMN()-40-$AI173)))*IF($B173="Operacional",IFERROR(VLOOKUP($C173,SN_UGC,28,0),0),1)</f>
        <v>0</v>
      </c>
      <c r="BQ173" s="140">
        <f t="array" ref="BQ173">IF(ISBLANK($A173),0,IF(OR(BQ$5-$AI173&lt;=0,$AM173="Não"),AF173,AF173+INDEX($AO$6:$BR$176,ROW()-5,COLUMN()-40-$AI173)))*IF($B173="Operacional",IFERROR(VLOOKUP($C173,SN_UGC,28,0),0),1)</f>
        <v>0</v>
      </c>
      <c r="BR173" s="140">
        <f t="array" ref="BR173">IF(ISBLANK($A173),0,IF(OR(BR$5-$AI173&lt;=0,$AM173="Não"),AG173,AG173+INDEX($AO$6:$BR$176,ROW()-5,COLUMN()-40-$AI173)))*IF($B173="Operacional",IFERROR(VLOOKUP($C173,SN_UGC,28,0),0),1)</f>
        <v>0</v>
      </c>
      <c r="BS173" s="141">
        <f t="shared" ref="BS173:CV173" si="898">IF(ISBLANK($A173),0,$AH173*AO173)</f>
        <v>0</v>
      </c>
      <c r="BT173" s="141">
        <f t="shared" si="898"/>
        <v>0</v>
      </c>
      <c r="BU173" s="141">
        <f t="shared" si="898"/>
        <v>0</v>
      </c>
      <c r="BV173" s="141">
        <f t="shared" si="898"/>
        <v>0</v>
      </c>
      <c r="BW173" s="141">
        <f t="shared" si="898"/>
        <v>0</v>
      </c>
      <c r="BX173" s="141">
        <f t="shared" si="898"/>
        <v>0</v>
      </c>
      <c r="BY173" s="141">
        <f t="shared" si="898"/>
        <v>0</v>
      </c>
      <c r="BZ173" s="141">
        <f t="shared" si="898"/>
        <v>0</v>
      </c>
      <c r="CA173" s="141">
        <f t="shared" si="898"/>
        <v>0</v>
      </c>
      <c r="CB173" s="141">
        <f t="shared" si="898"/>
        <v>0</v>
      </c>
      <c r="CC173" s="141">
        <f t="shared" si="898"/>
        <v>0</v>
      </c>
      <c r="CD173" s="141">
        <f t="shared" si="898"/>
        <v>0</v>
      </c>
      <c r="CE173" s="141">
        <f t="shared" si="898"/>
        <v>0</v>
      </c>
      <c r="CF173" s="141">
        <f t="shared" si="898"/>
        <v>0</v>
      </c>
      <c r="CG173" s="141">
        <f t="shared" si="898"/>
        <v>0</v>
      </c>
      <c r="CH173" s="141">
        <f t="shared" si="898"/>
        <v>0</v>
      </c>
      <c r="CI173" s="141">
        <f t="shared" si="898"/>
        <v>0</v>
      </c>
      <c r="CJ173" s="141">
        <f t="shared" si="898"/>
        <v>0</v>
      </c>
      <c r="CK173" s="141">
        <f t="shared" si="898"/>
        <v>0</v>
      </c>
      <c r="CL173" s="141">
        <f t="shared" si="898"/>
        <v>0</v>
      </c>
      <c r="CM173" s="141">
        <f t="shared" si="898"/>
        <v>0</v>
      </c>
      <c r="CN173" s="141">
        <f t="shared" si="898"/>
        <v>0</v>
      </c>
      <c r="CO173" s="141">
        <f t="shared" si="898"/>
        <v>0</v>
      </c>
      <c r="CP173" s="141">
        <f t="shared" si="898"/>
        <v>0</v>
      </c>
      <c r="CQ173" s="141">
        <f t="shared" si="898"/>
        <v>0</v>
      </c>
      <c r="CR173" s="141">
        <f t="shared" si="898"/>
        <v>0</v>
      </c>
      <c r="CS173" s="141">
        <f t="shared" si="898"/>
        <v>0</v>
      </c>
      <c r="CT173" s="141">
        <f t="shared" si="898"/>
        <v>0</v>
      </c>
      <c r="CU173" s="141">
        <f t="shared" si="898"/>
        <v>0</v>
      </c>
      <c r="CV173" s="141">
        <f t="shared" si="898"/>
        <v>0</v>
      </c>
      <c r="CW173" s="142">
        <f t="shared" ref="CW173:DZ173" si="899">EA173*$AH173*$AJ173</f>
        <v>0</v>
      </c>
      <c r="CX173" s="142">
        <f t="shared" si="899"/>
        <v>0</v>
      </c>
      <c r="CY173" s="142">
        <f t="shared" si="899"/>
        <v>0</v>
      </c>
      <c r="CZ173" s="142">
        <f t="shared" si="899"/>
        <v>0</v>
      </c>
      <c r="DA173" s="142">
        <f t="shared" si="899"/>
        <v>0</v>
      </c>
      <c r="DB173" s="142">
        <f t="shared" si="899"/>
        <v>0</v>
      </c>
      <c r="DC173" s="142">
        <f t="shared" si="899"/>
        <v>0</v>
      </c>
      <c r="DD173" s="142">
        <f t="shared" si="899"/>
        <v>0</v>
      </c>
      <c r="DE173" s="142">
        <f t="shared" si="899"/>
        <v>0</v>
      </c>
      <c r="DF173" s="142">
        <f t="shared" si="899"/>
        <v>0</v>
      </c>
      <c r="DG173" s="142">
        <f t="shared" si="899"/>
        <v>0</v>
      </c>
      <c r="DH173" s="142">
        <f t="shared" si="899"/>
        <v>0</v>
      </c>
      <c r="DI173" s="142">
        <f t="shared" si="899"/>
        <v>0</v>
      </c>
      <c r="DJ173" s="142">
        <f t="shared" si="899"/>
        <v>0</v>
      </c>
      <c r="DK173" s="142">
        <f t="shared" si="899"/>
        <v>0</v>
      </c>
      <c r="DL173" s="142">
        <f t="shared" si="899"/>
        <v>0</v>
      </c>
      <c r="DM173" s="142">
        <f t="shared" si="899"/>
        <v>0</v>
      </c>
      <c r="DN173" s="142">
        <f t="shared" si="899"/>
        <v>0</v>
      </c>
      <c r="DO173" s="142">
        <f t="shared" si="899"/>
        <v>0</v>
      </c>
      <c r="DP173" s="142">
        <f t="shared" si="899"/>
        <v>0</v>
      </c>
      <c r="DQ173" s="142">
        <f t="shared" si="899"/>
        <v>0</v>
      </c>
      <c r="DR173" s="142">
        <f t="shared" si="899"/>
        <v>0</v>
      </c>
      <c r="DS173" s="142">
        <f t="shared" si="899"/>
        <v>0</v>
      </c>
      <c r="DT173" s="142">
        <f t="shared" si="899"/>
        <v>0</v>
      </c>
      <c r="DU173" s="142">
        <f t="shared" si="899"/>
        <v>0</v>
      </c>
      <c r="DV173" s="142">
        <f t="shared" si="899"/>
        <v>0</v>
      </c>
      <c r="DW173" s="142">
        <f t="shared" si="899"/>
        <v>0</v>
      </c>
      <c r="DX173" s="142">
        <f t="shared" si="899"/>
        <v>0</v>
      </c>
      <c r="DY173" s="142">
        <f t="shared" si="899"/>
        <v>0</v>
      </c>
      <c r="DZ173" s="142">
        <f t="shared" si="899"/>
        <v>0</v>
      </c>
      <c r="EA173" s="143">
        <f t="shared" si="835"/>
        <v>0</v>
      </c>
      <c r="EB173" s="143">
        <f t="shared" si="836"/>
        <v>0</v>
      </c>
      <c r="EC173" s="143">
        <f t="shared" si="837"/>
        <v>0</v>
      </c>
      <c r="ED173" s="143">
        <f t="shared" si="838"/>
        <v>0</v>
      </c>
      <c r="EE173" s="143">
        <f t="shared" si="839"/>
        <v>0</v>
      </c>
      <c r="EF173" s="143">
        <f t="shared" si="840"/>
        <v>0</v>
      </c>
      <c r="EG173" s="143">
        <f t="shared" si="841"/>
        <v>0</v>
      </c>
      <c r="EH173" s="143">
        <f t="shared" si="842"/>
        <v>0</v>
      </c>
      <c r="EI173" s="143">
        <f t="shared" si="843"/>
        <v>0</v>
      </c>
      <c r="EJ173" s="143">
        <f t="shared" si="844"/>
        <v>0</v>
      </c>
      <c r="EK173" s="143">
        <f t="shared" si="845"/>
        <v>0</v>
      </c>
      <c r="EL173" s="143">
        <f t="shared" si="846"/>
        <v>0</v>
      </c>
      <c r="EM173" s="143">
        <f t="shared" si="847"/>
        <v>0</v>
      </c>
      <c r="EN173" s="143">
        <f t="shared" si="848"/>
        <v>0</v>
      </c>
      <c r="EO173" s="143">
        <f t="shared" si="849"/>
        <v>0</v>
      </c>
      <c r="EP173" s="143">
        <f t="shared" si="850"/>
        <v>0</v>
      </c>
      <c r="EQ173" s="143">
        <f t="shared" si="851"/>
        <v>0</v>
      </c>
      <c r="ER173" s="143">
        <f t="shared" si="852"/>
        <v>0</v>
      </c>
      <c r="ES173" s="143">
        <f t="shared" si="853"/>
        <v>0</v>
      </c>
      <c r="ET173" s="143">
        <f t="shared" si="854"/>
        <v>0</v>
      </c>
      <c r="EU173" s="143">
        <f t="shared" si="855"/>
        <v>0</v>
      </c>
      <c r="EV173" s="143">
        <f t="shared" si="856"/>
        <v>0</v>
      </c>
      <c r="EW173" s="143">
        <f t="shared" si="857"/>
        <v>0</v>
      </c>
      <c r="EX173" s="143">
        <f t="shared" si="858"/>
        <v>0</v>
      </c>
      <c r="EY173" s="143">
        <f t="shared" si="859"/>
        <v>0</v>
      </c>
      <c r="EZ173" s="143">
        <f t="shared" si="860"/>
        <v>0</v>
      </c>
      <c r="FA173" s="143">
        <f t="shared" si="861"/>
        <v>0</v>
      </c>
      <c r="FB173" s="143">
        <f t="shared" si="862"/>
        <v>0</v>
      </c>
      <c r="FC173" s="143">
        <f t="shared" si="863"/>
        <v>0</v>
      </c>
      <c r="FD173" s="143">
        <f t="shared" si="864"/>
        <v>0</v>
      </c>
      <c r="FE173" s="140">
        <f>SUM($D173:D173)*IF($B173="Operacional",IFERROR(VLOOKUP($C173,SN_UGC,28,0),0),1)</f>
        <v>0</v>
      </c>
      <c r="FF173" s="140">
        <f>SUM($D173:E173)*IF($B173="Operacional",IFERROR(VLOOKUP($C173,SN_UGC,28,0),0),1)</f>
        <v>0</v>
      </c>
      <c r="FG173" s="140">
        <f>SUM($D173:F173)*IF($B173="Operacional",IFERROR(VLOOKUP($C173,SN_UGC,28,0),0),1)</f>
        <v>0</v>
      </c>
      <c r="FH173" s="140">
        <f>SUM($D173:G173)*IF($B173="Operacional",IFERROR(VLOOKUP($C173,SN_UGC,28,0),0),1)</f>
        <v>0</v>
      </c>
      <c r="FI173" s="140">
        <f>SUM($D173:H173)*IF($B173="Operacional",IFERROR(VLOOKUP($C173,SN_UGC,28,0),0),1)</f>
        <v>0</v>
      </c>
      <c r="FJ173" s="140">
        <f>SUM($D173:I173)*IF($B173="Operacional",IFERROR(VLOOKUP($C173,SN_UGC,28,0),0),1)</f>
        <v>0</v>
      </c>
      <c r="FK173" s="140">
        <f>SUM($D173:J173)*IF($B173="Operacional",IFERROR(VLOOKUP($C173,SN_UGC,28,0),0),1)</f>
        <v>0</v>
      </c>
      <c r="FL173" s="140">
        <f>SUM($D173:K173)*IF($B173="Operacional",IFERROR(VLOOKUP($C173,SN_UGC,28,0),0),1)</f>
        <v>0</v>
      </c>
      <c r="FM173" s="140">
        <f>SUM($D173:L173)*IF($B173="Operacional",IFERROR(VLOOKUP($C173,SN_UGC,28,0),0),1)</f>
        <v>0</v>
      </c>
      <c r="FN173" s="140">
        <f>SUM($D173:M173)*IF($B173="Operacional",IFERROR(VLOOKUP($C173,SN_UGC,28,0),0),1)</f>
        <v>0</v>
      </c>
      <c r="FO173" s="140">
        <f>SUM($D173:N173)*IF($B173="Operacional",IFERROR(VLOOKUP($C173,SN_UGC,28,0),0),1)</f>
        <v>0</v>
      </c>
      <c r="FP173" s="140">
        <f>SUM($D173:O173)*IF($B173="Operacional",IFERROR(VLOOKUP($C173,SN_UGC,28,0),0),1)</f>
        <v>0</v>
      </c>
      <c r="FQ173" s="140">
        <f>SUM($D173:P173)*IF($B173="Operacional",IFERROR(VLOOKUP($C173,SN_UGC,28,0),0),1)</f>
        <v>0</v>
      </c>
      <c r="FR173" s="140">
        <f>SUM($D173:Q173)*IF($B173="Operacional",IFERROR(VLOOKUP($C173,SN_UGC,28,0),0),1)</f>
        <v>0</v>
      </c>
      <c r="FS173" s="140">
        <f>SUM($D173:R173)*IF($B173="Operacional",IFERROR(VLOOKUP($C173,SN_UGC,28,0),0),1)</f>
        <v>0</v>
      </c>
      <c r="FT173" s="140">
        <f>SUM($D173:S173)*IF($B173="Operacional",IFERROR(VLOOKUP($C173,SN_UGC,28,0),0),1)</f>
        <v>0</v>
      </c>
      <c r="FU173" s="140">
        <f>SUM($D173:T173)*IF($B173="Operacional",IFERROR(VLOOKUP($C173,SN_UGC,28,0),0),1)</f>
        <v>0</v>
      </c>
      <c r="FV173" s="140">
        <f>SUM($D173:U173)*IF($B173="Operacional",IFERROR(VLOOKUP($C173,SN_UGC,28,0),0),1)</f>
        <v>0</v>
      </c>
      <c r="FW173" s="140">
        <f>SUM($D173:V173)*IF($B173="Operacional",IFERROR(VLOOKUP($C173,SN_UGC,28,0),0),1)</f>
        <v>0</v>
      </c>
      <c r="FX173" s="140">
        <f>SUM($D173:W173)*IF($B173="Operacional",IFERROR(VLOOKUP($C173,SN_UGC,28,0),0),1)</f>
        <v>0</v>
      </c>
      <c r="FY173" s="140">
        <f>SUM($D173:X173)*IF($B173="Operacional",IFERROR(VLOOKUP($C173,SN_UGC,28,0),0),1)</f>
        <v>0</v>
      </c>
      <c r="FZ173" s="140">
        <f>SUM($D173:Y173)*IF($B173="Operacional",IFERROR(VLOOKUP($C173,SN_UGC,28,0),0),1)</f>
        <v>0</v>
      </c>
      <c r="GA173" s="140">
        <f>SUM($D173:Z173)*IF($B173="Operacional",IFERROR(VLOOKUP($C173,SN_UGC,28,0),0),1)</f>
        <v>0</v>
      </c>
      <c r="GB173" s="140">
        <f>SUM($D173:AA173)*IF($B173="Operacional",IFERROR(VLOOKUP($C173,SN_UGC,28,0),0),1)</f>
        <v>0</v>
      </c>
      <c r="GC173" s="140">
        <f>SUM($D173:AB173)*IF($B173="Operacional",IFERROR(VLOOKUP($C173,SN_UGC,28,0),0),1)</f>
        <v>0</v>
      </c>
      <c r="GD173" s="140">
        <f>SUM($D173:AC173)*IF($B173="Operacional",IFERROR(VLOOKUP($C173,SN_UGC,28,0),0),1)</f>
        <v>0</v>
      </c>
      <c r="GE173" s="140">
        <f>SUM($D173:AD173)*IF($B173="Operacional",IFERROR(VLOOKUP($C173,SN_UGC,28,0),0),1)</f>
        <v>0</v>
      </c>
      <c r="GF173" s="140">
        <f>SUM($D173:AE173)*IF($B173="Operacional",IFERROR(VLOOKUP($C173,SN_UGC,28,0),0),1)</f>
        <v>0</v>
      </c>
      <c r="GG173" s="140">
        <f>SUM($D173:AF173)*IF($B173="Operacional",IFERROR(VLOOKUP($C173,SN_UGC,28,0),0),1)</f>
        <v>0</v>
      </c>
      <c r="GH173" s="140">
        <f>SUM($D173:AG173)*IF($B173="Operacional",IFERROR(VLOOKUP($C173,SN_UGC,28,0),0),1)</f>
        <v>0</v>
      </c>
      <c r="GI173" s="141">
        <f t="shared" ref="GI173:HL173" si="900">FE173*$AH173*$AL173</f>
        <v>0</v>
      </c>
      <c r="GJ173" s="141">
        <f t="shared" si="900"/>
        <v>0</v>
      </c>
      <c r="GK173" s="141">
        <f t="shared" si="900"/>
        <v>0</v>
      </c>
      <c r="GL173" s="141">
        <f t="shared" si="900"/>
        <v>0</v>
      </c>
      <c r="GM173" s="141">
        <f t="shared" si="900"/>
        <v>0</v>
      </c>
      <c r="GN173" s="141">
        <f t="shared" si="900"/>
        <v>0</v>
      </c>
      <c r="GO173" s="141">
        <f t="shared" si="900"/>
        <v>0</v>
      </c>
      <c r="GP173" s="141">
        <f t="shared" si="900"/>
        <v>0</v>
      </c>
      <c r="GQ173" s="141">
        <f t="shared" si="900"/>
        <v>0</v>
      </c>
      <c r="GR173" s="141">
        <f t="shared" si="900"/>
        <v>0</v>
      </c>
      <c r="GS173" s="141">
        <f t="shared" si="900"/>
        <v>0</v>
      </c>
      <c r="GT173" s="141">
        <f t="shared" si="900"/>
        <v>0</v>
      </c>
      <c r="GU173" s="141">
        <f t="shared" si="900"/>
        <v>0</v>
      </c>
      <c r="GV173" s="141">
        <f t="shared" si="900"/>
        <v>0</v>
      </c>
      <c r="GW173" s="141">
        <f t="shared" si="900"/>
        <v>0</v>
      </c>
      <c r="GX173" s="141">
        <f t="shared" si="900"/>
        <v>0</v>
      </c>
      <c r="GY173" s="141">
        <f t="shared" si="900"/>
        <v>0</v>
      </c>
      <c r="GZ173" s="141">
        <f t="shared" si="900"/>
        <v>0</v>
      </c>
      <c r="HA173" s="141">
        <f t="shared" si="900"/>
        <v>0</v>
      </c>
      <c r="HB173" s="141">
        <f t="shared" si="900"/>
        <v>0</v>
      </c>
      <c r="HC173" s="141">
        <f t="shared" si="900"/>
        <v>0</v>
      </c>
      <c r="HD173" s="141">
        <f t="shared" si="900"/>
        <v>0</v>
      </c>
      <c r="HE173" s="141">
        <f t="shared" si="900"/>
        <v>0</v>
      </c>
      <c r="HF173" s="141">
        <f t="shared" si="900"/>
        <v>0</v>
      </c>
      <c r="HG173" s="141">
        <f t="shared" si="900"/>
        <v>0</v>
      </c>
      <c r="HH173" s="141">
        <f t="shared" si="900"/>
        <v>0</v>
      </c>
      <c r="HI173" s="141">
        <f t="shared" si="900"/>
        <v>0</v>
      </c>
      <c r="HJ173" s="141">
        <f t="shared" si="900"/>
        <v>0</v>
      </c>
      <c r="HK173" s="141">
        <f t="shared" si="900"/>
        <v>0</v>
      </c>
      <c r="HL173" s="141">
        <f t="shared" si="900"/>
        <v>0</v>
      </c>
      <c r="HM173" s="142">
        <f t="shared" ref="HM173:IP173" si="901">IF(ISBLANK($A173),,FE173*($AH173-($AH173*$AJ173))/$AI173)</f>
        <v>0</v>
      </c>
      <c r="HN173" s="142">
        <f t="shared" si="901"/>
        <v>0</v>
      </c>
      <c r="HO173" s="142">
        <f t="shared" si="901"/>
        <v>0</v>
      </c>
      <c r="HP173" s="142">
        <f t="shared" si="901"/>
        <v>0</v>
      </c>
      <c r="HQ173" s="142">
        <f t="shared" si="901"/>
        <v>0</v>
      </c>
      <c r="HR173" s="142">
        <f t="shared" si="901"/>
        <v>0</v>
      </c>
      <c r="HS173" s="142">
        <f t="shared" si="901"/>
        <v>0</v>
      </c>
      <c r="HT173" s="142">
        <f t="shared" si="901"/>
        <v>0</v>
      </c>
      <c r="HU173" s="142">
        <f t="shared" si="901"/>
        <v>0</v>
      </c>
      <c r="HV173" s="142">
        <f t="shared" si="901"/>
        <v>0</v>
      </c>
      <c r="HW173" s="142">
        <f t="shared" si="901"/>
        <v>0</v>
      </c>
      <c r="HX173" s="142">
        <f t="shared" si="901"/>
        <v>0</v>
      </c>
      <c r="HY173" s="142">
        <f t="shared" si="901"/>
        <v>0</v>
      </c>
      <c r="HZ173" s="142">
        <f t="shared" si="901"/>
        <v>0</v>
      </c>
      <c r="IA173" s="142">
        <f t="shared" si="901"/>
        <v>0</v>
      </c>
      <c r="IB173" s="142">
        <f t="shared" si="901"/>
        <v>0</v>
      </c>
      <c r="IC173" s="142">
        <f t="shared" si="901"/>
        <v>0</v>
      </c>
      <c r="ID173" s="142">
        <f t="shared" si="901"/>
        <v>0</v>
      </c>
      <c r="IE173" s="142">
        <f t="shared" si="901"/>
        <v>0</v>
      </c>
      <c r="IF173" s="142">
        <f t="shared" si="901"/>
        <v>0</v>
      </c>
      <c r="IG173" s="142">
        <f t="shared" si="901"/>
        <v>0</v>
      </c>
      <c r="IH173" s="142">
        <f t="shared" si="901"/>
        <v>0</v>
      </c>
      <c r="II173" s="142">
        <f t="shared" si="901"/>
        <v>0</v>
      </c>
      <c r="IJ173" s="142">
        <f t="shared" si="901"/>
        <v>0</v>
      </c>
      <c r="IK173" s="142">
        <f t="shared" si="901"/>
        <v>0</v>
      </c>
      <c r="IL173" s="142">
        <f t="shared" si="901"/>
        <v>0</v>
      </c>
      <c r="IM173" s="142">
        <f t="shared" si="901"/>
        <v>0</v>
      </c>
      <c r="IN173" s="142">
        <f t="shared" si="901"/>
        <v>0</v>
      </c>
      <c r="IO173" s="142">
        <f t="shared" si="901"/>
        <v>0</v>
      </c>
      <c r="IP173" s="142">
        <f t="shared" si="901"/>
        <v>0</v>
      </c>
      <c r="IQ173" s="141">
        <f>IF(ISBLANK($A173),,IF($AN173="Não",0,(SUM($AO173:AO173)*$AH173)-SUM($HM173:HM173)-SUM($CW173:CW173)))</f>
        <v>0</v>
      </c>
      <c r="IR173" s="141">
        <f>IF(ISBLANK($A173),,IF($AN173="Não",0,(SUM($AO173:AP173)*$AH173)-SUM($HM173:HN173)-SUM($CW173:CX173)))</f>
        <v>0</v>
      </c>
      <c r="IS173" s="141">
        <f>IF(ISBLANK($A173),,IF($AN173="Não",0,(SUM($AO173:AQ173)*$AH173)-SUM($HM173:HO173)-SUM($CW173:CY173)))</f>
        <v>0</v>
      </c>
      <c r="IT173" s="141">
        <f>IF(ISBLANK($A173),,IF($AN173="Não",0,(SUM($AO173:AR173)*$AH173)-SUM($HM173:HP173)-SUM($CW173:CZ173)))</f>
        <v>0</v>
      </c>
      <c r="IU173" s="141">
        <f>IF(ISBLANK($A173),,IF($AN173="Não",0,(SUM($AO173:AS173)*$AH173)-SUM($HM173:HQ173)-SUM($CW173:DA173)))</f>
        <v>0</v>
      </c>
      <c r="IV173" s="141">
        <f>IF(ISBLANK($A173),,IF($AN173="Não",0,(SUM($AO173:AT173)*$AH173)-SUM($HM173:HR173)-SUM($CW173:DB173)))</f>
        <v>0</v>
      </c>
      <c r="IW173" s="141">
        <f>IF(ISBLANK($A173),,IF($AN173="Não",0,(SUM($AO173:AU173)*$AH173)-SUM($HM173:HS173)-SUM($CW173:DC173)))</f>
        <v>0</v>
      </c>
      <c r="IX173" s="141">
        <f>IF(ISBLANK($A173),,IF($AN173="Não",0,(SUM($AO173:AV173)*$AH173)-SUM($HM173:HT173)-SUM($CW173:DD173)))</f>
        <v>0</v>
      </c>
      <c r="IY173" s="141">
        <f>IF(ISBLANK($A173),,IF($AN173="Não",0,(SUM($AO173:AW173)*$AH173)-SUM($HM173:HU173)-SUM($CW173:DE173)))</f>
        <v>0</v>
      </c>
      <c r="IZ173" s="141">
        <f>IF(ISBLANK($A173),,IF($AN173="Não",0,(SUM($AO173:AX173)*$AH173)-SUM($HM173:HV173)-SUM($CW173:DF173)))</f>
        <v>0</v>
      </c>
      <c r="JA173" s="141">
        <f>IF(ISBLANK($A173),,IF($AN173="Não",0,(SUM($AO173:AY173)*$AH173)-SUM($HM173:HW173)-SUM($CW173:DG173)))</f>
        <v>0</v>
      </c>
      <c r="JB173" s="141">
        <f>IF(ISBLANK($A173),,IF($AN173="Não",0,(SUM($AO173:AZ173)*$AH173)-SUM($HM173:HX173)-SUM($CW173:DH173)))</f>
        <v>0</v>
      </c>
      <c r="JC173" s="141">
        <f>IF(ISBLANK($A173),,IF($AN173="Não",0,(SUM($AO173:BA173)*$AH173)-SUM($HM173:HY173)-SUM($CW173:DI173)))</f>
        <v>0</v>
      </c>
      <c r="JD173" s="141">
        <f>IF(ISBLANK($A173),,IF($AN173="Não",0,(SUM($AO173:BB173)*$AH173)-SUM($HM173:HZ173)-SUM($CW173:DJ173)))</f>
        <v>0</v>
      </c>
      <c r="JE173" s="141">
        <f>IF(ISBLANK($A173),,IF($AN173="Não",0,(SUM($AO173:BC173)*$AH173)-SUM($HM173:IA173)-SUM($CW173:DK173)))</f>
        <v>0</v>
      </c>
      <c r="JF173" s="141">
        <f>IF(ISBLANK($A173),,IF($AN173="Não",0,(SUM($AO173:BD173)*$AH173)-SUM($HM173:IB173)-SUM($CW173:DL173)))</f>
        <v>0</v>
      </c>
      <c r="JG173" s="141">
        <f>IF(ISBLANK($A173),,IF($AN173="Não",0,(SUM($AO173:BE173)*$AH173)-SUM($HM173:IC173)-SUM($CW173:DM173)))</f>
        <v>0</v>
      </c>
      <c r="JH173" s="141">
        <f>IF(ISBLANK($A173),,IF($AN173="Não",0,(SUM($AO173:BF173)*$AH173)-SUM($HM173:ID173)-SUM($CW173:DN173)))</f>
        <v>0</v>
      </c>
      <c r="JI173" s="141">
        <f>IF(ISBLANK($A173),,IF($AN173="Não",0,(SUM($AO173:BG173)*$AH173)-SUM($HM173:IE173)-SUM($CW173:DO173)))</f>
        <v>0</v>
      </c>
      <c r="JJ173" s="141">
        <f>IF(ISBLANK($A173),,IF($AN173="Não",0,(SUM($AO173:BH173)*$AH173)-SUM($HM173:IF173)-SUM($CW173:DP173)))</f>
        <v>0</v>
      </c>
      <c r="JK173" s="141">
        <f>IF(ISBLANK($A173),,IF($AN173="Não",0,(SUM($AO173:BI173)*$AH173)-SUM($HM173:IG173)-SUM($CW173:DQ173)))</f>
        <v>0</v>
      </c>
      <c r="JL173" s="141">
        <f>IF(ISBLANK($A173),,IF($AN173="Não",0,(SUM($AO173:BJ173)*$AH173)-SUM($HM173:IH173)-SUM($CW173:DR173)))</f>
        <v>0</v>
      </c>
      <c r="JM173" s="141">
        <f>IF(ISBLANK($A173),,IF($AN173="Não",0,(SUM($AO173:BK173)*$AH173)-SUM($HM173:II173)-SUM($CW173:DS173)))</f>
        <v>0</v>
      </c>
      <c r="JN173" s="141">
        <f>IF(ISBLANK($A173),,IF($AN173="Não",0,(SUM($AO173:BL173)*$AH173)-SUM($HM173:IJ173)-SUM($CW173:DT173)))</f>
        <v>0</v>
      </c>
      <c r="JO173" s="141">
        <f>IF(ISBLANK($A173),,IF($AN173="Não",0,(SUM($AO173:BM173)*$AH173)-SUM($HM173:IK173)-SUM($CW173:DU173)))</f>
        <v>0</v>
      </c>
      <c r="JP173" s="141">
        <f>IF(ISBLANK($A173),,IF($AN173="Não",0,(SUM($AO173:BN173)*$AH173)-SUM($HM173:IL173)-SUM($CW173:DV173)))</f>
        <v>0</v>
      </c>
      <c r="JQ173" s="141">
        <f>IF(ISBLANK($A173),,IF($AN173="Não",0,(SUM($AO173:BO173)*$AH173)-SUM($HM173:IM173)-SUM($CW173:DW173)))</f>
        <v>0</v>
      </c>
      <c r="JR173" s="141">
        <f>IF(ISBLANK($A173),,IF($AN173="Não",0,(SUM($AO173:BP173)*$AH173)-SUM($HM173:IN173)-SUM($CW173:DX173)))</f>
        <v>0</v>
      </c>
      <c r="JS173" s="141">
        <f>IF(ISBLANK($A173),,IF($AN173="Não",0,(SUM($AO173:BQ173)*$AH173)-SUM($HM173:IO173)-SUM($CW173:DY173)))</f>
        <v>0</v>
      </c>
      <c r="JT173" s="141">
        <f>IF(ISBLANK($A173),,IF($AN173="Não",0,(SUM($AO173:BR173)*$AH173)-SUM($HM173:IP173)-SUM($CW173:DZ173)))</f>
        <v>0</v>
      </c>
    </row>
    <row r="174" spans="1:280" ht="15.75" customHeight="1">
      <c r="A174" s="129"/>
      <c r="B174" s="129"/>
      <c r="C174" s="138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607">
        <f t="shared" si="875"/>
        <v>0</v>
      </c>
      <c r="AI174" s="608">
        <f t="shared" si="876"/>
        <v>0</v>
      </c>
      <c r="AJ174" s="609">
        <f t="shared" si="877"/>
        <v>0</v>
      </c>
      <c r="AK174" s="610" t="str">
        <f t="shared" si="878"/>
        <v/>
      </c>
      <c r="AL174" s="609">
        <f t="shared" si="879"/>
        <v>0</v>
      </c>
      <c r="AM174" s="611" t="str">
        <f t="shared" si="880"/>
        <v/>
      </c>
      <c r="AN174" s="611" t="str">
        <f t="shared" si="881"/>
        <v/>
      </c>
      <c r="AO174" s="140">
        <f t="array" ref="AO174">IF(ISBLANK($A174),0,IF(OR(AO$5-$AI174&lt;=0,$AM174="Não"),D174,D174+INDEX($AO$6:$BR$176,ROW()-5,COLUMN()-40-$AI174)))*IF($B174="Operacional",IFERROR(VLOOKUP($C174,SN_UGC,28,0),0),1)</f>
        <v>0</v>
      </c>
      <c r="AP174" s="140">
        <f t="array" ref="AP174">IF(ISBLANK($A174),0,IF(OR(AP$5-$AI174&lt;=0,$AM174="Não"),E174,E174+INDEX($AO$6:$BR$176,ROW()-5,COLUMN()-40-$AI174)))*IF($B174="Operacional",IFERROR(VLOOKUP($C174,SN_UGC,28,0),0),1)</f>
        <v>0</v>
      </c>
      <c r="AQ174" s="140">
        <f t="array" ref="AQ174">IF(ISBLANK($A174),0,IF(OR(AQ$5-$AI174&lt;=0,$AM174="Não"),F174,F174+INDEX($AO$6:$BR$176,ROW()-5,COLUMN()-40-$AI174)))*IF($B174="Operacional",IFERROR(VLOOKUP($C174,SN_UGC,28,0),0),1)</f>
        <v>0</v>
      </c>
      <c r="AR174" s="140">
        <f t="array" ref="AR174">IF(ISBLANK($A174),0,IF(OR(AR$5-$AI174&lt;=0,$AM174="Não"),G174,G174+INDEX($AO$6:$BR$176,ROW()-5,COLUMN()-40-$AI174)))*IF($B174="Operacional",IFERROR(VLOOKUP($C174,SN_UGC,28,0),0),1)</f>
        <v>0</v>
      </c>
      <c r="AS174" s="140">
        <f t="array" ref="AS174">IF(ISBLANK($A174),0,IF(OR(AS$5-$AI174&lt;=0,$AM174="Não"),H174,H174+INDEX($AO$6:$BR$176,ROW()-5,COLUMN()-40-$AI174)))*IF($B174="Operacional",IFERROR(VLOOKUP($C174,SN_UGC,28,0),0),1)</f>
        <v>0</v>
      </c>
      <c r="AT174" s="140">
        <f t="array" ref="AT174">IF(ISBLANK($A174),0,IF(OR(AT$5-$AI174&lt;=0,$AM174="Não"),I174,I174+INDEX($AO$6:$BR$176,ROW()-5,COLUMN()-40-$AI174)))*IF($B174="Operacional",IFERROR(VLOOKUP($C174,SN_UGC,28,0),0),1)</f>
        <v>0</v>
      </c>
      <c r="AU174" s="140">
        <f t="array" ref="AU174">IF(ISBLANK($A174),0,IF(OR(AU$5-$AI174&lt;=0,$AM174="Não"),J174,J174+INDEX($AO$6:$BR$176,ROW()-5,COLUMN()-40-$AI174)))*IF($B174="Operacional",IFERROR(VLOOKUP($C174,SN_UGC,28,0),0),1)</f>
        <v>0</v>
      </c>
      <c r="AV174" s="140">
        <f t="array" ref="AV174">IF(ISBLANK($A174),0,IF(OR(AV$5-$AI174&lt;=0,$AM174="Não"),K174,K174+INDEX($AO$6:$BR$176,ROW()-5,COLUMN()-40-$AI174)))*IF($B174="Operacional",IFERROR(VLOOKUP($C174,SN_UGC,28,0),0),1)</f>
        <v>0</v>
      </c>
      <c r="AW174" s="140">
        <f t="array" ref="AW174">IF(ISBLANK($A174),0,IF(OR(AW$5-$AI174&lt;=0,$AM174="Não"),L174,L174+INDEX($AO$6:$BR$176,ROW()-5,COLUMN()-40-$AI174)))*IF($B174="Operacional",IFERROR(VLOOKUP($C174,SN_UGC,28,0),0),1)</f>
        <v>0</v>
      </c>
      <c r="AX174" s="140">
        <f t="array" ref="AX174">IF(ISBLANK($A174),0,IF(OR(AX$5-$AI174&lt;=0,$AM174="Não"),M174,M174+INDEX($AO$6:$BR$176,ROW()-5,COLUMN()-40-$AI174)))*IF($B174="Operacional",IFERROR(VLOOKUP($C174,SN_UGC,28,0),0),1)</f>
        <v>0</v>
      </c>
      <c r="AY174" s="140">
        <f t="array" ref="AY174">IF(ISBLANK($A174),0,IF(OR(AY$5-$AI174&lt;=0,$AM174="Não"),N174,N174+INDEX($AO$6:$BR$176,ROW()-5,COLUMN()-40-$AI174)))*IF($B174="Operacional",IFERROR(VLOOKUP($C174,SN_UGC,28,0),0),1)</f>
        <v>0</v>
      </c>
      <c r="AZ174" s="140">
        <f t="array" ref="AZ174">IF(ISBLANK($A174),0,IF(OR(AZ$5-$AI174&lt;=0,$AM174="Não"),O174,O174+INDEX($AO$6:$BR$176,ROW()-5,COLUMN()-40-$AI174)))*IF($B174="Operacional",IFERROR(VLOOKUP($C174,SN_UGC,28,0),0),1)</f>
        <v>0</v>
      </c>
      <c r="BA174" s="140">
        <f t="array" ref="BA174">IF(ISBLANK($A174),0,IF(OR(BA$5-$AI174&lt;=0,$AM174="Não"),P174,P174+INDEX($AO$6:$BR$176,ROW()-5,COLUMN()-40-$AI174)))*IF($B174="Operacional",IFERROR(VLOOKUP($C174,SN_UGC,28,0),0),1)</f>
        <v>0</v>
      </c>
      <c r="BB174" s="140">
        <f t="array" ref="BB174">IF(ISBLANK($A174),0,IF(OR(BB$5-$AI174&lt;=0,$AM174="Não"),Q174,Q174+INDEX($AO$6:$BR$176,ROW()-5,COLUMN()-40-$AI174)))*IF($B174="Operacional",IFERROR(VLOOKUP($C174,SN_UGC,28,0),0),1)</f>
        <v>0</v>
      </c>
      <c r="BC174" s="140">
        <f t="array" ref="BC174">IF(ISBLANK($A174),0,IF(OR(BC$5-$AI174&lt;=0,$AM174="Não"),R174,R174+INDEX($AO$6:$BR$176,ROW()-5,COLUMN()-40-$AI174)))*IF($B174="Operacional",IFERROR(VLOOKUP($C174,SN_UGC,28,0),0),1)</f>
        <v>0</v>
      </c>
      <c r="BD174" s="140">
        <f t="array" ref="BD174">IF(ISBLANK($A174),0,IF(OR(BD$5-$AI174&lt;=0,$AM174="Não"),S174,S174+INDEX($AO$6:$BR$176,ROW()-5,COLUMN()-40-$AI174)))*IF($B174="Operacional",IFERROR(VLOOKUP($C174,SN_UGC,28,0),0),1)</f>
        <v>0</v>
      </c>
      <c r="BE174" s="140">
        <f t="array" ref="BE174">IF(ISBLANK($A174),0,IF(OR(BE$5-$AI174&lt;=0,$AM174="Não"),T174,T174+INDEX($AO$6:$BR$176,ROW()-5,COLUMN()-40-$AI174)))*IF($B174="Operacional",IFERROR(VLOOKUP($C174,SN_UGC,28,0),0),1)</f>
        <v>0</v>
      </c>
      <c r="BF174" s="140">
        <f t="array" ref="BF174">IF(ISBLANK($A174),0,IF(OR(BF$5-$AI174&lt;=0,$AM174="Não"),U174,U174+INDEX($AO$6:$BR$176,ROW()-5,COLUMN()-40-$AI174)))*IF($B174="Operacional",IFERROR(VLOOKUP($C174,SN_UGC,28,0),0),1)</f>
        <v>0</v>
      </c>
      <c r="BG174" s="140">
        <f t="array" ref="BG174">IF(ISBLANK($A174),0,IF(OR(BG$5-$AI174&lt;=0,$AM174="Não"),V174,V174+INDEX($AO$6:$BR$176,ROW()-5,COLUMN()-40-$AI174)))*IF($B174="Operacional",IFERROR(VLOOKUP($C174,SN_UGC,28,0),0),1)</f>
        <v>0</v>
      </c>
      <c r="BH174" s="140">
        <f t="array" ref="BH174">IF(ISBLANK($A174),0,IF(OR(BH$5-$AI174&lt;=0,$AM174="Não"),W174,W174+INDEX($AO$6:$BR$176,ROW()-5,COLUMN()-40-$AI174)))*IF($B174="Operacional",IFERROR(VLOOKUP($C174,SN_UGC,28,0),0),1)</f>
        <v>0</v>
      </c>
      <c r="BI174" s="140">
        <f t="array" ref="BI174">IF(ISBLANK($A174),0,IF(OR(BI$5-$AI174&lt;=0,$AM174="Não"),X174,X174+INDEX($AO$6:$BR$176,ROW()-5,COLUMN()-40-$AI174)))*IF($B174="Operacional",IFERROR(VLOOKUP($C174,SN_UGC,28,0),0),1)</f>
        <v>0</v>
      </c>
      <c r="BJ174" s="140">
        <f t="array" ref="BJ174">IF(ISBLANK($A174),0,IF(OR(BJ$5-$AI174&lt;=0,$AM174="Não"),Y174,Y174+INDEX($AO$6:$BR$176,ROW()-5,COLUMN()-40-$AI174)))*IF($B174="Operacional",IFERROR(VLOOKUP($C174,SN_UGC,28,0),0),1)</f>
        <v>0</v>
      </c>
      <c r="BK174" s="140">
        <f t="array" ref="BK174">IF(ISBLANK($A174),0,IF(OR(BK$5-$AI174&lt;=0,$AM174="Não"),Z174,Z174+INDEX($AO$6:$BR$176,ROW()-5,COLUMN()-40-$AI174)))*IF($B174="Operacional",IFERROR(VLOOKUP($C174,SN_UGC,28,0),0),1)</f>
        <v>0</v>
      </c>
      <c r="BL174" s="140">
        <f t="array" ref="BL174">IF(ISBLANK($A174),0,IF(OR(BL$5-$AI174&lt;=0,$AM174="Não"),AA174,AA174+INDEX($AO$6:$BR$176,ROW()-5,COLUMN()-40-$AI174)))*IF($B174="Operacional",IFERROR(VLOOKUP($C174,SN_UGC,28,0),0),1)</f>
        <v>0</v>
      </c>
      <c r="BM174" s="140">
        <f t="array" ref="BM174">IF(ISBLANK($A174),0,IF(OR(BM$5-$AI174&lt;=0,$AM174="Não"),AB174,AB174+INDEX($AO$6:$BR$176,ROW()-5,COLUMN()-40-$AI174)))*IF($B174="Operacional",IFERROR(VLOOKUP($C174,SN_UGC,28,0),0),1)</f>
        <v>0</v>
      </c>
      <c r="BN174" s="140">
        <f t="array" ref="BN174">IF(ISBLANK($A174),0,IF(OR(BN$5-$AI174&lt;=0,$AM174="Não"),AC174,AC174+INDEX($AO$6:$BR$176,ROW()-5,COLUMN()-40-$AI174)))*IF($B174="Operacional",IFERROR(VLOOKUP($C174,SN_UGC,28,0),0),1)</f>
        <v>0</v>
      </c>
      <c r="BO174" s="140">
        <f t="array" ref="BO174">IF(ISBLANK($A174),0,IF(OR(BO$5-$AI174&lt;=0,$AM174="Não"),AD174,AD174+INDEX($AO$6:$BR$176,ROW()-5,COLUMN()-40-$AI174)))*IF($B174="Operacional",IFERROR(VLOOKUP($C174,SN_UGC,28,0),0),1)</f>
        <v>0</v>
      </c>
      <c r="BP174" s="140">
        <f t="array" ref="BP174">IF(ISBLANK($A174),0,IF(OR(BP$5-$AI174&lt;=0,$AM174="Não"),AE174,AE174+INDEX($AO$6:$BR$176,ROW()-5,COLUMN()-40-$AI174)))*IF($B174="Operacional",IFERROR(VLOOKUP($C174,SN_UGC,28,0),0),1)</f>
        <v>0</v>
      </c>
      <c r="BQ174" s="140">
        <f t="array" ref="BQ174">IF(ISBLANK($A174),0,IF(OR(BQ$5-$AI174&lt;=0,$AM174="Não"),AF174,AF174+INDEX($AO$6:$BR$176,ROW()-5,COLUMN()-40-$AI174)))*IF($B174="Operacional",IFERROR(VLOOKUP($C174,SN_UGC,28,0),0),1)</f>
        <v>0</v>
      </c>
      <c r="BR174" s="140">
        <f t="array" ref="BR174">IF(ISBLANK($A174),0,IF(OR(BR$5-$AI174&lt;=0,$AM174="Não"),AG174,AG174+INDEX($AO$6:$BR$176,ROW()-5,COLUMN()-40-$AI174)))*IF($B174="Operacional",IFERROR(VLOOKUP($C174,SN_UGC,28,0),0),1)</f>
        <v>0</v>
      </c>
      <c r="BS174" s="141">
        <f t="shared" ref="BS174:CV174" si="902">IF(ISBLANK($A174),0,$AH174*AO174)</f>
        <v>0</v>
      </c>
      <c r="BT174" s="141">
        <f t="shared" si="902"/>
        <v>0</v>
      </c>
      <c r="BU174" s="141">
        <f t="shared" si="902"/>
        <v>0</v>
      </c>
      <c r="BV174" s="141">
        <f t="shared" si="902"/>
        <v>0</v>
      </c>
      <c r="BW174" s="141">
        <f t="shared" si="902"/>
        <v>0</v>
      </c>
      <c r="BX174" s="141">
        <f t="shared" si="902"/>
        <v>0</v>
      </c>
      <c r="BY174" s="141">
        <f t="shared" si="902"/>
        <v>0</v>
      </c>
      <c r="BZ174" s="141">
        <f t="shared" si="902"/>
        <v>0</v>
      </c>
      <c r="CA174" s="141">
        <f t="shared" si="902"/>
        <v>0</v>
      </c>
      <c r="CB174" s="141">
        <f t="shared" si="902"/>
        <v>0</v>
      </c>
      <c r="CC174" s="141">
        <f t="shared" si="902"/>
        <v>0</v>
      </c>
      <c r="CD174" s="141">
        <f t="shared" si="902"/>
        <v>0</v>
      </c>
      <c r="CE174" s="141">
        <f t="shared" si="902"/>
        <v>0</v>
      </c>
      <c r="CF174" s="141">
        <f t="shared" si="902"/>
        <v>0</v>
      </c>
      <c r="CG174" s="141">
        <f t="shared" si="902"/>
        <v>0</v>
      </c>
      <c r="CH174" s="141">
        <f t="shared" si="902"/>
        <v>0</v>
      </c>
      <c r="CI174" s="141">
        <f t="shared" si="902"/>
        <v>0</v>
      </c>
      <c r="CJ174" s="141">
        <f t="shared" si="902"/>
        <v>0</v>
      </c>
      <c r="CK174" s="141">
        <f t="shared" si="902"/>
        <v>0</v>
      </c>
      <c r="CL174" s="141">
        <f t="shared" si="902"/>
        <v>0</v>
      </c>
      <c r="CM174" s="141">
        <f t="shared" si="902"/>
        <v>0</v>
      </c>
      <c r="CN174" s="141">
        <f t="shared" si="902"/>
        <v>0</v>
      </c>
      <c r="CO174" s="141">
        <f t="shared" si="902"/>
        <v>0</v>
      </c>
      <c r="CP174" s="141">
        <f t="shared" si="902"/>
        <v>0</v>
      </c>
      <c r="CQ174" s="141">
        <f t="shared" si="902"/>
        <v>0</v>
      </c>
      <c r="CR174" s="141">
        <f t="shared" si="902"/>
        <v>0</v>
      </c>
      <c r="CS174" s="141">
        <f t="shared" si="902"/>
        <v>0</v>
      </c>
      <c r="CT174" s="141">
        <f t="shared" si="902"/>
        <v>0</v>
      </c>
      <c r="CU174" s="141">
        <f t="shared" si="902"/>
        <v>0</v>
      </c>
      <c r="CV174" s="141">
        <f t="shared" si="902"/>
        <v>0</v>
      </c>
      <c r="CW174" s="142">
        <f t="shared" ref="CW174:DZ174" si="903">EA174*$AH174*$AJ174</f>
        <v>0</v>
      </c>
      <c r="CX174" s="142">
        <f t="shared" si="903"/>
        <v>0</v>
      </c>
      <c r="CY174" s="142">
        <f t="shared" si="903"/>
        <v>0</v>
      </c>
      <c r="CZ174" s="142">
        <f t="shared" si="903"/>
        <v>0</v>
      </c>
      <c r="DA174" s="142">
        <f t="shared" si="903"/>
        <v>0</v>
      </c>
      <c r="DB174" s="142">
        <f t="shared" si="903"/>
        <v>0</v>
      </c>
      <c r="DC174" s="142">
        <f t="shared" si="903"/>
        <v>0</v>
      </c>
      <c r="DD174" s="142">
        <f t="shared" si="903"/>
        <v>0</v>
      </c>
      <c r="DE174" s="142">
        <f t="shared" si="903"/>
        <v>0</v>
      </c>
      <c r="DF174" s="142">
        <f t="shared" si="903"/>
        <v>0</v>
      </c>
      <c r="DG174" s="142">
        <f t="shared" si="903"/>
        <v>0</v>
      </c>
      <c r="DH174" s="142">
        <f t="shared" si="903"/>
        <v>0</v>
      </c>
      <c r="DI174" s="142">
        <f t="shared" si="903"/>
        <v>0</v>
      </c>
      <c r="DJ174" s="142">
        <f t="shared" si="903"/>
        <v>0</v>
      </c>
      <c r="DK174" s="142">
        <f t="shared" si="903"/>
        <v>0</v>
      </c>
      <c r="DL174" s="142">
        <f t="shared" si="903"/>
        <v>0</v>
      </c>
      <c r="DM174" s="142">
        <f t="shared" si="903"/>
        <v>0</v>
      </c>
      <c r="DN174" s="142">
        <f t="shared" si="903"/>
        <v>0</v>
      </c>
      <c r="DO174" s="142">
        <f t="shared" si="903"/>
        <v>0</v>
      </c>
      <c r="DP174" s="142">
        <f t="shared" si="903"/>
        <v>0</v>
      </c>
      <c r="DQ174" s="142">
        <f t="shared" si="903"/>
        <v>0</v>
      </c>
      <c r="DR174" s="142">
        <f t="shared" si="903"/>
        <v>0</v>
      </c>
      <c r="DS174" s="142">
        <f t="shared" si="903"/>
        <v>0</v>
      </c>
      <c r="DT174" s="142">
        <f t="shared" si="903"/>
        <v>0</v>
      </c>
      <c r="DU174" s="142">
        <f t="shared" si="903"/>
        <v>0</v>
      </c>
      <c r="DV174" s="142">
        <f t="shared" si="903"/>
        <v>0</v>
      </c>
      <c r="DW174" s="142">
        <f t="shared" si="903"/>
        <v>0</v>
      </c>
      <c r="DX174" s="142">
        <f t="shared" si="903"/>
        <v>0</v>
      </c>
      <c r="DY174" s="142">
        <f t="shared" si="903"/>
        <v>0</v>
      </c>
      <c r="DZ174" s="142">
        <f t="shared" si="903"/>
        <v>0</v>
      </c>
      <c r="EA174" s="143">
        <f t="shared" si="835"/>
        <v>0</v>
      </c>
      <c r="EB174" s="143">
        <f t="shared" si="836"/>
        <v>0</v>
      </c>
      <c r="EC174" s="143">
        <f t="shared" si="837"/>
        <v>0</v>
      </c>
      <c r="ED174" s="143">
        <f t="shared" si="838"/>
        <v>0</v>
      </c>
      <c r="EE174" s="143">
        <f t="shared" si="839"/>
        <v>0</v>
      </c>
      <c r="EF174" s="143">
        <f t="shared" si="840"/>
        <v>0</v>
      </c>
      <c r="EG174" s="143">
        <f t="shared" si="841"/>
        <v>0</v>
      </c>
      <c r="EH174" s="143">
        <f t="shared" si="842"/>
        <v>0</v>
      </c>
      <c r="EI174" s="143">
        <f t="shared" si="843"/>
        <v>0</v>
      </c>
      <c r="EJ174" s="143">
        <f t="shared" si="844"/>
        <v>0</v>
      </c>
      <c r="EK174" s="143">
        <f t="shared" si="845"/>
        <v>0</v>
      </c>
      <c r="EL174" s="143">
        <f t="shared" si="846"/>
        <v>0</v>
      </c>
      <c r="EM174" s="143">
        <f t="shared" si="847"/>
        <v>0</v>
      </c>
      <c r="EN174" s="143">
        <f t="shared" si="848"/>
        <v>0</v>
      </c>
      <c r="EO174" s="143">
        <f t="shared" si="849"/>
        <v>0</v>
      </c>
      <c r="EP174" s="143">
        <f t="shared" si="850"/>
        <v>0</v>
      </c>
      <c r="EQ174" s="143">
        <f t="shared" si="851"/>
        <v>0</v>
      </c>
      <c r="ER174" s="143">
        <f t="shared" si="852"/>
        <v>0</v>
      </c>
      <c r="ES174" s="143">
        <f t="shared" si="853"/>
        <v>0</v>
      </c>
      <c r="ET174" s="143">
        <f t="shared" si="854"/>
        <v>0</v>
      </c>
      <c r="EU174" s="143">
        <f t="shared" si="855"/>
        <v>0</v>
      </c>
      <c r="EV174" s="143">
        <f t="shared" si="856"/>
        <v>0</v>
      </c>
      <c r="EW174" s="143">
        <f t="shared" si="857"/>
        <v>0</v>
      </c>
      <c r="EX174" s="143">
        <f t="shared" si="858"/>
        <v>0</v>
      </c>
      <c r="EY174" s="143">
        <f t="shared" si="859"/>
        <v>0</v>
      </c>
      <c r="EZ174" s="143">
        <f t="shared" si="860"/>
        <v>0</v>
      </c>
      <c r="FA174" s="143">
        <f t="shared" si="861"/>
        <v>0</v>
      </c>
      <c r="FB174" s="143">
        <f t="shared" si="862"/>
        <v>0</v>
      </c>
      <c r="FC174" s="143">
        <f t="shared" si="863"/>
        <v>0</v>
      </c>
      <c r="FD174" s="143">
        <f t="shared" si="864"/>
        <v>0</v>
      </c>
      <c r="FE174" s="140">
        <f>SUM($D174:D174)*IF($B174="Operacional",IFERROR(VLOOKUP($C174,SN_UGC,28,0),0),1)</f>
        <v>0</v>
      </c>
      <c r="FF174" s="140">
        <f>SUM($D174:E174)*IF($B174="Operacional",IFERROR(VLOOKUP($C174,SN_UGC,28,0),0),1)</f>
        <v>0</v>
      </c>
      <c r="FG174" s="140">
        <f>SUM($D174:F174)*IF($B174="Operacional",IFERROR(VLOOKUP($C174,SN_UGC,28,0),0),1)</f>
        <v>0</v>
      </c>
      <c r="FH174" s="140">
        <f>SUM($D174:G174)*IF($B174="Operacional",IFERROR(VLOOKUP($C174,SN_UGC,28,0),0),1)</f>
        <v>0</v>
      </c>
      <c r="FI174" s="140">
        <f>SUM($D174:H174)*IF($B174="Operacional",IFERROR(VLOOKUP($C174,SN_UGC,28,0),0),1)</f>
        <v>0</v>
      </c>
      <c r="FJ174" s="140">
        <f>SUM($D174:I174)*IF($B174="Operacional",IFERROR(VLOOKUP($C174,SN_UGC,28,0),0),1)</f>
        <v>0</v>
      </c>
      <c r="FK174" s="140">
        <f>SUM($D174:J174)*IF($B174="Operacional",IFERROR(VLOOKUP($C174,SN_UGC,28,0),0),1)</f>
        <v>0</v>
      </c>
      <c r="FL174" s="140">
        <f>SUM($D174:K174)*IF($B174="Operacional",IFERROR(VLOOKUP($C174,SN_UGC,28,0),0),1)</f>
        <v>0</v>
      </c>
      <c r="FM174" s="140">
        <f>SUM($D174:L174)*IF($B174="Operacional",IFERROR(VLOOKUP($C174,SN_UGC,28,0),0),1)</f>
        <v>0</v>
      </c>
      <c r="FN174" s="140">
        <f>SUM($D174:M174)*IF($B174="Operacional",IFERROR(VLOOKUP($C174,SN_UGC,28,0),0),1)</f>
        <v>0</v>
      </c>
      <c r="FO174" s="140">
        <f>SUM($D174:N174)*IF($B174="Operacional",IFERROR(VLOOKUP($C174,SN_UGC,28,0),0),1)</f>
        <v>0</v>
      </c>
      <c r="FP174" s="140">
        <f>SUM($D174:O174)*IF($B174="Operacional",IFERROR(VLOOKUP($C174,SN_UGC,28,0),0),1)</f>
        <v>0</v>
      </c>
      <c r="FQ174" s="140">
        <f>SUM($D174:P174)*IF($B174="Operacional",IFERROR(VLOOKUP($C174,SN_UGC,28,0),0),1)</f>
        <v>0</v>
      </c>
      <c r="FR174" s="140">
        <f>SUM($D174:Q174)*IF($B174="Operacional",IFERROR(VLOOKUP($C174,SN_UGC,28,0),0),1)</f>
        <v>0</v>
      </c>
      <c r="FS174" s="140">
        <f>SUM($D174:R174)*IF($B174="Operacional",IFERROR(VLOOKUP($C174,SN_UGC,28,0),0),1)</f>
        <v>0</v>
      </c>
      <c r="FT174" s="140">
        <f>SUM($D174:S174)*IF($B174="Operacional",IFERROR(VLOOKUP($C174,SN_UGC,28,0),0),1)</f>
        <v>0</v>
      </c>
      <c r="FU174" s="140">
        <f>SUM($D174:T174)*IF($B174="Operacional",IFERROR(VLOOKUP($C174,SN_UGC,28,0),0),1)</f>
        <v>0</v>
      </c>
      <c r="FV174" s="140">
        <f>SUM($D174:U174)*IF($B174="Operacional",IFERROR(VLOOKUP($C174,SN_UGC,28,0),0),1)</f>
        <v>0</v>
      </c>
      <c r="FW174" s="140">
        <f>SUM($D174:V174)*IF($B174="Operacional",IFERROR(VLOOKUP($C174,SN_UGC,28,0),0),1)</f>
        <v>0</v>
      </c>
      <c r="FX174" s="140">
        <f>SUM($D174:W174)*IF($B174="Operacional",IFERROR(VLOOKUP($C174,SN_UGC,28,0),0),1)</f>
        <v>0</v>
      </c>
      <c r="FY174" s="140">
        <f>SUM($D174:X174)*IF($B174="Operacional",IFERROR(VLOOKUP($C174,SN_UGC,28,0),0),1)</f>
        <v>0</v>
      </c>
      <c r="FZ174" s="140">
        <f>SUM($D174:Y174)*IF($B174="Operacional",IFERROR(VLOOKUP($C174,SN_UGC,28,0),0),1)</f>
        <v>0</v>
      </c>
      <c r="GA174" s="140">
        <f>SUM($D174:Z174)*IF($B174="Operacional",IFERROR(VLOOKUP($C174,SN_UGC,28,0),0),1)</f>
        <v>0</v>
      </c>
      <c r="GB174" s="140">
        <f>SUM($D174:AA174)*IF($B174="Operacional",IFERROR(VLOOKUP($C174,SN_UGC,28,0),0),1)</f>
        <v>0</v>
      </c>
      <c r="GC174" s="140">
        <f>SUM($D174:AB174)*IF($B174="Operacional",IFERROR(VLOOKUP($C174,SN_UGC,28,0),0),1)</f>
        <v>0</v>
      </c>
      <c r="GD174" s="140">
        <f>SUM($D174:AC174)*IF($B174="Operacional",IFERROR(VLOOKUP($C174,SN_UGC,28,0),0),1)</f>
        <v>0</v>
      </c>
      <c r="GE174" s="140">
        <f>SUM($D174:AD174)*IF($B174="Operacional",IFERROR(VLOOKUP($C174,SN_UGC,28,0),0),1)</f>
        <v>0</v>
      </c>
      <c r="GF174" s="140">
        <f>SUM($D174:AE174)*IF($B174="Operacional",IFERROR(VLOOKUP($C174,SN_UGC,28,0),0),1)</f>
        <v>0</v>
      </c>
      <c r="GG174" s="140">
        <f>SUM($D174:AF174)*IF($B174="Operacional",IFERROR(VLOOKUP($C174,SN_UGC,28,0),0),1)</f>
        <v>0</v>
      </c>
      <c r="GH174" s="140">
        <f>SUM($D174:AG174)*IF($B174="Operacional",IFERROR(VLOOKUP($C174,SN_UGC,28,0),0),1)</f>
        <v>0</v>
      </c>
      <c r="GI174" s="141">
        <f t="shared" ref="GI174:HL174" si="904">FE174*$AH174*$AL174</f>
        <v>0</v>
      </c>
      <c r="GJ174" s="141">
        <f t="shared" si="904"/>
        <v>0</v>
      </c>
      <c r="GK174" s="141">
        <f t="shared" si="904"/>
        <v>0</v>
      </c>
      <c r="GL174" s="141">
        <f t="shared" si="904"/>
        <v>0</v>
      </c>
      <c r="GM174" s="141">
        <f t="shared" si="904"/>
        <v>0</v>
      </c>
      <c r="GN174" s="141">
        <f t="shared" si="904"/>
        <v>0</v>
      </c>
      <c r="GO174" s="141">
        <f t="shared" si="904"/>
        <v>0</v>
      </c>
      <c r="GP174" s="141">
        <f t="shared" si="904"/>
        <v>0</v>
      </c>
      <c r="GQ174" s="141">
        <f t="shared" si="904"/>
        <v>0</v>
      </c>
      <c r="GR174" s="141">
        <f t="shared" si="904"/>
        <v>0</v>
      </c>
      <c r="GS174" s="141">
        <f t="shared" si="904"/>
        <v>0</v>
      </c>
      <c r="GT174" s="141">
        <f t="shared" si="904"/>
        <v>0</v>
      </c>
      <c r="GU174" s="141">
        <f t="shared" si="904"/>
        <v>0</v>
      </c>
      <c r="GV174" s="141">
        <f t="shared" si="904"/>
        <v>0</v>
      </c>
      <c r="GW174" s="141">
        <f t="shared" si="904"/>
        <v>0</v>
      </c>
      <c r="GX174" s="141">
        <f t="shared" si="904"/>
        <v>0</v>
      </c>
      <c r="GY174" s="141">
        <f t="shared" si="904"/>
        <v>0</v>
      </c>
      <c r="GZ174" s="141">
        <f t="shared" si="904"/>
        <v>0</v>
      </c>
      <c r="HA174" s="141">
        <f t="shared" si="904"/>
        <v>0</v>
      </c>
      <c r="HB174" s="141">
        <f t="shared" si="904"/>
        <v>0</v>
      </c>
      <c r="HC174" s="141">
        <f t="shared" si="904"/>
        <v>0</v>
      </c>
      <c r="HD174" s="141">
        <f t="shared" si="904"/>
        <v>0</v>
      </c>
      <c r="HE174" s="141">
        <f t="shared" si="904"/>
        <v>0</v>
      </c>
      <c r="HF174" s="141">
        <f t="shared" si="904"/>
        <v>0</v>
      </c>
      <c r="HG174" s="141">
        <f t="shared" si="904"/>
        <v>0</v>
      </c>
      <c r="HH174" s="141">
        <f t="shared" si="904"/>
        <v>0</v>
      </c>
      <c r="HI174" s="141">
        <f t="shared" si="904"/>
        <v>0</v>
      </c>
      <c r="HJ174" s="141">
        <f t="shared" si="904"/>
        <v>0</v>
      </c>
      <c r="HK174" s="141">
        <f t="shared" si="904"/>
        <v>0</v>
      </c>
      <c r="HL174" s="141">
        <f t="shared" si="904"/>
        <v>0</v>
      </c>
      <c r="HM174" s="142">
        <f t="shared" ref="HM174:IP174" si="905">IF(ISBLANK($A174),,FE174*($AH174-($AH174*$AJ174))/$AI174)</f>
        <v>0</v>
      </c>
      <c r="HN174" s="142">
        <f t="shared" si="905"/>
        <v>0</v>
      </c>
      <c r="HO174" s="142">
        <f t="shared" si="905"/>
        <v>0</v>
      </c>
      <c r="HP174" s="142">
        <f t="shared" si="905"/>
        <v>0</v>
      </c>
      <c r="HQ174" s="142">
        <f t="shared" si="905"/>
        <v>0</v>
      </c>
      <c r="HR174" s="142">
        <f t="shared" si="905"/>
        <v>0</v>
      </c>
      <c r="HS174" s="142">
        <f t="shared" si="905"/>
        <v>0</v>
      </c>
      <c r="HT174" s="142">
        <f t="shared" si="905"/>
        <v>0</v>
      </c>
      <c r="HU174" s="142">
        <f t="shared" si="905"/>
        <v>0</v>
      </c>
      <c r="HV174" s="142">
        <f t="shared" si="905"/>
        <v>0</v>
      </c>
      <c r="HW174" s="142">
        <f t="shared" si="905"/>
        <v>0</v>
      </c>
      <c r="HX174" s="142">
        <f t="shared" si="905"/>
        <v>0</v>
      </c>
      <c r="HY174" s="142">
        <f t="shared" si="905"/>
        <v>0</v>
      </c>
      <c r="HZ174" s="142">
        <f t="shared" si="905"/>
        <v>0</v>
      </c>
      <c r="IA174" s="142">
        <f t="shared" si="905"/>
        <v>0</v>
      </c>
      <c r="IB174" s="142">
        <f t="shared" si="905"/>
        <v>0</v>
      </c>
      <c r="IC174" s="142">
        <f t="shared" si="905"/>
        <v>0</v>
      </c>
      <c r="ID174" s="142">
        <f t="shared" si="905"/>
        <v>0</v>
      </c>
      <c r="IE174" s="142">
        <f t="shared" si="905"/>
        <v>0</v>
      </c>
      <c r="IF174" s="142">
        <f t="shared" si="905"/>
        <v>0</v>
      </c>
      <c r="IG174" s="142">
        <f t="shared" si="905"/>
        <v>0</v>
      </c>
      <c r="IH174" s="142">
        <f t="shared" si="905"/>
        <v>0</v>
      </c>
      <c r="II174" s="142">
        <f t="shared" si="905"/>
        <v>0</v>
      </c>
      <c r="IJ174" s="142">
        <f t="shared" si="905"/>
        <v>0</v>
      </c>
      <c r="IK174" s="142">
        <f t="shared" si="905"/>
        <v>0</v>
      </c>
      <c r="IL174" s="142">
        <f t="shared" si="905"/>
        <v>0</v>
      </c>
      <c r="IM174" s="142">
        <f t="shared" si="905"/>
        <v>0</v>
      </c>
      <c r="IN174" s="142">
        <f t="shared" si="905"/>
        <v>0</v>
      </c>
      <c r="IO174" s="142">
        <f t="shared" si="905"/>
        <v>0</v>
      </c>
      <c r="IP174" s="142">
        <f t="shared" si="905"/>
        <v>0</v>
      </c>
      <c r="IQ174" s="141">
        <f>IF(ISBLANK($A174),,IF($AN174="Não",0,(SUM($AO174:AO174)*$AH174)-SUM($HM174:HM174)-SUM($CW174:CW174)))</f>
        <v>0</v>
      </c>
      <c r="IR174" s="141">
        <f>IF(ISBLANK($A174),,IF($AN174="Não",0,(SUM($AO174:AP174)*$AH174)-SUM($HM174:HN174)-SUM($CW174:CX174)))</f>
        <v>0</v>
      </c>
      <c r="IS174" s="141">
        <f>IF(ISBLANK($A174),,IF($AN174="Não",0,(SUM($AO174:AQ174)*$AH174)-SUM($HM174:HO174)-SUM($CW174:CY174)))</f>
        <v>0</v>
      </c>
      <c r="IT174" s="141">
        <f>IF(ISBLANK($A174),,IF($AN174="Não",0,(SUM($AO174:AR174)*$AH174)-SUM($HM174:HP174)-SUM($CW174:CZ174)))</f>
        <v>0</v>
      </c>
      <c r="IU174" s="141">
        <f>IF(ISBLANK($A174),,IF($AN174="Não",0,(SUM($AO174:AS174)*$AH174)-SUM($HM174:HQ174)-SUM($CW174:DA174)))</f>
        <v>0</v>
      </c>
      <c r="IV174" s="141">
        <f>IF(ISBLANK($A174),,IF($AN174="Não",0,(SUM($AO174:AT174)*$AH174)-SUM($HM174:HR174)-SUM($CW174:DB174)))</f>
        <v>0</v>
      </c>
      <c r="IW174" s="141">
        <f>IF(ISBLANK($A174),,IF($AN174="Não",0,(SUM($AO174:AU174)*$AH174)-SUM($HM174:HS174)-SUM($CW174:DC174)))</f>
        <v>0</v>
      </c>
      <c r="IX174" s="141">
        <f>IF(ISBLANK($A174),,IF($AN174="Não",0,(SUM($AO174:AV174)*$AH174)-SUM($HM174:HT174)-SUM($CW174:DD174)))</f>
        <v>0</v>
      </c>
      <c r="IY174" s="141">
        <f>IF(ISBLANK($A174),,IF($AN174="Não",0,(SUM($AO174:AW174)*$AH174)-SUM($HM174:HU174)-SUM($CW174:DE174)))</f>
        <v>0</v>
      </c>
      <c r="IZ174" s="141">
        <f>IF(ISBLANK($A174),,IF($AN174="Não",0,(SUM($AO174:AX174)*$AH174)-SUM($HM174:HV174)-SUM($CW174:DF174)))</f>
        <v>0</v>
      </c>
      <c r="JA174" s="141">
        <f>IF(ISBLANK($A174),,IF($AN174="Não",0,(SUM($AO174:AY174)*$AH174)-SUM($HM174:HW174)-SUM($CW174:DG174)))</f>
        <v>0</v>
      </c>
      <c r="JB174" s="141">
        <f>IF(ISBLANK($A174),,IF($AN174="Não",0,(SUM($AO174:AZ174)*$AH174)-SUM($HM174:HX174)-SUM($CW174:DH174)))</f>
        <v>0</v>
      </c>
      <c r="JC174" s="141">
        <f>IF(ISBLANK($A174),,IF($AN174="Não",0,(SUM($AO174:BA174)*$AH174)-SUM($HM174:HY174)-SUM($CW174:DI174)))</f>
        <v>0</v>
      </c>
      <c r="JD174" s="141">
        <f>IF(ISBLANK($A174),,IF($AN174="Não",0,(SUM($AO174:BB174)*$AH174)-SUM($HM174:HZ174)-SUM($CW174:DJ174)))</f>
        <v>0</v>
      </c>
      <c r="JE174" s="141">
        <f>IF(ISBLANK($A174),,IF($AN174="Não",0,(SUM($AO174:BC174)*$AH174)-SUM($HM174:IA174)-SUM($CW174:DK174)))</f>
        <v>0</v>
      </c>
      <c r="JF174" s="141">
        <f>IF(ISBLANK($A174),,IF($AN174="Não",0,(SUM($AO174:BD174)*$AH174)-SUM($HM174:IB174)-SUM($CW174:DL174)))</f>
        <v>0</v>
      </c>
      <c r="JG174" s="141">
        <f>IF(ISBLANK($A174),,IF($AN174="Não",0,(SUM($AO174:BE174)*$AH174)-SUM($HM174:IC174)-SUM($CW174:DM174)))</f>
        <v>0</v>
      </c>
      <c r="JH174" s="141">
        <f>IF(ISBLANK($A174),,IF($AN174="Não",0,(SUM($AO174:BF174)*$AH174)-SUM($HM174:ID174)-SUM($CW174:DN174)))</f>
        <v>0</v>
      </c>
      <c r="JI174" s="141">
        <f>IF(ISBLANK($A174),,IF($AN174="Não",0,(SUM($AO174:BG174)*$AH174)-SUM($HM174:IE174)-SUM($CW174:DO174)))</f>
        <v>0</v>
      </c>
      <c r="JJ174" s="141">
        <f>IF(ISBLANK($A174),,IF($AN174="Não",0,(SUM($AO174:BH174)*$AH174)-SUM($HM174:IF174)-SUM($CW174:DP174)))</f>
        <v>0</v>
      </c>
      <c r="JK174" s="141">
        <f>IF(ISBLANK($A174),,IF($AN174="Não",0,(SUM($AO174:BI174)*$AH174)-SUM($HM174:IG174)-SUM($CW174:DQ174)))</f>
        <v>0</v>
      </c>
      <c r="JL174" s="141">
        <f>IF(ISBLANK($A174),,IF($AN174="Não",0,(SUM($AO174:BJ174)*$AH174)-SUM($HM174:IH174)-SUM($CW174:DR174)))</f>
        <v>0</v>
      </c>
      <c r="JM174" s="141">
        <f>IF(ISBLANK($A174),,IF($AN174="Não",0,(SUM($AO174:BK174)*$AH174)-SUM($HM174:II174)-SUM($CW174:DS174)))</f>
        <v>0</v>
      </c>
      <c r="JN174" s="141">
        <f>IF(ISBLANK($A174),,IF($AN174="Não",0,(SUM($AO174:BL174)*$AH174)-SUM($HM174:IJ174)-SUM($CW174:DT174)))</f>
        <v>0</v>
      </c>
      <c r="JO174" s="141">
        <f>IF(ISBLANK($A174),,IF($AN174="Não",0,(SUM($AO174:BM174)*$AH174)-SUM($HM174:IK174)-SUM($CW174:DU174)))</f>
        <v>0</v>
      </c>
      <c r="JP174" s="141">
        <f>IF(ISBLANK($A174),,IF($AN174="Não",0,(SUM($AO174:BN174)*$AH174)-SUM($HM174:IL174)-SUM($CW174:DV174)))</f>
        <v>0</v>
      </c>
      <c r="JQ174" s="141">
        <f>IF(ISBLANK($A174),,IF($AN174="Não",0,(SUM($AO174:BO174)*$AH174)-SUM($HM174:IM174)-SUM($CW174:DW174)))</f>
        <v>0</v>
      </c>
      <c r="JR174" s="141">
        <f>IF(ISBLANK($A174),,IF($AN174="Não",0,(SUM($AO174:BP174)*$AH174)-SUM($HM174:IN174)-SUM($CW174:DX174)))</f>
        <v>0</v>
      </c>
      <c r="JS174" s="141">
        <f>IF(ISBLANK($A174),,IF($AN174="Não",0,(SUM($AO174:BQ174)*$AH174)-SUM($HM174:IO174)-SUM($CW174:DY174)))</f>
        <v>0</v>
      </c>
      <c r="JT174" s="141">
        <f>IF(ISBLANK($A174),,IF($AN174="Não",0,(SUM($AO174:BR174)*$AH174)-SUM($HM174:IP174)-SUM($CW174:DZ174)))</f>
        <v>0</v>
      </c>
    </row>
    <row r="175" spans="1:280" ht="15.75" customHeight="1">
      <c r="A175" s="129"/>
      <c r="B175" s="129"/>
      <c r="C175" s="138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607">
        <f t="shared" si="875"/>
        <v>0</v>
      </c>
      <c r="AI175" s="608">
        <f t="shared" si="876"/>
        <v>0</v>
      </c>
      <c r="AJ175" s="609">
        <f t="shared" si="877"/>
        <v>0</v>
      </c>
      <c r="AK175" s="610" t="str">
        <f t="shared" si="878"/>
        <v/>
      </c>
      <c r="AL175" s="609">
        <f t="shared" si="879"/>
        <v>0</v>
      </c>
      <c r="AM175" s="611" t="str">
        <f t="shared" si="880"/>
        <v/>
      </c>
      <c r="AN175" s="611" t="str">
        <f t="shared" si="881"/>
        <v/>
      </c>
      <c r="AO175" s="140">
        <f t="array" ref="AO175">IF(ISBLANK($A175),0,IF(OR(AO$5-$AI175&lt;=0,$AM175="Não"),D175,D175+INDEX($AO$6:$BR$176,ROW()-5,COLUMN()-40-$AI175)))*IF($B175="Operacional",IFERROR(VLOOKUP($C175,SN_UGC,28,0),0),1)</f>
        <v>0</v>
      </c>
      <c r="AP175" s="140">
        <f t="array" ref="AP175">IF(ISBLANK($A175),0,IF(OR(AP$5-$AI175&lt;=0,$AM175="Não"),E175,E175+INDEX($AO$6:$BR$176,ROW()-5,COLUMN()-40-$AI175)))*IF($B175="Operacional",IFERROR(VLOOKUP($C175,SN_UGC,28,0),0),1)</f>
        <v>0</v>
      </c>
      <c r="AQ175" s="140">
        <f t="array" ref="AQ175">IF(ISBLANK($A175),0,IF(OR(AQ$5-$AI175&lt;=0,$AM175="Não"),F175,F175+INDEX($AO$6:$BR$176,ROW()-5,COLUMN()-40-$AI175)))*IF($B175="Operacional",IFERROR(VLOOKUP($C175,SN_UGC,28,0),0),1)</f>
        <v>0</v>
      </c>
      <c r="AR175" s="140">
        <f t="array" ref="AR175">IF(ISBLANK($A175),0,IF(OR(AR$5-$AI175&lt;=0,$AM175="Não"),G175,G175+INDEX($AO$6:$BR$176,ROW()-5,COLUMN()-40-$AI175)))*IF($B175="Operacional",IFERROR(VLOOKUP($C175,SN_UGC,28,0),0),1)</f>
        <v>0</v>
      </c>
      <c r="AS175" s="140">
        <f t="array" ref="AS175">IF(ISBLANK($A175),0,IF(OR(AS$5-$AI175&lt;=0,$AM175="Não"),H175,H175+INDEX($AO$6:$BR$176,ROW()-5,COLUMN()-40-$AI175)))*IF($B175="Operacional",IFERROR(VLOOKUP($C175,SN_UGC,28,0),0),1)</f>
        <v>0</v>
      </c>
      <c r="AT175" s="140">
        <f t="array" ref="AT175">IF(ISBLANK($A175),0,IF(OR(AT$5-$AI175&lt;=0,$AM175="Não"),I175,I175+INDEX($AO$6:$BR$176,ROW()-5,COLUMN()-40-$AI175)))*IF($B175="Operacional",IFERROR(VLOOKUP($C175,SN_UGC,28,0),0),1)</f>
        <v>0</v>
      </c>
      <c r="AU175" s="140">
        <f t="array" ref="AU175">IF(ISBLANK($A175),0,IF(OR(AU$5-$AI175&lt;=0,$AM175="Não"),J175,J175+INDEX($AO$6:$BR$176,ROW()-5,COLUMN()-40-$AI175)))*IF($B175="Operacional",IFERROR(VLOOKUP($C175,SN_UGC,28,0),0),1)</f>
        <v>0</v>
      </c>
      <c r="AV175" s="140">
        <f t="array" ref="AV175">IF(ISBLANK($A175),0,IF(OR(AV$5-$AI175&lt;=0,$AM175="Não"),K175,K175+INDEX($AO$6:$BR$176,ROW()-5,COLUMN()-40-$AI175)))*IF($B175="Operacional",IFERROR(VLOOKUP($C175,SN_UGC,28,0),0),1)</f>
        <v>0</v>
      </c>
      <c r="AW175" s="140">
        <f t="array" ref="AW175">IF(ISBLANK($A175),0,IF(OR(AW$5-$AI175&lt;=0,$AM175="Não"),L175,L175+INDEX($AO$6:$BR$176,ROW()-5,COLUMN()-40-$AI175)))*IF($B175="Operacional",IFERROR(VLOOKUP($C175,SN_UGC,28,0),0),1)</f>
        <v>0</v>
      </c>
      <c r="AX175" s="140">
        <f t="array" ref="AX175">IF(ISBLANK($A175),0,IF(OR(AX$5-$AI175&lt;=0,$AM175="Não"),M175,M175+INDEX($AO$6:$BR$176,ROW()-5,COLUMN()-40-$AI175)))*IF($B175="Operacional",IFERROR(VLOOKUP($C175,SN_UGC,28,0),0),1)</f>
        <v>0</v>
      </c>
      <c r="AY175" s="140">
        <f t="array" ref="AY175">IF(ISBLANK($A175),0,IF(OR(AY$5-$AI175&lt;=0,$AM175="Não"),N175,N175+INDEX($AO$6:$BR$176,ROW()-5,COLUMN()-40-$AI175)))*IF($B175="Operacional",IFERROR(VLOOKUP($C175,SN_UGC,28,0),0),1)</f>
        <v>0</v>
      </c>
      <c r="AZ175" s="140">
        <f t="array" ref="AZ175">IF(ISBLANK($A175),0,IF(OR(AZ$5-$AI175&lt;=0,$AM175="Não"),O175,O175+INDEX($AO$6:$BR$176,ROW()-5,COLUMN()-40-$AI175)))*IF($B175="Operacional",IFERROR(VLOOKUP($C175,SN_UGC,28,0),0),1)</f>
        <v>0</v>
      </c>
      <c r="BA175" s="140">
        <f t="array" ref="BA175">IF(ISBLANK($A175),0,IF(OR(BA$5-$AI175&lt;=0,$AM175="Não"),P175,P175+INDEX($AO$6:$BR$176,ROW()-5,COLUMN()-40-$AI175)))*IF($B175="Operacional",IFERROR(VLOOKUP($C175,SN_UGC,28,0),0),1)</f>
        <v>0</v>
      </c>
      <c r="BB175" s="140">
        <f t="array" ref="BB175">IF(ISBLANK($A175),0,IF(OR(BB$5-$AI175&lt;=0,$AM175="Não"),Q175,Q175+INDEX($AO$6:$BR$176,ROW()-5,COLUMN()-40-$AI175)))*IF($B175="Operacional",IFERROR(VLOOKUP($C175,SN_UGC,28,0),0),1)</f>
        <v>0</v>
      </c>
      <c r="BC175" s="140">
        <f t="array" ref="BC175">IF(ISBLANK($A175),0,IF(OR(BC$5-$AI175&lt;=0,$AM175="Não"),R175,R175+INDEX($AO$6:$BR$176,ROW()-5,COLUMN()-40-$AI175)))*IF($B175="Operacional",IFERROR(VLOOKUP($C175,SN_UGC,28,0),0),1)</f>
        <v>0</v>
      </c>
      <c r="BD175" s="140">
        <f t="array" ref="BD175">IF(ISBLANK($A175),0,IF(OR(BD$5-$AI175&lt;=0,$AM175="Não"),S175,S175+INDEX($AO$6:$BR$176,ROW()-5,COLUMN()-40-$AI175)))*IF($B175="Operacional",IFERROR(VLOOKUP($C175,SN_UGC,28,0),0),1)</f>
        <v>0</v>
      </c>
      <c r="BE175" s="140">
        <f t="array" ref="BE175">IF(ISBLANK($A175),0,IF(OR(BE$5-$AI175&lt;=0,$AM175="Não"),T175,T175+INDEX($AO$6:$BR$176,ROW()-5,COLUMN()-40-$AI175)))*IF($B175="Operacional",IFERROR(VLOOKUP($C175,SN_UGC,28,0),0),1)</f>
        <v>0</v>
      </c>
      <c r="BF175" s="140">
        <f t="array" ref="BF175">IF(ISBLANK($A175),0,IF(OR(BF$5-$AI175&lt;=0,$AM175="Não"),U175,U175+INDEX($AO$6:$BR$176,ROW()-5,COLUMN()-40-$AI175)))*IF($B175="Operacional",IFERROR(VLOOKUP($C175,SN_UGC,28,0),0),1)</f>
        <v>0</v>
      </c>
      <c r="BG175" s="140">
        <f t="array" ref="BG175">IF(ISBLANK($A175),0,IF(OR(BG$5-$AI175&lt;=0,$AM175="Não"),V175,V175+INDEX($AO$6:$BR$176,ROW()-5,COLUMN()-40-$AI175)))*IF($B175="Operacional",IFERROR(VLOOKUP($C175,SN_UGC,28,0),0),1)</f>
        <v>0</v>
      </c>
      <c r="BH175" s="140">
        <f t="array" ref="BH175">IF(ISBLANK($A175),0,IF(OR(BH$5-$AI175&lt;=0,$AM175="Não"),W175,W175+INDEX($AO$6:$BR$176,ROW()-5,COLUMN()-40-$AI175)))*IF($B175="Operacional",IFERROR(VLOOKUP($C175,SN_UGC,28,0),0),1)</f>
        <v>0</v>
      </c>
      <c r="BI175" s="140">
        <f t="array" ref="BI175">IF(ISBLANK($A175),0,IF(OR(BI$5-$AI175&lt;=0,$AM175="Não"),X175,X175+INDEX($AO$6:$BR$176,ROW()-5,COLUMN()-40-$AI175)))*IF($B175="Operacional",IFERROR(VLOOKUP($C175,SN_UGC,28,0),0),1)</f>
        <v>0</v>
      </c>
      <c r="BJ175" s="140">
        <f t="array" ref="BJ175">IF(ISBLANK($A175),0,IF(OR(BJ$5-$AI175&lt;=0,$AM175="Não"),Y175,Y175+INDEX($AO$6:$BR$176,ROW()-5,COLUMN()-40-$AI175)))*IF($B175="Operacional",IFERROR(VLOOKUP($C175,SN_UGC,28,0),0),1)</f>
        <v>0</v>
      </c>
      <c r="BK175" s="140">
        <f t="array" ref="BK175">IF(ISBLANK($A175),0,IF(OR(BK$5-$AI175&lt;=0,$AM175="Não"),Z175,Z175+INDEX($AO$6:$BR$176,ROW()-5,COLUMN()-40-$AI175)))*IF($B175="Operacional",IFERROR(VLOOKUP($C175,SN_UGC,28,0),0),1)</f>
        <v>0</v>
      </c>
      <c r="BL175" s="140">
        <f t="array" ref="BL175">IF(ISBLANK($A175),0,IF(OR(BL$5-$AI175&lt;=0,$AM175="Não"),AA175,AA175+INDEX($AO$6:$BR$176,ROW()-5,COLUMN()-40-$AI175)))*IF($B175="Operacional",IFERROR(VLOOKUP($C175,SN_UGC,28,0),0),1)</f>
        <v>0</v>
      </c>
      <c r="BM175" s="140">
        <f t="array" ref="BM175">IF(ISBLANK($A175),0,IF(OR(BM$5-$AI175&lt;=0,$AM175="Não"),AB175,AB175+INDEX($AO$6:$BR$176,ROW()-5,COLUMN()-40-$AI175)))*IF($B175="Operacional",IFERROR(VLOOKUP($C175,SN_UGC,28,0),0),1)</f>
        <v>0</v>
      </c>
      <c r="BN175" s="140">
        <f t="array" ref="BN175">IF(ISBLANK($A175),0,IF(OR(BN$5-$AI175&lt;=0,$AM175="Não"),AC175,AC175+INDEX($AO$6:$BR$176,ROW()-5,COLUMN()-40-$AI175)))*IF($B175="Operacional",IFERROR(VLOOKUP($C175,SN_UGC,28,0),0),1)</f>
        <v>0</v>
      </c>
      <c r="BO175" s="140">
        <f t="array" ref="BO175">IF(ISBLANK($A175),0,IF(OR(BO$5-$AI175&lt;=0,$AM175="Não"),AD175,AD175+INDEX($AO$6:$BR$176,ROW()-5,COLUMN()-40-$AI175)))*IF($B175="Operacional",IFERROR(VLOOKUP($C175,SN_UGC,28,0),0),1)</f>
        <v>0</v>
      </c>
      <c r="BP175" s="140">
        <f t="array" ref="BP175">IF(ISBLANK($A175),0,IF(OR(BP$5-$AI175&lt;=0,$AM175="Não"),AE175,AE175+INDEX($AO$6:$BR$176,ROW()-5,COLUMN()-40-$AI175)))*IF($B175="Operacional",IFERROR(VLOOKUP($C175,SN_UGC,28,0),0),1)</f>
        <v>0</v>
      </c>
      <c r="BQ175" s="140">
        <f t="array" ref="BQ175">IF(ISBLANK($A175),0,IF(OR(BQ$5-$AI175&lt;=0,$AM175="Não"),AF175,AF175+INDEX($AO$6:$BR$176,ROW()-5,COLUMN()-40-$AI175)))*IF($B175="Operacional",IFERROR(VLOOKUP($C175,SN_UGC,28,0),0),1)</f>
        <v>0</v>
      </c>
      <c r="BR175" s="140">
        <f t="array" ref="BR175">IF(ISBLANK($A175),0,IF(OR(BR$5-$AI175&lt;=0,$AM175="Não"),AG175,AG175+INDEX($AO$6:$BR$176,ROW()-5,COLUMN()-40-$AI175)))*IF($B175="Operacional",IFERROR(VLOOKUP($C175,SN_UGC,28,0),0),1)</f>
        <v>0</v>
      </c>
      <c r="BS175" s="141">
        <f t="shared" ref="BS175:CV175" si="906">IF(ISBLANK($A175),0,$AH175*AO175)</f>
        <v>0</v>
      </c>
      <c r="BT175" s="141">
        <f t="shared" si="906"/>
        <v>0</v>
      </c>
      <c r="BU175" s="141">
        <f t="shared" si="906"/>
        <v>0</v>
      </c>
      <c r="BV175" s="141">
        <f t="shared" si="906"/>
        <v>0</v>
      </c>
      <c r="BW175" s="141">
        <f t="shared" si="906"/>
        <v>0</v>
      </c>
      <c r="BX175" s="141">
        <f t="shared" si="906"/>
        <v>0</v>
      </c>
      <c r="BY175" s="141">
        <f t="shared" si="906"/>
        <v>0</v>
      </c>
      <c r="BZ175" s="141">
        <f t="shared" si="906"/>
        <v>0</v>
      </c>
      <c r="CA175" s="141">
        <f t="shared" si="906"/>
        <v>0</v>
      </c>
      <c r="CB175" s="141">
        <f t="shared" si="906"/>
        <v>0</v>
      </c>
      <c r="CC175" s="141">
        <f t="shared" si="906"/>
        <v>0</v>
      </c>
      <c r="CD175" s="141">
        <f t="shared" si="906"/>
        <v>0</v>
      </c>
      <c r="CE175" s="141">
        <f t="shared" si="906"/>
        <v>0</v>
      </c>
      <c r="CF175" s="141">
        <f t="shared" si="906"/>
        <v>0</v>
      </c>
      <c r="CG175" s="141">
        <f t="shared" si="906"/>
        <v>0</v>
      </c>
      <c r="CH175" s="141">
        <f t="shared" si="906"/>
        <v>0</v>
      </c>
      <c r="CI175" s="141">
        <f t="shared" si="906"/>
        <v>0</v>
      </c>
      <c r="CJ175" s="141">
        <f t="shared" si="906"/>
        <v>0</v>
      </c>
      <c r="CK175" s="141">
        <f t="shared" si="906"/>
        <v>0</v>
      </c>
      <c r="CL175" s="141">
        <f t="shared" si="906"/>
        <v>0</v>
      </c>
      <c r="CM175" s="141">
        <f t="shared" si="906"/>
        <v>0</v>
      </c>
      <c r="CN175" s="141">
        <f t="shared" si="906"/>
        <v>0</v>
      </c>
      <c r="CO175" s="141">
        <f t="shared" si="906"/>
        <v>0</v>
      </c>
      <c r="CP175" s="141">
        <f t="shared" si="906"/>
        <v>0</v>
      </c>
      <c r="CQ175" s="141">
        <f t="shared" si="906"/>
        <v>0</v>
      </c>
      <c r="CR175" s="141">
        <f t="shared" si="906"/>
        <v>0</v>
      </c>
      <c r="CS175" s="141">
        <f t="shared" si="906"/>
        <v>0</v>
      </c>
      <c r="CT175" s="141">
        <f t="shared" si="906"/>
        <v>0</v>
      </c>
      <c r="CU175" s="141">
        <f t="shared" si="906"/>
        <v>0</v>
      </c>
      <c r="CV175" s="141">
        <f t="shared" si="906"/>
        <v>0</v>
      </c>
      <c r="CW175" s="142">
        <f t="shared" ref="CW175:DZ175" si="907">EA175*$AH175*$AJ175</f>
        <v>0</v>
      </c>
      <c r="CX175" s="142">
        <f t="shared" si="907"/>
        <v>0</v>
      </c>
      <c r="CY175" s="142">
        <f t="shared" si="907"/>
        <v>0</v>
      </c>
      <c r="CZ175" s="142">
        <f t="shared" si="907"/>
        <v>0</v>
      </c>
      <c r="DA175" s="142">
        <f t="shared" si="907"/>
        <v>0</v>
      </c>
      <c r="DB175" s="142">
        <f t="shared" si="907"/>
        <v>0</v>
      </c>
      <c r="DC175" s="142">
        <f t="shared" si="907"/>
        <v>0</v>
      </c>
      <c r="DD175" s="142">
        <f t="shared" si="907"/>
        <v>0</v>
      </c>
      <c r="DE175" s="142">
        <f t="shared" si="907"/>
        <v>0</v>
      </c>
      <c r="DF175" s="142">
        <f t="shared" si="907"/>
        <v>0</v>
      </c>
      <c r="DG175" s="142">
        <f t="shared" si="907"/>
        <v>0</v>
      </c>
      <c r="DH175" s="142">
        <f t="shared" si="907"/>
        <v>0</v>
      </c>
      <c r="DI175" s="142">
        <f t="shared" si="907"/>
        <v>0</v>
      </c>
      <c r="DJ175" s="142">
        <f t="shared" si="907"/>
        <v>0</v>
      </c>
      <c r="DK175" s="142">
        <f t="shared" si="907"/>
        <v>0</v>
      </c>
      <c r="DL175" s="142">
        <f t="shared" si="907"/>
        <v>0</v>
      </c>
      <c r="DM175" s="142">
        <f t="shared" si="907"/>
        <v>0</v>
      </c>
      <c r="DN175" s="142">
        <f t="shared" si="907"/>
        <v>0</v>
      </c>
      <c r="DO175" s="142">
        <f t="shared" si="907"/>
        <v>0</v>
      </c>
      <c r="DP175" s="142">
        <f t="shared" si="907"/>
        <v>0</v>
      </c>
      <c r="DQ175" s="142">
        <f t="shared" si="907"/>
        <v>0</v>
      </c>
      <c r="DR175" s="142">
        <f t="shared" si="907"/>
        <v>0</v>
      </c>
      <c r="DS175" s="142">
        <f t="shared" si="907"/>
        <v>0</v>
      </c>
      <c r="DT175" s="142">
        <f t="shared" si="907"/>
        <v>0</v>
      </c>
      <c r="DU175" s="142">
        <f t="shared" si="907"/>
        <v>0</v>
      </c>
      <c r="DV175" s="142">
        <f t="shared" si="907"/>
        <v>0</v>
      </c>
      <c r="DW175" s="142">
        <f t="shared" si="907"/>
        <v>0</v>
      </c>
      <c r="DX175" s="142">
        <f t="shared" si="907"/>
        <v>0</v>
      </c>
      <c r="DY175" s="142">
        <f t="shared" si="907"/>
        <v>0</v>
      </c>
      <c r="DZ175" s="142">
        <f t="shared" si="907"/>
        <v>0</v>
      </c>
      <c r="EA175" s="143">
        <f t="shared" si="835"/>
        <v>0</v>
      </c>
      <c r="EB175" s="143">
        <f t="shared" si="836"/>
        <v>0</v>
      </c>
      <c r="EC175" s="143">
        <f t="shared" si="837"/>
        <v>0</v>
      </c>
      <c r="ED175" s="143">
        <f t="shared" si="838"/>
        <v>0</v>
      </c>
      <c r="EE175" s="143">
        <f t="shared" si="839"/>
        <v>0</v>
      </c>
      <c r="EF175" s="143">
        <f t="shared" si="840"/>
        <v>0</v>
      </c>
      <c r="EG175" s="143">
        <f t="shared" si="841"/>
        <v>0</v>
      </c>
      <c r="EH175" s="143">
        <f t="shared" si="842"/>
        <v>0</v>
      </c>
      <c r="EI175" s="143">
        <f t="shared" si="843"/>
        <v>0</v>
      </c>
      <c r="EJ175" s="143">
        <f t="shared" si="844"/>
        <v>0</v>
      </c>
      <c r="EK175" s="143">
        <f t="shared" si="845"/>
        <v>0</v>
      </c>
      <c r="EL175" s="143">
        <f t="shared" si="846"/>
        <v>0</v>
      </c>
      <c r="EM175" s="143">
        <f t="shared" si="847"/>
        <v>0</v>
      </c>
      <c r="EN175" s="143">
        <f t="shared" si="848"/>
        <v>0</v>
      </c>
      <c r="EO175" s="143">
        <f t="shared" si="849"/>
        <v>0</v>
      </c>
      <c r="EP175" s="143">
        <f t="shared" si="850"/>
        <v>0</v>
      </c>
      <c r="EQ175" s="143">
        <f t="shared" si="851"/>
        <v>0</v>
      </c>
      <c r="ER175" s="143">
        <f t="shared" si="852"/>
        <v>0</v>
      </c>
      <c r="ES175" s="143">
        <f t="shared" si="853"/>
        <v>0</v>
      </c>
      <c r="ET175" s="143">
        <f t="shared" si="854"/>
        <v>0</v>
      </c>
      <c r="EU175" s="143">
        <f t="shared" si="855"/>
        <v>0</v>
      </c>
      <c r="EV175" s="143">
        <f t="shared" si="856"/>
        <v>0</v>
      </c>
      <c r="EW175" s="143">
        <f t="shared" si="857"/>
        <v>0</v>
      </c>
      <c r="EX175" s="143">
        <f t="shared" si="858"/>
        <v>0</v>
      </c>
      <c r="EY175" s="143">
        <f t="shared" si="859"/>
        <v>0</v>
      </c>
      <c r="EZ175" s="143">
        <f t="shared" si="860"/>
        <v>0</v>
      </c>
      <c r="FA175" s="143">
        <f t="shared" si="861"/>
        <v>0</v>
      </c>
      <c r="FB175" s="143">
        <f t="shared" si="862"/>
        <v>0</v>
      </c>
      <c r="FC175" s="143">
        <f t="shared" si="863"/>
        <v>0</v>
      </c>
      <c r="FD175" s="143">
        <f t="shared" si="864"/>
        <v>0</v>
      </c>
      <c r="FE175" s="140">
        <f>SUM($D175:D175)*IF($B175="Operacional",IFERROR(VLOOKUP($C175,SN_UGC,28,0),0),1)</f>
        <v>0</v>
      </c>
      <c r="FF175" s="140">
        <f>SUM($D175:E175)*IF($B175="Operacional",IFERROR(VLOOKUP($C175,SN_UGC,28,0),0),1)</f>
        <v>0</v>
      </c>
      <c r="FG175" s="140">
        <f>SUM($D175:F175)*IF($B175="Operacional",IFERROR(VLOOKUP($C175,SN_UGC,28,0),0),1)</f>
        <v>0</v>
      </c>
      <c r="FH175" s="140">
        <f>SUM($D175:G175)*IF($B175="Operacional",IFERROR(VLOOKUP($C175,SN_UGC,28,0),0),1)</f>
        <v>0</v>
      </c>
      <c r="FI175" s="140">
        <f>SUM($D175:H175)*IF($B175="Operacional",IFERROR(VLOOKUP($C175,SN_UGC,28,0),0),1)</f>
        <v>0</v>
      </c>
      <c r="FJ175" s="140">
        <f>SUM($D175:I175)*IF($B175="Operacional",IFERROR(VLOOKUP($C175,SN_UGC,28,0),0),1)</f>
        <v>0</v>
      </c>
      <c r="FK175" s="140">
        <f>SUM($D175:J175)*IF($B175="Operacional",IFERROR(VLOOKUP($C175,SN_UGC,28,0),0),1)</f>
        <v>0</v>
      </c>
      <c r="FL175" s="140">
        <f>SUM($D175:K175)*IF($B175="Operacional",IFERROR(VLOOKUP($C175,SN_UGC,28,0),0),1)</f>
        <v>0</v>
      </c>
      <c r="FM175" s="140">
        <f>SUM($D175:L175)*IF($B175="Operacional",IFERROR(VLOOKUP($C175,SN_UGC,28,0),0),1)</f>
        <v>0</v>
      </c>
      <c r="FN175" s="140">
        <f>SUM($D175:M175)*IF($B175="Operacional",IFERROR(VLOOKUP($C175,SN_UGC,28,0),0),1)</f>
        <v>0</v>
      </c>
      <c r="FO175" s="140">
        <f>SUM($D175:N175)*IF($B175="Operacional",IFERROR(VLOOKUP($C175,SN_UGC,28,0),0),1)</f>
        <v>0</v>
      </c>
      <c r="FP175" s="140">
        <f>SUM($D175:O175)*IF($B175="Operacional",IFERROR(VLOOKUP($C175,SN_UGC,28,0),0),1)</f>
        <v>0</v>
      </c>
      <c r="FQ175" s="140">
        <f>SUM($D175:P175)*IF($B175="Operacional",IFERROR(VLOOKUP($C175,SN_UGC,28,0),0),1)</f>
        <v>0</v>
      </c>
      <c r="FR175" s="140">
        <f>SUM($D175:Q175)*IF($B175="Operacional",IFERROR(VLOOKUP($C175,SN_UGC,28,0),0),1)</f>
        <v>0</v>
      </c>
      <c r="FS175" s="140">
        <f>SUM($D175:R175)*IF($B175="Operacional",IFERROR(VLOOKUP($C175,SN_UGC,28,0),0),1)</f>
        <v>0</v>
      </c>
      <c r="FT175" s="140">
        <f>SUM($D175:S175)*IF($B175="Operacional",IFERROR(VLOOKUP($C175,SN_UGC,28,0),0),1)</f>
        <v>0</v>
      </c>
      <c r="FU175" s="140">
        <f>SUM($D175:T175)*IF($B175="Operacional",IFERROR(VLOOKUP($C175,SN_UGC,28,0),0),1)</f>
        <v>0</v>
      </c>
      <c r="FV175" s="140">
        <f>SUM($D175:U175)*IF($B175="Operacional",IFERROR(VLOOKUP($C175,SN_UGC,28,0),0),1)</f>
        <v>0</v>
      </c>
      <c r="FW175" s="140">
        <f>SUM($D175:V175)*IF($B175="Operacional",IFERROR(VLOOKUP($C175,SN_UGC,28,0),0),1)</f>
        <v>0</v>
      </c>
      <c r="FX175" s="140">
        <f>SUM($D175:W175)*IF($B175="Operacional",IFERROR(VLOOKUP($C175,SN_UGC,28,0),0),1)</f>
        <v>0</v>
      </c>
      <c r="FY175" s="140">
        <f>SUM($D175:X175)*IF($B175="Operacional",IFERROR(VLOOKUP($C175,SN_UGC,28,0),0),1)</f>
        <v>0</v>
      </c>
      <c r="FZ175" s="140">
        <f>SUM($D175:Y175)*IF($B175="Operacional",IFERROR(VLOOKUP($C175,SN_UGC,28,0),0),1)</f>
        <v>0</v>
      </c>
      <c r="GA175" s="140">
        <f>SUM($D175:Z175)*IF($B175="Operacional",IFERROR(VLOOKUP($C175,SN_UGC,28,0),0),1)</f>
        <v>0</v>
      </c>
      <c r="GB175" s="140">
        <f>SUM($D175:AA175)*IF($B175="Operacional",IFERROR(VLOOKUP($C175,SN_UGC,28,0),0),1)</f>
        <v>0</v>
      </c>
      <c r="GC175" s="140">
        <f>SUM($D175:AB175)*IF($B175="Operacional",IFERROR(VLOOKUP($C175,SN_UGC,28,0),0),1)</f>
        <v>0</v>
      </c>
      <c r="GD175" s="140">
        <f>SUM($D175:AC175)*IF($B175="Operacional",IFERROR(VLOOKUP($C175,SN_UGC,28,0),0),1)</f>
        <v>0</v>
      </c>
      <c r="GE175" s="140">
        <f>SUM($D175:AD175)*IF($B175="Operacional",IFERROR(VLOOKUP($C175,SN_UGC,28,0),0),1)</f>
        <v>0</v>
      </c>
      <c r="GF175" s="140">
        <f>SUM($D175:AE175)*IF($B175="Operacional",IFERROR(VLOOKUP($C175,SN_UGC,28,0),0),1)</f>
        <v>0</v>
      </c>
      <c r="GG175" s="140">
        <f>SUM($D175:AF175)*IF($B175="Operacional",IFERROR(VLOOKUP($C175,SN_UGC,28,0),0),1)</f>
        <v>0</v>
      </c>
      <c r="GH175" s="140">
        <f>SUM($D175:AG175)*IF($B175="Operacional",IFERROR(VLOOKUP($C175,SN_UGC,28,0),0),1)</f>
        <v>0</v>
      </c>
      <c r="GI175" s="141">
        <f t="shared" ref="GI175:HL175" si="908">FE175*$AH175*$AL175</f>
        <v>0</v>
      </c>
      <c r="GJ175" s="141">
        <f t="shared" si="908"/>
        <v>0</v>
      </c>
      <c r="GK175" s="141">
        <f t="shared" si="908"/>
        <v>0</v>
      </c>
      <c r="GL175" s="141">
        <f t="shared" si="908"/>
        <v>0</v>
      </c>
      <c r="GM175" s="141">
        <f t="shared" si="908"/>
        <v>0</v>
      </c>
      <c r="GN175" s="141">
        <f t="shared" si="908"/>
        <v>0</v>
      </c>
      <c r="GO175" s="141">
        <f t="shared" si="908"/>
        <v>0</v>
      </c>
      <c r="GP175" s="141">
        <f t="shared" si="908"/>
        <v>0</v>
      </c>
      <c r="GQ175" s="141">
        <f t="shared" si="908"/>
        <v>0</v>
      </c>
      <c r="GR175" s="141">
        <f t="shared" si="908"/>
        <v>0</v>
      </c>
      <c r="GS175" s="141">
        <f t="shared" si="908"/>
        <v>0</v>
      </c>
      <c r="GT175" s="141">
        <f t="shared" si="908"/>
        <v>0</v>
      </c>
      <c r="GU175" s="141">
        <f t="shared" si="908"/>
        <v>0</v>
      </c>
      <c r="GV175" s="141">
        <f t="shared" si="908"/>
        <v>0</v>
      </c>
      <c r="GW175" s="141">
        <f t="shared" si="908"/>
        <v>0</v>
      </c>
      <c r="GX175" s="141">
        <f t="shared" si="908"/>
        <v>0</v>
      </c>
      <c r="GY175" s="141">
        <f t="shared" si="908"/>
        <v>0</v>
      </c>
      <c r="GZ175" s="141">
        <f t="shared" si="908"/>
        <v>0</v>
      </c>
      <c r="HA175" s="141">
        <f t="shared" si="908"/>
        <v>0</v>
      </c>
      <c r="HB175" s="141">
        <f t="shared" si="908"/>
        <v>0</v>
      </c>
      <c r="HC175" s="141">
        <f t="shared" si="908"/>
        <v>0</v>
      </c>
      <c r="HD175" s="141">
        <f t="shared" si="908"/>
        <v>0</v>
      </c>
      <c r="HE175" s="141">
        <f t="shared" si="908"/>
        <v>0</v>
      </c>
      <c r="HF175" s="141">
        <f t="shared" si="908"/>
        <v>0</v>
      </c>
      <c r="HG175" s="141">
        <f t="shared" si="908"/>
        <v>0</v>
      </c>
      <c r="HH175" s="141">
        <f t="shared" si="908"/>
        <v>0</v>
      </c>
      <c r="HI175" s="141">
        <f t="shared" si="908"/>
        <v>0</v>
      </c>
      <c r="HJ175" s="141">
        <f t="shared" si="908"/>
        <v>0</v>
      </c>
      <c r="HK175" s="141">
        <f t="shared" si="908"/>
        <v>0</v>
      </c>
      <c r="HL175" s="141">
        <f t="shared" si="908"/>
        <v>0</v>
      </c>
      <c r="HM175" s="142">
        <f t="shared" ref="HM175:IP175" si="909">IF(ISBLANK($A175),,FE175*($AH175-($AH175*$AJ175))/$AI175)</f>
        <v>0</v>
      </c>
      <c r="HN175" s="142">
        <f t="shared" si="909"/>
        <v>0</v>
      </c>
      <c r="HO175" s="142">
        <f t="shared" si="909"/>
        <v>0</v>
      </c>
      <c r="HP175" s="142">
        <f t="shared" si="909"/>
        <v>0</v>
      </c>
      <c r="HQ175" s="142">
        <f t="shared" si="909"/>
        <v>0</v>
      </c>
      <c r="HR175" s="142">
        <f t="shared" si="909"/>
        <v>0</v>
      </c>
      <c r="HS175" s="142">
        <f t="shared" si="909"/>
        <v>0</v>
      </c>
      <c r="HT175" s="142">
        <f t="shared" si="909"/>
        <v>0</v>
      </c>
      <c r="HU175" s="142">
        <f t="shared" si="909"/>
        <v>0</v>
      </c>
      <c r="HV175" s="142">
        <f t="shared" si="909"/>
        <v>0</v>
      </c>
      <c r="HW175" s="142">
        <f t="shared" si="909"/>
        <v>0</v>
      </c>
      <c r="HX175" s="142">
        <f t="shared" si="909"/>
        <v>0</v>
      </c>
      <c r="HY175" s="142">
        <f t="shared" si="909"/>
        <v>0</v>
      </c>
      <c r="HZ175" s="142">
        <f t="shared" si="909"/>
        <v>0</v>
      </c>
      <c r="IA175" s="142">
        <f t="shared" si="909"/>
        <v>0</v>
      </c>
      <c r="IB175" s="142">
        <f t="shared" si="909"/>
        <v>0</v>
      </c>
      <c r="IC175" s="142">
        <f t="shared" si="909"/>
        <v>0</v>
      </c>
      <c r="ID175" s="142">
        <f t="shared" si="909"/>
        <v>0</v>
      </c>
      <c r="IE175" s="142">
        <f t="shared" si="909"/>
        <v>0</v>
      </c>
      <c r="IF175" s="142">
        <f t="shared" si="909"/>
        <v>0</v>
      </c>
      <c r="IG175" s="142">
        <f t="shared" si="909"/>
        <v>0</v>
      </c>
      <c r="IH175" s="142">
        <f t="shared" si="909"/>
        <v>0</v>
      </c>
      <c r="II175" s="142">
        <f t="shared" si="909"/>
        <v>0</v>
      </c>
      <c r="IJ175" s="142">
        <f t="shared" si="909"/>
        <v>0</v>
      </c>
      <c r="IK175" s="142">
        <f t="shared" si="909"/>
        <v>0</v>
      </c>
      <c r="IL175" s="142">
        <f t="shared" si="909"/>
        <v>0</v>
      </c>
      <c r="IM175" s="142">
        <f t="shared" si="909"/>
        <v>0</v>
      </c>
      <c r="IN175" s="142">
        <f t="shared" si="909"/>
        <v>0</v>
      </c>
      <c r="IO175" s="142">
        <f t="shared" si="909"/>
        <v>0</v>
      </c>
      <c r="IP175" s="142">
        <f t="shared" si="909"/>
        <v>0</v>
      </c>
      <c r="IQ175" s="141">
        <f>IF(ISBLANK($A175),,IF($AN175="Não",0,(SUM($AO175:AO175)*$AH175)-SUM($HM175:HM175)-SUM($CW175:CW175)))</f>
        <v>0</v>
      </c>
      <c r="IR175" s="141">
        <f>IF(ISBLANK($A175),,IF($AN175="Não",0,(SUM($AO175:AP175)*$AH175)-SUM($HM175:HN175)-SUM($CW175:CX175)))</f>
        <v>0</v>
      </c>
      <c r="IS175" s="141">
        <f>IF(ISBLANK($A175),,IF($AN175="Não",0,(SUM($AO175:AQ175)*$AH175)-SUM($HM175:HO175)-SUM($CW175:CY175)))</f>
        <v>0</v>
      </c>
      <c r="IT175" s="141">
        <f>IF(ISBLANK($A175),,IF($AN175="Não",0,(SUM($AO175:AR175)*$AH175)-SUM($HM175:HP175)-SUM($CW175:CZ175)))</f>
        <v>0</v>
      </c>
      <c r="IU175" s="141">
        <f>IF(ISBLANK($A175),,IF($AN175="Não",0,(SUM($AO175:AS175)*$AH175)-SUM($HM175:HQ175)-SUM($CW175:DA175)))</f>
        <v>0</v>
      </c>
      <c r="IV175" s="141">
        <f>IF(ISBLANK($A175),,IF($AN175="Não",0,(SUM($AO175:AT175)*$AH175)-SUM($HM175:HR175)-SUM($CW175:DB175)))</f>
        <v>0</v>
      </c>
      <c r="IW175" s="141">
        <f>IF(ISBLANK($A175),,IF($AN175="Não",0,(SUM($AO175:AU175)*$AH175)-SUM($HM175:HS175)-SUM($CW175:DC175)))</f>
        <v>0</v>
      </c>
      <c r="IX175" s="141">
        <f>IF(ISBLANK($A175),,IF($AN175="Não",0,(SUM($AO175:AV175)*$AH175)-SUM($HM175:HT175)-SUM($CW175:DD175)))</f>
        <v>0</v>
      </c>
      <c r="IY175" s="141">
        <f>IF(ISBLANK($A175),,IF($AN175="Não",0,(SUM($AO175:AW175)*$AH175)-SUM($HM175:HU175)-SUM($CW175:DE175)))</f>
        <v>0</v>
      </c>
      <c r="IZ175" s="141">
        <f>IF(ISBLANK($A175),,IF($AN175="Não",0,(SUM($AO175:AX175)*$AH175)-SUM($HM175:HV175)-SUM($CW175:DF175)))</f>
        <v>0</v>
      </c>
      <c r="JA175" s="141">
        <f>IF(ISBLANK($A175),,IF($AN175="Não",0,(SUM($AO175:AY175)*$AH175)-SUM($HM175:HW175)-SUM($CW175:DG175)))</f>
        <v>0</v>
      </c>
      <c r="JB175" s="141">
        <f>IF(ISBLANK($A175),,IF($AN175="Não",0,(SUM($AO175:AZ175)*$AH175)-SUM($HM175:HX175)-SUM($CW175:DH175)))</f>
        <v>0</v>
      </c>
      <c r="JC175" s="141">
        <f>IF(ISBLANK($A175),,IF($AN175="Não",0,(SUM($AO175:BA175)*$AH175)-SUM($HM175:HY175)-SUM($CW175:DI175)))</f>
        <v>0</v>
      </c>
      <c r="JD175" s="141">
        <f>IF(ISBLANK($A175),,IF($AN175="Não",0,(SUM($AO175:BB175)*$AH175)-SUM($HM175:HZ175)-SUM($CW175:DJ175)))</f>
        <v>0</v>
      </c>
      <c r="JE175" s="141">
        <f>IF(ISBLANK($A175),,IF($AN175="Não",0,(SUM($AO175:BC175)*$AH175)-SUM($HM175:IA175)-SUM($CW175:DK175)))</f>
        <v>0</v>
      </c>
      <c r="JF175" s="141">
        <f>IF(ISBLANK($A175),,IF($AN175="Não",0,(SUM($AO175:BD175)*$AH175)-SUM($HM175:IB175)-SUM($CW175:DL175)))</f>
        <v>0</v>
      </c>
      <c r="JG175" s="141">
        <f>IF(ISBLANK($A175),,IF($AN175="Não",0,(SUM($AO175:BE175)*$AH175)-SUM($HM175:IC175)-SUM($CW175:DM175)))</f>
        <v>0</v>
      </c>
      <c r="JH175" s="141">
        <f>IF(ISBLANK($A175),,IF($AN175="Não",0,(SUM($AO175:BF175)*$AH175)-SUM($HM175:ID175)-SUM($CW175:DN175)))</f>
        <v>0</v>
      </c>
      <c r="JI175" s="141">
        <f>IF(ISBLANK($A175),,IF($AN175="Não",0,(SUM($AO175:BG175)*$AH175)-SUM($HM175:IE175)-SUM($CW175:DO175)))</f>
        <v>0</v>
      </c>
      <c r="JJ175" s="141">
        <f>IF(ISBLANK($A175),,IF($AN175="Não",0,(SUM($AO175:BH175)*$AH175)-SUM($HM175:IF175)-SUM($CW175:DP175)))</f>
        <v>0</v>
      </c>
      <c r="JK175" s="141">
        <f>IF(ISBLANK($A175),,IF($AN175="Não",0,(SUM($AO175:BI175)*$AH175)-SUM($HM175:IG175)-SUM($CW175:DQ175)))</f>
        <v>0</v>
      </c>
      <c r="JL175" s="141">
        <f>IF(ISBLANK($A175),,IF($AN175="Não",0,(SUM($AO175:BJ175)*$AH175)-SUM($HM175:IH175)-SUM($CW175:DR175)))</f>
        <v>0</v>
      </c>
      <c r="JM175" s="141">
        <f>IF(ISBLANK($A175),,IF($AN175="Não",0,(SUM($AO175:BK175)*$AH175)-SUM($HM175:II175)-SUM($CW175:DS175)))</f>
        <v>0</v>
      </c>
      <c r="JN175" s="141">
        <f>IF(ISBLANK($A175),,IF($AN175="Não",0,(SUM($AO175:BL175)*$AH175)-SUM($HM175:IJ175)-SUM($CW175:DT175)))</f>
        <v>0</v>
      </c>
      <c r="JO175" s="141">
        <f>IF(ISBLANK($A175),,IF($AN175="Não",0,(SUM($AO175:BM175)*$AH175)-SUM($HM175:IK175)-SUM($CW175:DU175)))</f>
        <v>0</v>
      </c>
      <c r="JP175" s="141">
        <f>IF(ISBLANK($A175),,IF($AN175="Não",0,(SUM($AO175:BN175)*$AH175)-SUM($HM175:IL175)-SUM($CW175:DV175)))</f>
        <v>0</v>
      </c>
      <c r="JQ175" s="141">
        <f>IF(ISBLANK($A175),,IF($AN175="Não",0,(SUM($AO175:BO175)*$AH175)-SUM($HM175:IM175)-SUM($CW175:DW175)))</f>
        <v>0</v>
      </c>
      <c r="JR175" s="141">
        <f>IF(ISBLANK($A175),,IF($AN175="Não",0,(SUM($AO175:BP175)*$AH175)-SUM($HM175:IN175)-SUM($CW175:DX175)))</f>
        <v>0</v>
      </c>
      <c r="JS175" s="141">
        <f>IF(ISBLANK($A175),,IF($AN175="Não",0,(SUM($AO175:BQ175)*$AH175)-SUM($HM175:IO175)-SUM($CW175:DY175)))</f>
        <v>0</v>
      </c>
      <c r="JT175" s="141">
        <f>IF(ISBLANK($A175),,IF($AN175="Não",0,(SUM($AO175:BR175)*$AH175)-SUM($HM175:IP175)-SUM($CW175:DZ175)))</f>
        <v>0</v>
      </c>
    </row>
    <row r="176" spans="1:280" ht="15.75" customHeight="1">
      <c r="A176" s="599"/>
      <c r="B176" s="599"/>
      <c r="C176" s="138"/>
      <c r="D176" s="617"/>
      <c r="E176" s="617"/>
      <c r="F176" s="617"/>
      <c r="G176" s="617"/>
      <c r="H176" s="617"/>
      <c r="I176" s="617"/>
      <c r="J176" s="617"/>
      <c r="K176" s="617"/>
      <c r="L176" s="617"/>
      <c r="M176" s="617"/>
      <c r="N176" s="617"/>
      <c r="O176" s="617"/>
      <c r="P176" s="617"/>
      <c r="Q176" s="617"/>
      <c r="R176" s="617"/>
      <c r="S176" s="617"/>
      <c r="T176" s="617"/>
      <c r="U176" s="617"/>
      <c r="V176" s="617"/>
      <c r="W176" s="617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607">
        <f t="shared" si="875"/>
        <v>0</v>
      </c>
      <c r="AI176" s="608">
        <f t="shared" si="876"/>
        <v>0</v>
      </c>
      <c r="AJ176" s="609">
        <f t="shared" si="877"/>
        <v>0</v>
      </c>
      <c r="AK176" s="610" t="str">
        <f t="shared" si="878"/>
        <v/>
      </c>
      <c r="AL176" s="609">
        <f t="shared" si="879"/>
        <v>0</v>
      </c>
      <c r="AM176" s="611" t="str">
        <f t="shared" si="880"/>
        <v/>
      </c>
      <c r="AN176" s="611" t="str">
        <f t="shared" si="881"/>
        <v/>
      </c>
      <c r="AO176" s="140">
        <f t="array" ref="AO176">IF(ISBLANK($A176),0,IF(OR(AO$5-$AI176&lt;=0,$AM176="Não"),D176,D176+INDEX($AO$6:$BR$176,ROW()-5,COLUMN()-40-$AI176)))*IF($B176="Operacional",IFERROR(VLOOKUP($C176,SN_UGC,28,0),0),1)</f>
        <v>0</v>
      </c>
      <c r="AP176" s="140">
        <f t="array" ref="AP176">IF(ISBLANK($A176),0,IF(OR(AP$5-$AI176&lt;=0,$AM176="Não"),E176,E176+INDEX($AO$6:$BR$176,ROW()-5,COLUMN()-40-$AI176)))*IF($B176="Operacional",IFERROR(VLOOKUP($C176,SN_UGC,28,0),0),1)</f>
        <v>0</v>
      </c>
      <c r="AQ176" s="140">
        <f t="array" ref="AQ176">IF(ISBLANK($A176),0,IF(OR(AQ$5-$AI176&lt;=0,$AM176="Não"),F176,F176+INDEX($AO$6:$BR$176,ROW()-5,COLUMN()-40-$AI176)))*IF($B176="Operacional",IFERROR(VLOOKUP($C176,SN_UGC,28,0),0),1)</f>
        <v>0</v>
      </c>
      <c r="AR176" s="140">
        <f t="array" ref="AR176">IF(ISBLANK($A176),0,IF(OR(AR$5-$AI176&lt;=0,$AM176="Não"),G176,G176+INDEX($AO$6:$BR$176,ROW()-5,COLUMN()-40-$AI176)))*IF($B176="Operacional",IFERROR(VLOOKUP($C176,SN_UGC,28,0),0),1)</f>
        <v>0</v>
      </c>
      <c r="AS176" s="140">
        <f t="array" ref="AS176">IF(ISBLANK($A176),0,IF(OR(AS$5-$AI176&lt;=0,$AM176="Não"),H176,H176+INDEX($AO$6:$BR$176,ROW()-5,COLUMN()-40-$AI176)))*IF($B176="Operacional",IFERROR(VLOOKUP($C176,SN_UGC,28,0),0),1)</f>
        <v>0</v>
      </c>
      <c r="AT176" s="140">
        <f t="array" ref="AT176">IF(ISBLANK($A176),0,IF(OR(AT$5-$AI176&lt;=0,$AM176="Não"),I176,I176+INDEX($AO$6:$BR$176,ROW()-5,COLUMN()-40-$AI176)))*IF($B176="Operacional",IFERROR(VLOOKUP($C176,SN_UGC,28,0),0),1)</f>
        <v>0</v>
      </c>
      <c r="AU176" s="140">
        <f t="array" ref="AU176">IF(ISBLANK($A176),0,IF(OR(AU$5-$AI176&lt;=0,$AM176="Não"),J176,J176+INDEX($AO$6:$BR$176,ROW()-5,COLUMN()-40-$AI176)))*IF($B176="Operacional",IFERROR(VLOOKUP($C176,SN_UGC,28,0),0),1)</f>
        <v>0</v>
      </c>
      <c r="AV176" s="140">
        <f t="array" ref="AV176">IF(ISBLANK($A176),0,IF(OR(AV$5-$AI176&lt;=0,$AM176="Não"),K176,K176+INDEX($AO$6:$BR$176,ROW()-5,COLUMN()-40-$AI176)))*IF($B176="Operacional",IFERROR(VLOOKUP($C176,SN_UGC,28,0),0),1)</f>
        <v>0</v>
      </c>
      <c r="AW176" s="140">
        <f t="array" ref="AW176">IF(ISBLANK($A176),0,IF(OR(AW$5-$AI176&lt;=0,$AM176="Não"),L176,L176+INDEX($AO$6:$BR$176,ROW()-5,COLUMN()-40-$AI176)))*IF($B176="Operacional",IFERROR(VLOOKUP($C176,SN_UGC,28,0),0),1)</f>
        <v>0</v>
      </c>
      <c r="AX176" s="140">
        <f t="array" ref="AX176">IF(ISBLANK($A176),0,IF(OR(AX$5-$AI176&lt;=0,$AM176="Não"),M176,M176+INDEX($AO$6:$BR$176,ROW()-5,COLUMN()-40-$AI176)))*IF($B176="Operacional",IFERROR(VLOOKUP($C176,SN_UGC,28,0),0),1)</f>
        <v>0</v>
      </c>
      <c r="AY176" s="140">
        <f t="array" ref="AY176">IF(ISBLANK($A176),0,IF(OR(AY$5-$AI176&lt;=0,$AM176="Não"),N176,N176+INDEX($AO$6:$BR$176,ROW()-5,COLUMN()-40-$AI176)))*IF($B176="Operacional",IFERROR(VLOOKUP($C176,SN_UGC,28,0),0),1)</f>
        <v>0</v>
      </c>
      <c r="AZ176" s="140">
        <f t="array" ref="AZ176">IF(ISBLANK($A176),0,IF(OR(AZ$5-$AI176&lt;=0,$AM176="Não"),O176,O176+INDEX($AO$6:$BR$176,ROW()-5,COLUMN()-40-$AI176)))*IF($B176="Operacional",IFERROR(VLOOKUP($C176,SN_UGC,28,0),0),1)</f>
        <v>0</v>
      </c>
      <c r="BA176" s="140">
        <f t="array" ref="BA176">IF(ISBLANK($A176),0,IF(OR(BA$5-$AI176&lt;=0,$AM176="Não"),P176,P176+INDEX($AO$6:$BR$176,ROW()-5,COLUMN()-40-$AI176)))*IF($B176="Operacional",IFERROR(VLOOKUP($C176,SN_UGC,28,0),0),1)</f>
        <v>0</v>
      </c>
      <c r="BB176" s="140">
        <f t="array" ref="BB176">IF(ISBLANK($A176),0,IF(OR(BB$5-$AI176&lt;=0,$AM176="Não"),Q176,Q176+INDEX($AO$6:$BR$176,ROW()-5,COLUMN()-40-$AI176)))*IF($B176="Operacional",IFERROR(VLOOKUP($C176,SN_UGC,28,0),0),1)</f>
        <v>0</v>
      </c>
      <c r="BC176" s="140">
        <f t="array" ref="BC176">IF(ISBLANK($A176),0,IF(OR(BC$5-$AI176&lt;=0,$AM176="Não"),R176,R176+INDEX($AO$6:$BR$176,ROW()-5,COLUMN()-40-$AI176)))*IF($B176="Operacional",IFERROR(VLOOKUP($C176,SN_UGC,28,0),0),1)</f>
        <v>0</v>
      </c>
      <c r="BD176" s="140">
        <f t="array" ref="BD176">IF(ISBLANK($A176),0,IF(OR(BD$5-$AI176&lt;=0,$AM176="Não"),S176,S176+INDEX($AO$6:$BR$176,ROW()-5,COLUMN()-40-$AI176)))*IF($B176="Operacional",IFERROR(VLOOKUP($C176,SN_UGC,28,0),0),1)</f>
        <v>0</v>
      </c>
      <c r="BE176" s="140">
        <f t="array" ref="BE176">IF(ISBLANK($A176),0,IF(OR(BE$5-$AI176&lt;=0,$AM176="Não"),T176,T176+INDEX($AO$6:$BR$176,ROW()-5,COLUMN()-40-$AI176)))*IF($B176="Operacional",IFERROR(VLOOKUP($C176,SN_UGC,28,0),0),1)</f>
        <v>0</v>
      </c>
      <c r="BF176" s="140">
        <f t="array" ref="BF176">IF(ISBLANK($A176),0,IF(OR(BF$5-$AI176&lt;=0,$AM176="Não"),U176,U176+INDEX($AO$6:$BR$176,ROW()-5,COLUMN()-40-$AI176)))*IF($B176="Operacional",IFERROR(VLOOKUP($C176,SN_UGC,28,0),0),1)</f>
        <v>0</v>
      </c>
      <c r="BG176" s="140">
        <f t="array" ref="BG176">IF(ISBLANK($A176),0,IF(OR(BG$5-$AI176&lt;=0,$AM176="Não"),V176,V176+INDEX($AO$6:$BR$176,ROW()-5,COLUMN()-40-$AI176)))*IF($B176="Operacional",IFERROR(VLOOKUP($C176,SN_UGC,28,0),0),1)</f>
        <v>0</v>
      </c>
      <c r="BH176" s="140">
        <f t="array" ref="BH176">IF(ISBLANK($A176),0,IF(OR(BH$5-$AI176&lt;=0,$AM176="Não"),W176,W176+INDEX($AO$6:$BR$176,ROW()-5,COLUMN()-40-$AI176)))*IF($B176="Operacional",IFERROR(VLOOKUP($C176,SN_UGC,28,0),0),1)</f>
        <v>0</v>
      </c>
      <c r="BI176" s="140">
        <f t="array" ref="BI176">IF(ISBLANK($A176),0,IF(OR(BI$5-$AI176&lt;=0,$AM176="Não"),X176,X176+INDEX($AO$6:$BR$176,ROW()-5,COLUMN()-40-$AI176)))*IF($B176="Operacional",IFERROR(VLOOKUP($C176,SN_UGC,28,0),0),1)</f>
        <v>0</v>
      </c>
      <c r="BJ176" s="140">
        <f t="array" ref="BJ176">IF(ISBLANK($A176),0,IF(OR(BJ$5-$AI176&lt;=0,$AM176="Não"),Y176,Y176+INDEX($AO$6:$BR$176,ROW()-5,COLUMN()-40-$AI176)))*IF($B176="Operacional",IFERROR(VLOOKUP($C176,SN_UGC,28,0),0),1)</f>
        <v>0</v>
      </c>
      <c r="BK176" s="140">
        <f t="array" ref="BK176">IF(ISBLANK($A176),0,IF(OR(BK$5-$AI176&lt;=0,$AM176="Não"),Z176,Z176+INDEX($AO$6:$BR$176,ROW()-5,COLUMN()-40-$AI176)))*IF($B176="Operacional",IFERROR(VLOOKUP($C176,SN_UGC,28,0),0),1)</f>
        <v>0</v>
      </c>
      <c r="BL176" s="140">
        <f t="array" ref="BL176">IF(ISBLANK($A176),0,IF(OR(BL$5-$AI176&lt;=0,$AM176="Não"),AA176,AA176+INDEX($AO$6:$BR$176,ROW()-5,COLUMN()-40-$AI176)))*IF($B176="Operacional",IFERROR(VLOOKUP($C176,SN_UGC,28,0),0),1)</f>
        <v>0</v>
      </c>
      <c r="BM176" s="140">
        <f t="array" ref="BM176">IF(ISBLANK($A176),0,IF(OR(BM$5-$AI176&lt;=0,$AM176="Não"),AB176,AB176+INDEX($AO$6:$BR$176,ROW()-5,COLUMN()-40-$AI176)))*IF($B176="Operacional",IFERROR(VLOOKUP($C176,SN_UGC,28,0),0),1)</f>
        <v>0</v>
      </c>
      <c r="BN176" s="140">
        <f t="array" ref="BN176">IF(ISBLANK($A176),0,IF(OR(BN$5-$AI176&lt;=0,$AM176="Não"),AC176,AC176+INDEX($AO$6:$BR$176,ROW()-5,COLUMN()-40-$AI176)))*IF($B176="Operacional",IFERROR(VLOOKUP($C176,SN_UGC,28,0),0),1)</f>
        <v>0</v>
      </c>
      <c r="BO176" s="140">
        <f t="array" ref="BO176">IF(ISBLANK($A176),0,IF(OR(BO$5-$AI176&lt;=0,$AM176="Não"),AD176,AD176+INDEX($AO$6:$BR$176,ROW()-5,COLUMN()-40-$AI176)))*IF($B176="Operacional",IFERROR(VLOOKUP($C176,SN_UGC,28,0),0),1)</f>
        <v>0</v>
      </c>
      <c r="BP176" s="140">
        <f t="array" ref="BP176">IF(ISBLANK($A176),0,IF(OR(BP$5-$AI176&lt;=0,$AM176="Não"),AE176,AE176+INDEX($AO$6:$BR$176,ROW()-5,COLUMN()-40-$AI176)))*IF($B176="Operacional",IFERROR(VLOOKUP($C176,SN_UGC,28,0),0),1)</f>
        <v>0</v>
      </c>
      <c r="BQ176" s="140">
        <f t="array" ref="BQ176">IF(ISBLANK($A176),0,IF(OR(BQ$5-$AI176&lt;=0,$AM176="Não"),AF176,AF176+INDEX($AO$6:$BR$176,ROW()-5,COLUMN()-40-$AI176)))*IF($B176="Operacional",IFERROR(VLOOKUP($C176,SN_UGC,28,0),0),1)</f>
        <v>0</v>
      </c>
      <c r="BR176" s="140">
        <f t="array" ref="BR176">IF(ISBLANK($A176),0,IF(OR(BR$5-$AI176&lt;=0,$AM176="Não"),AG176,AG176+INDEX($AO$6:$BR$176,ROW()-5,COLUMN()-40-$AI176)))*IF($B176="Operacional",IFERROR(VLOOKUP($C176,SN_UGC,28,0),0),1)</f>
        <v>0</v>
      </c>
      <c r="BS176" s="141">
        <f t="shared" ref="BS176:CV176" si="910">IF(ISBLANK($A176),0,$AH176*AO176)</f>
        <v>0</v>
      </c>
      <c r="BT176" s="141">
        <f t="shared" si="910"/>
        <v>0</v>
      </c>
      <c r="BU176" s="141">
        <f t="shared" si="910"/>
        <v>0</v>
      </c>
      <c r="BV176" s="141">
        <f t="shared" si="910"/>
        <v>0</v>
      </c>
      <c r="BW176" s="141">
        <f t="shared" si="910"/>
        <v>0</v>
      </c>
      <c r="BX176" s="141">
        <f t="shared" si="910"/>
        <v>0</v>
      </c>
      <c r="BY176" s="141">
        <f t="shared" si="910"/>
        <v>0</v>
      </c>
      <c r="BZ176" s="141">
        <f t="shared" si="910"/>
        <v>0</v>
      </c>
      <c r="CA176" s="141">
        <f t="shared" si="910"/>
        <v>0</v>
      </c>
      <c r="CB176" s="141">
        <f t="shared" si="910"/>
        <v>0</v>
      </c>
      <c r="CC176" s="141">
        <f t="shared" si="910"/>
        <v>0</v>
      </c>
      <c r="CD176" s="141">
        <f t="shared" si="910"/>
        <v>0</v>
      </c>
      <c r="CE176" s="141">
        <f t="shared" si="910"/>
        <v>0</v>
      </c>
      <c r="CF176" s="141">
        <f t="shared" si="910"/>
        <v>0</v>
      </c>
      <c r="CG176" s="141">
        <f t="shared" si="910"/>
        <v>0</v>
      </c>
      <c r="CH176" s="141">
        <f t="shared" si="910"/>
        <v>0</v>
      </c>
      <c r="CI176" s="141">
        <f t="shared" si="910"/>
        <v>0</v>
      </c>
      <c r="CJ176" s="141">
        <f t="shared" si="910"/>
        <v>0</v>
      </c>
      <c r="CK176" s="141">
        <f t="shared" si="910"/>
        <v>0</v>
      </c>
      <c r="CL176" s="141">
        <f t="shared" si="910"/>
        <v>0</v>
      </c>
      <c r="CM176" s="141">
        <f t="shared" si="910"/>
        <v>0</v>
      </c>
      <c r="CN176" s="141">
        <f t="shared" si="910"/>
        <v>0</v>
      </c>
      <c r="CO176" s="141">
        <f t="shared" si="910"/>
        <v>0</v>
      </c>
      <c r="CP176" s="141">
        <f t="shared" si="910"/>
        <v>0</v>
      </c>
      <c r="CQ176" s="141">
        <f t="shared" si="910"/>
        <v>0</v>
      </c>
      <c r="CR176" s="141">
        <f t="shared" si="910"/>
        <v>0</v>
      </c>
      <c r="CS176" s="141">
        <f t="shared" si="910"/>
        <v>0</v>
      </c>
      <c r="CT176" s="141">
        <f t="shared" si="910"/>
        <v>0</v>
      </c>
      <c r="CU176" s="141">
        <f t="shared" si="910"/>
        <v>0</v>
      </c>
      <c r="CV176" s="141">
        <f t="shared" si="910"/>
        <v>0</v>
      </c>
      <c r="CW176" s="142">
        <f t="shared" ref="CW176:DZ176" si="911">EA176*$AH176*$AJ176</f>
        <v>0</v>
      </c>
      <c r="CX176" s="142">
        <f t="shared" si="911"/>
        <v>0</v>
      </c>
      <c r="CY176" s="142">
        <f t="shared" si="911"/>
        <v>0</v>
      </c>
      <c r="CZ176" s="142">
        <f t="shared" si="911"/>
        <v>0</v>
      </c>
      <c r="DA176" s="142">
        <f t="shared" si="911"/>
        <v>0</v>
      </c>
      <c r="DB176" s="142">
        <f t="shared" si="911"/>
        <v>0</v>
      </c>
      <c r="DC176" s="142">
        <f t="shared" si="911"/>
        <v>0</v>
      </c>
      <c r="DD176" s="142">
        <f t="shared" si="911"/>
        <v>0</v>
      </c>
      <c r="DE176" s="142">
        <f t="shared" si="911"/>
        <v>0</v>
      </c>
      <c r="DF176" s="142">
        <f t="shared" si="911"/>
        <v>0</v>
      </c>
      <c r="DG176" s="142">
        <f t="shared" si="911"/>
        <v>0</v>
      </c>
      <c r="DH176" s="142">
        <f t="shared" si="911"/>
        <v>0</v>
      </c>
      <c r="DI176" s="142">
        <f t="shared" si="911"/>
        <v>0</v>
      </c>
      <c r="DJ176" s="142">
        <f t="shared" si="911"/>
        <v>0</v>
      </c>
      <c r="DK176" s="142">
        <f t="shared" si="911"/>
        <v>0</v>
      </c>
      <c r="DL176" s="142">
        <f t="shared" si="911"/>
        <v>0</v>
      </c>
      <c r="DM176" s="142">
        <f t="shared" si="911"/>
        <v>0</v>
      </c>
      <c r="DN176" s="142">
        <f t="shared" si="911"/>
        <v>0</v>
      </c>
      <c r="DO176" s="142">
        <f t="shared" si="911"/>
        <v>0</v>
      </c>
      <c r="DP176" s="142">
        <f t="shared" si="911"/>
        <v>0</v>
      </c>
      <c r="DQ176" s="142">
        <f t="shared" si="911"/>
        <v>0</v>
      </c>
      <c r="DR176" s="142">
        <f t="shared" si="911"/>
        <v>0</v>
      </c>
      <c r="DS176" s="142">
        <f t="shared" si="911"/>
        <v>0</v>
      </c>
      <c r="DT176" s="142">
        <f t="shared" si="911"/>
        <v>0</v>
      </c>
      <c r="DU176" s="142">
        <f t="shared" si="911"/>
        <v>0</v>
      </c>
      <c r="DV176" s="142">
        <f t="shared" si="911"/>
        <v>0</v>
      </c>
      <c r="DW176" s="142">
        <f t="shared" si="911"/>
        <v>0</v>
      </c>
      <c r="DX176" s="142">
        <f t="shared" si="911"/>
        <v>0</v>
      </c>
      <c r="DY176" s="142">
        <f t="shared" si="911"/>
        <v>0</v>
      </c>
      <c r="DZ176" s="142">
        <f t="shared" si="911"/>
        <v>0</v>
      </c>
      <c r="EA176" s="143">
        <f t="shared" si="835"/>
        <v>0</v>
      </c>
      <c r="EB176" s="143">
        <f t="shared" si="836"/>
        <v>0</v>
      </c>
      <c r="EC176" s="143">
        <f t="shared" si="837"/>
        <v>0</v>
      </c>
      <c r="ED176" s="143">
        <f t="shared" si="838"/>
        <v>0</v>
      </c>
      <c r="EE176" s="143">
        <f t="shared" si="839"/>
        <v>0</v>
      </c>
      <c r="EF176" s="143">
        <f t="shared" si="840"/>
        <v>0</v>
      </c>
      <c r="EG176" s="143">
        <f t="shared" si="841"/>
        <v>0</v>
      </c>
      <c r="EH176" s="143">
        <f t="shared" si="842"/>
        <v>0</v>
      </c>
      <c r="EI176" s="143">
        <f t="shared" si="843"/>
        <v>0</v>
      </c>
      <c r="EJ176" s="143">
        <f t="shared" si="844"/>
        <v>0</v>
      </c>
      <c r="EK176" s="143">
        <f t="shared" si="845"/>
        <v>0</v>
      </c>
      <c r="EL176" s="143">
        <f t="shared" si="846"/>
        <v>0</v>
      </c>
      <c r="EM176" s="143">
        <f t="shared" si="847"/>
        <v>0</v>
      </c>
      <c r="EN176" s="143">
        <f t="shared" si="848"/>
        <v>0</v>
      </c>
      <c r="EO176" s="143">
        <f t="shared" si="849"/>
        <v>0</v>
      </c>
      <c r="EP176" s="143">
        <f t="shared" si="850"/>
        <v>0</v>
      </c>
      <c r="EQ176" s="143">
        <f t="shared" si="851"/>
        <v>0</v>
      </c>
      <c r="ER176" s="143">
        <f t="shared" si="852"/>
        <v>0</v>
      </c>
      <c r="ES176" s="143">
        <f t="shared" si="853"/>
        <v>0</v>
      </c>
      <c r="ET176" s="143">
        <f t="shared" si="854"/>
        <v>0</v>
      </c>
      <c r="EU176" s="143">
        <f t="shared" si="855"/>
        <v>0</v>
      </c>
      <c r="EV176" s="143">
        <f t="shared" si="856"/>
        <v>0</v>
      </c>
      <c r="EW176" s="143">
        <f t="shared" si="857"/>
        <v>0</v>
      </c>
      <c r="EX176" s="143">
        <f t="shared" si="858"/>
        <v>0</v>
      </c>
      <c r="EY176" s="143">
        <f t="shared" si="859"/>
        <v>0</v>
      </c>
      <c r="EZ176" s="143">
        <f t="shared" si="860"/>
        <v>0</v>
      </c>
      <c r="FA176" s="143">
        <f t="shared" si="861"/>
        <v>0</v>
      </c>
      <c r="FB176" s="143">
        <f t="shared" si="862"/>
        <v>0</v>
      </c>
      <c r="FC176" s="143">
        <f t="shared" si="863"/>
        <v>0</v>
      </c>
      <c r="FD176" s="143">
        <f t="shared" si="864"/>
        <v>0</v>
      </c>
      <c r="FE176" s="140">
        <f>SUM($D176:D176)*IF($B176="Operacional",IFERROR(VLOOKUP($C176,SN_UGC,28,0),0),1)</f>
        <v>0</v>
      </c>
      <c r="FF176" s="140">
        <f>SUM($D176:E176)*IF($B176="Operacional",IFERROR(VLOOKUP($C176,SN_UGC,28,0),0),1)</f>
        <v>0</v>
      </c>
      <c r="FG176" s="140">
        <f>SUM($D176:F176)*IF($B176="Operacional",IFERROR(VLOOKUP($C176,SN_UGC,28,0),0),1)</f>
        <v>0</v>
      </c>
      <c r="FH176" s="140">
        <f>SUM($D176:G176)*IF($B176="Operacional",IFERROR(VLOOKUP($C176,SN_UGC,28,0),0),1)</f>
        <v>0</v>
      </c>
      <c r="FI176" s="140">
        <f>SUM($D176:H176)*IF($B176="Operacional",IFERROR(VLOOKUP($C176,SN_UGC,28,0),0),1)</f>
        <v>0</v>
      </c>
      <c r="FJ176" s="140">
        <f>SUM($D176:I176)*IF($B176="Operacional",IFERROR(VLOOKUP($C176,SN_UGC,28,0),0),1)</f>
        <v>0</v>
      </c>
      <c r="FK176" s="140">
        <f>SUM($D176:J176)*IF($B176="Operacional",IFERROR(VLOOKUP($C176,SN_UGC,28,0),0),1)</f>
        <v>0</v>
      </c>
      <c r="FL176" s="140">
        <f>SUM($D176:K176)*IF($B176="Operacional",IFERROR(VLOOKUP($C176,SN_UGC,28,0),0),1)</f>
        <v>0</v>
      </c>
      <c r="FM176" s="140">
        <f>SUM($D176:L176)*IF($B176="Operacional",IFERROR(VLOOKUP($C176,SN_UGC,28,0),0),1)</f>
        <v>0</v>
      </c>
      <c r="FN176" s="140">
        <f>SUM($D176:M176)*IF($B176="Operacional",IFERROR(VLOOKUP($C176,SN_UGC,28,0),0),1)</f>
        <v>0</v>
      </c>
      <c r="FO176" s="140">
        <f>SUM($D176:N176)*IF($B176="Operacional",IFERROR(VLOOKUP($C176,SN_UGC,28,0),0),1)</f>
        <v>0</v>
      </c>
      <c r="FP176" s="140">
        <f>SUM($D176:O176)*IF($B176="Operacional",IFERROR(VLOOKUP($C176,SN_UGC,28,0),0),1)</f>
        <v>0</v>
      </c>
      <c r="FQ176" s="140">
        <f>SUM($D176:P176)*IF($B176="Operacional",IFERROR(VLOOKUP($C176,SN_UGC,28,0),0),1)</f>
        <v>0</v>
      </c>
      <c r="FR176" s="140">
        <f>SUM($D176:Q176)*IF($B176="Operacional",IFERROR(VLOOKUP($C176,SN_UGC,28,0),0),1)</f>
        <v>0</v>
      </c>
      <c r="FS176" s="140">
        <f>SUM($D176:R176)*IF($B176="Operacional",IFERROR(VLOOKUP($C176,SN_UGC,28,0),0),1)</f>
        <v>0</v>
      </c>
      <c r="FT176" s="140">
        <f>SUM($D176:S176)*IF($B176="Operacional",IFERROR(VLOOKUP($C176,SN_UGC,28,0),0),1)</f>
        <v>0</v>
      </c>
      <c r="FU176" s="140">
        <f>SUM($D176:T176)*IF($B176="Operacional",IFERROR(VLOOKUP($C176,SN_UGC,28,0),0),1)</f>
        <v>0</v>
      </c>
      <c r="FV176" s="140">
        <f>SUM($D176:U176)*IF($B176="Operacional",IFERROR(VLOOKUP($C176,SN_UGC,28,0),0),1)</f>
        <v>0</v>
      </c>
      <c r="FW176" s="140">
        <f>SUM($D176:V176)*IF($B176="Operacional",IFERROR(VLOOKUP($C176,SN_UGC,28,0),0),1)</f>
        <v>0</v>
      </c>
      <c r="FX176" s="140">
        <f>SUM($D176:W176)*IF($B176="Operacional",IFERROR(VLOOKUP($C176,SN_UGC,28,0),0),1)</f>
        <v>0</v>
      </c>
      <c r="FY176" s="140">
        <f>SUM($D176:X176)*IF($B176="Operacional",IFERROR(VLOOKUP($C176,SN_UGC,28,0),0),1)</f>
        <v>0</v>
      </c>
      <c r="FZ176" s="140">
        <f>SUM($D176:Y176)*IF($B176="Operacional",IFERROR(VLOOKUP($C176,SN_UGC,28,0),0),1)</f>
        <v>0</v>
      </c>
      <c r="GA176" s="140">
        <f>SUM($D176:Z176)*IF($B176="Operacional",IFERROR(VLOOKUP($C176,SN_UGC,28,0),0),1)</f>
        <v>0</v>
      </c>
      <c r="GB176" s="140">
        <f>SUM($D176:AA176)*IF($B176="Operacional",IFERROR(VLOOKUP($C176,SN_UGC,28,0),0),1)</f>
        <v>0</v>
      </c>
      <c r="GC176" s="140">
        <f>SUM($D176:AB176)*IF($B176="Operacional",IFERROR(VLOOKUP($C176,SN_UGC,28,0),0),1)</f>
        <v>0</v>
      </c>
      <c r="GD176" s="140">
        <f>SUM($D176:AC176)*IF($B176="Operacional",IFERROR(VLOOKUP($C176,SN_UGC,28,0),0),1)</f>
        <v>0</v>
      </c>
      <c r="GE176" s="140">
        <f>SUM($D176:AD176)*IF($B176="Operacional",IFERROR(VLOOKUP($C176,SN_UGC,28,0),0),1)</f>
        <v>0</v>
      </c>
      <c r="GF176" s="140">
        <f>SUM($D176:AE176)*IF($B176="Operacional",IFERROR(VLOOKUP($C176,SN_UGC,28,0),0),1)</f>
        <v>0</v>
      </c>
      <c r="GG176" s="140">
        <f>SUM($D176:AF176)*IF($B176="Operacional",IFERROR(VLOOKUP($C176,SN_UGC,28,0),0),1)</f>
        <v>0</v>
      </c>
      <c r="GH176" s="140">
        <f>SUM($D176:AG176)*IF($B176="Operacional",IFERROR(VLOOKUP($C176,SN_UGC,28,0),0),1)</f>
        <v>0</v>
      </c>
      <c r="GI176" s="141">
        <f t="shared" ref="GI176:HL176" si="912">FE176*$AH176*$AL176</f>
        <v>0</v>
      </c>
      <c r="GJ176" s="141">
        <f t="shared" si="912"/>
        <v>0</v>
      </c>
      <c r="GK176" s="141">
        <f t="shared" si="912"/>
        <v>0</v>
      </c>
      <c r="GL176" s="141">
        <f t="shared" si="912"/>
        <v>0</v>
      </c>
      <c r="GM176" s="141">
        <f t="shared" si="912"/>
        <v>0</v>
      </c>
      <c r="GN176" s="141">
        <f t="shared" si="912"/>
        <v>0</v>
      </c>
      <c r="GO176" s="141">
        <f t="shared" si="912"/>
        <v>0</v>
      </c>
      <c r="GP176" s="141">
        <f t="shared" si="912"/>
        <v>0</v>
      </c>
      <c r="GQ176" s="141">
        <f t="shared" si="912"/>
        <v>0</v>
      </c>
      <c r="GR176" s="141">
        <f t="shared" si="912"/>
        <v>0</v>
      </c>
      <c r="GS176" s="141">
        <f t="shared" si="912"/>
        <v>0</v>
      </c>
      <c r="GT176" s="141">
        <f t="shared" si="912"/>
        <v>0</v>
      </c>
      <c r="GU176" s="141">
        <f t="shared" si="912"/>
        <v>0</v>
      </c>
      <c r="GV176" s="141">
        <f t="shared" si="912"/>
        <v>0</v>
      </c>
      <c r="GW176" s="141">
        <f t="shared" si="912"/>
        <v>0</v>
      </c>
      <c r="GX176" s="141">
        <f t="shared" si="912"/>
        <v>0</v>
      </c>
      <c r="GY176" s="141">
        <f t="shared" si="912"/>
        <v>0</v>
      </c>
      <c r="GZ176" s="141">
        <f t="shared" si="912"/>
        <v>0</v>
      </c>
      <c r="HA176" s="141">
        <f t="shared" si="912"/>
        <v>0</v>
      </c>
      <c r="HB176" s="141">
        <f t="shared" si="912"/>
        <v>0</v>
      </c>
      <c r="HC176" s="141">
        <f t="shared" si="912"/>
        <v>0</v>
      </c>
      <c r="HD176" s="141">
        <f t="shared" si="912"/>
        <v>0</v>
      </c>
      <c r="HE176" s="141">
        <f t="shared" si="912"/>
        <v>0</v>
      </c>
      <c r="HF176" s="141">
        <f t="shared" si="912"/>
        <v>0</v>
      </c>
      <c r="HG176" s="141">
        <f t="shared" si="912"/>
        <v>0</v>
      </c>
      <c r="HH176" s="141">
        <f t="shared" si="912"/>
        <v>0</v>
      </c>
      <c r="HI176" s="141">
        <f t="shared" si="912"/>
        <v>0</v>
      </c>
      <c r="HJ176" s="141">
        <f t="shared" si="912"/>
        <v>0</v>
      </c>
      <c r="HK176" s="141">
        <f t="shared" si="912"/>
        <v>0</v>
      </c>
      <c r="HL176" s="141">
        <f t="shared" si="912"/>
        <v>0</v>
      </c>
      <c r="HM176" s="142">
        <f t="shared" ref="HM176:IP176" si="913">IF(ISBLANK($A176),,FE176*($AH176-($AH176*$AJ176))/$AI176)</f>
        <v>0</v>
      </c>
      <c r="HN176" s="142">
        <f t="shared" si="913"/>
        <v>0</v>
      </c>
      <c r="HO176" s="142">
        <f t="shared" si="913"/>
        <v>0</v>
      </c>
      <c r="HP176" s="142">
        <f t="shared" si="913"/>
        <v>0</v>
      </c>
      <c r="HQ176" s="142">
        <f t="shared" si="913"/>
        <v>0</v>
      </c>
      <c r="HR176" s="142">
        <f t="shared" si="913"/>
        <v>0</v>
      </c>
      <c r="HS176" s="142">
        <f t="shared" si="913"/>
        <v>0</v>
      </c>
      <c r="HT176" s="142">
        <f t="shared" si="913"/>
        <v>0</v>
      </c>
      <c r="HU176" s="142">
        <f t="shared" si="913"/>
        <v>0</v>
      </c>
      <c r="HV176" s="142">
        <f t="shared" si="913"/>
        <v>0</v>
      </c>
      <c r="HW176" s="142">
        <f t="shared" si="913"/>
        <v>0</v>
      </c>
      <c r="HX176" s="142">
        <f t="shared" si="913"/>
        <v>0</v>
      </c>
      <c r="HY176" s="142">
        <f t="shared" si="913"/>
        <v>0</v>
      </c>
      <c r="HZ176" s="142">
        <f t="shared" si="913"/>
        <v>0</v>
      </c>
      <c r="IA176" s="142">
        <f t="shared" si="913"/>
        <v>0</v>
      </c>
      <c r="IB176" s="142">
        <f t="shared" si="913"/>
        <v>0</v>
      </c>
      <c r="IC176" s="142">
        <f t="shared" si="913"/>
        <v>0</v>
      </c>
      <c r="ID176" s="142">
        <f t="shared" si="913"/>
        <v>0</v>
      </c>
      <c r="IE176" s="142">
        <f t="shared" si="913"/>
        <v>0</v>
      </c>
      <c r="IF176" s="142">
        <f t="shared" si="913"/>
        <v>0</v>
      </c>
      <c r="IG176" s="142">
        <f t="shared" si="913"/>
        <v>0</v>
      </c>
      <c r="IH176" s="142">
        <f t="shared" si="913"/>
        <v>0</v>
      </c>
      <c r="II176" s="142">
        <f t="shared" si="913"/>
        <v>0</v>
      </c>
      <c r="IJ176" s="142">
        <f t="shared" si="913"/>
        <v>0</v>
      </c>
      <c r="IK176" s="142">
        <f t="shared" si="913"/>
        <v>0</v>
      </c>
      <c r="IL176" s="142">
        <f t="shared" si="913"/>
        <v>0</v>
      </c>
      <c r="IM176" s="142">
        <f t="shared" si="913"/>
        <v>0</v>
      </c>
      <c r="IN176" s="142">
        <f t="shared" si="913"/>
        <v>0</v>
      </c>
      <c r="IO176" s="142">
        <f t="shared" si="913"/>
        <v>0</v>
      </c>
      <c r="IP176" s="142">
        <f t="shared" si="913"/>
        <v>0</v>
      </c>
      <c r="IQ176" s="141">
        <f>IF(ISBLANK($A176),,IF($AN176="Não",0,(SUM($AO176:AO176)*$AH176)-SUM($HM176:HM176)-SUM($CW176:CW176)))</f>
        <v>0</v>
      </c>
      <c r="IR176" s="141">
        <f>IF(ISBLANK($A176),,IF($AN176="Não",0,(SUM($AO176:AP176)*$AH176)-SUM($HM176:HN176)-SUM($CW176:CX176)))</f>
        <v>0</v>
      </c>
      <c r="IS176" s="141">
        <f>IF(ISBLANK($A176),,IF($AN176="Não",0,(SUM($AO176:AQ176)*$AH176)-SUM($HM176:HO176)-SUM($CW176:CY176)))</f>
        <v>0</v>
      </c>
      <c r="IT176" s="141">
        <f>IF(ISBLANK($A176),,IF($AN176="Não",0,(SUM($AO176:AR176)*$AH176)-SUM($HM176:HP176)-SUM($CW176:CZ176)))</f>
        <v>0</v>
      </c>
      <c r="IU176" s="141">
        <f>IF(ISBLANK($A176),,IF($AN176="Não",0,(SUM($AO176:AS176)*$AH176)-SUM($HM176:HQ176)-SUM($CW176:DA176)))</f>
        <v>0</v>
      </c>
      <c r="IV176" s="141">
        <f>IF(ISBLANK($A176),,IF($AN176="Não",0,(SUM($AO176:AT176)*$AH176)-SUM($HM176:HR176)-SUM($CW176:DB176)))</f>
        <v>0</v>
      </c>
      <c r="IW176" s="141">
        <f>IF(ISBLANK($A176),,IF($AN176="Não",0,(SUM($AO176:AU176)*$AH176)-SUM($HM176:HS176)-SUM($CW176:DC176)))</f>
        <v>0</v>
      </c>
      <c r="IX176" s="141">
        <f>IF(ISBLANK($A176),,IF($AN176="Não",0,(SUM($AO176:AV176)*$AH176)-SUM($HM176:HT176)-SUM($CW176:DD176)))</f>
        <v>0</v>
      </c>
      <c r="IY176" s="141">
        <f>IF(ISBLANK($A176),,IF($AN176="Não",0,(SUM($AO176:AW176)*$AH176)-SUM($HM176:HU176)-SUM($CW176:DE176)))</f>
        <v>0</v>
      </c>
      <c r="IZ176" s="141">
        <f>IF(ISBLANK($A176),,IF($AN176="Não",0,(SUM($AO176:AX176)*$AH176)-SUM($HM176:HV176)-SUM($CW176:DF176)))</f>
        <v>0</v>
      </c>
      <c r="JA176" s="141">
        <f>IF(ISBLANK($A176),,IF($AN176="Não",0,(SUM($AO176:AY176)*$AH176)-SUM($HM176:HW176)-SUM($CW176:DG176)))</f>
        <v>0</v>
      </c>
      <c r="JB176" s="141">
        <f>IF(ISBLANK($A176),,IF($AN176="Não",0,(SUM($AO176:AZ176)*$AH176)-SUM($HM176:HX176)-SUM($CW176:DH176)))</f>
        <v>0</v>
      </c>
      <c r="JC176" s="141">
        <f>IF(ISBLANK($A176),,IF($AN176="Não",0,(SUM($AO176:BA176)*$AH176)-SUM($HM176:HY176)-SUM($CW176:DI176)))</f>
        <v>0</v>
      </c>
      <c r="JD176" s="141">
        <f>IF(ISBLANK($A176),,IF($AN176="Não",0,(SUM($AO176:BB176)*$AH176)-SUM($HM176:HZ176)-SUM($CW176:DJ176)))</f>
        <v>0</v>
      </c>
      <c r="JE176" s="141">
        <f>IF(ISBLANK($A176),,IF($AN176="Não",0,(SUM($AO176:BC176)*$AH176)-SUM($HM176:IA176)-SUM($CW176:DK176)))</f>
        <v>0</v>
      </c>
      <c r="JF176" s="141">
        <f>IF(ISBLANK($A176),,IF($AN176="Não",0,(SUM($AO176:BD176)*$AH176)-SUM($HM176:IB176)-SUM($CW176:DL176)))</f>
        <v>0</v>
      </c>
      <c r="JG176" s="141">
        <f>IF(ISBLANK($A176),,IF($AN176="Não",0,(SUM($AO176:BE176)*$AH176)-SUM($HM176:IC176)-SUM($CW176:DM176)))</f>
        <v>0</v>
      </c>
      <c r="JH176" s="141">
        <f>IF(ISBLANK($A176),,IF($AN176="Não",0,(SUM($AO176:BF176)*$AH176)-SUM($HM176:ID176)-SUM($CW176:DN176)))</f>
        <v>0</v>
      </c>
      <c r="JI176" s="141">
        <f>IF(ISBLANK($A176),,IF($AN176="Não",0,(SUM($AO176:BG176)*$AH176)-SUM($HM176:IE176)-SUM($CW176:DO176)))</f>
        <v>0</v>
      </c>
      <c r="JJ176" s="141">
        <f>IF(ISBLANK($A176),,IF($AN176="Não",0,(SUM($AO176:BH176)*$AH176)-SUM($HM176:IF176)-SUM($CW176:DP176)))</f>
        <v>0</v>
      </c>
      <c r="JK176" s="141">
        <f>IF(ISBLANK($A176),,IF($AN176="Não",0,(SUM($AO176:BI176)*$AH176)-SUM($HM176:IG176)-SUM($CW176:DQ176)))</f>
        <v>0</v>
      </c>
      <c r="JL176" s="141">
        <f>IF(ISBLANK($A176),,IF($AN176="Não",0,(SUM($AO176:BJ176)*$AH176)-SUM($HM176:IH176)-SUM($CW176:DR176)))</f>
        <v>0</v>
      </c>
      <c r="JM176" s="141">
        <f>IF(ISBLANK($A176),,IF($AN176="Não",0,(SUM($AO176:BK176)*$AH176)-SUM($HM176:II176)-SUM($CW176:DS176)))</f>
        <v>0</v>
      </c>
      <c r="JN176" s="141">
        <f>IF(ISBLANK($A176),,IF($AN176="Não",0,(SUM($AO176:BL176)*$AH176)-SUM($HM176:IJ176)-SUM($CW176:DT176)))</f>
        <v>0</v>
      </c>
      <c r="JO176" s="141">
        <f>IF(ISBLANK($A176),,IF($AN176="Não",0,(SUM($AO176:BM176)*$AH176)-SUM($HM176:IK176)-SUM($CW176:DU176)))</f>
        <v>0</v>
      </c>
      <c r="JP176" s="141">
        <f>IF(ISBLANK($A176),,IF($AN176="Não",0,(SUM($AO176:BN176)*$AH176)-SUM($HM176:IL176)-SUM($CW176:DV176)))</f>
        <v>0</v>
      </c>
      <c r="JQ176" s="141">
        <f>IF(ISBLANK($A176),,IF($AN176="Não",0,(SUM($AO176:BO176)*$AH176)-SUM($HM176:IM176)-SUM($CW176:DW176)))</f>
        <v>0</v>
      </c>
      <c r="JR176" s="141">
        <f>IF(ISBLANK($A176),,IF($AN176="Não",0,(SUM($AO176:BP176)*$AH176)-SUM($HM176:IN176)-SUM($CW176:DX176)))</f>
        <v>0</v>
      </c>
      <c r="JS176" s="141">
        <f>IF(ISBLANK($A176),,IF($AN176="Não",0,(SUM($AO176:BQ176)*$AH176)-SUM($HM176:IO176)-SUM($CW176:DY176)))</f>
        <v>0</v>
      </c>
      <c r="JT176" s="141">
        <f>IF(ISBLANK($A176),,IF($AN176="Não",0,(SUM($AO176:BR176)*$AH176)-SUM($HM176:IP176)-SUM($CW176:DZ176)))</f>
        <v>0</v>
      </c>
    </row>
    <row r="177" spans="1:280" ht="15.75" customHeight="1">
      <c r="A177" s="594"/>
      <c r="B177" s="594"/>
      <c r="C177" s="593"/>
      <c r="D177" s="618"/>
      <c r="E177" s="618"/>
      <c r="F177" s="618"/>
      <c r="G177" s="618"/>
      <c r="H177" s="618"/>
      <c r="I177" s="618"/>
      <c r="J177" s="618"/>
      <c r="K177" s="618"/>
      <c r="L177" s="618"/>
      <c r="M177" s="618"/>
      <c r="N177" s="618"/>
      <c r="O177" s="618"/>
      <c r="P177" s="618"/>
      <c r="Q177" s="618"/>
      <c r="R177" s="618"/>
      <c r="S177" s="618"/>
      <c r="T177" s="618"/>
      <c r="U177" s="618"/>
      <c r="V177" s="618"/>
      <c r="W177" s="618"/>
      <c r="X177" s="618"/>
      <c r="Y177" s="618"/>
      <c r="Z177" s="618"/>
      <c r="AA177" s="618"/>
      <c r="AB177" s="618"/>
      <c r="AC177" s="618"/>
      <c r="AD177" s="618"/>
      <c r="AE177" s="618"/>
      <c r="AF177" s="618"/>
      <c r="AG177" s="618"/>
      <c r="AH177" s="486"/>
      <c r="AI177" s="593"/>
      <c r="AJ177" s="593"/>
      <c r="AK177" s="594"/>
      <c r="AL177" s="594"/>
      <c r="AM177" s="594"/>
      <c r="AN177" s="594"/>
      <c r="AO177" s="594"/>
      <c r="AP177" s="594"/>
      <c r="AQ177" s="594"/>
      <c r="AR177" s="594"/>
      <c r="AS177" s="594"/>
      <c r="AT177" s="594"/>
      <c r="AU177" s="594"/>
      <c r="AV177" s="594"/>
      <c r="AW177" s="594"/>
      <c r="AX177" s="594"/>
      <c r="AY177" s="594"/>
      <c r="AZ177" s="594"/>
      <c r="BA177" s="594"/>
      <c r="BB177" s="594"/>
      <c r="BC177" s="594"/>
      <c r="BD177" s="594"/>
      <c r="BE177" s="594"/>
      <c r="BF177" s="594"/>
      <c r="BG177" s="594"/>
      <c r="BH177" s="594"/>
      <c r="BI177" s="594"/>
      <c r="BJ177" s="594"/>
      <c r="BK177" s="594"/>
      <c r="BL177" s="594"/>
      <c r="BM177" s="594"/>
      <c r="BN177" s="594"/>
      <c r="BO177" s="594"/>
      <c r="BP177" s="594"/>
      <c r="BQ177" s="594"/>
      <c r="BR177" s="594"/>
      <c r="BS177" s="619">
        <f t="shared" ref="BS177:CX177" si="914">SUM(BS6:BS176)</f>
        <v>41400633.088466667</v>
      </c>
      <c r="BT177" s="619">
        <f t="shared" si="914"/>
        <v>16959622.166666668</v>
      </c>
      <c r="BU177" s="619">
        <f t="shared" si="914"/>
        <v>10024215.666666668</v>
      </c>
      <c r="BV177" s="619">
        <f t="shared" si="914"/>
        <v>1693560</v>
      </c>
      <c r="BW177" s="619">
        <f t="shared" si="914"/>
        <v>0</v>
      </c>
      <c r="BX177" s="619">
        <f t="shared" si="914"/>
        <v>4805744.108</v>
      </c>
      <c r="BY177" s="619">
        <f t="shared" si="914"/>
        <v>43560.000000000007</v>
      </c>
      <c r="BZ177" s="619">
        <f t="shared" si="914"/>
        <v>0</v>
      </c>
      <c r="CA177" s="619">
        <f t="shared" si="914"/>
        <v>0</v>
      </c>
      <c r="CB177" s="619">
        <f t="shared" si="914"/>
        <v>43560.000000000007</v>
      </c>
      <c r="CC177" s="619">
        <f t="shared" si="914"/>
        <v>10681096.206</v>
      </c>
      <c r="CD177" s="619">
        <f t="shared" si="914"/>
        <v>0</v>
      </c>
      <c r="CE177" s="619">
        <f t="shared" si="914"/>
        <v>43560.000000000007</v>
      </c>
      <c r="CF177" s="619">
        <f t="shared" si="914"/>
        <v>0</v>
      </c>
      <c r="CG177" s="619">
        <f t="shared" si="914"/>
        <v>0</v>
      </c>
      <c r="CH177" s="619">
        <f t="shared" si="914"/>
        <v>4849304.108</v>
      </c>
      <c r="CI177" s="619">
        <f t="shared" si="914"/>
        <v>0</v>
      </c>
      <c r="CJ177" s="619">
        <f t="shared" si="914"/>
        <v>0</v>
      </c>
      <c r="CK177" s="619">
        <f t="shared" si="914"/>
        <v>43560.000000000007</v>
      </c>
      <c r="CL177" s="619">
        <f t="shared" si="914"/>
        <v>0</v>
      </c>
      <c r="CM177" s="619">
        <f t="shared" si="914"/>
        <v>20427096.206</v>
      </c>
      <c r="CN177" s="619">
        <f t="shared" si="914"/>
        <v>43560.000000000007</v>
      </c>
      <c r="CO177" s="619">
        <f t="shared" si="914"/>
        <v>0</v>
      </c>
      <c r="CP177" s="619">
        <f t="shared" si="914"/>
        <v>0</v>
      </c>
      <c r="CQ177" s="619">
        <f t="shared" si="914"/>
        <v>43560.000000000007</v>
      </c>
      <c r="CR177" s="619">
        <f t="shared" si="914"/>
        <v>4805744.108</v>
      </c>
      <c r="CS177" s="619">
        <f t="shared" si="914"/>
        <v>0</v>
      </c>
      <c r="CT177" s="619">
        <f t="shared" si="914"/>
        <v>43560.000000000007</v>
      </c>
      <c r="CU177" s="619">
        <f t="shared" si="914"/>
        <v>0</v>
      </c>
      <c r="CV177" s="619">
        <f t="shared" si="914"/>
        <v>0</v>
      </c>
      <c r="CW177" s="619">
        <f t="shared" si="914"/>
        <v>0</v>
      </c>
      <c r="CX177" s="619">
        <f t="shared" si="914"/>
        <v>0</v>
      </c>
      <c r="CY177" s="619">
        <f t="shared" ref="CY177:DZ177" si="915">SUM(CY6:CY176)</f>
        <v>0</v>
      </c>
      <c r="CZ177" s="619">
        <f t="shared" si="915"/>
        <v>0</v>
      </c>
      <c r="DA177" s="619">
        <f t="shared" si="915"/>
        <v>0</v>
      </c>
      <c r="DB177" s="619">
        <f t="shared" si="915"/>
        <v>1923851.82</v>
      </c>
      <c r="DC177" s="619">
        <f t="shared" si="915"/>
        <v>0</v>
      </c>
      <c r="DD177" s="619">
        <f t="shared" si="915"/>
        <v>0</v>
      </c>
      <c r="DE177" s="619">
        <f t="shared" si="915"/>
        <v>0</v>
      </c>
      <c r="DF177" s="619">
        <f t="shared" si="915"/>
        <v>0</v>
      </c>
      <c r="DG177" s="619">
        <f t="shared" si="915"/>
        <v>3106790.9972000001</v>
      </c>
      <c r="DH177" s="619">
        <f t="shared" si="915"/>
        <v>0</v>
      </c>
      <c r="DI177" s="619">
        <f t="shared" si="915"/>
        <v>0</v>
      </c>
      <c r="DJ177" s="619">
        <f t="shared" si="915"/>
        <v>0</v>
      </c>
      <c r="DK177" s="619">
        <f t="shared" si="915"/>
        <v>0</v>
      </c>
      <c r="DL177" s="619">
        <f t="shared" si="915"/>
        <v>1923851.82</v>
      </c>
      <c r="DM177" s="619">
        <f t="shared" si="915"/>
        <v>0</v>
      </c>
      <c r="DN177" s="619">
        <f t="shared" si="915"/>
        <v>0</v>
      </c>
      <c r="DO177" s="619">
        <f t="shared" si="915"/>
        <v>0</v>
      </c>
      <c r="DP177" s="619">
        <f t="shared" si="915"/>
        <v>0</v>
      </c>
      <c r="DQ177" s="619">
        <f t="shared" si="915"/>
        <v>7979790.9972000001</v>
      </c>
      <c r="DR177" s="619">
        <f t="shared" si="915"/>
        <v>0</v>
      </c>
      <c r="DS177" s="619">
        <f t="shared" si="915"/>
        <v>0</v>
      </c>
      <c r="DT177" s="619">
        <f t="shared" si="915"/>
        <v>0</v>
      </c>
      <c r="DU177" s="619">
        <f t="shared" si="915"/>
        <v>0</v>
      </c>
      <c r="DV177" s="619">
        <f t="shared" si="915"/>
        <v>1923851.82</v>
      </c>
      <c r="DW177" s="619">
        <f t="shared" si="915"/>
        <v>0</v>
      </c>
      <c r="DX177" s="619">
        <f t="shared" si="915"/>
        <v>0</v>
      </c>
      <c r="DY177" s="619">
        <f t="shared" si="915"/>
        <v>0</v>
      </c>
      <c r="DZ177" s="619">
        <f t="shared" si="915"/>
        <v>0</v>
      </c>
      <c r="EA177" s="594"/>
      <c r="EB177" s="594"/>
      <c r="EC177" s="594"/>
      <c r="ED177" s="594"/>
      <c r="EE177" s="594"/>
      <c r="EF177" s="594"/>
      <c r="EG177" s="594"/>
      <c r="EH177" s="594"/>
      <c r="EI177" s="594"/>
      <c r="EJ177" s="594"/>
      <c r="EK177" s="594"/>
      <c r="EL177" s="594"/>
      <c r="EM177" s="594"/>
      <c r="EN177" s="594"/>
      <c r="EO177" s="594"/>
      <c r="EP177" s="594"/>
      <c r="EQ177" s="594"/>
      <c r="ER177" s="594"/>
      <c r="ES177" s="594"/>
      <c r="ET177" s="594"/>
      <c r="EU177" s="594"/>
      <c r="EV177" s="594"/>
      <c r="EW177" s="594"/>
      <c r="EX177" s="594"/>
      <c r="EY177" s="594"/>
      <c r="EZ177" s="594"/>
      <c r="FA177" s="594"/>
      <c r="FB177" s="594"/>
      <c r="FC177" s="594"/>
      <c r="FD177" s="594"/>
      <c r="FE177" s="594"/>
      <c r="FF177" s="594"/>
      <c r="FG177" s="594"/>
      <c r="FH177" s="594"/>
      <c r="FI177" s="594"/>
      <c r="FJ177" s="594"/>
      <c r="FK177" s="594"/>
      <c r="FL177" s="594"/>
      <c r="FM177" s="594"/>
      <c r="FN177" s="594"/>
      <c r="FO177" s="594"/>
      <c r="FP177" s="594"/>
      <c r="FQ177" s="594"/>
      <c r="FR177" s="594"/>
      <c r="FS177" s="594"/>
      <c r="FT177" s="594"/>
      <c r="FU177" s="594"/>
      <c r="FV177" s="594"/>
      <c r="FW177" s="594"/>
      <c r="FX177" s="594"/>
      <c r="FY177" s="594"/>
      <c r="FZ177" s="594"/>
      <c r="GA177" s="594"/>
      <c r="GB177" s="594"/>
      <c r="GC177" s="594"/>
      <c r="GD177" s="594"/>
      <c r="GE177" s="594"/>
      <c r="GF177" s="594"/>
      <c r="GG177" s="594"/>
      <c r="GH177" s="594"/>
      <c r="GI177" s="620">
        <f t="shared" ref="GI177:HN177" si="916">SUM(GI6:GI176)</f>
        <v>2180675.6945233336</v>
      </c>
      <c r="GJ177" s="620">
        <f t="shared" si="916"/>
        <v>3194404.8028566674</v>
      </c>
      <c r="GK177" s="620">
        <f t="shared" si="916"/>
        <v>3861363.5861900006</v>
      </c>
      <c r="GL177" s="620">
        <f t="shared" si="916"/>
        <v>4026363.5861900006</v>
      </c>
      <c r="GM177" s="620">
        <f t="shared" si="916"/>
        <v>4026363.5861900006</v>
      </c>
      <c r="GN177" s="620">
        <f t="shared" si="916"/>
        <v>4026363.5861900006</v>
      </c>
      <c r="GO177" s="620">
        <f t="shared" si="916"/>
        <v>4026363.5861900006</v>
      </c>
      <c r="GP177" s="620">
        <f t="shared" si="916"/>
        <v>4026363.5861900006</v>
      </c>
      <c r="GQ177" s="620">
        <f t="shared" si="916"/>
        <v>4026363.5861900006</v>
      </c>
      <c r="GR177" s="620">
        <f t="shared" si="916"/>
        <v>4026363.5861900006</v>
      </c>
      <c r="GS177" s="620">
        <f t="shared" si="916"/>
        <v>4026363.5861900006</v>
      </c>
      <c r="GT177" s="620">
        <f t="shared" si="916"/>
        <v>4026363.5861900006</v>
      </c>
      <c r="GU177" s="620">
        <f t="shared" si="916"/>
        <v>4026363.5861900006</v>
      </c>
      <c r="GV177" s="620">
        <f t="shared" si="916"/>
        <v>4026363.5861900006</v>
      </c>
      <c r="GW177" s="620">
        <f t="shared" si="916"/>
        <v>4026363.5861900006</v>
      </c>
      <c r="GX177" s="620">
        <f t="shared" si="916"/>
        <v>4026363.5861900006</v>
      </c>
      <c r="GY177" s="620">
        <f t="shared" si="916"/>
        <v>4026363.5861900006</v>
      </c>
      <c r="GZ177" s="620">
        <f t="shared" si="916"/>
        <v>4026363.5861900006</v>
      </c>
      <c r="HA177" s="620">
        <f t="shared" si="916"/>
        <v>4026363.5861900006</v>
      </c>
      <c r="HB177" s="620">
        <f t="shared" si="916"/>
        <v>4026363.5861900006</v>
      </c>
      <c r="HC177" s="620">
        <f t="shared" si="916"/>
        <v>4026363.5861900006</v>
      </c>
      <c r="HD177" s="620">
        <f t="shared" si="916"/>
        <v>4026363.5861900006</v>
      </c>
      <c r="HE177" s="620">
        <f t="shared" si="916"/>
        <v>4026363.5861900006</v>
      </c>
      <c r="HF177" s="620">
        <f t="shared" si="916"/>
        <v>4026363.5861900006</v>
      </c>
      <c r="HG177" s="620">
        <f t="shared" si="916"/>
        <v>4026363.5861900006</v>
      </c>
      <c r="HH177" s="620">
        <f t="shared" si="916"/>
        <v>4026363.5861900006</v>
      </c>
      <c r="HI177" s="620">
        <f t="shared" si="916"/>
        <v>4026363.5861900006</v>
      </c>
      <c r="HJ177" s="620">
        <f t="shared" si="916"/>
        <v>4026363.5861900006</v>
      </c>
      <c r="HK177" s="620">
        <f t="shared" si="916"/>
        <v>4026363.5861900006</v>
      </c>
      <c r="HL177" s="620">
        <f t="shared" si="916"/>
        <v>4026363.5861900006</v>
      </c>
      <c r="HM177" s="620">
        <f t="shared" si="916"/>
        <v>2037395.6345844448</v>
      </c>
      <c r="HN177" s="620">
        <f t="shared" si="916"/>
        <v>2195046.5956955557</v>
      </c>
      <c r="HO177" s="620">
        <f t="shared" ref="HO177:IT177" si="917">SUM(HO6:HO176)</f>
        <v>2284317.3401399995</v>
      </c>
      <c r="HP177" s="620">
        <f t="shared" si="917"/>
        <v>2284317.3401399995</v>
      </c>
      <c r="HQ177" s="620">
        <f t="shared" si="917"/>
        <v>2284317.3401399995</v>
      </c>
      <c r="HR177" s="620">
        <f t="shared" si="917"/>
        <v>2284317.3401399995</v>
      </c>
      <c r="HS177" s="620">
        <f t="shared" si="917"/>
        <v>2284317.3401399995</v>
      </c>
      <c r="HT177" s="620">
        <f t="shared" si="917"/>
        <v>2284317.3401399995</v>
      </c>
      <c r="HU177" s="620">
        <f t="shared" si="917"/>
        <v>2284317.3401399995</v>
      </c>
      <c r="HV177" s="620">
        <f t="shared" si="917"/>
        <v>2284317.3401399995</v>
      </c>
      <c r="HW177" s="620">
        <f t="shared" si="917"/>
        <v>2284317.3401399995</v>
      </c>
      <c r="HX177" s="620">
        <f t="shared" si="917"/>
        <v>2284317.3401399995</v>
      </c>
      <c r="HY177" s="620">
        <f t="shared" si="917"/>
        <v>2284317.3401399995</v>
      </c>
      <c r="HZ177" s="620">
        <f t="shared" si="917"/>
        <v>2284317.3401399995</v>
      </c>
      <c r="IA177" s="620">
        <f t="shared" si="917"/>
        <v>2284317.3401399995</v>
      </c>
      <c r="IB177" s="620">
        <f t="shared" si="917"/>
        <v>2284317.3401399995</v>
      </c>
      <c r="IC177" s="620">
        <f t="shared" si="917"/>
        <v>2284317.3401399995</v>
      </c>
      <c r="ID177" s="620">
        <f t="shared" si="917"/>
        <v>2284317.3401399995</v>
      </c>
      <c r="IE177" s="620">
        <f t="shared" si="917"/>
        <v>2284317.3401399995</v>
      </c>
      <c r="IF177" s="620">
        <f t="shared" si="917"/>
        <v>2284317.3401399995</v>
      </c>
      <c r="IG177" s="620">
        <f t="shared" si="917"/>
        <v>2284317.3401399995</v>
      </c>
      <c r="IH177" s="620">
        <f t="shared" si="917"/>
        <v>2284317.3401399995</v>
      </c>
      <c r="II177" s="620">
        <f t="shared" si="917"/>
        <v>2284317.3401399995</v>
      </c>
      <c r="IJ177" s="620">
        <f t="shared" si="917"/>
        <v>2284317.3401399995</v>
      </c>
      <c r="IK177" s="620">
        <f t="shared" si="917"/>
        <v>2284317.3401399995</v>
      </c>
      <c r="IL177" s="620">
        <f t="shared" si="917"/>
        <v>2284317.3401399995</v>
      </c>
      <c r="IM177" s="620">
        <f t="shared" si="917"/>
        <v>2284317.3401399995</v>
      </c>
      <c r="IN177" s="620">
        <f t="shared" si="917"/>
        <v>2284317.3401399995</v>
      </c>
      <c r="IO177" s="620">
        <f t="shared" si="917"/>
        <v>2284317.3401399995</v>
      </c>
      <c r="IP177" s="620">
        <f t="shared" si="917"/>
        <v>2284317.3401399995</v>
      </c>
      <c r="IQ177" s="620">
        <f t="shared" si="917"/>
        <v>7178841.6449199999</v>
      </c>
      <c r="IR177" s="620">
        <f t="shared" si="917"/>
        <v>6434049.6818400007</v>
      </c>
      <c r="IS177" s="620">
        <f t="shared" si="917"/>
        <v>5689257.7187599996</v>
      </c>
      <c r="IT177" s="620">
        <f t="shared" si="917"/>
        <v>4988025.7556800004</v>
      </c>
      <c r="IU177" s="620">
        <f t="shared" ref="IU177:JT177" si="918">SUM(IU6:IU176)</f>
        <v>4243233.7926000003</v>
      </c>
      <c r="IV177" s="620">
        <f t="shared" si="918"/>
        <v>6369153.8495199988</v>
      </c>
      <c r="IW177" s="620">
        <f t="shared" si="918"/>
        <v>5667921.8864399996</v>
      </c>
      <c r="IX177" s="620">
        <f t="shared" si="918"/>
        <v>4923129.9233600004</v>
      </c>
      <c r="IY177" s="620">
        <f t="shared" si="918"/>
        <v>4178337.9602800002</v>
      </c>
      <c r="IZ177" s="620">
        <f t="shared" si="918"/>
        <v>3477105.9971999996</v>
      </c>
      <c r="JA177" s="620">
        <f t="shared" si="918"/>
        <v>7164321.6449200008</v>
      </c>
      <c r="JB177" s="620">
        <f t="shared" si="918"/>
        <v>6419529.6818399997</v>
      </c>
      <c r="JC177" s="620">
        <f t="shared" si="918"/>
        <v>5718297.7187600005</v>
      </c>
      <c r="JD177" s="620">
        <f t="shared" si="918"/>
        <v>4973505.7556799995</v>
      </c>
      <c r="JE177" s="620">
        <f t="shared" si="918"/>
        <v>4228713.7926000003</v>
      </c>
      <c r="JF177" s="620">
        <f t="shared" si="918"/>
        <v>6398193.8495199997</v>
      </c>
      <c r="JG177" s="620">
        <f t="shared" si="918"/>
        <v>5653401.8864399996</v>
      </c>
      <c r="JH177" s="620">
        <f t="shared" si="918"/>
        <v>4908609.9233599994</v>
      </c>
      <c r="JI177" s="620">
        <f t="shared" si="918"/>
        <v>4207377.9602799993</v>
      </c>
      <c r="JJ177" s="620">
        <f t="shared" si="918"/>
        <v>3462585.9971999982</v>
      </c>
      <c r="JK177" s="620">
        <f t="shared" si="918"/>
        <v>7149801.6449199989</v>
      </c>
      <c r="JL177" s="620">
        <f t="shared" si="918"/>
        <v>6448569.6818399988</v>
      </c>
      <c r="JM177" s="620">
        <f t="shared" si="918"/>
        <v>5703777.7187599977</v>
      </c>
      <c r="JN177" s="620">
        <f t="shared" si="918"/>
        <v>4958985.7556799985</v>
      </c>
      <c r="JO177" s="620">
        <f t="shared" si="918"/>
        <v>4257753.7925999984</v>
      </c>
      <c r="JP177" s="620">
        <f t="shared" si="918"/>
        <v>6383673.8495199978</v>
      </c>
      <c r="JQ177" s="620">
        <f t="shared" si="918"/>
        <v>5638881.8864399986</v>
      </c>
      <c r="JR177" s="620">
        <f t="shared" si="918"/>
        <v>4937649.9233599985</v>
      </c>
      <c r="JS177" s="620">
        <f t="shared" si="918"/>
        <v>4192857.9602799984</v>
      </c>
      <c r="JT177" s="620">
        <f t="shared" si="918"/>
        <v>3448065.9971999982</v>
      </c>
    </row>
    <row r="178" spans="1:280" ht="15.75" customHeight="1">
      <c r="A178" s="594"/>
      <c r="B178" s="594"/>
      <c r="C178" s="593"/>
      <c r="D178" s="618"/>
      <c r="E178" s="618"/>
      <c r="F178" s="618"/>
      <c r="G178" s="618"/>
      <c r="H178" s="618"/>
      <c r="I178" s="618"/>
      <c r="J178" s="618"/>
      <c r="K178" s="618"/>
      <c r="L178" s="618"/>
      <c r="M178" s="618"/>
      <c r="N178" s="618"/>
      <c r="O178" s="618"/>
      <c r="P178" s="618"/>
      <c r="Q178" s="618"/>
      <c r="R178" s="618"/>
      <c r="S178" s="618"/>
      <c r="T178" s="618"/>
      <c r="U178" s="618"/>
      <c r="V178" s="618"/>
      <c r="W178" s="618"/>
      <c r="X178" s="618"/>
      <c r="Y178" s="618"/>
      <c r="Z178" s="618"/>
      <c r="AA178" s="618"/>
      <c r="AB178" s="618"/>
      <c r="AC178" s="618"/>
      <c r="AD178" s="618"/>
      <c r="AE178" s="618"/>
      <c r="AF178" s="618"/>
      <c r="AG178" s="618"/>
      <c r="AH178" s="486"/>
      <c r="AI178" s="593"/>
      <c r="AJ178" s="593"/>
      <c r="AK178" s="594"/>
      <c r="AL178" s="594"/>
      <c r="AM178" s="594"/>
      <c r="AN178" s="594"/>
      <c r="AO178" s="594"/>
      <c r="AP178" s="594"/>
      <c r="AQ178" s="594"/>
      <c r="AR178" s="594"/>
      <c r="AS178" s="594"/>
      <c r="AT178" s="594"/>
      <c r="AU178" s="594"/>
      <c r="AV178" s="594"/>
      <c r="AW178" s="594"/>
      <c r="AX178" s="594"/>
      <c r="AY178" s="594"/>
      <c r="AZ178" s="594"/>
      <c r="BA178" s="594"/>
      <c r="BB178" s="594"/>
      <c r="BC178" s="594"/>
      <c r="BD178" s="594"/>
      <c r="BE178" s="594"/>
      <c r="BF178" s="594"/>
      <c r="BG178" s="594"/>
      <c r="BH178" s="594"/>
      <c r="BI178" s="594"/>
      <c r="BJ178" s="594"/>
      <c r="BK178" s="594"/>
      <c r="BL178" s="594"/>
      <c r="BM178" s="594"/>
      <c r="BN178" s="594"/>
      <c r="BO178" s="594"/>
      <c r="BP178" s="594"/>
      <c r="BQ178" s="594"/>
      <c r="BR178" s="594" t="s">
        <v>209</v>
      </c>
      <c r="BS178" s="621">
        <f t="shared" ref="BS178:CB179" si="919">SUMIF($B$6:$B$176,$BR178,BS$6:BS$176)</f>
        <v>11521520.051799998</v>
      </c>
      <c r="BT178" s="621">
        <f t="shared" si="919"/>
        <v>0</v>
      </c>
      <c r="BU178" s="621">
        <f t="shared" si="919"/>
        <v>0</v>
      </c>
      <c r="BV178" s="621">
        <f t="shared" si="919"/>
        <v>0</v>
      </c>
      <c r="BW178" s="621">
        <f t="shared" si="919"/>
        <v>0</v>
      </c>
      <c r="BX178" s="621">
        <f t="shared" si="919"/>
        <v>783208.66800000006</v>
      </c>
      <c r="BY178" s="621">
        <f t="shared" si="919"/>
        <v>0</v>
      </c>
      <c r="BZ178" s="621">
        <f t="shared" si="919"/>
        <v>0</v>
      </c>
      <c r="CA178" s="621">
        <f t="shared" si="919"/>
        <v>0</v>
      </c>
      <c r="CB178" s="621">
        <f t="shared" si="919"/>
        <v>0</v>
      </c>
      <c r="CC178" s="621">
        <f t="shared" ref="CC178:CL179" si="920">SUMIF($B$6:$B$176,$BR178,CC$6:CC$176)</f>
        <v>4703693.5660000006</v>
      </c>
      <c r="CD178" s="621">
        <f t="shared" si="920"/>
        <v>0</v>
      </c>
      <c r="CE178" s="621">
        <f t="shared" si="920"/>
        <v>0</v>
      </c>
      <c r="CF178" s="621">
        <f t="shared" si="920"/>
        <v>0</v>
      </c>
      <c r="CG178" s="621">
        <f t="shared" si="920"/>
        <v>0</v>
      </c>
      <c r="CH178" s="621">
        <f t="shared" si="920"/>
        <v>783208.66800000006</v>
      </c>
      <c r="CI178" s="621">
        <f t="shared" si="920"/>
        <v>0</v>
      </c>
      <c r="CJ178" s="621">
        <f t="shared" si="920"/>
        <v>0</v>
      </c>
      <c r="CK178" s="621">
        <f t="shared" si="920"/>
        <v>0</v>
      </c>
      <c r="CL178" s="621">
        <f t="shared" si="920"/>
        <v>0</v>
      </c>
      <c r="CM178" s="621">
        <f t="shared" ref="CM178:CV179" si="921">SUMIF($B$6:$B$176,$BR178,CM$6:CM$176)</f>
        <v>4703693.5660000006</v>
      </c>
      <c r="CN178" s="621">
        <f t="shared" si="921"/>
        <v>0</v>
      </c>
      <c r="CO178" s="621">
        <f t="shared" si="921"/>
        <v>0</v>
      </c>
      <c r="CP178" s="621">
        <f t="shared" si="921"/>
        <v>0</v>
      </c>
      <c r="CQ178" s="621">
        <f t="shared" si="921"/>
        <v>0</v>
      </c>
      <c r="CR178" s="621">
        <f t="shared" si="921"/>
        <v>783208.66800000006</v>
      </c>
      <c r="CS178" s="621">
        <f t="shared" si="921"/>
        <v>0</v>
      </c>
      <c r="CT178" s="621">
        <f t="shared" si="921"/>
        <v>0</v>
      </c>
      <c r="CU178" s="621">
        <f t="shared" si="921"/>
        <v>0</v>
      </c>
      <c r="CV178" s="621">
        <f t="shared" si="921"/>
        <v>0</v>
      </c>
      <c r="CW178" s="622"/>
      <c r="CX178" s="622"/>
      <c r="CY178" s="622"/>
      <c r="CZ178" s="622"/>
      <c r="DA178" s="622"/>
      <c r="DB178" s="622"/>
      <c r="DC178" s="622"/>
      <c r="DD178" s="622"/>
      <c r="DE178" s="622"/>
      <c r="DF178" s="622"/>
      <c r="DG178" s="622"/>
      <c r="DH178" s="622"/>
      <c r="DI178" s="622"/>
      <c r="DJ178" s="622"/>
      <c r="DK178" s="622"/>
      <c r="DL178" s="622"/>
      <c r="DM178" s="622"/>
      <c r="DN178" s="622"/>
      <c r="DO178" s="622"/>
      <c r="DP178" s="622"/>
      <c r="DQ178" s="622"/>
      <c r="DR178" s="622"/>
      <c r="DS178" s="622"/>
      <c r="DT178" s="622"/>
      <c r="DU178" s="622"/>
      <c r="DV178" s="622"/>
      <c r="DW178" s="622"/>
      <c r="DX178" s="622"/>
      <c r="DY178" s="622"/>
      <c r="DZ178" s="622"/>
      <c r="EA178" s="594"/>
      <c r="EB178" s="594"/>
      <c r="EC178" s="594"/>
      <c r="ED178" s="594"/>
      <c r="EE178" s="594"/>
      <c r="EF178" s="594"/>
      <c r="EG178" s="594"/>
      <c r="EH178" s="594"/>
      <c r="EI178" s="594"/>
      <c r="EJ178" s="594"/>
      <c r="EK178" s="594"/>
      <c r="EL178" s="594"/>
      <c r="EM178" s="594"/>
      <c r="EN178" s="594"/>
      <c r="EO178" s="594"/>
      <c r="EP178" s="594"/>
      <c r="EQ178" s="594"/>
      <c r="ER178" s="594"/>
      <c r="ES178" s="594"/>
      <c r="ET178" s="594"/>
      <c r="EU178" s="594"/>
      <c r="EV178" s="594"/>
      <c r="EW178" s="594"/>
      <c r="EX178" s="594"/>
      <c r="EY178" s="594"/>
      <c r="EZ178" s="594"/>
      <c r="FA178" s="594"/>
      <c r="FB178" s="594"/>
      <c r="FC178" s="594"/>
      <c r="FD178" s="594"/>
      <c r="FE178" s="594"/>
      <c r="FF178" s="594"/>
      <c r="FG178" s="594"/>
      <c r="FH178" s="594"/>
      <c r="FI178" s="594"/>
      <c r="FJ178" s="594"/>
      <c r="FK178" s="594"/>
      <c r="FL178" s="594"/>
      <c r="FM178" s="594"/>
      <c r="FN178" s="594"/>
      <c r="FO178" s="594"/>
      <c r="FP178" s="594"/>
      <c r="FQ178" s="594"/>
      <c r="FR178" s="594"/>
      <c r="FS178" s="594"/>
      <c r="FT178" s="594"/>
      <c r="FU178" s="594"/>
      <c r="FV178" s="594"/>
      <c r="FW178" s="594"/>
      <c r="FX178" s="594"/>
      <c r="FY178" s="594"/>
      <c r="FZ178" s="594"/>
      <c r="GA178" s="594"/>
      <c r="GB178" s="594"/>
      <c r="GC178" s="594"/>
      <c r="GD178" s="594"/>
      <c r="GE178" s="594"/>
      <c r="GF178" s="594"/>
      <c r="GG178" s="594"/>
      <c r="GH178" s="594" t="s">
        <v>209</v>
      </c>
      <c r="GI178" s="486">
        <f t="shared" ref="GI178:GR179" si="922">SUMIF($B$6:$B$176,$GH178,GI$6:GI$176)</f>
        <v>644722.04269000003</v>
      </c>
      <c r="GJ178" s="486">
        <f t="shared" si="922"/>
        <v>644722.04269000003</v>
      </c>
      <c r="GK178" s="486">
        <f t="shared" si="922"/>
        <v>644722.04269000003</v>
      </c>
      <c r="GL178" s="486">
        <f t="shared" si="922"/>
        <v>644722.04269000003</v>
      </c>
      <c r="GM178" s="486">
        <f t="shared" si="922"/>
        <v>644722.04269000003</v>
      </c>
      <c r="GN178" s="486">
        <f t="shared" si="922"/>
        <v>644722.04269000003</v>
      </c>
      <c r="GO178" s="486">
        <f t="shared" si="922"/>
        <v>644722.04269000003</v>
      </c>
      <c r="GP178" s="486">
        <f t="shared" si="922"/>
        <v>644722.04269000003</v>
      </c>
      <c r="GQ178" s="486">
        <f t="shared" si="922"/>
        <v>644722.04269000003</v>
      </c>
      <c r="GR178" s="486">
        <f t="shared" si="922"/>
        <v>644722.04269000003</v>
      </c>
      <c r="GS178" s="486">
        <f t="shared" ref="GS178:HB179" si="923">SUMIF($B$6:$B$176,$GH178,GS$6:GS$176)</f>
        <v>644722.04269000003</v>
      </c>
      <c r="GT178" s="486">
        <f t="shared" si="923"/>
        <v>644722.04269000003</v>
      </c>
      <c r="GU178" s="486">
        <f t="shared" si="923"/>
        <v>644722.04269000003</v>
      </c>
      <c r="GV178" s="486">
        <f t="shared" si="923"/>
        <v>644722.04269000003</v>
      </c>
      <c r="GW178" s="486">
        <f t="shared" si="923"/>
        <v>644722.04269000003</v>
      </c>
      <c r="GX178" s="486">
        <f t="shared" si="923"/>
        <v>644722.04269000003</v>
      </c>
      <c r="GY178" s="486">
        <f t="shared" si="923"/>
        <v>644722.04269000003</v>
      </c>
      <c r="GZ178" s="486">
        <f t="shared" si="923"/>
        <v>644722.04269000003</v>
      </c>
      <c r="HA178" s="486">
        <f t="shared" si="923"/>
        <v>644722.04269000003</v>
      </c>
      <c r="HB178" s="486">
        <f t="shared" si="923"/>
        <v>644722.04269000003</v>
      </c>
      <c r="HC178" s="486">
        <f t="shared" ref="HC178:HL179" si="924">SUMIF($B$6:$B$176,$GH178,HC$6:HC$176)</f>
        <v>644722.04269000003</v>
      </c>
      <c r="HD178" s="486">
        <f t="shared" si="924"/>
        <v>644722.04269000003</v>
      </c>
      <c r="HE178" s="486">
        <f t="shared" si="924"/>
        <v>644722.04269000003</v>
      </c>
      <c r="HF178" s="486">
        <f t="shared" si="924"/>
        <v>644722.04269000003</v>
      </c>
      <c r="HG178" s="486">
        <f t="shared" si="924"/>
        <v>644722.04269000003</v>
      </c>
      <c r="HH178" s="486">
        <f t="shared" si="924"/>
        <v>644722.04269000003</v>
      </c>
      <c r="HI178" s="486">
        <f t="shared" si="924"/>
        <v>644722.04269000003</v>
      </c>
      <c r="HJ178" s="486">
        <f t="shared" si="924"/>
        <v>644722.04269000003</v>
      </c>
      <c r="HK178" s="486">
        <f t="shared" si="924"/>
        <v>644722.04269000003</v>
      </c>
      <c r="HL178" s="486">
        <f t="shared" si="924"/>
        <v>644722.04269000003</v>
      </c>
      <c r="HM178" s="594"/>
      <c r="HN178" s="594"/>
      <c r="HO178" s="594"/>
      <c r="HP178" s="594"/>
      <c r="HQ178" s="594"/>
      <c r="HR178" s="594"/>
      <c r="HS178" s="594"/>
      <c r="HT178" s="594"/>
      <c r="HU178" s="594"/>
      <c r="HV178" s="594"/>
      <c r="HW178" s="594"/>
      <c r="HX178" s="594"/>
      <c r="HY178" s="594"/>
      <c r="HZ178" s="594"/>
      <c r="IA178" s="594"/>
      <c r="IB178" s="594"/>
      <c r="IC178" s="594"/>
      <c r="ID178" s="594"/>
      <c r="IE178" s="594"/>
      <c r="IF178" s="594"/>
      <c r="IG178" s="594"/>
      <c r="IH178" s="594"/>
      <c r="II178" s="594"/>
      <c r="IJ178" s="594"/>
      <c r="IK178" s="594"/>
      <c r="IL178" s="594"/>
      <c r="IM178" s="594"/>
      <c r="IN178" s="594"/>
      <c r="IO178" s="594"/>
      <c r="IP178" s="594"/>
      <c r="IQ178" s="594"/>
      <c r="IR178" s="594"/>
      <c r="IS178" s="594"/>
      <c r="IT178" s="594"/>
      <c r="IU178" s="594"/>
      <c r="IV178" s="594"/>
      <c r="IW178" s="594"/>
      <c r="IX178" s="594"/>
      <c r="IY178" s="594"/>
      <c r="IZ178" s="594"/>
      <c r="JA178" s="594"/>
      <c r="JB178" s="594"/>
      <c r="JC178" s="594"/>
      <c r="JD178" s="594"/>
      <c r="JE178" s="594"/>
      <c r="JF178" s="594"/>
      <c r="JG178" s="594"/>
      <c r="JH178" s="594"/>
      <c r="JI178" s="594"/>
      <c r="JJ178" s="594"/>
      <c r="JK178" s="594"/>
      <c r="JL178" s="594"/>
      <c r="JM178" s="594"/>
      <c r="JN178" s="594"/>
      <c r="JO178" s="594"/>
      <c r="JP178" s="594"/>
      <c r="JQ178" s="594"/>
      <c r="JR178" s="594"/>
      <c r="JS178" s="594"/>
      <c r="JT178" s="594"/>
    </row>
    <row r="179" spans="1:280" ht="15.75" customHeight="1">
      <c r="A179" s="594"/>
      <c r="B179" s="594"/>
      <c r="C179" s="593"/>
      <c r="D179" s="618"/>
      <c r="E179" s="618"/>
      <c r="F179" s="618"/>
      <c r="G179" s="618"/>
      <c r="H179" s="618"/>
      <c r="I179" s="618"/>
      <c r="J179" s="618"/>
      <c r="K179" s="618"/>
      <c r="L179" s="618"/>
      <c r="M179" s="618"/>
      <c r="N179" s="618"/>
      <c r="O179" s="618"/>
      <c r="P179" s="618"/>
      <c r="Q179" s="618"/>
      <c r="R179" s="618"/>
      <c r="S179" s="618"/>
      <c r="T179" s="618"/>
      <c r="U179" s="618"/>
      <c r="V179" s="618"/>
      <c r="W179" s="618"/>
      <c r="X179" s="618"/>
      <c r="Y179" s="618"/>
      <c r="Z179" s="618"/>
      <c r="AA179" s="618"/>
      <c r="AB179" s="618"/>
      <c r="AC179" s="618"/>
      <c r="AD179" s="618"/>
      <c r="AE179" s="618"/>
      <c r="AF179" s="618"/>
      <c r="AG179" s="618"/>
      <c r="AH179" s="486"/>
      <c r="AI179" s="593"/>
      <c r="AJ179" s="593"/>
      <c r="AK179" s="594"/>
      <c r="AL179" s="594"/>
      <c r="AM179" s="594"/>
      <c r="AN179" s="594"/>
      <c r="AO179" s="594"/>
      <c r="AP179" s="594"/>
      <c r="AQ179" s="594"/>
      <c r="AR179" s="594"/>
      <c r="AS179" s="594"/>
      <c r="AT179" s="594"/>
      <c r="AU179" s="594"/>
      <c r="AV179" s="594"/>
      <c r="AW179" s="594"/>
      <c r="AX179" s="594"/>
      <c r="AY179" s="594"/>
      <c r="AZ179" s="594"/>
      <c r="BA179" s="594"/>
      <c r="BB179" s="594"/>
      <c r="BC179" s="594"/>
      <c r="BD179" s="594"/>
      <c r="BE179" s="594"/>
      <c r="BF179" s="594"/>
      <c r="BG179" s="594"/>
      <c r="BH179" s="594"/>
      <c r="BI179" s="594"/>
      <c r="BJ179" s="594"/>
      <c r="BK179" s="594"/>
      <c r="BL179" s="594"/>
      <c r="BM179" s="594"/>
      <c r="BN179" s="594"/>
      <c r="BO179" s="594"/>
      <c r="BP179" s="594"/>
      <c r="BQ179" s="594"/>
      <c r="BR179" s="594" t="s">
        <v>191</v>
      </c>
      <c r="BS179" s="621">
        <f t="shared" si="919"/>
        <v>29879113.036666665</v>
      </c>
      <c r="BT179" s="621">
        <f t="shared" si="919"/>
        <v>16959622.166666668</v>
      </c>
      <c r="BU179" s="621">
        <f t="shared" si="919"/>
        <v>10024215.666666668</v>
      </c>
      <c r="BV179" s="621">
        <f t="shared" si="919"/>
        <v>1693560</v>
      </c>
      <c r="BW179" s="621">
        <f t="shared" si="919"/>
        <v>0</v>
      </c>
      <c r="BX179" s="621">
        <f t="shared" si="919"/>
        <v>4022535.44</v>
      </c>
      <c r="BY179" s="621">
        <f t="shared" si="919"/>
        <v>43560.000000000007</v>
      </c>
      <c r="BZ179" s="621">
        <f t="shared" si="919"/>
        <v>0</v>
      </c>
      <c r="CA179" s="621">
        <f t="shared" si="919"/>
        <v>0</v>
      </c>
      <c r="CB179" s="621">
        <f t="shared" si="919"/>
        <v>43560.000000000007</v>
      </c>
      <c r="CC179" s="621">
        <f t="shared" si="920"/>
        <v>5977402.6400000006</v>
      </c>
      <c r="CD179" s="621">
        <f t="shared" si="920"/>
        <v>0</v>
      </c>
      <c r="CE179" s="621">
        <f t="shared" si="920"/>
        <v>43560.000000000007</v>
      </c>
      <c r="CF179" s="621">
        <f t="shared" si="920"/>
        <v>0</v>
      </c>
      <c r="CG179" s="621">
        <f t="shared" si="920"/>
        <v>0</v>
      </c>
      <c r="CH179" s="621">
        <f t="shared" si="920"/>
        <v>4066095.44</v>
      </c>
      <c r="CI179" s="621">
        <f t="shared" si="920"/>
        <v>0</v>
      </c>
      <c r="CJ179" s="621">
        <f t="shared" si="920"/>
        <v>0</v>
      </c>
      <c r="CK179" s="621">
        <f t="shared" si="920"/>
        <v>43560.000000000007</v>
      </c>
      <c r="CL179" s="621">
        <f t="shared" si="920"/>
        <v>0</v>
      </c>
      <c r="CM179" s="621">
        <f t="shared" si="921"/>
        <v>15723402.640000001</v>
      </c>
      <c r="CN179" s="621">
        <f t="shared" si="921"/>
        <v>43560.000000000007</v>
      </c>
      <c r="CO179" s="621">
        <f t="shared" si="921"/>
        <v>0</v>
      </c>
      <c r="CP179" s="621">
        <f t="shared" si="921"/>
        <v>0</v>
      </c>
      <c r="CQ179" s="621">
        <f t="shared" si="921"/>
        <v>43560.000000000007</v>
      </c>
      <c r="CR179" s="621">
        <f t="shared" si="921"/>
        <v>4022535.44</v>
      </c>
      <c r="CS179" s="621">
        <f t="shared" si="921"/>
        <v>0</v>
      </c>
      <c r="CT179" s="621">
        <f t="shared" si="921"/>
        <v>43560.000000000007</v>
      </c>
      <c r="CU179" s="621">
        <f t="shared" si="921"/>
        <v>0</v>
      </c>
      <c r="CV179" s="621">
        <f t="shared" si="921"/>
        <v>0</v>
      </c>
      <c r="CW179" s="622"/>
      <c r="CX179" s="622"/>
      <c r="CY179" s="622"/>
      <c r="CZ179" s="622"/>
      <c r="DA179" s="622"/>
      <c r="DB179" s="622"/>
      <c r="DC179" s="622"/>
      <c r="DD179" s="622"/>
      <c r="DE179" s="622"/>
      <c r="DF179" s="622"/>
      <c r="DG179" s="622"/>
      <c r="DH179" s="622"/>
      <c r="DI179" s="622"/>
      <c r="DJ179" s="622"/>
      <c r="DK179" s="622"/>
      <c r="DL179" s="622"/>
      <c r="DM179" s="622"/>
      <c r="DN179" s="622"/>
      <c r="DO179" s="622"/>
      <c r="DP179" s="622"/>
      <c r="DQ179" s="622"/>
      <c r="DR179" s="622"/>
      <c r="DS179" s="622"/>
      <c r="DT179" s="622"/>
      <c r="DU179" s="622"/>
      <c r="DV179" s="622"/>
      <c r="DW179" s="622"/>
      <c r="DX179" s="622"/>
      <c r="DY179" s="622"/>
      <c r="DZ179" s="622"/>
      <c r="EA179" s="594"/>
      <c r="EB179" s="594"/>
      <c r="EC179" s="594"/>
      <c r="ED179" s="594"/>
      <c r="EE179" s="594"/>
      <c r="EF179" s="594"/>
      <c r="EG179" s="594"/>
      <c r="EH179" s="594"/>
      <c r="EI179" s="594"/>
      <c r="EJ179" s="594"/>
      <c r="EK179" s="594"/>
      <c r="EL179" s="594"/>
      <c r="EM179" s="594"/>
      <c r="EN179" s="594"/>
      <c r="EO179" s="594"/>
      <c r="EP179" s="594"/>
      <c r="EQ179" s="594"/>
      <c r="ER179" s="594"/>
      <c r="ES179" s="594"/>
      <c r="ET179" s="594"/>
      <c r="EU179" s="594"/>
      <c r="EV179" s="594"/>
      <c r="EW179" s="594"/>
      <c r="EX179" s="594"/>
      <c r="EY179" s="594"/>
      <c r="EZ179" s="594"/>
      <c r="FA179" s="594"/>
      <c r="FB179" s="594"/>
      <c r="FC179" s="594"/>
      <c r="FD179" s="594"/>
      <c r="FE179" s="594"/>
      <c r="FF179" s="594"/>
      <c r="FG179" s="594"/>
      <c r="FH179" s="594"/>
      <c r="FI179" s="594"/>
      <c r="FJ179" s="594"/>
      <c r="FK179" s="594"/>
      <c r="FL179" s="594"/>
      <c r="FM179" s="594"/>
      <c r="FN179" s="594"/>
      <c r="FO179" s="594"/>
      <c r="FP179" s="594"/>
      <c r="FQ179" s="594"/>
      <c r="FR179" s="594"/>
      <c r="FS179" s="594"/>
      <c r="FT179" s="594"/>
      <c r="FU179" s="594"/>
      <c r="FV179" s="594"/>
      <c r="FW179" s="594"/>
      <c r="FX179" s="594"/>
      <c r="FY179" s="594"/>
      <c r="FZ179" s="594"/>
      <c r="GA179" s="594"/>
      <c r="GB179" s="594"/>
      <c r="GC179" s="594"/>
      <c r="GD179" s="594"/>
      <c r="GE179" s="594"/>
      <c r="GF179" s="594"/>
      <c r="GG179" s="594"/>
      <c r="GH179" s="594" t="s">
        <v>191</v>
      </c>
      <c r="GI179" s="486">
        <f t="shared" si="922"/>
        <v>1535953.6518333333</v>
      </c>
      <c r="GJ179" s="486">
        <f t="shared" si="922"/>
        <v>2549682.7601666669</v>
      </c>
      <c r="GK179" s="486">
        <f t="shared" si="922"/>
        <v>3216641.5435000006</v>
      </c>
      <c r="GL179" s="486">
        <f t="shared" si="922"/>
        <v>3381641.5435000006</v>
      </c>
      <c r="GM179" s="486">
        <f t="shared" si="922"/>
        <v>3381641.5435000006</v>
      </c>
      <c r="GN179" s="486">
        <f t="shared" si="922"/>
        <v>3381641.5435000006</v>
      </c>
      <c r="GO179" s="486">
        <f t="shared" si="922"/>
        <v>3381641.5435000006</v>
      </c>
      <c r="GP179" s="486">
        <f t="shared" si="922"/>
        <v>3381641.5435000006</v>
      </c>
      <c r="GQ179" s="486">
        <f t="shared" si="922"/>
        <v>3381641.5435000006</v>
      </c>
      <c r="GR179" s="486">
        <f t="shared" si="922"/>
        <v>3381641.5435000006</v>
      </c>
      <c r="GS179" s="486">
        <f t="shared" si="923"/>
        <v>3381641.5435000006</v>
      </c>
      <c r="GT179" s="486">
        <f t="shared" si="923"/>
        <v>3381641.5435000006</v>
      </c>
      <c r="GU179" s="486">
        <f t="shared" si="923"/>
        <v>3381641.5435000006</v>
      </c>
      <c r="GV179" s="486">
        <f t="shared" si="923"/>
        <v>3381641.5435000006</v>
      </c>
      <c r="GW179" s="486">
        <f t="shared" si="923"/>
        <v>3381641.5435000006</v>
      </c>
      <c r="GX179" s="486">
        <f t="shared" si="923"/>
        <v>3381641.5435000006</v>
      </c>
      <c r="GY179" s="486">
        <f t="shared" si="923"/>
        <v>3381641.5435000006</v>
      </c>
      <c r="GZ179" s="486">
        <f t="shared" si="923"/>
        <v>3381641.5435000006</v>
      </c>
      <c r="HA179" s="486">
        <f t="shared" si="923"/>
        <v>3381641.5435000006</v>
      </c>
      <c r="HB179" s="486">
        <f t="shared" si="923"/>
        <v>3381641.5435000006</v>
      </c>
      <c r="HC179" s="486">
        <f t="shared" si="924"/>
        <v>3381641.5435000006</v>
      </c>
      <c r="HD179" s="486">
        <f t="shared" si="924"/>
        <v>3381641.5435000006</v>
      </c>
      <c r="HE179" s="486">
        <f t="shared" si="924"/>
        <v>3381641.5435000006</v>
      </c>
      <c r="HF179" s="486">
        <f t="shared" si="924"/>
        <v>3381641.5435000006</v>
      </c>
      <c r="HG179" s="486">
        <f t="shared" si="924"/>
        <v>3381641.5435000006</v>
      </c>
      <c r="HH179" s="486">
        <f t="shared" si="924"/>
        <v>3381641.5435000006</v>
      </c>
      <c r="HI179" s="486">
        <f t="shared" si="924"/>
        <v>3381641.5435000006</v>
      </c>
      <c r="HJ179" s="486">
        <f t="shared" si="924"/>
        <v>3381641.5435000006</v>
      </c>
      <c r="HK179" s="486">
        <f t="shared" si="924"/>
        <v>3381641.5435000006</v>
      </c>
      <c r="HL179" s="486">
        <f t="shared" si="924"/>
        <v>3381641.5435000006</v>
      </c>
      <c r="HM179" s="594"/>
      <c r="HN179" s="594"/>
      <c r="HO179" s="594"/>
      <c r="HP179" s="594"/>
      <c r="HQ179" s="594"/>
      <c r="HR179" s="594"/>
      <c r="HS179" s="594"/>
      <c r="HT179" s="594"/>
      <c r="HU179" s="594"/>
      <c r="HV179" s="594"/>
      <c r="HW179" s="594"/>
      <c r="HX179" s="594"/>
      <c r="HY179" s="594"/>
      <c r="HZ179" s="594"/>
      <c r="IA179" s="594"/>
      <c r="IB179" s="594"/>
      <c r="IC179" s="594"/>
      <c r="ID179" s="594"/>
      <c r="IE179" s="594"/>
      <c r="IF179" s="594"/>
      <c r="IG179" s="594"/>
      <c r="IH179" s="594"/>
      <c r="II179" s="594"/>
      <c r="IJ179" s="594"/>
      <c r="IK179" s="594"/>
      <c r="IL179" s="594"/>
      <c r="IM179" s="594"/>
      <c r="IN179" s="594"/>
      <c r="IO179" s="594"/>
      <c r="IP179" s="594"/>
      <c r="IQ179" s="594"/>
      <c r="IR179" s="594"/>
      <c r="IS179" s="594"/>
      <c r="IT179" s="594"/>
      <c r="IU179" s="594"/>
      <c r="IV179" s="594"/>
      <c r="IW179" s="594"/>
      <c r="IX179" s="594"/>
      <c r="IY179" s="594"/>
      <c r="IZ179" s="594"/>
      <c r="JA179" s="594"/>
      <c r="JB179" s="594"/>
      <c r="JC179" s="594"/>
      <c r="JD179" s="594"/>
      <c r="JE179" s="594"/>
      <c r="JF179" s="594"/>
      <c r="JG179" s="594"/>
      <c r="JH179" s="594"/>
      <c r="JI179" s="594"/>
      <c r="JJ179" s="594"/>
      <c r="JK179" s="594"/>
      <c r="JL179" s="594"/>
      <c r="JM179" s="594"/>
      <c r="JN179" s="594"/>
      <c r="JO179" s="594"/>
      <c r="JP179" s="594"/>
      <c r="JQ179" s="594"/>
      <c r="JR179" s="594"/>
      <c r="JS179" s="594"/>
      <c r="JT179" s="594"/>
    </row>
  </sheetData>
  <autoFilter ref="A5:JT179" xr:uid="{00000000-0009-0000-0000-00000D000000}"/>
  <mergeCells count="9">
    <mergeCell ref="HM4:IF4"/>
    <mergeCell ref="IQ4:JJ4"/>
    <mergeCell ref="D4:W4"/>
    <mergeCell ref="AO4:BH4"/>
    <mergeCell ref="BS4:CL4"/>
    <mergeCell ref="CW4:DP4"/>
    <mergeCell ref="EA4:ET4"/>
    <mergeCell ref="FE4:FX4"/>
    <mergeCell ref="GI4:HB4"/>
  </mergeCells>
  <conditionalFormatting sqref="AM6:AN176">
    <cfRule type="containsText" dxfId="14" priority="1" operator="containsText" text="Não">
      <formula>NOT(ISERROR(SEARCH(("Não"),(AM6))))</formula>
    </cfRule>
  </conditionalFormatting>
  <dataValidations count="5">
    <dataValidation type="list" allowBlank="1" showErrorMessage="1" sqref="AM6:AN176" xr:uid="{00000000-0002-0000-0D00-000000000000}">
      <formula1>"Sim,Não"</formula1>
    </dataValidation>
    <dataValidation type="list" allowBlank="1" showErrorMessage="1" sqref="A6:A176" xr:uid="{00000000-0002-0000-0D00-000001000000}">
      <formula1>INDIRECT(ListaCapex)</formula1>
    </dataValidation>
    <dataValidation type="list" allowBlank="1" showErrorMessage="1" sqref="C6:C176" xr:uid="{00000000-0002-0000-0D00-000002000000}">
      <formula1>INDIRECT($B6)</formula1>
    </dataValidation>
    <dataValidation type="list" allowBlank="1" showErrorMessage="1" sqref="B6:B176" xr:uid="{00000000-0002-0000-0D00-000003000000}">
      <formula1>"Operacional,Administrativo,Encargo"</formula1>
    </dataValidation>
    <dataValidation type="list" allowBlank="1" showErrorMessage="1" sqref="AK6:AK176" xr:uid="{00000000-0002-0000-0D00-000004000000}">
      <formula1>CatInvest</formula1>
    </dataValidation>
  </dataValidations>
  <pageMargins left="0.75" right="0.75" top="1" bottom="1" header="0" footer="0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15">
    <tabColor theme="5" tint="-0.249977111117893"/>
  </sheetPr>
  <dimension ref="A1:AI110"/>
  <sheetViews>
    <sheetView workbookViewId="0"/>
  </sheetViews>
  <sheetFormatPr defaultColWidth="10.88671875" defaultRowHeight="15.6"/>
  <cols>
    <col min="2" max="2" width="10.5546875" bestFit="1" customWidth="1"/>
    <col min="3" max="3" width="29.5546875" bestFit="1" customWidth="1"/>
    <col min="4" max="4" width="29.5546875" customWidth="1"/>
  </cols>
  <sheetData>
    <row r="1" spans="1:35">
      <c r="A1" t="str">
        <f>'D2 - Capex uso'!A5</f>
        <v>Item</v>
      </c>
      <c r="B1" t="str">
        <f>'D2 - Capex uso'!B5</f>
        <v>Tipo</v>
      </c>
      <c r="C1" t="str">
        <f>'D2 - Capex uso'!C5</f>
        <v>Vínculo</v>
      </c>
      <c r="D1" t="str">
        <f>'D2 - Capex uso'!AK5</f>
        <v>Categoria</v>
      </c>
      <c r="E1">
        <f>'D2 - Capex uso'!BS5</f>
        <v>1</v>
      </c>
      <c r="F1">
        <f>'D2 - Capex uso'!BT5</f>
        <v>2</v>
      </c>
      <c r="G1">
        <f>'D2 - Capex uso'!BU5</f>
        <v>3</v>
      </c>
      <c r="H1">
        <f>'D2 - Capex uso'!BV5</f>
        <v>4</v>
      </c>
      <c r="I1">
        <f>'D2 - Capex uso'!BW5</f>
        <v>5</v>
      </c>
      <c r="J1">
        <f>'D2 - Capex uso'!BX5</f>
        <v>6</v>
      </c>
      <c r="K1">
        <f>'D2 - Capex uso'!BY5</f>
        <v>7</v>
      </c>
      <c r="L1">
        <f>'D2 - Capex uso'!BZ5</f>
        <v>8</v>
      </c>
      <c r="M1">
        <f>'D2 - Capex uso'!CA5</f>
        <v>9</v>
      </c>
      <c r="N1">
        <f>'D2 - Capex uso'!CB5</f>
        <v>10</v>
      </c>
      <c r="O1">
        <f>'D2 - Capex uso'!CC5</f>
        <v>11</v>
      </c>
      <c r="P1">
        <f>'D2 - Capex uso'!CD5</f>
        <v>12</v>
      </c>
      <c r="Q1">
        <f>'D2 - Capex uso'!CE5</f>
        <v>13</v>
      </c>
      <c r="R1">
        <f>'D2 - Capex uso'!CF5</f>
        <v>14</v>
      </c>
      <c r="S1">
        <f>'D2 - Capex uso'!CG5</f>
        <v>15</v>
      </c>
      <c r="T1">
        <f>'D2 - Capex uso'!CH5</f>
        <v>16</v>
      </c>
      <c r="U1">
        <f>'D2 - Capex uso'!CI5</f>
        <v>17</v>
      </c>
      <c r="V1">
        <f>'D2 - Capex uso'!CJ5</f>
        <v>18</v>
      </c>
      <c r="W1">
        <f>'D2 - Capex uso'!CK5</f>
        <v>19</v>
      </c>
      <c r="X1">
        <f>'D2 - Capex uso'!CL5</f>
        <v>20</v>
      </c>
      <c r="Y1">
        <f>'D2 - Capex uso'!CM5</f>
        <v>21</v>
      </c>
      <c r="Z1">
        <f>'D2 - Capex uso'!CN5</f>
        <v>22</v>
      </c>
      <c r="AA1">
        <f>'D2 - Capex uso'!CO5</f>
        <v>23</v>
      </c>
      <c r="AB1">
        <f>'D2 - Capex uso'!CP5</f>
        <v>24</v>
      </c>
      <c r="AC1">
        <f>'D2 - Capex uso'!CQ5</f>
        <v>25</v>
      </c>
      <c r="AD1">
        <f>'D2 - Capex uso'!CR5</f>
        <v>26</v>
      </c>
      <c r="AE1">
        <f>'D2 - Capex uso'!CS5</f>
        <v>27</v>
      </c>
      <c r="AF1">
        <f>'D2 - Capex uso'!CT5</f>
        <v>28</v>
      </c>
      <c r="AG1">
        <f>'D2 - Capex uso'!CU5</f>
        <v>29</v>
      </c>
      <c r="AH1">
        <f>'D2 - Capex uso'!CV5</f>
        <v>30</v>
      </c>
      <c r="AI1" t="s">
        <v>450</v>
      </c>
    </row>
    <row r="2" spans="1:35">
      <c r="A2" t="str">
        <f>'D2 - Capex uso'!A6</f>
        <v>Construção em madeira com fechamento de madeira</v>
      </c>
      <c r="B2" t="str">
        <f>'D2 - Capex uso'!B6</f>
        <v>Operacional</v>
      </c>
      <c r="C2" t="str">
        <f>'D2 - Capex uso'!C6</f>
        <v>Árvore da Preguiça - Alimentação</v>
      </c>
      <c r="D2" t="str">
        <f>'D2 - Capex uso'!AK6</f>
        <v>Edificações</v>
      </c>
      <c r="E2">
        <f>'D2 - Capex uso'!BS6</f>
        <v>78295.47</v>
      </c>
      <c r="F2">
        <f>'D2 - Capex uso'!BT6</f>
        <v>0</v>
      </c>
      <c r="G2">
        <f>'D2 - Capex uso'!BU6</f>
        <v>0</v>
      </c>
      <c r="H2">
        <f>'D2 - Capex uso'!BV6</f>
        <v>0</v>
      </c>
      <c r="I2">
        <f>'D2 - Capex uso'!BW6</f>
        <v>0</v>
      </c>
      <c r="J2">
        <f>'D2 - Capex uso'!BX6</f>
        <v>0</v>
      </c>
      <c r="K2">
        <f>'D2 - Capex uso'!BY6</f>
        <v>0</v>
      </c>
      <c r="L2">
        <f>'D2 - Capex uso'!BZ6</f>
        <v>0</v>
      </c>
      <c r="M2">
        <f>'D2 - Capex uso'!CA6</f>
        <v>0</v>
      </c>
      <c r="N2">
        <f>'D2 - Capex uso'!CB6</f>
        <v>0</v>
      </c>
      <c r="O2">
        <f>'D2 - Capex uso'!CC6</f>
        <v>0</v>
      </c>
      <c r="P2">
        <f>'D2 - Capex uso'!CD6</f>
        <v>0</v>
      </c>
      <c r="Q2">
        <f>'D2 - Capex uso'!CE6</f>
        <v>0</v>
      </c>
      <c r="R2">
        <f>'D2 - Capex uso'!CF6</f>
        <v>0</v>
      </c>
      <c r="S2">
        <f>'D2 - Capex uso'!CG6</f>
        <v>0</v>
      </c>
      <c r="T2">
        <f>'D2 - Capex uso'!CH6</f>
        <v>0</v>
      </c>
      <c r="U2">
        <f>'D2 - Capex uso'!CI6</f>
        <v>0</v>
      </c>
      <c r="V2">
        <f>'D2 - Capex uso'!CJ6</f>
        <v>0</v>
      </c>
      <c r="W2">
        <f>'D2 - Capex uso'!CK6</f>
        <v>0</v>
      </c>
      <c r="X2">
        <f>'D2 - Capex uso'!CL6</f>
        <v>0</v>
      </c>
      <c r="Y2">
        <f>'D2 - Capex uso'!CM6</f>
        <v>0</v>
      </c>
      <c r="Z2">
        <f>'D2 - Capex uso'!CN6</f>
        <v>0</v>
      </c>
      <c r="AA2">
        <f>'D2 - Capex uso'!CO6</f>
        <v>0</v>
      </c>
      <c r="AB2">
        <f>'D2 - Capex uso'!CP6</f>
        <v>0</v>
      </c>
      <c r="AC2">
        <f>'D2 - Capex uso'!CQ6</f>
        <v>0</v>
      </c>
      <c r="AD2">
        <f>'D2 - Capex uso'!CR6</f>
        <v>0</v>
      </c>
      <c r="AE2">
        <f>'D2 - Capex uso'!CS6</f>
        <v>0</v>
      </c>
      <c r="AF2">
        <f>'D2 - Capex uso'!CT6</f>
        <v>0</v>
      </c>
      <c r="AG2">
        <f>'D2 - Capex uso'!CU6</f>
        <v>0</v>
      </c>
      <c r="AH2">
        <f>'D2 - Capex uso'!CV6</f>
        <v>0</v>
      </c>
      <c r="AI2">
        <f>SUM(E2:AH2)</f>
        <v>78295.47</v>
      </c>
    </row>
    <row r="3" spans="1:35">
      <c r="A3" t="str">
        <f>'D2 - Capex uso'!A7</f>
        <v>Sinalização vertical</v>
      </c>
      <c r="B3" t="str">
        <f>'D2 - Capex uso'!B7</f>
        <v>Operacional</v>
      </c>
      <c r="C3" t="str">
        <f>'D2 - Capex uso'!C7</f>
        <v>Árvore da Preguiça - Alimentação</v>
      </c>
      <c r="D3" t="str">
        <f>'D2 - Capex uso'!AK7</f>
        <v>Infraestrutura</v>
      </c>
      <c r="E3">
        <f>'D2 - Capex uso'!BS7</f>
        <v>3520.0000000000005</v>
      </c>
      <c r="F3">
        <f>'D2 - Capex uso'!BT7</f>
        <v>0</v>
      </c>
      <c r="G3">
        <f>'D2 - Capex uso'!BU7</f>
        <v>0</v>
      </c>
      <c r="H3">
        <f>'D2 - Capex uso'!BV7</f>
        <v>0</v>
      </c>
      <c r="I3">
        <f>'D2 - Capex uso'!BW7</f>
        <v>0</v>
      </c>
      <c r="J3">
        <f>'D2 - Capex uso'!BX7</f>
        <v>0</v>
      </c>
      <c r="K3">
        <f>'D2 - Capex uso'!BY7</f>
        <v>0</v>
      </c>
      <c r="L3">
        <f>'D2 - Capex uso'!BZ7</f>
        <v>0</v>
      </c>
      <c r="M3">
        <f>'D2 - Capex uso'!CA7</f>
        <v>0</v>
      </c>
      <c r="N3">
        <f>'D2 - Capex uso'!CB7</f>
        <v>0</v>
      </c>
      <c r="O3">
        <f>'D2 - Capex uso'!CC7</f>
        <v>3520.0000000000005</v>
      </c>
      <c r="P3">
        <f>'D2 - Capex uso'!CD7</f>
        <v>0</v>
      </c>
      <c r="Q3">
        <f>'D2 - Capex uso'!CE7</f>
        <v>0</v>
      </c>
      <c r="R3">
        <f>'D2 - Capex uso'!CF7</f>
        <v>0</v>
      </c>
      <c r="S3">
        <f>'D2 - Capex uso'!CG7</f>
        <v>0</v>
      </c>
      <c r="T3">
        <f>'D2 - Capex uso'!CH7</f>
        <v>0</v>
      </c>
      <c r="U3">
        <f>'D2 - Capex uso'!CI7</f>
        <v>0</v>
      </c>
      <c r="V3">
        <f>'D2 - Capex uso'!CJ7</f>
        <v>0</v>
      </c>
      <c r="W3">
        <f>'D2 - Capex uso'!CK7</f>
        <v>0</v>
      </c>
      <c r="X3">
        <f>'D2 - Capex uso'!CL7</f>
        <v>0</v>
      </c>
      <c r="Y3">
        <f>'D2 - Capex uso'!CM7</f>
        <v>3520.0000000000005</v>
      </c>
      <c r="Z3">
        <f>'D2 - Capex uso'!CN7</f>
        <v>0</v>
      </c>
      <c r="AA3">
        <f>'D2 - Capex uso'!CO7</f>
        <v>0</v>
      </c>
      <c r="AB3">
        <f>'D2 - Capex uso'!CP7</f>
        <v>0</v>
      </c>
      <c r="AC3">
        <f>'D2 - Capex uso'!CQ7</f>
        <v>0</v>
      </c>
      <c r="AD3">
        <f>'D2 - Capex uso'!CR7</f>
        <v>0</v>
      </c>
      <c r="AE3">
        <f>'D2 - Capex uso'!CS7</f>
        <v>0</v>
      </c>
      <c r="AF3">
        <f>'D2 - Capex uso'!CT7</f>
        <v>0</v>
      </c>
      <c r="AG3">
        <f>'D2 - Capex uso'!CU7</f>
        <v>0</v>
      </c>
      <c r="AH3">
        <f>'D2 - Capex uso'!CV7</f>
        <v>0</v>
      </c>
      <c r="AI3">
        <f t="shared" ref="AI3:AI66" si="0">SUM(E3:AH3)</f>
        <v>10560.000000000002</v>
      </c>
    </row>
    <row r="4" spans="1:35">
      <c r="A4" t="str">
        <f>'D2 - Capex uso'!A8</f>
        <v>Montagem restaurante/lanchonete</v>
      </c>
      <c r="B4" t="str">
        <f>'D2 - Capex uso'!B8</f>
        <v>Operacional</v>
      </c>
      <c r="C4" t="str">
        <f>'D2 - Capex uso'!C8</f>
        <v>Árvore da Preguiça - Alimentação</v>
      </c>
      <c r="D4" t="str">
        <f>'D2 - Capex uso'!AK8</f>
        <v>Equipamentos e instalações</v>
      </c>
      <c r="E4">
        <f>'D2 - Capex uso'!BS8</f>
        <v>168339.79800000001</v>
      </c>
      <c r="F4">
        <f>'D2 - Capex uso'!BT8</f>
        <v>0</v>
      </c>
      <c r="G4">
        <f>'D2 - Capex uso'!BU8</f>
        <v>0</v>
      </c>
      <c r="H4">
        <f>'D2 - Capex uso'!BV8</f>
        <v>0</v>
      </c>
      <c r="I4">
        <f>'D2 - Capex uso'!BW8</f>
        <v>0</v>
      </c>
      <c r="J4">
        <f>'D2 - Capex uso'!BX8</f>
        <v>0</v>
      </c>
      <c r="K4">
        <f>'D2 - Capex uso'!BY8</f>
        <v>0</v>
      </c>
      <c r="L4">
        <f>'D2 - Capex uso'!BZ8</f>
        <v>0</v>
      </c>
      <c r="M4">
        <f>'D2 - Capex uso'!CA8</f>
        <v>0</v>
      </c>
      <c r="N4">
        <f>'D2 - Capex uso'!CB8</f>
        <v>0</v>
      </c>
      <c r="O4">
        <f>'D2 - Capex uso'!CC8</f>
        <v>168339.79800000001</v>
      </c>
      <c r="P4">
        <f>'D2 - Capex uso'!CD8</f>
        <v>0</v>
      </c>
      <c r="Q4">
        <f>'D2 - Capex uso'!CE8</f>
        <v>0</v>
      </c>
      <c r="R4">
        <f>'D2 - Capex uso'!CF8</f>
        <v>0</v>
      </c>
      <c r="S4">
        <f>'D2 - Capex uso'!CG8</f>
        <v>0</v>
      </c>
      <c r="T4">
        <f>'D2 - Capex uso'!CH8</f>
        <v>0</v>
      </c>
      <c r="U4">
        <f>'D2 - Capex uso'!CI8</f>
        <v>0</v>
      </c>
      <c r="V4">
        <f>'D2 - Capex uso'!CJ8</f>
        <v>0</v>
      </c>
      <c r="W4">
        <f>'D2 - Capex uso'!CK8</f>
        <v>0</v>
      </c>
      <c r="X4">
        <f>'D2 - Capex uso'!CL8</f>
        <v>0</v>
      </c>
      <c r="Y4">
        <f>'D2 - Capex uso'!CM8</f>
        <v>168339.79800000001</v>
      </c>
      <c r="Z4">
        <f>'D2 - Capex uso'!CN8</f>
        <v>0</v>
      </c>
      <c r="AA4">
        <f>'D2 - Capex uso'!CO8</f>
        <v>0</v>
      </c>
      <c r="AB4">
        <f>'D2 - Capex uso'!CP8</f>
        <v>0</v>
      </c>
      <c r="AC4">
        <f>'D2 - Capex uso'!CQ8</f>
        <v>0</v>
      </c>
      <c r="AD4">
        <f>'D2 - Capex uso'!CR8</f>
        <v>0</v>
      </c>
      <c r="AE4">
        <f>'D2 - Capex uso'!CS8</f>
        <v>0</v>
      </c>
      <c r="AF4">
        <f>'D2 - Capex uso'!CT8</f>
        <v>0</v>
      </c>
      <c r="AG4">
        <f>'D2 - Capex uso'!CU8</f>
        <v>0</v>
      </c>
      <c r="AH4">
        <f>'D2 - Capex uso'!CV8</f>
        <v>0</v>
      </c>
      <c r="AI4">
        <f t="shared" si="0"/>
        <v>505019.39400000003</v>
      </c>
    </row>
    <row r="5" spans="1:35">
      <c r="A5" t="str">
        <f>'D2 - Capex uso'!A9</f>
        <v>Montagem restaurante/lanchonete</v>
      </c>
      <c r="B5" t="str">
        <f>'D2 - Capex uso'!B9</f>
        <v>Operacional</v>
      </c>
      <c r="C5" t="str">
        <f>'D2 - Capex uso'!C9</f>
        <v>Árvore da Preguiça - Alimentação</v>
      </c>
      <c r="D5" t="str">
        <f>'D2 - Capex uso'!AK9</f>
        <v>Equipamentos e instalações</v>
      </c>
      <c r="E5">
        <f>'D2 - Capex uso'!BS9</f>
        <v>10202.412</v>
      </c>
      <c r="F5">
        <f>'D2 - Capex uso'!BT9</f>
        <v>0</v>
      </c>
      <c r="G5">
        <f>'D2 - Capex uso'!BU9</f>
        <v>0</v>
      </c>
      <c r="H5">
        <f>'D2 - Capex uso'!BV9</f>
        <v>0</v>
      </c>
      <c r="I5">
        <f>'D2 - Capex uso'!BW9</f>
        <v>0</v>
      </c>
      <c r="J5">
        <f>'D2 - Capex uso'!BX9</f>
        <v>0</v>
      </c>
      <c r="K5">
        <f>'D2 - Capex uso'!BY9</f>
        <v>0</v>
      </c>
      <c r="L5">
        <f>'D2 - Capex uso'!BZ9</f>
        <v>0</v>
      </c>
      <c r="M5">
        <f>'D2 - Capex uso'!CA9</f>
        <v>0</v>
      </c>
      <c r="N5">
        <f>'D2 - Capex uso'!CB9</f>
        <v>0</v>
      </c>
      <c r="O5">
        <f>'D2 - Capex uso'!CC9</f>
        <v>10202.412</v>
      </c>
      <c r="P5">
        <f>'D2 - Capex uso'!CD9</f>
        <v>0</v>
      </c>
      <c r="Q5">
        <f>'D2 - Capex uso'!CE9</f>
        <v>0</v>
      </c>
      <c r="R5">
        <f>'D2 - Capex uso'!CF9</f>
        <v>0</v>
      </c>
      <c r="S5">
        <f>'D2 - Capex uso'!CG9</f>
        <v>0</v>
      </c>
      <c r="T5">
        <f>'D2 - Capex uso'!CH9</f>
        <v>0</v>
      </c>
      <c r="U5">
        <f>'D2 - Capex uso'!CI9</f>
        <v>0</v>
      </c>
      <c r="V5">
        <f>'D2 - Capex uso'!CJ9</f>
        <v>0</v>
      </c>
      <c r="W5">
        <f>'D2 - Capex uso'!CK9</f>
        <v>0</v>
      </c>
      <c r="X5">
        <f>'D2 - Capex uso'!CL9</f>
        <v>0</v>
      </c>
      <c r="Y5">
        <f>'D2 - Capex uso'!CM9</f>
        <v>10202.412</v>
      </c>
      <c r="Z5">
        <f>'D2 - Capex uso'!CN9</f>
        <v>0</v>
      </c>
      <c r="AA5">
        <f>'D2 - Capex uso'!CO9</f>
        <v>0</v>
      </c>
      <c r="AB5">
        <f>'D2 - Capex uso'!CP9</f>
        <v>0</v>
      </c>
      <c r="AC5">
        <f>'D2 - Capex uso'!CQ9</f>
        <v>0</v>
      </c>
      <c r="AD5">
        <f>'D2 - Capex uso'!CR9</f>
        <v>0</v>
      </c>
      <c r="AE5">
        <f>'D2 - Capex uso'!CS9</f>
        <v>0</v>
      </c>
      <c r="AF5">
        <f>'D2 - Capex uso'!CT9</f>
        <v>0</v>
      </c>
      <c r="AG5">
        <f>'D2 - Capex uso'!CU9</f>
        <v>0</v>
      </c>
      <c r="AH5">
        <f>'D2 - Capex uso'!CV9</f>
        <v>0</v>
      </c>
      <c r="AI5">
        <f t="shared" si="0"/>
        <v>30607.236000000001</v>
      </c>
    </row>
    <row r="6" spans="1:35">
      <c r="A6" t="str">
        <f>'D2 - Capex uso'!A10</f>
        <v>Camionete 4x4 cabine simples</v>
      </c>
      <c r="B6" t="str">
        <f>'D2 - Capex uso'!B10</f>
        <v>Operacional</v>
      </c>
      <c r="C6" t="str">
        <f>'D2 - Capex uso'!C10</f>
        <v>Geral - Unidade móvel - Alimentação</v>
      </c>
      <c r="D6" t="str">
        <f>'D2 - Capex uso'!AK10</f>
        <v>Veículos e embarcações</v>
      </c>
      <c r="E6">
        <f>'D2 - Capex uso'!BS10</f>
        <v>656528.4</v>
      </c>
      <c r="F6">
        <f>'D2 - Capex uso'!BT10</f>
        <v>0</v>
      </c>
      <c r="G6">
        <f>'D2 - Capex uso'!BU10</f>
        <v>0</v>
      </c>
      <c r="H6">
        <f>'D2 - Capex uso'!BV10</f>
        <v>0</v>
      </c>
      <c r="I6">
        <f>'D2 - Capex uso'!BW10</f>
        <v>0</v>
      </c>
      <c r="J6">
        <f>'D2 - Capex uso'!BX10</f>
        <v>656528.4</v>
      </c>
      <c r="K6">
        <f>'D2 - Capex uso'!BY10</f>
        <v>0</v>
      </c>
      <c r="L6">
        <f>'D2 - Capex uso'!BZ10</f>
        <v>0</v>
      </c>
      <c r="M6">
        <f>'D2 - Capex uso'!CA10</f>
        <v>0</v>
      </c>
      <c r="N6">
        <f>'D2 - Capex uso'!CB10</f>
        <v>0</v>
      </c>
      <c r="O6">
        <f>'D2 - Capex uso'!CC10</f>
        <v>656528.4</v>
      </c>
      <c r="P6">
        <f>'D2 - Capex uso'!CD10</f>
        <v>0</v>
      </c>
      <c r="Q6">
        <f>'D2 - Capex uso'!CE10</f>
        <v>0</v>
      </c>
      <c r="R6">
        <f>'D2 - Capex uso'!CF10</f>
        <v>0</v>
      </c>
      <c r="S6">
        <f>'D2 - Capex uso'!CG10</f>
        <v>0</v>
      </c>
      <c r="T6">
        <f>'D2 - Capex uso'!CH10</f>
        <v>656528.4</v>
      </c>
      <c r="U6">
        <f>'D2 - Capex uso'!CI10</f>
        <v>0</v>
      </c>
      <c r="V6">
        <f>'D2 - Capex uso'!CJ10</f>
        <v>0</v>
      </c>
      <c r="W6">
        <f>'D2 - Capex uso'!CK10</f>
        <v>0</v>
      </c>
      <c r="X6">
        <f>'D2 - Capex uso'!CL10</f>
        <v>0</v>
      </c>
      <c r="Y6">
        <f>'D2 - Capex uso'!CM10</f>
        <v>656528.4</v>
      </c>
      <c r="Z6">
        <f>'D2 - Capex uso'!CN10</f>
        <v>0</v>
      </c>
      <c r="AA6">
        <f>'D2 - Capex uso'!CO10</f>
        <v>0</v>
      </c>
      <c r="AB6">
        <f>'D2 - Capex uso'!CP10</f>
        <v>0</v>
      </c>
      <c r="AC6">
        <f>'D2 - Capex uso'!CQ10</f>
        <v>0</v>
      </c>
      <c r="AD6">
        <f>'D2 - Capex uso'!CR10</f>
        <v>656528.4</v>
      </c>
      <c r="AE6">
        <f>'D2 - Capex uso'!CS10</f>
        <v>0</v>
      </c>
      <c r="AF6">
        <f>'D2 - Capex uso'!CT10</f>
        <v>0</v>
      </c>
      <c r="AG6">
        <f>'D2 - Capex uso'!CU10</f>
        <v>0</v>
      </c>
      <c r="AH6">
        <f>'D2 - Capex uso'!CV10</f>
        <v>0</v>
      </c>
      <c r="AI6">
        <f t="shared" si="0"/>
        <v>3939170.4</v>
      </c>
    </row>
    <row r="7" spans="1:35">
      <c r="A7" t="str">
        <f>'D2 - Capex uso'!A11</f>
        <v>Food truck sobre veículo 4x4</v>
      </c>
      <c r="B7" t="str">
        <f>'D2 - Capex uso'!B11</f>
        <v>Operacional</v>
      </c>
      <c r="C7" t="str">
        <f>'D2 - Capex uso'!C11</f>
        <v>Geral - Unidade móvel - Alimentação</v>
      </c>
      <c r="D7" t="str">
        <f>'D2 - Capex uso'!AK11</f>
        <v>Veículos e embarcações</v>
      </c>
      <c r="E7">
        <f>'D2 - Capex uso'!BS11</f>
        <v>115500</v>
      </c>
      <c r="F7">
        <f>'D2 - Capex uso'!BT11</f>
        <v>0</v>
      </c>
      <c r="G7">
        <f>'D2 - Capex uso'!BU11</f>
        <v>0</v>
      </c>
      <c r="H7">
        <f>'D2 - Capex uso'!BV11</f>
        <v>0</v>
      </c>
      <c r="I7">
        <f>'D2 - Capex uso'!BW11</f>
        <v>0</v>
      </c>
      <c r="J7">
        <f>'D2 - Capex uso'!BX11</f>
        <v>115500</v>
      </c>
      <c r="K7">
        <f>'D2 - Capex uso'!BY11</f>
        <v>0</v>
      </c>
      <c r="L7">
        <f>'D2 - Capex uso'!BZ11</f>
        <v>0</v>
      </c>
      <c r="M7">
        <f>'D2 - Capex uso'!CA11</f>
        <v>0</v>
      </c>
      <c r="N7">
        <f>'D2 - Capex uso'!CB11</f>
        <v>0</v>
      </c>
      <c r="O7">
        <f>'D2 - Capex uso'!CC11</f>
        <v>115500</v>
      </c>
      <c r="P7">
        <f>'D2 - Capex uso'!CD11</f>
        <v>0</v>
      </c>
      <c r="Q7">
        <f>'D2 - Capex uso'!CE11</f>
        <v>0</v>
      </c>
      <c r="R7">
        <f>'D2 - Capex uso'!CF11</f>
        <v>0</v>
      </c>
      <c r="S7">
        <f>'D2 - Capex uso'!CG11</f>
        <v>0</v>
      </c>
      <c r="T7">
        <f>'D2 - Capex uso'!CH11</f>
        <v>115500</v>
      </c>
      <c r="U7">
        <f>'D2 - Capex uso'!CI11</f>
        <v>0</v>
      </c>
      <c r="V7">
        <f>'D2 - Capex uso'!CJ11</f>
        <v>0</v>
      </c>
      <c r="W7">
        <f>'D2 - Capex uso'!CK11</f>
        <v>0</v>
      </c>
      <c r="X7">
        <f>'D2 - Capex uso'!CL11</f>
        <v>0</v>
      </c>
      <c r="Y7">
        <f>'D2 - Capex uso'!CM11</f>
        <v>115500</v>
      </c>
      <c r="Z7">
        <f>'D2 - Capex uso'!CN11</f>
        <v>0</v>
      </c>
      <c r="AA7">
        <f>'D2 - Capex uso'!CO11</f>
        <v>0</v>
      </c>
      <c r="AB7">
        <f>'D2 - Capex uso'!CP11</f>
        <v>0</v>
      </c>
      <c r="AC7">
        <f>'D2 - Capex uso'!CQ11</f>
        <v>0</v>
      </c>
      <c r="AD7">
        <f>'D2 - Capex uso'!CR11</f>
        <v>115500</v>
      </c>
      <c r="AE7">
        <f>'D2 - Capex uso'!CS11</f>
        <v>0</v>
      </c>
      <c r="AF7">
        <f>'D2 - Capex uso'!CT11</f>
        <v>0</v>
      </c>
      <c r="AG7">
        <f>'D2 - Capex uso'!CU11</f>
        <v>0</v>
      </c>
      <c r="AH7">
        <f>'D2 - Capex uso'!CV11</f>
        <v>0</v>
      </c>
      <c r="AI7">
        <f t="shared" si="0"/>
        <v>693000</v>
      </c>
    </row>
    <row r="8" spans="1:35">
      <c r="A8" t="str">
        <f>'D2 - Capex uso'!A12</f>
        <v>Construção em madeira com fechamento de madeira</v>
      </c>
      <c r="B8" t="str">
        <f>'D2 - Capex uso'!B12</f>
        <v>Operacional</v>
      </c>
      <c r="C8" t="str">
        <f>'D2 - Capex uso'!C12</f>
        <v>Ingresso</v>
      </c>
      <c r="D8" t="str">
        <f>'D2 - Capex uso'!AK12</f>
        <v>Edificações</v>
      </c>
      <c r="E8">
        <f>'D2 - Capex uso'!BS12</f>
        <v>151845.76000000001</v>
      </c>
      <c r="F8">
        <f>'D2 - Capex uso'!BT12</f>
        <v>0</v>
      </c>
      <c r="G8">
        <f>'D2 - Capex uso'!BU12</f>
        <v>0</v>
      </c>
      <c r="H8">
        <f>'D2 - Capex uso'!BV12</f>
        <v>0</v>
      </c>
      <c r="I8">
        <f>'D2 - Capex uso'!BW12</f>
        <v>0</v>
      </c>
      <c r="J8">
        <f>'D2 - Capex uso'!BX12</f>
        <v>0</v>
      </c>
      <c r="K8">
        <f>'D2 - Capex uso'!BY12</f>
        <v>0</v>
      </c>
      <c r="L8">
        <f>'D2 - Capex uso'!BZ12</f>
        <v>0</v>
      </c>
      <c r="M8">
        <f>'D2 - Capex uso'!CA12</f>
        <v>0</v>
      </c>
      <c r="N8">
        <f>'D2 - Capex uso'!CB12</f>
        <v>0</v>
      </c>
      <c r="O8">
        <f>'D2 - Capex uso'!CC12</f>
        <v>0</v>
      </c>
      <c r="P8">
        <f>'D2 - Capex uso'!CD12</f>
        <v>0</v>
      </c>
      <c r="Q8">
        <f>'D2 - Capex uso'!CE12</f>
        <v>0</v>
      </c>
      <c r="R8">
        <f>'D2 - Capex uso'!CF12</f>
        <v>0</v>
      </c>
      <c r="S8">
        <f>'D2 - Capex uso'!CG12</f>
        <v>0</v>
      </c>
      <c r="T8">
        <f>'D2 - Capex uso'!CH12</f>
        <v>0</v>
      </c>
      <c r="U8">
        <f>'D2 - Capex uso'!CI12</f>
        <v>0</v>
      </c>
      <c r="V8">
        <f>'D2 - Capex uso'!CJ12</f>
        <v>0</v>
      </c>
      <c r="W8">
        <f>'D2 - Capex uso'!CK12</f>
        <v>0</v>
      </c>
      <c r="X8">
        <f>'D2 - Capex uso'!CL12</f>
        <v>0</v>
      </c>
      <c r="Y8">
        <f>'D2 - Capex uso'!CM12</f>
        <v>0</v>
      </c>
      <c r="Z8">
        <f>'D2 - Capex uso'!CN12</f>
        <v>0</v>
      </c>
      <c r="AA8">
        <f>'D2 - Capex uso'!CO12</f>
        <v>0</v>
      </c>
      <c r="AB8">
        <f>'D2 - Capex uso'!CP12</f>
        <v>0</v>
      </c>
      <c r="AC8">
        <f>'D2 - Capex uso'!CQ12</f>
        <v>0</v>
      </c>
      <c r="AD8">
        <f>'D2 - Capex uso'!CR12</f>
        <v>0</v>
      </c>
      <c r="AE8">
        <f>'D2 - Capex uso'!CS12</f>
        <v>0</v>
      </c>
      <c r="AF8">
        <f>'D2 - Capex uso'!CT12</f>
        <v>0</v>
      </c>
      <c r="AG8">
        <f>'D2 - Capex uso'!CU12</f>
        <v>0</v>
      </c>
      <c r="AH8">
        <f>'D2 - Capex uso'!CV12</f>
        <v>0</v>
      </c>
      <c r="AI8">
        <f t="shared" si="0"/>
        <v>151845.76000000001</v>
      </c>
    </row>
    <row r="9" spans="1:35">
      <c r="A9" t="str">
        <f>'D2 - Capex uso'!A13</f>
        <v>Construção em madeira com fechamento de madeira</v>
      </c>
      <c r="B9" t="str">
        <f>'D2 - Capex uso'!B13</f>
        <v>Operacional</v>
      </c>
      <c r="C9" t="str">
        <f>'D2 - Capex uso'!C13</f>
        <v>Ingresso</v>
      </c>
      <c r="D9" t="str">
        <f>'D2 - Capex uso'!AK13</f>
        <v>Edificações</v>
      </c>
      <c r="E9">
        <f>'D2 - Capex uso'!BS13</f>
        <v>1670303.36</v>
      </c>
      <c r="F9">
        <f>'D2 - Capex uso'!BT13</f>
        <v>0</v>
      </c>
      <c r="G9">
        <f>'D2 - Capex uso'!BU13</f>
        <v>0</v>
      </c>
      <c r="H9">
        <f>'D2 - Capex uso'!BV13</f>
        <v>0</v>
      </c>
      <c r="I9">
        <f>'D2 - Capex uso'!BW13</f>
        <v>0</v>
      </c>
      <c r="J9">
        <f>'D2 - Capex uso'!BX13</f>
        <v>0</v>
      </c>
      <c r="K9">
        <f>'D2 - Capex uso'!BY13</f>
        <v>0</v>
      </c>
      <c r="L9">
        <f>'D2 - Capex uso'!BZ13</f>
        <v>0</v>
      </c>
      <c r="M9">
        <f>'D2 - Capex uso'!CA13</f>
        <v>0</v>
      </c>
      <c r="N9">
        <f>'D2 - Capex uso'!CB13</f>
        <v>0</v>
      </c>
      <c r="O9">
        <f>'D2 - Capex uso'!CC13</f>
        <v>0</v>
      </c>
      <c r="P9">
        <f>'D2 - Capex uso'!CD13</f>
        <v>0</v>
      </c>
      <c r="Q9">
        <f>'D2 - Capex uso'!CE13</f>
        <v>0</v>
      </c>
      <c r="R9">
        <f>'D2 - Capex uso'!CF13</f>
        <v>0</v>
      </c>
      <c r="S9">
        <f>'D2 - Capex uso'!CG13</f>
        <v>0</v>
      </c>
      <c r="T9">
        <f>'D2 - Capex uso'!CH13</f>
        <v>0</v>
      </c>
      <c r="U9">
        <f>'D2 - Capex uso'!CI13</f>
        <v>0</v>
      </c>
      <c r="V9">
        <f>'D2 - Capex uso'!CJ13</f>
        <v>0</v>
      </c>
      <c r="W9">
        <f>'D2 - Capex uso'!CK13</f>
        <v>0</v>
      </c>
      <c r="X9">
        <f>'D2 - Capex uso'!CL13</f>
        <v>0</v>
      </c>
      <c r="Y9">
        <f>'D2 - Capex uso'!CM13</f>
        <v>0</v>
      </c>
      <c r="Z9">
        <f>'D2 - Capex uso'!CN13</f>
        <v>0</v>
      </c>
      <c r="AA9">
        <f>'D2 - Capex uso'!CO13</f>
        <v>0</v>
      </c>
      <c r="AB9">
        <f>'D2 - Capex uso'!CP13</f>
        <v>0</v>
      </c>
      <c r="AC9">
        <f>'D2 - Capex uso'!CQ13</f>
        <v>0</v>
      </c>
      <c r="AD9">
        <f>'D2 - Capex uso'!CR13</f>
        <v>0</v>
      </c>
      <c r="AE9">
        <f>'D2 - Capex uso'!CS13</f>
        <v>0</v>
      </c>
      <c r="AF9">
        <f>'D2 - Capex uso'!CT13</f>
        <v>0</v>
      </c>
      <c r="AG9">
        <f>'D2 - Capex uso'!CU13</f>
        <v>0</v>
      </c>
      <c r="AH9">
        <f>'D2 - Capex uso'!CV13</f>
        <v>0</v>
      </c>
      <c r="AI9">
        <f t="shared" si="0"/>
        <v>1670303.36</v>
      </c>
    </row>
    <row r="10" spans="1:35">
      <c r="A10" t="str">
        <f>'D2 - Capex uso'!A14</f>
        <v>Construção em madeira com fechamento de madeira</v>
      </c>
      <c r="B10" t="str">
        <f>'D2 - Capex uso'!B14</f>
        <v>Operacional</v>
      </c>
      <c r="C10" t="str">
        <f>'D2 - Capex uso'!C14</f>
        <v>Ingresso</v>
      </c>
      <c r="D10" t="str">
        <f>'D2 - Capex uso'!AK14</f>
        <v>Edificações</v>
      </c>
      <c r="E10">
        <f>'D2 - Capex uso'!BS14</f>
        <v>57464.129800000002</v>
      </c>
      <c r="F10">
        <f>'D2 - Capex uso'!BT14</f>
        <v>0</v>
      </c>
      <c r="G10">
        <f>'D2 - Capex uso'!BU14</f>
        <v>0</v>
      </c>
      <c r="H10">
        <f>'D2 - Capex uso'!BV14</f>
        <v>0</v>
      </c>
      <c r="I10">
        <f>'D2 - Capex uso'!BW14</f>
        <v>0</v>
      </c>
      <c r="J10">
        <f>'D2 - Capex uso'!BX14</f>
        <v>0</v>
      </c>
      <c r="K10">
        <f>'D2 - Capex uso'!BY14</f>
        <v>0</v>
      </c>
      <c r="L10">
        <f>'D2 - Capex uso'!BZ14</f>
        <v>0</v>
      </c>
      <c r="M10">
        <f>'D2 - Capex uso'!CA14</f>
        <v>0</v>
      </c>
      <c r="N10">
        <f>'D2 - Capex uso'!CB14</f>
        <v>0</v>
      </c>
      <c r="O10">
        <f>'D2 - Capex uso'!CC14</f>
        <v>0</v>
      </c>
      <c r="P10">
        <f>'D2 - Capex uso'!CD14</f>
        <v>0</v>
      </c>
      <c r="Q10">
        <f>'D2 - Capex uso'!CE14</f>
        <v>0</v>
      </c>
      <c r="R10">
        <f>'D2 - Capex uso'!CF14</f>
        <v>0</v>
      </c>
      <c r="S10">
        <f>'D2 - Capex uso'!CG14</f>
        <v>0</v>
      </c>
      <c r="T10">
        <f>'D2 - Capex uso'!CH14</f>
        <v>0</v>
      </c>
      <c r="U10">
        <f>'D2 - Capex uso'!CI14</f>
        <v>0</v>
      </c>
      <c r="V10">
        <f>'D2 - Capex uso'!CJ14</f>
        <v>0</v>
      </c>
      <c r="W10">
        <f>'D2 - Capex uso'!CK14</f>
        <v>0</v>
      </c>
      <c r="X10">
        <f>'D2 - Capex uso'!CL14</f>
        <v>0</v>
      </c>
      <c r="Y10">
        <f>'D2 - Capex uso'!CM14</f>
        <v>0</v>
      </c>
      <c r="Z10">
        <f>'D2 - Capex uso'!CN14</f>
        <v>0</v>
      </c>
      <c r="AA10">
        <f>'D2 - Capex uso'!CO14</f>
        <v>0</v>
      </c>
      <c r="AB10">
        <f>'D2 - Capex uso'!CP14</f>
        <v>0</v>
      </c>
      <c r="AC10">
        <f>'D2 - Capex uso'!CQ14</f>
        <v>0</v>
      </c>
      <c r="AD10">
        <f>'D2 - Capex uso'!CR14</f>
        <v>0</v>
      </c>
      <c r="AE10">
        <f>'D2 - Capex uso'!CS14</f>
        <v>0</v>
      </c>
      <c r="AF10">
        <f>'D2 - Capex uso'!CT14</f>
        <v>0</v>
      </c>
      <c r="AG10">
        <f>'D2 - Capex uso'!CU14</f>
        <v>0</v>
      </c>
      <c r="AH10">
        <f>'D2 - Capex uso'!CV14</f>
        <v>0</v>
      </c>
      <c r="AI10">
        <f t="shared" si="0"/>
        <v>57464.129800000002</v>
      </c>
    </row>
    <row r="11" spans="1:35">
      <c r="A11" t="str">
        <f>'D2 - Capex uso'!A15</f>
        <v>Construção em madeira com fechamento de madeira</v>
      </c>
      <c r="B11" t="str">
        <f>'D2 - Capex uso'!B15</f>
        <v>Operacional</v>
      </c>
      <c r="C11" t="str">
        <f>'D2 - Capex uso'!C15</f>
        <v>Ingresso</v>
      </c>
      <c r="D11" t="str">
        <f>'D2 - Capex uso'!AK15</f>
        <v>Edificações</v>
      </c>
      <c r="E11">
        <f>'D2 - Capex uso'!BS15</f>
        <v>237259</v>
      </c>
      <c r="F11">
        <f>'D2 - Capex uso'!BT15</f>
        <v>0</v>
      </c>
      <c r="G11">
        <f>'D2 - Capex uso'!BU15</f>
        <v>0</v>
      </c>
      <c r="H11">
        <f>'D2 - Capex uso'!BV15</f>
        <v>0</v>
      </c>
      <c r="I11">
        <f>'D2 - Capex uso'!BW15</f>
        <v>0</v>
      </c>
      <c r="J11">
        <f>'D2 - Capex uso'!BX15</f>
        <v>0</v>
      </c>
      <c r="K11">
        <f>'D2 - Capex uso'!BY15</f>
        <v>0</v>
      </c>
      <c r="L11">
        <f>'D2 - Capex uso'!BZ15</f>
        <v>0</v>
      </c>
      <c r="M11">
        <f>'D2 - Capex uso'!CA15</f>
        <v>0</v>
      </c>
      <c r="N11">
        <f>'D2 - Capex uso'!CB15</f>
        <v>0</v>
      </c>
      <c r="O11">
        <f>'D2 - Capex uso'!CC15</f>
        <v>0</v>
      </c>
      <c r="P11">
        <f>'D2 - Capex uso'!CD15</f>
        <v>0</v>
      </c>
      <c r="Q11">
        <f>'D2 - Capex uso'!CE15</f>
        <v>0</v>
      </c>
      <c r="R11">
        <f>'D2 - Capex uso'!CF15</f>
        <v>0</v>
      </c>
      <c r="S11">
        <f>'D2 - Capex uso'!CG15</f>
        <v>0</v>
      </c>
      <c r="T11">
        <f>'D2 - Capex uso'!CH15</f>
        <v>0</v>
      </c>
      <c r="U11">
        <f>'D2 - Capex uso'!CI15</f>
        <v>0</v>
      </c>
      <c r="V11">
        <f>'D2 - Capex uso'!CJ15</f>
        <v>0</v>
      </c>
      <c r="W11">
        <f>'D2 - Capex uso'!CK15</f>
        <v>0</v>
      </c>
      <c r="X11">
        <f>'D2 - Capex uso'!CL15</f>
        <v>0</v>
      </c>
      <c r="Y11">
        <f>'D2 - Capex uso'!CM15</f>
        <v>0</v>
      </c>
      <c r="Z11">
        <f>'D2 - Capex uso'!CN15</f>
        <v>0</v>
      </c>
      <c r="AA11">
        <f>'D2 - Capex uso'!CO15</f>
        <v>0</v>
      </c>
      <c r="AB11">
        <f>'D2 - Capex uso'!CP15</f>
        <v>0</v>
      </c>
      <c r="AC11">
        <f>'D2 - Capex uso'!CQ15</f>
        <v>0</v>
      </c>
      <c r="AD11">
        <f>'D2 - Capex uso'!CR15</f>
        <v>0</v>
      </c>
      <c r="AE11">
        <f>'D2 - Capex uso'!CS15</f>
        <v>0</v>
      </c>
      <c r="AF11">
        <f>'D2 - Capex uso'!CT15</f>
        <v>0</v>
      </c>
      <c r="AG11">
        <f>'D2 - Capex uso'!CU15</f>
        <v>0</v>
      </c>
      <c r="AH11">
        <f>'D2 - Capex uso'!CV15</f>
        <v>0</v>
      </c>
      <c r="AI11">
        <f t="shared" si="0"/>
        <v>237259</v>
      </c>
    </row>
    <row r="12" spans="1:35">
      <c r="A12" t="str">
        <f>'D2 - Capex uso'!A16</f>
        <v>Construção em madeira com fechamento de madeira</v>
      </c>
      <c r="B12" t="str">
        <f>'D2 - Capex uso'!B16</f>
        <v>Operacional</v>
      </c>
      <c r="C12" t="str">
        <f>'D2 - Capex uso'!C16</f>
        <v>Ingresso</v>
      </c>
      <c r="D12" t="str">
        <f>'D2 - Capex uso'!AK16</f>
        <v>Edificações</v>
      </c>
      <c r="E12">
        <f>'D2 - Capex uso'!BS16</f>
        <v>502989.08</v>
      </c>
      <c r="F12">
        <f>'D2 - Capex uso'!BT16</f>
        <v>0</v>
      </c>
      <c r="G12">
        <f>'D2 - Capex uso'!BU16</f>
        <v>0</v>
      </c>
      <c r="H12">
        <f>'D2 - Capex uso'!BV16</f>
        <v>0</v>
      </c>
      <c r="I12">
        <f>'D2 - Capex uso'!BW16</f>
        <v>0</v>
      </c>
      <c r="J12">
        <f>'D2 - Capex uso'!BX16</f>
        <v>0</v>
      </c>
      <c r="K12">
        <f>'D2 - Capex uso'!BY16</f>
        <v>0</v>
      </c>
      <c r="L12">
        <f>'D2 - Capex uso'!BZ16</f>
        <v>0</v>
      </c>
      <c r="M12">
        <f>'D2 - Capex uso'!CA16</f>
        <v>0</v>
      </c>
      <c r="N12">
        <f>'D2 - Capex uso'!CB16</f>
        <v>0</v>
      </c>
      <c r="O12">
        <f>'D2 - Capex uso'!CC16</f>
        <v>0</v>
      </c>
      <c r="P12">
        <f>'D2 - Capex uso'!CD16</f>
        <v>0</v>
      </c>
      <c r="Q12">
        <f>'D2 - Capex uso'!CE16</f>
        <v>0</v>
      </c>
      <c r="R12">
        <f>'D2 - Capex uso'!CF16</f>
        <v>0</v>
      </c>
      <c r="S12">
        <f>'D2 - Capex uso'!CG16</f>
        <v>0</v>
      </c>
      <c r="T12">
        <f>'D2 - Capex uso'!CH16</f>
        <v>0</v>
      </c>
      <c r="U12">
        <f>'D2 - Capex uso'!CI16</f>
        <v>0</v>
      </c>
      <c r="V12">
        <f>'D2 - Capex uso'!CJ16</f>
        <v>0</v>
      </c>
      <c r="W12">
        <f>'D2 - Capex uso'!CK16</f>
        <v>0</v>
      </c>
      <c r="X12">
        <f>'D2 - Capex uso'!CL16</f>
        <v>0</v>
      </c>
      <c r="Y12">
        <f>'D2 - Capex uso'!CM16</f>
        <v>0</v>
      </c>
      <c r="Z12">
        <f>'D2 - Capex uso'!CN16</f>
        <v>0</v>
      </c>
      <c r="AA12">
        <f>'D2 - Capex uso'!CO16</f>
        <v>0</v>
      </c>
      <c r="AB12">
        <f>'D2 - Capex uso'!CP16</f>
        <v>0</v>
      </c>
      <c r="AC12">
        <f>'D2 - Capex uso'!CQ16</f>
        <v>0</v>
      </c>
      <c r="AD12">
        <f>'D2 - Capex uso'!CR16</f>
        <v>0</v>
      </c>
      <c r="AE12">
        <f>'D2 - Capex uso'!CS16</f>
        <v>0</v>
      </c>
      <c r="AF12">
        <f>'D2 - Capex uso'!CT16</f>
        <v>0</v>
      </c>
      <c r="AG12">
        <f>'D2 - Capex uso'!CU16</f>
        <v>0</v>
      </c>
      <c r="AH12">
        <f>'D2 - Capex uso'!CV16</f>
        <v>0</v>
      </c>
      <c r="AI12">
        <f t="shared" si="0"/>
        <v>502989.08</v>
      </c>
    </row>
    <row r="13" spans="1:35">
      <c r="A13" t="str">
        <f>'D2 - Capex uso'!A17</f>
        <v>Construção em madeira com fechamento de madeira</v>
      </c>
      <c r="B13" t="str">
        <f>'D2 - Capex uso'!B17</f>
        <v>Operacional</v>
      </c>
      <c r="C13" t="str">
        <f>'D2 - Capex uso'!C17</f>
        <v>Ingresso</v>
      </c>
      <c r="D13" t="str">
        <f>'D2 - Capex uso'!AK17</f>
        <v>Edificações</v>
      </c>
      <c r="E13">
        <f>'D2 - Capex uso'!BS17</f>
        <v>1191040.1800000002</v>
      </c>
      <c r="F13">
        <f>'D2 - Capex uso'!BT17</f>
        <v>0</v>
      </c>
      <c r="G13">
        <f>'D2 - Capex uso'!BU17</f>
        <v>0</v>
      </c>
      <c r="H13">
        <f>'D2 - Capex uso'!BV17</f>
        <v>0</v>
      </c>
      <c r="I13">
        <f>'D2 - Capex uso'!BW17</f>
        <v>0</v>
      </c>
      <c r="J13">
        <f>'D2 - Capex uso'!BX17</f>
        <v>0</v>
      </c>
      <c r="K13">
        <f>'D2 - Capex uso'!BY17</f>
        <v>0</v>
      </c>
      <c r="L13">
        <f>'D2 - Capex uso'!BZ17</f>
        <v>0</v>
      </c>
      <c r="M13">
        <f>'D2 - Capex uso'!CA17</f>
        <v>0</v>
      </c>
      <c r="N13">
        <f>'D2 - Capex uso'!CB17</f>
        <v>0</v>
      </c>
      <c r="O13">
        <f>'D2 - Capex uso'!CC17</f>
        <v>0</v>
      </c>
      <c r="P13">
        <f>'D2 - Capex uso'!CD17</f>
        <v>0</v>
      </c>
      <c r="Q13">
        <f>'D2 - Capex uso'!CE17</f>
        <v>0</v>
      </c>
      <c r="R13">
        <f>'D2 - Capex uso'!CF17</f>
        <v>0</v>
      </c>
      <c r="S13">
        <f>'D2 - Capex uso'!CG17</f>
        <v>0</v>
      </c>
      <c r="T13">
        <f>'D2 - Capex uso'!CH17</f>
        <v>0</v>
      </c>
      <c r="U13">
        <f>'D2 - Capex uso'!CI17</f>
        <v>0</v>
      </c>
      <c r="V13">
        <f>'D2 - Capex uso'!CJ17</f>
        <v>0</v>
      </c>
      <c r="W13">
        <f>'D2 - Capex uso'!CK17</f>
        <v>0</v>
      </c>
      <c r="X13">
        <f>'D2 - Capex uso'!CL17</f>
        <v>0</v>
      </c>
      <c r="Y13">
        <f>'D2 - Capex uso'!CM17</f>
        <v>0</v>
      </c>
      <c r="Z13">
        <f>'D2 - Capex uso'!CN17</f>
        <v>0</v>
      </c>
      <c r="AA13">
        <f>'D2 - Capex uso'!CO17</f>
        <v>0</v>
      </c>
      <c r="AB13">
        <f>'D2 - Capex uso'!CP17</f>
        <v>0</v>
      </c>
      <c r="AC13">
        <f>'D2 - Capex uso'!CQ17</f>
        <v>0</v>
      </c>
      <c r="AD13">
        <f>'D2 - Capex uso'!CR17</f>
        <v>0</v>
      </c>
      <c r="AE13">
        <f>'D2 - Capex uso'!CS17</f>
        <v>0</v>
      </c>
      <c r="AF13">
        <f>'D2 - Capex uso'!CT17</f>
        <v>0</v>
      </c>
      <c r="AG13">
        <f>'D2 - Capex uso'!CU17</f>
        <v>0</v>
      </c>
      <c r="AH13">
        <f>'D2 - Capex uso'!CV17</f>
        <v>0</v>
      </c>
      <c r="AI13">
        <f t="shared" si="0"/>
        <v>1191040.1800000002</v>
      </c>
    </row>
    <row r="14" spans="1:35">
      <c r="A14" t="str">
        <f>'D2 - Capex uso'!A18</f>
        <v>Construção em madeira com fechamento de madeira</v>
      </c>
      <c r="B14" t="str">
        <f>'D2 - Capex uso'!B18</f>
        <v>Operacional</v>
      </c>
      <c r="C14" t="str">
        <f>'D2 - Capex uso'!C18</f>
        <v>Ingresso</v>
      </c>
      <c r="D14" t="str">
        <f>'D2 - Capex uso'!AK18</f>
        <v>Edificações</v>
      </c>
      <c r="E14">
        <f>'D2 - Capex uso'!BS18</f>
        <v>0</v>
      </c>
      <c r="F14">
        <f>'D2 - Capex uso'!BT18</f>
        <v>0</v>
      </c>
      <c r="G14">
        <f>'D2 - Capex uso'!BU18</f>
        <v>0</v>
      </c>
      <c r="H14">
        <f>'D2 - Capex uso'!BV18</f>
        <v>0</v>
      </c>
      <c r="I14">
        <f>'D2 - Capex uso'!BW18</f>
        <v>0</v>
      </c>
      <c r="J14">
        <f>'D2 - Capex uso'!BX18</f>
        <v>0</v>
      </c>
      <c r="K14">
        <f>'D2 - Capex uso'!BY18</f>
        <v>0</v>
      </c>
      <c r="L14">
        <f>'D2 - Capex uso'!BZ18</f>
        <v>0</v>
      </c>
      <c r="M14">
        <f>'D2 - Capex uso'!CA18</f>
        <v>0</v>
      </c>
      <c r="N14">
        <f>'D2 - Capex uso'!CB18</f>
        <v>0</v>
      </c>
      <c r="O14">
        <f>'D2 - Capex uso'!CC18</f>
        <v>0</v>
      </c>
      <c r="P14">
        <f>'D2 - Capex uso'!CD18</f>
        <v>0</v>
      </c>
      <c r="Q14">
        <f>'D2 - Capex uso'!CE18</f>
        <v>0</v>
      </c>
      <c r="R14">
        <f>'D2 - Capex uso'!CF18</f>
        <v>0</v>
      </c>
      <c r="S14">
        <f>'D2 - Capex uso'!CG18</f>
        <v>0</v>
      </c>
      <c r="T14">
        <f>'D2 - Capex uso'!CH18</f>
        <v>0</v>
      </c>
      <c r="U14">
        <f>'D2 - Capex uso'!CI18</f>
        <v>0</v>
      </c>
      <c r="V14">
        <f>'D2 - Capex uso'!CJ18</f>
        <v>0</v>
      </c>
      <c r="W14">
        <f>'D2 - Capex uso'!CK18</f>
        <v>0</v>
      </c>
      <c r="X14">
        <f>'D2 - Capex uso'!CL18</f>
        <v>0</v>
      </c>
      <c r="Y14">
        <f>'D2 - Capex uso'!CM18</f>
        <v>0</v>
      </c>
      <c r="Z14">
        <f>'D2 - Capex uso'!CN18</f>
        <v>0</v>
      </c>
      <c r="AA14">
        <f>'D2 - Capex uso'!CO18</f>
        <v>0</v>
      </c>
      <c r="AB14">
        <f>'D2 - Capex uso'!CP18</f>
        <v>0</v>
      </c>
      <c r="AC14">
        <f>'D2 - Capex uso'!CQ18</f>
        <v>0</v>
      </c>
      <c r="AD14">
        <f>'D2 - Capex uso'!CR18</f>
        <v>0</v>
      </c>
      <c r="AE14">
        <f>'D2 - Capex uso'!CS18</f>
        <v>0</v>
      </c>
      <c r="AF14">
        <f>'D2 - Capex uso'!CT18</f>
        <v>0</v>
      </c>
      <c r="AG14">
        <f>'D2 - Capex uso'!CU18</f>
        <v>0</v>
      </c>
      <c r="AH14">
        <f>'D2 - Capex uso'!CV18</f>
        <v>0</v>
      </c>
      <c r="AI14">
        <f t="shared" si="0"/>
        <v>0</v>
      </c>
    </row>
    <row r="15" spans="1:35">
      <c r="A15" t="str">
        <f>'D2 - Capex uso'!A19</f>
        <v>Construção em madeira com fechamento de madeira</v>
      </c>
      <c r="B15" t="str">
        <f>'D2 - Capex uso'!B19</f>
        <v>Operacional</v>
      </c>
      <c r="C15" t="str">
        <f>'D2 - Capex uso'!C19</f>
        <v>Ingresso</v>
      </c>
      <c r="D15" t="str">
        <f>'D2 - Capex uso'!AK19</f>
        <v>Edificações</v>
      </c>
      <c r="E15">
        <f>'D2 - Capex uso'!BS19</f>
        <v>109139.14000000001</v>
      </c>
      <c r="F15">
        <f>'D2 - Capex uso'!BT19</f>
        <v>0</v>
      </c>
      <c r="G15">
        <f>'D2 - Capex uso'!BU19</f>
        <v>0</v>
      </c>
      <c r="H15">
        <f>'D2 - Capex uso'!BV19</f>
        <v>0</v>
      </c>
      <c r="I15">
        <f>'D2 - Capex uso'!BW19</f>
        <v>0</v>
      </c>
      <c r="J15">
        <f>'D2 - Capex uso'!BX19</f>
        <v>0</v>
      </c>
      <c r="K15">
        <f>'D2 - Capex uso'!BY19</f>
        <v>0</v>
      </c>
      <c r="L15">
        <f>'D2 - Capex uso'!BZ19</f>
        <v>0</v>
      </c>
      <c r="M15">
        <f>'D2 - Capex uso'!CA19</f>
        <v>0</v>
      </c>
      <c r="N15">
        <f>'D2 - Capex uso'!CB19</f>
        <v>0</v>
      </c>
      <c r="O15">
        <f>'D2 - Capex uso'!CC19</f>
        <v>0</v>
      </c>
      <c r="P15">
        <f>'D2 - Capex uso'!CD19</f>
        <v>0</v>
      </c>
      <c r="Q15">
        <f>'D2 - Capex uso'!CE19</f>
        <v>0</v>
      </c>
      <c r="R15">
        <f>'D2 - Capex uso'!CF19</f>
        <v>0</v>
      </c>
      <c r="S15">
        <f>'D2 - Capex uso'!CG19</f>
        <v>0</v>
      </c>
      <c r="T15">
        <f>'D2 - Capex uso'!CH19</f>
        <v>0</v>
      </c>
      <c r="U15">
        <f>'D2 - Capex uso'!CI19</f>
        <v>0</v>
      </c>
      <c r="V15">
        <f>'D2 - Capex uso'!CJ19</f>
        <v>0</v>
      </c>
      <c r="W15">
        <f>'D2 - Capex uso'!CK19</f>
        <v>0</v>
      </c>
      <c r="X15">
        <f>'D2 - Capex uso'!CL19</f>
        <v>0</v>
      </c>
      <c r="Y15">
        <f>'D2 - Capex uso'!CM19</f>
        <v>0</v>
      </c>
      <c r="Z15">
        <f>'D2 - Capex uso'!CN19</f>
        <v>0</v>
      </c>
      <c r="AA15">
        <f>'D2 - Capex uso'!CO19</f>
        <v>0</v>
      </c>
      <c r="AB15">
        <f>'D2 - Capex uso'!CP19</f>
        <v>0</v>
      </c>
      <c r="AC15">
        <f>'D2 - Capex uso'!CQ19</f>
        <v>0</v>
      </c>
      <c r="AD15">
        <f>'D2 - Capex uso'!CR19</f>
        <v>0</v>
      </c>
      <c r="AE15">
        <f>'D2 - Capex uso'!CS19</f>
        <v>0</v>
      </c>
      <c r="AF15">
        <f>'D2 - Capex uso'!CT19</f>
        <v>0</v>
      </c>
      <c r="AG15">
        <f>'D2 - Capex uso'!CU19</f>
        <v>0</v>
      </c>
      <c r="AH15">
        <f>'D2 - Capex uso'!CV19</f>
        <v>0</v>
      </c>
      <c r="AI15">
        <f t="shared" si="0"/>
        <v>109139.14000000001</v>
      </c>
    </row>
    <row r="16" spans="1:35">
      <c r="A16" t="str">
        <f>'D2 - Capex uso'!A20</f>
        <v>Sinalização vertical</v>
      </c>
      <c r="B16" t="str">
        <f>'D2 - Capex uso'!B20</f>
        <v>Operacional</v>
      </c>
      <c r="C16" t="str">
        <f>'D2 - Capex uso'!C20</f>
        <v>Ingresso</v>
      </c>
      <c r="D16" t="str">
        <f>'D2 - Capex uso'!AK20</f>
        <v>Infraestrutura</v>
      </c>
      <c r="E16">
        <f>'D2 - Capex uso'!BS20</f>
        <v>1760.0000000000002</v>
      </c>
      <c r="F16">
        <f>'D2 - Capex uso'!BT20</f>
        <v>0</v>
      </c>
      <c r="G16">
        <f>'D2 - Capex uso'!BU20</f>
        <v>0</v>
      </c>
      <c r="H16">
        <f>'D2 - Capex uso'!BV20</f>
        <v>0</v>
      </c>
      <c r="I16">
        <f>'D2 - Capex uso'!BW20</f>
        <v>0</v>
      </c>
      <c r="J16">
        <f>'D2 - Capex uso'!BX20</f>
        <v>0</v>
      </c>
      <c r="K16">
        <f>'D2 - Capex uso'!BY20</f>
        <v>0</v>
      </c>
      <c r="L16">
        <f>'D2 - Capex uso'!BZ20</f>
        <v>0</v>
      </c>
      <c r="M16">
        <f>'D2 - Capex uso'!CA20</f>
        <v>0</v>
      </c>
      <c r="N16">
        <f>'D2 - Capex uso'!CB20</f>
        <v>0</v>
      </c>
      <c r="O16">
        <f>'D2 - Capex uso'!CC20</f>
        <v>1760.0000000000002</v>
      </c>
      <c r="P16">
        <f>'D2 - Capex uso'!CD20</f>
        <v>0</v>
      </c>
      <c r="Q16">
        <f>'D2 - Capex uso'!CE20</f>
        <v>0</v>
      </c>
      <c r="R16">
        <f>'D2 - Capex uso'!CF20</f>
        <v>0</v>
      </c>
      <c r="S16">
        <f>'D2 - Capex uso'!CG20</f>
        <v>0</v>
      </c>
      <c r="T16">
        <f>'D2 - Capex uso'!CH20</f>
        <v>0</v>
      </c>
      <c r="U16">
        <f>'D2 - Capex uso'!CI20</f>
        <v>0</v>
      </c>
      <c r="V16">
        <f>'D2 - Capex uso'!CJ20</f>
        <v>0</v>
      </c>
      <c r="W16">
        <f>'D2 - Capex uso'!CK20</f>
        <v>0</v>
      </c>
      <c r="X16">
        <f>'D2 - Capex uso'!CL20</f>
        <v>0</v>
      </c>
      <c r="Y16">
        <f>'D2 - Capex uso'!CM20</f>
        <v>1760.0000000000002</v>
      </c>
      <c r="Z16">
        <f>'D2 - Capex uso'!CN20</f>
        <v>0</v>
      </c>
      <c r="AA16">
        <f>'D2 - Capex uso'!CO20</f>
        <v>0</v>
      </c>
      <c r="AB16">
        <f>'D2 - Capex uso'!CP20</f>
        <v>0</v>
      </c>
      <c r="AC16">
        <f>'D2 - Capex uso'!CQ20</f>
        <v>0</v>
      </c>
      <c r="AD16">
        <f>'D2 - Capex uso'!CR20</f>
        <v>0</v>
      </c>
      <c r="AE16">
        <f>'D2 - Capex uso'!CS20</f>
        <v>0</v>
      </c>
      <c r="AF16">
        <f>'D2 - Capex uso'!CT20</f>
        <v>0</v>
      </c>
      <c r="AG16">
        <f>'D2 - Capex uso'!CU20</f>
        <v>0</v>
      </c>
      <c r="AH16">
        <f>'D2 - Capex uso'!CV20</f>
        <v>0</v>
      </c>
      <c r="AI16">
        <f t="shared" si="0"/>
        <v>5280.0000000000009</v>
      </c>
    </row>
    <row r="17" spans="1:35">
      <c r="A17" t="str">
        <f>'D2 - Capex uso'!A21</f>
        <v>Sinalização vertical</v>
      </c>
      <c r="B17" t="str">
        <f>'D2 - Capex uso'!B21</f>
        <v>Operacional</v>
      </c>
      <c r="C17" t="str">
        <f>'D2 - Capex uso'!C21</f>
        <v>Ingresso</v>
      </c>
      <c r="D17" t="str">
        <f>'D2 - Capex uso'!AK21</f>
        <v>Infraestrutura</v>
      </c>
      <c r="E17">
        <f>'D2 - Capex uso'!BS21</f>
        <v>3520.0000000000005</v>
      </c>
      <c r="F17">
        <f>'D2 - Capex uso'!BT21</f>
        <v>0</v>
      </c>
      <c r="G17">
        <f>'D2 - Capex uso'!BU21</f>
        <v>0</v>
      </c>
      <c r="H17">
        <f>'D2 - Capex uso'!BV21</f>
        <v>0</v>
      </c>
      <c r="I17">
        <f>'D2 - Capex uso'!BW21</f>
        <v>0</v>
      </c>
      <c r="J17">
        <f>'D2 - Capex uso'!BX21</f>
        <v>0</v>
      </c>
      <c r="K17">
        <f>'D2 - Capex uso'!BY21</f>
        <v>0</v>
      </c>
      <c r="L17">
        <f>'D2 - Capex uso'!BZ21</f>
        <v>0</v>
      </c>
      <c r="M17">
        <f>'D2 - Capex uso'!CA21</f>
        <v>0</v>
      </c>
      <c r="N17">
        <f>'D2 - Capex uso'!CB21</f>
        <v>0</v>
      </c>
      <c r="O17">
        <f>'D2 - Capex uso'!CC21</f>
        <v>3520.0000000000005</v>
      </c>
      <c r="P17">
        <f>'D2 - Capex uso'!CD21</f>
        <v>0</v>
      </c>
      <c r="Q17">
        <f>'D2 - Capex uso'!CE21</f>
        <v>0</v>
      </c>
      <c r="R17">
        <f>'D2 - Capex uso'!CF21</f>
        <v>0</v>
      </c>
      <c r="S17">
        <f>'D2 - Capex uso'!CG21</f>
        <v>0</v>
      </c>
      <c r="T17">
        <f>'D2 - Capex uso'!CH21</f>
        <v>0</v>
      </c>
      <c r="U17">
        <f>'D2 - Capex uso'!CI21</f>
        <v>0</v>
      </c>
      <c r="V17">
        <f>'D2 - Capex uso'!CJ21</f>
        <v>0</v>
      </c>
      <c r="W17">
        <f>'D2 - Capex uso'!CK21</f>
        <v>0</v>
      </c>
      <c r="X17">
        <f>'D2 - Capex uso'!CL21</f>
        <v>0</v>
      </c>
      <c r="Y17">
        <f>'D2 - Capex uso'!CM21</f>
        <v>3520.0000000000005</v>
      </c>
      <c r="Z17">
        <f>'D2 - Capex uso'!CN21</f>
        <v>0</v>
      </c>
      <c r="AA17">
        <f>'D2 - Capex uso'!CO21</f>
        <v>0</v>
      </c>
      <c r="AB17">
        <f>'D2 - Capex uso'!CP21</f>
        <v>0</v>
      </c>
      <c r="AC17">
        <f>'D2 - Capex uso'!CQ21</f>
        <v>0</v>
      </c>
      <c r="AD17">
        <f>'D2 - Capex uso'!CR21</f>
        <v>0</v>
      </c>
      <c r="AE17">
        <f>'D2 - Capex uso'!CS21</f>
        <v>0</v>
      </c>
      <c r="AF17">
        <f>'D2 - Capex uso'!CT21</f>
        <v>0</v>
      </c>
      <c r="AG17">
        <f>'D2 - Capex uso'!CU21</f>
        <v>0</v>
      </c>
      <c r="AH17">
        <f>'D2 - Capex uso'!CV21</f>
        <v>0</v>
      </c>
      <c r="AI17">
        <f t="shared" si="0"/>
        <v>10560.000000000002</v>
      </c>
    </row>
    <row r="18" spans="1:35">
      <c r="A18" t="str">
        <f>'D2 - Capex uso'!A22</f>
        <v>Sinalização vertical</v>
      </c>
      <c r="B18" t="str">
        <f>'D2 - Capex uso'!B22</f>
        <v>Operacional</v>
      </c>
      <c r="C18" t="str">
        <f>'D2 - Capex uso'!C22</f>
        <v>Ingresso</v>
      </c>
      <c r="D18" t="str">
        <f>'D2 - Capex uso'!AK22</f>
        <v>Infraestrutura</v>
      </c>
      <c r="E18">
        <f>'D2 - Capex uso'!BS22</f>
        <v>3520.0000000000005</v>
      </c>
      <c r="F18">
        <f>'D2 - Capex uso'!BT22</f>
        <v>0</v>
      </c>
      <c r="G18">
        <f>'D2 - Capex uso'!BU22</f>
        <v>0</v>
      </c>
      <c r="H18">
        <f>'D2 - Capex uso'!BV22</f>
        <v>0</v>
      </c>
      <c r="I18">
        <f>'D2 - Capex uso'!BW22</f>
        <v>0</v>
      </c>
      <c r="J18">
        <f>'D2 - Capex uso'!BX22</f>
        <v>0</v>
      </c>
      <c r="K18">
        <f>'D2 - Capex uso'!BY22</f>
        <v>0</v>
      </c>
      <c r="L18">
        <f>'D2 - Capex uso'!BZ22</f>
        <v>0</v>
      </c>
      <c r="M18">
        <f>'D2 - Capex uso'!CA22</f>
        <v>0</v>
      </c>
      <c r="N18">
        <f>'D2 - Capex uso'!CB22</f>
        <v>0</v>
      </c>
      <c r="O18">
        <f>'D2 - Capex uso'!CC22</f>
        <v>3520.0000000000005</v>
      </c>
      <c r="P18">
        <f>'D2 - Capex uso'!CD22</f>
        <v>0</v>
      </c>
      <c r="Q18">
        <f>'D2 - Capex uso'!CE22</f>
        <v>0</v>
      </c>
      <c r="R18">
        <f>'D2 - Capex uso'!CF22</f>
        <v>0</v>
      </c>
      <c r="S18">
        <f>'D2 - Capex uso'!CG22</f>
        <v>0</v>
      </c>
      <c r="T18">
        <f>'D2 - Capex uso'!CH22</f>
        <v>0</v>
      </c>
      <c r="U18">
        <f>'D2 - Capex uso'!CI22</f>
        <v>0</v>
      </c>
      <c r="V18">
        <f>'D2 - Capex uso'!CJ22</f>
        <v>0</v>
      </c>
      <c r="W18">
        <f>'D2 - Capex uso'!CK22</f>
        <v>0</v>
      </c>
      <c r="X18">
        <f>'D2 - Capex uso'!CL22</f>
        <v>0</v>
      </c>
      <c r="Y18">
        <f>'D2 - Capex uso'!CM22</f>
        <v>3520.0000000000005</v>
      </c>
      <c r="Z18">
        <f>'D2 - Capex uso'!CN22</f>
        <v>0</v>
      </c>
      <c r="AA18">
        <f>'D2 - Capex uso'!CO22</f>
        <v>0</v>
      </c>
      <c r="AB18">
        <f>'D2 - Capex uso'!CP22</f>
        <v>0</v>
      </c>
      <c r="AC18">
        <f>'D2 - Capex uso'!CQ22</f>
        <v>0</v>
      </c>
      <c r="AD18">
        <f>'D2 - Capex uso'!CR22</f>
        <v>0</v>
      </c>
      <c r="AE18">
        <f>'D2 - Capex uso'!CS22</f>
        <v>0</v>
      </c>
      <c r="AF18">
        <f>'D2 - Capex uso'!CT22</f>
        <v>0</v>
      </c>
      <c r="AG18">
        <f>'D2 - Capex uso'!CU22</f>
        <v>0</v>
      </c>
      <c r="AH18">
        <f>'D2 - Capex uso'!CV22</f>
        <v>0</v>
      </c>
      <c r="AI18">
        <f t="shared" si="0"/>
        <v>10560.000000000002</v>
      </c>
    </row>
    <row r="19" spans="1:35">
      <c r="A19" t="str">
        <f>'D2 - Capex uso'!A23</f>
        <v>Sinalização vertical</v>
      </c>
      <c r="B19" t="str">
        <f>'D2 - Capex uso'!B23</f>
        <v>Operacional</v>
      </c>
      <c r="C19" t="str">
        <f>'D2 - Capex uso'!C23</f>
        <v>Ingresso</v>
      </c>
      <c r="D19" t="str">
        <f>'D2 - Capex uso'!AK23</f>
        <v>Infraestrutura</v>
      </c>
      <c r="E19">
        <f>'D2 - Capex uso'!BS23</f>
        <v>3520.0000000000005</v>
      </c>
      <c r="F19">
        <f>'D2 - Capex uso'!BT23</f>
        <v>0</v>
      </c>
      <c r="G19">
        <f>'D2 - Capex uso'!BU23</f>
        <v>0</v>
      </c>
      <c r="H19">
        <f>'D2 - Capex uso'!BV23</f>
        <v>0</v>
      </c>
      <c r="I19">
        <f>'D2 - Capex uso'!BW23</f>
        <v>0</v>
      </c>
      <c r="J19">
        <f>'D2 - Capex uso'!BX23</f>
        <v>0</v>
      </c>
      <c r="K19">
        <f>'D2 - Capex uso'!BY23</f>
        <v>0</v>
      </c>
      <c r="L19">
        <f>'D2 - Capex uso'!BZ23</f>
        <v>0</v>
      </c>
      <c r="M19">
        <f>'D2 - Capex uso'!CA23</f>
        <v>0</v>
      </c>
      <c r="N19">
        <f>'D2 - Capex uso'!CB23</f>
        <v>0</v>
      </c>
      <c r="O19">
        <f>'D2 - Capex uso'!CC23</f>
        <v>3520.0000000000005</v>
      </c>
      <c r="P19">
        <f>'D2 - Capex uso'!CD23</f>
        <v>0</v>
      </c>
      <c r="Q19">
        <f>'D2 - Capex uso'!CE23</f>
        <v>0</v>
      </c>
      <c r="R19">
        <f>'D2 - Capex uso'!CF23</f>
        <v>0</v>
      </c>
      <c r="S19">
        <f>'D2 - Capex uso'!CG23</f>
        <v>0</v>
      </c>
      <c r="T19">
        <f>'D2 - Capex uso'!CH23</f>
        <v>0</v>
      </c>
      <c r="U19">
        <f>'D2 - Capex uso'!CI23</f>
        <v>0</v>
      </c>
      <c r="V19">
        <f>'D2 - Capex uso'!CJ23</f>
        <v>0</v>
      </c>
      <c r="W19">
        <f>'D2 - Capex uso'!CK23</f>
        <v>0</v>
      </c>
      <c r="X19">
        <f>'D2 - Capex uso'!CL23</f>
        <v>0</v>
      </c>
      <c r="Y19">
        <f>'D2 - Capex uso'!CM23</f>
        <v>3520.0000000000005</v>
      </c>
      <c r="Z19">
        <f>'D2 - Capex uso'!CN23</f>
        <v>0</v>
      </c>
      <c r="AA19">
        <f>'D2 - Capex uso'!CO23</f>
        <v>0</v>
      </c>
      <c r="AB19">
        <f>'D2 - Capex uso'!CP23</f>
        <v>0</v>
      </c>
      <c r="AC19">
        <f>'D2 - Capex uso'!CQ23</f>
        <v>0</v>
      </c>
      <c r="AD19">
        <f>'D2 - Capex uso'!CR23</f>
        <v>0</v>
      </c>
      <c r="AE19">
        <f>'D2 - Capex uso'!CS23</f>
        <v>0</v>
      </c>
      <c r="AF19">
        <f>'D2 - Capex uso'!CT23</f>
        <v>0</v>
      </c>
      <c r="AG19">
        <f>'D2 - Capex uso'!CU23</f>
        <v>0</v>
      </c>
      <c r="AH19">
        <f>'D2 - Capex uso'!CV23</f>
        <v>0</v>
      </c>
      <c r="AI19">
        <f t="shared" si="0"/>
        <v>10560.000000000002</v>
      </c>
    </row>
    <row r="20" spans="1:35">
      <c r="A20" t="str">
        <f>'D2 - Capex uso'!A24</f>
        <v>Sinalização vertical</v>
      </c>
      <c r="B20" t="str">
        <f>'D2 - Capex uso'!B24</f>
        <v>Operacional</v>
      </c>
      <c r="C20" t="str">
        <f>'D2 - Capex uso'!C24</f>
        <v>Ingresso</v>
      </c>
      <c r="D20" t="str">
        <f>'D2 - Capex uso'!AK24</f>
        <v>Infraestrutura</v>
      </c>
      <c r="E20">
        <f>'D2 - Capex uso'!BS24</f>
        <v>3520.0000000000005</v>
      </c>
      <c r="F20">
        <f>'D2 - Capex uso'!BT24</f>
        <v>0</v>
      </c>
      <c r="G20">
        <f>'D2 - Capex uso'!BU24</f>
        <v>0</v>
      </c>
      <c r="H20">
        <f>'D2 - Capex uso'!BV24</f>
        <v>0</v>
      </c>
      <c r="I20">
        <f>'D2 - Capex uso'!BW24</f>
        <v>0</v>
      </c>
      <c r="J20">
        <f>'D2 - Capex uso'!BX24</f>
        <v>0</v>
      </c>
      <c r="K20">
        <f>'D2 - Capex uso'!BY24</f>
        <v>0</v>
      </c>
      <c r="L20">
        <f>'D2 - Capex uso'!BZ24</f>
        <v>0</v>
      </c>
      <c r="M20">
        <f>'D2 - Capex uso'!CA24</f>
        <v>0</v>
      </c>
      <c r="N20">
        <f>'D2 - Capex uso'!CB24</f>
        <v>0</v>
      </c>
      <c r="O20">
        <f>'D2 - Capex uso'!CC24</f>
        <v>3520.0000000000005</v>
      </c>
      <c r="P20">
        <f>'D2 - Capex uso'!CD24</f>
        <v>0</v>
      </c>
      <c r="Q20">
        <f>'D2 - Capex uso'!CE24</f>
        <v>0</v>
      </c>
      <c r="R20">
        <f>'D2 - Capex uso'!CF24</f>
        <v>0</v>
      </c>
      <c r="S20">
        <f>'D2 - Capex uso'!CG24</f>
        <v>0</v>
      </c>
      <c r="T20">
        <f>'D2 - Capex uso'!CH24</f>
        <v>0</v>
      </c>
      <c r="U20">
        <f>'D2 - Capex uso'!CI24</f>
        <v>0</v>
      </c>
      <c r="V20">
        <f>'D2 - Capex uso'!CJ24</f>
        <v>0</v>
      </c>
      <c r="W20">
        <f>'D2 - Capex uso'!CK24</f>
        <v>0</v>
      </c>
      <c r="X20">
        <f>'D2 - Capex uso'!CL24</f>
        <v>0</v>
      </c>
      <c r="Y20">
        <f>'D2 - Capex uso'!CM24</f>
        <v>3520.0000000000005</v>
      </c>
      <c r="Z20">
        <f>'D2 - Capex uso'!CN24</f>
        <v>0</v>
      </c>
      <c r="AA20">
        <f>'D2 - Capex uso'!CO24</f>
        <v>0</v>
      </c>
      <c r="AB20">
        <f>'D2 - Capex uso'!CP24</f>
        <v>0</v>
      </c>
      <c r="AC20">
        <f>'D2 - Capex uso'!CQ24</f>
        <v>0</v>
      </c>
      <c r="AD20">
        <f>'D2 - Capex uso'!CR24</f>
        <v>0</v>
      </c>
      <c r="AE20">
        <f>'D2 - Capex uso'!CS24</f>
        <v>0</v>
      </c>
      <c r="AF20">
        <f>'D2 - Capex uso'!CT24</f>
        <v>0</v>
      </c>
      <c r="AG20">
        <f>'D2 - Capex uso'!CU24</f>
        <v>0</v>
      </c>
      <c r="AH20">
        <f>'D2 - Capex uso'!CV24</f>
        <v>0</v>
      </c>
      <c r="AI20">
        <f t="shared" si="0"/>
        <v>10560.000000000002</v>
      </c>
    </row>
    <row r="21" spans="1:35">
      <c r="A21" t="str">
        <f>'D2 - Capex uso'!A25</f>
        <v>Sinalização vertical</v>
      </c>
      <c r="B21" t="str">
        <f>'D2 - Capex uso'!B25</f>
        <v>Operacional</v>
      </c>
      <c r="C21" t="str">
        <f>'D2 - Capex uso'!C25</f>
        <v>Ingresso</v>
      </c>
      <c r="D21" t="str">
        <f>'D2 - Capex uso'!AK25</f>
        <v>Infraestrutura</v>
      </c>
      <c r="E21">
        <f>'D2 - Capex uso'!BS25</f>
        <v>5280.0000000000009</v>
      </c>
      <c r="F21">
        <f>'D2 - Capex uso'!BT25</f>
        <v>0</v>
      </c>
      <c r="G21">
        <f>'D2 - Capex uso'!BU25</f>
        <v>0</v>
      </c>
      <c r="H21">
        <f>'D2 - Capex uso'!BV25</f>
        <v>0</v>
      </c>
      <c r="I21">
        <f>'D2 - Capex uso'!BW25</f>
        <v>0</v>
      </c>
      <c r="J21">
        <f>'D2 - Capex uso'!BX25</f>
        <v>0</v>
      </c>
      <c r="K21">
        <f>'D2 - Capex uso'!BY25</f>
        <v>0</v>
      </c>
      <c r="L21">
        <f>'D2 - Capex uso'!BZ25</f>
        <v>0</v>
      </c>
      <c r="M21">
        <f>'D2 - Capex uso'!CA25</f>
        <v>0</v>
      </c>
      <c r="N21">
        <f>'D2 - Capex uso'!CB25</f>
        <v>0</v>
      </c>
      <c r="O21">
        <f>'D2 - Capex uso'!CC25</f>
        <v>5280.0000000000009</v>
      </c>
      <c r="P21">
        <f>'D2 - Capex uso'!CD25</f>
        <v>0</v>
      </c>
      <c r="Q21">
        <f>'D2 - Capex uso'!CE25</f>
        <v>0</v>
      </c>
      <c r="R21">
        <f>'D2 - Capex uso'!CF25</f>
        <v>0</v>
      </c>
      <c r="S21">
        <f>'D2 - Capex uso'!CG25</f>
        <v>0</v>
      </c>
      <c r="T21">
        <f>'D2 - Capex uso'!CH25</f>
        <v>0</v>
      </c>
      <c r="U21">
        <f>'D2 - Capex uso'!CI25</f>
        <v>0</v>
      </c>
      <c r="V21">
        <f>'D2 - Capex uso'!CJ25</f>
        <v>0</v>
      </c>
      <c r="W21">
        <f>'D2 - Capex uso'!CK25</f>
        <v>0</v>
      </c>
      <c r="X21">
        <f>'D2 - Capex uso'!CL25</f>
        <v>0</v>
      </c>
      <c r="Y21">
        <f>'D2 - Capex uso'!CM25</f>
        <v>5280.0000000000009</v>
      </c>
      <c r="Z21">
        <f>'D2 - Capex uso'!CN25</f>
        <v>0</v>
      </c>
      <c r="AA21">
        <f>'D2 - Capex uso'!CO25</f>
        <v>0</v>
      </c>
      <c r="AB21">
        <f>'D2 - Capex uso'!CP25</f>
        <v>0</v>
      </c>
      <c r="AC21">
        <f>'D2 - Capex uso'!CQ25</f>
        <v>0</v>
      </c>
      <c r="AD21">
        <f>'D2 - Capex uso'!CR25</f>
        <v>0</v>
      </c>
      <c r="AE21">
        <f>'D2 - Capex uso'!CS25</f>
        <v>0</v>
      </c>
      <c r="AF21">
        <f>'D2 - Capex uso'!CT25</f>
        <v>0</v>
      </c>
      <c r="AG21">
        <f>'D2 - Capex uso'!CU25</f>
        <v>0</v>
      </c>
      <c r="AH21">
        <f>'D2 - Capex uso'!CV25</f>
        <v>0</v>
      </c>
      <c r="AI21">
        <f t="shared" si="0"/>
        <v>15840.000000000004</v>
      </c>
    </row>
    <row r="22" spans="1:35">
      <c r="A22" t="str">
        <f>'D2 - Capex uso'!A26</f>
        <v>Sinalização vertical</v>
      </c>
      <c r="B22" t="str">
        <f>'D2 - Capex uso'!B26</f>
        <v>Operacional</v>
      </c>
      <c r="C22" t="str">
        <f>'D2 - Capex uso'!C26</f>
        <v>Ingresso</v>
      </c>
      <c r="D22" t="str">
        <f>'D2 - Capex uso'!AK26</f>
        <v>Infraestrutura</v>
      </c>
      <c r="E22">
        <f>'D2 - Capex uso'!BS26</f>
        <v>3520.0000000000005</v>
      </c>
      <c r="F22">
        <f>'D2 - Capex uso'!BT26</f>
        <v>0</v>
      </c>
      <c r="G22">
        <f>'D2 - Capex uso'!BU26</f>
        <v>0</v>
      </c>
      <c r="H22">
        <f>'D2 - Capex uso'!BV26</f>
        <v>0</v>
      </c>
      <c r="I22">
        <f>'D2 - Capex uso'!BW26</f>
        <v>0</v>
      </c>
      <c r="J22">
        <f>'D2 - Capex uso'!BX26</f>
        <v>0</v>
      </c>
      <c r="K22">
        <f>'D2 - Capex uso'!BY26</f>
        <v>0</v>
      </c>
      <c r="L22">
        <f>'D2 - Capex uso'!BZ26</f>
        <v>0</v>
      </c>
      <c r="M22">
        <f>'D2 - Capex uso'!CA26</f>
        <v>0</v>
      </c>
      <c r="N22">
        <f>'D2 - Capex uso'!CB26</f>
        <v>0</v>
      </c>
      <c r="O22">
        <f>'D2 - Capex uso'!CC26</f>
        <v>3520.0000000000005</v>
      </c>
      <c r="P22">
        <f>'D2 - Capex uso'!CD26</f>
        <v>0</v>
      </c>
      <c r="Q22">
        <f>'D2 - Capex uso'!CE26</f>
        <v>0</v>
      </c>
      <c r="R22">
        <f>'D2 - Capex uso'!CF26</f>
        <v>0</v>
      </c>
      <c r="S22">
        <f>'D2 - Capex uso'!CG26</f>
        <v>0</v>
      </c>
      <c r="T22">
        <f>'D2 - Capex uso'!CH26</f>
        <v>0</v>
      </c>
      <c r="U22">
        <f>'D2 - Capex uso'!CI26</f>
        <v>0</v>
      </c>
      <c r="V22">
        <f>'D2 - Capex uso'!CJ26</f>
        <v>0</v>
      </c>
      <c r="W22">
        <f>'D2 - Capex uso'!CK26</f>
        <v>0</v>
      </c>
      <c r="X22">
        <f>'D2 - Capex uso'!CL26</f>
        <v>0</v>
      </c>
      <c r="Y22">
        <f>'D2 - Capex uso'!CM26</f>
        <v>3520.0000000000005</v>
      </c>
      <c r="Z22">
        <f>'D2 - Capex uso'!CN26</f>
        <v>0</v>
      </c>
      <c r="AA22">
        <f>'D2 - Capex uso'!CO26</f>
        <v>0</v>
      </c>
      <c r="AB22">
        <f>'D2 - Capex uso'!CP26</f>
        <v>0</v>
      </c>
      <c r="AC22">
        <f>'D2 - Capex uso'!CQ26</f>
        <v>0</v>
      </c>
      <c r="AD22">
        <f>'D2 - Capex uso'!CR26</f>
        <v>0</v>
      </c>
      <c r="AE22">
        <f>'D2 - Capex uso'!CS26</f>
        <v>0</v>
      </c>
      <c r="AF22">
        <f>'D2 - Capex uso'!CT26</f>
        <v>0</v>
      </c>
      <c r="AG22">
        <f>'D2 - Capex uso'!CU26</f>
        <v>0</v>
      </c>
      <c r="AH22">
        <f>'D2 - Capex uso'!CV26</f>
        <v>0</v>
      </c>
      <c r="AI22">
        <f t="shared" si="0"/>
        <v>10560.000000000002</v>
      </c>
    </row>
    <row r="23" spans="1:35">
      <c r="A23" t="str">
        <f>'D2 - Capex uso'!A27</f>
        <v>Sinalização vertical</v>
      </c>
      <c r="B23" t="str">
        <f>'D2 - Capex uso'!B27</f>
        <v>Operacional</v>
      </c>
      <c r="C23" t="str">
        <f>'D2 - Capex uso'!C27</f>
        <v>Ingresso</v>
      </c>
      <c r="D23" t="str">
        <f>'D2 - Capex uso'!AK27</f>
        <v>Infraestrutura</v>
      </c>
      <c r="E23">
        <f>'D2 - Capex uso'!BS27</f>
        <v>5280.0000000000009</v>
      </c>
      <c r="F23">
        <f>'D2 - Capex uso'!BT27</f>
        <v>0</v>
      </c>
      <c r="G23">
        <f>'D2 - Capex uso'!BU27</f>
        <v>0</v>
      </c>
      <c r="H23">
        <f>'D2 - Capex uso'!BV27</f>
        <v>0</v>
      </c>
      <c r="I23">
        <f>'D2 - Capex uso'!BW27</f>
        <v>0</v>
      </c>
      <c r="J23">
        <f>'D2 - Capex uso'!BX27</f>
        <v>0</v>
      </c>
      <c r="K23">
        <f>'D2 - Capex uso'!BY27</f>
        <v>0</v>
      </c>
      <c r="L23">
        <f>'D2 - Capex uso'!BZ27</f>
        <v>0</v>
      </c>
      <c r="M23">
        <f>'D2 - Capex uso'!CA27</f>
        <v>0</v>
      </c>
      <c r="N23">
        <f>'D2 - Capex uso'!CB27</f>
        <v>0</v>
      </c>
      <c r="O23">
        <f>'D2 - Capex uso'!CC27</f>
        <v>5280.0000000000009</v>
      </c>
      <c r="P23">
        <f>'D2 - Capex uso'!CD27</f>
        <v>0</v>
      </c>
      <c r="Q23">
        <f>'D2 - Capex uso'!CE27</f>
        <v>0</v>
      </c>
      <c r="R23">
        <f>'D2 - Capex uso'!CF27</f>
        <v>0</v>
      </c>
      <c r="S23">
        <f>'D2 - Capex uso'!CG27</f>
        <v>0</v>
      </c>
      <c r="T23">
        <f>'D2 - Capex uso'!CH27</f>
        <v>0</v>
      </c>
      <c r="U23">
        <f>'D2 - Capex uso'!CI27</f>
        <v>0</v>
      </c>
      <c r="V23">
        <f>'D2 - Capex uso'!CJ27</f>
        <v>0</v>
      </c>
      <c r="W23">
        <f>'D2 - Capex uso'!CK27</f>
        <v>0</v>
      </c>
      <c r="X23">
        <f>'D2 - Capex uso'!CL27</f>
        <v>0</v>
      </c>
      <c r="Y23">
        <f>'D2 - Capex uso'!CM27</f>
        <v>5280.0000000000009</v>
      </c>
      <c r="Z23">
        <f>'D2 - Capex uso'!CN27</f>
        <v>0</v>
      </c>
      <c r="AA23">
        <f>'D2 - Capex uso'!CO27</f>
        <v>0</v>
      </c>
      <c r="AB23">
        <f>'D2 - Capex uso'!CP27</f>
        <v>0</v>
      </c>
      <c r="AC23">
        <f>'D2 - Capex uso'!CQ27</f>
        <v>0</v>
      </c>
      <c r="AD23">
        <f>'D2 - Capex uso'!CR27</f>
        <v>0</v>
      </c>
      <c r="AE23">
        <f>'D2 - Capex uso'!CS27</f>
        <v>0</v>
      </c>
      <c r="AF23">
        <f>'D2 - Capex uso'!CT27</f>
        <v>0</v>
      </c>
      <c r="AG23">
        <f>'D2 - Capex uso'!CU27</f>
        <v>0</v>
      </c>
      <c r="AH23">
        <f>'D2 - Capex uso'!CV27</f>
        <v>0</v>
      </c>
      <c r="AI23">
        <f t="shared" si="0"/>
        <v>15840.000000000004</v>
      </c>
    </row>
    <row r="24" spans="1:35">
      <c r="A24" t="str">
        <f>'D2 - Capex uso'!A28</f>
        <v>Decks e escadarias de madeira</v>
      </c>
      <c r="B24" t="str">
        <f>'D2 - Capex uso'!B28</f>
        <v>Operacional</v>
      </c>
      <c r="C24" t="str">
        <f>'D2 - Capex uso'!C28</f>
        <v>Ingresso</v>
      </c>
      <c r="D24" t="str">
        <f>'D2 - Capex uso'!AK28</f>
        <v>Infraestrutura</v>
      </c>
      <c r="E24">
        <f>'D2 - Capex uso'!BS28</f>
        <v>27500</v>
      </c>
      <c r="F24">
        <f>'D2 - Capex uso'!BT28</f>
        <v>0</v>
      </c>
      <c r="G24">
        <f>'D2 - Capex uso'!BU28</f>
        <v>0</v>
      </c>
      <c r="H24">
        <f>'D2 - Capex uso'!BV28</f>
        <v>0</v>
      </c>
      <c r="I24">
        <f>'D2 - Capex uso'!BW28</f>
        <v>0</v>
      </c>
      <c r="J24">
        <f>'D2 - Capex uso'!BX28</f>
        <v>0</v>
      </c>
      <c r="K24">
        <f>'D2 - Capex uso'!BY28</f>
        <v>0</v>
      </c>
      <c r="L24">
        <f>'D2 - Capex uso'!BZ28</f>
        <v>0</v>
      </c>
      <c r="M24">
        <f>'D2 - Capex uso'!CA28</f>
        <v>0</v>
      </c>
      <c r="N24">
        <f>'D2 - Capex uso'!CB28</f>
        <v>0</v>
      </c>
      <c r="O24">
        <f>'D2 - Capex uso'!CC28</f>
        <v>0</v>
      </c>
      <c r="P24">
        <f>'D2 - Capex uso'!CD28</f>
        <v>0</v>
      </c>
      <c r="Q24">
        <f>'D2 - Capex uso'!CE28</f>
        <v>0</v>
      </c>
      <c r="R24">
        <f>'D2 - Capex uso'!CF28</f>
        <v>0</v>
      </c>
      <c r="S24">
        <f>'D2 - Capex uso'!CG28</f>
        <v>0</v>
      </c>
      <c r="T24">
        <f>'D2 - Capex uso'!CH28</f>
        <v>0</v>
      </c>
      <c r="U24">
        <f>'D2 - Capex uso'!CI28</f>
        <v>0</v>
      </c>
      <c r="V24">
        <f>'D2 - Capex uso'!CJ28</f>
        <v>0</v>
      </c>
      <c r="W24">
        <f>'D2 - Capex uso'!CK28</f>
        <v>0</v>
      </c>
      <c r="X24">
        <f>'D2 - Capex uso'!CL28</f>
        <v>0</v>
      </c>
      <c r="Y24">
        <f>'D2 - Capex uso'!CM28</f>
        <v>0</v>
      </c>
      <c r="Z24">
        <f>'D2 - Capex uso'!CN28</f>
        <v>0</v>
      </c>
      <c r="AA24">
        <f>'D2 - Capex uso'!CO28</f>
        <v>0</v>
      </c>
      <c r="AB24">
        <f>'D2 - Capex uso'!CP28</f>
        <v>0</v>
      </c>
      <c r="AC24">
        <f>'D2 - Capex uso'!CQ28</f>
        <v>0</v>
      </c>
      <c r="AD24">
        <f>'D2 - Capex uso'!CR28</f>
        <v>0</v>
      </c>
      <c r="AE24">
        <f>'D2 - Capex uso'!CS28</f>
        <v>0</v>
      </c>
      <c r="AF24">
        <f>'D2 - Capex uso'!CT28</f>
        <v>0</v>
      </c>
      <c r="AG24">
        <f>'D2 - Capex uso'!CU28</f>
        <v>0</v>
      </c>
      <c r="AH24">
        <f>'D2 - Capex uso'!CV28</f>
        <v>0</v>
      </c>
      <c r="AI24">
        <f t="shared" si="0"/>
        <v>27500</v>
      </c>
    </row>
    <row r="25" spans="1:35">
      <c r="A25" t="str">
        <f>'D2 - Capex uso'!A29</f>
        <v>Piso intertravado permeável</v>
      </c>
      <c r="B25" t="str">
        <f>'D2 - Capex uso'!B29</f>
        <v>Operacional</v>
      </c>
      <c r="C25" t="str">
        <f>'D2 - Capex uso'!C29</f>
        <v>Ingresso</v>
      </c>
      <c r="D25" t="str">
        <f>'D2 - Capex uso'!AK29</f>
        <v>Infraestrutura</v>
      </c>
      <c r="E25">
        <f>'D2 - Capex uso'!BS29</f>
        <v>704</v>
      </c>
      <c r="F25">
        <f>'D2 - Capex uso'!BT29</f>
        <v>0</v>
      </c>
      <c r="G25">
        <f>'D2 - Capex uso'!BU29</f>
        <v>0</v>
      </c>
      <c r="H25">
        <f>'D2 - Capex uso'!BV29</f>
        <v>0</v>
      </c>
      <c r="I25">
        <f>'D2 - Capex uso'!BW29</f>
        <v>0</v>
      </c>
      <c r="J25">
        <f>'D2 - Capex uso'!BX29</f>
        <v>0</v>
      </c>
      <c r="K25">
        <f>'D2 - Capex uso'!BY29</f>
        <v>0</v>
      </c>
      <c r="L25">
        <f>'D2 - Capex uso'!BZ29</f>
        <v>0</v>
      </c>
      <c r="M25">
        <f>'D2 - Capex uso'!CA29</f>
        <v>0</v>
      </c>
      <c r="N25">
        <f>'D2 - Capex uso'!CB29</f>
        <v>0</v>
      </c>
      <c r="O25">
        <f>'D2 - Capex uso'!CC29</f>
        <v>0</v>
      </c>
      <c r="P25">
        <f>'D2 - Capex uso'!CD29</f>
        <v>0</v>
      </c>
      <c r="Q25">
        <f>'D2 - Capex uso'!CE29</f>
        <v>0</v>
      </c>
      <c r="R25">
        <f>'D2 - Capex uso'!CF29</f>
        <v>0</v>
      </c>
      <c r="S25">
        <f>'D2 - Capex uso'!CG29</f>
        <v>0</v>
      </c>
      <c r="T25">
        <f>'D2 - Capex uso'!CH29</f>
        <v>0</v>
      </c>
      <c r="U25">
        <f>'D2 - Capex uso'!CI29</f>
        <v>0</v>
      </c>
      <c r="V25">
        <f>'D2 - Capex uso'!CJ29</f>
        <v>0</v>
      </c>
      <c r="W25">
        <f>'D2 - Capex uso'!CK29</f>
        <v>0</v>
      </c>
      <c r="X25">
        <f>'D2 - Capex uso'!CL29</f>
        <v>0</v>
      </c>
      <c r="Y25">
        <f>'D2 - Capex uso'!CM29</f>
        <v>0</v>
      </c>
      <c r="Z25">
        <f>'D2 - Capex uso'!CN29</f>
        <v>0</v>
      </c>
      <c r="AA25">
        <f>'D2 - Capex uso'!CO29</f>
        <v>0</v>
      </c>
      <c r="AB25">
        <f>'D2 - Capex uso'!CP29</f>
        <v>0</v>
      </c>
      <c r="AC25">
        <f>'D2 - Capex uso'!CQ29</f>
        <v>0</v>
      </c>
      <c r="AD25">
        <f>'D2 - Capex uso'!CR29</f>
        <v>0</v>
      </c>
      <c r="AE25">
        <f>'D2 - Capex uso'!CS29</f>
        <v>0</v>
      </c>
      <c r="AF25">
        <f>'D2 - Capex uso'!CT29</f>
        <v>0</v>
      </c>
      <c r="AG25">
        <f>'D2 - Capex uso'!CU29</f>
        <v>0</v>
      </c>
      <c r="AH25">
        <f>'D2 - Capex uso'!CV29</f>
        <v>0</v>
      </c>
      <c r="AI25">
        <f t="shared" si="0"/>
        <v>704</v>
      </c>
    </row>
    <row r="26" spans="1:35">
      <c r="A26" t="str">
        <f>'D2 - Capex uso'!A30</f>
        <v>Piso intertravado permeável</v>
      </c>
      <c r="B26" t="str">
        <f>'D2 - Capex uso'!B30</f>
        <v>Operacional</v>
      </c>
      <c r="C26" t="str">
        <f>'D2 - Capex uso'!C30</f>
        <v>Ingresso</v>
      </c>
      <c r="D26" t="str">
        <f>'D2 - Capex uso'!AK30</f>
        <v>Infraestrutura</v>
      </c>
      <c r="E26">
        <f>'D2 - Capex uso'!BS30</f>
        <v>7040</v>
      </c>
      <c r="F26">
        <f>'D2 - Capex uso'!BT30</f>
        <v>0</v>
      </c>
      <c r="G26">
        <f>'D2 - Capex uso'!BU30</f>
        <v>0</v>
      </c>
      <c r="H26">
        <f>'D2 - Capex uso'!BV30</f>
        <v>0</v>
      </c>
      <c r="I26">
        <f>'D2 - Capex uso'!BW30</f>
        <v>0</v>
      </c>
      <c r="J26">
        <f>'D2 - Capex uso'!BX30</f>
        <v>0</v>
      </c>
      <c r="K26">
        <f>'D2 - Capex uso'!BY30</f>
        <v>0</v>
      </c>
      <c r="L26">
        <f>'D2 - Capex uso'!BZ30</f>
        <v>0</v>
      </c>
      <c r="M26">
        <f>'D2 - Capex uso'!CA30</f>
        <v>0</v>
      </c>
      <c r="N26">
        <f>'D2 - Capex uso'!CB30</f>
        <v>0</v>
      </c>
      <c r="O26">
        <f>'D2 - Capex uso'!CC30</f>
        <v>0</v>
      </c>
      <c r="P26">
        <f>'D2 - Capex uso'!CD30</f>
        <v>0</v>
      </c>
      <c r="Q26">
        <f>'D2 - Capex uso'!CE30</f>
        <v>0</v>
      </c>
      <c r="R26">
        <f>'D2 - Capex uso'!CF30</f>
        <v>0</v>
      </c>
      <c r="S26">
        <f>'D2 - Capex uso'!CG30</f>
        <v>0</v>
      </c>
      <c r="T26">
        <f>'D2 - Capex uso'!CH30</f>
        <v>0</v>
      </c>
      <c r="U26">
        <f>'D2 - Capex uso'!CI30</f>
        <v>0</v>
      </c>
      <c r="V26">
        <f>'D2 - Capex uso'!CJ30</f>
        <v>0</v>
      </c>
      <c r="W26">
        <f>'D2 - Capex uso'!CK30</f>
        <v>0</v>
      </c>
      <c r="X26">
        <f>'D2 - Capex uso'!CL30</f>
        <v>0</v>
      </c>
      <c r="Y26">
        <f>'D2 - Capex uso'!CM30</f>
        <v>0</v>
      </c>
      <c r="Z26">
        <f>'D2 - Capex uso'!CN30</f>
        <v>0</v>
      </c>
      <c r="AA26">
        <f>'D2 - Capex uso'!CO30</f>
        <v>0</v>
      </c>
      <c r="AB26">
        <f>'D2 - Capex uso'!CP30</f>
        <v>0</v>
      </c>
      <c r="AC26">
        <f>'D2 - Capex uso'!CQ30</f>
        <v>0</v>
      </c>
      <c r="AD26">
        <f>'D2 - Capex uso'!CR30</f>
        <v>0</v>
      </c>
      <c r="AE26">
        <f>'D2 - Capex uso'!CS30</f>
        <v>0</v>
      </c>
      <c r="AF26">
        <f>'D2 - Capex uso'!CT30</f>
        <v>0</v>
      </c>
      <c r="AG26">
        <f>'D2 - Capex uso'!CU30</f>
        <v>0</v>
      </c>
      <c r="AH26">
        <f>'D2 - Capex uso'!CV30</f>
        <v>0</v>
      </c>
      <c r="AI26">
        <f t="shared" si="0"/>
        <v>7040</v>
      </c>
    </row>
    <row r="27" spans="1:35">
      <c r="A27" t="str">
        <f>'D2 - Capex uso'!A31</f>
        <v>Piso intertravado permeável</v>
      </c>
      <c r="B27" t="str">
        <f>'D2 - Capex uso'!B31</f>
        <v>Operacional</v>
      </c>
      <c r="C27" t="str">
        <f>'D2 - Capex uso'!C31</f>
        <v>Ingresso</v>
      </c>
      <c r="D27" t="str">
        <f>'D2 - Capex uso'!AK31</f>
        <v>Infraestrutura</v>
      </c>
      <c r="E27">
        <f>'D2 - Capex uso'!BS31</f>
        <v>23452</v>
      </c>
      <c r="F27">
        <f>'D2 - Capex uso'!BT31</f>
        <v>0</v>
      </c>
      <c r="G27">
        <f>'D2 - Capex uso'!BU31</f>
        <v>0</v>
      </c>
      <c r="H27">
        <f>'D2 - Capex uso'!BV31</f>
        <v>0</v>
      </c>
      <c r="I27">
        <f>'D2 - Capex uso'!BW31</f>
        <v>0</v>
      </c>
      <c r="J27">
        <f>'D2 - Capex uso'!BX31</f>
        <v>0</v>
      </c>
      <c r="K27">
        <f>'D2 - Capex uso'!BY31</f>
        <v>0</v>
      </c>
      <c r="L27">
        <f>'D2 - Capex uso'!BZ31</f>
        <v>0</v>
      </c>
      <c r="M27">
        <f>'D2 - Capex uso'!CA31</f>
        <v>0</v>
      </c>
      <c r="N27">
        <f>'D2 - Capex uso'!CB31</f>
        <v>0</v>
      </c>
      <c r="O27">
        <f>'D2 - Capex uso'!CC31</f>
        <v>0</v>
      </c>
      <c r="P27">
        <f>'D2 - Capex uso'!CD31</f>
        <v>0</v>
      </c>
      <c r="Q27">
        <f>'D2 - Capex uso'!CE31</f>
        <v>0</v>
      </c>
      <c r="R27">
        <f>'D2 - Capex uso'!CF31</f>
        <v>0</v>
      </c>
      <c r="S27">
        <f>'D2 - Capex uso'!CG31</f>
        <v>0</v>
      </c>
      <c r="T27">
        <f>'D2 - Capex uso'!CH31</f>
        <v>0</v>
      </c>
      <c r="U27">
        <f>'D2 - Capex uso'!CI31</f>
        <v>0</v>
      </c>
      <c r="V27">
        <f>'D2 - Capex uso'!CJ31</f>
        <v>0</v>
      </c>
      <c r="W27">
        <f>'D2 - Capex uso'!CK31</f>
        <v>0</v>
      </c>
      <c r="X27">
        <f>'D2 - Capex uso'!CL31</f>
        <v>0</v>
      </c>
      <c r="Y27">
        <f>'D2 - Capex uso'!CM31</f>
        <v>0</v>
      </c>
      <c r="Z27">
        <f>'D2 - Capex uso'!CN31</f>
        <v>0</v>
      </c>
      <c r="AA27">
        <f>'D2 - Capex uso'!CO31</f>
        <v>0</v>
      </c>
      <c r="AB27">
        <f>'D2 - Capex uso'!CP31</f>
        <v>0</v>
      </c>
      <c r="AC27">
        <f>'D2 - Capex uso'!CQ31</f>
        <v>0</v>
      </c>
      <c r="AD27">
        <f>'D2 - Capex uso'!CR31</f>
        <v>0</v>
      </c>
      <c r="AE27">
        <f>'D2 - Capex uso'!CS31</f>
        <v>0</v>
      </c>
      <c r="AF27">
        <f>'D2 - Capex uso'!CT31</f>
        <v>0</v>
      </c>
      <c r="AG27">
        <f>'D2 - Capex uso'!CU31</f>
        <v>0</v>
      </c>
      <c r="AH27">
        <f>'D2 - Capex uso'!CV31</f>
        <v>0</v>
      </c>
      <c r="AI27">
        <f t="shared" si="0"/>
        <v>23452</v>
      </c>
    </row>
    <row r="28" spans="1:35">
      <c r="A28" t="str">
        <f>'D2 - Capex uso'!A32</f>
        <v>Piso intertravado permeável</v>
      </c>
      <c r="B28" t="str">
        <f>'D2 - Capex uso'!B32</f>
        <v>Operacional</v>
      </c>
      <c r="C28" t="str">
        <f>'D2 - Capex uso'!C32</f>
        <v>Ingresso</v>
      </c>
      <c r="D28" t="str">
        <f>'D2 - Capex uso'!AK32</f>
        <v>Infraestrutura</v>
      </c>
      <c r="E28">
        <f>'D2 - Capex uso'!BS32</f>
        <v>22871.199999999997</v>
      </c>
      <c r="F28">
        <f>'D2 - Capex uso'!BT32</f>
        <v>0</v>
      </c>
      <c r="G28">
        <f>'D2 - Capex uso'!BU32</f>
        <v>0</v>
      </c>
      <c r="H28">
        <f>'D2 - Capex uso'!BV32</f>
        <v>0</v>
      </c>
      <c r="I28">
        <f>'D2 - Capex uso'!BW32</f>
        <v>0</v>
      </c>
      <c r="J28">
        <f>'D2 - Capex uso'!BX32</f>
        <v>0</v>
      </c>
      <c r="K28">
        <f>'D2 - Capex uso'!BY32</f>
        <v>0</v>
      </c>
      <c r="L28">
        <f>'D2 - Capex uso'!BZ32</f>
        <v>0</v>
      </c>
      <c r="M28">
        <f>'D2 - Capex uso'!CA32</f>
        <v>0</v>
      </c>
      <c r="N28">
        <f>'D2 - Capex uso'!CB32</f>
        <v>0</v>
      </c>
      <c r="O28">
        <f>'D2 - Capex uso'!CC32</f>
        <v>0</v>
      </c>
      <c r="P28">
        <f>'D2 - Capex uso'!CD32</f>
        <v>0</v>
      </c>
      <c r="Q28">
        <f>'D2 - Capex uso'!CE32</f>
        <v>0</v>
      </c>
      <c r="R28">
        <f>'D2 - Capex uso'!CF32</f>
        <v>0</v>
      </c>
      <c r="S28">
        <f>'D2 - Capex uso'!CG32</f>
        <v>0</v>
      </c>
      <c r="T28">
        <f>'D2 - Capex uso'!CH32</f>
        <v>0</v>
      </c>
      <c r="U28">
        <f>'D2 - Capex uso'!CI32</f>
        <v>0</v>
      </c>
      <c r="V28">
        <f>'D2 - Capex uso'!CJ32</f>
        <v>0</v>
      </c>
      <c r="W28">
        <f>'D2 - Capex uso'!CK32</f>
        <v>0</v>
      </c>
      <c r="X28">
        <f>'D2 - Capex uso'!CL32</f>
        <v>0</v>
      </c>
      <c r="Y28">
        <f>'D2 - Capex uso'!CM32</f>
        <v>0</v>
      </c>
      <c r="Z28">
        <f>'D2 - Capex uso'!CN32</f>
        <v>0</v>
      </c>
      <c r="AA28">
        <f>'D2 - Capex uso'!CO32</f>
        <v>0</v>
      </c>
      <c r="AB28">
        <f>'D2 - Capex uso'!CP32</f>
        <v>0</v>
      </c>
      <c r="AC28">
        <f>'D2 - Capex uso'!CQ32</f>
        <v>0</v>
      </c>
      <c r="AD28">
        <f>'D2 - Capex uso'!CR32</f>
        <v>0</v>
      </c>
      <c r="AE28">
        <f>'D2 - Capex uso'!CS32</f>
        <v>0</v>
      </c>
      <c r="AF28">
        <f>'D2 - Capex uso'!CT32</f>
        <v>0</v>
      </c>
      <c r="AG28">
        <f>'D2 - Capex uso'!CU32</f>
        <v>0</v>
      </c>
      <c r="AH28">
        <f>'D2 - Capex uso'!CV32</f>
        <v>0</v>
      </c>
      <c r="AI28">
        <f t="shared" si="0"/>
        <v>22871.199999999997</v>
      </c>
    </row>
    <row r="29" spans="1:35">
      <c r="A29" t="str">
        <f>'D2 - Capex uso'!A33</f>
        <v>Piso intertravado permeável</v>
      </c>
      <c r="B29" t="str">
        <f>'D2 - Capex uso'!B33</f>
        <v>Operacional</v>
      </c>
      <c r="C29" t="str">
        <f>'D2 - Capex uso'!C33</f>
        <v>Ingresso</v>
      </c>
      <c r="D29" t="str">
        <f>'D2 - Capex uso'!AK33</f>
        <v>Infraestrutura</v>
      </c>
      <c r="E29">
        <f>'D2 - Capex uso'!BS33</f>
        <v>9064</v>
      </c>
      <c r="F29">
        <f>'D2 - Capex uso'!BT33</f>
        <v>0</v>
      </c>
      <c r="G29">
        <f>'D2 - Capex uso'!BU33</f>
        <v>0</v>
      </c>
      <c r="H29">
        <f>'D2 - Capex uso'!BV33</f>
        <v>0</v>
      </c>
      <c r="I29">
        <f>'D2 - Capex uso'!BW33</f>
        <v>0</v>
      </c>
      <c r="J29">
        <f>'D2 - Capex uso'!BX33</f>
        <v>0</v>
      </c>
      <c r="K29">
        <f>'D2 - Capex uso'!BY33</f>
        <v>0</v>
      </c>
      <c r="L29">
        <f>'D2 - Capex uso'!BZ33</f>
        <v>0</v>
      </c>
      <c r="M29">
        <f>'D2 - Capex uso'!CA33</f>
        <v>0</v>
      </c>
      <c r="N29">
        <f>'D2 - Capex uso'!CB33</f>
        <v>0</v>
      </c>
      <c r="O29">
        <f>'D2 - Capex uso'!CC33</f>
        <v>0</v>
      </c>
      <c r="P29">
        <f>'D2 - Capex uso'!CD33</f>
        <v>0</v>
      </c>
      <c r="Q29">
        <f>'D2 - Capex uso'!CE33</f>
        <v>0</v>
      </c>
      <c r="R29">
        <f>'D2 - Capex uso'!CF33</f>
        <v>0</v>
      </c>
      <c r="S29">
        <f>'D2 - Capex uso'!CG33</f>
        <v>0</v>
      </c>
      <c r="T29">
        <f>'D2 - Capex uso'!CH33</f>
        <v>0</v>
      </c>
      <c r="U29">
        <f>'D2 - Capex uso'!CI33</f>
        <v>0</v>
      </c>
      <c r="V29">
        <f>'D2 - Capex uso'!CJ33</f>
        <v>0</v>
      </c>
      <c r="W29">
        <f>'D2 - Capex uso'!CK33</f>
        <v>0</v>
      </c>
      <c r="X29">
        <f>'D2 - Capex uso'!CL33</f>
        <v>0</v>
      </c>
      <c r="Y29">
        <f>'D2 - Capex uso'!CM33</f>
        <v>0</v>
      </c>
      <c r="Z29">
        <f>'D2 - Capex uso'!CN33</f>
        <v>0</v>
      </c>
      <c r="AA29">
        <f>'D2 - Capex uso'!CO33</f>
        <v>0</v>
      </c>
      <c r="AB29">
        <f>'D2 - Capex uso'!CP33</f>
        <v>0</v>
      </c>
      <c r="AC29">
        <f>'D2 - Capex uso'!CQ33</f>
        <v>0</v>
      </c>
      <c r="AD29">
        <f>'D2 - Capex uso'!CR33</f>
        <v>0</v>
      </c>
      <c r="AE29">
        <f>'D2 - Capex uso'!CS33</f>
        <v>0</v>
      </c>
      <c r="AF29">
        <f>'D2 - Capex uso'!CT33</f>
        <v>0</v>
      </c>
      <c r="AG29">
        <f>'D2 - Capex uso'!CU33</f>
        <v>0</v>
      </c>
      <c r="AH29">
        <f>'D2 - Capex uso'!CV33</f>
        <v>0</v>
      </c>
      <c r="AI29">
        <f t="shared" si="0"/>
        <v>9064</v>
      </c>
    </row>
    <row r="30" spans="1:35">
      <c r="A30" t="str">
        <f>'D2 - Capex uso'!A34</f>
        <v>Piso intertravado permeável</v>
      </c>
      <c r="B30" t="str">
        <f>'D2 - Capex uso'!B34</f>
        <v>Operacional</v>
      </c>
      <c r="C30" t="str">
        <f>'D2 - Capex uso'!C34</f>
        <v>Ingresso</v>
      </c>
      <c r="D30" t="str">
        <f>'D2 - Capex uso'!AK34</f>
        <v>Infraestrutura</v>
      </c>
      <c r="E30">
        <f>'D2 - Capex uso'!BS34</f>
        <v>5500</v>
      </c>
      <c r="F30">
        <f>'D2 - Capex uso'!BT34</f>
        <v>0</v>
      </c>
      <c r="G30">
        <f>'D2 - Capex uso'!BU34</f>
        <v>0</v>
      </c>
      <c r="H30">
        <f>'D2 - Capex uso'!BV34</f>
        <v>0</v>
      </c>
      <c r="I30">
        <f>'D2 - Capex uso'!BW34</f>
        <v>0</v>
      </c>
      <c r="J30">
        <f>'D2 - Capex uso'!BX34</f>
        <v>0</v>
      </c>
      <c r="K30">
        <f>'D2 - Capex uso'!BY34</f>
        <v>0</v>
      </c>
      <c r="L30">
        <f>'D2 - Capex uso'!BZ34</f>
        <v>0</v>
      </c>
      <c r="M30">
        <f>'D2 - Capex uso'!CA34</f>
        <v>0</v>
      </c>
      <c r="N30">
        <f>'D2 - Capex uso'!CB34</f>
        <v>0</v>
      </c>
      <c r="O30">
        <f>'D2 - Capex uso'!CC34</f>
        <v>0</v>
      </c>
      <c r="P30">
        <f>'D2 - Capex uso'!CD34</f>
        <v>0</v>
      </c>
      <c r="Q30">
        <f>'D2 - Capex uso'!CE34</f>
        <v>0</v>
      </c>
      <c r="R30">
        <f>'D2 - Capex uso'!CF34</f>
        <v>0</v>
      </c>
      <c r="S30">
        <f>'D2 - Capex uso'!CG34</f>
        <v>0</v>
      </c>
      <c r="T30">
        <f>'D2 - Capex uso'!CH34</f>
        <v>0</v>
      </c>
      <c r="U30">
        <f>'D2 - Capex uso'!CI34</f>
        <v>0</v>
      </c>
      <c r="V30">
        <f>'D2 - Capex uso'!CJ34</f>
        <v>0</v>
      </c>
      <c r="W30">
        <f>'D2 - Capex uso'!CK34</f>
        <v>0</v>
      </c>
      <c r="X30">
        <f>'D2 - Capex uso'!CL34</f>
        <v>0</v>
      </c>
      <c r="Y30">
        <f>'D2 - Capex uso'!CM34</f>
        <v>0</v>
      </c>
      <c r="Z30">
        <f>'D2 - Capex uso'!CN34</f>
        <v>0</v>
      </c>
      <c r="AA30">
        <f>'D2 - Capex uso'!CO34</f>
        <v>0</v>
      </c>
      <c r="AB30">
        <f>'D2 - Capex uso'!CP34</f>
        <v>0</v>
      </c>
      <c r="AC30">
        <f>'D2 - Capex uso'!CQ34</f>
        <v>0</v>
      </c>
      <c r="AD30">
        <f>'D2 - Capex uso'!CR34</f>
        <v>0</v>
      </c>
      <c r="AE30">
        <f>'D2 - Capex uso'!CS34</f>
        <v>0</v>
      </c>
      <c r="AF30">
        <f>'D2 - Capex uso'!CT34</f>
        <v>0</v>
      </c>
      <c r="AG30">
        <f>'D2 - Capex uso'!CU34</f>
        <v>0</v>
      </c>
      <c r="AH30">
        <f>'D2 - Capex uso'!CV34</f>
        <v>0</v>
      </c>
      <c r="AI30">
        <f t="shared" si="0"/>
        <v>5500</v>
      </c>
    </row>
    <row r="31" spans="1:35">
      <c r="A31" t="str">
        <f>'D2 - Capex uso'!A35</f>
        <v>Pavimentação com piso intertravado</v>
      </c>
      <c r="B31" t="str">
        <f>'D2 - Capex uso'!B35</f>
        <v>Operacional</v>
      </c>
      <c r="C31" t="str">
        <f>'D2 - Capex uso'!C35</f>
        <v>Ingresso</v>
      </c>
      <c r="D31" t="str">
        <f>'D2 - Capex uso'!AK35</f>
        <v>Infraestrutura</v>
      </c>
      <c r="E31">
        <f>'D2 - Capex uso'!BS35</f>
        <v>155948.1</v>
      </c>
      <c r="F31">
        <f>'D2 - Capex uso'!BT35</f>
        <v>0</v>
      </c>
      <c r="G31">
        <f>'D2 - Capex uso'!BU35</f>
        <v>0</v>
      </c>
      <c r="H31">
        <f>'D2 - Capex uso'!BV35</f>
        <v>0</v>
      </c>
      <c r="I31">
        <f>'D2 - Capex uso'!BW35</f>
        <v>0</v>
      </c>
      <c r="J31">
        <f>'D2 - Capex uso'!BX35</f>
        <v>0</v>
      </c>
      <c r="K31">
        <f>'D2 - Capex uso'!BY35</f>
        <v>0</v>
      </c>
      <c r="L31">
        <f>'D2 - Capex uso'!BZ35</f>
        <v>0</v>
      </c>
      <c r="M31">
        <f>'D2 - Capex uso'!CA35</f>
        <v>0</v>
      </c>
      <c r="N31">
        <f>'D2 - Capex uso'!CB35</f>
        <v>0</v>
      </c>
      <c r="O31">
        <f>'D2 - Capex uso'!CC35</f>
        <v>0</v>
      </c>
      <c r="P31">
        <f>'D2 - Capex uso'!CD35</f>
        <v>0</v>
      </c>
      <c r="Q31">
        <f>'D2 - Capex uso'!CE35</f>
        <v>0</v>
      </c>
      <c r="R31">
        <f>'D2 - Capex uso'!CF35</f>
        <v>0</v>
      </c>
      <c r="S31">
        <f>'D2 - Capex uso'!CG35</f>
        <v>0</v>
      </c>
      <c r="T31">
        <f>'D2 - Capex uso'!CH35</f>
        <v>0</v>
      </c>
      <c r="U31">
        <f>'D2 - Capex uso'!CI35</f>
        <v>0</v>
      </c>
      <c r="V31">
        <f>'D2 - Capex uso'!CJ35</f>
        <v>0</v>
      </c>
      <c r="W31">
        <f>'D2 - Capex uso'!CK35</f>
        <v>0</v>
      </c>
      <c r="X31">
        <f>'D2 - Capex uso'!CL35</f>
        <v>0</v>
      </c>
      <c r="Y31">
        <f>'D2 - Capex uso'!CM35</f>
        <v>0</v>
      </c>
      <c r="Z31">
        <f>'D2 - Capex uso'!CN35</f>
        <v>0</v>
      </c>
      <c r="AA31">
        <f>'D2 - Capex uso'!CO35</f>
        <v>0</v>
      </c>
      <c r="AB31">
        <f>'D2 - Capex uso'!CP35</f>
        <v>0</v>
      </c>
      <c r="AC31">
        <f>'D2 - Capex uso'!CQ35</f>
        <v>0</v>
      </c>
      <c r="AD31">
        <f>'D2 - Capex uso'!CR35</f>
        <v>0</v>
      </c>
      <c r="AE31">
        <f>'D2 - Capex uso'!CS35</f>
        <v>0</v>
      </c>
      <c r="AF31">
        <f>'D2 - Capex uso'!CT35</f>
        <v>0</v>
      </c>
      <c r="AG31">
        <f>'D2 - Capex uso'!CU35</f>
        <v>0</v>
      </c>
      <c r="AH31">
        <f>'D2 - Capex uso'!CV35</f>
        <v>0</v>
      </c>
      <c r="AI31">
        <f t="shared" si="0"/>
        <v>155948.1</v>
      </c>
    </row>
    <row r="32" spans="1:35">
      <c r="A32" t="str">
        <f>'D2 - Capex uso'!A36</f>
        <v>Pavimentação com piso intertravado</v>
      </c>
      <c r="B32" t="str">
        <f>'D2 - Capex uso'!B36</f>
        <v>Operacional</v>
      </c>
      <c r="C32" t="str">
        <f>'D2 - Capex uso'!C36</f>
        <v>Ingresso</v>
      </c>
      <c r="D32" t="str">
        <f>'D2 - Capex uso'!AK36</f>
        <v>Infraestrutura</v>
      </c>
      <c r="E32">
        <f>'D2 - Capex uso'!BS36</f>
        <v>113103.76</v>
      </c>
      <c r="F32">
        <f>'D2 - Capex uso'!BT36</f>
        <v>0</v>
      </c>
      <c r="G32">
        <f>'D2 - Capex uso'!BU36</f>
        <v>0</v>
      </c>
      <c r="H32">
        <f>'D2 - Capex uso'!BV36</f>
        <v>0</v>
      </c>
      <c r="I32">
        <f>'D2 - Capex uso'!BW36</f>
        <v>0</v>
      </c>
      <c r="J32">
        <f>'D2 - Capex uso'!BX36</f>
        <v>0</v>
      </c>
      <c r="K32">
        <f>'D2 - Capex uso'!BY36</f>
        <v>0</v>
      </c>
      <c r="L32">
        <f>'D2 - Capex uso'!BZ36</f>
        <v>0</v>
      </c>
      <c r="M32">
        <f>'D2 - Capex uso'!CA36</f>
        <v>0</v>
      </c>
      <c r="N32">
        <f>'D2 - Capex uso'!CB36</f>
        <v>0</v>
      </c>
      <c r="O32">
        <f>'D2 - Capex uso'!CC36</f>
        <v>0</v>
      </c>
      <c r="P32">
        <f>'D2 - Capex uso'!CD36</f>
        <v>0</v>
      </c>
      <c r="Q32">
        <f>'D2 - Capex uso'!CE36</f>
        <v>0</v>
      </c>
      <c r="R32">
        <f>'D2 - Capex uso'!CF36</f>
        <v>0</v>
      </c>
      <c r="S32">
        <f>'D2 - Capex uso'!CG36</f>
        <v>0</v>
      </c>
      <c r="T32">
        <f>'D2 - Capex uso'!CH36</f>
        <v>0</v>
      </c>
      <c r="U32">
        <f>'D2 - Capex uso'!CI36</f>
        <v>0</v>
      </c>
      <c r="V32">
        <f>'D2 - Capex uso'!CJ36</f>
        <v>0</v>
      </c>
      <c r="W32">
        <f>'D2 - Capex uso'!CK36</f>
        <v>0</v>
      </c>
      <c r="X32">
        <f>'D2 - Capex uso'!CL36</f>
        <v>0</v>
      </c>
      <c r="Y32">
        <f>'D2 - Capex uso'!CM36</f>
        <v>0</v>
      </c>
      <c r="Z32">
        <f>'D2 - Capex uso'!CN36</f>
        <v>0</v>
      </c>
      <c r="AA32">
        <f>'D2 - Capex uso'!CO36</f>
        <v>0</v>
      </c>
      <c r="AB32">
        <f>'D2 - Capex uso'!CP36</f>
        <v>0</v>
      </c>
      <c r="AC32">
        <f>'D2 - Capex uso'!CQ36</f>
        <v>0</v>
      </c>
      <c r="AD32">
        <f>'D2 - Capex uso'!CR36</f>
        <v>0</v>
      </c>
      <c r="AE32">
        <f>'D2 - Capex uso'!CS36</f>
        <v>0</v>
      </c>
      <c r="AF32">
        <f>'D2 - Capex uso'!CT36</f>
        <v>0</v>
      </c>
      <c r="AG32">
        <f>'D2 - Capex uso'!CU36</f>
        <v>0</v>
      </c>
      <c r="AH32">
        <f>'D2 - Capex uso'!CV36</f>
        <v>0</v>
      </c>
      <c r="AI32">
        <f t="shared" si="0"/>
        <v>113103.76</v>
      </c>
    </row>
    <row r="33" spans="1:35">
      <c r="A33" t="str">
        <f>'D2 - Capex uso'!A37</f>
        <v>Pavimentação com piso intertravado</v>
      </c>
      <c r="B33" t="str">
        <f>'D2 - Capex uso'!B37</f>
        <v>Operacional</v>
      </c>
      <c r="C33" t="str">
        <f>'D2 - Capex uso'!C37</f>
        <v>Ingresso</v>
      </c>
      <c r="D33" t="str">
        <f>'D2 - Capex uso'!AK37</f>
        <v>Infraestrutura</v>
      </c>
      <c r="E33">
        <f>'D2 - Capex uso'!BS37</f>
        <v>89184.150000000009</v>
      </c>
      <c r="F33">
        <f>'D2 - Capex uso'!BT37</f>
        <v>0</v>
      </c>
      <c r="G33">
        <f>'D2 - Capex uso'!BU37</f>
        <v>0</v>
      </c>
      <c r="H33">
        <f>'D2 - Capex uso'!BV37</f>
        <v>0</v>
      </c>
      <c r="I33">
        <f>'D2 - Capex uso'!BW37</f>
        <v>0</v>
      </c>
      <c r="J33">
        <f>'D2 - Capex uso'!BX37</f>
        <v>0</v>
      </c>
      <c r="K33">
        <f>'D2 - Capex uso'!BY37</f>
        <v>0</v>
      </c>
      <c r="L33">
        <f>'D2 - Capex uso'!BZ37</f>
        <v>0</v>
      </c>
      <c r="M33">
        <f>'D2 - Capex uso'!CA37</f>
        <v>0</v>
      </c>
      <c r="N33">
        <f>'D2 - Capex uso'!CB37</f>
        <v>0</v>
      </c>
      <c r="O33">
        <f>'D2 - Capex uso'!CC37</f>
        <v>0</v>
      </c>
      <c r="P33">
        <f>'D2 - Capex uso'!CD37</f>
        <v>0</v>
      </c>
      <c r="Q33">
        <f>'D2 - Capex uso'!CE37</f>
        <v>0</v>
      </c>
      <c r="R33">
        <f>'D2 - Capex uso'!CF37</f>
        <v>0</v>
      </c>
      <c r="S33">
        <f>'D2 - Capex uso'!CG37</f>
        <v>0</v>
      </c>
      <c r="T33">
        <f>'D2 - Capex uso'!CH37</f>
        <v>0</v>
      </c>
      <c r="U33">
        <f>'D2 - Capex uso'!CI37</f>
        <v>0</v>
      </c>
      <c r="V33">
        <f>'D2 - Capex uso'!CJ37</f>
        <v>0</v>
      </c>
      <c r="W33">
        <f>'D2 - Capex uso'!CK37</f>
        <v>0</v>
      </c>
      <c r="X33">
        <f>'D2 - Capex uso'!CL37</f>
        <v>0</v>
      </c>
      <c r="Y33">
        <f>'D2 - Capex uso'!CM37</f>
        <v>0</v>
      </c>
      <c r="Z33">
        <f>'D2 - Capex uso'!CN37</f>
        <v>0</v>
      </c>
      <c r="AA33">
        <f>'D2 - Capex uso'!CO37</f>
        <v>0</v>
      </c>
      <c r="AB33">
        <f>'D2 - Capex uso'!CP37</f>
        <v>0</v>
      </c>
      <c r="AC33">
        <f>'D2 - Capex uso'!CQ37</f>
        <v>0</v>
      </c>
      <c r="AD33">
        <f>'D2 - Capex uso'!CR37</f>
        <v>0</v>
      </c>
      <c r="AE33">
        <f>'D2 - Capex uso'!CS37</f>
        <v>0</v>
      </c>
      <c r="AF33">
        <f>'D2 - Capex uso'!CT37</f>
        <v>0</v>
      </c>
      <c r="AG33">
        <f>'D2 - Capex uso'!CU37</f>
        <v>0</v>
      </c>
      <c r="AH33">
        <f>'D2 - Capex uso'!CV37</f>
        <v>0</v>
      </c>
      <c r="AI33">
        <f t="shared" si="0"/>
        <v>89184.150000000009</v>
      </c>
    </row>
    <row r="34" spans="1:35">
      <c r="A34" t="str">
        <f>'D2 - Capex uso'!A38</f>
        <v>Paisagismo</v>
      </c>
      <c r="B34" t="str">
        <f>'D2 - Capex uso'!B38</f>
        <v>Operacional</v>
      </c>
      <c r="C34" t="str">
        <f>'D2 - Capex uso'!C38</f>
        <v>Ingresso</v>
      </c>
      <c r="D34" t="str">
        <f>'D2 - Capex uso'!AK38</f>
        <v>Outros</v>
      </c>
      <c r="E34">
        <f>'D2 - Capex uso'!BS38</f>
        <v>109725.00000000001</v>
      </c>
      <c r="F34">
        <f>'D2 - Capex uso'!BT38</f>
        <v>0</v>
      </c>
      <c r="G34">
        <f>'D2 - Capex uso'!BU38</f>
        <v>0</v>
      </c>
      <c r="H34">
        <f>'D2 - Capex uso'!BV38</f>
        <v>0</v>
      </c>
      <c r="I34">
        <f>'D2 - Capex uso'!BW38</f>
        <v>0</v>
      </c>
      <c r="J34">
        <f>'D2 - Capex uso'!BX38</f>
        <v>0</v>
      </c>
      <c r="K34">
        <f>'D2 - Capex uso'!BY38</f>
        <v>0</v>
      </c>
      <c r="L34">
        <f>'D2 - Capex uso'!BZ38</f>
        <v>0</v>
      </c>
      <c r="M34">
        <f>'D2 - Capex uso'!CA38</f>
        <v>0</v>
      </c>
      <c r="N34">
        <f>'D2 - Capex uso'!CB38</f>
        <v>0</v>
      </c>
      <c r="O34">
        <f>'D2 - Capex uso'!CC38</f>
        <v>0</v>
      </c>
      <c r="P34">
        <f>'D2 - Capex uso'!CD38</f>
        <v>0</v>
      </c>
      <c r="Q34">
        <f>'D2 - Capex uso'!CE38</f>
        <v>0</v>
      </c>
      <c r="R34">
        <f>'D2 - Capex uso'!CF38</f>
        <v>0</v>
      </c>
      <c r="S34">
        <f>'D2 - Capex uso'!CG38</f>
        <v>0</v>
      </c>
      <c r="T34">
        <f>'D2 - Capex uso'!CH38</f>
        <v>0</v>
      </c>
      <c r="U34">
        <f>'D2 - Capex uso'!CI38</f>
        <v>0</v>
      </c>
      <c r="V34">
        <f>'D2 - Capex uso'!CJ38</f>
        <v>0</v>
      </c>
      <c r="W34">
        <f>'D2 - Capex uso'!CK38</f>
        <v>0</v>
      </c>
      <c r="X34">
        <f>'D2 - Capex uso'!CL38</f>
        <v>0</v>
      </c>
      <c r="Y34">
        <f>'D2 - Capex uso'!CM38</f>
        <v>0</v>
      </c>
      <c r="Z34">
        <f>'D2 - Capex uso'!CN38</f>
        <v>0</v>
      </c>
      <c r="AA34">
        <f>'D2 - Capex uso'!CO38</f>
        <v>0</v>
      </c>
      <c r="AB34">
        <f>'D2 - Capex uso'!CP38</f>
        <v>0</v>
      </c>
      <c r="AC34">
        <f>'D2 - Capex uso'!CQ38</f>
        <v>0</v>
      </c>
      <c r="AD34">
        <f>'D2 - Capex uso'!CR38</f>
        <v>0</v>
      </c>
      <c r="AE34">
        <f>'D2 - Capex uso'!CS38</f>
        <v>0</v>
      </c>
      <c r="AF34">
        <f>'D2 - Capex uso'!CT38</f>
        <v>0</v>
      </c>
      <c r="AG34">
        <f>'D2 - Capex uso'!CU38</f>
        <v>0</v>
      </c>
      <c r="AH34">
        <f>'D2 - Capex uso'!CV38</f>
        <v>0</v>
      </c>
      <c r="AI34">
        <f t="shared" si="0"/>
        <v>109725.00000000001</v>
      </c>
    </row>
    <row r="35" spans="1:35">
      <c r="A35" t="str">
        <f>'D2 - Capex uso'!A39</f>
        <v>Bancos de madeira</v>
      </c>
      <c r="B35" t="str">
        <f>'D2 - Capex uso'!B39</f>
        <v>Operacional</v>
      </c>
      <c r="C35" t="str">
        <f>'D2 - Capex uso'!C39</f>
        <v>Ingresso</v>
      </c>
      <c r="D35" t="str">
        <f>'D2 - Capex uso'!AK39</f>
        <v>Outros</v>
      </c>
      <c r="E35">
        <f>'D2 - Capex uso'!BS39</f>
        <v>4060.76</v>
      </c>
      <c r="F35">
        <f>'D2 - Capex uso'!BT39</f>
        <v>0</v>
      </c>
      <c r="G35">
        <f>'D2 - Capex uso'!BU39</f>
        <v>0</v>
      </c>
      <c r="H35">
        <f>'D2 - Capex uso'!BV39</f>
        <v>0</v>
      </c>
      <c r="I35">
        <f>'D2 - Capex uso'!BW39</f>
        <v>0</v>
      </c>
      <c r="J35">
        <f>'D2 - Capex uso'!BX39</f>
        <v>0</v>
      </c>
      <c r="K35">
        <f>'D2 - Capex uso'!BY39</f>
        <v>0</v>
      </c>
      <c r="L35">
        <f>'D2 - Capex uso'!BZ39</f>
        <v>0</v>
      </c>
      <c r="M35">
        <f>'D2 - Capex uso'!CA39</f>
        <v>0</v>
      </c>
      <c r="N35">
        <f>'D2 - Capex uso'!CB39</f>
        <v>0</v>
      </c>
      <c r="O35">
        <f>'D2 - Capex uso'!CC39</f>
        <v>4060.76</v>
      </c>
      <c r="P35">
        <f>'D2 - Capex uso'!CD39</f>
        <v>0</v>
      </c>
      <c r="Q35">
        <f>'D2 - Capex uso'!CE39</f>
        <v>0</v>
      </c>
      <c r="R35">
        <f>'D2 - Capex uso'!CF39</f>
        <v>0</v>
      </c>
      <c r="S35">
        <f>'D2 - Capex uso'!CG39</f>
        <v>0</v>
      </c>
      <c r="T35">
        <f>'D2 - Capex uso'!CH39</f>
        <v>0</v>
      </c>
      <c r="U35">
        <f>'D2 - Capex uso'!CI39</f>
        <v>0</v>
      </c>
      <c r="V35">
        <f>'D2 - Capex uso'!CJ39</f>
        <v>0</v>
      </c>
      <c r="W35">
        <f>'D2 - Capex uso'!CK39</f>
        <v>0</v>
      </c>
      <c r="X35">
        <f>'D2 - Capex uso'!CL39</f>
        <v>0</v>
      </c>
      <c r="Y35">
        <f>'D2 - Capex uso'!CM39</f>
        <v>4060.76</v>
      </c>
      <c r="Z35">
        <f>'D2 - Capex uso'!CN39</f>
        <v>0</v>
      </c>
      <c r="AA35">
        <f>'D2 - Capex uso'!CO39</f>
        <v>0</v>
      </c>
      <c r="AB35">
        <f>'D2 - Capex uso'!CP39</f>
        <v>0</v>
      </c>
      <c r="AC35">
        <f>'D2 - Capex uso'!CQ39</f>
        <v>0</v>
      </c>
      <c r="AD35">
        <f>'D2 - Capex uso'!CR39</f>
        <v>0</v>
      </c>
      <c r="AE35">
        <f>'D2 - Capex uso'!CS39</f>
        <v>0</v>
      </c>
      <c r="AF35">
        <f>'D2 - Capex uso'!CT39</f>
        <v>0</v>
      </c>
      <c r="AG35">
        <f>'D2 - Capex uso'!CU39</f>
        <v>0</v>
      </c>
      <c r="AH35">
        <f>'D2 - Capex uso'!CV39</f>
        <v>0</v>
      </c>
      <c r="AI35">
        <f t="shared" si="0"/>
        <v>12182.28</v>
      </c>
    </row>
    <row r="36" spans="1:35">
      <c r="A36" t="str">
        <f>'D2 - Capex uso'!A40</f>
        <v>Bancos de madeira</v>
      </c>
      <c r="B36" t="str">
        <f>'D2 - Capex uso'!B40</f>
        <v>Operacional</v>
      </c>
      <c r="C36" t="str">
        <f>'D2 - Capex uso'!C40</f>
        <v>Ingresso</v>
      </c>
      <c r="D36" t="str">
        <f>'D2 - Capex uso'!AK40</f>
        <v>Outros</v>
      </c>
      <c r="E36">
        <f>'D2 - Capex uso'!BS40</f>
        <v>12182.28</v>
      </c>
      <c r="F36">
        <f>'D2 - Capex uso'!BT40</f>
        <v>0</v>
      </c>
      <c r="G36">
        <f>'D2 - Capex uso'!BU40</f>
        <v>0</v>
      </c>
      <c r="H36">
        <f>'D2 - Capex uso'!BV40</f>
        <v>0</v>
      </c>
      <c r="I36">
        <f>'D2 - Capex uso'!BW40</f>
        <v>0</v>
      </c>
      <c r="J36">
        <f>'D2 - Capex uso'!BX40</f>
        <v>0</v>
      </c>
      <c r="K36">
        <f>'D2 - Capex uso'!BY40</f>
        <v>0</v>
      </c>
      <c r="L36">
        <f>'D2 - Capex uso'!BZ40</f>
        <v>0</v>
      </c>
      <c r="M36">
        <f>'D2 - Capex uso'!CA40</f>
        <v>0</v>
      </c>
      <c r="N36">
        <f>'D2 - Capex uso'!CB40</f>
        <v>0</v>
      </c>
      <c r="O36">
        <f>'D2 - Capex uso'!CC40</f>
        <v>12182.28</v>
      </c>
      <c r="P36">
        <f>'D2 - Capex uso'!CD40</f>
        <v>0</v>
      </c>
      <c r="Q36">
        <f>'D2 - Capex uso'!CE40</f>
        <v>0</v>
      </c>
      <c r="R36">
        <f>'D2 - Capex uso'!CF40</f>
        <v>0</v>
      </c>
      <c r="S36">
        <f>'D2 - Capex uso'!CG40</f>
        <v>0</v>
      </c>
      <c r="T36">
        <f>'D2 - Capex uso'!CH40</f>
        <v>0</v>
      </c>
      <c r="U36">
        <f>'D2 - Capex uso'!CI40</f>
        <v>0</v>
      </c>
      <c r="V36">
        <f>'D2 - Capex uso'!CJ40</f>
        <v>0</v>
      </c>
      <c r="W36">
        <f>'D2 - Capex uso'!CK40</f>
        <v>0</v>
      </c>
      <c r="X36">
        <f>'D2 - Capex uso'!CL40</f>
        <v>0</v>
      </c>
      <c r="Y36">
        <f>'D2 - Capex uso'!CM40</f>
        <v>12182.28</v>
      </c>
      <c r="Z36">
        <f>'D2 - Capex uso'!CN40</f>
        <v>0</v>
      </c>
      <c r="AA36">
        <f>'D2 - Capex uso'!CO40</f>
        <v>0</v>
      </c>
      <c r="AB36">
        <f>'D2 - Capex uso'!CP40</f>
        <v>0</v>
      </c>
      <c r="AC36">
        <f>'D2 - Capex uso'!CQ40</f>
        <v>0</v>
      </c>
      <c r="AD36">
        <f>'D2 - Capex uso'!CR40</f>
        <v>0</v>
      </c>
      <c r="AE36">
        <f>'D2 - Capex uso'!CS40</f>
        <v>0</v>
      </c>
      <c r="AF36">
        <f>'D2 - Capex uso'!CT40</f>
        <v>0</v>
      </c>
      <c r="AG36">
        <f>'D2 - Capex uso'!CU40</f>
        <v>0</v>
      </c>
      <c r="AH36">
        <f>'D2 - Capex uso'!CV40</f>
        <v>0</v>
      </c>
      <c r="AI36">
        <f t="shared" si="0"/>
        <v>36546.840000000004</v>
      </c>
    </row>
    <row r="37" spans="1:35">
      <c r="A37" t="str">
        <f>'D2 - Capex uso'!A41</f>
        <v>Bancos de madeira</v>
      </c>
      <c r="B37" t="str">
        <f>'D2 - Capex uso'!B41</f>
        <v>Operacional</v>
      </c>
      <c r="C37" t="str">
        <f>'D2 - Capex uso'!C41</f>
        <v>Ingresso</v>
      </c>
      <c r="D37" t="str">
        <f>'D2 - Capex uso'!AK41</f>
        <v>Outros</v>
      </c>
      <c r="E37">
        <f>'D2 - Capex uso'!BS41</f>
        <v>3045.57</v>
      </c>
      <c r="F37">
        <f>'D2 - Capex uso'!BT41</f>
        <v>0</v>
      </c>
      <c r="G37">
        <f>'D2 - Capex uso'!BU41</f>
        <v>0</v>
      </c>
      <c r="H37">
        <f>'D2 - Capex uso'!BV41</f>
        <v>0</v>
      </c>
      <c r="I37">
        <f>'D2 - Capex uso'!BW41</f>
        <v>0</v>
      </c>
      <c r="J37">
        <f>'D2 - Capex uso'!BX41</f>
        <v>0</v>
      </c>
      <c r="K37">
        <f>'D2 - Capex uso'!BY41</f>
        <v>0</v>
      </c>
      <c r="L37">
        <f>'D2 - Capex uso'!BZ41</f>
        <v>0</v>
      </c>
      <c r="M37">
        <f>'D2 - Capex uso'!CA41</f>
        <v>0</v>
      </c>
      <c r="N37">
        <f>'D2 - Capex uso'!CB41</f>
        <v>0</v>
      </c>
      <c r="O37">
        <f>'D2 - Capex uso'!CC41</f>
        <v>3045.57</v>
      </c>
      <c r="P37">
        <f>'D2 - Capex uso'!CD41</f>
        <v>0</v>
      </c>
      <c r="Q37">
        <f>'D2 - Capex uso'!CE41</f>
        <v>0</v>
      </c>
      <c r="R37">
        <f>'D2 - Capex uso'!CF41</f>
        <v>0</v>
      </c>
      <c r="S37">
        <f>'D2 - Capex uso'!CG41</f>
        <v>0</v>
      </c>
      <c r="T37">
        <f>'D2 - Capex uso'!CH41</f>
        <v>0</v>
      </c>
      <c r="U37">
        <f>'D2 - Capex uso'!CI41</f>
        <v>0</v>
      </c>
      <c r="V37">
        <f>'D2 - Capex uso'!CJ41</f>
        <v>0</v>
      </c>
      <c r="W37">
        <f>'D2 - Capex uso'!CK41</f>
        <v>0</v>
      </c>
      <c r="X37">
        <f>'D2 - Capex uso'!CL41</f>
        <v>0</v>
      </c>
      <c r="Y37">
        <f>'D2 - Capex uso'!CM41</f>
        <v>3045.57</v>
      </c>
      <c r="Z37">
        <f>'D2 - Capex uso'!CN41</f>
        <v>0</v>
      </c>
      <c r="AA37">
        <f>'D2 - Capex uso'!CO41</f>
        <v>0</v>
      </c>
      <c r="AB37">
        <f>'D2 - Capex uso'!CP41</f>
        <v>0</v>
      </c>
      <c r="AC37">
        <f>'D2 - Capex uso'!CQ41</f>
        <v>0</v>
      </c>
      <c r="AD37">
        <f>'D2 - Capex uso'!CR41</f>
        <v>0</v>
      </c>
      <c r="AE37">
        <f>'D2 - Capex uso'!CS41</f>
        <v>0</v>
      </c>
      <c r="AF37">
        <f>'D2 - Capex uso'!CT41</f>
        <v>0</v>
      </c>
      <c r="AG37">
        <f>'D2 - Capex uso'!CU41</f>
        <v>0</v>
      </c>
      <c r="AH37">
        <f>'D2 - Capex uso'!CV41</f>
        <v>0</v>
      </c>
      <c r="AI37">
        <f t="shared" si="0"/>
        <v>9136.7100000000009</v>
      </c>
    </row>
    <row r="38" spans="1:35">
      <c r="A38" t="str">
        <f>'D2 - Capex uso'!A42</f>
        <v>Bancos de madeira</v>
      </c>
      <c r="B38" t="str">
        <f>'D2 - Capex uso'!B42</f>
        <v>Operacional</v>
      </c>
      <c r="C38" t="str">
        <f>'D2 - Capex uso'!C42</f>
        <v>Ingresso</v>
      </c>
      <c r="D38" t="str">
        <f>'D2 - Capex uso'!AK42</f>
        <v>Outros</v>
      </c>
      <c r="E38">
        <f>'D2 - Capex uso'!BS42</f>
        <v>4060.76</v>
      </c>
      <c r="F38">
        <f>'D2 - Capex uso'!BT42</f>
        <v>0</v>
      </c>
      <c r="G38">
        <f>'D2 - Capex uso'!BU42</f>
        <v>0</v>
      </c>
      <c r="H38">
        <f>'D2 - Capex uso'!BV42</f>
        <v>0</v>
      </c>
      <c r="I38">
        <f>'D2 - Capex uso'!BW42</f>
        <v>0</v>
      </c>
      <c r="J38">
        <f>'D2 - Capex uso'!BX42</f>
        <v>0</v>
      </c>
      <c r="K38">
        <f>'D2 - Capex uso'!BY42</f>
        <v>0</v>
      </c>
      <c r="L38">
        <f>'D2 - Capex uso'!BZ42</f>
        <v>0</v>
      </c>
      <c r="M38">
        <f>'D2 - Capex uso'!CA42</f>
        <v>0</v>
      </c>
      <c r="N38">
        <f>'D2 - Capex uso'!CB42</f>
        <v>0</v>
      </c>
      <c r="O38">
        <f>'D2 - Capex uso'!CC42</f>
        <v>4060.76</v>
      </c>
      <c r="P38">
        <f>'D2 - Capex uso'!CD42</f>
        <v>0</v>
      </c>
      <c r="Q38">
        <f>'D2 - Capex uso'!CE42</f>
        <v>0</v>
      </c>
      <c r="R38">
        <f>'D2 - Capex uso'!CF42</f>
        <v>0</v>
      </c>
      <c r="S38">
        <f>'D2 - Capex uso'!CG42</f>
        <v>0</v>
      </c>
      <c r="T38">
        <f>'D2 - Capex uso'!CH42</f>
        <v>0</v>
      </c>
      <c r="U38">
        <f>'D2 - Capex uso'!CI42</f>
        <v>0</v>
      </c>
      <c r="V38">
        <f>'D2 - Capex uso'!CJ42</f>
        <v>0</v>
      </c>
      <c r="W38">
        <f>'D2 - Capex uso'!CK42</f>
        <v>0</v>
      </c>
      <c r="X38">
        <f>'D2 - Capex uso'!CL42</f>
        <v>0</v>
      </c>
      <c r="Y38">
        <f>'D2 - Capex uso'!CM42</f>
        <v>4060.76</v>
      </c>
      <c r="Z38">
        <f>'D2 - Capex uso'!CN42</f>
        <v>0</v>
      </c>
      <c r="AA38">
        <f>'D2 - Capex uso'!CO42</f>
        <v>0</v>
      </c>
      <c r="AB38">
        <f>'D2 - Capex uso'!CP42</f>
        <v>0</v>
      </c>
      <c r="AC38">
        <f>'D2 - Capex uso'!CQ42</f>
        <v>0</v>
      </c>
      <c r="AD38">
        <f>'D2 - Capex uso'!CR42</f>
        <v>0</v>
      </c>
      <c r="AE38">
        <f>'D2 - Capex uso'!CS42</f>
        <v>0</v>
      </c>
      <c r="AF38">
        <f>'D2 - Capex uso'!CT42</f>
        <v>0</v>
      </c>
      <c r="AG38">
        <f>'D2 - Capex uso'!CU42</f>
        <v>0</v>
      </c>
      <c r="AH38">
        <f>'D2 - Capex uso'!CV42</f>
        <v>0</v>
      </c>
      <c r="AI38">
        <f t="shared" si="0"/>
        <v>12182.28</v>
      </c>
    </row>
    <row r="39" spans="1:35">
      <c r="A39" t="str">
        <f>'D2 - Capex uso'!A43</f>
        <v>Bancos de madeira</v>
      </c>
      <c r="B39" t="str">
        <f>'D2 - Capex uso'!B43</f>
        <v>Operacional</v>
      </c>
      <c r="C39" t="str">
        <f>'D2 - Capex uso'!C43</f>
        <v>Ingresso</v>
      </c>
      <c r="D39" t="str">
        <f>'D2 - Capex uso'!AK43</f>
        <v>Outros</v>
      </c>
      <c r="E39">
        <f>'D2 - Capex uso'!BS43</f>
        <v>4060.76</v>
      </c>
      <c r="F39">
        <f>'D2 - Capex uso'!BT43</f>
        <v>0</v>
      </c>
      <c r="G39">
        <f>'D2 - Capex uso'!BU43</f>
        <v>0</v>
      </c>
      <c r="H39">
        <f>'D2 - Capex uso'!BV43</f>
        <v>0</v>
      </c>
      <c r="I39">
        <f>'D2 - Capex uso'!BW43</f>
        <v>0</v>
      </c>
      <c r="J39">
        <f>'D2 - Capex uso'!BX43</f>
        <v>0</v>
      </c>
      <c r="K39">
        <f>'D2 - Capex uso'!BY43</f>
        <v>0</v>
      </c>
      <c r="L39">
        <f>'D2 - Capex uso'!BZ43</f>
        <v>0</v>
      </c>
      <c r="M39">
        <f>'D2 - Capex uso'!CA43</f>
        <v>0</v>
      </c>
      <c r="N39">
        <f>'D2 - Capex uso'!CB43</f>
        <v>0</v>
      </c>
      <c r="O39">
        <f>'D2 - Capex uso'!CC43</f>
        <v>4060.76</v>
      </c>
      <c r="P39">
        <f>'D2 - Capex uso'!CD43</f>
        <v>0</v>
      </c>
      <c r="Q39">
        <f>'D2 - Capex uso'!CE43</f>
        <v>0</v>
      </c>
      <c r="R39">
        <f>'D2 - Capex uso'!CF43</f>
        <v>0</v>
      </c>
      <c r="S39">
        <f>'D2 - Capex uso'!CG43</f>
        <v>0</v>
      </c>
      <c r="T39">
        <f>'D2 - Capex uso'!CH43</f>
        <v>0</v>
      </c>
      <c r="U39">
        <f>'D2 - Capex uso'!CI43</f>
        <v>0</v>
      </c>
      <c r="V39">
        <f>'D2 - Capex uso'!CJ43</f>
        <v>0</v>
      </c>
      <c r="W39">
        <f>'D2 - Capex uso'!CK43</f>
        <v>0</v>
      </c>
      <c r="X39">
        <f>'D2 - Capex uso'!CL43</f>
        <v>0</v>
      </c>
      <c r="Y39">
        <f>'D2 - Capex uso'!CM43</f>
        <v>4060.76</v>
      </c>
      <c r="Z39">
        <f>'D2 - Capex uso'!CN43</f>
        <v>0</v>
      </c>
      <c r="AA39">
        <f>'D2 - Capex uso'!CO43</f>
        <v>0</v>
      </c>
      <c r="AB39">
        <f>'D2 - Capex uso'!CP43</f>
        <v>0</v>
      </c>
      <c r="AC39">
        <f>'D2 - Capex uso'!CQ43</f>
        <v>0</v>
      </c>
      <c r="AD39">
        <f>'D2 - Capex uso'!CR43</f>
        <v>0</v>
      </c>
      <c r="AE39">
        <f>'D2 - Capex uso'!CS43</f>
        <v>0</v>
      </c>
      <c r="AF39">
        <f>'D2 - Capex uso'!CT43</f>
        <v>0</v>
      </c>
      <c r="AG39">
        <f>'D2 - Capex uso'!CU43</f>
        <v>0</v>
      </c>
      <c r="AH39">
        <f>'D2 - Capex uso'!CV43</f>
        <v>0</v>
      </c>
      <c r="AI39">
        <f t="shared" si="0"/>
        <v>12182.28</v>
      </c>
    </row>
    <row r="40" spans="1:35">
      <c r="A40" t="str">
        <f>'D2 - Capex uso'!A44</f>
        <v>Lixeira coleta seletiva</v>
      </c>
      <c r="B40" t="str">
        <f>'D2 - Capex uso'!B44</f>
        <v>Operacional</v>
      </c>
      <c r="C40" t="str">
        <f>'D2 - Capex uso'!C44</f>
        <v>Ingresso</v>
      </c>
      <c r="D40" t="str">
        <f>'D2 - Capex uso'!AK44</f>
        <v>Outros</v>
      </c>
      <c r="E40">
        <f>'D2 - Capex uso'!BS44</f>
        <v>11180.268</v>
      </c>
      <c r="F40">
        <f>'D2 - Capex uso'!BT44</f>
        <v>0</v>
      </c>
      <c r="G40">
        <f>'D2 - Capex uso'!BU44</f>
        <v>0</v>
      </c>
      <c r="H40">
        <f>'D2 - Capex uso'!BV44</f>
        <v>0</v>
      </c>
      <c r="I40">
        <f>'D2 - Capex uso'!BW44</f>
        <v>0</v>
      </c>
      <c r="J40">
        <f>'D2 - Capex uso'!BX44</f>
        <v>11180.268</v>
      </c>
      <c r="K40">
        <f>'D2 - Capex uso'!BY44</f>
        <v>0</v>
      </c>
      <c r="L40">
        <f>'D2 - Capex uso'!BZ44</f>
        <v>0</v>
      </c>
      <c r="M40">
        <f>'D2 - Capex uso'!CA44</f>
        <v>0</v>
      </c>
      <c r="N40">
        <f>'D2 - Capex uso'!CB44</f>
        <v>0</v>
      </c>
      <c r="O40">
        <f>'D2 - Capex uso'!CC44</f>
        <v>11180.268</v>
      </c>
      <c r="P40">
        <f>'D2 - Capex uso'!CD44</f>
        <v>0</v>
      </c>
      <c r="Q40">
        <f>'D2 - Capex uso'!CE44</f>
        <v>0</v>
      </c>
      <c r="R40">
        <f>'D2 - Capex uso'!CF44</f>
        <v>0</v>
      </c>
      <c r="S40">
        <f>'D2 - Capex uso'!CG44</f>
        <v>0</v>
      </c>
      <c r="T40">
        <f>'D2 - Capex uso'!CH44</f>
        <v>11180.268</v>
      </c>
      <c r="U40">
        <f>'D2 - Capex uso'!CI44</f>
        <v>0</v>
      </c>
      <c r="V40">
        <f>'D2 - Capex uso'!CJ44</f>
        <v>0</v>
      </c>
      <c r="W40">
        <f>'D2 - Capex uso'!CK44</f>
        <v>0</v>
      </c>
      <c r="X40">
        <f>'D2 - Capex uso'!CL44</f>
        <v>0</v>
      </c>
      <c r="Y40">
        <f>'D2 - Capex uso'!CM44</f>
        <v>11180.268</v>
      </c>
      <c r="Z40">
        <f>'D2 - Capex uso'!CN44</f>
        <v>0</v>
      </c>
      <c r="AA40">
        <f>'D2 - Capex uso'!CO44</f>
        <v>0</v>
      </c>
      <c r="AB40">
        <f>'D2 - Capex uso'!CP44</f>
        <v>0</v>
      </c>
      <c r="AC40">
        <f>'D2 - Capex uso'!CQ44</f>
        <v>0</v>
      </c>
      <c r="AD40">
        <f>'D2 - Capex uso'!CR44</f>
        <v>11180.268</v>
      </c>
      <c r="AE40">
        <f>'D2 - Capex uso'!CS44</f>
        <v>0</v>
      </c>
      <c r="AF40">
        <f>'D2 - Capex uso'!CT44</f>
        <v>0</v>
      </c>
      <c r="AG40">
        <f>'D2 - Capex uso'!CU44</f>
        <v>0</v>
      </c>
      <c r="AH40">
        <f>'D2 - Capex uso'!CV44</f>
        <v>0</v>
      </c>
      <c r="AI40">
        <f t="shared" si="0"/>
        <v>67081.607999999993</v>
      </c>
    </row>
    <row r="41" spans="1:35">
      <c r="A41" t="str">
        <f>'D2 - Capex uso'!A45</f>
        <v>Paisagismo</v>
      </c>
      <c r="B41" t="str">
        <f>'D2 - Capex uso'!B45</f>
        <v>Operacional</v>
      </c>
      <c r="C41" t="str">
        <f>'D2 - Capex uso'!C45</f>
        <v>Ingresso</v>
      </c>
      <c r="D41" t="str">
        <f>'D2 - Capex uso'!AK45</f>
        <v>Outros</v>
      </c>
      <c r="E41">
        <f>'D2 - Capex uso'!BS45</f>
        <v>156750.00000000003</v>
      </c>
      <c r="F41">
        <f>'D2 - Capex uso'!BT45</f>
        <v>0</v>
      </c>
      <c r="G41">
        <f>'D2 - Capex uso'!BU45</f>
        <v>0</v>
      </c>
      <c r="H41">
        <f>'D2 - Capex uso'!BV45</f>
        <v>0</v>
      </c>
      <c r="I41">
        <f>'D2 - Capex uso'!BW45</f>
        <v>0</v>
      </c>
      <c r="J41">
        <f>'D2 - Capex uso'!BX45</f>
        <v>0</v>
      </c>
      <c r="K41">
        <f>'D2 - Capex uso'!BY45</f>
        <v>0</v>
      </c>
      <c r="L41">
        <f>'D2 - Capex uso'!BZ45</f>
        <v>0</v>
      </c>
      <c r="M41">
        <f>'D2 - Capex uso'!CA45</f>
        <v>0</v>
      </c>
      <c r="N41">
        <f>'D2 - Capex uso'!CB45</f>
        <v>0</v>
      </c>
      <c r="O41">
        <f>'D2 - Capex uso'!CC45</f>
        <v>0</v>
      </c>
      <c r="P41">
        <f>'D2 - Capex uso'!CD45</f>
        <v>0</v>
      </c>
      <c r="Q41">
        <f>'D2 - Capex uso'!CE45</f>
        <v>0</v>
      </c>
      <c r="R41">
        <f>'D2 - Capex uso'!CF45</f>
        <v>0</v>
      </c>
      <c r="S41">
        <f>'D2 - Capex uso'!CG45</f>
        <v>0</v>
      </c>
      <c r="T41">
        <f>'D2 - Capex uso'!CH45</f>
        <v>0</v>
      </c>
      <c r="U41">
        <f>'D2 - Capex uso'!CI45</f>
        <v>0</v>
      </c>
      <c r="V41">
        <f>'D2 - Capex uso'!CJ45</f>
        <v>0</v>
      </c>
      <c r="W41">
        <f>'D2 - Capex uso'!CK45</f>
        <v>0</v>
      </c>
      <c r="X41">
        <f>'D2 - Capex uso'!CL45</f>
        <v>0</v>
      </c>
      <c r="Y41">
        <f>'D2 - Capex uso'!CM45</f>
        <v>0</v>
      </c>
      <c r="Z41">
        <f>'D2 - Capex uso'!CN45</f>
        <v>0</v>
      </c>
      <c r="AA41">
        <f>'D2 - Capex uso'!CO45</f>
        <v>0</v>
      </c>
      <c r="AB41">
        <f>'D2 - Capex uso'!CP45</f>
        <v>0</v>
      </c>
      <c r="AC41">
        <f>'D2 - Capex uso'!CQ45</f>
        <v>0</v>
      </c>
      <c r="AD41">
        <f>'D2 - Capex uso'!CR45</f>
        <v>0</v>
      </c>
      <c r="AE41">
        <f>'D2 - Capex uso'!CS45</f>
        <v>0</v>
      </c>
      <c r="AF41">
        <f>'D2 - Capex uso'!CT45</f>
        <v>0</v>
      </c>
      <c r="AG41">
        <f>'D2 - Capex uso'!CU45</f>
        <v>0</v>
      </c>
      <c r="AH41">
        <f>'D2 - Capex uso'!CV45</f>
        <v>0</v>
      </c>
      <c r="AI41">
        <f t="shared" si="0"/>
        <v>156750.00000000003</v>
      </c>
    </row>
    <row r="42" spans="1:35">
      <c r="A42" t="str">
        <f>'D2 - Capex uso'!A46</f>
        <v>Mobiliário administrativo</v>
      </c>
      <c r="B42" t="str">
        <f>'D2 - Capex uso'!B46</f>
        <v>Operacional</v>
      </c>
      <c r="C42" t="str">
        <f>'D2 - Capex uso'!C46</f>
        <v>Ingresso</v>
      </c>
      <c r="D42" t="str">
        <f>'D2 - Capex uso'!AK46</f>
        <v>Móveis e Utensílios</v>
      </c>
      <c r="E42">
        <f>'D2 - Capex uso'!BS46</f>
        <v>247456.00000000003</v>
      </c>
      <c r="F42">
        <f>'D2 - Capex uso'!BT46</f>
        <v>0</v>
      </c>
      <c r="G42">
        <f>'D2 - Capex uso'!BU46</f>
        <v>0</v>
      </c>
      <c r="H42">
        <f>'D2 - Capex uso'!BV46</f>
        <v>0</v>
      </c>
      <c r="I42">
        <f>'D2 - Capex uso'!BW46</f>
        <v>0</v>
      </c>
      <c r="J42">
        <f>'D2 - Capex uso'!BX46</f>
        <v>0</v>
      </c>
      <c r="K42">
        <f>'D2 - Capex uso'!BY46</f>
        <v>0</v>
      </c>
      <c r="L42">
        <f>'D2 - Capex uso'!BZ46</f>
        <v>0</v>
      </c>
      <c r="M42">
        <f>'D2 - Capex uso'!CA46</f>
        <v>0</v>
      </c>
      <c r="N42">
        <f>'D2 - Capex uso'!CB46</f>
        <v>0</v>
      </c>
      <c r="O42">
        <f>'D2 - Capex uso'!CC46</f>
        <v>247456.00000000003</v>
      </c>
      <c r="P42">
        <f>'D2 - Capex uso'!CD46</f>
        <v>0</v>
      </c>
      <c r="Q42">
        <f>'D2 - Capex uso'!CE46</f>
        <v>0</v>
      </c>
      <c r="R42">
        <f>'D2 - Capex uso'!CF46</f>
        <v>0</v>
      </c>
      <c r="S42">
        <f>'D2 - Capex uso'!CG46</f>
        <v>0</v>
      </c>
      <c r="T42">
        <f>'D2 - Capex uso'!CH46</f>
        <v>0</v>
      </c>
      <c r="U42">
        <f>'D2 - Capex uso'!CI46</f>
        <v>0</v>
      </c>
      <c r="V42">
        <f>'D2 - Capex uso'!CJ46</f>
        <v>0</v>
      </c>
      <c r="W42">
        <f>'D2 - Capex uso'!CK46</f>
        <v>0</v>
      </c>
      <c r="X42">
        <f>'D2 - Capex uso'!CL46</f>
        <v>0</v>
      </c>
      <c r="Y42">
        <f>'D2 - Capex uso'!CM46</f>
        <v>247456.00000000003</v>
      </c>
      <c r="Z42">
        <f>'D2 - Capex uso'!CN46</f>
        <v>0</v>
      </c>
      <c r="AA42">
        <f>'D2 - Capex uso'!CO46</f>
        <v>0</v>
      </c>
      <c r="AB42">
        <f>'D2 - Capex uso'!CP46</f>
        <v>0</v>
      </c>
      <c r="AC42">
        <f>'D2 - Capex uso'!CQ46</f>
        <v>0</v>
      </c>
      <c r="AD42">
        <f>'D2 - Capex uso'!CR46</f>
        <v>0</v>
      </c>
      <c r="AE42">
        <f>'D2 - Capex uso'!CS46</f>
        <v>0</v>
      </c>
      <c r="AF42">
        <f>'D2 - Capex uso'!CT46</f>
        <v>0</v>
      </c>
      <c r="AG42">
        <f>'D2 - Capex uso'!CU46</f>
        <v>0</v>
      </c>
      <c r="AH42">
        <f>'D2 - Capex uso'!CV46</f>
        <v>0</v>
      </c>
      <c r="AI42">
        <f t="shared" si="0"/>
        <v>742368.00000000012</v>
      </c>
    </row>
    <row r="43" spans="1:35">
      <c r="A43" t="str">
        <f>'D2 - Capex uso'!A47</f>
        <v>Mobiliário administrativo</v>
      </c>
      <c r="B43" t="str">
        <f>'D2 - Capex uso'!B47</f>
        <v>Operacional</v>
      </c>
      <c r="C43" t="str">
        <f>'D2 - Capex uso'!C47</f>
        <v>Ingresso</v>
      </c>
      <c r="D43" t="str">
        <f>'D2 - Capex uso'!AK47</f>
        <v>Móveis e Utensílios</v>
      </c>
      <c r="E43">
        <f>'D2 - Capex uso'!BS47</f>
        <v>40700.000000000007</v>
      </c>
      <c r="F43">
        <f>'D2 - Capex uso'!BT47</f>
        <v>0</v>
      </c>
      <c r="G43">
        <f>'D2 - Capex uso'!BU47</f>
        <v>0</v>
      </c>
      <c r="H43">
        <f>'D2 - Capex uso'!BV47</f>
        <v>0</v>
      </c>
      <c r="I43">
        <f>'D2 - Capex uso'!BW47</f>
        <v>0</v>
      </c>
      <c r="J43">
        <f>'D2 - Capex uso'!BX47</f>
        <v>0</v>
      </c>
      <c r="K43">
        <f>'D2 - Capex uso'!BY47</f>
        <v>0</v>
      </c>
      <c r="L43">
        <f>'D2 - Capex uso'!BZ47</f>
        <v>0</v>
      </c>
      <c r="M43">
        <f>'D2 - Capex uso'!CA47</f>
        <v>0</v>
      </c>
      <c r="N43">
        <f>'D2 - Capex uso'!CB47</f>
        <v>0</v>
      </c>
      <c r="O43">
        <f>'D2 - Capex uso'!CC47</f>
        <v>40700.000000000007</v>
      </c>
      <c r="P43">
        <f>'D2 - Capex uso'!CD47</f>
        <v>0</v>
      </c>
      <c r="Q43">
        <f>'D2 - Capex uso'!CE47</f>
        <v>0</v>
      </c>
      <c r="R43">
        <f>'D2 - Capex uso'!CF47</f>
        <v>0</v>
      </c>
      <c r="S43">
        <f>'D2 - Capex uso'!CG47</f>
        <v>0</v>
      </c>
      <c r="T43">
        <f>'D2 - Capex uso'!CH47</f>
        <v>0</v>
      </c>
      <c r="U43">
        <f>'D2 - Capex uso'!CI47</f>
        <v>0</v>
      </c>
      <c r="V43">
        <f>'D2 - Capex uso'!CJ47</f>
        <v>0</v>
      </c>
      <c r="W43">
        <f>'D2 - Capex uso'!CK47</f>
        <v>0</v>
      </c>
      <c r="X43">
        <f>'D2 - Capex uso'!CL47</f>
        <v>0</v>
      </c>
      <c r="Y43">
        <f>'D2 - Capex uso'!CM47</f>
        <v>40700.000000000007</v>
      </c>
      <c r="Z43">
        <f>'D2 - Capex uso'!CN47</f>
        <v>0</v>
      </c>
      <c r="AA43">
        <f>'D2 - Capex uso'!CO47</f>
        <v>0</v>
      </c>
      <c r="AB43">
        <f>'D2 - Capex uso'!CP47</f>
        <v>0</v>
      </c>
      <c r="AC43">
        <f>'D2 - Capex uso'!CQ47</f>
        <v>0</v>
      </c>
      <c r="AD43">
        <f>'D2 - Capex uso'!CR47</f>
        <v>0</v>
      </c>
      <c r="AE43">
        <f>'D2 - Capex uso'!CS47</f>
        <v>0</v>
      </c>
      <c r="AF43">
        <f>'D2 - Capex uso'!CT47</f>
        <v>0</v>
      </c>
      <c r="AG43">
        <f>'D2 - Capex uso'!CU47</f>
        <v>0</v>
      </c>
      <c r="AH43">
        <f>'D2 - Capex uso'!CV47</f>
        <v>0</v>
      </c>
      <c r="AI43">
        <f t="shared" si="0"/>
        <v>122100.00000000003</v>
      </c>
    </row>
    <row r="44" spans="1:35">
      <c r="A44" t="str">
        <f>'D2 - Capex uso'!A48</f>
        <v>Mobiliário administrativo</v>
      </c>
      <c r="B44" t="str">
        <f>'D2 - Capex uso'!B48</f>
        <v>Operacional</v>
      </c>
      <c r="C44" t="str">
        <f>'D2 - Capex uso'!C48</f>
        <v>Ingresso</v>
      </c>
      <c r="D44" t="str">
        <f>'D2 - Capex uso'!AK48</f>
        <v>Móveis e Utensílios</v>
      </c>
      <c r="E44">
        <f>'D2 - Capex uso'!BS48</f>
        <v>86284.000000000015</v>
      </c>
      <c r="F44">
        <f>'D2 - Capex uso'!BT48</f>
        <v>0</v>
      </c>
      <c r="G44">
        <f>'D2 - Capex uso'!BU48</f>
        <v>0</v>
      </c>
      <c r="H44">
        <f>'D2 - Capex uso'!BV48</f>
        <v>0</v>
      </c>
      <c r="I44">
        <f>'D2 - Capex uso'!BW48</f>
        <v>0</v>
      </c>
      <c r="J44">
        <f>'D2 - Capex uso'!BX48</f>
        <v>0</v>
      </c>
      <c r="K44">
        <f>'D2 - Capex uso'!BY48</f>
        <v>0</v>
      </c>
      <c r="L44">
        <f>'D2 - Capex uso'!BZ48</f>
        <v>0</v>
      </c>
      <c r="M44">
        <f>'D2 - Capex uso'!CA48</f>
        <v>0</v>
      </c>
      <c r="N44">
        <f>'D2 - Capex uso'!CB48</f>
        <v>0</v>
      </c>
      <c r="O44">
        <f>'D2 - Capex uso'!CC48</f>
        <v>86284.000000000015</v>
      </c>
      <c r="P44">
        <f>'D2 - Capex uso'!CD48</f>
        <v>0</v>
      </c>
      <c r="Q44">
        <f>'D2 - Capex uso'!CE48</f>
        <v>0</v>
      </c>
      <c r="R44">
        <f>'D2 - Capex uso'!CF48</f>
        <v>0</v>
      </c>
      <c r="S44">
        <f>'D2 - Capex uso'!CG48</f>
        <v>0</v>
      </c>
      <c r="T44">
        <f>'D2 - Capex uso'!CH48</f>
        <v>0</v>
      </c>
      <c r="U44">
        <f>'D2 - Capex uso'!CI48</f>
        <v>0</v>
      </c>
      <c r="V44">
        <f>'D2 - Capex uso'!CJ48</f>
        <v>0</v>
      </c>
      <c r="W44">
        <f>'D2 - Capex uso'!CK48</f>
        <v>0</v>
      </c>
      <c r="X44">
        <f>'D2 - Capex uso'!CL48</f>
        <v>0</v>
      </c>
      <c r="Y44">
        <f>'D2 - Capex uso'!CM48</f>
        <v>86284.000000000015</v>
      </c>
      <c r="Z44">
        <f>'D2 - Capex uso'!CN48</f>
        <v>0</v>
      </c>
      <c r="AA44">
        <f>'D2 - Capex uso'!CO48</f>
        <v>0</v>
      </c>
      <c r="AB44">
        <f>'D2 - Capex uso'!CP48</f>
        <v>0</v>
      </c>
      <c r="AC44">
        <f>'D2 - Capex uso'!CQ48</f>
        <v>0</v>
      </c>
      <c r="AD44">
        <f>'D2 - Capex uso'!CR48</f>
        <v>0</v>
      </c>
      <c r="AE44">
        <f>'D2 - Capex uso'!CS48</f>
        <v>0</v>
      </c>
      <c r="AF44">
        <f>'D2 - Capex uso'!CT48</f>
        <v>0</v>
      </c>
      <c r="AG44">
        <f>'D2 - Capex uso'!CU48</f>
        <v>0</v>
      </c>
      <c r="AH44">
        <f>'D2 - Capex uso'!CV48</f>
        <v>0</v>
      </c>
      <c r="AI44">
        <f t="shared" si="0"/>
        <v>258852.00000000006</v>
      </c>
    </row>
    <row r="45" spans="1:35">
      <c r="A45" t="str">
        <f>'D2 - Capex uso'!A49</f>
        <v>Mobiliário administrativo</v>
      </c>
      <c r="B45" t="str">
        <f>'D2 - Capex uso'!B49</f>
        <v>Operacional</v>
      </c>
      <c r="C45" t="str">
        <f>'D2 - Capex uso'!C49</f>
        <v>Ingresso</v>
      </c>
      <c r="D45" t="str">
        <f>'D2 - Capex uso'!AK49</f>
        <v>Móveis e Utensílios</v>
      </c>
      <c r="E45">
        <f>'D2 - Capex uso'!BS49</f>
        <v>12210.000000000002</v>
      </c>
      <c r="F45">
        <f>'D2 - Capex uso'!BT49</f>
        <v>0</v>
      </c>
      <c r="G45">
        <f>'D2 - Capex uso'!BU49</f>
        <v>0</v>
      </c>
      <c r="H45">
        <f>'D2 - Capex uso'!BV49</f>
        <v>0</v>
      </c>
      <c r="I45">
        <f>'D2 - Capex uso'!BW49</f>
        <v>0</v>
      </c>
      <c r="J45">
        <f>'D2 - Capex uso'!BX49</f>
        <v>0</v>
      </c>
      <c r="K45">
        <f>'D2 - Capex uso'!BY49</f>
        <v>0</v>
      </c>
      <c r="L45">
        <f>'D2 - Capex uso'!BZ49</f>
        <v>0</v>
      </c>
      <c r="M45">
        <f>'D2 - Capex uso'!CA49</f>
        <v>0</v>
      </c>
      <c r="N45">
        <f>'D2 - Capex uso'!CB49</f>
        <v>0</v>
      </c>
      <c r="O45">
        <f>'D2 - Capex uso'!CC49</f>
        <v>12210.000000000002</v>
      </c>
      <c r="P45">
        <f>'D2 - Capex uso'!CD49</f>
        <v>0</v>
      </c>
      <c r="Q45">
        <f>'D2 - Capex uso'!CE49</f>
        <v>0</v>
      </c>
      <c r="R45">
        <f>'D2 - Capex uso'!CF49</f>
        <v>0</v>
      </c>
      <c r="S45">
        <f>'D2 - Capex uso'!CG49</f>
        <v>0</v>
      </c>
      <c r="T45">
        <f>'D2 - Capex uso'!CH49</f>
        <v>0</v>
      </c>
      <c r="U45">
        <f>'D2 - Capex uso'!CI49</f>
        <v>0</v>
      </c>
      <c r="V45">
        <f>'D2 - Capex uso'!CJ49</f>
        <v>0</v>
      </c>
      <c r="W45">
        <f>'D2 - Capex uso'!CK49</f>
        <v>0</v>
      </c>
      <c r="X45">
        <f>'D2 - Capex uso'!CL49</f>
        <v>0</v>
      </c>
      <c r="Y45">
        <f>'D2 - Capex uso'!CM49</f>
        <v>12210.000000000002</v>
      </c>
      <c r="Z45">
        <f>'D2 - Capex uso'!CN49</f>
        <v>0</v>
      </c>
      <c r="AA45">
        <f>'D2 - Capex uso'!CO49</f>
        <v>0</v>
      </c>
      <c r="AB45">
        <f>'D2 - Capex uso'!CP49</f>
        <v>0</v>
      </c>
      <c r="AC45">
        <f>'D2 - Capex uso'!CQ49</f>
        <v>0</v>
      </c>
      <c r="AD45">
        <f>'D2 - Capex uso'!CR49</f>
        <v>0</v>
      </c>
      <c r="AE45">
        <f>'D2 - Capex uso'!CS49</f>
        <v>0</v>
      </c>
      <c r="AF45">
        <f>'D2 - Capex uso'!CT49</f>
        <v>0</v>
      </c>
      <c r="AG45">
        <f>'D2 - Capex uso'!CU49</f>
        <v>0</v>
      </c>
      <c r="AH45">
        <f>'D2 - Capex uso'!CV49</f>
        <v>0</v>
      </c>
      <c r="AI45">
        <f t="shared" si="0"/>
        <v>36630.000000000007</v>
      </c>
    </row>
    <row r="46" spans="1:35">
      <c r="A46" t="str">
        <f>'D2 - Capex uso'!A50</f>
        <v>Mobiliário administrativo</v>
      </c>
      <c r="B46" t="str">
        <f>'D2 - Capex uso'!B50</f>
        <v>Operacional</v>
      </c>
      <c r="C46" t="str">
        <f>'D2 - Capex uso'!C50</f>
        <v>Ingresso</v>
      </c>
      <c r="D46" t="str">
        <f>'D2 - Capex uso'!AK50</f>
        <v>Móveis e Utensílios</v>
      </c>
      <c r="E46">
        <f>'D2 - Capex uso'!BS50</f>
        <v>182336.00000000003</v>
      </c>
      <c r="F46">
        <f>'D2 - Capex uso'!BT50</f>
        <v>0</v>
      </c>
      <c r="G46">
        <f>'D2 - Capex uso'!BU50</f>
        <v>0</v>
      </c>
      <c r="H46">
        <f>'D2 - Capex uso'!BV50</f>
        <v>0</v>
      </c>
      <c r="I46">
        <f>'D2 - Capex uso'!BW50</f>
        <v>0</v>
      </c>
      <c r="J46">
        <f>'D2 - Capex uso'!BX50</f>
        <v>0</v>
      </c>
      <c r="K46">
        <f>'D2 - Capex uso'!BY50</f>
        <v>0</v>
      </c>
      <c r="L46">
        <f>'D2 - Capex uso'!BZ50</f>
        <v>0</v>
      </c>
      <c r="M46">
        <f>'D2 - Capex uso'!CA50</f>
        <v>0</v>
      </c>
      <c r="N46">
        <f>'D2 - Capex uso'!CB50</f>
        <v>0</v>
      </c>
      <c r="O46">
        <f>'D2 - Capex uso'!CC50</f>
        <v>182336.00000000003</v>
      </c>
      <c r="P46">
        <f>'D2 - Capex uso'!CD50</f>
        <v>0</v>
      </c>
      <c r="Q46">
        <f>'D2 - Capex uso'!CE50</f>
        <v>0</v>
      </c>
      <c r="R46">
        <f>'D2 - Capex uso'!CF50</f>
        <v>0</v>
      </c>
      <c r="S46">
        <f>'D2 - Capex uso'!CG50</f>
        <v>0</v>
      </c>
      <c r="T46">
        <f>'D2 - Capex uso'!CH50</f>
        <v>0</v>
      </c>
      <c r="U46">
        <f>'D2 - Capex uso'!CI50</f>
        <v>0</v>
      </c>
      <c r="V46">
        <f>'D2 - Capex uso'!CJ50</f>
        <v>0</v>
      </c>
      <c r="W46">
        <f>'D2 - Capex uso'!CK50</f>
        <v>0</v>
      </c>
      <c r="X46">
        <f>'D2 - Capex uso'!CL50</f>
        <v>0</v>
      </c>
      <c r="Y46">
        <f>'D2 - Capex uso'!CM50</f>
        <v>182336.00000000003</v>
      </c>
      <c r="Z46">
        <f>'D2 - Capex uso'!CN50</f>
        <v>0</v>
      </c>
      <c r="AA46">
        <f>'D2 - Capex uso'!CO50</f>
        <v>0</v>
      </c>
      <c r="AB46">
        <f>'D2 - Capex uso'!CP50</f>
        <v>0</v>
      </c>
      <c r="AC46">
        <f>'D2 - Capex uso'!CQ50</f>
        <v>0</v>
      </c>
      <c r="AD46">
        <f>'D2 - Capex uso'!CR50</f>
        <v>0</v>
      </c>
      <c r="AE46">
        <f>'D2 - Capex uso'!CS50</f>
        <v>0</v>
      </c>
      <c r="AF46">
        <f>'D2 - Capex uso'!CT50</f>
        <v>0</v>
      </c>
      <c r="AG46">
        <f>'D2 - Capex uso'!CU50</f>
        <v>0</v>
      </c>
      <c r="AH46">
        <f>'D2 - Capex uso'!CV50</f>
        <v>0</v>
      </c>
      <c r="AI46">
        <f t="shared" si="0"/>
        <v>547008.00000000012</v>
      </c>
    </row>
    <row r="47" spans="1:35">
      <c r="A47" t="str">
        <f>'D2 - Capex uso'!A51</f>
        <v>Construção em madeira com fechamento de madeira</v>
      </c>
      <c r="B47" t="str">
        <f>'D2 - Capex uso'!B51</f>
        <v>Operacional</v>
      </c>
      <c r="C47" t="str">
        <f>'D2 - Capex uso'!C51</f>
        <v>Lagoa Grande - Estacionamento</v>
      </c>
      <c r="D47" t="str">
        <f>'D2 - Capex uso'!AK51</f>
        <v>Edificações</v>
      </c>
      <c r="E47">
        <f>'D2 - Capex uso'!BS51</f>
        <v>176995.21400000001</v>
      </c>
      <c r="F47">
        <f>'D2 - Capex uso'!BT51</f>
        <v>0</v>
      </c>
      <c r="G47">
        <f>'D2 - Capex uso'!BU51</f>
        <v>0</v>
      </c>
      <c r="H47">
        <f>'D2 - Capex uso'!BV51</f>
        <v>0</v>
      </c>
      <c r="I47">
        <f>'D2 - Capex uso'!BW51</f>
        <v>0</v>
      </c>
      <c r="J47">
        <f>'D2 - Capex uso'!BX51</f>
        <v>0</v>
      </c>
      <c r="K47">
        <f>'D2 - Capex uso'!BY51</f>
        <v>0</v>
      </c>
      <c r="L47">
        <f>'D2 - Capex uso'!BZ51</f>
        <v>0</v>
      </c>
      <c r="M47">
        <f>'D2 - Capex uso'!CA51</f>
        <v>0</v>
      </c>
      <c r="N47">
        <f>'D2 - Capex uso'!CB51</f>
        <v>0</v>
      </c>
      <c r="O47">
        <f>'D2 - Capex uso'!CC51</f>
        <v>0</v>
      </c>
      <c r="P47">
        <f>'D2 - Capex uso'!CD51</f>
        <v>0</v>
      </c>
      <c r="Q47">
        <f>'D2 - Capex uso'!CE51</f>
        <v>0</v>
      </c>
      <c r="R47">
        <f>'D2 - Capex uso'!CF51</f>
        <v>0</v>
      </c>
      <c r="S47">
        <f>'D2 - Capex uso'!CG51</f>
        <v>0</v>
      </c>
      <c r="T47">
        <f>'D2 - Capex uso'!CH51</f>
        <v>0</v>
      </c>
      <c r="U47">
        <f>'D2 - Capex uso'!CI51</f>
        <v>0</v>
      </c>
      <c r="V47">
        <f>'D2 - Capex uso'!CJ51</f>
        <v>0</v>
      </c>
      <c r="W47">
        <f>'D2 - Capex uso'!CK51</f>
        <v>0</v>
      </c>
      <c r="X47">
        <f>'D2 - Capex uso'!CL51</f>
        <v>0</v>
      </c>
      <c r="Y47">
        <f>'D2 - Capex uso'!CM51</f>
        <v>0</v>
      </c>
      <c r="Z47">
        <f>'D2 - Capex uso'!CN51</f>
        <v>0</v>
      </c>
      <c r="AA47">
        <f>'D2 - Capex uso'!CO51</f>
        <v>0</v>
      </c>
      <c r="AB47">
        <f>'D2 - Capex uso'!CP51</f>
        <v>0</v>
      </c>
      <c r="AC47">
        <f>'D2 - Capex uso'!CQ51</f>
        <v>0</v>
      </c>
      <c r="AD47">
        <f>'D2 - Capex uso'!CR51</f>
        <v>0</v>
      </c>
      <c r="AE47">
        <f>'D2 - Capex uso'!CS51</f>
        <v>0</v>
      </c>
      <c r="AF47">
        <f>'D2 - Capex uso'!CT51</f>
        <v>0</v>
      </c>
      <c r="AG47">
        <f>'D2 - Capex uso'!CU51</f>
        <v>0</v>
      </c>
      <c r="AH47">
        <f>'D2 - Capex uso'!CV51</f>
        <v>0</v>
      </c>
      <c r="AI47">
        <f t="shared" si="0"/>
        <v>176995.21400000001</v>
      </c>
    </row>
    <row r="48" spans="1:35">
      <c r="A48" t="str">
        <f>'D2 - Capex uso'!A52</f>
        <v>Piso intertravado permeável</v>
      </c>
      <c r="B48" t="str">
        <f>'D2 - Capex uso'!B52</f>
        <v>Operacional</v>
      </c>
      <c r="C48" t="str">
        <f>'D2 - Capex uso'!C52</f>
        <v>Lagoa Grande - Estacionamento</v>
      </c>
      <c r="D48" t="str">
        <f>'D2 - Capex uso'!AK52</f>
        <v>Infraestrutura</v>
      </c>
      <c r="E48">
        <f>'D2 - Capex uso'!BS52</f>
        <v>9680</v>
      </c>
      <c r="F48">
        <f>'D2 - Capex uso'!BT52</f>
        <v>0</v>
      </c>
      <c r="G48">
        <f>'D2 - Capex uso'!BU52</f>
        <v>0</v>
      </c>
      <c r="H48">
        <f>'D2 - Capex uso'!BV52</f>
        <v>0</v>
      </c>
      <c r="I48">
        <f>'D2 - Capex uso'!BW52</f>
        <v>0</v>
      </c>
      <c r="J48">
        <f>'D2 - Capex uso'!BX52</f>
        <v>0</v>
      </c>
      <c r="K48">
        <f>'D2 - Capex uso'!BY52</f>
        <v>0</v>
      </c>
      <c r="L48">
        <f>'D2 - Capex uso'!BZ52</f>
        <v>0</v>
      </c>
      <c r="M48">
        <f>'D2 - Capex uso'!CA52</f>
        <v>0</v>
      </c>
      <c r="N48">
        <f>'D2 - Capex uso'!CB52</f>
        <v>0</v>
      </c>
      <c r="O48">
        <f>'D2 - Capex uso'!CC52</f>
        <v>0</v>
      </c>
      <c r="P48">
        <f>'D2 - Capex uso'!CD52</f>
        <v>0</v>
      </c>
      <c r="Q48">
        <f>'D2 - Capex uso'!CE52</f>
        <v>0</v>
      </c>
      <c r="R48">
        <f>'D2 - Capex uso'!CF52</f>
        <v>0</v>
      </c>
      <c r="S48">
        <f>'D2 - Capex uso'!CG52</f>
        <v>0</v>
      </c>
      <c r="T48">
        <f>'D2 - Capex uso'!CH52</f>
        <v>0</v>
      </c>
      <c r="U48">
        <f>'D2 - Capex uso'!CI52</f>
        <v>0</v>
      </c>
      <c r="V48">
        <f>'D2 - Capex uso'!CJ52</f>
        <v>0</v>
      </c>
      <c r="W48">
        <f>'D2 - Capex uso'!CK52</f>
        <v>0</v>
      </c>
      <c r="X48">
        <f>'D2 - Capex uso'!CL52</f>
        <v>0</v>
      </c>
      <c r="Y48">
        <f>'D2 - Capex uso'!CM52</f>
        <v>0</v>
      </c>
      <c r="Z48">
        <f>'D2 - Capex uso'!CN52</f>
        <v>0</v>
      </c>
      <c r="AA48">
        <f>'D2 - Capex uso'!CO52</f>
        <v>0</v>
      </c>
      <c r="AB48">
        <f>'D2 - Capex uso'!CP52</f>
        <v>0</v>
      </c>
      <c r="AC48">
        <f>'D2 - Capex uso'!CQ52</f>
        <v>0</v>
      </c>
      <c r="AD48">
        <f>'D2 - Capex uso'!CR52</f>
        <v>0</v>
      </c>
      <c r="AE48">
        <f>'D2 - Capex uso'!CS52</f>
        <v>0</v>
      </c>
      <c r="AF48">
        <f>'D2 - Capex uso'!CT52</f>
        <v>0</v>
      </c>
      <c r="AG48">
        <f>'D2 - Capex uso'!CU52</f>
        <v>0</v>
      </c>
      <c r="AH48">
        <f>'D2 - Capex uso'!CV52</f>
        <v>0</v>
      </c>
      <c r="AI48">
        <f t="shared" si="0"/>
        <v>9680</v>
      </c>
    </row>
    <row r="49" spans="1:35">
      <c r="A49" t="str">
        <f>'D2 - Capex uso'!A53</f>
        <v>Pavimentação com piso intertravado</v>
      </c>
      <c r="B49" t="str">
        <f>'D2 - Capex uso'!B53</f>
        <v>Operacional</v>
      </c>
      <c r="C49" t="str">
        <f>'D2 - Capex uso'!C53</f>
        <v>Lagoa Grande - Estacionamento</v>
      </c>
      <c r="D49" t="str">
        <f>'D2 - Capex uso'!AK53</f>
        <v>Infraestrutura</v>
      </c>
      <c r="E49">
        <f>'D2 - Capex uso'!BS53</f>
        <v>281853.13200000004</v>
      </c>
      <c r="F49">
        <f>'D2 - Capex uso'!BT53</f>
        <v>0</v>
      </c>
      <c r="G49">
        <f>'D2 - Capex uso'!BU53</f>
        <v>0</v>
      </c>
      <c r="H49">
        <f>'D2 - Capex uso'!BV53</f>
        <v>0</v>
      </c>
      <c r="I49">
        <f>'D2 - Capex uso'!BW53</f>
        <v>0</v>
      </c>
      <c r="J49">
        <f>'D2 - Capex uso'!BX53</f>
        <v>0</v>
      </c>
      <c r="K49">
        <f>'D2 - Capex uso'!BY53</f>
        <v>0</v>
      </c>
      <c r="L49">
        <f>'D2 - Capex uso'!BZ53</f>
        <v>0</v>
      </c>
      <c r="M49">
        <f>'D2 - Capex uso'!CA53</f>
        <v>0</v>
      </c>
      <c r="N49">
        <f>'D2 - Capex uso'!CB53</f>
        <v>0</v>
      </c>
      <c r="O49">
        <f>'D2 - Capex uso'!CC53</f>
        <v>0</v>
      </c>
      <c r="P49">
        <f>'D2 - Capex uso'!CD53</f>
        <v>0</v>
      </c>
      <c r="Q49">
        <f>'D2 - Capex uso'!CE53</f>
        <v>0</v>
      </c>
      <c r="R49">
        <f>'D2 - Capex uso'!CF53</f>
        <v>0</v>
      </c>
      <c r="S49">
        <f>'D2 - Capex uso'!CG53</f>
        <v>0</v>
      </c>
      <c r="T49">
        <f>'D2 - Capex uso'!CH53</f>
        <v>0</v>
      </c>
      <c r="U49">
        <f>'D2 - Capex uso'!CI53</f>
        <v>0</v>
      </c>
      <c r="V49">
        <f>'D2 - Capex uso'!CJ53</f>
        <v>0</v>
      </c>
      <c r="W49">
        <f>'D2 - Capex uso'!CK53</f>
        <v>0</v>
      </c>
      <c r="X49">
        <f>'D2 - Capex uso'!CL53</f>
        <v>0</v>
      </c>
      <c r="Y49">
        <f>'D2 - Capex uso'!CM53</f>
        <v>0</v>
      </c>
      <c r="Z49">
        <f>'D2 - Capex uso'!CN53</f>
        <v>0</v>
      </c>
      <c r="AA49">
        <f>'D2 - Capex uso'!CO53</f>
        <v>0</v>
      </c>
      <c r="AB49">
        <f>'D2 - Capex uso'!CP53</f>
        <v>0</v>
      </c>
      <c r="AC49">
        <f>'D2 - Capex uso'!CQ53</f>
        <v>0</v>
      </c>
      <c r="AD49">
        <f>'D2 - Capex uso'!CR53</f>
        <v>0</v>
      </c>
      <c r="AE49">
        <f>'D2 - Capex uso'!CS53</f>
        <v>0</v>
      </c>
      <c r="AF49">
        <f>'D2 - Capex uso'!CT53</f>
        <v>0</v>
      </c>
      <c r="AG49">
        <f>'D2 - Capex uso'!CU53</f>
        <v>0</v>
      </c>
      <c r="AH49">
        <f>'D2 - Capex uso'!CV53</f>
        <v>0</v>
      </c>
      <c r="AI49">
        <f t="shared" si="0"/>
        <v>281853.13200000004</v>
      </c>
    </row>
    <row r="50" spans="1:35">
      <c r="A50" t="str">
        <f>'D2 - Capex uso'!A54</f>
        <v>Mobiliário administrativo</v>
      </c>
      <c r="B50" t="str">
        <f>'D2 - Capex uso'!B54</f>
        <v>Operacional</v>
      </c>
      <c r="C50" t="str">
        <f>'D2 - Capex uso'!C54</f>
        <v>Lagoa Grande - Estacionamento</v>
      </c>
      <c r="D50" t="str">
        <f>'D2 - Capex uso'!AK54</f>
        <v>Móveis e Utensílios</v>
      </c>
      <c r="E50">
        <f>'D2 - Capex uso'!BS54</f>
        <v>30362.2</v>
      </c>
      <c r="F50">
        <f>'D2 - Capex uso'!BT54</f>
        <v>0</v>
      </c>
      <c r="G50">
        <f>'D2 - Capex uso'!BU54</f>
        <v>0</v>
      </c>
      <c r="H50">
        <f>'D2 - Capex uso'!BV54</f>
        <v>0</v>
      </c>
      <c r="I50">
        <f>'D2 - Capex uso'!BW54</f>
        <v>0</v>
      </c>
      <c r="J50">
        <f>'D2 - Capex uso'!BX54</f>
        <v>0</v>
      </c>
      <c r="K50">
        <f>'D2 - Capex uso'!BY54</f>
        <v>0</v>
      </c>
      <c r="L50">
        <f>'D2 - Capex uso'!BZ54</f>
        <v>0</v>
      </c>
      <c r="M50">
        <f>'D2 - Capex uso'!CA54</f>
        <v>0</v>
      </c>
      <c r="N50">
        <f>'D2 - Capex uso'!CB54</f>
        <v>0</v>
      </c>
      <c r="O50">
        <f>'D2 - Capex uso'!CC54</f>
        <v>30362.2</v>
      </c>
      <c r="P50">
        <f>'D2 - Capex uso'!CD54</f>
        <v>0</v>
      </c>
      <c r="Q50">
        <f>'D2 - Capex uso'!CE54</f>
        <v>0</v>
      </c>
      <c r="R50">
        <f>'D2 - Capex uso'!CF54</f>
        <v>0</v>
      </c>
      <c r="S50">
        <f>'D2 - Capex uso'!CG54</f>
        <v>0</v>
      </c>
      <c r="T50">
        <f>'D2 - Capex uso'!CH54</f>
        <v>0</v>
      </c>
      <c r="U50">
        <f>'D2 - Capex uso'!CI54</f>
        <v>0</v>
      </c>
      <c r="V50">
        <f>'D2 - Capex uso'!CJ54</f>
        <v>0</v>
      </c>
      <c r="W50">
        <f>'D2 - Capex uso'!CK54</f>
        <v>0</v>
      </c>
      <c r="X50">
        <f>'D2 - Capex uso'!CL54</f>
        <v>0</v>
      </c>
      <c r="Y50">
        <f>'D2 - Capex uso'!CM54</f>
        <v>30362.2</v>
      </c>
      <c r="Z50">
        <f>'D2 - Capex uso'!CN54</f>
        <v>0</v>
      </c>
      <c r="AA50">
        <f>'D2 - Capex uso'!CO54</f>
        <v>0</v>
      </c>
      <c r="AB50">
        <f>'D2 - Capex uso'!CP54</f>
        <v>0</v>
      </c>
      <c r="AC50">
        <f>'D2 - Capex uso'!CQ54</f>
        <v>0</v>
      </c>
      <c r="AD50">
        <f>'D2 - Capex uso'!CR54</f>
        <v>0</v>
      </c>
      <c r="AE50">
        <f>'D2 - Capex uso'!CS54</f>
        <v>0</v>
      </c>
      <c r="AF50">
        <f>'D2 - Capex uso'!CT54</f>
        <v>0</v>
      </c>
      <c r="AG50">
        <f>'D2 - Capex uso'!CU54</f>
        <v>0</v>
      </c>
      <c r="AH50">
        <f>'D2 - Capex uso'!CV54</f>
        <v>0</v>
      </c>
      <c r="AI50">
        <f t="shared" si="0"/>
        <v>91086.6</v>
      </c>
    </row>
    <row r="51" spans="1:35">
      <c r="A51" t="str">
        <f>'D2 - Capex uso'!A55</f>
        <v>Construção em madeira com fechamento de madeira</v>
      </c>
      <c r="B51" t="str">
        <f>'D2 - Capex uso'!B55</f>
        <v>Operacional</v>
      </c>
      <c r="C51" t="str">
        <f>'D2 - Capex uso'!C55</f>
        <v>Mangue Seco - Estacionamento</v>
      </c>
      <c r="D51" t="str">
        <f>'D2 - Capex uso'!AK55</f>
        <v>Edificações</v>
      </c>
      <c r="E51">
        <f>'D2 - Capex uso'!BS55</f>
        <v>118629.5</v>
      </c>
      <c r="F51">
        <f>'D2 - Capex uso'!BT55</f>
        <v>0</v>
      </c>
      <c r="G51">
        <f>'D2 - Capex uso'!BU55</f>
        <v>0</v>
      </c>
      <c r="H51">
        <f>'D2 - Capex uso'!BV55</f>
        <v>0</v>
      </c>
      <c r="I51">
        <f>'D2 - Capex uso'!BW55</f>
        <v>0</v>
      </c>
      <c r="J51">
        <f>'D2 - Capex uso'!BX55</f>
        <v>0</v>
      </c>
      <c r="K51">
        <f>'D2 - Capex uso'!BY55</f>
        <v>0</v>
      </c>
      <c r="L51">
        <f>'D2 - Capex uso'!BZ55</f>
        <v>0</v>
      </c>
      <c r="M51">
        <f>'D2 - Capex uso'!CA55</f>
        <v>0</v>
      </c>
      <c r="N51">
        <f>'D2 - Capex uso'!CB55</f>
        <v>0</v>
      </c>
      <c r="O51">
        <f>'D2 - Capex uso'!CC55</f>
        <v>0</v>
      </c>
      <c r="P51">
        <f>'D2 - Capex uso'!CD55</f>
        <v>0</v>
      </c>
      <c r="Q51">
        <f>'D2 - Capex uso'!CE55</f>
        <v>0</v>
      </c>
      <c r="R51">
        <f>'D2 - Capex uso'!CF55</f>
        <v>0</v>
      </c>
      <c r="S51">
        <f>'D2 - Capex uso'!CG55</f>
        <v>0</v>
      </c>
      <c r="T51">
        <f>'D2 - Capex uso'!CH55</f>
        <v>0</v>
      </c>
      <c r="U51">
        <f>'D2 - Capex uso'!CI55</f>
        <v>0</v>
      </c>
      <c r="V51">
        <f>'D2 - Capex uso'!CJ55</f>
        <v>0</v>
      </c>
      <c r="W51">
        <f>'D2 - Capex uso'!CK55</f>
        <v>0</v>
      </c>
      <c r="X51">
        <f>'D2 - Capex uso'!CL55</f>
        <v>0</v>
      </c>
      <c r="Y51">
        <f>'D2 - Capex uso'!CM55</f>
        <v>0</v>
      </c>
      <c r="Z51">
        <f>'D2 - Capex uso'!CN55</f>
        <v>0</v>
      </c>
      <c r="AA51">
        <f>'D2 - Capex uso'!CO55</f>
        <v>0</v>
      </c>
      <c r="AB51">
        <f>'D2 - Capex uso'!CP55</f>
        <v>0</v>
      </c>
      <c r="AC51">
        <f>'D2 - Capex uso'!CQ55</f>
        <v>0</v>
      </c>
      <c r="AD51">
        <f>'D2 - Capex uso'!CR55</f>
        <v>0</v>
      </c>
      <c r="AE51">
        <f>'D2 - Capex uso'!CS55</f>
        <v>0</v>
      </c>
      <c r="AF51">
        <f>'D2 - Capex uso'!CT55</f>
        <v>0</v>
      </c>
      <c r="AG51">
        <f>'D2 - Capex uso'!CU55</f>
        <v>0</v>
      </c>
      <c r="AH51">
        <f>'D2 - Capex uso'!CV55</f>
        <v>0</v>
      </c>
      <c r="AI51">
        <f t="shared" si="0"/>
        <v>118629.5</v>
      </c>
    </row>
    <row r="52" spans="1:35">
      <c r="A52" t="str">
        <f>'D2 - Capex uso'!A56</f>
        <v>Piso intertravado permeável</v>
      </c>
      <c r="B52" t="str">
        <f>'D2 - Capex uso'!B56</f>
        <v>Operacional</v>
      </c>
      <c r="C52" t="str">
        <f>'D2 - Capex uso'!C56</f>
        <v>Mangue Seco - Estacionamento</v>
      </c>
      <c r="D52" t="str">
        <f>'D2 - Capex uso'!AK56</f>
        <v>Infraestrutura</v>
      </c>
      <c r="E52">
        <f>'D2 - Capex uso'!BS56</f>
        <v>6600</v>
      </c>
      <c r="F52">
        <f>'D2 - Capex uso'!BT56</f>
        <v>0</v>
      </c>
      <c r="G52">
        <f>'D2 - Capex uso'!BU56</f>
        <v>0</v>
      </c>
      <c r="H52">
        <f>'D2 - Capex uso'!BV56</f>
        <v>0</v>
      </c>
      <c r="I52">
        <f>'D2 - Capex uso'!BW56</f>
        <v>0</v>
      </c>
      <c r="J52">
        <f>'D2 - Capex uso'!BX56</f>
        <v>0</v>
      </c>
      <c r="K52">
        <f>'D2 - Capex uso'!BY56</f>
        <v>0</v>
      </c>
      <c r="L52">
        <f>'D2 - Capex uso'!BZ56</f>
        <v>0</v>
      </c>
      <c r="M52">
        <f>'D2 - Capex uso'!CA56</f>
        <v>0</v>
      </c>
      <c r="N52">
        <f>'D2 - Capex uso'!CB56</f>
        <v>0</v>
      </c>
      <c r="O52">
        <f>'D2 - Capex uso'!CC56</f>
        <v>0</v>
      </c>
      <c r="P52">
        <f>'D2 - Capex uso'!CD56</f>
        <v>0</v>
      </c>
      <c r="Q52">
        <f>'D2 - Capex uso'!CE56</f>
        <v>0</v>
      </c>
      <c r="R52">
        <f>'D2 - Capex uso'!CF56</f>
        <v>0</v>
      </c>
      <c r="S52">
        <f>'D2 - Capex uso'!CG56</f>
        <v>0</v>
      </c>
      <c r="T52">
        <f>'D2 - Capex uso'!CH56</f>
        <v>0</v>
      </c>
      <c r="U52">
        <f>'D2 - Capex uso'!CI56</f>
        <v>0</v>
      </c>
      <c r="V52">
        <f>'D2 - Capex uso'!CJ56</f>
        <v>0</v>
      </c>
      <c r="W52">
        <f>'D2 - Capex uso'!CK56</f>
        <v>0</v>
      </c>
      <c r="X52">
        <f>'D2 - Capex uso'!CL56</f>
        <v>0</v>
      </c>
      <c r="Y52">
        <f>'D2 - Capex uso'!CM56</f>
        <v>0</v>
      </c>
      <c r="Z52">
        <f>'D2 - Capex uso'!CN56</f>
        <v>0</v>
      </c>
      <c r="AA52">
        <f>'D2 - Capex uso'!CO56</f>
        <v>0</v>
      </c>
      <c r="AB52">
        <f>'D2 - Capex uso'!CP56</f>
        <v>0</v>
      </c>
      <c r="AC52">
        <f>'D2 - Capex uso'!CQ56</f>
        <v>0</v>
      </c>
      <c r="AD52">
        <f>'D2 - Capex uso'!CR56</f>
        <v>0</v>
      </c>
      <c r="AE52">
        <f>'D2 - Capex uso'!CS56</f>
        <v>0</v>
      </c>
      <c r="AF52">
        <f>'D2 - Capex uso'!CT56</f>
        <v>0</v>
      </c>
      <c r="AG52">
        <f>'D2 - Capex uso'!CU56</f>
        <v>0</v>
      </c>
      <c r="AH52">
        <f>'D2 - Capex uso'!CV56</f>
        <v>0</v>
      </c>
      <c r="AI52">
        <f t="shared" si="0"/>
        <v>6600</v>
      </c>
    </row>
    <row r="53" spans="1:35">
      <c r="A53" t="str">
        <f>'D2 - Capex uso'!A57</f>
        <v>Pavimentação com piso intertravado</v>
      </c>
      <c r="B53" t="str">
        <f>'D2 - Capex uso'!B57</f>
        <v>Operacional</v>
      </c>
      <c r="C53" t="str">
        <f>'D2 - Capex uso'!C57</f>
        <v>Mangue Seco - Estacionamento</v>
      </c>
      <c r="D53" t="str">
        <f>'D2 - Capex uso'!AK57</f>
        <v>Infraestrutura</v>
      </c>
      <c r="E53">
        <f>'D2 - Capex uso'!BS57</f>
        <v>146261.06</v>
      </c>
      <c r="F53">
        <f>'D2 - Capex uso'!BT57</f>
        <v>0</v>
      </c>
      <c r="G53">
        <f>'D2 - Capex uso'!BU57</f>
        <v>0</v>
      </c>
      <c r="H53">
        <f>'D2 - Capex uso'!BV57</f>
        <v>0</v>
      </c>
      <c r="I53">
        <f>'D2 - Capex uso'!BW57</f>
        <v>0</v>
      </c>
      <c r="J53">
        <f>'D2 - Capex uso'!BX57</f>
        <v>0</v>
      </c>
      <c r="K53">
        <f>'D2 - Capex uso'!BY57</f>
        <v>0</v>
      </c>
      <c r="L53">
        <f>'D2 - Capex uso'!BZ57</f>
        <v>0</v>
      </c>
      <c r="M53">
        <f>'D2 - Capex uso'!CA57</f>
        <v>0</v>
      </c>
      <c r="N53">
        <f>'D2 - Capex uso'!CB57</f>
        <v>0</v>
      </c>
      <c r="O53">
        <f>'D2 - Capex uso'!CC57</f>
        <v>0</v>
      </c>
      <c r="P53">
        <f>'D2 - Capex uso'!CD57</f>
        <v>0</v>
      </c>
      <c r="Q53">
        <f>'D2 - Capex uso'!CE57</f>
        <v>0</v>
      </c>
      <c r="R53">
        <f>'D2 - Capex uso'!CF57</f>
        <v>0</v>
      </c>
      <c r="S53">
        <f>'D2 - Capex uso'!CG57</f>
        <v>0</v>
      </c>
      <c r="T53">
        <f>'D2 - Capex uso'!CH57</f>
        <v>0</v>
      </c>
      <c r="U53">
        <f>'D2 - Capex uso'!CI57</f>
        <v>0</v>
      </c>
      <c r="V53">
        <f>'D2 - Capex uso'!CJ57</f>
        <v>0</v>
      </c>
      <c r="W53">
        <f>'D2 - Capex uso'!CK57</f>
        <v>0</v>
      </c>
      <c r="X53">
        <f>'D2 - Capex uso'!CL57</f>
        <v>0</v>
      </c>
      <c r="Y53">
        <f>'D2 - Capex uso'!CM57</f>
        <v>0</v>
      </c>
      <c r="Z53">
        <f>'D2 - Capex uso'!CN57</f>
        <v>0</v>
      </c>
      <c r="AA53">
        <f>'D2 - Capex uso'!CO57</f>
        <v>0</v>
      </c>
      <c r="AB53">
        <f>'D2 - Capex uso'!CP57</f>
        <v>0</v>
      </c>
      <c r="AC53">
        <f>'D2 - Capex uso'!CQ57</f>
        <v>0</v>
      </c>
      <c r="AD53">
        <f>'D2 - Capex uso'!CR57</f>
        <v>0</v>
      </c>
      <c r="AE53">
        <f>'D2 - Capex uso'!CS57</f>
        <v>0</v>
      </c>
      <c r="AF53">
        <f>'D2 - Capex uso'!CT57</f>
        <v>0</v>
      </c>
      <c r="AG53">
        <f>'D2 - Capex uso'!CU57</f>
        <v>0</v>
      </c>
      <c r="AH53">
        <f>'D2 - Capex uso'!CV57</f>
        <v>0</v>
      </c>
      <c r="AI53">
        <f t="shared" si="0"/>
        <v>146261.06</v>
      </c>
    </row>
    <row r="54" spans="1:35">
      <c r="A54" t="str">
        <f>'D2 - Capex uso'!A58</f>
        <v>Mobiliário administrativo</v>
      </c>
      <c r="B54" t="str">
        <f>'D2 - Capex uso'!B58</f>
        <v>Operacional</v>
      </c>
      <c r="C54" t="str">
        <f>'D2 - Capex uso'!C58</f>
        <v>Mangue Seco - Estacionamento</v>
      </c>
      <c r="D54" t="str">
        <f>'D2 - Capex uso'!AK58</f>
        <v>Móveis e Utensílios</v>
      </c>
      <c r="E54">
        <f>'D2 - Capex uso'!BS58</f>
        <v>20350.000000000004</v>
      </c>
      <c r="F54">
        <f>'D2 - Capex uso'!BT58</f>
        <v>0</v>
      </c>
      <c r="G54">
        <f>'D2 - Capex uso'!BU58</f>
        <v>0</v>
      </c>
      <c r="H54">
        <f>'D2 - Capex uso'!BV58</f>
        <v>0</v>
      </c>
      <c r="I54">
        <f>'D2 - Capex uso'!BW58</f>
        <v>0</v>
      </c>
      <c r="J54">
        <f>'D2 - Capex uso'!BX58</f>
        <v>0</v>
      </c>
      <c r="K54">
        <f>'D2 - Capex uso'!BY58</f>
        <v>0</v>
      </c>
      <c r="L54">
        <f>'D2 - Capex uso'!BZ58</f>
        <v>0</v>
      </c>
      <c r="M54">
        <f>'D2 - Capex uso'!CA58</f>
        <v>0</v>
      </c>
      <c r="N54">
        <f>'D2 - Capex uso'!CB58</f>
        <v>0</v>
      </c>
      <c r="O54">
        <f>'D2 - Capex uso'!CC58</f>
        <v>20350.000000000004</v>
      </c>
      <c r="P54">
        <f>'D2 - Capex uso'!CD58</f>
        <v>0</v>
      </c>
      <c r="Q54">
        <f>'D2 - Capex uso'!CE58</f>
        <v>0</v>
      </c>
      <c r="R54">
        <f>'D2 - Capex uso'!CF58</f>
        <v>0</v>
      </c>
      <c r="S54">
        <f>'D2 - Capex uso'!CG58</f>
        <v>0</v>
      </c>
      <c r="T54">
        <f>'D2 - Capex uso'!CH58</f>
        <v>0</v>
      </c>
      <c r="U54">
        <f>'D2 - Capex uso'!CI58</f>
        <v>0</v>
      </c>
      <c r="V54">
        <f>'D2 - Capex uso'!CJ58</f>
        <v>0</v>
      </c>
      <c r="W54">
        <f>'D2 - Capex uso'!CK58</f>
        <v>0</v>
      </c>
      <c r="X54">
        <f>'D2 - Capex uso'!CL58</f>
        <v>0</v>
      </c>
      <c r="Y54">
        <f>'D2 - Capex uso'!CM58</f>
        <v>20350.000000000004</v>
      </c>
      <c r="Z54">
        <f>'D2 - Capex uso'!CN58</f>
        <v>0</v>
      </c>
      <c r="AA54">
        <f>'D2 - Capex uso'!CO58</f>
        <v>0</v>
      </c>
      <c r="AB54">
        <f>'D2 - Capex uso'!CP58</f>
        <v>0</v>
      </c>
      <c r="AC54">
        <f>'D2 - Capex uso'!CQ58</f>
        <v>0</v>
      </c>
      <c r="AD54">
        <f>'D2 - Capex uso'!CR58</f>
        <v>0</v>
      </c>
      <c r="AE54">
        <f>'D2 - Capex uso'!CS58</f>
        <v>0</v>
      </c>
      <c r="AF54">
        <f>'D2 - Capex uso'!CT58</f>
        <v>0</v>
      </c>
      <c r="AG54">
        <f>'D2 - Capex uso'!CU58</f>
        <v>0</v>
      </c>
      <c r="AH54">
        <f>'D2 - Capex uso'!CV58</f>
        <v>0</v>
      </c>
      <c r="AI54">
        <f t="shared" si="0"/>
        <v>61050.000000000015</v>
      </c>
    </row>
    <row r="55" spans="1:35">
      <c r="A55" t="str">
        <f>'D2 - Capex uso'!A59</f>
        <v>Construção em madeira com fechamento de madeira</v>
      </c>
      <c r="B55" t="str">
        <f>'D2 - Capex uso'!B59</f>
        <v>Operacional</v>
      </c>
      <c r="C55" t="str">
        <f>'D2 - Capex uso'!C59</f>
        <v>Pedra Furada - Alimentação</v>
      </c>
      <c r="D55" t="str">
        <f>'D2 - Capex uso'!AK59</f>
        <v>Edificações</v>
      </c>
      <c r="E55">
        <f>'D2 - Capex uso'!BS59</f>
        <v>42706.62</v>
      </c>
      <c r="F55">
        <f>'D2 - Capex uso'!BT59</f>
        <v>0</v>
      </c>
      <c r="G55">
        <f>'D2 - Capex uso'!BU59</f>
        <v>0</v>
      </c>
      <c r="H55">
        <f>'D2 - Capex uso'!BV59</f>
        <v>0</v>
      </c>
      <c r="I55">
        <f>'D2 - Capex uso'!BW59</f>
        <v>0</v>
      </c>
      <c r="J55">
        <f>'D2 - Capex uso'!BX59</f>
        <v>0</v>
      </c>
      <c r="K55">
        <f>'D2 - Capex uso'!BY59</f>
        <v>0</v>
      </c>
      <c r="L55">
        <f>'D2 - Capex uso'!BZ59</f>
        <v>0</v>
      </c>
      <c r="M55">
        <f>'D2 - Capex uso'!CA59</f>
        <v>0</v>
      </c>
      <c r="N55">
        <f>'D2 - Capex uso'!CB59</f>
        <v>0</v>
      </c>
      <c r="O55">
        <f>'D2 - Capex uso'!CC59</f>
        <v>0</v>
      </c>
      <c r="P55">
        <f>'D2 - Capex uso'!CD59</f>
        <v>0</v>
      </c>
      <c r="Q55">
        <f>'D2 - Capex uso'!CE59</f>
        <v>0</v>
      </c>
      <c r="R55">
        <f>'D2 - Capex uso'!CF59</f>
        <v>0</v>
      </c>
      <c r="S55">
        <f>'D2 - Capex uso'!CG59</f>
        <v>0</v>
      </c>
      <c r="T55">
        <f>'D2 - Capex uso'!CH59</f>
        <v>0</v>
      </c>
      <c r="U55">
        <f>'D2 - Capex uso'!CI59</f>
        <v>0</v>
      </c>
      <c r="V55">
        <f>'D2 - Capex uso'!CJ59</f>
        <v>0</v>
      </c>
      <c r="W55">
        <f>'D2 - Capex uso'!CK59</f>
        <v>0</v>
      </c>
      <c r="X55">
        <f>'D2 - Capex uso'!CL59</f>
        <v>0</v>
      </c>
      <c r="Y55">
        <f>'D2 - Capex uso'!CM59</f>
        <v>0</v>
      </c>
      <c r="Z55">
        <f>'D2 - Capex uso'!CN59</f>
        <v>0</v>
      </c>
      <c r="AA55">
        <f>'D2 - Capex uso'!CO59</f>
        <v>0</v>
      </c>
      <c r="AB55">
        <f>'D2 - Capex uso'!CP59</f>
        <v>0</v>
      </c>
      <c r="AC55">
        <f>'D2 - Capex uso'!CQ59</f>
        <v>0</v>
      </c>
      <c r="AD55">
        <f>'D2 - Capex uso'!CR59</f>
        <v>0</v>
      </c>
      <c r="AE55">
        <f>'D2 - Capex uso'!CS59</f>
        <v>0</v>
      </c>
      <c r="AF55">
        <f>'D2 - Capex uso'!CT59</f>
        <v>0</v>
      </c>
      <c r="AG55">
        <f>'D2 - Capex uso'!CU59</f>
        <v>0</v>
      </c>
      <c r="AH55">
        <f>'D2 - Capex uso'!CV59</f>
        <v>0</v>
      </c>
      <c r="AI55">
        <f t="shared" si="0"/>
        <v>42706.62</v>
      </c>
    </row>
    <row r="56" spans="1:35">
      <c r="A56" t="str">
        <f>'D2 - Capex uso'!A60</f>
        <v>Sinalização vertical</v>
      </c>
      <c r="B56" t="str">
        <f>'D2 - Capex uso'!B60</f>
        <v>Operacional</v>
      </c>
      <c r="C56" t="str">
        <f>'D2 - Capex uso'!C60</f>
        <v>Pedra Furada - Alimentação</v>
      </c>
      <c r="D56" t="str">
        <f>'D2 - Capex uso'!AK60</f>
        <v>Infraestrutura</v>
      </c>
      <c r="E56">
        <f>'D2 - Capex uso'!BS60</f>
        <v>5280.0000000000009</v>
      </c>
      <c r="F56">
        <f>'D2 - Capex uso'!BT60</f>
        <v>0</v>
      </c>
      <c r="G56">
        <f>'D2 - Capex uso'!BU60</f>
        <v>0</v>
      </c>
      <c r="H56">
        <f>'D2 - Capex uso'!BV60</f>
        <v>0</v>
      </c>
      <c r="I56">
        <f>'D2 - Capex uso'!BW60</f>
        <v>0</v>
      </c>
      <c r="J56">
        <f>'D2 - Capex uso'!BX60</f>
        <v>0</v>
      </c>
      <c r="K56">
        <f>'D2 - Capex uso'!BY60</f>
        <v>0</v>
      </c>
      <c r="L56">
        <f>'D2 - Capex uso'!BZ60</f>
        <v>0</v>
      </c>
      <c r="M56">
        <f>'D2 - Capex uso'!CA60</f>
        <v>0</v>
      </c>
      <c r="N56">
        <f>'D2 - Capex uso'!CB60</f>
        <v>0</v>
      </c>
      <c r="O56">
        <f>'D2 - Capex uso'!CC60</f>
        <v>5280.0000000000009</v>
      </c>
      <c r="P56">
        <f>'D2 - Capex uso'!CD60</f>
        <v>0</v>
      </c>
      <c r="Q56">
        <f>'D2 - Capex uso'!CE60</f>
        <v>0</v>
      </c>
      <c r="R56">
        <f>'D2 - Capex uso'!CF60</f>
        <v>0</v>
      </c>
      <c r="S56">
        <f>'D2 - Capex uso'!CG60</f>
        <v>0</v>
      </c>
      <c r="T56">
        <f>'D2 - Capex uso'!CH60</f>
        <v>0</v>
      </c>
      <c r="U56">
        <f>'D2 - Capex uso'!CI60</f>
        <v>0</v>
      </c>
      <c r="V56">
        <f>'D2 - Capex uso'!CJ60</f>
        <v>0</v>
      </c>
      <c r="W56">
        <f>'D2 - Capex uso'!CK60</f>
        <v>0</v>
      </c>
      <c r="X56">
        <f>'D2 - Capex uso'!CL60</f>
        <v>0</v>
      </c>
      <c r="Y56">
        <f>'D2 - Capex uso'!CM60</f>
        <v>5280.0000000000009</v>
      </c>
      <c r="Z56">
        <f>'D2 - Capex uso'!CN60</f>
        <v>0</v>
      </c>
      <c r="AA56">
        <f>'D2 - Capex uso'!CO60</f>
        <v>0</v>
      </c>
      <c r="AB56">
        <f>'D2 - Capex uso'!CP60</f>
        <v>0</v>
      </c>
      <c r="AC56">
        <f>'D2 - Capex uso'!CQ60</f>
        <v>0</v>
      </c>
      <c r="AD56">
        <f>'D2 - Capex uso'!CR60</f>
        <v>0</v>
      </c>
      <c r="AE56">
        <f>'D2 - Capex uso'!CS60</f>
        <v>0</v>
      </c>
      <c r="AF56">
        <f>'D2 - Capex uso'!CT60</f>
        <v>0</v>
      </c>
      <c r="AG56">
        <f>'D2 - Capex uso'!CU60</f>
        <v>0</v>
      </c>
      <c r="AH56">
        <f>'D2 - Capex uso'!CV60</f>
        <v>0</v>
      </c>
      <c r="AI56">
        <f t="shared" si="0"/>
        <v>15840.000000000004</v>
      </c>
    </row>
    <row r="57" spans="1:35">
      <c r="A57" t="str">
        <f>'D2 - Capex uso'!A61</f>
        <v>Montagem restaurante/lanchonete</v>
      </c>
      <c r="B57" t="str">
        <f>'D2 - Capex uso'!B61</f>
        <v>Operacional</v>
      </c>
      <c r="C57" t="str">
        <f>'D2 - Capex uso'!C61</f>
        <v>Pedra Furada - Alimentação</v>
      </c>
      <c r="D57" t="str">
        <f>'D2 - Capex uso'!AK61</f>
        <v>Equipamentos e instalações</v>
      </c>
      <c r="E57">
        <f>'D2 - Capex uso'!BS61</f>
        <v>91821.707999999999</v>
      </c>
      <c r="F57">
        <f>'D2 - Capex uso'!BT61</f>
        <v>0</v>
      </c>
      <c r="G57">
        <f>'D2 - Capex uso'!BU61</f>
        <v>0</v>
      </c>
      <c r="H57">
        <f>'D2 - Capex uso'!BV61</f>
        <v>0</v>
      </c>
      <c r="I57">
        <f>'D2 - Capex uso'!BW61</f>
        <v>0</v>
      </c>
      <c r="J57">
        <f>'D2 - Capex uso'!BX61</f>
        <v>0</v>
      </c>
      <c r="K57">
        <f>'D2 - Capex uso'!BY61</f>
        <v>0</v>
      </c>
      <c r="L57">
        <f>'D2 - Capex uso'!BZ61</f>
        <v>0</v>
      </c>
      <c r="M57">
        <f>'D2 - Capex uso'!CA61</f>
        <v>0</v>
      </c>
      <c r="N57">
        <f>'D2 - Capex uso'!CB61</f>
        <v>0</v>
      </c>
      <c r="O57">
        <f>'D2 - Capex uso'!CC61</f>
        <v>91821.707999999999</v>
      </c>
      <c r="P57">
        <f>'D2 - Capex uso'!CD61</f>
        <v>0</v>
      </c>
      <c r="Q57">
        <f>'D2 - Capex uso'!CE61</f>
        <v>0</v>
      </c>
      <c r="R57">
        <f>'D2 - Capex uso'!CF61</f>
        <v>0</v>
      </c>
      <c r="S57">
        <f>'D2 - Capex uso'!CG61</f>
        <v>0</v>
      </c>
      <c r="T57">
        <f>'D2 - Capex uso'!CH61</f>
        <v>0</v>
      </c>
      <c r="U57">
        <f>'D2 - Capex uso'!CI61</f>
        <v>0</v>
      </c>
      <c r="V57">
        <f>'D2 - Capex uso'!CJ61</f>
        <v>0</v>
      </c>
      <c r="W57">
        <f>'D2 - Capex uso'!CK61</f>
        <v>0</v>
      </c>
      <c r="X57">
        <f>'D2 - Capex uso'!CL61</f>
        <v>0</v>
      </c>
      <c r="Y57">
        <f>'D2 - Capex uso'!CM61</f>
        <v>91821.707999999999</v>
      </c>
      <c r="Z57">
        <f>'D2 - Capex uso'!CN61</f>
        <v>0</v>
      </c>
      <c r="AA57">
        <f>'D2 - Capex uso'!CO61</f>
        <v>0</v>
      </c>
      <c r="AB57">
        <f>'D2 - Capex uso'!CP61</f>
        <v>0</v>
      </c>
      <c r="AC57">
        <f>'D2 - Capex uso'!CQ61</f>
        <v>0</v>
      </c>
      <c r="AD57">
        <f>'D2 - Capex uso'!CR61</f>
        <v>0</v>
      </c>
      <c r="AE57">
        <f>'D2 - Capex uso'!CS61</f>
        <v>0</v>
      </c>
      <c r="AF57">
        <f>'D2 - Capex uso'!CT61</f>
        <v>0</v>
      </c>
      <c r="AG57">
        <f>'D2 - Capex uso'!CU61</f>
        <v>0</v>
      </c>
      <c r="AH57">
        <f>'D2 - Capex uso'!CV61</f>
        <v>0</v>
      </c>
      <c r="AI57">
        <f t="shared" si="0"/>
        <v>275465.12400000001</v>
      </c>
    </row>
    <row r="58" spans="1:35">
      <c r="A58" t="str">
        <f>'D2 - Capex uso'!A62</f>
        <v>Montagem restaurante/lanchonete</v>
      </c>
      <c r="B58" t="str">
        <f>'D2 - Capex uso'!B62</f>
        <v>Operacional</v>
      </c>
      <c r="C58" t="str">
        <f>'D2 - Capex uso'!C62</f>
        <v>Pedra Furada - Alimentação</v>
      </c>
      <c r="D58" t="str">
        <f>'D2 - Capex uso'!AK62</f>
        <v>Equipamentos e instalações</v>
      </c>
      <c r="E58">
        <f>'D2 - Capex uso'!BS62</f>
        <v>15303.618</v>
      </c>
      <c r="F58">
        <f>'D2 - Capex uso'!BT62</f>
        <v>0</v>
      </c>
      <c r="G58">
        <f>'D2 - Capex uso'!BU62</f>
        <v>0</v>
      </c>
      <c r="H58">
        <f>'D2 - Capex uso'!BV62</f>
        <v>0</v>
      </c>
      <c r="I58">
        <f>'D2 - Capex uso'!BW62</f>
        <v>0</v>
      </c>
      <c r="J58">
        <f>'D2 - Capex uso'!BX62</f>
        <v>0</v>
      </c>
      <c r="K58">
        <f>'D2 - Capex uso'!BY62</f>
        <v>0</v>
      </c>
      <c r="L58">
        <f>'D2 - Capex uso'!BZ62</f>
        <v>0</v>
      </c>
      <c r="M58">
        <f>'D2 - Capex uso'!CA62</f>
        <v>0</v>
      </c>
      <c r="N58">
        <f>'D2 - Capex uso'!CB62</f>
        <v>0</v>
      </c>
      <c r="O58">
        <f>'D2 - Capex uso'!CC62</f>
        <v>15303.618</v>
      </c>
      <c r="P58">
        <f>'D2 - Capex uso'!CD62</f>
        <v>0</v>
      </c>
      <c r="Q58">
        <f>'D2 - Capex uso'!CE62</f>
        <v>0</v>
      </c>
      <c r="R58">
        <f>'D2 - Capex uso'!CF62</f>
        <v>0</v>
      </c>
      <c r="S58">
        <f>'D2 - Capex uso'!CG62</f>
        <v>0</v>
      </c>
      <c r="T58">
        <f>'D2 - Capex uso'!CH62</f>
        <v>0</v>
      </c>
      <c r="U58">
        <f>'D2 - Capex uso'!CI62</f>
        <v>0</v>
      </c>
      <c r="V58">
        <f>'D2 - Capex uso'!CJ62</f>
        <v>0</v>
      </c>
      <c r="W58">
        <f>'D2 - Capex uso'!CK62</f>
        <v>0</v>
      </c>
      <c r="X58">
        <f>'D2 - Capex uso'!CL62</f>
        <v>0</v>
      </c>
      <c r="Y58">
        <f>'D2 - Capex uso'!CM62</f>
        <v>15303.618</v>
      </c>
      <c r="Z58">
        <f>'D2 - Capex uso'!CN62</f>
        <v>0</v>
      </c>
      <c r="AA58">
        <f>'D2 - Capex uso'!CO62</f>
        <v>0</v>
      </c>
      <c r="AB58">
        <f>'D2 - Capex uso'!CP62</f>
        <v>0</v>
      </c>
      <c r="AC58">
        <f>'D2 - Capex uso'!CQ62</f>
        <v>0</v>
      </c>
      <c r="AD58">
        <f>'D2 - Capex uso'!CR62</f>
        <v>0</v>
      </c>
      <c r="AE58">
        <f>'D2 - Capex uso'!CS62</f>
        <v>0</v>
      </c>
      <c r="AF58">
        <f>'D2 - Capex uso'!CT62</f>
        <v>0</v>
      </c>
      <c r="AG58">
        <f>'D2 - Capex uso'!CU62</f>
        <v>0</v>
      </c>
      <c r="AH58">
        <f>'D2 - Capex uso'!CV62</f>
        <v>0</v>
      </c>
      <c r="AI58">
        <f t="shared" si="0"/>
        <v>45910.853999999999</v>
      </c>
    </row>
    <row r="59" spans="1:35">
      <c r="A59" t="str">
        <f>'D2 - Capex uso'!A63</f>
        <v>Construção em madeira com fechamento de madeira</v>
      </c>
      <c r="B59" t="str">
        <f>'D2 - Capex uso'!B63</f>
        <v>Operacional</v>
      </c>
      <c r="C59" t="str">
        <f>'D2 - Capex uso'!C63</f>
        <v>Preá - Alimentação</v>
      </c>
      <c r="D59" t="str">
        <f>'D2 - Capex uso'!AK63</f>
        <v>Edificações</v>
      </c>
      <c r="E59">
        <f>'D2 - Capex uso'!BS63</f>
        <v>151845.76000000001</v>
      </c>
      <c r="F59">
        <f>'D2 - Capex uso'!BT63</f>
        <v>0</v>
      </c>
      <c r="G59">
        <f>'D2 - Capex uso'!BU63</f>
        <v>0</v>
      </c>
      <c r="H59">
        <f>'D2 - Capex uso'!BV63</f>
        <v>0</v>
      </c>
      <c r="I59">
        <f>'D2 - Capex uso'!BW63</f>
        <v>0</v>
      </c>
      <c r="J59">
        <f>'D2 - Capex uso'!BX63</f>
        <v>0</v>
      </c>
      <c r="K59">
        <f>'D2 - Capex uso'!BY63</f>
        <v>0</v>
      </c>
      <c r="L59">
        <f>'D2 - Capex uso'!BZ63</f>
        <v>0</v>
      </c>
      <c r="M59">
        <f>'D2 - Capex uso'!CA63</f>
        <v>0</v>
      </c>
      <c r="N59">
        <f>'D2 - Capex uso'!CB63</f>
        <v>0</v>
      </c>
      <c r="O59">
        <f>'D2 - Capex uso'!CC63</f>
        <v>0</v>
      </c>
      <c r="P59">
        <f>'D2 - Capex uso'!CD63</f>
        <v>0</v>
      </c>
      <c r="Q59">
        <f>'D2 - Capex uso'!CE63</f>
        <v>0</v>
      </c>
      <c r="R59">
        <f>'D2 - Capex uso'!CF63</f>
        <v>0</v>
      </c>
      <c r="S59">
        <f>'D2 - Capex uso'!CG63</f>
        <v>0</v>
      </c>
      <c r="T59">
        <f>'D2 - Capex uso'!CH63</f>
        <v>0</v>
      </c>
      <c r="U59">
        <f>'D2 - Capex uso'!CI63</f>
        <v>0</v>
      </c>
      <c r="V59">
        <f>'D2 - Capex uso'!CJ63</f>
        <v>0</v>
      </c>
      <c r="W59">
        <f>'D2 - Capex uso'!CK63</f>
        <v>0</v>
      </c>
      <c r="X59">
        <f>'D2 - Capex uso'!CL63</f>
        <v>0</v>
      </c>
      <c r="Y59">
        <f>'D2 - Capex uso'!CM63</f>
        <v>0</v>
      </c>
      <c r="Z59">
        <f>'D2 - Capex uso'!CN63</f>
        <v>0</v>
      </c>
      <c r="AA59">
        <f>'D2 - Capex uso'!CO63</f>
        <v>0</v>
      </c>
      <c r="AB59">
        <f>'D2 - Capex uso'!CP63</f>
        <v>0</v>
      </c>
      <c r="AC59">
        <f>'D2 - Capex uso'!CQ63</f>
        <v>0</v>
      </c>
      <c r="AD59">
        <f>'D2 - Capex uso'!CR63</f>
        <v>0</v>
      </c>
      <c r="AE59">
        <f>'D2 - Capex uso'!CS63</f>
        <v>0</v>
      </c>
      <c r="AF59">
        <f>'D2 - Capex uso'!CT63</f>
        <v>0</v>
      </c>
      <c r="AG59">
        <f>'D2 - Capex uso'!CU63</f>
        <v>0</v>
      </c>
      <c r="AH59">
        <f>'D2 - Capex uso'!CV63</f>
        <v>0</v>
      </c>
      <c r="AI59">
        <f t="shared" si="0"/>
        <v>151845.76000000001</v>
      </c>
    </row>
    <row r="60" spans="1:35">
      <c r="A60" t="str">
        <f>'D2 - Capex uso'!A64</f>
        <v>Montagem restaurante/lanchonete</v>
      </c>
      <c r="B60" t="str">
        <f>'D2 - Capex uso'!B64</f>
        <v>Operacional</v>
      </c>
      <c r="C60" t="str">
        <f>'D2 - Capex uso'!C64</f>
        <v>Preá - Alimentação</v>
      </c>
      <c r="D60" t="str">
        <f>'D2 - Capex uso'!AK64</f>
        <v>Equipamentos e instalações</v>
      </c>
      <c r="E60">
        <f>'D2 - Capex uso'!BS64</f>
        <v>326477.18400000001</v>
      </c>
      <c r="F60">
        <f>'D2 - Capex uso'!BT64</f>
        <v>0</v>
      </c>
      <c r="G60">
        <f>'D2 - Capex uso'!BU64</f>
        <v>0</v>
      </c>
      <c r="H60">
        <f>'D2 - Capex uso'!BV64</f>
        <v>0</v>
      </c>
      <c r="I60">
        <f>'D2 - Capex uso'!BW64</f>
        <v>0</v>
      </c>
      <c r="J60">
        <f>'D2 - Capex uso'!BX64</f>
        <v>0</v>
      </c>
      <c r="K60">
        <f>'D2 - Capex uso'!BY64</f>
        <v>0</v>
      </c>
      <c r="L60">
        <f>'D2 - Capex uso'!BZ64</f>
        <v>0</v>
      </c>
      <c r="M60">
        <f>'D2 - Capex uso'!CA64</f>
        <v>0</v>
      </c>
      <c r="N60">
        <f>'D2 - Capex uso'!CB64</f>
        <v>0</v>
      </c>
      <c r="O60">
        <f>'D2 - Capex uso'!CC64</f>
        <v>326477.18400000001</v>
      </c>
      <c r="P60">
        <f>'D2 - Capex uso'!CD64</f>
        <v>0</v>
      </c>
      <c r="Q60">
        <f>'D2 - Capex uso'!CE64</f>
        <v>0</v>
      </c>
      <c r="R60">
        <f>'D2 - Capex uso'!CF64</f>
        <v>0</v>
      </c>
      <c r="S60">
        <f>'D2 - Capex uso'!CG64</f>
        <v>0</v>
      </c>
      <c r="T60">
        <f>'D2 - Capex uso'!CH64</f>
        <v>0</v>
      </c>
      <c r="U60">
        <f>'D2 - Capex uso'!CI64</f>
        <v>0</v>
      </c>
      <c r="V60">
        <f>'D2 - Capex uso'!CJ64</f>
        <v>0</v>
      </c>
      <c r="W60">
        <f>'D2 - Capex uso'!CK64</f>
        <v>0</v>
      </c>
      <c r="X60">
        <f>'D2 - Capex uso'!CL64</f>
        <v>0</v>
      </c>
      <c r="Y60">
        <f>'D2 - Capex uso'!CM64</f>
        <v>326477.18400000001</v>
      </c>
      <c r="Z60">
        <f>'D2 - Capex uso'!CN64</f>
        <v>0</v>
      </c>
      <c r="AA60">
        <f>'D2 - Capex uso'!CO64</f>
        <v>0</v>
      </c>
      <c r="AB60">
        <f>'D2 - Capex uso'!CP64</f>
        <v>0</v>
      </c>
      <c r="AC60">
        <f>'D2 - Capex uso'!CQ64</f>
        <v>0</v>
      </c>
      <c r="AD60">
        <f>'D2 - Capex uso'!CR64</f>
        <v>0</v>
      </c>
      <c r="AE60">
        <f>'D2 - Capex uso'!CS64</f>
        <v>0</v>
      </c>
      <c r="AF60">
        <f>'D2 - Capex uso'!CT64</f>
        <v>0</v>
      </c>
      <c r="AG60">
        <f>'D2 - Capex uso'!CU64</f>
        <v>0</v>
      </c>
      <c r="AH60">
        <f>'D2 - Capex uso'!CV64</f>
        <v>0</v>
      </c>
      <c r="AI60">
        <f t="shared" si="0"/>
        <v>979431.55200000003</v>
      </c>
    </row>
    <row r="61" spans="1:35">
      <c r="A61" t="str">
        <f>'D2 - Capex uso'!A65</f>
        <v>Construção em madeira com fechamento de madeira</v>
      </c>
      <c r="B61" t="str">
        <f>'D2 - Capex uso'!B65</f>
        <v>Operacional</v>
      </c>
      <c r="C61" t="str">
        <f>'D2 - Capex uso'!C65</f>
        <v>Preá - Comércio</v>
      </c>
      <c r="D61" t="str">
        <f>'D2 - Capex uso'!AK65</f>
        <v>Edificações</v>
      </c>
      <c r="E61">
        <f>'D2 - Capex uso'!BS65</f>
        <v>109139.14000000001</v>
      </c>
      <c r="F61">
        <f>'D2 - Capex uso'!BT65</f>
        <v>0</v>
      </c>
      <c r="G61">
        <f>'D2 - Capex uso'!BU65</f>
        <v>0</v>
      </c>
      <c r="H61">
        <f>'D2 - Capex uso'!BV65</f>
        <v>0</v>
      </c>
      <c r="I61">
        <f>'D2 - Capex uso'!BW65</f>
        <v>0</v>
      </c>
      <c r="J61">
        <f>'D2 - Capex uso'!BX65</f>
        <v>0</v>
      </c>
      <c r="K61">
        <f>'D2 - Capex uso'!BY65</f>
        <v>0</v>
      </c>
      <c r="L61">
        <f>'D2 - Capex uso'!BZ65</f>
        <v>0</v>
      </c>
      <c r="M61">
        <f>'D2 - Capex uso'!CA65</f>
        <v>0</v>
      </c>
      <c r="N61">
        <f>'D2 - Capex uso'!CB65</f>
        <v>0</v>
      </c>
      <c r="O61">
        <f>'D2 - Capex uso'!CC65</f>
        <v>0</v>
      </c>
      <c r="P61">
        <f>'D2 - Capex uso'!CD65</f>
        <v>0</v>
      </c>
      <c r="Q61">
        <f>'D2 - Capex uso'!CE65</f>
        <v>0</v>
      </c>
      <c r="R61">
        <f>'D2 - Capex uso'!CF65</f>
        <v>0</v>
      </c>
      <c r="S61">
        <f>'D2 - Capex uso'!CG65</f>
        <v>0</v>
      </c>
      <c r="T61">
        <f>'D2 - Capex uso'!CH65</f>
        <v>0</v>
      </c>
      <c r="U61">
        <f>'D2 - Capex uso'!CI65</f>
        <v>0</v>
      </c>
      <c r="V61">
        <f>'D2 - Capex uso'!CJ65</f>
        <v>0</v>
      </c>
      <c r="W61">
        <f>'D2 - Capex uso'!CK65</f>
        <v>0</v>
      </c>
      <c r="X61">
        <f>'D2 - Capex uso'!CL65</f>
        <v>0</v>
      </c>
      <c r="Y61">
        <f>'D2 - Capex uso'!CM65</f>
        <v>0</v>
      </c>
      <c r="Z61">
        <f>'D2 - Capex uso'!CN65</f>
        <v>0</v>
      </c>
      <c r="AA61">
        <f>'D2 - Capex uso'!CO65</f>
        <v>0</v>
      </c>
      <c r="AB61">
        <f>'D2 - Capex uso'!CP65</f>
        <v>0</v>
      </c>
      <c r="AC61">
        <f>'D2 - Capex uso'!CQ65</f>
        <v>0</v>
      </c>
      <c r="AD61">
        <f>'D2 - Capex uso'!CR65</f>
        <v>0</v>
      </c>
      <c r="AE61">
        <f>'D2 - Capex uso'!CS65</f>
        <v>0</v>
      </c>
      <c r="AF61">
        <f>'D2 - Capex uso'!CT65</f>
        <v>0</v>
      </c>
      <c r="AG61">
        <f>'D2 - Capex uso'!CU65</f>
        <v>0</v>
      </c>
      <c r="AH61">
        <f>'D2 - Capex uso'!CV65</f>
        <v>0</v>
      </c>
      <c r="AI61">
        <f t="shared" si="0"/>
        <v>109139.14000000001</v>
      </c>
    </row>
    <row r="62" spans="1:35">
      <c r="A62" t="str">
        <f>'D2 - Capex uso'!A66</f>
        <v>Sinalização vertical</v>
      </c>
      <c r="B62" t="str">
        <f>'D2 - Capex uso'!B66</f>
        <v>Operacional</v>
      </c>
      <c r="C62" t="str">
        <f>'D2 - Capex uso'!C66</f>
        <v>Preá - Comércio</v>
      </c>
      <c r="D62" t="str">
        <f>'D2 - Capex uso'!AK66</f>
        <v>Infraestrutura</v>
      </c>
      <c r="E62">
        <f>'D2 - Capex uso'!BS66</f>
        <v>3520.0000000000005</v>
      </c>
      <c r="F62">
        <f>'D2 - Capex uso'!BT66</f>
        <v>0</v>
      </c>
      <c r="G62">
        <f>'D2 - Capex uso'!BU66</f>
        <v>0</v>
      </c>
      <c r="H62">
        <f>'D2 - Capex uso'!BV66</f>
        <v>0</v>
      </c>
      <c r="I62">
        <f>'D2 - Capex uso'!BW66</f>
        <v>0</v>
      </c>
      <c r="J62">
        <f>'D2 - Capex uso'!BX66</f>
        <v>0</v>
      </c>
      <c r="K62">
        <f>'D2 - Capex uso'!BY66</f>
        <v>0</v>
      </c>
      <c r="L62">
        <f>'D2 - Capex uso'!BZ66</f>
        <v>0</v>
      </c>
      <c r="M62">
        <f>'D2 - Capex uso'!CA66</f>
        <v>0</v>
      </c>
      <c r="N62">
        <f>'D2 - Capex uso'!CB66</f>
        <v>0</v>
      </c>
      <c r="O62">
        <f>'D2 - Capex uso'!CC66</f>
        <v>3520.0000000000005</v>
      </c>
      <c r="P62">
        <f>'D2 - Capex uso'!CD66</f>
        <v>0</v>
      </c>
      <c r="Q62">
        <f>'D2 - Capex uso'!CE66</f>
        <v>0</v>
      </c>
      <c r="R62">
        <f>'D2 - Capex uso'!CF66</f>
        <v>0</v>
      </c>
      <c r="S62">
        <f>'D2 - Capex uso'!CG66</f>
        <v>0</v>
      </c>
      <c r="T62">
        <f>'D2 - Capex uso'!CH66</f>
        <v>0</v>
      </c>
      <c r="U62">
        <f>'D2 - Capex uso'!CI66</f>
        <v>0</v>
      </c>
      <c r="V62">
        <f>'D2 - Capex uso'!CJ66</f>
        <v>0</v>
      </c>
      <c r="W62">
        <f>'D2 - Capex uso'!CK66</f>
        <v>0</v>
      </c>
      <c r="X62">
        <f>'D2 - Capex uso'!CL66</f>
        <v>0</v>
      </c>
      <c r="Y62">
        <f>'D2 - Capex uso'!CM66</f>
        <v>3520.0000000000005</v>
      </c>
      <c r="Z62">
        <f>'D2 - Capex uso'!CN66</f>
        <v>0</v>
      </c>
      <c r="AA62">
        <f>'D2 - Capex uso'!CO66</f>
        <v>0</v>
      </c>
      <c r="AB62">
        <f>'D2 - Capex uso'!CP66</f>
        <v>0</v>
      </c>
      <c r="AC62">
        <f>'D2 - Capex uso'!CQ66</f>
        <v>0</v>
      </c>
      <c r="AD62">
        <f>'D2 - Capex uso'!CR66</f>
        <v>0</v>
      </c>
      <c r="AE62">
        <f>'D2 - Capex uso'!CS66</f>
        <v>0</v>
      </c>
      <c r="AF62">
        <f>'D2 - Capex uso'!CT66</f>
        <v>0</v>
      </c>
      <c r="AG62">
        <f>'D2 - Capex uso'!CU66</f>
        <v>0</v>
      </c>
      <c r="AH62">
        <f>'D2 - Capex uso'!CV66</f>
        <v>0</v>
      </c>
      <c r="AI62">
        <f t="shared" si="0"/>
        <v>10560.000000000002</v>
      </c>
    </row>
    <row r="63" spans="1:35">
      <c r="A63" t="str">
        <f>'D2 - Capex uso'!A67</f>
        <v>Montagem loja</v>
      </c>
      <c r="B63" t="str">
        <f>'D2 - Capex uso'!B67</f>
        <v>Operacional</v>
      </c>
      <c r="C63" t="str">
        <f>'D2 - Capex uso'!C67</f>
        <v>Preá - Comércio</v>
      </c>
      <c r="D63" t="str">
        <f>'D2 - Capex uso'!AK67</f>
        <v>Equipamentos e instalações</v>
      </c>
      <c r="E63">
        <f>'D2 - Capex uso'!BS67</f>
        <v>322651.40600000002</v>
      </c>
      <c r="F63">
        <f>'D2 - Capex uso'!BT67</f>
        <v>0</v>
      </c>
      <c r="G63">
        <f>'D2 - Capex uso'!BU67</f>
        <v>0</v>
      </c>
      <c r="H63">
        <f>'D2 - Capex uso'!BV67</f>
        <v>0</v>
      </c>
      <c r="I63">
        <f>'D2 - Capex uso'!BW67</f>
        <v>0</v>
      </c>
      <c r="J63">
        <f>'D2 - Capex uso'!BX67</f>
        <v>0</v>
      </c>
      <c r="K63">
        <f>'D2 - Capex uso'!BY67</f>
        <v>0</v>
      </c>
      <c r="L63">
        <f>'D2 - Capex uso'!BZ67</f>
        <v>0</v>
      </c>
      <c r="M63">
        <f>'D2 - Capex uso'!CA67</f>
        <v>0</v>
      </c>
      <c r="N63">
        <f>'D2 - Capex uso'!CB67</f>
        <v>0</v>
      </c>
      <c r="O63">
        <f>'D2 - Capex uso'!CC67</f>
        <v>322651.40600000002</v>
      </c>
      <c r="P63">
        <f>'D2 - Capex uso'!CD67</f>
        <v>0</v>
      </c>
      <c r="Q63">
        <f>'D2 - Capex uso'!CE67</f>
        <v>0</v>
      </c>
      <c r="R63">
        <f>'D2 - Capex uso'!CF67</f>
        <v>0</v>
      </c>
      <c r="S63">
        <f>'D2 - Capex uso'!CG67</f>
        <v>0</v>
      </c>
      <c r="T63">
        <f>'D2 - Capex uso'!CH67</f>
        <v>0</v>
      </c>
      <c r="U63">
        <f>'D2 - Capex uso'!CI67</f>
        <v>0</v>
      </c>
      <c r="V63">
        <f>'D2 - Capex uso'!CJ67</f>
        <v>0</v>
      </c>
      <c r="W63">
        <f>'D2 - Capex uso'!CK67</f>
        <v>0</v>
      </c>
      <c r="X63">
        <f>'D2 - Capex uso'!CL67</f>
        <v>0</v>
      </c>
      <c r="Y63">
        <f>'D2 - Capex uso'!CM67</f>
        <v>322651.40600000002</v>
      </c>
      <c r="Z63">
        <f>'D2 - Capex uso'!CN67</f>
        <v>0</v>
      </c>
      <c r="AA63">
        <f>'D2 - Capex uso'!CO67</f>
        <v>0</v>
      </c>
      <c r="AB63">
        <f>'D2 - Capex uso'!CP67</f>
        <v>0</v>
      </c>
      <c r="AC63">
        <f>'D2 - Capex uso'!CQ67</f>
        <v>0</v>
      </c>
      <c r="AD63">
        <f>'D2 - Capex uso'!CR67</f>
        <v>0</v>
      </c>
      <c r="AE63">
        <f>'D2 - Capex uso'!CS67</f>
        <v>0</v>
      </c>
      <c r="AF63">
        <f>'D2 - Capex uso'!CT67</f>
        <v>0</v>
      </c>
      <c r="AG63">
        <f>'D2 - Capex uso'!CU67</f>
        <v>0</v>
      </c>
      <c r="AH63">
        <f>'D2 - Capex uso'!CV67</f>
        <v>0</v>
      </c>
      <c r="AI63">
        <f t="shared" si="0"/>
        <v>967954.21800000011</v>
      </c>
    </row>
    <row r="64" spans="1:35">
      <c r="A64" t="str">
        <f>'D2 - Capex uso'!A68</f>
        <v>Montagem loja</v>
      </c>
      <c r="B64" t="str">
        <f>'D2 - Capex uso'!B68</f>
        <v>Operacional</v>
      </c>
      <c r="C64" t="str">
        <f>'D2 - Capex uso'!C68</f>
        <v>Preá - Comércio</v>
      </c>
      <c r="D64" t="str">
        <f>'D2 - Capex uso'!AK68</f>
        <v>Equipamentos e instalações</v>
      </c>
      <c r="E64">
        <f>'D2 - Capex uso'!BS68</f>
        <v>14028.322000000002</v>
      </c>
      <c r="F64">
        <f>'D2 - Capex uso'!BT68</f>
        <v>0</v>
      </c>
      <c r="G64">
        <f>'D2 - Capex uso'!BU68</f>
        <v>0</v>
      </c>
      <c r="H64">
        <f>'D2 - Capex uso'!BV68</f>
        <v>0</v>
      </c>
      <c r="I64">
        <f>'D2 - Capex uso'!BW68</f>
        <v>0</v>
      </c>
      <c r="J64">
        <f>'D2 - Capex uso'!BX68</f>
        <v>0</v>
      </c>
      <c r="K64">
        <f>'D2 - Capex uso'!BY68</f>
        <v>0</v>
      </c>
      <c r="L64">
        <f>'D2 - Capex uso'!BZ68</f>
        <v>0</v>
      </c>
      <c r="M64">
        <f>'D2 - Capex uso'!CA68</f>
        <v>0</v>
      </c>
      <c r="N64">
        <f>'D2 - Capex uso'!CB68</f>
        <v>0</v>
      </c>
      <c r="O64">
        <f>'D2 - Capex uso'!CC68</f>
        <v>14028.322000000002</v>
      </c>
      <c r="P64">
        <f>'D2 - Capex uso'!CD68</f>
        <v>0</v>
      </c>
      <c r="Q64">
        <f>'D2 - Capex uso'!CE68</f>
        <v>0</v>
      </c>
      <c r="R64">
        <f>'D2 - Capex uso'!CF68</f>
        <v>0</v>
      </c>
      <c r="S64">
        <f>'D2 - Capex uso'!CG68</f>
        <v>0</v>
      </c>
      <c r="T64">
        <f>'D2 - Capex uso'!CH68</f>
        <v>0</v>
      </c>
      <c r="U64">
        <f>'D2 - Capex uso'!CI68</f>
        <v>0</v>
      </c>
      <c r="V64">
        <f>'D2 - Capex uso'!CJ68</f>
        <v>0</v>
      </c>
      <c r="W64">
        <f>'D2 - Capex uso'!CK68</f>
        <v>0</v>
      </c>
      <c r="X64">
        <f>'D2 - Capex uso'!CL68</f>
        <v>0</v>
      </c>
      <c r="Y64">
        <f>'D2 - Capex uso'!CM68</f>
        <v>14028.322000000002</v>
      </c>
      <c r="Z64">
        <f>'D2 - Capex uso'!CN68</f>
        <v>0</v>
      </c>
      <c r="AA64">
        <f>'D2 - Capex uso'!CO68</f>
        <v>0</v>
      </c>
      <c r="AB64">
        <f>'D2 - Capex uso'!CP68</f>
        <v>0</v>
      </c>
      <c r="AC64">
        <f>'D2 - Capex uso'!CQ68</f>
        <v>0</v>
      </c>
      <c r="AD64">
        <f>'D2 - Capex uso'!CR68</f>
        <v>0</v>
      </c>
      <c r="AE64">
        <f>'D2 - Capex uso'!CS68</f>
        <v>0</v>
      </c>
      <c r="AF64">
        <f>'D2 - Capex uso'!CT68</f>
        <v>0</v>
      </c>
      <c r="AG64">
        <f>'D2 - Capex uso'!CU68</f>
        <v>0</v>
      </c>
      <c r="AH64">
        <f>'D2 - Capex uso'!CV68</f>
        <v>0</v>
      </c>
      <c r="AI64">
        <f t="shared" si="0"/>
        <v>42084.966000000008</v>
      </c>
    </row>
    <row r="65" spans="1:35">
      <c r="A65" t="str">
        <f>'D2 - Capex uso'!A69</f>
        <v>Pavimentação com piso intertravado</v>
      </c>
      <c r="B65" t="str">
        <f>'D2 - Capex uso'!B69</f>
        <v>Operacional</v>
      </c>
      <c r="C65" t="str">
        <f>'D2 - Capex uso'!C69</f>
        <v>Preá - Estacionamento</v>
      </c>
      <c r="D65" t="str">
        <f>'D2 - Capex uso'!AK69</f>
        <v>Infraestrutura</v>
      </c>
      <c r="E65">
        <f>'D2 - Capex uso'!BS69</f>
        <v>526070.60000000009</v>
      </c>
      <c r="F65">
        <f>'D2 - Capex uso'!BT69</f>
        <v>0</v>
      </c>
      <c r="G65">
        <f>'D2 - Capex uso'!BU69</f>
        <v>0</v>
      </c>
      <c r="H65">
        <f>'D2 - Capex uso'!BV69</f>
        <v>0</v>
      </c>
      <c r="I65">
        <f>'D2 - Capex uso'!BW69</f>
        <v>0</v>
      </c>
      <c r="J65">
        <f>'D2 - Capex uso'!BX69</f>
        <v>0</v>
      </c>
      <c r="K65">
        <f>'D2 - Capex uso'!BY69</f>
        <v>0</v>
      </c>
      <c r="L65">
        <f>'D2 - Capex uso'!BZ69</f>
        <v>0</v>
      </c>
      <c r="M65">
        <f>'D2 - Capex uso'!CA69</f>
        <v>0</v>
      </c>
      <c r="N65">
        <f>'D2 - Capex uso'!CB69</f>
        <v>0</v>
      </c>
      <c r="O65">
        <f>'D2 - Capex uso'!CC69</f>
        <v>0</v>
      </c>
      <c r="P65">
        <f>'D2 - Capex uso'!CD69</f>
        <v>0</v>
      </c>
      <c r="Q65">
        <f>'D2 - Capex uso'!CE69</f>
        <v>0</v>
      </c>
      <c r="R65">
        <f>'D2 - Capex uso'!CF69</f>
        <v>0</v>
      </c>
      <c r="S65">
        <f>'D2 - Capex uso'!CG69</f>
        <v>0</v>
      </c>
      <c r="T65">
        <f>'D2 - Capex uso'!CH69</f>
        <v>0</v>
      </c>
      <c r="U65">
        <f>'D2 - Capex uso'!CI69</f>
        <v>0</v>
      </c>
      <c r="V65">
        <f>'D2 - Capex uso'!CJ69</f>
        <v>0</v>
      </c>
      <c r="W65">
        <f>'D2 - Capex uso'!CK69</f>
        <v>0</v>
      </c>
      <c r="X65">
        <f>'D2 - Capex uso'!CL69</f>
        <v>0</v>
      </c>
      <c r="Y65">
        <f>'D2 - Capex uso'!CM69</f>
        <v>0</v>
      </c>
      <c r="Z65">
        <f>'D2 - Capex uso'!CN69</f>
        <v>0</v>
      </c>
      <c r="AA65">
        <f>'D2 - Capex uso'!CO69</f>
        <v>0</v>
      </c>
      <c r="AB65">
        <f>'D2 - Capex uso'!CP69</f>
        <v>0</v>
      </c>
      <c r="AC65">
        <f>'D2 - Capex uso'!CQ69</f>
        <v>0</v>
      </c>
      <c r="AD65">
        <f>'D2 - Capex uso'!CR69</f>
        <v>0</v>
      </c>
      <c r="AE65">
        <f>'D2 - Capex uso'!CS69</f>
        <v>0</v>
      </c>
      <c r="AF65">
        <f>'D2 - Capex uso'!CT69</f>
        <v>0</v>
      </c>
      <c r="AG65">
        <f>'D2 - Capex uso'!CU69</f>
        <v>0</v>
      </c>
      <c r="AH65">
        <f>'D2 - Capex uso'!CV69</f>
        <v>0</v>
      </c>
      <c r="AI65">
        <f t="shared" si="0"/>
        <v>526070.60000000009</v>
      </c>
    </row>
    <row r="66" spans="1:35">
      <c r="A66" t="str">
        <f>'D2 - Capex uso'!A70</f>
        <v>Construção em madeira com fechamento de madeira</v>
      </c>
      <c r="B66" t="str">
        <f>'D2 - Capex uso'!B70</f>
        <v>Operacional</v>
      </c>
      <c r="C66" t="str">
        <f>'D2 - Capex uso'!C70</f>
        <v>Serrote - Alimentação</v>
      </c>
      <c r="D66" t="str">
        <f>'D2 - Capex uso'!AK70</f>
        <v>Edificações</v>
      </c>
      <c r="E66">
        <f>'D2 - Capex uso'!BS70</f>
        <v>104393.96</v>
      </c>
      <c r="F66">
        <f>'D2 - Capex uso'!BT70</f>
        <v>0</v>
      </c>
      <c r="G66">
        <f>'D2 - Capex uso'!BU70</f>
        <v>0</v>
      </c>
      <c r="H66">
        <f>'D2 - Capex uso'!BV70</f>
        <v>0</v>
      </c>
      <c r="I66">
        <f>'D2 - Capex uso'!BW70</f>
        <v>0</v>
      </c>
      <c r="J66">
        <f>'D2 - Capex uso'!BX70</f>
        <v>0</v>
      </c>
      <c r="K66">
        <f>'D2 - Capex uso'!BY70</f>
        <v>0</v>
      </c>
      <c r="L66">
        <f>'D2 - Capex uso'!BZ70</f>
        <v>0</v>
      </c>
      <c r="M66">
        <f>'D2 - Capex uso'!CA70</f>
        <v>0</v>
      </c>
      <c r="N66">
        <f>'D2 - Capex uso'!CB70</f>
        <v>0</v>
      </c>
      <c r="O66">
        <f>'D2 - Capex uso'!CC70</f>
        <v>0</v>
      </c>
      <c r="P66">
        <f>'D2 - Capex uso'!CD70</f>
        <v>0</v>
      </c>
      <c r="Q66">
        <f>'D2 - Capex uso'!CE70</f>
        <v>0</v>
      </c>
      <c r="R66">
        <f>'D2 - Capex uso'!CF70</f>
        <v>0</v>
      </c>
      <c r="S66">
        <f>'D2 - Capex uso'!CG70</f>
        <v>0</v>
      </c>
      <c r="T66">
        <f>'D2 - Capex uso'!CH70</f>
        <v>0</v>
      </c>
      <c r="U66">
        <f>'D2 - Capex uso'!CI70</f>
        <v>0</v>
      </c>
      <c r="V66">
        <f>'D2 - Capex uso'!CJ70</f>
        <v>0</v>
      </c>
      <c r="W66">
        <f>'D2 - Capex uso'!CK70</f>
        <v>0</v>
      </c>
      <c r="X66">
        <f>'D2 - Capex uso'!CL70</f>
        <v>0</v>
      </c>
      <c r="Y66">
        <f>'D2 - Capex uso'!CM70</f>
        <v>0</v>
      </c>
      <c r="Z66">
        <f>'D2 - Capex uso'!CN70</f>
        <v>0</v>
      </c>
      <c r="AA66">
        <f>'D2 - Capex uso'!CO70</f>
        <v>0</v>
      </c>
      <c r="AB66">
        <f>'D2 - Capex uso'!CP70</f>
        <v>0</v>
      </c>
      <c r="AC66">
        <f>'D2 - Capex uso'!CQ70</f>
        <v>0</v>
      </c>
      <c r="AD66">
        <f>'D2 - Capex uso'!CR70</f>
        <v>0</v>
      </c>
      <c r="AE66">
        <f>'D2 - Capex uso'!CS70</f>
        <v>0</v>
      </c>
      <c r="AF66">
        <f>'D2 - Capex uso'!CT70</f>
        <v>0</v>
      </c>
      <c r="AG66">
        <f>'D2 - Capex uso'!CU70</f>
        <v>0</v>
      </c>
      <c r="AH66">
        <f>'D2 - Capex uso'!CV70</f>
        <v>0</v>
      </c>
      <c r="AI66">
        <f t="shared" si="0"/>
        <v>104393.96</v>
      </c>
    </row>
    <row r="67" spans="1:35">
      <c r="A67" t="str">
        <f>'D2 - Capex uso'!A71</f>
        <v>Sinalização vertical</v>
      </c>
      <c r="B67" t="str">
        <f>'D2 - Capex uso'!B71</f>
        <v>Operacional</v>
      </c>
      <c r="C67" t="str">
        <f>'D2 - Capex uso'!C71</f>
        <v>Serrote - Alimentação</v>
      </c>
      <c r="D67" t="str">
        <f>'D2 - Capex uso'!AK71</f>
        <v>Infraestrutura</v>
      </c>
      <c r="E67">
        <f>'D2 - Capex uso'!BS71</f>
        <v>3520.0000000000005</v>
      </c>
      <c r="F67">
        <f>'D2 - Capex uso'!BT71</f>
        <v>0</v>
      </c>
      <c r="G67">
        <f>'D2 - Capex uso'!BU71</f>
        <v>0</v>
      </c>
      <c r="H67">
        <f>'D2 - Capex uso'!BV71</f>
        <v>0</v>
      </c>
      <c r="I67">
        <f>'D2 - Capex uso'!BW71</f>
        <v>0</v>
      </c>
      <c r="J67">
        <f>'D2 - Capex uso'!BX71</f>
        <v>0</v>
      </c>
      <c r="K67">
        <f>'D2 - Capex uso'!BY71</f>
        <v>0</v>
      </c>
      <c r="L67">
        <f>'D2 - Capex uso'!BZ71</f>
        <v>0</v>
      </c>
      <c r="M67">
        <f>'D2 - Capex uso'!CA71</f>
        <v>0</v>
      </c>
      <c r="N67">
        <f>'D2 - Capex uso'!CB71</f>
        <v>0</v>
      </c>
      <c r="O67">
        <f>'D2 - Capex uso'!CC71</f>
        <v>3520.0000000000005</v>
      </c>
      <c r="P67">
        <f>'D2 - Capex uso'!CD71</f>
        <v>0</v>
      </c>
      <c r="Q67">
        <f>'D2 - Capex uso'!CE71</f>
        <v>0</v>
      </c>
      <c r="R67">
        <f>'D2 - Capex uso'!CF71</f>
        <v>0</v>
      </c>
      <c r="S67">
        <f>'D2 - Capex uso'!CG71</f>
        <v>0</v>
      </c>
      <c r="T67">
        <f>'D2 - Capex uso'!CH71</f>
        <v>0</v>
      </c>
      <c r="U67">
        <f>'D2 - Capex uso'!CI71</f>
        <v>0</v>
      </c>
      <c r="V67">
        <f>'D2 - Capex uso'!CJ71</f>
        <v>0</v>
      </c>
      <c r="W67">
        <f>'D2 - Capex uso'!CK71</f>
        <v>0</v>
      </c>
      <c r="X67">
        <f>'D2 - Capex uso'!CL71</f>
        <v>0</v>
      </c>
      <c r="Y67">
        <f>'D2 - Capex uso'!CM71</f>
        <v>3520.0000000000005</v>
      </c>
      <c r="Z67">
        <f>'D2 - Capex uso'!CN71</f>
        <v>0</v>
      </c>
      <c r="AA67">
        <f>'D2 - Capex uso'!CO71</f>
        <v>0</v>
      </c>
      <c r="AB67">
        <f>'D2 - Capex uso'!CP71</f>
        <v>0</v>
      </c>
      <c r="AC67">
        <f>'D2 - Capex uso'!CQ71</f>
        <v>0</v>
      </c>
      <c r="AD67">
        <f>'D2 - Capex uso'!CR71</f>
        <v>0</v>
      </c>
      <c r="AE67">
        <f>'D2 - Capex uso'!CS71</f>
        <v>0</v>
      </c>
      <c r="AF67">
        <f>'D2 - Capex uso'!CT71</f>
        <v>0</v>
      </c>
      <c r="AG67">
        <f>'D2 - Capex uso'!CU71</f>
        <v>0</v>
      </c>
      <c r="AH67">
        <f>'D2 - Capex uso'!CV71</f>
        <v>0</v>
      </c>
      <c r="AI67">
        <f t="shared" ref="AI67:AI104" si="1">SUM(E67:AH67)</f>
        <v>10560.000000000002</v>
      </c>
    </row>
    <row r="68" spans="1:35">
      <c r="A68" t="str">
        <f>'D2 - Capex uso'!A72</f>
        <v>Montagem restaurante/lanchonete</v>
      </c>
      <c r="B68" t="str">
        <f>'D2 - Capex uso'!B72</f>
        <v>Operacional</v>
      </c>
      <c r="C68" t="str">
        <f>'D2 - Capex uso'!C72</f>
        <v>Serrote - Alimentação</v>
      </c>
      <c r="D68" t="str">
        <f>'D2 - Capex uso'!AK72</f>
        <v>Equipamentos e instalações</v>
      </c>
      <c r="E68">
        <f>'D2 - Capex uso'!BS72</f>
        <v>224453.06400000001</v>
      </c>
      <c r="F68">
        <f>'D2 - Capex uso'!BT72</f>
        <v>0</v>
      </c>
      <c r="G68">
        <f>'D2 - Capex uso'!BU72</f>
        <v>0</v>
      </c>
      <c r="H68">
        <f>'D2 - Capex uso'!BV72</f>
        <v>0</v>
      </c>
      <c r="I68">
        <f>'D2 - Capex uso'!BW72</f>
        <v>0</v>
      </c>
      <c r="J68">
        <f>'D2 - Capex uso'!BX72</f>
        <v>0</v>
      </c>
      <c r="K68">
        <f>'D2 - Capex uso'!BY72</f>
        <v>0</v>
      </c>
      <c r="L68">
        <f>'D2 - Capex uso'!BZ72</f>
        <v>0</v>
      </c>
      <c r="M68">
        <f>'D2 - Capex uso'!CA72</f>
        <v>0</v>
      </c>
      <c r="N68">
        <f>'D2 - Capex uso'!CB72</f>
        <v>0</v>
      </c>
      <c r="O68">
        <f>'D2 - Capex uso'!CC72</f>
        <v>224453.06400000001</v>
      </c>
      <c r="P68">
        <f>'D2 - Capex uso'!CD72</f>
        <v>0</v>
      </c>
      <c r="Q68">
        <f>'D2 - Capex uso'!CE72</f>
        <v>0</v>
      </c>
      <c r="R68">
        <f>'D2 - Capex uso'!CF72</f>
        <v>0</v>
      </c>
      <c r="S68">
        <f>'D2 - Capex uso'!CG72</f>
        <v>0</v>
      </c>
      <c r="T68">
        <f>'D2 - Capex uso'!CH72</f>
        <v>0</v>
      </c>
      <c r="U68">
        <f>'D2 - Capex uso'!CI72</f>
        <v>0</v>
      </c>
      <c r="V68">
        <f>'D2 - Capex uso'!CJ72</f>
        <v>0</v>
      </c>
      <c r="W68">
        <f>'D2 - Capex uso'!CK72</f>
        <v>0</v>
      </c>
      <c r="X68">
        <f>'D2 - Capex uso'!CL72</f>
        <v>0</v>
      </c>
      <c r="Y68">
        <f>'D2 - Capex uso'!CM72</f>
        <v>224453.06400000001</v>
      </c>
      <c r="Z68">
        <f>'D2 - Capex uso'!CN72</f>
        <v>0</v>
      </c>
      <c r="AA68">
        <f>'D2 - Capex uso'!CO72</f>
        <v>0</v>
      </c>
      <c r="AB68">
        <f>'D2 - Capex uso'!CP72</f>
        <v>0</v>
      </c>
      <c r="AC68">
        <f>'D2 - Capex uso'!CQ72</f>
        <v>0</v>
      </c>
      <c r="AD68">
        <f>'D2 - Capex uso'!CR72</f>
        <v>0</v>
      </c>
      <c r="AE68">
        <f>'D2 - Capex uso'!CS72</f>
        <v>0</v>
      </c>
      <c r="AF68">
        <f>'D2 - Capex uso'!CT72</f>
        <v>0</v>
      </c>
      <c r="AG68">
        <f>'D2 - Capex uso'!CU72</f>
        <v>0</v>
      </c>
      <c r="AH68">
        <f>'D2 - Capex uso'!CV72</f>
        <v>0</v>
      </c>
      <c r="AI68">
        <f t="shared" si="1"/>
        <v>673359.19200000004</v>
      </c>
    </row>
    <row r="69" spans="1:35">
      <c r="A69" t="str">
        <f>'D2 - Capex uso'!A73</f>
        <v>Montagem restaurante/lanchonete</v>
      </c>
      <c r="B69" t="str">
        <f>'D2 - Capex uso'!B73</f>
        <v>Operacional</v>
      </c>
      <c r="C69" t="str">
        <f>'D2 - Capex uso'!C73</f>
        <v>Serrote - Alimentação</v>
      </c>
      <c r="D69" t="str">
        <f>'D2 - Capex uso'!AK73</f>
        <v>Equipamentos e instalações</v>
      </c>
      <c r="E69">
        <f>'D2 - Capex uso'!BS73</f>
        <v>10202.412</v>
      </c>
      <c r="F69">
        <f>'D2 - Capex uso'!BT73</f>
        <v>0</v>
      </c>
      <c r="G69">
        <f>'D2 - Capex uso'!BU73</f>
        <v>0</v>
      </c>
      <c r="H69">
        <f>'D2 - Capex uso'!BV73</f>
        <v>0</v>
      </c>
      <c r="I69">
        <f>'D2 - Capex uso'!BW73</f>
        <v>0</v>
      </c>
      <c r="J69">
        <f>'D2 - Capex uso'!BX73</f>
        <v>0</v>
      </c>
      <c r="K69">
        <f>'D2 - Capex uso'!BY73</f>
        <v>0</v>
      </c>
      <c r="L69">
        <f>'D2 - Capex uso'!BZ73</f>
        <v>0</v>
      </c>
      <c r="M69">
        <f>'D2 - Capex uso'!CA73</f>
        <v>0</v>
      </c>
      <c r="N69">
        <f>'D2 - Capex uso'!CB73</f>
        <v>0</v>
      </c>
      <c r="O69">
        <f>'D2 - Capex uso'!CC73</f>
        <v>10202.412</v>
      </c>
      <c r="P69">
        <f>'D2 - Capex uso'!CD73</f>
        <v>0</v>
      </c>
      <c r="Q69">
        <f>'D2 - Capex uso'!CE73</f>
        <v>0</v>
      </c>
      <c r="R69">
        <f>'D2 - Capex uso'!CF73</f>
        <v>0</v>
      </c>
      <c r="S69">
        <f>'D2 - Capex uso'!CG73</f>
        <v>0</v>
      </c>
      <c r="T69">
        <f>'D2 - Capex uso'!CH73</f>
        <v>0</v>
      </c>
      <c r="U69">
        <f>'D2 - Capex uso'!CI73</f>
        <v>0</v>
      </c>
      <c r="V69">
        <f>'D2 - Capex uso'!CJ73</f>
        <v>0</v>
      </c>
      <c r="W69">
        <f>'D2 - Capex uso'!CK73</f>
        <v>0</v>
      </c>
      <c r="X69">
        <f>'D2 - Capex uso'!CL73</f>
        <v>0</v>
      </c>
      <c r="Y69">
        <f>'D2 - Capex uso'!CM73</f>
        <v>10202.412</v>
      </c>
      <c r="Z69">
        <f>'D2 - Capex uso'!CN73</f>
        <v>0</v>
      </c>
      <c r="AA69">
        <f>'D2 - Capex uso'!CO73</f>
        <v>0</v>
      </c>
      <c r="AB69">
        <f>'D2 - Capex uso'!CP73</f>
        <v>0</v>
      </c>
      <c r="AC69">
        <f>'D2 - Capex uso'!CQ73</f>
        <v>0</v>
      </c>
      <c r="AD69">
        <f>'D2 - Capex uso'!CR73</f>
        <v>0</v>
      </c>
      <c r="AE69">
        <f>'D2 - Capex uso'!CS73</f>
        <v>0</v>
      </c>
      <c r="AF69">
        <f>'D2 - Capex uso'!CT73</f>
        <v>0</v>
      </c>
      <c r="AG69">
        <f>'D2 - Capex uso'!CU73</f>
        <v>0</v>
      </c>
      <c r="AH69">
        <f>'D2 - Capex uso'!CV73</f>
        <v>0</v>
      </c>
      <c r="AI69">
        <f t="shared" si="1"/>
        <v>30607.236000000001</v>
      </c>
    </row>
    <row r="70" spans="1:35">
      <c r="A70" t="str">
        <f>'D2 - Capex uso'!A74</f>
        <v>Construção em madeira com fechamento de madeira</v>
      </c>
      <c r="B70" t="str">
        <f>'D2 - Capex uso'!B74</f>
        <v>Operacional</v>
      </c>
      <c r="C70" t="str">
        <f>'D2 - Capex uso'!C74</f>
        <v>Serrote - Comércio</v>
      </c>
      <c r="D70" t="str">
        <f>'D2 - Capex uso'!AK74</f>
        <v>Edificações</v>
      </c>
      <c r="E70">
        <f>'D2 - Capex uso'!BS74</f>
        <v>2372.59</v>
      </c>
      <c r="F70">
        <f>'D2 - Capex uso'!BT74</f>
        <v>0</v>
      </c>
      <c r="G70">
        <f>'D2 - Capex uso'!BU74</f>
        <v>0</v>
      </c>
      <c r="H70">
        <f>'D2 - Capex uso'!BV74</f>
        <v>0</v>
      </c>
      <c r="I70">
        <f>'D2 - Capex uso'!BW74</f>
        <v>0</v>
      </c>
      <c r="J70">
        <f>'D2 - Capex uso'!BX74</f>
        <v>0</v>
      </c>
      <c r="K70">
        <f>'D2 - Capex uso'!BY74</f>
        <v>0</v>
      </c>
      <c r="L70">
        <f>'D2 - Capex uso'!BZ74</f>
        <v>0</v>
      </c>
      <c r="M70">
        <f>'D2 - Capex uso'!CA74</f>
        <v>0</v>
      </c>
      <c r="N70">
        <f>'D2 - Capex uso'!CB74</f>
        <v>0</v>
      </c>
      <c r="O70">
        <f>'D2 - Capex uso'!CC74</f>
        <v>0</v>
      </c>
      <c r="P70">
        <f>'D2 - Capex uso'!CD74</f>
        <v>0</v>
      </c>
      <c r="Q70">
        <f>'D2 - Capex uso'!CE74</f>
        <v>0</v>
      </c>
      <c r="R70">
        <f>'D2 - Capex uso'!CF74</f>
        <v>0</v>
      </c>
      <c r="S70">
        <f>'D2 - Capex uso'!CG74</f>
        <v>0</v>
      </c>
      <c r="T70">
        <f>'D2 - Capex uso'!CH74</f>
        <v>0</v>
      </c>
      <c r="U70">
        <f>'D2 - Capex uso'!CI74</f>
        <v>0</v>
      </c>
      <c r="V70">
        <f>'D2 - Capex uso'!CJ74</f>
        <v>0</v>
      </c>
      <c r="W70">
        <f>'D2 - Capex uso'!CK74</f>
        <v>0</v>
      </c>
      <c r="X70">
        <f>'D2 - Capex uso'!CL74</f>
        <v>0</v>
      </c>
      <c r="Y70">
        <f>'D2 - Capex uso'!CM74</f>
        <v>0</v>
      </c>
      <c r="Z70">
        <f>'D2 - Capex uso'!CN74</f>
        <v>0</v>
      </c>
      <c r="AA70">
        <f>'D2 - Capex uso'!CO74</f>
        <v>0</v>
      </c>
      <c r="AB70">
        <f>'D2 - Capex uso'!CP74</f>
        <v>0</v>
      </c>
      <c r="AC70">
        <f>'D2 - Capex uso'!CQ74</f>
        <v>0</v>
      </c>
      <c r="AD70">
        <f>'D2 - Capex uso'!CR74</f>
        <v>0</v>
      </c>
      <c r="AE70">
        <f>'D2 - Capex uso'!CS74</f>
        <v>0</v>
      </c>
      <c r="AF70">
        <f>'D2 - Capex uso'!CT74</f>
        <v>0</v>
      </c>
      <c r="AG70">
        <f>'D2 - Capex uso'!CU74</f>
        <v>0</v>
      </c>
      <c r="AH70">
        <f>'D2 - Capex uso'!CV74</f>
        <v>0</v>
      </c>
      <c r="AI70">
        <f t="shared" si="1"/>
        <v>2372.59</v>
      </c>
    </row>
    <row r="71" spans="1:35">
      <c r="A71" t="str">
        <f>'D2 - Capex uso'!A75</f>
        <v>Sinalização vertical</v>
      </c>
      <c r="B71" t="str">
        <f>'D2 - Capex uso'!B75</f>
        <v>Operacional</v>
      </c>
      <c r="C71" t="str">
        <f>'D2 - Capex uso'!C75</f>
        <v>Serrote - Comércio</v>
      </c>
      <c r="D71" t="str">
        <f>'D2 - Capex uso'!AK75</f>
        <v>Infraestrutura</v>
      </c>
      <c r="E71">
        <f>'D2 - Capex uso'!BS75</f>
        <v>5280.0000000000009</v>
      </c>
      <c r="F71">
        <f>'D2 - Capex uso'!BT75</f>
        <v>0</v>
      </c>
      <c r="G71">
        <f>'D2 - Capex uso'!BU75</f>
        <v>0</v>
      </c>
      <c r="H71">
        <f>'D2 - Capex uso'!BV75</f>
        <v>0</v>
      </c>
      <c r="I71">
        <f>'D2 - Capex uso'!BW75</f>
        <v>0</v>
      </c>
      <c r="J71">
        <f>'D2 - Capex uso'!BX75</f>
        <v>0</v>
      </c>
      <c r="K71">
        <f>'D2 - Capex uso'!BY75</f>
        <v>0</v>
      </c>
      <c r="L71">
        <f>'D2 - Capex uso'!BZ75</f>
        <v>0</v>
      </c>
      <c r="M71">
        <f>'D2 - Capex uso'!CA75</f>
        <v>0</v>
      </c>
      <c r="N71">
        <f>'D2 - Capex uso'!CB75</f>
        <v>0</v>
      </c>
      <c r="O71">
        <f>'D2 - Capex uso'!CC75</f>
        <v>5280.0000000000009</v>
      </c>
      <c r="P71">
        <f>'D2 - Capex uso'!CD75</f>
        <v>0</v>
      </c>
      <c r="Q71">
        <f>'D2 - Capex uso'!CE75</f>
        <v>0</v>
      </c>
      <c r="R71">
        <f>'D2 - Capex uso'!CF75</f>
        <v>0</v>
      </c>
      <c r="S71">
        <f>'D2 - Capex uso'!CG75</f>
        <v>0</v>
      </c>
      <c r="T71">
        <f>'D2 - Capex uso'!CH75</f>
        <v>0</v>
      </c>
      <c r="U71">
        <f>'D2 - Capex uso'!CI75</f>
        <v>0</v>
      </c>
      <c r="V71">
        <f>'D2 - Capex uso'!CJ75</f>
        <v>0</v>
      </c>
      <c r="W71">
        <f>'D2 - Capex uso'!CK75</f>
        <v>0</v>
      </c>
      <c r="X71">
        <f>'D2 - Capex uso'!CL75</f>
        <v>0</v>
      </c>
      <c r="Y71">
        <f>'D2 - Capex uso'!CM75</f>
        <v>5280.0000000000009</v>
      </c>
      <c r="Z71">
        <f>'D2 - Capex uso'!CN75</f>
        <v>0</v>
      </c>
      <c r="AA71">
        <f>'D2 - Capex uso'!CO75</f>
        <v>0</v>
      </c>
      <c r="AB71">
        <f>'D2 - Capex uso'!CP75</f>
        <v>0</v>
      </c>
      <c r="AC71">
        <f>'D2 - Capex uso'!CQ75</f>
        <v>0</v>
      </c>
      <c r="AD71">
        <f>'D2 - Capex uso'!CR75</f>
        <v>0</v>
      </c>
      <c r="AE71">
        <f>'D2 - Capex uso'!CS75</f>
        <v>0</v>
      </c>
      <c r="AF71">
        <f>'D2 - Capex uso'!CT75</f>
        <v>0</v>
      </c>
      <c r="AG71">
        <f>'D2 - Capex uso'!CU75</f>
        <v>0</v>
      </c>
      <c r="AH71">
        <f>'D2 - Capex uso'!CV75</f>
        <v>0</v>
      </c>
      <c r="AI71">
        <f t="shared" si="1"/>
        <v>15840.000000000004</v>
      </c>
    </row>
    <row r="72" spans="1:35">
      <c r="A72" t="str">
        <f>'D2 - Capex uso'!A76</f>
        <v>Montagem loja</v>
      </c>
      <c r="B72" t="str">
        <f>'D2 - Capex uso'!B76</f>
        <v>Operacional</v>
      </c>
      <c r="C72" t="str">
        <f>'D2 - Capex uso'!C76</f>
        <v>Serrote - Comércio</v>
      </c>
      <c r="D72" t="str">
        <f>'D2 - Capex uso'!AK76</f>
        <v>Equipamentos e instalações</v>
      </c>
      <c r="E72">
        <f>'D2 - Capex uso'!BS76</f>
        <v>7014.161000000001</v>
      </c>
      <c r="F72">
        <f>'D2 - Capex uso'!BT76</f>
        <v>0</v>
      </c>
      <c r="G72">
        <f>'D2 - Capex uso'!BU76</f>
        <v>0</v>
      </c>
      <c r="H72">
        <f>'D2 - Capex uso'!BV76</f>
        <v>0</v>
      </c>
      <c r="I72">
        <f>'D2 - Capex uso'!BW76</f>
        <v>0</v>
      </c>
      <c r="J72">
        <f>'D2 - Capex uso'!BX76</f>
        <v>0</v>
      </c>
      <c r="K72">
        <f>'D2 - Capex uso'!BY76</f>
        <v>0</v>
      </c>
      <c r="L72">
        <f>'D2 - Capex uso'!BZ76</f>
        <v>0</v>
      </c>
      <c r="M72">
        <f>'D2 - Capex uso'!CA76</f>
        <v>0</v>
      </c>
      <c r="N72">
        <f>'D2 - Capex uso'!CB76</f>
        <v>0</v>
      </c>
      <c r="O72">
        <f>'D2 - Capex uso'!CC76</f>
        <v>7014.161000000001</v>
      </c>
      <c r="P72">
        <f>'D2 - Capex uso'!CD76</f>
        <v>0</v>
      </c>
      <c r="Q72">
        <f>'D2 - Capex uso'!CE76</f>
        <v>0</v>
      </c>
      <c r="R72">
        <f>'D2 - Capex uso'!CF76</f>
        <v>0</v>
      </c>
      <c r="S72">
        <f>'D2 - Capex uso'!CG76</f>
        <v>0</v>
      </c>
      <c r="T72">
        <f>'D2 - Capex uso'!CH76</f>
        <v>0</v>
      </c>
      <c r="U72">
        <f>'D2 - Capex uso'!CI76</f>
        <v>0</v>
      </c>
      <c r="V72">
        <f>'D2 - Capex uso'!CJ76</f>
        <v>0</v>
      </c>
      <c r="W72">
        <f>'D2 - Capex uso'!CK76</f>
        <v>0</v>
      </c>
      <c r="X72">
        <f>'D2 - Capex uso'!CL76</f>
        <v>0</v>
      </c>
      <c r="Y72">
        <f>'D2 - Capex uso'!CM76</f>
        <v>7014.161000000001</v>
      </c>
      <c r="Z72">
        <f>'D2 - Capex uso'!CN76</f>
        <v>0</v>
      </c>
      <c r="AA72">
        <f>'D2 - Capex uso'!CO76</f>
        <v>0</v>
      </c>
      <c r="AB72">
        <f>'D2 - Capex uso'!CP76</f>
        <v>0</v>
      </c>
      <c r="AC72">
        <f>'D2 - Capex uso'!CQ76</f>
        <v>0</v>
      </c>
      <c r="AD72">
        <f>'D2 - Capex uso'!CR76</f>
        <v>0</v>
      </c>
      <c r="AE72">
        <f>'D2 - Capex uso'!CS76</f>
        <v>0</v>
      </c>
      <c r="AF72">
        <f>'D2 - Capex uso'!CT76</f>
        <v>0</v>
      </c>
      <c r="AG72">
        <f>'D2 - Capex uso'!CU76</f>
        <v>0</v>
      </c>
      <c r="AH72">
        <f>'D2 - Capex uso'!CV76</f>
        <v>0</v>
      </c>
      <c r="AI72">
        <f t="shared" si="1"/>
        <v>21042.483000000004</v>
      </c>
    </row>
    <row r="73" spans="1:35">
      <c r="A73" t="str">
        <f>'D2 - Capex uso'!A77</f>
        <v>Montagem loja</v>
      </c>
      <c r="B73" t="str">
        <f>'D2 - Capex uso'!B77</f>
        <v>Operacional</v>
      </c>
      <c r="C73" t="str">
        <f>'D2 - Capex uso'!C77</f>
        <v>Serrote - Comércio</v>
      </c>
      <c r="D73" t="str">
        <f>'D2 - Capex uso'!AK77</f>
        <v>Equipamentos e instalações</v>
      </c>
      <c r="E73">
        <f>'D2 - Capex uso'!BS77</f>
        <v>21042.483000000004</v>
      </c>
      <c r="F73">
        <f>'D2 - Capex uso'!BT77</f>
        <v>0</v>
      </c>
      <c r="G73">
        <f>'D2 - Capex uso'!BU77</f>
        <v>0</v>
      </c>
      <c r="H73">
        <f>'D2 - Capex uso'!BV77</f>
        <v>0</v>
      </c>
      <c r="I73">
        <f>'D2 - Capex uso'!BW77</f>
        <v>0</v>
      </c>
      <c r="J73">
        <f>'D2 - Capex uso'!BX77</f>
        <v>0</v>
      </c>
      <c r="K73">
        <f>'D2 - Capex uso'!BY77</f>
        <v>0</v>
      </c>
      <c r="L73">
        <f>'D2 - Capex uso'!BZ77</f>
        <v>0</v>
      </c>
      <c r="M73">
        <f>'D2 - Capex uso'!CA77</f>
        <v>0</v>
      </c>
      <c r="N73">
        <f>'D2 - Capex uso'!CB77</f>
        <v>0</v>
      </c>
      <c r="O73">
        <f>'D2 - Capex uso'!CC77</f>
        <v>21042.483000000004</v>
      </c>
      <c r="P73">
        <f>'D2 - Capex uso'!CD77</f>
        <v>0</v>
      </c>
      <c r="Q73">
        <f>'D2 - Capex uso'!CE77</f>
        <v>0</v>
      </c>
      <c r="R73">
        <f>'D2 - Capex uso'!CF77</f>
        <v>0</v>
      </c>
      <c r="S73">
        <f>'D2 - Capex uso'!CG77</f>
        <v>0</v>
      </c>
      <c r="T73">
        <f>'D2 - Capex uso'!CH77</f>
        <v>0</v>
      </c>
      <c r="U73">
        <f>'D2 - Capex uso'!CI77</f>
        <v>0</v>
      </c>
      <c r="V73">
        <f>'D2 - Capex uso'!CJ77</f>
        <v>0</v>
      </c>
      <c r="W73">
        <f>'D2 - Capex uso'!CK77</f>
        <v>0</v>
      </c>
      <c r="X73">
        <f>'D2 - Capex uso'!CL77</f>
        <v>0</v>
      </c>
      <c r="Y73">
        <f>'D2 - Capex uso'!CM77</f>
        <v>21042.483000000004</v>
      </c>
      <c r="Z73">
        <f>'D2 - Capex uso'!CN77</f>
        <v>0</v>
      </c>
      <c r="AA73">
        <f>'D2 - Capex uso'!CO77</f>
        <v>0</v>
      </c>
      <c r="AB73">
        <f>'D2 - Capex uso'!CP77</f>
        <v>0</v>
      </c>
      <c r="AC73">
        <f>'D2 - Capex uso'!CQ77</f>
        <v>0</v>
      </c>
      <c r="AD73">
        <f>'D2 - Capex uso'!CR77</f>
        <v>0</v>
      </c>
      <c r="AE73">
        <f>'D2 - Capex uso'!CS77</f>
        <v>0</v>
      </c>
      <c r="AF73">
        <f>'D2 - Capex uso'!CT77</f>
        <v>0</v>
      </c>
      <c r="AG73">
        <f>'D2 - Capex uso'!CU77</f>
        <v>0</v>
      </c>
      <c r="AH73">
        <f>'D2 - Capex uso'!CV77</f>
        <v>0</v>
      </c>
      <c r="AI73">
        <f t="shared" si="1"/>
        <v>63127.449000000008</v>
      </c>
    </row>
    <row r="74" spans="1:35">
      <c r="A74" t="str">
        <f>'D2 - Capex uso'!A78</f>
        <v>Furgão 4x4</v>
      </c>
      <c r="B74" t="str">
        <f>'D2 - Capex uso'!B78</f>
        <v>Encargo</v>
      </c>
      <c r="C74" t="str">
        <f>'D2 - Capex uso'!C78</f>
        <v>Administrativo</v>
      </c>
      <c r="D74" t="str">
        <f>'D2 - Capex uso'!AK78</f>
        <v>Veículos e embarcações</v>
      </c>
      <c r="E74">
        <f>'D2 - Capex uso'!BS78</f>
        <v>824410.4</v>
      </c>
      <c r="F74">
        <f>'D2 - Capex uso'!BT78</f>
        <v>0</v>
      </c>
      <c r="G74">
        <f>'D2 - Capex uso'!BU78</f>
        <v>0</v>
      </c>
      <c r="H74">
        <f>'D2 - Capex uso'!BV78</f>
        <v>0</v>
      </c>
      <c r="I74">
        <f>'D2 - Capex uso'!BW78</f>
        <v>0</v>
      </c>
      <c r="J74">
        <f>'D2 - Capex uso'!BX78</f>
        <v>824410.4</v>
      </c>
      <c r="K74">
        <f>'D2 - Capex uso'!BY78</f>
        <v>0</v>
      </c>
      <c r="L74">
        <f>'D2 - Capex uso'!BZ78</f>
        <v>0</v>
      </c>
      <c r="M74">
        <f>'D2 - Capex uso'!CA78</f>
        <v>0</v>
      </c>
      <c r="N74">
        <f>'D2 - Capex uso'!CB78</f>
        <v>0</v>
      </c>
      <c r="O74">
        <f>'D2 - Capex uso'!CC78</f>
        <v>824410.4</v>
      </c>
      <c r="P74">
        <f>'D2 - Capex uso'!CD78</f>
        <v>0</v>
      </c>
      <c r="Q74">
        <f>'D2 - Capex uso'!CE78</f>
        <v>0</v>
      </c>
      <c r="R74">
        <f>'D2 - Capex uso'!CF78</f>
        <v>0</v>
      </c>
      <c r="S74">
        <f>'D2 - Capex uso'!CG78</f>
        <v>0</v>
      </c>
      <c r="T74">
        <f>'D2 - Capex uso'!CH78</f>
        <v>824410.4</v>
      </c>
      <c r="U74">
        <f>'D2 - Capex uso'!CI78</f>
        <v>0</v>
      </c>
      <c r="V74">
        <f>'D2 - Capex uso'!CJ78</f>
        <v>0</v>
      </c>
      <c r="W74">
        <f>'D2 - Capex uso'!CK78</f>
        <v>0</v>
      </c>
      <c r="X74">
        <f>'D2 - Capex uso'!CL78</f>
        <v>0</v>
      </c>
      <c r="Y74">
        <f>'D2 - Capex uso'!CM78</f>
        <v>824410.4</v>
      </c>
      <c r="Z74">
        <f>'D2 - Capex uso'!CN78</f>
        <v>0</v>
      </c>
      <c r="AA74">
        <f>'D2 - Capex uso'!CO78</f>
        <v>0</v>
      </c>
      <c r="AB74">
        <f>'D2 - Capex uso'!CP78</f>
        <v>0</v>
      </c>
      <c r="AC74">
        <f>'D2 - Capex uso'!CQ78</f>
        <v>0</v>
      </c>
      <c r="AD74">
        <f>'D2 - Capex uso'!CR78</f>
        <v>824410.4</v>
      </c>
      <c r="AE74">
        <f>'D2 - Capex uso'!CS78</f>
        <v>0</v>
      </c>
      <c r="AF74">
        <f>'D2 - Capex uso'!CT78</f>
        <v>0</v>
      </c>
      <c r="AG74">
        <f>'D2 - Capex uso'!CU78</f>
        <v>0</v>
      </c>
      <c r="AH74">
        <f>'D2 - Capex uso'!CV78</f>
        <v>0</v>
      </c>
      <c r="AI74">
        <f t="shared" si="1"/>
        <v>4946462.4000000004</v>
      </c>
    </row>
    <row r="75" spans="1:35">
      <c r="A75" t="str">
        <f>'D2 - Capex uso'!A79</f>
        <v>Camionete 4x4 cabine dupla</v>
      </c>
      <c r="B75" t="str">
        <f>'D2 - Capex uso'!B79</f>
        <v>Encargo</v>
      </c>
      <c r="C75" t="str">
        <f>'D2 - Capex uso'!C79</f>
        <v>Administrativo</v>
      </c>
      <c r="D75" t="str">
        <f>'D2 - Capex uso'!AK79</f>
        <v>Veículos e embarcações</v>
      </c>
      <c r="E75">
        <f>'D2 - Capex uso'!BS79</f>
        <v>2350612</v>
      </c>
      <c r="F75">
        <f>'D2 - Capex uso'!BT79</f>
        <v>0</v>
      </c>
      <c r="G75">
        <f>'D2 - Capex uso'!BU79</f>
        <v>0</v>
      </c>
      <c r="H75">
        <f>'D2 - Capex uso'!BV79</f>
        <v>0</v>
      </c>
      <c r="I75">
        <f>'D2 - Capex uso'!BW79</f>
        <v>0</v>
      </c>
      <c r="J75">
        <f>'D2 - Capex uso'!BX79</f>
        <v>2350612</v>
      </c>
      <c r="K75">
        <f>'D2 - Capex uso'!BY79</f>
        <v>0</v>
      </c>
      <c r="L75">
        <f>'D2 - Capex uso'!BZ79</f>
        <v>0</v>
      </c>
      <c r="M75">
        <f>'D2 - Capex uso'!CA79</f>
        <v>0</v>
      </c>
      <c r="N75">
        <f>'D2 - Capex uso'!CB79</f>
        <v>0</v>
      </c>
      <c r="O75">
        <f>'D2 - Capex uso'!CC79</f>
        <v>2350612</v>
      </c>
      <c r="P75">
        <f>'D2 - Capex uso'!CD79</f>
        <v>0</v>
      </c>
      <c r="Q75">
        <f>'D2 - Capex uso'!CE79</f>
        <v>0</v>
      </c>
      <c r="R75">
        <f>'D2 - Capex uso'!CF79</f>
        <v>0</v>
      </c>
      <c r="S75">
        <f>'D2 - Capex uso'!CG79</f>
        <v>0</v>
      </c>
      <c r="T75">
        <f>'D2 - Capex uso'!CH79</f>
        <v>2350612</v>
      </c>
      <c r="U75">
        <f>'D2 - Capex uso'!CI79</f>
        <v>0</v>
      </c>
      <c r="V75">
        <f>'D2 - Capex uso'!CJ79</f>
        <v>0</v>
      </c>
      <c r="W75">
        <f>'D2 - Capex uso'!CK79</f>
        <v>0</v>
      </c>
      <c r="X75">
        <f>'D2 - Capex uso'!CL79</f>
        <v>0</v>
      </c>
      <c r="Y75">
        <f>'D2 - Capex uso'!CM79</f>
        <v>2350612</v>
      </c>
      <c r="Z75">
        <f>'D2 - Capex uso'!CN79</f>
        <v>0</v>
      </c>
      <c r="AA75">
        <f>'D2 - Capex uso'!CO79</f>
        <v>0</v>
      </c>
      <c r="AB75">
        <f>'D2 - Capex uso'!CP79</f>
        <v>0</v>
      </c>
      <c r="AC75">
        <f>'D2 - Capex uso'!CQ79</f>
        <v>0</v>
      </c>
      <c r="AD75">
        <f>'D2 - Capex uso'!CR79</f>
        <v>2350612</v>
      </c>
      <c r="AE75">
        <f>'D2 - Capex uso'!CS79</f>
        <v>0</v>
      </c>
      <c r="AF75">
        <f>'D2 - Capex uso'!CT79</f>
        <v>0</v>
      </c>
      <c r="AG75">
        <f>'D2 - Capex uso'!CU79</f>
        <v>0</v>
      </c>
      <c r="AH75">
        <f>'D2 - Capex uso'!CV79</f>
        <v>0</v>
      </c>
      <c r="AI75">
        <f t="shared" si="1"/>
        <v>14103672</v>
      </c>
    </row>
    <row r="76" spans="1:35">
      <c r="A76" t="str">
        <f>'D2 - Capex uso'!A80</f>
        <v>Construção em madeira com fechamento de madeira</v>
      </c>
      <c r="B76" t="str">
        <f>'D2 - Capex uso'!B80</f>
        <v>Encargo</v>
      </c>
      <c r="C76" t="str">
        <f>'D2 - Capex uso'!C80</f>
        <v>Administrativo</v>
      </c>
      <c r="D76" t="str">
        <f>'D2 - Capex uso'!AK80</f>
        <v>Edificações</v>
      </c>
      <c r="E76">
        <f>'D2 - Capex uso'!BS80</f>
        <v>949036</v>
      </c>
      <c r="F76">
        <f>'D2 - Capex uso'!BT80</f>
        <v>0</v>
      </c>
      <c r="G76">
        <f>'D2 - Capex uso'!BU80</f>
        <v>0</v>
      </c>
      <c r="H76">
        <f>'D2 - Capex uso'!BV80</f>
        <v>0</v>
      </c>
      <c r="I76">
        <f>'D2 - Capex uso'!BW80</f>
        <v>0</v>
      </c>
      <c r="J76">
        <f>'D2 - Capex uso'!BX80</f>
        <v>0</v>
      </c>
      <c r="K76">
        <f>'D2 - Capex uso'!BY80</f>
        <v>0</v>
      </c>
      <c r="L76">
        <f>'D2 - Capex uso'!BZ80</f>
        <v>0</v>
      </c>
      <c r="M76">
        <f>'D2 - Capex uso'!CA80</f>
        <v>0</v>
      </c>
      <c r="N76">
        <f>'D2 - Capex uso'!CB80</f>
        <v>0</v>
      </c>
      <c r="O76">
        <f>'D2 - Capex uso'!CC80</f>
        <v>0</v>
      </c>
      <c r="P76">
        <f>'D2 - Capex uso'!CD80</f>
        <v>0</v>
      </c>
      <c r="Q76">
        <f>'D2 - Capex uso'!CE80</f>
        <v>0</v>
      </c>
      <c r="R76">
        <f>'D2 - Capex uso'!CF80</f>
        <v>0</v>
      </c>
      <c r="S76">
        <f>'D2 - Capex uso'!CG80</f>
        <v>0</v>
      </c>
      <c r="T76">
        <f>'D2 - Capex uso'!CH80</f>
        <v>0</v>
      </c>
      <c r="U76">
        <f>'D2 - Capex uso'!CI80</f>
        <v>0</v>
      </c>
      <c r="V76">
        <f>'D2 - Capex uso'!CJ80</f>
        <v>0</v>
      </c>
      <c r="W76">
        <f>'D2 - Capex uso'!CK80</f>
        <v>0</v>
      </c>
      <c r="X76">
        <f>'D2 - Capex uso'!CL80</f>
        <v>0</v>
      </c>
      <c r="Y76">
        <f>'D2 - Capex uso'!CM80</f>
        <v>0</v>
      </c>
      <c r="Z76">
        <f>'D2 - Capex uso'!CN80</f>
        <v>0</v>
      </c>
      <c r="AA76">
        <f>'D2 - Capex uso'!CO80</f>
        <v>0</v>
      </c>
      <c r="AB76">
        <f>'D2 - Capex uso'!CP80</f>
        <v>0</v>
      </c>
      <c r="AC76">
        <f>'D2 - Capex uso'!CQ80</f>
        <v>0</v>
      </c>
      <c r="AD76">
        <f>'D2 - Capex uso'!CR80</f>
        <v>0</v>
      </c>
      <c r="AE76">
        <f>'D2 - Capex uso'!CS80</f>
        <v>0</v>
      </c>
      <c r="AF76">
        <f>'D2 - Capex uso'!CT80</f>
        <v>0</v>
      </c>
      <c r="AG76">
        <f>'D2 - Capex uso'!CU80</f>
        <v>0</v>
      </c>
      <c r="AH76">
        <f>'D2 - Capex uso'!CV80</f>
        <v>0</v>
      </c>
      <c r="AI76">
        <f t="shared" si="1"/>
        <v>949036</v>
      </c>
    </row>
    <row r="77" spans="1:35">
      <c r="A77" t="str">
        <f>'D2 - Capex uso'!A81</f>
        <v>Mobiliário administrativo</v>
      </c>
      <c r="B77" t="str">
        <f>'D2 - Capex uso'!B81</f>
        <v>Encargo</v>
      </c>
      <c r="C77" t="str">
        <f>'D2 - Capex uso'!C81</f>
        <v>Administrativo</v>
      </c>
      <c r="D77" t="str">
        <f>'D2 - Capex uso'!AK81</f>
        <v>Móveis e Utensílios</v>
      </c>
      <c r="E77">
        <f>'D2 - Capex uso'!BS81</f>
        <v>162800.00000000003</v>
      </c>
      <c r="F77">
        <f>'D2 - Capex uso'!BT81</f>
        <v>0</v>
      </c>
      <c r="G77">
        <f>'D2 - Capex uso'!BU81</f>
        <v>0</v>
      </c>
      <c r="H77">
        <f>'D2 - Capex uso'!BV81</f>
        <v>0</v>
      </c>
      <c r="I77">
        <f>'D2 - Capex uso'!BW81</f>
        <v>0</v>
      </c>
      <c r="J77">
        <f>'D2 - Capex uso'!BX81</f>
        <v>0</v>
      </c>
      <c r="K77">
        <f>'D2 - Capex uso'!BY81</f>
        <v>0</v>
      </c>
      <c r="L77">
        <f>'D2 - Capex uso'!BZ81</f>
        <v>0</v>
      </c>
      <c r="M77">
        <f>'D2 - Capex uso'!CA81</f>
        <v>0</v>
      </c>
      <c r="N77">
        <f>'D2 - Capex uso'!CB81</f>
        <v>0</v>
      </c>
      <c r="O77">
        <f>'D2 - Capex uso'!CC81</f>
        <v>162800.00000000003</v>
      </c>
      <c r="P77">
        <f>'D2 - Capex uso'!CD81</f>
        <v>0</v>
      </c>
      <c r="Q77">
        <f>'D2 - Capex uso'!CE81</f>
        <v>0</v>
      </c>
      <c r="R77">
        <f>'D2 - Capex uso'!CF81</f>
        <v>0</v>
      </c>
      <c r="S77">
        <f>'D2 - Capex uso'!CG81</f>
        <v>0</v>
      </c>
      <c r="T77">
        <f>'D2 - Capex uso'!CH81</f>
        <v>0</v>
      </c>
      <c r="U77">
        <f>'D2 - Capex uso'!CI81</f>
        <v>0</v>
      </c>
      <c r="V77">
        <f>'D2 - Capex uso'!CJ81</f>
        <v>0</v>
      </c>
      <c r="W77">
        <f>'D2 - Capex uso'!CK81</f>
        <v>0</v>
      </c>
      <c r="X77">
        <f>'D2 - Capex uso'!CL81</f>
        <v>0</v>
      </c>
      <c r="Y77">
        <f>'D2 - Capex uso'!CM81</f>
        <v>162800.00000000003</v>
      </c>
      <c r="Z77">
        <f>'D2 - Capex uso'!CN81</f>
        <v>0</v>
      </c>
      <c r="AA77">
        <f>'D2 - Capex uso'!CO81</f>
        <v>0</v>
      </c>
      <c r="AB77">
        <f>'D2 - Capex uso'!CP81</f>
        <v>0</v>
      </c>
      <c r="AC77">
        <f>'D2 - Capex uso'!CQ81</f>
        <v>0</v>
      </c>
      <c r="AD77">
        <f>'D2 - Capex uso'!CR81</f>
        <v>0</v>
      </c>
      <c r="AE77">
        <f>'D2 - Capex uso'!CS81</f>
        <v>0</v>
      </c>
      <c r="AF77">
        <f>'D2 - Capex uso'!CT81</f>
        <v>0</v>
      </c>
      <c r="AG77">
        <f>'D2 - Capex uso'!CU81</f>
        <v>0</v>
      </c>
      <c r="AH77">
        <f>'D2 - Capex uso'!CV81</f>
        <v>0</v>
      </c>
      <c r="AI77">
        <f t="shared" si="1"/>
        <v>488400.00000000012</v>
      </c>
    </row>
    <row r="78" spans="1:35">
      <c r="A78" t="str">
        <f>'D2 - Capex uso'!A82</f>
        <v>Reforma de ponte</v>
      </c>
      <c r="B78" t="str">
        <f>'D2 - Capex uso'!B82</f>
        <v>Encargo</v>
      </c>
      <c r="C78" t="str">
        <f>'D2 - Capex uso'!C82</f>
        <v>Construções e reformas</v>
      </c>
      <c r="D78" t="str">
        <f>'D2 - Capex uso'!AK82</f>
        <v>Infraestrutura</v>
      </c>
      <c r="E78">
        <f>'D2 - Capex uso'!BS82</f>
        <v>1792067.2000000004</v>
      </c>
      <c r="F78">
        <f>'D2 - Capex uso'!BT82</f>
        <v>0</v>
      </c>
      <c r="G78">
        <f>'D2 - Capex uso'!BU82</f>
        <v>0</v>
      </c>
      <c r="H78">
        <f>'D2 - Capex uso'!BV82</f>
        <v>0</v>
      </c>
      <c r="I78">
        <f>'D2 - Capex uso'!BW82</f>
        <v>0</v>
      </c>
      <c r="J78">
        <f>'D2 - Capex uso'!BX82</f>
        <v>0</v>
      </c>
      <c r="K78">
        <f>'D2 - Capex uso'!BY82</f>
        <v>0</v>
      </c>
      <c r="L78">
        <f>'D2 - Capex uso'!BZ82</f>
        <v>0</v>
      </c>
      <c r="M78">
        <f>'D2 - Capex uso'!CA82</f>
        <v>0</v>
      </c>
      <c r="N78">
        <f>'D2 - Capex uso'!CB82</f>
        <v>0</v>
      </c>
      <c r="O78">
        <f>'D2 - Capex uso'!CC82</f>
        <v>1792067.2000000004</v>
      </c>
      <c r="P78">
        <f>'D2 - Capex uso'!CD82</f>
        <v>0</v>
      </c>
      <c r="Q78">
        <f>'D2 - Capex uso'!CE82</f>
        <v>0</v>
      </c>
      <c r="R78">
        <f>'D2 - Capex uso'!CF82</f>
        <v>0</v>
      </c>
      <c r="S78">
        <f>'D2 - Capex uso'!CG82</f>
        <v>0</v>
      </c>
      <c r="T78">
        <f>'D2 - Capex uso'!CH82</f>
        <v>0</v>
      </c>
      <c r="U78">
        <f>'D2 - Capex uso'!CI82</f>
        <v>0</v>
      </c>
      <c r="V78">
        <f>'D2 - Capex uso'!CJ82</f>
        <v>0</v>
      </c>
      <c r="W78">
        <f>'D2 - Capex uso'!CK82</f>
        <v>0</v>
      </c>
      <c r="X78">
        <f>'D2 - Capex uso'!CL82</f>
        <v>0</v>
      </c>
      <c r="Y78">
        <f>'D2 - Capex uso'!CM82</f>
        <v>1792067.2000000004</v>
      </c>
      <c r="Z78">
        <f>'D2 - Capex uso'!CN82</f>
        <v>0</v>
      </c>
      <c r="AA78">
        <f>'D2 - Capex uso'!CO82</f>
        <v>0</v>
      </c>
      <c r="AB78">
        <f>'D2 - Capex uso'!CP82</f>
        <v>0</v>
      </c>
      <c r="AC78">
        <f>'D2 - Capex uso'!CQ82</f>
        <v>0</v>
      </c>
      <c r="AD78">
        <f>'D2 - Capex uso'!CR82</f>
        <v>0</v>
      </c>
      <c r="AE78">
        <f>'D2 - Capex uso'!CS82</f>
        <v>0</v>
      </c>
      <c r="AF78">
        <f>'D2 - Capex uso'!CT82</f>
        <v>0</v>
      </c>
      <c r="AG78">
        <f>'D2 - Capex uso'!CU82</f>
        <v>0</v>
      </c>
      <c r="AH78">
        <f>'D2 - Capex uso'!CV82</f>
        <v>0</v>
      </c>
      <c r="AI78">
        <f t="shared" si="1"/>
        <v>5376201.6000000015</v>
      </c>
    </row>
    <row r="79" spans="1:35">
      <c r="A79" t="str">
        <f>'D2 - Capex uso'!A83</f>
        <v>Construção de ponte</v>
      </c>
      <c r="B79" t="str">
        <f>'D2 - Capex uso'!B83</f>
        <v>Encargo</v>
      </c>
      <c r="C79" t="str">
        <f>'D2 - Capex uso'!C83</f>
        <v>Construções e reformas</v>
      </c>
      <c r="D79" t="str">
        <f>'D2 - Capex uso'!AK83</f>
        <v>Infraestrutura</v>
      </c>
      <c r="E79">
        <f>'D2 - Capex uso'!BS83</f>
        <v>9746000</v>
      </c>
      <c r="F79">
        <f>'D2 - Capex uso'!BT83</f>
        <v>0</v>
      </c>
      <c r="G79">
        <f>'D2 - Capex uso'!BU83</f>
        <v>0</v>
      </c>
      <c r="H79">
        <f>'D2 - Capex uso'!BV83</f>
        <v>0</v>
      </c>
      <c r="I79">
        <f>'D2 - Capex uso'!BW83</f>
        <v>0</v>
      </c>
      <c r="J79">
        <f>'D2 - Capex uso'!BX83</f>
        <v>0</v>
      </c>
      <c r="K79">
        <f>'D2 - Capex uso'!BY83</f>
        <v>0</v>
      </c>
      <c r="L79">
        <f>'D2 - Capex uso'!BZ83</f>
        <v>0</v>
      </c>
      <c r="M79">
        <f>'D2 - Capex uso'!CA83</f>
        <v>0</v>
      </c>
      <c r="N79">
        <f>'D2 - Capex uso'!CB83</f>
        <v>0</v>
      </c>
      <c r="O79">
        <f>'D2 - Capex uso'!CC83</f>
        <v>0</v>
      </c>
      <c r="P79">
        <f>'D2 - Capex uso'!CD83</f>
        <v>0</v>
      </c>
      <c r="Q79">
        <f>'D2 - Capex uso'!CE83</f>
        <v>0</v>
      </c>
      <c r="R79">
        <f>'D2 - Capex uso'!CF83</f>
        <v>0</v>
      </c>
      <c r="S79">
        <f>'D2 - Capex uso'!CG83</f>
        <v>0</v>
      </c>
      <c r="T79">
        <f>'D2 - Capex uso'!CH83</f>
        <v>0</v>
      </c>
      <c r="U79">
        <f>'D2 - Capex uso'!CI83</f>
        <v>0</v>
      </c>
      <c r="V79">
        <f>'D2 - Capex uso'!CJ83</f>
        <v>0</v>
      </c>
      <c r="W79">
        <f>'D2 - Capex uso'!CK83</f>
        <v>0</v>
      </c>
      <c r="X79">
        <f>'D2 - Capex uso'!CL83</f>
        <v>0</v>
      </c>
      <c r="Y79">
        <f>'D2 - Capex uso'!CM83</f>
        <v>9746000</v>
      </c>
      <c r="Z79">
        <f>'D2 - Capex uso'!CN83</f>
        <v>0</v>
      </c>
      <c r="AA79">
        <f>'D2 - Capex uso'!CO83</f>
        <v>0</v>
      </c>
      <c r="AB79">
        <f>'D2 - Capex uso'!CP83</f>
        <v>0</v>
      </c>
      <c r="AC79">
        <f>'D2 - Capex uso'!CQ83</f>
        <v>0</v>
      </c>
      <c r="AD79">
        <f>'D2 - Capex uso'!CR83</f>
        <v>0</v>
      </c>
      <c r="AE79">
        <f>'D2 - Capex uso'!CS83</f>
        <v>0</v>
      </c>
      <c r="AF79">
        <f>'D2 - Capex uso'!CT83</f>
        <v>0</v>
      </c>
      <c r="AG79">
        <f>'D2 - Capex uso'!CU83</f>
        <v>0</v>
      </c>
      <c r="AH79">
        <f>'D2 - Capex uso'!CV83</f>
        <v>0</v>
      </c>
      <c r="AI79">
        <f t="shared" si="1"/>
        <v>19492000</v>
      </c>
    </row>
    <row r="80" spans="1:35">
      <c r="A80" t="str">
        <f>'D2 - Capex uso'!A84</f>
        <v>Cerca de arame farpado</v>
      </c>
      <c r="B80" t="str">
        <f>'D2 - Capex uso'!B84</f>
        <v>Encargo</v>
      </c>
      <c r="C80" t="str">
        <f>'D2 - Capex uso'!C84</f>
        <v>Construções e reformas</v>
      </c>
      <c r="D80" t="str">
        <f>'D2 - Capex uso'!AK84</f>
        <v>Infraestrutura</v>
      </c>
      <c r="E80">
        <f>'D2 - Capex uso'!BS84</f>
        <v>0</v>
      </c>
      <c r="F80">
        <f>'D2 - Capex uso'!BT84</f>
        <v>1650000</v>
      </c>
      <c r="G80">
        <f>'D2 - Capex uso'!BU84</f>
        <v>1650000</v>
      </c>
      <c r="H80">
        <f>'D2 - Capex uso'!BV84</f>
        <v>1650000</v>
      </c>
      <c r="I80">
        <f>'D2 - Capex uso'!BW84</f>
        <v>0</v>
      </c>
      <c r="J80">
        <f>'D2 - Capex uso'!BX84</f>
        <v>0</v>
      </c>
      <c r="K80">
        <f>'D2 - Capex uso'!BY84</f>
        <v>0</v>
      </c>
      <c r="L80">
        <f>'D2 - Capex uso'!BZ84</f>
        <v>0</v>
      </c>
      <c r="M80">
        <f>'D2 - Capex uso'!CA84</f>
        <v>0</v>
      </c>
      <c r="N80">
        <f>'D2 - Capex uso'!CB84</f>
        <v>0</v>
      </c>
      <c r="O80">
        <f>'D2 - Capex uso'!CC84</f>
        <v>0</v>
      </c>
      <c r="P80">
        <f>'D2 - Capex uso'!CD84</f>
        <v>0</v>
      </c>
      <c r="Q80">
        <f>'D2 - Capex uso'!CE84</f>
        <v>0</v>
      </c>
      <c r="R80">
        <f>'D2 - Capex uso'!CF84</f>
        <v>0</v>
      </c>
      <c r="S80">
        <f>'D2 - Capex uso'!CG84</f>
        <v>0</v>
      </c>
      <c r="T80">
        <f>'D2 - Capex uso'!CH84</f>
        <v>0</v>
      </c>
      <c r="U80">
        <f>'D2 - Capex uso'!CI84</f>
        <v>0</v>
      </c>
      <c r="V80">
        <f>'D2 - Capex uso'!CJ84</f>
        <v>0</v>
      </c>
      <c r="W80">
        <f>'D2 - Capex uso'!CK84</f>
        <v>0</v>
      </c>
      <c r="X80">
        <f>'D2 - Capex uso'!CL84</f>
        <v>0</v>
      </c>
      <c r="Y80">
        <f>'D2 - Capex uso'!CM84</f>
        <v>0</v>
      </c>
      <c r="Z80">
        <f>'D2 - Capex uso'!CN84</f>
        <v>0</v>
      </c>
      <c r="AA80">
        <f>'D2 - Capex uso'!CO84</f>
        <v>0</v>
      </c>
      <c r="AB80">
        <f>'D2 - Capex uso'!CP84</f>
        <v>0</v>
      </c>
      <c r="AC80">
        <f>'D2 - Capex uso'!CQ84</f>
        <v>0</v>
      </c>
      <c r="AD80">
        <f>'D2 - Capex uso'!CR84</f>
        <v>0</v>
      </c>
      <c r="AE80">
        <f>'D2 - Capex uso'!CS84</f>
        <v>0</v>
      </c>
      <c r="AF80">
        <f>'D2 - Capex uso'!CT84</f>
        <v>0</v>
      </c>
      <c r="AG80">
        <f>'D2 - Capex uso'!CU84</f>
        <v>0</v>
      </c>
      <c r="AH80">
        <f>'D2 - Capex uso'!CV84</f>
        <v>0</v>
      </c>
      <c r="AI80">
        <f t="shared" si="1"/>
        <v>4950000</v>
      </c>
    </row>
    <row r="81" spans="1:35">
      <c r="A81" t="str">
        <f>'D2 - Capex uso'!A85</f>
        <v>Piso pista de corrida</v>
      </c>
      <c r="B81" t="str">
        <f>'D2 - Capex uso'!B85</f>
        <v>Encargo</v>
      </c>
      <c r="C81" t="str">
        <f>'D2 - Capex uso'!C85</f>
        <v>Construções e reformas</v>
      </c>
      <c r="D81" t="str">
        <f>'D2 - Capex uso'!AK85</f>
        <v>Infraestrutura</v>
      </c>
      <c r="E81">
        <f>'D2 - Capex uso'!BS85</f>
        <v>0</v>
      </c>
      <c r="F81">
        <f>'D2 - Capex uso'!BT85</f>
        <v>6105000</v>
      </c>
      <c r="G81">
        <f>'D2 - Capex uso'!BU85</f>
        <v>0</v>
      </c>
      <c r="H81">
        <f>'D2 - Capex uso'!BV85</f>
        <v>0</v>
      </c>
      <c r="I81">
        <f>'D2 - Capex uso'!BW85</f>
        <v>0</v>
      </c>
      <c r="J81">
        <f>'D2 - Capex uso'!BX85</f>
        <v>0</v>
      </c>
      <c r="K81">
        <f>'D2 - Capex uso'!BY85</f>
        <v>0</v>
      </c>
      <c r="L81">
        <f>'D2 - Capex uso'!BZ85</f>
        <v>0</v>
      </c>
      <c r="M81">
        <f>'D2 - Capex uso'!CA85</f>
        <v>0</v>
      </c>
      <c r="N81">
        <f>'D2 - Capex uso'!CB85</f>
        <v>0</v>
      </c>
      <c r="O81">
        <f>'D2 - Capex uso'!CC85</f>
        <v>0</v>
      </c>
      <c r="P81">
        <f>'D2 - Capex uso'!CD85</f>
        <v>0</v>
      </c>
      <c r="Q81">
        <f>'D2 - Capex uso'!CE85</f>
        <v>0</v>
      </c>
      <c r="R81">
        <f>'D2 - Capex uso'!CF85</f>
        <v>0</v>
      </c>
      <c r="S81">
        <f>'D2 - Capex uso'!CG85</f>
        <v>0</v>
      </c>
      <c r="T81">
        <f>'D2 - Capex uso'!CH85</f>
        <v>0</v>
      </c>
      <c r="U81">
        <f>'D2 - Capex uso'!CI85</f>
        <v>0</v>
      </c>
      <c r="V81">
        <f>'D2 - Capex uso'!CJ85</f>
        <v>0</v>
      </c>
      <c r="W81">
        <f>'D2 - Capex uso'!CK85</f>
        <v>0</v>
      </c>
      <c r="X81">
        <f>'D2 - Capex uso'!CL85</f>
        <v>0</v>
      </c>
      <c r="Y81">
        <f>'D2 - Capex uso'!CM85</f>
        <v>0</v>
      </c>
      <c r="Z81">
        <f>'D2 - Capex uso'!CN85</f>
        <v>0</v>
      </c>
      <c r="AA81">
        <f>'D2 - Capex uso'!CO85</f>
        <v>0</v>
      </c>
      <c r="AB81">
        <f>'D2 - Capex uso'!CP85</f>
        <v>0</v>
      </c>
      <c r="AC81">
        <f>'D2 - Capex uso'!CQ85</f>
        <v>0</v>
      </c>
      <c r="AD81">
        <f>'D2 - Capex uso'!CR85</f>
        <v>0</v>
      </c>
      <c r="AE81">
        <f>'D2 - Capex uso'!CS85</f>
        <v>0</v>
      </c>
      <c r="AF81">
        <f>'D2 - Capex uso'!CT85</f>
        <v>0</v>
      </c>
      <c r="AG81">
        <f>'D2 - Capex uso'!CU85</f>
        <v>0</v>
      </c>
      <c r="AH81">
        <f>'D2 - Capex uso'!CV85</f>
        <v>0</v>
      </c>
      <c r="AI81">
        <f t="shared" si="1"/>
        <v>6105000</v>
      </c>
    </row>
    <row r="82" spans="1:35">
      <c r="A82" t="str">
        <f>'D2 - Capex uso'!A86</f>
        <v>Bobcat minitrator</v>
      </c>
      <c r="B82" t="str">
        <f>'D2 - Capex uso'!B86</f>
        <v>Encargo</v>
      </c>
      <c r="C82" t="str">
        <f>'D2 - Capex uso'!C86</f>
        <v>Construções e reformas</v>
      </c>
      <c r="D82" t="str">
        <f>'D2 - Capex uso'!AK86</f>
        <v>Equipamentos e instalações</v>
      </c>
      <c r="E82">
        <f>'D2 - Capex uso'!BS86</f>
        <v>754871.04</v>
      </c>
      <c r="F82">
        <f>'D2 - Capex uso'!BT86</f>
        <v>0</v>
      </c>
      <c r="G82">
        <f>'D2 - Capex uso'!BU86</f>
        <v>0</v>
      </c>
      <c r="H82">
        <f>'D2 - Capex uso'!BV86</f>
        <v>0</v>
      </c>
      <c r="I82">
        <f>'D2 - Capex uso'!BW86</f>
        <v>0</v>
      </c>
      <c r="J82">
        <f>'D2 - Capex uso'!BX86</f>
        <v>754871.04</v>
      </c>
      <c r="K82">
        <f>'D2 - Capex uso'!BY86</f>
        <v>0</v>
      </c>
      <c r="L82">
        <f>'D2 - Capex uso'!BZ86</f>
        <v>0</v>
      </c>
      <c r="M82">
        <f>'D2 - Capex uso'!CA86</f>
        <v>0</v>
      </c>
      <c r="N82">
        <f>'D2 - Capex uso'!CB86</f>
        <v>0</v>
      </c>
      <c r="O82">
        <f>'D2 - Capex uso'!CC86</f>
        <v>754871.04</v>
      </c>
      <c r="P82">
        <f>'D2 - Capex uso'!CD86</f>
        <v>0</v>
      </c>
      <c r="Q82">
        <f>'D2 - Capex uso'!CE86</f>
        <v>0</v>
      </c>
      <c r="R82">
        <f>'D2 - Capex uso'!CF86</f>
        <v>0</v>
      </c>
      <c r="S82">
        <f>'D2 - Capex uso'!CG86</f>
        <v>0</v>
      </c>
      <c r="T82">
        <f>'D2 - Capex uso'!CH86</f>
        <v>754871.04</v>
      </c>
      <c r="U82">
        <f>'D2 - Capex uso'!CI86</f>
        <v>0</v>
      </c>
      <c r="V82">
        <f>'D2 - Capex uso'!CJ86</f>
        <v>0</v>
      </c>
      <c r="W82">
        <f>'D2 - Capex uso'!CK86</f>
        <v>0</v>
      </c>
      <c r="X82">
        <f>'D2 - Capex uso'!CL86</f>
        <v>0</v>
      </c>
      <c r="Y82">
        <f>'D2 - Capex uso'!CM86</f>
        <v>754871.04</v>
      </c>
      <c r="Z82">
        <f>'D2 - Capex uso'!CN86</f>
        <v>0</v>
      </c>
      <c r="AA82">
        <f>'D2 - Capex uso'!CO86</f>
        <v>0</v>
      </c>
      <c r="AB82">
        <f>'D2 - Capex uso'!CP86</f>
        <v>0</v>
      </c>
      <c r="AC82">
        <f>'D2 - Capex uso'!CQ86</f>
        <v>0</v>
      </c>
      <c r="AD82">
        <f>'D2 - Capex uso'!CR86</f>
        <v>754871.04</v>
      </c>
      <c r="AE82">
        <f>'D2 - Capex uso'!CS86</f>
        <v>0</v>
      </c>
      <c r="AF82">
        <f>'D2 - Capex uso'!CT86</f>
        <v>0</v>
      </c>
      <c r="AG82">
        <f>'D2 - Capex uso'!CU86</f>
        <v>0</v>
      </c>
      <c r="AH82">
        <f>'D2 - Capex uso'!CV86</f>
        <v>0</v>
      </c>
      <c r="AI82">
        <f t="shared" si="1"/>
        <v>4529226.24</v>
      </c>
    </row>
    <row r="83" spans="1:35">
      <c r="A83" t="str">
        <f>'D2 - Capex uso'!A87</f>
        <v>Quadriciclo</v>
      </c>
      <c r="B83" t="str">
        <f>'D2 - Capex uso'!B87</f>
        <v>Encargo</v>
      </c>
      <c r="C83" t="str">
        <f>'D2 - Capex uso'!C87</f>
        <v>Construções e reformas</v>
      </c>
      <c r="D83" t="str">
        <f>'D2 - Capex uso'!AK87</f>
        <v>Veículos e embarcações</v>
      </c>
      <c r="E83">
        <f>'D2 - Capex uso'!BS87</f>
        <v>92642.000000000015</v>
      </c>
      <c r="F83">
        <f>'D2 - Capex uso'!BT87</f>
        <v>0</v>
      </c>
      <c r="G83">
        <f>'D2 - Capex uso'!BU87</f>
        <v>0</v>
      </c>
      <c r="H83">
        <f>'D2 - Capex uso'!BV87</f>
        <v>0</v>
      </c>
      <c r="I83">
        <f>'D2 - Capex uso'!BW87</f>
        <v>0</v>
      </c>
      <c r="J83">
        <f>'D2 - Capex uso'!BX87</f>
        <v>92642.000000000015</v>
      </c>
      <c r="K83">
        <f>'D2 - Capex uso'!BY87</f>
        <v>0</v>
      </c>
      <c r="L83">
        <f>'D2 - Capex uso'!BZ87</f>
        <v>0</v>
      </c>
      <c r="M83">
        <f>'D2 - Capex uso'!CA87</f>
        <v>0</v>
      </c>
      <c r="N83">
        <f>'D2 - Capex uso'!CB87</f>
        <v>0</v>
      </c>
      <c r="O83">
        <f>'D2 - Capex uso'!CC87</f>
        <v>92642.000000000015</v>
      </c>
      <c r="P83">
        <f>'D2 - Capex uso'!CD87</f>
        <v>0</v>
      </c>
      <c r="Q83">
        <f>'D2 - Capex uso'!CE87</f>
        <v>0</v>
      </c>
      <c r="R83">
        <f>'D2 - Capex uso'!CF87</f>
        <v>0</v>
      </c>
      <c r="S83">
        <f>'D2 - Capex uso'!CG87</f>
        <v>0</v>
      </c>
      <c r="T83">
        <f>'D2 - Capex uso'!CH87</f>
        <v>92642.000000000015</v>
      </c>
      <c r="U83">
        <f>'D2 - Capex uso'!CI87</f>
        <v>0</v>
      </c>
      <c r="V83">
        <f>'D2 - Capex uso'!CJ87</f>
        <v>0</v>
      </c>
      <c r="W83">
        <f>'D2 - Capex uso'!CK87</f>
        <v>0</v>
      </c>
      <c r="X83">
        <f>'D2 - Capex uso'!CL87</f>
        <v>0</v>
      </c>
      <c r="Y83">
        <f>'D2 - Capex uso'!CM87</f>
        <v>92642.000000000015</v>
      </c>
      <c r="Z83">
        <f>'D2 - Capex uso'!CN87</f>
        <v>0</v>
      </c>
      <c r="AA83">
        <f>'D2 - Capex uso'!CO87</f>
        <v>0</v>
      </c>
      <c r="AB83">
        <f>'D2 - Capex uso'!CP87</f>
        <v>0</v>
      </c>
      <c r="AC83">
        <f>'D2 - Capex uso'!CQ87</f>
        <v>0</v>
      </c>
      <c r="AD83">
        <f>'D2 - Capex uso'!CR87</f>
        <v>92642.000000000015</v>
      </c>
      <c r="AE83">
        <f>'D2 - Capex uso'!CS87</f>
        <v>0</v>
      </c>
      <c r="AF83">
        <f>'D2 - Capex uso'!CT87</f>
        <v>0</v>
      </c>
      <c r="AG83">
        <f>'D2 - Capex uso'!CU87</f>
        <v>0</v>
      </c>
      <c r="AH83">
        <f>'D2 - Capex uso'!CV87</f>
        <v>0</v>
      </c>
      <c r="AI83">
        <f t="shared" si="1"/>
        <v>555852.00000000012</v>
      </c>
    </row>
    <row r="84" spans="1:35">
      <c r="A84" t="str">
        <f>'D2 - Capex uso'!A88</f>
        <v>Implantação de software gerencial</v>
      </c>
      <c r="B84" t="str">
        <f>'D2 - Capex uso'!B88</f>
        <v>Encargo</v>
      </c>
      <c r="C84" t="str">
        <f>'D2 - Capex uso'!C88</f>
        <v>Administrativo</v>
      </c>
      <c r="D84" t="str">
        <f>'D2 - Capex uso'!AK88</f>
        <v>TI</v>
      </c>
      <c r="E84">
        <f>'D2 - Capex uso'!BS88</f>
        <v>495000.00000000006</v>
      </c>
      <c r="F84">
        <f>'D2 - Capex uso'!BT88</f>
        <v>0</v>
      </c>
      <c r="G84">
        <f>'D2 - Capex uso'!BU88</f>
        <v>0</v>
      </c>
      <c r="H84">
        <f>'D2 - Capex uso'!BV88</f>
        <v>0</v>
      </c>
      <c r="I84">
        <f>'D2 - Capex uso'!BW88</f>
        <v>0</v>
      </c>
      <c r="J84">
        <f>'D2 - Capex uso'!BX88</f>
        <v>0</v>
      </c>
      <c r="K84">
        <f>'D2 - Capex uso'!BY88</f>
        <v>0</v>
      </c>
      <c r="L84">
        <f>'D2 - Capex uso'!BZ88</f>
        <v>0</v>
      </c>
      <c r="M84">
        <f>'D2 - Capex uso'!CA88</f>
        <v>0</v>
      </c>
      <c r="N84">
        <f>'D2 - Capex uso'!CB88</f>
        <v>0</v>
      </c>
      <c r="O84">
        <f>'D2 - Capex uso'!CC88</f>
        <v>0</v>
      </c>
      <c r="P84">
        <f>'D2 - Capex uso'!CD88</f>
        <v>0</v>
      </c>
      <c r="Q84">
        <f>'D2 - Capex uso'!CE88</f>
        <v>0</v>
      </c>
      <c r="R84">
        <f>'D2 - Capex uso'!CF88</f>
        <v>0</v>
      </c>
      <c r="S84">
        <f>'D2 - Capex uso'!CG88</f>
        <v>0</v>
      </c>
      <c r="T84">
        <f>'D2 - Capex uso'!CH88</f>
        <v>0</v>
      </c>
      <c r="U84">
        <f>'D2 - Capex uso'!CI88</f>
        <v>0</v>
      </c>
      <c r="V84">
        <f>'D2 - Capex uso'!CJ88</f>
        <v>0</v>
      </c>
      <c r="W84">
        <f>'D2 - Capex uso'!CK88</f>
        <v>0</v>
      </c>
      <c r="X84">
        <f>'D2 - Capex uso'!CL88</f>
        <v>0</v>
      </c>
      <c r="Y84">
        <f>'D2 - Capex uso'!CM88</f>
        <v>0</v>
      </c>
      <c r="Z84">
        <f>'D2 - Capex uso'!CN88</f>
        <v>0</v>
      </c>
      <c r="AA84">
        <f>'D2 - Capex uso'!CO88</f>
        <v>0</v>
      </c>
      <c r="AB84">
        <f>'D2 - Capex uso'!CP88</f>
        <v>0</v>
      </c>
      <c r="AC84">
        <f>'D2 - Capex uso'!CQ88</f>
        <v>0</v>
      </c>
      <c r="AD84">
        <f>'D2 - Capex uso'!CR88</f>
        <v>0</v>
      </c>
      <c r="AE84">
        <f>'D2 - Capex uso'!CS88</f>
        <v>0</v>
      </c>
      <c r="AF84">
        <f>'D2 - Capex uso'!CT88</f>
        <v>0</v>
      </c>
      <c r="AG84">
        <f>'D2 - Capex uso'!CU88</f>
        <v>0</v>
      </c>
      <c r="AH84">
        <f>'D2 - Capex uso'!CV88</f>
        <v>0</v>
      </c>
      <c r="AI84">
        <f t="shared" si="1"/>
        <v>495000.00000000006</v>
      </c>
    </row>
    <row r="85" spans="1:35">
      <c r="A85" t="str">
        <f>'D2 - Capex uso'!A89</f>
        <v>Pavimentação com piso intertravado</v>
      </c>
      <c r="B85" t="str">
        <f>'D2 - Capex uso'!B89</f>
        <v>Encargo</v>
      </c>
      <c r="C85" t="str">
        <f>'D2 - Capex uso'!C89</f>
        <v>Construções e reformas</v>
      </c>
      <c r="D85" t="str">
        <f>'D2 - Capex uso'!AK89</f>
        <v>Infraestrutura</v>
      </c>
      <c r="E85">
        <f>'D2 - Capex uso'!BS89</f>
        <v>1664960.0000000002</v>
      </c>
      <c r="F85">
        <f>'D2 - Capex uso'!BT89</f>
        <v>1664960.0000000002</v>
      </c>
      <c r="G85">
        <f>'D2 - Capex uso'!BU89</f>
        <v>1664960.0000000002</v>
      </c>
      <c r="H85">
        <f>'D2 - Capex uso'!BV89</f>
        <v>0</v>
      </c>
      <c r="I85">
        <f>'D2 - Capex uso'!BW89</f>
        <v>0</v>
      </c>
      <c r="J85">
        <f>'D2 - Capex uso'!BX89</f>
        <v>0</v>
      </c>
      <c r="K85">
        <f>'D2 - Capex uso'!BY89</f>
        <v>0</v>
      </c>
      <c r="L85">
        <f>'D2 - Capex uso'!BZ89</f>
        <v>0</v>
      </c>
      <c r="M85">
        <f>'D2 - Capex uso'!CA89</f>
        <v>0</v>
      </c>
      <c r="N85">
        <f>'D2 - Capex uso'!CB89</f>
        <v>0</v>
      </c>
      <c r="O85">
        <f>'D2 - Capex uso'!CC89</f>
        <v>0</v>
      </c>
      <c r="P85">
        <f>'D2 - Capex uso'!CD89</f>
        <v>0</v>
      </c>
      <c r="Q85">
        <f>'D2 - Capex uso'!CE89</f>
        <v>0</v>
      </c>
      <c r="R85">
        <f>'D2 - Capex uso'!CF89</f>
        <v>0</v>
      </c>
      <c r="S85">
        <f>'D2 - Capex uso'!CG89</f>
        <v>0</v>
      </c>
      <c r="T85">
        <f>'D2 - Capex uso'!CH89</f>
        <v>0</v>
      </c>
      <c r="U85">
        <f>'D2 - Capex uso'!CI89</f>
        <v>0</v>
      </c>
      <c r="V85">
        <f>'D2 - Capex uso'!CJ89</f>
        <v>0</v>
      </c>
      <c r="W85">
        <f>'D2 - Capex uso'!CK89</f>
        <v>0</v>
      </c>
      <c r="X85">
        <f>'D2 - Capex uso'!CL89</f>
        <v>0</v>
      </c>
      <c r="Y85">
        <f>'D2 - Capex uso'!CM89</f>
        <v>0</v>
      </c>
      <c r="Z85">
        <f>'D2 - Capex uso'!CN89</f>
        <v>0</v>
      </c>
      <c r="AA85">
        <f>'D2 - Capex uso'!CO89</f>
        <v>0</v>
      </c>
      <c r="AB85">
        <f>'D2 - Capex uso'!CP89</f>
        <v>0</v>
      </c>
      <c r="AC85">
        <f>'D2 - Capex uso'!CQ89</f>
        <v>0</v>
      </c>
      <c r="AD85">
        <f>'D2 - Capex uso'!CR89</f>
        <v>0</v>
      </c>
      <c r="AE85">
        <f>'D2 - Capex uso'!CS89</f>
        <v>0</v>
      </c>
      <c r="AF85">
        <f>'D2 - Capex uso'!CT89</f>
        <v>0</v>
      </c>
      <c r="AG85">
        <f>'D2 - Capex uso'!CU89</f>
        <v>0</v>
      </c>
      <c r="AH85">
        <f>'D2 - Capex uso'!CV89</f>
        <v>0</v>
      </c>
      <c r="AI85">
        <f t="shared" si="1"/>
        <v>4994880.0000000009</v>
      </c>
    </row>
    <row r="86" spans="1:35">
      <c r="A86" t="str">
        <f>'D2 - Capex uso'!A90</f>
        <v>Construção em madeira com fechamento de madeira</v>
      </c>
      <c r="B86" t="str">
        <f>'D2 - Capex uso'!B90</f>
        <v>Operacional</v>
      </c>
      <c r="C86" t="str">
        <f>'D2 - Capex uso'!C90</f>
        <v>Mangue Seco - Estacionamento</v>
      </c>
      <c r="D86" t="str">
        <f>'D2 - Capex uso'!AK90</f>
        <v>Edificações</v>
      </c>
      <c r="E86">
        <f>'D2 - Capex uso'!BS90</f>
        <v>73550.290000000008</v>
      </c>
      <c r="F86">
        <f>'D2 - Capex uso'!BT90</f>
        <v>0</v>
      </c>
      <c r="G86">
        <f>'D2 - Capex uso'!BU90</f>
        <v>0</v>
      </c>
      <c r="H86">
        <f>'D2 - Capex uso'!BV90</f>
        <v>0</v>
      </c>
      <c r="I86">
        <f>'D2 - Capex uso'!BW90</f>
        <v>0</v>
      </c>
      <c r="J86">
        <f>'D2 - Capex uso'!BX90</f>
        <v>0</v>
      </c>
      <c r="K86">
        <f>'D2 - Capex uso'!BY90</f>
        <v>0</v>
      </c>
      <c r="L86">
        <f>'D2 - Capex uso'!BZ90</f>
        <v>0</v>
      </c>
      <c r="M86">
        <f>'D2 - Capex uso'!CA90</f>
        <v>0</v>
      </c>
      <c r="N86">
        <f>'D2 - Capex uso'!CB90</f>
        <v>0</v>
      </c>
      <c r="O86">
        <f>'D2 - Capex uso'!CC90</f>
        <v>0</v>
      </c>
      <c r="P86">
        <f>'D2 - Capex uso'!CD90</f>
        <v>0</v>
      </c>
      <c r="Q86">
        <f>'D2 - Capex uso'!CE90</f>
        <v>0</v>
      </c>
      <c r="R86">
        <f>'D2 - Capex uso'!CF90</f>
        <v>0</v>
      </c>
      <c r="S86">
        <f>'D2 - Capex uso'!CG90</f>
        <v>0</v>
      </c>
      <c r="T86">
        <f>'D2 - Capex uso'!CH90</f>
        <v>0</v>
      </c>
      <c r="U86">
        <f>'D2 - Capex uso'!CI90</f>
        <v>0</v>
      </c>
      <c r="V86">
        <f>'D2 - Capex uso'!CJ90</f>
        <v>0</v>
      </c>
      <c r="W86">
        <f>'D2 - Capex uso'!CK90</f>
        <v>0</v>
      </c>
      <c r="X86">
        <f>'D2 - Capex uso'!CL90</f>
        <v>0</v>
      </c>
      <c r="Y86">
        <f>'D2 - Capex uso'!CM90</f>
        <v>0</v>
      </c>
      <c r="Z86">
        <f>'D2 - Capex uso'!CN90</f>
        <v>0</v>
      </c>
      <c r="AA86">
        <f>'D2 - Capex uso'!CO90</f>
        <v>0</v>
      </c>
      <c r="AB86">
        <f>'D2 - Capex uso'!CP90</f>
        <v>0</v>
      </c>
      <c r="AC86">
        <f>'D2 - Capex uso'!CQ90</f>
        <v>0</v>
      </c>
      <c r="AD86">
        <f>'D2 - Capex uso'!CR90</f>
        <v>0</v>
      </c>
      <c r="AE86">
        <f>'D2 - Capex uso'!CS90</f>
        <v>0</v>
      </c>
      <c r="AF86">
        <f>'D2 - Capex uso'!CT90</f>
        <v>0</v>
      </c>
      <c r="AG86">
        <f>'D2 - Capex uso'!CU90</f>
        <v>0</v>
      </c>
      <c r="AH86">
        <f>'D2 - Capex uso'!CV90</f>
        <v>0</v>
      </c>
      <c r="AI86">
        <f t="shared" si="1"/>
        <v>73550.290000000008</v>
      </c>
    </row>
    <row r="87" spans="1:35">
      <c r="A87" t="str">
        <f>'D2 - Capex uso'!A91</f>
        <v>Construção em madeira com fechamento de madeira</v>
      </c>
      <c r="B87" t="str">
        <f>'D2 - Capex uso'!B91</f>
        <v>Operacional</v>
      </c>
      <c r="C87" t="str">
        <f>'D2 - Capex uso'!C91</f>
        <v>Lagoa Grande - Estacionamento</v>
      </c>
      <c r="D87" t="str">
        <f>'D2 - Capex uso'!AK91</f>
        <v>Edificações</v>
      </c>
      <c r="E87">
        <f>'D2 - Capex uso'!BS91</f>
        <v>73550.290000000008</v>
      </c>
      <c r="F87">
        <f>'D2 - Capex uso'!BT91</f>
        <v>0</v>
      </c>
      <c r="G87">
        <f>'D2 - Capex uso'!BU91</f>
        <v>0</v>
      </c>
      <c r="H87">
        <f>'D2 - Capex uso'!BV91</f>
        <v>0</v>
      </c>
      <c r="I87">
        <f>'D2 - Capex uso'!BW91</f>
        <v>0</v>
      </c>
      <c r="J87">
        <f>'D2 - Capex uso'!BX91</f>
        <v>0</v>
      </c>
      <c r="K87">
        <f>'D2 - Capex uso'!BY91</f>
        <v>0</v>
      </c>
      <c r="L87">
        <f>'D2 - Capex uso'!BZ91</f>
        <v>0</v>
      </c>
      <c r="M87">
        <f>'D2 - Capex uso'!CA91</f>
        <v>0</v>
      </c>
      <c r="N87">
        <f>'D2 - Capex uso'!CB91</f>
        <v>0</v>
      </c>
      <c r="O87">
        <f>'D2 - Capex uso'!CC91</f>
        <v>0</v>
      </c>
      <c r="P87">
        <f>'D2 - Capex uso'!CD91</f>
        <v>0</v>
      </c>
      <c r="Q87">
        <f>'D2 - Capex uso'!CE91</f>
        <v>0</v>
      </c>
      <c r="R87">
        <f>'D2 - Capex uso'!CF91</f>
        <v>0</v>
      </c>
      <c r="S87">
        <f>'D2 - Capex uso'!CG91</f>
        <v>0</v>
      </c>
      <c r="T87">
        <f>'D2 - Capex uso'!CH91</f>
        <v>0</v>
      </c>
      <c r="U87">
        <f>'D2 - Capex uso'!CI91</f>
        <v>0</v>
      </c>
      <c r="V87">
        <f>'D2 - Capex uso'!CJ91</f>
        <v>0</v>
      </c>
      <c r="W87">
        <f>'D2 - Capex uso'!CK91</f>
        <v>0</v>
      </c>
      <c r="X87">
        <f>'D2 - Capex uso'!CL91</f>
        <v>0</v>
      </c>
      <c r="Y87">
        <f>'D2 - Capex uso'!CM91</f>
        <v>0</v>
      </c>
      <c r="Z87">
        <f>'D2 - Capex uso'!CN91</f>
        <v>0</v>
      </c>
      <c r="AA87">
        <f>'D2 - Capex uso'!CO91</f>
        <v>0</v>
      </c>
      <c r="AB87">
        <f>'D2 - Capex uso'!CP91</f>
        <v>0</v>
      </c>
      <c r="AC87">
        <f>'D2 - Capex uso'!CQ91</f>
        <v>0</v>
      </c>
      <c r="AD87">
        <f>'D2 - Capex uso'!CR91</f>
        <v>0</v>
      </c>
      <c r="AE87">
        <f>'D2 - Capex uso'!CS91</f>
        <v>0</v>
      </c>
      <c r="AF87">
        <f>'D2 - Capex uso'!CT91</f>
        <v>0</v>
      </c>
      <c r="AG87">
        <f>'D2 - Capex uso'!CU91</f>
        <v>0</v>
      </c>
      <c r="AH87">
        <f>'D2 - Capex uso'!CV91</f>
        <v>0</v>
      </c>
      <c r="AI87">
        <f t="shared" si="1"/>
        <v>73550.290000000008</v>
      </c>
    </row>
    <row r="88" spans="1:35">
      <c r="A88" t="str">
        <f>'D2 - Capex uso'!A92</f>
        <v>Construção de ponte de concreto</v>
      </c>
      <c r="B88" t="str">
        <f>'D2 - Capex uso'!B92</f>
        <v>Encargo</v>
      </c>
      <c r="C88" t="str">
        <f>'D2 - Capex uso'!C92</f>
        <v>Construções e reformas</v>
      </c>
      <c r="D88" t="str">
        <f>'D2 - Capex uso'!AK92</f>
        <v>Infraestrutura</v>
      </c>
      <c r="E88">
        <f>'D2 - Capex uso'!BS92</f>
        <v>3300000</v>
      </c>
      <c r="F88">
        <f>'D2 - Capex uso'!BT92</f>
        <v>3300000</v>
      </c>
      <c r="G88">
        <f>'D2 - Capex uso'!BU92</f>
        <v>3300000</v>
      </c>
      <c r="H88">
        <f>'D2 - Capex uso'!BV92</f>
        <v>0</v>
      </c>
      <c r="I88">
        <f>'D2 - Capex uso'!BW92</f>
        <v>0</v>
      </c>
      <c r="J88">
        <f>'D2 - Capex uso'!BX92</f>
        <v>0</v>
      </c>
      <c r="K88">
        <f>'D2 - Capex uso'!BY92</f>
        <v>0</v>
      </c>
      <c r="L88">
        <f>'D2 - Capex uso'!BZ92</f>
        <v>0</v>
      </c>
      <c r="M88">
        <f>'D2 - Capex uso'!CA92</f>
        <v>0</v>
      </c>
      <c r="N88">
        <f>'D2 - Capex uso'!CB92</f>
        <v>0</v>
      </c>
      <c r="O88">
        <f>'D2 - Capex uso'!CC92</f>
        <v>0</v>
      </c>
      <c r="P88">
        <f>'D2 - Capex uso'!CD92</f>
        <v>0</v>
      </c>
      <c r="Q88">
        <f>'D2 - Capex uso'!CE92</f>
        <v>0</v>
      </c>
      <c r="R88">
        <f>'D2 - Capex uso'!CF92</f>
        <v>0</v>
      </c>
      <c r="S88">
        <f>'D2 - Capex uso'!CG92</f>
        <v>0</v>
      </c>
      <c r="T88">
        <f>'D2 - Capex uso'!CH92</f>
        <v>0</v>
      </c>
      <c r="U88">
        <f>'D2 - Capex uso'!CI92</f>
        <v>0</v>
      </c>
      <c r="V88">
        <f>'D2 - Capex uso'!CJ92</f>
        <v>0</v>
      </c>
      <c r="W88">
        <f>'D2 - Capex uso'!CK92</f>
        <v>0</v>
      </c>
      <c r="X88">
        <f>'D2 - Capex uso'!CL92</f>
        <v>0</v>
      </c>
      <c r="Y88">
        <f>'D2 - Capex uso'!CM92</f>
        <v>0</v>
      </c>
      <c r="Z88">
        <f>'D2 - Capex uso'!CN92</f>
        <v>0</v>
      </c>
      <c r="AA88">
        <f>'D2 - Capex uso'!CO92</f>
        <v>0</v>
      </c>
      <c r="AB88">
        <f>'D2 - Capex uso'!CP92</f>
        <v>0</v>
      </c>
      <c r="AC88">
        <f>'D2 - Capex uso'!CQ92</f>
        <v>0</v>
      </c>
      <c r="AD88">
        <f>'D2 - Capex uso'!CR92</f>
        <v>0</v>
      </c>
      <c r="AE88">
        <f>'D2 - Capex uso'!CS92</f>
        <v>0</v>
      </c>
      <c r="AF88">
        <f>'D2 - Capex uso'!CT92</f>
        <v>0</v>
      </c>
      <c r="AG88">
        <f>'D2 - Capex uso'!CU92</f>
        <v>0</v>
      </c>
      <c r="AH88">
        <f>'D2 - Capex uso'!CV92</f>
        <v>0</v>
      </c>
      <c r="AI88">
        <f t="shared" si="1"/>
        <v>9900000</v>
      </c>
    </row>
    <row r="89" spans="1:35">
      <c r="A89" t="str">
        <f>'D2 - Capex uso'!A93</f>
        <v>Passarela ou piso de madeira</v>
      </c>
      <c r="B89" t="str">
        <f>'D2 - Capex uso'!B93</f>
        <v>Operacional</v>
      </c>
      <c r="C89" t="str">
        <f>'D2 - Capex uso'!C93</f>
        <v>Ingresso</v>
      </c>
      <c r="D89" t="str">
        <f>'D2 - Capex uso'!AK93</f>
        <v>Infraestrutura</v>
      </c>
      <c r="E89">
        <f>'D2 - Capex uso'!BS93</f>
        <v>1680800</v>
      </c>
      <c r="F89">
        <f>'D2 - Capex uso'!BT93</f>
        <v>0</v>
      </c>
      <c r="G89">
        <f>'D2 - Capex uso'!BU93</f>
        <v>0</v>
      </c>
      <c r="H89">
        <f>'D2 - Capex uso'!BV93</f>
        <v>0</v>
      </c>
      <c r="I89">
        <f>'D2 - Capex uso'!BW93</f>
        <v>0</v>
      </c>
      <c r="J89">
        <f>'D2 - Capex uso'!BX93</f>
        <v>0</v>
      </c>
      <c r="K89">
        <f>'D2 - Capex uso'!BY93</f>
        <v>0</v>
      </c>
      <c r="L89">
        <f>'D2 - Capex uso'!BZ93</f>
        <v>0</v>
      </c>
      <c r="M89">
        <f>'D2 - Capex uso'!CA93</f>
        <v>0</v>
      </c>
      <c r="N89">
        <f>'D2 - Capex uso'!CB93</f>
        <v>0</v>
      </c>
      <c r="O89">
        <f>'D2 - Capex uso'!CC93</f>
        <v>1680800</v>
      </c>
      <c r="P89">
        <f>'D2 - Capex uso'!CD93</f>
        <v>0</v>
      </c>
      <c r="Q89">
        <f>'D2 - Capex uso'!CE93</f>
        <v>0</v>
      </c>
      <c r="R89">
        <f>'D2 - Capex uso'!CF93</f>
        <v>0</v>
      </c>
      <c r="S89">
        <f>'D2 - Capex uso'!CG93</f>
        <v>0</v>
      </c>
      <c r="T89">
        <f>'D2 - Capex uso'!CH93</f>
        <v>0</v>
      </c>
      <c r="U89">
        <f>'D2 - Capex uso'!CI93</f>
        <v>0</v>
      </c>
      <c r="V89">
        <f>'D2 - Capex uso'!CJ93</f>
        <v>0</v>
      </c>
      <c r="W89">
        <f>'D2 - Capex uso'!CK93</f>
        <v>0</v>
      </c>
      <c r="X89">
        <f>'D2 - Capex uso'!CL93</f>
        <v>0</v>
      </c>
      <c r="Y89">
        <f>'D2 - Capex uso'!CM93</f>
        <v>1680800</v>
      </c>
      <c r="Z89">
        <f>'D2 - Capex uso'!CN93</f>
        <v>0</v>
      </c>
      <c r="AA89">
        <f>'D2 - Capex uso'!CO93</f>
        <v>0</v>
      </c>
      <c r="AB89">
        <f>'D2 - Capex uso'!CP93</f>
        <v>0</v>
      </c>
      <c r="AC89">
        <f>'D2 - Capex uso'!CQ93</f>
        <v>0</v>
      </c>
      <c r="AD89">
        <f>'D2 - Capex uso'!CR93</f>
        <v>0</v>
      </c>
      <c r="AE89">
        <f>'D2 - Capex uso'!CS93</f>
        <v>0</v>
      </c>
      <c r="AF89">
        <f>'D2 - Capex uso'!CT93</f>
        <v>0</v>
      </c>
      <c r="AG89">
        <f>'D2 - Capex uso'!CU93</f>
        <v>0</v>
      </c>
      <c r="AH89">
        <f>'D2 - Capex uso'!CV93</f>
        <v>0</v>
      </c>
      <c r="AI89">
        <f t="shared" si="1"/>
        <v>5042400</v>
      </c>
    </row>
    <row r="90" spans="1:35">
      <c r="A90" t="str">
        <f>'D2 - Capex uso'!A94</f>
        <v>Fundação de concreto - escadaria Pedra Furada</v>
      </c>
      <c r="B90" t="str">
        <f>'D2 - Capex uso'!B94</f>
        <v>Operacional</v>
      </c>
      <c r="C90" t="str">
        <f>'D2 - Capex uso'!C94</f>
        <v>Ingresso</v>
      </c>
      <c r="D90" t="str">
        <f>'D2 - Capex uso'!AK94</f>
        <v>Infraestrutura</v>
      </c>
      <c r="E90">
        <f>'D2 - Capex uso'!BS94</f>
        <v>275000</v>
      </c>
      <c r="F90">
        <f>'D2 - Capex uso'!BT94</f>
        <v>0</v>
      </c>
      <c r="G90">
        <f>'D2 - Capex uso'!BU94</f>
        <v>0</v>
      </c>
      <c r="H90">
        <f>'D2 - Capex uso'!BV94</f>
        <v>0</v>
      </c>
      <c r="I90">
        <f>'D2 - Capex uso'!BW94</f>
        <v>0</v>
      </c>
      <c r="J90">
        <f>'D2 - Capex uso'!BX94</f>
        <v>0</v>
      </c>
      <c r="K90">
        <f>'D2 - Capex uso'!BY94</f>
        <v>0</v>
      </c>
      <c r="L90">
        <f>'D2 - Capex uso'!BZ94</f>
        <v>0</v>
      </c>
      <c r="M90">
        <f>'D2 - Capex uso'!CA94</f>
        <v>0</v>
      </c>
      <c r="N90">
        <f>'D2 - Capex uso'!CB94</f>
        <v>0</v>
      </c>
      <c r="O90">
        <f>'D2 - Capex uso'!CC94</f>
        <v>0</v>
      </c>
      <c r="P90">
        <f>'D2 - Capex uso'!CD94</f>
        <v>0</v>
      </c>
      <c r="Q90">
        <f>'D2 - Capex uso'!CE94</f>
        <v>0</v>
      </c>
      <c r="R90">
        <f>'D2 - Capex uso'!CF94</f>
        <v>0</v>
      </c>
      <c r="S90">
        <f>'D2 - Capex uso'!CG94</f>
        <v>0</v>
      </c>
      <c r="T90">
        <f>'D2 - Capex uso'!CH94</f>
        <v>0</v>
      </c>
      <c r="U90">
        <f>'D2 - Capex uso'!CI94</f>
        <v>0</v>
      </c>
      <c r="V90">
        <f>'D2 - Capex uso'!CJ94</f>
        <v>0</v>
      </c>
      <c r="W90">
        <f>'D2 - Capex uso'!CK94</f>
        <v>0</v>
      </c>
      <c r="X90">
        <f>'D2 - Capex uso'!CL94</f>
        <v>0</v>
      </c>
      <c r="Y90">
        <f>'D2 - Capex uso'!CM94</f>
        <v>0</v>
      </c>
      <c r="Z90">
        <f>'D2 - Capex uso'!CN94</f>
        <v>0</v>
      </c>
      <c r="AA90">
        <f>'D2 - Capex uso'!CO94</f>
        <v>0</v>
      </c>
      <c r="AB90">
        <f>'D2 - Capex uso'!CP94</f>
        <v>0</v>
      </c>
      <c r="AC90">
        <f>'D2 - Capex uso'!CQ94</f>
        <v>0</v>
      </c>
      <c r="AD90">
        <f>'D2 - Capex uso'!CR94</f>
        <v>0</v>
      </c>
      <c r="AE90">
        <f>'D2 - Capex uso'!CS94</f>
        <v>0</v>
      </c>
      <c r="AF90">
        <f>'D2 - Capex uso'!CT94</f>
        <v>0</v>
      </c>
      <c r="AG90">
        <f>'D2 - Capex uso'!CU94</f>
        <v>0</v>
      </c>
      <c r="AH90">
        <f>'D2 - Capex uso'!CV94</f>
        <v>0</v>
      </c>
      <c r="AI90">
        <f t="shared" si="1"/>
        <v>275000</v>
      </c>
    </row>
    <row r="91" spans="1:35">
      <c r="A91" t="str">
        <f>'D2 - Capex uso'!A95</f>
        <v>Estudos de implantação de estrada</v>
      </c>
      <c r="B91" t="str">
        <f>'D2 - Capex uso'!B95</f>
        <v>Encargo</v>
      </c>
      <c r="C91" t="str">
        <f>'D2 - Capex uso'!C95</f>
        <v>Construções e reformas</v>
      </c>
      <c r="D91" t="str">
        <f>'D2 - Capex uso'!AK95</f>
        <v>Outros</v>
      </c>
      <c r="E91">
        <f>'D2 - Capex uso'!BS95</f>
        <v>330000</v>
      </c>
      <c r="F91">
        <f>'D2 - Capex uso'!BT95</f>
        <v>0</v>
      </c>
      <c r="G91">
        <f>'D2 - Capex uso'!BU95</f>
        <v>0</v>
      </c>
      <c r="H91">
        <f>'D2 - Capex uso'!BV95</f>
        <v>0</v>
      </c>
      <c r="I91">
        <f>'D2 - Capex uso'!BW95</f>
        <v>0</v>
      </c>
      <c r="J91">
        <f>'D2 - Capex uso'!BX95</f>
        <v>0</v>
      </c>
      <c r="K91">
        <f>'D2 - Capex uso'!BY95</f>
        <v>0</v>
      </c>
      <c r="L91">
        <f>'D2 - Capex uso'!BZ95</f>
        <v>0</v>
      </c>
      <c r="M91">
        <f>'D2 - Capex uso'!CA95</f>
        <v>0</v>
      </c>
      <c r="N91">
        <f>'D2 - Capex uso'!CB95</f>
        <v>0</v>
      </c>
      <c r="O91">
        <f>'D2 - Capex uso'!CC95</f>
        <v>0</v>
      </c>
      <c r="P91">
        <f>'D2 - Capex uso'!CD95</f>
        <v>0</v>
      </c>
      <c r="Q91">
        <f>'D2 - Capex uso'!CE95</f>
        <v>0</v>
      </c>
      <c r="R91">
        <f>'D2 - Capex uso'!CF95</f>
        <v>0</v>
      </c>
      <c r="S91">
        <f>'D2 - Capex uso'!CG95</f>
        <v>0</v>
      </c>
      <c r="T91">
        <f>'D2 - Capex uso'!CH95</f>
        <v>0</v>
      </c>
      <c r="U91">
        <f>'D2 - Capex uso'!CI95</f>
        <v>0</v>
      </c>
      <c r="V91">
        <f>'D2 - Capex uso'!CJ95</f>
        <v>0</v>
      </c>
      <c r="W91">
        <f>'D2 - Capex uso'!CK95</f>
        <v>0</v>
      </c>
      <c r="X91">
        <f>'D2 - Capex uso'!CL95</f>
        <v>0</v>
      </c>
      <c r="Y91">
        <f>'D2 - Capex uso'!CM95</f>
        <v>0</v>
      </c>
      <c r="Z91">
        <f>'D2 - Capex uso'!CN95</f>
        <v>0</v>
      </c>
      <c r="AA91">
        <f>'D2 - Capex uso'!CO95</f>
        <v>0</v>
      </c>
      <c r="AB91">
        <f>'D2 - Capex uso'!CP95</f>
        <v>0</v>
      </c>
      <c r="AC91">
        <f>'D2 - Capex uso'!CQ95</f>
        <v>0</v>
      </c>
      <c r="AD91">
        <f>'D2 - Capex uso'!CR95</f>
        <v>0</v>
      </c>
      <c r="AE91">
        <f>'D2 - Capex uso'!CS95</f>
        <v>0</v>
      </c>
      <c r="AF91">
        <f>'D2 - Capex uso'!CT95</f>
        <v>0</v>
      </c>
      <c r="AG91">
        <f>'D2 - Capex uso'!CU95</f>
        <v>0</v>
      </c>
      <c r="AH91">
        <f>'D2 - Capex uso'!CV95</f>
        <v>0</v>
      </c>
      <c r="AI91">
        <f t="shared" si="1"/>
        <v>330000</v>
      </c>
    </row>
    <row r="92" spans="1:35">
      <c r="A92" t="str">
        <f>'D2 - Capex uso'!A96</f>
        <v>Poço artesiano</v>
      </c>
      <c r="B92" t="str">
        <f>'D2 - Capex uso'!B96</f>
        <v>Encargo</v>
      </c>
      <c r="C92" t="str">
        <f>'D2 - Capex uso'!C96</f>
        <v>Água e Esgoto</v>
      </c>
      <c r="D92" t="str">
        <f>'D2 - Capex uso'!AK96</f>
        <v>Infraestrutura</v>
      </c>
      <c r="E92">
        <f>'D2 - Capex uso'!BS96</f>
        <v>148500</v>
      </c>
      <c r="F92">
        <f>'D2 - Capex uso'!BT96</f>
        <v>0</v>
      </c>
      <c r="G92">
        <f>'D2 - Capex uso'!BU96</f>
        <v>0</v>
      </c>
      <c r="H92">
        <f>'D2 - Capex uso'!BV96</f>
        <v>0</v>
      </c>
      <c r="I92">
        <f>'D2 - Capex uso'!BW96</f>
        <v>0</v>
      </c>
      <c r="J92">
        <f>'D2 - Capex uso'!BX96</f>
        <v>0</v>
      </c>
      <c r="K92">
        <f>'D2 - Capex uso'!BY96</f>
        <v>0</v>
      </c>
      <c r="L92">
        <f>'D2 - Capex uso'!BZ96</f>
        <v>0</v>
      </c>
      <c r="M92">
        <f>'D2 - Capex uso'!CA96</f>
        <v>0</v>
      </c>
      <c r="N92">
        <f>'D2 - Capex uso'!CB96</f>
        <v>0</v>
      </c>
      <c r="O92">
        <f>'D2 - Capex uso'!CC96</f>
        <v>0</v>
      </c>
      <c r="P92">
        <f>'D2 - Capex uso'!CD96</f>
        <v>0</v>
      </c>
      <c r="Q92">
        <f>'D2 - Capex uso'!CE96</f>
        <v>0</v>
      </c>
      <c r="R92">
        <f>'D2 - Capex uso'!CF96</f>
        <v>0</v>
      </c>
      <c r="S92">
        <f>'D2 - Capex uso'!CG96</f>
        <v>0</v>
      </c>
      <c r="T92">
        <f>'D2 - Capex uso'!CH96</f>
        <v>0</v>
      </c>
      <c r="U92">
        <f>'D2 - Capex uso'!CI96</f>
        <v>0</v>
      </c>
      <c r="V92">
        <f>'D2 - Capex uso'!CJ96</f>
        <v>0</v>
      </c>
      <c r="W92">
        <f>'D2 - Capex uso'!CK96</f>
        <v>0</v>
      </c>
      <c r="X92">
        <f>'D2 - Capex uso'!CL96</f>
        <v>0</v>
      </c>
      <c r="Y92">
        <f>'D2 - Capex uso'!CM96</f>
        <v>0</v>
      </c>
      <c r="Z92">
        <f>'D2 - Capex uso'!CN96</f>
        <v>0</v>
      </c>
      <c r="AA92">
        <f>'D2 - Capex uso'!CO96</f>
        <v>0</v>
      </c>
      <c r="AB92">
        <f>'D2 - Capex uso'!CP96</f>
        <v>0</v>
      </c>
      <c r="AC92">
        <f>'D2 - Capex uso'!CQ96</f>
        <v>0</v>
      </c>
      <c r="AD92">
        <f>'D2 - Capex uso'!CR96</f>
        <v>0</v>
      </c>
      <c r="AE92">
        <f>'D2 - Capex uso'!CS96</f>
        <v>0</v>
      </c>
      <c r="AF92">
        <f>'D2 - Capex uso'!CT96</f>
        <v>0</v>
      </c>
      <c r="AG92">
        <f>'D2 - Capex uso'!CU96</f>
        <v>0</v>
      </c>
      <c r="AH92">
        <f>'D2 - Capex uso'!CV96</f>
        <v>0</v>
      </c>
      <c r="AI92">
        <f t="shared" si="1"/>
        <v>148500</v>
      </c>
    </row>
    <row r="93" spans="1:35">
      <c r="A93" t="str">
        <f>'D2 - Capex uso'!A97</f>
        <v>Reforma de edificações</v>
      </c>
      <c r="B93" t="str">
        <f>'D2 - Capex uso'!B97</f>
        <v>Encargo</v>
      </c>
      <c r="C93" t="str">
        <f>'D2 - Capex uso'!C97</f>
        <v>Construções e reformas</v>
      </c>
      <c r="D93" t="str">
        <f>'D2 - Capex uso'!AK97</f>
        <v>Edificações</v>
      </c>
      <c r="E93">
        <f>'D2 - Capex uso'!BS97</f>
        <v>1731990.7000000002</v>
      </c>
      <c r="F93">
        <f>'D2 - Capex uso'!BT97</f>
        <v>0</v>
      </c>
      <c r="G93">
        <f>'D2 - Capex uso'!BU97</f>
        <v>0</v>
      </c>
      <c r="H93">
        <f>'D2 - Capex uso'!BV97</f>
        <v>0</v>
      </c>
      <c r="I93">
        <f>'D2 - Capex uso'!BW97</f>
        <v>0</v>
      </c>
      <c r="J93">
        <f>'D2 - Capex uso'!BX97</f>
        <v>0</v>
      </c>
      <c r="K93">
        <f>'D2 - Capex uso'!BY97</f>
        <v>0</v>
      </c>
      <c r="L93">
        <f>'D2 - Capex uso'!BZ97</f>
        <v>0</v>
      </c>
      <c r="M93">
        <f>'D2 - Capex uso'!CA97</f>
        <v>0</v>
      </c>
      <c r="N93">
        <f>'D2 - Capex uso'!CB97</f>
        <v>0</v>
      </c>
      <c r="O93">
        <f>'D2 - Capex uso'!CC97</f>
        <v>0</v>
      </c>
      <c r="P93">
        <f>'D2 - Capex uso'!CD97</f>
        <v>0</v>
      </c>
      <c r="Q93">
        <f>'D2 - Capex uso'!CE97</f>
        <v>0</v>
      </c>
      <c r="R93">
        <f>'D2 - Capex uso'!CF97</f>
        <v>0</v>
      </c>
      <c r="S93">
        <f>'D2 - Capex uso'!CG97</f>
        <v>0</v>
      </c>
      <c r="T93">
        <f>'D2 - Capex uso'!CH97</f>
        <v>0</v>
      </c>
      <c r="U93">
        <f>'D2 - Capex uso'!CI97</f>
        <v>0</v>
      </c>
      <c r="V93">
        <f>'D2 - Capex uso'!CJ97</f>
        <v>0</v>
      </c>
      <c r="W93">
        <f>'D2 - Capex uso'!CK97</f>
        <v>0</v>
      </c>
      <c r="X93">
        <f>'D2 - Capex uso'!CL97</f>
        <v>0</v>
      </c>
      <c r="Y93">
        <f>'D2 - Capex uso'!CM97</f>
        <v>0</v>
      </c>
      <c r="Z93">
        <f>'D2 - Capex uso'!CN97</f>
        <v>0</v>
      </c>
      <c r="AA93">
        <f>'D2 - Capex uso'!CO97</f>
        <v>0</v>
      </c>
      <c r="AB93">
        <f>'D2 - Capex uso'!CP97</f>
        <v>0</v>
      </c>
      <c r="AC93">
        <f>'D2 - Capex uso'!CQ97</f>
        <v>0</v>
      </c>
      <c r="AD93">
        <f>'D2 - Capex uso'!CR97</f>
        <v>0</v>
      </c>
      <c r="AE93">
        <f>'D2 - Capex uso'!CS97</f>
        <v>0</v>
      </c>
      <c r="AF93">
        <f>'D2 - Capex uso'!CT97</f>
        <v>0</v>
      </c>
      <c r="AG93">
        <f>'D2 - Capex uso'!CU97</f>
        <v>0</v>
      </c>
      <c r="AH93">
        <f>'D2 - Capex uso'!CV97</f>
        <v>0</v>
      </c>
      <c r="AI93">
        <f t="shared" si="1"/>
        <v>1731990.7000000002</v>
      </c>
    </row>
    <row r="94" spans="1:35">
      <c r="A94" t="str">
        <f>'D2 - Capex uso'!A98</f>
        <v>Construção em madeira com fechamento de madeira</v>
      </c>
      <c r="B94" t="str">
        <f>'D2 - Capex uso'!B98</f>
        <v>Encargo</v>
      </c>
      <c r="C94" t="str">
        <f>'D2 - Capex uso'!C98</f>
        <v>Construções e reformas</v>
      </c>
      <c r="D94" t="str">
        <f>'D2 - Capex uso'!AK98</f>
        <v>Edificações</v>
      </c>
      <c r="E94">
        <f>'D2 - Capex uso'!BS98</f>
        <v>237259</v>
      </c>
      <c r="F94">
        <f>'D2 - Capex uso'!BT98</f>
        <v>0</v>
      </c>
      <c r="G94">
        <f>'D2 - Capex uso'!BU98</f>
        <v>0</v>
      </c>
      <c r="H94">
        <f>'D2 - Capex uso'!BV98</f>
        <v>0</v>
      </c>
      <c r="I94">
        <f>'D2 - Capex uso'!BW98</f>
        <v>0</v>
      </c>
      <c r="J94">
        <f>'D2 - Capex uso'!BX98</f>
        <v>0</v>
      </c>
      <c r="K94">
        <f>'D2 - Capex uso'!BY98</f>
        <v>0</v>
      </c>
      <c r="L94">
        <f>'D2 - Capex uso'!BZ98</f>
        <v>0</v>
      </c>
      <c r="M94">
        <f>'D2 - Capex uso'!CA98</f>
        <v>0</v>
      </c>
      <c r="N94">
        <f>'D2 - Capex uso'!CB98</f>
        <v>0</v>
      </c>
      <c r="O94">
        <f>'D2 - Capex uso'!CC98</f>
        <v>0</v>
      </c>
      <c r="P94">
        <f>'D2 - Capex uso'!CD98</f>
        <v>0</v>
      </c>
      <c r="Q94">
        <f>'D2 - Capex uso'!CE98</f>
        <v>0</v>
      </c>
      <c r="R94">
        <f>'D2 - Capex uso'!CF98</f>
        <v>0</v>
      </c>
      <c r="S94">
        <f>'D2 - Capex uso'!CG98</f>
        <v>0</v>
      </c>
      <c r="T94">
        <f>'D2 - Capex uso'!CH98</f>
        <v>0</v>
      </c>
      <c r="U94">
        <f>'D2 - Capex uso'!CI98</f>
        <v>0</v>
      </c>
      <c r="V94">
        <f>'D2 - Capex uso'!CJ98</f>
        <v>0</v>
      </c>
      <c r="W94">
        <f>'D2 - Capex uso'!CK98</f>
        <v>0</v>
      </c>
      <c r="X94">
        <f>'D2 - Capex uso'!CL98</f>
        <v>0</v>
      </c>
      <c r="Y94">
        <f>'D2 - Capex uso'!CM98</f>
        <v>0</v>
      </c>
      <c r="Z94">
        <f>'D2 - Capex uso'!CN98</f>
        <v>0</v>
      </c>
      <c r="AA94">
        <f>'D2 - Capex uso'!CO98</f>
        <v>0</v>
      </c>
      <c r="AB94">
        <f>'D2 - Capex uso'!CP98</f>
        <v>0</v>
      </c>
      <c r="AC94">
        <f>'D2 - Capex uso'!CQ98</f>
        <v>0</v>
      </c>
      <c r="AD94">
        <f>'D2 - Capex uso'!CR98</f>
        <v>0</v>
      </c>
      <c r="AE94">
        <f>'D2 - Capex uso'!CS98</f>
        <v>0</v>
      </c>
      <c r="AF94">
        <f>'D2 - Capex uso'!CT98</f>
        <v>0</v>
      </c>
      <c r="AG94">
        <f>'D2 - Capex uso'!CU98</f>
        <v>0</v>
      </c>
      <c r="AH94">
        <f>'D2 - Capex uso'!CV98</f>
        <v>0</v>
      </c>
      <c r="AI94">
        <f t="shared" si="1"/>
        <v>237259</v>
      </c>
    </row>
    <row r="95" spans="1:35">
      <c r="A95" t="str">
        <f>'D2 - Capex uso'!A99</f>
        <v>Extensão de rede elétrica</v>
      </c>
      <c r="B95" t="str">
        <f>'D2 - Capex uso'!B99</f>
        <v>Encargo</v>
      </c>
      <c r="C95" t="str">
        <f>'D2 - Capex uso'!C99</f>
        <v>Energia</v>
      </c>
      <c r="D95" t="str">
        <f>'D2 - Capex uso'!AK99</f>
        <v>Infraestrutura</v>
      </c>
      <c r="E95">
        <f>'D2 - Capex uso'!BS99</f>
        <v>646800</v>
      </c>
      <c r="F95">
        <f>'D2 - Capex uso'!BT99</f>
        <v>0</v>
      </c>
      <c r="G95">
        <f>'D2 - Capex uso'!BU99</f>
        <v>0</v>
      </c>
      <c r="H95">
        <f>'D2 - Capex uso'!BV99</f>
        <v>0</v>
      </c>
      <c r="I95">
        <f>'D2 - Capex uso'!BW99</f>
        <v>0</v>
      </c>
      <c r="J95">
        <f>'D2 - Capex uso'!BX99</f>
        <v>0</v>
      </c>
      <c r="K95">
        <f>'D2 - Capex uso'!BY99</f>
        <v>0</v>
      </c>
      <c r="L95">
        <f>'D2 - Capex uso'!BZ99</f>
        <v>0</v>
      </c>
      <c r="M95">
        <f>'D2 - Capex uso'!CA99</f>
        <v>0</v>
      </c>
      <c r="N95">
        <f>'D2 - Capex uso'!CB99</f>
        <v>0</v>
      </c>
      <c r="O95">
        <f>'D2 - Capex uso'!CC99</f>
        <v>0</v>
      </c>
      <c r="P95">
        <f>'D2 - Capex uso'!CD99</f>
        <v>0</v>
      </c>
      <c r="Q95">
        <f>'D2 - Capex uso'!CE99</f>
        <v>0</v>
      </c>
      <c r="R95">
        <f>'D2 - Capex uso'!CF99</f>
        <v>0</v>
      </c>
      <c r="S95">
        <f>'D2 - Capex uso'!CG99</f>
        <v>0</v>
      </c>
      <c r="T95">
        <f>'D2 - Capex uso'!CH99</f>
        <v>0</v>
      </c>
      <c r="U95">
        <f>'D2 - Capex uso'!CI99</f>
        <v>0</v>
      </c>
      <c r="V95">
        <f>'D2 - Capex uso'!CJ99</f>
        <v>0</v>
      </c>
      <c r="W95">
        <f>'D2 - Capex uso'!CK99</f>
        <v>0</v>
      </c>
      <c r="X95">
        <f>'D2 - Capex uso'!CL99</f>
        <v>0</v>
      </c>
      <c r="Y95">
        <f>'D2 - Capex uso'!CM99</f>
        <v>0</v>
      </c>
      <c r="Z95">
        <f>'D2 - Capex uso'!CN99</f>
        <v>0</v>
      </c>
      <c r="AA95">
        <f>'D2 - Capex uso'!CO99</f>
        <v>0</v>
      </c>
      <c r="AB95">
        <f>'D2 - Capex uso'!CP99</f>
        <v>0</v>
      </c>
      <c r="AC95">
        <f>'D2 - Capex uso'!CQ99</f>
        <v>0</v>
      </c>
      <c r="AD95">
        <f>'D2 - Capex uso'!CR99</f>
        <v>0</v>
      </c>
      <c r="AE95">
        <f>'D2 - Capex uso'!CS99</f>
        <v>0</v>
      </c>
      <c r="AF95">
        <f>'D2 - Capex uso'!CT99</f>
        <v>0</v>
      </c>
      <c r="AG95">
        <f>'D2 - Capex uso'!CU99</f>
        <v>0</v>
      </c>
      <c r="AH95">
        <f>'D2 - Capex uso'!CV99</f>
        <v>0</v>
      </c>
      <c r="AI95">
        <f t="shared" si="1"/>
        <v>646800</v>
      </c>
    </row>
    <row r="96" spans="1:35">
      <c r="A96" t="str">
        <f>'D2 - Capex uso'!A100</f>
        <v>Construção em madeira com fechamento de madeira</v>
      </c>
      <c r="B96" t="str">
        <f>'D2 - Capex uso'!B100</f>
        <v>Encargo</v>
      </c>
      <c r="C96" t="str">
        <f>'D2 - Capex uso'!C100</f>
        <v>Construções e reformas</v>
      </c>
      <c r="D96" t="str">
        <f>'D2 - Capex uso'!AK100</f>
        <v>Edificações</v>
      </c>
      <c r="E96">
        <f>'D2 - Capex uso'!BS100</f>
        <v>73550.290000000008</v>
      </c>
      <c r="F96">
        <f>'D2 - Capex uso'!BT100</f>
        <v>0</v>
      </c>
      <c r="G96">
        <f>'D2 - Capex uso'!BU100</f>
        <v>0</v>
      </c>
      <c r="H96">
        <f>'D2 - Capex uso'!BV100</f>
        <v>0</v>
      </c>
      <c r="I96">
        <f>'D2 - Capex uso'!BW100</f>
        <v>0</v>
      </c>
      <c r="J96">
        <f>'D2 - Capex uso'!BX100</f>
        <v>0</v>
      </c>
      <c r="K96">
        <f>'D2 - Capex uso'!BY100</f>
        <v>0</v>
      </c>
      <c r="L96">
        <f>'D2 - Capex uso'!BZ100</f>
        <v>0</v>
      </c>
      <c r="M96">
        <f>'D2 - Capex uso'!CA100</f>
        <v>0</v>
      </c>
      <c r="N96">
        <f>'D2 - Capex uso'!CB100</f>
        <v>0</v>
      </c>
      <c r="O96">
        <f>'D2 - Capex uso'!CC100</f>
        <v>0</v>
      </c>
      <c r="P96">
        <f>'D2 - Capex uso'!CD100</f>
        <v>0</v>
      </c>
      <c r="Q96">
        <f>'D2 - Capex uso'!CE100</f>
        <v>0</v>
      </c>
      <c r="R96">
        <f>'D2 - Capex uso'!CF100</f>
        <v>0</v>
      </c>
      <c r="S96">
        <f>'D2 - Capex uso'!CG100</f>
        <v>0</v>
      </c>
      <c r="T96">
        <f>'D2 - Capex uso'!CH100</f>
        <v>0</v>
      </c>
      <c r="U96">
        <f>'D2 - Capex uso'!CI100</f>
        <v>0</v>
      </c>
      <c r="V96">
        <f>'D2 - Capex uso'!CJ100</f>
        <v>0</v>
      </c>
      <c r="W96">
        <f>'D2 - Capex uso'!CK100</f>
        <v>0</v>
      </c>
      <c r="X96">
        <f>'D2 - Capex uso'!CL100</f>
        <v>0</v>
      </c>
      <c r="Y96">
        <f>'D2 - Capex uso'!CM100</f>
        <v>0</v>
      </c>
      <c r="Z96">
        <f>'D2 - Capex uso'!CN100</f>
        <v>0</v>
      </c>
      <c r="AA96">
        <f>'D2 - Capex uso'!CO100</f>
        <v>0</v>
      </c>
      <c r="AB96">
        <f>'D2 - Capex uso'!CP100</f>
        <v>0</v>
      </c>
      <c r="AC96">
        <f>'D2 - Capex uso'!CQ100</f>
        <v>0</v>
      </c>
      <c r="AD96">
        <f>'D2 - Capex uso'!CR100</f>
        <v>0</v>
      </c>
      <c r="AE96">
        <f>'D2 - Capex uso'!CS100</f>
        <v>0</v>
      </c>
      <c r="AF96">
        <f>'D2 - Capex uso'!CT100</f>
        <v>0</v>
      </c>
      <c r="AG96">
        <f>'D2 - Capex uso'!CU100</f>
        <v>0</v>
      </c>
      <c r="AH96">
        <f>'D2 - Capex uso'!CV100</f>
        <v>0</v>
      </c>
      <c r="AI96">
        <f t="shared" si="1"/>
        <v>73550.290000000008</v>
      </c>
    </row>
    <row r="97" spans="1:35">
      <c r="A97" t="str">
        <f>'D2 - Capex uso'!A101</f>
        <v>Reforma de edificações</v>
      </c>
      <c r="B97" t="str">
        <f>'D2 - Capex uso'!B101</f>
        <v>Encargo</v>
      </c>
      <c r="C97" t="str">
        <f>'D2 - Capex uso'!C101</f>
        <v>Construções e reformas</v>
      </c>
      <c r="D97" t="str">
        <f>'D2 - Capex uso'!AK101</f>
        <v>Edificações</v>
      </c>
      <c r="E97">
        <f>'D2 - Capex uso'!BS101</f>
        <v>37961.440000000002</v>
      </c>
      <c r="F97">
        <f>'D2 - Capex uso'!BT101</f>
        <v>0</v>
      </c>
      <c r="G97">
        <f>'D2 - Capex uso'!BU101</f>
        <v>0</v>
      </c>
      <c r="H97">
        <f>'D2 - Capex uso'!BV101</f>
        <v>0</v>
      </c>
      <c r="I97">
        <f>'D2 - Capex uso'!BW101</f>
        <v>0</v>
      </c>
      <c r="J97">
        <f>'D2 - Capex uso'!BX101</f>
        <v>0</v>
      </c>
      <c r="K97">
        <f>'D2 - Capex uso'!BY101</f>
        <v>0</v>
      </c>
      <c r="L97">
        <f>'D2 - Capex uso'!BZ101</f>
        <v>0</v>
      </c>
      <c r="M97">
        <f>'D2 - Capex uso'!CA101</f>
        <v>0</v>
      </c>
      <c r="N97">
        <f>'D2 - Capex uso'!CB101</f>
        <v>0</v>
      </c>
      <c r="O97">
        <f>'D2 - Capex uso'!CC101</f>
        <v>0</v>
      </c>
      <c r="P97">
        <f>'D2 - Capex uso'!CD101</f>
        <v>0</v>
      </c>
      <c r="Q97">
        <f>'D2 - Capex uso'!CE101</f>
        <v>0</v>
      </c>
      <c r="R97">
        <f>'D2 - Capex uso'!CF101</f>
        <v>0</v>
      </c>
      <c r="S97">
        <f>'D2 - Capex uso'!CG101</f>
        <v>0</v>
      </c>
      <c r="T97">
        <f>'D2 - Capex uso'!CH101</f>
        <v>0</v>
      </c>
      <c r="U97">
        <f>'D2 - Capex uso'!CI101</f>
        <v>0</v>
      </c>
      <c r="V97">
        <f>'D2 - Capex uso'!CJ101</f>
        <v>0</v>
      </c>
      <c r="W97">
        <f>'D2 - Capex uso'!CK101</f>
        <v>0</v>
      </c>
      <c r="X97">
        <f>'D2 - Capex uso'!CL101</f>
        <v>0</v>
      </c>
      <c r="Y97">
        <f>'D2 - Capex uso'!CM101</f>
        <v>0</v>
      </c>
      <c r="Z97">
        <f>'D2 - Capex uso'!CN101</f>
        <v>0</v>
      </c>
      <c r="AA97">
        <f>'D2 - Capex uso'!CO101</f>
        <v>0</v>
      </c>
      <c r="AB97">
        <f>'D2 - Capex uso'!CP101</f>
        <v>0</v>
      </c>
      <c r="AC97">
        <f>'D2 - Capex uso'!CQ101</f>
        <v>0</v>
      </c>
      <c r="AD97">
        <f>'D2 - Capex uso'!CR101</f>
        <v>0</v>
      </c>
      <c r="AE97">
        <f>'D2 - Capex uso'!CS101</f>
        <v>0</v>
      </c>
      <c r="AF97">
        <f>'D2 - Capex uso'!CT101</f>
        <v>0</v>
      </c>
      <c r="AG97">
        <f>'D2 - Capex uso'!CU101</f>
        <v>0</v>
      </c>
      <c r="AH97">
        <f>'D2 - Capex uso'!CV101</f>
        <v>0</v>
      </c>
      <c r="AI97">
        <f t="shared" si="1"/>
        <v>37961.440000000002</v>
      </c>
    </row>
    <row r="98" spans="1:35">
      <c r="A98" t="str">
        <f>'D2 - Capex uso'!A102</f>
        <v>Bandeiras de sinalização</v>
      </c>
      <c r="B98" t="str">
        <f>'D2 - Capex uso'!B102</f>
        <v>Encargo</v>
      </c>
      <c r="C98" t="str">
        <f>'D2 - Capex uso'!C102</f>
        <v>Construções e reformas</v>
      </c>
      <c r="D98" t="str">
        <f>'D2 - Capex uso'!AK102</f>
        <v>Outros</v>
      </c>
      <c r="E98">
        <f>'D2 - Capex uso'!BS102</f>
        <v>43560.000000000007</v>
      </c>
      <c r="F98">
        <f>'D2 - Capex uso'!BT102</f>
        <v>0</v>
      </c>
      <c r="G98">
        <f>'D2 - Capex uso'!BU102</f>
        <v>0</v>
      </c>
      <c r="H98">
        <f>'D2 - Capex uso'!BV102</f>
        <v>43560.000000000007</v>
      </c>
      <c r="I98">
        <f>'D2 - Capex uso'!BW102</f>
        <v>0</v>
      </c>
      <c r="J98">
        <f>'D2 - Capex uso'!BX102</f>
        <v>0</v>
      </c>
      <c r="K98">
        <f>'D2 - Capex uso'!BY102</f>
        <v>43560.000000000007</v>
      </c>
      <c r="L98">
        <f>'D2 - Capex uso'!BZ102</f>
        <v>0</v>
      </c>
      <c r="M98">
        <f>'D2 - Capex uso'!CA102</f>
        <v>0</v>
      </c>
      <c r="N98">
        <f>'D2 - Capex uso'!CB102</f>
        <v>43560.000000000007</v>
      </c>
      <c r="O98">
        <f>'D2 - Capex uso'!CC102</f>
        <v>0</v>
      </c>
      <c r="P98">
        <f>'D2 - Capex uso'!CD102</f>
        <v>0</v>
      </c>
      <c r="Q98">
        <f>'D2 - Capex uso'!CE102</f>
        <v>43560.000000000007</v>
      </c>
      <c r="R98">
        <f>'D2 - Capex uso'!CF102</f>
        <v>0</v>
      </c>
      <c r="S98">
        <f>'D2 - Capex uso'!CG102</f>
        <v>0</v>
      </c>
      <c r="T98">
        <f>'D2 - Capex uso'!CH102</f>
        <v>43560.000000000007</v>
      </c>
      <c r="U98">
        <f>'D2 - Capex uso'!CI102</f>
        <v>0</v>
      </c>
      <c r="V98">
        <f>'D2 - Capex uso'!CJ102</f>
        <v>0</v>
      </c>
      <c r="W98">
        <f>'D2 - Capex uso'!CK102</f>
        <v>43560.000000000007</v>
      </c>
      <c r="X98">
        <f>'D2 - Capex uso'!CL102</f>
        <v>0</v>
      </c>
      <c r="Y98">
        <f>'D2 - Capex uso'!CM102</f>
        <v>0</v>
      </c>
      <c r="Z98">
        <f>'D2 - Capex uso'!CN102</f>
        <v>43560.000000000007</v>
      </c>
      <c r="AA98">
        <f>'D2 - Capex uso'!CO102</f>
        <v>0</v>
      </c>
      <c r="AB98">
        <f>'D2 - Capex uso'!CP102</f>
        <v>0</v>
      </c>
      <c r="AC98">
        <f>'D2 - Capex uso'!CQ102</f>
        <v>43560.000000000007</v>
      </c>
      <c r="AD98">
        <f>'D2 - Capex uso'!CR102</f>
        <v>0</v>
      </c>
      <c r="AE98">
        <f>'D2 - Capex uso'!CS102</f>
        <v>0</v>
      </c>
      <c r="AF98">
        <f>'D2 - Capex uso'!CT102</f>
        <v>43560.000000000007</v>
      </c>
      <c r="AG98">
        <f>'D2 - Capex uso'!CU102</f>
        <v>0</v>
      </c>
      <c r="AH98">
        <f>'D2 - Capex uso'!CV102</f>
        <v>0</v>
      </c>
      <c r="AI98">
        <f t="shared" si="1"/>
        <v>435600.00000000006</v>
      </c>
    </row>
    <row r="99" spans="1:35">
      <c r="A99" t="str">
        <f>'D2 - Capex uso'!A103</f>
        <v>Implantação museológica</v>
      </c>
      <c r="B99" t="str">
        <f>'D2 - Capex uso'!B103</f>
        <v>Operacional</v>
      </c>
      <c r="C99" t="str">
        <f>'D2 - Capex uso'!C103</f>
        <v>Ingresso</v>
      </c>
      <c r="D99" t="str">
        <f>'D2 - Capex uso'!AK103</f>
        <v>Equipamentos e instalações</v>
      </c>
      <c r="E99">
        <f>'D2 - Capex uso'!BS103</f>
        <v>330000</v>
      </c>
      <c r="F99">
        <f>'D2 - Capex uso'!BT103</f>
        <v>0</v>
      </c>
      <c r="G99">
        <f>'D2 - Capex uso'!BU103</f>
        <v>0</v>
      </c>
      <c r="H99">
        <f>'D2 - Capex uso'!BV103</f>
        <v>0</v>
      </c>
      <c r="I99">
        <f>'D2 - Capex uso'!BW103</f>
        <v>0</v>
      </c>
      <c r="J99">
        <f>'D2 - Capex uso'!BX103</f>
        <v>0</v>
      </c>
      <c r="K99">
        <f>'D2 - Capex uso'!BY103</f>
        <v>0</v>
      </c>
      <c r="L99">
        <f>'D2 - Capex uso'!BZ103</f>
        <v>0</v>
      </c>
      <c r="M99">
        <f>'D2 - Capex uso'!CA103</f>
        <v>0</v>
      </c>
      <c r="N99">
        <f>'D2 - Capex uso'!CB103</f>
        <v>0</v>
      </c>
      <c r="O99">
        <f>'D2 - Capex uso'!CC103</f>
        <v>330000</v>
      </c>
      <c r="P99">
        <f>'D2 - Capex uso'!CD103</f>
        <v>0</v>
      </c>
      <c r="Q99">
        <f>'D2 - Capex uso'!CE103</f>
        <v>0</v>
      </c>
      <c r="R99">
        <f>'D2 - Capex uso'!CF103</f>
        <v>0</v>
      </c>
      <c r="S99">
        <f>'D2 - Capex uso'!CG103</f>
        <v>0</v>
      </c>
      <c r="T99">
        <f>'D2 - Capex uso'!CH103</f>
        <v>0</v>
      </c>
      <c r="U99">
        <f>'D2 - Capex uso'!CI103</f>
        <v>0</v>
      </c>
      <c r="V99">
        <f>'D2 - Capex uso'!CJ103</f>
        <v>0</v>
      </c>
      <c r="W99">
        <f>'D2 - Capex uso'!CK103</f>
        <v>0</v>
      </c>
      <c r="X99">
        <f>'D2 - Capex uso'!CL103</f>
        <v>0</v>
      </c>
      <c r="Y99">
        <f>'D2 - Capex uso'!CM103</f>
        <v>330000</v>
      </c>
      <c r="Z99">
        <f>'D2 - Capex uso'!CN103</f>
        <v>0</v>
      </c>
      <c r="AA99">
        <f>'D2 - Capex uso'!CO103</f>
        <v>0</v>
      </c>
      <c r="AB99">
        <f>'D2 - Capex uso'!CP103</f>
        <v>0</v>
      </c>
      <c r="AC99">
        <f>'D2 - Capex uso'!CQ103</f>
        <v>0</v>
      </c>
      <c r="AD99">
        <f>'D2 - Capex uso'!CR103</f>
        <v>0</v>
      </c>
      <c r="AE99">
        <f>'D2 - Capex uso'!CS103</f>
        <v>0</v>
      </c>
      <c r="AF99">
        <f>'D2 - Capex uso'!CT103</f>
        <v>0</v>
      </c>
      <c r="AG99">
        <f>'D2 - Capex uso'!CU103</f>
        <v>0</v>
      </c>
      <c r="AH99">
        <f>'D2 - Capex uso'!CV103</f>
        <v>0</v>
      </c>
      <c r="AI99">
        <f t="shared" si="1"/>
        <v>990000</v>
      </c>
    </row>
    <row r="100" spans="1:35">
      <c r="A100" t="str">
        <f>'D2 - Capex uso'!A104</f>
        <v>Biodigestor 3000</v>
      </c>
      <c r="B100" t="str">
        <f>'D2 - Capex uso'!B104</f>
        <v>Encargo</v>
      </c>
      <c r="C100" t="str">
        <f>'D2 - Capex uso'!C104</f>
        <v>Água e Esgoto</v>
      </c>
      <c r="D100" t="str">
        <f>'D2 - Capex uso'!AK104</f>
        <v>Edificações</v>
      </c>
      <c r="E100">
        <f>'D2 - Capex uso'!BS104</f>
        <v>248930.00000000003</v>
      </c>
      <c r="F100">
        <f>'D2 - Capex uso'!BT104</f>
        <v>0</v>
      </c>
      <c r="G100">
        <f>'D2 - Capex uso'!BU104</f>
        <v>0</v>
      </c>
      <c r="H100">
        <f>'D2 - Capex uso'!BV104</f>
        <v>0</v>
      </c>
      <c r="I100">
        <f>'D2 - Capex uso'!BW104</f>
        <v>0</v>
      </c>
      <c r="J100">
        <f>'D2 - Capex uso'!BX104</f>
        <v>0</v>
      </c>
      <c r="K100">
        <f>'D2 - Capex uso'!BY104</f>
        <v>0</v>
      </c>
      <c r="L100">
        <f>'D2 - Capex uso'!BZ104</f>
        <v>0</v>
      </c>
      <c r="M100">
        <f>'D2 - Capex uso'!CA104</f>
        <v>0</v>
      </c>
      <c r="N100">
        <f>'D2 - Capex uso'!CB104</f>
        <v>0</v>
      </c>
      <c r="O100">
        <f>'D2 - Capex uso'!CC104</f>
        <v>0</v>
      </c>
      <c r="P100">
        <f>'D2 - Capex uso'!CD104</f>
        <v>0</v>
      </c>
      <c r="Q100">
        <f>'D2 - Capex uso'!CE104</f>
        <v>0</v>
      </c>
      <c r="R100">
        <f>'D2 - Capex uso'!CF104</f>
        <v>0</v>
      </c>
      <c r="S100">
        <f>'D2 - Capex uso'!CG104</f>
        <v>0</v>
      </c>
      <c r="T100">
        <f>'D2 - Capex uso'!CH104</f>
        <v>0</v>
      </c>
      <c r="U100">
        <f>'D2 - Capex uso'!CI104</f>
        <v>0</v>
      </c>
      <c r="V100">
        <f>'D2 - Capex uso'!CJ104</f>
        <v>0</v>
      </c>
      <c r="W100">
        <f>'D2 - Capex uso'!CK104</f>
        <v>0</v>
      </c>
      <c r="X100">
        <f>'D2 - Capex uso'!CL104</f>
        <v>0</v>
      </c>
      <c r="Y100">
        <f>'D2 - Capex uso'!CM104</f>
        <v>0</v>
      </c>
      <c r="Z100">
        <f>'D2 - Capex uso'!CN104</f>
        <v>0</v>
      </c>
      <c r="AA100">
        <f>'D2 - Capex uso'!CO104</f>
        <v>0</v>
      </c>
      <c r="AB100">
        <f>'D2 - Capex uso'!CP104</f>
        <v>0</v>
      </c>
      <c r="AC100">
        <f>'D2 - Capex uso'!CQ104</f>
        <v>0</v>
      </c>
      <c r="AD100">
        <f>'D2 - Capex uso'!CR104</f>
        <v>0</v>
      </c>
      <c r="AE100">
        <f>'D2 - Capex uso'!CS104</f>
        <v>0</v>
      </c>
      <c r="AF100">
        <f>'D2 - Capex uso'!CT104</f>
        <v>0</v>
      </c>
      <c r="AG100">
        <f>'D2 - Capex uso'!CU104</f>
        <v>0</v>
      </c>
      <c r="AH100">
        <f>'D2 - Capex uso'!CV104</f>
        <v>0</v>
      </c>
      <c r="AI100">
        <f t="shared" si="1"/>
        <v>248930.00000000003</v>
      </c>
    </row>
    <row r="101" spans="1:35">
      <c r="A101" t="str">
        <f>'D2 - Capex uso'!A105</f>
        <v>Biodigestor 1300</v>
      </c>
      <c r="B101" t="str">
        <f>'D2 - Capex uso'!B105</f>
        <v>Encargo</v>
      </c>
      <c r="C101" t="str">
        <f>'D2 - Capex uso'!C105</f>
        <v>Água e Esgoto</v>
      </c>
      <c r="D101" t="str">
        <f>'D2 - Capex uso'!AK105</f>
        <v>Edificações</v>
      </c>
      <c r="E101">
        <f>'D2 - Capex uso'!BS105</f>
        <v>8500.8000000000011</v>
      </c>
      <c r="F101">
        <f>'D2 - Capex uso'!BT105</f>
        <v>0</v>
      </c>
      <c r="G101">
        <f>'D2 - Capex uso'!BU105</f>
        <v>0</v>
      </c>
      <c r="H101">
        <f>'D2 - Capex uso'!BV105</f>
        <v>0</v>
      </c>
      <c r="I101">
        <f>'D2 - Capex uso'!BW105</f>
        <v>0</v>
      </c>
      <c r="J101">
        <f>'D2 - Capex uso'!BX105</f>
        <v>0</v>
      </c>
      <c r="K101">
        <f>'D2 - Capex uso'!BY105</f>
        <v>0</v>
      </c>
      <c r="L101">
        <f>'D2 - Capex uso'!BZ105</f>
        <v>0</v>
      </c>
      <c r="M101">
        <f>'D2 - Capex uso'!CA105</f>
        <v>0</v>
      </c>
      <c r="N101">
        <f>'D2 - Capex uso'!CB105</f>
        <v>0</v>
      </c>
      <c r="O101">
        <f>'D2 - Capex uso'!CC105</f>
        <v>0</v>
      </c>
      <c r="P101">
        <f>'D2 - Capex uso'!CD105</f>
        <v>0</v>
      </c>
      <c r="Q101">
        <f>'D2 - Capex uso'!CE105</f>
        <v>0</v>
      </c>
      <c r="R101">
        <f>'D2 - Capex uso'!CF105</f>
        <v>0</v>
      </c>
      <c r="S101">
        <f>'D2 - Capex uso'!CG105</f>
        <v>0</v>
      </c>
      <c r="T101">
        <f>'D2 - Capex uso'!CH105</f>
        <v>0</v>
      </c>
      <c r="U101">
        <f>'D2 - Capex uso'!CI105</f>
        <v>0</v>
      </c>
      <c r="V101">
        <f>'D2 - Capex uso'!CJ105</f>
        <v>0</v>
      </c>
      <c r="W101">
        <f>'D2 - Capex uso'!CK105</f>
        <v>0</v>
      </c>
      <c r="X101">
        <f>'D2 - Capex uso'!CL105</f>
        <v>0</v>
      </c>
      <c r="Y101">
        <f>'D2 - Capex uso'!CM105</f>
        <v>0</v>
      </c>
      <c r="Z101">
        <f>'D2 - Capex uso'!CN105</f>
        <v>0</v>
      </c>
      <c r="AA101">
        <f>'D2 - Capex uso'!CO105</f>
        <v>0</v>
      </c>
      <c r="AB101">
        <f>'D2 - Capex uso'!CP105</f>
        <v>0</v>
      </c>
      <c r="AC101">
        <f>'D2 - Capex uso'!CQ105</f>
        <v>0</v>
      </c>
      <c r="AD101">
        <f>'D2 - Capex uso'!CR105</f>
        <v>0</v>
      </c>
      <c r="AE101">
        <f>'D2 - Capex uso'!CS105</f>
        <v>0</v>
      </c>
      <c r="AF101">
        <f>'D2 - Capex uso'!CT105</f>
        <v>0</v>
      </c>
      <c r="AG101">
        <f>'D2 - Capex uso'!CU105</f>
        <v>0</v>
      </c>
      <c r="AH101">
        <f>'D2 - Capex uso'!CV105</f>
        <v>0</v>
      </c>
      <c r="AI101">
        <f t="shared" si="1"/>
        <v>8500.8000000000011</v>
      </c>
    </row>
    <row r="102" spans="1:35">
      <c r="A102" t="str">
        <f>'D2 - Capex uso'!A106</f>
        <v>Pavimentação com pedra tosca</v>
      </c>
      <c r="B102" t="str">
        <f>'D2 - Capex uso'!B106</f>
        <v>Encargo</v>
      </c>
      <c r="C102" t="str">
        <f>'D2 - Capex uso'!C106</f>
        <v>Construções e reformas</v>
      </c>
      <c r="D102" t="str">
        <f>'D2 - Capex uso'!AK106</f>
        <v>Infraestrutura</v>
      </c>
      <c r="E102">
        <f>'D2 - Capex uso'!BS106</f>
        <v>2381133.333333334</v>
      </c>
      <c r="F102">
        <f>'D2 - Capex uso'!BT106</f>
        <v>2381133.333333334</v>
      </c>
      <c r="G102">
        <f>'D2 - Capex uso'!BU106</f>
        <v>2381133.333333334</v>
      </c>
      <c r="H102">
        <f>'D2 - Capex uso'!BV106</f>
        <v>0</v>
      </c>
      <c r="I102">
        <f>'D2 - Capex uso'!BW106</f>
        <v>0</v>
      </c>
      <c r="J102">
        <f>'D2 - Capex uso'!BX106</f>
        <v>0</v>
      </c>
      <c r="K102">
        <f>'D2 - Capex uso'!BY106</f>
        <v>0</v>
      </c>
      <c r="L102">
        <f>'D2 - Capex uso'!BZ106</f>
        <v>0</v>
      </c>
      <c r="M102">
        <f>'D2 - Capex uso'!CA106</f>
        <v>0</v>
      </c>
      <c r="N102">
        <f>'D2 - Capex uso'!CB106</f>
        <v>0</v>
      </c>
      <c r="O102">
        <f>'D2 - Capex uso'!CC106</f>
        <v>0</v>
      </c>
      <c r="P102">
        <f>'D2 - Capex uso'!CD106</f>
        <v>0</v>
      </c>
      <c r="Q102">
        <f>'D2 - Capex uso'!CE106</f>
        <v>0</v>
      </c>
      <c r="R102">
        <f>'D2 - Capex uso'!CF106</f>
        <v>0</v>
      </c>
      <c r="S102">
        <f>'D2 - Capex uso'!CG106</f>
        <v>0</v>
      </c>
      <c r="T102">
        <f>'D2 - Capex uso'!CH106</f>
        <v>0</v>
      </c>
      <c r="U102">
        <f>'D2 - Capex uso'!CI106</f>
        <v>0</v>
      </c>
      <c r="V102">
        <f>'D2 - Capex uso'!CJ106</f>
        <v>0</v>
      </c>
      <c r="W102">
        <f>'D2 - Capex uso'!CK106</f>
        <v>0</v>
      </c>
      <c r="X102">
        <f>'D2 - Capex uso'!CL106</f>
        <v>0</v>
      </c>
      <c r="Y102">
        <f>'D2 - Capex uso'!CM106</f>
        <v>0</v>
      </c>
      <c r="Z102">
        <f>'D2 - Capex uso'!CN106</f>
        <v>0</v>
      </c>
      <c r="AA102">
        <f>'D2 - Capex uso'!CO106</f>
        <v>0</v>
      </c>
      <c r="AB102">
        <f>'D2 - Capex uso'!CP106</f>
        <v>0</v>
      </c>
      <c r="AC102">
        <f>'D2 - Capex uso'!CQ106</f>
        <v>0</v>
      </c>
      <c r="AD102">
        <f>'D2 - Capex uso'!CR106</f>
        <v>0</v>
      </c>
      <c r="AE102">
        <f>'D2 - Capex uso'!CS106</f>
        <v>0</v>
      </c>
      <c r="AF102">
        <f>'D2 - Capex uso'!CT106</f>
        <v>0</v>
      </c>
      <c r="AG102">
        <f>'D2 - Capex uso'!CU106</f>
        <v>0</v>
      </c>
      <c r="AH102">
        <f>'D2 - Capex uso'!CV106</f>
        <v>0</v>
      </c>
      <c r="AI102">
        <f t="shared" si="1"/>
        <v>7143400.0000000019</v>
      </c>
    </row>
    <row r="103" spans="1:35">
      <c r="A103" t="str">
        <f>'D2 - Capex uso'!A107</f>
        <v>Construção em madeira com fechamento de madeira</v>
      </c>
      <c r="B103" t="str">
        <f>'D2 - Capex uso'!B107</f>
        <v>Encargo</v>
      </c>
      <c r="C103" t="str">
        <f>'D2 - Capex uso'!C107</f>
        <v>Administrativo</v>
      </c>
      <c r="D103" t="str">
        <f>'D2 - Capex uso'!AK107</f>
        <v>Edificações</v>
      </c>
      <c r="E103">
        <f>'D2 - Capex uso'!BS107</f>
        <v>1028122.3333333334</v>
      </c>
      <c r="F103">
        <f>'D2 - Capex uso'!BT107</f>
        <v>1028122.3333333334</v>
      </c>
      <c r="G103">
        <f>'D2 - Capex uso'!BU107</f>
        <v>1028122.3333333334</v>
      </c>
      <c r="H103">
        <f>'D2 - Capex uso'!BV107</f>
        <v>0</v>
      </c>
      <c r="I103">
        <f>'D2 - Capex uso'!BW107</f>
        <v>0</v>
      </c>
      <c r="J103">
        <f>'D2 - Capex uso'!BX107</f>
        <v>0</v>
      </c>
      <c r="K103">
        <f>'D2 - Capex uso'!BY107</f>
        <v>0</v>
      </c>
      <c r="L103">
        <f>'D2 - Capex uso'!BZ107</f>
        <v>0</v>
      </c>
      <c r="M103">
        <f>'D2 - Capex uso'!CA107</f>
        <v>0</v>
      </c>
      <c r="N103">
        <f>'D2 - Capex uso'!CB107</f>
        <v>0</v>
      </c>
      <c r="O103">
        <f>'D2 - Capex uso'!CC107</f>
        <v>0</v>
      </c>
      <c r="P103">
        <f>'D2 - Capex uso'!CD107</f>
        <v>0</v>
      </c>
      <c r="Q103">
        <f>'D2 - Capex uso'!CE107</f>
        <v>0</v>
      </c>
      <c r="R103">
        <f>'D2 - Capex uso'!CF107</f>
        <v>0</v>
      </c>
      <c r="S103">
        <f>'D2 - Capex uso'!CG107</f>
        <v>0</v>
      </c>
      <c r="T103">
        <f>'D2 - Capex uso'!CH107</f>
        <v>0</v>
      </c>
      <c r="U103">
        <f>'D2 - Capex uso'!CI107</f>
        <v>0</v>
      </c>
      <c r="V103">
        <f>'D2 - Capex uso'!CJ107</f>
        <v>0</v>
      </c>
      <c r="W103">
        <f>'D2 - Capex uso'!CK107</f>
        <v>0</v>
      </c>
      <c r="X103">
        <f>'D2 - Capex uso'!CL107</f>
        <v>0</v>
      </c>
      <c r="Y103">
        <f>'D2 - Capex uso'!CM107</f>
        <v>0</v>
      </c>
      <c r="Z103">
        <f>'D2 - Capex uso'!CN107</f>
        <v>0</v>
      </c>
      <c r="AA103">
        <f>'D2 - Capex uso'!CO107</f>
        <v>0</v>
      </c>
      <c r="AB103">
        <f>'D2 - Capex uso'!CP107</f>
        <v>0</v>
      </c>
      <c r="AC103">
        <f>'D2 - Capex uso'!CQ107</f>
        <v>0</v>
      </c>
      <c r="AD103">
        <f>'D2 - Capex uso'!CR107</f>
        <v>0</v>
      </c>
      <c r="AE103">
        <f>'D2 - Capex uso'!CS107</f>
        <v>0</v>
      </c>
      <c r="AF103">
        <f>'D2 - Capex uso'!CT107</f>
        <v>0</v>
      </c>
      <c r="AG103">
        <f>'D2 - Capex uso'!CU107</f>
        <v>0</v>
      </c>
      <c r="AH103">
        <f>'D2 - Capex uso'!CV107</f>
        <v>0</v>
      </c>
      <c r="AI103">
        <f t="shared" si="1"/>
        <v>3084367</v>
      </c>
    </row>
    <row r="104" spans="1:35">
      <c r="A104" t="str">
        <f>'D2 - Capex uso'!A108</f>
        <v>Reforma de edificações</v>
      </c>
      <c r="B104" t="str">
        <f>'D2 - Capex uso'!B108</f>
        <v>Encargo</v>
      </c>
      <c r="C104" t="str">
        <f>'D2 - Capex uso'!C108</f>
        <v>Administrativo</v>
      </c>
      <c r="D104" t="str">
        <f>'D2 - Capex uso'!AK108</f>
        <v>Edificações</v>
      </c>
      <c r="E104">
        <f>'D2 - Capex uso'!BS108</f>
        <v>830406.5</v>
      </c>
      <c r="F104">
        <f>'D2 - Capex uso'!BT108</f>
        <v>830406.5</v>
      </c>
      <c r="G104">
        <f>'D2 - Capex uso'!BU108</f>
        <v>0</v>
      </c>
      <c r="H104">
        <f>'D2 - Capex uso'!BV108</f>
        <v>0</v>
      </c>
      <c r="I104">
        <f>'D2 - Capex uso'!BW108</f>
        <v>0</v>
      </c>
      <c r="J104">
        <f>'D2 - Capex uso'!BX108</f>
        <v>0</v>
      </c>
      <c r="K104">
        <f>'D2 - Capex uso'!BY108</f>
        <v>0</v>
      </c>
      <c r="L104">
        <f>'D2 - Capex uso'!BZ108</f>
        <v>0</v>
      </c>
      <c r="M104">
        <f>'D2 - Capex uso'!CA108</f>
        <v>0</v>
      </c>
      <c r="N104">
        <f>'D2 - Capex uso'!CB108</f>
        <v>0</v>
      </c>
      <c r="O104">
        <f>'D2 - Capex uso'!CC108</f>
        <v>0</v>
      </c>
      <c r="P104">
        <f>'D2 - Capex uso'!CD108</f>
        <v>0</v>
      </c>
      <c r="Q104">
        <f>'D2 - Capex uso'!CE108</f>
        <v>0</v>
      </c>
      <c r="R104">
        <f>'D2 - Capex uso'!CF108</f>
        <v>0</v>
      </c>
      <c r="S104">
        <f>'D2 - Capex uso'!CG108</f>
        <v>0</v>
      </c>
      <c r="T104">
        <f>'D2 - Capex uso'!CH108</f>
        <v>0</v>
      </c>
      <c r="U104">
        <f>'D2 - Capex uso'!CI108</f>
        <v>0</v>
      </c>
      <c r="V104">
        <f>'D2 - Capex uso'!CJ108</f>
        <v>0</v>
      </c>
      <c r="W104">
        <f>'D2 - Capex uso'!CK108</f>
        <v>0</v>
      </c>
      <c r="X104">
        <f>'D2 - Capex uso'!CL108</f>
        <v>0</v>
      </c>
      <c r="Y104">
        <f>'D2 - Capex uso'!CM108</f>
        <v>0</v>
      </c>
      <c r="Z104">
        <f>'D2 - Capex uso'!CN108</f>
        <v>0</v>
      </c>
      <c r="AA104">
        <f>'D2 - Capex uso'!CO108</f>
        <v>0</v>
      </c>
      <c r="AB104">
        <f>'D2 - Capex uso'!CP108</f>
        <v>0</v>
      </c>
      <c r="AC104">
        <f>'D2 - Capex uso'!CQ108</f>
        <v>0</v>
      </c>
      <c r="AD104">
        <f>'D2 - Capex uso'!CR108</f>
        <v>0</v>
      </c>
      <c r="AE104">
        <f>'D2 - Capex uso'!CS108</f>
        <v>0</v>
      </c>
      <c r="AF104">
        <f>'D2 - Capex uso'!CT108</f>
        <v>0</v>
      </c>
      <c r="AG104">
        <f>'D2 - Capex uso'!CU108</f>
        <v>0</v>
      </c>
      <c r="AH104">
        <f>'D2 - Capex uso'!CV108</f>
        <v>0</v>
      </c>
      <c r="AI104">
        <f t="shared" si="1"/>
        <v>1660813</v>
      </c>
    </row>
    <row r="108" spans="1:35">
      <c r="A108" s="399" t="s">
        <v>450</v>
      </c>
      <c r="E108">
        <f>SUM(E2:E107)</f>
        <v>41400633.088466667</v>
      </c>
      <c r="F108">
        <f t="shared" ref="F108:AH108" si="2">SUM(F2:F107)</f>
        <v>16959622.166666668</v>
      </c>
      <c r="G108">
        <f t="shared" si="2"/>
        <v>10024215.666666668</v>
      </c>
      <c r="H108">
        <f t="shared" si="2"/>
        <v>1693560</v>
      </c>
      <c r="I108">
        <f t="shared" si="2"/>
        <v>0</v>
      </c>
      <c r="J108">
        <f t="shared" si="2"/>
        <v>4805744.108</v>
      </c>
      <c r="K108">
        <f t="shared" si="2"/>
        <v>43560.000000000007</v>
      </c>
      <c r="L108">
        <f t="shared" si="2"/>
        <v>0</v>
      </c>
      <c r="M108">
        <f t="shared" si="2"/>
        <v>0</v>
      </c>
      <c r="N108">
        <f t="shared" si="2"/>
        <v>43560.000000000007</v>
      </c>
      <c r="O108">
        <f t="shared" si="2"/>
        <v>10681096.206</v>
      </c>
      <c r="P108">
        <f t="shared" si="2"/>
        <v>0</v>
      </c>
      <c r="Q108">
        <f t="shared" si="2"/>
        <v>43560.000000000007</v>
      </c>
      <c r="R108">
        <f t="shared" si="2"/>
        <v>0</v>
      </c>
      <c r="S108">
        <f t="shared" si="2"/>
        <v>0</v>
      </c>
      <c r="T108">
        <f t="shared" si="2"/>
        <v>4849304.108</v>
      </c>
      <c r="U108">
        <f t="shared" si="2"/>
        <v>0</v>
      </c>
      <c r="V108">
        <f t="shared" si="2"/>
        <v>0</v>
      </c>
      <c r="W108">
        <f t="shared" si="2"/>
        <v>43560.000000000007</v>
      </c>
      <c r="X108">
        <f t="shared" si="2"/>
        <v>0</v>
      </c>
      <c r="Y108">
        <f t="shared" si="2"/>
        <v>20427096.206</v>
      </c>
      <c r="Z108">
        <f t="shared" si="2"/>
        <v>43560.000000000007</v>
      </c>
      <c r="AA108">
        <f t="shared" si="2"/>
        <v>0</v>
      </c>
      <c r="AB108">
        <f t="shared" si="2"/>
        <v>0</v>
      </c>
      <c r="AC108">
        <f t="shared" si="2"/>
        <v>43560.000000000007</v>
      </c>
      <c r="AD108">
        <f t="shared" si="2"/>
        <v>4805744.108</v>
      </c>
      <c r="AE108">
        <f t="shared" si="2"/>
        <v>0</v>
      </c>
      <c r="AF108">
        <f t="shared" si="2"/>
        <v>43560.000000000007</v>
      </c>
      <c r="AG108">
        <f t="shared" si="2"/>
        <v>0</v>
      </c>
      <c r="AH108">
        <f t="shared" si="2"/>
        <v>0</v>
      </c>
    </row>
    <row r="110" spans="1:35">
      <c r="A110" s="399" t="s">
        <v>451</v>
      </c>
      <c r="E110">
        <f>E108</f>
        <v>41400633.088466667</v>
      </c>
      <c r="F110">
        <f>F108+E110</f>
        <v>58360255.255133331</v>
      </c>
      <c r="G110">
        <f>G108+F110</f>
        <v>68384470.921800002</v>
      </c>
      <c r="H110">
        <f>H108+G110</f>
        <v>70078030.921800002</v>
      </c>
      <c r="I110">
        <f t="shared" ref="I110:AH110" si="3">I108+H110</f>
        <v>70078030.921800002</v>
      </c>
      <c r="J110">
        <f t="shared" si="3"/>
        <v>74883775.029799998</v>
      </c>
      <c r="K110">
        <f t="shared" si="3"/>
        <v>74927335.029799998</v>
      </c>
      <c r="L110">
        <f t="shared" si="3"/>
        <v>74927335.029799998</v>
      </c>
      <c r="M110">
        <f t="shared" si="3"/>
        <v>74927335.029799998</v>
      </c>
      <c r="N110">
        <f t="shared" si="3"/>
        <v>74970895.029799998</v>
      </c>
      <c r="O110">
        <f t="shared" si="3"/>
        <v>85651991.235799998</v>
      </c>
      <c r="P110">
        <f t="shared" si="3"/>
        <v>85651991.235799998</v>
      </c>
      <c r="Q110">
        <f t="shared" si="3"/>
        <v>85695551.235799998</v>
      </c>
      <c r="R110">
        <f t="shared" si="3"/>
        <v>85695551.235799998</v>
      </c>
      <c r="S110">
        <f t="shared" si="3"/>
        <v>85695551.235799998</v>
      </c>
      <c r="T110">
        <f t="shared" si="3"/>
        <v>90544855.343799993</v>
      </c>
      <c r="U110">
        <f t="shared" si="3"/>
        <v>90544855.343799993</v>
      </c>
      <c r="V110">
        <f t="shared" si="3"/>
        <v>90544855.343799993</v>
      </c>
      <c r="W110">
        <f t="shared" si="3"/>
        <v>90588415.343799993</v>
      </c>
      <c r="X110">
        <f t="shared" si="3"/>
        <v>90588415.343799993</v>
      </c>
      <c r="Y110">
        <f t="shared" si="3"/>
        <v>111015511.54979999</v>
      </c>
      <c r="Z110">
        <f t="shared" si="3"/>
        <v>111059071.54979999</v>
      </c>
      <c r="AA110">
        <f t="shared" si="3"/>
        <v>111059071.54979999</v>
      </c>
      <c r="AB110">
        <f t="shared" si="3"/>
        <v>111059071.54979999</v>
      </c>
      <c r="AC110">
        <f t="shared" si="3"/>
        <v>111102631.54979999</v>
      </c>
      <c r="AD110">
        <f t="shared" si="3"/>
        <v>115908375.65779999</v>
      </c>
      <c r="AE110">
        <f t="shared" si="3"/>
        <v>115908375.65779999</v>
      </c>
      <c r="AF110">
        <f t="shared" si="3"/>
        <v>115951935.65779999</v>
      </c>
      <c r="AG110">
        <f t="shared" si="3"/>
        <v>115951935.65779999</v>
      </c>
      <c r="AH110">
        <f t="shared" si="3"/>
        <v>115951935.65779999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16">
    <tabColor theme="4"/>
  </sheetPr>
  <dimension ref="A1:AG58"/>
  <sheetViews>
    <sheetView workbookViewId="0"/>
  </sheetViews>
  <sheetFormatPr defaultColWidth="11.44140625" defaultRowHeight="15" customHeight="1"/>
  <cols>
    <col min="1" max="1" width="21.21875" customWidth="1"/>
    <col min="2" max="2" width="42" customWidth="1"/>
    <col min="3" max="22" width="11.21875" customWidth="1"/>
    <col min="23" max="33" width="10.5546875" customWidth="1"/>
    <col min="34" max="35" width="11.44140625" customWidth="1"/>
  </cols>
  <sheetData>
    <row r="1" spans="1:33" ht="15.75" customHeight="1">
      <c r="A1" s="594"/>
      <c r="B1" s="592" t="s">
        <v>452</v>
      </c>
      <c r="C1" s="594"/>
      <c r="D1" s="594"/>
      <c r="E1" s="594"/>
      <c r="F1" s="594"/>
      <c r="G1" s="594"/>
      <c r="H1" s="594"/>
      <c r="I1" s="594"/>
      <c r="J1" s="594"/>
      <c r="K1" s="594"/>
      <c r="L1" s="594"/>
      <c r="M1" s="594"/>
      <c r="N1" s="594"/>
      <c r="O1" s="594"/>
      <c r="P1" s="594"/>
      <c r="Q1" s="594"/>
      <c r="R1" s="594"/>
      <c r="S1" s="594"/>
      <c r="T1" s="594"/>
      <c r="U1" s="594"/>
      <c r="V1" s="594"/>
      <c r="W1" s="594"/>
      <c r="X1" s="594"/>
      <c r="Y1" s="594"/>
      <c r="Z1" s="594"/>
      <c r="AA1" s="594"/>
      <c r="AB1" s="594"/>
      <c r="AC1" s="594"/>
      <c r="AD1" s="594"/>
      <c r="AE1" s="594"/>
      <c r="AF1" s="594"/>
      <c r="AG1" s="594"/>
    </row>
    <row r="2" spans="1:33" ht="15.75" customHeight="1">
      <c r="A2" s="594"/>
      <c r="B2" s="594"/>
      <c r="C2" s="594" t="s">
        <v>453</v>
      </c>
      <c r="D2" s="594">
        <v>0</v>
      </c>
      <c r="E2" s="594">
        <v>0</v>
      </c>
      <c r="F2" s="594">
        <v>0</v>
      </c>
      <c r="G2" s="594">
        <v>0</v>
      </c>
      <c r="H2" s="594">
        <v>1</v>
      </c>
      <c r="I2" s="594">
        <v>1</v>
      </c>
      <c r="J2" s="594">
        <v>1</v>
      </c>
      <c r="K2" s="594">
        <v>1</v>
      </c>
      <c r="L2" s="594">
        <v>1</v>
      </c>
      <c r="M2" s="594">
        <v>1</v>
      </c>
      <c r="N2" s="594">
        <v>1</v>
      </c>
      <c r="O2" s="594">
        <v>1</v>
      </c>
      <c r="P2" s="594">
        <v>1</v>
      </c>
      <c r="Q2" s="594">
        <v>1</v>
      </c>
      <c r="R2" s="594">
        <v>1</v>
      </c>
      <c r="S2" s="594">
        <v>1</v>
      </c>
      <c r="T2" s="594">
        <v>1</v>
      </c>
      <c r="U2" s="594">
        <v>1</v>
      </c>
      <c r="V2" s="594">
        <v>1</v>
      </c>
      <c r="W2" s="594">
        <v>1</v>
      </c>
      <c r="X2" s="594">
        <v>1</v>
      </c>
      <c r="Y2" s="594">
        <v>1</v>
      </c>
      <c r="Z2" s="594">
        <v>1</v>
      </c>
      <c r="AA2" s="594">
        <v>1</v>
      </c>
      <c r="AB2" s="594">
        <v>1</v>
      </c>
      <c r="AC2" s="594">
        <v>1</v>
      </c>
      <c r="AD2" s="594">
        <v>1</v>
      </c>
      <c r="AE2" s="594">
        <v>1</v>
      </c>
      <c r="AF2" s="594">
        <v>1</v>
      </c>
      <c r="AG2" s="594">
        <v>1</v>
      </c>
    </row>
    <row r="3" spans="1:33" ht="27" customHeight="1">
      <c r="A3" s="594"/>
      <c r="B3" s="594"/>
      <c r="C3" s="594"/>
      <c r="D3" s="145">
        <v>1</v>
      </c>
      <c r="E3" s="145">
        <v>2</v>
      </c>
      <c r="F3" s="145">
        <v>3</v>
      </c>
      <c r="G3" s="145">
        <v>4</v>
      </c>
      <c r="H3" s="145">
        <v>5</v>
      </c>
      <c r="I3" s="145">
        <v>6</v>
      </c>
      <c r="J3" s="145">
        <v>7</v>
      </c>
      <c r="K3" s="145">
        <v>8</v>
      </c>
      <c r="L3" s="145">
        <v>9</v>
      </c>
      <c r="M3" s="145">
        <v>10</v>
      </c>
      <c r="N3" s="145">
        <v>11</v>
      </c>
      <c r="O3" s="145">
        <v>12</v>
      </c>
      <c r="P3" s="145">
        <v>13</v>
      </c>
      <c r="Q3" s="145">
        <v>14</v>
      </c>
      <c r="R3" s="145">
        <v>15</v>
      </c>
      <c r="S3" s="145">
        <v>16</v>
      </c>
      <c r="T3" s="145">
        <v>17</v>
      </c>
      <c r="U3" s="145">
        <v>18</v>
      </c>
      <c r="V3" s="145">
        <v>19</v>
      </c>
      <c r="W3" s="145">
        <v>20</v>
      </c>
      <c r="X3" s="145">
        <v>21</v>
      </c>
      <c r="Y3" s="145">
        <v>22</v>
      </c>
      <c r="Z3" s="145">
        <v>23</v>
      </c>
      <c r="AA3" s="145">
        <v>24</v>
      </c>
      <c r="AB3" s="145">
        <v>25</v>
      </c>
      <c r="AC3" s="145">
        <v>26</v>
      </c>
      <c r="AD3" s="145">
        <v>27</v>
      </c>
      <c r="AE3" s="145">
        <v>28</v>
      </c>
      <c r="AF3" s="145">
        <v>29</v>
      </c>
      <c r="AG3" s="145">
        <v>30</v>
      </c>
    </row>
    <row r="4" spans="1:33" ht="27" customHeight="1">
      <c r="A4" s="594"/>
      <c r="B4" s="781" t="s">
        <v>454</v>
      </c>
      <c r="C4" s="813"/>
      <c r="D4" s="146">
        <f>Outorga*'A4 - Previsão de Receita Bruta'!C27*D2</f>
        <v>0</v>
      </c>
      <c r="E4" s="146">
        <f>Outorga*'A4 - Previsão de Receita Bruta'!D27*E2</f>
        <v>0</v>
      </c>
      <c r="F4" s="146">
        <f>Outorga*'A4 - Previsão de Receita Bruta'!E27*F2</f>
        <v>0</v>
      </c>
      <c r="G4" s="146">
        <f>Outorga*'A4 - Previsão de Receita Bruta'!F27*G2</f>
        <v>0</v>
      </c>
      <c r="H4" s="146">
        <f>Outorga*'A4 - Previsão de Receita Bruta'!G27*H2</f>
        <v>2339372.5</v>
      </c>
      <c r="I4" s="146">
        <f>Outorga*'A4 - Previsão de Receita Bruta'!H27*I2</f>
        <v>2412690.9</v>
      </c>
      <c r="J4" s="146">
        <f>Outorga*'A4 - Previsão de Receita Bruta'!I27*J2</f>
        <v>2488088.8000000003</v>
      </c>
      <c r="K4" s="146">
        <f>Outorga*'A4 - Previsão de Receita Bruta'!J27*K2</f>
        <v>2565675.9000000004</v>
      </c>
      <c r="L4" s="146">
        <f>Outorga*'A4 - Previsão de Receita Bruta'!K27*L2</f>
        <v>2644680.3000000003</v>
      </c>
      <c r="M4" s="146">
        <f>Outorga*'A4 - Previsão de Receita Bruta'!L27*M2</f>
        <v>2725148.1</v>
      </c>
      <c r="N4" s="146">
        <f>Outorga*'A4 - Previsão de Receita Bruta'!M27*N2</f>
        <v>2808141.4000000004</v>
      </c>
      <c r="O4" s="146">
        <f>Outorga*'A4 - Previsão de Receita Bruta'!N27*O2</f>
        <v>2893625.45</v>
      </c>
      <c r="P4" s="146">
        <f>Outorga*'A4 - Previsão de Receita Bruta'!O27*P2</f>
        <v>2981829</v>
      </c>
      <c r="Q4" s="146">
        <f>Outorga*'A4 - Previsão de Receita Bruta'!P27*Q2</f>
        <v>3072702.5</v>
      </c>
      <c r="R4" s="146">
        <f>Outorga*'A4 - Previsão de Receita Bruta'!Q27*R2</f>
        <v>3166305.8000000003</v>
      </c>
      <c r="S4" s="146">
        <f>Outorga*'A4 - Previsão de Receita Bruta'!R27*S2</f>
        <v>3262472.6</v>
      </c>
      <c r="T4" s="146">
        <f>Outorga*'A4 - Previsão de Receita Bruta'!S27*T2</f>
        <v>3361087.95</v>
      </c>
      <c r="U4" s="146">
        <f>Outorga*'A4 - Previsão de Receita Bruta'!T27*U2</f>
        <v>3461814.7</v>
      </c>
      <c r="V4" s="146">
        <f>Outorga*'A4 - Previsão de Receita Bruta'!U27*V2</f>
        <v>3564380.2</v>
      </c>
      <c r="W4" s="146">
        <f>Outorga*'A4 - Previsão de Receita Bruta'!V27*W2</f>
        <v>3668305.6</v>
      </c>
      <c r="X4" s="146">
        <f>Outorga*'A4 - Previsão de Receita Bruta'!W27*X2</f>
        <v>3668305.6</v>
      </c>
      <c r="Y4" s="146">
        <f>Outorga*'A4 - Previsão de Receita Bruta'!X27*Y2</f>
        <v>3668305.6</v>
      </c>
      <c r="Z4" s="146">
        <f>Outorga*'A4 - Previsão de Receita Bruta'!Y27*Z2</f>
        <v>3668305.6</v>
      </c>
      <c r="AA4" s="146">
        <f>Outorga*'A4 - Previsão de Receita Bruta'!Z27*AA2</f>
        <v>3668305.6</v>
      </c>
      <c r="AB4" s="146">
        <f>Outorga*'A4 - Previsão de Receita Bruta'!AA27*AB2</f>
        <v>3668305.6</v>
      </c>
      <c r="AC4" s="146">
        <f>Outorga*'A4 - Previsão de Receita Bruta'!AB27*AC2</f>
        <v>3668305.6</v>
      </c>
      <c r="AD4" s="146">
        <f>Outorga*'A4 - Previsão de Receita Bruta'!AC27*AD2</f>
        <v>3668305.6</v>
      </c>
      <c r="AE4" s="146">
        <f>Outorga*'A4 - Previsão de Receita Bruta'!AD27*AE2</f>
        <v>3668305.6</v>
      </c>
      <c r="AF4" s="146">
        <f>Outorga*'A4 - Previsão de Receita Bruta'!AE27*AF2</f>
        <v>3668305.6</v>
      </c>
      <c r="AG4" s="146">
        <f>Outorga*'A4 - Previsão de Receita Bruta'!AF27*AG2</f>
        <v>3668305.6</v>
      </c>
    </row>
    <row r="5" spans="1:33" ht="27" customHeight="1">
      <c r="A5" s="594"/>
      <c r="B5" s="781" t="s">
        <v>455</v>
      </c>
      <c r="C5" s="813"/>
      <c r="D5" s="146">
        <f t="array" ref="D5">Macrotemas*'A4 - Previsão de Receita Bruta'!C27</f>
        <v>705962.25</v>
      </c>
      <c r="E5" s="146">
        <f t="array" ref="E5">Macrotemas*'A4 - Previsão de Receita Bruta'!D27</f>
        <v>2123147.9</v>
      </c>
      <c r="F5" s="146">
        <f t="array" ref="F5">Macrotemas*'A4 - Previsão de Receita Bruta'!E27</f>
        <v>2196386.6</v>
      </c>
      <c r="G5" s="146">
        <f t="array" ref="G5">Macrotemas*'A4 - Previsão de Receita Bruta'!F27</f>
        <v>2267315.9</v>
      </c>
      <c r="H5" s="146">
        <f t="array" ref="H5">Macrotemas*'A4 - Previsão de Receita Bruta'!G27</f>
        <v>2339372.5</v>
      </c>
      <c r="I5" s="146">
        <f t="array" ref="I5">Macrotemas*'A4 - Previsão de Receita Bruta'!H27</f>
        <v>2412690.9</v>
      </c>
      <c r="J5" s="146">
        <f t="array" ref="J5">Macrotemas*'A4 - Previsão de Receita Bruta'!I27</f>
        <v>2488088.8000000003</v>
      </c>
      <c r="K5" s="146">
        <f t="array" ref="K5">Macrotemas*'A4 - Previsão de Receita Bruta'!J27</f>
        <v>2565675.9000000004</v>
      </c>
      <c r="L5" s="146">
        <f t="array" ref="L5">Macrotemas*'A4 - Previsão de Receita Bruta'!K27</f>
        <v>2644680.3000000003</v>
      </c>
      <c r="M5" s="146">
        <f t="array" ref="M5">Macrotemas*'A4 - Previsão de Receita Bruta'!L27</f>
        <v>2725148.1</v>
      </c>
      <c r="N5" s="146">
        <f t="array" ref="N5">Macrotemas*'A4 - Previsão de Receita Bruta'!M27</f>
        <v>2808141.4000000004</v>
      </c>
      <c r="O5" s="146">
        <f t="array" ref="O5">Macrotemas*'A4 - Previsão de Receita Bruta'!N27</f>
        <v>2893625.45</v>
      </c>
      <c r="P5" s="146">
        <f t="array" ref="P5">Macrotemas*'A4 - Previsão de Receita Bruta'!O27</f>
        <v>2981829</v>
      </c>
      <c r="Q5" s="146">
        <f t="array" ref="Q5">Macrotemas*'A4 - Previsão de Receita Bruta'!P27</f>
        <v>3072702.5</v>
      </c>
      <c r="R5" s="146">
        <f t="array" ref="R5">Macrotemas*'A4 - Previsão de Receita Bruta'!Q27</f>
        <v>3166305.8000000003</v>
      </c>
      <c r="S5" s="146">
        <f t="array" ref="S5">Macrotemas*'A4 - Previsão de Receita Bruta'!R27</f>
        <v>3262472.6</v>
      </c>
      <c r="T5" s="146">
        <f t="array" ref="T5">Macrotemas*'A4 - Previsão de Receita Bruta'!S27</f>
        <v>3361087.95</v>
      </c>
      <c r="U5" s="146">
        <f t="array" ref="U5">Macrotemas*'A4 - Previsão de Receita Bruta'!T27</f>
        <v>3461814.7</v>
      </c>
      <c r="V5" s="146">
        <f t="array" ref="V5">Macrotemas*'A4 - Previsão de Receita Bruta'!U27</f>
        <v>3564380.2</v>
      </c>
      <c r="W5" s="146">
        <f t="array" ref="W5">Macrotemas*'A4 - Previsão de Receita Bruta'!V27</f>
        <v>3668305.6</v>
      </c>
      <c r="X5" s="146">
        <f t="array" ref="X5">Macrotemas*'A4 - Previsão de Receita Bruta'!W27</f>
        <v>3668305.6</v>
      </c>
      <c r="Y5" s="146">
        <f t="array" ref="Y5">Macrotemas*'A4 - Previsão de Receita Bruta'!X27</f>
        <v>3668305.6</v>
      </c>
      <c r="Z5" s="146">
        <f t="array" ref="Z5">Macrotemas*'A4 - Previsão de Receita Bruta'!Y27</f>
        <v>3668305.6</v>
      </c>
      <c r="AA5" s="146">
        <f t="array" ref="AA5">Macrotemas*'A4 - Previsão de Receita Bruta'!Z27</f>
        <v>3668305.6</v>
      </c>
      <c r="AB5" s="146">
        <f t="array" ref="AB5">Macrotemas*'A4 - Previsão de Receita Bruta'!AA27</f>
        <v>3668305.6</v>
      </c>
      <c r="AC5" s="146">
        <f t="array" ref="AC5">Macrotemas*'A4 - Previsão de Receita Bruta'!AB27</f>
        <v>3668305.6</v>
      </c>
      <c r="AD5" s="146">
        <f t="array" ref="AD5">Macrotemas*'A4 - Previsão de Receita Bruta'!AC27</f>
        <v>3668305.6</v>
      </c>
      <c r="AE5" s="146">
        <f t="array" ref="AE5">Macrotemas*'A4 - Previsão de Receita Bruta'!AD27</f>
        <v>3668305.6</v>
      </c>
      <c r="AF5" s="146">
        <f t="array" ref="AF5">Macrotemas*'A4 - Previsão de Receita Bruta'!AE27</f>
        <v>3668305.6</v>
      </c>
      <c r="AG5" s="146">
        <f t="array" ref="AG5">Macrotemas*'A4 - Previsão de Receita Bruta'!AF27</f>
        <v>3668305.6</v>
      </c>
    </row>
    <row r="6" spans="1:33" ht="27" hidden="1" customHeight="1">
      <c r="A6" s="594"/>
      <c r="B6" s="781" t="s">
        <v>52</v>
      </c>
      <c r="C6" s="813"/>
      <c r="D6" s="146">
        <f t="shared" ref="D6:AG6" si="0">SUM(D4:D5)</f>
        <v>705962.25</v>
      </c>
      <c r="E6" s="146">
        <f t="shared" si="0"/>
        <v>2123147.9</v>
      </c>
      <c r="F6" s="146">
        <f t="shared" si="0"/>
        <v>2196386.6</v>
      </c>
      <c r="G6" s="146">
        <f t="shared" si="0"/>
        <v>2267315.9</v>
      </c>
      <c r="H6" s="146">
        <f t="shared" si="0"/>
        <v>4678745</v>
      </c>
      <c r="I6" s="146">
        <f t="shared" si="0"/>
        <v>4825381.8</v>
      </c>
      <c r="J6" s="146">
        <f t="shared" si="0"/>
        <v>4976177.6000000006</v>
      </c>
      <c r="K6" s="146">
        <f t="shared" si="0"/>
        <v>5131351.8000000007</v>
      </c>
      <c r="L6" s="146">
        <f t="shared" si="0"/>
        <v>5289360.6000000006</v>
      </c>
      <c r="M6" s="146">
        <f t="shared" si="0"/>
        <v>5450296.2000000002</v>
      </c>
      <c r="N6" s="146">
        <f t="shared" si="0"/>
        <v>5616282.8000000007</v>
      </c>
      <c r="O6" s="146">
        <f t="shared" si="0"/>
        <v>5787250.9000000004</v>
      </c>
      <c r="P6" s="146">
        <f t="shared" si="0"/>
        <v>5963658</v>
      </c>
      <c r="Q6" s="146">
        <f t="shared" si="0"/>
        <v>6145405</v>
      </c>
      <c r="R6" s="146">
        <f t="shared" si="0"/>
        <v>6332611.6000000006</v>
      </c>
      <c r="S6" s="146">
        <f t="shared" si="0"/>
        <v>6524945.2000000002</v>
      </c>
      <c r="T6" s="146">
        <f t="shared" si="0"/>
        <v>6722175.9000000004</v>
      </c>
      <c r="U6" s="146">
        <f t="shared" si="0"/>
        <v>6923629.4000000004</v>
      </c>
      <c r="V6" s="146">
        <f t="shared" si="0"/>
        <v>7128760.4000000004</v>
      </c>
      <c r="W6" s="146">
        <f t="shared" si="0"/>
        <v>7336611.2000000002</v>
      </c>
      <c r="X6" s="146">
        <f t="shared" si="0"/>
        <v>7336611.2000000002</v>
      </c>
      <c r="Y6" s="146">
        <f t="shared" si="0"/>
        <v>7336611.2000000002</v>
      </c>
      <c r="Z6" s="146">
        <f t="shared" si="0"/>
        <v>7336611.2000000002</v>
      </c>
      <c r="AA6" s="146">
        <f t="shared" si="0"/>
        <v>7336611.2000000002</v>
      </c>
      <c r="AB6" s="146">
        <f t="shared" si="0"/>
        <v>7336611.2000000002</v>
      </c>
      <c r="AC6" s="146">
        <f t="shared" si="0"/>
        <v>7336611.2000000002</v>
      </c>
      <c r="AD6" s="146">
        <f t="shared" si="0"/>
        <v>7336611.2000000002</v>
      </c>
      <c r="AE6" s="146">
        <f t="shared" si="0"/>
        <v>7336611.2000000002</v>
      </c>
      <c r="AF6" s="146">
        <f t="shared" si="0"/>
        <v>7336611.2000000002</v>
      </c>
      <c r="AG6" s="146">
        <f t="shared" si="0"/>
        <v>7336611.2000000002</v>
      </c>
    </row>
    <row r="7" spans="1:33" ht="15.75" hidden="1" customHeight="1">
      <c r="A7" s="594"/>
      <c r="B7" s="594"/>
      <c r="C7" s="594"/>
      <c r="D7" s="594"/>
      <c r="E7" s="594"/>
      <c r="F7" s="594"/>
      <c r="G7" s="594"/>
      <c r="H7" s="594"/>
      <c r="I7" s="594"/>
      <c r="J7" s="594"/>
      <c r="K7" s="594"/>
      <c r="L7" s="594"/>
      <c r="M7" s="594"/>
      <c r="N7" s="594"/>
      <c r="O7" s="594"/>
      <c r="P7" s="594"/>
      <c r="Q7" s="594"/>
      <c r="R7" s="594"/>
      <c r="S7" s="594"/>
      <c r="T7" s="594"/>
      <c r="U7" s="594"/>
      <c r="V7" s="594"/>
      <c r="W7" s="594"/>
      <c r="X7" s="594"/>
      <c r="Y7" s="594"/>
      <c r="Z7" s="594"/>
      <c r="AA7" s="594"/>
      <c r="AB7" s="594"/>
      <c r="AC7" s="594"/>
      <c r="AD7" s="594"/>
      <c r="AE7" s="594"/>
      <c r="AF7" s="594"/>
      <c r="AG7" s="594"/>
    </row>
    <row r="8" spans="1:33" ht="33" hidden="1" customHeight="1">
      <c r="A8" s="594"/>
      <c r="B8" s="592" t="s">
        <v>456</v>
      </c>
      <c r="C8" s="594"/>
      <c r="D8" s="594"/>
      <c r="E8" s="594"/>
      <c r="F8" s="594"/>
      <c r="G8" s="594"/>
      <c r="H8" s="594"/>
      <c r="I8" s="594"/>
      <c r="J8" s="594"/>
      <c r="K8" s="594"/>
      <c r="L8" s="594"/>
      <c r="M8" s="594"/>
      <c r="N8" s="594"/>
      <c r="O8" s="594"/>
      <c r="P8" s="594"/>
      <c r="Q8" s="594"/>
      <c r="R8" s="594"/>
      <c r="S8" s="594"/>
      <c r="T8" s="594"/>
      <c r="U8" s="594"/>
      <c r="V8" s="594"/>
      <c r="W8" s="594"/>
      <c r="X8" s="594"/>
      <c r="Y8" s="594"/>
      <c r="Z8" s="594"/>
      <c r="AA8" s="594"/>
      <c r="AB8" s="594"/>
      <c r="AC8" s="594"/>
      <c r="AD8" s="594"/>
      <c r="AE8" s="594"/>
      <c r="AF8" s="594"/>
      <c r="AG8" s="594"/>
    </row>
    <row r="9" spans="1:33" ht="24.75" hidden="1" customHeight="1">
      <c r="A9" s="594"/>
      <c r="B9" s="147" t="s">
        <v>7</v>
      </c>
      <c r="C9" s="147" t="s">
        <v>457</v>
      </c>
      <c r="D9" s="147">
        <v>1</v>
      </c>
      <c r="E9" s="147">
        <v>2</v>
      </c>
      <c r="F9" s="147">
        <v>3</v>
      </c>
      <c r="G9" s="147">
        <v>4</v>
      </c>
      <c r="H9" s="147">
        <v>5</v>
      </c>
      <c r="I9" s="147">
        <v>6</v>
      </c>
      <c r="J9" s="147">
        <v>7</v>
      </c>
      <c r="K9" s="147">
        <v>8</v>
      </c>
      <c r="L9" s="147">
        <v>9</v>
      </c>
      <c r="M9" s="147">
        <v>10</v>
      </c>
      <c r="N9" s="147">
        <v>11</v>
      </c>
      <c r="O9" s="147">
        <v>12</v>
      </c>
      <c r="P9" s="147">
        <v>13</v>
      </c>
      <c r="Q9" s="147">
        <v>14</v>
      </c>
      <c r="R9" s="147">
        <v>15</v>
      </c>
      <c r="S9" s="147">
        <v>16</v>
      </c>
      <c r="T9" s="147">
        <v>17</v>
      </c>
      <c r="U9" s="147">
        <v>18</v>
      </c>
      <c r="V9" s="147">
        <v>19</v>
      </c>
      <c r="W9" s="147">
        <v>20</v>
      </c>
      <c r="X9" s="147">
        <v>21</v>
      </c>
      <c r="Y9" s="147">
        <v>22</v>
      </c>
      <c r="Z9" s="147">
        <v>23</v>
      </c>
      <c r="AA9" s="147">
        <v>24</v>
      </c>
      <c r="AB9" s="147">
        <v>25</v>
      </c>
      <c r="AC9" s="147">
        <v>26</v>
      </c>
      <c r="AD9" s="147">
        <v>27</v>
      </c>
      <c r="AE9" s="147">
        <v>28</v>
      </c>
      <c r="AF9" s="147">
        <v>29</v>
      </c>
      <c r="AG9" s="147">
        <v>30</v>
      </c>
    </row>
    <row r="10" spans="1:33" ht="24.75" hidden="1" customHeight="1">
      <c r="A10" s="594"/>
      <c r="B10" s="623" t="s">
        <v>458</v>
      </c>
      <c r="C10" s="148">
        <v>0</v>
      </c>
      <c r="D10" s="146">
        <f t="shared" ref="D10:AG10" si="1">$C10</f>
        <v>0</v>
      </c>
      <c r="E10" s="146">
        <f t="shared" si="1"/>
        <v>0</v>
      </c>
      <c r="F10" s="146">
        <f t="shared" si="1"/>
        <v>0</v>
      </c>
      <c r="G10" s="146">
        <f t="shared" si="1"/>
        <v>0</v>
      </c>
      <c r="H10" s="146">
        <f t="shared" si="1"/>
        <v>0</v>
      </c>
      <c r="I10" s="146">
        <f t="shared" si="1"/>
        <v>0</v>
      </c>
      <c r="J10" s="146">
        <f t="shared" si="1"/>
        <v>0</v>
      </c>
      <c r="K10" s="146">
        <f t="shared" si="1"/>
        <v>0</v>
      </c>
      <c r="L10" s="146">
        <f t="shared" si="1"/>
        <v>0</v>
      </c>
      <c r="M10" s="146">
        <f t="shared" si="1"/>
        <v>0</v>
      </c>
      <c r="N10" s="146">
        <f t="shared" si="1"/>
        <v>0</v>
      </c>
      <c r="O10" s="146">
        <f t="shared" si="1"/>
        <v>0</v>
      </c>
      <c r="P10" s="146">
        <f t="shared" si="1"/>
        <v>0</v>
      </c>
      <c r="Q10" s="146">
        <f t="shared" si="1"/>
        <v>0</v>
      </c>
      <c r="R10" s="146">
        <f t="shared" si="1"/>
        <v>0</v>
      </c>
      <c r="S10" s="146">
        <f t="shared" si="1"/>
        <v>0</v>
      </c>
      <c r="T10" s="146">
        <f t="shared" si="1"/>
        <v>0</v>
      </c>
      <c r="U10" s="146">
        <f t="shared" si="1"/>
        <v>0</v>
      </c>
      <c r="V10" s="146">
        <f t="shared" si="1"/>
        <v>0</v>
      </c>
      <c r="W10" s="146">
        <f t="shared" si="1"/>
        <v>0</v>
      </c>
      <c r="X10" s="146">
        <f t="shared" si="1"/>
        <v>0</v>
      </c>
      <c r="Y10" s="146">
        <f t="shared" si="1"/>
        <v>0</v>
      </c>
      <c r="Z10" s="146">
        <f t="shared" si="1"/>
        <v>0</v>
      </c>
      <c r="AA10" s="146">
        <f t="shared" si="1"/>
        <v>0</v>
      </c>
      <c r="AB10" s="146">
        <f t="shared" si="1"/>
        <v>0</v>
      </c>
      <c r="AC10" s="146">
        <f t="shared" si="1"/>
        <v>0</v>
      </c>
      <c r="AD10" s="146">
        <f t="shared" si="1"/>
        <v>0</v>
      </c>
      <c r="AE10" s="146">
        <f t="shared" si="1"/>
        <v>0</v>
      </c>
      <c r="AF10" s="146">
        <f t="shared" si="1"/>
        <v>0</v>
      </c>
      <c r="AG10" s="146">
        <f t="shared" si="1"/>
        <v>0</v>
      </c>
    </row>
    <row r="11" spans="1:33" ht="24.75" hidden="1" customHeight="1">
      <c r="A11" s="594"/>
      <c r="B11" s="623" t="s">
        <v>459</v>
      </c>
      <c r="C11" s="146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</row>
    <row r="12" spans="1:33" ht="24.75" hidden="1" customHeight="1">
      <c r="A12" s="594"/>
      <c r="B12" s="623" t="s">
        <v>460</v>
      </c>
      <c r="C12" s="149">
        <v>0</v>
      </c>
      <c r="D12" s="146">
        <f>$C12</f>
        <v>0</v>
      </c>
      <c r="E12" s="594"/>
      <c r="F12" s="594"/>
      <c r="G12" s="594"/>
      <c r="H12" s="594"/>
      <c r="I12" s="594"/>
      <c r="J12" s="594"/>
      <c r="K12" s="594"/>
      <c r="L12" s="594"/>
      <c r="M12" s="594"/>
      <c r="N12" s="594"/>
      <c r="O12" s="594"/>
      <c r="P12" s="594"/>
      <c r="Q12" s="594"/>
      <c r="R12" s="594"/>
      <c r="S12" s="594"/>
      <c r="T12" s="594"/>
      <c r="U12" s="594"/>
      <c r="V12" s="594"/>
      <c r="W12" s="594"/>
      <c r="X12" s="594"/>
      <c r="Y12" s="594"/>
      <c r="Z12" s="594"/>
      <c r="AA12" s="594"/>
      <c r="AB12" s="594"/>
      <c r="AC12" s="594"/>
      <c r="AD12" s="594"/>
      <c r="AE12" s="594"/>
      <c r="AF12" s="594"/>
      <c r="AG12" s="594"/>
    </row>
    <row r="13" spans="1:33" ht="30" hidden="1" customHeight="1">
      <c r="A13" s="594"/>
      <c r="B13" s="594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4"/>
      <c r="P13" s="594"/>
      <c r="Q13" s="594"/>
      <c r="R13" s="594"/>
      <c r="S13" s="594"/>
      <c r="T13" s="594"/>
      <c r="U13" s="594"/>
      <c r="V13" s="594"/>
      <c r="W13" s="594"/>
      <c r="X13" s="594"/>
      <c r="Y13" s="594"/>
      <c r="Z13" s="594"/>
      <c r="AA13" s="594"/>
      <c r="AB13" s="594"/>
      <c r="AC13" s="594"/>
      <c r="AD13" s="594"/>
      <c r="AE13" s="594"/>
      <c r="AF13" s="594"/>
      <c r="AG13" s="594"/>
    </row>
    <row r="14" spans="1:33" ht="15.75" hidden="1" customHeight="1">
      <c r="A14" s="624" t="s">
        <v>461</v>
      </c>
      <c r="B14" s="625" t="s">
        <v>462</v>
      </c>
      <c r="C14" s="594"/>
      <c r="D14" s="594"/>
      <c r="E14" s="594"/>
      <c r="F14" s="594"/>
      <c r="G14" s="594"/>
      <c r="H14" s="594"/>
      <c r="I14" s="594"/>
      <c r="J14" s="594"/>
      <c r="K14" s="594"/>
      <c r="L14" s="594"/>
      <c r="M14" s="594"/>
      <c r="N14" s="594"/>
      <c r="O14" s="594"/>
      <c r="P14" s="594"/>
      <c r="Q14" s="594"/>
      <c r="R14" s="594"/>
      <c r="S14" s="594"/>
      <c r="T14" s="594"/>
      <c r="U14" s="594"/>
      <c r="V14" s="594"/>
      <c r="W14" s="594"/>
      <c r="X14" s="594"/>
      <c r="Y14" s="594"/>
      <c r="Z14" s="594"/>
      <c r="AA14" s="594"/>
      <c r="AB14" s="594"/>
      <c r="AC14" s="594"/>
      <c r="AD14" s="594"/>
      <c r="AE14" s="594"/>
      <c r="AF14" s="594"/>
      <c r="AG14" s="594"/>
    </row>
    <row r="15" spans="1:33" ht="15.75" hidden="1" customHeight="1">
      <c r="A15" s="594"/>
      <c r="B15" s="594"/>
      <c r="C15" s="594"/>
      <c r="D15" s="594"/>
      <c r="E15" s="594"/>
      <c r="F15" s="594"/>
      <c r="G15" s="594"/>
      <c r="H15" s="594"/>
      <c r="I15" s="594"/>
      <c r="J15" s="594"/>
      <c r="K15" s="594"/>
      <c r="L15" s="594"/>
      <c r="M15" s="594"/>
      <c r="N15" s="594"/>
      <c r="O15" s="594"/>
      <c r="P15" s="594"/>
      <c r="Q15" s="594"/>
      <c r="R15" s="594"/>
      <c r="S15" s="594"/>
      <c r="T15" s="594"/>
      <c r="U15" s="594"/>
      <c r="V15" s="594"/>
      <c r="W15" s="594"/>
      <c r="X15" s="594"/>
      <c r="Y15" s="594"/>
      <c r="Z15" s="594"/>
      <c r="AA15" s="594"/>
      <c r="AB15" s="594"/>
      <c r="AC15" s="594"/>
      <c r="AD15" s="594"/>
      <c r="AE15" s="594"/>
      <c r="AF15" s="594"/>
      <c r="AG15" s="594"/>
    </row>
    <row r="16" spans="1:33" ht="15.75" hidden="1" customHeight="1">
      <c r="A16" s="592" t="s">
        <v>463</v>
      </c>
      <c r="B16" s="594"/>
      <c r="C16" s="594"/>
      <c r="D16" s="594"/>
      <c r="E16" s="594"/>
      <c r="F16" s="594"/>
      <c r="G16" s="594"/>
      <c r="H16" s="594"/>
      <c r="I16" s="594"/>
      <c r="J16" s="594"/>
      <c r="K16" s="594"/>
      <c r="L16" s="594"/>
      <c r="M16" s="594"/>
      <c r="N16" s="594"/>
      <c r="O16" s="594"/>
      <c r="P16" s="594"/>
      <c r="Q16" s="594"/>
      <c r="R16" s="594"/>
      <c r="S16" s="594"/>
      <c r="T16" s="594"/>
      <c r="U16" s="594"/>
      <c r="V16" s="594"/>
      <c r="W16" s="594"/>
      <c r="X16" s="594"/>
      <c r="Y16" s="594"/>
      <c r="Z16" s="594"/>
      <c r="AA16" s="594"/>
      <c r="AB16" s="594"/>
      <c r="AC16" s="594"/>
      <c r="AD16" s="594"/>
      <c r="AE16" s="594"/>
      <c r="AF16" s="594"/>
      <c r="AG16" s="594"/>
    </row>
    <row r="17" spans="1:33" ht="42" hidden="1" customHeight="1">
      <c r="A17" s="150" t="s">
        <v>146</v>
      </c>
      <c r="B17" s="150"/>
      <c r="C17" s="151" t="s">
        <v>464</v>
      </c>
      <c r="D17" s="145">
        <v>1</v>
      </c>
      <c r="E17" s="145">
        <v>2</v>
      </c>
      <c r="F17" s="145">
        <v>3</v>
      </c>
      <c r="G17" s="145">
        <v>4</v>
      </c>
      <c r="H17" s="145">
        <v>5</v>
      </c>
      <c r="I17" s="145">
        <v>6</v>
      </c>
      <c r="J17" s="145">
        <v>7</v>
      </c>
      <c r="K17" s="145">
        <v>8</v>
      </c>
      <c r="L17" s="145">
        <v>9</v>
      </c>
      <c r="M17" s="145">
        <v>10</v>
      </c>
      <c r="N17" s="145">
        <v>11</v>
      </c>
      <c r="O17" s="145">
        <v>12</v>
      </c>
      <c r="P17" s="145">
        <v>13</v>
      </c>
      <c r="Q17" s="145">
        <v>14</v>
      </c>
      <c r="R17" s="145">
        <v>15</v>
      </c>
      <c r="S17" s="145">
        <v>16</v>
      </c>
      <c r="T17" s="145">
        <v>17</v>
      </c>
      <c r="U17" s="145">
        <v>18</v>
      </c>
      <c r="V17" s="145">
        <v>19</v>
      </c>
      <c r="W17" s="145">
        <v>20</v>
      </c>
      <c r="X17" s="145">
        <v>21</v>
      </c>
      <c r="Y17" s="145">
        <v>22</v>
      </c>
      <c r="Z17" s="145">
        <v>23</v>
      </c>
      <c r="AA17" s="145">
        <v>24</v>
      </c>
      <c r="AB17" s="145">
        <v>25</v>
      </c>
      <c r="AC17" s="145">
        <v>26</v>
      </c>
      <c r="AD17" s="145">
        <v>27</v>
      </c>
      <c r="AE17" s="145">
        <v>28</v>
      </c>
      <c r="AF17" s="145">
        <v>29</v>
      </c>
      <c r="AG17" s="145">
        <v>30</v>
      </c>
    </row>
    <row r="18" spans="1:33" ht="19.5" hidden="1" customHeight="1">
      <c r="A18" s="782" t="s">
        <v>462</v>
      </c>
      <c r="B18" s="821"/>
      <c r="C18" s="152">
        <f>Outorga</f>
        <v>0.05</v>
      </c>
      <c r="D18" s="146">
        <f>IF(OutSobreRec='Z 1 - Listas'!$J$3,$C18*'A4 - Previsão de Receita Bruta'!C27,0)</f>
        <v>705962.25</v>
      </c>
      <c r="E18" s="146">
        <f>IF(OutSobreRec='Z 1 - Listas'!$J$3,$C18*'A4 - Previsão de Receita Bruta'!D27,0)</f>
        <v>2123147.9</v>
      </c>
      <c r="F18" s="146">
        <f>IF(OutSobreRec='Z 1 - Listas'!$J$3,$C18*'A4 - Previsão de Receita Bruta'!E27,0)</f>
        <v>2196386.6</v>
      </c>
      <c r="G18" s="146">
        <f>IF(OutSobreRec='Z 1 - Listas'!$J$3,$C18*'A4 - Previsão de Receita Bruta'!F27,0)</f>
        <v>2267315.9</v>
      </c>
      <c r="H18" s="146">
        <f>IF(OutSobreRec='Z 1 - Listas'!$J$3,$C18*'A4 - Previsão de Receita Bruta'!G27,0)</f>
        <v>2339372.5</v>
      </c>
      <c r="I18" s="146">
        <f>IF(OutSobreRec='Z 1 - Listas'!$J$3,$C18*'A4 - Previsão de Receita Bruta'!H27,0)</f>
        <v>2412690.9</v>
      </c>
      <c r="J18" s="146">
        <f>IF(OutSobreRec='Z 1 - Listas'!$J$3,$C18*'A4 - Previsão de Receita Bruta'!I27,0)</f>
        <v>2488088.8000000003</v>
      </c>
      <c r="K18" s="146">
        <f>IF(OutSobreRec='Z 1 - Listas'!$J$3,$C18*'A4 - Previsão de Receita Bruta'!J27,0)</f>
        <v>2565675.9000000004</v>
      </c>
      <c r="L18" s="146">
        <f>IF(OutSobreRec='Z 1 - Listas'!$J$3,$C18*'A4 - Previsão de Receita Bruta'!K27,0)</f>
        <v>2644680.3000000003</v>
      </c>
      <c r="M18" s="146">
        <f>IF(OutSobreRec='Z 1 - Listas'!$J$3,$C18*'A4 - Previsão de Receita Bruta'!L27,0)</f>
        <v>2725148.1</v>
      </c>
      <c r="N18" s="146">
        <f>IF(OutSobreRec='Z 1 - Listas'!$J$3,$C18*'A4 - Previsão de Receita Bruta'!M27,0)</f>
        <v>2808141.4000000004</v>
      </c>
      <c r="O18" s="146">
        <f>IF(OutSobreRec='Z 1 - Listas'!$J$3,$C18*'A4 - Previsão de Receita Bruta'!N27,0)</f>
        <v>2893625.45</v>
      </c>
      <c r="P18" s="146">
        <f>IF(OutSobreRec='Z 1 - Listas'!$J$3,$C18*'A4 - Previsão de Receita Bruta'!O27,0)</f>
        <v>2981829</v>
      </c>
      <c r="Q18" s="146">
        <f>IF(OutSobreRec='Z 1 - Listas'!$J$3,$C18*'A4 - Previsão de Receita Bruta'!P27,0)</f>
        <v>3072702.5</v>
      </c>
      <c r="R18" s="146">
        <f>IF(OutSobreRec='Z 1 - Listas'!$J$3,$C18*'A4 - Previsão de Receita Bruta'!Q27,0)</f>
        <v>3166305.8000000003</v>
      </c>
      <c r="S18" s="146">
        <f>IF(OutSobreRec='Z 1 - Listas'!$J$3,$C18*'A4 - Previsão de Receita Bruta'!R27,0)</f>
        <v>3262472.6</v>
      </c>
      <c r="T18" s="146">
        <f>IF(OutSobreRec='Z 1 - Listas'!$J$3,$C18*'A4 - Previsão de Receita Bruta'!S27,0)</f>
        <v>3361087.95</v>
      </c>
      <c r="U18" s="146">
        <f>IF(OutSobreRec='Z 1 - Listas'!$J$3,$C18*'A4 - Previsão de Receita Bruta'!T27,0)</f>
        <v>3461814.7</v>
      </c>
      <c r="V18" s="146">
        <f>IF(OutSobreRec='Z 1 - Listas'!$J$3,$C18*'A4 - Previsão de Receita Bruta'!U27,0)</f>
        <v>3564380.2</v>
      </c>
      <c r="W18" s="146">
        <f>IF(OutSobreRec='Z 1 - Listas'!$J$3,$C18*'A4 - Previsão de Receita Bruta'!V27,0)</f>
        <v>3668305.6</v>
      </c>
      <c r="X18" s="146">
        <f>IF(OutSobreRec='Z 1 - Listas'!$J$3,$C18*'A4 - Previsão de Receita Bruta'!W27,0)</f>
        <v>3668305.6</v>
      </c>
      <c r="Y18" s="146">
        <f>IF(OutSobreRec='Z 1 - Listas'!$J$3,$C18*'A4 - Previsão de Receita Bruta'!X27,0)</f>
        <v>3668305.6</v>
      </c>
      <c r="Z18" s="146">
        <f>IF(OutSobreRec='Z 1 - Listas'!$J$3,$C18*'A4 - Previsão de Receita Bruta'!Y27,0)</f>
        <v>3668305.6</v>
      </c>
      <c r="AA18" s="146">
        <f>IF(OutSobreRec='Z 1 - Listas'!$J$3,$C18*'A4 - Previsão de Receita Bruta'!Z27,0)</f>
        <v>3668305.6</v>
      </c>
      <c r="AB18" s="146">
        <f>IF(OutSobreRec='Z 1 - Listas'!$J$3,$C18*'A4 - Previsão de Receita Bruta'!AA27,0)</f>
        <v>3668305.6</v>
      </c>
      <c r="AC18" s="146">
        <f>IF(OutSobreRec='Z 1 - Listas'!$J$3,$C18*'A4 - Previsão de Receita Bruta'!AB27,0)</f>
        <v>3668305.6</v>
      </c>
      <c r="AD18" s="146">
        <f>IF(OutSobreRec='Z 1 - Listas'!$J$3,$C18*'A4 - Previsão de Receita Bruta'!AC27,0)</f>
        <v>3668305.6</v>
      </c>
      <c r="AE18" s="146">
        <f>IF(OutSobreRec='Z 1 - Listas'!$J$3,$C18*'A4 - Previsão de Receita Bruta'!AD27,0)</f>
        <v>3668305.6</v>
      </c>
      <c r="AF18" s="146">
        <f>IF(OutSobreRec='Z 1 - Listas'!$J$3,$C18*'A4 - Previsão de Receita Bruta'!AE27,0)</f>
        <v>3668305.6</v>
      </c>
      <c r="AG18" s="146">
        <f>IF(OutSobreRec='Z 1 - Listas'!$J$3,$C18*'A4 - Previsão de Receita Bruta'!AF27,0)</f>
        <v>3668305.6</v>
      </c>
    </row>
    <row r="19" spans="1:33" ht="10.5" hidden="1" customHeight="1">
      <c r="A19" s="626"/>
      <c r="B19" s="153"/>
      <c r="C19" s="154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</row>
    <row r="20" spans="1:33" ht="19.5" hidden="1" customHeight="1">
      <c r="A20" s="778" t="str">
        <f>'A1 - Serviços e demanda'!A20</f>
        <v>Ingresso</v>
      </c>
      <c r="B20" s="821"/>
      <c r="C20" s="157">
        <v>0.02</v>
      </c>
      <c r="D20" s="146">
        <f>IF(OutSobreRec='Z 1 - Listas'!$J$4,$C20*'A4 - Previsão de Receita Bruta'!C7,0)</f>
        <v>0</v>
      </c>
      <c r="E20" s="146">
        <f>IF(OutSobreRec='Z 1 - Listas'!$J$4,$C20*'A4 - Previsão de Receita Bruta'!D7,0)</f>
        <v>0</v>
      </c>
      <c r="F20" s="146">
        <f>IF(OutSobreRec='Z 1 - Listas'!$J$4,$C20*'A4 - Previsão de Receita Bruta'!E7,0)</f>
        <v>0</v>
      </c>
      <c r="G20" s="146">
        <f>IF(OutSobreRec='Z 1 - Listas'!$J$4,$C20*'A4 - Previsão de Receita Bruta'!F7,0)</f>
        <v>0</v>
      </c>
      <c r="H20" s="146">
        <f>IF(OutSobreRec='Z 1 - Listas'!$J$4,$C20*'A4 - Previsão de Receita Bruta'!G7,0)</f>
        <v>0</v>
      </c>
      <c r="I20" s="146">
        <f>IF(OutSobreRec='Z 1 - Listas'!$J$4,$C20*'A4 - Previsão de Receita Bruta'!H7,0)</f>
        <v>0</v>
      </c>
      <c r="J20" s="146">
        <f>IF(OutSobreRec='Z 1 - Listas'!$J$4,$C20*'A4 - Previsão de Receita Bruta'!I7,0)</f>
        <v>0</v>
      </c>
      <c r="K20" s="146">
        <f>IF(OutSobreRec='Z 1 - Listas'!$J$4,$C20*'A4 - Previsão de Receita Bruta'!J7,0)</f>
        <v>0</v>
      </c>
      <c r="L20" s="146">
        <f>IF(OutSobreRec='Z 1 - Listas'!$J$4,$C20*'A4 - Previsão de Receita Bruta'!K7,0)</f>
        <v>0</v>
      </c>
      <c r="M20" s="146">
        <f>IF(OutSobreRec='Z 1 - Listas'!$J$4,$C20*'A4 - Previsão de Receita Bruta'!L7,0)</f>
        <v>0</v>
      </c>
      <c r="N20" s="146">
        <f>IF(OutSobreRec='Z 1 - Listas'!$J$4,$C20*'A4 - Previsão de Receita Bruta'!M7,0)</f>
        <v>0</v>
      </c>
      <c r="O20" s="146">
        <f>IF(OutSobreRec='Z 1 - Listas'!$J$4,$C20*'A4 - Previsão de Receita Bruta'!N7,0)</f>
        <v>0</v>
      </c>
      <c r="P20" s="146">
        <f>IF(OutSobreRec='Z 1 - Listas'!$J$4,$C20*'A4 - Previsão de Receita Bruta'!O7,0)</f>
        <v>0</v>
      </c>
      <c r="Q20" s="146">
        <f>IF(OutSobreRec='Z 1 - Listas'!$J$4,$C20*'A4 - Previsão de Receita Bruta'!P7,0)</f>
        <v>0</v>
      </c>
      <c r="R20" s="146">
        <f>IF(OutSobreRec='Z 1 - Listas'!$J$4,$C20*'A4 - Previsão de Receita Bruta'!Q7,0)</f>
        <v>0</v>
      </c>
      <c r="S20" s="146">
        <f>IF(OutSobreRec='Z 1 - Listas'!$J$4,$C20*'A4 - Previsão de Receita Bruta'!R7,0)</f>
        <v>0</v>
      </c>
      <c r="T20" s="146">
        <f>IF(OutSobreRec='Z 1 - Listas'!$J$4,$C20*'A4 - Previsão de Receita Bruta'!S7,0)</f>
        <v>0</v>
      </c>
      <c r="U20" s="146">
        <f>IF(OutSobreRec='Z 1 - Listas'!$J$4,$C20*'A4 - Previsão de Receita Bruta'!T7,0)</f>
        <v>0</v>
      </c>
      <c r="V20" s="146">
        <f>IF(OutSobreRec='Z 1 - Listas'!$J$4,$C20*'A4 - Previsão de Receita Bruta'!U7,0)</f>
        <v>0</v>
      </c>
      <c r="W20" s="146">
        <f>IF(OutSobreRec='Z 1 - Listas'!$J$4,$C20*'A4 - Previsão de Receita Bruta'!V7,0)</f>
        <v>0</v>
      </c>
      <c r="X20" s="146">
        <f>IF(OutSobreRec='Z 1 - Listas'!$J$4,$C20*'A4 - Previsão de Receita Bruta'!W7,0)</f>
        <v>0</v>
      </c>
      <c r="Y20" s="146">
        <f>IF(OutSobreRec='Z 1 - Listas'!$J$4,$C20*'A4 - Previsão de Receita Bruta'!X7,0)</f>
        <v>0</v>
      </c>
      <c r="Z20" s="146">
        <f>IF(OutSobreRec='Z 1 - Listas'!$J$4,$C20*'A4 - Previsão de Receita Bruta'!Y7,0)</f>
        <v>0</v>
      </c>
      <c r="AA20" s="146">
        <f>IF(OutSobreRec='Z 1 - Listas'!$J$4,$C20*'A4 - Previsão de Receita Bruta'!Z7,0)</f>
        <v>0</v>
      </c>
      <c r="AB20" s="146">
        <f>IF(OutSobreRec='Z 1 - Listas'!$J$4,$C20*'A4 - Previsão de Receita Bruta'!AA7,0)</f>
        <v>0</v>
      </c>
      <c r="AC20" s="146">
        <f>IF(OutSobreRec='Z 1 - Listas'!$J$4,$C20*'A4 - Previsão de Receita Bruta'!AB7,0)</f>
        <v>0</v>
      </c>
      <c r="AD20" s="146">
        <f>IF(OutSobreRec='Z 1 - Listas'!$J$4,$C20*'A4 - Previsão de Receita Bruta'!AC7,0)</f>
        <v>0</v>
      </c>
      <c r="AE20" s="146">
        <f>IF(OutSobreRec='Z 1 - Listas'!$J$4,$C20*'A4 - Previsão de Receita Bruta'!AD7,0)</f>
        <v>0</v>
      </c>
      <c r="AF20" s="146">
        <f>IF(OutSobreRec='Z 1 - Listas'!$J$4,$C20*'A4 - Previsão de Receita Bruta'!AE7,0)</f>
        <v>0</v>
      </c>
      <c r="AG20" s="146">
        <f>IF(OutSobreRec='Z 1 - Listas'!$J$4,$C20*'A4 - Previsão de Receita Bruta'!AF7,0)</f>
        <v>0</v>
      </c>
    </row>
    <row r="21" spans="1:33" ht="19.5" hidden="1" customHeight="1">
      <c r="A21" s="778" t="str">
        <f>'A1 - Serviços e demanda'!A21</f>
        <v>Preá - Alimentação</v>
      </c>
      <c r="B21" s="821"/>
      <c r="C21" s="157">
        <v>0</v>
      </c>
      <c r="D21" s="146">
        <f>IF(OutSobreRec='Z 1 - Listas'!$J$4,$C21*'A4 - Previsão de Receita Bruta'!C8,0)</f>
        <v>0</v>
      </c>
      <c r="E21" s="146">
        <f>IF(OutSobreRec='Z 1 - Listas'!$J$4,$C21*'A4 - Previsão de Receita Bruta'!D8,0)</f>
        <v>0</v>
      </c>
      <c r="F21" s="146">
        <f>IF(OutSobreRec='Z 1 - Listas'!$J$4,$C21*'A4 - Previsão de Receita Bruta'!E8,0)</f>
        <v>0</v>
      </c>
      <c r="G21" s="146">
        <f>IF(OutSobreRec='Z 1 - Listas'!$J$4,$C21*'A4 - Previsão de Receita Bruta'!F8,0)</f>
        <v>0</v>
      </c>
      <c r="H21" s="146">
        <f>IF(OutSobreRec='Z 1 - Listas'!$J$4,$C21*'A4 - Previsão de Receita Bruta'!G8,0)</f>
        <v>0</v>
      </c>
      <c r="I21" s="146">
        <f>IF(OutSobreRec='Z 1 - Listas'!$J$4,$C21*'A4 - Previsão de Receita Bruta'!H8,0)</f>
        <v>0</v>
      </c>
      <c r="J21" s="146">
        <f>IF(OutSobreRec='Z 1 - Listas'!$J$4,$C21*'A4 - Previsão de Receita Bruta'!I8,0)</f>
        <v>0</v>
      </c>
      <c r="K21" s="146">
        <f>IF(OutSobreRec='Z 1 - Listas'!$J$4,$C21*'A4 - Previsão de Receita Bruta'!J8,0)</f>
        <v>0</v>
      </c>
      <c r="L21" s="146">
        <f>IF(OutSobreRec='Z 1 - Listas'!$J$4,$C21*'A4 - Previsão de Receita Bruta'!K8,0)</f>
        <v>0</v>
      </c>
      <c r="M21" s="146">
        <f>IF(OutSobreRec='Z 1 - Listas'!$J$4,$C21*'A4 - Previsão de Receita Bruta'!L8,0)</f>
        <v>0</v>
      </c>
      <c r="N21" s="146">
        <f>IF(OutSobreRec='Z 1 - Listas'!$J$4,$C21*'A4 - Previsão de Receita Bruta'!M8,0)</f>
        <v>0</v>
      </c>
      <c r="O21" s="146">
        <f>IF(OutSobreRec='Z 1 - Listas'!$J$4,$C21*'A4 - Previsão de Receita Bruta'!N8,0)</f>
        <v>0</v>
      </c>
      <c r="P21" s="146">
        <f>IF(OutSobreRec='Z 1 - Listas'!$J$4,$C21*'A4 - Previsão de Receita Bruta'!O8,0)</f>
        <v>0</v>
      </c>
      <c r="Q21" s="146">
        <f>IF(OutSobreRec='Z 1 - Listas'!$J$4,$C21*'A4 - Previsão de Receita Bruta'!P8,0)</f>
        <v>0</v>
      </c>
      <c r="R21" s="146">
        <f>IF(OutSobreRec='Z 1 - Listas'!$J$4,$C21*'A4 - Previsão de Receita Bruta'!Q8,0)</f>
        <v>0</v>
      </c>
      <c r="S21" s="146">
        <f>IF(OutSobreRec='Z 1 - Listas'!$J$4,$C21*'A4 - Previsão de Receita Bruta'!R8,0)</f>
        <v>0</v>
      </c>
      <c r="T21" s="146">
        <f>IF(OutSobreRec='Z 1 - Listas'!$J$4,$C21*'A4 - Previsão de Receita Bruta'!S8,0)</f>
        <v>0</v>
      </c>
      <c r="U21" s="146">
        <f>IF(OutSobreRec='Z 1 - Listas'!$J$4,$C21*'A4 - Previsão de Receita Bruta'!T8,0)</f>
        <v>0</v>
      </c>
      <c r="V21" s="146">
        <f>IF(OutSobreRec='Z 1 - Listas'!$J$4,$C21*'A4 - Previsão de Receita Bruta'!U8,0)</f>
        <v>0</v>
      </c>
      <c r="W21" s="146">
        <f>IF(OutSobreRec='Z 1 - Listas'!$J$4,$C21*'A4 - Previsão de Receita Bruta'!V8,0)</f>
        <v>0</v>
      </c>
      <c r="X21" s="146">
        <f>IF(OutSobreRec='Z 1 - Listas'!$J$4,$C21*'A4 - Previsão de Receita Bruta'!W8,0)</f>
        <v>0</v>
      </c>
      <c r="Y21" s="146">
        <f>IF(OutSobreRec='Z 1 - Listas'!$J$4,$C21*'A4 - Previsão de Receita Bruta'!X8,0)</f>
        <v>0</v>
      </c>
      <c r="Z21" s="146">
        <f>IF(OutSobreRec='Z 1 - Listas'!$J$4,$C21*'A4 - Previsão de Receita Bruta'!Y8,0)</f>
        <v>0</v>
      </c>
      <c r="AA21" s="146">
        <f>IF(OutSobreRec='Z 1 - Listas'!$J$4,$C21*'A4 - Previsão de Receita Bruta'!Z8,0)</f>
        <v>0</v>
      </c>
      <c r="AB21" s="146">
        <f>IF(OutSobreRec='Z 1 - Listas'!$J$4,$C21*'A4 - Previsão de Receita Bruta'!AA8,0)</f>
        <v>0</v>
      </c>
      <c r="AC21" s="146">
        <f>IF(OutSobreRec='Z 1 - Listas'!$J$4,$C21*'A4 - Previsão de Receita Bruta'!AB8,0)</f>
        <v>0</v>
      </c>
      <c r="AD21" s="146">
        <f>IF(OutSobreRec='Z 1 - Listas'!$J$4,$C21*'A4 - Previsão de Receita Bruta'!AC8,0)</f>
        <v>0</v>
      </c>
      <c r="AE21" s="146">
        <f>IF(OutSobreRec='Z 1 - Listas'!$J$4,$C21*'A4 - Previsão de Receita Bruta'!AD8,0)</f>
        <v>0</v>
      </c>
      <c r="AF21" s="146">
        <f>IF(OutSobreRec='Z 1 - Listas'!$J$4,$C21*'A4 - Previsão de Receita Bruta'!AE8,0)</f>
        <v>0</v>
      </c>
      <c r="AG21" s="146">
        <f>IF(OutSobreRec='Z 1 - Listas'!$J$4,$C21*'A4 - Previsão de Receita Bruta'!AF8,0)</f>
        <v>0</v>
      </c>
    </row>
    <row r="22" spans="1:33" ht="19.5" hidden="1" customHeight="1">
      <c r="A22" s="778" t="str">
        <f>'A1 - Serviços e demanda'!A22</f>
        <v>Preá - Comércio</v>
      </c>
      <c r="B22" s="821"/>
      <c r="C22" s="157">
        <v>0.02</v>
      </c>
      <c r="D22" s="146">
        <f>IF(OutSobreRec='Z 1 - Listas'!$J$4,$C22*'A4 - Previsão de Receita Bruta'!C9,0)</f>
        <v>0</v>
      </c>
      <c r="E22" s="146">
        <f>IF(OutSobreRec='Z 1 - Listas'!$J$4,$C22*'A4 - Previsão de Receita Bruta'!D9,0)</f>
        <v>0</v>
      </c>
      <c r="F22" s="146">
        <f>IF(OutSobreRec='Z 1 - Listas'!$J$4,$C22*'A4 - Previsão de Receita Bruta'!E9,0)</f>
        <v>0</v>
      </c>
      <c r="G22" s="146">
        <f>IF(OutSobreRec='Z 1 - Listas'!$J$4,$C22*'A4 - Previsão de Receita Bruta'!F9,0)</f>
        <v>0</v>
      </c>
      <c r="H22" s="146">
        <f>IF(OutSobreRec='Z 1 - Listas'!$J$4,$C22*'A4 - Previsão de Receita Bruta'!G9,0)</f>
        <v>0</v>
      </c>
      <c r="I22" s="146">
        <f>IF(OutSobreRec='Z 1 - Listas'!$J$4,$C22*'A4 - Previsão de Receita Bruta'!H9,0)</f>
        <v>0</v>
      </c>
      <c r="J22" s="146">
        <f>IF(OutSobreRec='Z 1 - Listas'!$J$4,$C22*'A4 - Previsão de Receita Bruta'!I9,0)</f>
        <v>0</v>
      </c>
      <c r="K22" s="146">
        <f>IF(OutSobreRec='Z 1 - Listas'!$J$4,$C22*'A4 - Previsão de Receita Bruta'!J9,0)</f>
        <v>0</v>
      </c>
      <c r="L22" s="146">
        <f>IF(OutSobreRec='Z 1 - Listas'!$J$4,$C22*'A4 - Previsão de Receita Bruta'!K9,0)</f>
        <v>0</v>
      </c>
      <c r="M22" s="146">
        <f>IF(OutSobreRec='Z 1 - Listas'!$J$4,$C22*'A4 - Previsão de Receita Bruta'!L9,0)</f>
        <v>0</v>
      </c>
      <c r="N22" s="146">
        <f>IF(OutSobreRec='Z 1 - Listas'!$J$4,$C22*'A4 - Previsão de Receita Bruta'!M9,0)</f>
        <v>0</v>
      </c>
      <c r="O22" s="146">
        <f>IF(OutSobreRec='Z 1 - Listas'!$J$4,$C22*'A4 - Previsão de Receita Bruta'!N9,0)</f>
        <v>0</v>
      </c>
      <c r="P22" s="146">
        <f>IF(OutSobreRec='Z 1 - Listas'!$J$4,$C22*'A4 - Previsão de Receita Bruta'!O9,0)</f>
        <v>0</v>
      </c>
      <c r="Q22" s="146">
        <f>IF(OutSobreRec='Z 1 - Listas'!$J$4,$C22*'A4 - Previsão de Receita Bruta'!P9,0)</f>
        <v>0</v>
      </c>
      <c r="R22" s="146">
        <f>IF(OutSobreRec='Z 1 - Listas'!$J$4,$C22*'A4 - Previsão de Receita Bruta'!Q9,0)</f>
        <v>0</v>
      </c>
      <c r="S22" s="146">
        <f>IF(OutSobreRec='Z 1 - Listas'!$J$4,$C22*'A4 - Previsão de Receita Bruta'!R9,0)</f>
        <v>0</v>
      </c>
      <c r="T22" s="146">
        <f>IF(OutSobreRec='Z 1 - Listas'!$J$4,$C22*'A4 - Previsão de Receita Bruta'!S9,0)</f>
        <v>0</v>
      </c>
      <c r="U22" s="146">
        <f>IF(OutSobreRec='Z 1 - Listas'!$J$4,$C22*'A4 - Previsão de Receita Bruta'!T9,0)</f>
        <v>0</v>
      </c>
      <c r="V22" s="146">
        <f>IF(OutSobreRec='Z 1 - Listas'!$J$4,$C22*'A4 - Previsão de Receita Bruta'!U9,0)</f>
        <v>0</v>
      </c>
      <c r="W22" s="146">
        <f>IF(OutSobreRec='Z 1 - Listas'!$J$4,$C22*'A4 - Previsão de Receita Bruta'!V9,0)</f>
        <v>0</v>
      </c>
      <c r="X22" s="146">
        <f>IF(OutSobreRec='Z 1 - Listas'!$J$4,$C22*'A4 - Previsão de Receita Bruta'!W9,0)</f>
        <v>0</v>
      </c>
      <c r="Y22" s="146">
        <f>IF(OutSobreRec='Z 1 - Listas'!$J$4,$C22*'A4 - Previsão de Receita Bruta'!X9,0)</f>
        <v>0</v>
      </c>
      <c r="Z22" s="146">
        <f>IF(OutSobreRec='Z 1 - Listas'!$J$4,$C22*'A4 - Previsão de Receita Bruta'!Y9,0)</f>
        <v>0</v>
      </c>
      <c r="AA22" s="146">
        <f>IF(OutSobreRec='Z 1 - Listas'!$J$4,$C22*'A4 - Previsão de Receita Bruta'!Z9,0)</f>
        <v>0</v>
      </c>
      <c r="AB22" s="146">
        <f>IF(OutSobreRec='Z 1 - Listas'!$J$4,$C22*'A4 - Previsão de Receita Bruta'!AA9,0)</f>
        <v>0</v>
      </c>
      <c r="AC22" s="146">
        <f>IF(OutSobreRec='Z 1 - Listas'!$J$4,$C22*'A4 - Previsão de Receita Bruta'!AB9,0)</f>
        <v>0</v>
      </c>
      <c r="AD22" s="146">
        <f>IF(OutSobreRec='Z 1 - Listas'!$J$4,$C22*'A4 - Previsão de Receita Bruta'!AC9,0)</f>
        <v>0</v>
      </c>
      <c r="AE22" s="146">
        <f>IF(OutSobreRec='Z 1 - Listas'!$J$4,$C22*'A4 - Previsão de Receita Bruta'!AD9,0)</f>
        <v>0</v>
      </c>
      <c r="AF22" s="146">
        <f>IF(OutSobreRec='Z 1 - Listas'!$J$4,$C22*'A4 - Previsão de Receita Bruta'!AE9,0)</f>
        <v>0</v>
      </c>
      <c r="AG22" s="146">
        <f>IF(OutSobreRec='Z 1 - Listas'!$J$4,$C22*'A4 - Previsão de Receita Bruta'!AF9,0)</f>
        <v>0</v>
      </c>
    </row>
    <row r="23" spans="1:33" ht="19.5" hidden="1" customHeight="1">
      <c r="A23" s="778" t="str">
        <f>'A1 - Serviços e demanda'!A23</f>
        <v>Preá - Estacionamento</v>
      </c>
      <c r="B23" s="821"/>
      <c r="C23" s="157">
        <v>0.02</v>
      </c>
      <c r="D23" s="146">
        <f>IF(OutSobreRec='Z 1 - Listas'!$J$4,$C23*'A4 - Previsão de Receita Bruta'!C10,0)</f>
        <v>0</v>
      </c>
      <c r="E23" s="146">
        <f>IF(OutSobreRec='Z 1 - Listas'!$J$4,$C23*'A4 - Previsão de Receita Bruta'!D10,0)</f>
        <v>0</v>
      </c>
      <c r="F23" s="146">
        <f>IF(OutSobreRec='Z 1 - Listas'!$J$4,$C23*'A4 - Previsão de Receita Bruta'!E10,0)</f>
        <v>0</v>
      </c>
      <c r="G23" s="146">
        <f>IF(OutSobreRec='Z 1 - Listas'!$J$4,$C23*'A4 - Previsão de Receita Bruta'!F10,0)</f>
        <v>0</v>
      </c>
      <c r="H23" s="146">
        <f>IF(OutSobreRec='Z 1 - Listas'!$J$4,$C23*'A4 - Previsão de Receita Bruta'!G10,0)</f>
        <v>0</v>
      </c>
      <c r="I23" s="146">
        <f>IF(OutSobreRec='Z 1 - Listas'!$J$4,$C23*'A4 - Previsão de Receita Bruta'!H10,0)</f>
        <v>0</v>
      </c>
      <c r="J23" s="146">
        <f>IF(OutSobreRec='Z 1 - Listas'!$J$4,$C23*'A4 - Previsão de Receita Bruta'!I10,0)</f>
        <v>0</v>
      </c>
      <c r="K23" s="146">
        <f>IF(OutSobreRec='Z 1 - Listas'!$J$4,$C23*'A4 - Previsão de Receita Bruta'!J10,0)</f>
        <v>0</v>
      </c>
      <c r="L23" s="146">
        <f>IF(OutSobreRec='Z 1 - Listas'!$J$4,$C23*'A4 - Previsão de Receita Bruta'!K10,0)</f>
        <v>0</v>
      </c>
      <c r="M23" s="146">
        <f>IF(OutSobreRec='Z 1 - Listas'!$J$4,$C23*'A4 - Previsão de Receita Bruta'!L10,0)</f>
        <v>0</v>
      </c>
      <c r="N23" s="146">
        <f>IF(OutSobreRec='Z 1 - Listas'!$J$4,$C23*'A4 - Previsão de Receita Bruta'!M10,0)</f>
        <v>0</v>
      </c>
      <c r="O23" s="146">
        <f>IF(OutSobreRec='Z 1 - Listas'!$J$4,$C23*'A4 - Previsão de Receita Bruta'!N10,0)</f>
        <v>0</v>
      </c>
      <c r="P23" s="146">
        <f>IF(OutSobreRec='Z 1 - Listas'!$J$4,$C23*'A4 - Previsão de Receita Bruta'!O10,0)</f>
        <v>0</v>
      </c>
      <c r="Q23" s="146">
        <f>IF(OutSobreRec='Z 1 - Listas'!$J$4,$C23*'A4 - Previsão de Receita Bruta'!P10,0)</f>
        <v>0</v>
      </c>
      <c r="R23" s="146">
        <f>IF(OutSobreRec='Z 1 - Listas'!$J$4,$C23*'A4 - Previsão de Receita Bruta'!Q10,0)</f>
        <v>0</v>
      </c>
      <c r="S23" s="146">
        <f>IF(OutSobreRec='Z 1 - Listas'!$J$4,$C23*'A4 - Previsão de Receita Bruta'!R10,0)</f>
        <v>0</v>
      </c>
      <c r="T23" s="146">
        <f>IF(OutSobreRec='Z 1 - Listas'!$J$4,$C23*'A4 - Previsão de Receita Bruta'!S10,0)</f>
        <v>0</v>
      </c>
      <c r="U23" s="146">
        <f>IF(OutSobreRec='Z 1 - Listas'!$J$4,$C23*'A4 - Previsão de Receita Bruta'!T10,0)</f>
        <v>0</v>
      </c>
      <c r="V23" s="146">
        <f>IF(OutSobreRec='Z 1 - Listas'!$J$4,$C23*'A4 - Previsão de Receita Bruta'!U10,0)</f>
        <v>0</v>
      </c>
      <c r="W23" s="146">
        <f>IF(OutSobreRec='Z 1 - Listas'!$J$4,$C23*'A4 - Previsão de Receita Bruta'!V10,0)</f>
        <v>0</v>
      </c>
      <c r="X23" s="146">
        <f>IF(OutSobreRec='Z 1 - Listas'!$J$4,$C23*'A4 - Previsão de Receita Bruta'!W10,0)</f>
        <v>0</v>
      </c>
      <c r="Y23" s="146">
        <f>IF(OutSobreRec='Z 1 - Listas'!$J$4,$C23*'A4 - Previsão de Receita Bruta'!X10,0)</f>
        <v>0</v>
      </c>
      <c r="Z23" s="146">
        <f>IF(OutSobreRec='Z 1 - Listas'!$J$4,$C23*'A4 - Previsão de Receita Bruta'!Y10,0)</f>
        <v>0</v>
      </c>
      <c r="AA23" s="146">
        <f>IF(OutSobreRec='Z 1 - Listas'!$J$4,$C23*'A4 - Previsão de Receita Bruta'!Z10,0)</f>
        <v>0</v>
      </c>
      <c r="AB23" s="146">
        <f>IF(OutSobreRec='Z 1 - Listas'!$J$4,$C23*'A4 - Previsão de Receita Bruta'!AA10,0)</f>
        <v>0</v>
      </c>
      <c r="AC23" s="146">
        <f>IF(OutSobreRec='Z 1 - Listas'!$J$4,$C23*'A4 - Previsão de Receita Bruta'!AB10,0)</f>
        <v>0</v>
      </c>
      <c r="AD23" s="146">
        <f>IF(OutSobreRec='Z 1 - Listas'!$J$4,$C23*'A4 - Previsão de Receita Bruta'!AC10,0)</f>
        <v>0</v>
      </c>
      <c r="AE23" s="146">
        <f>IF(OutSobreRec='Z 1 - Listas'!$J$4,$C23*'A4 - Previsão de Receita Bruta'!AD10,0)</f>
        <v>0</v>
      </c>
      <c r="AF23" s="146">
        <f>IF(OutSobreRec='Z 1 - Listas'!$J$4,$C23*'A4 - Previsão de Receita Bruta'!AE10,0)</f>
        <v>0</v>
      </c>
      <c r="AG23" s="146">
        <f>IF(OutSobreRec='Z 1 - Listas'!$J$4,$C23*'A4 - Previsão de Receita Bruta'!AF10,0)</f>
        <v>0</v>
      </c>
    </row>
    <row r="24" spans="1:33" ht="19.5" hidden="1" customHeight="1">
      <c r="A24" s="778" t="str">
        <f>'A1 - Serviços e demanda'!A24</f>
        <v>Árvore da Preguiça - Alimentação</v>
      </c>
      <c r="B24" s="821"/>
      <c r="C24" s="157">
        <v>0</v>
      </c>
      <c r="D24" s="146">
        <f>IF(OutSobreRec='Z 1 - Listas'!$J$4,$C24*'A4 - Previsão de Receita Bruta'!C11,0)</f>
        <v>0</v>
      </c>
      <c r="E24" s="146">
        <f>IF(OutSobreRec='Z 1 - Listas'!$J$4,$C24*'A4 - Previsão de Receita Bruta'!D11,0)</f>
        <v>0</v>
      </c>
      <c r="F24" s="146">
        <f>IF(OutSobreRec='Z 1 - Listas'!$J$4,$C24*'A4 - Previsão de Receita Bruta'!E11,0)</f>
        <v>0</v>
      </c>
      <c r="G24" s="146">
        <f>IF(OutSobreRec='Z 1 - Listas'!$J$4,$C24*'A4 - Previsão de Receita Bruta'!F11,0)</f>
        <v>0</v>
      </c>
      <c r="H24" s="146">
        <f>IF(OutSobreRec='Z 1 - Listas'!$J$4,$C24*'A4 - Previsão de Receita Bruta'!G11,0)</f>
        <v>0</v>
      </c>
      <c r="I24" s="146">
        <f>IF(OutSobreRec='Z 1 - Listas'!$J$4,$C24*'A4 - Previsão de Receita Bruta'!H11,0)</f>
        <v>0</v>
      </c>
      <c r="J24" s="146">
        <f>IF(OutSobreRec='Z 1 - Listas'!$J$4,$C24*'A4 - Previsão de Receita Bruta'!I11,0)</f>
        <v>0</v>
      </c>
      <c r="K24" s="146">
        <f>IF(OutSobreRec='Z 1 - Listas'!$J$4,$C24*'A4 - Previsão de Receita Bruta'!J11,0)</f>
        <v>0</v>
      </c>
      <c r="L24" s="146">
        <f>IF(OutSobreRec='Z 1 - Listas'!$J$4,$C24*'A4 - Previsão de Receita Bruta'!K11,0)</f>
        <v>0</v>
      </c>
      <c r="M24" s="146">
        <f>IF(OutSobreRec='Z 1 - Listas'!$J$4,$C24*'A4 - Previsão de Receita Bruta'!L11,0)</f>
        <v>0</v>
      </c>
      <c r="N24" s="146">
        <f>IF(OutSobreRec='Z 1 - Listas'!$J$4,$C24*'A4 - Previsão de Receita Bruta'!M11,0)</f>
        <v>0</v>
      </c>
      <c r="O24" s="146">
        <f>IF(OutSobreRec='Z 1 - Listas'!$J$4,$C24*'A4 - Previsão de Receita Bruta'!N11,0)</f>
        <v>0</v>
      </c>
      <c r="P24" s="146">
        <f>IF(OutSobreRec='Z 1 - Listas'!$J$4,$C24*'A4 - Previsão de Receita Bruta'!O11,0)</f>
        <v>0</v>
      </c>
      <c r="Q24" s="146">
        <f>IF(OutSobreRec='Z 1 - Listas'!$J$4,$C24*'A4 - Previsão de Receita Bruta'!P11,0)</f>
        <v>0</v>
      </c>
      <c r="R24" s="146">
        <f>IF(OutSobreRec='Z 1 - Listas'!$J$4,$C24*'A4 - Previsão de Receita Bruta'!Q11,0)</f>
        <v>0</v>
      </c>
      <c r="S24" s="146">
        <f>IF(OutSobreRec='Z 1 - Listas'!$J$4,$C24*'A4 - Previsão de Receita Bruta'!R11,0)</f>
        <v>0</v>
      </c>
      <c r="T24" s="146">
        <f>IF(OutSobreRec='Z 1 - Listas'!$J$4,$C24*'A4 - Previsão de Receita Bruta'!S11,0)</f>
        <v>0</v>
      </c>
      <c r="U24" s="146">
        <f>IF(OutSobreRec='Z 1 - Listas'!$J$4,$C24*'A4 - Previsão de Receita Bruta'!T11,0)</f>
        <v>0</v>
      </c>
      <c r="V24" s="146">
        <f>IF(OutSobreRec='Z 1 - Listas'!$J$4,$C24*'A4 - Previsão de Receita Bruta'!U11,0)</f>
        <v>0</v>
      </c>
      <c r="W24" s="146">
        <f>IF(OutSobreRec='Z 1 - Listas'!$J$4,$C24*'A4 - Previsão de Receita Bruta'!V11,0)</f>
        <v>0</v>
      </c>
      <c r="X24" s="146">
        <f>IF(OutSobreRec='Z 1 - Listas'!$J$4,$C24*'A4 - Previsão de Receita Bruta'!W11,0)</f>
        <v>0</v>
      </c>
      <c r="Y24" s="146">
        <f>IF(OutSobreRec='Z 1 - Listas'!$J$4,$C24*'A4 - Previsão de Receita Bruta'!X11,0)</f>
        <v>0</v>
      </c>
      <c r="Z24" s="146">
        <f>IF(OutSobreRec='Z 1 - Listas'!$J$4,$C24*'A4 - Previsão de Receita Bruta'!Y11,0)</f>
        <v>0</v>
      </c>
      <c r="AA24" s="146">
        <f>IF(OutSobreRec='Z 1 - Listas'!$J$4,$C24*'A4 - Previsão de Receita Bruta'!Z11,0)</f>
        <v>0</v>
      </c>
      <c r="AB24" s="146">
        <f>IF(OutSobreRec='Z 1 - Listas'!$J$4,$C24*'A4 - Previsão de Receita Bruta'!AA11,0)</f>
        <v>0</v>
      </c>
      <c r="AC24" s="146">
        <f>IF(OutSobreRec='Z 1 - Listas'!$J$4,$C24*'A4 - Previsão de Receita Bruta'!AB11,0)</f>
        <v>0</v>
      </c>
      <c r="AD24" s="146">
        <f>IF(OutSobreRec='Z 1 - Listas'!$J$4,$C24*'A4 - Previsão de Receita Bruta'!AC11,0)</f>
        <v>0</v>
      </c>
      <c r="AE24" s="146">
        <f>IF(OutSobreRec='Z 1 - Listas'!$J$4,$C24*'A4 - Previsão de Receita Bruta'!AD11,0)</f>
        <v>0</v>
      </c>
      <c r="AF24" s="146">
        <f>IF(OutSobreRec='Z 1 - Listas'!$J$4,$C24*'A4 - Previsão de Receita Bruta'!AE11,0)</f>
        <v>0</v>
      </c>
      <c r="AG24" s="146">
        <f>IF(OutSobreRec='Z 1 - Listas'!$J$4,$C24*'A4 - Previsão de Receita Bruta'!AF11,0)</f>
        <v>0</v>
      </c>
    </row>
    <row r="25" spans="1:33" ht="19.5" hidden="1" customHeight="1">
      <c r="A25" s="778" t="str">
        <f>'A1 - Serviços e demanda'!A25</f>
        <v>Árvore da Preguiça - Comércio</v>
      </c>
      <c r="B25" s="821"/>
      <c r="C25" s="157">
        <v>0</v>
      </c>
      <c r="D25" s="146">
        <f>IF(OutSobreRec='Z 1 - Listas'!$J$4,$C25*'A4 - Previsão de Receita Bruta'!C12,0)</f>
        <v>0</v>
      </c>
      <c r="E25" s="146">
        <f>IF(OutSobreRec='Z 1 - Listas'!$J$4,$C25*'A4 - Previsão de Receita Bruta'!D12,0)</f>
        <v>0</v>
      </c>
      <c r="F25" s="146">
        <f>IF(OutSobreRec='Z 1 - Listas'!$J$4,$C25*'A4 - Previsão de Receita Bruta'!E12,0)</f>
        <v>0</v>
      </c>
      <c r="G25" s="146">
        <f>IF(OutSobreRec='Z 1 - Listas'!$J$4,$C25*'A4 - Previsão de Receita Bruta'!F12,0)</f>
        <v>0</v>
      </c>
      <c r="H25" s="146">
        <f>IF(OutSobreRec='Z 1 - Listas'!$J$4,$C25*'A4 - Previsão de Receita Bruta'!G12,0)</f>
        <v>0</v>
      </c>
      <c r="I25" s="146">
        <f>IF(OutSobreRec='Z 1 - Listas'!$J$4,$C25*'A4 - Previsão de Receita Bruta'!H12,0)</f>
        <v>0</v>
      </c>
      <c r="J25" s="146">
        <f>IF(OutSobreRec='Z 1 - Listas'!$J$4,$C25*'A4 - Previsão de Receita Bruta'!I12,0)</f>
        <v>0</v>
      </c>
      <c r="K25" s="146">
        <f>IF(OutSobreRec='Z 1 - Listas'!$J$4,$C25*'A4 - Previsão de Receita Bruta'!J12,0)</f>
        <v>0</v>
      </c>
      <c r="L25" s="146">
        <f>IF(OutSobreRec='Z 1 - Listas'!$J$4,$C25*'A4 - Previsão de Receita Bruta'!K12,0)</f>
        <v>0</v>
      </c>
      <c r="M25" s="146">
        <f>IF(OutSobreRec='Z 1 - Listas'!$J$4,$C25*'A4 - Previsão de Receita Bruta'!L12,0)</f>
        <v>0</v>
      </c>
      <c r="N25" s="146">
        <f>IF(OutSobreRec='Z 1 - Listas'!$J$4,$C25*'A4 - Previsão de Receita Bruta'!M12,0)</f>
        <v>0</v>
      </c>
      <c r="O25" s="146">
        <f>IF(OutSobreRec='Z 1 - Listas'!$J$4,$C25*'A4 - Previsão de Receita Bruta'!N12,0)</f>
        <v>0</v>
      </c>
      <c r="P25" s="146">
        <f>IF(OutSobreRec='Z 1 - Listas'!$J$4,$C25*'A4 - Previsão de Receita Bruta'!O12,0)</f>
        <v>0</v>
      </c>
      <c r="Q25" s="146">
        <f>IF(OutSobreRec='Z 1 - Listas'!$J$4,$C25*'A4 - Previsão de Receita Bruta'!P12,0)</f>
        <v>0</v>
      </c>
      <c r="R25" s="146">
        <f>IF(OutSobreRec='Z 1 - Listas'!$J$4,$C25*'A4 - Previsão de Receita Bruta'!Q12,0)</f>
        <v>0</v>
      </c>
      <c r="S25" s="146">
        <f>IF(OutSobreRec='Z 1 - Listas'!$J$4,$C25*'A4 - Previsão de Receita Bruta'!R12,0)</f>
        <v>0</v>
      </c>
      <c r="T25" s="146">
        <f>IF(OutSobreRec='Z 1 - Listas'!$J$4,$C25*'A4 - Previsão de Receita Bruta'!S12,0)</f>
        <v>0</v>
      </c>
      <c r="U25" s="146">
        <f>IF(OutSobreRec='Z 1 - Listas'!$J$4,$C25*'A4 - Previsão de Receita Bruta'!T12,0)</f>
        <v>0</v>
      </c>
      <c r="V25" s="146">
        <f>IF(OutSobreRec='Z 1 - Listas'!$J$4,$C25*'A4 - Previsão de Receita Bruta'!U12,0)</f>
        <v>0</v>
      </c>
      <c r="W25" s="146">
        <f>IF(OutSobreRec='Z 1 - Listas'!$J$4,$C25*'A4 - Previsão de Receita Bruta'!V12,0)</f>
        <v>0</v>
      </c>
      <c r="X25" s="146">
        <f>IF(OutSobreRec='Z 1 - Listas'!$J$4,$C25*'A4 - Previsão de Receita Bruta'!W12,0)</f>
        <v>0</v>
      </c>
      <c r="Y25" s="146">
        <f>IF(OutSobreRec='Z 1 - Listas'!$J$4,$C25*'A4 - Previsão de Receita Bruta'!X12,0)</f>
        <v>0</v>
      </c>
      <c r="Z25" s="146">
        <f>IF(OutSobreRec='Z 1 - Listas'!$J$4,$C25*'A4 - Previsão de Receita Bruta'!Y12,0)</f>
        <v>0</v>
      </c>
      <c r="AA25" s="146">
        <f>IF(OutSobreRec='Z 1 - Listas'!$J$4,$C25*'A4 - Previsão de Receita Bruta'!Z12,0)</f>
        <v>0</v>
      </c>
      <c r="AB25" s="146">
        <f>IF(OutSobreRec='Z 1 - Listas'!$J$4,$C25*'A4 - Previsão de Receita Bruta'!AA12,0)</f>
        <v>0</v>
      </c>
      <c r="AC25" s="146">
        <f>IF(OutSobreRec='Z 1 - Listas'!$J$4,$C25*'A4 - Previsão de Receita Bruta'!AB12,0)</f>
        <v>0</v>
      </c>
      <c r="AD25" s="146">
        <f>IF(OutSobreRec='Z 1 - Listas'!$J$4,$C25*'A4 - Previsão de Receita Bruta'!AC12,0)</f>
        <v>0</v>
      </c>
      <c r="AE25" s="146">
        <f>IF(OutSobreRec='Z 1 - Listas'!$J$4,$C25*'A4 - Previsão de Receita Bruta'!AD12,0)</f>
        <v>0</v>
      </c>
      <c r="AF25" s="146">
        <f>IF(OutSobreRec='Z 1 - Listas'!$J$4,$C25*'A4 - Previsão de Receita Bruta'!AE12,0)</f>
        <v>0</v>
      </c>
      <c r="AG25" s="146">
        <f>IF(OutSobreRec='Z 1 - Listas'!$J$4,$C25*'A4 - Previsão de Receita Bruta'!AF12,0)</f>
        <v>0</v>
      </c>
    </row>
    <row r="26" spans="1:33" ht="19.5" hidden="1" customHeight="1">
      <c r="A26" s="778" t="str">
        <f>'A1 - Serviços e demanda'!A26</f>
        <v>Silveira - Alimentação</v>
      </c>
      <c r="B26" s="821"/>
      <c r="C26" s="157">
        <v>0</v>
      </c>
      <c r="D26" s="146">
        <f>IF(OutSobreRec='Z 1 - Listas'!$J$4,$C26*'A4 - Previsão de Receita Bruta'!C13,0)</f>
        <v>0</v>
      </c>
      <c r="E26" s="146">
        <f>IF(OutSobreRec='Z 1 - Listas'!$J$4,$C26*'A4 - Previsão de Receita Bruta'!D13,0)</f>
        <v>0</v>
      </c>
      <c r="F26" s="146">
        <f>IF(OutSobreRec='Z 1 - Listas'!$J$4,$C26*'A4 - Previsão de Receita Bruta'!E13,0)</f>
        <v>0</v>
      </c>
      <c r="G26" s="146">
        <f>IF(OutSobreRec='Z 1 - Listas'!$J$4,$C26*'A4 - Previsão de Receita Bruta'!F13,0)</f>
        <v>0</v>
      </c>
      <c r="H26" s="146">
        <f>IF(OutSobreRec='Z 1 - Listas'!$J$4,$C26*'A4 - Previsão de Receita Bruta'!G13,0)</f>
        <v>0</v>
      </c>
      <c r="I26" s="146">
        <f>IF(OutSobreRec='Z 1 - Listas'!$J$4,$C26*'A4 - Previsão de Receita Bruta'!H13,0)</f>
        <v>0</v>
      </c>
      <c r="J26" s="146">
        <f>IF(OutSobreRec='Z 1 - Listas'!$J$4,$C26*'A4 - Previsão de Receita Bruta'!I13,0)</f>
        <v>0</v>
      </c>
      <c r="K26" s="146">
        <f>IF(OutSobreRec='Z 1 - Listas'!$J$4,$C26*'A4 - Previsão de Receita Bruta'!J13,0)</f>
        <v>0</v>
      </c>
      <c r="L26" s="146">
        <f>IF(OutSobreRec='Z 1 - Listas'!$J$4,$C26*'A4 - Previsão de Receita Bruta'!K13,0)</f>
        <v>0</v>
      </c>
      <c r="M26" s="146">
        <f>IF(OutSobreRec='Z 1 - Listas'!$J$4,$C26*'A4 - Previsão de Receita Bruta'!L13,0)</f>
        <v>0</v>
      </c>
      <c r="N26" s="146">
        <f>IF(OutSobreRec='Z 1 - Listas'!$J$4,$C26*'A4 - Previsão de Receita Bruta'!M13,0)</f>
        <v>0</v>
      </c>
      <c r="O26" s="146">
        <f>IF(OutSobreRec='Z 1 - Listas'!$J$4,$C26*'A4 - Previsão de Receita Bruta'!N13,0)</f>
        <v>0</v>
      </c>
      <c r="P26" s="146">
        <f>IF(OutSobreRec='Z 1 - Listas'!$J$4,$C26*'A4 - Previsão de Receita Bruta'!O13,0)</f>
        <v>0</v>
      </c>
      <c r="Q26" s="146">
        <f>IF(OutSobreRec='Z 1 - Listas'!$J$4,$C26*'A4 - Previsão de Receita Bruta'!P13,0)</f>
        <v>0</v>
      </c>
      <c r="R26" s="146">
        <f>IF(OutSobreRec='Z 1 - Listas'!$J$4,$C26*'A4 - Previsão de Receita Bruta'!Q13,0)</f>
        <v>0</v>
      </c>
      <c r="S26" s="146">
        <f>IF(OutSobreRec='Z 1 - Listas'!$J$4,$C26*'A4 - Previsão de Receita Bruta'!R13,0)</f>
        <v>0</v>
      </c>
      <c r="T26" s="146">
        <f>IF(OutSobreRec='Z 1 - Listas'!$J$4,$C26*'A4 - Previsão de Receita Bruta'!S13,0)</f>
        <v>0</v>
      </c>
      <c r="U26" s="146">
        <f>IF(OutSobreRec='Z 1 - Listas'!$J$4,$C26*'A4 - Previsão de Receita Bruta'!T13,0)</f>
        <v>0</v>
      </c>
      <c r="V26" s="146">
        <f>IF(OutSobreRec='Z 1 - Listas'!$J$4,$C26*'A4 - Previsão de Receita Bruta'!U13,0)</f>
        <v>0</v>
      </c>
      <c r="W26" s="146">
        <f>IF(OutSobreRec='Z 1 - Listas'!$J$4,$C26*'A4 - Previsão de Receita Bruta'!V13,0)</f>
        <v>0</v>
      </c>
      <c r="X26" s="146">
        <f>IF(OutSobreRec='Z 1 - Listas'!$J$4,$C26*'A4 - Previsão de Receita Bruta'!W13,0)</f>
        <v>0</v>
      </c>
      <c r="Y26" s="146">
        <f>IF(OutSobreRec='Z 1 - Listas'!$J$4,$C26*'A4 - Previsão de Receita Bruta'!X13,0)</f>
        <v>0</v>
      </c>
      <c r="Z26" s="146">
        <f>IF(OutSobreRec='Z 1 - Listas'!$J$4,$C26*'A4 - Previsão de Receita Bruta'!Y13,0)</f>
        <v>0</v>
      </c>
      <c r="AA26" s="146">
        <f>IF(OutSobreRec='Z 1 - Listas'!$J$4,$C26*'A4 - Previsão de Receita Bruta'!Z13,0)</f>
        <v>0</v>
      </c>
      <c r="AB26" s="146">
        <f>IF(OutSobreRec='Z 1 - Listas'!$J$4,$C26*'A4 - Previsão de Receita Bruta'!AA13,0)</f>
        <v>0</v>
      </c>
      <c r="AC26" s="146">
        <f>IF(OutSobreRec='Z 1 - Listas'!$J$4,$C26*'A4 - Previsão de Receita Bruta'!AB13,0)</f>
        <v>0</v>
      </c>
      <c r="AD26" s="146">
        <f>IF(OutSobreRec='Z 1 - Listas'!$J$4,$C26*'A4 - Previsão de Receita Bruta'!AC13,0)</f>
        <v>0</v>
      </c>
      <c r="AE26" s="146">
        <f>IF(OutSobreRec='Z 1 - Listas'!$J$4,$C26*'A4 - Previsão de Receita Bruta'!AD13,0)</f>
        <v>0</v>
      </c>
      <c r="AF26" s="146">
        <f>IF(OutSobreRec='Z 1 - Listas'!$J$4,$C26*'A4 - Previsão de Receita Bruta'!AE13,0)</f>
        <v>0</v>
      </c>
      <c r="AG26" s="146">
        <f>IF(OutSobreRec='Z 1 - Listas'!$J$4,$C26*'A4 - Previsão de Receita Bruta'!AF13,0)</f>
        <v>0</v>
      </c>
    </row>
    <row r="27" spans="1:33" ht="19.5" hidden="1" customHeight="1">
      <c r="A27" s="778" t="str">
        <f>'A1 - Serviços e demanda'!A27</f>
        <v>Silveira - Comércio + Locação + Atividades</v>
      </c>
      <c r="B27" s="821"/>
      <c r="C27" s="157">
        <v>0</v>
      </c>
      <c r="D27" s="146">
        <f>IF(OutSobreRec='Z 1 - Listas'!$J$4,$C27*'A4 - Previsão de Receita Bruta'!C14,0)</f>
        <v>0</v>
      </c>
      <c r="E27" s="146">
        <f>IF(OutSobreRec='Z 1 - Listas'!$J$4,$C27*'A4 - Previsão de Receita Bruta'!D14,0)</f>
        <v>0</v>
      </c>
      <c r="F27" s="146">
        <f>IF(OutSobreRec='Z 1 - Listas'!$J$4,$C27*'A4 - Previsão de Receita Bruta'!E14,0)</f>
        <v>0</v>
      </c>
      <c r="G27" s="146">
        <f>IF(OutSobreRec='Z 1 - Listas'!$J$4,$C27*'A4 - Previsão de Receita Bruta'!F14,0)</f>
        <v>0</v>
      </c>
      <c r="H27" s="146">
        <f>IF(OutSobreRec='Z 1 - Listas'!$J$4,$C27*'A4 - Previsão de Receita Bruta'!G14,0)</f>
        <v>0</v>
      </c>
      <c r="I27" s="146">
        <f>IF(OutSobreRec='Z 1 - Listas'!$J$4,$C27*'A4 - Previsão de Receita Bruta'!H14,0)</f>
        <v>0</v>
      </c>
      <c r="J27" s="146">
        <f>IF(OutSobreRec='Z 1 - Listas'!$J$4,$C27*'A4 - Previsão de Receita Bruta'!I14,0)</f>
        <v>0</v>
      </c>
      <c r="K27" s="146">
        <f>IF(OutSobreRec='Z 1 - Listas'!$J$4,$C27*'A4 - Previsão de Receita Bruta'!J14,0)</f>
        <v>0</v>
      </c>
      <c r="L27" s="146">
        <f>IF(OutSobreRec='Z 1 - Listas'!$J$4,$C27*'A4 - Previsão de Receita Bruta'!K14,0)</f>
        <v>0</v>
      </c>
      <c r="M27" s="146">
        <f>IF(OutSobreRec='Z 1 - Listas'!$J$4,$C27*'A4 - Previsão de Receita Bruta'!L14,0)</f>
        <v>0</v>
      </c>
      <c r="N27" s="146">
        <f>IF(OutSobreRec='Z 1 - Listas'!$J$4,$C27*'A4 - Previsão de Receita Bruta'!M14,0)</f>
        <v>0</v>
      </c>
      <c r="O27" s="146">
        <f>IF(OutSobreRec='Z 1 - Listas'!$J$4,$C27*'A4 - Previsão de Receita Bruta'!N14,0)</f>
        <v>0</v>
      </c>
      <c r="P27" s="146">
        <f>IF(OutSobreRec='Z 1 - Listas'!$J$4,$C27*'A4 - Previsão de Receita Bruta'!O14,0)</f>
        <v>0</v>
      </c>
      <c r="Q27" s="146">
        <f>IF(OutSobreRec='Z 1 - Listas'!$J$4,$C27*'A4 - Previsão de Receita Bruta'!P14,0)</f>
        <v>0</v>
      </c>
      <c r="R27" s="146">
        <f>IF(OutSobreRec='Z 1 - Listas'!$J$4,$C27*'A4 - Previsão de Receita Bruta'!Q14,0)</f>
        <v>0</v>
      </c>
      <c r="S27" s="146">
        <f>IF(OutSobreRec='Z 1 - Listas'!$J$4,$C27*'A4 - Previsão de Receita Bruta'!R14,0)</f>
        <v>0</v>
      </c>
      <c r="T27" s="146">
        <f>IF(OutSobreRec='Z 1 - Listas'!$J$4,$C27*'A4 - Previsão de Receita Bruta'!S14,0)</f>
        <v>0</v>
      </c>
      <c r="U27" s="146">
        <f>IF(OutSobreRec='Z 1 - Listas'!$J$4,$C27*'A4 - Previsão de Receita Bruta'!T14,0)</f>
        <v>0</v>
      </c>
      <c r="V27" s="146">
        <f>IF(OutSobreRec='Z 1 - Listas'!$J$4,$C27*'A4 - Previsão de Receita Bruta'!U14,0)</f>
        <v>0</v>
      </c>
      <c r="W27" s="146">
        <f>IF(OutSobreRec='Z 1 - Listas'!$J$4,$C27*'A4 - Previsão de Receita Bruta'!V14,0)</f>
        <v>0</v>
      </c>
      <c r="X27" s="146">
        <f>IF(OutSobreRec='Z 1 - Listas'!$J$4,$C27*'A4 - Previsão de Receita Bruta'!W14,0)</f>
        <v>0</v>
      </c>
      <c r="Y27" s="146">
        <f>IF(OutSobreRec='Z 1 - Listas'!$J$4,$C27*'A4 - Previsão de Receita Bruta'!X14,0)</f>
        <v>0</v>
      </c>
      <c r="Z27" s="146">
        <f>IF(OutSobreRec='Z 1 - Listas'!$J$4,$C27*'A4 - Previsão de Receita Bruta'!Y14,0)</f>
        <v>0</v>
      </c>
      <c r="AA27" s="146">
        <f>IF(OutSobreRec='Z 1 - Listas'!$J$4,$C27*'A4 - Previsão de Receita Bruta'!Z14,0)</f>
        <v>0</v>
      </c>
      <c r="AB27" s="146">
        <f>IF(OutSobreRec='Z 1 - Listas'!$J$4,$C27*'A4 - Previsão de Receita Bruta'!AA14,0)</f>
        <v>0</v>
      </c>
      <c r="AC27" s="146">
        <f>IF(OutSobreRec='Z 1 - Listas'!$J$4,$C27*'A4 - Previsão de Receita Bruta'!AB14,0)</f>
        <v>0</v>
      </c>
      <c r="AD27" s="146">
        <f>IF(OutSobreRec='Z 1 - Listas'!$J$4,$C27*'A4 - Previsão de Receita Bruta'!AC14,0)</f>
        <v>0</v>
      </c>
      <c r="AE27" s="146">
        <f>IF(OutSobreRec='Z 1 - Listas'!$J$4,$C27*'A4 - Previsão de Receita Bruta'!AD14,0)</f>
        <v>0</v>
      </c>
      <c r="AF27" s="146">
        <f>IF(OutSobreRec='Z 1 - Listas'!$J$4,$C27*'A4 - Previsão de Receita Bruta'!AE14,0)</f>
        <v>0</v>
      </c>
      <c r="AG27" s="146">
        <f>IF(OutSobreRec='Z 1 - Listas'!$J$4,$C27*'A4 - Previsão de Receita Bruta'!AF14,0)</f>
        <v>0</v>
      </c>
    </row>
    <row r="28" spans="1:33" ht="19.5" hidden="1" customHeight="1">
      <c r="A28" s="778" t="str">
        <f>'A1 - Serviços e demanda'!A28</f>
        <v>Silveira - Hospedagem</v>
      </c>
      <c r="B28" s="821"/>
      <c r="C28" s="157">
        <v>0</v>
      </c>
      <c r="D28" s="146">
        <f>IF(OutSobreRec='Z 1 - Listas'!$J$4,$C28*'A4 - Previsão de Receita Bruta'!C15,0)</f>
        <v>0</v>
      </c>
      <c r="E28" s="146">
        <f>IF(OutSobreRec='Z 1 - Listas'!$J$4,$C28*'A4 - Previsão de Receita Bruta'!D15,0)</f>
        <v>0</v>
      </c>
      <c r="F28" s="146">
        <f>IF(OutSobreRec='Z 1 - Listas'!$J$4,$C28*'A4 - Previsão de Receita Bruta'!E15,0)</f>
        <v>0</v>
      </c>
      <c r="G28" s="146">
        <f>IF(OutSobreRec='Z 1 - Listas'!$J$4,$C28*'A4 - Previsão de Receita Bruta'!F15,0)</f>
        <v>0</v>
      </c>
      <c r="H28" s="146">
        <f>IF(OutSobreRec='Z 1 - Listas'!$J$4,$C28*'A4 - Previsão de Receita Bruta'!G15,0)</f>
        <v>0</v>
      </c>
      <c r="I28" s="146">
        <f>IF(OutSobreRec='Z 1 - Listas'!$J$4,$C28*'A4 - Previsão de Receita Bruta'!H15,0)</f>
        <v>0</v>
      </c>
      <c r="J28" s="146">
        <f>IF(OutSobreRec='Z 1 - Listas'!$J$4,$C28*'A4 - Previsão de Receita Bruta'!I15,0)</f>
        <v>0</v>
      </c>
      <c r="K28" s="146">
        <f>IF(OutSobreRec='Z 1 - Listas'!$J$4,$C28*'A4 - Previsão de Receita Bruta'!J15,0)</f>
        <v>0</v>
      </c>
      <c r="L28" s="146">
        <f>IF(OutSobreRec='Z 1 - Listas'!$J$4,$C28*'A4 - Previsão de Receita Bruta'!K15,0)</f>
        <v>0</v>
      </c>
      <c r="M28" s="146">
        <f>IF(OutSobreRec='Z 1 - Listas'!$J$4,$C28*'A4 - Previsão de Receita Bruta'!L15,0)</f>
        <v>0</v>
      </c>
      <c r="N28" s="146">
        <f>IF(OutSobreRec='Z 1 - Listas'!$J$4,$C28*'A4 - Previsão de Receita Bruta'!M15,0)</f>
        <v>0</v>
      </c>
      <c r="O28" s="146">
        <f>IF(OutSobreRec='Z 1 - Listas'!$J$4,$C28*'A4 - Previsão de Receita Bruta'!N15,0)</f>
        <v>0</v>
      </c>
      <c r="P28" s="146">
        <f>IF(OutSobreRec='Z 1 - Listas'!$J$4,$C28*'A4 - Previsão de Receita Bruta'!O15,0)</f>
        <v>0</v>
      </c>
      <c r="Q28" s="146">
        <f>IF(OutSobreRec='Z 1 - Listas'!$J$4,$C28*'A4 - Previsão de Receita Bruta'!P15,0)</f>
        <v>0</v>
      </c>
      <c r="R28" s="146">
        <f>IF(OutSobreRec='Z 1 - Listas'!$J$4,$C28*'A4 - Previsão de Receita Bruta'!Q15,0)</f>
        <v>0</v>
      </c>
      <c r="S28" s="146">
        <f>IF(OutSobreRec='Z 1 - Listas'!$J$4,$C28*'A4 - Previsão de Receita Bruta'!R15,0)</f>
        <v>0</v>
      </c>
      <c r="T28" s="146">
        <f>IF(OutSobreRec='Z 1 - Listas'!$J$4,$C28*'A4 - Previsão de Receita Bruta'!S15,0)</f>
        <v>0</v>
      </c>
      <c r="U28" s="146">
        <f>IF(OutSobreRec='Z 1 - Listas'!$J$4,$C28*'A4 - Previsão de Receita Bruta'!T15,0)</f>
        <v>0</v>
      </c>
      <c r="V28" s="146">
        <f>IF(OutSobreRec='Z 1 - Listas'!$J$4,$C28*'A4 - Previsão de Receita Bruta'!U15,0)</f>
        <v>0</v>
      </c>
      <c r="W28" s="146">
        <f>IF(OutSobreRec='Z 1 - Listas'!$J$4,$C28*'A4 - Previsão de Receita Bruta'!V15,0)</f>
        <v>0</v>
      </c>
      <c r="X28" s="146">
        <f>IF(OutSobreRec='Z 1 - Listas'!$J$4,$C28*'A4 - Previsão de Receita Bruta'!W15,0)</f>
        <v>0</v>
      </c>
      <c r="Y28" s="146">
        <f>IF(OutSobreRec='Z 1 - Listas'!$J$4,$C28*'A4 - Previsão de Receita Bruta'!X15,0)</f>
        <v>0</v>
      </c>
      <c r="Z28" s="146">
        <f>IF(OutSobreRec='Z 1 - Listas'!$J$4,$C28*'A4 - Previsão de Receita Bruta'!Y15,0)</f>
        <v>0</v>
      </c>
      <c r="AA28" s="146">
        <f>IF(OutSobreRec='Z 1 - Listas'!$J$4,$C28*'A4 - Previsão de Receita Bruta'!Z15,0)</f>
        <v>0</v>
      </c>
      <c r="AB28" s="146">
        <f>IF(OutSobreRec='Z 1 - Listas'!$J$4,$C28*'A4 - Previsão de Receita Bruta'!AA15,0)</f>
        <v>0</v>
      </c>
      <c r="AC28" s="146">
        <f>IF(OutSobreRec='Z 1 - Listas'!$J$4,$C28*'A4 - Previsão de Receita Bruta'!AB15,0)</f>
        <v>0</v>
      </c>
      <c r="AD28" s="146">
        <f>IF(OutSobreRec='Z 1 - Listas'!$J$4,$C28*'A4 - Previsão de Receita Bruta'!AC15,0)</f>
        <v>0</v>
      </c>
      <c r="AE28" s="146">
        <f>IF(OutSobreRec='Z 1 - Listas'!$J$4,$C28*'A4 - Previsão de Receita Bruta'!AD15,0)</f>
        <v>0</v>
      </c>
      <c r="AF28" s="146">
        <f>IF(OutSobreRec='Z 1 - Listas'!$J$4,$C28*'A4 - Previsão de Receita Bruta'!AE15,0)</f>
        <v>0</v>
      </c>
      <c r="AG28" s="146">
        <f>IF(OutSobreRec='Z 1 - Listas'!$J$4,$C28*'A4 - Previsão de Receita Bruta'!AF15,0)</f>
        <v>0</v>
      </c>
    </row>
    <row r="29" spans="1:33" ht="19.5" hidden="1" customHeight="1">
      <c r="A29" s="778" t="str">
        <f>'A1 - Serviços e demanda'!A29</f>
        <v>Pedra Furada - Alimentação</v>
      </c>
      <c r="B29" s="821"/>
      <c r="C29" s="157">
        <v>0</v>
      </c>
      <c r="D29" s="146">
        <f>IF(OutSobreRec='Z 1 - Listas'!$J$4,$C29*'A4 - Previsão de Receita Bruta'!C16,0)</f>
        <v>0</v>
      </c>
      <c r="E29" s="146">
        <f>IF(OutSobreRec='Z 1 - Listas'!$J$4,$C29*'A4 - Previsão de Receita Bruta'!D16,0)</f>
        <v>0</v>
      </c>
      <c r="F29" s="146">
        <f>IF(OutSobreRec='Z 1 - Listas'!$J$4,$C29*'A4 - Previsão de Receita Bruta'!E16,0)</f>
        <v>0</v>
      </c>
      <c r="G29" s="146">
        <f>IF(OutSobreRec='Z 1 - Listas'!$J$4,$C29*'A4 - Previsão de Receita Bruta'!F16,0)</f>
        <v>0</v>
      </c>
      <c r="H29" s="146">
        <f>IF(OutSobreRec='Z 1 - Listas'!$J$4,$C29*'A4 - Previsão de Receita Bruta'!G16,0)</f>
        <v>0</v>
      </c>
      <c r="I29" s="146">
        <f>IF(OutSobreRec='Z 1 - Listas'!$J$4,$C29*'A4 - Previsão de Receita Bruta'!H16,0)</f>
        <v>0</v>
      </c>
      <c r="J29" s="146">
        <f>IF(OutSobreRec='Z 1 - Listas'!$J$4,$C29*'A4 - Previsão de Receita Bruta'!I16,0)</f>
        <v>0</v>
      </c>
      <c r="K29" s="146">
        <f>IF(OutSobreRec='Z 1 - Listas'!$J$4,$C29*'A4 - Previsão de Receita Bruta'!J16,0)</f>
        <v>0</v>
      </c>
      <c r="L29" s="146">
        <f>IF(OutSobreRec='Z 1 - Listas'!$J$4,$C29*'A4 - Previsão de Receita Bruta'!K16,0)</f>
        <v>0</v>
      </c>
      <c r="M29" s="146">
        <f>IF(OutSobreRec='Z 1 - Listas'!$J$4,$C29*'A4 - Previsão de Receita Bruta'!L16,0)</f>
        <v>0</v>
      </c>
      <c r="N29" s="146">
        <f>IF(OutSobreRec='Z 1 - Listas'!$J$4,$C29*'A4 - Previsão de Receita Bruta'!M16,0)</f>
        <v>0</v>
      </c>
      <c r="O29" s="146">
        <f>IF(OutSobreRec='Z 1 - Listas'!$J$4,$C29*'A4 - Previsão de Receita Bruta'!N16,0)</f>
        <v>0</v>
      </c>
      <c r="P29" s="146">
        <f>IF(OutSobreRec='Z 1 - Listas'!$J$4,$C29*'A4 - Previsão de Receita Bruta'!O16,0)</f>
        <v>0</v>
      </c>
      <c r="Q29" s="146">
        <f>IF(OutSobreRec='Z 1 - Listas'!$J$4,$C29*'A4 - Previsão de Receita Bruta'!P16,0)</f>
        <v>0</v>
      </c>
      <c r="R29" s="146">
        <f>IF(OutSobreRec='Z 1 - Listas'!$J$4,$C29*'A4 - Previsão de Receita Bruta'!Q16,0)</f>
        <v>0</v>
      </c>
      <c r="S29" s="146">
        <f>IF(OutSobreRec='Z 1 - Listas'!$J$4,$C29*'A4 - Previsão de Receita Bruta'!R16,0)</f>
        <v>0</v>
      </c>
      <c r="T29" s="146">
        <f>IF(OutSobreRec='Z 1 - Listas'!$J$4,$C29*'A4 - Previsão de Receita Bruta'!S16,0)</f>
        <v>0</v>
      </c>
      <c r="U29" s="146">
        <f>IF(OutSobreRec='Z 1 - Listas'!$J$4,$C29*'A4 - Previsão de Receita Bruta'!T16,0)</f>
        <v>0</v>
      </c>
      <c r="V29" s="146">
        <f>IF(OutSobreRec='Z 1 - Listas'!$J$4,$C29*'A4 - Previsão de Receita Bruta'!U16,0)</f>
        <v>0</v>
      </c>
      <c r="W29" s="146">
        <f>IF(OutSobreRec='Z 1 - Listas'!$J$4,$C29*'A4 - Previsão de Receita Bruta'!V16,0)</f>
        <v>0</v>
      </c>
      <c r="X29" s="146">
        <f>IF(OutSobreRec='Z 1 - Listas'!$J$4,$C29*'A4 - Previsão de Receita Bruta'!W16,0)</f>
        <v>0</v>
      </c>
      <c r="Y29" s="146">
        <f>IF(OutSobreRec='Z 1 - Listas'!$J$4,$C29*'A4 - Previsão de Receita Bruta'!X16,0)</f>
        <v>0</v>
      </c>
      <c r="Z29" s="146">
        <f>IF(OutSobreRec='Z 1 - Listas'!$J$4,$C29*'A4 - Previsão de Receita Bruta'!Y16,0)</f>
        <v>0</v>
      </c>
      <c r="AA29" s="146">
        <f>IF(OutSobreRec='Z 1 - Listas'!$J$4,$C29*'A4 - Previsão de Receita Bruta'!Z16,0)</f>
        <v>0</v>
      </c>
      <c r="AB29" s="146">
        <f>IF(OutSobreRec='Z 1 - Listas'!$J$4,$C29*'A4 - Previsão de Receita Bruta'!AA16,0)</f>
        <v>0</v>
      </c>
      <c r="AC29" s="146">
        <f>IF(OutSobreRec='Z 1 - Listas'!$J$4,$C29*'A4 - Previsão de Receita Bruta'!AB16,0)</f>
        <v>0</v>
      </c>
      <c r="AD29" s="146">
        <f>IF(OutSobreRec='Z 1 - Listas'!$J$4,$C29*'A4 - Previsão de Receita Bruta'!AC16,0)</f>
        <v>0</v>
      </c>
      <c r="AE29" s="146">
        <f>IF(OutSobreRec='Z 1 - Listas'!$J$4,$C29*'A4 - Previsão de Receita Bruta'!AD16,0)</f>
        <v>0</v>
      </c>
      <c r="AF29" s="146">
        <f>IF(OutSobreRec='Z 1 - Listas'!$J$4,$C29*'A4 - Previsão de Receita Bruta'!AE16,0)</f>
        <v>0</v>
      </c>
      <c r="AG29" s="146">
        <f>IF(OutSobreRec='Z 1 - Listas'!$J$4,$C29*'A4 - Previsão de Receita Bruta'!AF16,0)</f>
        <v>0</v>
      </c>
    </row>
    <row r="30" spans="1:33" ht="19.5" hidden="1" customHeight="1">
      <c r="A30" s="778" t="str">
        <f>'A1 - Serviços e demanda'!A30</f>
        <v>Pedra Furada - Comércio</v>
      </c>
      <c r="B30" s="821"/>
      <c r="C30" s="157">
        <v>0</v>
      </c>
      <c r="D30" s="146">
        <f>IF(OutSobreRec='Z 1 - Listas'!$J$4,$C30*'A4 - Previsão de Receita Bruta'!C17,0)</f>
        <v>0</v>
      </c>
      <c r="E30" s="146">
        <f>IF(OutSobreRec='Z 1 - Listas'!$J$4,$C30*'A4 - Previsão de Receita Bruta'!D17,0)</f>
        <v>0</v>
      </c>
      <c r="F30" s="146">
        <f>IF(OutSobreRec='Z 1 - Listas'!$J$4,$C30*'A4 - Previsão de Receita Bruta'!E17,0)</f>
        <v>0</v>
      </c>
      <c r="G30" s="146">
        <f>IF(OutSobreRec='Z 1 - Listas'!$J$4,$C30*'A4 - Previsão de Receita Bruta'!F17,0)</f>
        <v>0</v>
      </c>
      <c r="H30" s="146">
        <f>IF(OutSobreRec='Z 1 - Listas'!$J$4,$C30*'A4 - Previsão de Receita Bruta'!G17,0)</f>
        <v>0</v>
      </c>
      <c r="I30" s="146">
        <f>IF(OutSobreRec='Z 1 - Listas'!$J$4,$C30*'A4 - Previsão de Receita Bruta'!H17,0)</f>
        <v>0</v>
      </c>
      <c r="J30" s="146">
        <f>IF(OutSobreRec='Z 1 - Listas'!$J$4,$C30*'A4 - Previsão de Receita Bruta'!I17,0)</f>
        <v>0</v>
      </c>
      <c r="K30" s="146">
        <f>IF(OutSobreRec='Z 1 - Listas'!$J$4,$C30*'A4 - Previsão de Receita Bruta'!J17,0)</f>
        <v>0</v>
      </c>
      <c r="L30" s="146">
        <f>IF(OutSobreRec='Z 1 - Listas'!$J$4,$C30*'A4 - Previsão de Receita Bruta'!K17,0)</f>
        <v>0</v>
      </c>
      <c r="M30" s="146">
        <f>IF(OutSobreRec='Z 1 - Listas'!$J$4,$C30*'A4 - Previsão de Receita Bruta'!L17,0)</f>
        <v>0</v>
      </c>
      <c r="N30" s="146">
        <f>IF(OutSobreRec='Z 1 - Listas'!$J$4,$C30*'A4 - Previsão de Receita Bruta'!M17,0)</f>
        <v>0</v>
      </c>
      <c r="O30" s="146">
        <f>IF(OutSobreRec='Z 1 - Listas'!$J$4,$C30*'A4 - Previsão de Receita Bruta'!N17,0)</f>
        <v>0</v>
      </c>
      <c r="P30" s="146">
        <f>IF(OutSobreRec='Z 1 - Listas'!$J$4,$C30*'A4 - Previsão de Receita Bruta'!O17,0)</f>
        <v>0</v>
      </c>
      <c r="Q30" s="146">
        <f>IF(OutSobreRec='Z 1 - Listas'!$J$4,$C30*'A4 - Previsão de Receita Bruta'!P17,0)</f>
        <v>0</v>
      </c>
      <c r="R30" s="146">
        <f>IF(OutSobreRec='Z 1 - Listas'!$J$4,$C30*'A4 - Previsão de Receita Bruta'!Q17,0)</f>
        <v>0</v>
      </c>
      <c r="S30" s="146">
        <f>IF(OutSobreRec='Z 1 - Listas'!$J$4,$C30*'A4 - Previsão de Receita Bruta'!R17,0)</f>
        <v>0</v>
      </c>
      <c r="T30" s="146">
        <f>IF(OutSobreRec='Z 1 - Listas'!$J$4,$C30*'A4 - Previsão de Receita Bruta'!S17,0)</f>
        <v>0</v>
      </c>
      <c r="U30" s="146">
        <f>IF(OutSobreRec='Z 1 - Listas'!$J$4,$C30*'A4 - Previsão de Receita Bruta'!T17,0)</f>
        <v>0</v>
      </c>
      <c r="V30" s="146">
        <f>IF(OutSobreRec='Z 1 - Listas'!$J$4,$C30*'A4 - Previsão de Receita Bruta'!U17,0)</f>
        <v>0</v>
      </c>
      <c r="W30" s="146">
        <f>IF(OutSobreRec='Z 1 - Listas'!$J$4,$C30*'A4 - Previsão de Receita Bruta'!V17,0)</f>
        <v>0</v>
      </c>
      <c r="X30" s="146">
        <f>IF(OutSobreRec='Z 1 - Listas'!$J$4,$C30*'A4 - Previsão de Receita Bruta'!W17,0)</f>
        <v>0</v>
      </c>
      <c r="Y30" s="146">
        <f>IF(OutSobreRec='Z 1 - Listas'!$J$4,$C30*'A4 - Previsão de Receita Bruta'!X17,0)</f>
        <v>0</v>
      </c>
      <c r="Z30" s="146">
        <f>IF(OutSobreRec='Z 1 - Listas'!$J$4,$C30*'A4 - Previsão de Receita Bruta'!Y17,0)</f>
        <v>0</v>
      </c>
      <c r="AA30" s="146">
        <f>IF(OutSobreRec='Z 1 - Listas'!$J$4,$C30*'A4 - Previsão de Receita Bruta'!Z17,0)</f>
        <v>0</v>
      </c>
      <c r="AB30" s="146">
        <f>IF(OutSobreRec='Z 1 - Listas'!$J$4,$C30*'A4 - Previsão de Receita Bruta'!AA17,0)</f>
        <v>0</v>
      </c>
      <c r="AC30" s="146">
        <f>IF(OutSobreRec='Z 1 - Listas'!$J$4,$C30*'A4 - Previsão de Receita Bruta'!AB17,0)</f>
        <v>0</v>
      </c>
      <c r="AD30" s="146">
        <f>IF(OutSobreRec='Z 1 - Listas'!$J$4,$C30*'A4 - Previsão de Receita Bruta'!AC17,0)</f>
        <v>0</v>
      </c>
      <c r="AE30" s="146">
        <f>IF(OutSobreRec='Z 1 - Listas'!$J$4,$C30*'A4 - Previsão de Receita Bruta'!AD17,0)</f>
        <v>0</v>
      </c>
      <c r="AF30" s="146">
        <f>IF(OutSobreRec='Z 1 - Listas'!$J$4,$C30*'A4 - Previsão de Receita Bruta'!AE17,0)</f>
        <v>0</v>
      </c>
      <c r="AG30" s="146">
        <f>IF(OutSobreRec='Z 1 - Listas'!$J$4,$C30*'A4 - Previsão de Receita Bruta'!AF17,0)</f>
        <v>0</v>
      </c>
    </row>
    <row r="31" spans="1:33" ht="19.5" hidden="1" customHeight="1">
      <c r="A31" s="778" t="str">
        <f>'A1 - Serviços e demanda'!A31</f>
        <v>Serrote - Alimentação</v>
      </c>
      <c r="B31" s="821"/>
      <c r="C31" s="157">
        <v>0</v>
      </c>
      <c r="D31" s="146">
        <f>IF(OutSobreRec='Z 1 - Listas'!$J$4,$C31*'A4 - Previsão de Receita Bruta'!C18,0)</f>
        <v>0</v>
      </c>
      <c r="E31" s="146">
        <f>IF(OutSobreRec='Z 1 - Listas'!$J$4,$C31*'A4 - Previsão de Receita Bruta'!D18,0)</f>
        <v>0</v>
      </c>
      <c r="F31" s="146">
        <f>IF(OutSobreRec='Z 1 - Listas'!$J$4,$C31*'A4 - Previsão de Receita Bruta'!E18,0)</f>
        <v>0</v>
      </c>
      <c r="G31" s="146">
        <f>IF(OutSobreRec='Z 1 - Listas'!$J$4,$C31*'A4 - Previsão de Receita Bruta'!F18,0)</f>
        <v>0</v>
      </c>
      <c r="H31" s="146">
        <f>IF(OutSobreRec='Z 1 - Listas'!$J$4,$C31*'A4 - Previsão de Receita Bruta'!G18,0)</f>
        <v>0</v>
      </c>
      <c r="I31" s="146">
        <f>IF(OutSobreRec='Z 1 - Listas'!$J$4,$C31*'A4 - Previsão de Receita Bruta'!H18,0)</f>
        <v>0</v>
      </c>
      <c r="J31" s="146">
        <f>IF(OutSobreRec='Z 1 - Listas'!$J$4,$C31*'A4 - Previsão de Receita Bruta'!I18,0)</f>
        <v>0</v>
      </c>
      <c r="K31" s="146">
        <f>IF(OutSobreRec='Z 1 - Listas'!$J$4,$C31*'A4 - Previsão de Receita Bruta'!J18,0)</f>
        <v>0</v>
      </c>
      <c r="L31" s="146">
        <f>IF(OutSobreRec='Z 1 - Listas'!$J$4,$C31*'A4 - Previsão de Receita Bruta'!K18,0)</f>
        <v>0</v>
      </c>
      <c r="M31" s="146">
        <f>IF(OutSobreRec='Z 1 - Listas'!$J$4,$C31*'A4 - Previsão de Receita Bruta'!L18,0)</f>
        <v>0</v>
      </c>
      <c r="N31" s="146">
        <f>IF(OutSobreRec='Z 1 - Listas'!$J$4,$C31*'A4 - Previsão de Receita Bruta'!M18,0)</f>
        <v>0</v>
      </c>
      <c r="O31" s="146">
        <f>IF(OutSobreRec='Z 1 - Listas'!$J$4,$C31*'A4 - Previsão de Receita Bruta'!N18,0)</f>
        <v>0</v>
      </c>
      <c r="P31" s="146">
        <f>IF(OutSobreRec='Z 1 - Listas'!$J$4,$C31*'A4 - Previsão de Receita Bruta'!O18,0)</f>
        <v>0</v>
      </c>
      <c r="Q31" s="146">
        <f>IF(OutSobreRec='Z 1 - Listas'!$J$4,$C31*'A4 - Previsão de Receita Bruta'!P18,0)</f>
        <v>0</v>
      </c>
      <c r="R31" s="146">
        <f>IF(OutSobreRec='Z 1 - Listas'!$J$4,$C31*'A4 - Previsão de Receita Bruta'!Q18,0)</f>
        <v>0</v>
      </c>
      <c r="S31" s="146">
        <f>IF(OutSobreRec='Z 1 - Listas'!$J$4,$C31*'A4 - Previsão de Receita Bruta'!R18,0)</f>
        <v>0</v>
      </c>
      <c r="T31" s="146">
        <f>IF(OutSobreRec='Z 1 - Listas'!$J$4,$C31*'A4 - Previsão de Receita Bruta'!S18,0)</f>
        <v>0</v>
      </c>
      <c r="U31" s="146">
        <f>IF(OutSobreRec='Z 1 - Listas'!$J$4,$C31*'A4 - Previsão de Receita Bruta'!T18,0)</f>
        <v>0</v>
      </c>
      <c r="V31" s="146">
        <f>IF(OutSobreRec='Z 1 - Listas'!$J$4,$C31*'A4 - Previsão de Receita Bruta'!U18,0)</f>
        <v>0</v>
      </c>
      <c r="W31" s="146">
        <f>IF(OutSobreRec='Z 1 - Listas'!$J$4,$C31*'A4 - Previsão de Receita Bruta'!V18,0)</f>
        <v>0</v>
      </c>
      <c r="X31" s="146">
        <f>IF(OutSobreRec='Z 1 - Listas'!$J$4,$C31*'A4 - Previsão de Receita Bruta'!W18,0)</f>
        <v>0</v>
      </c>
      <c r="Y31" s="146">
        <f>IF(OutSobreRec='Z 1 - Listas'!$J$4,$C31*'A4 - Previsão de Receita Bruta'!X18,0)</f>
        <v>0</v>
      </c>
      <c r="Z31" s="146">
        <f>IF(OutSobreRec='Z 1 - Listas'!$J$4,$C31*'A4 - Previsão de Receita Bruta'!Y18,0)</f>
        <v>0</v>
      </c>
      <c r="AA31" s="146">
        <f>IF(OutSobreRec='Z 1 - Listas'!$J$4,$C31*'A4 - Previsão de Receita Bruta'!Z18,0)</f>
        <v>0</v>
      </c>
      <c r="AB31" s="146">
        <f>IF(OutSobreRec='Z 1 - Listas'!$J$4,$C31*'A4 - Previsão de Receita Bruta'!AA18,0)</f>
        <v>0</v>
      </c>
      <c r="AC31" s="146">
        <f>IF(OutSobreRec='Z 1 - Listas'!$J$4,$C31*'A4 - Previsão de Receita Bruta'!AB18,0)</f>
        <v>0</v>
      </c>
      <c r="AD31" s="146">
        <f>IF(OutSobreRec='Z 1 - Listas'!$J$4,$C31*'A4 - Previsão de Receita Bruta'!AC18,0)</f>
        <v>0</v>
      </c>
      <c r="AE31" s="146">
        <f>IF(OutSobreRec='Z 1 - Listas'!$J$4,$C31*'A4 - Previsão de Receita Bruta'!AD18,0)</f>
        <v>0</v>
      </c>
      <c r="AF31" s="146">
        <f>IF(OutSobreRec='Z 1 - Listas'!$J$4,$C31*'A4 - Previsão de Receita Bruta'!AE18,0)</f>
        <v>0</v>
      </c>
      <c r="AG31" s="146">
        <f>IF(OutSobreRec='Z 1 - Listas'!$J$4,$C31*'A4 - Previsão de Receita Bruta'!AF18,0)</f>
        <v>0</v>
      </c>
    </row>
    <row r="32" spans="1:33" ht="19.5" hidden="1" customHeight="1">
      <c r="A32" s="778" t="str">
        <f>'A1 - Serviços e demanda'!A32</f>
        <v>Serrote - Comércio</v>
      </c>
      <c r="B32" s="821"/>
      <c r="C32" s="157">
        <v>0</v>
      </c>
      <c r="D32" s="146">
        <f>IF(OutSobreRec='Z 1 - Listas'!$J$4,$C32*'A4 - Previsão de Receita Bruta'!C19,0)</f>
        <v>0</v>
      </c>
      <c r="E32" s="146">
        <f>IF(OutSobreRec='Z 1 - Listas'!$J$4,$C32*'A4 - Previsão de Receita Bruta'!D19,0)</f>
        <v>0</v>
      </c>
      <c r="F32" s="146">
        <f>IF(OutSobreRec='Z 1 - Listas'!$J$4,$C32*'A4 - Previsão de Receita Bruta'!E19,0)</f>
        <v>0</v>
      </c>
      <c r="G32" s="146">
        <f>IF(OutSobreRec='Z 1 - Listas'!$J$4,$C32*'A4 - Previsão de Receita Bruta'!F19,0)</f>
        <v>0</v>
      </c>
      <c r="H32" s="146">
        <f>IF(OutSobreRec='Z 1 - Listas'!$J$4,$C32*'A4 - Previsão de Receita Bruta'!G19,0)</f>
        <v>0</v>
      </c>
      <c r="I32" s="146">
        <f>IF(OutSobreRec='Z 1 - Listas'!$J$4,$C32*'A4 - Previsão de Receita Bruta'!H19,0)</f>
        <v>0</v>
      </c>
      <c r="J32" s="146">
        <f>IF(OutSobreRec='Z 1 - Listas'!$J$4,$C32*'A4 - Previsão de Receita Bruta'!I19,0)</f>
        <v>0</v>
      </c>
      <c r="K32" s="146">
        <f>IF(OutSobreRec='Z 1 - Listas'!$J$4,$C32*'A4 - Previsão de Receita Bruta'!J19,0)</f>
        <v>0</v>
      </c>
      <c r="L32" s="146">
        <f>IF(OutSobreRec='Z 1 - Listas'!$J$4,$C32*'A4 - Previsão de Receita Bruta'!K19,0)</f>
        <v>0</v>
      </c>
      <c r="M32" s="146">
        <f>IF(OutSobreRec='Z 1 - Listas'!$J$4,$C32*'A4 - Previsão de Receita Bruta'!L19,0)</f>
        <v>0</v>
      </c>
      <c r="N32" s="146">
        <f>IF(OutSobreRec='Z 1 - Listas'!$J$4,$C32*'A4 - Previsão de Receita Bruta'!M19,0)</f>
        <v>0</v>
      </c>
      <c r="O32" s="146">
        <f>IF(OutSobreRec='Z 1 - Listas'!$J$4,$C32*'A4 - Previsão de Receita Bruta'!N19,0)</f>
        <v>0</v>
      </c>
      <c r="P32" s="146">
        <f>IF(OutSobreRec='Z 1 - Listas'!$J$4,$C32*'A4 - Previsão de Receita Bruta'!O19,0)</f>
        <v>0</v>
      </c>
      <c r="Q32" s="146">
        <f>IF(OutSobreRec='Z 1 - Listas'!$J$4,$C32*'A4 - Previsão de Receita Bruta'!P19,0)</f>
        <v>0</v>
      </c>
      <c r="R32" s="146">
        <f>IF(OutSobreRec='Z 1 - Listas'!$J$4,$C32*'A4 - Previsão de Receita Bruta'!Q19,0)</f>
        <v>0</v>
      </c>
      <c r="S32" s="146">
        <f>IF(OutSobreRec='Z 1 - Listas'!$J$4,$C32*'A4 - Previsão de Receita Bruta'!R19,0)</f>
        <v>0</v>
      </c>
      <c r="T32" s="146">
        <f>IF(OutSobreRec='Z 1 - Listas'!$J$4,$C32*'A4 - Previsão de Receita Bruta'!S19,0)</f>
        <v>0</v>
      </c>
      <c r="U32" s="146">
        <f>IF(OutSobreRec='Z 1 - Listas'!$J$4,$C32*'A4 - Previsão de Receita Bruta'!T19,0)</f>
        <v>0</v>
      </c>
      <c r="V32" s="146">
        <f>IF(OutSobreRec='Z 1 - Listas'!$J$4,$C32*'A4 - Previsão de Receita Bruta'!U19,0)</f>
        <v>0</v>
      </c>
      <c r="W32" s="146">
        <f>IF(OutSobreRec='Z 1 - Listas'!$J$4,$C32*'A4 - Previsão de Receita Bruta'!V19,0)</f>
        <v>0</v>
      </c>
      <c r="X32" s="146">
        <f>IF(OutSobreRec='Z 1 - Listas'!$J$4,$C32*'A4 - Previsão de Receita Bruta'!W19,0)</f>
        <v>0</v>
      </c>
      <c r="Y32" s="146">
        <f>IF(OutSobreRec='Z 1 - Listas'!$J$4,$C32*'A4 - Previsão de Receita Bruta'!X19,0)</f>
        <v>0</v>
      </c>
      <c r="Z32" s="146">
        <f>IF(OutSobreRec='Z 1 - Listas'!$J$4,$C32*'A4 - Previsão de Receita Bruta'!Y19,0)</f>
        <v>0</v>
      </c>
      <c r="AA32" s="146">
        <f>IF(OutSobreRec='Z 1 - Listas'!$J$4,$C32*'A4 - Previsão de Receita Bruta'!Z19,0)</f>
        <v>0</v>
      </c>
      <c r="AB32" s="146">
        <f>IF(OutSobreRec='Z 1 - Listas'!$J$4,$C32*'A4 - Previsão de Receita Bruta'!AA19,0)</f>
        <v>0</v>
      </c>
      <c r="AC32" s="146">
        <f>IF(OutSobreRec='Z 1 - Listas'!$J$4,$C32*'A4 - Previsão de Receita Bruta'!AB19,0)</f>
        <v>0</v>
      </c>
      <c r="AD32" s="146">
        <f>IF(OutSobreRec='Z 1 - Listas'!$J$4,$C32*'A4 - Previsão de Receita Bruta'!AC19,0)</f>
        <v>0</v>
      </c>
      <c r="AE32" s="146">
        <f>IF(OutSobreRec='Z 1 - Listas'!$J$4,$C32*'A4 - Previsão de Receita Bruta'!AD19,0)</f>
        <v>0</v>
      </c>
      <c r="AF32" s="146">
        <f>IF(OutSobreRec='Z 1 - Listas'!$J$4,$C32*'A4 - Previsão de Receita Bruta'!AE19,0)</f>
        <v>0</v>
      </c>
      <c r="AG32" s="146">
        <f>IF(OutSobreRec='Z 1 - Listas'!$J$4,$C32*'A4 - Previsão de Receita Bruta'!AF19,0)</f>
        <v>0</v>
      </c>
    </row>
    <row r="33" spans="1:33" ht="19.5" hidden="1" customHeight="1">
      <c r="A33" s="778" t="str">
        <f>'A1 - Serviços e demanda'!A33</f>
        <v>Paraíso - Alimentação</v>
      </c>
      <c r="B33" s="821"/>
      <c r="C33" s="157">
        <v>0</v>
      </c>
      <c r="D33" s="146">
        <f>IF(OutSobreRec='Z 1 - Listas'!$J$4,$C33*'A4 - Previsão de Receita Bruta'!C20,0)</f>
        <v>0</v>
      </c>
      <c r="E33" s="146">
        <f>IF(OutSobreRec='Z 1 - Listas'!$J$4,$C33*'A4 - Previsão de Receita Bruta'!D20,0)</f>
        <v>0</v>
      </c>
      <c r="F33" s="146">
        <f>IF(OutSobreRec='Z 1 - Listas'!$J$4,$C33*'A4 - Previsão de Receita Bruta'!E20,0)</f>
        <v>0</v>
      </c>
      <c r="G33" s="146">
        <f>IF(OutSobreRec='Z 1 - Listas'!$J$4,$C33*'A4 - Previsão de Receita Bruta'!F20,0)</f>
        <v>0</v>
      </c>
      <c r="H33" s="146">
        <f>IF(OutSobreRec='Z 1 - Listas'!$J$4,$C33*'A4 - Previsão de Receita Bruta'!G20,0)</f>
        <v>0</v>
      </c>
      <c r="I33" s="146">
        <f>IF(OutSobreRec='Z 1 - Listas'!$J$4,$C33*'A4 - Previsão de Receita Bruta'!H20,0)</f>
        <v>0</v>
      </c>
      <c r="J33" s="146">
        <f>IF(OutSobreRec='Z 1 - Listas'!$J$4,$C33*'A4 - Previsão de Receita Bruta'!I20,0)</f>
        <v>0</v>
      </c>
      <c r="K33" s="146">
        <f>IF(OutSobreRec='Z 1 - Listas'!$J$4,$C33*'A4 - Previsão de Receita Bruta'!J20,0)</f>
        <v>0</v>
      </c>
      <c r="L33" s="146">
        <f>IF(OutSobreRec='Z 1 - Listas'!$J$4,$C33*'A4 - Previsão de Receita Bruta'!K20,0)</f>
        <v>0</v>
      </c>
      <c r="M33" s="146">
        <f>IF(OutSobreRec='Z 1 - Listas'!$J$4,$C33*'A4 - Previsão de Receita Bruta'!L20,0)</f>
        <v>0</v>
      </c>
      <c r="N33" s="146">
        <f>IF(OutSobreRec='Z 1 - Listas'!$J$4,$C33*'A4 - Previsão de Receita Bruta'!M20,0)</f>
        <v>0</v>
      </c>
      <c r="O33" s="146">
        <f>IF(OutSobreRec='Z 1 - Listas'!$J$4,$C33*'A4 - Previsão de Receita Bruta'!N20,0)</f>
        <v>0</v>
      </c>
      <c r="P33" s="146">
        <f>IF(OutSobreRec='Z 1 - Listas'!$J$4,$C33*'A4 - Previsão de Receita Bruta'!O20,0)</f>
        <v>0</v>
      </c>
      <c r="Q33" s="146">
        <f>IF(OutSobreRec='Z 1 - Listas'!$J$4,$C33*'A4 - Previsão de Receita Bruta'!P20,0)</f>
        <v>0</v>
      </c>
      <c r="R33" s="146">
        <f>IF(OutSobreRec='Z 1 - Listas'!$J$4,$C33*'A4 - Previsão de Receita Bruta'!Q20,0)</f>
        <v>0</v>
      </c>
      <c r="S33" s="146">
        <f>IF(OutSobreRec='Z 1 - Listas'!$J$4,$C33*'A4 - Previsão de Receita Bruta'!R20,0)</f>
        <v>0</v>
      </c>
      <c r="T33" s="146">
        <f>IF(OutSobreRec='Z 1 - Listas'!$J$4,$C33*'A4 - Previsão de Receita Bruta'!S20,0)</f>
        <v>0</v>
      </c>
      <c r="U33" s="146">
        <f>IF(OutSobreRec='Z 1 - Listas'!$J$4,$C33*'A4 - Previsão de Receita Bruta'!T20,0)</f>
        <v>0</v>
      </c>
      <c r="V33" s="146">
        <f>IF(OutSobreRec='Z 1 - Listas'!$J$4,$C33*'A4 - Previsão de Receita Bruta'!U20,0)</f>
        <v>0</v>
      </c>
      <c r="W33" s="146">
        <f>IF(OutSobreRec='Z 1 - Listas'!$J$4,$C33*'A4 - Previsão de Receita Bruta'!V20,0)</f>
        <v>0</v>
      </c>
      <c r="X33" s="146">
        <f>IF(OutSobreRec='Z 1 - Listas'!$J$4,$C33*'A4 - Previsão de Receita Bruta'!W20,0)</f>
        <v>0</v>
      </c>
      <c r="Y33" s="146">
        <f>IF(OutSobreRec='Z 1 - Listas'!$J$4,$C33*'A4 - Previsão de Receita Bruta'!X20,0)</f>
        <v>0</v>
      </c>
      <c r="Z33" s="146">
        <f>IF(OutSobreRec='Z 1 - Listas'!$J$4,$C33*'A4 - Previsão de Receita Bruta'!Y20,0)</f>
        <v>0</v>
      </c>
      <c r="AA33" s="146">
        <f>IF(OutSobreRec='Z 1 - Listas'!$J$4,$C33*'A4 - Previsão de Receita Bruta'!Z20,0)</f>
        <v>0</v>
      </c>
      <c r="AB33" s="146">
        <f>IF(OutSobreRec='Z 1 - Listas'!$J$4,$C33*'A4 - Previsão de Receita Bruta'!AA20,0)</f>
        <v>0</v>
      </c>
      <c r="AC33" s="146">
        <f>IF(OutSobreRec='Z 1 - Listas'!$J$4,$C33*'A4 - Previsão de Receita Bruta'!AB20,0)</f>
        <v>0</v>
      </c>
      <c r="AD33" s="146">
        <f>IF(OutSobreRec='Z 1 - Listas'!$J$4,$C33*'A4 - Previsão de Receita Bruta'!AC20,0)</f>
        <v>0</v>
      </c>
      <c r="AE33" s="146">
        <f>IF(OutSobreRec='Z 1 - Listas'!$J$4,$C33*'A4 - Previsão de Receita Bruta'!AD20,0)</f>
        <v>0</v>
      </c>
      <c r="AF33" s="146">
        <f>IF(OutSobreRec='Z 1 - Listas'!$J$4,$C33*'A4 - Previsão de Receita Bruta'!AE20,0)</f>
        <v>0</v>
      </c>
      <c r="AG33" s="146">
        <f>IF(OutSobreRec='Z 1 - Listas'!$J$4,$C33*'A4 - Previsão de Receita Bruta'!AF20,0)</f>
        <v>0</v>
      </c>
    </row>
    <row r="34" spans="1:33" ht="19.5" hidden="1" customHeight="1">
      <c r="A34" s="778" t="str">
        <f>'A1 - Serviços e demanda'!A34</f>
        <v>Paraíso - Comércio + Locação + Atividades</v>
      </c>
      <c r="B34" s="821"/>
      <c r="C34" s="157">
        <v>0</v>
      </c>
      <c r="D34" s="146">
        <f>IF(OutSobreRec='Z 1 - Listas'!$J$4,$C34*'A4 - Previsão de Receita Bruta'!C21,0)</f>
        <v>0</v>
      </c>
      <c r="E34" s="146">
        <f>IF(OutSobreRec='Z 1 - Listas'!$J$4,$C34*'A4 - Previsão de Receita Bruta'!D21,0)</f>
        <v>0</v>
      </c>
      <c r="F34" s="146">
        <f>IF(OutSobreRec='Z 1 - Listas'!$J$4,$C34*'A4 - Previsão de Receita Bruta'!E21,0)</f>
        <v>0</v>
      </c>
      <c r="G34" s="146">
        <f>IF(OutSobreRec='Z 1 - Listas'!$J$4,$C34*'A4 - Previsão de Receita Bruta'!F21,0)</f>
        <v>0</v>
      </c>
      <c r="H34" s="146">
        <f>IF(OutSobreRec='Z 1 - Listas'!$J$4,$C34*'A4 - Previsão de Receita Bruta'!G21,0)</f>
        <v>0</v>
      </c>
      <c r="I34" s="146">
        <f>IF(OutSobreRec='Z 1 - Listas'!$J$4,$C34*'A4 - Previsão de Receita Bruta'!H21,0)</f>
        <v>0</v>
      </c>
      <c r="J34" s="146">
        <f>IF(OutSobreRec='Z 1 - Listas'!$J$4,$C34*'A4 - Previsão de Receita Bruta'!I21,0)</f>
        <v>0</v>
      </c>
      <c r="K34" s="146">
        <f>IF(OutSobreRec='Z 1 - Listas'!$J$4,$C34*'A4 - Previsão de Receita Bruta'!J21,0)</f>
        <v>0</v>
      </c>
      <c r="L34" s="146">
        <f>IF(OutSobreRec='Z 1 - Listas'!$J$4,$C34*'A4 - Previsão de Receita Bruta'!K21,0)</f>
        <v>0</v>
      </c>
      <c r="M34" s="146">
        <f>IF(OutSobreRec='Z 1 - Listas'!$J$4,$C34*'A4 - Previsão de Receita Bruta'!L21,0)</f>
        <v>0</v>
      </c>
      <c r="N34" s="146">
        <f>IF(OutSobreRec='Z 1 - Listas'!$J$4,$C34*'A4 - Previsão de Receita Bruta'!M21,0)</f>
        <v>0</v>
      </c>
      <c r="O34" s="146">
        <f>IF(OutSobreRec='Z 1 - Listas'!$J$4,$C34*'A4 - Previsão de Receita Bruta'!N21,0)</f>
        <v>0</v>
      </c>
      <c r="P34" s="146">
        <f>IF(OutSobreRec='Z 1 - Listas'!$J$4,$C34*'A4 - Previsão de Receita Bruta'!O21,0)</f>
        <v>0</v>
      </c>
      <c r="Q34" s="146">
        <f>IF(OutSobreRec='Z 1 - Listas'!$J$4,$C34*'A4 - Previsão de Receita Bruta'!P21,0)</f>
        <v>0</v>
      </c>
      <c r="R34" s="146">
        <f>IF(OutSobreRec='Z 1 - Listas'!$J$4,$C34*'A4 - Previsão de Receita Bruta'!Q21,0)</f>
        <v>0</v>
      </c>
      <c r="S34" s="146">
        <f>IF(OutSobreRec='Z 1 - Listas'!$J$4,$C34*'A4 - Previsão de Receita Bruta'!R21,0)</f>
        <v>0</v>
      </c>
      <c r="T34" s="146">
        <f>IF(OutSobreRec='Z 1 - Listas'!$J$4,$C34*'A4 - Previsão de Receita Bruta'!S21,0)</f>
        <v>0</v>
      </c>
      <c r="U34" s="146">
        <f>IF(OutSobreRec='Z 1 - Listas'!$J$4,$C34*'A4 - Previsão de Receita Bruta'!T21,0)</f>
        <v>0</v>
      </c>
      <c r="V34" s="146">
        <f>IF(OutSobreRec='Z 1 - Listas'!$J$4,$C34*'A4 - Previsão de Receita Bruta'!U21,0)</f>
        <v>0</v>
      </c>
      <c r="W34" s="146">
        <f>IF(OutSobreRec='Z 1 - Listas'!$J$4,$C34*'A4 - Previsão de Receita Bruta'!V21,0)</f>
        <v>0</v>
      </c>
      <c r="X34" s="146">
        <f>IF(OutSobreRec='Z 1 - Listas'!$J$4,$C34*'A4 - Previsão de Receita Bruta'!W21,0)</f>
        <v>0</v>
      </c>
      <c r="Y34" s="146">
        <f>IF(OutSobreRec='Z 1 - Listas'!$J$4,$C34*'A4 - Previsão de Receita Bruta'!X21,0)</f>
        <v>0</v>
      </c>
      <c r="Z34" s="146">
        <f>IF(OutSobreRec='Z 1 - Listas'!$J$4,$C34*'A4 - Previsão de Receita Bruta'!Y21,0)</f>
        <v>0</v>
      </c>
      <c r="AA34" s="146">
        <f>IF(OutSobreRec='Z 1 - Listas'!$J$4,$C34*'A4 - Previsão de Receita Bruta'!Z21,0)</f>
        <v>0</v>
      </c>
      <c r="AB34" s="146">
        <f>IF(OutSobreRec='Z 1 - Listas'!$J$4,$C34*'A4 - Previsão de Receita Bruta'!AA21,0)</f>
        <v>0</v>
      </c>
      <c r="AC34" s="146">
        <f>IF(OutSobreRec='Z 1 - Listas'!$J$4,$C34*'A4 - Previsão de Receita Bruta'!AB21,0)</f>
        <v>0</v>
      </c>
      <c r="AD34" s="146">
        <f>IF(OutSobreRec='Z 1 - Listas'!$J$4,$C34*'A4 - Previsão de Receita Bruta'!AC21,0)</f>
        <v>0</v>
      </c>
      <c r="AE34" s="146">
        <f>IF(OutSobreRec='Z 1 - Listas'!$J$4,$C34*'A4 - Previsão de Receita Bruta'!AD21,0)</f>
        <v>0</v>
      </c>
      <c r="AF34" s="146">
        <f>IF(OutSobreRec='Z 1 - Listas'!$J$4,$C34*'A4 - Previsão de Receita Bruta'!AE21,0)</f>
        <v>0</v>
      </c>
      <c r="AG34" s="146">
        <f>IF(OutSobreRec='Z 1 - Listas'!$J$4,$C34*'A4 - Previsão de Receita Bruta'!AF21,0)</f>
        <v>0</v>
      </c>
    </row>
    <row r="35" spans="1:33" ht="19.5" hidden="1" customHeight="1">
      <c r="A35" s="778" t="str">
        <f>'A1 - Serviços e demanda'!A35</f>
        <v>Geral - Unidade móvel - Alimentação</v>
      </c>
      <c r="B35" s="821"/>
      <c r="C35" s="157">
        <v>0</v>
      </c>
      <c r="D35" s="146">
        <f>IF(OutSobreRec='Z 1 - Listas'!$J$4,$C35*'A4 - Previsão de Receita Bruta'!C22,0)</f>
        <v>0</v>
      </c>
      <c r="E35" s="146">
        <f>IF(OutSobreRec='Z 1 - Listas'!$J$4,$C35*'A4 - Previsão de Receita Bruta'!D22,0)</f>
        <v>0</v>
      </c>
      <c r="F35" s="146">
        <f>IF(OutSobreRec='Z 1 - Listas'!$J$4,$C35*'A4 - Previsão de Receita Bruta'!E22,0)</f>
        <v>0</v>
      </c>
      <c r="G35" s="146">
        <f>IF(OutSobreRec='Z 1 - Listas'!$J$4,$C35*'A4 - Previsão de Receita Bruta'!F22,0)</f>
        <v>0</v>
      </c>
      <c r="H35" s="146">
        <f>IF(OutSobreRec='Z 1 - Listas'!$J$4,$C35*'A4 - Previsão de Receita Bruta'!G22,0)</f>
        <v>0</v>
      </c>
      <c r="I35" s="146">
        <f>IF(OutSobreRec='Z 1 - Listas'!$J$4,$C35*'A4 - Previsão de Receita Bruta'!H22,0)</f>
        <v>0</v>
      </c>
      <c r="J35" s="146">
        <f>IF(OutSobreRec='Z 1 - Listas'!$J$4,$C35*'A4 - Previsão de Receita Bruta'!I22,0)</f>
        <v>0</v>
      </c>
      <c r="K35" s="146">
        <f>IF(OutSobreRec='Z 1 - Listas'!$J$4,$C35*'A4 - Previsão de Receita Bruta'!J22,0)</f>
        <v>0</v>
      </c>
      <c r="L35" s="146">
        <f>IF(OutSobreRec='Z 1 - Listas'!$J$4,$C35*'A4 - Previsão de Receita Bruta'!K22,0)</f>
        <v>0</v>
      </c>
      <c r="M35" s="146">
        <f>IF(OutSobreRec='Z 1 - Listas'!$J$4,$C35*'A4 - Previsão de Receita Bruta'!L22,0)</f>
        <v>0</v>
      </c>
      <c r="N35" s="146">
        <f>IF(OutSobreRec='Z 1 - Listas'!$J$4,$C35*'A4 - Previsão de Receita Bruta'!M22,0)</f>
        <v>0</v>
      </c>
      <c r="O35" s="146">
        <f>IF(OutSobreRec='Z 1 - Listas'!$J$4,$C35*'A4 - Previsão de Receita Bruta'!N22,0)</f>
        <v>0</v>
      </c>
      <c r="P35" s="146">
        <f>IF(OutSobreRec='Z 1 - Listas'!$J$4,$C35*'A4 - Previsão de Receita Bruta'!O22,0)</f>
        <v>0</v>
      </c>
      <c r="Q35" s="146">
        <f>IF(OutSobreRec='Z 1 - Listas'!$J$4,$C35*'A4 - Previsão de Receita Bruta'!P22,0)</f>
        <v>0</v>
      </c>
      <c r="R35" s="146">
        <f>IF(OutSobreRec='Z 1 - Listas'!$J$4,$C35*'A4 - Previsão de Receita Bruta'!Q22,0)</f>
        <v>0</v>
      </c>
      <c r="S35" s="146">
        <f>IF(OutSobreRec='Z 1 - Listas'!$J$4,$C35*'A4 - Previsão de Receita Bruta'!R22,0)</f>
        <v>0</v>
      </c>
      <c r="T35" s="146">
        <f>IF(OutSobreRec='Z 1 - Listas'!$J$4,$C35*'A4 - Previsão de Receita Bruta'!S22,0)</f>
        <v>0</v>
      </c>
      <c r="U35" s="146">
        <f>IF(OutSobreRec='Z 1 - Listas'!$J$4,$C35*'A4 - Previsão de Receita Bruta'!T22,0)</f>
        <v>0</v>
      </c>
      <c r="V35" s="146">
        <f>IF(OutSobreRec='Z 1 - Listas'!$J$4,$C35*'A4 - Previsão de Receita Bruta'!U22,0)</f>
        <v>0</v>
      </c>
      <c r="W35" s="146">
        <f>IF(OutSobreRec='Z 1 - Listas'!$J$4,$C35*'A4 - Previsão de Receita Bruta'!V22,0)</f>
        <v>0</v>
      </c>
      <c r="X35" s="146">
        <f>IF(OutSobreRec='Z 1 - Listas'!$J$4,$C35*'A4 - Previsão de Receita Bruta'!W22,0)</f>
        <v>0</v>
      </c>
      <c r="Y35" s="146">
        <f>IF(OutSobreRec='Z 1 - Listas'!$J$4,$C35*'A4 - Previsão de Receita Bruta'!X22,0)</f>
        <v>0</v>
      </c>
      <c r="Z35" s="146">
        <f>IF(OutSobreRec='Z 1 - Listas'!$J$4,$C35*'A4 - Previsão de Receita Bruta'!Y22,0)</f>
        <v>0</v>
      </c>
      <c r="AA35" s="146">
        <f>IF(OutSobreRec='Z 1 - Listas'!$J$4,$C35*'A4 - Previsão de Receita Bruta'!Z22,0)</f>
        <v>0</v>
      </c>
      <c r="AB35" s="146">
        <f>IF(OutSobreRec='Z 1 - Listas'!$J$4,$C35*'A4 - Previsão de Receita Bruta'!AA22,0)</f>
        <v>0</v>
      </c>
      <c r="AC35" s="146">
        <f>IF(OutSobreRec='Z 1 - Listas'!$J$4,$C35*'A4 - Previsão de Receita Bruta'!AB22,0)</f>
        <v>0</v>
      </c>
      <c r="AD35" s="146">
        <f>IF(OutSobreRec='Z 1 - Listas'!$J$4,$C35*'A4 - Previsão de Receita Bruta'!AC22,0)</f>
        <v>0</v>
      </c>
      <c r="AE35" s="146">
        <f>IF(OutSobreRec='Z 1 - Listas'!$J$4,$C35*'A4 - Previsão de Receita Bruta'!AD22,0)</f>
        <v>0</v>
      </c>
      <c r="AF35" s="146">
        <f>IF(OutSobreRec='Z 1 - Listas'!$J$4,$C35*'A4 - Previsão de Receita Bruta'!AE22,0)</f>
        <v>0</v>
      </c>
      <c r="AG35" s="146">
        <f>IF(OutSobreRec='Z 1 - Listas'!$J$4,$C35*'A4 - Previsão de Receita Bruta'!AF22,0)</f>
        <v>0</v>
      </c>
    </row>
    <row r="36" spans="1:33" ht="19.5" hidden="1" customHeight="1">
      <c r="A36" s="778" t="str">
        <f>'A1 - Serviços e demanda'!A36</f>
        <v>Mangue Seco - Estacionamento</v>
      </c>
      <c r="B36" s="821"/>
      <c r="C36" s="157">
        <v>0</v>
      </c>
      <c r="D36" s="146">
        <f>IF(OutSobreRec='Z 1 - Listas'!$J$4,$C36*'A4 - Previsão de Receita Bruta'!C23,0)</f>
        <v>0</v>
      </c>
      <c r="E36" s="146">
        <f>IF(OutSobreRec='Z 1 - Listas'!$J$4,$C36*'A4 - Previsão de Receita Bruta'!D23,0)</f>
        <v>0</v>
      </c>
      <c r="F36" s="146">
        <f>IF(OutSobreRec='Z 1 - Listas'!$J$4,$C36*'A4 - Previsão de Receita Bruta'!E23,0)</f>
        <v>0</v>
      </c>
      <c r="G36" s="146">
        <f>IF(OutSobreRec='Z 1 - Listas'!$J$4,$C36*'A4 - Previsão de Receita Bruta'!F23,0)</f>
        <v>0</v>
      </c>
      <c r="H36" s="146">
        <f>IF(OutSobreRec='Z 1 - Listas'!$J$4,$C36*'A4 - Previsão de Receita Bruta'!G23,0)</f>
        <v>0</v>
      </c>
      <c r="I36" s="146">
        <f>IF(OutSobreRec='Z 1 - Listas'!$J$4,$C36*'A4 - Previsão de Receita Bruta'!H23,0)</f>
        <v>0</v>
      </c>
      <c r="J36" s="146">
        <f>IF(OutSobreRec='Z 1 - Listas'!$J$4,$C36*'A4 - Previsão de Receita Bruta'!I23,0)</f>
        <v>0</v>
      </c>
      <c r="K36" s="146">
        <f>IF(OutSobreRec='Z 1 - Listas'!$J$4,$C36*'A4 - Previsão de Receita Bruta'!J23,0)</f>
        <v>0</v>
      </c>
      <c r="L36" s="146">
        <f>IF(OutSobreRec='Z 1 - Listas'!$J$4,$C36*'A4 - Previsão de Receita Bruta'!K23,0)</f>
        <v>0</v>
      </c>
      <c r="M36" s="146">
        <f>IF(OutSobreRec='Z 1 - Listas'!$J$4,$C36*'A4 - Previsão de Receita Bruta'!L23,0)</f>
        <v>0</v>
      </c>
      <c r="N36" s="146">
        <f>IF(OutSobreRec='Z 1 - Listas'!$J$4,$C36*'A4 - Previsão de Receita Bruta'!M23,0)</f>
        <v>0</v>
      </c>
      <c r="O36" s="146">
        <f>IF(OutSobreRec='Z 1 - Listas'!$J$4,$C36*'A4 - Previsão de Receita Bruta'!N23,0)</f>
        <v>0</v>
      </c>
      <c r="P36" s="146">
        <f>IF(OutSobreRec='Z 1 - Listas'!$J$4,$C36*'A4 - Previsão de Receita Bruta'!O23,0)</f>
        <v>0</v>
      </c>
      <c r="Q36" s="146">
        <f>IF(OutSobreRec='Z 1 - Listas'!$J$4,$C36*'A4 - Previsão de Receita Bruta'!P23,0)</f>
        <v>0</v>
      </c>
      <c r="R36" s="146">
        <f>IF(OutSobreRec='Z 1 - Listas'!$J$4,$C36*'A4 - Previsão de Receita Bruta'!Q23,0)</f>
        <v>0</v>
      </c>
      <c r="S36" s="146">
        <f>IF(OutSobreRec='Z 1 - Listas'!$J$4,$C36*'A4 - Previsão de Receita Bruta'!R23,0)</f>
        <v>0</v>
      </c>
      <c r="T36" s="146">
        <f>IF(OutSobreRec='Z 1 - Listas'!$J$4,$C36*'A4 - Previsão de Receita Bruta'!S23,0)</f>
        <v>0</v>
      </c>
      <c r="U36" s="146">
        <f>IF(OutSobreRec='Z 1 - Listas'!$J$4,$C36*'A4 - Previsão de Receita Bruta'!T23,0)</f>
        <v>0</v>
      </c>
      <c r="V36" s="146">
        <f>IF(OutSobreRec='Z 1 - Listas'!$J$4,$C36*'A4 - Previsão de Receita Bruta'!U23,0)</f>
        <v>0</v>
      </c>
      <c r="W36" s="146">
        <f>IF(OutSobreRec='Z 1 - Listas'!$J$4,$C36*'A4 - Previsão de Receita Bruta'!V23,0)</f>
        <v>0</v>
      </c>
      <c r="X36" s="146">
        <f>IF(OutSobreRec='Z 1 - Listas'!$J$4,$C36*'A4 - Previsão de Receita Bruta'!W23,0)</f>
        <v>0</v>
      </c>
      <c r="Y36" s="146">
        <f>IF(OutSobreRec='Z 1 - Listas'!$J$4,$C36*'A4 - Previsão de Receita Bruta'!X23,0)</f>
        <v>0</v>
      </c>
      <c r="Z36" s="146">
        <f>IF(OutSobreRec='Z 1 - Listas'!$J$4,$C36*'A4 - Previsão de Receita Bruta'!Y23,0)</f>
        <v>0</v>
      </c>
      <c r="AA36" s="146">
        <f>IF(OutSobreRec='Z 1 - Listas'!$J$4,$C36*'A4 - Previsão de Receita Bruta'!Z23,0)</f>
        <v>0</v>
      </c>
      <c r="AB36" s="146">
        <f>IF(OutSobreRec='Z 1 - Listas'!$J$4,$C36*'A4 - Previsão de Receita Bruta'!AA23,0)</f>
        <v>0</v>
      </c>
      <c r="AC36" s="146">
        <f>IF(OutSobreRec='Z 1 - Listas'!$J$4,$C36*'A4 - Previsão de Receita Bruta'!AB23,0)</f>
        <v>0</v>
      </c>
      <c r="AD36" s="146">
        <f>IF(OutSobreRec='Z 1 - Listas'!$J$4,$C36*'A4 - Previsão de Receita Bruta'!AC23,0)</f>
        <v>0</v>
      </c>
      <c r="AE36" s="146">
        <f>IF(OutSobreRec='Z 1 - Listas'!$J$4,$C36*'A4 - Previsão de Receita Bruta'!AD23,0)</f>
        <v>0</v>
      </c>
      <c r="AF36" s="146">
        <f>IF(OutSobreRec='Z 1 - Listas'!$J$4,$C36*'A4 - Previsão de Receita Bruta'!AE23,0)</f>
        <v>0</v>
      </c>
      <c r="AG36" s="146">
        <f>IF(OutSobreRec='Z 1 - Listas'!$J$4,$C36*'A4 - Previsão de Receita Bruta'!AF23,0)</f>
        <v>0</v>
      </c>
    </row>
    <row r="37" spans="1:33" ht="19.5" hidden="1" customHeight="1">
      <c r="A37" s="778" t="str">
        <f>'A1 - Serviços e demanda'!A37</f>
        <v>Lagoa Grande - Estacionamento</v>
      </c>
      <c r="B37" s="821"/>
      <c r="C37" s="157">
        <v>0</v>
      </c>
      <c r="D37" s="146">
        <f>IF(OutSobreRec='Z 1 - Listas'!$J$4,$C37*'A4 - Previsão de Receita Bruta'!C24,0)</f>
        <v>0</v>
      </c>
      <c r="E37" s="146">
        <f>IF(OutSobreRec='Z 1 - Listas'!$J$4,$C37*'A4 - Previsão de Receita Bruta'!D24,0)</f>
        <v>0</v>
      </c>
      <c r="F37" s="146">
        <f>IF(OutSobreRec='Z 1 - Listas'!$J$4,$C37*'A4 - Previsão de Receita Bruta'!E24,0)</f>
        <v>0</v>
      </c>
      <c r="G37" s="146">
        <f>IF(OutSobreRec='Z 1 - Listas'!$J$4,$C37*'A4 - Previsão de Receita Bruta'!F24,0)</f>
        <v>0</v>
      </c>
      <c r="H37" s="146">
        <f>IF(OutSobreRec='Z 1 - Listas'!$J$4,$C37*'A4 - Previsão de Receita Bruta'!G24,0)</f>
        <v>0</v>
      </c>
      <c r="I37" s="146">
        <f>IF(OutSobreRec='Z 1 - Listas'!$J$4,$C37*'A4 - Previsão de Receita Bruta'!H24,0)</f>
        <v>0</v>
      </c>
      <c r="J37" s="146">
        <f>IF(OutSobreRec='Z 1 - Listas'!$J$4,$C37*'A4 - Previsão de Receita Bruta'!I24,0)</f>
        <v>0</v>
      </c>
      <c r="K37" s="146">
        <f>IF(OutSobreRec='Z 1 - Listas'!$J$4,$C37*'A4 - Previsão de Receita Bruta'!J24,0)</f>
        <v>0</v>
      </c>
      <c r="L37" s="146">
        <f>IF(OutSobreRec='Z 1 - Listas'!$J$4,$C37*'A4 - Previsão de Receita Bruta'!K24,0)</f>
        <v>0</v>
      </c>
      <c r="M37" s="146">
        <f>IF(OutSobreRec='Z 1 - Listas'!$J$4,$C37*'A4 - Previsão de Receita Bruta'!L24,0)</f>
        <v>0</v>
      </c>
      <c r="N37" s="146">
        <f>IF(OutSobreRec='Z 1 - Listas'!$J$4,$C37*'A4 - Previsão de Receita Bruta'!M24,0)</f>
        <v>0</v>
      </c>
      <c r="O37" s="146">
        <f>IF(OutSobreRec='Z 1 - Listas'!$J$4,$C37*'A4 - Previsão de Receita Bruta'!N24,0)</f>
        <v>0</v>
      </c>
      <c r="P37" s="146">
        <f>IF(OutSobreRec='Z 1 - Listas'!$J$4,$C37*'A4 - Previsão de Receita Bruta'!O24,0)</f>
        <v>0</v>
      </c>
      <c r="Q37" s="146">
        <f>IF(OutSobreRec='Z 1 - Listas'!$J$4,$C37*'A4 - Previsão de Receita Bruta'!P24,0)</f>
        <v>0</v>
      </c>
      <c r="R37" s="146">
        <f>IF(OutSobreRec='Z 1 - Listas'!$J$4,$C37*'A4 - Previsão de Receita Bruta'!Q24,0)</f>
        <v>0</v>
      </c>
      <c r="S37" s="146">
        <f>IF(OutSobreRec='Z 1 - Listas'!$J$4,$C37*'A4 - Previsão de Receita Bruta'!R24,0)</f>
        <v>0</v>
      </c>
      <c r="T37" s="146">
        <f>IF(OutSobreRec='Z 1 - Listas'!$J$4,$C37*'A4 - Previsão de Receita Bruta'!S24,0)</f>
        <v>0</v>
      </c>
      <c r="U37" s="146">
        <f>IF(OutSobreRec='Z 1 - Listas'!$J$4,$C37*'A4 - Previsão de Receita Bruta'!T24,0)</f>
        <v>0</v>
      </c>
      <c r="V37" s="146">
        <f>IF(OutSobreRec='Z 1 - Listas'!$J$4,$C37*'A4 - Previsão de Receita Bruta'!U24,0)</f>
        <v>0</v>
      </c>
      <c r="W37" s="146">
        <f>IF(OutSobreRec='Z 1 - Listas'!$J$4,$C37*'A4 - Previsão de Receita Bruta'!V24,0)</f>
        <v>0</v>
      </c>
      <c r="X37" s="146">
        <f>IF(OutSobreRec='Z 1 - Listas'!$J$4,$C37*'A4 - Previsão de Receita Bruta'!W24,0)</f>
        <v>0</v>
      </c>
      <c r="Y37" s="146">
        <f>IF(OutSobreRec='Z 1 - Listas'!$J$4,$C37*'A4 - Previsão de Receita Bruta'!X24,0)</f>
        <v>0</v>
      </c>
      <c r="Z37" s="146">
        <f>IF(OutSobreRec='Z 1 - Listas'!$J$4,$C37*'A4 - Previsão de Receita Bruta'!Y24,0)</f>
        <v>0</v>
      </c>
      <c r="AA37" s="146">
        <f>IF(OutSobreRec='Z 1 - Listas'!$J$4,$C37*'A4 - Previsão de Receita Bruta'!Z24,0)</f>
        <v>0</v>
      </c>
      <c r="AB37" s="146">
        <f>IF(OutSobreRec='Z 1 - Listas'!$J$4,$C37*'A4 - Previsão de Receita Bruta'!AA24,0)</f>
        <v>0</v>
      </c>
      <c r="AC37" s="146">
        <f>IF(OutSobreRec='Z 1 - Listas'!$J$4,$C37*'A4 - Previsão de Receita Bruta'!AB24,0)</f>
        <v>0</v>
      </c>
      <c r="AD37" s="146">
        <f>IF(OutSobreRec='Z 1 - Listas'!$J$4,$C37*'A4 - Previsão de Receita Bruta'!AC24,0)</f>
        <v>0</v>
      </c>
      <c r="AE37" s="146">
        <f>IF(OutSobreRec='Z 1 - Listas'!$J$4,$C37*'A4 - Previsão de Receita Bruta'!AD24,0)</f>
        <v>0</v>
      </c>
      <c r="AF37" s="146">
        <f>IF(OutSobreRec='Z 1 - Listas'!$J$4,$C37*'A4 - Previsão de Receita Bruta'!AE24,0)</f>
        <v>0</v>
      </c>
      <c r="AG37" s="146">
        <f>IF(OutSobreRec='Z 1 - Listas'!$J$4,$C37*'A4 - Previsão de Receita Bruta'!AF24,0)</f>
        <v>0</v>
      </c>
    </row>
    <row r="38" spans="1:33" ht="19.5" hidden="1" customHeight="1">
      <c r="A38" s="778">
        <f>'A1 - Serviços e demanda'!A38</f>
        <v>0</v>
      </c>
      <c r="B38" s="821"/>
      <c r="C38" s="157">
        <v>0</v>
      </c>
      <c r="D38" s="146">
        <f>IF(OutSobreRec='Z 1 - Listas'!$J$4,$C38*'A4 - Previsão de Receita Bruta'!C25,0)</f>
        <v>0</v>
      </c>
      <c r="E38" s="146">
        <f>IF(OutSobreRec='Z 1 - Listas'!$J$4,$C38*'A4 - Previsão de Receita Bruta'!D25,0)</f>
        <v>0</v>
      </c>
      <c r="F38" s="146">
        <f>IF(OutSobreRec='Z 1 - Listas'!$J$4,$C38*'A4 - Previsão de Receita Bruta'!E25,0)</f>
        <v>0</v>
      </c>
      <c r="G38" s="146">
        <f>IF(OutSobreRec='Z 1 - Listas'!$J$4,$C38*'A4 - Previsão de Receita Bruta'!F25,0)</f>
        <v>0</v>
      </c>
      <c r="H38" s="146">
        <f>IF(OutSobreRec='Z 1 - Listas'!$J$4,$C38*'A4 - Previsão de Receita Bruta'!G25,0)</f>
        <v>0</v>
      </c>
      <c r="I38" s="146">
        <f>IF(OutSobreRec='Z 1 - Listas'!$J$4,$C38*'A4 - Previsão de Receita Bruta'!H25,0)</f>
        <v>0</v>
      </c>
      <c r="J38" s="146">
        <f>IF(OutSobreRec='Z 1 - Listas'!$J$4,$C38*'A4 - Previsão de Receita Bruta'!I25,0)</f>
        <v>0</v>
      </c>
      <c r="K38" s="146">
        <f>IF(OutSobreRec='Z 1 - Listas'!$J$4,$C38*'A4 - Previsão de Receita Bruta'!J25,0)</f>
        <v>0</v>
      </c>
      <c r="L38" s="146">
        <f>IF(OutSobreRec='Z 1 - Listas'!$J$4,$C38*'A4 - Previsão de Receita Bruta'!K25,0)</f>
        <v>0</v>
      </c>
      <c r="M38" s="146">
        <f>IF(OutSobreRec='Z 1 - Listas'!$J$4,$C38*'A4 - Previsão de Receita Bruta'!L25,0)</f>
        <v>0</v>
      </c>
      <c r="N38" s="146">
        <f>IF(OutSobreRec='Z 1 - Listas'!$J$4,$C38*'A4 - Previsão de Receita Bruta'!M25,0)</f>
        <v>0</v>
      </c>
      <c r="O38" s="146">
        <f>IF(OutSobreRec='Z 1 - Listas'!$J$4,$C38*'A4 - Previsão de Receita Bruta'!N25,0)</f>
        <v>0</v>
      </c>
      <c r="P38" s="146">
        <f>IF(OutSobreRec='Z 1 - Listas'!$J$4,$C38*'A4 - Previsão de Receita Bruta'!O25,0)</f>
        <v>0</v>
      </c>
      <c r="Q38" s="146">
        <f>IF(OutSobreRec='Z 1 - Listas'!$J$4,$C38*'A4 - Previsão de Receita Bruta'!P25,0)</f>
        <v>0</v>
      </c>
      <c r="R38" s="146">
        <f>IF(OutSobreRec='Z 1 - Listas'!$J$4,$C38*'A4 - Previsão de Receita Bruta'!Q25,0)</f>
        <v>0</v>
      </c>
      <c r="S38" s="146">
        <f>IF(OutSobreRec='Z 1 - Listas'!$J$4,$C38*'A4 - Previsão de Receita Bruta'!R25,0)</f>
        <v>0</v>
      </c>
      <c r="T38" s="146">
        <f>IF(OutSobreRec='Z 1 - Listas'!$J$4,$C38*'A4 - Previsão de Receita Bruta'!S25,0)</f>
        <v>0</v>
      </c>
      <c r="U38" s="146">
        <f>IF(OutSobreRec='Z 1 - Listas'!$J$4,$C38*'A4 - Previsão de Receita Bruta'!T25,0)</f>
        <v>0</v>
      </c>
      <c r="V38" s="146">
        <f>IF(OutSobreRec='Z 1 - Listas'!$J$4,$C38*'A4 - Previsão de Receita Bruta'!U25,0)</f>
        <v>0</v>
      </c>
      <c r="W38" s="146">
        <f>IF(OutSobreRec='Z 1 - Listas'!$J$4,$C38*'A4 - Previsão de Receita Bruta'!V25,0)</f>
        <v>0</v>
      </c>
      <c r="X38" s="146">
        <f>IF(OutSobreRec='Z 1 - Listas'!$J$4,$C38*'A4 - Previsão de Receita Bruta'!W25,0)</f>
        <v>0</v>
      </c>
      <c r="Y38" s="146">
        <f>IF(OutSobreRec='Z 1 - Listas'!$J$4,$C38*'A4 - Previsão de Receita Bruta'!X25,0)</f>
        <v>0</v>
      </c>
      <c r="Z38" s="146">
        <f>IF(OutSobreRec='Z 1 - Listas'!$J$4,$C38*'A4 - Previsão de Receita Bruta'!Y25,0)</f>
        <v>0</v>
      </c>
      <c r="AA38" s="146">
        <f>IF(OutSobreRec='Z 1 - Listas'!$J$4,$C38*'A4 - Previsão de Receita Bruta'!Z25,0)</f>
        <v>0</v>
      </c>
      <c r="AB38" s="146">
        <f>IF(OutSobreRec='Z 1 - Listas'!$J$4,$C38*'A4 - Previsão de Receita Bruta'!AA25,0)</f>
        <v>0</v>
      </c>
      <c r="AC38" s="146">
        <f>IF(OutSobreRec='Z 1 - Listas'!$J$4,$C38*'A4 - Previsão de Receita Bruta'!AB25,0)</f>
        <v>0</v>
      </c>
      <c r="AD38" s="146">
        <f>IF(OutSobreRec='Z 1 - Listas'!$J$4,$C38*'A4 - Previsão de Receita Bruta'!AC25,0)</f>
        <v>0</v>
      </c>
      <c r="AE38" s="146">
        <f>IF(OutSobreRec='Z 1 - Listas'!$J$4,$C38*'A4 - Previsão de Receita Bruta'!AD25,0)</f>
        <v>0</v>
      </c>
      <c r="AF38" s="146">
        <f>IF(OutSobreRec='Z 1 - Listas'!$J$4,$C38*'A4 - Previsão de Receita Bruta'!AE25,0)</f>
        <v>0</v>
      </c>
      <c r="AG38" s="146">
        <f>IF(OutSobreRec='Z 1 - Listas'!$J$4,$C38*'A4 - Previsão de Receita Bruta'!AF25,0)</f>
        <v>0</v>
      </c>
    </row>
    <row r="39" spans="1:33" ht="19.5" hidden="1" customHeight="1">
      <c r="A39" s="779">
        <f>'A1 - Serviços e demanda'!A39</f>
        <v>0</v>
      </c>
      <c r="B39" s="822"/>
      <c r="C39" s="158">
        <v>0</v>
      </c>
      <c r="D39" s="146">
        <f>IF(OutSobreRec='Z 1 - Listas'!$J$4,$C39*'A4 - Previsão de Receita Bruta'!C26,0)</f>
        <v>0</v>
      </c>
      <c r="E39" s="146">
        <f>IF(OutSobreRec='Z 1 - Listas'!$J$4,$C39*'A4 - Previsão de Receita Bruta'!D26,0)</f>
        <v>0</v>
      </c>
      <c r="F39" s="146">
        <f>IF(OutSobreRec='Z 1 - Listas'!$J$4,$C39*'A4 - Previsão de Receita Bruta'!E26,0)</f>
        <v>0</v>
      </c>
      <c r="G39" s="146">
        <f>IF(OutSobreRec='Z 1 - Listas'!$J$4,$C39*'A4 - Previsão de Receita Bruta'!F26,0)</f>
        <v>0</v>
      </c>
      <c r="H39" s="146">
        <f>IF(OutSobreRec='Z 1 - Listas'!$J$4,$C39*'A4 - Previsão de Receita Bruta'!G26,0)</f>
        <v>0</v>
      </c>
      <c r="I39" s="146">
        <f>IF(OutSobreRec='Z 1 - Listas'!$J$4,$C39*'A4 - Previsão de Receita Bruta'!H26,0)</f>
        <v>0</v>
      </c>
      <c r="J39" s="146">
        <f>IF(OutSobreRec='Z 1 - Listas'!$J$4,$C39*'A4 - Previsão de Receita Bruta'!I26,0)</f>
        <v>0</v>
      </c>
      <c r="K39" s="146">
        <f>IF(OutSobreRec='Z 1 - Listas'!$J$4,$C39*'A4 - Previsão de Receita Bruta'!J26,0)</f>
        <v>0</v>
      </c>
      <c r="L39" s="146">
        <f>IF(OutSobreRec='Z 1 - Listas'!$J$4,$C39*'A4 - Previsão de Receita Bruta'!K26,0)</f>
        <v>0</v>
      </c>
      <c r="M39" s="146">
        <f>IF(OutSobreRec='Z 1 - Listas'!$J$4,$C39*'A4 - Previsão de Receita Bruta'!L26,0)</f>
        <v>0</v>
      </c>
      <c r="N39" s="146">
        <f>IF(OutSobreRec='Z 1 - Listas'!$J$4,$C39*'A4 - Previsão de Receita Bruta'!M26,0)</f>
        <v>0</v>
      </c>
      <c r="O39" s="146">
        <f>IF(OutSobreRec='Z 1 - Listas'!$J$4,$C39*'A4 - Previsão de Receita Bruta'!N26,0)</f>
        <v>0</v>
      </c>
      <c r="P39" s="146">
        <f>IF(OutSobreRec='Z 1 - Listas'!$J$4,$C39*'A4 - Previsão de Receita Bruta'!O26,0)</f>
        <v>0</v>
      </c>
      <c r="Q39" s="146">
        <f>IF(OutSobreRec='Z 1 - Listas'!$J$4,$C39*'A4 - Previsão de Receita Bruta'!P26,0)</f>
        <v>0</v>
      </c>
      <c r="R39" s="146">
        <f>IF(OutSobreRec='Z 1 - Listas'!$J$4,$C39*'A4 - Previsão de Receita Bruta'!Q26,0)</f>
        <v>0</v>
      </c>
      <c r="S39" s="146">
        <f>IF(OutSobreRec='Z 1 - Listas'!$J$4,$C39*'A4 - Previsão de Receita Bruta'!R26,0)</f>
        <v>0</v>
      </c>
      <c r="T39" s="146">
        <f>IF(OutSobreRec='Z 1 - Listas'!$J$4,$C39*'A4 - Previsão de Receita Bruta'!S26,0)</f>
        <v>0</v>
      </c>
      <c r="U39" s="146">
        <f>IF(OutSobreRec='Z 1 - Listas'!$J$4,$C39*'A4 - Previsão de Receita Bruta'!T26,0)</f>
        <v>0</v>
      </c>
      <c r="V39" s="146">
        <f>IF(OutSobreRec='Z 1 - Listas'!$J$4,$C39*'A4 - Previsão de Receita Bruta'!U26,0)</f>
        <v>0</v>
      </c>
      <c r="W39" s="146">
        <f>IF(OutSobreRec='Z 1 - Listas'!$J$4,$C39*'A4 - Previsão de Receita Bruta'!V26,0)</f>
        <v>0</v>
      </c>
      <c r="X39" s="146">
        <f>IF(OutSobreRec='Z 1 - Listas'!$J$4,$C39*'A4 - Previsão de Receita Bruta'!W26,0)</f>
        <v>0</v>
      </c>
      <c r="Y39" s="146">
        <f>IF(OutSobreRec='Z 1 - Listas'!$J$4,$C39*'A4 - Previsão de Receita Bruta'!X26,0)</f>
        <v>0</v>
      </c>
      <c r="Z39" s="146">
        <f>IF(OutSobreRec='Z 1 - Listas'!$J$4,$C39*'A4 - Previsão de Receita Bruta'!Y26,0)</f>
        <v>0</v>
      </c>
      <c r="AA39" s="146">
        <f>IF(OutSobreRec='Z 1 - Listas'!$J$4,$C39*'A4 - Previsão de Receita Bruta'!Z26,0)</f>
        <v>0</v>
      </c>
      <c r="AB39" s="146">
        <f>IF(OutSobreRec='Z 1 - Listas'!$J$4,$C39*'A4 - Previsão de Receita Bruta'!AA26,0)</f>
        <v>0</v>
      </c>
      <c r="AC39" s="146">
        <f>IF(OutSobreRec='Z 1 - Listas'!$J$4,$C39*'A4 - Previsão de Receita Bruta'!AB26,0)</f>
        <v>0</v>
      </c>
      <c r="AD39" s="146">
        <f>IF(OutSobreRec='Z 1 - Listas'!$J$4,$C39*'A4 - Previsão de Receita Bruta'!AC26,0)</f>
        <v>0</v>
      </c>
      <c r="AE39" s="146">
        <f>IF(OutSobreRec='Z 1 - Listas'!$J$4,$C39*'A4 - Previsão de Receita Bruta'!AD26,0)</f>
        <v>0</v>
      </c>
      <c r="AF39" s="146">
        <f>IF(OutSobreRec='Z 1 - Listas'!$J$4,$C39*'A4 - Previsão de Receita Bruta'!AE26,0)</f>
        <v>0</v>
      </c>
      <c r="AG39" s="146">
        <f>IF(OutSobreRec='Z 1 - Listas'!$J$4,$C39*'A4 - Previsão de Receita Bruta'!AF26,0)</f>
        <v>0</v>
      </c>
    </row>
    <row r="40" spans="1:33" ht="28.5" hidden="1" customHeight="1">
      <c r="A40" s="159" t="s">
        <v>465</v>
      </c>
      <c r="B40" s="159"/>
      <c r="C40" s="159"/>
      <c r="D40" s="160">
        <f t="shared" ref="D40:AG40" si="2">SUM(D18:D39)</f>
        <v>705962.25</v>
      </c>
      <c r="E40" s="160">
        <f t="shared" si="2"/>
        <v>2123147.9</v>
      </c>
      <c r="F40" s="160">
        <f t="shared" si="2"/>
        <v>2196386.6</v>
      </c>
      <c r="G40" s="160">
        <f t="shared" si="2"/>
        <v>2267315.9</v>
      </c>
      <c r="H40" s="160">
        <f t="shared" si="2"/>
        <v>2339372.5</v>
      </c>
      <c r="I40" s="160">
        <f t="shared" si="2"/>
        <v>2412690.9</v>
      </c>
      <c r="J40" s="160">
        <f t="shared" si="2"/>
        <v>2488088.8000000003</v>
      </c>
      <c r="K40" s="160">
        <f t="shared" si="2"/>
        <v>2565675.9000000004</v>
      </c>
      <c r="L40" s="160">
        <f t="shared" si="2"/>
        <v>2644680.3000000003</v>
      </c>
      <c r="M40" s="160">
        <f t="shared" si="2"/>
        <v>2725148.1</v>
      </c>
      <c r="N40" s="160">
        <f t="shared" si="2"/>
        <v>2808141.4000000004</v>
      </c>
      <c r="O40" s="160">
        <f t="shared" si="2"/>
        <v>2893625.45</v>
      </c>
      <c r="P40" s="160">
        <f t="shared" si="2"/>
        <v>2981829</v>
      </c>
      <c r="Q40" s="160">
        <f t="shared" si="2"/>
        <v>3072702.5</v>
      </c>
      <c r="R40" s="160">
        <f t="shared" si="2"/>
        <v>3166305.8000000003</v>
      </c>
      <c r="S40" s="160">
        <f t="shared" si="2"/>
        <v>3262472.6</v>
      </c>
      <c r="T40" s="160">
        <f t="shared" si="2"/>
        <v>3361087.95</v>
      </c>
      <c r="U40" s="160">
        <f t="shared" si="2"/>
        <v>3461814.7</v>
      </c>
      <c r="V40" s="160">
        <f t="shared" si="2"/>
        <v>3564380.2</v>
      </c>
      <c r="W40" s="160">
        <f t="shared" si="2"/>
        <v>3668305.6</v>
      </c>
      <c r="X40" s="160">
        <f t="shared" si="2"/>
        <v>3668305.6</v>
      </c>
      <c r="Y40" s="160">
        <f t="shared" si="2"/>
        <v>3668305.6</v>
      </c>
      <c r="Z40" s="160">
        <f t="shared" si="2"/>
        <v>3668305.6</v>
      </c>
      <c r="AA40" s="160">
        <f t="shared" si="2"/>
        <v>3668305.6</v>
      </c>
      <c r="AB40" s="160">
        <f t="shared" si="2"/>
        <v>3668305.6</v>
      </c>
      <c r="AC40" s="160">
        <f t="shared" si="2"/>
        <v>3668305.6</v>
      </c>
      <c r="AD40" s="160">
        <f t="shared" si="2"/>
        <v>3668305.6</v>
      </c>
      <c r="AE40" s="160">
        <f t="shared" si="2"/>
        <v>3668305.6</v>
      </c>
      <c r="AF40" s="160">
        <f t="shared" si="2"/>
        <v>3668305.6</v>
      </c>
      <c r="AG40" s="160">
        <f t="shared" si="2"/>
        <v>3668305.6</v>
      </c>
    </row>
    <row r="41" spans="1:33" ht="15.75" hidden="1" customHeight="1">
      <c r="A41" s="594"/>
      <c r="B41" s="594"/>
      <c r="C41" s="594"/>
      <c r="D41" s="594"/>
      <c r="E41" s="594"/>
      <c r="F41" s="594"/>
      <c r="G41" s="594"/>
      <c r="H41" s="594"/>
      <c r="I41" s="594"/>
      <c r="J41" s="594"/>
      <c r="K41" s="594"/>
      <c r="L41" s="594"/>
      <c r="M41" s="594"/>
      <c r="N41" s="594"/>
      <c r="O41" s="594"/>
      <c r="P41" s="594"/>
      <c r="Q41" s="594"/>
      <c r="R41" s="594"/>
      <c r="S41" s="594"/>
      <c r="T41" s="594"/>
      <c r="U41" s="594"/>
      <c r="V41" s="594"/>
      <c r="W41" s="594"/>
      <c r="X41" s="594"/>
      <c r="Y41" s="594"/>
      <c r="Z41" s="594"/>
      <c r="AA41" s="594"/>
      <c r="AB41" s="594"/>
      <c r="AC41" s="594"/>
      <c r="AD41" s="594"/>
      <c r="AE41" s="594"/>
      <c r="AF41" s="594"/>
      <c r="AG41" s="594"/>
    </row>
    <row r="42" spans="1:33" ht="15.75" hidden="1" customHeight="1">
      <c r="A42" s="592" t="s">
        <v>466</v>
      </c>
      <c r="B42" s="594"/>
      <c r="C42" s="594"/>
      <c r="D42" s="594"/>
      <c r="E42" s="594"/>
      <c r="F42" s="594"/>
      <c r="G42" s="594"/>
      <c r="H42" s="594"/>
      <c r="I42" s="594"/>
      <c r="J42" s="594"/>
      <c r="K42" s="594"/>
      <c r="L42" s="594"/>
      <c r="M42" s="594"/>
      <c r="N42" s="594"/>
      <c r="O42" s="594"/>
      <c r="P42" s="594"/>
      <c r="Q42" s="594"/>
      <c r="R42" s="594"/>
      <c r="S42" s="594"/>
      <c r="T42" s="594"/>
      <c r="U42" s="594"/>
      <c r="V42" s="594"/>
      <c r="W42" s="594"/>
      <c r="X42" s="594"/>
      <c r="Y42" s="594"/>
      <c r="Z42" s="594"/>
      <c r="AA42" s="594"/>
      <c r="AB42" s="594"/>
      <c r="AC42" s="594"/>
      <c r="AD42" s="594"/>
      <c r="AE42" s="594"/>
      <c r="AF42" s="594"/>
      <c r="AG42" s="594"/>
    </row>
    <row r="43" spans="1:33" ht="28.5" hidden="1" customHeight="1">
      <c r="A43" s="147" t="s">
        <v>467</v>
      </c>
      <c r="B43" s="147" t="s">
        <v>468</v>
      </c>
      <c r="C43" s="147" t="s">
        <v>457</v>
      </c>
      <c r="D43" s="147">
        <v>1</v>
      </c>
      <c r="E43" s="147">
        <v>2</v>
      </c>
      <c r="F43" s="147">
        <v>3</v>
      </c>
      <c r="G43" s="147">
        <v>4</v>
      </c>
      <c r="H43" s="147">
        <v>5</v>
      </c>
      <c r="I43" s="147">
        <v>6</v>
      </c>
      <c r="J43" s="147">
        <v>7</v>
      </c>
      <c r="K43" s="147">
        <v>8</v>
      </c>
      <c r="L43" s="147">
        <v>9</v>
      </c>
      <c r="M43" s="147">
        <v>10</v>
      </c>
      <c r="N43" s="147">
        <v>11</v>
      </c>
      <c r="O43" s="147">
        <v>12</v>
      </c>
      <c r="P43" s="147">
        <v>13</v>
      </c>
      <c r="Q43" s="147">
        <v>14</v>
      </c>
      <c r="R43" s="147">
        <v>15</v>
      </c>
      <c r="S43" s="147">
        <v>16</v>
      </c>
      <c r="T43" s="147">
        <v>17</v>
      </c>
      <c r="U43" s="147">
        <v>18</v>
      </c>
      <c r="V43" s="147">
        <v>19</v>
      </c>
      <c r="W43" s="147">
        <v>20</v>
      </c>
      <c r="X43" s="147">
        <v>21</v>
      </c>
      <c r="Y43" s="147">
        <v>22</v>
      </c>
      <c r="Z43" s="147">
        <v>23</v>
      </c>
      <c r="AA43" s="147">
        <v>24</v>
      </c>
      <c r="AB43" s="147">
        <v>25</v>
      </c>
      <c r="AC43" s="147">
        <v>26</v>
      </c>
      <c r="AD43" s="147">
        <v>27</v>
      </c>
      <c r="AE43" s="147">
        <v>28</v>
      </c>
      <c r="AF43" s="147">
        <v>29</v>
      </c>
      <c r="AG43" s="147">
        <v>30</v>
      </c>
    </row>
    <row r="44" spans="1:33" ht="15.75" hidden="1" customHeight="1">
      <c r="A44" s="148">
        <v>0</v>
      </c>
      <c r="B44" s="148">
        <v>2500000</v>
      </c>
      <c r="C44" s="161">
        <v>0</v>
      </c>
      <c r="D44" s="146">
        <f>IF(AND(OutSobreRec='Z 1 - Listas'!$J$5,'A4 - Previsão de Receita Bruta'!C$27&gt;=$A44,'A4 - Previsão de Receita Bruta'!C$27&lt;=$B44),$C44*'A4 - Previsão de Receita Bruta'!C$27,0)</f>
        <v>0</v>
      </c>
      <c r="E44" s="146">
        <f>IF(AND(OutSobreRec='Z 1 - Listas'!$J$5,'A4 - Previsão de Receita Bruta'!D$27&gt;=$A44,'A4 - Previsão de Receita Bruta'!D$27&lt;=$B44),$C44*'A4 - Previsão de Receita Bruta'!D$27,0)</f>
        <v>0</v>
      </c>
      <c r="F44" s="146">
        <f>IF(AND(OutSobreRec='Z 1 - Listas'!$J$5,'A4 - Previsão de Receita Bruta'!E$27&gt;=$A44,'A4 - Previsão de Receita Bruta'!E$27&lt;=$B44),$C44*'A4 - Previsão de Receita Bruta'!E$27,0)</f>
        <v>0</v>
      </c>
      <c r="G44" s="146">
        <f>IF(AND(OutSobreRec='Z 1 - Listas'!$J$5,'A4 - Previsão de Receita Bruta'!F$27&gt;=$A44,'A4 - Previsão de Receita Bruta'!F$27&lt;=$B44),$C44*'A4 - Previsão de Receita Bruta'!F$27,0)</f>
        <v>0</v>
      </c>
      <c r="H44" s="146">
        <f>IF(AND(OutSobreRec='Z 1 - Listas'!$J$5,'A4 - Previsão de Receita Bruta'!G$27&gt;=$A44,'A4 - Previsão de Receita Bruta'!G$27&lt;=$B44),$C44*'A4 - Previsão de Receita Bruta'!G$27,0)</f>
        <v>0</v>
      </c>
      <c r="I44" s="146">
        <f>IF(AND(OutSobreRec='Z 1 - Listas'!$J$5,'A4 - Previsão de Receita Bruta'!H$27&gt;=$A44,'A4 - Previsão de Receita Bruta'!H$27&lt;=$B44),$C44*'A4 - Previsão de Receita Bruta'!H$27,0)</f>
        <v>0</v>
      </c>
      <c r="J44" s="146">
        <f>IF(AND(OutSobreRec='Z 1 - Listas'!$J$5,'A4 - Previsão de Receita Bruta'!I$27&gt;=$A44,'A4 - Previsão de Receita Bruta'!I$27&lt;=$B44),$C44*'A4 - Previsão de Receita Bruta'!I$27,0)</f>
        <v>0</v>
      </c>
      <c r="K44" s="146">
        <f>IF(AND(OutSobreRec='Z 1 - Listas'!$J$5,'A4 - Previsão de Receita Bruta'!J$27&gt;=$A44,'A4 - Previsão de Receita Bruta'!J$27&lt;=$B44),$C44*'A4 - Previsão de Receita Bruta'!J$27,0)</f>
        <v>0</v>
      </c>
      <c r="L44" s="146">
        <f>IF(AND(OutSobreRec='Z 1 - Listas'!$J$5,'A4 - Previsão de Receita Bruta'!K$27&gt;=$A44,'A4 - Previsão de Receita Bruta'!K$27&lt;=$B44),$C44*'A4 - Previsão de Receita Bruta'!K$27,0)</f>
        <v>0</v>
      </c>
      <c r="M44" s="146">
        <f>IF(AND(OutSobreRec='Z 1 - Listas'!$J$5,'A4 - Previsão de Receita Bruta'!L$27&gt;=$A44,'A4 - Previsão de Receita Bruta'!L$27&lt;=$B44),$C44*'A4 - Previsão de Receita Bruta'!L$27,0)</f>
        <v>0</v>
      </c>
      <c r="N44" s="146">
        <f>IF(AND(OutSobreRec='Z 1 - Listas'!$J$5,'A4 - Previsão de Receita Bruta'!M$27&gt;=$A44,'A4 - Previsão de Receita Bruta'!M$27&lt;=$B44),$C44*'A4 - Previsão de Receita Bruta'!M$27,0)</f>
        <v>0</v>
      </c>
      <c r="O44" s="146">
        <f>IF(AND(OutSobreRec='Z 1 - Listas'!$J$5,'A4 - Previsão de Receita Bruta'!N$27&gt;=$A44,'A4 - Previsão de Receita Bruta'!N$27&lt;=$B44),$C44*'A4 - Previsão de Receita Bruta'!N$27,0)</f>
        <v>0</v>
      </c>
      <c r="P44" s="146">
        <f>IF(AND(OutSobreRec='Z 1 - Listas'!$J$5,'A4 - Previsão de Receita Bruta'!O$27&gt;=$A44,'A4 - Previsão de Receita Bruta'!O$27&lt;=$B44),$C44*'A4 - Previsão de Receita Bruta'!O$27,0)</f>
        <v>0</v>
      </c>
      <c r="Q44" s="146">
        <f>IF(AND(OutSobreRec='Z 1 - Listas'!$J$5,'A4 - Previsão de Receita Bruta'!P$27&gt;=$A44,'A4 - Previsão de Receita Bruta'!P$27&lt;=$B44),$C44*'A4 - Previsão de Receita Bruta'!P$27,0)</f>
        <v>0</v>
      </c>
      <c r="R44" s="146">
        <f>IF(AND(OutSobreRec='Z 1 - Listas'!$J$5,'A4 - Previsão de Receita Bruta'!Q$27&gt;=$A44,'A4 - Previsão de Receita Bruta'!Q$27&lt;=$B44),$C44*'A4 - Previsão de Receita Bruta'!Q$27,0)</f>
        <v>0</v>
      </c>
      <c r="S44" s="146">
        <f>IF(AND(OutSobreRec='Z 1 - Listas'!$J$5,'A4 - Previsão de Receita Bruta'!R$27&gt;=$A44,'A4 - Previsão de Receita Bruta'!R$27&lt;=$B44),$C44*'A4 - Previsão de Receita Bruta'!R$27,0)</f>
        <v>0</v>
      </c>
      <c r="T44" s="146">
        <f>IF(AND(OutSobreRec='Z 1 - Listas'!$J$5,'A4 - Previsão de Receita Bruta'!S$27&gt;=$A44,'A4 - Previsão de Receita Bruta'!S$27&lt;=$B44),$C44*'A4 - Previsão de Receita Bruta'!S$27,0)</f>
        <v>0</v>
      </c>
      <c r="U44" s="146">
        <f>IF(AND(OutSobreRec='Z 1 - Listas'!$J$5,'A4 - Previsão de Receita Bruta'!T$27&gt;=$A44,'A4 - Previsão de Receita Bruta'!T$27&lt;=$B44),$C44*'A4 - Previsão de Receita Bruta'!T$27,0)</f>
        <v>0</v>
      </c>
      <c r="V44" s="146">
        <f>IF(AND(OutSobreRec='Z 1 - Listas'!$J$5,'A4 - Previsão de Receita Bruta'!U$27&gt;=$A44,'A4 - Previsão de Receita Bruta'!U$27&lt;=$B44),$C44*'A4 - Previsão de Receita Bruta'!U$27,0)</f>
        <v>0</v>
      </c>
      <c r="W44" s="146">
        <f>IF(AND(OutSobreRec='Z 1 - Listas'!$J$5,'A4 - Previsão de Receita Bruta'!V$27&gt;=$A44,'A4 - Previsão de Receita Bruta'!V$27&lt;=$B44),$C44*'A4 - Previsão de Receita Bruta'!V$27,0)</f>
        <v>0</v>
      </c>
      <c r="X44" s="146">
        <f>IF(AND(OutSobreRec='Z 1 - Listas'!$J$5,'A4 - Previsão de Receita Bruta'!W$27&gt;=$A44,'A4 - Previsão de Receita Bruta'!W$27&lt;=$B44),$C44*'A4 - Previsão de Receita Bruta'!W$27,0)</f>
        <v>0</v>
      </c>
      <c r="Y44" s="146">
        <f>IF(AND(OutSobreRec='Z 1 - Listas'!$J$5,'A4 - Previsão de Receita Bruta'!X$27&gt;=$A44,'A4 - Previsão de Receita Bruta'!X$27&lt;=$B44),$C44*'A4 - Previsão de Receita Bruta'!X$27,0)</f>
        <v>0</v>
      </c>
      <c r="Z44" s="146">
        <f>IF(AND(OutSobreRec='Z 1 - Listas'!$J$5,'A4 - Previsão de Receita Bruta'!Y$27&gt;=$A44,'A4 - Previsão de Receita Bruta'!Y$27&lt;=$B44),$C44*'A4 - Previsão de Receita Bruta'!Y$27,0)</f>
        <v>0</v>
      </c>
      <c r="AA44" s="146">
        <f>IF(AND(OutSobreRec='Z 1 - Listas'!$J$5,'A4 - Previsão de Receita Bruta'!Z$27&gt;=$A44,'A4 - Previsão de Receita Bruta'!Z$27&lt;=$B44),$C44*'A4 - Previsão de Receita Bruta'!Z$27,0)</f>
        <v>0</v>
      </c>
      <c r="AB44" s="146">
        <f>IF(AND(OutSobreRec='Z 1 - Listas'!$J$5,'A4 - Previsão de Receita Bruta'!AA$27&gt;=$A44,'A4 - Previsão de Receita Bruta'!AA$27&lt;=$B44),$C44*'A4 - Previsão de Receita Bruta'!AA$27,0)</f>
        <v>0</v>
      </c>
      <c r="AC44" s="146">
        <f>IF(AND(OutSobreRec='Z 1 - Listas'!$J$5,'A4 - Previsão de Receita Bruta'!AB$27&gt;=$A44,'A4 - Previsão de Receita Bruta'!AB$27&lt;=$B44),$C44*'A4 - Previsão de Receita Bruta'!AB$27,0)</f>
        <v>0</v>
      </c>
      <c r="AD44" s="146">
        <f>IF(AND(OutSobreRec='Z 1 - Listas'!$J$5,'A4 - Previsão de Receita Bruta'!AC$27&gt;=$A44,'A4 - Previsão de Receita Bruta'!AC$27&lt;=$B44),$C44*'A4 - Previsão de Receita Bruta'!AC$27,0)</f>
        <v>0</v>
      </c>
      <c r="AE44" s="146">
        <f>IF(AND(OutSobreRec='Z 1 - Listas'!$J$5,'A4 - Previsão de Receita Bruta'!AD$27&gt;=$A44,'A4 - Previsão de Receita Bruta'!AD$27&lt;=$B44),$C44*'A4 - Previsão de Receita Bruta'!AD$27,0)</f>
        <v>0</v>
      </c>
      <c r="AF44" s="146">
        <f>IF(AND(OutSobreRec='Z 1 - Listas'!$J$5,'A4 - Previsão de Receita Bruta'!AE$27&gt;=$A44,'A4 - Previsão de Receita Bruta'!AE$27&lt;=$B44),$C44*'A4 - Previsão de Receita Bruta'!AE$27,0)</f>
        <v>0</v>
      </c>
      <c r="AG44" s="146">
        <f>IF(AND(OutSobreRec='Z 1 - Listas'!$J$5,'A4 - Previsão de Receita Bruta'!AF$27&gt;=$A44,'A4 - Previsão de Receita Bruta'!AF$27&lt;=$B44),$C44*'A4 - Previsão de Receita Bruta'!AF$27,0)</f>
        <v>0</v>
      </c>
    </row>
    <row r="45" spans="1:33" ht="15.75" hidden="1" customHeight="1">
      <c r="A45" s="162">
        <f t="shared" ref="A45:A48" si="3">IF(ISBLANK(B45),"",B44)</f>
        <v>2500000</v>
      </c>
      <c r="B45" s="163">
        <v>100000000</v>
      </c>
      <c r="C45" s="164">
        <v>0.02</v>
      </c>
      <c r="D45" s="146">
        <f>IF(AND(OutSobreRec='Z 1 - Listas'!$J$5,'A4 - Previsão de Receita Bruta'!C$27&gt;$A45,'A4 - Previsão de Receita Bruta'!C$27&lt;=$B45),$C45*'A4 - Previsão de Receita Bruta'!C$27,0)</f>
        <v>0</v>
      </c>
      <c r="E45" s="146">
        <f>IF(AND(OutSobreRec='Z 1 - Listas'!$J$5,'A4 - Previsão de Receita Bruta'!D$27&gt;$A45,'A4 - Previsão de Receita Bruta'!D$27&lt;=$B45),$C45*'A4 - Previsão de Receita Bruta'!D$27,0)</f>
        <v>0</v>
      </c>
      <c r="F45" s="146">
        <f>IF(AND(OutSobreRec='Z 1 - Listas'!$J$5,'A4 - Previsão de Receita Bruta'!E$27&gt;$A45,'A4 - Previsão de Receita Bruta'!E$27&lt;=$B45),$C45*'A4 - Previsão de Receita Bruta'!E$27,0)</f>
        <v>0</v>
      </c>
      <c r="G45" s="146">
        <f>IF(AND(OutSobreRec='Z 1 - Listas'!$J$5,'A4 - Previsão de Receita Bruta'!F$27&gt;$A45,'A4 - Previsão de Receita Bruta'!F$27&lt;=$B45),$C45*'A4 - Previsão de Receita Bruta'!F$27,0)</f>
        <v>0</v>
      </c>
      <c r="H45" s="146">
        <f>IF(AND(OutSobreRec='Z 1 - Listas'!$J$5,'A4 - Previsão de Receita Bruta'!G$27&gt;$A45,'A4 - Previsão de Receita Bruta'!G$27&lt;=$B45),$C45*'A4 - Previsão de Receita Bruta'!G$27,0)</f>
        <v>0</v>
      </c>
      <c r="I45" s="146">
        <f>IF(AND(OutSobreRec='Z 1 - Listas'!$J$5,'A4 - Previsão de Receita Bruta'!H$27&gt;$A45,'A4 - Previsão de Receita Bruta'!H$27&lt;=$B45),$C45*'A4 - Previsão de Receita Bruta'!H$27,0)</f>
        <v>0</v>
      </c>
      <c r="J45" s="146">
        <f>IF(AND(OutSobreRec='Z 1 - Listas'!$J$5,'A4 - Previsão de Receita Bruta'!I$27&gt;$A45,'A4 - Previsão de Receita Bruta'!I$27&lt;=$B45),$C45*'A4 - Previsão de Receita Bruta'!I$27,0)</f>
        <v>0</v>
      </c>
      <c r="K45" s="146">
        <f>IF(AND(OutSobreRec='Z 1 - Listas'!$J$5,'A4 - Previsão de Receita Bruta'!J$27&gt;$A45,'A4 - Previsão de Receita Bruta'!J$27&lt;=$B45),$C45*'A4 - Previsão de Receita Bruta'!J$27,0)</f>
        <v>0</v>
      </c>
      <c r="L45" s="146">
        <f>IF(AND(OutSobreRec='Z 1 - Listas'!$J$5,'A4 - Previsão de Receita Bruta'!K$27&gt;$A45,'A4 - Previsão de Receita Bruta'!K$27&lt;=$B45),$C45*'A4 - Previsão de Receita Bruta'!K$27,0)</f>
        <v>0</v>
      </c>
      <c r="M45" s="146">
        <f>IF(AND(OutSobreRec='Z 1 - Listas'!$J$5,'A4 - Previsão de Receita Bruta'!L$27&gt;$A45,'A4 - Previsão de Receita Bruta'!L$27&lt;=$B45),$C45*'A4 - Previsão de Receita Bruta'!L$27,0)</f>
        <v>0</v>
      </c>
      <c r="N45" s="146">
        <f>IF(AND(OutSobreRec='Z 1 - Listas'!$J$5,'A4 - Previsão de Receita Bruta'!M$27&gt;$A45,'A4 - Previsão de Receita Bruta'!M$27&lt;=$B45),$C45*'A4 - Previsão de Receita Bruta'!M$27,0)</f>
        <v>0</v>
      </c>
      <c r="O45" s="146">
        <f>IF(AND(OutSobreRec='Z 1 - Listas'!$J$5,'A4 - Previsão de Receita Bruta'!N$27&gt;$A45,'A4 - Previsão de Receita Bruta'!N$27&lt;=$B45),$C45*'A4 - Previsão de Receita Bruta'!N$27,0)</f>
        <v>0</v>
      </c>
      <c r="P45" s="146">
        <f>IF(AND(OutSobreRec='Z 1 - Listas'!$J$5,'A4 - Previsão de Receita Bruta'!O$27&gt;$A45,'A4 - Previsão de Receita Bruta'!O$27&lt;=$B45),$C45*'A4 - Previsão de Receita Bruta'!O$27,0)</f>
        <v>0</v>
      </c>
      <c r="Q45" s="146">
        <f>IF(AND(OutSobreRec='Z 1 - Listas'!$J$5,'A4 - Previsão de Receita Bruta'!P$27&gt;$A45,'A4 - Previsão de Receita Bruta'!P$27&lt;=$B45),$C45*'A4 - Previsão de Receita Bruta'!P$27,0)</f>
        <v>0</v>
      </c>
      <c r="R45" s="146">
        <f>IF(AND(OutSobreRec='Z 1 - Listas'!$J$5,'A4 - Previsão de Receita Bruta'!Q$27&gt;$A45,'A4 - Previsão de Receita Bruta'!Q$27&lt;=$B45),$C45*'A4 - Previsão de Receita Bruta'!Q$27,0)</f>
        <v>0</v>
      </c>
      <c r="S45" s="146">
        <f>IF(AND(OutSobreRec='Z 1 - Listas'!$J$5,'A4 - Previsão de Receita Bruta'!R$27&gt;$A45,'A4 - Previsão de Receita Bruta'!R$27&lt;=$B45),$C45*'A4 - Previsão de Receita Bruta'!R$27,0)</f>
        <v>0</v>
      </c>
      <c r="T45" s="146">
        <f>IF(AND(OutSobreRec='Z 1 - Listas'!$J$5,'A4 - Previsão de Receita Bruta'!S$27&gt;$A45,'A4 - Previsão de Receita Bruta'!S$27&lt;=$B45),$C45*'A4 - Previsão de Receita Bruta'!S$27,0)</f>
        <v>0</v>
      </c>
      <c r="U45" s="146">
        <f>IF(AND(OutSobreRec='Z 1 - Listas'!$J$5,'A4 - Previsão de Receita Bruta'!T$27&gt;$A45,'A4 - Previsão de Receita Bruta'!T$27&lt;=$B45),$C45*'A4 - Previsão de Receita Bruta'!T$27,0)</f>
        <v>0</v>
      </c>
      <c r="V45" s="146">
        <f>IF(AND(OutSobreRec='Z 1 - Listas'!$J$5,'A4 - Previsão de Receita Bruta'!U$27&gt;$A45,'A4 - Previsão de Receita Bruta'!U$27&lt;=$B45),$C45*'A4 - Previsão de Receita Bruta'!U$27,0)</f>
        <v>0</v>
      </c>
      <c r="W45" s="146">
        <f>IF(AND(OutSobreRec='Z 1 - Listas'!$J$5,'A4 - Previsão de Receita Bruta'!V$27&gt;$A45,'A4 - Previsão de Receita Bruta'!V$27&lt;=$B45),$C45*'A4 - Previsão de Receita Bruta'!V$27,0)</f>
        <v>0</v>
      </c>
      <c r="X45" s="146">
        <f>IF(AND(OutSobreRec='Z 1 - Listas'!$J$5,'A4 - Previsão de Receita Bruta'!W$27&gt;$A45,'A4 - Previsão de Receita Bruta'!W$27&lt;=$B45),$C45*'A4 - Previsão de Receita Bruta'!W$27,0)</f>
        <v>0</v>
      </c>
      <c r="Y45" s="146">
        <f>IF(AND(OutSobreRec='Z 1 - Listas'!$J$5,'A4 - Previsão de Receita Bruta'!X$27&gt;$A45,'A4 - Previsão de Receita Bruta'!X$27&lt;=$B45),$C45*'A4 - Previsão de Receita Bruta'!X$27,0)</f>
        <v>0</v>
      </c>
      <c r="Z45" s="146">
        <f>IF(AND(OutSobreRec='Z 1 - Listas'!$J$5,'A4 - Previsão de Receita Bruta'!Y$27&gt;$A45,'A4 - Previsão de Receita Bruta'!Y$27&lt;=$B45),$C45*'A4 - Previsão de Receita Bruta'!Y$27,0)</f>
        <v>0</v>
      </c>
      <c r="AA45" s="146">
        <f>IF(AND(OutSobreRec='Z 1 - Listas'!$J$5,'A4 - Previsão de Receita Bruta'!Z$27&gt;$A45,'A4 - Previsão de Receita Bruta'!Z$27&lt;=$B45),$C45*'A4 - Previsão de Receita Bruta'!Z$27,0)</f>
        <v>0</v>
      </c>
      <c r="AB45" s="146">
        <f>IF(AND(OutSobreRec='Z 1 - Listas'!$J$5,'A4 - Previsão de Receita Bruta'!AA$27&gt;$A45,'A4 - Previsão de Receita Bruta'!AA$27&lt;=$B45),$C45*'A4 - Previsão de Receita Bruta'!AA$27,0)</f>
        <v>0</v>
      </c>
      <c r="AC45" s="146">
        <f>IF(AND(OutSobreRec='Z 1 - Listas'!$J$5,'A4 - Previsão de Receita Bruta'!AB$27&gt;$A45,'A4 - Previsão de Receita Bruta'!AB$27&lt;=$B45),$C45*'A4 - Previsão de Receita Bruta'!AB$27,0)</f>
        <v>0</v>
      </c>
      <c r="AD45" s="146">
        <f>IF(AND(OutSobreRec='Z 1 - Listas'!$J$5,'A4 - Previsão de Receita Bruta'!AC$27&gt;$A45,'A4 - Previsão de Receita Bruta'!AC$27&lt;=$B45),$C45*'A4 - Previsão de Receita Bruta'!AC$27,0)</f>
        <v>0</v>
      </c>
      <c r="AE45" s="146">
        <f>IF(AND(OutSobreRec='Z 1 - Listas'!$J$5,'A4 - Previsão de Receita Bruta'!AD$27&gt;$A45,'A4 - Previsão de Receita Bruta'!AD$27&lt;=$B45),$C45*'A4 - Previsão de Receita Bruta'!AD$27,0)</f>
        <v>0</v>
      </c>
      <c r="AF45" s="146">
        <f>IF(AND(OutSobreRec='Z 1 - Listas'!$J$5,'A4 - Previsão de Receita Bruta'!AE$27&gt;$A45,'A4 - Previsão de Receita Bruta'!AE$27&lt;=$B45),$C45*'A4 - Previsão de Receita Bruta'!AE$27,0)</f>
        <v>0</v>
      </c>
      <c r="AG45" s="146">
        <f>IF(AND(OutSobreRec='Z 1 - Listas'!$J$5,'A4 - Previsão de Receita Bruta'!AF$27&gt;$A45,'A4 - Previsão de Receita Bruta'!AF$27&lt;=$B45),$C45*'A4 - Previsão de Receita Bruta'!AF$27,0)</f>
        <v>0</v>
      </c>
    </row>
    <row r="46" spans="1:33" ht="15.75" hidden="1" customHeight="1">
      <c r="A46" s="162" t="str">
        <f t="shared" si="3"/>
        <v/>
      </c>
      <c r="B46" s="163"/>
      <c r="C46" s="164"/>
      <c r="D46" s="146">
        <f>IF(AND(OutSobreRec='Z 1 - Listas'!$J$5,'A4 - Previsão de Receita Bruta'!C$27&gt;$A46,'A4 - Previsão de Receita Bruta'!C$27&lt;=$B46),$C46*'A4 - Previsão de Receita Bruta'!C$27,0)</f>
        <v>0</v>
      </c>
      <c r="E46" s="146">
        <f>IF(AND(OutSobreRec='Z 1 - Listas'!$J$5,'A4 - Previsão de Receita Bruta'!D$27&gt;$A46,'A4 - Previsão de Receita Bruta'!D$27&lt;=$B46),$C46*'A4 - Previsão de Receita Bruta'!D$27,0)</f>
        <v>0</v>
      </c>
      <c r="F46" s="146">
        <f>IF(AND(OutSobreRec='Z 1 - Listas'!$J$5,'A4 - Previsão de Receita Bruta'!E$27&gt;$A46,'A4 - Previsão de Receita Bruta'!E$27&lt;=$B46),$C46*'A4 - Previsão de Receita Bruta'!E$27,0)</f>
        <v>0</v>
      </c>
      <c r="G46" s="146">
        <f>IF(AND(OutSobreRec='Z 1 - Listas'!$J$5,'A4 - Previsão de Receita Bruta'!F$27&gt;$A46,'A4 - Previsão de Receita Bruta'!F$27&lt;=$B46),$C46*'A4 - Previsão de Receita Bruta'!F$27,0)</f>
        <v>0</v>
      </c>
      <c r="H46" s="146">
        <f>IF(AND(OutSobreRec='Z 1 - Listas'!$J$5,'A4 - Previsão de Receita Bruta'!G$27&gt;$A46,'A4 - Previsão de Receita Bruta'!G$27&lt;=$B46),$C46*'A4 - Previsão de Receita Bruta'!G$27,0)</f>
        <v>0</v>
      </c>
      <c r="I46" s="146">
        <f>IF(AND(OutSobreRec='Z 1 - Listas'!$J$5,'A4 - Previsão de Receita Bruta'!H$27&gt;$A46,'A4 - Previsão de Receita Bruta'!H$27&lt;=$B46),$C46*'A4 - Previsão de Receita Bruta'!H$27,0)</f>
        <v>0</v>
      </c>
      <c r="J46" s="146">
        <f>IF(AND(OutSobreRec='Z 1 - Listas'!$J$5,'A4 - Previsão de Receita Bruta'!I$27&gt;$A46,'A4 - Previsão de Receita Bruta'!I$27&lt;=$B46),$C46*'A4 - Previsão de Receita Bruta'!I$27,0)</f>
        <v>0</v>
      </c>
      <c r="K46" s="146">
        <f>IF(AND(OutSobreRec='Z 1 - Listas'!$J$5,'A4 - Previsão de Receita Bruta'!J$27&gt;$A46,'A4 - Previsão de Receita Bruta'!J$27&lt;=$B46),$C46*'A4 - Previsão de Receita Bruta'!J$27,0)</f>
        <v>0</v>
      </c>
      <c r="L46" s="146">
        <f>IF(AND(OutSobreRec='Z 1 - Listas'!$J$5,'A4 - Previsão de Receita Bruta'!K$27&gt;$A46,'A4 - Previsão de Receita Bruta'!K$27&lt;=$B46),$C46*'A4 - Previsão de Receita Bruta'!K$27,0)</f>
        <v>0</v>
      </c>
      <c r="M46" s="146">
        <f>IF(AND(OutSobreRec='Z 1 - Listas'!$J$5,'A4 - Previsão de Receita Bruta'!L$27&gt;$A46,'A4 - Previsão de Receita Bruta'!L$27&lt;=$B46),$C46*'A4 - Previsão de Receita Bruta'!L$27,0)</f>
        <v>0</v>
      </c>
      <c r="N46" s="146">
        <f>IF(AND(OutSobreRec='Z 1 - Listas'!$J$5,'A4 - Previsão de Receita Bruta'!M$27&gt;$A46,'A4 - Previsão de Receita Bruta'!M$27&lt;=$B46),$C46*'A4 - Previsão de Receita Bruta'!M$27,0)</f>
        <v>0</v>
      </c>
      <c r="O46" s="146">
        <f>IF(AND(OutSobreRec='Z 1 - Listas'!$J$5,'A4 - Previsão de Receita Bruta'!N$27&gt;$A46,'A4 - Previsão de Receita Bruta'!N$27&lt;=$B46),$C46*'A4 - Previsão de Receita Bruta'!N$27,0)</f>
        <v>0</v>
      </c>
      <c r="P46" s="146">
        <f>IF(AND(OutSobreRec='Z 1 - Listas'!$J$5,'A4 - Previsão de Receita Bruta'!O$27&gt;$A46,'A4 - Previsão de Receita Bruta'!O$27&lt;=$B46),$C46*'A4 - Previsão de Receita Bruta'!O$27,0)</f>
        <v>0</v>
      </c>
      <c r="Q46" s="146">
        <f>IF(AND(OutSobreRec='Z 1 - Listas'!$J$5,'A4 - Previsão de Receita Bruta'!P$27&gt;$A46,'A4 - Previsão de Receita Bruta'!P$27&lt;=$B46),$C46*'A4 - Previsão de Receita Bruta'!P$27,0)</f>
        <v>0</v>
      </c>
      <c r="R46" s="146">
        <f>IF(AND(OutSobreRec='Z 1 - Listas'!$J$5,'A4 - Previsão de Receita Bruta'!Q$27&gt;$A46,'A4 - Previsão de Receita Bruta'!Q$27&lt;=$B46),$C46*'A4 - Previsão de Receita Bruta'!Q$27,0)</f>
        <v>0</v>
      </c>
      <c r="S46" s="146">
        <f>IF(AND(OutSobreRec='Z 1 - Listas'!$J$5,'A4 - Previsão de Receita Bruta'!R$27&gt;$A46,'A4 - Previsão de Receita Bruta'!R$27&lt;=$B46),$C46*'A4 - Previsão de Receita Bruta'!R$27,0)</f>
        <v>0</v>
      </c>
      <c r="T46" s="146">
        <f>IF(AND(OutSobreRec='Z 1 - Listas'!$J$5,'A4 - Previsão de Receita Bruta'!S$27&gt;$A46,'A4 - Previsão de Receita Bruta'!S$27&lt;=$B46),$C46*'A4 - Previsão de Receita Bruta'!S$27,0)</f>
        <v>0</v>
      </c>
      <c r="U46" s="146">
        <f>IF(AND(OutSobreRec='Z 1 - Listas'!$J$5,'A4 - Previsão de Receita Bruta'!T$27&gt;$A46,'A4 - Previsão de Receita Bruta'!T$27&lt;=$B46),$C46*'A4 - Previsão de Receita Bruta'!T$27,0)</f>
        <v>0</v>
      </c>
      <c r="V46" s="146">
        <f>IF(AND(OutSobreRec='Z 1 - Listas'!$J$5,'A4 - Previsão de Receita Bruta'!U$27&gt;$A46,'A4 - Previsão de Receita Bruta'!U$27&lt;=$B46),$C46*'A4 - Previsão de Receita Bruta'!U$27,0)</f>
        <v>0</v>
      </c>
      <c r="W46" s="146">
        <f>IF(AND(OutSobreRec='Z 1 - Listas'!$J$5,'A4 - Previsão de Receita Bruta'!V$27&gt;$A46,'A4 - Previsão de Receita Bruta'!V$27&lt;=$B46),$C46*'A4 - Previsão de Receita Bruta'!V$27,0)</f>
        <v>0</v>
      </c>
      <c r="X46" s="146">
        <f>IF(AND(OutSobreRec='Z 1 - Listas'!$J$5,'A4 - Previsão de Receita Bruta'!W$27&gt;$A46,'A4 - Previsão de Receita Bruta'!W$27&lt;=$B46),$C46*'A4 - Previsão de Receita Bruta'!W$27,0)</f>
        <v>0</v>
      </c>
      <c r="Y46" s="146">
        <f>IF(AND(OutSobreRec='Z 1 - Listas'!$J$5,'A4 - Previsão de Receita Bruta'!X$27&gt;$A46,'A4 - Previsão de Receita Bruta'!X$27&lt;=$B46),$C46*'A4 - Previsão de Receita Bruta'!X$27,0)</f>
        <v>0</v>
      </c>
      <c r="Z46" s="146">
        <f>IF(AND(OutSobreRec='Z 1 - Listas'!$J$5,'A4 - Previsão de Receita Bruta'!Y$27&gt;$A46,'A4 - Previsão de Receita Bruta'!Y$27&lt;=$B46),$C46*'A4 - Previsão de Receita Bruta'!Y$27,0)</f>
        <v>0</v>
      </c>
      <c r="AA46" s="146">
        <f>IF(AND(OutSobreRec='Z 1 - Listas'!$J$5,'A4 - Previsão de Receita Bruta'!Z$27&gt;$A46,'A4 - Previsão de Receita Bruta'!Z$27&lt;=$B46),$C46*'A4 - Previsão de Receita Bruta'!Z$27,0)</f>
        <v>0</v>
      </c>
      <c r="AB46" s="146">
        <f>IF(AND(OutSobreRec='Z 1 - Listas'!$J$5,'A4 - Previsão de Receita Bruta'!AA$27&gt;$A46,'A4 - Previsão de Receita Bruta'!AA$27&lt;=$B46),$C46*'A4 - Previsão de Receita Bruta'!AA$27,0)</f>
        <v>0</v>
      </c>
      <c r="AC46" s="146">
        <f>IF(AND(OutSobreRec='Z 1 - Listas'!$J$5,'A4 - Previsão de Receita Bruta'!AB$27&gt;$A46,'A4 - Previsão de Receita Bruta'!AB$27&lt;=$B46),$C46*'A4 - Previsão de Receita Bruta'!AB$27,0)</f>
        <v>0</v>
      </c>
      <c r="AD46" s="146">
        <f>IF(AND(OutSobreRec='Z 1 - Listas'!$J$5,'A4 - Previsão de Receita Bruta'!AC$27&gt;$A46,'A4 - Previsão de Receita Bruta'!AC$27&lt;=$B46),$C46*'A4 - Previsão de Receita Bruta'!AC$27,0)</f>
        <v>0</v>
      </c>
      <c r="AE46" s="146">
        <f>IF(AND(OutSobreRec='Z 1 - Listas'!$J$5,'A4 - Previsão de Receita Bruta'!AD$27&gt;$A46,'A4 - Previsão de Receita Bruta'!AD$27&lt;=$B46),$C46*'A4 - Previsão de Receita Bruta'!AD$27,0)</f>
        <v>0</v>
      </c>
      <c r="AF46" s="146">
        <f>IF(AND(OutSobreRec='Z 1 - Listas'!$J$5,'A4 - Previsão de Receita Bruta'!AE$27&gt;$A46,'A4 - Previsão de Receita Bruta'!AE$27&lt;=$B46),$C46*'A4 - Previsão de Receita Bruta'!AE$27,0)</f>
        <v>0</v>
      </c>
      <c r="AG46" s="146">
        <f>IF(AND(OutSobreRec='Z 1 - Listas'!$J$5,'A4 - Previsão de Receita Bruta'!AF$27&gt;$A46,'A4 - Previsão de Receita Bruta'!AF$27&lt;=$B46),$C46*'A4 - Previsão de Receita Bruta'!AF$27,0)</f>
        <v>0</v>
      </c>
    </row>
    <row r="47" spans="1:33" ht="15.75" hidden="1" customHeight="1">
      <c r="A47" s="162" t="str">
        <f t="shared" si="3"/>
        <v/>
      </c>
      <c r="B47" s="163"/>
      <c r="C47" s="164"/>
      <c r="D47" s="146">
        <f>IF(AND(OutSobreRec='Z 1 - Listas'!$J$5,'A4 - Previsão de Receita Bruta'!C$27&gt;$A47,'A4 - Previsão de Receita Bruta'!C$27&lt;=$B47),$C47*'A4 - Previsão de Receita Bruta'!C$27,0)</f>
        <v>0</v>
      </c>
      <c r="E47" s="146">
        <f>IF(AND(OutSobreRec='Z 1 - Listas'!$J$5,'A4 - Previsão de Receita Bruta'!D$27&gt;$A47,'A4 - Previsão de Receita Bruta'!D$27&lt;=$B47),$C47*'A4 - Previsão de Receita Bruta'!D$27,0)</f>
        <v>0</v>
      </c>
      <c r="F47" s="146">
        <f>IF(AND(OutSobreRec='Z 1 - Listas'!$J$5,'A4 - Previsão de Receita Bruta'!E$27&gt;$A47,'A4 - Previsão de Receita Bruta'!E$27&lt;=$B47),$C47*'A4 - Previsão de Receita Bruta'!E$27,0)</f>
        <v>0</v>
      </c>
      <c r="G47" s="146">
        <f>IF(AND(OutSobreRec='Z 1 - Listas'!$J$5,'A4 - Previsão de Receita Bruta'!F$27&gt;$A47,'A4 - Previsão de Receita Bruta'!F$27&lt;=$B47),$C47*'A4 - Previsão de Receita Bruta'!F$27,0)</f>
        <v>0</v>
      </c>
      <c r="H47" s="146">
        <f>IF(AND(OutSobreRec='Z 1 - Listas'!$J$5,'A4 - Previsão de Receita Bruta'!G$27&gt;$A47,'A4 - Previsão de Receita Bruta'!G$27&lt;=$B47),$C47*'A4 - Previsão de Receita Bruta'!G$27,0)</f>
        <v>0</v>
      </c>
      <c r="I47" s="146">
        <f>IF(AND(OutSobreRec='Z 1 - Listas'!$J$5,'A4 - Previsão de Receita Bruta'!H$27&gt;$A47,'A4 - Previsão de Receita Bruta'!H$27&lt;=$B47),$C47*'A4 - Previsão de Receita Bruta'!H$27,0)</f>
        <v>0</v>
      </c>
      <c r="J47" s="146">
        <f>IF(AND(OutSobreRec='Z 1 - Listas'!$J$5,'A4 - Previsão de Receita Bruta'!I$27&gt;$A47,'A4 - Previsão de Receita Bruta'!I$27&lt;=$B47),$C47*'A4 - Previsão de Receita Bruta'!I$27,0)</f>
        <v>0</v>
      </c>
      <c r="K47" s="146">
        <f>IF(AND(OutSobreRec='Z 1 - Listas'!$J$5,'A4 - Previsão de Receita Bruta'!J$27&gt;$A47,'A4 - Previsão de Receita Bruta'!J$27&lt;=$B47),$C47*'A4 - Previsão de Receita Bruta'!J$27,0)</f>
        <v>0</v>
      </c>
      <c r="L47" s="146">
        <f>IF(AND(OutSobreRec='Z 1 - Listas'!$J$5,'A4 - Previsão de Receita Bruta'!K$27&gt;$A47,'A4 - Previsão de Receita Bruta'!K$27&lt;=$B47),$C47*'A4 - Previsão de Receita Bruta'!K$27,0)</f>
        <v>0</v>
      </c>
      <c r="M47" s="146">
        <f>IF(AND(OutSobreRec='Z 1 - Listas'!$J$5,'A4 - Previsão de Receita Bruta'!L$27&gt;$A47,'A4 - Previsão de Receita Bruta'!L$27&lt;=$B47),$C47*'A4 - Previsão de Receita Bruta'!L$27,0)</f>
        <v>0</v>
      </c>
      <c r="N47" s="146">
        <f>IF(AND(OutSobreRec='Z 1 - Listas'!$J$5,'A4 - Previsão de Receita Bruta'!M$27&gt;$A47,'A4 - Previsão de Receita Bruta'!M$27&lt;=$B47),$C47*'A4 - Previsão de Receita Bruta'!M$27,0)</f>
        <v>0</v>
      </c>
      <c r="O47" s="146">
        <f>IF(AND(OutSobreRec='Z 1 - Listas'!$J$5,'A4 - Previsão de Receita Bruta'!N$27&gt;$A47,'A4 - Previsão de Receita Bruta'!N$27&lt;=$B47),$C47*'A4 - Previsão de Receita Bruta'!N$27,0)</f>
        <v>0</v>
      </c>
      <c r="P47" s="146">
        <f>IF(AND(OutSobreRec='Z 1 - Listas'!$J$5,'A4 - Previsão de Receita Bruta'!O$27&gt;$A47,'A4 - Previsão de Receita Bruta'!O$27&lt;=$B47),$C47*'A4 - Previsão de Receita Bruta'!O$27,0)</f>
        <v>0</v>
      </c>
      <c r="Q47" s="146">
        <f>IF(AND(OutSobreRec='Z 1 - Listas'!$J$5,'A4 - Previsão de Receita Bruta'!P$27&gt;$A47,'A4 - Previsão de Receita Bruta'!P$27&lt;=$B47),$C47*'A4 - Previsão de Receita Bruta'!P$27,0)</f>
        <v>0</v>
      </c>
      <c r="R47" s="146">
        <f>IF(AND(OutSobreRec='Z 1 - Listas'!$J$5,'A4 - Previsão de Receita Bruta'!Q$27&gt;$A47,'A4 - Previsão de Receita Bruta'!Q$27&lt;=$B47),$C47*'A4 - Previsão de Receita Bruta'!Q$27,0)</f>
        <v>0</v>
      </c>
      <c r="S47" s="146">
        <f>IF(AND(OutSobreRec='Z 1 - Listas'!$J$5,'A4 - Previsão de Receita Bruta'!R$27&gt;$A47,'A4 - Previsão de Receita Bruta'!R$27&lt;=$B47),$C47*'A4 - Previsão de Receita Bruta'!R$27,0)</f>
        <v>0</v>
      </c>
      <c r="T47" s="146">
        <f>IF(AND(OutSobreRec='Z 1 - Listas'!$J$5,'A4 - Previsão de Receita Bruta'!S$27&gt;$A47,'A4 - Previsão de Receita Bruta'!S$27&lt;=$B47),$C47*'A4 - Previsão de Receita Bruta'!S$27,0)</f>
        <v>0</v>
      </c>
      <c r="U47" s="146">
        <f>IF(AND(OutSobreRec='Z 1 - Listas'!$J$5,'A4 - Previsão de Receita Bruta'!T$27&gt;$A47,'A4 - Previsão de Receita Bruta'!T$27&lt;=$B47),$C47*'A4 - Previsão de Receita Bruta'!T$27,0)</f>
        <v>0</v>
      </c>
      <c r="V47" s="146">
        <f>IF(AND(OutSobreRec='Z 1 - Listas'!$J$5,'A4 - Previsão de Receita Bruta'!U$27&gt;$A47,'A4 - Previsão de Receita Bruta'!U$27&lt;=$B47),$C47*'A4 - Previsão de Receita Bruta'!U$27,0)</f>
        <v>0</v>
      </c>
      <c r="W47" s="146">
        <f>IF(AND(OutSobreRec='Z 1 - Listas'!$J$5,'A4 - Previsão de Receita Bruta'!V$27&gt;$A47,'A4 - Previsão de Receita Bruta'!V$27&lt;=$B47),$C47*'A4 - Previsão de Receita Bruta'!V$27,0)</f>
        <v>0</v>
      </c>
      <c r="X47" s="146">
        <f>IF(AND(OutSobreRec='Z 1 - Listas'!$J$5,'A4 - Previsão de Receita Bruta'!W$27&gt;$A47,'A4 - Previsão de Receita Bruta'!W$27&lt;=$B47),$C47*'A4 - Previsão de Receita Bruta'!W$27,0)</f>
        <v>0</v>
      </c>
      <c r="Y47" s="146">
        <f>IF(AND(OutSobreRec='Z 1 - Listas'!$J$5,'A4 - Previsão de Receita Bruta'!X$27&gt;$A47,'A4 - Previsão de Receita Bruta'!X$27&lt;=$B47),$C47*'A4 - Previsão de Receita Bruta'!X$27,0)</f>
        <v>0</v>
      </c>
      <c r="Z47" s="146">
        <f>IF(AND(OutSobreRec='Z 1 - Listas'!$J$5,'A4 - Previsão de Receita Bruta'!Y$27&gt;$A47,'A4 - Previsão de Receita Bruta'!Y$27&lt;=$B47),$C47*'A4 - Previsão de Receita Bruta'!Y$27,0)</f>
        <v>0</v>
      </c>
      <c r="AA47" s="146">
        <f>IF(AND(OutSobreRec='Z 1 - Listas'!$J$5,'A4 - Previsão de Receita Bruta'!Z$27&gt;$A47,'A4 - Previsão de Receita Bruta'!Z$27&lt;=$B47),$C47*'A4 - Previsão de Receita Bruta'!Z$27,0)</f>
        <v>0</v>
      </c>
      <c r="AB47" s="146">
        <f>IF(AND(OutSobreRec='Z 1 - Listas'!$J$5,'A4 - Previsão de Receita Bruta'!AA$27&gt;$A47,'A4 - Previsão de Receita Bruta'!AA$27&lt;=$B47),$C47*'A4 - Previsão de Receita Bruta'!AA$27,0)</f>
        <v>0</v>
      </c>
      <c r="AC47" s="146">
        <f>IF(AND(OutSobreRec='Z 1 - Listas'!$J$5,'A4 - Previsão de Receita Bruta'!AB$27&gt;$A47,'A4 - Previsão de Receita Bruta'!AB$27&lt;=$B47),$C47*'A4 - Previsão de Receita Bruta'!AB$27,0)</f>
        <v>0</v>
      </c>
      <c r="AD47" s="146">
        <f>IF(AND(OutSobreRec='Z 1 - Listas'!$J$5,'A4 - Previsão de Receita Bruta'!AC$27&gt;$A47,'A4 - Previsão de Receita Bruta'!AC$27&lt;=$B47),$C47*'A4 - Previsão de Receita Bruta'!AC$27,0)</f>
        <v>0</v>
      </c>
      <c r="AE47" s="146">
        <f>IF(AND(OutSobreRec='Z 1 - Listas'!$J$5,'A4 - Previsão de Receita Bruta'!AD$27&gt;$A47,'A4 - Previsão de Receita Bruta'!AD$27&lt;=$B47),$C47*'A4 - Previsão de Receita Bruta'!AD$27,0)</f>
        <v>0</v>
      </c>
      <c r="AF47" s="146">
        <f>IF(AND(OutSobreRec='Z 1 - Listas'!$J$5,'A4 - Previsão de Receita Bruta'!AE$27&gt;$A47,'A4 - Previsão de Receita Bruta'!AE$27&lt;=$B47),$C47*'A4 - Previsão de Receita Bruta'!AE$27,0)</f>
        <v>0</v>
      </c>
      <c r="AG47" s="146">
        <f>IF(AND(OutSobreRec='Z 1 - Listas'!$J$5,'A4 - Previsão de Receita Bruta'!AF$27&gt;$A47,'A4 - Previsão de Receita Bruta'!AF$27&lt;=$B47),$C47*'A4 - Previsão de Receita Bruta'!AF$27,0)</f>
        <v>0</v>
      </c>
    </row>
    <row r="48" spans="1:33" ht="15.75" hidden="1" customHeight="1">
      <c r="A48" s="162" t="str">
        <f t="shared" si="3"/>
        <v/>
      </c>
      <c r="B48" s="165"/>
      <c r="C48" s="166"/>
      <c r="D48" s="146">
        <f>IF(AND(OutSobreRec='Z 1 - Listas'!$J$5,'A4 - Previsão de Receita Bruta'!C$27&gt;$A48,'A4 - Previsão de Receita Bruta'!C$27&lt;=$B48),$C48*'A4 - Previsão de Receita Bruta'!C$27,0)</f>
        <v>0</v>
      </c>
      <c r="E48" s="146">
        <f>IF(AND(OutSobreRec='Z 1 - Listas'!$J$5,'A4 - Previsão de Receita Bruta'!D$27&gt;$A48,'A4 - Previsão de Receita Bruta'!D$27&lt;=$B48),$C48*'A4 - Previsão de Receita Bruta'!D$27,0)</f>
        <v>0</v>
      </c>
      <c r="F48" s="146">
        <f>IF(AND(OutSobreRec='Z 1 - Listas'!$J$5,'A4 - Previsão de Receita Bruta'!E$27&gt;$A48,'A4 - Previsão de Receita Bruta'!E$27&lt;=$B48),$C48*'A4 - Previsão de Receita Bruta'!E$27,0)</f>
        <v>0</v>
      </c>
      <c r="G48" s="146">
        <f>IF(AND(OutSobreRec='Z 1 - Listas'!$J$5,'A4 - Previsão de Receita Bruta'!F$27&gt;$A48,'A4 - Previsão de Receita Bruta'!F$27&lt;=$B48),$C48*'A4 - Previsão de Receita Bruta'!F$27,0)</f>
        <v>0</v>
      </c>
      <c r="H48" s="146">
        <f>IF(AND(OutSobreRec='Z 1 - Listas'!$J$5,'A4 - Previsão de Receita Bruta'!G$27&gt;$A48,'A4 - Previsão de Receita Bruta'!G$27&lt;=$B48),$C48*'A4 - Previsão de Receita Bruta'!G$27,0)</f>
        <v>0</v>
      </c>
      <c r="I48" s="146">
        <f>IF(AND(OutSobreRec='Z 1 - Listas'!$J$5,'A4 - Previsão de Receita Bruta'!H$27&gt;$A48,'A4 - Previsão de Receita Bruta'!H$27&lt;=$B48),$C48*'A4 - Previsão de Receita Bruta'!H$27,0)</f>
        <v>0</v>
      </c>
      <c r="J48" s="146">
        <f>IF(AND(OutSobreRec='Z 1 - Listas'!$J$5,'A4 - Previsão de Receita Bruta'!I$27&gt;$A48,'A4 - Previsão de Receita Bruta'!I$27&lt;=$B48),$C48*'A4 - Previsão de Receita Bruta'!I$27,0)</f>
        <v>0</v>
      </c>
      <c r="K48" s="146">
        <f>IF(AND(OutSobreRec='Z 1 - Listas'!$J$5,'A4 - Previsão de Receita Bruta'!J$27&gt;$A48,'A4 - Previsão de Receita Bruta'!J$27&lt;=$B48),$C48*'A4 - Previsão de Receita Bruta'!J$27,0)</f>
        <v>0</v>
      </c>
      <c r="L48" s="146">
        <f>IF(AND(OutSobreRec='Z 1 - Listas'!$J$5,'A4 - Previsão de Receita Bruta'!K$27&gt;$A48,'A4 - Previsão de Receita Bruta'!K$27&lt;=$B48),$C48*'A4 - Previsão de Receita Bruta'!K$27,0)</f>
        <v>0</v>
      </c>
      <c r="M48" s="146">
        <f>IF(AND(OutSobreRec='Z 1 - Listas'!$J$5,'A4 - Previsão de Receita Bruta'!L$27&gt;$A48,'A4 - Previsão de Receita Bruta'!L$27&lt;=$B48),$C48*'A4 - Previsão de Receita Bruta'!L$27,0)</f>
        <v>0</v>
      </c>
      <c r="N48" s="146">
        <f>IF(AND(OutSobreRec='Z 1 - Listas'!$J$5,'A4 - Previsão de Receita Bruta'!M$27&gt;$A48,'A4 - Previsão de Receita Bruta'!M$27&lt;=$B48),$C48*'A4 - Previsão de Receita Bruta'!M$27,0)</f>
        <v>0</v>
      </c>
      <c r="O48" s="146">
        <f>IF(AND(OutSobreRec='Z 1 - Listas'!$J$5,'A4 - Previsão de Receita Bruta'!N$27&gt;$A48,'A4 - Previsão de Receita Bruta'!N$27&lt;=$B48),$C48*'A4 - Previsão de Receita Bruta'!N$27,0)</f>
        <v>0</v>
      </c>
      <c r="P48" s="146">
        <f>IF(AND(OutSobreRec='Z 1 - Listas'!$J$5,'A4 - Previsão de Receita Bruta'!O$27&gt;$A48,'A4 - Previsão de Receita Bruta'!O$27&lt;=$B48),$C48*'A4 - Previsão de Receita Bruta'!O$27,0)</f>
        <v>0</v>
      </c>
      <c r="Q48" s="146">
        <f>IF(AND(OutSobreRec='Z 1 - Listas'!$J$5,'A4 - Previsão de Receita Bruta'!P$27&gt;$A48,'A4 - Previsão de Receita Bruta'!P$27&lt;=$B48),$C48*'A4 - Previsão de Receita Bruta'!P$27,0)</f>
        <v>0</v>
      </c>
      <c r="R48" s="146">
        <f>IF(AND(OutSobreRec='Z 1 - Listas'!$J$5,'A4 - Previsão de Receita Bruta'!Q$27&gt;$A48,'A4 - Previsão de Receita Bruta'!Q$27&lt;=$B48),$C48*'A4 - Previsão de Receita Bruta'!Q$27,0)</f>
        <v>0</v>
      </c>
      <c r="S48" s="146">
        <f>IF(AND(OutSobreRec='Z 1 - Listas'!$J$5,'A4 - Previsão de Receita Bruta'!R$27&gt;$A48,'A4 - Previsão de Receita Bruta'!R$27&lt;=$B48),$C48*'A4 - Previsão de Receita Bruta'!R$27,0)</f>
        <v>0</v>
      </c>
      <c r="T48" s="146">
        <f>IF(AND(OutSobreRec='Z 1 - Listas'!$J$5,'A4 - Previsão de Receita Bruta'!S$27&gt;$A48,'A4 - Previsão de Receita Bruta'!S$27&lt;=$B48),$C48*'A4 - Previsão de Receita Bruta'!S$27,0)</f>
        <v>0</v>
      </c>
      <c r="U48" s="146">
        <f>IF(AND(OutSobreRec='Z 1 - Listas'!$J$5,'A4 - Previsão de Receita Bruta'!T$27&gt;$A48,'A4 - Previsão de Receita Bruta'!T$27&lt;=$B48),$C48*'A4 - Previsão de Receita Bruta'!T$27,0)</f>
        <v>0</v>
      </c>
      <c r="V48" s="146">
        <f>IF(AND(OutSobreRec='Z 1 - Listas'!$J$5,'A4 - Previsão de Receita Bruta'!U$27&gt;$A48,'A4 - Previsão de Receita Bruta'!U$27&lt;=$B48),$C48*'A4 - Previsão de Receita Bruta'!U$27,0)</f>
        <v>0</v>
      </c>
      <c r="W48" s="146">
        <f>IF(AND(OutSobreRec='Z 1 - Listas'!$J$5,'A4 - Previsão de Receita Bruta'!V$27&gt;$A48,'A4 - Previsão de Receita Bruta'!V$27&lt;=$B48),$C48*'A4 - Previsão de Receita Bruta'!V$27,0)</f>
        <v>0</v>
      </c>
      <c r="X48" s="146">
        <f>IF(AND(OutSobreRec='Z 1 - Listas'!$J$5,'A4 - Previsão de Receita Bruta'!W$27&gt;$A48,'A4 - Previsão de Receita Bruta'!W$27&lt;=$B48),$C48*'A4 - Previsão de Receita Bruta'!W$27,0)</f>
        <v>0</v>
      </c>
      <c r="Y48" s="146">
        <f>IF(AND(OutSobreRec='Z 1 - Listas'!$J$5,'A4 - Previsão de Receita Bruta'!X$27&gt;$A48,'A4 - Previsão de Receita Bruta'!X$27&lt;=$B48),$C48*'A4 - Previsão de Receita Bruta'!X$27,0)</f>
        <v>0</v>
      </c>
      <c r="Z48" s="146">
        <f>IF(AND(OutSobreRec='Z 1 - Listas'!$J$5,'A4 - Previsão de Receita Bruta'!Y$27&gt;$A48,'A4 - Previsão de Receita Bruta'!Y$27&lt;=$B48),$C48*'A4 - Previsão de Receita Bruta'!Y$27,0)</f>
        <v>0</v>
      </c>
      <c r="AA48" s="146">
        <f>IF(AND(OutSobreRec='Z 1 - Listas'!$J$5,'A4 - Previsão de Receita Bruta'!Z$27&gt;$A48,'A4 - Previsão de Receita Bruta'!Z$27&lt;=$B48),$C48*'A4 - Previsão de Receita Bruta'!Z$27,0)</f>
        <v>0</v>
      </c>
      <c r="AB48" s="146">
        <f>IF(AND(OutSobreRec='Z 1 - Listas'!$J$5,'A4 - Previsão de Receita Bruta'!AA$27&gt;$A48,'A4 - Previsão de Receita Bruta'!AA$27&lt;=$B48),$C48*'A4 - Previsão de Receita Bruta'!AA$27,0)</f>
        <v>0</v>
      </c>
      <c r="AC48" s="146">
        <f>IF(AND(OutSobreRec='Z 1 - Listas'!$J$5,'A4 - Previsão de Receita Bruta'!AB$27&gt;$A48,'A4 - Previsão de Receita Bruta'!AB$27&lt;=$B48),$C48*'A4 - Previsão de Receita Bruta'!AB$27,0)</f>
        <v>0</v>
      </c>
      <c r="AD48" s="146">
        <f>IF(AND(OutSobreRec='Z 1 - Listas'!$J$5,'A4 - Previsão de Receita Bruta'!AC$27&gt;$A48,'A4 - Previsão de Receita Bruta'!AC$27&lt;=$B48),$C48*'A4 - Previsão de Receita Bruta'!AC$27,0)</f>
        <v>0</v>
      </c>
      <c r="AE48" s="146">
        <f>IF(AND(OutSobreRec='Z 1 - Listas'!$J$5,'A4 - Previsão de Receita Bruta'!AD$27&gt;$A48,'A4 - Previsão de Receita Bruta'!AD$27&lt;=$B48),$C48*'A4 - Previsão de Receita Bruta'!AD$27,0)</f>
        <v>0</v>
      </c>
      <c r="AF48" s="146">
        <f>IF(AND(OutSobreRec='Z 1 - Listas'!$J$5,'A4 - Previsão de Receita Bruta'!AE$27&gt;$A48,'A4 - Previsão de Receita Bruta'!AE$27&lt;=$B48),$C48*'A4 - Previsão de Receita Bruta'!AE$27,0)</f>
        <v>0</v>
      </c>
      <c r="AG48" s="146">
        <f>IF(AND(OutSobreRec='Z 1 - Listas'!$J$5,'A4 - Previsão de Receita Bruta'!AF$27&gt;$A48,'A4 - Previsão de Receita Bruta'!AF$27&lt;=$B48),$C48*'A4 - Previsão de Receita Bruta'!AF$27,0)</f>
        <v>0</v>
      </c>
    </row>
    <row r="49" spans="1:33" ht="30.75" hidden="1" customHeight="1">
      <c r="A49" s="780" t="s">
        <v>469</v>
      </c>
      <c r="B49" s="823"/>
      <c r="C49" s="824"/>
      <c r="D49" s="160">
        <f t="shared" ref="D49:AG49" si="4">SUM(D44:D48)</f>
        <v>0</v>
      </c>
      <c r="E49" s="160">
        <f t="shared" si="4"/>
        <v>0</v>
      </c>
      <c r="F49" s="160">
        <f t="shared" si="4"/>
        <v>0</v>
      </c>
      <c r="G49" s="160">
        <f t="shared" si="4"/>
        <v>0</v>
      </c>
      <c r="H49" s="160">
        <f t="shared" si="4"/>
        <v>0</v>
      </c>
      <c r="I49" s="160">
        <f t="shared" si="4"/>
        <v>0</v>
      </c>
      <c r="J49" s="160">
        <f t="shared" si="4"/>
        <v>0</v>
      </c>
      <c r="K49" s="160">
        <f t="shared" si="4"/>
        <v>0</v>
      </c>
      <c r="L49" s="160">
        <f t="shared" si="4"/>
        <v>0</v>
      </c>
      <c r="M49" s="160">
        <f t="shared" si="4"/>
        <v>0</v>
      </c>
      <c r="N49" s="160">
        <f t="shared" si="4"/>
        <v>0</v>
      </c>
      <c r="O49" s="160">
        <f t="shared" si="4"/>
        <v>0</v>
      </c>
      <c r="P49" s="160">
        <f t="shared" si="4"/>
        <v>0</v>
      </c>
      <c r="Q49" s="160">
        <f t="shared" si="4"/>
        <v>0</v>
      </c>
      <c r="R49" s="160">
        <f t="shared" si="4"/>
        <v>0</v>
      </c>
      <c r="S49" s="160">
        <f t="shared" si="4"/>
        <v>0</v>
      </c>
      <c r="T49" s="160">
        <f t="shared" si="4"/>
        <v>0</v>
      </c>
      <c r="U49" s="160">
        <f t="shared" si="4"/>
        <v>0</v>
      </c>
      <c r="V49" s="160">
        <f t="shared" si="4"/>
        <v>0</v>
      </c>
      <c r="W49" s="160">
        <f t="shared" si="4"/>
        <v>0</v>
      </c>
      <c r="X49" s="160">
        <f t="shared" si="4"/>
        <v>0</v>
      </c>
      <c r="Y49" s="160">
        <f t="shared" si="4"/>
        <v>0</v>
      </c>
      <c r="Z49" s="160">
        <f t="shared" si="4"/>
        <v>0</v>
      </c>
      <c r="AA49" s="160">
        <f t="shared" si="4"/>
        <v>0</v>
      </c>
      <c r="AB49" s="160">
        <f t="shared" si="4"/>
        <v>0</v>
      </c>
      <c r="AC49" s="160">
        <f t="shared" si="4"/>
        <v>0</v>
      </c>
      <c r="AD49" s="160">
        <f t="shared" si="4"/>
        <v>0</v>
      </c>
      <c r="AE49" s="160">
        <f t="shared" si="4"/>
        <v>0</v>
      </c>
      <c r="AF49" s="160">
        <f t="shared" si="4"/>
        <v>0</v>
      </c>
      <c r="AG49" s="160">
        <f t="shared" si="4"/>
        <v>0</v>
      </c>
    </row>
    <row r="50" spans="1:33" ht="15.75" hidden="1" customHeight="1">
      <c r="A50" s="594"/>
      <c r="B50" s="594"/>
      <c r="C50" s="594"/>
      <c r="D50" s="594"/>
      <c r="E50" s="594"/>
      <c r="F50" s="594"/>
      <c r="G50" s="594"/>
      <c r="H50" s="594"/>
      <c r="I50" s="594"/>
      <c r="J50" s="594"/>
      <c r="K50" s="594"/>
      <c r="L50" s="594"/>
      <c r="M50" s="594"/>
      <c r="N50" s="594"/>
      <c r="O50" s="594"/>
      <c r="P50" s="594"/>
      <c r="Q50" s="594"/>
      <c r="R50" s="594"/>
      <c r="S50" s="594"/>
      <c r="T50" s="594"/>
      <c r="U50" s="594"/>
      <c r="V50" s="594"/>
      <c r="W50" s="594"/>
      <c r="X50" s="594"/>
      <c r="Y50" s="594"/>
      <c r="Z50" s="594"/>
      <c r="AA50" s="594"/>
      <c r="AB50" s="594"/>
      <c r="AC50" s="594"/>
      <c r="AD50" s="594"/>
      <c r="AE50" s="594"/>
      <c r="AF50" s="594"/>
      <c r="AG50" s="594"/>
    </row>
    <row r="51" spans="1:33" ht="15.75" hidden="1" customHeight="1">
      <c r="A51" s="592" t="s">
        <v>470</v>
      </c>
      <c r="B51" s="594"/>
      <c r="C51" s="594"/>
      <c r="D51" s="594"/>
      <c r="E51" s="594"/>
      <c r="F51" s="594"/>
      <c r="G51" s="594"/>
      <c r="H51" s="594"/>
      <c r="I51" s="594"/>
      <c r="J51" s="594"/>
      <c r="K51" s="594"/>
      <c r="L51" s="594"/>
      <c r="M51" s="594"/>
      <c r="N51" s="594"/>
      <c r="O51" s="594"/>
      <c r="P51" s="594"/>
      <c r="Q51" s="594"/>
      <c r="R51" s="594"/>
      <c r="S51" s="594"/>
      <c r="T51" s="594"/>
      <c r="U51" s="594"/>
      <c r="V51" s="594"/>
      <c r="W51" s="594"/>
      <c r="X51" s="594"/>
      <c r="Y51" s="594"/>
      <c r="Z51" s="594"/>
      <c r="AA51" s="594"/>
      <c r="AB51" s="594"/>
      <c r="AC51" s="594"/>
      <c r="AD51" s="594"/>
      <c r="AE51" s="594"/>
      <c r="AF51" s="594"/>
      <c r="AG51" s="594"/>
    </row>
    <row r="52" spans="1:33" ht="28.5" hidden="1" customHeight="1">
      <c r="A52" s="147" t="s">
        <v>467</v>
      </c>
      <c r="B52" s="147" t="s">
        <v>468</v>
      </c>
      <c r="C52" s="147" t="s">
        <v>457</v>
      </c>
      <c r="D52" s="147">
        <v>1</v>
      </c>
      <c r="E52" s="147">
        <v>2</v>
      </c>
      <c r="F52" s="147">
        <v>3</v>
      </c>
      <c r="G52" s="147">
        <v>4</v>
      </c>
      <c r="H52" s="147">
        <v>5</v>
      </c>
      <c r="I52" s="147">
        <v>6</v>
      </c>
      <c r="J52" s="147">
        <v>7</v>
      </c>
      <c r="K52" s="147">
        <v>8</v>
      </c>
      <c r="L52" s="147">
        <v>9</v>
      </c>
      <c r="M52" s="147">
        <v>10</v>
      </c>
      <c r="N52" s="147">
        <v>11</v>
      </c>
      <c r="O52" s="147">
        <v>12</v>
      </c>
      <c r="P52" s="147">
        <v>13</v>
      </c>
      <c r="Q52" s="147">
        <v>14</v>
      </c>
      <c r="R52" s="147">
        <v>15</v>
      </c>
      <c r="S52" s="147">
        <v>16</v>
      </c>
      <c r="T52" s="147">
        <v>17</v>
      </c>
      <c r="U52" s="147">
        <v>18</v>
      </c>
      <c r="V52" s="147">
        <v>19</v>
      </c>
      <c r="W52" s="147">
        <v>20</v>
      </c>
      <c r="X52" s="147">
        <v>21</v>
      </c>
      <c r="Y52" s="147">
        <v>22</v>
      </c>
      <c r="Z52" s="147">
        <v>23</v>
      </c>
      <c r="AA52" s="147">
        <v>24</v>
      </c>
      <c r="AB52" s="147">
        <v>25</v>
      </c>
      <c r="AC52" s="147">
        <v>26</v>
      </c>
      <c r="AD52" s="147">
        <v>27</v>
      </c>
      <c r="AE52" s="147">
        <v>28</v>
      </c>
      <c r="AF52" s="147">
        <v>29</v>
      </c>
      <c r="AG52" s="147">
        <v>30</v>
      </c>
    </row>
    <row r="53" spans="1:33" ht="15.75" hidden="1" customHeight="1">
      <c r="A53" s="148">
        <v>1</v>
      </c>
      <c r="B53" s="148">
        <v>60000</v>
      </c>
      <c r="C53" s="161">
        <v>0</v>
      </c>
      <c r="D53" s="146">
        <f>IF(AND(OutSobreRec='Z 1 - Listas'!$J$6,'A1 - Serviços e demanda'!B$70&gt;=$A53,'A1 - Serviços e demanda'!B$70&lt;=$B53),$C53*'A4 - Previsão de Receita Bruta'!C$27,0)</f>
        <v>0</v>
      </c>
      <c r="E53" s="146">
        <f>IF(AND(OutSobreRec='Z 1 - Listas'!$J$6,'A1 - Serviços e demanda'!C$70&gt;=$A53,'A1 - Serviços e demanda'!C$70&lt;=$B53),$C53*'A4 - Previsão de Receita Bruta'!D$27,0)</f>
        <v>0</v>
      </c>
      <c r="F53" s="146">
        <f>IF(AND(OutSobreRec='Z 1 - Listas'!$J$6,'A1 - Serviços e demanda'!D$70&gt;=$A53,'A1 - Serviços e demanda'!D$70&lt;=$B53),$C53*'A4 - Previsão de Receita Bruta'!E$27,0)</f>
        <v>0</v>
      </c>
      <c r="G53" s="146">
        <f>IF(AND(OutSobreRec='Z 1 - Listas'!$J$6,'A1 - Serviços e demanda'!E$70&gt;=$A53,'A1 - Serviços e demanda'!E$70&lt;=$B53),$C53*'A4 - Previsão de Receita Bruta'!F$27,0)</f>
        <v>0</v>
      </c>
      <c r="H53" s="146">
        <f>IF(AND(OutSobreRec='Z 1 - Listas'!$J$6,'A1 - Serviços e demanda'!F$70&gt;=$A53,'A1 - Serviços e demanda'!F$70&lt;=$B53),$C53*'A4 - Previsão de Receita Bruta'!G$27,0)</f>
        <v>0</v>
      </c>
      <c r="I53" s="146">
        <f>IF(AND(OutSobreRec='Z 1 - Listas'!$J$6,'A1 - Serviços e demanda'!G$70&gt;=$A53,'A1 - Serviços e demanda'!G$70&lt;=$B53),$C53*'A4 - Previsão de Receita Bruta'!H$27,0)</f>
        <v>0</v>
      </c>
      <c r="J53" s="146">
        <f>IF(AND(OutSobreRec='Z 1 - Listas'!$J$6,'A1 - Serviços e demanda'!H$70&gt;=$A53,'A1 - Serviços e demanda'!H$70&lt;=$B53),$C53*'A4 - Previsão de Receita Bruta'!I$27,0)</f>
        <v>0</v>
      </c>
      <c r="K53" s="146">
        <f>IF(AND(OutSobreRec='Z 1 - Listas'!$J$6,'A1 - Serviços e demanda'!I$70&gt;=$A53,'A1 - Serviços e demanda'!I$70&lt;=$B53),$C53*'A4 - Previsão de Receita Bruta'!J$27,0)</f>
        <v>0</v>
      </c>
      <c r="L53" s="146">
        <f>IF(AND(OutSobreRec='Z 1 - Listas'!$J$6,'A1 - Serviços e demanda'!J$70&gt;=$A53,'A1 - Serviços e demanda'!J$70&lt;=$B53),$C53*'A4 - Previsão de Receita Bruta'!K$27,0)</f>
        <v>0</v>
      </c>
      <c r="M53" s="146">
        <f>IF(AND(OutSobreRec='Z 1 - Listas'!$J$6,'A1 - Serviços e demanda'!K$70&gt;=$A53,'A1 - Serviços e demanda'!K$70&lt;=$B53),$C53*'A4 - Previsão de Receita Bruta'!L$27,0)</f>
        <v>0</v>
      </c>
      <c r="N53" s="146">
        <f>IF(AND(OutSobreRec='Z 1 - Listas'!$J$6,'A1 - Serviços e demanda'!L$70&gt;=$A53,'A1 - Serviços e demanda'!L$70&lt;=$B53),$C53*'A4 - Previsão de Receita Bruta'!M$27,0)</f>
        <v>0</v>
      </c>
      <c r="O53" s="146">
        <f>IF(AND(OutSobreRec='Z 1 - Listas'!$J$6,'A1 - Serviços e demanda'!M$70&gt;=$A53,'A1 - Serviços e demanda'!M$70&lt;=$B53),$C53*'A4 - Previsão de Receita Bruta'!N$27,0)</f>
        <v>0</v>
      </c>
      <c r="P53" s="146">
        <f>IF(AND(OutSobreRec='Z 1 - Listas'!$J$6,'A1 - Serviços e demanda'!N$70&gt;=$A53,'A1 - Serviços e demanda'!N$70&lt;=$B53),$C53*'A4 - Previsão de Receita Bruta'!O$27,0)</f>
        <v>0</v>
      </c>
      <c r="Q53" s="146">
        <f>IF(AND(OutSobreRec='Z 1 - Listas'!$J$6,'A1 - Serviços e demanda'!O$70&gt;=$A53,'A1 - Serviços e demanda'!O$70&lt;=$B53),$C53*'A4 - Previsão de Receita Bruta'!P$27,0)</f>
        <v>0</v>
      </c>
      <c r="R53" s="146">
        <f>IF(AND(OutSobreRec='Z 1 - Listas'!$J$6,'A1 - Serviços e demanda'!P$70&gt;=$A53,'A1 - Serviços e demanda'!P$70&lt;=$B53),$C53*'A4 - Previsão de Receita Bruta'!Q$27,0)</f>
        <v>0</v>
      </c>
      <c r="S53" s="146">
        <f>IF(AND(OutSobreRec='Z 1 - Listas'!$J$6,'A1 - Serviços e demanda'!Q$70&gt;=$A53,'A1 - Serviços e demanda'!Q$70&lt;=$B53),$C53*'A4 - Previsão de Receita Bruta'!R$27,0)</f>
        <v>0</v>
      </c>
      <c r="T53" s="146">
        <f>IF(AND(OutSobreRec='Z 1 - Listas'!$J$6,'A1 - Serviços e demanda'!R$70&gt;=$A53,'A1 - Serviços e demanda'!R$70&lt;=$B53),$C53*'A4 - Previsão de Receita Bruta'!S$27,0)</f>
        <v>0</v>
      </c>
      <c r="U53" s="146">
        <f>IF(AND(OutSobreRec='Z 1 - Listas'!$J$6,'A1 - Serviços e demanda'!S$70&gt;=$A53,'A1 - Serviços e demanda'!S$70&lt;=$B53),$C53*'A4 - Previsão de Receita Bruta'!T$27,0)</f>
        <v>0</v>
      </c>
      <c r="V53" s="146">
        <f>IF(AND(OutSobreRec='Z 1 - Listas'!$J$6,'A1 - Serviços e demanda'!T$70&gt;=$A53,'A1 - Serviços e demanda'!T$70&lt;=$B53),$C53*'A4 - Previsão de Receita Bruta'!U$27,0)</f>
        <v>0</v>
      </c>
      <c r="W53" s="146">
        <f>IF(AND(OutSobreRec='Z 1 - Listas'!$J$6,'A1 - Serviços e demanda'!U$70&gt;=$A53,'A1 - Serviços e demanda'!U$70&lt;=$B53),$C53*'A4 - Previsão de Receita Bruta'!V$27,0)</f>
        <v>0</v>
      </c>
      <c r="X53" s="146">
        <f>IF(AND(OutSobreRec='Z 1 - Listas'!$J$6,'A1 - Serviços e demanda'!V$70&gt;=$A53,'A1 - Serviços e demanda'!V$70&lt;=$B53),$C53*'A4 - Previsão de Receita Bruta'!W$27,0)</f>
        <v>0</v>
      </c>
      <c r="Y53" s="146">
        <f>IF(AND(OutSobreRec='Z 1 - Listas'!$J$6,'A1 - Serviços e demanda'!W$70&gt;=$A53,'A1 - Serviços e demanda'!W$70&lt;=$B53),$C53*'A4 - Previsão de Receita Bruta'!X$27,0)</f>
        <v>0</v>
      </c>
      <c r="Z53" s="146">
        <f>IF(AND(OutSobreRec='Z 1 - Listas'!$J$6,'A1 - Serviços e demanda'!X$70&gt;=$A53,'A1 - Serviços e demanda'!X$70&lt;=$B53),$C53*'A4 - Previsão de Receita Bruta'!Y$27,0)</f>
        <v>0</v>
      </c>
      <c r="AA53" s="146">
        <f>IF(AND(OutSobreRec='Z 1 - Listas'!$J$6,'A1 - Serviços e demanda'!Y$70&gt;=$A53,'A1 - Serviços e demanda'!Y$70&lt;=$B53),$C53*'A4 - Previsão de Receita Bruta'!Z$27,0)</f>
        <v>0</v>
      </c>
      <c r="AB53" s="146">
        <f>IF(AND(OutSobreRec='Z 1 - Listas'!$J$6,'A1 - Serviços e demanda'!Z$70&gt;=$A53,'A1 - Serviços e demanda'!Z$70&lt;=$B53),$C53*'A4 - Previsão de Receita Bruta'!AA$27,0)</f>
        <v>0</v>
      </c>
      <c r="AC53" s="146">
        <f>IF(AND(OutSobreRec='Z 1 - Listas'!$J$6,'A1 - Serviços e demanda'!AA$70&gt;=$A53,'A1 - Serviços e demanda'!AA$70&lt;=$B53),$C53*'A4 - Previsão de Receita Bruta'!AB$27,0)</f>
        <v>0</v>
      </c>
      <c r="AD53" s="146">
        <f>IF(AND(OutSobreRec='Z 1 - Listas'!$J$6,'A1 - Serviços e demanda'!AB$70&gt;=$A53,'A1 - Serviços e demanda'!AB$70&lt;=$B53),$C53*'A4 - Previsão de Receita Bruta'!AC$27,0)</f>
        <v>0</v>
      </c>
      <c r="AE53" s="146">
        <f>IF(AND(OutSobreRec='Z 1 - Listas'!$J$6,'A1 - Serviços e demanda'!AC$70&gt;=$A53,'A1 - Serviços e demanda'!AC$70&lt;=$B53),$C53*'A4 - Previsão de Receita Bruta'!AD$27,0)</f>
        <v>0</v>
      </c>
      <c r="AF53" s="146">
        <f>IF(AND(OutSobreRec='Z 1 - Listas'!$J$6,'A1 - Serviços e demanda'!AD$70&gt;=$A53,'A1 - Serviços e demanda'!AD$70&lt;=$B53),$C53*'A4 - Previsão de Receita Bruta'!AE$27,0)</f>
        <v>0</v>
      </c>
      <c r="AG53" s="146">
        <f>IF(AND(OutSobreRec='Z 1 - Listas'!$J$6,'A1 - Serviços e demanda'!AE$70&gt;=$A53,'A1 - Serviços e demanda'!AE$70&lt;=$B53),$C53*'A4 - Previsão de Receita Bruta'!AF$27,0)</f>
        <v>0</v>
      </c>
    </row>
    <row r="54" spans="1:33" ht="15.75" hidden="1" customHeight="1">
      <c r="A54" s="162">
        <f t="shared" ref="A54:A57" si="5">IF(ISBLANK(B54),"",B53)</f>
        <v>60000</v>
      </c>
      <c r="B54" s="163">
        <v>120000</v>
      </c>
      <c r="C54" s="164">
        <v>0.01</v>
      </c>
      <c r="D54" s="146">
        <f>IF(AND(OutSobreRec='Z 1 - Listas'!$J$6,'A1 - Serviços e demanda'!B$70&gt;$A54,'A1 - Serviços e demanda'!B$70&lt;=$B54),$C54*'A4 - Previsão de Receita Bruta'!C$27,0)</f>
        <v>0</v>
      </c>
      <c r="E54" s="146">
        <f>IF(AND(OutSobreRec='Z 1 - Listas'!$J$6,'A1 - Serviços e demanda'!C$70&gt;$A54,'A1 - Serviços e demanda'!C$70&lt;=$B54),$C54*'A4 - Previsão de Receita Bruta'!D$27,0)</f>
        <v>0</v>
      </c>
      <c r="F54" s="146">
        <f>IF(AND(OutSobreRec='Z 1 - Listas'!$J$6,'A1 - Serviços e demanda'!D$70&gt;$A54,'A1 - Serviços e demanda'!D$70&lt;=$B54),$C54*'A4 - Previsão de Receita Bruta'!E$27,0)</f>
        <v>0</v>
      </c>
      <c r="G54" s="146">
        <f>IF(AND(OutSobreRec='Z 1 - Listas'!$J$6,'A1 - Serviços e demanda'!E$70&gt;$A54,'A1 - Serviços e demanda'!E$70&lt;=$B54),$C54*'A4 - Previsão de Receita Bruta'!F$27,0)</f>
        <v>0</v>
      </c>
      <c r="H54" s="146">
        <f>IF(AND(OutSobreRec='Z 1 - Listas'!$J$6,'A1 - Serviços e demanda'!F$70&gt;$A54,'A1 - Serviços e demanda'!F$70&lt;=$B54),$C54*'A4 - Previsão de Receita Bruta'!G$27,0)</f>
        <v>0</v>
      </c>
      <c r="I54" s="146">
        <f>IF(AND(OutSobreRec='Z 1 - Listas'!$J$6,'A1 - Serviços e demanda'!G$70&gt;$A54,'A1 - Serviços e demanda'!G$70&lt;=$B54),$C54*'A4 - Previsão de Receita Bruta'!H$27,0)</f>
        <v>0</v>
      </c>
      <c r="J54" s="146">
        <f>IF(AND(OutSobreRec='Z 1 - Listas'!$J$6,'A1 - Serviços e demanda'!H$70&gt;$A54,'A1 - Serviços e demanda'!H$70&lt;=$B54),$C54*'A4 - Previsão de Receita Bruta'!I$27,0)</f>
        <v>0</v>
      </c>
      <c r="K54" s="146">
        <f>IF(AND(OutSobreRec='Z 1 - Listas'!$J$6,'A1 - Serviços e demanda'!I$70&gt;$A54,'A1 - Serviços e demanda'!I$70&lt;=$B54),$C54*'A4 - Previsão de Receita Bruta'!J$27,0)</f>
        <v>0</v>
      </c>
      <c r="L54" s="146">
        <f>IF(AND(OutSobreRec='Z 1 - Listas'!$J$6,'A1 - Serviços e demanda'!J$70&gt;$A54,'A1 - Serviços e demanda'!J$70&lt;=$B54),$C54*'A4 - Previsão de Receita Bruta'!K$27,0)</f>
        <v>0</v>
      </c>
      <c r="M54" s="146">
        <f>IF(AND(OutSobreRec='Z 1 - Listas'!$J$6,'A1 - Serviços e demanda'!K$70&gt;$A54,'A1 - Serviços e demanda'!K$70&lt;=$B54),$C54*'A4 - Previsão de Receita Bruta'!L$27,0)</f>
        <v>0</v>
      </c>
      <c r="N54" s="146">
        <f>IF(AND(OutSobreRec='Z 1 - Listas'!$J$6,'A1 - Serviços e demanda'!L$70&gt;$A54,'A1 - Serviços e demanda'!L$70&lt;=$B54),$C54*'A4 - Previsão de Receita Bruta'!M$27,0)</f>
        <v>0</v>
      </c>
      <c r="O54" s="146">
        <f>IF(AND(OutSobreRec='Z 1 - Listas'!$J$6,'A1 - Serviços e demanda'!M$70&gt;$A54,'A1 - Serviços e demanda'!M$70&lt;=$B54),$C54*'A4 - Previsão de Receita Bruta'!N$27,0)</f>
        <v>0</v>
      </c>
      <c r="P54" s="146">
        <f>IF(AND(OutSobreRec='Z 1 - Listas'!$J$6,'A1 - Serviços e demanda'!N$70&gt;$A54,'A1 - Serviços e demanda'!N$70&lt;=$B54),$C54*'A4 - Previsão de Receita Bruta'!O$27,0)</f>
        <v>0</v>
      </c>
      <c r="Q54" s="146">
        <f>IF(AND(OutSobreRec='Z 1 - Listas'!$J$6,'A1 - Serviços e demanda'!O$70&gt;$A54,'A1 - Serviços e demanda'!O$70&lt;=$B54),$C54*'A4 - Previsão de Receita Bruta'!P$27,0)</f>
        <v>0</v>
      </c>
      <c r="R54" s="146">
        <f>IF(AND(OutSobreRec='Z 1 - Listas'!$J$6,'A1 - Serviços e demanda'!P$70&gt;$A54,'A1 - Serviços e demanda'!P$70&lt;=$B54),$C54*'A4 - Previsão de Receita Bruta'!Q$27,0)</f>
        <v>0</v>
      </c>
      <c r="S54" s="146">
        <f>IF(AND(OutSobreRec='Z 1 - Listas'!$J$6,'A1 - Serviços e demanda'!Q$70&gt;$A54,'A1 - Serviços e demanda'!Q$70&lt;=$B54),$C54*'A4 - Previsão de Receita Bruta'!R$27,0)</f>
        <v>0</v>
      </c>
      <c r="T54" s="146">
        <f>IF(AND(OutSobreRec='Z 1 - Listas'!$J$6,'A1 - Serviços e demanda'!R$70&gt;$A54,'A1 - Serviços e demanda'!R$70&lt;=$B54),$C54*'A4 - Previsão de Receita Bruta'!S$27,0)</f>
        <v>0</v>
      </c>
      <c r="U54" s="146">
        <f>IF(AND(OutSobreRec='Z 1 - Listas'!$J$6,'A1 - Serviços e demanda'!S$70&gt;$A54,'A1 - Serviços e demanda'!S$70&lt;=$B54),$C54*'A4 - Previsão de Receita Bruta'!T$27,0)</f>
        <v>0</v>
      </c>
      <c r="V54" s="146">
        <f>IF(AND(OutSobreRec='Z 1 - Listas'!$J$6,'A1 - Serviços e demanda'!T$70&gt;$A54,'A1 - Serviços e demanda'!T$70&lt;=$B54),$C54*'A4 - Previsão de Receita Bruta'!U$27,0)</f>
        <v>0</v>
      </c>
      <c r="W54" s="146">
        <f>IF(AND(OutSobreRec='Z 1 - Listas'!$J$6,'A1 - Serviços e demanda'!U$70&gt;$A54,'A1 - Serviços e demanda'!U$70&lt;=$B54),$C54*'A4 - Previsão de Receita Bruta'!V$27,0)</f>
        <v>0</v>
      </c>
      <c r="X54" s="146">
        <f>IF(AND(OutSobreRec='Z 1 - Listas'!$J$6,'A1 - Serviços e demanda'!V$70&gt;$A54,'A1 - Serviços e demanda'!V$70&lt;=$B54),$C54*'A4 - Previsão de Receita Bruta'!W$27,0)</f>
        <v>0</v>
      </c>
      <c r="Y54" s="146">
        <f>IF(AND(OutSobreRec='Z 1 - Listas'!$J$6,'A1 - Serviços e demanda'!W$70&gt;$A54,'A1 - Serviços e demanda'!W$70&lt;=$B54),$C54*'A4 - Previsão de Receita Bruta'!X$27,0)</f>
        <v>0</v>
      </c>
      <c r="Z54" s="146">
        <f>IF(AND(OutSobreRec='Z 1 - Listas'!$J$6,'A1 - Serviços e demanda'!X$70&gt;$A54,'A1 - Serviços e demanda'!X$70&lt;=$B54),$C54*'A4 - Previsão de Receita Bruta'!Y$27,0)</f>
        <v>0</v>
      </c>
      <c r="AA54" s="146">
        <f>IF(AND(OutSobreRec='Z 1 - Listas'!$J$6,'A1 - Serviços e demanda'!Y$70&gt;$A54,'A1 - Serviços e demanda'!Y$70&lt;=$B54),$C54*'A4 - Previsão de Receita Bruta'!Z$27,0)</f>
        <v>0</v>
      </c>
      <c r="AB54" s="146">
        <f>IF(AND(OutSobreRec='Z 1 - Listas'!$J$6,'A1 - Serviços e demanda'!Z$70&gt;$A54,'A1 - Serviços e demanda'!Z$70&lt;=$B54),$C54*'A4 - Previsão de Receita Bruta'!AA$27,0)</f>
        <v>0</v>
      </c>
      <c r="AC54" s="146">
        <f>IF(AND(OutSobreRec='Z 1 - Listas'!$J$6,'A1 - Serviços e demanda'!AA$70&gt;$A54,'A1 - Serviços e demanda'!AA$70&lt;=$B54),$C54*'A4 - Previsão de Receita Bruta'!AB$27,0)</f>
        <v>0</v>
      </c>
      <c r="AD54" s="146">
        <f>IF(AND(OutSobreRec='Z 1 - Listas'!$J$6,'A1 - Serviços e demanda'!AB$70&gt;$A54,'A1 - Serviços e demanda'!AB$70&lt;=$B54),$C54*'A4 - Previsão de Receita Bruta'!AC$27,0)</f>
        <v>0</v>
      </c>
      <c r="AE54" s="146">
        <f>IF(AND(OutSobreRec='Z 1 - Listas'!$J$6,'A1 - Serviços e demanda'!AC$70&gt;$A54,'A1 - Serviços e demanda'!AC$70&lt;=$B54),$C54*'A4 - Previsão de Receita Bruta'!AD$27,0)</f>
        <v>0</v>
      </c>
      <c r="AF54" s="146">
        <f>IF(AND(OutSobreRec='Z 1 - Listas'!$J$6,'A1 - Serviços e demanda'!AD$70&gt;$A54,'A1 - Serviços e demanda'!AD$70&lt;=$B54),$C54*'A4 - Previsão de Receita Bruta'!AE$27,0)</f>
        <v>0</v>
      </c>
      <c r="AG54" s="146">
        <f>IF(AND(OutSobreRec='Z 1 - Listas'!$J$6,'A1 - Serviços e demanda'!AE$70&gt;$A54,'A1 - Serviços e demanda'!AE$70&lt;=$B54),$C54*'A4 - Previsão de Receita Bruta'!AF$27,0)</f>
        <v>0</v>
      </c>
    </row>
    <row r="55" spans="1:33" ht="15.75" hidden="1" customHeight="1">
      <c r="A55" s="162">
        <f t="shared" si="5"/>
        <v>120000</v>
      </c>
      <c r="B55" s="163">
        <v>180000</v>
      </c>
      <c r="C55" s="164">
        <v>0.02</v>
      </c>
      <c r="D55" s="146">
        <f>IF(AND(OutSobreRec='Z 1 - Listas'!$J$6,'A1 - Serviços e demanda'!B$70&gt;$A55,'A1 - Serviços e demanda'!B$70&lt;=$B55),$C55*'A4 - Previsão de Receita Bruta'!C$27,0)</f>
        <v>0</v>
      </c>
      <c r="E55" s="146">
        <f>IF(AND(OutSobreRec='Z 1 - Listas'!$J$6,'A1 - Serviços e demanda'!C$70&gt;$A55,'A1 - Serviços e demanda'!C$70&lt;=$B55),$C55*'A4 - Previsão de Receita Bruta'!D$27,0)</f>
        <v>0</v>
      </c>
      <c r="F55" s="146">
        <f>IF(AND(OutSobreRec='Z 1 - Listas'!$J$6,'A1 - Serviços e demanda'!D$70&gt;$A55,'A1 - Serviços e demanda'!D$70&lt;=$B55),$C55*'A4 - Previsão de Receita Bruta'!E$27,0)</f>
        <v>0</v>
      </c>
      <c r="G55" s="146">
        <f>IF(AND(OutSobreRec='Z 1 - Listas'!$J$6,'A1 - Serviços e demanda'!E$70&gt;$A55,'A1 - Serviços e demanda'!E$70&lt;=$B55),$C55*'A4 - Previsão de Receita Bruta'!F$27,0)</f>
        <v>0</v>
      </c>
      <c r="H55" s="146">
        <f>IF(AND(OutSobreRec='Z 1 - Listas'!$J$6,'A1 - Serviços e demanda'!F$70&gt;$A55,'A1 - Serviços e demanda'!F$70&lt;=$B55),$C55*'A4 - Previsão de Receita Bruta'!G$27,0)</f>
        <v>0</v>
      </c>
      <c r="I55" s="146">
        <f>IF(AND(OutSobreRec='Z 1 - Listas'!$J$6,'A1 - Serviços e demanda'!G$70&gt;$A55,'A1 - Serviços e demanda'!G$70&lt;=$B55),$C55*'A4 - Previsão de Receita Bruta'!H$27,0)</f>
        <v>0</v>
      </c>
      <c r="J55" s="146">
        <f>IF(AND(OutSobreRec='Z 1 - Listas'!$J$6,'A1 - Serviços e demanda'!H$70&gt;$A55,'A1 - Serviços e demanda'!H$70&lt;=$B55),$C55*'A4 - Previsão de Receita Bruta'!I$27,0)</f>
        <v>0</v>
      </c>
      <c r="K55" s="146">
        <f>IF(AND(OutSobreRec='Z 1 - Listas'!$J$6,'A1 - Serviços e demanda'!I$70&gt;$A55,'A1 - Serviços e demanda'!I$70&lt;=$B55),$C55*'A4 - Previsão de Receita Bruta'!J$27,0)</f>
        <v>0</v>
      </c>
      <c r="L55" s="146">
        <f>IF(AND(OutSobreRec='Z 1 - Listas'!$J$6,'A1 - Serviços e demanda'!J$70&gt;$A55,'A1 - Serviços e demanda'!J$70&lt;=$B55),$C55*'A4 - Previsão de Receita Bruta'!K$27,0)</f>
        <v>0</v>
      </c>
      <c r="M55" s="146">
        <f>IF(AND(OutSobreRec='Z 1 - Listas'!$J$6,'A1 - Serviços e demanda'!K$70&gt;$A55,'A1 - Serviços e demanda'!K$70&lt;=$B55),$C55*'A4 - Previsão de Receita Bruta'!L$27,0)</f>
        <v>0</v>
      </c>
      <c r="N55" s="146">
        <f>IF(AND(OutSobreRec='Z 1 - Listas'!$J$6,'A1 - Serviços e demanda'!L$70&gt;$A55,'A1 - Serviços e demanda'!L$70&lt;=$B55),$C55*'A4 - Previsão de Receita Bruta'!M$27,0)</f>
        <v>0</v>
      </c>
      <c r="O55" s="146">
        <f>IF(AND(OutSobreRec='Z 1 - Listas'!$J$6,'A1 - Serviços e demanda'!M$70&gt;$A55,'A1 - Serviços e demanda'!M$70&lt;=$B55),$C55*'A4 - Previsão de Receita Bruta'!N$27,0)</f>
        <v>0</v>
      </c>
      <c r="P55" s="146">
        <f>IF(AND(OutSobreRec='Z 1 - Listas'!$J$6,'A1 - Serviços e demanda'!N$70&gt;$A55,'A1 - Serviços e demanda'!N$70&lt;=$B55),$C55*'A4 - Previsão de Receita Bruta'!O$27,0)</f>
        <v>0</v>
      </c>
      <c r="Q55" s="146">
        <f>IF(AND(OutSobreRec='Z 1 - Listas'!$J$6,'A1 - Serviços e demanda'!O$70&gt;$A55,'A1 - Serviços e demanda'!O$70&lt;=$B55),$C55*'A4 - Previsão de Receita Bruta'!P$27,0)</f>
        <v>0</v>
      </c>
      <c r="R55" s="146">
        <f>IF(AND(OutSobreRec='Z 1 - Listas'!$J$6,'A1 - Serviços e demanda'!P$70&gt;$A55,'A1 - Serviços e demanda'!P$70&lt;=$B55),$C55*'A4 - Previsão de Receita Bruta'!Q$27,0)</f>
        <v>0</v>
      </c>
      <c r="S55" s="146">
        <f>IF(AND(OutSobreRec='Z 1 - Listas'!$J$6,'A1 - Serviços e demanda'!Q$70&gt;$A55,'A1 - Serviços e demanda'!Q$70&lt;=$B55),$C55*'A4 - Previsão de Receita Bruta'!R$27,0)</f>
        <v>0</v>
      </c>
      <c r="T55" s="146">
        <f>IF(AND(OutSobreRec='Z 1 - Listas'!$J$6,'A1 - Serviços e demanda'!R$70&gt;$A55,'A1 - Serviços e demanda'!R$70&lt;=$B55),$C55*'A4 - Previsão de Receita Bruta'!S$27,0)</f>
        <v>0</v>
      </c>
      <c r="U55" s="146">
        <f>IF(AND(OutSobreRec='Z 1 - Listas'!$J$6,'A1 - Serviços e demanda'!S$70&gt;$A55,'A1 - Serviços e demanda'!S$70&lt;=$B55),$C55*'A4 - Previsão de Receita Bruta'!T$27,0)</f>
        <v>0</v>
      </c>
      <c r="V55" s="146">
        <f>IF(AND(OutSobreRec='Z 1 - Listas'!$J$6,'A1 - Serviços e demanda'!T$70&gt;$A55,'A1 - Serviços e demanda'!T$70&lt;=$B55),$C55*'A4 - Previsão de Receita Bruta'!U$27,0)</f>
        <v>0</v>
      </c>
      <c r="W55" s="146">
        <f>IF(AND(OutSobreRec='Z 1 - Listas'!$J$6,'A1 - Serviços e demanda'!U$70&gt;$A55,'A1 - Serviços e demanda'!U$70&lt;=$B55),$C55*'A4 - Previsão de Receita Bruta'!V$27,0)</f>
        <v>0</v>
      </c>
      <c r="X55" s="146">
        <f>IF(AND(OutSobreRec='Z 1 - Listas'!$J$6,'A1 - Serviços e demanda'!V$70&gt;$A55,'A1 - Serviços e demanda'!V$70&lt;=$B55),$C55*'A4 - Previsão de Receita Bruta'!W$27,0)</f>
        <v>0</v>
      </c>
      <c r="Y55" s="146">
        <f>IF(AND(OutSobreRec='Z 1 - Listas'!$J$6,'A1 - Serviços e demanda'!W$70&gt;$A55,'A1 - Serviços e demanda'!W$70&lt;=$B55),$C55*'A4 - Previsão de Receita Bruta'!X$27,0)</f>
        <v>0</v>
      </c>
      <c r="Z55" s="146">
        <f>IF(AND(OutSobreRec='Z 1 - Listas'!$J$6,'A1 - Serviços e demanda'!X$70&gt;$A55,'A1 - Serviços e demanda'!X$70&lt;=$B55),$C55*'A4 - Previsão de Receita Bruta'!Y$27,0)</f>
        <v>0</v>
      </c>
      <c r="AA55" s="146">
        <f>IF(AND(OutSobreRec='Z 1 - Listas'!$J$6,'A1 - Serviços e demanda'!Y$70&gt;$A55,'A1 - Serviços e demanda'!Y$70&lt;=$B55),$C55*'A4 - Previsão de Receita Bruta'!Z$27,0)</f>
        <v>0</v>
      </c>
      <c r="AB55" s="146">
        <f>IF(AND(OutSobreRec='Z 1 - Listas'!$J$6,'A1 - Serviços e demanda'!Z$70&gt;$A55,'A1 - Serviços e demanda'!Z$70&lt;=$B55),$C55*'A4 - Previsão de Receita Bruta'!AA$27,0)</f>
        <v>0</v>
      </c>
      <c r="AC55" s="146">
        <f>IF(AND(OutSobreRec='Z 1 - Listas'!$J$6,'A1 - Serviços e demanda'!AA$70&gt;$A55,'A1 - Serviços e demanda'!AA$70&lt;=$B55),$C55*'A4 - Previsão de Receita Bruta'!AB$27,0)</f>
        <v>0</v>
      </c>
      <c r="AD55" s="146">
        <f>IF(AND(OutSobreRec='Z 1 - Listas'!$J$6,'A1 - Serviços e demanda'!AB$70&gt;$A55,'A1 - Serviços e demanda'!AB$70&lt;=$B55),$C55*'A4 - Previsão de Receita Bruta'!AC$27,0)</f>
        <v>0</v>
      </c>
      <c r="AE55" s="146">
        <f>IF(AND(OutSobreRec='Z 1 - Listas'!$J$6,'A1 - Serviços e demanda'!AC$70&gt;$A55,'A1 - Serviços e demanda'!AC$70&lt;=$B55),$C55*'A4 - Previsão de Receita Bruta'!AD$27,0)</f>
        <v>0</v>
      </c>
      <c r="AF55" s="146">
        <f>IF(AND(OutSobreRec='Z 1 - Listas'!$J$6,'A1 - Serviços e demanda'!AD$70&gt;$A55,'A1 - Serviços e demanda'!AD$70&lt;=$B55),$C55*'A4 - Previsão de Receita Bruta'!AE$27,0)</f>
        <v>0</v>
      </c>
      <c r="AG55" s="146">
        <f>IF(AND(OutSobreRec='Z 1 - Listas'!$J$6,'A1 - Serviços e demanda'!AE$70&gt;$A55,'A1 - Serviços e demanda'!AE$70&lt;=$B55),$C55*'A4 - Previsão de Receita Bruta'!AF$27,0)</f>
        <v>0</v>
      </c>
    </row>
    <row r="56" spans="1:33" ht="15.75" hidden="1" customHeight="1">
      <c r="A56" s="162">
        <f t="shared" si="5"/>
        <v>180000</v>
      </c>
      <c r="B56" s="163">
        <v>240000</v>
      </c>
      <c r="C56" s="164">
        <v>0.03</v>
      </c>
      <c r="D56" s="146">
        <f>IF(AND(OutSobreRec='Z 1 - Listas'!$J$6,'A1 - Serviços e demanda'!B$70&gt;$A56,'A1 - Serviços e demanda'!B$70&lt;=$B56),$C56*'A4 - Previsão de Receita Bruta'!C$27,0)</f>
        <v>0</v>
      </c>
      <c r="E56" s="146">
        <f>IF(AND(OutSobreRec='Z 1 - Listas'!$J$6,'A1 - Serviços e demanda'!C$70&gt;$A56,'A1 - Serviços e demanda'!C$70&lt;=$B56),$C56*'A4 - Previsão de Receita Bruta'!D$27,0)</f>
        <v>0</v>
      </c>
      <c r="F56" s="146">
        <f>IF(AND(OutSobreRec='Z 1 - Listas'!$J$6,'A1 - Serviços e demanda'!D$70&gt;$A56,'A1 - Serviços e demanda'!D$70&lt;=$B56),$C56*'A4 - Previsão de Receita Bruta'!E$27,0)</f>
        <v>0</v>
      </c>
      <c r="G56" s="146">
        <f>IF(AND(OutSobreRec='Z 1 - Listas'!$J$6,'A1 - Serviços e demanda'!E$70&gt;$A56,'A1 - Serviços e demanda'!E$70&lt;=$B56),$C56*'A4 - Previsão de Receita Bruta'!F$27,0)</f>
        <v>0</v>
      </c>
      <c r="H56" s="146">
        <f>IF(AND(OutSobreRec='Z 1 - Listas'!$J$6,'A1 - Serviços e demanda'!F$70&gt;$A56,'A1 - Serviços e demanda'!F$70&lt;=$B56),$C56*'A4 - Previsão de Receita Bruta'!G$27,0)</f>
        <v>0</v>
      </c>
      <c r="I56" s="146">
        <f>IF(AND(OutSobreRec='Z 1 - Listas'!$J$6,'A1 - Serviços e demanda'!G$70&gt;$A56,'A1 - Serviços e demanda'!G$70&lt;=$B56),$C56*'A4 - Previsão de Receita Bruta'!H$27,0)</f>
        <v>0</v>
      </c>
      <c r="J56" s="146">
        <f>IF(AND(OutSobreRec='Z 1 - Listas'!$J$6,'A1 - Serviços e demanda'!H$70&gt;$A56,'A1 - Serviços e demanda'!H$70&lt;=$B56),$C56*'A4 - Previsão de Receita Bruta'!I$27,0)</f>
        <v>0</v>
      </c>
      <c r="K56" s="146">
        <f>IF(AND(OutSobreRec='Z 1 - Listas'!$J$6,'A1 - Serviços e demanda'!I$70&gt;$A56,'A1 - Serviços e demanda'!I$70&lt;=$B56),$C56*'A4 - Previsão de Receita Bruta'!J$27,0)</f>
        <v>0</v>
      </c>
      <c r="L56" s="146">
        <f>IF(AND(OutSobreRec='Z 1 - Listas'!$J$6,'A1 - Serviços e demanda'!J$70&gt;$A56,'A1 - Serviços e demanda'!J$70&lt;=$B56),$C56*'A4 - Previsão de Receita Bruta'!K$27,0)</f>
        <v>0</v>
      </c>
      <c r="M56" s="146">
        <f>IF(AND(OutSobreRec='Z 1 - Listas'!$J$6,'A1 - Serviços e demanda'!K$70&gt;$A56,'A1 - Serviços e demanda'!K$70&lt;=$B56),$C56*'A4 - Previsão de Receita Bruta'!L$27,0)</f>
        <v>0</v>
      </c>
      <c r="N56" s="146">
        <f>IF(AND(OutSobreRec='Z 1 - Listas'!$J$6,'A1 - Serviços e demanda'!L$70&gt;$A56,'A1 - Serviços e demanda'!L$70&lt;=$B56),$C56*'A4 - Previsão de Receita Bruta'!M$27,0)</f>
        <v>0</v>
      </c>
      <c r="O56" s="146">
        <f>IF(AND(OutSobreRec='Z 1 - Listas'!$J$6,'A1 - Serviços e demanda'!M$70&gt;$A56,'A1 - Serviços e demanda'!M$70&lt;=$B56),$C56*'A4 - Previsão de Receita Bruta'!N$27,0)</f>
        <v>0</v>
      </c>
      <c r="P56" s="146">
        <f>IF(AND(OutSobreRec='Z 1 - Listas'!$J$6,'A1 - Serviços e demanda'!N$70&gt;$A56,'A1 - Serviços e demanda'!N$70&lt;=$B56),$C56*'A4 - Previsão de Receita Bruta'!O$27,0)</f>
        <v>0</v>
      </c>
      <c r="Q56" s="146">
        <f>IF(AND(OutSobreRec='Z 1 - Listas'!$J$6,'A1 - Serviços e demanda'!O$70&gt;$A56,'A1 - Serviços e demanda'!O$70&lt;=$B56),$C56*'A4 - Previsão de Receita Bruta'!P$27,0)</f>
        <v>0</v>
      </c>
      <c r="R56" s="146">
        <f>IF(AND(OutSobreRec='Z 1 - Listas'!$J$6,'A1 - Serviços e demanda'!P$70&gt;$A56,'A1 - Serviços e demanda'!P$70&lt;=$B56),$C56*'A4 - Previsão de Receita Bruta'!Q$27,0)</f>
        <v>0</v>
      </c>
      <c r="S56" s="146">
        <f>IF(AND(OutSobreRec='Z 1 - Listas'!$J$6,'A1 - Serviços e demanda'!Q$70&gt;$A56,'A1 - Serviços e demanda'!Q$70&lt;=$B56),$C56*'A4 - Previsão de Receita Bruta'!R$27,0)</f>
        <v>0</v>
      </c>
      <c r="T56" s="146">
        <f>IF(AND(OutSobreRec='Z 1 - Listas'!$J$6,'A1 - Serviços e demanda'!R$70&gt;$A56,'A1 - Serviços e demanda'!R$70&lt;=$B56),$C56*'A4 - Previsão de Receita Bruta'!S$27,0)</f>
        <v>0</v>
      </c>
      <c r="U56" s="146">
        <f>IF(AND(OutSobreRec='Z 1 - Listas'!$J$6,'A1 - Serviços e demanda'!S$70&gt;$A56,'A1 - Serviços e demanda'!S$70&lt;=$B56),$C56*'A4 - Previsão de Receita Bruta'!T$27,0)</f>
        <v>0</v>
      </c>
      <c r="V56" s="146">
        <f>IF(AND(OutSobreRec='Z 1 - Listas'!$J$6,'A1 - Serviços e demanda'!T$70&gt;$A56,'A1 - Serviços e demanda'!T$70&lt;=$B56),$C56*'A4 - Previsão de Receita Bruta'!U$27,0)</f>
        <v>0</v>
      </c>
      <c r="W56" s="146">
        <f>IF(AND(OutSobreRec='Z 1 - Listas'!$J$6,'A1 - Serviços e demanda'!U$70&gt;$A56,'A1 - Serviços e demanda'!U$70&lt;=$B56),$C56*'A4 - Previsão de Receita Bruta'!V$27,0)</f>
        <v>0</v>
      </c>
      <c r="X56" s="146">
        <f>IF(AND(OutSobreRec='Z 1 - Listas'!$J$6,'A1 - Serviços e demanda'!V$70&gt;$A56,'A1 - Serviços e demanda'!V$70&lt;=$B56),$C56*'A4 - Previsão de Receita Bruta'!W$27,0)</f>
        <v>0</v>
      </c>
      <c r="Y56" s="146">
        <f>IF(AND(OutSobreRec='Z 1 - Listas'!$J$6,'A1 - Serviços e demanda'!W$70&gt;$A56,'A1 - Serviços e demanda'!W$70&lt;=$B56),$C56*'A4 - Previsão de Receita Bruta'!X$27,0)</f>
        <v>0</v>
      </c>
      <c r="Z56" s="146">
        <f>IF(AND(OutSobreRec='Z 1 - Listas'!$J$6,'A1 - Serviços e demanda'!X$70&gt;$A56,'A1 - Serviços e demanda'!X$70&lt;=$B56),$C56*'A4 - Previsão de Receita Bruta'!Y$27,0)</f>
        <v>0</v>
      </c>
      <c r="AA56" s="146">
        <f>IF(AND(OutSobreRec='Z 1 - Listas'!$J$6,'A1 - Serviços e demanda'!Y$70&gt;$A56,'A1 - Serviços e demanda'!Y$70&lt;=$B56),$C56*'A4 - Previsão de Receita Bruta'!Z$27,0)</f>
        <v>0</v>
      </c>
      <c r="AB56" s="146">
        <f>IF(AND(OutSobreRec='Z 1 - Listas'!$J$6,'A1 - Serviços e demanda'!Z$70&gt;$A56,'A1 - Serviços e demanda'!Z$70&lt;=$B56),$C56*'A4 - Previsão de Receita Bruta'!AA$27,0)</f>
        <v>0</v>
      </c>
      <c r="AC56" s="146">
        <f>IF(AND(OutSobreRec='Z 1 - Listas'!$J$6,'A1 - Serviços e demanda'!AA$70&gt;$A56,'A1 - Serviços e demanda'!AA$70&lt;=$B56),$C56*'A4 - Previsão de Receita Bruta'!AB$27,0)</f>
        <v>0</v>
      </c>
      <c r="AD56" s="146">
        <f>IF(AND(OutSobreRec='Z 1 - Listas'!$J$6,'A1 - Serviços e demanda'!AB$70&gt;$A56,'A1 - Serviços e demanda'!AB$70&lt;=$B56),$C56*'A4 - Previsão de Receita Bruta'!AC$27,0)</f>
        <v>0</v>
      </c>
      <c r="AE56" s="146">
        <f>IF(AND(OutSobreRec='Z 1 - Listas'!$J$6,'A1 - Serviços e demanda'!AC$70&gt;$A56,'A1 - Serviços e demanda'!AC$70&lt;=$B56),$C56*'A4 - Previsão de Receita Bruta'!AD$27,0)</f>
        <v>0</v>
      </c>
      <c r="AF56" s="146">
        <f>IF(AND(OutSobreRec='Z 1 - Listas'!$J$6,'A1 - Serviços e demanda'!AD$70&gt;$A56,'A1 - Serviços e demanda'!AD$70&lt;=$B56),$C56*'A4 - Previsão de Receita Bruta'!AE$27,0)</f>
        <v>0</v>
      </c>
      <c r="AG56" s="146">
        <f>IF(AND(OutSobreRec='Z 1 - Listas'!$J$6,'A1 - Serviços e demanda'!AE$70&gt;$A56,'A1 - Serviços e demanda'!AE$70&lt;=$B56),$C56*'A4 - Previsão de Receita Bruta'!AF$27,0)</f>
        <v>0</v>
      </c>
    </row>
    <row r="57" spans="1:33" ht="15.75" hidden="1" customHeight="1">
      <c r="A57" s="162" t="str">
        <f t="shared" si="5"/>
        <v/>
      </c>
      <c r="B57" s="165"/>
      <c r="C57" s="166"/>
      <c r="D57" s="146">
        <f>IF(AND(OutSobreRec='Z 1 - Listas'!$J$6,'A1 - Serviços e demanda'!B$70&gt;$A57,'A1 - Serviços e demanda'!B$70&lt;=$B57),$C57*'A4 - Previsão de Receita Bruta'!C$27,0)</f>
        <v>0</v>
      </c>
      <c r="E57" s="146">
        <f>IF(AND(OutSobreRec='Z 1 - Listas'!$J$6,'A1 - Serviços e demanda'!C$70&gt;$A57,'A1 - Serviços e demanda'!C$70&lt;=$B57),$C57*'A4 - Previsão de Receita Bruta'!D$27,0)</f>
        <v>0</v>
      </c>
      <c r="F57" s="146">
        <f>IF(AND(OutSobreRec='Z 1 - Listas'!$J$6,'A1 - Serviços e demanda'!D$70&gt;$A57,'A1 - Serviços e demanda'!D$70&lt;=$B57),$C57*'A4 - Previsão de Receita Bruta'!E$27,0)</f>
        <v>0</v>
      </c>
      <c r="G57" s="146">
        <f>IF(AND(OutSobreRec='Z 1 - Listas'!$J$6,'A1 - Serviços e demanda'!E$70&gt;$A57,'A1 - Serviços e demanda'!E$70&lt;=$B57),$C57*'A4 - Previsão de Receita Bruta'!F$27,0)</f>
        <v>0</v>
      </c>
      <c r="H57" s="146">
        <f>IF(AND(OutSobreRec='Z 1 - Listas'!$J$6,'A1 - Serviços e demanda'!F$70&gt;$A57,'A1 - Serviços e demanda'!F$70&lt;=$B57),$C57*'A4 - Previsão de Receita Bruta'!G$27,0)</f>
        <v>0</v>
      </c>
      <c r="I57" s="146">
        <f>IF(AND(OutSobreRec='Z 1 - Listas'!$J$6,'A1 - Serviços e demanda'!G$70&gt;$A57,'A1 - Serviços e demanda'!G$70&lt;=$B57),$C57*'A4 - Previsão de Receita Bruta'!H$27,0)</f>
        <v>0</v>
      </c>
      <c r="J57" s="146">
        <f>IF(AND(OutSobreRec='Z 1 - Listas'!$J$6,'A1 - Serviços e demanda'!H$70&gt;$A57,'A1 - Serviços e demanda'!H$70&lt;=$B57),$C57*'A4 - Previsão de Receita Bruta'!I$27,0)</f>
        <v>0</v>
      </c>
      <c r="K57" s="146">
        <f>IF(AND(OutSobreRec='Z 1 - Listas'!$J$6,'A1 - Serviços e demanda'!I$70&gt;$A57,'A1 - Serviços e demanda'!I$70&lt;=$B57),$C57*'A4 - Previsão de Receita Bruta'!J$27,0)</f>
        <v>0</v>
      </c>
      <c r="L57" s="146">
        <f>IF(AND(OutSobreRec='Z 1 - Listas'!$J$6,'A1 - Serviços e demanda'!J$70&gt;$A57,'A1 - Serviços e demanda'!J$70&lt;=$B57),$C57*'A4 - Previsão de Receita Bruta'!K$27,0)</f>
        <v>0</v>
      </c>
      <c r="M57" s="146">
        <f>IF(AND(OutSobreRec='Z 1 - Listas'!$J$6,'A1 - Serviços e demanda'!K$70&gt;$A57,'A1 - Serviços e demanda'!K$70&lt;=$B57),$C57*'A4 - Previsão de Receita Bruta'!L$27,0)</f>
        <v>0</v>
      </c>
      <c r="N57" s="146">
        <f>IF(AND(OutSobreRec='Z 1 - Listas'!$J$6,'A1 - Serviços e demanda'!L$70&gt;$A57,'A1 - Serviços e demanda'!L$70&lt;=$B57),$C57*'A4 - Previsão de Receita Bruta'!M$27,0)</f>
        <v>0</v>
      </c>
      <c r="O57" s="146">
        <f>IF(AND(OutSobreRec='Z 1 - Listas'!$J$6,'A1 - Serviços e demanda'!M$70&gt;$A57,'A1 - Serviços e demanda'!M$70&lt;=$B57),$C57*'A4 - Previsão de Receita Bruta'!N$27,0)</f>
        <v>0</v>
      </c>
      <c r="P57" s="146">
        <f>IF(AND(OutSobreRec='Z 1 - Listas'!$J$6,'A1 - Serviços e demanda'!N$70&gt;$A57,'A1 - Serviços e demanda'!N$70&lt;=$B57),$C57*'A4 - Previsão de Receita Bruta'!O$27,0)</f>
        <v>0</v>
      </c>
      <c r="Q57" s="146">
        <f>IF(AND(OutSobreRec='Z 1 - Listas'!$J$6,'A1 - Serviços e demanda'!O$70&gt;$A57,'A1 - Serviços e demanda'!O$70&lt;=$B57),$C57*'A4 - Previsão de Receita Bruta'!P$27,0)</f>
        <v>0</v>
      </c>
      <c r="R57" s="146">
        <f>IF(AND(OutSobreRec='Z 1 - Listas'!$J$6,'A1 - Serviços e demanda'!P$70&gt;$A57,'A1 - Serviços e demanda'!P$70&lt;=$B57),$C57*'A4 - Previsão de Receita Bruta'!Q$27,0)</f>
        <v>0</v>
      </c>
      <c r="S57" s="146">
        <f>IF(AND(OutSobreRec='Z 1 - Listas'!$J$6,'A1 - Serviços e demanda'!Q$70&gt;$A57,'A1 - Serviços e demanda'!Q$70&lt;=$B57),$C57*'A4 - Previsão de Receita Bruta'!R$27,0)</f>
        <v>0</v>
      </c>
      <c r="T57" s="146">
        <f>IF(AND(OutSobreRec='Z 1 - Listas'!$J$6,'A1 - Serviços e demanda'!R$70&gt;$A57,'A1 - Serviços e demanda'!R$70&lt;=$B57),$C57*'A4 - Previsão de Receita Bruta'!S$27,0)</f>
        <v>0</v>
      </c>
      <c r="U57" s="146">
        <f>IF(AND(OutSobreRec='Z 1 - Listas'!$J$6,'A1 - Serviços e demanda'!S$70&gt;$A57,'A1 - Serviços e demanda'!S$70&lt;=$B57),$C57*'A4 - Previsão de Receita Bruta'!T$27,0)</f>
        <v>0</v>
      </c>
      <c r="V57" s="146">
        <f>IF(AND(OutSobreRec='Z 1 - Listas'!$J$6,'A1 - Serviços e demanda'!T$70&gt;$A57,'A1 - Serviços e demanda'!T$70&lt;=$B57),$C57*'A4 - Previsão de Receita Bruta'!U$27,0)</f>
        <v>0</v>
      </c>
      <c r="W57" s="146">
        <f>IF(AND(OutSobreRec='Z 1 - Listas'!$J$6,'A1 - Serviços e demanda'!U$70&gt;$A57,'A1 - Serviços e demanda'!U$70&lt;=$B57),$C57*'A4 - Previsão de Receita Bruta'!V$27,0)</f>
        <v>0</v>
      </c>
      <c r="X57" s="146">
        <f>IF(AND(OutSobreRec='Z 1 - Listas'!$J$6,'A1 - Serviços e demanda'!V$70&gt;$A57,'A1 - Serviços e demanda'!V$70&lt;=$B57),$C57*'A4 - Previsão de Receita Bruta'!W$27,0)</f>
        <v>0</v>
      </c>
      <c r="Y57" s="146">
        <f>IF(AND(OutSobreRec='Z 1 - Listas'!$J$6,'A1 - Serviços e demanda'!W$70&gt;$A57,'A1 - Serviços e demanda'!W$70&lt;=$B57),$C57*'A4 - Previsão de Receita Bruta'!X$27,0)</f>
        <v>0</v>
      </c>
      <c r="Z57" s="146">
        <f>IF(AND(OutSobreRec='Z 1 - Listas'!$J$6,'A1 - Serviços e demanda'!X$70&gt;$A57,'A1 - Serviços e demanda'!X$70&lt;=$B57),$C57*'A4 - Previsão de Receita Bruta'!Y$27,0)</f>
        <v>0</v>
      </c>
      <c r="AA57" s="146">
        <f>IF(AND(OutSobreRec='Z 1 - Listas'!$J$6,'A1 - Serviços e demanda'!Y$70&gt;$A57,'A1 - Serviços e demanda'!Y$70&lt;=$B57),$C57*'A4 - Previsão de Receita Bruta'!Z$27,0)</f>
        <v>0</v>
      </c>
      <c r="AB57" s="146">
        <f>IF(AND(OutSobreRec='Z 1 - Listas'!$J$6,'A1 - Serviços e demanda'!Z$70&gt;$A57,'A1 - Serviços e demanda'!Z$70&lt;=$B57),$C57*'A4 - Previsão de Receita Bruta'!AA$27,0)</f>
        <v>0</v>
      </c>
      <c r="AC57" s="146">
        <f>IF(AND(OutSobreRec='Z 1 - Listas'!$J$6,'A1 - Serviços e demanda'!AA$70&gt;$A57,'A1 - Serviços e demanda'!AA$70&lt;=$B57),$C57*'A4 - Previsão de Receita Bruta'!AB$27,0)</f>
        <v>0</v>
      </c>
      <c r="AD57" s="146">
        <f>IF(AND(OutSobreRec='Z 1 - Listas'!$J$6,'A1 - Serviços e demanda'!AB$70&gt;$A57,'A1 - Serviços e demanda'!AB$70&lt;=$B57),$C57*'A4 - Previsão de Receita Bruta'!AC$27,0)</f>
        <v>0</v>
      </c>
      <c r="AE57" s="146">
        <f>IF(AND(OutSobreRec='Z 1 - Listas'!$J$6,'A1 - Serviços e demanda'!AC$70&gt;$A57,'A1 - Serviços e demanda'!AC$70&lt;=$B57),$C57*'A4 - Previsão de Receita Bruta'!AD$27,0)</f>
        <v>0</v>
      </c>
      <c r="AF57" s="146">
        <f>IF(AND(OutSobreRec='Z 1 - Listas'!$J$6,'A1 - Serviços e demanda'!AD$70&gt;$A57,'A1 - Serviços e demanda'!AD$70&lt;=$B57),$C57*'A4 - Previsão de Receita Bruta'!AE$27,0)</f>
        <v>0</v>
      </c>
      <c r="AG57" s="146">
        <f>IF(AND(OutSobreRec='Z 1 - Listas'!$J$6,'A1 - Serviços e demanda'!AE$70&gt;$A57,'A1 - Serviços e demanda'!AE$70&lt;=$B57),$C57*'A4 - Previsão de Receita Bruta'!AF$27,0)</f>
        <v>0</v>
      </c>
    </row>
    <row r="58" spans="1:33" ht="30.75" hidden="1" customHeight="1">
      <c r="A58" s="780" t="s">
        <v>471</v>
      </c>
      <c r="B58" s="823"/>
      <c r="C58" s="824"/>
      <c r="D58" s="160">
        <f t="shared" ref="D58:AG58" si="6">SUM(D53:D57)</f>
        <v>0</v>
      </c>
      <c r="E58" s="160">
        <f t="shared" si="6"/>
        <v>0</v>
      </c>
      <c r="F58" s="160">
        <f t="shared" si="6"/>
        <v>0</v>
      </c>
      <c r="G58" s="160">
        <f t="shared" si="6"/>
        <v>0</v>
      </c>
      <c r="H58" s="160">
        <f t="shared" si="6"/>
        <v>0</v>
      </c>
      <c r="I58" s="160">
        <f t="shared" si="6"/>
        <v>0</v>
      </c>
      <c r="J58" s="160">
        <f t="shared" si="6"/>
        <v>0</v>
      </c>
      <c r="K58" s="160">
        <f t="shared" si="6"/>
        <v>0</v>
      </c>
      <c r="L58" s="160">
        <f t="shared" si="6"/>
        <v>0</v>
      </c>
      <c r="M58" s="160">
        <f t="shared" si="6"/>
        <v>0</v>
      </c>
      <c r="N58" s="160">
        <f t="shared" si="6"/>
        <v>0</v>
      </c>
      <c r="O58" s="160">
        <f t="shared" si="6"/>
        <v>0</v>
      </c>
      <c r="P58" s="160">
        <f t="shared" si="6"/>
        <v>0</v>
      </c>
      <c r="Q58" s="160">
        <f t="shared" si="6"/>
        <v>0</v>
      </c>
      <c r="R58" s="160">
        <f t="shared" si="6"/>
        <v>0</v>
      </c>
      <c r="S58" s="160">
        <f t="shared" si="6"/>
        <v>0</v>
      </c>
      <c r="T58" s="160">
        <f t="shared" si="6"/>
        <v>0</v>
      </c>
      <c r="U58" s="160">
        <f t="shared" si="6"/>
        <v>0</v>
      </c>
      <c r="V58" s="160">
        <f t="shared" si="6"/>
        <v>0</v>
      </c>
      <c r="W58" s="160">
        <f t="shared" si="6"/>
        <v>0</v>
      </c>
      <c r="X58" s="160">
        <f t="shared" si="6"/>
        <v>0</v>
      </c>
      <c r="Y58" s="160">
        <f t="shared" si="6"/>
        <v>0</v>
      </c>
      <c r="Z58" s="160">
        <f t="shared" si="6"/>
        <v>0</v>
      </c>
      <c r="AA58" s="160">
        <f t="shared" si="6"/>
        <v>0</v>
      </c>
      <c r="AB58" s="160">
        <f t="shared" si="6"/>
        <v>0</v>
      </c>
      <c r="AC58" s="160">
        <f t="shared" si="6"/>
        <v>0</v>
      </c>
      <c r="AD58" s="160">
        <f t="shared" si="6"/>
        <v>0</v>
      </c>
      <c r="AE58" s="160">
        <f t="shared" si="6"/>
        <v>0</v>
      </c>
      <c r="AF58" s="160">
        <f t="shared" si="6"/>
        <v>0</v>
      </c>
      <c r="AG58" s="160">
        <f t="shared" si="6"/>
        <v>0</v>
      </c>
    </row>
  </sheetData>
  <mergeCells count="26">
    <mergeCell ref="B4:C4"/>
    <mergeCell ref="B5:C5"/>
    <mergeCell ref="B6:C6"/>
    <mergeCell ref="A18:B18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7:B37"/>
    <mergeCell ref="A38:B38"/>
    <mergeCell ref="A39:B39"/>
    <mergeCell ref="A49:C49"/>
    <mergeCell ref="A58:C58"/>
    <mergeCell ref="A30:B30"/>
    <mergeCell ref="A31:B31"/>
    <mergeCell ref="A32:B32"/>
    <mergeCell ref="A33:B33"/>
    <mergeCell ref="A34:B34"/>
    <mergeCell ref="A35:B35"/>
    <mergeCell ref="A36:B36"/>
  </mergeCells>
  <dataValidations count="1">
    <dataValidation type="list" allowBlank="1" showErrorMessage="1" sqref="B14" xr:uid="{00000000-0002-0000-0F00-000000000000}">
      <formula1>RegOutRecBruta</formula1>
    </dataValidation>
  </dataValidations>
  <pageMargins left="0.511811024" right="0.511811024" top="0.78740157499999996" bottom="0.78740157499999996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17">
    <tabColor theme="4"/>
    <pageSetUpPr fitToPage="1"/>
  </sheetPr>
  <dimension ref="A1:AJ292"/>
  <sheetViews>
    <sheetView workbookViewId="0"/>
  </sheetViews>
  <sheetFormatPr defaultColWidth="11.44140625" defaultRowHeight="15" customHeight="1"/>
  <cols>
    <col min="1" max="1" width="3" customWidth="1"/>
    <col min="2" max="2" width="44.5546875" customWidth="1"/>
    <col min="3" max="3" width="13.44140625" customWidth="1"/>
    <col min="4" max="4" width="12.5546875" customWidth="1"/>
    <col min="5" max="6" width="10.44140625" customWidth="1"/>
    <col min="7" max="10" width="10.21875" customWidth="1"/>
    <col min="11" max="11" width="10.5546875" customWidth="1"/>
    <col min="12" max="26" width="10.21875" customWidth="1"/>
    <col min="27" max="36" width="9.21875" customWidth="1"/>
  </cols>
  <sheetData>
    <row r="1" spans="1:36" ht="15" customHeight="1">
      <c r="A1" s="520"/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</row>
    <row r="2" spans="1:36" ht="27" customHeight="1">
      <c r="A2" s="522"/>
      <c r="B2" s="767" t="s">
        <v>472</v>
      </c>
      <c r="C2" s="813"/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3"/>
      <c r="T2" s="813"/>
      <c r="U2" s="813"/>
      <c r="V2" s="813"/>
      <c r="W2" s="813"/>
      <c r="X2" s="813"/>
      <c r="Y2" s="627"/>
      <c r="Z2" s="522"/>
      <c r="AA2" s="522"/>
      <c r="AB2" s="522"/>
      <c r="AC2" s="522"/>
      <c r="AD2" s="522"/>
      <c r="AE2" s="522"/>
      <c r="AF2" s="522"/>
      <c r="AG2" s="522"/>
      <c r="AH2" s="522"/>
      <c r="AI2" s="522"/>
      <c r="AJ2" s="522"/>
    </row>
    <row r="3" spans="1:36" ht="17.25" customHeight="1">
      <c r="A3" s="628"/>
      <c r="B3" s="629"/>
      <c r="C3" s="630"/>
      <c r="D3" s="630"/>
      <c r="E3" s="630"/>
      <c r="F3" s="630"/>
      <c r="G3" s="630"/>
      <c r="H3" s="630"/>
      <c r="I3" s="630"/>
      <c r="J3" s="630"/>
      <c r="K3" s="630"/>
      <c r="L3" s="630"/>
      <c r="M3" s="630"/>
      <c r="N3" s="630"/>
      <c r="O3" s="630"/>
      <c r="P3" s="630"/>
      <c r="Q3" s="630"/>
      <c r="R3" s="630"/>
      <c r="S3" s="630"/>
      <c r="T3" s="630"/>
      <c r="U3" s="630"/>
      <c r="V3" s="630"/>
      <c r="W3" s="630"/>
      <c r="X3" s="630"/>
      <c r="Y3" s="630"/>
      <c r="Z3" s="628"/>
      <c r="AA3" s="628"/>
      <c r="AB3" s="628"/>
      <c r="AC3" s="628"/>
      <c r="AD3" s="628"/>
      <c r="AE3" s="628"/>
      <c r="AF3" s="628"/>
      <c r="AG3" s="628"/>
      <c r="AH3" s="628"/>
      <c r="AI3" s="628"/>
      <c r="AJ3" s="628"/>
    </row>
    <row r="4" spans="1:36" ht="17.25" customHeight="1">
      <c r="A4" s="628"/>
      <c r="B4" s="167" t="s">
        <v>12</v>
      </c>
      <c r="C4" s="800" t="str">
        <f>'Painel de controle'!B6</f>
        <v>Lucro Real</v>
      </c>
      <c r="D4" s="818"/>
      <c r="E4" s="168">
        <f>VLOOKUP(C4,TipoTrib,2,0)</f>
        <v>3</v>
      </c>
      <c r="F4" s="630"/>
      <c r="G4" s="628"/>
      <c r="H4" s="628"/>
      <c r="I4" s="630"/>
      <c r="J4" s="628"/>
      <c r="K4" s="630"/>
      <c r="L4" s="630"/>
      <c r="M4" s="630"/>
      <c r="N4" s="630"/>
      <c r="O4" s="630"/>
      <c r="P4" s="630"/>
      <c r="Q4" s="630"/>
      <c r="R4" s="630"/>
      <c r="S4" s="630"/>
      <c r="T4" s="630"/>
      <c r="U4" s="630"/>
      <c r="V4" s="630"/>
      <c r="W4" s="630"/>
      <c r="X4" s="630"/>
      <c r="Y4" s="630"/>
      <c r="Z4" s="628"/>
      <c r="AA4" s="628"/>
      <c r="AB4" s="628"/>
      <c r="AC4" s="628"/>
      <c r="AD4" s="628"/>
      <c r="AE4" s="628"/>
      <c r="AF4" s="628"/>
      <c r="AG4" s="628"/>
      <c r="AH4" s="628"/>
      <c r="AI4" s="628"/>
      <c r="AJ4" s="628"/>
    </row>
    <row r="5" spans="1:36" ht="17.25" customHeight="1">
      <c r="A5" s="628"/>
      <c r="B5" s="565"/>
      <c r="C5" s="630"/>
      <c r="D5" s="630"/>
      <c r="E5" s="630"/>
      <c r="F5" s="630"/>
      <c r="G5" s="628"/>
      <c r="H5" s="628"/>
      <c r="I5" s="630"/>
      <c r="J5" s="628"/>
      <c r="K5" s="630"/>
      <c r="L5" s="630"/>
      <c r="M5" s="630"/>
      <c r="N5" s="630"/>
      <c r="O5" s="630"/>
      <c r="P5" s="630"/>
      <c r="Q5" s="630"/>
      <c r="R5" s="630"/>
      <c r="S5" s="630"/>
      <c r="T5" s="630"/>
      <c r="U5" s="630"/>
      <c r="V5" s="630"/>
      <c r="W5" s="630"/>
      <c r="X5" s="630"/>
      <c r="Y5" s="630"/>
      <c r="Z5" s="628"/>
      <c r="AA5" s="628"/>
      <c r="AB5" s="628"/>
      <c r="AC5" s="628"/>
      <c r="AD5" s="628"/>
      <c r="AE5" s="628"/>
      <c r="AF5" s="628"/>
      <c r="AG5" s="628"/>
      <c r="AH5" s="628"/>
      <c r="AI5" s="628"/>
      <c r="AJ5" s="628"/>
    </row>
    <row r="6" spans="1:36" ht="17.25" customHeight="1">
      <c r="A6" s="628"/>
      <c r="B6" s="565"/>
      <c r="C6" s="630"/>
      <c r="D6" s="801" t="s">
        <v>473</v>
      </c>
      <c r="E6" s="815"/>
      <c r="F6" s="815"/>
      <c r="G6" s="815"/>
      <c r="H6" s="815"/>
      <c r="I6" s="815"/>
      <c r="J6" s="815"/>
      <c r="K6" s="815"/>
      <c r="L6" s="815"/>
      <c r="M6" s="815"/>
      <c r="N6" s="815"/>
      <c r="O6" s="815"/>
      <c r="P6" s="815"/>
      <c r="Q6" s="815"/>
      <c r="R6" s="815"/>
      <c r="S6" s="815"/>
      <c r="T6" s="815"/>
      <c r="U6" s="815"/>
      <c r="V6" s="815"/>
      <c r="W6" s="815"/>
      <c r="X6" s="630"/>
      <c r="Y6" s="630"/>
      <c r="Z6" s="628"/>
      <c r="AA6" s="628"/>
      <c r="AB6" s="628"/>
      <c r="AC6" s="628"/>
      <c r="AD6" s="628"/>
      <c r="AE6" s="628"/>
      <c r="AF6" s="628"/>
      <c r="AG6" s="628"/>
      <c r="AH6" s="628"/>
      <c r="AI6" s="628"/>
      <c r="AJ6" s="628"/>
    </row>
    <row r="7" spans="1:36" ht="24" customHeight="1">
      <c r="A7" s="628"/>
      <c r="B7" s="109" t="s">
        <v>474</v>
      </c>
      <c r="C7" s="109" t="s">
        <v>165</v>
      </c>
      <c r="D7" s="109">
        <v>1</v>
      </c>
      <c r="E7" s="109">
        <v>2</v>
      </c>
      <c r="F7" s="109">
        <v>3</v>
      </c>
      <c r="G7" s="109">
        <v>4</v>
      </c>
      <c r="H7" s="109">
        <v>5</v>
      </c>
      <c r="I7" s="109">
        <v>6</v>
      </c>
      <c r="J7" s="109">
        <v>7</v>
      </c>
      <c r="K7" s="109">
        <v>8</v>
      </c>
      <c r="L7" s="109">
        <v>9</v>
      </c>
      <c r="M7" s="109">
        <v>10</v>
      </c>
      <c r="N7" s="109">
        <v>11</v>
      </c>
      <c r="O7" s="109">
        <v>12</v>
      </c>
      <c r="P7" s="109">
        <v>13</v>
      </c>
      <c r="Q7" s="109">
        <v>14</v>
      </c>
      <c r="R7" s="109">
        <v>15</v>
      </c>
      <c r="S7" s="109">
        <v>16</v>
      </c>
      <c r="T7" s="109">
        <v>17</v>
      </c>
      <c r="U7" s="109">
        <v>18</v>
      </c>
      <c r="V7" s="109">
        <v>19</v>
      </c>
      <c r="W7" s="109">
        <v>20</v>
      </c>
      <c r="X7" s="109">
        <v>21</v>
      </c>
      <c r="Y7" s="109">
        <v>22</v>
      </c>
      <c r="Z7" s="109">
        <v>23</v>
      </c>
      <c r="AA7" s="109">
        <v>24</v>
      </c>
      <c r="AB7" s="109">
        <v>25</v>
      </c>
      <c r="AC7" s="109">
        <v>26</v>
      </c>
      <c r="AD7" s="109">
        <v>27</v>
      </c>
      <c r="AE7" s="109">
        <v>28</v>
      </c>
      <c r="AF7" s="109">
        <v>29</v>
      </c>
      <c r="AG7" s="109">
        <v>30</v>
      </c>
      <c r="AH7" s="628"/>
      <c r="AI7" s="628"/>
      <c r="AJ7" s="628"/>
    </row>
    <row r="8" spans="1:36" ht="17.25" customHeight="1">
      <c r="A8" s="628"/>
      <c r="B8" s="631" t="s">
        <v>475</v>
      </c>
      <c r="C8" s="632" t="s">
        <v>450</v>
      </c>
      <c r="D8" s="633">
        <f t="shared" ref="D8:AG8" si="0">G94</f>
        <v>0</v>
      </c>
      <c r="E8" s="633">
        <f t="shared" si="0"/>
        <v>0</v>
      </c>
      <c r="F8" s="633">
        <f t="shared" si="0"/>
        <v>0</v>
      </c>
      <c r="G8" s="633">
        <f t="shared" si="0"/>
        <v>0</v>
      </c>
      <c r="H8" s="633">
        <f t="shared" si="0"/>
        <v>0</v>
      </c>
      <c r="I8" s="633">
        <f t="shared" si="0"/>
        <v>0</v>
      </c>
      <c r="J8" s="633">
        <f t="shared" si="0"/>
        <v>0</v>
      </c>
      <c r="K8" s="633">
        <f t="shared" si="0"/>
        <v>0</v>
      </c>
      <c r="L8" s="633">
        <f t="shared" si="0"/>
        <v>0</v>
      </c>
      <c r="M8" s="633">
        <f t="shared" si="0"/>
        <v>0</v>
      </c>
      <c r="N8" s="633">
        <f t="shared" si="0"/>
        <v>0</v>
      </c>
      <c r="O8" s="633">
        <f t="shared" si="0"/>
        <v>0</v>
      </c>
      <c r="P8" s="633">
        <f t="shared" si="0"/>
        <v>0</v>
      </c>
      <c r="Q8" s="633">
        <f t="shared" si="0"/>
        <v>0</v>
      </c>
      <c r="R8" s="633">
        <f t="shared" si="0"/>
        <v>0</v>
      </c>
      <c r="S8" s="633">
        <f t="shared" si="0"/>
        <v>0</v>
      </c>
      <c r="T8" s="633">
        <f t="shared" si="0"/>
        <v>0</v>
      </c>
      <c r="U8" s="633">
        <f t="shared" si="0"/>
        <v>0</v>
      </c>
      <c r="V8" s="633">
        <f t="shared" si="0"/>
        <v>0</v>
      </c>
      <c r="W8" s="633">
        <f t="shared" si="0"/>
        <v>0</v>
      </c>
      <c r="X8" s="633">
        <f t="shared" si="0"/>
        <v>0</v>
      </c>
      <c r="Y8" s="633">
        <f t="shared" si="0"/>
        <v>0</v>
      </c>
      <c r="Z8" s="633">
        <f t="shared" si="0"/>
        <v>0</v>
      </c>
      <c r="AA8" s="633">
        <f t="shared" si="0"/>
        <v>0</v>
      </c>
      <c r="AB8" s="633">
        <f t="shared" si="0"/>
        <v>0</v>
      </c>
      <c r="AC8" s="633">
        <f t="shared" si="0"/>
        <v>0</v>
      </c>
      <c r="AD8" s="633">
        <f t="shared" si="0"/>
        <v>0</v>
      </c>
      <c r="AE8" s="633">
        <f t="shared" si="0"/>
        <v>0</v>
      </c>
      <c r="AF8" s="633">
        <f t="shared" si="0"/>
        <v>0</v>
      </c>
      <c r="AG8" s="633">
        <f t="shared" si="0"/>
        <v>0</v>
      </c>
      <c r="AH8" s="628"/>
      <c r="AI8" s="628"/>
      <c r="AJ8" s="628"/>
    </row>
    <row r="9" spans="1:36" ht="17.25" customHeight="1">
      <c r="A9" s="628"/>
      <c r="B9" s="634" t="s">
        <v>476</v>
      </c>
      <c r="C9" s="635" t="s">
        <v>477</v>
      </c>
      <c r="D9" s="636">
        <f>IFERROR(D192/'A4 - Previsão de Receita Bruta'!C27,0)</f>
        <v>8.6499999999999994E-2</v>
      </c>
      <c r="E9" s="636">
        <f>IFERROR(E192/'A4 - Previsão de Receita Bruta'!D27,0)</f>
        <v>0.12348825574045032</v>
      </c>
      <c r="F9" s="636">
        <f>IFERROR(F192/'A4 - Previsão de Receita Bruta'!E27,0)</f>
        <v>0.12348850762429528</v>
      </c>
      <c r="G9" s="636">
        <f>IFERROR(G192/'A4 - Previsão de Receita Bruta'!F27,0)</f>
        <v>0.12348836143653381</v>
      </c>
      <c r="H9" s="636">
        <f>IFERROR(H192/'A4 - Previsão de Receita Bruta'!G27,0)</f>
        <v>0.12348818272848806</v>
      </c>
      <c r="I9" s="636">
        <f>IFERROR(I192/'A4 - Previsão de Receita Bruta'!H27,0)</f>
        <v>0.12348806797008269</v>
      </c>
      <c r="J9" s="636">
        <f>IFERROR(J192/'A4 - Previsão de Receita Bruta'!I27,0)</f>
        <v>0.12348846078162486</v>
      </c>
      <c r="K9" s="636">
        <f>IFERROR(K192/'A4 - Previsão de Receita Bruta'!J27,0)</f>
        <v>0.12348836727585115</v>
      </c>
      <c r="L9" s="636">
        <f>IFERROR(L192/'A4 - Previsão de Receita Bruta'!K27,0)</f>
        <v>0.12348848779567043</v>
      </c>
      <c r="M9" s="636">
        <f>IFERROR(M192/'A4 - Previsão de Receita Bruta'!L27,0)</f>
        <v>0.12348805855725786</v>
      </c>
      <c r="N9" s="636">
        <f>IFERROR(N192/'A4 - Previsão de Receita Bruta'!M27,0)</f>
        <v>0.12348818371468046</v>
      </c>
      <c r="O9" s="636">
        <f>IFERROR(O192/'A4 - Previsão de Receita Bruta'!N27,0)</f>
        <v>0.12348830475796377</v>
      </c>
      <c r="P9" s="636">
        <f>IFERROR(P192/'A4 - Previsão de Receita Bruta'!O27,0)</f>
        <v>0.12348820002756694</v>
      </c>
      <c r="Q9" s="636">
        <f>IFERROR(Q192/'A4 - Previsão de Receita Bruta'!P27,0)</f>
        <v>0.12348827416581981</v>
      </c>
      <c r="R9" s="636">
        <f>IFERROR(R192/'A4 - Previsão de Receita Bruta'!Q27,0)</f>
        <v>0.12348827431639733</v>
      </c>
      <c r="S9" s="636">
        <f>IFERROR(S192/'A4 - Previsão de Receita Bruta'!R27,0)</f>
        <v>0.1234881995330781</v>
      </c>
      <c r="T9" s="636">
        <f>IFERROR(T192/'A4 - Previsão de Receita Bruta'!S27,0)</f>
        <v>0.12348811273296198</v>
      </c>
      <c r="U9" s="636">
        <f>IFERROR(U192/'A4 - Previsão de Receita Bruta'!T27,0)</f>
        <v>0.12348828464157832</v>
      </c>
      <c r="V9" s="636">
        <f>IFERROR(V192/'A4 - Previsão de Receita Bruta'!U27,0)</f>
        <v>0.12348842227885792</v>
      </c>
      <c r="W9" s="636">
        <f>IFERROR(W192/'A4 - Previsão de Receita Bruta'!V27,0)</f>
        <v>0.123488395268922</v>
      </c>
      <c r="X9" s="636">
        <f>IFERROR(X192/'A4 - Previsão de Receita Bruta'!W27,0)</f>
        <v>0.123488395268922</v>
      </c>
      <c r="Y9" s="636">
        <f>IFERROR(Y192/'A4 - Previsão de Receita Bruta'!X27,0)</f>
        <v>0.123488395268922</v>
      </c>
      <c r="Z9" s="636">
        <f>IFERROR(Z192/'A4 - Previsão de Receita Bruta'!Y27,0)</f>
        <v>0.123488395268922</v>
      </c>
      <c r="AA9" s="636">
        <f>IFERROR(AA192/'A4 - Previsão de Receita Bruta'!Z27,0)</f>
        <v>0.123488395268922</v>
      </c>
      <c r="AB9" s="636">
        <f>IFERROR(AB192/'A4 - Previsão de Receita Bruta'!AA27,0)</f>
        <v>0.123488395268922</v>
      </c>
      <c r="AC9" s="636">
        <f>IFERROR(AC192/'A4 - Previsão de Receita Bruta'!AB27,0)</f>
        <v>0.123488395268922</v>
      </c>
      <c r="AD9" s="636">
        <f>IFERROR(AD192/'A4 - Previsão de Receita Bruta'!AC27,0)</f>
        <v>0.123488395268922</v>
      </c>
      <c r="AE9" s="636">
        <f>IFERROR(AE192/'A4 - Previsão de Receita Bruta'!AD27,0)</f>
        <v>0.123488395268922</v>
      </c>
      <c r="AF9" s="636">
        <f>IFERROR(AF192/'A4 - Previsão de Receita Bruta'!AE27,0)</f>
        <v>0.123488395268922</v>
      </c>
      <c r="AG9" s="636">
        <f>IFERROR(AG192/'A4 - Previsão de Receita Bruta'!AF27,0)</f>
        <v>0.123488395268922</v>
      </c>
      <c r="AH9" s="628"/>
      <c r="AI9" s="628"/>
      <c r="AJ9" s="628"/>
    </row>
    <row r="10" spans="1:36" ht="17.25" customHeight="1">
      <c r="A10" s="628"/>
      <c r="B10" s="637"/>
      <c r="C10" s="635" t="s">
        <v>478</v>
      </c>
      <c r="D10" s="636">
        <f>IFERROR((D219+D243)/'A4 - Previsão de Receita Bruta'!C27,0)</f>
        <v>0.10710019239697308</v>
      </c>
      <c r="E10" s="636">
        <f>IFERROR((E219+E243)/'A4 - Previsão de Receita Bruta'!D27,0)</f>
        <v>8.6041848059666526E-2</v>
      </c>
      <c r="F10" s="636">
        <f>IFERROR((F219+F243)/'A4 - Previsão de Receita Bruta'!E27,0)</f>
        <v>8.6060543521800759E-2</v>
      </c>
      <c r="G10" s="636">
        <f>IFERROR((G219+G243)/'A4 - Previsão de Receita Bruta'!F27,0)</f>
        <v>8.6077722967496495E-2</v>
      </c>
      <c r="H10" s="636">
        <f>IFERROR((H219+H243)/'A4 - Previsão de Receita Bruta'!G27,0)</f>
        <v>8.6094132294023309E-2</v>
      </c>
      <c r="I10" s="636">
        <f>IFERROR((I219+I243)/'A4 - Previsão de Receita Bruta'!H27,0)</f>
        <v>8.6109789248179289E-2</v>
      </c>
      <c r="J10" s="636">
        <f>IFERROR((J219+J243)/'A4 - Previsão de Receita Bruta'!I27,0)</f>
        <v>8.6124625632332738E-2</v>
      </c>
      <c r="K10" s="636">
        <f>IFERROR((K219+K243)/'A4 - Previsão de Receita Bruta'!J27,0)</f>
        <v>8.6139266623660476E-2</v>
      </c>
      <c r="L10" s="636">
        <f>IFERROR((L219+L243)/'A4 - Previsão de Receita Bruta'!K27,0)</f>
        <v>8.6153166278736981E-2</v>
      </c>
      <c r="M10" s="636">
        <f>IFERROR((M219+M243)/'A4 - Previsão de Receita Bruta'!L27,0)</f>
        <v>8.6166821825206477E-2</v>
      </c>
      <c r="N10" s="636">
        <f>IFERROR((N219+N243)/'A4 - Previsão de Receita Bruta'!M27,0)</f>
        <v>8.6179760862469396E-2</v>
      </c>
      <c r="O10" s="636">
        <f>IFERROR((O219+O243)/'A4 - Previsão de Receita Bruta'!N27,0)</f>
        <v>8.6192312470848673E-2</v>
      </c>
      <c r="P10" s="636">
        <f>IFERROR((P219+P243)/'A4 - Previsão de Receita Bruta'!O27,0)</f>
        <v>8.6204642419132685E-2</v>
      </c>
      <c r="Q10" s="636">
        <f>IFERROR((Q219+Q243)/'A4 - Previsão de Receita Bruta'!P27,0)</f>
        <v>8.6216499807579824E-2</v>
      </c>
      <c r="R10" s="636">
        <f>IFERROR((R219+R243)/'A4 - Previsão de Receita Bruta'!Q27,0)</f>
        <v>8.6228044852774466E-2</v>
      </c>
      <c r="S10" s="636">
        <f>IFERROR((S219+S243)/'A4 - Previsão de Receita Bruta'!R27,0)</f>
        <v>8.6239261099081768E-2</v>
      </c>
      <c r="T10" s="636">
        <f>IFERROR((T219+T243)/'A4 - Previsão de Receita Bruta'!S27,0)</f>
        <v>8.6250105106592104E-2</v>
      </c>
      <c r="U10" s="636">
        <f>IFERROR((U219+U243)/'A4 - Previsão de Receita Bruta'!T27,0)</f>
        <v>8.6260390210949209E-2</v>
      </c>
      <c r="V10" s="636">
        <f>IFERROR((V219+V243)/'A4 - Previsão de Receita Bruta'!U27,0)</f>
        <v>8.627028221063511E-2</v>
      </c>
      <c r="W10" s="636">
        <f>IFERROR((W219+W243)/'A4 - Previsão de Receita Bruta'!V27,0)</f>
        <v>8.6279836330975287E-2</v>
      </c>
      <c r="X10" s="636">
        <f>IFERROR((X219+X243)/'A4 - Previsão de Receita Bruta'!W27,0)</f>
        <v>8.6279836330975287E-2</v>
      </c>
      <c r="Y10" s="636">
        <f>IFERROR((Y219+Y243)/'A4 - Previsão de Receita Bruta'!X27,0)</f>
        <v>8.6279836330975287E-2</v>
      </c>
      <c r="Z10" s="636">
        <f>IFERROR((Z219+Z243)/'A4 - Previsão de Receita Bruta'!Y27,0)</f>
        <v>8.6279836330975287E-2</v>
      </c>
      <c r="AA10" s="636">
        <f>IFERROR((AA219+AA243)/'A4 - Previsão de Receita Bruta'!Z27,0)</f>
        <v>8.6279836330975287E-2</v>
      </c>
      <c r="AB10" s="636">
        <f>IFERROR((AB219+AB243)/'A4 - Previsão de Receita Bruta'!AA27,0)</f>
        <v>8.6279836330975287E-2</v>
      </c>
      <c r="AC10" s="636">
        <f>IFERROR((AC219+AC243)/'A4 - Previsão de Receita Bruta'!AB27,0)</f>
        <v>8.6279836330975287E-2</v>
      </c>
      <c r="AD10" s="636">
        <f>IFERROR((AD219+AD243)/'A4 - Previsão de Receita Bruta'!AC27,0)</f>
        <v>8.6279836330975287E-2</v>
      </c>
      <c r="AE10" s="636">
        <f>IFERROR((AE219+AE243)/'A4 - Previsão de Receita Bruta'!AD27,0)</f>
        <v>8.6279836330975287E-2</v>
      </c>
      <c r="AF10" s="636">
        <f>IFERROR((AF219+AF243)/'A4 - Previsão de Receita Bruta'!AE27,0)</f>
        <v>8.6279836330975287E-2</v>
      </c>
      <c r="AG10" s="636">
        <f>IFERROR((AG219+AG243)/'A4 - Previsão de Receita Bruta'!AF27,0)</f>
        <v>8.6279836330975287E-2</v>
      </c>
      <c r="AH10" s="628"/>
      <c r="AI10" s="628"/>
      <c r="AJ10" s="628"/>
    </row>
    <row r="11" spans="1:36" ht="17.25" customHeight="1">
      <c r="A11" s="628"/>
      <c r="B11" s="637"/>
      <c r="C11" s="169" t="s">
        <v>450</v>
      </c>
      <c r="D11" s="170">
        <f t="shared" ref="D11:AG11" si="1">SUM(D9:D10)</f>
        <v>0.19360019239697307</v>
      </c>
      <c r="E11" s="170">
        <f t="shared" si="1"/>
        <v>0.20953010380011683</v>
      </c>
      <c r="F11" s="170">
        <f t="shared" si="1"/>
        <v>0.20954905114609604</v>
      </c>
      <c r="G11" s="170">
        <f t="shared" si="1"/>
        <v>0.2095660844040303</v>
      </c>
      <c r="H11" s="170">
        <f t="shared" si="1"/>
        <v>0.20958231502251137</v>
      </c>
      <c r="I11" s="170">
        <f t="shared" si="1"/>
        <v>0.20959785721826196</v>
      </c>
      <c r="J11" s="170">
        <f t="shared" si="1"/>
        <v>0.20961308641395759</v>
      </c>
      <c r="K11" s="170">
        <f t="shared" si="1"/>
        <v>0.20962763389951161</v>
      </c>
      <c r="L11" s="170">
        <f t="shared" si="1"/>
        <v>0.20964165407440741</v>
      </c>
      <c r="M11" s="170">
        <f t="shared" si="1"/>
        <v>0.20965488038246433</v>
      </c>
      <c r="N11" s="170">
        <f t="shared" si="1"/>
        <v>0.20966794457714985</v>
      </c>
      <c r="O11" s="170">
        <f t="shared" si="1"/>
        <v>0.20968061722881243</v>
      </c>
      <c r="P11" s="170">
        <f t="shared" si="1"/>
        <v>0.20969284244669961</v>
      </c>
      <c r="Q11" s="170">
        <f t="shared" si="1"/>
        <v>0.20970477397339965</v>
      </c>
      <c r="R11" s="170">
        <f t="shared" si="1"/>
        <v>0.2097163191691718</v>
      </c>
      <c r="S11" s="170">
        <f t="shared" si="1"/>
        <v>0.20972746063215986</v>
      </c>
      <c r="T11" s="170">
        <f t="shared" si="1"/>
        <v>0.2097382178395541</v>
      </c>
      <c r="U11" s="170">
        <f t="shared" si="1"/>
        <v>0.20974867485252752</v>
      </c>
      <c r="V11" s="170">
        <f t="shared" si="1"/>
        <v>0.20975870448949302</v>
      </c>
      <c r="W11" s="170">
        <f t="shared" si="1"/>
        <v>0.20976823159989727</v>
      </c>
      <c r="X11" s="170">
        <f t="shared" si="1"/>
        <v>0.20976823159989727</v>
      </c>
      <c r="Y11" s="170">
        <f t="shared" si="1"/>
        <v>0.20976823159989727</v>
      </c>
      <c r="Z11" s="170">
        <f t="shared" si="1"/>
        <v>0.20976823159989727</v>
      </c>
      <c r="AA11" s="170">
        <f t="shared" si="1"/>
        <v>0.20976823159989727</v>
      </c>
      <c r="AB11" s="170">
        <f t="shared" si="1"/>
        <v>0.20976823159989727</v>
      </c>
      <c r="AC11" s="170">
        <f t="shared" si="1"/>
        <v>0.20976823159989727</v>
      </c>
      <c r="AD11" s="170">
        <f t="shared" si="1"/>
        <v>0.20976823159989727</v>
      </c>
      <c r="AE11" s="170">
        <f t="shared" si="1"/>
        <v>0.20976823159989727</v>
      </c>
      <c r="AF11" s="170">
        <f t="shared" si="1"/>
        <v>0.20976823159989727</v>
      </c>
      <c r="AG11" s="170">
        <f t="shared" si="1"/>
        <v>0.20976823159989727</v>
      </c>
      <c r="AH11" s="628"/>
      <c r="AI11" s="628"/>
      <c r="AJ11" s="628"/>
    </row>
    <row r="12" spans="1:36" ht="17.25" customHeight="1">
      <c r="A12" s="628"/>
      <c r="B12" s="631" t="s">
        <v>13</v>
      </c>
      <c r="C12" s="638" t="s">
        <v>477</v>
      </c>
      <c r="D12" s="639">
        <f>IFERROR(D272/'A4 - Previsão de Receita Bruta'!C27,0)</f>
        <v>0.14250000000000002</v>
      </c>
      <c r="E12" s="639">
        <f>IFERROR(E272/'A4 - Previsão de Receita Bruta'!D27,0)</f>
        <v>0.17948825574045033</v>
      </c>
      <c r="F12" s="639">
        <f>IFERROR(F272/'A4 - Previsão de Receita Bruta'!E27,0)</f>
        <v>0.1794885076242953</v>
      </c>
      <c r="G12" s="639">
        <f>IFERROR(G272/'A4 - Previsão de Receita Bruta'!F27,0)</f>
        <v>0.17948836143653385</v>
      </c>
      <c r="H12" s="639">
        <f>IFERROR(H272/'A4 - Previsão de Receita Bruta'!G27,0)</f>
        <v>0.1794881827284881</v>
      </c>
      <c r="I12" s="639">
        <f>IFERROR(I272/'A4 - Previsão de Receita Bruta'!H27,0)</f>
        <v>0.17948806797008274</v>
      </c>
      <c r="J12" s="639">
        <f>IFERROR(J272/'A4 - Previsão de Receita Bruta'!I27,0)</f>
        <v>0.17948846078162484</v>
      </c>
      <c r="K12" s="639">
        <f>IFERROR(K272/'A4 - Previsão de Receita Bruta'!J27,0)</f>
        <v>0.17948836727585119</v>
      </c>
      <c r="L12" s="639">
        <f>IFERROR(L272/'A4 - Previsão de Receita Bruta'!K27,0)</f>
        <v>0.17948848779567042</v>
      </c>
      <c r="M12" s="639">
        <f>IFERROR(M272/'A4 - Previsão de Receita Bruta'!L27,0)</f>
        <v>0.17948805855725788</v>
      </c>
      <c r="N12" s="639">
        <f>IFERROR(N272/'A4 - Previsão de Receita Bruta'!M27,0)</f>
        <v>0.1794881837146805</v>
      </c>
      <c r="O12" s="639">
        <f>IFERROR(O272/'A4 - Previsão de Receita Bruta'!N27,0)</f>
        <v>0.17948830475796376</v>
      </c>
      <c r="P12" s="639">
        <f>IFERROR(P272/'A4 - Previsão de Receita Bruta'!O27,0)</f>
        <v>0.17948820002756699</v>
      </c>
      <c r="Q12" s="639">
        <f>IFERROR(Q272/'A4 - Previsão de Receita Bruta'!P27,0)</f>
        <v>0.17948827416581983</v>
      </c>
      <c r="R12" s="639">
        <f>IFERROR(R272/'A4 - Previsão de Receita Bruta'!Q27,0)</f>
        <v>0.17948827431639738</v>
      </c>
      <c r="S12" s="639">
        <f>IFERROR(S272/'A4 - Previsão de Receita Bruta'!R27,0)</f>
        <v>0.1794881995330781</v>
      </c>
      <c r="T12" s="639">
        <f>IFERROR(T272/'A4 - Previsão de Receita Bruta'!S27,0)</f>
        <v>0.17948811273296197</v>
      </c>
      <c r="U12" s="639">
        <f>IFERROR(U272/'A4 - Previsão de Receita Bruta'!T27,0)</f>
        <v>0.17948828464157832</v>
      </c>
      <c r="V12" s="639">
        <f>IFERROR(V272/'A4 - Previsão de Receita Bruta'!U27,0)</f>
        <v>0.17948842227885792</v>
      </c>
      <c r="W12" s="639">
        <f>IFERROR(W272/'A4 - Previsão de Receita Bruta'!V27,0)</f>
        <v>0.17948839526892199</v>
      </c>
      <c r="X12" s="639">
        <f>IFERROR(X272/'A4 - Previsão de Receita Bruta'!W27,0)</f>
        <v>0.17948839526892199</v>
      </c>
      <c r="Y12" s="639">
        <f>IFERROR(Y272/'A4 - Previsão de Receita Bruta'!X27,0)</f>
        <v>0.17948839526892199</v>
      </c>
      <c r="Z12" s="639">
        <f>IFERROR(Z272/'A4 - Previsão de Receita Bruta'!Y27,0)</f>
        <v>0.17948839526892199</v>
      </c>
      <c r="AA12" s="639">
        <f>IFERROR(AA272/'A4 - Previsão de Receita Bruta'!Z27,0)</f>
        <v>0.17948839526892199</v>
      </c>
      <c r="AB12" s="639">
        <f>IFERROR(AB272/'A4 - Previsão de Receita Bruta'!AA27,0)</f>
        <v>0.17948839526892199</v>
      </c>
      <c r="AC12" s="639">
        <f>IFERROR(AC272/'A4 - Previsão de Receita Bruta'!AB27,0)</f>
        <v>0.17948839526892199</v>
      </c>
      <c r="AD12" s="639">
        <f>IFERROR(AD272/'A4 - Previsão de Receita Bruta'!AC27,0)</f>
        <v>0.17948839526892199</v>
      </c>
      <c r="AE12" s="639">
        <f>IFERROR(AE272/'A4 - Previsão de Receita Bruta'!AD27,0)</f>
        <v>0.17948839526892199</v>
      </c>
      <c r="AF12" s="639">
        <f>IFERROR(AF272/'A4 - Previsão de Receita Bruta'!AE27,0)</f>
        <v>0.17948839526892199</v>
      </c>
      <c r="AG12" s="639">
        <f>IFERROR(AG272/'A4 - Previsão de Receita Bruta'!AF27,0)</f>
        <v>0.17948839526892199</v>
      </c>
      <c r="AH12" s="628"/>
      <c r="AI12" s="628"/>
      <c r="AJ12" s="628"/>
    </row>
    <row r="13" spans="1:36" ht="17.25" customHeight="1">
      <c r="A13" s="628"/>
      <c r="B13" s="631"/>
      <c r="C13" s="638" t="s">
        <v>478</v>
      </c>
      <c r="D13" s="639">
        <f>IFERROR(D291/'A4 - Previsão de Receita Bruta'!C27,0)</f>
        <v>0</v>
      </c>
      <c r="E13" s="639">
        <f>IFERROR(E291/'A4 - Previsão de Receita Bruta'!D27,0)</f>
        <v>7.5833212831874178E-2</v>
      </c>
      <c r="F13" s="639">
        <f>IFERROR(F291/'A4 - Previsão de Receita Bruta'!E27,0)</f>
        <v>7.4830244792400427E-2</v>
      </c>
      <c r="G13" s="639">
        <f>IFERROR(G291/'A4 - Previsão de Receita Bruta'!F27,0)</f>
        <v>7.8173720626875026E-2</v>
      </c>
      <c r="H13" s="639">
        <f>IFERROR(H291/'A4 - Previsão de Receita Bruta'!G27,0)</f>
        <v>8.2583330564583154E-2</v>
      </c>
      <c r="I13" s="639">
        <f>IFERROR(I291/'A4 - Previsão de Receita Bruta'!H27,0)</f>
        <v>8.6596453840613763E-2</v>
      </c>
      <c r="J13" s="639">
        <f>IFERROR(J291/'A4 - Previsão de Receita Bruta'!I27,0)</f>
        <v>9.0673468858604431E-2</v>
      </c>
      <c r="K13" s="639">
        <f>IFERROR(K291/'A4 - Previsão de Receita Bruta'!J27,0)</f>
        <v>9.4620790295830398E-2</v>
      </c>
      <c r="L13" s="639">
        <f>IFERROR(L291/'A4 - Previsão de Receita Bruta'!K27,0)</f>
        <v>9.8401103171785895E-2</v>
      </c>
      <c r="M13" s="639">
        <f>IFERROR(M291/'A4 - Previsão de Receita Bruta'!L27,0)</f>
        <v>0.10202318078581243</v>
      </c>
      <c r="N13" s="639">
        <f>IFERROR(N291/'A4 - Previsão de Receita Bruta'!M27,0)</f>
        <v>0.10527381493086528</v>
      </c>
      <c r="O13" s="639">
        <f>IFERROR(O291/'A4 - Previsão de Receita Bruta'!N27,0)</f>
        <v>0.1086940371354988</v>
      </c>
      <c r="P13" s="639">
        <f>IFERROR(P291/'A4 - Previsão de Receita Bruta'!O27,0)</f>
        <v>0.1120138629239799</v>
      </c>
      <c r="Q13" s="639">
        <f>IFERROR(Q291/'A4 - Previsão de Receita Bruta'!P27,0)</f>
        <v>0.11523583937184667</v>
      </c>
      <c r="R13" s="639">
        <f>IFERROR(R291/'A4 - Previsão de Receita Bruta'!Q27,0)</f>
        <v>0.1183601628497776</v>
      </c>
      <c r="S13" s="639">
        <f>IFERROR(S291/'A4 - Previsão de Receita Bruta'!R27,0)</f>
        <v>0.1212305139955869</v>
      </c>
      <c r="T13" s="639">
        <f>IFERROR(T291/'A4 - Previsão de Receita Bruta'!S27,0)</f>
        <v>0.12415354962631743</v>
      </c>
      <c r="U13" s="639">
        <f>IFERROR(U291/'A4 - Previsão de Receita Bruta'!T27,0)</f>
        <v>0.12696621714760356</v>
      </c>
      <c r="V13" s="639">
        <f>IFERROR(V291/'A4 - Previsão de Receita Bruta'!U27,0)</f>
        <v>0.12966418096298754</v>
      </c>
      <c r="W13" s="639">
        <f>IFERROR(W291/'A4 - Previsão de Receita Bruta'!V27,0)</f>
        <v>0.13224578302293388</v>
      </c>
      <c r="X13" s="639">
        <f>IFERROR(X291/'A4 - Previsão de Receita Bruta'!W27,0)</f>
        <v>0.13207490667606889</v>
      </c>
      <c r="Y13" s="639">
        <f>IFERROR(Y291/'A4 - Previsão de Receita Bruta'!X27,0)</f>
        <v>0.13210740381418179</v>
      </c>
      <c r="Z13" s="639">
        <f>IFERROR(Z291/'A4 - Previsão de Receita Bruta'!Y27,0)</f>
        <v>0.13214191964997354</v>
      </c>
      <c r="AA13" s="639">
        <f>IFERROR(AA291/'A4 - Previsão de Receita Bruta'!Z27,0)</f>
        <v>0.1321764354857653</v>
      </c>
      <c r="AB13" s="639">
        <f>IFERROR(AB291/'A4 - Previsão de Receita Bruta'!AA27,0)</f>
        <v>0.13220893262387823</v>
      </c>
      <c r="AC13" s="639">
        <f>IFERROR(AC291/'A4 - Previsão de Receita Bruta'!AB27,0)</f>
        <v>0.13211041127667195</v>
      </c>
      <c r="AD13" s="639">
        <f>IFERROR(AD291/'A4 - Previsão de Receita Bruta'!AC27,0)</f>
        <v>0.13214492711246367</v>
      </c>
      <c r="AE13" s="639">
        <f>IFERROR(AE291/'A4 - Previsão de Receita Bruta'!AD27,0)</f>
        <v>0.1321774242505766</v>
      </c>
      <c r="AF13" s="639">
        <f>IFERROR(AF291/'A4 - Previsão de Receita Bruta'!AE27,0)</f>
        <v>0.13221194008636838</v>
      </c>
      <c r="AG13" s="639">
        <f>IFERROR(AG291/'A4 - Previsão de Receita Bruta'!AF27,0)</f>
        <v>0.13224645592216017</v>
      </c>
      <c r="AH13" s="628"/>
      <c r="AI13" s="628"/>
      <c r="AJ13" s="628"/>
    </row>
    <row r="14" spans="1:36" ht="17.25" customHeight="1">
      <c r="A14" s="628"/>
      <c r="B14" s="631"/>
      <c r="C14" s="171" t="s">
        <v>450</v>
      </c>
      <c r="D14" s="172">
        <f t="shared" ref="D14:AG14" si="2">SUM(D12:D13)</f>
        <v>0.14250000000000002</v>
      </c>
      <c r="E14" s="172">
        <f t="shared" si="2"/>
        <v>0.25532146857232452</v>
      </c>
      <c r="F14" s="172">
        <f t="shared" si="2"/>
        <v>0.25431875241669571</v>
      </c>
      <c r="G14" s="172">
        <f t="shared" si="2"/>
        <v>0.2576620820634089</v>
      </c>
      <c r="H14" s="172">
        <f t="shared" si="2"/>
        <v>0.26207151329307127</v>
      </c>
      <c r="I14" s="172">
        <f t="shared" si="2"/>
        <v>0.26608452181069653</v>
      </c>
      <c r="J14" s="172">
        <f t="shared" si="2"/>
        <v>0.27016192964022928</v>
      </c>
      <c r="K14" s="172">
        <f t="shared" si="2"/>
        <v>0.27410915757168158</v>
      </c>
      <c r="L14" s="172">
        <f t="shared" si="2"/>
        <v>0.2778895909674563</v>
      </c>
      <c r="M14" s="172">
        <f t="shared" si="2"/>
        <v>0.28151123934307032</v>
      </c>
      <c r="N14" s="172">
        <f t="shared" si="2"/>
        <v>0.2847619986455458</v>
      </c>
      <c r="O14" s="172">
        <f t="shared" si="2"/>
        <v>0.28818234189346259</v>
      </c>
      <c r="P14" s="172">
        <f t="shared" si="2"/>
        <v>0.2915020629515469</v>
      </c>
      <c r="Q14" s="172">
        <f t="shared" si="2"/>
        <v>0.29472411353766648</v>
      </c>
      <c r="R14" s="172">
        <f t="shared" si="2"/>
        <v>0.29784843716617498</v>
      </c>
      <c r="S14" s="172">
        <f t="shared" si="2"/>
        <v>0.30071871352866497</v>
      </c>
      <c r="T14" s="172">
        <f t="shared" si="2"/>
        <v>0.30364166235927942</v>
      </c>
      <c r="U14" s="172">
        <f t="shared" si="2"/>
        <v>0.30645450178918188</v>
      </c>
      <c r="V14" s="172">
        <f t="shared" si="2"/>
        <v>0.30915260324184546</v>
      </c>
      <c r="W14" s="172">
        <f t="shared" si="2"/>
        <v>0.3117341782918559</v>
      </c>
      <c r="X14" s="172">
        <f t="shared" si="2"/>
        <v>0.31156330194499088</v>
      </c>
      <c r="Y14" s="172">
        <f t="shared" si="2"/>
        <v>0.31159579908310375</v>
      </c>
      <c r="Z14" s="172">
        <f t="shared" si="2"/>
        <v>0.31163031491889553</v>
      </c>
      <c r="AA14" s="172">
        <f t="shared" si="2"/>
        <v>0.31166483075468732</v>
      </c>
      <c r="AB14" s="172">
        <f t="shared" si="2"/>
        <v>0.31169732789280025</v>
      </c>
      <c r="AC14" s="172">
        <f t="shared" si="2"/>
        <v>0.31159880654559391</v>
      </c>
      <c r="AD14" s="172">
        <f t="shared" si="2"/>
        <v>0.31163332238138564</v>
      </c>
      <c r="AE14" s="172">
        <f t="shared" si="2"/>
        <v>0.31166581951949857</v>
      </c>
      <c r="AF14" s="172">
        <f t="shared" si="2"/>
        <v>0.3117003353552904</v>
      </c>
      <c r="AG14" s="172">
        <f t="shared" si="2"/>
        <v>0.31173485119108213</v>
      </c>
      <c r="AH14" s="628"/>
      <c r="AI14" s="628"/>
      <c r="AJ14" s="628"/>
    </row>
    <row r="15" spans="1:36" ht="17.25" customHeight="1">
      <c r="A15" s="628"/>
      <c r="B15" s="634" t="s">
        <v>479</v>
      </c>
      <c r="C15" s="635" t="s">
        <v>477</v>
      </c>
      <c r="D15" s="636">
        <f t="shared" ref="D15:AG15" si="3">IF(D18="SN",D8,IF(D18="LP",D9,D12))</f>
        <v>0.14250000000000002</v>
      </c>
      <c r="E15" s="636">
        <f t="shared" si="3"/>
        <v>0.12348825574045032</v>
      </c>
      <c r="F15" s="636">
        <f t="shared" si="3"/>
        <v>0.12348850762429528</v>
      </c>
      <c r="G15" s="636">
        <f t="shared" si="3"/>
        <v>0.12348836143653381</v>
      </c>
      <c r="H15" s="636">
        <f t="shared" si="3"/>
        <v>0.12348818272848806</v>
      </c>
      <c r="I15" s="636">
        <f t="shared" si="3"/>
        <v>0.17948806797008274</v>
      </c>
      <c r="J15" s="636">
        <f t="shared" si="3"/>
        <v>0.17948846078162484</v>
      </c>
      <c r="K15" s="636">
        <f t="shared" si="3"/>
        <v>0.17948836727585119</v>
      </c>
      <c r="L15" s="636">
        <f t="shared" si="3"/>
        <v>0.17948848779567042</v>
      </c>
      <c r="M15" s="636">
        <f t="shared" si="3"/>
        <v>0.17948805855725788</v>
      </c>
      <c r="N15" s="636">
        <f t="shared" si="3"/>
        <v>0.1794881837146805</v>
      </c>
      <c r="O15" s="636">
        <f t="shared" si="3"/>
        <v>0.17948830475796376</v>
      </c>
      <c r="P15" s="636">
        <f t="shared" si="3"/>
        <v>0.17948820002756699</v>
      </c>
      <c r="Q15" s="636">
        <f t="shared" si="3"/>
        <v>0.17948827416581983</v>
      </c>
      <c r="R15" s="636">
        <f t="shared" si="3"/>
        <v>0.17948827431639738</v>
      </c>
      <c r="S15" s="636">
        <f t="shared" si="3"/>
        <v>0.1794881995330781</v>
      </c>
      <c r="T15" s="636">
        <f t="shared" si="3"/>
        <v>0.17948811273296197</v>
      </c>
      <c r="U15" s="636">
        <f t="shared" si="3"/>
        <v>0.17948828464157832</v>
      </c>
      <c r="V15" s="636">
        <f t="shared" si="3"/>
        <v>0.17948842227885792</v>
      </c>
      <c r="W15" s="636">
        <f t="shared" si="3"/>
        <v>0.17948839526892199</v>
      </c>
      <c r="X15" s="636">
        <f t="shared" si="3"/>
        <v>0.17948839526892199</v>
      </c>
      <c r="Y15" s="636">
        <f t="shared" si="3"/>
        <v>0.17948839526892199</v>
      </c>
      <c r="Z15" s="636">
        <f t="shared" si="3"/>
        <v>0.17948839526892199</v>
      </c>
      <c r="AA15" s="636">
        <f t="shared" si="3"/>
        <v>0.17948839526892199</v>
      </c>
      <c r="AB15" s="636">
        <f t="shared" si="3"/>
        <v>0.17948839526892199</v>
      </c>
      <c r="AC15" s="636">
        <f t="shared" si="3"/>
        <v>0.17948839526892199</v>
      </c>
      <c r="AD15" s="636">
        <f t="shared" si="3"/>
        <v>0.17948839526892199</v>
      </c>
      <c r="AE15" s="636">
        <f t="shared" si="3"/>
        <v>0.17948839526892199</v>
      </c>
      <c r="AF15" s="636">
        <f t="shared" si="3"/>
        <v>0.17948839526892199</v>
      </c>
      <c r="AG15" s="636">
        <f t="shared" si="3"/>
        <v>0.17948839526892199</v>
      </c>
      <c r="AH15" s="628"/>
      <c r="AI15" s="628"/>
      <c r="AJ15" s="628"/>
    </row>
    <row r="16" spans="1:36" ht="17.25" customHeight="1">
      <c r="A16" s="628"/>
      <c r="B16" s="634"/>
      <c r="C16" s="635" t="s">
        <v>478</v>
      </c>
      <c r="D16" s="636">
        <f t="shared" ref="D16:AG16" si="4">IF(D18="SN",0,IF(D18="LP",D10,D13))</f>
        <v>0</v>
      </c>
      <c r="E16" s="636">
        <f t="shared" si="4"/>
        <v>8.6041848059666526E-2</v>
      </c>
      <c r="F16" s="636">
        <f t="shared" si="4"/>
        <v>8.6060543521800759E-2</v>
      </c>
      <c r="G16" s="636">
        <f t="shared" si="4"/>
        <v>8.6077722967496495E-2</v>
      </c>
      <c r="H16" s="636">
        <f t="shared" si="4"/>
        <v>8.6094132294023309E-2</v>
      </c>
      <c r="I16" s="636">
        <f t="shared" si="4"/>
        <v>8.6596453840613763E-2</v>
      </c>
      <c r="J16" s="636">
        <f t="shared" si="4"/>
        <v>9.0673468858604431E-2</v>
      </c>
      <c r="K16" s="636">
        <f t="shared" si="4"/>
        <v>9.4620790295830398E-2</v>
      </c>
      <c r="L16" s="636">
        <f t="shared" si="4"/>
        <v>9.8401103171785895E-2</v>
      </c>
      <c r="M16" s="636">
        <f t="shared" si="4"/>
        <v>0.10202318078581243</v>
      </c>
      <c r="N16" s="636">
        <f t="shared" si="4"/>
        <v>0.10527381493086528</v>
      </c>
      <c r="O16" s="636">
        <f t="shared" si="4"/>
        <v>0.1086940371354988</v>
      </c>
      <c r="P16" s="636">
        <f t="shared" si="4"/>
        <v>0.1120138629239799</v>
      </c>
      <c r="Q16" s="636">
        <f t="shared" si="4"/>
        <v>0.11523583937184667</v>
      </c>
      <c r="R16" s="636">
        <f t="shared" si="4"/>
        <v>0.1183601628497776</v>
      </c>
      <c r="S16" s="636">
        <f t="shared" si="4"/>
        <v>0.1212305139955869</v>
      </c>
      <c r="T16" s="636">
        <f t="shared" si="4"/>
        <v>0.12415354962631743</v>
      </c>
      <c r="U16" s="636">
        <f t="shared" si="4"/>
        <v>0.12696621714760356</v>
      </c>
      <c r="V16" s="636">
        <f t="shared" si="4"/>
        <v>0.12966418096298754</v>
      </c>
      <c r="W16" s="636">
        <f t="shared" si="4"/>
        <v>0.13224578302293388</v>
      </c>
      <c r="X16" s="636">
        <f t="shared" si="4"/>
        <v>0.13207490667606889</v>
      </c>
      <c r="Y16" s="636">
        <f t="shared" si="4"/>
        <v>0.13210740381418179</v>
      </c>
      <c r="Z16" s="636">
        <f t="shared" si="4"/>
        <v>0.13214191964997354</v>
      </c>
      <c r="AA16" s="636">
        <f t="shared" si="4"/>
        <v>0.1321764354857653</v>
      </c>
      <c r="AB16" s="636">
        <f t="shared" si="4"/>
        <v>0.13220893262387823</v>
      </c>
      <c r="AC16" s="636">
        <f t="shared" si="4"/>
        <v>0.13211041127667195</v>
      </c>
      <c r="AD16" s="636">
        <f t="shared" si="4"/>
        <v>0.13214492711246367</v>
      </c>
      <c r="AE16" s="636">
        <f t="shared" si="4"/>
        <v>0.1321774242505766</v>
      </c>
      <c r="AF16" s="636">
        <f t="shared" si="4"/>
        <v>0.13221194008636838</v>
      </c>
      <c r="AG16" s="636">
        <f t="shared" si="4"/>
        <v>0.13224645592216017</v>
      </c>
      <c r="AH16" s="628"/>
      <c r="AI16" s="628"/>
      <c r="AJ16" s="628"/>
    </row>
    <row r="17" spans="1:36" ht="17.25" customHeight="1">
      <c r="A17" s="628"/>
      <c r="B17" s="634"/>
      <c r="C17" s="173" t="s">
        <v>450</v>
      </c>
      <c r="D17" s="174">
        <f t="shared" ref="D17:AG17" si="5">SUM(D15:D16)</f>
        <v>0.14250000000000002</v>
      </c>
      <c r="E17" s="174">
        <f t="shared" si="5"/>
        <v>0.20953010380011683</v>
      </c>
      <c r="F17" s="174">
        <f t="shared" si="5"/>
        <v>0.20954905114609604</v>
      </c>
      <c r="G17" s="174">
        <f t="shared" si="5"/>
        <v>0.2095660844040303</v>
      </c>
      <c r="H17" s="174">
        <f t="shared" si="5"/>
        <v>0.20958231502251137</v>
      </c>
      <c r="I17" s="174">
        <f t="shared" si="5"/>
        <v>0.26608452181069653</v>
      </c>
      <c r="J17" s="174">
        <f t="shared" si="5"/>
        <v>0.27016192964022928</v>
      </c>
      <c r="K17" s="174">
        <f t="shared" si="5"/>
        <v>0.27410915757168158</v>
      </c>
      <c r="L17" s="174">
        <f t="shared" si="5"/>
        <v>0.2778895909674563</v>
      </c>
      <c r="M17" s="174">
        <f t="shared" si="5"/>
        <v>0.28151123934307032</v>
      </c>
      <c r="N17" s="174">
        <f t="shared" si="5"/>
        <v>0.2847619986455458</v>
      </c>
      <c r="O17" s="174">
        <f t="shared" si="5"/>
        <v>0.28818234189346259</v>
      </c>
      <c r="P17" s="174">
        <f t="shared" si="5"/>
        <v>0.2915020629515469</v>
      </c>
      <c r="Q17" s="174">
        <f t="shared" si="5"/>
        <v>0.29472411353766648</v>
      </c>
      <c r="R17" s="174">
        <f t="shared" si="5"/>
        <v>0.29784843716617498</v>
      </c>
      <c r="S17" s="174">
        <f t="shared" si="5"/>
        <v>0.30071871352866497</v>
      </c>
      <c r="T17" s="174">
        <f t="shared" si="5"/>
        <v>0.30364166235927942</v>
      </c>
      <c r="U17" s="174">
        <f t="shared" si="5"/>
        <v>0.30645450178918188</v>
      </c>
      <c r="V17" s="174">
        <f t="shared" si="5"/>
        <v>0.30915260324184546</v>
      </c>
      <c r="W17" s="174">
        <f t="shared" si="5"/>
        <v>0.3117341782918559</v>
      </c>
      <c r="X17" s="174">
        <f t="shared" si="5"/>
        <v>0.31156330194499088</v>
      </c>
      <c r="Y17" s="174">
        <f t="shared" si="5"/>
        <v>0.31159579908310375</v>
      </c>
      <c r="Z17" s="174">
        <f t="shared" si="5"/>
        <v>0.31163031491889553</v>
      </c>
      <c r="AA17" s="174">
        <f t="shared" si="5"/>
        <v>0.31166483075468732</v>
      </c>
      <c r="AB17" s="174">
        <f t="shared" si="5"/>
        <v>0.31169732789280025</v>
      </c>
      <c r="AC17" s="174">
        <f t="shared" si="5"/>
        <v>0.31159880654559391</v>
      </c>
      <c r="AD17" s="174">
        <f t="shared" si="5"/>
        <v>0.31163332238138564</v>
      </c>
      <c r="AE17" s="174">
        <f t="shared" si="5"/>
        <v>0.31166581951949857</v>
      </c>
      <c r="AF17" s="174">
        <f t="shared" si="5"/>
        <v>0.3117003353552904</v>
      </c>
      <c r="AG17" s="174">
        <f t="shared" si="5"/>
        <v>0.31173485119108213</v>
      </c>
      <c r="AH17" s="628"/>
      <c r="AI17" s="628"/>
      <c r="AJ17" s="628"/>
    </row>
    <row r="18" spans="1:36" ht="17.25" customHeight="1">
      <c r="A18" s="628"/>
      <c r="B18" s="637"/>
      <c r="C18" s="635"/>
      <c r="D18" s="640" t="str">
        <f>IF(AND('A4 - Previsão de Receita Bruta'!C27&lt;=$D$93,D8&lt;D11,D8&lt;D14),"SN",IF(AND(D11&lt;D14,'A4 - Previsão de Receita Bruta'!C27&lt;=LimLP),"LP","LR"))</f>
        <v>LR</v>
      </c>
      <c r="E18" s="640" t="str">
        <f>IF(AND('A4 - Previsão de Receita Bruta'!D27&lt;=$D$93,E8&lt;E11,E8&lt;E14),"SN",IF(AND(E11&lt;E14,'A4 - Previsão de Receita Bruta'!D27&lt;=LimLP),"LP","LR"))</f>
        <v>LP</v>
      </c>
      <c r="F18" s="640" t="str">
        <f>IF(AND('A4 - Previsão de Receita Bruta'!E27&lt;=$D$93,F8&lt;F11,F8&lt;F14),"SN",IF(AND(F11&lt;F14,'A4 - Previsão de Receita Bruta'!E27&lt;=LimLP),"LP","LR"))</f>
        <v>LP</v>
      </c>
      <c r="G18" s="640" t="str">
        <f>IF(AND('A4 - Previsão de Receita Bruta'!F27&lt;=$D$93,G8&lt;G11,G8&lt;G14),"SN",IF(AND(G11&lt;G14,'A4 - Previsão de Receita Bruta'!F27&lt;=LimLP),"LP","LR"))</f>
        <v>LP</v>
      </c>
      <c r="H18" s="640" t="str">
        <f>IF(AND('A4 - Previsão de Receita Bruta'!G27&lt;=$D$93,H8&lt;H11,H8&lt;H14),"SN",IF(AND(H11&lt;H14,'A4 - Previsão de Receita Bruta'!G27&lt;=LimLP),"LP","LR"))</f>
        <v>LP</v>
      </c>
      <c r="I18" s="640" t="str">
        <f>IF(AND('A4 - Previsão de Receita Bruta'!H27&lt;=$D$93,I8&lt;I11,I8&lt;I14),"SN",IF(AND(I11&lt;I14,'A4 - Previsão de Receita Bruta'!H27&lt;=LimLP),"LP","LR"))</f>
        <v>LR</v>
      </c>
      <c r="J18" s="640" t="str">
        <f>IF(AND('A4 - Previsão de Receita Bruta'!I27&lt;=$D$93,J8&lt;J11,J8&lt;J14),"SN",IF(AND(J11&lt;J14,'A4 - Previsão de Receita Bruta'!I27&lt;=LimLP),"LP","LR"))</f>
        <v>LR</v>
      </c>
      <c r="K18" s="640" t="str">
        <f>IF(AND('A4 - Previsão de Receita Bruta'!J27&lt;=$D$93,K8&lt;K11,K8&lt;K14),"SN",IF(AND(K11&lt;K14,'A4 - Previsão de Receita Bruta'!J27&lt;=LimLP),"LP","LR"))</f>
        <v>LR</v>
      </c>
      <c r="L18" s="640" t="str">
        <f>IF(AND('A4 - Previsão de Receita Bruta'!K27&lt;=$D$93,L8&lt;L11,L8&lt;L14),"SN",IF(AND(L11&lt;L14,'A4 - Previsão de Receita Bruta'!K27&lt;=LimLP),"LP","LR"))</f>
        <v>LR</v>
      </c>
      <c r="M18" s="640" t="str">
        <f>IF(AND('A4 - Previsão de Receita Bruta'!L27&lt;=$D$93,M8&lt;M11,M8&lt;M14),"SN",IF(AND(M11&lt;M14,'A4 - Previsão de Receita Bruta'!L27&lt;=LimLP),"LP","LR"))</f>
        <v>LR</v>
      </c>
      <c r="N18" s="640" t="str">
        <f>IF(AND('A4 - Previsão de Receita Bruta'!M27&lt;=$D$93,N8&lt;N11,N8&lt;N14),"SN",IF(AND(N11&lt;N14,'A4 - Previsão de Receita Bruta'!M27&lt;=LimLP),"LP","LR"))</f>
        <v>LR</v>
      </c>
      <c r="O18" s="640" t="str">
        <f>IF(AND('A4 - Previsão de Receita Bruta'!N27&lt;=$D$93,O8&lt;O11,O8&lt;O14),"SN",IF(AND(O11&lt;O14,'A4 - Previsão de Receita Bruta'!N27&lt;=LimLP),"LP","LR"))</f>
        <v>LR</v>
      </c>
      <c r="P18" s="640" t="str">
        <f>IF(AND('A4 - Previsão de Receita Bruta'!O27&lt;=$D$93,P8&lt;P11,P8&lt;P14),"SN",IF(AND(P11&lt;P14,'A4 - Previsão de Receita Bruta'!O27&lt;=LimLP),"LP","LR"))</f>
        <v>LR</v>
      </c>
      <c r="Q18" s="640" t="str">
        <f>IF(AND('A4 - Previsão de Receita Bruta'!P27&lt;=$D$93,Q8&lt;Q11,Q8&lt;Q14),"SN",IF(AND(Q11&lt;Q14,'A4 - Previsão de Receita Bruta'!P27&lt;=LimLP),"LP","LR"))</f>
        <v>LR</v>
      </c>
      <c r="R18" s="640" t="str">
        <f>IF(AND('A4 - Previsão de Receita Bruta'!Q27&lt;=$D$93,R8&lt;R11,R8&lt;R14),"SN",IF(AND(R11&lt;R14,'A4 - Previsão de Receita Bruta'!Q27&lt;=LimLP),"LP","LR"))</f>
        <v>LR</v>
      </c>
      <c r="S18" s="640" t="str">
        <f>IF(AND('A4 - Previsão de Receita Bruta'!R27&lt;=$D$93,S8&lt;S11,S8&lt;S14),"SN",IF(AND(S11&lt;S14,'A4 - Previsão de Receita Bruta'!R27&lt;=LimLP),"LP","LR"))</f>
        <v>LR</v>
      </c>
      <c r="T18" s="640" t="str">
        <f>IF(AND('A4 - Previsão de Receita Bruta'!S27&lt;=$D$93,T8&lt;T11,T8&lt;T14),"SN",IF(AND(T11&lt;T14,'A4 - Previsão de Receita Bruta'!S27&lt;=LimLP),"LP","LR"))</f>
        <v>LR</v>
      </c>
      <c r="U18" s="640" t="str">
        <f>IF(AND('A4 - Previsão de Receita Bruta'!T27&lt;=$D$93,U8&lt;U11,U8&lt;U14),"SN",IF(AND(U11&lt;U14,'A4 - Previsão de Receita Bruta'!T27&lt;=LimLP),"LP","LR"))</f>
        <v>LR</v>
      </c>
      <c r="V18" s="640" t="str">
        <f>IF(AND('A4 - Previsão de Receita Bruta'!U27&lt;=$D$93,V8&lt;V11,V8&lt;V14),"SN",IF(AND(V11&lt;V14,'A4 - Previsão de Receita Bruta'!U27&lt;=LimLP),"LP","LR"))</f>
        <v>LR</v>
      </c>
      <c r="W18" s="640" t="str">
        <f>IF(AND('A4 - Previsão de Receita Bruta'!V27&lt;=$D$93,W8&lt;W11,W8&lt;W14),"SN",IF(AND(W11&lt;W14,'A4 - Previsão de Receita Bruta'!V27&lt;=LimLP),"LP","LR"))</f>
        <v>LR</v>
      </c>
      <c r="X18" s="640" t="str">
        <f>IF(AND('A4 - Previsão de Receita Bruta'!W27&lt;=$D$93,X8&lt;X11,X8&lt;X14),"SN",IF(AND(X11&lt;X14,'A4 - Previsão de Receita Bruta'!W27&lt;=LimLP),"LP","LR"))</f>
        <v>LR</v>
      </c>
      <c r="Y18" s="640" t="str">
        <f>IF(AND('A4 - Previsão de Receita Bruta'!X27&lt;=$D$93,Y8&lt;Y11,Y8&lt;Y14),"SN",IF(AND(Y11&lt;Y14,'A4 - Previsão de Receita Bruta'!X27&lt;=LimLP),"LP","LR"))</f>
        <v>LR</v>
      </c>
      <c r="Z18" s="640" t="str">
        <f>IF(AND('A4 - Previsão de Receita Bruta'!Y27&lt;=$D$93,Z8&lt;Z11,Z8&lt;Z14),"SN",IF(AND(Z11&lt;Z14,'A4 - Previsão de Receita Bruta'!Y27&lt;=LimLP),"LP","LR"))</f>
        <v>LR</v>
      </c>
      <c r="AA18" s="640" t="str">
        <f>IF(AND('A4 - Previsão de Receita Bruta'!Z27&lt;=$D$93,AA8&lt;AA11,AA8&lt;AA14),"SN",IF(AND(AA11&lt;AA14,'A4 - Previsão de Receita Bruta'!Z27&lt;=LimLP),"LP","LR"))</f>
        <v>LR</v>
      </c>
      <c r="AB18" s="640" t="str">
        <f>IF(AND('A4 - Previsão de Receita Bruta'!AA27&lt;=$D$93,AB8&lt;AB11,AB8&lt;AB14),"SN",IF(AND(AB11&lt;AB14,'A4 - Previsão de Receita Bruta'!AA27&lt;=LimLP),"LP","LR"))</f>
        <v>LR</v>
      </c>
      <c r="AC18" s="640" t="str">
        <f>IF(AND('A4 - Previsão de Receita Bruta'!AB27&lt;=$D$93,AC8&lt;AC11,AC8&lt;AC14),"SN",IF(AND(AC11&lt;AC14,'A4 - Previsão de Receita Bruta'!AB27&lt;=LimLP),"LP","LR"))</f>
        <v>LR</v>
      </c>
      <c r="AD18" s="640" t="str">
        <f>IF(AND('A4 - Previsão de Receita Bruta'!AC27&lt;=$D$93,AD8&lt;AD11,AD8&lt;AD14),"SN",IF(AND(AD11&lt;AD14,'A4 - Previsão de Receita Bruta'!AC27&lt;=LimLP),"LP","LR"))</f>
        <v>LR</v>
      </c>
      <c r="AE18" s="640" t="str">
        <f>IF(AND('A4 - Previsão de Receita Bruta'!AD27&lt;=$D$93,AE8&lt;AE11,AE8&lt;AE14),"SN",IF(AND(AE11&lt;AE14,'A4 - Previsão de Receita Bruta'!AD27&lt;=LimLP),"LP","LR"))</f>
        <v>LR</v>
      </c>
      <c r="AF18" s="640" t="str">
        <f>IF(AND('A4 - Previsão de Receita Bruta'!AE27&lt;=$D$93,AF8&lt;AF11,AF8&lt;AF14),"SN",IF(AND(AF11&lt;AF14,'A4 - Previsão de Receita Bruta'!AE27&lt;=LimLP),"LP","LR"))</f>
        <v>LR</v>
      </c>
      <c r="AG18" s="640" t="str">
        <f>IF(AND('A4 - Previsão de Receita Bruta'!AF27&lt;=$D$93,AG8&lt;AG11,AG8&lt;AG14),"SN",IF(AND(AG11&lt;AG14,'A4 - Previsão de Receita Bruta'!AF27&lt;=LimLP),"LP","LR"))</f>
        <v>LR</v>
      </c>
      <c r="AH18" s="628"/>
      <c r="AI18" s="628"/>
      <c r="AJ18" s="628"/>
    </row>
    <row r="19" spans="1:36" ht="17.25" hidden="1" customHeight="1">
      <c r="A19" s="628"/>
      <c r="B19" s="631" t="s">
        <v>480</v>
      </c>
      <c r="C19" s="638" t="s">
        <v>477</v>
      </c>
      <c r="D19" s="639">
        <f t="shared" ref="D19:AG19" si="6">IF(modo_trib=1,D8,IF(modo_trib=2,D9,IF(modo_trib=3,D12,IF(modo_trib=4,D15,0))))</f>
        <v>0.14250000000000002</v>
      </c>
      <c r="E19" s="639">
        <f t="shared" si="6"/>
        <v>0.17948825574045033</v>
      </c>
      <c r="F19" s="639">
        <f t="shared" si="6"/>
        <v>0.1794885076242953</v>
      </c>
      <c r="G19" s="639">
        <f t="shared" si="6"/>
        <v>0.17948836143653385</v>
      </c>
      <c r="H19" s="639">
        <f t="shared" si="6"/>
        <v>0.1794881827284881</v>
      </c>
      <c r="I19" s="639">
        <f t="shared" si="6"/>
        <v>0.17948806797008274</v>
      </c>
      <c r="J19" s="639">
        <f t="shared" si="6"/>
        <v>0.17948846078162484</v>
      </c>
      <c r="K19" s="639">
        <f t="shared" si="6"/>
        <v>0.17948836727585119</v>
      </c>
      <c r="L19" s="639">
        <f t="shared" si="6"/>
        <v>0.17948848779567042</v>
      </c>
      <c r="M19" s="639">
        <f t="shared" si="6"/>
        <v>0.17948805855725788</v>
      </c>
      <c r="N19" s="639">
        <f t="shared" si="6"/>
        <v>0.1794881837146805</v>
      </c>
      <c r="O19" s="639">
        <f t="shared" si="6"/>
        <v>0.17948830475796376</v>
      </c>
      <c r="P19" s="639">
        <f t="shared" si="6"/>
        <v>0.17948820002756699</v>
      </c>
      <c r="Q19" s="639">
        <f t="shared" si="6"/>
        <v>0.17948827416581983</v>
      </c>
      <c r="R19" s="639">
        <f t="shared" si="6"/>
        <v>0.17948827431639738</v>
      </c>
      <c r="S19" s="639">
        <f t="shared" si="6"/>
        <v>0.1794881995330781</v>
      </c>
      <c r="T19" s="639">
        <f t="shared" si="6"/>
        <v>0.17948811273296197</v>
      </c>
      <c r="U19" s="639">
        <f t="shared" si="6"/>
        <v>0.17948828464157832</v>
      </c>
      <c r="V19" s="639">
        <f t="shared" si="6"/>
        <v>0.17948842227885792</v>
      </c>
      <c r="W19" s="639">
        <f t="shared" si="6"/>
        <v>0.17948839526892199</v>
      </c>
      <c r="X19" s="639">
        <f t="shared" si="6"/>
        <v>0.17948839526892199</v>
      </c>
      <c r="Y19" s="639">
        <f t="shared" si="6"/>
        <v>0.17948839526892199</v>
      </c>
      <c r="Z19" s="639">
        <f t="shared" si="6"/>
        <v>0.17948839526892199</v>
      </c>
      <c r="AA19" s="639">
        <f t="shared" si="6"/>
        <v>0.17948839526892199</v>
      </c>
      <c r="AB19" s="639">
        <f t="shared" si="6"/>
        <v>0.17948839526892199</v>
      </c>
      <c r="AC19" s="639">
        <f t="shared" si="6"/>
        <v>0.17948839526892199</v>
      </c>
      <c r="AD19" s="639">
        <f t="shared" si="6"/>
        <v>0.17948839526892199</v>
      </c>
      <c r="AE19" s="639">
        <f t="shared" si="6"/>
        <v>0.17948839526892199</v>
      </c>
      <c r="AF19" s="639">
        <f t="shared" si="6"/>
        <v>0.17948839526892199</v>
      </c>
      <c r="AG19" s="639">
        <f t="shared" si="6"/>
        <v>0.17948839526892199</v>
      </c>
      <c r="AH19" s="628"/>
      <c r="AI19" s="628"/>
      <c r="AJ19" s="628"/>
    </row>
    <row r="20" spans="1:36" ht="17.25" hidden="1" customHeight="1">
      <c r="A20" s="628"/>
      <c r="B20" s="631"/>
      <c r="C20" s="638" t="s">
        <v>478</v>
      </c>
      <c r="D20" s="639">
        <f t="shared" ref="D20:AG20" si="7">IF(modo_trib=1,0,IF(modo_trib=2,D10,IF(modo_trib=3,D13,IF(modo_trib=4,D16,0))))</f>
        <v>0</v>
      </c>
      <c r="E20" s="639">
        <f t="shared" si="7"/>
        <v>7.5833212831874178E-2</v>
      </c>
      <c r="F20" s="639">
        <f t="shared" si="7"/>
        <v>7.4830244792400427E-2</v>
      </c>
      <c r="G20" s="639">
        <f t="shared" si="7"/>
        <v>7.8173720626875026E-2</v>
      </c>
      <c r="H20" s="639">
        <f t="shared" si="7"/>
        <v>8.2583330564583154E-2</v>
      </c>
      <c r="I20" s="639">
        <f t="shared" si="7"/>
        <v>8.6596453840613763E-2</v>
      </c>
      <c r="J20" s="639">
        <f t="shared" si="7"/>
        <v>9.0673468858604431E-2</v>
      </c>
      <c r="K20" s="639">
        <f t="shared" si="7"/>
        <v>9.4620790295830398E-2</v>
      </c>
      <c r="L20" s="639">
        <f t="shared" si="7"/>
        <v>9.8401103171785895E-2</v>
      </c>
      <c r="M20" s="639">
        <f t="shared" si="7"/>
        <v>0.10202318078581243</v>
      </c>
      <c r="N20" s="639">
        <f t="shared" si="7"/>
        <v>0.10527381493086528</v>
      </c>
      <c r="O20" s="639">
        <f t="shared" si="7"/>
        <v>0.1086940371354988</v>
      </c>
      <c r="P20" s="639">
        <f t="shared" si="7"/>
        <v>0.1120138629239799</v>
      </c>
      <c r="Q20" s="639">
        <f t="shared" si="7"/>
        <v>0.11523583937184667</v>
      </c>
      <c r="R20" s="639">
        <f t="shared" si="7"/>
        <v>0.1183601628497776</v>
      </c>
      <c r="S20" s="639">
        <f t="shared" si="7"/>
        <v>0.1212305139955869</v>
      </c>
      <c r="T20" s="639">
        <f t="shared" si="7"/>
        <v>0.12415354962631743</v>
      </c>
      <c r="U20" s="639">
        <f t="shared" si="7"/>
        <v>0.12696621714760356</v>
      </c>
      <c r="V20" s="639">
        <f t="shared" si="7"/>
        <v>0.12966418096298754</v>
      </c>
      <c r="W20" s="639">
        <f t="shared" si="7"/>
        <v>0.13224578302293388</v>
      </c>
      <c r="X20" s="639">
        <f t="shared" si="7"/>
        <v>0.13207490667606889</v>
      </c>
      <c r="Y20" s="639">
        <f t="shared" si="7"/>
        <v>0.13210740381418179</v>
      </c>
      <c r="Z20" s="639">
        <f t="shared" si="7"/>
        <v>0.13214191964997354</v>
      </c>
      <c r="AA20" s="639">
        <f t="shared" si="7"/>
        <v>0.1321764354857653</v>
      </c>
      <c r="AB20" s="639">
        <f t="shared" si="7"/>
        <v>0.13220893262387823</v>
      </c>
      <c r="AC20" s="639">
        <f t="shared" si="7"/>
        <v>0.13211041127667195</v>
      </c>
      <c r="AD20" s="639">
        <f t="shared" si="7"/>
        <v>0.13214492711246367</v>
      </c>
      <c r="AE20" s="639">
        <f t="shared" si="7"/>
        <v>0.1321774242505766</v>
      </c>
      <c r="AF20" s="639">
        <f t="shared" si="7"/>
        <v>0.13221194008636838</v>
      </c>
      <c r="AG20" s="639">
        <f t="shared" si="7"/>
        <v>0.13224645592216017</v>
      </c>
      <c r="AH20" s="628"/>
      <c r="AI20" s="628"/>
      <c r="AJ20" s="628"/>
    </row>
    <row r="21" spans="1:36" ht="17.25" hidden="1" customHeight="1">
      <c r="A21" s="628"/>
      <c r="B21" s="171"/>
      <c r="C21" s="171" t="s">
        <v>450</v>
      </c>
      <c r="D21" s="172">
        <f t="shared" ref="D21:AG21" si="8">SUM(D19:D20)</f>
        <v>0.14250000000000002</v>
      </c>
      <c r="E21" s="172">
        <f t="shared" si="8"/>
        <v>0.25532146857232452</v>
      </c>
      <c r="F21" s="172">
        <f t="shared" si="8"/>
        <v>0.25431875241669571</v>
      </c>
      <c r="G21" s="172">
        <f t="shared" si="8"/>
        <v>0.2576620820634089</v>
      </c>
      <c r="H21" s="172">
        <f t="shared" si="8"/>
        <v>0.26207151329307127</v>
      </c>
      <c r="I21" s="172">
        <f t="shared" si="8"/>
        <v>0.26608452181069653</v>
      </c>
      <c r="J21" s="172">
        <f t="shared" si="8"/>
        <v>0.27016192964022928</v>
      </c>
      <c r="K21" s="172">
        <f t="shared" si="8"/>
        <v>0.27410915757168158</v>
      </c>
      <c r="L21" s="172">
        <f t="shared" si="8"/>
        <v>0.2778895909674563</v>
      </c>
      <c r="M21" s="172">
        <f t="shared" si="8"/>
        <v>0.28151123934307032</v>
      </c>
      <c r="N21" s="172">
        <f t="shared" si="8"/>
        <v>0.2847619986455458</v>
      </c>
      <c r="O21" s="172">
        <f t="shared" si="8"/>
        <v>0.28818234189346259</v>
      </c>
      <c r="P21" s="172">
        <f t="shared" si="8"/>
        <v>0.2915020629515469</v>
      </c>
      <c r="Q21" s="172">
        <f t="shared" si="8"/>
        <v>0.29472411353766648</v>
      </c>
      <c r="R21" s="172">
        <f t="shared" si="8"/>
        <v>0.29784843716617498</v>
      </c>
      <c r="S21" s="172">
        <f t="shared" si="8"/>
        <v>0.30071871352866497</v>
      </c>
      <c r="T21" s="172">
        <f t="shared" si="8"/>
        <v>0.30364166235927942</v>
      </c>
      <c r="U21" s="172">
        <f t="shared" si="8"/>
        <v>0.30645450178918188</v>
      </c>
      <c r="V21" s="172">
        <f t="shared" si="8"/>
        <v>0.30915260324184546</v>
      </c>
      <c r="W21" s="172">
        <f t="shared" si="8"/>
        <v>0.3117341782918559</v>
      </c>
      <c r="X21" s="172">
        <f t="shared" si="8"/>
        <v>0.31156330194499088</v>
      </c>
      <c r="Y21" s="172">
        <f t="shared" si="8"/>
        <v>0.31159579908310375</v>
      </c>
      <c r="Z21" s="172">
        <f t="shared" si="8"/>
        <v>0.31163031491889553</v>
      </c>
      <c r="AA21" s="172">
        <f t="shared" si="8"/>
        <v>0.31166483075468732</v>
      </c>
      <c r="AB21" s="172">
        <f t="shared" si="8"/>
        <v>0.31169732789280025</v>
      </c>
      <c r="AC21" s="172">
        <f t="shared" si="8"/>
        <v>0.31159880654559391</v>
      </c>
      <c r="AD21" s="172">
        <f t="shared" si="8"/>
        <v>0.31163332238138564</v>
      </c>
      <c r="AE21" s="172">
        <f t="shared" si="8"/>
        <v>0.31166581951949857</v>
      </c>
      <c r="AF21" s="172">
        <f t="shared" si="8"/>
        <v>0.3117003353552904</v>
      </c>
      <c r="AG21" s="172">
        <f t="shared" si="8"/>
        <v>0.31173485119108213</v>
      </c>
      <c r="AH21" s="628"/>
      <c r="AI21" s="628"/>
      <c r="AJ21" s="628"/>
    </row>
    <row r="22" spans="1:36" ht="17.25" customHeight="1">
      <c r="A22" s="628"/>
      <c r="B22" s="565"/>
      <c r="C22" s="638"/>
      <c r="D22" s="638"/>
      <c r="E22" s="638"/>
      <c r="F22" s="638"/>
      <c r="G22" s="628"/>
      <c r="H22" s="628"/>
      <c r="I22" s="638"/>
      <c r="J22" s="628"/>
      <c r="K22" s="638"/>
      <c r="L22" s="638"/>
      <c r="M22" s="638"/>
      <c r="N22" s="638"/>
      <c r="O22" s="638"/>
      <c r="P22" s="638"/>
      <c r="Q22" s="638"/>
      <c r="R22" s="638"/>
      <c r="S22" s="638"/>
      <c r="T22" s="638"/>
      <c r="U22" s="638"/>
      <c r="V22" s="638"/>
      <c r="W22" s="638"/>
      <c r="X22" s="638"/>
      <c r="Y22" s="638"/>
      <c r="Z22" s="628"/>
      <c r="AA22" s="628"/>
      <c r="AB22" s="628"/>
      <c r="AC22" s="628"/>
      <c r="AD22" s="628"/>
      <c r="AE22" s="628"/>
      <c r="AF22" s="628"/>
      <c r="AG22" s="628"/>
      <c r="AH22" s="628"/>
      <c r="AI22" s="628"/>
      <c r="AJ22" s="628"/>
    </row>
    <row r="23" spans="1:36" ht="15" customHeight="1">
      <c r="A23" s="505"/>
      <c r="B23" s="522"/>
      <c r="C23" s="641" t="s">
        <v>481</v>
      </c>
      <c r="D23" s="522"/>
      <c r="E23" s="522"/>
      <c r="F23" s="522"/>
      <c r="G23" s="522"/>
      <c r="H23" s="522"/>
      <c r="I23" s="522"/>
      <c r="J23" s="638" t="s">
        <v>482</v>
      </c>
      <c r="K23" s="522"/>
      <c r="L23" s="522"/>
      <c r="M23" s="522"/>
      <c r="N23" s="522"/>
      <c r="O23" s="522"/>
      <c r="P23" s="522"/>
      <c r="Q23" s="522"/>
      <c r="R23" s="522"/>
      <c r="S23" s="522"/>
      <c r="T23" s="522"/>
      <c r="U23" s="522"/>
      <c r="V23" s="522"/>
      <c r="W23" s="522"/>
      <c r="X23" s="522"/>
      <c r="Y23" s="521"/>
      <c r="Z23" s="522"/>
      <c r="AA23" s="522"/>
      <c r="AB23" s="522"/>
      <c r="AC23" s="522"/>
      <c r="AD23" s="522"/>
      <c r="AE23" s="522"/>
      <c r="AF23" s="522"/>
      <c r="AG23" s="522"/>
      <c r="AH23" s="522"/>
      <c r="AI23" s="522"/>
      <c r="AJ23" s="522"/>
    </row>
    <row r="24" spans="1:36" ht="15" customHeight="1">
      <c r="A24" s="505"/>
      <c r="B24" s="642"/>
      <c r="C24" s="175" t="s">
        <v>483</v>
      </c>
      <c r="D24" s="176">
        <v>0.15</v>
      </c>
      <c r="E24" s="522"/>
      <c r="F24" s="522"/>
      <c r="G24" s="522"/>
      <c r="H24" s="522"/>
      <c r="I24" s="522"/>
      <c r="J24" s="643" t="s">
        <v>484</v>
      </c>
      <c r="K24" s="644" t="s">
        <v>485</v>
      </c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2"/>
      <c r="Y24" s="521"/>
      <c r="Z24" s="522"/>
      <c r="AA24" s="522"/>
      <c r="AB24" s="522"/>
      <c r="AC24" s="522"/>
      <c r="AD24" s="522"/>
      <c r="AE24" s="522"/>
      <c r="AF24" s="522"/>
      <c r="AG24" s="522"/>
      <c r="AH24" s="522"/>
      <c r="AI24" s="522"/>
      <c r="AJ24" s="522"/>
    </row>
    <row r="25" spans="1:36" ht="15" customHeight="1">
      <c r="A25" s="505"/>
      <c r="B25" s="642"/>
      <c r="C25" s="175" t="s">
        <v>486</v>
      </c>
      <c r="D25" s="176">
        <v>0.15</v>
      </c>
      <c r="E25" s="522"/>
      <c r="F25" s="522"/>
      <c r="G25" s="522"/>
      <c r="H25" s="522"/>
      <c r="I25" s="522"/>
      <c r="J25" s="643" t="s">
        <v>487</v>
      </c>
      <c r="K25" s="644" t="s">
        <v>488</v>
      </c>
      <c r="L25" s="522"/>
      <c r="M25" s="522"/>
      <c r="N25" s="522"/>
      <c r="O25" s="522"/>
      <c r="P25" s="522"/>
      <c r="Q25" s="522"/>
      <c r="R25" s="522"/>
      <c r="S25" s="522"/>
      <c r="T25" s="522"/>
      <c r="U25" s="522"/>
      <c r="V25" s="522"/>
      <c r="W25" s="522"/>
      <c r="X25" s="522"/>
      <c r="Y25" s="521"/>
      <c r="Z25" s="522"/>
      <c r="AA25" s="522"/>
      <c r="AB25" s="522"/>
      <c r="AC25" s="522"/>
      <c r="AD25" s="522"/>
      <c r="AE25" s="522"/>
      <c r="AF25" s="522"/>
      <c r="AG25" s="522"/>
      <c r="AH25" s="522"/>
      <c r="AI25" s="522"/>
      <c r="AJ25" s="522"/>
    </row>
    <row r="26" spans="1:36" ht="15" customHeight="1">
      <c r="A26" s="505"/>
      <c r="B26" s="642"/>
      <c r="C26" s="175" t="s">
        <v>489</v>
      </c>
      <c r="D26" s="176">
        <v>0.1</v>
      </c>
      <c r="E26" s="522"/>
      <c r="F26" s="522"/>
      <c r="G26" s="522"/>
      <c r="H26" s="522"/>
      <c r="I26" s="522"/>
      <c r="J26" s="643" t="s">
        <v>490</v>
      </c>
      <c r="K26" s="644" t="s">
        <v>491</v>
      </c>
      <c r="L26" s="522"/>
      <c r="M26" s="522"/>
      <c r="N26" s="522"/>
      <c r="O26" s="522"/>
      <c r="P26" s="522"/>
      <c r="Q26" s="522"/>
      <c r="R26" s="522"/>
      <c r="S26" s="522"/>
      <c r="T26" s="522"/>
      <c r="U26" s="522"/>
      <c r="V26" s="522"/>
      <c r="W26" s="522"/>
      <c r="X26" s="522"/>
      <c r="Y26" s="521"/>
      <c r="Z26" s="522"/>
      <c r="AA26" s="522"/>
      <c r="AB26" s="522"/>
      <c r="AC26" s="522"/>
      <c r="AD26" s="522"/>
      <c r="AE26" s="522"/>
      <c r="AF26" s="522"/>
      <c r="AG26" s="522"/>
      <c r="AH26" s="522"/>
      <c r="AI26" s="522"/>
      <c r="AJ26" s="522"/>
    </row>
    <row r="27" spans="1:36" ht="15" customHeight="1">
      <c r="A27" s="505"/>
      <c r="B27" s="642"/>
      <c r="C27" s="175" t="s">
        <v>492</v>
      </c>
      <c r="D27" s="176">
        <v>0.09</v>
      </c>
      <c r="E27" s="522"/>
      <c r="F27" s="522"/>
      <c r="G27" s="522"/>
      <c r="H27" s="522"/>
      <c r="I27" s="522"/>
      <c r="J27" s="643" t="s">
        <v>493</v>
      </c>
      <c r="K27" s="644" t="s">
        <v>494</v>
      </c>
      <c r="L27" s="522"/>
      <c r="M27" s="522"/>
      <c r="N27" s="522"/>
      <c r="O27" s="522"/>
      <c r="P27" s="522"/>
      <c r="Q27" s="522"/>
      <c r="R27" s="522"/>
      <c r="S27" s="522"/>
      <c r="T27" s="522"/>
      <c r="U27" s="522"/>
      <c r="V27" s="522"/>
      <c r="W27" s="522"/>
      <c r="X27" s="522"/>
      <c r="Y27" s="521"/>
      <c r="Z27" s="522"/>
      <c r="AA27" s="522"/>
      <c r="AB27" s="522"/>
      <c r="AC27" s="522"/>
      <c r="AD27" s="522"/>
      <c r="AE27" s="522"/>
      <c r="AF27" s="522"/>
      <c r="AG27" s="522"/>
      <c r="AH27" s="522"/>
      <c r="AI27" s="522"/>
      <c r="AJ27" s="522"/>
    </row>
    <row r="28" spans="1:36" ht="15" customHeight="1">
      <c r="A28" s="505"/>
      <c r="B28" s="645"/>
      <c r="C28" s="646"/>
      <c r="D28" s="522"/>
      <c r="E28" s="522"/>
      <c r="F28" s="522"/>
      <c r="G28" s="522"/>
      <c r="H28" s="522"/>
      <c r="I28" s="522"/>
      <c r="J28" s="643" t="s">
        <v>495</v>
      </c>
      <c r="K28" s="644" t="s">
        <v>496</v>
      </c>
      <c r="L28" s="522"/>
      <c r="M28" s="522"/>
      <c r="N28" s="522"/>
      <c r="O28" s="522"/>
      <c r="P28" s="522"/>
      <c r="Q28" s="522"/>
      <c r="R28" s="522"/>
      <c r="S28" s="522"/>
      <c r="T28" s="522"/>
      <c r="U28" s="522"/>
      <c r="V28" s="522"/>
      <c r="W28" s="522"/>
      <c r="X28" s="522"/>
      <c r="Y28" s="521"/>
      <c r="Z28" s="522"/>
      <c r="AA28" s="522"/>
      <c r="AB28" s="522"/>
      <c r="AC28" s="522"/>
      <c r="AD28" s="522"/>
      <c r="AE28" s="522"/>
      <c r="AF28" s="522"/>
      <c r="AG28" s="522"/>
      <c r="AH28" s="522"/>
      <c r="AI28" s="522"/>
      <c r="AJ28" s="522"/>
    </row>
    <row r="29" spans="1:36" ht="15" hidden="1" customHeight="1">
      <c r="A29" s="505"/>
      <c r="B29" s="645"/>
      <c r="C29" s="646"/>
      <c r="D29" s="522"/>
      <c r="E29" s="522"/>
      <c r="F29" s="522"/>
      <c r="G29" s="522"/>
      <c r="H29" s="522"/>
      <c r="I29" s="522"/>
      <c r="J29" s="522"/>
      <c r="K29" s="522"/>
      <c r="L29" s="522"/>
      <c r="M29" s="522"/>
      <c r="N29" s="522"/>
      <c r="O29" s="522"/>
      <c r="P29" s="522"/>
      <c r="Q29" s="522"/>
      <c r="R29" s="522"/>
      <c r="S29" s="522"/>
      <c r="T29" s="522"/>
      <c r="U29" s="522"/>
      <c r="V29" s="522"/>
      <c r="W29" s="522"/>
      <c r="X29" s="522"/>
      <c r="Y29" s="521"/>
      <c r="Z29" s="522"/>
      <c r="AA29" s="522"/>
      <c r="AB29" s="522"/>
      <c r="AC29" s="522"/>
      <c r="AD29" s="522"/>
      <c r="AE29" s="522"/>
      <c r="AF29" s="522"/>
      <c r="AG29" s="522"/>
      <c r="AH29" s="522"/>
      <c r="AI29" s="522"/>
      <c r="AJ29" s="522"/>
    </row>
    <row r="30" spans="1:36" ht="10.5" hidden="1" customHeight="1">
      <c r="A30" s="505"/>
      <c r="B30" s="789" t="s">
        <v>497</v>
      </c>
      <c r="C30" s="817"/>
      <c r="D30" s="818"/>
      <c r="E30" s="799" t="s">
        <v>147</v>
      </c>
      <c r="F30" s="817"/>
      <c r="G30" s="817"/>
      <c r="H30" s="817"/>
      <c r="I30" s="817"/>
      <c r="J30" s="817"/>
      <c r="K30" s="817"/>
      <c r="L30" s="817"/>
      <c r="M30" s="817"/>
      <c r="N30" s="817"/>
      <c r="O30" s="817"/>
      <c r="P30" s="817"/>
      <c r="Q30" s="817"/>
      <c r="R30" s="817"/>
      <c r="S30" s="817"/>
      <c r="T30" s="817"/>
      <c r="U30" s="817"/>
      <c r="V30" s="817"/>
      <c r="W30" s="817"/>
      <c r="X30" s="818"/>
      <c r="Y30" s="647"/>
      <c r="Z30" s="522"/>
      <c r="AA30" s="522"/>
      <c r="AB30" s="522"/>
      <c r="AC30" s="522"/>
      <c r="AD30" s="522"/>
      <c r="AE30" s="522"/>
      <c r="AF30" s="522"/>
      <c r="AG30" s="522"/>
      <c r="AH30" s="522"/>
      <c r="AI30" s="522"/>
      <c r="AJ30" s="522"/>
    </row>
    <row r="31" spans="1:36" ht="10.5" hidden="1" customHeight="1">
      <c r="A31" s="505"/>
      <c r="B31" s="177" t="s">
        <v>127</v>
      </c>
      <c r="C31" s="785"/>
      <c r="D31" s="178" t="s">
        <v>498</v>
      </c>
      <c r="E31" s="179">
        <v>1</v>
      </c>
      <c r="F31" s="179">
        <v>2</v>
      </c>
      <c r="G31" s="179">
        <v>3</v>
      </c>
      <c r="H31" s="179">
        <v>4</v>
      </c>
      <c r="I31" s="179">
        <v>5</v>
      </c>
      <c r="J31" s="179">
        <v>6</v>
      </c>
      <c r="K31" s="179">
        <v>7</v>
      </c>
      <c r="L31" s="179">
        <v>8</v>
      </c>
      <c r="M31" s="179">
        <v>9</v>
      </c>
      <c r="N31" s="179">
        <v>10</v>
      </c>
      <c r="O31" s="179">
        <v>11</v>
      </c>
      <c r="P31" s="179">
        <v>12</v>
      </c>
      <c r="Q31" s="179">
        <v>13</v>
      </c>
      <c r="R31" s="179">
        <v>14</v>
      </c>
      <c r="S31" s="179">
        <v>15</v>
      </c>
      <c r="T31" s="179">
        <v>16</v>
      </c>
      <c r="U31" s="179">
        <v>17</v>
      </c>
      <c r="V31" s="179">
        <v>18</v>
      </c>
      <c r="W31" s="179">
        <v>19</v>
      </c>
      <c r="X31" s="179">
        <v>20</v>
      </c>
      <c r="Y31" s="648"/>
      <c r="Z31" s="522"/>
      <c r="AA31" s="522"/>
      <c r="AB31" s="522"/>
      <c r="AC31" s="522"/>
      <c r="AD31" s="522"/>
      <c r="AE31" s="522"/>
      <c r="AF31" s="522"/>
      <c r="AG31" s="522"/>
      <c r="AH31" s="522"/>
      <c r="AI31" s="522"/>
      <c r="AJ31" s="522"/>
    </row>
    <row r="32" spans="1:36" ht="10.5" hidden="1" customHeight="1">
      <c r="A32" s="505"/>
      <c r="B32" s="180" t="s">
        <v>499</v>
      </c>
      <c r="C32" s="825"/>
      <c r="D32" s="181"/>
      <c r="E32" s="182">
        <f>IF($B32="",0,$D32*'B2 - Custos diretos totais'!C$24)</f>
        <v>0</v>
      </c>
      <c r="F32" s="182">
        <f>IF($B32="",0,$D32*'B2 - Custos diretos totais'!D$24)</f>
        <v>0</v>
      </c>
      <c r="G32" s="182">
        <f>IF($B32="",0,$D32*'B2 - Custos diretos totais'!E$24)</f>
        <v>0</v>
      </c>
      <c r="H32" s="182">
        <f>IF($B32="",0,$D32*'B2 - Custos diretos totais'!F$24)</f>
        <v>0</v>
      </c>
      <c r="I32" s="182">
        <f>IF($B32="",0,$D32*'B2 - Custos diretos totais'!G$24)</f>
        <v>0</v>
      </c>
      <c r="J32" s="182">
        <f>IF($B32="",0,$D32*'B2 - Custos diretos totais'!H$24)</f>
        <v>0</v>
      </c>
      <c r="K32" s="182">
        <f>IF($B32="",0,$D32*'B2 - Custos diretos totais'!I$24)</f>
        <v>0</v>
      </c>
      <c r="L32" s="182">
        <f>IF($B32="",0,$D32*'B2 - Custos diretos totais'!J$24)</f>
        <v>0</v>
      </c>
      <c r="M32" s="182">
        <f>IF($B32="",0,$D32*'B2 - Custos diretos totais'!K$24)</f>
        <v>0</v>
      </c>
      <c r="N32" s="182">
        <f>IF($B32="",0,$D32*'B2 - Custos diretos totais'!L$24)</f>
        <v>0</v>
      </c>
      <c r="O32" s="182">
        <f>IF($B32="",0,$D32*'B2 - Custos diretos totais'!M$24)</f>
        <v>0</v>
      </c>
      <c r="P32" s="182">
        <f>IF($B32="",0,$D32*'B2 - Custos diretos totais'!N$24)</f>
        <v>0</v>
      </c>
      <c r="Q32" s="182">
        <f>IF($B32="",0,$D32*'B2 - Custos diretos totais'!O$24)</f>
        <v>0</v>
      </c>
      <c r="R32" s="182">
        <f>IF($B32="",0,$D32*'B2 - Custos diretos totais'!P$24)</f>
        <v>0</v>
      </c>
      <c r="S32" s="182">
        <f>IF($B32="",0,$D32*'B2 - Custos diretos totais'!Q$24)</f>
        <v>0</v>
      </c>
      <c r="T32" s="182">
        <f>IF($B32="",0,$D32*'B2 - Custos diretos totais'!R$24)</f>
        <v>0</v>
      </c>
      <c r="U32" s="182">
        <f>IF($B32="",0,$D32*'B2 - Custos diretos totais'!S$24)</f>
        <v>0</v>
      </c>
      <c r="V32" s="182">
        <f>IF($B32="",0,$D32*'B2 - Custos diretos totais'!T$24)</f>
        <v>0</v>
      </c>
      <c r="W32" s="182">
        <f>IF($B32="",0,$D32*'B2 - Custos diretos totais'!U$24)</f>
        <v>0</v>
      </c>
      <c r="X32" s="182">
        <f>IF($B32="",0,$D32*'B2 - Custos diretos totais'!V$24)</f>
        <v>0</v>
      </c>
      <c r="Y32" s="649"/>
      <c r="Z32" s="522"/>
      <c r="AA32" s="522"/>
      <c r="AB32" s="522"/>
      <c r="AC32" s="522"/>
      <c r="AD32" s="522"/>
      <c r="AE32" s="522"/>
      <c r="AF32" s="522"/>
      <c r="AG32" s="522"/>
      <c r="AH32" s="522"/>
      <c r="AI32" s="522"/>
      <c r="AJ32" s="522"/>
    </row>
    <row r="33" spans="1:36" ht="10.5" hidden="1" customHeight="1">
      <c r="A33" s="521"/>
      <c r="B33" s="180" t="s">
        <v>500</v>
      </c>
      <c r="C33" s="825"/>
      <c r="D33" s="183"/>
      <c r="E33" s="182">
        <f>IF($B33="",0,$D33*'B2 - Custos diretos totais'!C$24)</f>
        <v>0</v>
      </c>
      <c r="F33" s="182">
        <f>IF($B33="",0,$D33*'B2 - Custos diretos totais'!D$24)</f>
        <v>0</v>
      </c>
      <c r="G33" s="182">
        <f>IF($B33="",0,$D33*'B2 - Custos diretos totais'!E$24)</f>
        <v>0</v>
      </c>
      <c r="H33" s="182">
        <f>IF($B33="",0,$D33*'B2 - Custos diretos totais'!F$24)</f>
        <v>0</v>
      </c>
      <c r="I33" s="182">
        <f>IF($B33="",0,$D33*'B2 - Custos diretos totais'!G$24)</f>
        <v>0</v>
      </c>
      <c r="J33" s="182">
        <f>IF($B33="",0,$D33*'B2 - Custos diretos totais'!H$24)</f>
        <v>0</v>
      </c>
      <c r="K33" s="182">
        <f>IF($B33="",0,$D33*'B2 - Custos diretos totais'!I$24)</f>
        <v>0</v>
      </c>
      <c r="L33" s="182">
        <f>IF($B33="",0,$D33*'B2 - Custos diretos totais'!J$24)</f>
        <v>0</v>
      </c>
      <c r="M33" s="182">
        <f>IF($B33="",0,$D33*'B2 - Custos diretos totais'!K$24)</f>
        <v>0</v>
      </c>
      <c r="N33" s="182">
        <f>IF($B33="",0,$D33*'B2 - Custos diretos totais'!L$24)</f>
        <v>0</v>
      </c>
      <c r="O33" s="182">
        <f>IF($B33="",0,$D33*'B2 - Custos diretos totais'!M$24)</f>
        <v>0</v>
      </c>
      <c r="P33" s="182">
        <f>IF($B33="",0,$D33*'B2 - Custos diretos totais'!N$24)</f>
        <v>0</v>
      </c>
      <c r="Q33" s="182">
        <f>IF($B33="",0,$D33*'B2 - Custos diretos totais'!O$24)</f>
        <v>0</v>
      </c>
      <c r="R33" s="182">
        <f>IF($B33="",0,$D33*'B2 - Custos diretos totais'!P$24)</f>
        <v>0</v>
      </c>
      <c r="S33" s="182">
        <f>IF($B33="",0,$D33*'B2 - Custos diretos totais'!Q$24)</f>
        <v>0</v>
      </c>
      <c r="T33" s="182">
        <f>IF($B33="",0,$D33*'B2 - Custos diretos totais'!R$24)</f>
        <v>0</v>
      </c>
      <c r="U33" s="182">
        <f>IF($B33="",0,$D33*'B2 - Custos diretos totais'!S$24)</f>
        <v>0</v>
      </c>
      <c r="V33" s="182">
        <f>IF($B33="",0,$D33*'B2 - Custos diretos totais'!T$24)</f>
        <v>0</v>
      </c>
      <c r="W33" s="182">
        <f>IF($B33="",0,$D33*'B2 - Custos diretos totais'!U$24)</f>
        <v>0</v>
      </c>
      <c r="X33" s="182">
        <f>IF($B33="",0,$D33*'B2 - Custos diretos totais'!V$24)</f>
        <v>0</v>
      </c>
      <c r="Y33" s="649"/>
      <c r="Z33" s="522"/>
      <c r="AA33" s="522"/>
      <c r="AB33" s="522"/>
      <c r="AC33" s="522"/>
      <c r="AD33" s="522"/>
      <c r="AE33" s="522"/>
      <c r="AF33" s="522"/>
      <c r="AG33" s="522"/>
      <c r="AH33" s="522"/>
      <c r="AI33" s="522"/>
      <c r="AJ33" s="522"/>
    </row>
    <row r="34" spans="1:36" ht="10.5" hidden="1" customHeight="1">
      <c r="A34" s="521"/>
      <c r="B34" s="180" t="s">
        <v>501</v>
      </c>
      <c r="C34" s="825"/>
      <c r="D34" s="183"/>
      <c r="E34" s="182">
        <f>IF($B34="",0,$D34*'B2 - Custos diretos totais'!C$24)</f>
        <v>0</v>
      </c>
      <c r="F34" s="182">
        <f>IF($B34="",0,$D34*'B2 - Custos diretos totais'!D$24)</f>
        <v>0</v>
      </c>
      <c r="G34" s="182">
        <f>IF($B34="",0,$D34*'B2 - Custos diretos totais'!E$24)</f>
        <v>0</v>
      </c>
      <c r="H34" s="182">
        <f>IF($B34="",0,$D34*'B2 - Custos diretos totais'!F$24)</f>
        <v>0</v>
      </c>
      <c r="I34" s="182">
        <f>IF($B34="",0,$D34*'B2 - Custos diretos totais'!G$24)</f>
        <v>0</v>
      </c>
      <c r="J34" s="182">
        <f>IF($B34="",0,$D34*'B2 - Custos diretos totais'!H$24)</f>
        <v>0</v>
      </c>
      <c r="K34" s="182">
        <f>IF($B34="",0,$D34*'B2 - Custos diretos totais'!I$24)</f>
        <v>0</v>
      </c>
      <c r="L34" s="182">
        <f>IF($B34="",0,$D34*'B2 - Custos diretos totais'!J$24)</f>
        <v>0</v>
      </c>
      <c r="M34" s="182">
        <f>IF($B34="",0,$D34*'B2 - Custos diretos totais'!K$24)</f>
        <v>0</v>
      </c>
      <c r="N34" s="182">
        <f>IF($B34="",0,$D34*'B2 - Custos diretos totais'!L$24)</f>
        <v>0</v>
      </c>
      <c r="O34" s="182">
        <f>IF($B34="",0,$D34*'B2 - Custos diretos totais'!M$24)</f>
        <v>0</v>
      </c>
      <c r="P34" s="182">
        <f>IF($B34="",0,$D34*'B2 - Custos diretos totais'!N$24)</f>
        <v>0</v>
      </c>
      <c r="Q34" s="182">
        <f>IF($B34="",0,$D34*'B2 - Custos diretos totais'!O$24)</f>
        <v>0</v>
      </c>
      <c r="R34" s="182">
        <f>IF($B34="",0,$D34*'B2 - Custos diretos totais'!P$24)</f>
        <v>0</v>
      </c>
      <c r="S34" s="182">
        <f>IF($B34="",0,$D34*'B2 - Custos diretos totais'!Q$24)</f>
        <v>0</v>
      </c>
      <c r="T34" s="182">
        <f>IF($B34="",0,$D34*'B2 - Custos diretos totais'!R$24)</f>
        <v>0</v>
      </c>
      <c r="U34" s="182">
        <f>IF($B34="",0,$D34*'B2 - Custos diretos totais'!S$24)</f>
        <v>0</v>
      </c>
      <c r="V34" s="182">
        <f>IF($B34="",0,$D34*'B2 - Custos diretos totais'!T$24)</f>
        <v>0</v>
      </c>
      <c r="W34" s="182">
        <f>IF($B34="",0,$D34*'B2 - Custos diretos totais'!U$24)</f>
        <v>0</v>
      </c>
      <c r="X34" s="182">
        <f>IF($B34="",0,$D34*'B2 - Custos diretos totais'!V$24)</f>
        <v>0</v>
      </c>
      <c r="Y34" s="649"/>
      <c r="Z34" s="522"/>
      <c r="AA34" s="522"/>
      <c r="AB34" s="522"/>
      <c r="AC34" s="522"/>
      <c r="AD34" s="522"/>
      <c r="AE34" s="522"/>
      <c r="AF34" s="522"/>
      <c r="AG34" s="522"/>
      <c r="AH34" s="522"/>
      <c r="AI34" s="522"/>
      <c r="AJ34" s="522"/>
    </row>
    <row r="35" spans="1:36" ht="10.5" hidden="1" customHeight="1">
      <c r="A35" s="521"/>
      <c r="B35" s="180" t="s">
        <v>502</v>
      </c>
      <c r="C35" s="825"/>
      <c r="D35" s="183"/>
      <c r="E35" s="182">
        <f>IF($B35="",0,$D35*'B2 - Custos diretos totais'!C$24)</f>
        <v>0</v>
      </c>
      <c r="F35" s="182">
        <f>IF($B35="",0,$D35*'B2 - Custos diretos totais'!D$24)</f>
        <v>0</v>
      </c>
      <c r="G35" s="182">
        <f>IF($B35="",0,$D35*'B2 - Custos diretos totais'!E$24)</f>
        <v>0</v>
      </c>
      <c r="H35" s="182">
        <f>IF($B35="",0,$D35*'B2 - Custos diretos totais'!F$24)</f>
        <v>0</v>
      </c>
      <c r="I35" s="182">
        <f>IF($B35="",0,$D35*'B2 - Custos diretos totais'!G$24)</f>
        <v>0</v>
      </c>
      <c r="J35" s="182">
        <f>IF($B35="",0,$D35*'B2 - Custos diretos totais'!H$24)</f>
        <v>0</v>
      </c>
      <c r="K35" s="182">
        <f>IF($B35="",0,$D35*'B2 - Custos diretos totais'!I$24)</f>
        <v>0</v>
      </c>
      <c r="L35" s="182">
        <f>IF($B35="",0,$D35*'B2 - Custos diretos totais'!J$24)</f>
        <v>0</v>
      </c>
      <c r="M35" s="182">
        <f>IF($B35="",0,$D35*'B2 - Custos diretos totais'!K$24)</f>
        <v>0</v>
      </c>
      <c r="N35" s="182">
        <f>IF($B35="",0,$D35*'B2 - Custos diretos totais'!L$24)</f>
        <v>0</v>
      </c>
      <c r="O35" s="182">
        <f>IF($B35="",0,$D35*'B2 - Custos diretos totais'!M$24)</f>
        <v>0</v>
      </c>
      <c r="P35" s="182">
        <f>IF($B35="",0,$D35*'B2 - Custos diretos totais'!N$24)</f>
        <v>0</v>
      </c>
      <c r="Q35" s="182">
        <f>IF($B35="",0,$D35*'B2 - Custos diretos totais'!O$24)</f>
        <v>0</v>
      </c>
      <c r="R35" s="182">
        <f>IF($B35="",0,$D35*'B2 - Custos diretos totais'!P$24)</f>
        <v>0</v>
      </c>
      <c r="S35" s="182">
        <f>IF($B35="",0,$D35*'B2 - Custos diretos totais'!Q$24)</f>
        <v>0</v>
      </c>
      <c r="T35" s="182">
        <f>IF($B35="",0,$D35*'B2 - Custos diretos totais'!R$24)</f>
        <v>0</v>
      </c>
      <c r="U35" s="182">
        <f>IF($B35="",0,$D35*'B2 - Custos diretos totais'!S$24)</f>
        <v>0</v>
      </c>
      <c r="V35" s="182">
        <f>IF($B35="",0,$D35*'B2 - Custos diretos totais'!T$24)</f>
        <v>0</v>
      </c>
      <c r="W35" s="182">
        <f>IF($B35="",0,$D35*'B2 - Custos diretos totais'!U$24)</f>
        <v>0</v>
      </c>
      <c r="X35" s="182">
        <f>IF($B35="",0,$D35*'B2 - Custos diretos totais'!V$24)</f>
        <v>0</v>
      </c>
      <c r="Y35" s="649"/>
      <c r="Z35" s="522"/>
      <c r="AA35" s="522"/>
      <c r="AB35" s="522"/>
      <c r="AC35" s="522"/>
      <c r="AD35" s="522"/>
      <c r="AE35" s="522"/>
      <c r="AF35" s="522"/>
      <c r="AG35" s="522"/>
      <c r="AH35" s="522"/>
      <c r="AI35" s="522"/>
      <c r="AJ35" s="522"/>
    </row>
    <row r="36" spans="1:36" ht="10.5" hidden="1" customHeight="1">
      <c r="A36" s="521"/>
      <c r="B36" s="180" t="s">
        <v>503</v>
      </c>
      <c r="C36" s="825"/>
      <c r="D36" s="183"/>
      <c r="E36" s="182">
        <f>IF($B36="",0,$D36*'B2 - Custos diretos totais'!C$24)</f>
        <v>0</v>
      </c>
      <c r="F36" s="182">
        <f>IF($B36="",0,$D36*'B2 - Custos diretos totais'!D$24)</f>
        <v>0</v>
      </c>
      <c r="G36" s="182">
        <f>IF($B36="",0,$D36*'B2 - Custos diretos totais'!E$24)</f>
        <v>0</v>
      </c>
      <c r="H36" s="182">
        <f>IF($B36="",0,$D36*'B2 - Custos diretos totais'!F$24)</f>
        <v>0</v>
      </c>
      <c r="I36" s="182">
        <f>IF($B36="",0,$D36*'B2 - Custos diretos totais'!G$24)</f>
        <v>0</v>
      </c>
      <c r="J36" s="182">
        <f>IF($B36="",0,$D36*'B2 - Custos diretos totais'!H$24)</f>
        <v>0</v>
      </c>
      <c r="K36" s="182">
        <f>IF($B36="",0,$D36*'B2 - Custos diretos totais'!I$24)</f>
        <v>0</v>
      </c>
      <c r="L36" s="182">
        <f>IF($B36="",0,$D36*'B2 - Custos diretos totais'!J$24)</f>
        <v>0</v>
      </c>
      <c r="M36" s="182">
        <f>IF($B36="",0,$D36*'B2 - Custos diretos totais'!K$24)</f>
        <v>0</v>
      </c>
      <c r="N36" s="182">
        <f>IF($B36="",0,$D36*'B2 - Custos diretos totais'!L$24)</f>
        <v>0</v>
      </c>
      <c r="O36" s="182">
        <f>IF($B36="",0,$D36*'B2 - Custos diretos totais'!M$24)</f>
        <v>0</v>
      </c>
      <c r="P36" s="182">
        <f>IF($B36="",0,$D36*'B2 - Custos diretos totais'!N$24)</f>
        <v>0</v>
      </c>
      <c r="Q36" s="182">
        <f>IF($B36="",0,$D36*'B2 - Custos diretos totais'!O$24)</f>
        <v>0</v>
      </c>
      <c r="R36" s="182">
        <f>IF($B36="",0,$D36*'B2 - Custos diretos totais'!P$24)</f>
        <v>0</v>
      </c>
      <c r="S36" s="182">
        <f>IF($B36="",0,$D36*'B2 - Custos diretos totais'!Q$24)</f>
        <v>0</v>
      </c>
      <c r="T36" s="182">
        <f>IF($B36="",0,$D36*'B2 - Custos diretos totais'!R$24)</f>
        <v>0</v>
      </c>
      <c r="U36" s="182">
        <f>IF($B36="",0,$D36*'B2 - Custos diretos totais'!S$24)</f>
        <v>0</v>
      </c>
      <c r="V36" s="182">
        <f>IF($B36="",0,$D36*'B2 - Custos diretos totais'!T$24)</f>
        <v>0</v>
      </c>
      <c r="W36" s="182">
        <f>IF($B36="",0,$D36*'B2 - Custos diretos totais'!U$24)</f>
        <v>0</v>
      </c>
      <c r="X36" s="182">
        <f>IF($B36="",0,$D36*'B2 - Custos diretos totais'!V$24)</f>
        <v>0</v>
      </c>
      <c r="Y36" s="649"/>
      <c r="Z36" s="522"/>
      <c r="AA36" s="522"/>
      <c r="AB36" s="522"/>
      <c r="AC36" s="522"/>
      <c r="AD36" s="522"/>
      <c r="AE36" s="522"/>
      <c r="AF36" s="522"/>
      <c r="AG36" s="522"/>
      <c r="AH36" s="522"/>
      <c r="AI36" s="522"/>
      <c r="AJ36" s="522"/>
    </row>
    <row r="37" spans="1:36" ht="10.5" hidden="1" customHeight="1">
      <c r="A37" s="521"/>
      <c r="B37" s="184"/>
      <c r="C37" s="825"/>
      <c r="D37" s="181"/>
      <c r="E37" s="182">
        <f>IF($B37="",0,$D37*'B2 - Custos diretos totais'!C$24)</f>
        <v>0</v>
      </c>
      <c r="F37" s="182">
        <f>IF($B37="",0,$D37*'B2 - Custos diretos totais'!D$24)</f>
        <v>0</v>
      </c>
      <c r="G37" s="182">
        <f>IF($B37="",0,$D37*'B2 - Custos diretos totais'!E$24)</f>
        <v>0</v>
      </c>
      <c r="H37" s="182">
        <f>IF($B37="",0,$D37*'B2 - Custos diretos totais'!F$24)</f>
        <v>0</v>
      </c>
      <c r="I37" s="182">
        <f>IF($B37="",0,$D37*'B2 - Custos diretos totais'!G$24)</f>
        <v>0</v>
      </c>
      <c r="J37" s="182">
        <f>IF($B37="",0,$D37*'B2 - Custos diretos totais'!H$24)</f>
        <v>0</v>
      </c>
      <c r="K37" s="182">
        <f>IF($B37="",0,$D37*'B2 - Custos diretos totais'!I$24)</f>
        <v>0</v>
      </c>
      <c r="L37" s="182">
        <f>IF($B37="",0,$D37*'B2 - Custos diretos totais'!J$24)</f>
        <v>0</v>
      </c>
      <c r="M37" s="182">
        <f>IF($B37="",0,$D37*'B2 - Custos diretos totais'!K$24)</f>
        <v>0</v>
      </c>
      <c r="N37" s="182">
        <f>IF($B37="",0,$D37*'B2 - Custos diretos totais'!L$24)</f>
        <v>0</v>
      </c>
      <c r="O37" s="182">
        <f>IF($B37="",0,$D37*'B2 - Custos diretos totais'!M$24)</f>
        <v>0</v>
      </c>
      <c r="P37" s="182">
        <f>IF($B37="",0,$D37*'B2 - Custos diretos totais'!N$24)</f>
        <v>0</v>
      </c>
      <c r="Q37" s="182">
        <f>IF($B37="",0,$D37*'B2 - Custos diretos totais'!O$24)</f>
        <v>0</v>
      </c>
      <c r="R37" s="182">
        <f>IF($B37="",0,$D37*'B2 - Custos diretos totais'!P$24)</f>
        <v>0</v>
      </c>
      <c r="S37" s="182">
        <f>IF($B37="",0,$D37*'B2 - Custos diretos totais'!Q$24)</f>
        <v>0</v>
      </c>
      <c r="T37" s="182">
        <f>IF($B37="",0,$D37*'B2 - Custos diretos totais'!R$24)</f>
        <v>0</v>
      </c>
      <c r="U37" s="182">
        <f>IF($B37="",0,$D37*'B2 - Custos diretos totais'!S$24)</f>
        <v>0</v>
      </c>
      <c r="V37" s="182">
        <f>IF($B37="",0,$D37*'B2 - Custos diretos totais'!T$24)</f>
        <v>0</v>
      </c>
      <c r="W37" s="182">
        <f>IF($B37="",0,$D37*'B2 - Custos diretos totais'!U$24)</f>
        <v>0</v>
      </c>
      <c r="X37" s="182">
        <f>IF($B37="",0,$D37*'B2 - Custos diretos totais'!V$24)</f>
        <v>0</v>
      </c>
      <c r="Y37" s="649"/>
      <c r="Z37" s="522"/>
      <c r="AA37" s="522"/>
      <c r="AB37" s="522"/>
      <c r="AC37" s="522"/>
      <c r="AD37" s="522"/>
      <c r="AE37" s="522"/>
      <c r="AF37" s="522"/>
      <c r="AG37" s="522"/>
      <c r="AH37" s="522"/>
      <c r="AI37" s="522"/>
      <c r="AJ37" s="522"/>
    </row>
    <row r="38" spans="1:36" ht="10.5" hidden="1" customHeight="1">
      <c r="A38" s="521"/>
      <c r="B38" s="184"/>
      <c r="C38" s="825"/>
      <c r="D38" s="183"/>
      <c r="E38" s="182">
        <f>IF($B38="",0,$D38*'B2 - Custos diretos totais'!C$24)</f>
        <v>0</v>
      </c>
      <c r="F38" s="182">
        <f>IF($B38="",0,$D38*'B2 - Custos diretos totais'!D$24)</f>
        <v>0</v>
      </c>
      <c r="G38" s="182">
        <f>IF($B38="",0,$D38*'B2 - Custos diretos totais'!E$24)</f>
        <v>0</v>
      </c>
      <c r="H38" s="182">
        <f>IF($B38="",0,$D38*'B2 - Custos diretos totais'!F$24)</f>
        <v>0</v>
      </c>
      <c r="I38" s="182">
        <f>IF($B38="",0,$D38*'B2 - Custos diretos totais'!G$24)</f>
        <v>0</v>
      </c>
      <c r="J38" s="182">
        <f>IF($B38="",0,$D38*'B2 - Custos diretos totais'!H$24)</f>
        <v>0</v>
      </c>
      <c r="K38" s="182">
        <f>IF($B38="",0,$D38*'B2 - Custos diretos totais'!I$24)</f>
        <v>0</v>
      </c>
      <c r="L38" s="182">
        <f>IF($B38="",0,$D38*'B2 - Custos diretos totais'!J$24)</f>
        <v>0</v>
      </c>
      <c r="M38" s="182">
        <f>IF($B38="",0,$D38*'B2 - Custos diretos totais'!K$24)</f>
        <v>0</v>
      </c>
      <c r="N38" s="182">
        <f>IF($B38="",0,$D38*'B2 - Custos diretos totais'!L$24)</f>
        <v>0</v>
      </c>
      <c r="O38" s="182">
        <f>IF($B38="",0,$D38*'B2 - Custos diretos totais'!M$24)</f>
        <v>0</v>
      </c>
      <c r="P38" s="182">
        <f>IF($B38="",0,$D38*'B2 - Custos diretos totais'!N$24)</f>
        <v>0</v>
      </c>
      <c r="Q38" s="182">
        <f>IF($B38="",0,$D38*'B2 - Custos diretos totais'!O$24)</f>
        <v>0</v>
      </c>
      <c r="R38" s="182">
        <f>IF($B38="",0,$D38*'B2 - Custos diretos totais'!P$24)</f>
        <v>0</v>
      </c>
      <c r="S38" s="182">
        <f>IF($B38="",0,$D38*'B2 - Custos diretos totais'!Q$24)</f>
        <v>0</v>
      </c>
      <c r="T38" s="182">
        <f>IF($B38="",0,$D38*'B2 - Custos diretos totais'!R$24)</f>
        <v>0</v>
      </c>
      <c r="U38" s="182">
        <f>IF($B38="",0,$D38*'B2 - Custos diretos totais'!S$24)</f>
        <v>0</v>
      </c>
      <c r="V38" s="182">
        <f>IF($B38="",0,$D38*'B2 - Custos diretos totais'!T$24)</f>
        <v>0</v>
      </c>
      <c r="W38" s="182">
        <f>IF($B38="",0,$D38*'B2 - Custos diretos totais'!U$24)</f>
        <v>0</v>
      </c>
      <c r="X38" s="182">
        <f>IF($B38="",0,$D38*'B2 - Custos diretos totais'!V$24)</f>
        <v>0</v>
      </c>
      <c r="Y38" s="649"/>
      <c r="Z38" s="522"/>
      <c r="AA38" s="522"/>
      <c r="AB38" s="522"/>
      <c r="AC38" s="522"/>
      <c r="AD38" s="522"/>
      <c r="AE38" s="522"/>
      <c r="AF38" s="522"/>
      <c r="AG38" s="522"/>
      <c r="AH38" s="522"/>
      <c r="AI38" s="522"/>
      <c r="AJ38" s="522"/>
    </row>
    <row r="39" spans="1:36" ht="10.5" hidden="1" customHeight="1">
      <c r="A39" s="521"/>
      <c r="B39" s="185" t="s">
        <v>504</v>
      </c>
      <c r="C39" s="816"/>
      <c r="D39" s="186"/>
      <c r="E39" s="187">
        <f t="shared" ref="E39:X39" si="9">SUM(E32:E38)</f>
        <v>0</v>
      </c>
      <c r="F39" s="187">
        <f t="shared" si="9"/>
        <v>0</v>
      </c>
      <c r="G39" s="187">
        <f t="shared" si="9"/>
        <v>0</v>
      </c>
      <c r="H39" s="187">
        <f t="shared" si="9"/>
        <v>0</v>
      </c>
      <c r="I39" s="187">
        <f t="shared" si="9"/>
        <v>0</v>
      </c>
      <c r="J39" s="187">
        <f t="shared" si="9"/>
        <v>0</v>
      </c>
      <c r="K39" s="187">
        <f t="shared" si="9"/>
        <v>0</v>
      </c>
      <c r="L39" s="187">
        <f t="shared" si="9"/>
        <v>0</v>
      </c>
      <c r="M39" s="187">
        <f t="shared" si="9"/>
        <v>0</v>
      </c>
      <c r="N39" s="187">
        <f t="shared" si="9"/>
        <v>0</v>
      </c>
      <c r="O39" s="187">
        <f t="shared" si="9"/>
        <v>0</v>
      </c>
      <c r="P39" s="187">
        <f t="shared" si="9"/>
        <v>0</v>
      </c>
      <c r="Q39" s="187">
        <f t="shared" si="9"/>
        <v>0</v>
      </c>
      <c r="R39" s="187">
        <f t="shared" si="9"/>
        <v>0</v>
      </c>
      <c r="S39" s="187">
        <f t="shared" si="9"/>
        <v>0</v>
      </c>
      <c r="T39" s="187">
        <f t="shared" si="9"/>
        <v>0</v>
      </c>
      <c r="U39" s="187">
        <f t="shared" si="9"/>
        <v>0</v>
      </c>
      <c r="V39" s="187">
        <f t="shared" si="9"/>
        <v>0</v>
      </c>
      <c r="W39" s="187">
        <f t="shared" si="9"/>
        <v>0</v>
      </c>
      <c r="X39" s="187">
        <f t="shared" si="9"/>
        <v>0</v>
      </c>
      <c r="Y39" s="650"/>
      <c r="Z39" s="522"/>
      <c r="AA39" s="522"/>
      <c r="AB39" s="522"/>
      <c r="AC39" s="522"/>
      <c r="AD39" s="522"/>
      <c r="AE39" s="522"/>
      <c r="AF39" s="522"/>
      <c r="AG39" s="522"/>
      <c r="AH39" s="522"/>
      <c r="AI39" s="522"/>
      <c r="AJ39" s="522"/>
    </row>
    <row r="40" spans="1:36" ht="10.5" hidden="1" customHeight="1">
      <c r="A40" s="521"/>
      <c r="B40" s="651" t="s">
        <v>505</v>
      </c>
      <c r="C40" s="522"/>
      <c r="D40" s="522"/>
      <c r="E40" s="522"/>
      <c r="F40" s="522"/>
      <c r="G40" s="522"/>
      <c r="H40" s="522"/>
      <c r="I40" s="522"/>
      <c r="J40" s="522"/>
      <c r="K40" s="522"/>
      <c r="L40" s="522"/>
      <c r="M40" s="522"/>
      <c r="N40" s="522"/>
      <c r="O40" s="522"/>
      <c r="P40" s="522"/>
      <c r="Q40" s="522"/>
      <c r="R40" s="522"/>
      <c r="S40" s="522"/>
      <c r="T40" s="522"/>
      <c r="U40" s="522"/>
      <c r="V40" s="522"/>
      <c r="W40" s="522"/>
      <c r="X40" s="522"/>
      <c r="Y40" s="521"/>
      <c r="Z40" s="522"/>
      <c r="AA40" s="522"/>
      <c r="AB40" s="522"/>
      <c r="AC40" s="522"/>
      <c r="AD40" s="522"/>
      <c r="AE40" s="522"/>
      <c r="AF40" s="522"/>
      <c r="AG40" s="522"/>
      <c r="AH40" s="522"/>
      <c r="AI40" s="522"/>
      <c r="AJ40" s="522"/>
    </row>
    <row r="41" spans="1:36" ht="10.5" hidden="1" customHeight="1">
      <c r="A41" s="521"/>
      <c r="B41" s="522"/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  <c r="T41" s="522"/>
      <c r="U41" s="522"/>
      <c r="V41" s="522"/>
      <c r="W41" s="522"/>
      <c r="X41" s="528" t="s">
        <v>151</v>
      </c>
      <c r="Y41" s="583"/>
      <c r="Z41" s="522"/>
      <c r="AA41" s="522"/>
      <c r="AB41" s="522"/>
      <c r="AC41" s="522"/>
      <c r="AD41" s="522"/>
      <c r="AE41" s="522"/>
      <c r="AF41" s="522"/>
      <c r="AG41" s="522"/>
      <c r="AH41" s="522"/>
      <c r="AI41" s="522"/>
      <c r="AJ41" s="522"/>
    </row>
    <row r="42" spans="1:36" ht="10.5" hidden="1" customHeight="1">
      <c r="A42" s="521"/>
      <c r="B42" s="786" t="s">
        <v>506</v>
      </c>
      <c r="C42" s="815"/>
      <c r="D42" s="820"/>
      <c r="E42" s="799" t="s">
        <v>147</v>
      </c>
      <c r="F42" s="817"/>
      <c r="G42" s="817"/>
      <c r="H42" s="817"/>
      <c r="I42" s="817"/>
      <c r="J42" s="817"/>
      <c r="K42" s="817"/>
      <c r="L42" s="817"/>
      <c r="M42" s="817"/>
      <c r="N42" s="817"/>
      <c r="O42" s="817"/>
      <c r="P42" s="817"/>
      <c r="Q42" s="817"/>
      <c r="R42" s="817"/>
      <c r="S42" s="817"/>
      <c r="T42" s="817"/>
      <c r="U42" s="817"/>
      <c r="V42" s="817"/>
      <c r="W42" s="817"/>
      <c r="X42" s="818"/>
      <c r="Y42" s="647"/>
      <c r="Z42" s="522"/>
      <c r="AA42" s="522"/>
      <c r="AB42" s="522"/>
      <c r="AC42" s="522"/>
      <c r="AD42" s="522"/>
      <c r="AE42" s="522"/>
      <c r="AF42" s="522"/>
      <c r="AG42" s="522"/>
      <c r="AH42" s="522"/>
      <c r="AI42" s="522"/>
      <c r="AJ42" s="522"/>
    </row>
    <row r="43" spans="1:36" ht="10.5" hidden="1" customHeight="1">
      <c r="A43" s="521"/>
      <c r="B43" s="177" t="s">
        <v>127</v>
      </c>
      <c r="C43" s="785"/>
      <c r="D43" s="178" t="s">
        <v>498</v>
      </c>
      <c r="E43" s="179">
        <v>1</v>
      </c>
      <c r="F43" s="179">
        <v>2</v>
      </c>
      <c r="G43" s="179">
        <v>3</v>
      </c>
      <c r="H43" s="179">
        <v>4</v>
      </c>
      <c r="I43" s="179">
        <v>5</v>
      </c>
      <c r="J43" s="179">
        <v>6</v>
      </c>
      <c r="K43" s="179">
        <v>7</v>
      </c>
      <c r="L43" s="179">
        <v>8</v>
      </c>
      <c r="M43" s="179">
        <v>9</v>
      </c>
      <c r="N43" s="179">
        <v>10</v>
      </c>
      <c r="O43" s="179">
        <v>11</v>
      </c>
      <c r="P43" s="179">
        <v>12</v>
      </c>
      <c r="Q43" s="179">
        <v>13</v>
      </c>
      <c r="R43" s="179">
        <v>14</v>
      </c>
      <c r="S43" s="179">
        <v>15</v>
      </c>
      <c r="T43" s="179">
        <v>16</v>
      </c>
      <c r="U43" s="179">
        <v>17</v>
      </c>
      <c r="V43" s="179">
        <v>18</v>
      </c>
      <c r="W43" s="179">
        <v>19</v>
      </c>
      <c r="X43" s="179">
        <v>20</v>
      </c>
      <c r="Y43" s="648"/>
      <c r="Z43" s="522"/>
      <c r="AA43" s="522"/>
      <c r="AB43" s="522"/>
      <c r="AC43" s="522"/>
      <c r="AD43" s="522"/>
      <c r="AE43" s="522"/>
      <c r="AF43" s="522"/>
      <c r="AG43" s="522"/>
      <c r="AH43" s="522"/>
      <c r="AI43" s="522"/>
      <c r="AJ43" s="522"/>
    </row>
    <row r="44" spans="1:36" ht="10.5" hidden="1" customHeight="1">
      <c r="A44" s="521"/>
      <c r="B44" s="180" t="str">
        <f>IF(modo_trib=1,"",""&amp;B32)</f>
        <v>Impostos sobre Produtos Industrializados (IPI)</v>
      </c>
      <c r="C44" s="825"/>
      <c r="D44" s="181"/>
      <c r="E44" s="182">
        <f>IF($B44="",0,$D44*'A4 - Previsão de Receita Bruta'!C$27)</f>
        <v>0</v>
      </c>
      <c r="F44" s="182">
        <f>IF($B44="",0,$D44*'A4 - Previsão de Receita Bruta'!D$27)</f>
        <v>0</v>
      </c>
      <c r="G44" s="182">
        <f>IF($B44="",0,$D44*'A4 - Previsão de Receita Bruta'!E$27)</f>
        <v>0</v>
      </c>
      <c r="H44" s="182">
        <f>IF($B44="",0,$D44*'A4 - Previsão de Receita Bruta'!F$27)</f>
        <v>0</v>
      </c>
      <c r="I44" s="182">
        <f>IF($B44="",0,$D44*'A4 - Previsão de Receita Bruta'!G$27)</f>
        <v>0</v>
      </c>
      <c r="J44" s="182">
        <f>IF($B44="",0,$D44*'A4 - Previsão de Receita Bruta'!H$27)</f>
        <v>0</v>
      </c>
      <c r="K44" s="182">
        <f>IF($B44="",0,$D44*'A4 - Previsão de Receita Bruta'!I$27)</f>
        <v>0</v>
      </c>
      <c r="L44" s="182">
        <f>IF($B44="",0,$D44*'A4 - Previsão de Receita Bruta'!J$27)</f>
        <v>0</v>
      </c>
      <c r="M44" s="182">
        <f>IF($B44="",0,$D44*'A4 - Previsão de Receita Bruta'!K$27)</f>
        <v>0</v>
      </c>
      <c r="N44" s="182">
        <f>IF($B44="",0,$D44*'A4 - Previsão de Receita Bruta'!L$27)</f>
        <v>0</v>
      </c>
      <c r="O44" s="182">
        <f>IF($B44="",0,$D44*'A4 - Previsão de Receita Bruta'!M$27)</f>
        <v>0</v>
      </c>
      <c r="P44" s="182">
        <f>IF($B44="",0,$D44*'A4 - Previsão de Receita Bruta'!N$27)</f>
        <v>0</v>
      </c>
      <c r="Q44" s="182">
        <f>IF($B44="",0,$D44*'A4 - Previsão de Receita Bruta'!O$27)</f>
        <v>0</v>
      </c>
      <c r="R44" s="182">
        <f>IF($B44="",0,$D44*'A4 - Previsão de Receita Bruta'!P$27)</f>
        <v>0</v>
      </c>
      <c r="S44" s="182">
        <f>IF($B44="",0,$D44*'A4 - Previsão de Receita Bruta'!Q$27)</f>
        <v>0</v>
      </c>
      <c r="T44" s="182">
        <f>IF($B44="",0,$D44*'A4 - Previsão de Receita Bruta'!R$27)</f>
        <v>0</v>
      </c>
      <c r="U44" s="182">
        <f>IF($B44="",0,$D44*'A4 - Previsão de Receita Bruta'!S$27)</f>
        <v>0</v>
      </c>
      <c r="V44" s="182">
        <f>IF($B44="",0,$D44*'A4 - Previsão de Receita Bruta'!T$27)</f>
        <v>0</v>
      </c>
      <c r="W44" s="182">
        <f>IF($B44="",0,$D44*'A4 - Previsão de Receita Bruta'!U$27)</f>
        <v>0</v>
      </c>
      <c r="X44" s="182">
        <f>IF($B44="",0,$D44*'A4 - Previsão de Receita Bruta'!V$27)</f>
        <v>0</v>
      </c>
      <c r="Y44" s="649"/>
      <c r="Z44" s="522"/>
      <c r="AA44" s="522"/>
      <c r="AB44" s="522"/>
      <c r="AC44" s="522"/>
      <c r="AD44" s="522"/>
      <c r="AE44" s="522"/>
      <c r="AF44" s="522"/>
      <c r="AG44" s="522"/>
      <c r="AH44" s="522"/>
      <c r="AI44" s="522"/>
      <c r="AJ44" s="522"/>
    </row>
    <row r="45" spans="1:36" ht="10.5" hidden="1" customHeight="1">
      <c r="A45" s="521"/>
      <c r="B45" s="180" t="str">
        <f>IF(modo_trib=1,"",""&amp;B33)</f>
        <v>Imposto sobre Circulação de Mercadorias e Serviços (ICMS)</v>
      </c>
      <c r="C45" s="825"/>
      <c r="D45" s="183"/>
      <c r="E45" s="182">
        <f>IF($B45="",0,$D45*'A4 - Previsão de Receita Bruta'!C$27)</f>
        <v>0</v>
      </c>
      <c r="F45" s="182">
        <f>IF($B45="",0,$D45*'A4 - Previsão de Receita Bruta'!D$27)</f>
        <v>0</v>
      </c>
      <c r="G45" s="182">
        <f>IF($B45="",0,$D45*'A4 - Previsão de Receita Bruta'!E$27)</f>
        <v>0</v>
      </c>
      <c r="H45" s="182">
        <f>IF($B45="",0,$D45*'A4 - Previsão de Receita Bruta'!F$27)</f>
        <v>0</v>
      </c>
      <c r="I45" s="182">
        <f>IF($B45="",0,$D45*'A4 - Previsão de Receita Bruta'!G$27)</f>
        <v>0</v>
      </c>
      <c r="J45" s="182">
        <f>IF($B45="",0,$D45*'A4 - Previsão de Receita Bruta'!H$27)</f>
        <v>0</v>
      </c>
      <c r="K45" s="182">
        <f>IF($B45="",0,$D45*'A4 - Previsão de Receita Bruta'!I$27)</f>
        <v>0</v>
      </c>
      <c r="L45" s="182">
        <f>IF($B45="",0,$D45*'A4 - Previsão de Receita Bruta'!J$27)</f>
        <v>0</v>
      </c>
      <c r="M45" s="182">
        <f>IF($B45="",0,$D45*'A4 - Previsão de Receita Bruta'!K$27)</f>
        <v>0</v>
      </c>
      <c r="N45" s="182">
        <f>IF($B45="",0,$D45*'A4 - Previsão de Receita Bruta'!L$27)</f>
        <v>0</v>
      </c>
      <c r="O45" s="182">
        <f>IF($B45="",0,$D45*'A4 - Previsão de Receita Bruta'!M$27)</f>
        <v>0</v>
      </c>
      <c r="P45" s="182">
        <f>IF($B45="",0,$D45*'A4 - Previsão de Receita Bruta'!N$27)</f>
        <v>0</v>
      </c>
      <c r="Q45" s="182">
        <f>IF($B45="",0,$D45*'A4 - Previsão de Receita Bruta'!O$27)</f>
        <v>0</v>
      </c>
      <c r="R45" s="182">
        <f>IF($B45="",0,$D45*'A4 - Previsão de Receita Bruta'!P$27)</f>
        <v>0</v>
      </c>
      <c r="S45" s="182">
        <f>IF($B45="",0,$D45*'A4 - Previsão de Receita Bruta'!Q$27)</f>
        <v>0</v>
      </c>
      <c r="T45" s="182">
        <f>IF($B45="",0,$D45*'A4 - Previsão de Receita Bruta'!R$27)</f>
        <v>0</v>
      </c>
      <c r="U45" s="182">
        <f>IF($B45="",0,$D45*'A4 - Previsão de Receita Bruta'!S$27)</f>
        <v>0</v>
      </c>
      <c r="V45" s="182">
        <f>IF($B45="",0,$D45*'A4 - Previsão de Receita Bruta'!T$27)</f>
        <v>0</v>
      </c>
      <c r="W45" s="182">
        <f>IF($B45="",0,$D45*'A4 - Previsão de Receita Bruta'!U$27)</f>
        <v>0</v>
      </c>
      <c r="X45" s="182">
        <f>IF($B45="",0,$D45*'A4 - Previsão de Receita Bruta'!V$27)</f>
        <v>0</v>
      </c>
      <c r="Y45" s="649"/>
      <c r="Z45" s="522"/>
      <c r="AA45" s="522"/>
      <c r="AB45" s="522"/>
      <c r="AC45" s="522"/>
      <c r="AD45" s="522"/>
      <c r="AE45" s="522"/>
      <c r="AF45" s="522"/>
      <c r="AG45" s="522"/>
      <c r="AH45" s="522"/>
      <c r="AI45" s="522"/>
      <c r="AJ45" s="522"/>
    </row>
    <row r="46" spans="1:36" ht="10.5" hidden="1" customHeight="1">
      <c r="A46" s="521"/>
      <c r="B46" s="180" t="str">
        <f>IF(modo_trib=1,"",""&amp;B34)</f>
        <v>Imposto sobre Serviços (ISS)</v>
      </c>
      <c r="C46" s="825"/>
      <c r="D46" s="183"/>
      <c r="E46" s="182">
        <f>IF($B46="",0,$D46*'A4 - Previsão de Receita Bruta'!C$27)</f>
        <v>0</v>
      </c>
      <c r="F46" s="182">
        <f>IF($B46="",0,$D46*'A4 - Previsão de Receita Bruta'!D$27)</f>
        <v>0</v>
      </c>
      <c r="G46" s="182">
        <f>IF($B46="",0,$D46*'A4 - Previsão de Receita Bruta'!E$27)</f>
        <v>0</v>
      </c>
      <c r="H46" s="182">
        <f>IF($B46="",0,$D46*'A4 - Previsão de Receita Bruta'!F$27)</f>
        <v>0</v>
      </c>
      <c r="I46" s="182">
        <f>IF($B46="",0,$D46*'A4 - Previsão de Receita Bruta'!G$27)</f>
        <v>0</v>
      </c>
      <c r="J46" s="182">
        <f>IF($B46="",0,$D46*'A4 - Previsão de Receita Bruta'!H$27)</f>
        <v>0</v>
      </c>
      <c r="K46" s="182">
        <f>IF($B46="",0,$D46*'A4 - Previsão de Receita Bruta'!I$27)</f>
        <v>0</v>
      </c>
      <c r="L46" s="182">
        <f>IF($B46="",0,$D46*'A4 - Previsão de Receita Bruta'!J$27)</f>
        <v>0</v>
      </c>
      <c r="M46" s="182">
        <f>IF($B46="",0,$D46*'A4 - Previsão de Receita Bruta'!K$27)</f>
        <v>0</v>
      </c>
      <c r="N46" s="182">
        <f>IF($B46="",0,$D46*'A4 - Previsão de Receita Bruta'!L$27)</f>
        <v>0</v>
      </c>
      <c r="O46" s="182">
        <f>IF($B46="",0,$D46*'A4 - Previsão de Receita Bruta'!M$27)</f>
        <v>0</v>
      </c>
      <c r="P46" s="182">
        <f>IF($B46="",0,$D46*'A4 - Previsão de Receita Bruta'!N$27)</f>
        <v>0</v>
      </c>
      <c r="Q46" s="182">
        <f>IF($B46="",0,$D46*'A4 - Previsão de Receita Bruta'!O$27)</f>
        <v>0</v>
      </c>
      <c r="R46" s="182">
        <f>IF($B46="",0,$D46*'A4 - Previsão de Receita Bruta'!P$27)</f>
        <v>0</v>
      </c>
      <c r="S46" s="182">
        <f>IF($B46="",0,$D46*'A4 - Previsão de Receita Bruta'!Q$27)</f>
        <v>0</v>
      </c>
      <c r="T46" s="182">
        <f>IF($B46="",0,$D46*'A4 - Previsão de Receita Bruta'!R$27)</f>
        <v>0</v>
      </c>
      <c r="U46" s="182">
        <f>IF($B46="",0,$D46*'A4 - Previsão de Receita Bruta'!S$27)</f>
        <v>0</v>
      </c>
      <c r="V46" s="182">
        <f>IF($B46="",0,$D46*'A4 - Previsão de Receita Bruta'!T$27)</f>
        <v>0</v>
      </c>
      <c r="W46" s="182">
        <f>IF($B46="",0,$D46*'A4 - Previsão de Receita Bruta'!U$27)</f>
        <v>0</v>
      </c>
      <c r="X46" s="182">
        <f>IF($B46="",0,$D46*'A4 - Previsão de Receita Bruta'!V$27)</f>
        <v>0</v>
      </c>
      <c r="Y46" s="649"/>
      <c r="Z46" s="522"/>
      <c r="AA46" s="522"/>
      <c r="AB46" s="522"/>
      <c r="AC46" s="522"/>
      <c r="AD46" s="522"/>
      <c r="AE46" s="522"/>
      <c r="AF46" s="522"/>
      <c r="AG46" s="522"/>
      <c r="AH46" s="522"/>
      <c r="AI46" s="522"/>
      <c r="AJ46" s="522"/>
    </row>
    <row r="47" spans="1:36" ht="10.5" hidden="1" customHeight="1">
      <c r="A47" s="521"/>
      <c r="B47" s="180" t="str">
        <f>IF(modo_trib=1,"",""&amp;B35)</f>
        <v>PIS sobre Faturamento (Não-Cumulativo)</v>
      </c>
      <c r="C47" s="825"/>
      <c r="D47" s="183"/>
      <c r="E47" s="182">
        <f>IF($B47="",0,$D47*'A4 - Previsão de Receita Bruta'!C$27)</f>
        <v>0</v>
      </c>
      <c r="F47" s="182">
        <f>IF($B47="",0,$D47*'A4 - Previsão de Receita Bruta'!D$27)</f>
        <v>0</v>
      </c>
      <c r="G47" s="182">
        <f>IF($B47="",0,$D47*'A4 - Previsão de Receita Bruta'!E$27)</f>
        <v>0</v>
      </c>
      <c r="H47" s="182">
        <f>IF($B47="",0,$D47*'A4 - Previsão de Receita Bruta'!F$27)</f>
        <v>0</v>
      </c>
      <c r="I47" s="182">
        <f>IF($B47="",0,$D47*'A4 - Previsão de Receita Bruta'!G$27)</f>
        <v>0</v>
      </c>
      <c r="J47" s="182">
        <f>IF($B47="",0,$D47*'A4 - Previsão de Receita Bruta'!H$27)</f>
        <v>0</v>
      </c>
      <c r="K47" s="182">
        <f>IF($B47="",0,$D47*'A4 - Previsão de Receita Bruta'!I$27)</f>
        <v>0</v>
      </c>
      <c r="L47" s="182">
        <f>IF($B47="",0,$D47*'A4 - Previsão de Receita Bruta'!J$27)</f>
        <v>0</v>
      </c>
      <c r="M47" s="182">
        <f>IF($B47="",0,$D47*'A4 - Previsão de Receita Bruta'!K$27)</f>
        <v>0</v>
      </c>
      <c r="N47" s="182">
        <f>IF($B47="",0,$D47*'A4 - Previsão de Receita Bruta'!L$27)</f>
        <v>0</v>
      </c>
      <c r="O47" s="182">
        <f>IF($B47="",0,$D47*'A4 - Previsão de Receita Bruta'!M$27)</f>
        <v>0</v>
      </c>
      <c r="P47" s="182">
        <f>IF($B47="",0,$D47*'A4 - Previsão de Receita Bruta'!N$27)</f>
        <v>0</v>
      </c>
      <c r="Q47" s="182">
        <f>IF($B47="",0,$D47*'A4 - Previsão de Receita Bruta'!O$27)</f>
        <v>0</v>
      </c>
      <c r="R47" s="182">
        <f>IF($B47="",0,$D47*'A4 - Previsão de Receita Bruta'!P$27)</f>
        <v>0</v>
      </c>
      <c r="S47" s="182">
        <f>IF($B47="",0,$D47*'A4 - Previsão de Receita Bruta'!Q$27)</f>
        <v>0</v>
      </c>
      <c r="T47" s="182">
        <f>IF($B47="",0,$D47*'A4 - Previsão de Receita Bruta'!R$27)</f>
        <v>0</v>
      </c>
      <c r="U47" s="182">
        <f>IF($B47="",0,$D47*'A4 - Previsão de Receita Bruta'!S$27)</f>
        <v>0</v>
      </c>
      <c r="V47" s="182">
        <f>IF($B47="",0,$D47*'A4 - Previsão de Receita Bruta'!T$27)</f>
        <v>0</v>
      </c>
      <c r="W47" s="182">
        <f>IF($B47="",0,$D47*'A4 - Previsão de Receita Bruta'!U$27)</f>
        <v>0</v>
      </c>
      <c r="X47" s="182">
        <f>IF($B47="",0,$D47*'A4 - Previsão de Receita Bruta'!V$27)</f>
        <v>0</v>
      </c>
      <c r="Y47" s="649"/>
      <c r="Z47" s="522"/>
      <c r="AA47" s="522"/>
      <c r="AB47" s="522"/>
      <c r="AC47" s="522"/>
      <c r="AD47" s="522"/>
      <c r="AE47" s="522"/>
      <c r="AF47" s="522"/>
      <c r="AG47" s="522"/>
      <c r="AH47" s="522"/>
      <c r="AI47" s="522"/>
      <c r="AJ47" s="522"/>
    </row>
    <row r="48" spans="1:36" ht="10.5" hidden="1" customHeight="1">
      <c r="A48" s="521"/>
      <c r="B48" s="180" t="str">
        <f>IF(modo_trib=1,"",""&amp;B36)</f>
        <v>COFINS sobre Faturamento (Não-Cumulativo)</v>
      </c>
      <c r="C48" s="825"/>
      <c r="D48" s="183"/>
      <c r="E48" s="182">
        <f>IF($B48="",0,$D48*'A4 - Previsão de Receita Bruta'!C$27)</f>
        <v>0</v>
      </c>
      <c r="F48" s="182">
        <f>IF($B48="",0,$D48*'A4 - Previsão de Receita Bruta'!D$27)</f>
        <v>0</v>
      </c>
      <c r="G48" s="182">
        <f>IF($B48="",0,$D48*'A4 - Previsão de Receita Bruta'!E$27)</f>
        <v>0</v>
      </c>
      <c r="H48" s="182">
        <f>IF($B48="",0,$D48*'A4 - Previsão de Receita Bruta'!F$27)</f>
        <v>0</v>
      </c>
      <c r="I48" s="182">
        <f>IF($B48="",0,$D48*'A4 - Previsão de Receita Bruta'!G$27)</f>
        <v>0</v>
      </c>
      <c r="J48" s="182">
        <f>IF($B48="",0,$D48*'A4 - Previsão de Receita Bruta'!H$27)</f>
        <v>0</v>
      </c>
      <c r="K48" s="182">
        <f>IF($B48="",0,$D48*'A4 - Previsão de Receita Bruta'!I$27)</f>
        <v>0</v>
      </c>
      <c r="L48" s="182">
        <f>IF($B48="",0,$D48*'A4 - Previsão de Receita Bruta'!J$27)</f>
        <v>0</v>
      </c>
      <c r="M48" s="182">
        <f>IF($B48="",0,$D48*'A4 - Previsão de Receita Bruta'!K$27)</f>
        <v>0</v>
      </c>
      <c r="N48" s="182">
        <f>IF($B48="",0,$D48*'A4 - Previsão de Receita Bruta'!L$27)</f>
        <v>0</v>
      </c>
      <c r="O48" s="182">
        <f>IF($B48="",0,$D48*'A4 - Previsão de Receita Bruta'!M$27)</f>
        <v>0</v>
      </c>
      <c r="P48" s="182">
        <f>IF($B48="",0,$D48*'A4 - Previsão de Receita Bruta'!N$27)</f>
        <v>0</v>
      </c>
      <c r="Q48" s="182">
        <f>IF($B48="",0,$D48*'A4 - Previsão de Receita Bruta'!O$27)</f>
        <v>0</v>
      </c>
      <c r="R48" s="182">
        <f>IF($B48="",0,$D48*'A4 - Previsão de Receita Bruta'!P$27)</f>
        <v>0</v>
      </c>
      <c r="S48" s="182">
        <f>IF($B48="",0,$D48*'A4 - Previsão de Receita Bruta'!Q$27)</f>
        <v>0</v>
      </c>
      <c r="T48" s="182">
        <f>IF($B48="",0,$D48*'A4 - Previsão de Receita Bruta'!R$27)</f>
        <v>0</v>
      </c>
      <c r="U48" s="182">
        <f>IF($B48="",0,$D48*'A4 - Previsão de Receita Bruta'!S$27)</f>
        <v>0</v>
      </c>
      <c r="V48" s="182">
        <f>IF($B48="",0,$D48*'A4 - Previsão de Receita Bruta'!T$27)</f>
        <v>0</v>
      </c>
      <c r="W48" s="182">
        <f>IF($B48="",0,$D48*'A4 - Previsão de Receita Bruta'!U$27)</f>
        <v>0</v>
      </c>
      <c r="X48" s="182">
        <f>IF($B48="",0,$D48*'A4 - Previsão de Receita Bruta'!V$27)</f>
        <v>0</v>
      </c>
      <c r="Y48" s="649"/>
      <c r="Z48" s="522"/>
      <c r="AA48" s="522"/>
      <c r="AB48" s="522"/>
      <c r="AC48" s="522"/>
      <c r="AD48" s="522"/>
      <c r="AE48" s="522"/>
      <c r="AF48" s="522"/>
      <c r="AG48" s="522"/>
      <c r="AH48" s="522"/>
      <c r="AI48" s="522"/>
      <c r="AJ48" s="522"/>
    </row>
    <row r="49" spans="1:36" ht="10.5" hidden="1" customHeight="1">
      <c r="A49" s="521"/>
      <c r="B49" s="184"/>
      <c r="C49" s="825"/>
      <c r="D49" s="181"/>
      <c r="E49" s="182">
        <f>IF($B49="",0,$D49*'A4 - Previsão de Receita Bruta'!C$27)</f>
        <v>0</v>
      </c>
      <c r="F49" s="182">
        <f>IF($B49="",0,$D49*'A4 - Previsão de Receita Bruta'!D$27)</f>
        <v>0</v>
      </c>
      <c r="G49" s="182">
        <f>IF($B49="",0,$D49*'A4 - Previsão de Receita Bruta'!E$27)</f>
        <v>0</v>
      </c>
      <c r="H49" s="182">
        <f>IF($B49="",0,$D49*'A4 - Previsão de Receita Bruta'!F$27)</f>
        <v>0</v>
      </c>
      <c r="I49" s="182">
        <f>IF($B49="",0,$D49*'A4 - Previsão de Receita Bruta'!G$27)</f>
        <v>0</v>
      </c>
      <c r="J49" s="182">
        <f>IF($B49="",0,$D49*'A4 - Previsão de Receita Bruta'!H$27)</f>
        <v>0</v>
      </c>
      <c r="K49" s="182">
        <f>IF($B49="",0,$D49*'A4 - Previsão de Receita Bruta'!I$27)</f>
        <v>0</v>
      </c>
      <c r="L49" s="182">
        <f>IF($B49="",0,$D49*'A4 - Previsão de Receita Bruta'!J$27)</f>
        <v>0</v>
      </c>
      <c r="M49" s="182">
        <f>IF($B49="",0,$D49*'A4 - Previsão de Receita Bruta'!K$27)</f>
        <v>0</v>
      </c>
      <c r="N49" s="182">
        <f>IF($B49="",0,$D49*'A4 - Previsão de Receita Bruta'!L$27)</f>
        <v>0</v>
      </c>
      <c r="O49" s="182">
        <f>IF($B49="",0,$D49*'A4 - Previsão de Receita Bruta'!M$27)</f>
        <v>0</v>
      </c>
      <c r="P49" s="182">
        <f>IF($B49="",0,$D49*'A4 - Previsão de Receita Bruta'!N$27)</f>
        <v>0</v>
      </c>
      <c r="Q49" s="182">
        <f>IF($B49="",0,$D49*'A4 - Previsão de Receita Bruta'!O$27)</f>
        <v>0</v>
      </c>
      <c r="R49" s="182">
        <f>IF($B49="",0,$D49*'A4 - Previsão de Receita Bruta'!P$27)</f>
        <v>0</v>
      </c>
      <c r="S49" s="182">
        <f>IF($B49="",0,$D49*'A4 - Previsão de Receita Bruta'!Q$27)</f>
        <v>0</v>
      </c>
      <c r="T49" s="182">
        <f>IF($B49="",0,$D49*'A4 - Previsão de Receita Bruta'!R$27)</f>
        <v>0</v>
      </c>
      <c r="U49" s="182">
        <f>IF($B49="",0,$D49*'A4 - Previsão de Receita Bruta'!S$27)</f>
        <v>0</v>
      </c>
      <c r="V49" s="182">
        <f>IF($B49="",0,$D49*'A4 - Previsão de Receita Bruta'!T$27)</f>
        <v>0</v>
      </c>
      <c r="W49" s="182">
        <f>IF($B49="",0,$D49*'A4 - Previsão de Receita Bruta'!U$27)</f>
        <v>0</v>
      </c>
      <c r="X49" s="182">
        <f>IF($B49="",0,$D49*'A4 - Previsão de Receita Bruta'!V$27)</f>
        <v>0</v>
      </c>
      <c r="Y49" s="649"/>
      <c r="Z49" s="522"/>
      <c r="AA49" s="522"/>
      <c r="AB49" s="522"/>
      <c r="AC49" s="522"/>
      <c r="AD49" s="522"/>
      <c r="AE49" s="522"/>
      <c r="AF49" s="522"/>
      <c r="AG49" s="522"/>
      <c r="AH49" s="522"/>
      <c r="AI49" s="522"/>
      <c r="AJ49" s="522"/>
    </row>
    <row r="50" spans="1:36" ht="10.5" hidden="1" customHeight="1">
      <c r="A50" s="521"/>
      <c r="B50" s="184"/>
      <c r="C50" s="825"/>
      <c r="D50" s="183"/>
      <c r="E50" s="182">
        <f>IF($B50="",0,$D50*'A4 - Previsão de Receita Bruta'!C$27)</f>
        <v>0</v>
      </c>
      <c r="F50" s="182">
        <f>IF($B50="",0,$D50*'A4 - Previsão de Receita Bruta'!D$27)</f>
        <v>0</v>
      </c>
      <c r="G50" s="182">
        <f>IF($B50="",0,$D50*'A4 - Previsão de Receita Bruta'!E$27)</f>
        <v>0</v>
      </c>
      <c r="H50" s="182">
        <f>IF($B50="",0,$D50*'A4 - Previsão de Receita Bruta'!F$27)</f>
        <v>0</v>
      </c>
      <c r="I50" s="182">
        <f>IF($B50="",0,$D50*'A4 - Previsão de Receita Bruta'!G$27)</f>
        <v>0</v>
      </c>
      <c r="J50" s="182">
        <f>IF($B50="",0,$D50*'A4 - Previsão de Receita Bruta'!H$27)</f>
        <v>0</v>
      </c>
      <c r="K50" s="182">
        <f>IF($B50="",0,$D50*'A4 - Previsão de Receita Bruta'!I$27)</f>
        <v>0</v>
      </c>
      <c r="L50" s="182">
        <f>IF($B50="",0,$D50*'A4 - Previsão de Receita Bruta'!J$27)</f>
        <v>0</v>
      </c>
      <c r="M50" s="182">
        <f>IF($B50="",0,$D50*'A4 - Previsão de Receita Bruta'!K$27)</f>
        <v>0</v>
      </c>
      <c r="N50" s="182">
        <f>IF($B50="",0,$D50*'A4 - Previsão de Receita Bruta'!L$27)</f>
        <v>0</v>
      </c>
      <c r="O50" s="182">
        <f>IF($B50="",0,$D50*'A4 - Previsão de Receita Bruta'!M$27)</f>
        <v>0</v>
      </c>
      <c r="P50" s="182">
        <f>IF($B50="",0,$D50*'A4 - Previsão de Receita Bruta'!N$27)</f>
        <v>0</v>
      </c>
      <c r="Q50" s="182">
        <f>IF($B50="",0,$D50*'A4 - Previsão de Receita Bruta'!O$27)</f>
        <v>0</v>
      </c>
      <c r="R50" s="182">
        <f>IF($B50="",0,$D50*'A4 - Previsão de Receita Bruta'!P$27)</f>
        <v>0</v>
      </c>
      <c r="S50" s="182">
        <f>IF($B50="",0,$D50*'A4 - Previsão de Receita Bruta'!Q$27)</f>
        <v>0</v>
      </c>
      <c r="T50" s="182">
        <f>IF($B50="",0,$D50*'A4 - Previsão de Receita Bruta'!R$27)</f>
        <v>0</v>
      </c>
      <c r="U50" s="182">
        <f>IF($B50="",0,$D50*'A4 - Previsão de Receita Bruta'!S$27)</f>
        <v>0</v>
      </c>
      <c r="V50" s="182">
        <f>IF($B50="",0,$D50*'A4 - Previsão de Receita Bruta'!T$27)</f>
        <v>0</v>
      </c>
      <c r="W50" s="182">
        <f>IF($B50="",0,$D50*'A4 - Previsão de Receita Bruta'!U$27)</f>
        <v>0</v>
      </c>
      <c r="X50" s="182">
        <f>IF($B50="",0,$D50*'A4 - Previsão de Receita Bruta'!V$27)</f>
        <v>0</v>
      </c>
      <c r="Y50" s="649"/>
      <c r="Z50" s="522"/>
      <c r="AA50" s="522"/>
      <c r="AB50" s="522"/>
      <c r="AC50" s="522"/>
      <c r="AD50" s="522"/>
      <c r="AE50" s="522"/>
      <c r="AF50" s="522"/>
      <c r="AG50" s="522"/>
      <c r="AH50" s="522"/>
      <c r="AI50" s="522"/>
      <c r="AJ50" s="522"/>
    </row>
    <row r="51" spans="1:36" ht="10.5" hidden="1" customHeight="1">
      <c r="A51" s="521"/>
      <c r="B51" s="185" t="s">
        <v>507</v>
      </c>
      <c r="C51" s="816"/>
      <c r="D51" s="186"/>
      <c r="E51" s="187">
        <f t="shared" ref="E51:X51" si="10">SUM(E44:E50)</f>
        <v>0</v>
      </c>
      <c r="F51" s="187">
        <f t="shared" si="10"/>
        <v>0</v>
      </c>
      <c r="G51" s="187">
        <f t="shared" si="10"/>
        <v>0</v>
      </c>
      <c r="H51" s="187">
        <f t="shared" si="10"/>
        <v>0</v>
      </c>
      <c r="I51" s="187">
        <f t="shared" si="10"/>
        <v>0</v>
      </c>
      <c r="J51" s="187">
        <f t="shared" si="10"/>
        <v>0</v>
      </c>
      <c r="K51" s="187">
        <f t="shared" si="10"/>
        <v>0</v>
      </c>
      <c r="L51" s="187">
        <f t="shared" si="10"/>
        <v>0</v>
      </c>
      <c r="M51" s="187">
        <f t="shared" si="10"/>
        <v>0</v>
      </c>
      <c r="N51" s="187">
        <f t="shared" si="10"/>
        <v>0</v>
      </c>
      <c r="O51" s="187">
        <f t="shared" si="10"/>
        <v>0</v>
      </c>
      <c r="P51" s="187">
        <f t="shared" si="10"/>
        <v>0</v>
      </c>
      <c r="Q51" s="187">
        <f t="shared" si="10"/>
        <v>0</v>
      </c>
      <c r="R51" s="187">
        <f t="shared" si="10"/>
        <v>0</v>
      </c>
      <c r="S51" s="187">
        <f t="shared" si="10"/>
        <v>0</v>
      </c>
      <c r="T51" s="187">
        <f t="shared" si="10"/>
        <v>0</v>
      </c>
      <c r="U51" s="187">
        <f t="shared" si="10"/>
        <v>0</v>
      </c>
      <c r="V51" s="187">
        <f t="shared" si="10"/>
        <v>0</v>
      </c>
      <c r="W51" s="187">
        <f t="shared" si="10"/>
        <v>0</v>
      </c>
      <c r="X51" s="187">
        <f t="shared" si="10"/>
        <v>0</v>
      </c>
      <c r="Y51" s="650"/>
      <c r="Z51" s="522"/>
      <c r="AA51" s="522"/>
      <c r="AB51" s="522"/>
      <c r="AC51" s="522"/>
      <c r="AD51" s="522"/>
      <c r="AE51" s="522"/>
      <c r="AF51" s="522"/>
      <c r="AG51" s="522"/>
      <c r="AH51" s="522"/>
      <c r="AI51" s="522"/>
      <c r="AJ51" s="522"/>
    </row>
    <row r="52" spans="1:36" ht="10.5" hidden="1" customHeight="1">
      <c r="A52" s="521"/>
      <c r="B52" s="522"/>
      <c r="C52" s="522"/>
      <c r="D52" s="522"/>
      <c r="E52" s="522"/>
      <c r="F52" s="522"/>
      <c r="G52" s="522"/>
      <c r="H52" s="522"/>
      <c r="I52" s="522"/>
      <c r="J52" s="522"/>
      <c r="K52" s="522"/>
      <c r="L52" s="522"/>
      <c r="M52" s="522"/>
      <c r="N52" s="522"/>
      <c r="O52" s="522"/>
      <c r="P52" s="522"/>
      <c r="Q52" s="522"/>
      <c r="R52" s="522"/>
      <c r="S52" s="522"/>
      <c r="T52" s="522"/>
      <c r="U52" s="522"/>
      <c r="V52" s="522"/>
      <c r="W52" s="522"/>
      <c r="X52" s="522"/>
      <c r="Y52" s="521"/>
      <c r="Z52" s="522"/>
      <c r="AA52" s="522"/>
      <c r="AB52" s="522"/>
      <c r="AC52" s="522"/>
      <c r="AD52" s="522"/>
      <c r="AE52" s="522"/>
      <c r="AF52" s="522"/>
      <c r="AG52" s="522"/>
      <c r="AH52" s="522"/>
      <c r="AI52" s="522"/>
      <c r="AJ52" s="522"/>
    </row>
    <row r="53" spans="1:36" ht="10.5" hidden="1" customHeight="1">
      <c r="A53" s="521"/>
      <c r="B53" s="522"/>
      <c r="C53" s="522"/>
      <c r="D53" s="522"/>
      <c r="E53" s="522"/>
      <c r="F53" s="522"/>
      <c r="G53" s="522"/>
      <c r="H53" s="522"/>
      <c r="I53" s="522"/>
      <c r="J53" s="522"/>
      <c r="K53" s="522"/>
      <c r="L53" s="522"/>
      <c r="M53" s="522"/>
      <c r="N53" s="522"/>
      <c r="O53" s="522"/>
      <c r="P53" s="522"/>
      <c r="Q53" s="522"/>
      <c r="R53" s="522"/>
      <c r="S53" s="522"/>
      <c r="T53" s="522"/>
      <c r="U53" s="522"/>
      <c r="V53" s="522"/>
      <c r="W53" s="522"/>
      <c r="X53" s="528" t="s">
        <v>151</v>
      </c>
      <c r="Y53" s="583"/>
      <c r="Z53" s="522"/>
      <c r="AA53" s="522"/>
      <c r="AB53" s="522"/>
      <c r="AC53" s="522"/>
      <c r="AD53" s="522"/>
      <c r="AE53" s="522"/>
      <c r="AF53" s="522"/>
      <c r="AG53" s="522"/>
      <c r="AH53" s="522"/>
      <c r="AI53" s="522"/>
      <c r="AJ53" s="522"/>
    </row>
    <row r="54" spans="1:36" ht="10.5" hidden="1" customHeight="1">
      <c r="A54" s="521"/>
      <c r="B54" s="786" t="s">
        <v>508</v>
      </c>
      <c r="C54" s="815"/>
      <c r="D54" s="820"/>
      <c r="E54" s="799" t="s">
        <v>147</v>
      </c>
      <c r="F54" s="817"/>
      <c r="G54" s="817"/>
      <c r="H54" s="817"/>
      <c r="I54" s="817"/>
      <c r="J54" s="817"/>
      <c r="K54" s="817"/>
      <c r="L54" s="817"/>
      <c r="M54" s="817"/>
      <c r="N54" s="817"/>
      <c r="O54" s="817"/>
      <c r="P54" s="817"/>
      <c r="Q54" s="817"/>
      <c r="R54" s="817"/>
      <c r="S54" s="817"/>
      <c r="T54" s="817"/>
      <c r="U54" s="817"/>
      <c r="V54" s="817"/>
      <c r="W54" s="817"/>
      <c r="X54" s="818"/>
      <c r="Y54" s="647"/>
      <c r="Z54" s="522"/>
      <c r="AA54" s="522"/>
      <c r="AB54" s="522"/>
      <c r="AC54" s="522"/>
      <c r="AD54" s="522"/>
      <c r="AE54" s="522"/>
      <c r="AF54" s="522"/>
      <c r="AG54" s="522"/>
      <c r="AH54" s="522"/>
      <c r="AI54" s="522"/>
      <c r="AJ54" s="522"/>
    </row>
    <row r="55" spans="1:36" ht="10.5" hidden="1" customHeight="1">
      <c r="A55" s="521"/>
      <c r="B55" s="177" t="s">
        <v>127</v>
      </c>
      <c r="C55" s="178" t="s">
        <v>509</v>
      </c>
      <c r="D55" s="787"/>
      <c r="E55" s="179">
        <v>1</v>
      </c>
      <c r="F55" s="179">
        <v>2</v>
      </c>
      <c r="G55" s="179">
        <v>3</v>
      </c>
      <c r="H55" s="179">
        <v>4</v>
      </c>
      <c r="I55" s="179">
        <v>5</v>
      </c>
      <c r="J55" s="179">
        <v>6</v>
      </c>
      <c r="K55" s="179">
        <v>7</v>
      </c>
      <c r="L55" s="179">
        <v>8</v>
      </c>
      <c r="M55" s="179">
        <v>9</v>
      </c>
      <c r="N55" s="179">
        <v>10</v>
      </c>
      <c r="O55" s="179">
        <v>11</v>
      </c>
      <c r="P55" s="179">
        <v>12</v>
      </c>
      <c r="Q55" s="179">
        <v>13</v>
      </c>
      <c r="R55" s="179">
        <v>14</v>
      </c>
      <c r="S55" s="179">
        <v>15</v>
      </c>
      <c r="T55" s="179">
        <v>16</v>
      </c>
      <c r="U55" s="179">
        <v>17</v>
      </c>
      <c r="V55" s="179">
        <v>18</v>
      </c>
      <c r="W55" s="179">
        <v>19</v>
      </c>
      <c r="X55" s="179">
        <v>20</v>
      </c>
      <c r="Y55" s="648"/>
      <c r="Z55" s="522"/>
      <c r="AA55" s="522"/>
      <c r="AB55" s="522"/>
      <c r="AC55" s="522"/>
      <c r="AD55" s="522"/>
      <c r="AE55" s="522"/>
      <c r="AF55" s="522"/>
      <c r="AG55" s="522"/>
      <c r="AH55" s="522"/>
      <c r="AI55" s="522"/>
      <c r="AJ55" s="522"/>
    </row>
    <row r="56" spans="1:36" ht="10.5" hidden="1" customHeight="1">
      <c r="A56" s="521"/>
      <c r="B56" s="180" t="s">
        <v>499</v>
      </c>
      <c r="C56" s="188">
        <v>0</v>
      </c>
      <c r="D56" s="825"/>
      <c r="E56" s="182">
        <f t="shared" ref="E56:X56" si="11">IF($B56="",0,E44-E32)</f>
        <v>0</v>
      </c>
      <c r="F56" s="182">
        <f t="shared" si="11"/>
        <v>0</v>
      </c>
      <c r="G56" s="182">
        <f t="shared" si="11"/>
        <v>0</v>
      </c>
      <c r="H56" s="182">
        <f t="shared" si="11"/>
        <v>0</v>
      </c>
      <c r="I56" s="182">
        <f t="shared" si="11"/>
        <v>0</v>
      </c>
      <c r="J56" s="182">
        <f t="shared" si="11"/>
        <v>0</v>
      </c>
      <c r="K56" s="182">
        <f t="shared" si="11"/>
        <v>0</v>
      </c>
      <c r="L56" s="182">
        <f t="shared" si="11"/>
        <v>0</v>
      </c>
      <c r="M56" s="182">
        <f t="shared" si="11"/>
        <v>0</v>
      </c>
      <c r="N56" s="182">
        <f t="shared" si="11"/>
        <v>0</v>
      </c>
      <c r="O56" s="182">
        <f t="shared" si="11"/>
        <v>0</v>
      </c>
      <c r="P56" s="182">
        <f t="shared" si="11"/>
        <v>0</v>
      </c>
      <c r="Q56" s="182">
        <f t="shared" si="11"/>
        <v>0</v>
      </c>
      <c r="R56" s="182">
        <f t="shared" si="11"/>
        <v>0</v>
      </c>
      <c r="S56" s="182">
        <f t="shared" si="11"/>
        <v>0</v>
      </c>
      <c r="T56" s="182">
        <f t="shared" si="11"/>
        <v>0</v>
      </c>
      <c r="U56" s="182">
        <f t="shared" si="11"/>
        <v>0</v>
      </c>
      <c r="V56" s="182">
        <f t="shared" si="11"/>
        <v>0</v>
      </c>
      <c r="W56" s="182">
        <f t="shared" si="11"/>
        <v>0</v>
      </c>
      <c r="X56" s="182">
        <f t="shared" si="11"/>
        <v>0</v>
      </c>
      <c r="Y56" s="649"/>
      <c r="Z56" s="522"/>
      <c r="AA56" s="522"/>
      <c r="AB56" s="522"/>
      <c r="AC56" s="522"/>
      <c r="AD56" s="522"/>
      <c r="AE56" s="522"/>
      <c r="AF56" s="522"/>
      <c r="AG56" s="522"/>
      <c r="AH56" s="522"/>
      <c r="AI56" s="522"/>
      <c r="AJ56" s="522"/>
    </row>
    <row r="57" spans="1:36" ht="10.5" hidden="1" customHeight="1">
      <c r="A57" s="521"/>
      <c r="B57" s="180" t="s">
        <v>500</v>
      </c>
      <c r="C57" s="188">
        <v>0</v>
      </c>
      <c r="D57" s="825"/>
      <c r="E57" s="182">
        <f t="shared" ref="E57:X57" si="12">IF($B57="",0,E45-E33)</f>
        <v>0</v>
      </c>
      <c r="F57" s="182">
        <f t="shared" si="12"/>
        <v>0</v>
      </c>
      <c r="G57" s="182">
        <f t="shared" si="12"/>
        <v>0</v>
      </c>
      <c r="H57" s="182">
        <f t="shared" si="12"/>
        <v>0</v>
      </c>
      <c r="I57" s="182">
        <f t="shared" si="12"/>
        <v>0</v>
      </c>
      <c r="J57" s="182">
        <f t="shared" si="12"/>
        <v>0</v>
      </c>
      <c r="K57" s="182">
        <f t="shared" si="12"/>
        <v>0</v>
      </c>
      <c r="L57" s="182">
        <f t="shared" si="12"/>
        <v>0</v>
      </c>
      <c r="M57" s="182">
        <f t="shared" si="12"/>
        <v>0</v>
      </c>
      <c r="N57" s="182">
        <f t="shared" si="12"/>
        <v>0</v>
      </c>
      <c r="O57" s="182">
        <f t="shared" si="12"/>
        <v>0</v>
      </c>
      <c r="P57" s="182">
        <f t="shared" si="12"/>
        <v>0</v>
      </c>
      <c r="Q57" s="182">
        <f t="shared" si="12"/>
        <v>0</v>
      </c>
      <c r="R57" s="182">
        <f t="shared" si="12"/>
        <v>0</v>
      </c>
      <c r="S57" s="182">
        <f t="shared" si="12"/>
        <v>0</v>
      </c>
      <c r="T57" s="182">
        <f t="shared" si="12"/>
        <v>0</v>
      </c>
      <c r="U57" s="182">
        <f t="shared" si="12"/>
        <v>0</v>
      </c>
      <c r="V57" s="182">
        <f t="shared" si="12"/>
        <v>0</v>
      </c>
      <c r="W57" s="182">
        <f t="shared" si="12"/>
        <v>0</v>
      </c>
      <c r="X57" s="182">
        <f t="shared" si="12"/>
        <v>0</v>
      </c>
      <c r="Y57" s="649"/>
      <c r="Z57" s="522"/>
      <c r="AA57" s="522"/>
      <c r="AB57" s="522"/>
      <c r="AC57" s="522"/>
      <c r="AD57" s="522"/>
      <c r="AE57" s="522"/>
      <c r="AF57" s="522"/>
      <c r="AG57" s="522"/>
      <c r="AH57" s="522"/>
      <c r="AI57" s="522"/>
      <c r="AJ57" s="522"/>
    </row>
    <row r="58" spans="1:36" ht="10.5" hidden="1" customHeight="1">
      <c r="A58" s="521"/>
      <c r="B58" s="180" t="s">
        <v>501</v>
      </c>
      <c r="C58" s="188">
        <v>0</v>
      </c>
      <c r="D58" s="825"/>
      <c r="E58" s="182">
        <f t="shared" ref="E58:X58" si="13">IF($B58="",0,E46-E34)</f>
        <v>0</v>
      </c>
      <c r="F58" s="182">
        <f t="shared" si="13"/>
        <v>0</v>
      </c>
      <c r="G58" s="182">
        <f t="shared" si="13"/>
        <v>0</v>
      </c>
      <c r="H58" s="182">
        <f t="shared" si="13"/>
        <v>0</v>
      </c>
      <c r="I58" s="182">
        <f t="shared" si="13"/>
        <v>0</v>
      </c>
      <c r="J58" s="182">
        <f t="shared" si="13"/>
        <v>0</v>
      </c>
      <c r="K58" s="182">
        <f t="shared" si="13"/>
        <v>0</v>
      </c>
      <c r="L58" s="182">
        <f t="shared" si="13"/>
        <v>0</v>
      </c>
      <c r="M58" s="182">
        <f t="shared" si="13"/>
        <v>0</v>
      </c>
      <c r="N58" s="182">
        <f t="shared" si="13"/>
        <v>0</v>
      </c>
      <c r="O58" s="182">
        <f t="shared" si="13"/>
        <v>0</v>
      </c>
      <c r="P58" s="182">
        <f t="shared" si="13"/>
        <v>0</v>
      </c>
      <c r="Q58" s="182">
        <f t="shared" si="13"/>
        <v>0</v>
      </c>
      <c r="R58" s="182">
        <f t="shared" si="13"/>
        <v>0</v>
      </c>
      <c r="S58" s="182">
        <f t="shared" si="13"/>
        <v>0</v>
      </c>
      <c r="T58" s="182">
        <f t="shared" si="13"/>
        <v>0</v>
      </c>
      <c r="U58" s="182">
        <f t="shared" si="13"/>
        <v>0</v>
      </c>
      <c r="V58" s="182">
        <f t="shared" si="13"/>
        <v>0</v>
      </c>
      <c r="W58" s="182">
        <f t="shared" si="13"/>
        <v>0</v>
      </c>
      <c r="X58" s="182">
        <f t="shared" si="13"/>
        <v>0</v>
      </c>
      <c r="Y58" s="649"/>
      <c r="Z58" s="522"/>
      <c r="AA58" s="522"/>
      <c r="AB58" s="522"/>
      <c r="AC58" s="522"/>
      <c r="AD58" s="522"/>
      <c r="AE58" s="522"/>
      <c r="AF58" s="522"/>
      <c r="AG58" s="522"/>
      <c r="AH58" s="522"/>
      <c r="AI58" s="522"/>
      <c r="AJ58" s="522"/>
    </row>
    <row r="59" spans="1:36" ht="10.5" hidden="1" customHeight="1">
      <c r="A59" s="521"/>
      <c r="B59" s="180" t="s">
        <v>502</v>
      </c>
      <c r="C59" s="188">
        <v>0</v>
      </c>
      <c r="D59" s="825"/>
      <c r="E59" s="182">
        <f t="shared" ref="E59:X59" si="14">IF($B59="",0,E47-E35)</f>
        <v>0</v>
      </c>
      <c r="F59" s="182">
        <f t="shared" si="14"/>
        <v>0</v>
      </c>
      <c r="G59" s="182">
        <f t="shared" si="14"/>
        <v>0</v>
      </c>
      <c r="H59" s="182">
        <f t="shared" si="14"/>
        <v>0</v>
      </c>
      <c r="I59" s="182">
        <f t="shared" si="14"/>
        <v>0</v>
      </c>
      <c r="J59" s="182">
        <f t="shared" si="14"/>
        <v>0</v>
      </c>
      <c r="K59" s="182">
        <f t="shared" si="14"/>
        <v>0</v>
      </c>
      <c r="L59" s="182">
        <f t="shared" si="14"/>
        <v>0</v>
      </c>
      <c r="M59" s="182">
        <f t="shared" si="14"/>
        <v>0</v>
      </c>
      <c r="N59" s="182">
        <f t="shared" si="14"/>
        <v>0</v>
      </c>
      <c r="O59" s="182">
        <f t="shared" si="14"/>
        <v>0</v>
      </c>
      <c r="P59" s="182">
        <f t="shared" si="14"/>
        <v>0</v>
      </c>
      <c r="Q59" s="182">
        <f t="shared" si="14"/>
        <v>0</v>
      </c>
      <c r="R59" s="182">
        <f t="shared" si="14"/>
        <v>0</v>
      </c>
      <c r="S59" s="182">
        <f t="shared" si="14"/>
        <v>0</v>
      </c>
      <c r="T59" s="182">
        <f t="shared" si="14"/>
        <v>0</v>
      </c>
      <c r="U59" s="182">
        <f t="shared" si="14"/>
        <v>0</v>
      </c>
      <c r="V59" s="182">
        <f t="shared" si="14"/>
        <v>0</v>
      </c>
      <c r="W59" s="182">
        <f t="shared" si="14"/>
        <v>0</v>
      </c>
      <c r="X59" s="182">
        <f t="shared" si="14"/>
        <v>0</v>
      </c>
      <c r="Y59" s="649"/>
      <c r="Z59" s="522"/>
      <c r="AA59" s="522"/>
      <c r="AB59" s="522"/>
      <c r="AC59" s="522"/>
      <c r="AD59" s="522"/>
      <c r="AE59" s="522"/>
      <c r="AF59" s="522"/>
      <c r="AG59" s="522"/>
      <c r="AH59" s="522"/>
      <c r="AI59" s="522"/>
      <c r="AJ59" s="522"/>
    </row>
    <row r="60" spans="1:36" ht="10.5" hidden="1" customHeight="1">
      <c r="A60" s="521"/>
      <c r="B60" s="180" t="s">
        <v>503</v>
      </c>
      <c r="C60" s="188">
        <v>0</v>
      </c>
      <c r="D60" s="825"/>
      <c r="E60" s="182">
        <f t="shared" ref="E60:X60" si="15">IF($B60="",0,E48-E36)</f>
        <v>0</v>
      </c>
      <c r="F60" s="182">
        <f t="shared" si="15"/>
        <v>0</v>
      </c>
      <c r="G60" s="182">
        <f t="shared" si="15"/>
        <v>0</v>
      </c>
      <c r="H60" s="182">
        <f t="shared" si="15"/>
        <v>0</v>
      </c>
      <c r="I60" s="182">
        <f t="shared" si="15"/>
        <v>0</v>
      </c>
      <c r="J60" s="182">
        <f t="shared" si="15"/>
        <v>0</v>
      </c>
      <c r="K60" s="182">
        <f t="shared" si="15"/>
        <v>0</v>
      </c>
      <c r="L60" s="182">
        <f t="shared" si="15"/>
        <v>0</v>
      </c>
      <c r="M60" s="182">
        <f t="shared" si="15"/>
        <v>0</v>
      </c>
      <c r="N60" s="182">
        <f t="shared" si="15"/>
        <v>0</v>
      </c>
      <c r="O60" s="182">
        <f t="shared" si="15"/>
        <v>0</v>
      </c>
      <c r="P60" s="182">
        <f t="shared" si="15"/>
        <v>0</v>
      </c>
      <c r="Q60" s="182">
        <f t="shared" si="15"/>
        <v>0</v>
      </c>
      <c r="R60" s="182">
        <f t="shared" si="15"/>
        <v>0</v>
      </c>
      <c r="S60" s="182">
        <f t="shared" si="15"/>
        <v>0</v>
      </c>
      <c r="T60" s="182">
        <f t="shared" si="15"/>
        <v>0</v>
      </c>
      <c r="U60" s="182">
        <f t="shared" si="15"/>
        <v>0</v>
      </c>
      <c r="V60" s="182">
        <f t="shared" si="15"/>
        <v>0</v>
      </c>
      <c r="W60" s="182">
        <f t="shared" si="15"/>
        <v>0</v>
      </c>
      <c r="X60" s="182">
        <f t="shared" si="15"/>
        <v>0</v>
      </c>
      <c r="Y60" s="649"/>
      <c r="Z60" s="522"/>
      <c r="AA60" s="522"/>
      <c r="AB60" s="522"/>
      <c r="AC60" s="522"/>
      <c r="AD60" s="522"/>
      <c r="AE60" s="522"/>
      <c r="AF60" s="522"/>
      <c r="AG60" s="522"/>
      <c r="AH60" s="522"/>
      <c r="AI60" s="522"/>
      <c r="AJ60" s="522"/>
    </row>
    <row r="61" spans="1:36" ht="10.5" hidden="1" customHeight="1">
      <c r="A61" s="521"/>
      <c r="B61" s="184"/>
      <c r="C61" s="188">
        <v>0</v>
      </c>
      <c r="D61" s="825"/>
      <c r="E61" s="182">
        <f t="shared" ref="E61:X61" si="16">IF($B61="",0,E49-E37)</f>
        <v>0</v>
      </c>
      <c r="F61" s="182">
        <f t="shared" si="16"/>
        <v>0</v>
      </c>
      <c r="G61" s="182">
        <f t="shared" si="16"/>
        <v>0</v>
      </c>
      <c r="H61" s="182">
        <f t="shared" si="16"/>
        <v>0</v>
      </c>
      <c r="I61" s="182">
        <f t="shared" si="16"/>
        <v>0</v>
      </c>
      <c r="J61" s="182">
        <f t="shared" si="16"/>
        <v>0</v>
      </c>
      <c r="K61" s="182">
        <f t="shared" si="16"/>
        <v>0</v>
      </c>
      <c r="L61" s="182">
        <f t="shared" si="16"/>
        <v>0</v>
      </c>
      <c r="M61" s="182">
        <f t="shared" si="16"/>
        <v>0</v>
      </c>
      <c r="N61" s="182">
        <f t="shared" si="16"/>
        <v>0</v>
      </c>
      <c r="O61" s="182">
        <f t="shared" si="16"/>
        <v>0</v>
      </c>
      <c r="P61" s="182">
        <f t="shared" si="16"/>
        <v>0</v>
      </c>
      <c r="Q61" s="182">
        <f t="shared" si="16"/>
        <v>0</v>
      </c>
      <c r="R61" s="182">
        <f t="shared" si="16"/>
        <v>0</v>
      </c>
      <c r="S61" s="182">
        <f t="shared" si="16"/>
        <v>0</v>
      </c>
      <c r="T61" s="182">
        <f t="shared" si="16"/>
        <v>0</v>
      </c>
      <c r="U61" s="182">
        <f t="shared" si="16"/>
        <v>0</v>
      </c>
      <c r="V61" s="182">
        <f t="shared" si="16"/>
        <v>0</v>
      </c>
      <c r="W61" s="182">
        <f t="shared" si="16"/>
        <v>0</v>
      </c>
      <c r="X61" s="182">
        <f t="shared" si="16"/>
        <v>0</v>
      </c>
      <c r="Y61" s="649"/>
      <c r="Z61" s="522"/>
      <c r="AA61" s="522"/>
      <c r="AB61" s="522"/>
      <c r="AC61" s="522"/>
      <c r="AD61" s="522"/>
      <c r="AE61" s="522"/>
      <c r="AF61" s="522"/>
      <c r="AG61" s="522"/>
      <c r="AH61" s="522"/>
      <c r="AI61" s="522"/>
      <c r="AJ61" s="522"/>
    </row>
    <row r="62" spans="1:36" ht="10.5" hidden="1" customHeight="1">
      <c r="A62" s="521"/>
      <c r="B62" s="184"/>
      <c r="C62" s="188">
        <v>0</v>
      </c>
      <c r="D62" s="825"/>
      <c r="E62" s="182">
        <f t="shared" ref="E62:X62" si="17">IF($B62="",0,E50-E38)</f>
        <v>0</v>
      </c>
      <c r="F62" s="182">
        <f t="shared" si="17"/>
        <v>0</v>
      </c>
      <c r="G62" s="182">
        <f t="shared" si="17"/>
        <v>0</v>
      </c>
      <c r="H62" s="182">
        <f t="shared" si="17"/>
        <v>0</v>
      </c>
      <c r="I62" s="182">
        <f t="shared" si="17"/>
        <v>0</v>
      </c>
      <c r="J62" s="182">
        <f t="shared" si="17"/>
        <v>0</v>
      </c>
      <c r="K62" s="182">
        <f t="shared" si="17"/>
        <v>0</v>
      </c>
      <c r="L62" s="182">
        <f t="shared" si="17"/>
        <v>0</v>
      </c>
      <c r="M62" s="182">
        <f t="shared" si="17"/>
        <v>0</v>
      </c>
      <c r="N62" s="182">
        <f t="shared" si="17"/>
        <v>0</v>
      </c>
      <c r="O62" s="182">
        <f t="shared" si="17"/>
        <v>0</v>
      </c>
      <c r="P62" s="182">
        <f t="shared" si="17"/>
        <v>0</v>
      </c>
      <c r="Q62" s="182">
        <f t="shared" si="17"/>
        <v>0</v>
      </c>
      <c r="R62" s="182">
        <f t="shared" si="17"/>
        <v>0</v>
      </c>
      <c r="S62" s="182">
        <f t="shared" si="17"/>
        <v>0</v>
      </c>
      <c r="T62" s="182">
        <f t="shared" si="17"/>
        <v>0</v>
      </c>
      <c r="U62" s="182">
        <f t="shared" si="17"/>
        <v>0</v>
      </c>
      <c r="V62" s="182">
        <f t="shared" si="17"/>
        <v>0</v>
      </c>
      <c r="W62" s="182">
        <f t="shared" si="17"/>
        <v>0</v>
      </c>
      <c r="X62" s="182">
        <f t="shared" si="17"/>
        <v>0</v>
      </c>
      <c r="Y62" s="649"/>
      <c r="Z62" s="522"/>
      <c r="AA62" s="522"/>
      <c r="AB62" s="522"/>
      <c r="AC62" s="522"/>
      <c r="AD62" s="522"/>
      <c r="AE62" s="522"/>
      <c r="AF62" s="522"/>
      <c r="AG62" s="522"/>
      <c r="AH62" s="522"/>
      <c r="AI62" s="522"/>
      <c r="AJ62" s="522"/>
    </row>
    <row r="63" spans="1:36" ht="10.5" hidden="1" customHeight="1">
      <c r="A63" s="521"/>
      <c r="B63" s="185" t="s">
        <v>510</v>
      </c>
      <c r="C63" s="788"/>
      <c r="D63" s="825"/>
      <c r="E63" s="187">
        <f t="shared" ref="E63:X63" si="18">SUM(E56:E62)</f>
        <v>0</v>
      </c>
      <c r="F63" s="187">
        <f t="shared" si="18"/>
        <v>0</v>
      </c>
      <c r="G63" s="187">
        <f t="shared" si="18"/>
        <v>0</v>
      </c>
      <c r="H63" s="187">
        <f t="shared" si="18"/>
        <v>0</v>
      </c>
      <c r="I63" s="187">
        <f t="shared" si="18"/>
        <v>0</v>
      </c>
      <c r="J63" s="187">
        <f t="shared" si="18"/>
        <v>0</v>
      </c>
      <c r="K63" s="187">
        <f t="shared" si="18"/>
        <v>0</v>
      </c>
      <c r="L63" s="187">
        <f t="shared" si="18"/>
        <v>0</v>
      </c>
      <c r="M63" s="187">
        <f t="shared" si="18"/>
        <v>0</v>
      </c>
      <c r="N63" s="187">
        <f t="shared" si="18"/>
        <v>0</v>
      </c>
      <c r="O63" s="187">
        <f t="shared" si="18"/>
        <v>0</v>
      </c>
      <c r="P63" s="187">
        <f t="shared" si="18"/>
        <v>0</v>
      </c>
      <c r="Q63" s="187">
        <f t="shared" si="18"/>
        <v>0</v>
      </c>
      <c r="R63" s="187">
        <f t="shared" si="18"/>
        <v>0</v>
      </c>
      <c r="S63" s="187">
        <f t="shared" si="18"/>
        <v>0</v>
      </c>
      <c r="T63" s="187">
        <f t="shared" si="18"/>
        <v>0</v>
      </c>
      <c r="U63" s="187">
        <f t="shared" si="18"/>
        <v>0</v>
      </c>
      <c r="V63" s="187">
        <f t="shared" si="18"/>
        <v>0</v>
      </c>
      <c r="W63" s="187">
        <f t="shared" si="18"/>
        <v>0</v>
      </c>
      <c r="X63" s="187">
        <f t="shared" si="18"/>
        <v>0</v>
      </c>
      <c r="Y63" s="650"/>
      <c r="Z63" s="522"/>
      <c r="AA63" s="522"/>
      <c r="AB63" s="522"/>
      <c r="AC63" s="522"/>
      <c r="AD63" s="522"/>
      <c r="AE63" s="522"/>
      <c r="AF63" s="522"/>
      <c r="AG63" s="522"/>
      <c r="AH63" s="522"/>
      <c r="AI63" s="522"/>
      <c r="AJ63" s="522"/>
    </row>
    <row r="64" spans="1:36" ht="10.5" hidden="1" customHeight="1">
      <c r="A64" s="521"/>
      <c r="B64" s="185" t="s">
        <v>511</v>
      </c>
      <c r="C64" s="825"/>
      <c r="D64" s="825"/>
      <c r="E64" s="187">
        <f t="shared" ref="E64:X64" si="19">E63/365</f>
        <v>0</v>
      </c>
      <c r="F64" s="187">
        <f t="shared" si="19"/>
        <v>0</v>
      </c>
      <c r="G64" s="187">
        <f t="shared" si="19"/>
        <v>0</v>
      </c>
      <c r="H64" s="187">
        <f t="shared" si="19"/>
        <v>0</v>
      </c>
      <c r="I64" s="187">
        <f t="shared" si="19"/>
        <v>0</v>
      </c>
      <c r="J64" s="187">
        <f t="shared" si="19"/>
        <v>0</v>
      </c>
      <c r="K64" s="187">
        <f t="shared" si="19"/>
        <v>0</v>
      </c>
      <c r="L64" s="187">
        <f t="shared" si="19"/>
        <v>0</v>
      </c>
      <c r="M64" s="187">
        <f t="shared" si="19"/>
        <v>0</v>
      </c>
      <c r="N64" s="187">
        <f t="shared" si="19"/>
        <v>0</v>
      </c>
      <c r="O64" s="187">
        <f t="shared" si="19"/>
        <v>0</v>
      </c>
      <c r="P64" s="187">
        <f t="shared" si="19"/>
        <v>0</v>
      </c>
      <c r="Q64" s="187">
        <f t="shared" si="19"/>
        <v>0</v>
      </c>
      <c r="R64" s="187">
        <f t="shared" si="19"/>
        <v>0</v>
      </c>
      <c r="S64" s="187">
        <f t="shared" si="19"/>
        <v>0</v>
      </c>
      <c r="T64" s="187">
        <f t="shared" si="19"/>
        <v>0</v>
      </c>
      <c r="U64" s="187">
        <f t="shared" si="19"/>
        <v>0</v>
      </c>
      <c r="V64" s="187">
        <f t="shared" si="19"/>
        <v>0</v>
      </c>
      <c r="W64" s="187">
        <f t="shared" si="19"/>
        <v>0</v>
      </c>
      <c r="X64" s="187">
        <f t="shared" si="19"/>
        <v>0</v>
      </c>
      <c r="Y64" s="650"/>
      <c r="Z64" s="522"/>
      <c r="AA64" s="522"/>
      <c r="AB64" s="522"/>
      <c r="AC64" s="522"/>
      <c r="AD64" s="522"/>
      <c r="AE64" s="522"/>
      <c r="AF64" s="522"/>
      <c r="AG64" s="522"/>
      <c r="AH64" s="522"/>
      <c r="AI64" s="522"/>
      <c r="AJ64" s="522"/>
    </row>
    <row r="65" spans="1:36" ht="10.5" hidden="1" customHeight="1">
      <c r="A65" s="521"/>
      <c r="B65" s="185" t="s">
        <v>512</v>
      </c>
      <c r="C65" s="816"/>
      <c r="D65" s="816"/>
      <c r="E65" s="189">
        <f t="shared" ref="E65:X65" si="20">IF(ISERR(ROUNDUP(SUMPRODUCT($C56:$C62,E56:E62)/SUM(E56:E62),0)),0,ROUNDUP(SUMPRODUCT($C56:$C62,E56:E62)/SUM(E56:E62),0))</f>
        <v>0</v>
      </c>
      <c r="F65" s="189">
        <f t="shared" si="20"/>
        <v>0</v>
      </c>
      <c r="G65" s="189">
        <f t="shared" si="20"/>
        <v>0</v>
      </c>
      <c r="H65" s="189">
        <f t="shared" si="20"/>
        <v>0</v>
      </c>
      <c r="I65" s="189">
        <f t="shared" si="20"/>
        <v>0</v>
      </c>
      <c r="J65" s="189">
        <f t="shared" si="20"/>
        <v>0</v>
      </c>
      <c r="K65" s="189">
        <f t="shared" si="20"/>
        <v>0</v>
      </c>
      <c r="L65" s="189">
        <f t="shared" si="20"/>
        <v>0</v>
      </c>
      <c r="M65" s="189">
        <f t="shared" si="20"/>
        <v>0</v>
      </c>
      <c r="N65" s="189">
        <f t="shared" si="20"/>
        <v>0</v>
      </c>
      <c r="O65" s="189">
        <f t="shared" si="20"/>
        <v>0</v>
      </c>
      <c r="P65" s="189">
        <f t="shared" si="20"/>
        <v>0</v>
      </c>
      <c r="Q65" s="189">
        <f t="shared" si="20"/>
        <v>0</v>
      </c>
      <c r="R65" s="189">
        <f t="shared" si="20"/>
        <v>0</v>
      </c>
      <c r="S65" s="189">
        <f t="shared" si="20"/>
        <v>0</v>
      </c>
      <c r="T65" s="189">
        <f t="shared" si="20"/>
        <v>0</v>
      </c>
      <c r="U65" s="189">
        <f t="shared" si="20"/>
        <v>0</v>
      </c>
      <c r="V65" s="189">
        <f t="shared" si="20"/>
        <v>0</v>
      </c>
      <c r="W65" s="189">
        <f t="shared" si="20"/>
        <v>0</v>
      </c>
      <c r="X65" s="189">
        <f t="shared" si="20"/>
        <v>0</v>
      </c>
      <c r="Y65" s="652"/>
      <c r="Z65" s="522"/>
      <c r="AA65" s="522"/>
      <c r="AB65" s="522"/>
      <c r="AC65" s="522"/>
      <c r="AD65" s="522"/>
      <c r="AE65" s="522"/>
      <c r="AF65" s="522"/>
      <c r="AG65" s="522"/>
      <c r="AH65" s="522"/>
      <c r="AI65" s="522"/>
      <c r="AJ65" s="522"/>
    </row>
    <row r="66" spans="1:36" ht="10.5" hidden="1" customHeight="1">
      <c r="A66" s="521"/>
      <c r="B66" s="522"/>
      <c r="C66" s="522"/>
      <c r="D66" s="522"/>
      <c r="E66" s="522"/>
      <c r="F66" s="522"/>
      <c r="G66" s="522"/>
      <c r="H66" s="522"/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22"/>
      <c r="U66" s="522"/>
      <c r="V66" s="522"/>
      <c r="W66" s="522"/>
      <c r="X66" s="522"/>
      <c r="Y66" s="521"/>
      <c r="Z66" s="522"/>
      <c r="AA66" s="522"/>
      <c r="AB66" s="522"/>
      <c r="AC66" s="522"/>
      <c r="AD66" s="522"/>
      <c r="AE66" s="522"/>
      <c r="AF66" s="522"/>
      <c r="AG66" s="522"/>
      <c r="AH66" s="522"/>
      <c r="AI66" s="522"/>
      <c r="AJ66" s="522"/>
    </row>
    <row r="67" spans="1:36" ht="10.5" hidden="1" customHeight="1">
      <c r="A67" s="521"/>
      <c r="B67" s="522"/>
      <c r="C67" s="522"/>
      <c r="D67" s="522"/>
      <c r="E67" s="522"/>
      <c r="F67" s="522"/>
      <c r="G67" s="522"/>
      <c r="H67" s="522"/>
      <c r="I67" s="522"/>
      <c r="J67" s="522"/>
      <c r="K67" s="522"/>
      <c r="L67" s="522"/>
      <c r="M67" s="522"/>
      <c r="N67" s="522"/>
      <c r="O67" s="522"/>
      <c r="P67" s="522"/>
      <c r="Q67" s="522"/>
      <c r="R67" s="522"/>
      <c r="S67" s="522"/>
      <c r="T67" s="522"/>
      <c r="U67" s="522"/>
      <c r="V67" s="522"/>
      <c r="W67" s="522"/>
      <c r="X67" s="528" t="s">
        <v>151</v>
      </c>
      <c r="Y67" s="583"/>
      <c r="Z67" s="522"/>
      <c r="AA67" s="522"/>
      <c r="AB67" s="522"/>
      <c r="AC67" s="522"/>
      <c r="AD67" s="522"/>
      <c r="AE67" s="522"/>
      <c r="AF67" s="522"/>
      <c r="AG67" s="522"/>
      <c r="AH67" s="522"/>
      <c r="AI67" s="522"/>
      <c r="AJ67" s="522"/>
    </row>
    <row r="68" spans="1:36" ht="10.5" hidden="1" customHeight="1">
      <c r="A68" s="521"/>
      <c r="B68" s="789" t="s">
        <v>513</v>
      </c>
      <c r="C68" s="817"/>
      <c r="D68" s="818"/>
      <c r="E68" s="799" t="s">
        <v>147</v>
      </c>
      <c r="F68" s="817"/>
      <c r="G68" s="817"/>
      <c r="H68" s="817"/>
      <c r="I68" s="817"/>
      <c r="J68" s="817"/>
      <c r="K68" s="817"/>
      <c r="L68" s="817"/>
      <c r="M68" s="817"/>
      <c r="N68" s="817"/>
      <c r="O68" s="817"/>
      <c r="P68" s="817"/>
      <c r="Q68" s="817"/>
      <c r="R68" s="817"/>
      <c r="S68" s="817"/>
      <c r="T68" s="817"/>
      <c r="U68" s="817"/>
      <c r="V68" s="817"/>
      <c r="W68" s="817"/>
      <c r="X68" s="818"/>
      <c r="Y68" s="647"/>
      <c r="Z68" s="522"/>
      <c r="AA68" s="522"/>
      <c r="AB68" s="522"/>
      <c r="AC68" s="522"/>
      <c r="AD68" s="522"/>
      <c r="AE68" s="522"/>
      <c r="AF68" s="522"/>
      <c r="AG68" s="522"/>
      <c r="AH68" s="522"/>
      <c r="AI68" s="522"/>
      <c r="AJ68" s="522"/>
    </row>
    <row r="69" spans="1:36" ht="10.5" hidden="1" customHeight="1">
      <c r="A69" s="521"/>
      <c r="B69" s="177" t="s">
        <v>127</v>
      </c>
      <c r="C69" s="178" t="s">
        <v>509</v>
      </c>
      <c r="D69" s="178" t="s">
        <v>498</v>
      </c>
      <c r="E69" s="179">
        <v>1</v>
      </c>
      <c r="F69" s="179">
        <v>2</v>
      </c>
      <c r="G69" s="179">
        <v>3</v>
      </c>
      <c r="H69" s="179">
        <v>4</v>
      </c>
      <c r="I69" s="179">
        <v>5</v>
      </c>
      <c r="J69" s="179">
        <v>6</v>
      </c>
      <c r="K69" s="179">
        <v>7</v>
      </c>
      <c r="L69" s="179">
        <v>8</v>
      </c>
      <c r="M69" s="179">
        <v>9</v>
      </c>
      <c r="N69" s="179">
        <v>10</v>
      </c>
      <c r="O69" s="179">
        <v>11</v>
      </c>
      <c r="P69" s="179">
        <v>12</v>
      </c>
      <c r="Q69" s="179">
        <v>13</v>
      </c>
      <c r="R69" s="179">
        <v>14</v>
      </c>
      <c r="S69" s="179">
        <v>15</v>
      </c>
      <c r="T69" s="179">
        <v>16</v>
      </c>
      <c r="U69" s="179">
        <v>17</v>
      </c>
      <c r="V69" s="179">
        <v>18</v>
      </c>
      <c r="W69" s="179">
        <v>19</v>
      </c>
      <c r="X69" s="179">
        <v>20</v>
      </c>
      <c r="Y69" s="648"/>
      <c r="Z69" s="522"/>
      <c r="AA69" s="522"/>
      <c r="AB69" s="522"/>
      <c r="AC69" s="522"/>
      <c r="AD69" s="522"/>
      <c r="AE69" s="522"/>
      <c r="AF69" s="522"/>
      <c r="AG69" s="522"/>
      <c r="AH69" s="522"/>
      <c r="AI69" s="522"/>
      <c r="AJ69" s="522"/>
    </row>
    <row r="70" spans="1:36" ht="10.5" hidden="1" customHeight="1">
      <c r="A70" s="521"/>
      <c r="B70" s="180" t="str">
        <f>IF(modo_trib=1,"","PIS sobre Faturamento (Não-Cumulativo)")</f>
        <v>PIS sobre Faturamento (Não-Cumulativo)</v>
      </c>
      <c r="C70" s="188">
        <v>0</v>
      </c>
      <c r="D70" s="190"/>
      <c r="E70" s="191" t="str">
        <f>IF($D70="","",$D70*('A4 - Previsão de Receita Bruta'!C$27))</f>
        <v/>
      </c>
      <c r="F70" s="191" t="str">
        <f>IF($D70="","",$D70*('A4 - Previsão de Receita Bruta'!D$27))</f>
        <v/>
      </c>
      <c r="G70" s="191" t="str">
        <f>IF($D70="","",$D70*('A4 - Previsão de Receita Bruta'!E$27))</f>
        <v/>
      </c>
      <c r="H70" s="191" t="str">
        <f>IF($D70="","",$D70*('A4 - Previsão de Receita Bruta'!F$27))</f>
        <v/>
      </c>
      <c r="I70" s="191" t="str">
        <f>IF($D70="","",$D70*('A4 - Previsão de Receita Bruta'!G$27))</f>
        <v/>
      </c>
      <c r="J70" s="191" t="str">
        <f>IF($D70="","",$D70*('A4 - Previsão de Receita Bruta'!H$27))</f>
        <v/>
      </c>
      <c r="K70" s="191" t="str">
        <f>IF($D70="","",$D70*('A4 - Previsão de Receita Bruta'!I$27))</f>
        <v/>
      </c>
      <c r="L70" s="191" t="str">
        <f>IF($D70="","",$D70*('A4 - Previsão de Receita Bruta'!J$27))</f>
        <v/>
      </c>
      <c r="M70" s="191" t="str">
        <f>IF($D70="","",$D70*('A4 - Previsão de Receita Bruta'!K$27))</f>
        <v/>
      </c>
      <c r="N70" s="191" t="str">
        <f>IF($D70="","",$D70*('A4 - Previsão de Receita Bruta'!L$27))</f>
        <v/>
      </c>
      <c r="O70" s="191" t="str">
        <f>IF($D70="","",$D70*('A4 - Previsão de Receita Bruta'!M$27))</f>
        <v/>
      </c>
      <c r="P70" s="191" t="str">
        <f>IF($D70="","",$D70*('A4 - Previsão de Receita Bruta'!N$27))</f>
        <v/>
      </c>
      <c r="Q70" s="191" t="str">
        <f>IF($D70="","",$D70*('A4 - Previsão de Receita Bruta'!O$27))</f>
        <v/>
      </c>
      <c r="R70" s="191" t="str">
        <f>IF($D70="","",$D70*('A4 - Previsão de Receita Bruta'!P$27))</f>
        <v/>
      </c>
      <c r="S70" s="191" t="str">
        <f>IF($D70="","",$D70*('A4 - Previsão de Receita Bruta'!Q$27))</f>
        <v/>
      </c>
      <c r="T70" s="191" t="str">
        <f>IF($D70="","",$D70*('A4 - Previsão de Receita Bruta'!R$27))</f>
        <v/>
      </c>
      <c r="U70" s="191" t="str">
        <f>IF($D70="","",$D70*('A4 - Previsão de Receita Bruta'!S$27))</f>
        <v/>
      </c>
      <c r="V70" s="191" t="str">
        <f>IF($D70="","",$D70*('A4 - Previsão de Receita Bruta'!T$27))</f>
        <v/>
      </c>
      <c r="W70" s="191" t="str">
        <f>IF($D70="","",$D70*('A4 - Previsão de Receita Bruta'!U$27))</f>
        <v/>
      </c>
      <c r="X70" s="191" t="str">
        <f>IF($D70="","",$D70*('A4 - Previsão de Receita Bruta'!V$27))</f>
        <v/>
      </c>
      <c r="Y70" s="649"/>
      <c r="Z70" s="522"/>
      <c r="AA70" s="522"/>
      <c r="AB70" s="522"/>
      <c r="AC70" s="522"/>
      <c r="AD70" s="522"/>
      <c r="AE70" s="522"/>
      <c r="AF70" s="522"/>
      <c r="AG70" s="522"/>
      <c r="AH70" s="522"/>
      <c r="AI70" s="522"/>
      <c r="AJ70" s="522"/>
    </row>
    <row r="71" spans="1:36" ht="10.5" hidden="1" customHeight="1">
      <c r="A71" s="521"/>
      <c r="B71" s="180" t="str">
        <f>IF(modo_trib=1,"","COFINS sobre Faturamento (Não-Cumulativo)")</f>
        <v>COFINS sobre Faturamento (Não-Cumulativo)</v>
      </c>
      <c r="C71" s="188">
        <v>0</v>
      </c>
      <c r="D71" s="190"/>
      <c r="E71" s="191" t="str">
        <f>IF($D71="","",$D71*('A4 - Previsão de Receita Bruta'!C$27))</f>
        <v/>
      </c>
      <c r="F71" s="191" t="str">
        <f>IF($D71="","",$D71*('A4 - Previsão de Receita Bruta'!D$27))</f>
        <v/>
      </c>
      <c r="G71" s="191" t="str">
        <f>IF($D71="","",$D71*('A4 - Previsão de Receita Bruta'!E$27))</f>
        <v/>
      </c>
      <c r="H71" s="191" t="str">
        <f>IF($D71="","",$D71*('A4 - Previsão de Receita Bruta'!F$27))</f>
        <v/>
      </c>
      <c r="I71" s="191" t="str">
        <f>IF($D71="","",$D71*('A4 - Previsão de Receita Bruta'!G$27))</f>
        <v/>
      </c>
      <c r="J71" s="191" t="str">
        <f>IF($D71="","",$D71*('A4 - Previsão de Receita Bruta'!H$27))</f>
        <v/>
      </c>
      <c r="K71" s="191" t="str">
        <f>IF($D71="","",$D71*('A4 - Previsão de Receita Bruta'!I$27))</f>
        <v/>
      </c>
      <c r="L71" s="191" t="str">
        <f>IF($D71="","",$D71*('A4 - Previsão de Receita Bruta'!J$27))</f>
        <v/>
      </c>
      <c r="M71" s="191" t="str">
        <f>IF($D71="","",$D71*('A4 - Previsão de Receita Bruta'!K$27))</f>
        <v/>
      </c>
      <c r="N71" s="191" t="str">
        <f>IF($D71="","",$D71*('A4 - Previsão de Receita Bruta'!L$27))</f>
        <v/>
      </c>
      <c r="O71" s="191" t="str">
        <f>IF($D71="","",$D71*('A4 - Previsão de Receita Bruta'!M$27))</f>
        <v/>
      </c>
      <c r="P71" s="191" t="str">
        <f>IF($D71="","",$D71*('A4 - Previsão de Receita Bruta'!N$27))</f>
        <v/>
      </c>
      <c r="Q71" s="191" t="str">
        <f>IF($D71="","",$D71*('A4 - Previsão de Receita Bruta'!O$27))</f>
        <v/>
      </c>
      <c r="R71" s="191" t="str">
        <f>IF($D71="","",$D71*('A4 - Previsão de Receita Bruta'!P$27))</f>
        <v/>
      </c>
      <c r="S71" s="191" t="str">
        <f>IF($D71="","",$D71*('A4 - Previsão de Receita Bruta'!Q$27))</f>
        <v/>
      </c>
      <c r="T71" s="191" t="str">
        <f>IF($D71="","",$D71*('A4 - Previsão de Receita Bruta'!R$27))</f>
        <v/>
      </c>
      <c r="U71" s="191" t="str">
        <f>IF($D71="","",$D71*('A4 - Previsão de Receita Bruta'!S$27))</f>
        <v/>
      </c>
      <c r="V71" s="191" t="str">
        <f>IF($D71="","",$D71*('A4 - Previsão de Receita Bruta'!T$27))</f>
        <v/>
      </c>
      <c r="W71" s="191" t="str">
        <f>IF($D71="","",$D71*('A4 - Previsão de Receita Bruta'!U$27))</f>
        <v/>
      </c>
      <c r="X71" s="191" t="str">
        <f>IF($D71="","",$D71*('A4 - Previsão de Receita Bruta'!V$27))</f>
        <v/>
      </c>
      <c r="Y71" s="649"/>
      <c r="Z71" s="522"/>
      <c r="AA71" s="522"/>
      <c r="AB71" s="522"/>
      <c r="AC71" s="522"/>
      <c r="AD71" s="522"/>
      <c r="AE71" s="522"/>
      <c r="AF71" s="522"/>
      <c r="AG71" s="522"/>
      <c r="AH71" s="522"/>
      <c r="AI71" s="522"/>
      <c r="AJ71" s="522"/>
    </row>
    <row r="72" spans="1:36" ht="10.5" hidden="1" customHeight="1">
      <c r="A72" s="521"/>
      <c r="B72" s="180" t="str">
        <f>IF(modo_trib=2,"Imposto de Renda da Pessoa Jurídica (IRPJ)","")</f>
        <v/>
      </c>
      <c r="C72" s="192">
        <v>0</v>
      </c>
      <c r="D72" s="193"/>
      <c r="E72" s="182" t="str">
        <f>IF($D72="","",$D72*('A4 - Previsão de Receita Bruta'!C$27))</f>
        <v/>
      </c>
      <c r="F72" s="182" t="str">
        <f>IF($D72="","",$D72*('A4 - Previsão de Receita Bruta'!D$27))</f>
        <v/>
      </c>
      <c r="G72" s="182" t="str">
        <f>IF($D72="","",$D72*('A4 - Previsão de Receita Bruta'!E$27))</f>
        <v/>
      </c>
      <c r="H72" s="182" t="str">
        <f>IF($D72="","",$D72*('A4 - Previsão de Receita Bruta'!F$27))</f>
        <v/>
      </c>
      <c r="I72" s="182" t="str">
        <f>IF($D72="","",$D72*('A4 - Previsão de Receita Bruta'!G$27))</f>
        <v/>
      </c>
      <c r="J72" s="182" t="str">
        <f>IF($D72="","",$D72*('A4 - Previsão de Receita Bruta'!H$27))</f>
        <v/>
      </c>
      <c r="K72" s="182" t="str">
        <f>IF($D72="","",$D72*('A4 - Previsão de Receita Bruta'!I$27))</f>
        <v/>
      </c>
      <c r="L72" s="182" t="str">
        <f>IF($D72="","",$D72*('A4 - Previsão de Receita Bruta'!J$27))</f>
        <v/>
      </c>
      <c r="M72" s="182" t="str">
        <f>IF($D72="","",$D72*('A4 - Previsão de Receita Bruta'!K$27))</f>
        <v/>
      </c>
      <c r="N72" s="182" t="str">
        <f>IF($D72="","",$D72*('A4 - Previsão de Receita Bruta'!L$27))</f>
        <v/>
      </c>
      <c r="O72" s="182" t="str">
        <f>IF($D72="","",$D72*('A4 - Previsão de Receita Bruta'!M$27))</f>
        <v/>
      </c>
      <c r="P72" s="182" t="str">
        <f>IF($D72="","",$D72*('A4 - Previsão de Receita Bruta'!N$27))</f>
        <v/>
      </c>
      <c r="Q72" s="182" t="str">
        <f>IF($D72="","",$D72*('A4 - Previsão de Receita Bruta'!O$27))</f>
        <v/>
      </c>
      <c r="R72" s="182" t="str">
        <f>IF($D72="","",$D72*('A4 - Previsão de Receita Bruta'!P$27))</f>
        <v/>
      </c>
      <c r="S72" s="182" t="str">
        <f>IF($D72="","",$D72*('A4 - Previsão de Receita Bruta'!Q$27))</f>
        <v/>
      </c>
      <c r="T72" s="182" t="str">
        <f>IF($D72="","",$D72*('A4 - Previsão de Receita Bruta'!R$27))</f>
        <v/>
      </c>
      <c r="U72" s="182" t="str">
        <f>IF($D72="","",$D72*('A4 - Previsão de Receita Bruta'!S$27))</f>
        <v/>
      </c>
      <c r="V72" s="182" t="str">
        <f>IF($D72="","",$D72*('A4 - Previsão de Receita Bruta'!T$27))</f>
        <v/>
      </c>
      <c r="W72" s="182" t="str">
        <f>IF($D72="","",$D72*('A4 - Previsão de Receita Bruta'!U$27))</f>
        <v/>
      </c>
      <c r="X72" s="182" t="str">
        <f>IF($D72="","",$D72*('A4 - Previsão de Receita Bruta'!V$27))</f>
        <v/>
      </c>
      <c r="Y72" s="649"/>
      <c r="Z72" s="522"/>
      <c r="AA72" s="522"/>
      <c r="AB72" s="522"/>
      <c r="AC72" s="522"/>
      <c r="AD72" s="522"/>
      <c r="AE72" s="522"/>
      <c r="AF72" s="522"/>
      <c r="AG72" s="522"/>
      <c r="AH72" s="522"/>
      <c r="AI72" s="522"/>
      <c r="AJ72" s="522"/>
    </row>
    <row r="73" spans="1:36" ht="10.5" hidden="1" customHeight="1">
      <c r="A73" s="521"/>
      <c r="B73" s="180" t="str">
        <f>IF(modo_trib=1,"Alíquota Única (Apenas para o Regime do SIMPLES)","")</f>
        <v/>
      </c>
      <c r="C73" s="188">
        <v>0</v>
      </c>
      <c r="D73" s="194"/>
      <c r="E73" s="182" t="str">
        <f>IF($D73="","",$D73*('A4 - Previsão de Receita Bruta'!C$27))</f>
        <v/>
      </c>
      <c r="F73" s="182" t="str">
        <f>IF($D73="","",$D73*('A4 - Previsão de Receita Bruta'!D$27))</f>
        <v/>
      </c>
      <c r="G73" s="182" t="str">
        <f>IF($D73="","",$D73*('A4 - Previsão de Receita Bruta'!E$27))</f>
        <v/>
      </c>
      <c r="H73" s="182" t="str">
        <f>IF($D73="","",$D73*('A4 - Previsão de Receita Bruta'!F$27))</f>
        <v/>
      </c>
      <c r="I73" s="182" t="str">
        <f>IF($D73="","",$D73*('A4 - Previsão de Receita Bruta'!G$27))</f>
        <v/>
      </c>
      <c r="J73" s="182" t="str">
        <f>IF($D73="","",$D73*('A4 - Previsão de Receita Bruta'!H$27))</f>
        <v/>
      </c>
      <c r="K73" s="182" t="str">
        <f>IF($D73="","",$D73*('A4 - Previsão de Receita Bruta'!I$27))</f>
        <v/>
      </c>
      <c r="L73" s="182" t="str">
        <f>IF($D73="","",$D73*('A4 - Previsão de Receita Bruta'!J$27))</f>
        <v/>
      </c>
      <c r="M73" s="182" t="str">
        <f>IF($D73="","",$D73*('A4 - Previsão de Receita Bruta'!K$27))</f>
        <v/>
      </c>
      <c r="N73" s="182" t="str">
        <f>IF($D73="","",$D73*('A4 - Previsão de Receita Bruta'!L$27))</f>
        <v/>
      </c>
      <c r="O73" s="182" t="str">
        <f>IF($D73="","",$D73*('A4 - Previsão de Receita Bruta'!M$27))</f>
        <v/>
      </c>
      <c r="P73" s="182" t="str">
        <f>IF($D73="","",$D73*('A4 - Previsão de Receita Bruta'!N$27))</f>
        <v/>
      </c>
      <c r="Q73" s="182" t="str">
        <f>IF($D73="","",$D73*('A4 - Previsão de Receita Bruta'!O$27))</f>
        <v/>
      </c>
      <c r="R73" s="182" t="str">
        <f>IF($D73="","",$D73*('A4 - Previsão de Receita Bruta'!P$27))</f>
        <v/>
      </c>
      <c r="S73" s="182" t="str">
        <f>IF($D73="","",$D73*('A4 - Previsão de Receita Bruta'!Q$27))</f>
        <v/>
      </c>
      <c r="T73" s="182" t="str">
        <f>IF($D73="","",$D73*('A4 - Previsão de Receita Bruta'!R$27))</f>
        <v/>
      </c>
      <c r="U73" s="182" t="str">
        <f>IF($D73="","",$D73*('A4 - Previsão de Receita Bruta'!S$27))</f>
        <v/>
      </c>
      <c r="V73" s="182" t="str">
        <f>IF($D73="","",$D73*('A4 - Previsão de Receita Bruta'!T$27))</f>
        <v/>
      </c>
      <c r="W73" s="182" t="str">
        <f>IF($D73="","",$D73*('A4 - Previsão de Receita Bruta'!U$27))</f>
        <v/>
      </c>
      <c r="X73" s="182" t="str">
        <f>IF($D73="","",$D73*('A4 - Previsão de Receita Bruta'!V$27))</f>
        <v/>
      </c>
      <c r="Y73" s="649"/>
      <c r="Z73" s="522"/>
      <c r="AA73" s="522"/>
      <c r="AB73" s="522"/>
      <c r="AC73" s="522"/>
      <c r="AD73" s="522"/>
      <c r="AE73" s="522"/>
      <c r="AF73" s="522"/>
      <c r="AG73" s="522"/>
      <c r="AH73" s="522"/>
      <c r="AI73" s="522"/>
      <c r="AJ73" s="522"/>
    </row>
    <row r="74" spans="1:36" ht="10.5" hidden="1" customHeight="1">
      <c r="A74" s="521"/>
      <c r="B74" s="180" t="str">
        <f>IF(modo_trib=1,"","Imposto sobre Serviços (ISS)")</f>
        <v>Imposto sobre Serviços (ISS)</v>
      </c>
      <c r="C74" s="188">
        <v>0</v>
      </c>
      <c r="D74" s="195"/>
      <c r="E74" s="191" t="str">
        <f>IF($D74="","",$D74*('A4 - Previsão de Receita Bruta'!C$27))</f>
        <v/>
      </c>
      <c r="F74" s="191" t="str">
        <f>IF($D74="","",$D74*('A4 - Previsão de Receita Bruta'!D$27))</f>
        <v/>
      </c>
      <c r="G74" s="191" t="str">
        <f>IF($D74="","",$D74*('A4 - Previsão de Receita Bruta'!E$27))</f>
        <v/>
      </c>
      <c r="H74" s="191" t="str">
        <f>IF($D74="","",$D74*('A4 - Previsão de Receita Bruta'!F$27))</f>
        <v/>
      </c>
      <c r="I74" s="191" t="str">
        <f>IF($D74="","",$D74*('A4 - Previsão de Receita Bruta'!G$27))</f>
        <v/>
      </c>
      <c r="J74" s="191" t="str">
        <f>IF($D74="","",$D74*('A4 - Previsão de Receita Bruta'!H$27))</f>
        <v/>
      </c>
      <c r="K74" s="191" t="str">
        <f>IF($D74="","",$D74*('A4 - Previsão de Receita Bruta'!I$27))</f>
        <v/>
      </c>
      <c r="L74" s="191" t="str">
        <f>IF($D74="","",$D74*('A4 - Previsão de Receita Bruta'!J$27))</f>
        <v/>
      </c>
      <c r="M74" s="191" t="str">
        <f>IF($D74="","",$D74*('A4 - Previsão de Receita Bruta'!K$27))</f>
        <v/>
      </c>
      <c r="N74" s="191" t="str">
        <f>IF($D74="","",$D74*('A4 - Previsão de Receita Bruta'!L$27))</f>
        <v/>
      </c>
      <c r="O74" s="191" t="str">
        <f>IF($D74="","",$D74*('A4 - Previsão de Receita Bruta'!M$27))</f>
        <v/>
      </c>
      <c r="P74" s="191" t="str">
        <f>IF($D74="","",$D74*('A4 - Previsão de Receita Bruta'!N$27))</f>
        <v/>
      </c>
      <c r="Q74" s="191" t="str">
        <f>IF($D74="","",$D74*('A4 - Previsão de Receita Bruta'!O$27))</f>
        <v/>
      </c>
      <c r="R74" s="191" t="str">
        <f>IF($D74="","",$D74*('A4 - Previsão de Receita Bruta'!P$27))</f>
        <v/>
      </c>
      <c r="S74" s="191" t="str">
        <f>IF($D74="","",$D74*('A4 - Previsão de Receita Bruta'!Q$27))</f>
        <v/>
      </c>
      <c r="T74" s="191" t="str">
        <f>IF($D74="","",$D74*('A4 - Previsão de Receita Bruta'!R$27))</f>
        <v/>
      </c>
      <c r="U74" s="191" t="str">
        <f>IF($D74="","",$D74*('A4 - Previsão de Receita Bruta'!S$27))</f>
        <v/>
      </c>
      <c r="V74" s="191" t="str">
        <f>IF($D74="","",$D74*('A4 - Previsão de Receita Bruta'!T$27))</f>
        <v/>
      </c>
      <c r="W74" s="191" t="str">
        <f>IF($D74="","",$D74*('A4 - Previsão de Receita Bruta'!U$27))</f>
        <v/>
      </c>
      <c r="X74" s="191" t="str">
        <f>IF($D74="","",$D74*('A4 - Previsão de Receita Bruta'!V$27))</f>
        <v/>
      </c>
      <c r="Y74" s="649"/>
      <c r="Z74" s="522"/>
      <c r="AA74" s="522"/>
      <c r="AB74" s="522"/>
      <c r="AC74" s="522"/>
      <c r="AD74" s="522"/>
      <c r="AE74" s="522"/>
      <c r="AF74" s="522"/>
      <c r="AG74" s="522"/>
      <c r="AH74" s="522"/>
      <c r="AI74" s="522"/>
      <c r="AJ74" s="522"/>
    </row>
    <row r="75" spans="1:36" ht="10.5" hidden="1" customHeight="1">
      <c r="A75" s="521"/>
      <c r="B75" s="184"/>
      <c r="C75" s="188">
        <v>0</v>
      </c>
      <c r="D75" s="190"/>
      <c r="E75" s="182" t="str">
        <f>IF($D75="","",$D75*('A4 - Previsão de Receita Bruta'!C$27))</f>
        <v/>
      </c>
      <c r="F75" s="182" t="str">
        <f>IF($D75="","",$D75*('A4 - Previsão de Receita Bruta'!D$27))</f>
        <v/>
      </c>
      <c r="G75" s="182" t="str">
        <f>IF($D75="","",$D75*('A4 - Previsão de Receita Bruta'!E$27))</f>
        <v/>
      </c>
      <c r="H75" s="182" t="str">
        <f>IF($D75="","",$D75*('A4 - Previsão de Receita Bruta'!F$27))</f>
        <v/>
      </c>
      <c r="I75" s="182" t="str">
        <f>IF($D75="","",$D75*('A4 - Previsão de Receita Bruta'!G$27))</f>
        <v/>
      </c>
      <c r="J75" s="182" t="str">
        <f>IF($D75="","",$D75*('A4 - Previsão de Receita Bruta'!H$27))</f>
        <v/>
      </c>
      <c r="K75" s="182" t="str">
        <f>IF($D75="","",$D75*('A4 - Previsão de Receita Bruta'!I$27))</f>
        <v/>
      </c>
      <c r="L75" s="182" t="str">
        <f>IF($D75="","",$D75*('A4 - Previsão de Receita Bruta'!J$27))</f>
        <v/>
      </c>
      <c r="M75" s="182" t="str">
        <f>IF($D75="","",$D75*('A4 - Previsão de Receita Bruta'!K$27))</f>
        <v/>
      </c>
      <c r="N75" s="182" t="str">
        <f>IF($D75="","",$D75*('A4 - Previsão de Receita Bruta'!L$27))</f>
        <v/>
      </c>
      <c r="O75" s="182" t="str">
        <f>IF($D75="","",$D75*('A4 - Previsão de Receita Bruta'!M$27))</f>
        <v/>
      </c>
      <c r="P75" s="182" t="str">
        <f>IF($D75="","",$D75*('A4 - Previsão de Receita Bruta'!N$27))</f>
        <v/>
      </c>
      <c r="Q75" s="182" t="str">
        <f>IF($D75="","",$D75*('A4 - Previsão de Receita Bruta'!O$27))</f>
        <v/>
      </c>
      <c r="R75" s="182" t="str">
        <f>IF($D75="","",$D75*('A4 - Previsão de Receita Bruta'!P$27))</f>
        <v/>
      </c>
      <c r="S75" s="182" t="str">
        <f>IF($D75="","",$D75*('A4 - Previsão de Receita Bruta'!Q$27))</f>
        <v/>
      </c>
      <c r="T75" s="182" t="str">
        <f>IF($D75="","",$D75*('A4 - Previsão de Receita Bruta'!R$27))</f>
        <v/>
      </c>
      <c r="U75" s="182" t="str">
        <f>IF($D75="","",$D75*('A4 - Previsão de Receita Bruta'!S$27))</f>
        <v/>
      </c>
      <c r="V75" s="182" t="str">
        <f>IF($D75="","",$D75*('A4 - Previsão de Receita Bruta'!T$27))</f>
        <v/>
      </c>
      <c r="W75" s="182" t="str">
        <f>IF($D75="","",$D75*('A4 - Previsão de Receita Bruta'!U$27))</f>
        <v/>
      </c>
      <c r="X75" s="182" t="str">
        <f>IF($D75="","",$D75*('A4 - Previsão de Receita Bruta'!V$27))</f>
        <v/>
      </c>
      <c r="Y75" s="649"/>
      <c r="Z75" s="522"/>
      <c r="AA75" s="522"/>
      <c r="AB75" s="522"/>
      <c r="AC75" s="522"/>
      <c r="AD75" s="522"/>
      <c r="AE75" s="522"/>
      <c r="AF75" s="522"/>
      <c r="AG75" s="522"/>
      <c r="AH75" s="522"/>
      <c r="AI75" s="522"/>
      <c r="AJ75" s="522"/>
    </row>
    <row r="76" spans="1:36" ht="10.5" hidden="1" customHeight="1">
      <c r="A76" s="521"/>
      <c r="B76" s="184"/>
      <c r="C76" s="188">
        <v>0</v>
      </c>
      <c r="D76" s="196"/>
      <c r="E76" s="182" t="str">
        <f>IF($D76="","",$D76*('A4 - Previsão de Receita Bruta'!C$27))</f>
        <v/>
      </c>
      <c r="F76" s="182" t="str">
        <f>IF($D76="","",$D76*('A4 - Previsão de Receita Bruta'!D$27))</f>
        <v/>
      </c>
      <c r="G76" s="182" t="str">
        <f>IF($D76="","",$D76*('A4 - Previsão de Receita Bruta'!E$27))</f>
        <v/>
      </c>
      <c r="H76" s="182" t="str">
        <f>IF($D76="","",$D76*('A4 - Previsão de Receita Bruta'!F$27))</f>
        <v/>
      </c>
      <c r="I76" s="182" t="str">
        <f>IF($D76="","",$D76*('A4 - Previsão de Receita Bruta'!G$27))</f>
        <v/>
      </c>
      <c r="J76" s="182" t="str">
        <f>IF($D76="","",$D76*('A4 - Previsão de Receita Bruta'!H$27))</f>
        <v/>
      </c>
      <c r="K76" s="182" t="str">
        <f>IF($D76="","",$D76*('A4 - Previsão de Receita Bruta'!I$27))</f>
        <v/>
      </c>
      <c r="L76" s="182" t="str">
        <f>IF($D76="","",$D76*('A4 - Previsão de Receita Bruta'!J$27))</f>
        <v/>
      </c>
      <c r="M76" s="182" t="str">
        <f>IF($D76="","",$D76*('A4 - Previsão de Receita Bruta'!K$27))</f>
        <v/>
      </c>
      <c r="N76" s="182" t="str">
        <f>IF($D76="","",$D76*('A4 - Previsão de Receita Bruta'!L$27))</f>
        <v/>
      </c>
      <c r="O76" s="182" t="str">
        <f>IF($D76="","",$D76*('A4 - Previsão de Receita Bruta'!M$27))</f>
        <v/>
      </c>
      <c r="P76" s="182" t="str">
        <f>IF($D76="","",$D76*('A4 - Previsão de Receita Bruta'!N$27))</f>
        <v/>
      </c>
      <c r="Q76" s="182" t="str">
        <f>IF($D76="","",$D76*('A4 - Previsão de Receita Bruta'!O$27))</f>
        <v/>
      </c>
      <c r="R76" s="182" t="str">
        <f>IF($D76="","",$D76*('A4 - Previsão de Receita Bruta'!P$27))</f>
        <v/>
      </c>
      <c r="S76" s="182" t="str">
        <f>IF($D76="","",$D76*('A4 - Previsão de Receita Bruta'!Q$27))</f>
        <v/>
      </c>
      <c r="T76" s="182" t="str">
        <f>IF($D76="","",$D76*('A4 - Previsão de Receita Bruta'!R$27))</f>
        <v/>
      </c>
      <c r="U76" s="182" t="str">
        <f>IF($D76="","",$D76*('A4 - Previsão de Receita Bruta'!S$27))</f>
        <v/>
      </c>
      <c r="V76" s="182" t="str">
        <f>IF($D76="","",$D76*('A4 - Previsão de Receita Bruta'!T$27))</f>
        <v/>
      </c>
      <c r="W76" s="182" t="str">
        <f>IF($D76="","",$D76*('A4 - Previsão de Receita Bruta'!U$27))</f>
        <v/>
      </c>
      <c r="X76" s="182" t="str">
        <f>IF($D76="","",$D76*('A4 - Previsão de Receita Bruta'!V$27))</f>
        <v/>
      </c>
      <c r="Y76" s="649"/>
      <c r="Z76" s="522"/>
      <c r="AA76" s="522"/>
      <c r="AB76" s="522"/>
      <c r="AC76" s="522"/>
      <c r="AD76" s="522"/>
      <c r="AE76" s="522"/>
      <c r="AF76" s="522"/>
      <c r="AG76" s="522"/>
      <c r="AH76" s="522"/>
      <c r="AI76" s="522"/>
      <c r="AJ76" s="522"/>
    </row>
    <row r="77" spans="1:36" ht="10.5" hidden="1" customHeight="1">
      <c r="A77" s="521"/>
      <c r="B77" s="185" t="s">
        <v>514</v>
      </c>
      <c r="C77" s="788"/>
      <c r="D77" s="788"/>
      <c r="E77" s="187">
        <f t="shared" ref="E77:X77" si="21">SUM(E70:E76)</f>
        <v>0</v>
      </c>
      <c r="F77" s="187">
        <f t="shared" si="21"/>
        <v>0</v>
      </c>
      <c r="G77" s="187">
        <f t="shared" si="21"/>
        <v>0</v>
      </c>
      <c r="H77" s="187">
        <f t="shared" si="21"/>
        <v>0</v>
      </c>
      <c r="I77" s="187">
        <f t="shared" si="21"/>
        <v>0</v>
      </c>
      <c r="J77" s="187">
        <f t="shared" si="21"/>
        <v>0</v>
      </c>
      <c r="K77" s="187">
        <f t="shared" si="21"/>
        <v>0</v>
      </c>
      <c r="L77" s="187">
        <f t="shared" si="21"/>
        <v>0</v>
      </c>
      <c r="M77" s="187">
        <f t="shared" si="21"/>
        <v>0</v>
      </c>
      <c r="N77" s="187">
        <f t="shared" si="21"/>
        <v>0</v>
      </c>
      <c r="O77" s="187">
        <f t="shared" si="21"/>
        <v>0</v>
      </c>
      <c r="P77" s="187">
        <f t="shared" si="21"/>
        <v>0</v>
      </c>
      <c r="Q77" s="187">
        <f t="shared" si="21"/>
        <v>0</v>
      </c>
      <c r="R77" s="187">
        <f t="shared" si="21"/>
        <v>0</v>
      </c>
      <c r="S77" s="187">
        <f t="shared" si="21"/>
        <v>0</v>
      </c>
      <c r="T77" s="187">
        <f t="shared" si="21"/>
        <v>0</v>
      </c>
      <c r="U77" s="187">
        <f t="shared" si="21"/>
        <v>0</v>
      </c>
      <c r="V77" s="187">
        <f t="shared" si="21"/>
        <v>0</v>
      </c>
      <c r="W77" s="187">
        <f t="shared" si="21"/>
        <v>0</v>
      </c>
      <c r="X77" s="187">
        <f t="shared" si="21"/>
        <v>0</v>
      </c>
      <c r="Y77" s="650"/>
      <c r="Z77" s="522"/>
      <c r="AA77" s="522"/>
      <c r="AB77" s="522"/>
      <c r="AC77" s="522"/>
      <c r="AD77" s="522"/>
      <c r="AE77" s="522"/>
      <c r="AF77" s="522"/>
      <c r="AG77" s="522"/>
      <c r="AH77" s="522"/>
      <c r="AI77" s="522"/>
      <c r="AJ77" s="522"/>
    </row>
    <row r="78" spans="1:36" ht="10.5" hidden="1" customHeight="1">
      <c r="A78" s="521"/>
      <c r="B78" s="185" t="s">
        <v>515</v>
      </c>
      <c r="C78" s="825"/>
      <c r="D78" s="825"/>
      <c r="E78" s="187">
        <f t="shared" ref="E78:X78" si="22">E77/365</f>
        <v>0</v>
      </c>
      <c r="F78" s="187">
        <f t="shared" si="22"/>
        <v>0</v>
      </c>
      <c r="G78" s="187">
        <f t="shared" si="22"/>
        <v>0</v>
      </c>
      <c r="H78" s="187">
        <f t="shared" si="22"/>
        <v>0</v>
      </c>
      <c r="I78" s="187">
        <f t="shared" si="22"/>
        <v>0</v>
      </c>
      <c r="J78" s="187">
        <f t="shared" si="22"/>
        <v>0</v>
      </c>
      <c r="K78" s="187">
        <f t="shared" si="22"/>
        <v>0</v>
      </c>
      <c r="L78" s="187">
        <f t="shared" si="22"/>
        <v>0</v>
      </c>
      <c r="M78" s="187">
        <f t="shared" si="22"/>
        <v>0</v>
      </c>
      <c r="N78" s="187">
        <f t="shared" si="22"/>
        <v>0</v>
      </c>
      <c r="O78" s="187">
        <f t="shared" si="22"/>
        <v>0</v>
      </c>
      <c r="P78" s="187">
        <f t="shared" si="22"/>
        <v>0</v>
      </c>
      <c r="Q78" s="187">
        <f t="shared" si="22"/>
        <v>0</v>
      </c>
      <c r="R78" s="187">
        <f t="shared" si="22"/>
        <v>0</v>
      </c>
      <c r="S78" s="187">
        <f t="shared" si="22"/>
        <v>0</v>
      </c>
      <c r="T78" s="187">
        <f t="shared" si="22"/>
        <v>0</v>
      </c>
      <c r="U78" s="187">
        <f t="shared" si="22"/>
        <v>0</v>
      </c>
      <c r="V78" s="187">
        <f t="shared" si="22"/>
        <v>0</v>
      </c>
      <c r="W78" s="187">
        <f t="shared" si="22"/>
        <v>0</v>
      </c>
      <c r="X78" s="187">
        <f t="shared" si="22"/>
        <v>0</v>
      </c>
      <c r="Y78" s="650"/>
      <c r="Z78" s="522"/>
      <c r="AA78" s="522"/>
      <c r="AB78" s="522"/>
      <c r="AC78" s="522"/>
      <c r="AD78" s="522"/>
      <c r="AE78" s="522"/>
      <c r="AF78" s="522"/>
      <c r="AG78" s="522"/>
      <c r="AH78" s="522"/>
      <c r="AI78" s="522"/>
      <c r="AJ78" s="522"/>
    </row>
    <row r="79" spans="1:36" ht="10.5" hidden="1" customHeight="1">
      <c r="A79" s="521"/>
      <c r="B79" s="185" t="s">
        <v>516</v>
      </c>
      <c r="C79" s="816"/>
      <c r="D79" s="816"/>
      <c r="E79" s="189">
        <f t="shared" ref="E79:X79" si="23">IF(ISERR(ROUNDUP(SUMPRODUCT($C70:$C76,E70:E76)/SUM(E70:E76),0)),0,ROUNDUP(SUMPRODUCT($C70:$C76,E70:E76)/SUM(E70:E76),0))</f>
        <v>0</v>
      </c>
      <c r="F79" s="189">
        <f t="shared" si="23"/>
        <v>0</v>
      </c>
      <c r="G79" s="189">
        <f t="shared" si="23"/>
        <v>0</v>
      </c>
      <c r="H79" s="189">
        <f t="shared" si="23"/>
        <v>0</v>
      </c>
      <c r="I79" s="189">
        <f t="shared" si="23"/>
        <v>0</v>
      </c>
      <c r="J79" s="189">
        <f t="shared" si="23"/>
        <v>0</v>
      </c>
      <c r="K79" s="189">
        <f t="shared" si="23"/>
        <v>0</v>
      </c>
      <c r="L79" s="189">
        <f t="shared" si="23"/>
        <v>0</v>
      </c>
      <c r="M79" s="189">
        <f t="shared" si="23"/>
        <v>0</v>
      </c>
      <c r="N79" s="189">
        <f t="shared" si="23"/>
        <v>0</v>
      </c>
      <c r="O79" s="189">
        <f t="shared" si="23"/>
        <v>0</v>
      </c>
      <c r="P79" s="189">
        <f t="shared" si="23"/>
        <v>0</v>
      </c>
      <c r="Q79" s="189">
        <f t="shared" si="23"/>
        <v>0</v>
      </c>
      <c r="R79" s="189">
        <f t="shared" si="23"/>
        <v>0</v>
      </c>
      <c r="S79" s="189">
        <f t="shared" si="23"/>
        <v>0</v>
      </c>
      <c r="T79" s="189">
        <f t="shared" si="23"/>
        <v>0</v>
      </c>
      <c r="U79" s="189">
        <f t="shared" si="23"/>
        <v>0</v>
      </c>
      <c r="V79" s="189">
        <f t="shared" si="23"/>
        <v>0</v>
      </c>
      <c r="W79" s="189">
        <f t="shared" si="23"/>
        <v>0</v>
      </c>
      <c r="X79" s="189">
        <f t="shared" si="23"/>
        <v>0</v>
      </c>
      <c r="Y79" s="652"/>
      <c r="Z79" s="522"/>
      <c r="AA79" s="522"/>
      <c r="AB79" s="522"/>
      <c r="AC79" s="522"/>
      <c r="AD79" s="522"/>
      <c r="AE79" s="522"/>
      <c r="AF79" s="522"/>
      <c r="AG79" s="522"/>
      <c r="AH79" s="522"/>
      <c r="AI79" s="522"/>
      <c r="AJ79" s="522"/>
    </row>
    <row r="80" spans="1:36" ht="10.5" hidden="1" customHeight="1">
      <c r="A80" s="521"/>
      <c r="B80" s="522"/>
      <c r="C80" s="522"/>
      <c r="D80" s="522"/>
      <c r="E80" s="522"/>
      <c r="F80" s="522"/>
      <c r="G80" s="522"/>
      <c r="H80" s="522"/>
      <c r="I80" s="522"/>
      <c r="J80" s="522"/>
      <c r="K80" s="522"/>
      <c r="L80" s="522"/>
      <c r="M80" s="522"/>
      <c r="N80" s="522"/>
      <c r="O80" s="522"/>
      <c r="P80" s="522"/>
      <c r="Q80" s="522"/>
      <c r="R80" s="522"/>
      <c r="S80" s="522"/>
      <c r="T80" s="522"/>
      <c r="U80" s="522"/>
      <c r="V80" s="522"/>
      <c r="W80" s="522"/>
      <c r="X80" s="522"/>
      <c r="Y80" s="522"/>
      <c r="Z80" s="522"/>
      <c r="AA80" s="522"/>
      <c r="AB80" s="522"/>
      <c r="AC80" s="522"/>
      <c r="AD80" s="522"/>
      <c r="AE80" s="522"/>
      <c r="AF80" s="522"/>
      <c r="AG80" s="522"/>
      <c r="AH80" s="522"/>
      <c r="AI80" s="522"/>
      <c r="AJ80" s="522"/>
    </row>
    <row r="81" spans="1:36" ht="10.5" customHeight="1">
      <c r="A81" s="525"/>
      <c r="B81" s="525"/>
      <c r="C81" s="525"/>
      <c r="D81" s="525"/>
      <c r="E81" s="525"/>
      <c r="F81" s="525"/>
      <c r="G81" s="525"/>
      <c r="H81" s="525"/>
      <c r="I81" s="525"/>
      <c r="J81" s="525"/>
      <c r="K81" s="525"/>
      <c r="L81" s="525"/>
      <c r="M81" s="525"/>
      <c r="N81" s="525"/>
      <c r="O81" s="525"/>
      <c r="P81" s="525"/>
      <c r="Q81" s="525"/>
      <c r="R81" s="525"/>
      <c r="S81" s="525"/>
      <c r="T81" s="525"/>
      <c r="U81" s="525"/>
      <c r="V81" s="525"/>
      <c r="W81" s="525"/>
      <c r="X81" s="525"/>
      <c r="Y81" s="525"/>
      <c r="Z81" s="525"/>
      <c r="AA81" s="525"/>
      <c r="AB81" s="525"/>
      <c r="AC81" s="525"/>
      <c r="AD81" s="525"/>
      <c r="AE81" s="525"/>
      <c r="AF81" s="525"/>
      <c r="AG81" s="525"/>
      <c r="AH81" s="525"/>
      <c r="AI81" s="525"/>
      <c r="AJ81" s="525"/>
    </row>
    <row r="82" spans="1:36" ht="15" customHeight="1">
      <c r="A82" s="653"/>
      <c r="B82" s="653"/>
      <c r="C82" s="653"/>
      <c r="D82" s="653"/>
      <c r="E82" s="653"/>
      <c r="F82" s="653"/>
      <c r="G82" s="653"/>
      <c r="H82" s="653"/>
      <c r="I82" s="653"/>
      <c r="J82" s="653"/>
      <c r="K82" s="653"/>
      <c r="L82" s="653"/>
      <c r="M82" s="653"/>
      <c r="N82" s="653"/>
      <c r="O82" s="653"/>
      <c r="P82" s="653"/>
      <c r="Q82" s="653"/>
      <c r="R82" s="653"/>
      <c r="S82" s="653"/>
      <c r="T82" s="653"/>
      <c r="U82" s="653"/>
      <c r="V82" s="653"/>
      <c r="W82" s="653"/>
      <c r="X82" s="653"/>
      <c r="Y82" s="653"/>
      <c r="Z82" s="653"/>
      <c r="AA82" s="653"/>
      <c r="AB82" s="653"/>
      <c r="AC82" s="653"/>
      <c r="AD82" s="653"/>
      <c r="AE82" s="653"/>
      <c r="AF82" s="653"/>
      <c r="AG82" s="653"/>
      <c r="AH82" s="653"/>
      <c r="AI82" s="653"/>
      <c r="AJ82" s="653"/>
    </row>
    <row r="83" spans="1:36" ht="15" customHeight="1">
      <c r="A83" s="525"/>
      <c r="B83" s="525"/>
      <c r="C83" s="525"/>
      <c r="D83" s="525"/>
      <c r="E83" s="525"/>
      <c r="F83" s="525"/>
      <c r="G83" s="525"/>
      <c r="H83" s="525"/>
      <c r="I83" s="525"/>
      <c r="J83" s="525"/>
      <c r="K83" s="525"/>
      <c r="L83" s="525"/>
      <c r="M83" s="525"/>
      <c r="N83" s="525"/>
      <c r="O83" s="525"/>
      <c r="P83" s="525"/>
      <c r="Q83" s="525"/>
      <c r="R83" s="525"/>
      <c r="S83" s="525"/>
      <c r="T83" s="525"/>
      <c r="U83" s="525"/>
      <c r="V83" s="525"/>
      <c r="W83" s="525"/>
      <c r="X83" s="525"/>
      <c r="Y83" s="525"/>
      <c r="Z83" s="525"/>
      <c r="AA83" s="525"/>
      <c r="AB83" s="525"/>
      <c r="AC83" s="525"/>
      <c r="AD83" s="525"/>
      <c r="AE83" s="525"/>
      <c r="AF83" s="525"/>
      <c r="AG83" s="525"/>
      <c r="AH83" s="525"/>
      <c r="AI83" s="525"/>
      <c r="AJ83" s="525"/>
    </row>
    <row r="84" spans="1:36" ht="10.5" customHeight="1">
      <c r="A84" s="525"/>
      <c r="B84" s="525"/>
      <c r="C84" s="654" t="s">
        <v>517</v>
      </c>
      <c r="D84" s="525"/>
      <c r="E84" s="525"/>
      <c r="F84" s="525"/>
      <c r="G84" s="525"/>
      <c r="H84" s="525"/>
      <c r="I84" s="525"/>
      <c r="J84" s="525"/>
      <c r="K84" s="525"/>
      <c r="L84" s="525"/>
      <c r="M84" s="525"/>
      <c r="N84" s="525"/>
      <c r="O84" s="525"/>
      <c r="P84" s="525"/>
      <c r="Q84" s="525"/>
      <c r="R84" s="525"/>
      <c r="S84" s="525"/>
      <c r="T84" s="525"/>
      <c r="U84" s="525"/>
      <c r="V84" s="525"/>
      <c r="W84" s="525"/>
      <c r="X84" s="525"/>
      <c r="Y84" s="525"/>
      <c r="Z84" s="525"/>
      <c r="AA84" s="525"/>
      <c r="AB84" s="525"/>
      <c r="AC84" s="525"/>
      <c r="AD84" s="525"/>
      <c r="AE84" s="525"/>
      <c r="AF84" s="525"/>
      <c r="AG84" s="525"/>
      <c r="AH84" s="525"/>
      <c r="AI84" s="525"/>
      <c r="AJ84" s="525"/>
    </row>
    <row r="85" spans="1:36" ht="10.5" customHeight="1">
      <c r="A85" s="525"/>
      <c r="B85" s="525"/>
      <c r="C85" s="655" t="s">
        <v>518</v>
      </c>
      <c r="D85" s="656" t="s">
        <v>490</v>
      </c>
      <c r="E85" s="525"/>
      <c r="F85" s="525"/>
      <c r="G85" s="525"/>
      <c r="H85" s="525"/>
      <c r="I85" s="525"/>
      <c r="J85" s="525"/>
      <c r="K85" s="525"/>
      <c r="L85" s="525"/>
      <c r="M85" s="525"/>
      <c r="N85" s="525"/>
      <c r="O85" s="525"/>
      <c r="P85" s="525"/>
      <c r="Q85" s="525"/>
      <c r="R85" s="525"/>
      <c r="S85" s="525"/>
      <c r="T85" s="525"/>
      <c r="U85" s="525"/>
      <c r="V85" s="525"/>
      <c r="W85" s="525"/>
      <c r="X85" s="525"/>
      <c r="Y85" s="525"/>
      <c r="Z85" s="525"/>
      <c r="AA85" s="525"/>
      <c r="AB85" s="525"/>
      <c r="AC85" s="525"/>
      <c r="AD85" s="525"/>
      <c r="AE85" s="525"/>
      <c r="AF85" s="525"/>
      <c r="AG85" s="525"/>
      <c r="AH85" s="525"/>
      <c r="AI85" s="525"/>
      <c r="AJ85" s="525"/>
    </row>
    <row r="86" spans="1:36" ht="24" customHeight="1">
      <c r="A86" s="525"/>
      <c r="B86" s="525"/>
      <c r="C86" s="796" t="s">
        <v>519</v>
      </c>
      <c r="D86" s="818"/>
      <c r="E86" s="797" t="s">
        <v>520</v>
      </c>
      <c r="F86" s="797" t="s">
        <v>521</v>
      </c>
      <c r="G86" s="798" t="s">
        <v>522</v>
      </c>
      <c r="H86" s="815"/>
      <c r="I86" s="815"/>
      <c r="J86" s="815"/>
      <c r="K86" s="815"/>
      <c r="L86" s="815"/>
      <c r="M86" s="815"/>
      <c r="N86" s="815"/>
      <c r="O86" s="815"/>
      <c r="P86" s="815"/>
      <c r="Q86" s="815"/>
      <c r="R86" s="815"/>
      <c r="S86" s="815"/>
      <c r="T86" s="815"/>
      <c r="U86" s="815"/>
      <c r="V86" s="815"/>
      <c r="W86" s="815"/>
      <c r="X86" s="815"/>
      <c r="Y86" s="815"/>
      <c r="Z86" s="815"/>
      <c r="AA86" s="815"/>
      <c r="AB86" s="815"/>
      <c r="AC86" s="815"/>
      <c r="AD86" s="815"/>
      <c r="AE86" s="815"/>
      <c r="AF86" s="815"/>
      <c r="AG86" s="815"/>
      <c r="AH86" s="815"/>
      <c r="AI86" s="815"/>
      <c r="AJ86" s="815"/>
    </row>
    <row r="87" spans="1:36" ht="10.5" customHeight="1">
      <c r="A87" s="525"/>
      <c r="B87" s="525"/>
      <c r="C87" s="175" t="s">
        <v>523</v>
      </c>
      <c r="D87" s="175" t="s">
        <v>524</v>
      </c>
      <c r="E87" s="816"/>
      <c r="F87" s="816"/>
      <c r="G87" s="109">
        <v>1</v>
      </c>
      <c r="H87" s="109">
        <v>2</v>
      </c>
      <c r="I87" s="109">
        <v>3</v>
      </c>
      <c r="J87" s="109">
        <v>4</v>
      </c>
      <c r="K87" s="109">
        <v>5</v>
      </c>
      <c r="L87" s="109">
        <v>6</v>
      </c>
      <c r="M87" s="109">
        <v>7</v>
      </c>
      <c r="N87" s="109">
        <v>8</v>
      </c>
      <c r="O87" s="109">
        <v>9</v>
      </c>
      <c r="P87" s="109">
        <v>10</v>
      </c>
      <c r="Q87" s="109">
        <v>11</v>
      </c>
      <c r="R87" s="109">
        <v>12</v>
      </c>
      <c r="S87" s="109">
        <v>13</v>
      </c>
      <c r="T87" s="109">
        <v>14</v>
      </c>
      <c r="U87" s="109">
        <v>15</v>
      </c>
      <c r="V87" s="109">
        <v>16</v>
      </c>
      <c r="W87" s="109">
        <v>17</v>
      </c>
      <c r="X87" s="109">
        <v>18</v>
      </c>
      <c r="Y87" s="109">
        <v>19</v>
      </c>
      <c r="Z87" s="109">
        <v>20</v>
      </c>
      <c r="AA87" s="109">
        <v>21</v>
      </c>
      <c r="AB87" s="109">
        <v>22</v>
      </c>
      <c r="AC87" s="109">
        <v>23</v>
      </c>
      <c r="AD87" s="109">
        <v>24</v>
      </c>
      <c r="AE87" s="109">
        <v>25</v>
      </c>
      <c r="AF87" s="109">
        <v>26</v>
      </c>
      <c r="AG87" s="109">
        <v>27</v>
      </c>
      <c r="AH87" s="109">
        <v>28</v>
      </c>
      <c r="AI87" s="109">
        <v>29</v>
      </c>
      <c r="AJ87" s="109">
        <v>30</v>
      </c>
    </row>
    <row r="88" spans="1:36" ht="10.5" customHeight="1">
      <c r="A88" s="525"/>
      <c r="B88" s="525"/>
      <c r="C88" s="197">
        <f>'Z 1 - Listas'!Q5</f>
        <v>0</v>
      </c>
      <c r="D88" s="197">
        <f>'Z 1 - Listas'!R5</f>
        <v>180000</v>
      </c>
      <c r="E88" s="198">
        <f t="array" aca="1" ref="E88" ca="1">INDEX(INDIRECT(VLOOKUP(CatSN,LstCatSN,2,0)),ROW(E88)-ROW(E$87),1)</f>
        <v>0.06</v>
      </c>
      <c r="F88" s="199">
        <f t="array" aca="1" ref="F88" ca="1">INDEX(INDIRECT(VLOOKUP(CatSN,LstCatSN,2,0)),ROW(E88)-ROW(E$87),2)</f>
        <v>0</v>
      </c>
      <c r="G88" s="200" t="str">
        <f>IF(AND('A4 - Previsão de Receita Bruta'!C$27&gt;$C88,'A4 - Previsão de Receita Bruta'!C$27&lt;$D88),('A4 - Previsão de Receita Bruta'!C$27*$E88-$F88)/'A4 - Previsão de Receita Bruta'!C$27,"")</f>
        <v/>
      </c>
      <c r="H88" s="200" t="str">
        <f>IF(AND('A4 - Previsão de Receita Bruta'!D$27&gt;$C88,'A4 - Previsão de Receita Bruta'!D$27&lt;$D88),('A4 - Previsão de Receita Bruta'!D$27*$E88-$F88)/'A4 - Previsão de Receita Bruta'!D$27,"")</f>
        <v/>
      </c>
      <c r="I88" s="200" t="str">
        <f>IF(AND('A4 - Previsão de Receita Bruta'!E$27&gt;$C88,'A4 - Previsão de Receita Bruta'!E$27&lt;$D88),('A4 - Previsão de Receita Bruta'!E$27*$E88-$F88)/'A4 - Previsão de Receita Bruta'!E$27,"")</f>
        <v/>
      </c>
      <c r="J88" s="200" t="str">
        <f>IF(AND('A4 - Previsão de Receita Bruta'!F$27&gt;$C88,'A4 - Previsão de Receita Bruta'!F$27&lt;$D88),('A4 - Previsão de Receita Bruta'!F$27*$E88-$F88)/'A4 - Previsão de Receita Bruta'!F$27,"")</f>
        <v/>
      </c>
      <c r="K88" s="200" t="str">
        <f>IF(AND('A4 - Previsão de Receita Bruta'!G$27&gt;$C88,'A4 - Previsão de Receita Bruta'!G$27&lt;$D88),('A4 - Previsão de Receita Bruta'!G$27*$E88-$F88)/'A4 - Previsão de Receita Bruta'!G$27,"")</f>
        <v/>
      </c>
      <c r="L88" s="200" t="str">
        <f>IF(AND('A4 - Previsão de Receita Bruta'!H$27&gt;$C88,'A4 - Previsão de Receita Bruta'!H$27&lt;$D88),('A4 - Previsão de Receita Bruta'!H$27*$E88-$F88)/'A4 - Previsão de Receita Bruta'!H$27,"")</f>
        <v/>
      </c>
      <c r="M88" s="200" t="str">
        <f>IF(AND('A4 - Previsão de Receita Bruta'!I$27&gt;$C88,'A4 - Previsão de Receita Bruta'!I$27&lt;$D88),('A4 - Previsão de Receita Bruta'!I$27*$E88-$F88)/'A4 - Previsão de Receita Bruta'!I$27,"")</f>
        <v/>
      </c>
      <c r="N88" s="200" t="str">
        <f>IF(AND('A4 - Previsão de Receita Bruta'!J$27&gt;$C88,'A4 - Previsão de Receita Bruta'!J$27&lt;$D88),('A4 - Previsão de Receita Bruta'!J$27*$E88-$F88)/'A4 - Previsão de Receita Bruta'!J$27,"")</f>
        <v/>
      </c>
      <c r="O88" s="200" t="str">
        <f>IF(AND('A4 - Previsão de Receita Bruta'!K$27&gt;$C88,'A4 - Previsão de Receita Bruta'!K$27&lt;$D88),('A4 - Previsão de Receita Bruta'!K$27*$E88-$F88)/'A4 - Previsão de Receita Bruta'!K$27,"")</f>
        <v/>
      </c>
      <c r="P88" s="200" t="str">
        <f>IF(AND('A4 - Previsão de Receita Bruta'!L$27&gt;$C88,'A4 - Previsão de Receita Bruta'!L$27&lt;$D88),('A4 - Previsão de Receita Bruta'!L$27*$E88-$F88)/'A4 - Previsão de Receita Bruta'!L$27,"")</f>
        <v/>
      </c>
      <c r="Q88" s="200" t="str">
        <f>IF(AND('A4 - Previsão de Receita Bruta'!M$27&gt;$C88,'A4 - Previsão de Receita Bruta'!M$27&lt;$D88),('A4 - Previsão de Receita Bruta'!M$27*$E88-$F88)/'A4 - Previsão de Receita Bruta'!M$27,"")</f>
        <v/>
      </c>
      <c r="R88" s="200" t="str">
        <f>IF(AND('A4 - Previsão de Receita Bruta'!N$27&gt;$C88,'A4 - Previsão de Receita Bruta'!N$27&lt;$D88),('A4 - Previsão de Receita Bruta'!N$27*$E88-$F88)/'A4 - Previsão de Receita Bruta'!N$27,"")</f>
        <v/>
      </c>
      <c r="S88" s="200" t="str">
        <f>IF(AND('A4 - Previsão de Receita Bruta'!O$27&gt;$C88,'A4 - Previsão de Receita Bruta'!O$27&lt;$D88),('A4 - Previsão de Receita Bruta'!O$27*$E88-$F88)/'A4 - Previsão de Receita Bruta'!O$27,"")</f>
        <v/>
      </c>
      <c r="T88" s="200" t="str">
        <f>IF(AND('A4 - Previsão de Receita Bruta'!P$27&gt;$C88,'A4 - Previsão de Receita Bruta'!P$27&lt;$D88),('A4 - Previsão de Receita Bruta'!P$27*$E88-$F88)/'A4 - Previsão de Receita Bruta'!P$27,"")</f>
        <v/>
      </c>
      <c r="U88" s="200" t="str">
        <f>IF(AND('A4 - Previsão de Receita Bruta'!Q$27&gt;$C88,'A4 - Previsão de Receita Bruta'!Q$27&lt;$D88),('A4 - Previsão de Receita Bruta'!Q$27*$E88-$F88)/'A4 - Previsão de Receita Bruta'!Q$27,"")</f>
        <v/>
      </c>
      <c r="V88" s="200" t="str">
        <f>IF(AND('A4 - Previsão de Receita Bruta'!R$27&gt;$C88,'A4 - Previsão de Receita Bruta'!R$27&lt;$D88),('A4 - Previsão de Receita Bruta'!R$27*$E88-$F88)/'A4 - Previsão de Receita Bruta'!R$27,"")</f>
        <v/>
      </c>
      <c r="W88" s="200" t="str">
        <f>IF(AND('A4 - Previsão de Receita Bruta'!S$27&gt;$C88,'A4 - Previsão de Receita Bruta'!S$27&lt;$D88),('A4 - Previsão de Receita Bruta'!S$27*$E88-$F88)/'A4 - Previsão de Receita Bruta'!S$27,"")</f>
        <v/>
      </c>
      <c r="X88" s="200" t="str">
        <f>IF(AND('A4 - Previsão de Receita Bruta'!T$27&gt;$C88,'A4 - Previsão de Receita Bruta'!T$27&lt;$D88),('A4 - Previsão de Receita Bruta'!T$27*$E88-$F88)/'A4 - Previsão de Receita Bruta'!T$27,"")</f>
        <v/>
      </c>
      <c r="Y88" s="200" t="str">
        <f>IF(AND('A4 - Previsão de Receita Bruta'!U$27&gt;$C88,'A4 - Previsão de Receita Bruta'!U$27&lt;$D88),('A4 - Previsão de Receita Bruta'!U$27*$E88-$F88)/'A4 - Previsão de Receita Bruta'!U$27,"")</f>
        <v/>
      </c>
      <c r="Z88" s="200" t="str">
        <f>IF(AND('A4 - Previsão de Receita Bruta'!V$27&gt;$C88,'A4 - Previsão de Receita Bruta'!V$27&lt;$D88),('A4 - Previsão de Receita Bruta'!V$27*$E88-$F88)/'A4 - Previsão de Receita Bruta'!V$27,"")</f>
        <v/>
      </c>
      <c r="AA88" s="200" t="str">
        <f>IF(AND('A4 - Previsão de Receita Bruta'!W$27&gt;$C88,'A4 - Previsão de Receita Bruta'!W$27&lt;$D88),('A4 - Previsão de Receita Bruta'!W$27*$E88-$F88)/'A4 - Previsão de Receita Bruta'!W$27,"")</f>
        <v/>
      </c>
      <c r="AB88" s="200" t="str">
        <f>IF(AND('A4 - Previsão de Receita Bruta'!X$27&gt;$C88,'A4 - Previsão de Receita Bruta'!X$27&lt;$D88),('A4 - Previsão de Receita Bruta'!X$27*$E88-$F88)/'A4 - Previsão de Receita Bruta'!X$27,"")</f>
        <v/>
      </c>
      <c r="AC88" s="200" t="str">
        <f>IF(AND('A4 - Previsão de Receita Bruta'!Y$27&gt;$C88,'A4 - Previsão de Receita Bruta'!Y$27&lt;$D88),('A4 - Previsão de Receita Bruta'!Y$27*$E88-$F88)/'A4 - Previsão de Receita Bruta'!Y$27,"")</f>
        <v/>
      </c>
      <c r="AD88" s="200" t="str">
        <f>IF(AND('A4 - Previsão de Receita Bruta'!Z$27&gt;$C88,'A4 - Previsão de Receita Bruta'!Z$27&lt;$D88),('A4 - Previsão de Receita Bruta'!Z$27*$E88-$F88)/'A4 - Previsão de Receita Bruta'!Z$27,"")</f>
        <v/>
      </c>
      <c r="AE88" s="200" t="str">
        <f>IF(AND('A4 - Previsão de Receita Bruta'!AA$27&gt;$C88,'A4 - Previsão de Receita Bruta'!AA$27&lt;$D88),('A4 - Previsão de Receita Bruta'!AA$27*$E88-$F88)/'A4 - Previsão de Receita Bruta'!AA$27,"")</f>
        <v/>
      </c>
      <c r="AF88" s="200" t="str">
        <f>IF(AND('A4 - Previsão de Receita Bruta'!AB$27&gt;$C88,'A4 - Previsão de Receita Bruta'!AB$27&lt;$D88),('A4 - Previsão de Receita Bruta'!AB$27*$E88-$F88)/'A4 - Previsão de Receita Bruta'!AB$27,"")</f>
        <v/>
      </c>
      <c r="AG88" s="200" t="str">
        <f>IF(AND('A4 - Previsão de Receita Bruta'!AC$27&gt;$C88,'A4 - Previsão de Receita Bruta'!AC$27&lt;$D88),('A4 - Previsão de Receita Bruta'!AC$27*$E88-$F88)/'A4 - Previsão de Receita Bruta'!AC$27,"")</f>
        <v/>
      </c>
      <c r="AH88" s="200" t="str">
        <f>IF(AND('A4 - Previsão de Receita Bruta'!AD$27&gt;$C88,'A4 - Previsão de Receita Bruta'!AD$27&lt;$D88),('A4 - Previsão de Receita Bruta'!AD$27*$E88-$F88)/'A4 - Previsão de Receita Bruta'!AD$27,"")</f>
        <v/>
      </c>
      <c r="AI88" s="200" t="str">
        <f>IF(AND('A4 - Previsão de Receita Bruta'!AE$27&gt;$C88,'A4 - Previsão de Receita Bruta'!AE$27&lt;$D88),('A4 - Previsão de Receita Bruta'!AE$27*$E88-$F88)/'A4 - Previsão de Receita Bruta'!AE$27,"")</f>
        <v/>
      </c>
      <c r="AJ88" s="200" t="str">
        <f>IF(AND('A4 - Previsão de Receita Bruta'!AF$27&gt;$C88,'A4 - Previsão de Receita Bruta'!AF$27&lt;$D88),('A4 - Previsão de Receita Bruta'!AF$27*$E88-$F88)/'A4 - Previsão de Receita Bruta'!AF$27,"")</f>
        <v/>
      </c>
    </row>
    <row r="89" spans="1:36" ht="10.5" customHeight="1">
      <c r="A89" s="525"/>
      <c r="B89" s="525"/>
      <c r="C89" s="197">
        <f>'Z 1 - Listas'!Q6</f>
        <v>180000.01</v>
      </c>
      <c r="D89" s="197">
        <f>'Z 1 - Listas'!R6</f>
        <v>360000</v>
      </c>
      <c r="E89" s="198">
        <f t="array" aca="1" ref="E89" ca="1">INDEX(INDIRECT(VLOOKUP(CatSN,LstCatSN,2,0)),ROW(E89)-ROW(E$87),1)</f>
        <v>0.112</v>
      </c>
      <c r="F89" s="199">
        <f t="array" aca="1" ref="F89" ca="1">INDEX(INDIRECT(VLOOKUP(CatSN,LstCatSN,2,0)),ROW(E89)-ROW(E$87),2)</f>
        <v>9360</v>
      </c>
      <c r="G89" s="200" t="str">
        <f>IF(AND('A4 - Previsão de Receita Bruta'!C$27&gt;$C89,'A4 - Previsão de Receita Bruta'!C$27&lt;$D89),('A4 - Previsão de Receita Bruta'!C$27*$E89-$F89)/'A4 - Previsão de Receita Bruta'!C$27,"")</f>
        <v/>
      </c>
      <c r="H89" s="200" t="str">
        <f>IF(AND('A4 - Previsão de Receita Bruta'!D$27&gt;$C89,'A4 - Previsão de Receita Bruta'!D$27&lt;$D89),('A4 - Previsão de Receita Bruta'!D$27*$E89-$F89)/'A4 - Previsão de Receita Bruta'!D$27,"")</f>
        <v/>
      </c>
      <c r="I89" s="200" t="str">
        <f>IF(AND('A4 - Previsão de Receita Bruta'!E$27&gt;$C89,'A4 - Previsão de Receita Bruta'!E$27&lt;$D89),('A4 - Previsão de Receita Bruta'!E$27*$E89-$F89)/'A4 - Previsão de Receita Bruta'!E$27,"")</f>
        <v/>
      </c>
      <c r="J89" s="200" t="str">
        <f>IF(AND('A4 - Previsão de Receita Bruta'!F$27&gt;$C89,'A4 - Previsão de Receita Bruta'!F$27&lt;$D89),('A4 - Previsão de Receita Bruta'!F$27*$E89-$F89)/'A4 - Previsão de Receita Bruta'!F$27,"")</f>
        <v/>
      </c>
      <c r="K89" s="200" t="str">
        <f>IF(AND('A4 - Previsão de Receita Bruta'!G$27&gt;$C89,'A4 - Previsão de Receita Bruta'!G$27&lt;$D89),('A4 - Previsão de Receita Bruta'!G$27*$E89-$F89)/'A4 - Previsão de Receita Bruta'!G$27,"")</f>
        <v/>
      </c>
      <c r="L89" s="200" t="str">
        <f>IF(AND('A4 - Previsão de Receita Bruta'!H$27&gt;$C89,'A4 - Previsão de Receita Bruta'!H$27&lt;$D89),('A4 - Previsão de Receita Bruta'!H$27*$E89-$F89)/'A4 - Previsão de Receita Bruta'!H$27,"")</f>
        <v/>
      </c>
      <c r="M89" s="200" t="str">
        <f>IF(AND('A4 - Previsão de Receita Bruta'!I$27&gt;$C89,'A4 - Previsão de Receita Bruta'!I$27&lt;$D89),('A4 - Previsão de Receita Bruta'!I$27*$E89-$F89)/'A4 - Previsão de Receita Bruta'!I$27,"")</f>
        <v/>
      </c>
      <c r="N89" s="200" t="str">
        <f>IF(AND('A4 - Previsão de Receita Bruta'!J$27&gt;$C89,'A4 - Previsão de Receita Bruta'!J$27&lt;$D89),('A4 - Previsão de Receita Bruta'!J$27*$E89-$F89)/'A4 - Previsão de Receita Bruta'!J$27,"")</f>
        <v/>
      </c>
      <c r="O89" s="200" t="str">
        <f>IF(AND('A4 - Previsão de Receita Bruta'!K$27&gt;$C89,'A4 - Previsão de Receita Bruta'!K$27&lt;$D89),('A4 - Previsão de Receita Bruta'!K$27*$E89-$F89)/'A4 - Previsão de Receita Bruta'!K$27,"")</f>
        <v/>
      </c>
      <c r="P89" s="200" t="str">
        <f>IF(AND('A4 - Previsão de Receita Bruta'!L$27&gt;$C89,'A4 - Previsão de Receita Bruta'!L$27&lt;$D89),('A4 - Previsão de Receita Bruta'!L$27*$E89-$F89)/'A4 - Previsão de Receita Bruta'!L$27,"")</f>
        <v/>
      </c>
      <c r="Q89" s="200" t="str">
        <f>IF(AND('A4 - Previsão de Receita Bruta'!M$27&gt;$C89,'A4 - Previsão de Receita Bruta'!M$27&lt;$D89),('A4 - Previsão de Receita Bruta'!M$27*$E89-$F89)/'A4 - Previsão de Receita Bruta'!M$27,"")</f>
        <v/>
      </c>
      <c r="R89" s="200" t="str">
        <f>IF(AND('A4 - Previsão de Receita Bruta'!N$27&gt;$C89,'A4 - Previsão de Receita Bruta'!N$27&lt;$D89),('A4 - Previsão de Receita Bruta'!N$27*$E89-$F89)/'A4 - Previsão de Receita Bruta'!N$27,"")</f>
        <v/>
      </c>
      <c r="S89" s="200" t="str">
        <f>IF(AND('A4 - Previsão de Receita Bruta'!O$27&gt;$C89,'A4 - Previsão de Receita Bruta'!O$27&lt;$D89),('A4 - Previsão de Receita Bruta'!O$27*$E89-$F89)/'A4 - Previsão de Receita Bruta'!O$27,"")</f>
        <v/>
      </c>
      <c r="T89" s="200" t="str">
        <f>IF(AND('A4 - Previsão de Receita Bruta'!P$27&gt;$C89,'A4 - Previsão de Receita Bruta'!P$27&lt;$D89),('A4 - Previsão de Receita Bruta'!P$27*$E89-$F89)/'A4 - Previsão de Receita Bruta'!P$27,"")</f>
        <v/>
      </c>
      <c r="U89" s="200" t="str">
        <f>IF(AND('A4 - Previsão de Receita Bruta'!Q$27&gt;$C89,'A4 - Previsão de Receita Bruta'!Q$27&lt;$D89),('A4 - Previsão de Receita Bruta'!Q$27*$E89-$F89)/'A4 - Previsão de Receita Bruta'!Q$27,"")</f>
        <v/>
      </c>
      <c r="V89" s="200" t="str">
        <f>IF(AND('A4 - Previsão de Receita Bruta'!R$27&gt;$C89,'A4 - Previsão de Receita Bruta'!R$27&lt;$D89),('A4 - Previsão de Receita Bruta'!R$27*$E89-$F89)/'A4 - Previsão de Receita Bruta'!R$27,"")</f>
        <v/>
      </c>
      <c r="W89" s="200" t="str">
        <f>IF(AND('A4 - Previsão de Receita Bruta'!S$27&gt;$C89,'A4 - Previsão de Receita Bruta'!S$27&lt;$D89),('A4 - Previsão de Receita Bruta'!S$27*$E89-$F89)/'A4 - Previsão de Receita Bruta'!S$27,"")</f>
        <v/>
      </c>
      <c r="X89" s="200" t="str">
        <f>IF(AND('A4 - Previsão de Receita Bruta'!T$27&gt;$C89,'A4 - Previsão de Receita Bruta'!T$27&lt;$D89),('A4 - Previsão de Receita Bruta'!T$27*$E89-$F89)/'A4 - Previsão de Receita Bruta'!T$27,"")</f>
        <v/>
      </c>
      <c r="Y89" s="200" t="str">
        <f>IF(AND('A4 - Previsão de Receita Bruta'!U$27&gt;$C89,'A4 - Previsão de Receita Bruta'!U$27&lt;$D89),('A4 - Previsão de Receita Bruta'!U$27*$E89-$F89)/'A4 - Previsão de Receita Bruta'!U$27,"")</f>
        <v/>
      </c>
      <c r="Z89" s="200" t="str">
        <f>IF(AND('A4 - Previsão de Receita Bruta'!V$27&gt;$C89,'A4 - Previsão de Receita Bruta'!V$27&lt;$D89),('A4 - Previsão de Receita Bruta'!V$27*$E89-$F89)/'A4 - Previsão de Receita Bruta'!V$27,"")</f>
        <v/>
      </c>
      <c r="AA89" s="200" t="str">
        <f>IF(AND('A4 - Previsão de Receita Bruta'!W$27&gt;$C89,'A4 - Previsão de Receita Bruta'!W$27&lt;$D89),('A4 - Previsão de Receita Bruta'!W$27*$E89-$F89)/'A4 - Previsão de Receita Bruta'!W$27,"")</f>
        <v/>
      </c>
      <c r="AB89" s="200" t="str">
        <f>IF(AND('A4 - Previsão de Receita Bruta'!X$27&gt;$C89,'A4 - Previsão de Receita Bruta'!X$27&lt;$D89),('A4 - Previsão de Receita Bruta'!X$27*$E89-$F89)/'A4 - Previsão de Receita Bruta'!X$27,"")</f>
        <v/>
      </c>
      <c r="AC89" s="200" t="str">
        <f>IF(AND('A4 - Previsão de Receita Bruta'!Y$27&gt;$C89,'A4 - Previsão de Receita Bruta'!Y$27&lt;$D89),('A4 - Previsão de Receita Bruta'!Y$27*$E89-$F89)/'A4 - Previsão de Receita Bruta'!Y$27,"")</f>
        <v/>
      </c>
      <c r="AD89" s="200" t="str">
        <f>IF(AND('A4 - Previsão de Receita Bruta'!Z$27&gt;$C89,'A4 - Previsão de Receita Bruta'!Z$27&lt;$D89),('A4 - Previsão de Receita Bruta'!Z$27*$E89-$F89)/'A4 - Previsão de Receita Bruta'!Z$27,"")</f>
        <v/>
      </c>
      <c r="AE89" s="200" t="str">
        <f>IF(AND('A4 - Previsão de Receita Bruta'!AA$27&gt;$C89,'A4 - Previsão de Receita Bruta'!AA$27&lt;$D89),('A4 - Previsão de Receita Bruta'!AA$27*$E89-$F89)/'A4 - Previsão de Receita Bruta'!AA$27,"")</f>
        <v/>
      </c>
      <c r="AF89" s="200" t="str">
        <f>IF(AND('A4 - Previsão de Receita Bruta'!AB$27&gt;$C89,'A4 - Previsão de Receita Bruta'!AB$27&lt;$D89),('A4 - Previsão de Receita Bruta'!AB$27*$E89-$F89)/'A4 - Previsão de Receita Bruta'!AB$27,"")</f>
        <v/>
      </c>
      <c r="AG89" s="200" t="str">
        <f>IF(AND('A4 - Previsão de Receita Bruta'!AC$27&gt;$C89,'A4 - Previsão de Receita Bruta'!AC$27&lt;$D89),('A4 - Previsão de Receita Bruta'!AC$27*$E89-$F89)/'A4 - Previsão de Receita Bruta'!AC$27,"")</f>
        <v/>
      </c>
      <c r="AH89" s="200" t="str">
        <f>IF(AND('A4 - Previsão de Receita Bruta'!AD$27&gt;$C89,'A4 - Previsão de Receita Bruta'!AD$27&lt;$D89),('A4 - Previsão de Receita Bruta'!AD$27*$E89-$F89)/'A4 - Previsão de Receita Bruta'!AD$27,"")</f>
        <v/>
      </c>
      <c r="AI89" s="200" t="str">
        <f>IF(AND('A4 - Previsão de Receita Bruta'!AE$27&gt;$C89,'A4 - Previsão de Receita Bruta'!AE$27&lt;$D89),('A4 - Previsão de Receita Bruta'!AE$27*$E89-$F89)/'A4 - Previsão de Receita Bruta'!AE$27,"")</f>
        <v/>
      </c>
      <c r="AJ89" s="200" t="str">
        <f>IF(AND('A4 - Previsão de Receita Bruta'!AF$27&gt;$C89,'A4 - Previsão de Receita Bruta'!AF$27&lt;$D89),('A4 - Previsão de Receita Bruta'!AF$27*$E89-$F89)/'A4 - Previsão de Receita Bruta'!AF$27,"")</f>
        <v/>
      </c>
    </row>
    <row r="90" spans="1:36" ht="10.5" customHeight="1">
      <c r="A90" s="525"/>
      <c r="B90" s="525"/>
      <c r="C90" s="197">
        <f>'Z 1 - Listas'!Q7</f>
        <v>360000.01</v>
      </c>
      <c r="D90" s="197">
        <f>'Z 1 - Listas'!R7</f>
        <v>720000</v>
      </c>
      <c r="E90" s="198">
        <f t="array" aca="1" ref="E90" ca="1">INDEX(INDIRECT(VLOOKUP(CatSN,LstCatSN,2,0)),ROW(E90)-ROW(E$87),1)</f>
        <v>0.13500000000000001</v>
      </c>
      <c r="F90" s="199">
        <f t="array" aca="1" ref="F90" ca="1">INDEX(INDIRECT(VLOOKUP(CatSN,LstCatSN,2,0)),ROW(E90)-ROW(E$87),2)</f>
        <v>17640</v>
      </c>
      <c r="G90" s="200" t="str">
        <f>IF(AND('A4 - Previsão de Receita Bruta'!C$27&gt;$C90,'A4 - Previsão de Receita Bruta'!C$27&lt;$D90),('A4 - Previsão de Receita Bruta'!C$27*$E90-$F90)/'A4 - Previsão de Receita Bruta'!C$27,"")</f>
        <v/>
      </c>
      <c r="H90" s="200" t="str">
        <f>IF(AND('A4 - Previsão de Receita Bruta'!D$27&gt;$C90,'A4 - Previsão de Receita Bruta'!D$27&lt;$D90),('A4 - Previsão de Receita Bruta'!D$27*$E90-$F90)/'A4 - Previsão de Receita Bruta'!D$27,"")</f>
        <v/>
      </c>
      <c r="I90" s="200" t="str">
        <f>IF(AND('A4 - Previsão de Receita Bruta'!E$27&gt;$C90,'A4 - Previsão de Receita Bruta'!E$27&lt;$D90),('A4 - Previsão de Receita Bruta'!E$27*$E90-$F90)/'A4 - Previsão de Receita Bruta'!E$27,"")</f>
        <v/>
      </c>
      <c r="J90" s="200" t="str">
        <f>IF(AND('A4 - Previsão de Receita Bruta'!F$27&gt;$C90,'A4 - Previsão de Receita Bruta'!F$27&lt;$D90),('A4 - Previsão de Receita Bruta'!F$27*$E90-$F90)/'A4 - Previsão de Receita Bruta'!F$27,"")</f>
        <v/>
      </c>
      <c r="K90" s="200" t="str">
        <f>IF(AND('A4 - Previsão de Receita Bruta'!G$27&gt;$C90,'A4 - Previsão de Receita Bruta'!G$27&lt;$D90),('A4 - Previsão de Receita Bruta'!G$27*$E90-$F90)/'A4 - Previsão de Receita Bruta'!G$27,"")</f>
        <v/>
      </c>
      <c r="L90" s="200" t="str">
        <f>IF(AND('A4 - Previsão de Receita Bruta'!H$27&gt;$C90,'A4 - Previsão de Receita Bruta'!H$27&lt;$D90),('A4 - Previsão de Receita Bruta'!H$27*$E90-$F90)/'A4 - Previsão de Receita Bruta'!H$27,"")</f>
        <v/>
      </c>
      <c r="M90" s="200" t="str">
        <f>IF(AND('A4 - Previsão de Receita Bruta'!I$27&gt;$C90,'A4 - Previsão de Receita Bruta'!I$27&lt;$D90),('A4 - Previsão de Receita Bruta'!I$27*$E90-$F90)/'A4 - Previsão de Receita Bruta'!I$27,"")</f>
        <v/>
      </c>
      <c r="N90" s="200" t="str">
        <f>IF(AND('A4 - Previsão de Receita Bruta'!J$27&gt;$C90,'A4 - Previsão de Receita Bruta'!J$27&lt;$D90),('A4 - Previsão de Receita Bruta'!J$27*$E90-$F90)/'A4 - Previsão de Receita Bruta'!J$27,"")</f>
        <v/>
      </c>
      <c r="O90" s="200" t="str">
        <f>IF(AND('A4 - Previsão de Receita Bruta'!K$27&gt;$C90,'A4 - Previsão de Receita Bruta'!K$27&lt;$D90),('A4 - Previsão de Receita Bruta'!K$27*$E90-$F90)/'A4 - Previsão de Receita Bruta'!K$27,"")</f>
        <v/>
      </c>
      <c r="P90" s="200" t="str">
        <f>IF(AND('A4 - Previsão de Receita Bruta'!L$27&gt;$C90,'A4 - Previsão de Receita Bruta'!L$27&lt;$D90),('A4 - Previsão de Receita Bruta'!L$27*$E90-$F90)/'A4 - Previsão de Receita Bruta'!L$27,"")</f>
        <v/>
      </c>
      <c r="Q90" s="200" t="str">
        <f>IF(AND('A4 - Previsão de Receita Bruta'!M$27&gt;$C90,'A4 - Previsão de Receita Bruta'!M$27&lt;$D90),('A4 - Previsão de Receita Bruta'!M$27*$E90-$F90)/'A4 - Previsão de Receita Bruta'!M$27,"")</f>
        <v/>
      </c>
      <c r="R90" s="200" t="str">
        <f>IF(AND('A4 - Previsão de Receita Bruta'!N$27&gt;$C90,'A4 - Previsão de Receita Bruta'!N$27&lt;$D90),('A4 - Previsão de Receita Bruta'!N$27*$E90-$F90)/'A4 - Previsão de Receita Bruta'!N$27,"")</f>
        <v/>
      </c>
      <c r="S90" s="200" t="str">
        <f>IF(AND('A4 - Previsão de Receita Bruta'!O$27&gt;$C90,'A4 - Previsão de Receita Bruta'!O$27&lt;$D90),('A4 - Previsão de Receita Bruta'!O$27*$E90-$F90)/'A4 - Previsão de Receita Bruta'!O$27,"")</f>
        <v/>
      </c>
      <c r="T90" s="200" t="str">
        <f>IF(AND('A4 - Previsão de Receita Bruta'!P$27&gt;$C90,'A4 - Previsão de Receita Bruta'!P$27&lt;$D90),('A4 - Previsão de Receita Bruta'!P$27*$E90-$F90)/'A4 - Previsão de Receita Bruta'!P$27,"")</f>
        <v/>
      </c>
      <c r="U90" s="200" t="str">
        <f>IF(AND('A4 - Previsão de Receita Bruta'!Q$27&gt;$C90,'A4 - Previsão de Receita Bruta'!Q$27&lt;$D90),('A4 - Previsão de Receita Bruta'!Q$27*$E90-$F90)/'A4 - Previsão de Receita Bruta'!Q$27,"")</f>
        <v/>
      </c>
      <c r="V90" s="200" t="str">
        <f>IF(AND('A4 - Previsão de Receita Bruta'!R$27&gt;$C90,'A4 - Previsão de Receita Bruta'!R$27&lt;$D90),('A4 - Previsão de Receita Bruta'!R$27*$E90-$F90)/'A4 - Previsão de Receita Bruta'!R$27,"")</f>
        <v/>
      </c>
      <c r="W90" s="200" t="str">
        <f>IF(AND('A4 - Previsão de Receita Bruta'!S$27&gt;$C90,'A4 - Previsão de Receita Bruta'!S$27&lt;$D90),('A4 - Previsão de Receita Bruta'!S$27*$E90-$F90)/'A4 - Previsão de Receita Bruta'!S$27,"")</f>
        <v/>
      </c>
      <c r="X90" s="200" t="str">
        <f>IF(AND('A4 - Previsão de Receita Bruta'!T$27&gt;$C90,'A4 - Previsão de Receita Bruta'!T$27&lt;$D90),('A4 - Previsão de Receita Bruta'!T$27*$E90-$F90)/'A4 - Previsão de Receita Bruta'!T$27,"")</f>
        <v/>
      </c>
      <c r="Y90" s="200" t="str">
        <f>IF(AND('A4 - Previsão de Receita Bruta'!U$27&gt;$C90,'A4 - Previsão de Receita Bruta'!U$27&lt;$D90),('A4 - Previsão de Receita Bruta'!U$27*$E90-$F90)/'A4 - Previsão de Receita Bruta'!U$27,"")</f>
        <v/>
      </c>
      <c r="Z90" s="200" t="str">
        <f>IF(AND('A4 - Previsão de Receita Bruta'!V$27&gt;$C90,'A4 - Previsão de Receita Bruta'!V$27&lt;$D90),('A4 - Previsão de Receita Bruta'!V$27*$E90-$F90)/'A4 - Previsão de Receita Bruta'!V$27,"")</f>
        <v/>
      </c>
      <c r="AA90" s="200" t="str">
        <f>IF(AND('A4 - Previsão de Receita Bruta'!W$27&gt;$C90,'A4 - Previsão de Receita Bruta'!W$27&lt;$D90),('A4 - Previsão de Receita Bruta'!W$27*$E90-$F90)/'A4 - Previsão de Receita Bruta'!W$27,"")</f>
        <v/>
      </c>
      <c r="AB90" s="200" t="str">
        <f>IF(AND('A4 - Previsão de Receita Bruta'!X$27&gt;$C90,'A4 - Previsão de Receita Bruta'!X$27&lt;$D90),('A4 - Previsão de Receita Bruta'!X$27*$E90-$F90)/'A4 - Previsão de Receita Bruta'!X$27,"")</f>
        <v/>
      </c>
      <c r="AC90" s="200" t="str">
        <f>IF(AND('A4 - Previsão de Receita Bruta'!Y$27&gt;$C90,'A4 - Previsão de Receita Bruta'!Y$27&lt;$D90),('A4 - Previsão de Receita Bruta'!Y$27*$E90-$F90)/'A4 - Previsão de Receita Bruta'!Y$27,"")</f>
        <v/>
      </c>
      <c r="AD90" s="200" t="str">
        <f>IF(AND('A4 - Previsão de Receita Bruta'!Z$27&gt;$C90,'A4 - Previsão de Receita Bruta'!Z$27&lt;$D90),('A4 - Previsão de Receita Bruta'!Z$27*$E90-$F90)/'A4 - Previsão de Receita Bruta'!Z$27,"")</f>
        <v/>
      </c>
      <c r="AE90" s="200" t="str">
        <f>IF(AND('A4 - Previsão de Receita Bruta'!AA$27&gt;$C90,'A4 - Previsão de Receita Bruta'!AA$27&lt;$D90),('A4 - Previsão de Receita Bruta'!AA$27*$E90-$F90)/'A4 - Previsão de Receita Bruta'!AA$27,"")</f>
        <v/>
      </c>
      <c r="AF90" s="200" t="str">
        <f>IF(AND('A4 - Previsão de Receita Bruta'!AB$27&gt;$C90,'A4 - Previsão de Receita Bruta'!AB$27&lt;$D90),('A4 - Previsão de Receita Bruta'!AB$27*$E90-$F90)/'A4 - Previsão de Receita Bruta'!AB$27,"")</f>
        <v/>
      </c>
      <c r="AG90" s="200" t="str">
        <f>IF(AND('A4 - Previsão de Receita Bruta'!AC$27&gt;$C90,'A4 - Previsão de Receita Bruta'!AC$27&lt;$D90),('A4 - Previsão de Receita Bruta'!AC$27*$E90-$F90)/'A4 - Previsão de Receita Bruta'!AC$27,"")</f>
        <v/>
      </c>
      <c r="AH90" s="200" t="str">
        <f>IF(AND('A4 - Previsão de Receita Bruta'!AD$27&gt;$C90,'A4 - Previsão de Receita Bruta'!AD$27&lt;$D90),('A4 - Previsão de Receita Bruta'!AD$27*$E90-$F90)/'A4 - Previsão de Receita Bruta'!AD$27,"")</f>
        <v/>
      </c>
      <c r="AI90" s="200" t="str">
        <f>IF(AND('A4 - Previsão de Receita Bruta'!AE$27&gt;$C90,'A4 - Previsão de Receita Bruta'!AE$27&lt;$D90),('A4 - Previsão de Receita Bruta'!AE$27*$E90-$F90)/'A4 - Previsão de Receita Bruta'!AE$27,"")</f>
        <v/>
      </c>
      <c r="AJ90" s="200" t="str">
        <f>IF(AND('A4 - Previsão de Receita Bruta'!AF$27&gt;$C90,'A4 - Previsão de Receita Bruta'!AF$27&lt;$D90),('A4 - Previsão de Receita Bruta'!AF$27*$E90-$F90)/'A4 - Previsão de Receita Bruta'!AF$27,"")</f>
        <v/>
      </c>
    </row>
    <row r="91" spans="1:36" ht="10.5" customHeight="1">
      <c r="A91" s="525"/>
      <c r="B91" s="525"/>
      <c r="C91" s="197">
        <f>'Z 1 - Listas'!Q8</f>
        <v>720000.01</v>
      </c>
      <c r="D91" s="197">
        <f>'Z 1 - Listas'!R8</f>
        <v>1800000</v>
      </c>
      <c r="E91" s="198">
        <f t="array" aca="1" ref="E91" ca="1">INDEX(INDIRECT(VLOOKUP(CatSN,LstCatSN,2,0)),ROW(E91)-ROW(E$87),1)</f>
        <v>0.16</v>
      </c>
      <c r="F91" s="199">
        <f t="array" aca="1" ref="F91" ca="1">INDEX(INDIRECT(VLOOKUP(CatSN,LstCatSN,2,0)),ROW(E91)-ROW(E$87),2)</f>
        <v>35640</v>
      </c>
      <c r="G91" s="200" t="str">
        <f>IF(AND('A4 - Previsão de Receita Bruta'!C$27&gt;$C91,'A4 - Previsão de Receita Bruta'!C$27&lt;$D91),('A4 - Previsão de Receita Bruta'!C$27*$E91-$F91)/'A4 - Previsão de Receita Bruta'!C$27,"")</f>
        <v/>
      </c>
      <c r="H91" s="200" t="str">
        <f>IF(AND('A4 - Previsão de Receita Bruta'!D$27&gt;$C91,'A4 - Previsão de Receita Bruta'!D$27&lt;$D91),('A4 - Previsão de Receita Bruta'!D$27*$E91-$F91)/'A4 - Previsão de Receita Bruta'!D$27,"")</f>
        <v/>
      </c>
      <c r="I91" s="200" t="str">
        <f>IF(AND('A4 - Previsão de Receita Bruta'!E$27&gt;$C91,'A4 - Previsão de Receita Bruta'!E$27&lt;$D91),('A4 - Previsão de Receita Bruta'!E$27*$E91-$F91)/'A4 - Previsão de Receita Bruta'!E$27,"")</f>
        <v/>
      </c>
      <c r="J91" s="200" t="str">
        <f>IF(AND('A4 - Previsão de Receita Bruta'!F$27&gt;$C91,'A4 - Previsão de Receita Bruta'!F$27&lt;$D91),('A4 - Previsão de Receita Bruta'!F$27*$E91-$F91)/'A4 - Previsão de Receita Bruta'!F$27,"")</f>
        <v/>
      </c>
      <c r="K91" s="200" t="str">
        <f>IF(AND('A4 - Previsão de Receita Bruta'!G$27&gt;$C91,'A4 - Previsão de Receita Bruta'!G$27&lt;$D91),('A4 - Previsão de Receita Bruta'!G$27*$E91-$F91)/'A4 - Previsão de Receita Bruta'!G$27,"")</f>
        <v/>
      </c>
      <c r="L91" s="200" t="str">
        <f>IF(AND('A4 - Previsão de Receita Bruta'!H$27&gt;$C91,'A4 - Previsão de Receita Bruta'!H$27&lt;$D91),('A4 - Previsão de Receita Bruta'!H$27*$E91-$F91)/'A4 - Previsão de Receita Bruta'!H$27,"")</f>
        <v/>
      </c>
      <c r="M91" s="200" t="str">
        <f>IF(AND('A4 - Previsão de Receita Bruta'!I$27&gt;$C91,'A4 - Previsão de Receita Bruta'!I$27&lt;$D91),('A4 - Previsão de Receita Bruta'!I$27*$E91-$F91)/'A4 - Previsão de Receita Bruta'!I$27,"")</f>
        <v/>
      </c>
      <c r="N91" s="200" t="str">
        <f>IF(AND('A4 - Previsão de Receita Bruta'!J$27&gt;$C91,'A4 - Previsão de Receita Bruta'!J$27&lt;$D91),('A4 - Previsão de Receita Bruta'!J$27*$E91-$F91)/'A4 - Previsão de Receita Bruta'!J$27,"")</f>
        <v/>
      </c>
      <c r="O91" s="200" t="str">
        <f>IF(AND('A4 - Previsão de Receita Bruta'!K$27&gt;$C91,'A4 - Previsão de Receita Bruta'!K$27&lt;$D91),('A4 - Previsão de Receita Bruta'!K$27*$E91-$F91)/'A4 - Previsão de Receita Bruta'!K$27,"")</f>
        <v/>
      </c>
      <c r="P91" s="200" t="str">
        <f>IF(AND('A4 - Previsão de Receita Bruta'!L$27&gt;$C91,'A4 - Previsão de Receita Bruta'!L$27&lt;$D91),('A4 - Previsão de Receita Bruta'!L$27*$E91-$F91)/'A4 - Previsão de Receita Bruta'!L$27,"")</f>
        <v/>
      </c>
      <c r="Q91" s="200" t="str">
        <f>IF(AND('A4 - Previsão de Receita Bruta'!M$27&gt;$C91,'A4 - Previsão de Receita Bruta'!M$27&lt;$D91),('A4 - Previsão de Receita Bruta'!M$27*$E91-$F91)/'A4 - Previsão de Receita Bruta'!M$27,"")</f>
        <v/>
      </c>
      <c r="R91" s="200" t="str">
        <f>IF(AND('A4 - Previsão de Receita Bruta'!N$27&gt;$C91,'A4 - Previsão de Receita Bruta'!N$27&lt;$D91),('A4 - Previsão de Receita Bruta'!N$27*$E91-$F91)/'A4 - Previsão de Receita Bruta'!N$27,"")</f>
        <v/>
      </c>
      <c r="S91" s="200" t="str">
        <f>IF(AND('A4 - Previsão de Receita Bruta'!O$27&gt;$C91,'A4 - Previsão de Receita Bruta'!O$27&lt;$D91),('A4 - Previsão de Receita Bruta'!O$27*$E91-$F91)/'A4 - Previsão de Receita Bruta'!O$27,"")</f>
        <v/>
      </c>
      <c r="T91" s="200" t="str">
        <f>IF(AND('A4 - Previsão de Receita Bruta'!P$27&gt;$C91,'A4 - Previsão de Receita Bruta'!P$27&lt;$D91),('A4 - Previsão de Receita Bruta'!P$27*$E91-$F91)/'A4 - Previsão de Receita Bruta'!P$27,"")</f>
        <v/>
      </c>
      <c r="U91" s="200" t="str">
        <f>IF(AND('A4 - Previsão de Receita Bruta'!Q$27&gt;$C91,'A4 - Previsão de Receita Bruta'!Q$27&lt;$D91),('A4 - Previsão de Receita Bruta'!Q$27*$E91-$F91)/'A4 - Previsão de Receita Bruta'!Q$27,"")</f>
        <v/>
      </c>
      <c r="V91" s="200" t="str">
        <f>IF(AND('A4 - Previsão de Receita Bruta'!R$27&gt;$C91,'A4 - Previsão de Receita Bruta'!R$27&lt;$D91),('A4 - Previsão de Receita Bruta'!R$27*$E91-$F91)/'A4 - Previsão de Receita Bruta'!R$27,"")</f>
        <v/>
      </c>
      <c r="W91" s="200" t="str">
        <f>IF(AND('A4 - Previsão de Receita Bruta'!S$27&gt;$C91,'A4 - Previsão de Receita Bruta'!S$27&lt;$D91),('A4 - Previsão de Receita Bruta'!S$27*$E91-$F91)/'A4 - Previsão de Receita Bruta'!S$27,"")</f>
        <v/>
      </c>
      <c r="X91" s="200" t="str">
        <f>IF(AND('A4 - Previsão de Receita Bruta'!T$27&gt;$C91,'A4 - Previsão de Receita Bruta'!T$27&lt;$D91),('A4 - Previsão de Receita Bruta'!T$27*$E91-$F91)/'A4 - Previsão de Receita Bruta'!T$27,"")</f>
        <v/>
      </c>
      <c r="Y91" s="200" t="str">
        <f>IF(AND('A4 - Previsão de Receita Bruta'!U$27&gt;$C91,'A4 - Previsão de Receita Bruta'!U$27&lt;$D91),('A4 - Previsão de Receita Bruta'!U$27*$E91-$F91)/'A4 - Previsão de Receita Bruta'!U$27,"")</f>
        <v/>
      </c>
      <c r="Z91" s="200" t="str">
        <f>IF(AND('A4 - Previsão de Receita Bruta'!V$27&gt;$C91,'A4 - Previsão de Receita Bruta'!V$27&lt;$D91),('A4 - Previsão de Receita Bruta'!V$27*$E91-$F91)/'A4 - Previsão de Receita Bruta'!V$27,"")</f>
        <v/>
      </c>
      <c r="AA91" s="200" t="str">
        <f>IF(AND('A4 - Previsão de Receita Bruta'!W$27&gt;$C91,'A4 - Previsão de Receita Bruta'!W$27&lt;$D91),('A4 - Previsão de Receita Bruta'!W$27*$E91-$F91)/'A4 - Previsão de Receita Bruta'!W$27,"")</f>
        <v/>
      </c>
      <c r="AB91" s="200" t="str">
        <f>IF(AND('A4 - Previsão de Receita Bruta'!X$27&gt;$C91,'A4 - Previsão de Receita Bruta'!X$27&lt;$D91),('A4 - Previsão de Receita Bruta'!X$27*$E91-$F91)/'A4 - Previsão de Receita Bruta'!X$27,"")</f>
        <v/>
      </c>
      <c r="AC91" s="200" t="str">
        <f>IF(AND('A4 - Previsão de Receita Bruta'!Y$27&gt;$C91,'A4 - Previsão de Receita Bruta'!Y$27&lt;$D91),('A4 - Previsão de Receita Bruta'!Y$27*$E91-$F91)/'A4 - Previsão de Receita Bruta'!Y$27,"")</f>
        <v/>
      </c>
      <c r="AD91" s="200" t="str">
        <f>IF(AND('A4 - Previsão de Receita Bruta'!Z$27&gt;$C91,'A4 - Previsão de Receita Bruta'!Z$27&lt;$D91),('A4 - Previsão de Receita Bruta'!Z$27*$E91-$F91)/'A4 - Previsão de Receita Bruta'!Z$27,"")</f>
        <v/>
      </c>
      <c r="AE91" s="200" t="str">
        <f>IF(AND('A4 - Previsão de Receita Bruta'!AA$27&gt;$C91,'A4 - Previsão de Receita Bruta'!AA$27&lt;$D91),('A4 - Previsão de Receita Bruta'!AA$27*$E91-$F91)/'A4 - Previsão de Receita Bruta'!AA$27,"")</f>
        <v/>
      </c>
      <c r="AF91" s="200" t="str">
        <f>IF(AND('A4 - Previsão de Receita Bruta'!AB$27&gt;$C91,'A4 - Previsão de Receita Bruta'!AB$27&lt;$D91),('A4 - Previsão de Receita Bruta'!AB$27*$E91-$F91)/'A4 - Previsão de Receita Bruta'!AB$27,"")</f>
        <v/>
      </c>
      <c r="AG91" s="200" t="str">
        <f>IF(AND('A4 - Previsão de Receita Bruta'!AC$27&gt;$C91,'A4 - Previsão de Receita Bruta'!AC$27&lt;$D91),('A4 - Previsão de Receita Bruta'!AC$27*$E91-$F91)/'A4 - Previsão de Receita Bruta'!AC$27,"")</f>
        <v/>
      </c>
      <c r="AH91" s="200" t="str">
        <f>IF(AND('A4 - Previsão de Receita Bruta'!AD$27&gt;$C91,'A4 - Previsão de Receita Bruta'!AD$27&lt;$D91),('A4 - Previsão de Receita Bruta'!AD$27*$E91-$F91)/'A4 - Previsão de Receita Bruta'!AD$27,"")</f>
        <v/>
      </c>
      <c r="AI91" s="200" t="str">
        <f>IF(AND('A4 - Previsão de Receita Bruta'!AE$27&gt;$C91,'A4 - Previsão de Receita Bruta'!AE$27&lt;$D91),('A4 - Previsão de Receita Bruta'!AE$27*$E91-$F91)/'A4 - Previsão de Receita Bruta'!AE$27,"")</f>
        <v/>
      </c>
      <c r="AJ91" s="200" t="str">
        <f>IF(AND('A4 - Previsão de Receita Bruta'!AF$27&gt;$C91,'A4 - Previsão de Receita Bruta'!AF$27&lt;$D91),('A4 - Previsão de Receita Bruta'!AF$27*$E91-$F91)/'A4 - Previsão de Receita Bruta'!AF$27,"")</f>
        <v/>
      </c>
    </row>
    <row r="92" spans="1:36" ht="10.5" customHeight="1">
      <c r="A92" s="525"/>
      <c r="B92" s="525"/>
      <c r="C92" s="197">
        <f>'Z 1 - Listas'!Q9</f>
        <v>1800000.01</v>
      </c>
      <c r="D92" s="197">
        <f>'Z 1 - Listas'!R9</f>
        <v>3600000</v>
      </c>
      <c r="E92" s="198">
        <f t="array" aca="1" ref="E92" ca="1">INDEX(INDIRECT(VLOOKUP(CatSN,LstCatSN,2,0)),ROW(E92)-ROW(E$87),1)</f>
        <v>0.21</v>
      </c>
      <c r="F92" s="199">
        <f t="array" aca="1" ref="F92" ca="1">INDEX(INDIRECT(VLOOKUP(CatSN,LstCatSN,2,0)),ROW(E92)-ROW(E$87),2)</f>
        <v>125640</v>
      </c>
      <c r="G92" s="200" t="str">
        <f>IF(AND('A4 - Previsão de Receita Bruta'!C$27&gt;$C92,'A4 - Previsão de Receita Bruta'!C$27&lt;$D92),('A4 - Previsão de Receita Bruta'!C$27*$E92-$F92)/'A4 - Previsão de Receita Bruta'!C$27,"")</f>
        <v/>
      </c>
      <c r="H92" s="200" t="str">
        <f>IF(AND('A4 - Previsão de Receita Bruta'!D$27&gt;$C92,'A4 - Previsão de Receita Bruta'!D$27&lt;$D92),('A4 - Previsão de Receita Bruta'!D$27*$E92-$F92)/'A4 - Previsão de Receita Bruta'!D$27,"")</f>
        <v/>
      </c>
      <c r="I92" s="200" t="str">
        <f>IF(AND('A4 - Previsão de Receita Bruta'!E$27&gt;$C92,'A4 - Previsão de Receita Bruta'!E$27&lt;$D92),('A4 - Previsão de Receita Bruta'!E$27*$E92-$F92)/'A4 - Previsão de Receita Bruta'!E$27,"")</f>
        <v/>
      </c>
      <c r="J92" s="200" t="str">
        <f>IF(AND('A4 - Previsão de Receita Bruta'!F$27&gt;$C92,'A4 - Previsão de Receita Bruta'!F$27&lt;$D92),('A4 - Previsão de Receita Bruta'!F$27*$E92-$F92)/'A4 - Previsão de Receita Bruta'!F$27,"")</f>
        <v/>
      </c>
      <c r="K92" s="200" t="str">
        <f>IF(AND('A4 - Previsão de Receita Bruta'!G$27&gt;$C92,'A4 - Previsão de Receita Bruta'!G$27&lt;$D92),('A4 - Previsão de Receita Bruta'!G$27*$E92-$F92)/'A4 - Previsão de Receita Bruta'!G$27,"")</f>
        <v/>
      </c>
      <c r="L92" s="200" t="str">
        <f>IF(AND('A4 - Previsão de Receita Bruta'!H$27&gt;$C92,'A4 - Previsão de Receita Bruta'!H$27&lt;$D92),('A4 - Previsão de Receita Bruta'!H$27*$E92-$F92)/'A4 - Previsão de Receita Bruta'!H$27,"")</f>
        <v/>
      </c>
      <c r="M92" s="200" t="str">
        <f>IF(AND('A4 - Previsão de Receita Bruta'!I$27&gt;$C92,'A4 - Previsão de Receita Bruta'!I$27&lt;$D92),('A4 - Previsão de Receita Bruta'!I$27*$E92-$F92)/'A4 - Previsão de Receita Bruta'!I$27,"")</f>
        <v/>
      </c>
      <c r="N92" s="200" t="str">
        <f>IF(AND('A4 - Previsão de Receita Bruta'!J$27&gt;$C92,'A4 - Previsão de Receita Bruta'!J$27&lt;$D92),('A4 - Previsão de Receita Bruta'!J$27*$E92-$F92)/'A4 - Previsão de Receita Bruta'!J$27,"")</f>
        <v/>
      </c>
      <c r="O92" s="200" t="str">
        <f>IF(AND('A4 - Previsão de Receita Bruta'!K$27&gt;$C92,'A4 - Previsão de Receita Bruta'!K$27&lt;$D92),('A4 - Previsão de Receita Bruta'!K$27*$E92-$F92)/'A4 - Previsão de Receita Bruta'!K$27,"")</f>
        <v/>
      </c>
      <c r="P92" s="200" t="str">
        <f>IF(AND('A4 - Previsão de Receita Bruta'!L$27&gt;$C92,'A4 - Previsão de Receita Bruta'!L$27&lt;$D92),('A4 - Previsão de Receita Bruta'!L$27*$E92-$F92)/'A4 - Previsão de Receita Bruta'!L$27,"")</f>
        <v/>
      </c>
      <c r="Q92" s="200" t="str">
        <f>IF(AND('A4 - Previsão de Receita Bruta'!M$27&gt;$C92,'A4 - Previsão de Receita Bruta'!M$27&lt;$D92),('A4 - Previsão de Receita Bruta'!M$27*$E92-$F92)/'A4 - Previsão de Receita Bruta'!M$27,"")</f>
        <v/>
      </c>
      <c r="R92" s="200" t="str">
        <f>IF(AND('A4 - Previsão de Receita Bruta'!N$27&gt;$C92,'A4 - Previsão de Receita Bruta'!N$27&lt;$D92),('A4 - Previsão de Receita Bruta'!N$27*$E92-$F92)/'A4 - Previsão de Receita Bruta'!N$27,"")</f>
        <v/>
      </c>
      <c r="S92" s="200" t="str">
        <f>IF(AND('A4 - Previsão de Receita Bruta'!O$27&gt;$C92,'A4 - Previsão de Receita Bruta'!O$27&lt;$D92),('A4 - Previsão de Receita Bruta'!O$27*$E92-$F92)/'A4 - Previsão de Receita Bruta'!O$27,"")</f>
        <v/>
      </c>
      <c r="T92" s="200" t="str">
        <f>IF(AND('A4 - Previsão de Receita Bruta'!P$27&gt;$C92,'A4 - Previsão de Receita Bruta'!P$27&lt;$D92),('A4 - Previsão de Receita Bruta'!P$27*$E92-$F92)/'A4 - Previsão de Receita Bruta'!P$27,"")</f>
        <v/>
      </c>
      <c r="U92" s="200" t="str">
        <f>IF(AND('A4 - Previsão de Receita Bruta'!Q$27&gt;$C92,'A4 - Previsão de Receita Bruta'!Q$27&lt;$D92),('A4 - Previsão de Receita Bruta'!Q$27*$E92-$F92)/'A4 - Previsão de Receita Bruta'!Q$27,"")</f>
        <v/>
      </c>
      <c r="V92" s="200" t="str">
        <f>IF(AND('A4 - Previsão de Receita Bruta'!R$27&gt;$C92,'A4 - Previsão de Receita Bruta'!R$27&lt;$D92),('A4 - Previsão de Receita Bruta'!R$27*$E92-$F92)/'A4 - Previsão de Receita Bruta'!R$27,"")</f>
        <v/>
      </c>
      <c r="W92" s="200" t="str">
        <f>IF(AND('A4 - Previsão de Receita Bruta'!S$27&gt;$C92,'A4 - Previsão de Receita Bruta'!S$27&lt;$D92),('A4 - Previsão de Receita Bruta'!S$27*$E92-$F92)/'A4 - Previsão de Receita Bruta'!S$27,"")</f>
        <v/>
      </c>
      <c r="X92" s="200" t="str">
        <f>IF(AND('A4 - Previsão de Receita Bruta'!T$27&gt;$C92,'A4 - Previsão de Receita Bruta'!T$27&lt;$D92),('A4 - Previsão de Receita Bruta'!T$27*$E92-$F92)/'A4 - Previsão de Receita Bruta'!T$27,"")</f>
        <v/>
      </c>
      <c r="Y92" s="200" t="str">
        <f>IF(AND('A4 - Previsão de Receita Bruta'!U$27&gt;$C92,'A4 - Previsão de Receita Bruta'!U$27&lt;$D92),('A4 - Previsão de Receita Bruta'!U$27*$E92-$F92)/'A4 - Previsão de Receita Bruta'!U$27,"")</f>
        <v/>
      </c>
      <c r="Z92" s="200" t="str">
        <f>IF(AND('A4 - Previsão de Receita Bruta'!V$27&gt;$C92,'A4 - Previsão de Receita Bruta'!V$27&lt;$D92),('A4 - Previsão de Receita Bruta'!V$27*$E92-$F92)/'A4 - Previsão de Receita Bruta'!V$27,"")</f>
        <v/>
      </c>
      <c r="AA92" s="200" t="str">
        <f>IF(AND('A4 - Previsão de Receita Bruta'!W$27&gt;$C92,'A4 - Previsão de Receita Bruta'!W$27&lt;$D92),('A4 - Previsão de Receita Bruta'!W$27*$E92-$F92)/'A4 - Previsão de Receita Bruta'!W$27,"")</f>
        <v/>
      </c>
      <c r="AB92" s="200" t="str">
        <f>IF(AND('A4 - Previsão de Receita Bruta'!X$27&gt;$C92,'A4 - Previsão de Receita Bruta'!X$27&lt;$D92),('A4 - Previsão de Receita Bruta'!X$27*$E92-$F92)/'A4 - Previsão de Receita Bruta'!X$27,"")</f>
        <v/>
      </c>
      <c r="AC92" s="200" t="str">
        <f>IF(AND('A4 - Previsão de Receita Bruta'!Y$27&gt;$C92,'A4 - Previsão de Receita Bruta'!Y$27&lt;$D92),('A4 - Previsão de Receita Bruta'!Y$27*$E92-$F92)/'A4 - Previsão de Receita Bruta'!Y$27,"")</f>
        <v/>
      </c>
      <c r="AD92" s="200" t="str">
        <f>IF(AND('A4 - Previsão de Receita Bruta'!Z$27&gt;$C92,'A4 - Previsão de Receita Bruta'!Z$27&lt;$D92),('A4 - Previsão de Receita Bruta'!Z$27*$E92-$F92)/'A4 - Previsão de Receita Bruta'!Z$27,"")</f>
        <v/>
      </c>
      <c r="AE92" s="200" t="str">
        <f>IF(AND('A4 - Previsão de Receita Bruta'!AA$27&gt;$C92,'A4 - Previsão de Receita Bruta'!AA$27&lt;$D92),('A4 - Previsão de Receita Bruta'!AA$27*$E92-$F92)/'A4 - Previsão de Receita Bruta'!AA$27,"")</f>
        <v/>
      </c>
      <c r="AF92" s="200" t="str">
        <f>IF(AND('A4 - Previsão de Receita Bruta'!AB$27&gt;$C92,'A4 - Previsão de Receita Bruta'!AB$27&lt;$D92),('A4 - Previsão de Receita Bruta'!AB$27*$E92-$F92)/'A4 - Previsão de Receita Bruta'!AB$27,"")</f>
        <v/>
      </c>
      <c r="AG92" s="200" t="str">
        <f>IF(AND('A4 - Previsão de Receita Bruta'!AC$27&gt;$C92,'A4 - Previsão de Receita Bruta'!AC$27&lt;$D92),('A4 - Previsão de Receita Bruta'!AC$27*$E92-$F92)/'A4 - Previsão de Receita Bruta'!AC$27,"")</f>
        <v/>
      </c>
      <c r="AH92" s="200" t="str">
        <f>IF(AND('A4 - Previsão de Receita Bruta'!AD$27&gt;$C92,'A4 - Previsão de Receita Bruta'!AD$27&lt;$D92),('A4 - Previsão de Receita Bruta'!AD$27*$E92-$F92)/'A4 - Previsão de Receita Bruta'!AD$27,"")</f>
        <v/>
      </c>
      <c r="AI92" s="200" t="str">
        <f>IF(AND('A4 - Previsão de Receita Bruta'!AE$27&gt;$C92,'A4 - Previsão de Receita Bruta'!AE$27&lt;$D92),('A4 - Previsão de Receita Bruta'!AE$27*$E92-$F92)/'A4 - Previsão de Receita Bruta'!AE$27,"")</f>
        <v/>
      </c>
      <c r="AJ92" s="200" t="str">
        <f>IF(AND('A4 - Previsão de Receita Bruta'!AF$27&gt;$C92,'A4 - Previsão de Receita Bruta'!AF$27&lt;$D92),('A4 - Previsão de Receita Bruta'!AF$27*$E92-$F92)/'A4 - Previsão de Receita Bruta'!AF$27,"")</f>
        <v/>
      </c>
    </row>
    <row r="93" spans="1:36" ht="10.5" customHeight="1">
      <c r="A93" s="525"/>
      <c r="B93" s="525"/>
      <c r="C93" s="197">
        <f>'Z 1 - Listas'!Q10</f>
        <v>3600000.01</v>
      </c>
      <c r="D93" s="197">
        <f>'Z 1 - Listas'!R10</f>
        <v>4800000</v>
      </c>
      <c r="E93" s="198">
        <f t="array" aca="1" ref="E93" ca="1">INDEX(INDIRECT(VLOOKUP(CatSN,LstCatSN,2,0)),ROW(E93)-ROW(E$87),1)</f>
        <v>0.33</v>
      </c>
      <c r="F93" s="199">
        <f t="array" aca="1" ref="F93" ca="1">INDEX(INDIRECT(VLOOKUP(CatSN,LstCatSN,2,0)),ROW(E93)-ROW(E$87),2)</f>
        <v>648000</v>
      </c>
      <c r="G93" s="200" t="str">
        <f>IF(AND('A4 - Previsão de Receita Bruta'!C$27&gt;$C93,'A4 - Previsão de Receita Bruta'!C$27&lt;$D93),('A4 - Previsão de Receita Bruta'!C$27*$E93-$F93)/'A4 - Previsão de Receita Bruta'!C$27,"")</f>
        <v/>
      </c>
      <c r="H93" s="200" t="str">
        <f>IF(AND('A4 - Previsão de Receita Bruta'!D$27&gt;$C93,'A4 - Previsão de Receita Bruta'!D$27&lt;$D93),('A4 - Previsão de Receita Bruta'!D$27*$E93-$F93)/'A4 - Previsão de Receita Bruta'!D$27,"")</f>
        <v/>
      </c>
      <c r="I93" s="200" t="str">
        <f>IF(AND('A4 - Previsão de Receita Bruta'!E$27&gt;$C93,'A4 - Previsão de Receita Bruta'!E$27&lt;$D93),('A4 - Previsão de Receita Bruta'!E$27*$E93-$F93)/'A4 - Previsão de Receita Bruta'!E$27,"")</f>
        <v/>
      </c>
      <c r="J93" s="200" t="str">
        <f>IF(AND('A4 - Previsão de Receita Bruta'!F$27&gt;$C93,'A4 - Previsão de Receita Bruta'!F$27&lt;$D93),('A4 - Previsão de Receita Bruta'!F$27*$E93-$F93)/'A4 - Previsão de Receita Bruta'!F$27,"")</f>
        <v/>
      </c>
      <c r="K93" s="200" t="str">
        <f>IF(AND('A4 - Previsão de Receita Bruta'!G$27&gt;$C93,'A4 - Previsão de Receita Bruta'!G$27&lt;$D93),('A4 - Previsão de Receita Bruta'!G$27*$E93-$F93)/'A4 - Previsão de Receita Bruta'!G$27,"")</f>
        <v/>
      </c>
      <c r="L93" s="200" t="str">
        <f>IF(AND('A4 - Previsão de Receita Bruta'!H$27&gt;$C93,'A4 - Previsão de Receita Bruta'!H$27&lt;$D93),('A4 - Previsão de Receita Bruta'!H$27*$E93-$F93)/'A4 - Previsão de Receita Bruta'!H$27,"")</f>
        <v/>
      </c>
      <c r="M93" s="200" t="str">
        <f>IF(AND('A4 - Previsão de Receita Bruta'!I$27&gt;$C93,'A4 - Previsão de Receita Bruta'!I$27&lt;$D93),('A4 - Previsão de Receita Bruta'!I$27*$E93-$F93)/'A4 - Previsão de Receita Bruta'!I$27,"")</f>
        <v/>
      </c>
      <c r="N93" s="200" t="str">
        <f>IF(AND('A4 - Previsão de Receita Bruta'!J$27&gt;$C93,'A4 - Previsão de Receita Bruta'!J$27&lt;$D93),('A4 - Previsão de Receita Bruta'!J$27*$E93-$F93)/'A4 - Previsão de Receita Bruta'!J$27,"")</f>
        <v/>
      </c>
      <c r="O93" s="200" t="str">
        <f>IF(AND('A4 - Previsão de Receita Bruta'!K$27&gt;$C93,'A4 - Previsão de Receita Bruta'!K$27&lt;$D93),('A4 - Previsão de Receita Bruta'!K$27*$E93-$F93)/'A4 - Previsão de Receita Bruta'!K$27,"")</f>
        <v/>
      </c>
      <c r="P93" s="200" t="str">
        <f>IF(AND('A4 - Previsão de Receita Bruta'!L$27&gt;$C93,'A4 - Previsão de Receita Bruta'!L$27&lt;$D93),('A4 - Previsão de Receita Bruta'!L$27*$E93-$F93)/'A4 - Previsão de Receita Bruta'!L$27,"")</f>
        <v/>
      </c>
      <c r="Q93" s="200" t="str">
        <f>IF(AND('A4 - Previsão de Receita Bruta'!M$27&gt;$C93,'A4 - Previsão de Receita Bruta'!M$27&lt;$D93),('A4 - Previsão de Receita Bruta'!M$27*$E93-$F93)/'A4 - Previsão de Receita Bruta'!M$27,"")</f>
        <v/>
      </c>
      <c r="R93" s="200" t="str">
        <f>IF(AND('A4 - Previsão de Receita Bruta'!N$27&gt;$C93,'A4 - Previsão de Receita Bruta'!N$27&lt;$D93),('A4 - Previsão de Receita Bruta'!N$27*$E93-$F93)/'A4 - Previsão de Receita Bruta'!N$27,"")</f>
        <v/>
      </c>
      <c r="S93" s="200" t="str">
        <f>IF(AND('A4 - Previsão de Receita Bruta'!O$27&gt;$C93,'A4 - Previsão de Receita Bruta'!O$27&lt;$D93),('A4 - Previsão de Receita Bruta'!O$27*$E93-$F93)/'A4 - Previsão de Receita Bruta'!O$27,"")</f>
        <v/>
      </c>
      <c r="T93" s="200" t="str">
        <f>IF(AND('A4 - Previsão de Receita Bruta'!P$27&gt;$C93,'A4 - Previsão de Receita Bruta'!P$27&lt;$D93),('A4 - Previsão de Receita Bruta'!P$27*$E93-$F93)/'A4 - Previsão de Receita Bruta'!P$27,"")</f>
        <v/>
      </c>
      <c r="U93" s="200" t="str">
        <f>IF(AND('A4 - Previsão de Receita Bruta'!Q$27&gt;$C93,'A4 - Previsão de Receita Bruta'!Q$27&lt;$D93),('A4 - Previsão de Receita Bruta'!Q$27*$E93-$F93)/'A4 - Previsão de Receita Bruta'!Q$27,"")</f>
        <v/>
      </c>
      <c r="V93" s="200" t="str">
        <f>IF(AND('A4 - Previsão de Receita Bruta'!R$27&gt;$C93,'A4 - Previsão de Receita Bruta'!R$27&lt;$D93),('A4 - Previsão de Receita Bruta'!R$27*$E93-$F93)/'A4 - Previsão de Receita Bruta'!R$27,"")</f>
        <v/>
      </c>
      <c r="W93" s="200" t="str">
        <f>IF(AND('A4 - Previsão de Receita Bruta'!S$27&gt;$C93,'A4 - Previsão de Receita Bruta'!S$27&lt;$D93),('A4 - Previsão de Receita Bruta'!S$27*$E93-$F93)/'A4 - Previsão de Receita Bruta'!S$27,"")</f>
        <v/>
      </c>
      <c r="X93" s="200" t="str">
        <f>IF(AND('A4 - Previsão de Receita Bruta'!T$27&gt;$C93,'A4 - Previsão de Receita Bruta'!T$27&lt;$D93),('A4 - Previsão de Receita Bruta'!T$27*$E93-$F93)/'A4 - Previsão de Receita Bruta'!T$27,"")</f>
        <v/>
      </c>
      <c r="Y93" s="200" t="str">
        <f>IF(AND('A4 - Previsão de Receita Bruta'!U$27&gt;$C93,'A4 - Previsão de Receita Bruta'!U$27&lt;$D93),('A4 - Previsão de Receita Bruta'!U$27*$E93-$F93)/'A4 - Previsão de Receita Bruta'!U$27,"")</f>
        <v/>
      </c>
      <c r="Z93" s="200" t="str">
        <f>IF(AND('A4 - Previsão de Receita Bruta'!V$27&gt;$C93,'A4 - Previsão de Receita Bruta'!V$27&lt;$D93),('A4 - Previsão de Receita Bruta'!V$27*$E93-$F93)/'A4 - Previsão de Receita Bruta'!V$27,"")</f>
        <v/>
      </c>
      <c r="AA93" s="200" t="str">
        <f>IF(AND('A4 - Previsão de Receita Bruta'!W$27&gt;$C93,'A4 - Previsão de Receita Bruta'!W$27&lt;$D93),('A4 - Previsão de Receita Bruta'!W$27*$E93-$F93)/'A4 - Previsão de Receita Bruta'!W$27,"")</f>
        <v/>
      </c>
      <c r="AB93" s="200" t="str">
        <f>IF(AND('A4 - Previsão de Receita Bruta'!X$27&gt;$C93,'A4 - Previsão de Receita Bruta'!X$27&lt;$D93),('A4 - Previsão de Receita Bruta'!X$27*$E93-$F93)/'A4 - Previsão de Receita Bruta'!X$27,"")</f>
        <v/>
      </c>
      <c r="AC93" s="200" t="str">
        <f>IF(AND('A4 - Previsão de Receita Bruta'!Y$27&gt;$C93,'A4 - Previsão de Receita Bruta'!Y$27&lt;$D93),('A4 - Previsão de Receita Bruta'!Y$27*$E93-$F93)/'A4 - Previsão de Receita Bruta'!Y$27,"")</f>
        <v/>
      </c>
      <c r="AD93" s="200" t="str">
        <f>IF(AND('A4 - Previsão de Receita Bruta'!Z$27&gt;$C93,'A4 - Previsão de Receita Bruta'!Z$27&lt;$D93),('A4 - Previsão de Receita Bruta'!Z$27*$E93-$F93)/'A4 - Previsão de Receita Bruta'!Z$27,"")</f>
        <v/>
      </c>
      <c r="AE93" s="200" t="str">
        <f>IF(AND('A4 - Previsão de Receita Bruta'!AA$27&gt;$C93,'A4 - Previsão de Receita Bruta'!AA$27&lt;$D93),('A4 - Previsão de Receita Bruta'!AA$27*$E93-$F93)/'A4 - Previsão de Receita Bruta'!AA$27,"")</f>
        <v/>
      </c>
      <c r="AF93" s="200" t="str">
        <f>IF(AND('A4 - Previsão de Receita Bruta'!AB$27&gt;$C93,'A4 - Previsão de Receita Bruta'!AB$27&lt;$D93),('A4 - Previsão de Receita Bruta'!AB$27*$E93-$F93)/'A4 - Previsão de Receita Bruta'!AB$27,"")</f>
        <v/>
      </c>
      <c r="AG93" s="200" t="str">
        <f>IF(AND('A4 - Previsão de Receita Bruta'!AC$27&gt;$C93,'A4 - Previsão de Receita Bruta'!AC$27&lt;$D93),('A4 - Previsão de Receita Bruta'!AC$27*$E93-$F93)/'A4 - Previsão de Receita Bruta'!AC$27,"")</f>
        <v/>
      </c>
      <c r="AH93" s="200" t="str">
        <f>IF(AND('A4 - Previsão de Receita Bruta'!AD$27&gt;$C93,'A4 - Previsão de Receita Bruta'!AD$27&lt;$D93),('A4 - Previsão de Receita Bruta'!AD$27*$E93-$F93)/'A4 - Previsão de Receita Bruta'!AD$27,"")</f>
        <v/>
      </c>
      <c r="AI93" s="200" t="str">
        <f>IF(AND('A4 - Previsão de Receita Bruta'!AE$27&gt;$C93,'A4 - Previsão de Receita Bruta'!AE$27&lt;$D93),('A4 - Previsão de Receita Bruta'!AE$27*$E93-$F93)/'A4 - Previsão de Receita Bruta'!AE$27,"")</f>
        <v/>
      </c>
      <c r="AJ93" s="200" t="str">
        <f>IF(AND('A4 - Previsão de Receita Bruta'!AF$27&gt;$C93,'A4 - Previsão de Receita Bruta'!AF$27&lt;$D93),('A4 - Previsão de Receita Bruta'!AF$27*$E93-$F93)/'A4 - Previsão de Receita Bruta'!AF$27,"")</f>
        <v/>
      </c>
    </row>
    <row r="94" spans="1:36" ht="15" customHeight="1">
      <c r="A94" s="525"/>
      <c r="B94" s="525"/>
      <c r="C94" s="201" t="s">
        <v>520</v>
      </c>
      <c r="D94" s="201"/>
      <c r="E94" s="201"/>
      <c r="F94" s="201"/>
      <c r="G94" s="202">
        <f t="shared" ref="G94:AJ94" si="24">SUM(G88:G93)</f>
        <v>0</v>
      </c>
      <c r="H94" s="202">
        <f t="shared" si="24"/>
        <v>0</v>
      </c>
      <c r="I94" s="202">
        <f t="shared" si="24"/>
        <v>0</v>
      </c>
      <c r="J94" s="202">
        <f t="shared" si="24"/>
        <v>0</v>
      </c>
      <c r="K94" s="202">
        <f t="shared" si="24"/>
        <v>0</v>
      </c>
      <c r="L94" s="202">
        <f t="shared" si="24"/>
        <v>0</v>
      </c>
      <c r="M94" s="202">
        <f t="shared" si="24"/>
        <v>0</v>
      </c>
      <c r="N94" s="202">
        <f t="shared" si="24"/>
        <v>0</v>
      </c>
      <c r="O94" s="202">
        <f t="shared" si="24"/>
        <v>0</v>
      </c>
      <c r="P94" s="202">
        <f t="shared" si="24"/>
        <v>0</v>
      </c>
      <c r="Q94" s="202">
        <f t="shared" si="24"/>
        <v>0</v>
      </c>
      <c r="R94" s="202">
        <f t="shared" si="24"/>
        <v>0</v>
      </c>
      <c r="S94" s="202">
        <f t="shared" si="24"/>
        <v>0</v>
      </c>
      <c r="T94" s="202">
        <f t="shared" si="24"/>
        <v>0</v>
      </c>
      <c r="U94" s="202">
        <f t="shared" si="24"/>
        <v>0</v>
      </c>
      <c r="V94" s="202">
        <f t="shared" si="24"/>
        <v>0</v>
      </c>
      <c r="W94" s="202">
        <f t="shared" si="24"/>
        <v>0</v>
      </c>
      <c r="X94" s="202">
        <f t="shared" si="24"/>
        <v>0</v>
      </c>
      <c r="Y94" s="202">
        <f t="shared" si="24"/>
        <v>0</v>
      </c>
      <c r="Z94" s="202">
        <f t="shared" si="24"/>
        <v>0</v>
      </c>
      <c r="AA94" s="202">
        <f t="shared" si="24"/>
        <v>0</v>
      </c>
      <c r="AB94" s="202">
        <f t="shared" si="24"/>
        <v>0</v>
      </c>
      <c r="AC94" s="202">
        <f t="shared" si="24"/>
        <v>0</v>
      </c>
      <c r="AD94" s="202">
        <f t="shared" si="24"/>
        <v>0</v>
      </c>
      <c r="AE94" s="202">
        <f t="shared" si="24"/>
        <v>0</v>
      </c>
      <c r="AF94" s="202">
        <f t="shared" si="24"/>
        <v>0</v>
      </c>
      <c r="AG94" s="202">
        <f t="shared" si="24"/>
        <v>0</v>
      </c>
      <c r="AH94" s="202">
        <f t="shared" si="24"/>
        <v>0</v>
      </c>
      <c r="AI94" s="202">
        <f t="shared" si="24"/>
        <v>0</v>
      </c>
      <c r="AJ94" s="202">
        <f t="shared" si="24"/>
        <v>0</v>
      </c>
    </row>
    <row r="95" spans="1:36" ht="15" customHeight="1">
      <c r="A95" s="525"/>
      <c r="B95" s="525"/>
      <c r="C95" s="525"/>
      <c r="D95" s="525"/>
      <c r="E95" s="525"/>
      <c r="F95" s="525"/>
      <c r="G95" s="657"/>
      <c r="H95" s="657"/>
      <c r="I95" s="657"/>
      <c r="J95" s="657"/>
      <c r="K95" s="657"/>
      <c r="L95" s="657"/>
      <c r="M95" s="657"/>
      <c r="N95" s="657"/>
      <c r="O95" s="657"/>
      <c r="P95" s="657"/>
      <c r="Q95" s="657"/>
      <c r="R95" s="657"/>
      <c r="S95" s="657"/>
      <c r="T95" s="657"/>
      <c r="U95" s="657"/>
      <c r="V95" s="657"/>
      <c r="W95" s="657"/>
      <c r="X95" s="657"/>
      <c r="Y95" s="657"/>
      <c r="Z95" s="657"/>
      <c r="AA95" s="525"/>
      <c r="AB95" s="525"/>
      <c r="AC95" s="525"/>
      <c r="AD95" s="525"/>
      <c r="AE95" s="525"/>
      <c r="AF95" s="525"/>
      <c r="AG95" s="525"/>
      <c r="AH95" s="525"/>
      <c r="AI95" s="525"/>
      <c r="AJ95" s="525"/>
    </row>
    <row r="96" spans="1:36" ht="15" customHeight="1">
      <c r="A96" s="525"/>
      <c r="B96" s="658"/>
      <c r="C96" s="525"/>
      <c r="D96" s="525"/>
      <c r="E96" s="525"/>
      <c r="F96" s="525"/>
      <c r="G96" s="525"/>
      <c r="H96" s="525"/>
      <c r="I96" s="525"/>
      <c r="J96" s="525"/>
      <c r="K96" s="525"/>
      <c r="L96" s="525"/>
      <c r="M96" s="525"/>
      <c r="N96" s="525"/>
      <c r="O96" s="525"/>
      <c r="P96" s="525"/>
      <c r="Q96" s="525"/>
      <c r="R96" s="525"/>
      <c r="S96" s="525"/>
      <c r="T96" s="525"/>
      <c r="U96" s="525"/>
      <c r="V96" s="525"/>
      <c r="W96" s="525"/>
      <c r="X96" s="525"/>
      <c r="Y96" s="525"/>
      <c r="Z96" s="525"/>
      <c r="AA96" s="525"/>
      <c r="AB96" s="525"/>
      <c r="AC96" s="525"/>
      <c r="AD96" s="525"/>
      <c r="AE96" s="525"/>
      <c r="AF96" s="525"/>
      <c r="AG96" s="525"/>
      <c r="AH96" s="525"/>
      <c r="AI96" s="525"/>
      <c r="AJ96" s="525"/>
    </row>
    <row r="97" spans="1:36" ht="15" customHeight="1">
      <c r="A97" s="525"/>
      <c r="B97" s="659" t="s">
        <v>525</v>
      </c>
      <c r="C97" s="525"/>
      <c r="D97" s="525"/>
      <c r="E97" s="525"/>
      <c r="F97" s="525"/>
      <c r="G97" s="525"/>
      <c r="H97" s="525"/>
      <c r="I97" s="525"/>
      <c r="J97" s="525"/>
      <c r="K97" s="525"/>
      <c r="L97" s="525"/>
      <c r="M97" s="525"/>
      <c r="N97" s="525"/>
      <c r="O97" s="525"/>
      <c r="P97" s="525"/>
      <c r="Q97" s="525"/>
      <c r="R97" s="525"/>
      <c r="S97" s="525"/>
      <c r="T97" s="525"/>
      <c r="U97" s="525"/>
      <c r="V97" s="525"/>
      <c r="W97" s="525"/>
      <c r="X97" s="525"/>
      <c r="Y97" s="525"/>
      <c r="Z97" s="525"/>
      <c r="AA97" s="525"/>
      <c r="AB97" s="525"/>
      <c r="AC97" s="525"/>
      <c r="AD97" s="525"/>
      <c r="AE97" s="525"/>
      <c r="AF97" s="525"/>
      <c r="AG97" s="525"/>
      <c r="AH97" s="525"/>
      <c r="AI97" s="525"/>
      <c r="AJ97" s="525"/>
    </row>
    <row r="98" spans="1:36" ht="15" customHeight="1">
      <c r="A98" s="660"/>
      <c r="B98" s="203" t="s">
        <v>526</v>
      </c>
      <c r="C98" s="203" t="s">
        <v>165</v>
      </c>
      <c r="D98" s="204">
        <v>1</v>
      </c>
      <c r="E98" s="204">
        <v>2</v>
      </c>
      <c r="F98" s="204">
        <v>3</v>
      </c>
      <c r="G98" s="204">
        <v>4</v>
      </c>
      <c r="H98" s="204">
        <v>5</v>
      </c>
      <c r="I98" s="204">
        <v>6</v>
      </c>
      <c r="J98" s="204">
        <v>7</v>
      </c>
      <c r="K98" s="204">
        <v>8</v>
      </c>
      <c r="L98" s="204">
        <v>9</v>
      </c>
      <c r="M98" s="204">
        <v>10</v>
      </c>
      <c r="N98" s="204">
        <v>11</v>
      </c>
      <c r="O98" s="204">
        <v>12</v>
      </c>
      <c r="P98" s="204">
        <v>13</v>
      </c>
      <c r="Q98" s="204">
        <v>14</v>
      </c>
      <c r="R98" s="204">
        <v>15</v>
      </c>
      <c r="S98" s="204">
        <v>16</v>
      </c>
      <c r="T98" s="204">
        <v>17</v>
      </c>
      <c r="U98" s="204">
        <v>18</v>
      </c>
      <c r="V98" s="204">
        <v>19</v>
      </c>
      <c r="W98" s="204">
        <v>20</v>
      </c>
      <c r="X98" s="204">
        <v>21</v>
      </c>
      <c r="Y98" s="204">
        <v>22</v>
      </c>
      <c r="Z98" s="204">
        <v>23</v>
      </c>
      <c r="AA98" s="204">
        <v>24</v>
      </c>
      <c r="AB98" s="204">
        <v>25</v>
      </c>
      <c r="AC98" s="204">
        <v>26</v>
      </c>
      <c r="AD98" s="204">
        <v>27</v>
      </c>
      <c r="AE98" s="204">
        <v>28</v>
      </c>
      <c r="AF98" s="204">
        <v>29</v>
      </c>
      <c r="AG98" s="204">
        <v>30</v>
      </c>
      <c r="AH98" s="660"/>
      <c r="AI98" s="660"/>
      <c r="AJ98" s="660"/>
    </row>
    <row r="99" spans="1:36" ht="15" customHeight="1">
      <c r="A99" s="660"/>
      <c r="B99" s="205" t="str">
        <f t="shared" ref="B99:B118" si="25">B172</f>
        <v>Ingresso</v>
      </c>
      <c r="C99" s="206" t="str">
        <f t="shared" ref="C99:C118" si="26">IFERROR(VLOOKUP(B99,ReceitaPorTipo,24,0),0)</f>
        <v>Serviços</v>
      </c>
      <c r="D99" s="207">
        <f>G$94*'A4 - Previsão de Receita Bruta'!C7</f>
        <v>0</v>
      </c>
      <c r="E99" s="207">
        <f>H$94*'A4 - Previsão de Receita Bruta'!D7</f>
        <v>0</v>
      </c>
      <c r="F99" s="207">
        <f>I$94*'A4 - Previsão de Receita Bruta'!E7</f>
        <v>0</v>
      </c>
      <c r="G99" s="207">
        <f>J$94*'A4 - Previsão de Receita Bruta'!F7</f>
        <v>0</v>
      </c>
      <c r="H99" s="207">
        <f>K$94*'A4 - Previsão de Receita Bruta'!G7</f>
        <v>0</v>
      </c>
      <c r="I99" s="207">
        <f>L$94*'A4 - Previsão de Receita Bruta'!H7</f>
        <v>0</v>
      </c>
      <c r="J99" s="207">
        <f>M$94*'A4 - Previsão de Receita Bruta'!I7</f>
        <v>0</v>
      </c>
      <c r="K99" s="207">
        <f>N$94*'A4 - Previsão de Receita Bruta'!J7</f>
        <v>0</v>
      </c>
      <c r="L99" s="207">
        <f>O$94*'A4 - Previsão de Receita Bruta'!K7</f>
        <v>0</v>
      </c>
      <c r="M99" s="207">
        <f>P$94*'A4 - Previsão de Receita Bruta'!L7</f>
        <v>0</v>
      </c>
      <c r="N99" s="207">
        <f>Q$94*'A4 - Previsão de Receita Bruta'!M7</f>
        <v>0</v>
      </c>
      <c r="O99" s="207">
        <f>R$94*'A4 - Previsão de Receita Bruta'!N7</f>
        <v>0</v>
      </c>
      <c r="P99" s="207">
        <f>S$94*'A4 - Previsão de Receita Bruta'!O7</f>
        <v>0</v>
      </c>
      <c r="Q99" s="207">
        <f>T$94*'A4 - Previsão de Receita Bruta'!P7</f>
        <v>0</v>
      </c>
      <c r="R99" s="207">
        <f>U$94*'A4 - Previsão de Receita Bruta'!Q7</f>
        <v>0</v>
      </c>
      <c r="S99" s="207">
        <f>V$94*'A4 - Previsão de Receita Bruta'!R7</f>
        <v>0</v>
      </c>
      <c r="T99" s="207">
        <f>W$94*'A4 - Previsão de Receita Bruta'!S7</f>
        <v>0</v>
      </c>
      <c r="U99" s="207">
        <f>X$94*'A4 - Previsão de Receita Bruta'!T7</f>
        <v>0</v>
      </c>
      <c r="V99" s="207">
        <f>Y$94*'A4 - Previsão de Receita Bruta'!U7</f>
        <v>0</v>
      </c>
      <c r="W99" s="207">
        <f>Z$94*'A4 - Previsão de Receita Bruta'!V7</f>
        <v>0</v>
      </c>
      <c r="X99" s="207">
        <f>AA$94*'A4 - Previsão de Receita Bruta'!W7</f>
        <v>0</v>
      </c>
      <c r="Y99" s="207">
        <f>AB$94*'A4 - Previsão de Receita Bruta'!X7</f>
        <v>0</v>
      </c>
      <c r="Z99" s="207">
        <f>AC$94*'A4 - Previsão de Receita Bruta'!Y7</f>
        <v>0</v>
      </c>
      <c r="AA99" s="207">
        <f>AD$94*'A4 - Previsão de Receita Bruta'!Z7</f>
        <v>0</v>
      </c>
      <c r="AB99" s="207">
        <f>AE$94*'A4 - Previsão de Receita Bruta'!AA7</f>
        <v>0</v>
      </c>
      <c r="AC99" s="207">
        <f>AF$94*'A4 - Previsão de Receita Bruta'!AB7</f>
        <v>0</v>
      </c>
      <c r="AD99" s="207">
        <f>AG$94*'A4 - Previsão de Receita Bruta'!AC7</f>
        <v>0</v>
      </c>
      <c r="AE99" s="207">
        <f>AH$94*'A4 - Previsão de Receita Bruta'!AD7</f>
        <v>0</v>
      </c>
      <c r="AF99" s="207">
        <f>AI$94*'A4 - Previsão de Receita Bruta'!AE7</f>
        <v>0</v>
      </c>
      <c r="AG99" s="207">
        <f>AJ$94*'A4 - Previsão de Receita Bruta'!AF7</f>
        <v>0</v>
      </c>
      <c r="AH99" s="660"/>
      <c r="AI99" s="660"/>
      <c r="AJ99" s="660"/>
    </row>
    <row r="100" spans="1:36" ht="15" customHeight="1">
      <c r="A100" s="660"/>
      <c r="B100" s="205" t="str">
        <f t="shared" si="25"/>
        <v>Preá - Alimentação</v>
      </c>
      <c r="C100" s="206" t="str">
        <f t="shared" si="26"/>
        <v>Alimentação</v>
      </c>
      <c r="D100" s="207">
        <f>G$94*'A4 - Previsão de Receita Bruta'!C8</f>
        <v>0</v>
      </c>
      <c r="E100" s="207">
        <f>H$94*'A4 - Previsão de Receita Bruta'!D8</f>
        <v>0</v>
      </c>
      <c r="F100" s="207">
        <f>I$94*'A4 - Previsão de Receita Bruta'!E8</f>
        <v>0</v>
      </c>
      <c r="G100" s="207">
        <f>J$94*'A4 - Previsão de Receita Bruta'!F8</f>
        <v>0</v>
      </c>
      <c r="H100" s="207">
        <f>K$94*'A4 - Previsão de Receita Bruta'!G8</f>
        <v>0</v>
      </c>
      <c r="I100" s="207">
        <f>L$94*'A4 - Previsão de Receita Bruta'!H8</f>
        <v>0</v>
      </c>
      <c r="J100" s="207">
        <f>M$94*'A4 - Previsão de Receita Bruta'!I8</f>
        <v>0</v>
      </c>
      <c r="K100" s="207">
        <f>N$94*'A4 - Previsão de Receita Bruta'!J8</f>
        <v>0</v>
      </c>
      <c r="L100" s="207">
        <f>O$94*'A4 - Previsão de Receita Bruta'!K8</f>
        <v>0</v>
      </c>
      <c r="M100" s="207">
        <f>P$94*'A4 - Previsão de Receita Bruta'!L8</f>
        <v>0</v>
      </c>
      <c r="N100" s="207">
        <f>Q$94*'A4 - Previsão de Receita Bruta'!M8</f>
        <v>0</v>
      </c>
      <c r="O100" s="207">
        <f>R$94*'A4 - Previsão de Receita Bruta'!N8</f>
        <v>0</v>
      </c>
      <c r="P100" s="207">
        <f>S$94*'A4 - Previsão de Receita Bruta'!O8</f>
        <v>0</v>
      </c>
      <c r="Q100" s="207">
        <f>T$94*'A4 - Previsão de Receita Bruta'!P8</f>
        <v>0</v>
      </c>
      <c r="R100" s="207">
        <f>U$94*'A4 - Previsão de Receita Bruta'!Q8</f>
        <v>0</v>
      </c>
      <c r="S100" s="207">
        <f>V$94*'A4 - Previsão de Receita Bruta'!R8</f>
        <v>0</v>
      </c>
      <c r="T100" s="207">
        <f>W$94*'A4 - Previsão de Receita Bruta'!S8</f>
        <v>0</v>
      </c>
      <c r="U100" s="207">
        <f>X$94*'A4 - Previsão de Receita Bruta'!T8</f>
        <v>0</v>
      </c>
      <c r="V100" s="207">
        <f>Y$94*'A4 - Previsão de Receita Bruta'!U8</f>
        <v>0</v>
      </c>
      <c r="W100" s="207">
        <f>Z$94*'A4 - Previsão de Receita Bruta'!V8</f>
        <v>0</v>
      </c>
      <c r="X100" s="207">
        <f>AA$94*'A4 - Previsão de Receita Bruta'!W8</f>
        <v>0</v>
      </c>
      <c r="Y100" s="207">
        <f>AB$94*'A4 - Previsão de Receita Bruta'!X8</f>
        <v>0</v>
      </c>
      <c r="Z100" s="207">
        <f>AC$94*'A4 - Previsão de Receita Bruta'!Y8</f>
        <v>0</v>
      </c>
      <c r="AA100" s="207">
        <f>AD$94*'A4 - Previsão de Receita Bruta'!Z8</f>
        <v>0</v>
      </c>
      <c r="AB100" s="207">
        <f>AE$94*'A4 - Previsão de Receita Bruta'!AA8</f>
        <v>0</v>
      </c>
      <c r="AC100" s="207">
        <f>AF$94*'A4 - Previsão de Receita Bruta'!AB8</f>
        <v>0</v>
      </c>
      <c r="AD100" s="207">
        <f>AG$94*'A4 - Previsão de Receita Bruta'!AC8</f>
        <v>0</v>
      </c>
      <c r="AE100" s="207">
        <f>AH$94*'A4 - Previsão de Receita Bruta'!AD8</f>
        <v>0</v>
      </c>
      <c r="AF100" s="207">
        <f>AI$94*'A4 - Previsão de Receita Bruta'!AE8</f>
        <v>0</v>
      </c>
      <c r="AG100" s="207">
        <f>AJ$94*'A4 - Previsão de Receita Bruta'!AF8</f>
        <v>0</v>
      </c>
      <c r="AH100" s="660"/>
      <c r="AI100" s="660"/>
      <c r="AJ100" s="660"/>
    </row>
    <row r="101" spans="1:36" ht="15" customHeight="1">
      <c r="A101" s="660"/>
      <c r="B101" s="205" t="str">
        <f t="shared" si="25"/>
        <v>Preá - Comércio</v>
      </c>
      <c r="C101" s="206" t="str">
        <f t="shared" si="26"/>
        <v>Comércio</v>
      </c>
      <c r="D101" s="207">
        <f>G$94*'A4 - Previsão de Receita Bruta'!C9</f>
        <v>0</v>
      </c>
      <c r="E101" s="207">
        <f>H$94*'A4 - Previsão de Receita Bruta'!D9</f>
        <v>0</v>
      </c>
      <c r="F101" s="207">
        <f>I$94*'A4 - Previsão de Receita Bruta'!E9</f>
        <v>0</v>
      </c>
      <c r="G101" s="207">
        <f>J$94*'A4 - Previsão de Receita Bruta'!F9</f>
        <v>0</v>
      </c>
      <c r="H101" s="207">
        <f>K$94*'A4 - Previsão de Receita Bruta'!G9</f>
        <v>0</v>
      </c>
      <c r="I101" s="207">
        <f>L$94*'A4 - Previsão de Receita Bruta'!H9</f>
        <v>0</v>
      </c>
      <c r="J101" s="207">
        <f>M$94*'A4 - Previsão de Receita Bruta'!I9</f>
        <v>0</v>
      </c>
      <c r="K101" s="207">
        <f>N$94*'A4 - Previsão de Receita Bruta'!J9</f>
        <v>0</v>
      </c>
      <c r="L101" s="207">
        <f>O$94*'A4 - Previsão de Receita Bruta'!K9</f>
        <v>0</v>
      </c>
      <c r="M101" s="207">
        <f>P$94*'A4 - Previsão de Receita Bruta'!L9</f>
        <v>0</v>
      </c>
      <c r="N101" s="207">
        <f>Q$94*'A4 - Previsão de Receita Bruta'!M9</f>
        <v>0</v>
      </c>
      <c r="O101" s="207">
        <f>R$94*'A4 - Previsão de Receita Bruta'!N9</f>
        <v>0</v>
      </c>
      <c r="P101" s="207">
        <f>S$94*'A4 - Previsão de Receita Bruta'!O9</f>
        <v>0</v>
      </c>
      <c r="Q101" s="207">
        <f>T$94*'A4 - Previsão de Receita Bruta'!P9</f>
        <v>0</v>
      </c>
      <c r="R101" s="207">
        <f>U$94*'A4 - Previsão de Receita Bruta'!Q9</f>
        <v>0</v>
      </c>
      <c r="S101" s="207">
        <f>V$94*'A4 - Previsão de Receita Bruta'!R9</f>
        <v>0</v>
      </c>
      <c r="T101" s="207">
        <f>W$94*'A4 - Previsão de Receita Bruta'!S9</f>
        <v>0</v>
      </c>
      <c r="U101" s="207">
        <f>X$94*'A4 - Previsão de Receita Bruta'!T9</f>
        <v>0</v>
      </c>
      <c r="V101" s="207">
        <f>Y$94*'A4 - Previsão de Receita Bruta'!U9</f>
        <v>0</v>
      </c>
      <c r="W101" s="207">
        <f>Z$94*'A4 - Previsão de Receita Bruta'!V9</f>
        <v>0</v>
      </c>
      <c r="X101" s="207">
        <f>AA$94*'A4 - Previsão de Receita Bruta'!W9</f>
        <v>0</v>
      </c>
      <c r="Y101" s="207">
        <f>AB$94*'A4 - Previsão de Receita Bruta'!X9</f>
        <v>0</v>
      </c>
      <c r="Z101" s="207">
        <f>AC$94*'A4 - Previsão de Receita Bruta'!Y9</f>
        <v>0</v>
      </c>
      <c r="AA101" s="207">
        <f>AD$94*'A4 - Previsão de Receita Bruta'!Z9</f>
        <v>0</v>
      </c>
      <c r="AB101" s="207">
        <f>AE$94*'A4 - Previsão de Receita Bruta'!AA9</f>
        <v>0</v>
      </c>
      <c r="AC101" s="207">
        <f>AF$94*'A4 - Previsão de Receita Bruta'!AB9</f>
        <v>0</v>
      </c>
      <c r="AD101" s="207">
        <f>AG$94*'A4 - Previsão de Receita Bruta'!AC9</f>
        <v>0</v>
      </c>
      <c r="AE101" s="207">
        <f>AH$94*'A4 - Previsão de Receita Bruta'!AD9</f>
        <v>0</v>
      </c>
      <c r="AF101" s="207">
        <f>AI$94*'A4 - Previsão de Receita Bruta'!AE9</f>
        <v>0</v>
      </c>
      <c r="AG101" s="207">
        <f>AJ$94*'A4 - Previsão de Receita Bruta'!AF9</f>
        <v>0</v>
      </c>
      <c r="AH101" s="660"/>
      <c r="AI101" s="660"/>
      <c r="AJ101" s="660"/>
    </row>
    <row r="102" spans="1:36" ht="15" customHeight="1">
      <c r="A102" s="660"/>
      <c r="B102" s="205" t="str">
        <f t="shared" si="25"/>
        <v>Preá - Estacionamento</v>
      </c>
      <c r="C102" s="206" t="str">
        <f t="shared" si="26"/>
        <v>Serviços</v>
      </c>
      <c r="D102" s="207">
        <f>G$94*'A4 - Previsão de Receita Bruta'!C10</f>
        <v>0</v>
      </c>
      <c r="E102" s="207">
        <f>H$94*'A4 - Previsão de Receita Bruta'!D10</f>
        <v>0</v>
      </c>
      <c r="F102" s="207">
        <f>I$94*'A4 - Previsão de Receita Bruta'!E10</f>
        <v>0</v>
      </c>
      <c r="G102" s="207">
        <f>J$94*'A4 - Previsão de Receita Bruta'!F10</f>
        <v>0</v>
      </c>
      <c r="H102" s="207">
        <f>K$94*'A4 - Previsão de Receita Bruta'!G10</f>
        <v>0</v>
      </c>
      <c r="I102" s="207">
        <f>L$94*'A4 - Previsão de Receita Bruta'!H10</f>
        <v>0</v>
      </c>
      <c r="J102" s="207">
        <f>M$94*'A4 - Previsão de Receita Bruta'!I10</f>
        <v>0</v>
      </c>
      <c r="K102" s="207">
        <f>N$94*'A4 - Previsão de Receita Bruta'!J10</f>
        <v>0</v>
      </c>
      <c r="L102" s="207">
        <f>O$94*'A4 - Previsão de Receita Bruta'!K10</f>
        <v>0</v>
      </c>
      <c r="M102" s="207">
        <f>P$94*'A4 - Previsão de Receita Bruta'!L10</f>
        <v>0</v>
      </c>
      <c r="N102" s="207">
        <f>Q$94*'A4 - Previsão de Receita Bruta'!M10</f>
        <v>0</v>
      </c>
      <c r="O102" s="207">
        <f>R$94*'A4 - Previsão de Receita Bruta'!N10</f>
        <v>0</v>
      </c>
      <c r="P102" s="207">
        <f>S$94*'A4 - Previsão de Receita Bruta'!O10</f>
        <v>0</v>
      </c>
      <c r="Q102" s="207">
        <f>T$94*'A4 - Previsão de Receita Bruta'!P10</f>
        <v>0</v>
      </c>
      <c r="R102" s="207">
        <f>U$94*'A4 - Previsão de Receita Bruta'!Q10</f>
        <v>0</v>
      </c>
      <c r="S102" s="207">
        <f>V$94*'A4 - Previsão de Receita Bruta'!R10</f>
        <v>0</v>
      </c>
      <c r="T102" s="207">
        <f>W$94*'A4 - Previsão de Receita Bruta'!S10</f>
        <v>0</v>
      </c>
      <c r="U102" s="207">
        <f>X$94*'A4 - Previsão de Receita Bruta'!T10</f>
        <v>0</v>
      </c>
      <c r="V102" s="207">
        <f>Y$94*'A4 - Previsão de Receita Bruta'!U10</f>
        <v>0</v>
      </c>
      <c r="W102" s="207">
        <f>Z$94*'A4 - Previsão de Receita Bruta'!V10</f>
        <v>0</v>
      </c>
      <c r="X102" s="207">
        <f>AA$94*'A4 - Previsão de Receita Bruta'!W10</f>
        <v>0</v>
      </c>
      <c r="Y102" s="207">
        <f>AB$94*'A4 - Previsão de Receita Bruta'!X10</f>
        <v>0</v>
      </c>
      <c r="Z102" s="207">
        <f>AC$94*'A4 - Previsão de Receita Bruta'!Y10</f>
        <v>0</v>
      </c>
      <c r="AA102" s="207">
        <f>AD$94*'A4 - Previsão de Receita Bruta'!Z10</f>
        <v>0</v>
      </c>
      <c r="AB102" s="207">
        <f>AE$94*'A4 - Previsão de Receita Bruta'!AA10</f>
        <v>0</v>
      </c>
      <c r="AC102" s="207">
        <f>AF$94*'A4 - Previsão de Receita Bruta'!AB10</f>
        <v>0</v>
      </c>
      <c r="AD102" s="207">
        <f>AG$94*'A4 - Previsão de Receita Bruta'!AC10</f>
        <v>0</v>
      </c>
      <c r="AE102" s="207">
        <f>AH$94*'A4 - Previsão de Receita Bruta'!AD10</f>
        <v>0</v>
      </c>
      <c r="AF102" s="207">
        <f>AI$94*'A4 - Previsão de Receita Bruta'!AE10</f>
        <v>0</v>
      </c>
      <c r="AG102" s="207">
        <f>AJ$94*'A4 - Previsão de Receita Bruta'!AF10</f>
        <v>0</v>
      </c>
      <c r="AH102" s="660"/>
      <c r="AI102" s="660"/>
      <c r="AJ102" s="660"/>
    </row>
    <row r="103" spans="1:36" ht="15" customHeight="1">
      <c r="A103" s="660"/>
      <c r="B103" s="205" t="str">
        <f t="shared" si="25"/>
        <v>Árvore da Preguiça - Alimentação</v>
      </c>
      <c r="C103" s="206" t="str">
        <f t="shared" si="26"/>
        <v>Alimentação</v>
      </c>
      <c r="D103" s="207">
        <f>G$94*'A4 - Previsão de Receita Bruta'!C11</f>
        <v>0</v>
      </c>
      <c r="E103" s="207">
        <f>H$94*'A4 - Previsão de Receita Bruta'!D11</f>
        <v>0</v>
      </c>
      <c r="F103" s="207">
        <f>I$94*'A4 - Previsão de Receita Bruta'!E11</f>
        <v>0</v>
      </c>
      <c r="G103" s="207">
        <f>J$94*'A4 - Previsão de Receita Bruta'!F11</f>
        <v>0</v>
      </c>
      <c r="H103" s="207">
        <f>K$94*'A4 - Previsão de Receita Bruta'!G11</f>
        <v>0</v>
      </c>
      <c r="I103" s="207">
        <f>L$94*'A4 - Previsão de Receita Bruta'!H11</f>
        <v>0</v>
      </c>
      <c r="J103" s="207">
        <f>M$94*'A4 - Previsão de Receita Bruta'!I11</f>
        <v>0</v>
      </c>
      <c r="K103" s="207">
        <f>N$94*'A4 - Previsão de Receita Bruta'!J11</f>
        <v>0</v>
      </c>
      <c r="L103" s="207">
        <f>O$94*'A4 - Previsão de Receita Bruta'!K11</f>
        <v>0</v>
      </c>
      <c r="M103" s="207">
        <f>P$94*'A4 - Previsão de Receita Bruta'!L11</f>
        <v>0</v>
      </c>
      <c r="N103" s="207">
        <f>Q$94*'A4 - Previsão de Receita Bruta'!M11</f>
        <v>0</v>
      </c>
      <c r="O103" s="207">
        <f>R$94*'A4 - Previsão de Receita Bruta'!N11</f>
        <v>0</v>
      </c>
      <c r="P103" s="207">
        <f>S$94*'A4 - Previsão de Receita Bruta'!O11</f>
        <v>0</v>
      </c>
      <c r="Q103" s="207">
        <f>T$94*'A4 - Previsão de Receita Bruta'!P11</f>
        <v>0</v>
      </c>
      <c r="R103" s="207">
        <f>U$94*'A4 - Previsão de Receita Bruta'!Q11</f>
        <v>0</v>
      </c>
      <c r="S103" s="207">
        <f>V$94*'A4 - Previsão de Receita Bruta'!R11</f>
        <v>0</v>
      </c>
      <c r="T103" s="207">
        <f>W$94*'A4 - Previsão de Receita Bruta'!S11</f>
        <v>0</v>
      </c>
      <c r="U103" s="207">
        <f>X$94*'A4 - Previsão de Receita Bruta'!T11</f>
        <v>0</v>
      </c>
      <c r="V103" s="207">
        <f>Y$94*'A4 - Previsão de Receita Bruta'!U11</f>
        <v>0</v>
      </c>
      <c r="W103" s="207">
        <f>Z$94*'A4 - Previsão de Receita Bruta'!V11</f>
        <v>0</v>
      </c>
      <c r="X103" s="207">
        <f>AA$94*'A4 - Previsão de Receita Bruta'!W11</f>
        <v>0</v>
      </c>
      <c r="Y103" s="207">
        <f>AB$94*'A4 - Previsão de Receita Bruta'!X11</f>
        <v>0</v>
      </c>
      <c r="Z103" s="207">
        <f>AC$94*'A4 - Previsão de Receita Bruta'!Y11</f>
        <v>0</v>
      </c>
      <c r="AA103" s="207">
        <f>AD$94*'A4 - Previsão de Receita Bruta'!Z11</f>
        <v>0</v>
      </c>
      <c r="AB103" s="207">
        <f>AE$94*'A4 - Previsão de Receita Bruta'!AA11</f>
        <v>0</v>
      </c>
      <c r="AC103" s="207">
        <f>AF$94*'A4 - Previsão de Receita Bruta'!AB11</f>
        <v>0</v>
      </c>
      <c r="AD103" s="207">
        <f>AG$94*'A4 - Previsão de Receita Bruta'!AC11</f>
        <v>0</v>
      </c>
      <c r="AE103" s="207">
        <f>AH$94*'A4 - Previsão de Receita Bruta'!AD11</f>
        <v>0</v>
      </c>
      <c r="AF103" s="207">
        <f>AI$94*'A4 - Previsão de Receita Bruta'!AE11</f>
        <v>0</v>
      </c>
      <c r="AG103" s="207">
        <f>AJ$94*'A4 - Previsão de Receita Bruta'!AF11</f>
        <v>0</v>
      </c>
      <c r="AH103" s="660"/>
      <c r="AI103" s="660"/>
      <c r="AJ103" s="660"/>
    </row>
    <row r="104" spans="1:36" ht="15" customHeight="1">
      <c r="A104" s="660"/>
      <c r="B104" s="205" t="str">
        <f t="shared" si="25"/>
        <v>Árvore da Preguiça - Comércio</v>
      </c>
      <c r="C104" s="206" t="str">
        <f t="shared" si="26"/>
        <v>Comércio</v>
      </c>
      <c r="D104" s="207">
        <f>G$94*'A4 - Previsão de Receita Bruta'!C12</f>
        <v>0</v>
      </c>
      <c r="E104" s="207">
        <f>H$94*'A4 - Previsão de Receita Bruta'!D12</f>
        <v>0</v>
      </c>
      <c r="F104" s="207">
        <f>I$94*'A4 - Previsão de Receita Bruta'!E12</f>
        <v>0</v>
      </c>
      <c r="G104" s="207">
        <f>J$94*'A4 - Previsão de Receita Bruta'!F12</f>
        <v>0</v>
      </c>
      <c r="H104" s="207">
        <f>K$94*'A4 - Previsão de Receita Bruta'!G12</f>
        <v>0</v>
      </c>
      <c r="I104" s="207">
        <f>L$94*'A4 - Previsão de Receita Bruta'!H12</f>
        <v>0</v>
      </c>
      <c r="J104" s="207">
        <f>M$94*'A4 - Previsão de Receita Bruta'!I12</f>
        <v>0</v>
      </c>
      <c r="K104" s="207">
        <f>N$94*'A4 - Previsão de Receita Bruta'!J12</f>
        <v>0</v>
      </c>
      <c r="L104" s="207">
        <f>O$94*'A4 - Previsão de Receita Bruta'!K12</f>
        <v>0</v>
      </c>
      <c r="M104" s="207">
        <f>P$94*'A4 - Previsão de Receita Bruta'!L12</f>
        <v>0</v>
      </c>
      <c r="N104" s="207">
        <f>Q$94*'A4 - Previsão de Receita Bruta'!M12</f>
        <v>0</v>
      </c>
      <c r="O104" s="207">
        <f>R$94*'A4 - Previsão de Receita Bruta'!N12</f>
        <v>0</v>
      </c>
      <c r="P104" s="207">
        <f>S$94*'A4 - Previsão de Receita Bruta'!O12</f>
        <v>0</v>
      </c>
      <c r="Q104" s="207">
        <f>T$94*'A4 - Previsão de Receita Bruta'!P12</f>
        <v>0</v>
      </c>
      <c r="R104" s="207">
        <f>U$94*'A4 - Previsão de Receita Bruta'!Q12</f>
        <v>0</v>
      </c>
      <c r="S104" s="207">
        <f>V$94*'A4 - Previsão de Receita Bruta'!R12</f>
        <v>0</v>
      </c>
      <c r="T104" s="207">
        <f>W$94*'A4 - Previsão de Receita Bruta'!S12</f>
        <v>0</v>
      </c>
      <c r="U104" s="207">
        <f>X$94*'A4 - Previsão de Receita Bruta'!T12</f>
        <v>0</v>
      </c>
      <c r="V104" s="207">
        <f>Y$94*'A4 - Previsão de Receita Bruta'!U12</f>
        <v>0</v>
      </c>
      <c r="W104" s="207">
        <f>Z$94*'A4 - Previsão de Receita Bruta'!V12</f>
        <v>0</v>
      </c>
      <c r="X104" s="207">
        <f>AA$94*'A4 - Previsão de Receita Bruta'!W12</f>
        <v>0</v>
      </c>
      <c r="Y104" s="207">
        <f>AB$94*'A4 - Previsão de Receita Bruta'!X12</f>
        <v>0</v>
      </c>
      <c r="Z104" s="207">
        <f>AC$94*'A4 - Previsão de Receita Bruta'!Y12</f>
        <v>0</v>
      </c>
      <c r="AA104" s="207">
        <f>AD$94*'A4 - Previsão de Receita Bruta'!Z12</f>
        <v>0</v>
      </c>
      <c r="AB104" s="207">
        <f>AE$94*'A4 - Previsão de Receita Bruta'!AA12</f>
        <v>0</v>
      </c>
      <c r="AC104" s="207">
        <f>AF$94*'A4 - Previsão de Receita Bruta'!AB12</f>
        <v>0</v>
      </c>
      <c r="AD104" s="207">
        <f>AG$94*'A4 - Previsão de Receita Bruta'!AC12</f>
        <v>0</v>
      </c>
      <c r="AE104" s="207">
        <f>AH$94*'A4 - Previsão de Receita Bruta'!AD12</f>
        <v>0</v>
      </c>
      <c r="AF104" s="207">
        <f>AI$94*'A4 - Previsão de Receita Bruta'!AE12</f>
        <v>0</v>
      </c>
      <c r="AG104" s="207">
        <f>AJ$94*'A4 - Previsão de Receita Bruta'!AF12</f>
        <v>0</v>
      </c>
      <c r="AH104" s="660"/>
      <c r="AI104" s="660"/>
      <c r="AJ104" s="660"/>
    </row>
    <row r="105" spans="1:36" ht="15" customHeight="1">
      <c r="A105" s="660"/>
      <c r="B105" s="205" t="str">
        <f t="shared" si="25"/>
        <v>Silveira - Alimentação</v>
      </c>
      <c r="C105" s="206" t="str">
        <f t="shared" si="26"/>
        <v>Alimentação</v>
      </c>
      <c r="D105" s="207">
        <f>G$94*'A4 - Previsão de Receita Bruta'!C13</f>
        <v>0</v>
      </c>
      <c r="E105" s="207">
        <f>H$94*'A4 - Previsão de Receita Bruta'!D13</f>
        <v>0</v>
      </c>
      <c r="F105" s="207">
        <f>I$94*'A4 - Previsão de Receita Bruta'!E13</f>
        <v>0</v>
      </c>
      <c r="G105" s="207">
        <f>J$94*'A4 - Previsão de Receita Bruta'!F13</f>
        <v>0</v>
      </c>
      <c r="H105" s="207">
        <f>K$94*'A4 - Previsão de Receita Bruta'!G13</f>
        <v>0</v>
      </c>
      <c r="I105" s="207">
        <f>L$94*'A4 - Previsão de Receita Bruta'!H13</f>
        <v>0</v>
      </c>
      <c r="J105" s="207">
        <f>M$94*'A4 - Previsão de Receita Bruta'!I13</f>
        <v>0</v>
      </c>
      <c r="K105" s="207">
        <f>N$94*'A4 - Previsão de Receita Bruta'!J13</f>
        <v>0</v>
      </c>
      <c r="L105" s="207">
        <f>O$94*'A4 - Previsão de Receita Bruta'!K13</f>
        <v>0</v>
      </c>
      <c r="M105" s="207">
        <f>P$94*'A4 - Previsão de Receita Bruta'!L13</f>
        <v>0</v>
      </c>
      <c r="N105" s="207">
        <f>Q$94*'A4 - Previsão de Receita Bruta'!M13</f>
        <v>0</v>
      </c>
      <c r="O105" s="207">
        <f>R$94*'A4 - Previsão de Receita Bruta'!N13</f>
        <v>0</v>
      </c>
      <c r="P105" s="207">
        <f>S$94*'A4 - Previsão de Receita Bruta'!O13</f>
        <v>0</v>
      </c>
      <c r="Q105" s="207">
        <f>T$94*'A4 - Previsão de Receita Bruta'!P13</f>
        <v>0</v>
      </c>
      <c r="R105" s="207">
        <f>U$94*'A4 - Previsão de Receita Bruta'!Q13</f>
        <v>0</v>
      </c>
      <c r="S105" s="207">
        <f>V$94*'A4 - Previsão de Receita Bruta'!R13</f>
        <v>0</v>
      </c>
      <c r="T105" s="207">
        <f>W$94*'A4 - Previsão de Receita Bruta'!S13</f>
        <v>0</v>
      </c>
      <c r="U105" s="207">
        <f>X$94*'A4 - Previsão de Receita Bruta'!T13</f>
        <v>0</v>
      </c>
      <c r="V105" s="207">
        <f>Y$94*'A4 - Previsão de Receita Bruta'!U13</f>
        <v>0</v>
      </c>
      <c r="W105" s="207">
        <f>Z$94*'A4 - Previsão de Receita Bruta'!V13</f>
        <v>0</v>
      </c>
      <c r="X105" s="207">
        <f>AA$94*'A4 - Previsão de Receita Bruta'!W13</f>
        <v>0</v>
      </c>
      <c r="Y105" s="207">
        <f>AB$94*'A4 - Previsão de Receita Bruta'!X13</f>
        <v>0</v>
      </c>
      <c r="Z105" s="207">
        <f>AC$94*'A4 - Previsão de Receita Bruta'!Y13</f>
        <v>0</v>
      </c>
      <c r="AA105" s="207">
        <f>AD$94*'A4 - Previsão de Receita Bruta'!Z13</f>
        <v>0</v>
      </c>
      <c r="AB105" s="207">
        <f>AE$94*'A4 - Previsão de Receita Bruta'!AA13</f>
        <v>0</v>
      </c>
      <c r="AC105" s="207">
        <f>AF$94*'A4 - Previsão de Receita Bruta'!AB13</f>
        <v>0</v>
      </c>
      <c r="AD105" s="207">
        <f>AG$94*'A4 - Previsão de Receita Bruta'!AC13</f>
        <v>0</v>
      </c>
      <c r="AE105" s="207">
        <f>AH$94*'A4 - Previsão de Receita Bruta'!AD13</f>
        <v>0</v>
      </c>
      <c r="AF105" s="207">
        <f>AI$94*'A4 - Previsão de Receita Bruta'!AE13</f>
        <v>0</v>
      </c>
      <c r="AG105" s="207">
        <f>AJ$94*'A4 - Previsão de Receita Bruta'!AF13</f>
        <v>0</v>
      </c>
      <c r="AH105" s="660"/>
      <c r="AI105" s="660"/>
      <c r="AJ105" s="660"/>
    </row>
    <row r="106" spans="1:36" ht="15" customHeight="1">
      <c r="A106" s="660"/>
      <c r="B106" s="205" t="str">
        <f t="shared" si="25"/>
        <v>Silveira - Comércio + Locação + Atividades</v>
      </c>
      <c r="C106" s="206" t="str">
        <f t="shared" si="26"/>
        <v>Comércio</v>
      </c>
      <c r="D106" s="207">
        <f>G$94*'A4 - Previsão de Receita Bruta'!C14</f>
        <v>0</v>
      </c>
      <c r="E106" s="207">
        <f>H$94*'A4 - Previsão de Receita Bruta'!D14</f>
        <v>0</v>
      </c>
      <c r="F106" s="207">
        <f>I$94*'A4 - Previsão de Receita Bruta'!E14</f>
        <v>0</v>
      </c>
      <c r="G106" s="207">
        <f>J$94*'A4 - Previsão de Receita Bruta'!F14</f>
        <v>0</v>
      </c>
      <c r="H106" s="207">
        <f>K$94*'A4 - Previsão de Receita Bruta'!G14</f>
        <v>0</v>
      </c>
      <c r="I106" s="207">
        <f>L$94*'A4 - Previsão de Receita Bruta'!H14</f>
        <v>0</v>
      </c>
      <c r="J106" s="207">
        <f>M$94*'A4 - Previsão de Receita Bruta'!I14</f>
        <v>0</v>
      </c>
      <c r="K106" s="207">
        <f>N$94*'A4 - Previsão de Receita Bruta'!J14</f>
        <v>0</v>
      </c>
      <c r="L106" s="207">
        <f>O$94*'A4 - Previsão de Receita Bruta'!K14</f>
        <v>0</v>
      </c>
      <c r="M106" s="207">
        <f>P$94*'A4 - Previsão de Receita Bruta'!L14</f>
        <v>0</v>
      </c>
      <c r="N106" s="207">
        <f>Q$94*'A4 - Previsão de Receita Bruta'!M14</f>
        <v>0</v>
      </c>
      <c r="O106" s="207">
        <f>R$94*'A4 - Previsão de Receita Bruta'!N14</f>
        <v>0</v>
      </c>
      <c r="P106" s="207">
        <f>S$94*'A4 - Previsão de Receita Bruta'!O14</f>
        <v>0</v>
      </c>
      <c r="Q106" s="207">
        <f>T$94*'A4 - Previsão de Receita Bruta'!P14</f>
        <v>0</v>
      </c>
      <c r="R106" s="207">
        <f>U$94*'A4 - Previsão de Receita Bruta'!Q14</f>
        <v>0</v>
      </c>
      <c r="S106" s="207">
        <f>V$94*'A4 - Previsão de Receita Bruta'!R14</f>
        <v>0</v>
      </c>
      <c r="T106" s="207">
        <f>W$94*'A4 - Previsão de Receita Bruta'!S14</f>
        <v>0</v>
      </c>
      <c r="U106" s="207">
        <f>X$94*'A4 - Previsão de Receita Bruta'!T14</f>
        <v>0</v>
      </c>
      <c r="V106" s="207">
        <f>Y$94*'A4 - Previsão de Receita Bruta'!U14</f>
        <v>0</v>
      </c>
      <c r="W106" s="207">
        <f>Z$94*'A4 - Previsão de Receita Bruta'!V14</f>
        <v>0</v>
      </c>
      <c r="X106" s="207">
        <f>AA$94*'A4 - Previsão de Receita Bruta'!W14</f>
        <v>0</v>
      </c>
      <c r="Y106" s="207">
        <f>AB$94*'A4 - Previsão de Receita Bruta'!X14</f>
        <v>0</v>
      </c>
      <c r="Z106" s="207">
        <f>AC$94*'A4 - Previsão de Receita Bruta'!Y14</f>
        <v>0</v>
      </c>
      <c r="AA106" s="207">
        <f>AD$94*'A4 - Previsão de Receita Bruta'!Z14</f>
        <v>0</v>
      </c>
      <c r="AB106" s="207">
        <f>AE$94*'A4 - Previsão de Receita Bruta'!AA14</f>
        <v>0</v>
      </c>
      <c r="AC106" s="207">
        <f>AF$94*'A4 - Previsão de Receita Bruta'!AB14</f>
        <v>0</v>
      </c>
      <c r="AD106" s="207">
        <f>AG$94*'A4 - Previsão de Receita Bruta'!AC14</f>
        <v>0</v>
      </c>
      <c r="AE106" s="207">
        <f>AH$94*'A4 - Previsão de Receita Bruta'!AD14</f>
        <v>0</v>
      </c>
      <c r="AF106" s="207">
        <f>AI$94*'A4 - Previsão de Receita Bruta'!AE14</f>
        <v>0</v>
      </c>
      <c r="AG106" s="207">
        <f>AJ$94*'A4 - Previsão de Receita Bruta'!AF14</f>
        <v>0</v>
      </c>
      <c r="AH106" s="660"/>
      <c r="AI106" s="660"/>
      <c r="AJ106" s="660"/>
    </row>
    <row r="107" spans="1:36" ht="15" customHeight="1">
      <c r="A107" s="660"/>
      <c r="B107" s="205" t="str">
        <f t="shared" si="25"/>
        <v>Silveira - Hospedagem</v>
      </c>
      <c r="C107" s="206" t="str">
        <f t="shared" si="26"/>
        <v>Serviços</v>
      </c>
      <c r="D107" s="207">
        <f>G$94*'A4 - Previsão de Receita Bruta'!C15</f>
        <v>0</v>
      </c>
      <c r="E107" s="207">
        <f>H$94*'A4 - Previsão de Receita Bruta'!D15</f>
        <v>0</v>
      </c>
      <c r="F107" s="207">
        <f>I$94*'A4 - Previsão de Receita Bruta'!E15</f>
        <v>0</v>
      </c>
      <c r="G107" s="207">
        <f>J$94*'A4 - Previsão de Receita Bruta'!F15</f>
        <v>0</v>
      </c>
      <c r="H107" s="207">
        <f>K$94*'A4 - Previsão de Receita Bruta'!G15</f>
        <v>0</v>
      </c>
      <c r="I107" s="207">
        <f>L$94*'A4 - Previsão de Receita Bruta'!H15</f>
        <v>0</v>
      </c>
      <c r="J107" s="207">
        <f>M$94*'A4 - Previsão de Receita Bruta'!I15</f>
        <v>0</v>
      </c>
      <c r="K107" s="207">
        <f>N$94*'A4 - Previsão de Receita Bruta'!J15</f>
        <v>0</v>
      </c>
      <c r="L107" s="207">
        <f>O$94*'A4 - Previsão de Receita Bruta'!K15</f>
        <v>0</v>
      </c>
      <c r="M107" s="207">
        <f>P$94*'A4 - Previsão de Receita Bruta'!L15</f>
        <v>0</v>
      </c>
      <c r="N107" s="207">
        <f>Q$94*'A4 - Previsão de Receita Bruta'!M15</f>
        <v>0</v>
      </c>
      <c r="O107" s="207">
        <f>R$94*'A4 - Previsão de Receita Bruta'!N15</f>
        <v>0</v>
      </c>
      <c r="P107" s="207">
        <f>S$94*'A4 - Previsão de Receita Bruta'!O15</f>
        <v>0</v>
      </c>
      <c r="Q107" s="207">
        <f>T$94*'A4 - Previsão de Receita Bruta'!P15</f>
        <v>0</v>
      </c>
      <c r="R107" s="207">
        <f>U$94*'A4 - Previsão de Receita Bruta'!Q15</f>
        <v>0</v>
      </c>
      <c r="S107" s="207">
        <f>V$94*'A4 - Previsão de Receita Bruta'!R15</f>
        <v>0</v>
      </c>
      <c r="T107" s="207">
        <f>W$94*'A4 - Previsão de Receita Bruta'!S15</f>
        <v>0</v>
      </c>
      <c r="U107" s="207">
        <f>X$94*'A4 - Previsão de Receita Bruta'!T15</f>
        <v>0</v>
      </c>
      <c r="V107" s="207">
        <f>Y$94*'A4 - Previsão de Receita Bruta'!U15</f>
        <v>0</v>
      </c>
      <c r="W107" s="207">
        <f>Z$94*'A4 - Previsão de Receita Bruta'!V15</f>
        <v>0</v>
      </c>
      <c r="X107" s="207">
        <f>AA$94*'A4 - Previsão de Receita Bruta'!W15</f>
        <v>0</v>
      </c>
      <c r="Y107" s="207">
        <f>AB$94*'A4 - Previsão de Receita Bruta'!X15</f>
        <v>0</v>
      </c>
      <c r="Z107" s="207">
        <f>AC$94*'A4 - Previsão de Receita Bruta'!Y15</f>
        <v>0</v>
      </c>
      <c r="AA107" s="207">
        <f>AD$94*'A4 - Previsão de Receita Bruta'!Z15</f>
        <v>0</v>
      </c>
      <c r="AB107" s="207">
        <f>AE$94*'A4 - Previsão de Receita Bruta'!AA15</f>
        <v>0</v>
      </c>
      <c r="AC107" s="207">
        <f>AF$94*'A4 - Previsão de Receita Bruta'!AB15</f>
        <v>0</v>
      </c>
      <c r="AD107" s="207">
        <f>AG$94*'A4 - Previsão de Receita Bruta'!AC15</f>
        <v>0</v>
      </c>
      <c r="AE107" s="207">
        <f>AH$94*'A4 - Previsão de Receita Bruta'!AD15</f>
        <v>0</v>
      </c>
      <c r="AF107" s="207">
        <f>AI$94*'A4 - Previsão de Receita Bruta'!AE15</f>
        <v>0</v>
      </c>
      <c r="AG107" s="207">
        <f>AJ$94*'A4 - Previsão de Receita Bruta'!AF15</f>
        <v>0</v>
      </c>
      <c r="AH107" s="660"/>
      <c r="AI107" s="660"/>
      <c r="AJ107" s="660"/>
    </row>
    <row r="108" spans="1:36" ht="15" customHeight="1">
      <c r="A108" s="660"/>
      <c r="B108" s="205" t="str">
        <f t="shared" si="25"/>
        <v>Pedra Furada - Alimentação</v>
      </c>
      <c r="C108" s="206" t="str">
        <f t="shared" si="26"/>
        <v>Alimentação</v>
      </c>
      <c r="D108" s="207">
        <f>G$94*'A4 - Previsão de Receita Bruta'!C16</f>
        <v>0</v>
      </c>
      <c r="E108" s="207">
        <f>H$94*'A4 - Previsão de Receita Bruta'!D16</f>
        <v>0</v>
      </c>
      <c r="F108" s="207">
        <f>I$94*'A4 - Previsão de Receita Bruta'!E16</f>
        <v>0</v>
      </c>
      <c r="G108" s="207">
        <f>J$94*'A4 - Previsão de Receita Bruta'!F16</f>
        <v>0</v>
      </c>
      <c r="H108" s="207">
        <f>K$94*'A4 - Previsão de Receita Bruta'!G16</f>
        <v>0</v>
      </c>
      <c r="I108" s="207">
        <f>L$94*'A4 - Previsão de Receita Bruta'!H16</f>
        <v>0</v>
      </c>
      <c r="J108" s="207">
        <f>M$94*'A4 - Previsão de Receita Bruta'!I16</f>
        <v>0</v>
      </c>
      <c r="K108" s="207">
        <f>N$94*'A4 - Previsão de Receita Bruta'!J16</f>
        <v>0</v>
      </c>
      <c r="L108" s="207">
        <f>O$94*'A4 - Previsão de Receita Bruta'!K16</f>
        <v>0</v>
      </c>
      <c r="M108" s="207">
        <f>P$94*'A4 - Previsão de Receita Bruta'!L16</f>
        <v>0</v>
      </c>
      <c r="N108" s="207">
        <f>Q$94*'A4 - Previsão de Receita Bruta'!M16</f>
        <v>0</v>
      </c>
      <c r="O108" s="207">
        <f>R$94*'A4 - Previsão de Receita Bruta'!N16</f>
        <v>0</v>
      </c>
      <c r="P108" s="207">
        <f>S$94*'A4 - Previsão de Receita Bruta'!O16</f>
        <v>0</v>
      </c>
      <c r="Q108" s="207">
        <f>T$94*'A4 - Previsão de Receita Bruta'!P16</f>
        <v>0</v>
      </c>
      <c r="R108" s="207">
        <f>U$94*'A4 - Previsão de Receita Bruta'!Q16</f>
        <v>0</v>
      </c>
      <c r="S108" s="207">
        <f>V$94*'A4 - Previsão de Receita Bruta'!R16</f>
        <v>0</v>
      </c>
      <c r="T108" s="207">
        <f>W$94*'A4 - Previsão de Receita Bruta'!S16</f>
        <v>0</v>
      </c>
      <c r="U108" s="207">
        <f>X$94*'A4 - Previsão de Receita Bruta'!T16</f>
        <v>0</v>
      </c>
      <c r="V108" s="207">
        <f>Y$94*'A4 - Previsão de Receita Bruta'!U16</f>
        <v>0</v>
      </c>
      <c r="W108" s="207">
        <f>Z$94*'A4 - Previsão de Receita Bruta'!V16</f>
        <v>0</v>
      </c>
      <c r="X108" s="207">
        <f>AA$94*'A4 - Previsão de Receita Bruta'!W16</f>
        <v>0</v>
      </c>
      <c r="Y108" s="207">
        <f>AB$94*'A4 - Previsão de Receita Bruta'!X16</f>
        <v>0</v>
      </c>
      <c r="Z108" s="207">
        <f>AC$94*'A4 - Previsão de Receita Bruta'!Y16</f>
        <v>0</v>
      </c>
      <c r="AA108" s="207">
        <f>AD$94*'A4 - Previsão de Receita Bruta'!Z16</f>
        <v>0</v>
      </c>
      <c r="AB108" s="207">
        <f>AE$94*'A4 - Previsão de Receita Bruta'!AA16</f>
        <v>0</v>
      </c>
      <c r="AC108" s="207">
        <f>AF$94*'A4 - Previsão de Receita Bruta'!AB16</f>
        <v>0</v>
      </c>
      <c r="AD108" s="207">
        <f>AG$94*'A4 - Previsão de Receita Bruta'!AC16</f>
        <v>0</v>
      </c>
      <c r="AE108" s="207">
        <f>AH$94*'A4 - Previsão de Receita Bruta'!AD16</f>
        <v>0</v>
      </c>
      <c r="AF108" s="207">
        <f>AI$94*'A4 - Previsão de Receita Bruta'!AE16</f>
        <v>0</v>
      </c>
      <c r="AG108" s="207">
        <f>AJ$94*'A4 - Previsão de Receita Bruta'!AF16</f>
        <v>0</v>
      </c>
      <c r="AH108" s="660"/>
      <c r="AI108" s="660"/>
      <c r="AJ108" s="660"/>
    </row>
    <row r="109" spans="1:36" ht="15" customHeight="1">
      <c r="A109" s="660"/>
      <c r="B109" s="205" t="str">
        <f t="shared" si="25"/>
        <v>Pedra Furada - Comércio</v>
      </c>
      <c r="C109" s="206" t="str">
        <f t="shared" si="26"/>
        <v>Comércio</v>
      </c>
      <c r="D109" s="207">
        <f>G$94*'A4 - Previsão de Receita Bruta'!C17</f>
        <v>0</v>
      </c>
      <c r="E109" s="207">
        <f>H$94*'A4 - Previsão de Receita Bruta'!D17</f>
        <v>0</v>
      </c>
      <c r="F109" s="207">
        <f>I$94*'A4 - Previsão de Receita Bruta'!E17</f>
        <v>0</v>
      </c>
      <c r="G109" s="207">
        <f>J$94*'A4 - Previsão de Receita Bruta'!F17</f>
        <v>0</v>
      </c>
      <c r="H109" s="207">
        <f>K$94*'A4 - Previsão de Receita Bruta'!G17</f>
        <v>0</v>
      </c>
      <c r="I109" s="207">
        <f>L$94*'A4 - Previsão de Receita Bruta'!H17</f>
        <v>0</v>
      </c>
      <c r="J109" s="207">
        <f>M$94*'A4 - Previsão de Receita Bruta'!I17</f>
        <v>0</v>
      </c>
      <c r="K109" s="207">
        <f>N$94*'A4 - Previsão de Receita Bruta'!J17</f>
        <v>0</v>
      </c>
      <c r="L109" s="207">
        <f>O$94*'A4 - Previsão de Receita Bruta'!K17</f>
        <v>0</v>
      </c>
      <c r="M109" s="207">
        <f>P$94*'A4 - Previsão de Receita Bruta'!L17</f>
        <v>0</v>
      </c>
      <c r="N109" s="207">
        <f>Q$94*'A4 - Previsão de Receita Bruta'!M17</f>
        <v>0</v>
      </c>
      <c r="O109" s="207">
        <f>R$94*'A4 - Previsão de Receita Bruta'!N17</f>
        <v>0</v>
      </c>
      <c r="P109" s="207">
        <f>S$94*'A4 - Previsão de Receita Bruta'!O17</f>
        <v>0</v>
      </c>
      <c r="Q109" s="207">
        <f>T$94*'A4 - Previsão de Receita Bruta'!P17</f>
        <v>0</v>
      </c>
      <c r="R109" s="207">
        <f>U$94*'A4 - Previsão de Receita Bruta'!Q17</f>
        <v>0</v>
      </c>
      <c r="S109" s="207">
        <f>V$94*'A4 - Previsão de Receita Bruta'!R17</f>
        <v>0</v>
      </c>
      <c r="T109" s="207">
        <f>W$94*'A4 - Previsão de Receita Bruta'!S17</f>
        <v>0</v>
      </c>
      <c r="U109" s="207">
        <f>X$94*'A4 - Previsão de Receita Bruta'!T17</f>
        <v>0</v>
      </c>
      <c r="V109" s="207">
        <f>Y$94*'A4 - Previsão de Receita Bruta'!U17</f>
        <v>0</v>
      </c>
      <c r="W109" s="207">
        <f>Z$94*'A4 - Previsão de Receita Bruta'!V17</f>
        <v>0</v>
      </c>
      <c r="X109" s="207">
        <f>AA$94*'A4 - Previsão de Receita Bruta'!W17</f>
        <v>0</v>
      </c>
      <c r="Y109" s="207">
        <f>AB$94*'A4 - Previsão de Receita Bruta'!X17</f>
        <v>0</v>
      </c>
      <c r="Z109" s="207">
        <f>AC$94*'A4 - Previsão de Receita Bruta'!Y17</f>
        <v>0</v>
      </c>
      <c r="AA109" s="207">
        <f>AD$94*'A4 - Previsão de Receita Bruta'!Z17</f>
        <v>0</v>
      </c>
      <c r="AB109" s="207">
        <f>AE$94*'A4 - Previsão de Receita Bruta'!AA17</f>
        <v>0</v>
      </c>
      <c r="AC109" s="207">
        <f>AF$94*'A4 - Previsão de Receita Bruta'!AB17</f>
        <v>0</v>
      </c>
      <c r="AD109" s="207">
        <f>AG$94*'A4 - Previsão de Receita Bruta'!AC17</f>
        <v>0</v>
      </c>
      <c r="AE109" s="207">
        <f>AH$94*'A4 - Previsão de Receita Bruta'!AD17</f>
        <v>0</v>
      </c>
      <c r="AF109" s="207">
        <f>AI$94*'A4 - Previsão de Receita Bruta'!AE17</f>
        <v>0</v>
      </c>
      <c r="AG109" s="207">
        <f>AJ$94*'A4 - Previsão de Receita Bruta'!AF17</f>
        <v>0</v>
      </c>
      <c r="AH109" s="660"/>
      <c r="AI109" s="660"/>
      <c r="AJ109" s="660"/>
    </row>
    <row r="110" spans="1:36" ht="15" customHeight="1">
      <c r="A110" s="660"/>
      <c r="B110" s="205" t="str">
        <f t="shared" si="25"/>
        <v>Serrote - Alimentação</v>
      </c>
      <c r="C110" s="206" t="str">
        <f t="shared" si="26"/>
        <v>Alimentação</v>
      </c>
      <c r="D110" s="207">
        <f>G$94*'A4 - Previsão de Receita Bruta'!C18</f>
        <v>0</v>
      </c>
      <c r="E110" s="207">
        <f>H$94*'A4 - Previsão de Receita Bruta'!D18</f>
        <v>0</v>
      </c>
      <c r="F110" s="207">
        <f>I$94*'A4 - Previsão de Receita Bruta'!E18</f>
        <v>0</v>
      </c>
      <c r="G110" s="207">
        <f>J$94*'A4 - Previsão de Receita Bruta'!F18</f>
        <v>0</v>
      </c>
      <c r="H110" s="207">
        <f>K$94*'A4 - Previsão de Receita Bruta'!G18</f>
        <v>0</v>
      </c>
      <c r="I110" s="207">
        <f>L$94*'A4 - Previsão de Receita Bruta'!H18</f>
        <v>0</v>
      </c>
      <c r="J110" s="207">
        <f>M$94*'A4 - Previsão de Receita Bruta'!I18</f>
        <v>0</v>
      </c>
      <c r="K110" s="207">
        <f>N$94*'A4 - Previsão de Receita Bruta'!J18</f>
        <v>0</v>
      </c>
      <c r="L110" s="207">
        <f>O$94*'A4 - Previsão de Receita Bruta'!K18</f>
        <v>0</v>
      </c>
      <c r="M110" s="207">
        <f>P$94*'A4 - Previsão de Receita Bruta'!L18</f>
        <v>0</v>
      </c>
      <c r="N110" s="207">
        <f>Q$94*'A4 - Previsão de Receita Bruta'!M18</f>
        <v>0</v>
      </c>
      <c r="O110" s="207">
        <f>R$94*'A4 - Previsão de Receita Bruta'!N18</f>
        <v>0</v>
      </c>
      <c r="P110" s="207">
        <f>S$94*'A4 - Previsão de Receita Bruta'!O18</f>
        <v>0</v>
      </c>
      <c r="Q110" s="207">
        <f>T$94*'A4 - Previsão de Receita Bruta'!P18</f>
        <v>0</v>
      </c>
      <c r="R110" s="207">
        <f>U$94*'A4 - Previsão de Receita Bruta'!Q18</f>
        <v>0</v>
      </c>
      <c r="S110" s="207">
        <f>V$94*'A4 - Previsão de Receita Bruta'!R18</f>
        <v>0</v>
      </c>
      <c r="T110" s="207">
        <f>W$94*'A4 - Previsão de Receita Bruta'!S18</f>
        <v>0</v>
      </c>
      <c r="U110" s="207">
        <f>X$94*'A4 - Previsão de Receita Bruta'!T18</f>
        <v>0</v>
      </c>
      <c r="V110" s="207">
        <f>Y$94*'A4 - Previsão de Receita Bruta'!U18</f>
        <v>0</v>
      </c>
      <c r="W110" s="207">
        <f>Z$94*'A4 - Previsão de Receita Bruta'!V18</f>
        <v>0</v>
      </c>
      <c r="X110" s="207">
        <f>AA$94*'A4 - Previsão de Receita Bruta'!W18</f>
        <v>0</v>
      </c>
      <c r="Y110" s="207">
        <f>AB$94*'A4 - Previsão de Receita Bruta'!X18</f>
        <v>0</v>
      </c>
      <c r="Z110" s="207">
        <f>AC$94*'A4 - Previsão de Receita Bruta'!Y18</f>
        <v>0</v>
      </c>
      <c r="AA110" s="207">
        <f>AD$94*'A4 - Previsão de Receita Bruta'!Z18</f>
        <v>0</v>
      </c>
      <c r="AB110" s="207">
        <f>AE$94*'A4 - Previsão de Receita Bruta'!AA18</f>
        <v>0</v>
      </c>
      <c r="AC110" s="207">
        <f>AF$94*'A4 - Previsão de Receita Bruta'!AB18</f>
        <v>0</v>
      </c>
      <c r="AD110" s="207">
        <f>AG$94*'A4 - Previsão de Receita Bruta'!AC18</f>
        <v>0</v>
      </c>
      <c r="AE110" s="207">
        <f>AH$94*'A4 - Previsão de Receita Bruta'!AD18</f>
        <v>0</v>
      </c>
      <c r="AF110" s="207">
        <f>AI$94*'A4 - Previsão de Receita Bruta'!AE18</f>
        <v>0</v>
      </c>
      <c r="AG110" s="207">
        <f>AJ$94*'A4 - Previsão de Receita Bruta'!AF18</f>
        <v>0</v>
      </c>
      <c r="AH110" s="660"/>
      <c r="AI110" s="660"/>
      <c r="AJ110" s="660"/>
    </row>
    <row r="111" spans="1:36" ht="15" customHeight="1">
      <c r="A111" s="660"/>
      <c r="B111" s="205" t="str">
        <f t="shared" si="25"/>
        <v>Serrote - Comércio</v>
      </c>
      <c r="C111" s="206" t="str">
        <f t="shared" si="26"/>
        <v>Comércio</v>
      </c>
      <c r="D111" s="207">
        <f>G$94*'A4 - Previsão de Receita Bruta'!C19</f>
        <v>0</v>
      </c>
      <c r="E111" s="207">
        <f>H$94*'A4 - Previsão de Receita Bruta'!D19</f>
        <v>0</v>
      </c>
      <c r="F111" s="207">
        <f>I$94*'A4 - Previsão de Receita Bruta'!E19</f>
        <v>0</v>
      </c>
      <c r="G111" s="207">
        <f>J$94*'A4 - Previsão de Receita Bruta'!F19</f>
        <v>0</v>
      </c>
      <c r="H111" s="207">
        <f>K$94*'A4 - Previsão de Receita Bruta'!G19</f>
        <v>0</v>
      </c>
      <c r="I111" s="207">
        <f>L$94*'A4 - Previsão de Receita Bruta'!H19</f>
        <v>0</v>
      </c>
      <c r="J111" s="207">
        <f>M$94*'A4 - Previsão de Receita Bruta'!I19</f>
        <v>0</v>
      </c>
      <c r="K111" s="207">
        <f>N$94*'A4 - Previsão de Receita Bruta'!J19</f>
        <v>0</v>
      </c>
      <c r="L111" s="207">
        <f>O$94*'A4 - Previsão de Receita Bruta'!K19</f>
        <v>0</v>
      </c>
      <c r="M111" s="207">
        <f>P$94*'A4 - Previsão de Receita Bruta'!L19</f>
        <v>0</v>
      </c>
      <c r="N111" s="207">
        <f>Q$94*'A4 - Previsão de Receita Bruta'!M19</f>
        <v>0</v>
      </c>
      <c r="O111" s="207">
        <f>R$94*'A4 - Previsão de Receita Bruta'!N19</f>
        <v>0</v>
      </c>
      <c r="P111" s="207">
        <f>S$94*'A4 - Previsão de Receita Bruta'!O19</f>
        <v>0</v>
      </c>
      <c r="Q111" s="207">
        <f>T$94*'A4 - Previsão de Receita Bruta'!P19</f>
        <v>0</v>
      </c>
      <c r="R111" s="207">
        <f>U$94*'A4 - Previsão de Receita Bruta'!Q19</f>
        <v>0</v>
      </c>
      <c r="S111" s="207">
        <f>V$94*'A4 - Previsão de Receita Bruta'!R19</f>
        <v>0</v>
      </c>
      <c r="T111" s="207">
        <f>W$94*'A4 - Previsão de Receita Bruta'!S19</f>
        <v>0</v>
      </c>
      <c r="U111" s="207">
        <f>X$94*'A4 - Previsão de Receita Bruta'!T19</f>
        <v>0</v>
      </c>
      <c r="V111" s="207">
        <f>Y$94*'A4 - Previsão de Receita Bruta'!U19</f>
        <v>0</v>
      </c>
      <c r="W111" s="207">
        <f>Z$94*'A4 - Previsão de Receita Bruta'!V19</f>
        <v>0</v>
      </c>
      <c r="X111" s="207">
        <f>AA$94*'A4 - Previsão de Receita Bruta'!W19</f>
        <v>0</v>
      </c>
      <c r="Y111" s="207">
        <f>AB$94*'A4 - Previsão de Receita Bruta'!X19</f>
        <v>0</v>
      </c>
      <c r="Z111" s="207">
        <f>AC$94*'A4 - Previsão de Receita Bruta'!Y19</f>
        <v>0</v>
      </c>
      <c r="AA111" s="207">
        <f>AD$94*'A4 - Previsão de Receita Bruta'!Z19</f>
        <v>0</v>
      </c>
      <c r="AB111" s="207">
        <f>AE$94*'A4 - Previsão de Receita Bruta'!AA19</f>
        <v>0</v>
      </c>
      <c r="AC111" s="207">
        <f>AF$94*'A4 - Previsão de Receita Bruta'!AB19</f>
        <v>0</v>
      </c>
      <c r="AD111" s="207">
        <f>AG$94*'A4 - Previsão de Receita Bruta'!AC19</f>
        <v>0</v>
      </c>
      <c r="AE111" s="207">
        <f>AH$94*'A4 - Previsão de Receita Bruta'!AD19</f>
        <v>0</v>
      </c>
      <c r="AF111" s="207">
        <f>AI$94*'A4 - Previsão de Receita Bruta'!AE19</f>
        <v>0</v>
      </c>
      <c r="AG111" s="207">
        <f>AJ$94*'A4 - Previsão de Receita Bruta'!AF19</f>
        <v>0</v>
      </c>
      <c r="AH111" s="660"/>
      <c r="AI111" s="660"/>
      <c r="AJ111" s="660"/>
    </row>
    <row r="112" spans="1:36" ht="15" customHeight="1">
      <c r="A112" s="660"/>
      <c r="B112" s="205" t="str">
        <f t="shared" si="25"/>
        <v>Paraíso - Alimentação</v>
      </c>
      <c r="C112" s="206" t="str">
        <f t="shared" si="26"/>
        <v>Alimentação</v>
      </c>
      <c r="D112" s="207">
        <f>G$94*'A4 - Previsão de Receita Bruta'!C20</f>
        <v>0</v>
      </c>
      <c r="E112" s="207">
        <f>H$94*'A4 - Previsão de Receita Bruta'!D20</f>
        <v>0</v>
      </c>
      <c r="F112" s="207">
        <f>I$94*'A4 - Previsão de Receita Bruta'!E20</f>
        <v>0</v>
      </c>
      <c r="G112" s="207">
        <f>J$94*'A4 - Previsão de Receita Bruta'!F20</f>
        <v>0</v>
      </c>
      <c r="H112" s="207">
        <f>K$94*'A4 - Previsão de Receita Bruta'!G20</f>
        <v>0</v>
      </c>
      <c r="I112" s="207">
        <f>L$94*'A4 - Previsão de Receita Bruta'!H20</f>
        <v>0</v>
      </c>
      <c r="J112" s="207">
        <f>M$94*'A4 - Previsão de Receita Bruta'!I20</f>
        <v>0</v>
      </c>
      <c r="K112" s="207">
        <f>N$94*'A4 - Previsão de Receita Bruta'!J20</f>
        <v>0</v>
      </c>
      <c r="L112" s="207">
        <f>O$94*'A4 - Previsão de Receita Bruta'!K20</f>
        <v>0</v>
      </c>
      <c r="M112" s="207">
        <f>P$94*'A4 - Previsão de Receita Bruta'!L20</f>
        <v>0</v>
      </c>
      <c r="N112" s="207">
        <f>Q$94*'A4 - Previsão de Receita Bruta'!M20</f>
        <v>0</v>
      </c>
      <c r="O112" s="207">
        <f>R$94*'A4 - Previsão de Receita Bruta'!N20</f>
        <v>0</v>
      </c>
      <c r="P112" s="207">
        <f>S$94*'A4 - Previsão de Receita Bruta'!O20</f>
        <v>0</v>
      </c>
      <c r="Q112" s="207">
        <f>T$94*'A4 - Previsão de Receita Bruta'!P20</f>
        <v>0</v>
      </c>
      <c r="R112" s="207">
        <f>U$94*'A4 - Previsão de Receita Bruta'!Q20</f>
        <v>0</v>
      </c>
      <c r="S112" s="207">
        <f>V$94*'A4 - Previsão de Receita Bruta'!R20</f>
        <v>0</v>
      </c>
      <c r="T112" s="207">
        <f>W$94*'A4 - Previsão de Receita Bruta'!S20</f>
        <v>0</v>
      </c>
      <c r="U112" s="207">
        <f>X$94*'A4 - Previsão de Receita Bruta'!T20</f>
        <v>0</v>
      </c>
      <c r="V112" s="207">
        <f>Y$94*'A4 - Previsão de Receita Bruta'!U20</f>
        <v>0</v>
      </c>
      <c r="W112" s="207">
        <f>Z$94*'A4 - Previsão de Receita Bruta'!V20</f>
        <v>0</v>
      </c>
      <c r="X112" s="207">
        <f>AA$94*'A4 - Previsão de Receita Bruta'!W20</f>
        <v>0</v>
      </c>
      <c r="Y112" s="207">
        <f>AB$94*'A4 - Previsão de Receita Bruta'!X20</f>
        <v>0</v>
      </c>
      <c r="Z112" s="207">
        <f>AC$94*'A4 - Previsão de Receita Bruta'!Y20</f>
        <v>0</v>
      </c>
      <c r="AA112" s="207">
        <f>AD$94*'A4 - Previsão de Receita Bruta'!Z20</f>
        <v>0</v>
      </c>
      <c r="AB112" s="207">
        <f>AE$94*'A4 - Previsão de Receita Bruta'!AA20</f>
        <v>0</v>
      </c>
      <c r="AC112" s="207">
        <f>AF$94*'A4 - Previsão de Receita Bruta'!AB20</f>
        <v>0</v>
      </c>
      <c r="AD112" s="207">
        <f>AG$94*'A4 - Previsão de Receita Bruta'!AC20</f>
        <v>0</v>
      </c>
      <c r="AE112" s="207">
        <f>AH$94*'A4 - Previsão de Receita Bruta'!AD20</f>
        <v>0</v>
      </c>
      <c r="AF112" s="207">
        <f>AI$94*'A4 - Previsão de Receita Bruta'!AE20</f>
        <v>0</v>
      </c>
      <c r="AG112" s="207">
        <f>AJ$94*'A4 - Previsão de Receita Bruta'!AF20</f>
        <v>0</v>
      </c>
      <c r="AH112" s="660"/>
      <c r="AI112" s="660"/>
      <c r="AJ112" s="660"/>
    </row>
    <row r="113" spans="1:36" ht="15" customHeight="1">
      <c r="A113" s="660"/>
      <c r="B113" s="205" t="str">
        <f t="shared" si="25"/>
        <v>Paraíso - Comércio + Locação + Atividades</v>
      </c>
      <c r="C113" s="206" t="str">
        <f t="shared" si="26"/>
        <v xml:space="preserve"> Comércio </v>
      </c>
      <c r="D113" s="207">
        <f>G$94*'A4 - Previsão de Receita Bruta'!C21</f>
        <v>0</v>
      </c>
      <c r="E113" s="207">
        <f>H$94*'A4 - Previsão de Receita Bruta'!D21</f>
        <v>0</v>
      </c>
      <c r="F113" s="207">
        <f>I$94*'A4 - Previsão de Receita Bruta'!E21</f>
        <v>0</v>
      </c>
      <c r="G113" s="207">
        <f>J$94*'A4 - Previsão de Receita Bruta'!F21</f>
        <v>0</v>
      </c>
      <c r="H113" s="207">
        <f>K$94*'A4 - Previsão de Receita Bruta'!G21</f>
        <v>0</v>
      </c>
      <c r="I113" s="207">
        <f>L$94*'A4 - Previsão de Receita Bruta'!H21</f>
        <v>0</v>
      </c>
      <c r="J113" s="207">
        <f>M$94*'A4 - Previsão de Receita Bruta'!I21</f>
        <v>0</v>
      </c>
      <c r="K113" s="207">
        <f>N$94*'A4 - Previsão de Receita Bruta'!J21</f>
        <v>0</v>
      </c>
      <c r="L113" s="207">
        <f>O$94*'A4 - Previsão de Receita Bruta'!K21</f>
        <v>0</v>
      </c>
      <c r="M113" s="207">
        <f>P$94*'A4 - Previsão de Receita Bruta'!L21</f>
        <v>0</v>
      </c>
      <c r="N113" s="207">
        <f>Q$94*'A4 - Previsão de Receita Bruta'!M21</f>
        <v>0</v>
      </c>
      <c r="O113" s="207">
        <f>R$94*'A4 - Previsão de Receita Bruta'!N21</f>
        <v>0</v>
      </c>
      <c r="P113" s="207">
        <f>S$94*'A4 - Previsão de Receita Bruta'!O21</f>
        <v>0</v>
      </c>
      <c r="Q113" s="207">
        <f>T$94*'A4 - Previsão de Receita Bruta'!P21</f>
        <v>0</v>
      </c>
      <c r="R113" s="207">
        <f>U$94*'A4 - Previsão de Receita Bruta'!Q21</f>
        <v>0</v>
      </c>
      <c r="S113" s="207">
        <f>V$94*'A4 - Previsão de Receita Bruta'!R21</f>
        <v>0</v>
      </c>
      <c r="T113" s="207">
        <f>W$94*'A4 - Previsão de Receita Bruta'!S21</f>
        <v>0</v>
      </c>
      <c r="U113" s="207">
        <f>X$94*'A4 - Previsão de Receita Bruta'!T21</f>
        <v>0</v>
      </c>
      <c r="V113" s="207">
        <f>Y$94*'A4 - Previsão de Receita Bruta'!U21</f>
        <v>0</v>
      </c>
      <c r="W113" s="207">
        <f>Z$94*'A4 - Previsão de Receita Bruta'!V21</f>
        <v>0</v>
      </c>
      <c r="X113" s="207">
        <f>AA$94*'A4 - Previsão de Receita Bruta'!W21</f>
        <v>0</v>
      </c>
      <c r="Y113" s="207">
        <f>AB$94*'A4 - Previsão de Receita Bruta'!X21</f>
        <v>0</v>
      </c>
      <c r="Z113" s="207">
        <f>AC$94*'A4 - Previsão de Receita Bruta'!Y21</f>
        <v>0</v>
      </c>
      <c r="AA113" s="207">
        <f>AD$94*'A4 - Previsão de Receita Bruta'!Z21</f>
        <v>0</v>
      </c>
      <c r="AB113" s="207">
        <f>AE$94*'A4 - Previsão de Receita Bruta'!AA21</f>
        <v>0</v>
      </c>
      <c r="AC113" s="207">
        <f>AF$94*'A4 - Previsão de Receita Bruta'!AB21</f>
        <v>0</v>
      </c>
      <c r="AD113" s="207">
        <f>AG$94*'A4 - Previsão de Receita Bruta'!AC21</f>
        <v>0</v>
      </c>
      <c r="AE113" s="207">
        <f>AH$94*'A4 - Previsão de Receita Bruta'!AD21</f>
        <v>0</v>
      </c>
      <c r="AF113" s="207">
        <f>AI$94*'A4 - Previsão de Receita Bruta'!AE21</f>
        <v>0</v>
      </c>
      <c r="AG113" s="207">
        <f>AJ$94*'A4 - Previsão de Receita Bruta'!AF21</f>
        <v>0</v>
      </c>
      <c r="AH113" s="660"/>
      <c r="AI113" s="660"/>
      <c r="AJ113" s="660"/>
    </row>
    <row r="114" spans="1:36" ht="15" customHeight="1">
      <c r="A114" s="660"/>
      <c r="B114" s="205" t="str">
        <f t="shared" si="25"/>
        <v>Geral - Unidade móvel - Alimentação</v>
      </c>
      <c r="C114" s="206" t="str">
        <f t="shared" si="26"/>
        <v>Alimentação</v>
      </c>
      <c r="D114" s="207">
        <f>G$94*'A4 - Previsão de Receita Bruta'!C22</f>
        <v>0</v>
      </c>
      <c r="E114" s="207">
        <f>H$94*'A4 - Previsão de Receita Bruta'!D22</f>
        <v>0</v>
      </c>
      <c r="F114" s="207">
        <f>I$94*'A4 - Previsão de Receita Bruta'!E22</f>
        <v>0</v>
      </c>
      <c r="G114" s="207">
        <f>J$94*'A4 - Previsão de Receita Bruta'!F22</f>
        <v>0</v>
      </c>
      <c r="H114" s="207">
        <f>K$94*'A4 - Previsão de Receita Bruta'!G22</f>
        <v>0</v>
      </c>
      <c r="I114" s="207">
        <f>L$94*'A4 - Previsão de Receita Bruta'!H22</f>
        <v>0</v>
      </c>
      <c r="J114" s="207">
        <f>M$94*'A4 - Previsão de Receita Bruta'!I22</f>
        <v>0</v>
      </c>
      <c r="K114" s="207">
        <f>N$94*'A4 - Previsão de Receita Bruta'!J22</f>
        <v>0</v>
      </c>
      <c r="L114" s="207">
        <f>O$94*'A4 - Previsão de Receita Bruta'!K22</f>
        <v>0</v>
      </c>
      <c r="M114" s="207">
        <f>P$94*'A4 - Previsão de Receita Bruta'!L22</f>
        <v>0</v>
      </c>
      <c r="N114" s="207">
        <f>Q$94*'A4 - Previsão de Receita Bruta'!M22</f>
        <v>0</v>
      </c>
      <c r="O114" s="207">
        <f>R$94*'A4 - Previsão de Receita Bruta'!N22</f>
        <v>0</v>
      </c>
      <c r="P114" s="207">
        <f>S$94*'A4 - Previsão de Receita Bruta'!O22</f>
        <v>0</v>
      </c>
      <c r="Q114" s="207">
        <f>T$94*'A4 - Previsão de Receita Bruta'!P22</f>
        <v>0</v>
      </c>
      <c r="R114" s="207">
        <f>U$94*'A4 - Previsão de Receita Bruta'!Q22</f>
        <v>0</v>
      </c>
      <c r="S114" s="207">
        <f>V$94*'A4 - Previsão de Receita Bruta'!R22</f>
        <v>0</v>
      </c>
      <c r="T114" s="207">
        <f>W$94*'A4 - Previsão de Receita Bruta'!S22</f>
        <v>0</v>
      </c>
      <c r="U114" s="207">
        <f>X$94*'A4 - Previsão de Receita Bruta'!T22</f>
        <v>0</v>
      </c>
      <c r="V114" s="207">
        <f>Y$94*'A4 - Previsão de Receita Bruta'!U22</f>
        <v>0</v>
      </c>
      <c r="W114" s="207">
        <f>Z$94*'A4 - Previsão de Receita Bruta'!V22</f>
        <v>0</v>
      </c>
      <c r="X114" s="207">
        <f>AA$94*'A4 - Previsão de Receita Bruta'!W22</f>
        <v>0</v>
      </c>
      <c r="Y114" s="207">
        <f>AB$94*'A4 - Previsão de Receita Bruta'!X22</f>
        <v>0</v>
      </c>
      <c r="Z114" s="207">
        <f>AC$94*'A4 - Previsão de Receita Bruta'!Y22</f>
        <v>0</v>
      </c>
      <c r="AA114" s="207">
        <f>AD$94*'A4 - Previsão de Receita Bruta'!Z22</f>
        <v>0</v>
      </c>
      <c r="AB114" s="207">
        <f>AE$94*'A4 - Previsão de Receita Bruta'!AA22</f>
        <v>0</v>
      </c>
      <c r="AC114" s="207">
        <f>AF$94*'A4 - Previsão de Receita Bruta'!AB22</f>
        <v>0</v>
      </c>
      <c r="AD114" s="207">
        <f>AG$94*'A4 - Previsão de Receita Bruta'!AC22</f>
        <v>0</v>
      </c>
      <c r="AE114" s="207">
        <f>AH$94*'A4 - Previsão de Receita Bruta'!AD22</f>
        <v>0</v>
      </c>
      <c r="AF114" s="207">
        <f>AI$94*'A4 - Previsão de Receita Bruta'!AE22</f>
        <v>0</v>
      </c>
      <c r="AG114" s="207">
        <f>AJ$94*'A4 - Previsão de Receita Bruta'!AF22</f>
        <v>0</v>
      </c>
      <c r="AH114" s="660"/>
      <c r="AI114" s="660"/>
      <c r="AJ114" s="660"/>
    </row>
    <row r="115" spans="1:36" ht="15" customHeight="1">
      <c r="A115" s="660"/>
      <c r="B115" s="205" t="str">
        <f t="shared" si="25"/>
        <v>Mangue Seco - Estacionamento</v>
      </c>
      <c r="C115" s="206" t="str">
        <f t="shared" si="26"/>
        <v>Serviços</v>
      </c>
      <c r="D115" s="207">
        <f>G$94*'A4 - Previsão de Receita Bruta'!C23</f>
        <v>0</v>
      </c>
      <c r="E115" s="207">
        <f>H$94*'A4 - Previsão de Receita Bruta'!D23</f>
        <v>0</v>
      </c>
      <c r="F115" s="207">
        <f>I$94*'A4 - Previsão de Receita Bruta'!E23</f>
        <v>0</v>
      </c>
      <c r="G115" s="207">
        <f>J$94*'A4 - Previsão de Receita Bruta'!F23</f>
        <v>0</v>
      </c>
      <c r="H115" s="207">
        <f>K$94*'A4 - Previsão de Receita Bruta'!G23</f>
        <v>0</v>
      </c>
      <c r="I115" s="207">
        <f>L$94*'A4 - Previsão de Receita Bruta'!H23</f>
        <v>0</v>
      </c>
      <c r="J115" s="207">
        <f>M$94*'A4 - Previsão de Receita Bruta'!I23</f>
        <v>0</v>
      </c>
      <c r="K115" s="207">
        <f>N$94*'A4 - Previsão de Receita Bruta'!J23</f>
        <v>0</v>
      </c>
      <c r="L115" s="207">
        <f>O$94*'A4 - Previsão de Receita Bruta'!K23</f>
        <v>0</v>
      </c>
      <c r="M115" s="207">
        <f>P$94*'A4 - Previsão de Receita Bruta'!L23</f>
        <v>0</v>
      </c>
      <c r="N115" s="207">
        <f>Q$94*'A4 - Previsão de Receita Bruta'!M23</f>
        <v>0</v>
      </c>
      <c r="O115" s="207">
        <f>R$94*'A4 - Previsão de Receita Bruta'!N23</f>
        <v>0</v>
      </c>
      <c r="P115" s="207">
        <f>S$94*'A4 - Previsão de Receita Bruta'!O23</f>
        <v>0</v>
      </c>
      <c r="Q115" s="207">
        <f>T$94*'A4 - Previsão de Receita Bruta'!P23</f>
        <v>0</v>
      </c>
      <c r="R115" s="207">
        <f>U$94*'A4 - Previsão de Receita Bruta'!Q23</f>
        <v>0</v>
      </c>
      <c r="S115" s="207">
        <f>V$94*'A4 - Previsão de Receita Bruta'!R23</f>
        <v>0</v>
      </c>
      <c r="T115" s="207">
        <f>W$94*'A4 - Previsão de Receita Bruta'!S23</f>
        <v>0</v>
      </c>
      <c r="U115" s="207">
        <f>X$94*'A4 - Previsão de Receita Bruta'!T23</f>
        <v>0</v>
      </c>
      <c r="V115" s="207">
        <f>Y$94*'A4 - Previsão de Receita Bruta'!U23</f>
        <v>0</v>
      </c>
      <c r="W115" s="207">
        <f>Z$94*'A4 - Previsão de Receita Bruta'!V23</f>
        <v>0</v>
      </c>
      <c r="X115" s="207">
        <f>AA$94*'A4 - Previsão de Receita Bruta'!W23</f>
        <v>0</v>
      </c>
      <c r="Y115" s="207">
        <f>AB$94*'A4 - Previsão de Receita Bruta'!X23</f>
        <v>0</v>
      </c>
      <c r="Z115" s="207">
        <f>AC$94*'A4 - Previsão de Receita Bruta'!Y23</f>
        <v>0</v>
      </c>
      <c r="AA115" s="207">
        <f>AD$94*'A4 - Previsão de Receita Bruta'!Z23</f>
        <v>0</v>
      </c>
      <c r="AB115" s="207">
        <f>AE$94*'A4 - Previsão de Receita Bruta'!AA23</f>
        <v>0</v>
      </c>
      <c r="AC115" s="207">
        <f>AF$94*'A4 - Previsão de Receita Bruta'!AB23</f>
        <v>0</v>
      </c>
      <c r="AD115" s="207">
        <f>AG$94*'A4 - Previsão de Receita Bruta'!AC23</f>
        <v>0</v>
      </c>
      <c r="AE115" s="207">
        <f>AH$94*'A4 - Previsão de Receita Bruta'!AD23</f>
        <v>0</v>
      </c>
      <c r="AF115" s="207">
        <f>AI$94*'A4 - Previsão de Receita Bruta'!AE23</f>
        <v>0</v>
      </c>
      <c r="AG115" s="207">
        <f>AJ$94*'A4 - Previsão de Receita Bruta'!AF23</f>
        <v>0</v>
      </c>
      <c r="AH115" s="660"/>
      <c r="AI115" s="660"/>
      <c r="AJ115" s="660"/>
    </row>
    <row r="116" spans="1:36" ht="15" customHeight="1">
      <c r="A116" s="660"/>
      <c r="B116" s="205" t="str">
        <f t="shared" si="25"/>
        <v>Lagoa Grande - Estacionamento</v>
      </c>
      <c r="C116" s="206" t="str">
        <f t="shared" si="26"/>
        <v>Serviços</v>
      </c>
      <c r="D116" s="207">
        <f>G$94*'A4 - Previsão de Receita Bruta'!C24</f>
        <v>0</v>
      </c>
      <c r="E116" s="207">
        <f>H$94*'A4 - Previsão de Receita Bruta'!D24</f>
        <v>0</v>
      </c>
      <c r="F116" s="207">
        <f>I$94*'A4 - Previsão de Receita Bruta'!E24</f>
        <v>0</v>
      </c>
      <c r="G116" s="207">
        <f>J$94*'A4 - Previsão de Receita Bruta'!F24</f>
        <v>0</v>
      </c>
      <c r="H116" s="207">
        <f>K$94*'A4 - Previsão de Receita Bruta'!G24</f>
        <v>0</v>
      </c>
      <c r="I116" s="207">
        <f>L$94*'A4 - Previsão de Receita Bruta'!H24</f>
        <v>0</v>
      </c>
      <c r="J116" s="207">
        <f>M$94*'A4 - Previsão de Receita Bruta'!I24</f>
        <v>0</v>
      </c>
      <c r="K116" s="207">
        <f>N$94*'A4 - Previsão de Receita Bruta'!J24</f>
        <v>0</v>
      </c>
      <c r="L116" s="207">
        <f>O$94*'A4 - Previsão de Receita Bruta'!K24</f>
        <v>0</v>
      </c>
      <c r="M116" s="207">
        <f>P$94*'A4 - Previsão de Receita Bruta'!L24</f>
        <v>0</v>
      </c>
      <c r="N116" s="207">
        <f>Q$94*'A4 - Previsão de Receita Bruta'!M24</f>
        <v>0</v>
      </c>
      <c r="O116" s="207">
        <f>R$94*'A4 - Previsão de Receita Bruta'!N24</f>
        <v>0</v>
      </c>
      <c r="P116" s="207">
        <f>S$94*'A4 - Previsão de Receita Bruta'!O24</f>
        <v>0</v>
      </c>
      <c r="Q116" s="207">
        <f>T$94*'A4 - Previsão de Receita Bruta'!P24</f>
        <v>0</v>
      </c>
      <c r="R116" s="207">
        <f>U$94*'A4 - Previsão de Receita Bruta'!Q24</f>
        <v>0</v>
      </c>
      <c r="S116" s="207">
        <f>V$94*'A4 - Previsão de Receita Bruta'!R24</f>
        <v>0</v>
      </c>
      <c r="T116" s="207">
        <f>W$94*'A4 - Previsão de Receita Bruta'!S24</f>
        <v>0</v>
      </c>
      <c r="U116" s="207">
        <f>X$94*'A4 - Previsão de Receita Bruta'!T24</f>
        <v>0</v>
      </c>
      <c r="V116" s="207">
        <f>Y$94*'A4 - Previsão de Receita Bruta'!U24</f>
        <v>0</v>
      </c>
      <c r="W116" s="207">
        <f>Z$94*'A4 - Previsão de Receita Bruta'!V24</f>
        <v>0</v>
      </c>
      <c r="X116" s="207">
        <f>AA$94*'A4 - Previsão de Receita Bruta'!W24</f>
        <v>0</v>
      </c>
      <c r="Y116" s="207">
        <f>AB$94*'A4 - Previsão de Receita Bruta'!X24</f>
        <v>0</v>
      </c>
      <c r="Z116" s="207">
        <f>AC$94*'A4 - Previsão de Receita Bruta'!Y24</f>
        <v>0</v>
      </c>
      <c r="AA116" s="207">
        <f>AD$94*'A4 - Previsão de Receita Bruta'!Z24</f>
        <v>0</v>
      </c>
      <c r="AB116" s="207">
        <f>AE$94*'A4 - Previsão de Receita Bruta'!AA24</f>
        <v>0</v>
      </c>
      <c r="AC116" s="207">
        <f>AF$94*'A4 - Previsão de Receita Bruta'!AB24</f>
        <v>0</v>
      </c>
      <c r="AD116" s="207">
        <f>AG$94*'A4 - Previsão de Receita Bruta'!AC24</f>
        <v>0</v>
      </c>
      <c r="AE116" s="207">
        <f>AH$94*'A4 - Previsão de Receita Bruta'!AD24</f>
        <v>0</v>
      </c>
      <c r="AF116" s="207">
        <f>AI$94*'A4 - Previsão de Receita Bruta'!AE24</f>
        <v>0</v>
      </c>
      <c r="AG116" s="207">
        <f>AJ$94*'A4 - Previsão de Receita Bruta'!AF24</f>
        <v>0</v>
      </c>
      <c r="AH116" s="660"/>
      <c r="AI116" s="660"/>
      <c r="AJ116" s="660"/>
    </row>
    <row r="117" spans="1:36" ht="15" customHeight="1">
      <c r="A117" s="660"/>
      <c r="B117" s="205">
        <f t="shared" si="25"/>
        <v>0</v>
      </c>
      <c r="C117" s="206">
        <f t="shared" si="26"/>
        <v>0</v>
      </c>
      <c r="D117" s="207">
        <f>G$94*'A4 - Previsão de Receita Bruta'!C25</f>
        <v>0</v>
      </c>
      <c r="E117" s="207">
        <f>H$94*'A4 - Previsão de Receita Bruta'!D25</f>
        <v>0</v>
      </c>
      <c r="F117" s="207">
        <f>I$94*'A4 - Previsão de Receita Bruta'!E25</f>
        <v>0</v>
      </c>
      <c r="G117" s="207">
        <f>J$94*'A4 - Previsão de Receita Bruta'!F25</f>
        <v>0</v>
      </c>
      <c r="H117" s="207">
        <f>K$94*'A4 - Previsão de Receita Bruta'!G25</f>
        <v>0</v>
      </c>
      <c r="I117" s="207">
        <f>L$94*'A4 - Previsão de Receita Bruta'!H25</f>
        <v>0</v>
      </c>
      <c r="J117" s="207">
        <f>M$94*'A4 - Previsão de Receita Bruta'!I25</f>
        <v>0</v>
      </c>
      <c r="K117" s="207">
        <f>N$94*'A4 - Previsão de Receita Bruta'!J25</f>
        <v>0</v>
      </c>
      <c r="L117" s="207">
        <f>O$94*'A4 - Previsão de Receita Bruta'!K25</f>
        <v>0</v>
      </c>
      <c r="M117" s="207">
        <f>P$94*'A4 - Previsão de Receita Bruta'!L25</f>
        <v>0</v>
      </c>
      <c r="N117" s="207">
        <f>Q$94*'A4 - Previsão de Receita Bruta'!M25</f>
        <v>0</v>
      </c>
      <c r="O117" s="207">
        <f>R$94*'A4 - Previsão de Receita Bruta'!N25</f>
        <v>0</v>
      </c>
      <c r="P117" s="207">
        <f>S$94*'A4 - Previsão de Receita Bruta'!O25</f>
        <v>0</v>
      </c>
      <c r="Q117" s="207">
        <f>T$94*'A4 - Previsão de Receita Bruta'!P25</f>
        <v>0</v>
      </c>
      <c r="R117" s="207">
        <f>U$94*'A4 - Previsão de Receita Bruta'!Q25</f>
        <v>0</v>
      </c>
      <c r="S117" s="207">
        <f>V$94*'A4 - Previsão de Receita Bruta'!R25</f>
        <v>0</v>
      </c>
      <c r="T117" s="207">
        <f>W$94*'A4 - Previsão de Receita Bruta'!S25</f>
        <v>0</v>
      </c>
      <c r="U117" s="207">
        <f>X$94*'A4 - Previsão de Receita Bruta'!T25</f>
        <v>0</v>
      </c>
      <c r="V117" s="207">
        <f>Y$94*'A4 - Previsão de Receita Bruta'!U25</f>
        <v>0</v>
      </c>
      <c r="W117" s="207">
        <f>Z$94*'A4 - Previsão de Receita Bruta'!V25</f>
        <v>0</v>
      </c>
      <c r="X117" s="207">
        <f>AA$94*'A4 - Previsão de Receita Bruta'!W25</f>
        <v>0</v>
      </c>
      <c r="Y117" s="207">
        <f>AB$94*'A4 - Previsão de Receita Bruta'!X25</f>
        <v>0</v>
      </c>
      <c r="Z117" s="207">
        <f>AC$94*'A4 - Previsão de Receita Bruta'!Y25</f>
        <v>0</v>
      </c>
      <c r="AA117" s="207">
        <f>AD$94*'A4 - Previsão de Receita Bruta'!Z25</f>
        <v>0</v>
      </c>
      <c r="AB117" s="207">
        <f>AE$94*'A4 - Previsão de Receita Bruta'!AA25</f>
        <v>0</v>
      </c>
      <c r="AC117" s="207">
        <f>AF$94*'A4 - Previsão de Receita Bruta'!AB25</f>
        <v>0</v>
      </c>
      <c r="AD117" s="207">
        <f>AG$94*'A4 - Previsão de Receita Bruta'!AC25</f>
        <v>0</v>
      </c>
      <c r="AE117" s="207">
        <f>AH$94*'A4 - Previsão de Receita Bruta'!AD25</f>
        <v>0</v>
      </c>
      <c r="AF117" s="207">
        <f>AI$94*'A4 - Previsão de Receita Bruta'!AE25</f>
        <v>0</v>
      </c>
      <c r="AG117" s="207">
        <f>AJ$94*'A4 - Previsão de Receita Bruta'!AF25</f>
        <v>0</v>
      </c>
      <c r="AH117" s="660"/>
      <c r="AI117" s="660"/>
      <c r="AJ117" s="660"/>
    </row>
    <row r="118" spans="1:36" ht="15" customHeight="1">
      <c r="A118" s="660"/>
      <c r="B118" s="205">
        <f t="shared" si="25"/>
        <v>0</v>
      </c>
      <c r="C118" s="206">
        <f t="shared" si="26"/>
        <v>0</v>
      </c>
      <c r="D118" s="207">
        <f>G$94*'A4 - Previsão de Receita Bruta'!C26</f>
        <v>0</v>
      </c>
      <c r="E118" s="207">
        <f>H$94*'A4 - Previsão de Receita Bruta'!D26</f>
        <v>0</v>
      </c>
      <c r="F118" s="207">
        <f>I$94*'A4 - Previsão de Receita Bruta'!E26</f>
        <v>0</v>
      </c>
      <c r="G118" s="207">
        <f>J$94*'A4 - Previsão de Receita Bruta'!F26</f>
        <v>0</v>
      </c>
      <c r="H118" s="207">
        <f>K$94*'A4 - Previsão de Receita Bruta'!G26</f>
        <v>0</v>
      </c>
      <c r="I118" s="207">
        <f>L$94*'A4 - Previsão de Receita Bruta'!H26</f>
        <v>0</v>
      </c>
      <c r="J118" s="207">
        <f>M$94*'A4 - Previsão de Receita Bruta'!I26</f>
        <v>0</v>
      </c>
      <c r="K118" s="207">
        <f>N$94*'A4 - Previsão de Receita Bruta'!J26</f>
        <v>0</v>
      </c>
      <c r="L118" s="207">
        <f>O$94*'A4 - Previsão de Receita Bruta'!K26</f>
        <v>0</v>
      </c>
      <c r="M118" s="207">
        <f>P$94*'A4 - Previsão de Receita Bruta'!L26</f>
        <v>0</v>
      </c>
      <c r="N118" s="207">
        <f>Q$94*'A4 - Previsão de Receita Bruta'!M26</f>
        <v>0</v>
      </c>
      <c r="O118" s="207">
        <f>R$94*'A4 - Previsão de Receita Bruta'!N26</f>
        <v>0</v>
      </c>
      <c r="P118" s="207">
        <f>S$94*'A4 - Previsão de Receita Bruta'!O26</f>
        <v>0</v>
      </c>
      <c r="Q118" s="207">
        <f>T$94*'A4 - Previsão de Receita Bruta'!P26</f>
        <v>0</v>
      </c>
      <c r="R118" s="207">
        <f>U$94*'A4 - Previsão de Receita Bruta'!Q26</f>
        <v>0</v>
      </c>
      <c r="S118" s="207">
        <f>V$94*'A4 - Previsão de Receita Bruta'!R26</f>
        <v>0</v>
      </c>
      <c r="T118" s="207">
        <f>W$94*'A4 - Previsão de Receita Bruta'!S26</f>
        <v>0</v>
      </c>
      <c r="U118" s="207">
        <f>X$94*'A4 - Previsão de Receita Bruta'!T26</f>
        <v>0</v>
      </c>
      <c r="V118" s="207">
        <f>Y$94*'A4 - Previsão de Receita Bruta'!U26</f>
        <v>0</v>
      </c>
      <c r="W118" s="207">
        <f>Z$94*'A4 - Previsão de Receita Bruta'!V26</f>
        <v>0</v>
      </c>
      <c r="X118" s="207">
        <f>AA$94*'A4 - Previsão de Receita Bruta'!W26</f>
        <v>0</v>
      </c>
      <c r="Y118" s="207">
        <f>AB$94*'A4 - Previsão de Receita Bruta'!X26</f>
        <v>0</v>
      </c>
      <c r="Z118" s="207">
        <f>AC$94*'A4 - Previsão de Receita Bruta'!Y26</f>
        <v>0</v>
      </c>
      <c r="AA118" s="207">
        <f>AD$94*'A4 - Previsão de Receita Bruta'!Z26</f>
        <v>0</v>
      </c>
      <c r="AB118" s="207">
        <f>AE$94*'A4 - Previsão de Receita Bruta'!AA26</f>
        <v>0</v>
      </c>
      <c r="AC118" s="207">
        <f>AF$94*'A4 - Previsão de Receita Bruta'!AB26</f>
        <v>0</v>
      </c>
      <c r="AD118" s="207">
        <f>AG$94*'A4 - Previsão de Receita Bruta'!AC26</f>
        <v>0</v>
      </c>
      <c r="AE118" s="207">
        <f>AH$94*'A4 - Previsão de Receita Bruta'!AD26</f>
        <v>0</v>
      </c>
      <c r="AF118" s="207">
        <f>AI$94*'A4 - Previsão de Receita Bruta'!AE26</f>
        <v>0</v>
      </c>
      <c r="AG118" s="207">
        <f>AJ$94*'A4 - Previsão de Receita Bruta'!AF26</f>
        <v>0</v>
      </c>
      <c r="AH118" s="660"/>
      <c r="AI118" s="660"/>
      <c r="AJ118" s="660"/>
    </row>
    <row r="119" spans="1:36" ht="15" customHeight="1">
      <c r="A119" s="661"/>
      <c r="B119" s="790" t="s">
        <v>527</v>
      </c>
      <c r="C119" s="818"/>
      <c r="D119" s="208">
        <f t="shared" ref="D119:AG119" si="27">SUM(D99:D118)</f>
        <v>0</v>
      </c>
      <c r="E119" s="208">
        <f t="shared" si="27"/>
        <v>0</v>
      </c>
      <c r="F119" s="208">
        <f t="shared" si="27"/>
        <v>0</v>
      </c>
      <c r="G119" s="208">
        <f t="shared" si="27"/>
        <v>0</v>
      </c>
      <c r="H119" s="208">
        <f t="shared" si="27"/>
        <v>0</v>
      </c>
      <c r="I119" s="208">
        <f t="shared" si="27"/>
        <v>0</v>
      </c>
      <c r="J119" s="208">
        <f t="shared" si="27"/>
        <v>0</v>
      </c>
      <c r="K119" s="208">
        <f t="shared" si="27"/>
        <v>0</v>
      </c>
      <c r="L119" s="208">
        <f t="shared" si="27"/>
        <v>0</v>
      </c>
      <c r="M119" s="208">
        <f t="shared" si="27"/>
        <v>0</v>
      </c>
      <c r="N119" s="208">
        <f t="shared" si="27"/>
        <v>0</v>
      </c>
      <c r="O119" s="208">
        <f t="shared" si="27"/>
        <v>0</v>
      </c>
      <c r="P119" s="208">
        <f t="shared" si="27"/>
        <v>0</v>
      </c>
      <c r="Q119" s="208">
        <f t="shared" si="27"/>
        <v>0</v>
      </c>
      <c r="R119" s="208">
        <f t="shared" si="27"/>
        <v>0</v>
      </c>
      <c r="S119" s="208">
        <f t="shared" si="27"/>
        <v>0</v>
      </c>
      <c r="T119" s="208">
        <f t="shared" si="27"/>
        <v>0</v>
      </c>
      <c r="U119" s="208">
        <f t="shared" si="27"/>
        <v>0</v>
      </c>
      <c r="V119" s="208">
        <f t="shared" si="27"/>
        <v>0</v>
      </c>
      <c r="W119" s="208">
        <f t="shared" si="27"/>
        <v>0</v>
      </c>
      <c r="X119" s="208">
        <f t="shared" si="27"/>
        <v>0</v>
      </c>
      <c r="Y119" s="208">
        <f t="shared" si="27"/>
        <v>0</v>
      </c>
      <c r="Z119" s="208">
        <f t="shared" si="27"/>
        <v>0</v>
      </c>
      <c r="AA119" s="208">
        <f t="shared" si="27"/>
        <v>0</v>
      </c>
      <c r="AB119" s="208">
        <f t="shared" si="27"/>
        <v>0</v>
      </c>
      <c r="AC119" s="208">
        <f t="shared" si="27"/>
        <v>0</v>
      </c>
      <c r="AD119" s="208">
        <f t="shared" si="27"/>
        <v>0</v>
      </c>
      <c r="AE119" s="208">
        <f t="shared" si="27"/>
        <v>0</v>
      </c>
      <c r="AF119" s="208">
        <f t="shared" si="27"/>
        <v>0</v>
      </c>
      <c r="AG119" s="208">
        <f t="shared" si="27"/>
        <v>0</v>
      </c>
      <c r="AH119" s="661"/>
      <c r="AI119" s="661"/>
      <c r="AJ119" s="661"/>
    </row>
    <row r="120" spans="1:36" ht="15" customHeight="1">
      <c r="A120" s="521"/>
      <c r="B120" s="658"/>
      <c r="C120" s="522"/>
      <c r="D120" s="662"/>
      <c r="E120" s="522"/>
      <c r="F120" s="522"/>
      <c r="G120" s="522"/>
      <c r="H120" s="522"/>
      <c r="I120" s="522"/>
      <c r="J120" s="522"/>
      <c r="K120" s="522"/>
      <c r="L120" s="522"/>
      <c r="M120" s="522"/>
      <c r="N120" s="522"/>
      <c r="O120" s="522"/>
      <c r="P120" s="522"/>
      <c r="Q120" s="522"/>
      <c r="R120" s="522"/>
      <c r="S120" s="522"/>
      <c r="T120" s="522"/>
      <c r="U120" s="522"/>
      <c r="V120" s="522"/>
      <c r="W120" s="522"/>
      <c r="X120" s="522"/>
      <c r="Y120" s="522"/>
      <c r="Z120" s="522"/>
      <c r="AA120" s="521"/>
      <c r="AB120" s="521"/>
      <c r="AC120" s="521"/>
      <c r="AD120" s="521"/>
      <c r="AE120" s="521"/>
      <c r="AF120" s="521"/>
      <c r="AG120" s="521"/>
      <c r="AH120" s="521"/>
      <c r="AI120" s="521"/>
      <c r="AJ120" s="521"/>
    </row>
    <row r="121" spans="1:36" ht="15" customHeight="1">
      <c r="A121" s="653"/>
      <c r="B121" s="653"/>
      <c r="C121" s="653"/>
      <c r="D121" s="653"/>
      <c r="E121" s="653"/>
      <c r="F121" s="653"/>
      <c r="G121" s="653"/>
      <c r="H121" s="653"/>
      <c r="I121" s="653"/>
      <c r="J121" s="653"/>
      <c r="K121" s="653"/>
      <c r="L121" s="653"/>
      <c r="M121" s="653"/>
      <c r="N121" s="653"/>
      <c r="O121" s="653"/>
      <c r="P121" s="653"/>
      <c r="Q121" s="653"/>
      <c r="R121" s="653"/>
      <c r="S121" s="653"/>
      <c r="T121" s="653"/>
      <c r="U121" s="653"/>
      <c r="V121" s="653"/>
      <c r="W121" s="653"/>
      <c r="X121" s="653"/>
      <c r="Y121" s="653"/>
      <c r="Z121" s="653"/>
      <c r="AA121" s="653"/>
      <c r="AB121" s="653"/>
      <c r="AC121" s="653"/>
      <c r="AD121" s="653"/>
      <c r="AE121" s="653"/>
      <c r="AF121" s="653"/>
      <c r="AG121" s="653"/>
      <c r="AH121" s="653"/>
      <c r="AI121" s="653"/>
      <c r="AJ121" s="653"/>
    </row>
    <row r="122" spans="1:36" ht="15" customHeight="1">
      <c r="A122" s="525"/>
      <c r="B122" s="525"/>
      <c r="C122" s="525"/>
      <c r="D122" s="525"/>
      <c r="E122" s="525"/>
      <c r="F122" s="525"/>
      <c r="G122" s="525"/>
      <c r="H122" s="525"/>
      <c r="I122" s="525"/>
      <c r="J122" s="525"/>
      <c r="K122" s="525"/>
      <c r="L122" s="525"/>
      <c r="M122" s="525"/>
      <c r="N122" s="525"/>
      <c r="O122" s="525"/>
      <c r="P122" s="525"/>
      <c r="Q122" s="525"/>
      <c r="R122" s="525"/>
      <c r="S122" s="525"/>
      <c r="T122" s="525"/>
      <c r="U122" s="525"/>
      <c r="V122" s="525"/>
      <c r="W122" s="525"/>
      <c r="X122" s="525"/>
      <c r="Y122" s="525"/>
      <c r="Z122" s="525"/>
      <c r="AA122" s="525"/>
      <c r="AB122" s="525"/>
      <c r="AC122" s="525"/>
      <c r="AD122" s="525"/>
      <c r="AE122" s="525"/>
      <c r="AF122" s="525"/>
      <c r="AG122" s="525"/>
      <c r="AH122" s="525"/>
      <c r="AI122" s="525"/>
      <c r="AJ122" s="525"/>
    </row>
    <row r="123" spans="1:36" ht="15" customHeight="1">
      <c r="A123" s="525"/>
      <c r="B123" s="525"/>
      <c r="C123" s="663" t="s">
        <v>528</v>
      </c>
      <c r="D123" s="525"/>
      <c r="E123" s="525"/>
      <c r="F123" s="525"/>
      <c r="G123" s="525"/>
      <c r="H123" s="525"/>
      <c r="I123" s="525"/>
      <c r="J123" s="525"/>
      <c r="K123" s="525"/>
      <c r="L123" s="525"/>
      <c r="M123" s="525"/>
      <c r="N123" s="525"/>
      <c r="O123" s="525"/>
      <c r="P123" s="525"/>
      <c r="Q123" s="525"/>
      <c r="R123" s="525"/>
      <c r="S123" s="525"/>
      <c r="T123" s="525"/>
      <c r="U123" s="525"/>
      <c r="V123" s="525"/>
      <c r="W123" s="525"/>
      <c r="X123" s="525"/>
      <c r="Y123" s="525"/>
      <c r="Z123" s="525"/>
      <c r="AA123" s="525"/>
      <c r="AB123" s="525"/>
      <c r="AC123" s="525"/>
      <c r="AD123" s="525"/>
      <c r="AE123" s="525"/>
      <c r="AF123" s="525"/>
      <c r="AG123" s="525"/>
      <c r="AH123" s="525"/>
      <c r="AI123" s="525"/>
      <c r="AJ123" s="525"/>
    </row>
    <row r="124" spans="1:36" ht="15" customHeight="1">
      <c r="A124" s="525"/>
      <c r="B124" s="525"/>
      <c r="C124" s="525"/>
      <c r="D124" s="525"/>
      <c r="E124" s="525"/>
      <c r="F124" s="525"/>
      <c r="G124" s="525"/>
      <c r="H124" s="525"/>
      <c r="I124" s="525"/>
      <c r="J124" s="525"/>
      <c r="K124" s="525"/>
      <c r="L124" s="525"/>
      <c r="M124" s="525"/>
      <c r="N124" s="525"/>
      <c r="O124" s="525"/>
      <c r="P124" s="525"/>
      <c r="Q124" s="525"/>
      <c r="R124" s="525"/>
      <c r="S124" s="525"/>
      <c r="T124" s="525"/>
      <c r="U124" s="525"/>
      <c r="V124" s="525"/>
      <c r="W124" s="525"/>
      <c r="X124" s="525"/>
      <c r="Y124" s="525"/>
      <c r="Z124" s="525"/>
      <c r="AA124" s="525"/>
      <c r="AB124" s="525"/>
      <c r="AC124" s="525"/>
      <c r="AD124" s="525"/>
      <c r="AE124" s="525"/>
      <c r="AF124" s="525"/>
      <c r="AG124" s="525"/>
      <c r="AH124" s="525"/>
      <c r="AI124" s="525"/>
      <c r="AJ124" s="525"/>
    </row>
    <row r="125" spans="1:36" ht="15" customHeight="1">
      <c r="A125" s="525"/>
      <c r="B125" s="525"/>
      <c r="C125" s="209" t="s">
        <v>529</v>
      </c>
      <c r="D125" s="209" t="s">
        <v>84</v>
      </c>
      <c r="E125" s="209" t="s">
        <v>530</v>
      </c>
      <c r="F125" s="525"/>
      <c r="G125" s="525"/>
      <c r="H125" s="525"/>
      <c r="I125" s="525"/>
      <c r="J125" s="525"/>
      <c r="K125" s="525"/>
      <c r="L125" s="525"/>
      <c r="M125" s="525"/>
      <c r="N125" s="525"/>
      <c r="O125" s="525"/>
      <c r="P125" s="525"/>
      <c r="Q125" s="525"/>
      <c r="R125" s="525"/>
      <c r="S125" s="525"/>
      <c r="T125" s="525"/>
      <c r="U125" s="525"/>
      <c r="V125" s="525"/>
      <c r="W125" s="525"/>
      <c r="X125" s="525"/>
      <c r="Y125" s="525"/>
      <c r="Z125" s="525"/>
      <c r="AA125" s="525"/>
      <c r="AB125" s="525"/>
      <c r="AC125" s="525"/>
      <c r="AD125" s="525"/>
      <c r="AE125" s="525"/>
      <c r="AF125" s="525"/>
      <c r="AG125" s="525"/>
      <c r="AH125" s="525"/>
      <c r="AI125" s="525"/>
      <c r="AJ125" s="525"/>
    </row>
    <row r="126" spans="1:36" ht="15" customHeight="1">
      <c r="A126" s="525"/>
      <c r="B126" s="525"/>
      <c r="C126" s="210" t="s">
        <v>531</v>
      </c>
      <c r="D126" s="211">
        <v>0.17</v>
      </c>
      <c r="E126" s="211">
        <v>0.17</v>
      </c>
      <c r="F126" s="525"/>
      <c r="G126" s="525"/>
      <c r="H126" s="525"/>
      <c r="I126" s="525"/>
      <c r="J126" s="525"/>
      <c r="K126" s="525"/>
      <c r="L126" s="525"/>
      <c r="M126" s="525"/>
      <c r="N126" s="525"/>
      <c r="O126" s="525"/>
      <c r="P126" s="525"/>
      <c r="Q126" s="525"/>
      <c r="R126" s="525"/>
      <c r="S126" s="525"/>
      <c r="T126" s="525"/>
      <c r="U126" s="525"/>
      <c r="V126" s="525"/>
      <c r="W126" s="525"/>
      <c r="X126" s="525"/>
      <c r="Y126" s="525"/>
      <c r="Z126" s="525"/>
      <c r="AA126" s="525"/>
      <c r="AB126" s="525"/>
      <c r="AC126" s="525"/>
      <c r="AD126" s="525"/>
      <c r="AE126" s="525"/>
      <c r="AF126" s="525"/>
      <c r="AG126" s="525"/>
      <c r="AH126" s="525"/>
      <c r="AI126" s="525"/>
      <c r="AJ126" s="525"/>
    </row>
    <row r="127" spans="1:36" ht="15" customHeight="1">
      <c r="A127" s="525"/>
      <c r="B127" s="525"/>
      <c r="C127" s="210" t="s">
        <v>532</v>
      </c>
      <c r="D127" s="211">
        <v>0.18</v>
      </c>
      <c r="E127" s="211">
        <v>0.18</v>
      </c>
      <c r="F127" s="525"/>
      <c r="G127" s="525"/>
      <c r="H127" s="525"/>
      <c r="I127" s="525"/>
      <c r="J127" s="525"/>
      <c r="K127" s="525"/>
      <c r="L127" s="525"/>
      <c r="M127" s="525"/>
      <c r="N127" s="525"/>
      <c r="O127" s="525"/>
      <c r="P127" s="525"/>
      <c r="Q127" s="525"/>
      <c r="R127" s="525"/>
      <c r="S127" s="525"/>
      <c r="T127" s="525"/>
      <c r="U127" s="525"/>
      <c r="V127" s="525"/>
      <c r="W127" s="525"/>
      <c r="X127" s="525"/>
      <c r="Y127" s="525"/>
      <c r="Z127" s="525"/>
      <c r="AA127" s="525"/>
      <c r="AB127" s="525"/>
      <c r="AC127" s="525"/>
      <c r="AD127" s="525"/>
      <c r="AE127" s="525"/>
      <c r="AF127" s="525"/>
      <c r="AG127" s="525"/>
      <c r="AH127" s="525"/>
      <c r="AI127" s="525"/>
      <c r="AJ127" s="525"/>
    </row>
    <row r="128" spans="1:36" ht="15" customHeight="1">
      <c r="A128" s="525"/>
      <c r="B128" s="525"/>
      <c r="C128" s="210" t="s">
        <v>533</v>
      </c>
      <c r="D128" s="211">
        <v>0.18</v>
      </c>
      <c r="E128" s="211">
        <v>0.18</v>
      </c>
      <c r="F128" s="525"/>
      <c r="G128" s="525"/>
      <c r="H128" s="525"/>
      <c r="I128" s="525"/>
      <c r="J128" s="525"/>
      <c r="K128" s="525"/>
      <c r="L128" s="525"/>
      <c r="M128" s="525"/>
      <c r="N128" s="525"/>
      <c r="O128" s="525"/>
      <c r="P128" s="525"/>
      <c r="Q128" s="525"/>
      <c r="R128" s="525"/>
      <c r="S128" s="525"/>
      <c r="T128" s="525"/>
      <c r="U128" s="525"/>
      <c r="V128" s="525"/>
      <c r="W128" s="525"/>
      <c r="X128" s="525"/>
      <c r="Y128" s="525"/>
      <c r="Z128" s="525"/>
      <c r="AA128" s="525"/>
      <c r="AB128" s="525"/>
      <c r="AC128" s="525"/>
      <c r="AD128" s="525"/>
      <c r="AE128" s="525"/>
      <c r="AF128" s="525"/>
      <c r="AG128" s="525"/>
      <c r="AH128" s="525"/>
      <c r="AI128" s="525"/>
      <c r="AJ128" s="525"/>
    </row>
    <row r="129" spans="1:36" ht="15" customHeight="1">
      <c r="A129" s="525"/>
      <c r="B129" s="525"/>
      <c r="C129" s="210" t="s">
        <v>534</v>
      </c>
      <c r="D129" s="211">
        <v>0.18</v>
      </c>
      <c r="E129" s="211">
        <v>0.18</v>
      </c>
      <c r="F129" s="525"/>
      <c r="G129" s="525"/>
      <c r="H129" s="525"/>
      <c r="I129" s="525"/>
      <c r="J129" s="525"/>
      <c r="K129" s="525"/>
      <c r="L129" s="525"/>
      <c r="M129" s="525"/>
      <c r="N129" s="525"/>
      <c r="O129" s="525"/>
      <c r="P129" s="525"/>
      <c r="Q129" s="525"/>
      <c r="R129" s="525"/>
      <c r="S129" s="525"/>
      <c r="T129" s="525"/>
      <c r="U129" s="525"/>
      <c r="V129" s="525"/>
      <c r="W129" s="525"/>
      <c r="X129" s="525"/>
      <c r="Y129" s="525"/>
      <c r="Z129" s="525"/>
      <c r="AA129" s="525"/>
      <c r="AB129" s="525"/>
      <c r="AC129" s="525"/>
      <c r="AD129" s="525"/>
      <c r="AE129" s="525"/>
      <c r="AF129" s="525"/>
      <c r="AG129" s="525"/>
      <c r="AH129" s="525"/>
      <c r="AI129" s="525"/>
      <c r="AJ129" s="525"/>
    </row>
    <row r="130" spans="1:36" ht="15" customHeight="1">
      <c r="A130" s="525"/>
      <c r="B130" s="525"/>
      <c r="C130" s="210" t="s">
        <v>535</v>
      </c>
      <c r="D130" s="211">
        <v>0.18</v>
      </c>
      <c r="E130" s="211">
        <v>0.18</v>
      </c>
      <c r="F130" s="525"/>
      <c r="G130" s="525"/>
      <c r="H130" s="525"/>
      <c r="I130" s="525"/>
      <c r="J130" s="525"/>
      <c r="K130" s="525"/>
      <c r="L130" s="525"/>
      <c r="M130" s="525"/>
      <c r="N130" s="525"/>
      <c r="O130" s="525"/>
      <c r="P130" s="525"/>
      <c r="Q130" s="525"/>
      <c r="R130" s="525"/>
      <c r="S130" s="525"/>
      <c r="T130" s="525"/>
      <c r="U130" s="525"/>
      <c r="V130" s="525"/>
      <c r="W130" s="525"/>
      <c r="X130" s="525"/>
      <c r="Y130" s="525"/>
      <c r="Z130" s="525"/>
      <c r="AA130" s="525"/>
      <c r="AB130" s="525"/>
      <c r="AC130" s="525"/>
      <c r="AD130" s="525"/>
      <c r="AE130" s="525"/>
      <c r="AF130" s="525"/>
      <c r="AG130" s="525"/>
      <c r="AH130" s="525"/>
      <c r="AI130" s="525"/>
      <c r="AJ130" s="525"/>
    </row>
    <row r="131" spans="1:36" ht="15" customHeight="1">
      <c r="A131" s="525"/>
      <c r="B131" s="525"/>
      <c r="C131" s="210" t="s">
        <v>536</v>
      </c>
      <c r="D131" s="211">
        <v>0.18</v>
      </c>
      <c r="E131" s="211">
        <v>0.18</v>
      </c>
      <c r="F131" s="525"/>
      <c r="G131" s="525"/>
      <c r="H131" s="525"/>
      <c r="I131" s="525"/>
      <c r="J131" s="525"/>
      <c r="K131" s="525"/>
      <c r="L131" s="525"/>
      <c r="M131" s="525"/>
      <c r="N131" s="525"/>
      <c r="O131" s="525"/>
      <c r="P131" s="525"/>
      <c r="Q131" s="525"/>
      <c r="R131" s="525"/>
      <c r="S131" s="525"/>
      <c r="T131" s="525"/>
      <c r="U131" s="525"/>
      <c r="V131" s="525"/>
      <c r="W131" s="525"/>
      <c r="X131" s="525"/>
      <c r="Y131" s="525"/>
      <c r="Z131" s="525"/>
      <c r="AA131" s="525"/>
      <c r="AB131" s="525"/>
      <c r="AC131" s="525"/>
      <c r="AD131" s="525"/>
      <c r="AE131" s="525"/>
      <c r="AF131" s="525"/>
      <c r="AG131" s="525"/>
      <c r="AH131" s="525"/>
      <c r="AI131" s="525"/>
      <c r="AJ131" s="525"/>
    </row>
    <row r="132" spans="1:36" ht="15" customHeight="1">
      <c r="A132" s="525"/>
      <c r="B132" s="525"/>
      <c r="C132" s="210" t="s">
        <v>537</v>
      </c>
      <c r="D132" s="211">
        <v>0.02</v>
      </c>
      <c r="E132" s="211">
        <v>0.18</v>
      </c>
      <c r="F132" s="525"/>
      <c r="G132" s="525"/>
      <c r="H132" s="525"/>
      <c r="I132" s="525"/>
      <c r="J132" s="525"/>
      <c r="K132" s="525"/>
      <c r="L132" s="525"/>
      <c r="M132" s="525"/>
      <c r="N132" s="525"/>
      <c r="O132" s="525"/>
      <c r="P132" s="525"/>
      <c r="Q132" s="525"/>
      <c r="R132" s="525"/>
      <c r="S132" s="525"/>
      <c r="T132" s="525"/>
      <c r="U132" s="525"/>
      <c r="V132" s="525"/>
      <c r="W132" s="525"/>
      <c r="X132" s="525"/>
      <c r="Y132" s="525"/>
      <c r="Z132" s="525"/>
      <c r="AA132" s="525"/>
      <c r="AB132" s="525"/>
      <c r="AC132" s="525"/>
      <c r="AD132" s="525"/>
      <c r="AE132" s="525"/>
      <c r="AF132" s="525"/>
      <c r="AG132" s="525"/>
      <c r="AH132" s="525"/>
      <c r="AI132" s="525"/>
      <c r="AJ132" s="525"/>
    </row>
    <row r="133" spans="1:36" ht="15" customHeight="1">
      <c r="A133" s="525"/>
      <c r="B133" s="525"/>
      <c r="C133" s="210" t="s">
        <v>538</v>
      </c>
      <c r="D133" s="211">
        <v>0.17</v>
      </c>
      <c r="E133" s="211">
        <v>0.17</v>
      </c>
      <c r="F133" s="525"/>
      <c r="G133" s="525"/>
      <c r="H133" s="525"/>
      <c r="I133" s="525"/>
      <c r="J133" s="525"/>
      <c r="K133" s="525"/>
      <c r="L133" s="525"/>
      <c r="M133" s="525"/>
      <c r="N133" s="525"/>
      <c r="O133" s="525"/>
      <c r="P133" s="525"/>
      <c r="Q133" s="525"/>
      <c r="R133" s="525"/>
      <c r="S133" s="525"/>
      <c r="T133" s="525"/>
      <c r="U133" s="525"/>
      <c r="V133" s="525"/>
      <c r="W133" s="525"/>
      <c r="X133" s="525"/>
      <c r="Y133" s="525"/>
      <c r="Z133" s="525"/>
      <c r="AA133" s="525"/>
      <c r="AB133" s="525"/>
      <c r="AC133" s="525"/>
      <c r="AD133" s="525"/>
      <c r="AE133" s="525"/>
      <c r="AF133" s="525"/>
      <c r="AG133" s="525"/>
      <c r="AH133" s="525"/>
      <c r="AI133" s="525"/>
      <c r="AJ133" s="525"/>
    </row>
    <row r="134" spans="1:36" ht="15" customHeight="1">
      <c r="A134" s="525"/>
      <c r="B134" s="525"/>
      <c r="C134" s="210" t="s">
        <v>539</v>
      </c>
      <c r="D134" s="211">
        <v>0.17</v>
      </c>
      <c r="E134" s="211">
        <v>0.17</v>
      </c>
      <c r="F134" s="525"/>
      <c r="G134" s="525"/>
      <c r="H134" s="525"/>
      <c r="I134" s="525"/>
      <c r="J134" s="525"/>
      <c r="K134" s="525"/>
      <c r="L134" s="525"/>
      <c r="M134" s="525"/>
      <c r="N134" s="525"/>
      <c r="O134" s="525"/>
      <c r="P134" s="525"/>
      <c r="Q134" s="525"/>
      <c r="R134" s="525"/>
      <c r="S134" s="525"/>
      <c r="T134" s="525"/>
      <c r="U134" s="525"/>
      <c r="V134" s="525"/>
      <c r="W134" s="525"/>
      <c r="X134" s="525"/>
      <c r="Y134" s="525"/>
      <c r="Z134" s="525"/>
      <c r="AA134" s="525"/>
      <c r="AB134" s="525"/>
      <c r="AC134" s="525"/>
      <c r="AD134" s="525"/>
      <c r="AE134" s="525"/>
      <c r="AF134" s="525"/>
      <c r="AG134" s="525"/>
      <c r="AH134" s="525"/>
      <c r="AI134" s="525"/>
      <c r="AJ134" s="525"/>
    </row>
    <row r="135" spans="1:36" ht="15" customHeight="1">
      <c r="A135" s="525"/>
      <c r="B135" s="525"/>
      <c r="C135" s="210" t="s">
        <v>540</v>
      </c>
      <c r="D135" s="211">
        <v>0.18</v>
      </c>
      <c r="E135" s="211">
        <v>0.18</v>
      </c>
      <c r="F135" s="525"/>
      <c r="G135" s="525"/>
      <c r="H135" s="525"/>
      <c r="I135" s="525"/>
      <c r="J135" s="525"/>
      <c r="K135" s="525"/>
      <c r="L135" s="525"/>
      <c r="M135" s="525"/>
      <c r="N135" s="525"/>
      <c r="O135" s="525"/>
      <c r="P135" s="525"/>
      <c r="Q135" s="525"/>
      <c r="R135" s="525"/>
      <c r="S135" s="525"/>
      <c r="T135" s="525"/>
      <c r="U135" s="525"/>
      <c r="V135" s="525"/>
      <c r="W135" s="525"/>
      <c r="X135" s="525"/>
      <c r="Y135" s="525"/>
      <c r="Z135" s="525"/>
      <c r="AA135" s="525"/>
      <c r="AB135" s="525"/>
      <c r="AC135" s="525"/>
      <c r="AD135" s="525"/>
      <c r="AE135" s="525"/>
      <c r="AF135" s="525"/>
      <c r="AG135" s="525"/>
      <c r="AH135" s="525"/>
      <c r="AI135" s="525"/>
      <c r="AJ135" s="525"/>
    </row>
    <row r="136" spans="1:36" ht="15" customHeight="1">
      <c r="A136" s="525"/>
      <c r="B136" s="525"/>
      <c r="C136" s="210" t="s">
        <v>541</v>
      </c>
      <c r="D136" s="211">
        <v>0.17</v>
      </c>
      <c r="E136" s="211">
        <v>0.17</v>
      </c>
      <c r="F136" s="525"/>
      <c r="G136" s="525"/>
      <c r="H136" s="525"/>
      <c r="I136" s="525"/>
      <c r="J136" s="525"/>
      <c r="K136" s="525"/>
      <c r="L136" s="525"/>
      <c r="M136" s="525"/>
      <c r="N136" s="525"/>
      <c r="O136" s="525"/>
      <c r="P136" s="525"/>
      <c r="Q136" s="525"/>
      <c r="R136" s="525"/>
      <c r="S136" s="525"/>
      <c r="T136" s="525"/>
      <c r="U136" s="525"/>
      <c r="V136" s="525"/>
      <c r="W136" s="525"/>
      <c r="X136" s="525"/>
      <c r="Y136" s="525"/>
      <c r="Z136" s="525"/>
      <c r="AA136" s="525"/>
      <c r="AB136" s="525"/>
      <c r="AC136" s="525"/>
      <c r="AD136" s="525"/>
      <c r="AE136" s="525"/>
      <c r="AF136" s="525"/>
      <c r="AG136" s="525"/>
      <c r="AH136" s="525"/>
      <c r="AI136" s="525"/>
      <c r="AJ136" s="525"/>
    </row>
    <row r="137" spans="1:36" ht="15" customHeight="1">
      <c r="A137" s="525"/>
      <c r="B137" s="525"/>
      <c r="C137" s="210" t="s">
        <v>542</v>
      </c>
      <c r="D137" s="211">
        <v>0.17</v>
      </c>
      <c r="E137" s="211">
        <v>0.17</v>
      </c>
      <c r="F137" s="525"/>
      <c r="G137" s="525"/>
      <c r="H137" s="525"/>
      <c r="I137" s="525"/>
      <c r="J137" s="525"/>
      <c r="K137" s="525"/>
      <c r="L137" s="525"/>
      <c r="M137" s="525"/>
      <c r="N137" s="525"/>
      <c r="O137" s="525"/>
      <c r="P137" s="525"/>
      <c r="Q137" s="525"/>
      <c r="R137" s="525"/>
      <c r="S137" s="525"/>
      <c r="T137" s="525"/>
      <c r="U137" s="525"/>
      <c r="V137" s="525"/>
      <c r="W137" s="525"/>
      <c r="X137" s="525"/>
      <c r="Y137" s="525"/>
      <c r="Z137" s="525"/>
      <c r="AA137" s="525"/>
      <c r="AB137" s="525"/>
      <c r="AC137" s="525"/>
      <c r="AD137" s="525"/>
      <c r="AE137" s="525"/>
      <c r="AF137" s="525"/>
      <c r="AG137" s="525"/>
      <c r="AH137" s="525"/>
      <c r="AI137" s="525"/>
      <c r="AJ137" s="525"/>
    </row>
    <row r="138" spans="1:36" ht="15" customHeight="1">
      <c r="A138" s="525"/>
      <c r="B138" s="525"/>
      <c r="C138" s="210" t="s">
        <v>543</v>
      </c>
      <c r="D138" s="211">
        <v>0.03</v>
      </c>
      <c r="E138" s="211">
        <v>0.18</v>
      </c>
      <c r="F138" s="525"/>
      <c r="G138" s="525"/>
      <c r="H138" s="525"/>
      <c r="I138" s="525"/>
      <c r="J138" s="525"/>
      <c r="K138" s="525"/>
      <c r="L138" s="525"/>
      <c r="M138" s="525"/>
      <c r="N138" s="525"/>
      <c r="O138" s="525"/>
      <c r="P138" s="525"/>
      <c r="Q138" s="525"/>
      <c r="R138" s="525"/>
      <c r="S138" s="525"/>
      <c r="T138" s="525"/>
      <c r="U138" s="525"/>
      <c r="V138" s="525"/>
      <c r="W138" s="525"/>
      <c r="X138" s="525"/>
      <c r="Y138" s="525"/>
      <c r="Z138" s="525"/>
      <c r="AA138" s="525"/>
      <c r="AB138" s="525"/>
      <c r="AC138" s="525"/>
      <c r="AD138" s="525"/>
      <c r="AE138" s="525"/>
      <c r="AF138" s="525"/>
      <c r="AG138" s="525"/>
      <c r="AH138" s="525"/>
      <c r="AI138" s="525"/>
      <c r="AJ138" s="525"/>
    </row>
    <row r="139" spans="1:36" ht="15" customHeight="1">
      <c r="A139" s="525"/>
      <c r="B139" s="525"/>
      <c r="C139" s="210" t="s">
        <v>544</v>
      </c>
      <c r="D139" s="211">
        <v>0.17</v>
      </c>
      <c r="E139" s="211">
        <v>0.17</v>
      </c>
      <c r="F139" s="525"/>
      <c r="G139" s="525"/>
      <c r="H139" s="525"/>
      <c r="I139" s="525"/>
      <c r="J139" s="525"/>
      <c r="K139" s="525"/>
      <c r="L139" s="525"/>
      <c r="M139" s="525"/>
      <c r="N139" s="525"/>
      <c r="O139" s="525"/>
      <c r="P139" s="525"/>
      <c r="Q139" s="525"/>
      <c r="R139" s="525"/>
      <c r="S139" s="525"/>
      <c r="T139" s="525"/>
      <c r="U139" s="525"/>
      <c r="V139" s="525"/>
      <c r="W139" s="525"/>
      <c r="X139" s="525"/>
      <c r="Y139" s="525"/>
      <c r="Z139" s="525"/>
      <c r="AA139" s="525"/>
      <c r="AB139" s="525"/>
      <c r="AC139" s="525"/>
      <c r="AD139" s="525"/>
      <c r="AE139" s="525"/>
      <c r="AF139" s="525"/>
      <c r="AG139" s="525"/>
      <c r="AH139" s="525"/>
      <c r="AI139" s="525"/>
      <c r="AJ139" s="525"/>
    </row>
    <row r="140" spans="1:36" ht="15" customHeight="1">
      <c r="A140" s="525"/>
      <c r="B140" s="525"/>
      <c r="C140" s="210" t="s">
        <v>545</v>
      </c>
      <c r="D140" s="211">
        <v>0.18</v>
      </c>
      <c r="E140" s="211">
        <v>0.18</v>
      </c>
      <c r="F140" s="525"/>
      <c r="G140" s="525"/>
      <c r="H140" s="525"/>
      <c r="I140" s="525"/>
      <c r="J140" s="525"/>
      <c r="K140" s="525"/>
      <c r="L140" s="525"/>
      <c r="M140" s="525"/>
      <c r="N140" s="525"/>
      <c r="O140" s="525"/>
      <c r="P140" s="525"/>
      <c r="Q140" s="525"/>
      <c r="R140" s="525"/>
      <c r="S140" s="525"/>
      <c r="T140" s="525"/>
      <c r="U140" s="525"/>
      <c r="V140" s="525"/>
      <c r="W140" s="525"/>
      <c r="X140" s="525"/>
      <c r="Y140" s="525"/>
      <c r="Z140" s="525"/>
      <c r="AA140" s="525"/>
      <c r="AB140" s="525"/>
      <c r="AC140" s="525"/>
      <c r="AD140" s="525"/>
      <c r="AE140" s="525"/>
      <c r="AF140" s="525"/>
      <c r="AG140" s="525"/>
      <c r="AH140" s="525"/>
      <c r="AI140" s="525"/>
      <c r="AJ140" s="525"/>
    </row>
    <row r="141" spans="1:36" ht="15" customHeight="1">
      <c r="A141" s="525"/>
      <c r="B141" s="525"/>
      <c r="C141" s="210" t="s">
        <v>546</v>
      </c>
      <c r="D141" s="211">
        <v>0.18</v>
      </c>
      <c r="E141" s="211">
        <v>0.18</v>
      </c>
      <c r="F141" s="525"/>
      <c r="G141" s="525"/>
      <c r="H141" s="525"/>
      <c r="I141" s="525"/>
      <c r="J141" s="525"/>
      <c r="K141" s="525"/>
      <c r="L141" s="525"/>
      <c r="M141" s="525"/>
      <c r="N141" s="525"/>
      <c r="O141" s="525"/>
      <c r="P141" s="525"/>
      <c r="Q141" s="525"/>
      <c r="R141" s="525"/>
      <c r="S141" s="525"/>
      <c r="T141" s="525"/>
      <c r="U141" s="525"/>
      <c r="V141" s="525"/>
      <c r="W141" s="525"/>
      <c r="X141" s="525"/>
      <c r="Y141" s="525"/>
      <c r="Z141" s="525"/>
      <c r="AA141" s="525"/>
      <c r="AB141" s="525"/>
      <c r="AC141" s="525"/>
      <c r="AD141" s="525"/>
      <c r="AE141" s="525"/>
      <c r="AF141" s="525"/>
      <c r="AG141" s="525"/>
      <c r="AH141" s="525"/>
      <c r="AI141" s="525"/>
      <c r="AJ141" s="525"/>
    </row>
    <row r="142" spans="1:36" ht="15" customHeight="1">
      <c r="A142" s="525"/>
      <c r="B142" s="525"/>
      <c r="C142" s="210" t="s">
        <v>547</v>
      </c>
      <c r="D142" s="211">
        <v>0.18</v>
      </c>
      <c r="E142" s="211">
        <v>0.18</v>
      </c>
      <c r="F142" s="525"/>
      <c r="G142" s="525"/>
      <c r="H142" s="525"/>
      <c r="I142" s="525"/>
      <c r="J142" s="525"/>
      <c r="K142" s="525"/>
      <c r="L142" s="525"/>
      <c r="M142" s="525"/>
      <c r="N142" s="525"/>
      <c r="O142" s="525"/>
      <c r="P142" s="525"/>
      <c r="Q142" s="525"/>
      <c r="R142" s="525"/>
      <c r="S142" s="525"/>
      <c r="T142" s="525"/>
      <c r="U142" s="525"/>
      <c r="V142" s="525"/>
      <c r="W142" s="525"/>
      <c r="X142" s="525"/>
      <c r="Y142" s="525"/>
      <c r="Z142" s="525"/>
      <c r="AA142" s="525"/>
      <c r="AB142" s="525"/>
      <c r="AC142" s="525"/>
      <c r="AD142" s="525"/>
      <c r="AE142" s="525"/>
      <c r="AF142" s="525"/>
      <c r="AG142" s="525"/>
      <c r="AH142" s="525"/>
      <c r="AI142" s="525"/>
      <c r="AJ142" s="525"/>
    </row>
    <row r="143" spans="1:36" ht="15" customHeight="1">
      <c r="A143" s="525"/>
      <c r="B143" s="525"/>
      <c r="C143" s="210" t="s">
        <v>548</v>
      </c>
      <c r="D143" s="211">
        <v>0.18</v>
      </c>
      <c r="E143" s="211">
        <v>0.18</v>
      </c>
      <c r="F143" s="525"/>
      <c r="G143" s="525"/>
      <c r="H143" s="525"/>
      <c r="I143" s="525"/>
      <c r="J143" s="525"/>
      <c r="K143" s="525"/>
      <c r="L143" s="525"/>
      <c r="M143" s="525"/>
      <c r="N143" s="525"/>
      <c r="O143" s="525"/>
      <c r="P143" s="525"/>
      <c r="Q143" s="525"/>
      <c r="R143" s="525"/>
      <c r="S143" s="525"/>
      <c r="T143" s="525"/>
      <c r="U143" s="525"/>
      <c r="V143" s="525"/>
      <c r="W143" s="525"/>
      <c r="X143" s="525"/>
      <c r="Y143" s="525"/>
      <c r="Z143" s="525"/>
      <c r="AA143" s="525"/>
      <c r="AB143" s="525"/>
      <c r="AC143" s="525"/>
      <c r="AD143" s="525"/>
      <c r="AE143" s="525"/>
      <c r="AF143" s="525"/>
      <c r="AG143" s="525"/>
      <c r="AH143" s="525"/>
      <c r="AI143" s="525"/>
      <c r="AJ143" s="525"/>
    </row>
    <row r="144" spans="1:36" ht="15" customHeight="1">
      <c r="A144" s="525"/>
      <c r="B144" s="525"/>
      <c r="C144" s="210" t="s">
        <v>549</v>
      </c>
      <c r="D144" s="211">
        <v>0.18</v>
      </c>
      <c r="E144" s="211">
        <v>0.18</v>
      </c>
      <c r="F144" s="525"/>
      <c r="G144" s="525"/>
      <c r="H144" s="525"/>
      <c r="I144" s="525"/>
      <c r="J144" s="525"/>
      <c r="K144" s="525"/>
      <c r="L144" s="525"/>
      <c r="M144" s="525"/>
      <c r="N144" s="525"/>
      <c r="O144" s="525"/>
      <c r="P144" s="525"/>
      <c r="Q144" s="525"/>
      <c r="R144" s="525"/>
      <c r="S144" s="525"/>
      <c r="T144" s="525"/>
      <c r="U144" s="525"/>
      <c r="V144" s="525"/>
      <c r="W144" s="525"/>
      <c r="X144" s="525"/>
      <c r="Y144" s="525"/>
      <c r="Z144" s="525"/>
      <c r="AA144" s="525"/>
      <c r="AB144" s="525"/>
      <c r="AC144" s="525"/>
      <c r="AD144" s="525"/>
      <c r="AE144" s="525"/>
      <c r="AF144" s="525"/>
      <c r="AG144" s="525"/>
      <c r="AH144" s="525"/>
      <c r="AI144" s="525"/>
      <c r="AJ144" s="525"/>
    </row>
    <row r="145" spans="1:36" ht="15" customHeight="1">
      <c r="A145" s="525"/>
      <c r="B145" s="525"/>
      <c r="C145" s="210" t="s">
        <v>550</v>
      </c>
      <c r="D145" s="211">
        <v>0.18</v>
      </c>
      <c r="E145" s="211">
        <v>0.18</v>
      </c>
      <c r="F145" s="525"/>
      <c r="G145" s="525"/>
      <c r="H145" s="525"/>
      <c r="I145" s="525"/>
      <c r="J145" s="525"/>
      <c r="K145" s="525"/>
      <c r="L145" s="525"/>
      <c r="M145" s="525"/>
      <c r="N145" s="525"/>
      <c r="O145" s="525"/>
      <c r="P145" s="525"/>
      <c r="Q145" s="525"/>
      <c r="R145" s="525"/>
      <c r="S145" s="525"/>
      <c r="T145" s="525"/>
      <c r="U145" s="525"/>
      <c r="V145" s="525"/>
      <c r="W145" s="525"/>
      <c r="X145" s="525"/>
      <c r="Y145" s="525"/>
      <c r="Z145" s="525"/>
      <c r="AA145" s="525"/>
      <c r="AB145" s="525"/>
      <c r="AC145" s="525"/>
      <c r="AD145" s="525"/>
      <c r="AE145" s="525"/>
      <c r="AF145" s="525"/>
      <c r="AG145" s="525"/>
      <c r="AH145" s="525"/>
      <c r="AI145" s="525"/>
      <c r="AJ145" s="525"/>
    </row>
    <row r="146" spans="1:36" ht="15" customHeight="1">
      <c r="A146" s="525"/>
      <c r="B146" s="525"/>
      <c r="C146" s="210" t="s">
        <v>551</v>
      </c>
      <c r="D146" s="211">
        <v>0.2</v>
      </c>
      <c r="E146" s="211">
        <v>0.2</v>
      </c>
      <c r="F146" s="525"/>
      <c r="G146" s="525"/>
      <c r="H146" s="525"/>
      <c r="I146" s="525"/>
      <c r="J146" s="525"/>
      <c r="K146" s="525"/>
      <c r="L146" s="525"/>
      <c r="M146" s="525"/>
      <c r="N146" s="525"/>
      <c r="O146" s="525"/>
      <c r="P146" s="525"/>
      <c r="Q146" s="525"/>
      <c r="R146" s="525"/>
      <c r="S146" s="525"/>
      <c r="T146" s="525"/>
      <c r="U146" s="525"/>
      <c r="V146" s="525"/>
      <c r="W146" s="525"/>
      <c r="X146" s="525"/>
      <c r="Y146" s="525"/>
      <c r="Z146" s="525"/>
      <c r="AA146" s="525"/>
      <c r="AB146" s="525"/>
      <c r="AC146" s="525"/>
      <c r="AD146" s="525"/>
      <c r="AE146" s="525"/>
      <c r="AF146" s="525"/>
      <c r="AG146" s="525"/>
      <c r="AH146" s="525"/>
      <c r="AI146" s="525"/>
      <c r="AJ146" s="525"/>
    </row>
    <row r="147" spans="1:36" ht="15" customHeight="1">
      <c r="A147" s="525"/>
      <c r="B147" s="525"/>
      <c r="C147" s="210" t="s">
        <v>552</v>
      </c>
      <c r="D147" s="211">
        <v>0.17499999999999999</v>
      </c>
      <c r="E147" s="211">
        <v>0.17499999999999999</v>
      </c>
      <c r="F147" s="525"/>
      <c r="G147" s="525"/>
      <c r="H147" s="525"/>
      <c r="I147" s="525"/>
      <c r="J147" s="525"/>
      <c r="K147" s="525"/>
      <c r="L147" s="525"/>
      <c r="M147" s="525"/>
      <c r="N147" s="525"/>
      <c r="O147" s="525"/>
      <c r="P147" s="525"/>
      <c r="Q147" s="525"/>
      <c r="R147" s="525"/>
      <c r="S147" s="525"/>
      <c r="T147" s="525"/>
      <c r="U147" s="525"/>
      <c r="V147" s="525"/>
      <c r="W147" s="525"/>
      <c r="X147" s="525"/>
      <c r="Y147" s="525"/>
      <c r="Z147" s="525"/>
      <c r="AA147" s="525"/>
      <c r="AB147" s="525"/>
      <c r="AC147" s="525"/>
      <c r="AD147" s="525"/>
      <c r="AE147" s="525"/>
      <c r="AF147" s="525"/>
      <c r="AG147" s="525"/>
      <c r="AH147" s="525"/>
      <c r="AI147" s="525"/>
      <c r="AJ147" s="525"/>
    </row>
    <row r="148" spans="1:36" ht="15" customHeight="1">
      <c r="A148" s="525"/>
      <c r="B148" s="525"/>
      <c r="C148" s="210" t="s">
        <v>553</v>
      </c>
      <c r="D148" s="211">
        <v>0.17</v>
      </c>
      <c r="E148" s="211">
        <v>0.17</v>
      </c>
      <c r="F148" s="525"/>
      <c r="G148" s="525"/>
      <c r="H148" s="525"/>
      <c r="I148" s="525"/>
      <c r="J148" s="525"/>
      <c r="K148" s="525"/>
      <c r="L148" s="525"/>
      <c r="M148" s="525"/>
      <c r="N148" s="525"/>
      <c r="O148" s="525"/>
      <c r="P148" s="525"/>
      <c r="Q148" s="525"/>
      <c r="R148" s="525"/>
      <c r="S148" s="525"/>
      <c r="T148" s="525"/>
      <c r="U148" s="525"/>
      <c r="V148" s="525"/>
      <c r="W148" s="525"/>
      <c r="X148" s="525"/>
      <c r="Y148" s="525"/>
      <c r="Z148" s="525"/>
      <c r="AA148" s="525"/>
      <c r="AB148" s="525"/>
      <c r="AC148" s="525"/>
      <c r="AD148" s="525"/>
      <c r="AE148" s="525"/>
      <c r="AF148" s="525"/>
      <c r="AG148" s="525"/>
      <c r="AH148" s="525"/>
      <c r="AI148" s="525"/>
      <c r="AJ148" s="525"/>
    </row>
    <row r="149" spans="1:36" ht="15" customHeight="1">
      <c r="A149" s="525"/>
      <c r="B149" s="525"/>
      <c r="C149" s="210" t="s">
        <v>554</v>
      </c>
      <c r="D149" s="211">
        <v>0.17</v>
      </c>
      <c r="E149" s="211">
        <v>0.17</v>
      </c>
      <c r="F149" s="525"/>
      <c r="G149" s="525"/>
      <c r="H149" s="525"/>
      <c r="I149" s="525"/>
      <c r="J149" s="525"/>
      <c r="K149" s="525"/>
      <c r="L149" s="525"/>
      <c r="M149" s="525"/>
      <c r="N149" s="525"/>
      <c r="O149" s="525"/>
      <c r="P149" s="525"/>
      <c r="Q149" s="525"/>
      <c r="R149" s="525"/>
      <c r="S149" s="525"/>
      <c r="T149" s="525"/>
      <c r="U149" s="525"/>
      <c r="V149" s="525"/>
      <c r="W149" s="525"/>
      <c r="X149" s="525"/>
      <c r="Y149" s="525"/>
      <c r="Z149" s="525"/>
      <c r="AA149" s="525"/>
      <c r="AB149" s="525"/>
      <c r="AC149" s="525"/>
      <c r="AD149" s="525"/>
      <c r="AE149" s="525"/>
      <c r="AF149" s="525"/>
      <c r="AG149" s="525"/>
      <c r="AH149" s="525"/>
      <c r="AI149" s="525"/>
      <c r="AJ149" s="525"/>
    </row>
    <row r="150" spans="1:36" ht="15" customHeight="1">
      <c r="A150" s="525"/>
      <c r="B150" s="525"/>
      <c r="C150" s="210" t="s">
        <v>555</v>
      </c>
      <c r="D150" s="211">
        <v>3.2000000000000001E-2</v>
      </c>
      <c r="E150" s="211">
        <v>0.18</v>
      </c>
      <c r="F150" s="525"/>
      <c r="G150" s="525"/>
      <c r="H150" s="525"/>
      <c r="I150" s="525"/>
      <c r="J150" s="525"/>
      <c r="K150" s="525"/>
      <c r="L150" s="525"/>
      <c r="M150" s="525"/>
      <c r="N150" s="525"/>
      <c r="O150" s="525"/>
      <c r="P150" s="525"/>
      <c r="Q150" s="525"/>
      <c r="R150" s="525"/>
      <c r="S150" s="525"/>
      <c r="T150" s="525"/>
      <c r="U150" s="525"/>
      <c r="V150" s="525"/>
      <c r="W150" s="525"/>
      <c r="X150" s="525"/>
      <c r="Y150" s="525"/>
      <c r="Z150" s="525"/>
      <c r="AA150" s="525"/>
      <c r="AB150" s="525"/>
      <c r="AC150" s="525"/>
      <c r="AD150" s="525"/>
      <c r="AE150" s="525"/>
      <c r="AF150" s="525"/>
      <c r="AG150" s="525"/>
      <c r="AH150" s="525"/>
      <c r="AI150" s="525"/>
      <c r="AJ150" s="525"/>
    </row>
    <row r="151" spans="1:36" ht="15" customHeight="1">
      <c r="A151" s="525"/>
      <c r="B151" s="658"/>
      <c r="C151" s="210" t="s">
        <v>556</v>
      </c>
      <c r="D151" s="211">
        <v>0.18</v>
      </c>
      <c r="E151" s="211">
        <v>0.18</v>
      </c>
      <c r="F151" s="525"/>
      <c r="G151" s="525"/>
      <c r="H151" s="525"/>
      <c r="I151" s="525"/>
      <c r="J151" s="525"/>
      <c r="K151" s="525"/>
      <c r="L151" s="525"/>
      <c r="M151" s="525"/>
      <c r="N151" s="525"/>
      <c r="O151" s="525"/>
      <c r="P151" s="525"/>
      <c r="Q151" s="525"/>
      <c r="R151" s="525"/>
      <c r="S151" s="525"/>
      <c r="T151" s="525"/>
      <c r="U151" s="525"/>
      <c r="V151" s="525"/>
      <c r="W151" s="525"/>
      <c r="X151" s="525"/>
      <c r="Y151" s="525"/>
      <c r="Z151" s="525"/>
      <c r="AA151" s="525"/>
      <c r="AB151" s="525"/>
      <c r="AC151" s="525"/>
      <c r="AD151" s="525"/>
      <c r="AE151" s="525"/>
      <c r="AF151" s="525"/>
      <c r="AG151" s="525"/>
      <c r="AH151" s="525"/>
      <c r="AI151" s="525"/>
      <c r="AJ151" s="525"/>
    </row>
    <row r="152" spans="1:36" ht="15" customHeight="1">
      <c r="A152" s="525"/>
      <c r="B152" s="658"/>
      <c r="C152" s="210" t="s">
        <v>557</v>
      </c>
      <c r="D152" s="211">
        <v>0.18</v>
      </c>
      <c r="E152" s="211">
        <v>0.18</v>
      </c>
      <c r="F152" s="525"/>
      <c r="G152" s="525"/>
      <c r="H152" s="525"/>
      <c r="I152" s="525"/>
      <c r="J152" s="525"/>
      <c r="K152" s="525"/>
      <c r="L152" s="525"/>
      <c r="M152" s="525"/>
      <c r="N152" s="525"/>
      <c r="O152" s="525"/>
      <c r="P152" s="525"/>
      <c r="Q152" s="525"/>
      <c r="R152" s="525"/>
      <c r="S152" s="525"/>
      <c r="T152" s="525"/>
      <c r="U152" s="525"/>
      <c r="V152" s="525"/>
      <c r="W152" s="525"/>
      <c r="X152" s="525"/>
      <c r="Y152" s="525"/>
      <c r="Z152" s="525"/>
      <c r="AA152" s="525"/>
      <c r="AB152" s="525"/>
      <c r="AC152" s="525"/>
      <c r="AD152" s="525"/>
      <c r="AE152" s="525"/>
      <c r="AF152" s="525"/>
      <c r="AG152" s="525"/>
      <c r="AH152" s="525"/>
      <c r="AI152" s="525"/>
      <c r="AJ152" s="525"/>
    </row>
    <row r="153" spans="1:36" ht="15" customHeight="1">
      <c r="A153" s="525"/>
      <c r="B153" s="658"/>
      <c r="C153" s="525"/>
      <c r="D153" s="525"/>
      <c r="E153" s="525"/>
      <c r="F153" s="525"/>
      <c r="G153" s="525"/>
      <c r="H153" s="525"/>
      <c r="I153" s="525"/>
      <c r="J153" s="525"/>
      <c r="K153" s="525"/>
      <c r="L153" s="525"/>
      <c r="M153" s="525"/>
      <c r="N153" s="525"/>
      <c r="O153" s="525"/>
      <c r="P153" s="525"/>
      <c r="Q153" s="525"/>
      <c r="R153" s="525"/>
      <c r="S153" s="525"/>
      <c r="T153" s="525"/>
      <c r="U153" s="525"/>
      <c r="V153" s="525"/>
      <c r="W153" s="525"/>
      <c r="X153" s="525"/>
      <c r="Y153" s="525"/>
      <c r="Z153" s="525"/>
      <c r="AA153" s="525"/>
      <c r="AB153" s="525"/>
      <c r="AC153" s="525"/>
      <c r="AD153" s="525"/>
      <c r="AE153" s="525"/>
      <c r="AF153" s="525"/>
      <c r="AG153" s="525"/>
      <c r="AH153" s="525"/>
      <c r="AI153" s="525"/>
      <c r="AJ153" s="525"/>
    </row>
    <row r="154" spans="1:36" ht="15" customHeight="1">
      <c r="A154" s="525"/>
      <c r="B154" s="525"/>
      <c r="C154" s="525"/>
      <c r="D154" s="525"/>
      <c r="E154" s="525"/>
      <c r="F154" s="525"/>
      <c r="G154" s="525"/>
      <c r="H154" s="525"/>
      <c r="I154" s="525"/>
      <c r="J154" s="525"/>
      <c r="K154" s="525"/>
      <c r="L154" s="525"/>
      <c r="M154" s="525"/>
      <c r="N154" s="525"/>
      <c r="O154" s="525"/>
      <c r="P154" s="525"/>
      <c r="Q154" s="525"/>
      <c r="R154" s="525"/>
      <c r="S154" s="525"/>
      <c r="T154" s="525"/>
      <c r="U154" s="525"/>
      <c r="V154" s="525"/>
      <c r="W154" s="525"/>
      <c r="X154" s="525"/>
      <c r="Y154" s="525"/>
      <c r="Z154" s="525"/>
      <c r="AA154" s="525"/>
      <c r="AB154" s="525"/>
      <c r="AC154" s="525"/>
      <c r="AD154" s="525"/>
      <c r="AE154" s="525"/>
      <c r="AF154" s="525"/>
      <c r="AG154" s="525"/>
      <c r="AH154" s="525"/>
      <c r="AI154" s="525"/>
      <c r="AJ154" s="525"/>
    </row>
    <row r="155" spans="1:36" ht="15" customHeight="1">
      <c r="A155" s="525"/>
      <c r="B155" s="525"/>
      <c r="C155" s="664"/>
      <c r="D155" s="664"/>
      <c r="E155" s="664"/>
      <c r="F155" s="664"/>
      <c r="G155" s="525"/>
      <c r="H155" s="525"/>
      <c r="I155" s="525"/>
      <c r="J155" s="525"/>
      <c r="K155" s="525"/>
      <c r="L155" s="525"/>
      <c r="M155" s="525"/>
      <c r="N155" s="525"/>
      <c r="O155" s="525"/>
      <c r="P155" s="525"/>
      <c r="Q155" s="525"/>
      <c r="R155" s="525"/>
      <c r="S155" s="525"/>
      <c r="T155" s="525"/>
      <c r="U155" s="525"/>
      <c r="V155" s="525"/>
      <c r="W155" s="525"/>
      <c r="X155" s="525"/>
      <c r="Y155" s="525"/>
      <c r="Z155" s="525"/>
      <c r="AA155" s="525"/>
      <c r="AB155" s="525"/>
      <c r="AC155" s="525"/>
      <c r="AD155" s="525"/>
      <c r="AE155" s="525"/>
      <c r="AF155" s="525"/>
      <c r="AG155" s="525"/>
      <c r="AH155" s="525"/>
      <c r="AI155" s="525"/>
      <c r="AJ155" s="525"/>
    </row>
    <row r="156" spans="1:36" ht="15" customHeight="1">
      <c r="A156" s="525"/>
      <c r="B156" s="525"/>
      <c r="C156" s="664"/>
      <c r="D156" s="665" t="s">
        <v>558</v>
      </c>
      <c r="E156" s="212" t="s">
        <v>536</v>
      </c>
      <c r="F156" s="664"/>
      <c r="G156" s="525"/>
      <c r="H156" s="525"/>
      <c r="I156" s="525"/>
      <c r="J156" s="525"/>
      <c r="K156" s="525"/>
      <c r="L156" s="525"/>
      <c r="M156" s="525"/>
      <c r="N156" s="525"/>
      <c r="O156" s="525"/>
      <c r="P156" s="525"/>
      <c r="Q156" s="525"/>
      <c r="R156" s="525"/>
      <c r="S156" s="525"/>
      <c r="T156" s="525"/>
      <c r="U156" s="525"/>
      <c r="V156" s="525"/>
      <c r="W156" s="525"/>
      <c r="X156" s="525"/>
      <c r="Y156" s="525"/>
      <c r="Z156" s="525"/>
      <c r="AA156" s="525"/>
      <c r="AB156" s="525"/>
      <c r="AC156" s="525"/>
      <c r="AD156" s="525"/>
      <c r="AE156" s="525"/>
      <c r="AF156" s="525"/>
      <c r="AG156" s="525"/>
      <c r="AH156" s="525"/>
      <c r="AI156" s="525"/>
      <c r="AJ156" s="525"/>
    </row>
    <row r="157" spans="1:36" ht="15" customHeight="1">
      <c r="A157" s="525"/>
      <c r="B157" s="525"/>
      <c r="C157" s="664"/>
      <c r="D157" s="664"/>
      <c r="E157" s="664"/>
      <c r="F157" s="664"/>
      <c r="G157" s="525"/>
      <c r="H157" s="525"/>
      <c r="I157" s="525"/>
      <c r="J157" s="525"/>
      <c r="K157" s="525"/>
      <c r="L157" s="525"/>
      <c r="M157" s="525"/>
      <c r="N157" s="525"/>
      <c r="O157" s="525"/>
      <c r="P157" s="525"/>
      <c r="Q157" s="525"/>
      <c r="R157" s="525"/>
      <c r="S157" s="525"/>
      <c r="T157" s="525"/>
      <c r="U157" s="525"/>
      <c r="V157" s="525"/>
      <c r="W157" s="525"/>
      <c r="X157" s="525"/>
      <c r="Y157" s="525"/>
      <c r="Z157" s="525"/>
      <c r="AA157" s="525"/>
      <c r="AB157" s="525"/>
      <c r="AC157" s="525"/>
      <c r="AD157" s="525"/>
      <c r="AE157" s="525"/>
      <c r="AF157" s="525"/>
      <c r="AG157" s="525"/>
      <c r="AH157" s="525"/>
      <c r="AI157" s="525"/>
      <c r="AJ157" s="525"/>
    </row>
    <row r="158" spans="1:36" ht="21.75" customHeight="1">
      <c r="A158" s="525"/>
      <c r="B158" s="666" t="s">
        <v>559</v>
      </c>
      <c r="C158" s="525"/>
      <c r="D158" s="525"/>
      <c r="E158" s="525"/>
      <c r="F158" s="525"/>
      <c r="G158" s="525"/>
      <c r="H158" s="525"/>
      <c r="I158" s="525"/>
      <c r="J158" s="525"/>
      <c r="K158" s="525"/>
      <c r="L158" s="525"/>
      <c r="M158" s="667"/>
      <c r="N158" s="525"/>
      <c r="O158" s="525"/>
      <c r="P158" s="525"/>
      <c r="Q158" s="525"/>
      <c r="R158" s="525"/>
      <c r="S158" s="525"/>
      <c r="T158" s="525"/>
      <c r="U158" s="525"/>
      <c r="V158" s="525"/>
      <c r="W158" s="525"/>
      <c r="X158" s="525"/>
      <c r="Y158" s="525"/>
      <c r="Z158" s="525"/>
      <c r="AA158" s="525"/>
      <c r="AB158" s="525"/>
      <c r="AC158" s="525"/>
      <c r="AD158" s="525"/>
      <c r="AE158" s="525"/>
      <c r="AF158" s="525"/>
      <c r="AG158" s="525"/>
      <c r="AH158" s="525"/>
      <c r="AI158" s="525"/>
      <c r="AJ158" s="525"/>
    </row>
    <row r="159" spans="1:36" ht="15" customHeight="1">
      <c r="A159" s="525"/>
      <c r="B159" s="793" t="s">
        <v>560</v>
      </c>
      <c r="C159" s="794" t="s">
        <v>476</v>
      </c>
      <c r="D159" s="815"/>
      <c r="E159" s="815"/>
      <c r="F159" s="815"/>
      <c r="G159" s="815"/>
      <c r="H159" s="815"/>
      <c r="I159" s="815"/>
      <c r="J159" s="820"/>
      <c r="K159" s="794" t="s">
        <v>13</v>
      </c>
      <c r="L159" s="815"/>
      <c r="M159" s="815"/>
      <c r="N159" s="815"/>
      <c r="O159" s="815"/>
      <c r="P159" s="815"/>
      <c r="Q159" s="815"/>
      <c r="R159" s="525"/>
      <c r="S159" s="525"/>
      <c r="T159" s="525"/>
      <c r="U159" s="525"/>
      <c r="V159" s="525"/>
      <c r="W159" s="525"/>
      <c r="X159" s="525"/>
      <c r="Y159" s="525"/>
      <c r="Z159" s="525"/>
      <c r="AA159" s="525"/>
      <c r="AB159" s="525"/>
      <c r="AC159" s="525"/>
      <c r="AD159" s="525"/>
      <c r="AE159" s="525"/>
      <c r="AF159" s="525"/>
      <c r="AG159" s="525"/>
      <c r="AH159" s="525"/>
      <c r="AI159" s="525"/>
      <c r="AJ159" s="525"/>
    </row>
    <row r="160" spans="1:36" ht="10.5" customHeight="1">
      <c r="A160" s="525"/>
      <c r="B160" s="816"/>
      <c r="C160" s="213" t="s">
        <v>561</v>
      </c>
      <c r="D160" s="213" t="s">
        <v>562</v>
      </c>
      <c r="E160" s="214" t="s">
        <v>563</v>
      </c>
      <c r="F160" s="214" t="s">
        <v>564</v>
      </c>
      <c r="G160" s="215" t="s">
        <v>565</v>
      </c>
      <c r="H160" s="215" t="s">
        <v>566</v>
      </c>
      <c r="I160" s="215" t="s">
        <v>567</v>
      </c>
      <c r="J160" s="215" t="s">
        <v>568</v>
      </c>
      <c r="K160" s="213" t="s">
        <v>569</v>
      </c>
      <c r="L160" s="213" t="s">
        <v>570</v>
      </c>
      <c r="M160" s="214" t="s">
        <v>563</v>
      </c>
      <c r="N160" s="214" t="s">
        <v>564</v>
      </c>
      <c r="O160" s="214" t="s">
        <v>486</v>
      </c>
      <c r="P160" s="214" t="s">
        <v>489</v>
      </c>
      <c r="Q160" s="214" t="s">
        <v>492</v>
      </c>
      <c r="R160" s="214" t="s">
        <v>571</v>
      </c>
      <c r="S160" s="795" t="s">
        <v>572</v>
      </c>
      <c r="T160" s="818"/>
      <c r="U160" s="525"/>
      <c r="V160" s="525"/>
      <c r="W160" s="525"/>
      <c r="X160" s="525"/>
      <c r="Y160" s="525"/>
      <c r="Z160" s="525"/>
      <c r="AA160" s="525"/>
      <c r="AB160" s="525"/>
      <c r="AC160" s="525"/>
      <c r="AD160" s="525"/>
      <c r="AE160" s="525"/>
      <c r="AF160" s="525"/>
      <c r="AG160" s="525"/>
      <c r="AH160" s="525"/>
      <c r="AI160" s="525"/>
      <c r="AJ160" s="525"/>
    </row>
    <row r="161" spans="1:36" ht="15" customHeight="1">
      <c r="A161" s="525"/>
      <c r="B161" s="216" t="s">
        <v>80</v>
      </c>
      <c r="C161" s="217">
        <f t="shared" ref="C161:C166" si="28">SUM(T161,R161,E161:F161)</f>
        <v>8.6499999999999994E-2</v>
      </c>
      <c r="D161" s="217">
        <f t="shared" ref="D161:D166" si="29">SUM(I161:J161)</f>
        <v>7.6800000000000007E-2</v>
      </c>
      <c r="E161" s="218">
        <v>6.4999999999999997E-3</v>
      </c>
      <c r="F161" s="218">
        <v>0.03</v>
      </c>
      <c r="G161" s="218">
        <v>0.32</v>
      </c>
      <c r="H161" s="218">
        <v>0.32</v>
      </c>
      <c r="I161" s="219">
        <f t="shared" ref="I161:I166" si="30">O161*G161</f>
        <v>4.8000000000000001E-2</v>
      </c>
      <c r="J161" s="219">
        <f t="shared" ref="J161:J166" si="31">Q161*H161</f>
        <v>2.8799999999999999E-2</v>
      </c>
      <c r="K161" s="217">
        <f t="shared" ref="K161:K166" si="32">SUM(T161,R161,M161:N161)</f>
        <v>0.14250000000000002</v>
      </c>
      <c r="L161" s="217">
        <f t="shared" ref="L161:L166" si="33">SUM(O161,Q161)</f>
        <v>0.24</v>
      </c>
      <c r="M161" s="218">
        <v>1.6500000000000001E-2</v>
      </c>
      <c r="N161" s="218">
        <v>7.5999999999999998E-2</v>
      </c>
      <c r="O161" s="218">
        <v>0.15</v>
      </c>
      <c r="P161" s="218">
        <v>0.1</v>
      </c>
      <c r="Q161" s="218">
        <v>0.09</v>
      </c>
      <c r="R161" s="220">
        <v>0.05</v>
      </c>
      <c r="S161" s="221" t="s">
        <v>355</v>
      </c>
      <c r="T161" s="217">
        <f t="shared" ref="T161:T166" si="34">IF(S161="Não",0,IF(S161="Produto",VLOOKUP(UFoper,AliqICMS,3,0),VLOOKUP(UFoper,AliqICMS,2,0)))</f>
        <v>0</v>
      </c>
      <c r="U161" s="294"/>
      <c r="V161" s="294"/>
      <c r="W161" s="294"/>
      <c r="X161" s="294"/>
      <c r="Y161" s="294"/>
      <c r="Z161" s="294"/>
      <c r="AA161" s="294"/>
      <c r="AB161" s="294"/>
      <c r="AC161" s="294"/>
      <c r="AD161" s="525"/>
      <c r="AE161" s="525"/>
      <c r="AF161" s="525"/>
      <c r="AG161" s="525"/>
      <c r="AH161" s="525"/>
      <c r="AI161" s="525"/>
      <c r="AJ161" s="525"/>
    </row>
    <row r="162" spans="1:36" ht="15" customHeight="1">
      <c r="A162" s="525"/>
      <c r="B162" s="216" t="s">
        <v>573</v>
      </c>
      <c r="C162" s="217">
        <f t="shared" si="28"/>
        <v>5.6499999999999995E-2</v>
      </c>
      <c r="D162" s="217">
        <f t="shared" si="29"/>
        <v>3.4799999999999998E-2</v>
      </c>
      <c r="E162" s="218">
        <v>6.4999999999999997E-3</v>
      </c>
      <c r="F162" s="218">
        <v>0.03</v>
      </c>
      <c r="G162" s="218">
        <v>0.16</v>
      </c>
      <c r="H162" s="218">
        <v>0.12</v>
      </c>
      <c r="I162" s="219">
        <f t="shared" si="30"/>
        <v>2.4E-2</v>
      </c>
      <c r="J162" s="219">
        <f t="shared" si="31"/>
        <v>1.0799999999999999E-2</v>
      </c>
      <c r="K162" s="217">
        <f t="shared" si="32"/>
        <v>0.1125</v>
      </c>
      <c r="L162" s="217">
        <f t="shared" si="33"/>
        <v>0.24</v>
      </c>
      <c r="M162" s="218">
        <v>1.6500000000000001E-2</v>
      </c>
      <c r="N162" s="218">
        <v>7.5999999999999998E-2</v>
      </c>
      <c r="O162" s="218">
        <v>0.15</v>
      </c>
      <c r="P162" s="218">
        <v>0.1</v>
      </c>
      <c r="Q162" s="218">
        <v>0.09</v>
      </c>
      <c r="R162" s="220">
        <v>0.02</v>
      </c>
      <c r="S162" s="221" t="s">
        <v>355</v>
      </c>
      <c r="T162" s="217">
        <f t="shared" si="34"/>
        <v>0</v>
      </c>
      <c r="U162" s="294"/>
      <c r="V162" s="294"/>
      <c r="W162" s="294"/>
      <c r="X162" s="294"/>
      <c r="Y162" s="294"/>
      <c r="Z162" s="294"/>
      <c r="AA162" s="294"/>
      <c r="AB162" s="294"/>
      <c r="AC162" s="294"/>
      <c r="AD162" s="525"/>
      <c r="AE162" s="525"/>
      <c r="AF162" s="525"/>
      <c r="AG162" s="525"/>
      <c r="AH162" s="525"/>
      <c r="AI162" s="525"/>
      <c r="AJ162" s="525"/>
    </row>
    <row r="163" spans="1:36" ht="15" customHeight="1">
      <c r="A163" s="525"/>
      <c r="B163" s="216" t="s">
        <v>84</v>
      </c>
      <c r="C163" s="217">
        <f t="shared" si="28"/>
        <v>0.2165</v>
      </c>
      <c r="D163" s="217">
        <f t="shared" si="29"/>
        <v>2.2800000000000001E-2</v>
      </c>
      <c r="E163" s="218">
        <v>6.4999999999999997E-3</v>
      </c>
      <c r="F163" s="218">
        <v>0.03</v>
      </c>
      <c r="G163" s="218">
        <v>0.08</v>
      </c>
      <c r="H163" s="218">
        <v>0.12</v>
      </c>
      <c r="I163" s="219">
        <f t="shared" si="30"/>
        <v>1.2E-2</v>
      </c>
      <c r="J163" s="219">
        <f t="shared" si="31"/>
        <v>1.0799999999999999E-2</v>
      </c>
      <c r="K163" s="217">
        <f t="shared" si="32"/>
        <v>0.27250000000000002</v>
      </c>
      <c r="L163" s="217">
        <f t="shared" si="33"/>
        <v>0.24</v>
      </c>
      <c r="M163" s="218">
        <v>1.6500000000000001E-2</v>
      </c>
      <c r="N163" s="218">
        <v>7.5999999999999998E-2</v>
      </c>
      <c r="O163" s="218">
        <v>0.15</v>
      </c>
      <c r="P163" s="218">
        <v>0.1</v>
      </c>
      <c r="Q163" s="218">
        <v>0.09</v>
      </c>
      <c r="R163" s="220">
        <v>0</v>
      </c>
      <c r="S163" s="221" t="s">
        <v>84</v>
      </c>
      <c r="T163" s="217">
        <f t="shared" si="34"/>
        <v>0.18</v>
      </c>
      <c r="U163" s="294"/>
      <c r="V163" s="294"/>
      <c r="W163" s="294"/>
      <c r="X163" s="294"/>
      <c r="Y163" s="294"/>
      <c r="Z163" s="294"/>
      <c r="AA163" s="294"/>
      <c r="AB163" s="294"/>
      <c r="AC163" s="294"/>
      <c r="AD163" s="525"/>
      <c r="AE163" s="525"/>
      <c r="AF163" s="525"/>
      <c r="AG163" s="525"/>
      <c r="AH163" s="525"/>
      <c r="AI163" s="525"/>
      <c r="AJ163" s="525"/>
    </row>
    <row r="164" spans="1:36" ht="15" customHeight="1">
      <c r="A164" s="525"/>
      <c r="B164" s="216" t="s">
        <v>86</v>
      </c>
      <c r="C164" s="217">
        <f t="shared" si="28"/>
        <v>0.2165</v>
      </c>
      <c r="D164" s="217">
        <f t="shared" si="29"/>
        <v>2.2800000000000001E-2</v>
      </c>
      <c r="E164" s="218">
        <v>6.4999999999999997E-3</v>
      </c>
      <c r="F164" s="218">
        <v>0.03</v>
      </c>
      <c r="G164" s="218">
        <v>0.08</v>
      </c>
      <c r="H164" s="218">
        <v>0.12</v>
      </c>
      <c r="I164" s="219">
        <f t="shared" si="30"/>
        <v>1.2E-2</v>
      </c>
      <c r="J164" s="219">
        <f t="shared" si="31"/>
        <v>1.0799999999999999E-2</v>
      </c>
      <c r="K164" s="217">
        <f t="shared" si="32"/>
        <v>0.27250000000000002</v>
      </c>
      <c r="L164" s="217">
        <f t="shared" si="33"/>
        <v>0.24</v>
      </c>
      <c r="M164" s="218">
        <v>1.6500000000000001E-2</v>
      </c>
      <c r="N164" s="218">
        <v>7.5999999999999998E-2</v>
      </c>
      <c r="O164" s="218">
        <v>0.15</v>
      </c>
      <c r="P164" s="218">
        <v>0.1</v>
      </c>
      <c r="Q164" s="218">
        <v>0.09</v>
      </c>
      <c r="R164" s="220">
        <v>0</v>
      </c>
      <c r="S164" s="221" t="s">
        <v>530</v>
      </c>
      <c r="T164" s="217">
        <f t="shared" si="34"/>
        <v>0.18</v>
      </c>
      <c r="U164" s="294"/>
      <c r="V164" s="294"/>
      <c r="W164" s="294"/>
      <c r="X164" s="294"/>
      <c r="Y164" s="294"/>
      <c r="Z164" s="294"/>
      <c r="AA164" s="294"/>
      <c r="AB164" s="294"/>
      <c r="AC164" s="294"/>
      <c r="AD164" s="525"/>
      <c r="AE164" s="525"/>
      <c r="AF164" s="525"/>
      <c r="AG164" s="525"/>
      <c r="AH164" s="525"/>
      <c r="AI164" s="525"/>
      <c r="AJ164" s="525"/>
    </row>
    <row r="165" spans="1:36" ht="15" customHeight="1">
      <c r="A165" s="525"/>
      <c r="B165" s="216" t="s">
        <v>574</v>
      </c>
      <c r="C165" s="217">
        <f t="shared" si="28"/>
        <v>3.6499999999999998E-2</v>
      </c>
      <c r="D165" s="217">
        <f t="shared" si="29"/>
        <v>7.6800000000000007E-2</v>
      </c>
      <c r="E165" s="218">
        <v>6.4999999999999997E-3</v>
      </c>
      <c r="F165" s="218">
        <v>0.03</v>
      </c>
      <c r="G165" s="218">
        <v>0.32</v>
      </c>
      <c r="H165" s="218">
        <v>0.32</v>
      </c>
      <c r="I165" s="219">
        <f t="shared" si="30"/>
        <v>4.8000000000000001E-2</v>
      </c>
      <c r="J165" s="219">
        <f t="shared" si="31"/>
        <v>2.8799999999999999E-2</v>
      </c>
      <c r="K165" s="217">
        <f t="shared" si="32"/>
        <v>9.2499999999999999E-2</v>
      </c>
      <c r="L165" s="217">
        <f t="shared" si="33"/>
        <v>0.24</v>
      </c>
      <c r="M165" s="218">
        <v>1.6500000000000001E-2</v>
      </c>
      <c r="N165" s="218">
        <v>7.5999999999999998E-2</v>
      </c>
      <c r="O165" s="218">
        <v>0.15</v>
      </c>
      <c r="P165" s="218">
        <v>0.1</v>
      </c>
      <c r="Q165" s="218">
        <v>0.09</v>
      </c>
      <c r="R165" s="220">
        <v>0</v>
      </c>
      <c r="S165" s="221" t="s">
        <v>355</v>
      </c>
      <c r="T165" s="217">
        <f t="shared" si="34"/>
        <v>0</v>
      </c>
      <c r="U165" s="294"/>
      <c r="V165" s="294"/>
      <c r="W165" s="294"/>
      <c r="X165" s="294"/>
      <c r="Y165" s="294"/>
      <c r="Z165" s="294"/>
      <c r="AA165" s="294"/>
      <c r="AB165" s="294"/>
      <c r="AC165" s="294"/>
      <c r="AD165" s="525"/>
      <c r="AE165" s="525"/>
      <c r="AF165" s="525"/>
      <c r="AG165" s="525"/>
      <c r="AH165" s="525"/>
      <c r="AI165" s="525"/>
      <c r="AJ165" s="525"/>
    </row>
    <row r="166" spans="1:36" ht="15" customHeight="1">
      <c r="A166" s="525"/>
      <c r="B166" s="216" t="s">
        <v>575</v>
      </c>
      <c r="C166" s="217">
        <f t="shared" si="28"/>
        <v>3.6499999999999998E-2</v>
      </c>
      <c r="D166" s="217">
        <f t="shared" si="29"/>
        <v>7.6800000000000007E-2</v>
      </c>
      <c r="E166" s="218">
        <v>6.4999999999999997E-3</v>
      </c>
      <c r="F166" s="218">
        <v>0.03</v>
      </c>
      <c r="G166" s="218">
        <v>0.32</v>
      </c>
      <c r="H166" s="218">
        <v>0.32</v>
      </c>
      <c r="I166" s="219">
        <f t="shared" si="30"/>
        <v>4.8000000000000001E-2</v>
      </c>
      <c r="J166" s="219">
        <f t="shared" si="31"/>
        <v>2.8799999999999999E-2</v>
      </c>
      <c r="K166" s="217">
        <f t="shared" si="32"/>
        <v>9.2499999999999999E-2</v>
      </c>
      <c r="L166" s="217">
        <f t="shared" si="33"/>
        <v>0.24</v>
      </c>
      <c r="M166" s="218">
        <v>1.6500000000000001E-2</v>
      </c>
      <c r="N166" s="218">
        <v>7.5999999999999998E-2</v>
      </c>
      <c r="O166" s="218">
        <v>0.15</v>
      </c>
      <c r="P166" s="218">
        <v>0.1</v>
      </c>
      <c r="Q166" s="218">
        <v>0.09</v>
      </c>
      <c r="R166" s="220">
        <v>0</v>
      </c>
      <c r="S166" s="221" t="s">
        <v>355</v>
      </c>
      <c r="T166" s="217">
        <f t="shared" si="34"/>
        <v>0</v>
      </c>
      <c r="U166" s="294"/>
      <c r="V166" s="294"/>
      <c r="W166" s="294"/>
      <c r="X166" s="294"/>
      <c r="Y166" s="294"/>
      <c r="Z166" s="294"/>
      <c r="AA166" s="294"/>
      <c r="AB166" s="294"/>
      <c r="AC166" s="294"/>
      <c r="AD166" s="525"/>
      <c r="AE166" s="525"/>
      <c r="AF166" s="525"/>
      <c r="AG166" s="525"/>
      <c r="AH166" s="525"/>
      <c r="AI166" s="525"/>
      <c r="AJ166" s="525"/>
    </row>
    <row r="167" spans="1:36" ht="15" customHeight="1">
      <c r="A167" s="525"/>
      <c r="B167" s="525"/>
      <c r="C167" s="525"/>
      <c r="D167" s="525"/>
      <c r="E167" s="525"/>
      <c r="F167" s="525"/>
      <c r="G167" s="525"/>
      <c r="H167" s="525"/>
      <c r="I167" s="525"/>
      <c r="J167" s="525"/>
      <c r="K167" s="525"/>
      <c r="L167" s="525"/>
      <c r="M167" s="525"/>
      <c r="N167" s="525"/>
      <c r="O167" s="525"/>
      <c r="P167" s="525"/>
      <c r="Q167" s="525"/>
      <c r="R167" s="525"/>
      <c r="S167" s="525"/>
      <c r="T167" s="525"/>
      <c r="U167" s="525"/>
      <c r="V167" s="525"/>
      <c r="W167" s="525"/>
      <c r="X167" s="525"/>
      <c r="Y167" s="525"/>
      <c r="Z167" s="525"/>
      <c r="AA167" s="525"/>
      <c r="AB167" s="525"/>
      <c r="AC167" s="525"/>
      <c r="AD167" s="525"/>
      <c r="AE167" s="525"/>
      <c r="AF167" s="525"/>
      <c r="AG167" s="525"/>
      <c r="AH167" s="525"/>
      <c r="AI167" s="525"/>
      <c r="AJ167" s="525"/>
    </row>
    <row r="168" spans="1:36" ht="15" customHeight="1">
      <c r="A168" s="525"/>
      <c r="B168" s="525"/>
      <c r="C168" s="525"/>
      <c r="D168" s="525"/>
      <c r="E168" s="525"/>
      <c r="F168" s="525"/>
      <c r="G168" s="525"/>
      <c r="H168" s="525"/>
      <c r="I168" s="525"/>
      <c r="J168" s="525"/>
      <c r="K168" s="525"/>
      <c r="L168" s="525"/>
      <c r="M168" s="525"/>
      <c r="N168" s="525"/>
      <c r="O168" s="525"/>
      <c r="P168" s="525"/>
      <c r="Q168" s="525"/>
      <c r="R168" s="525"/>
      <c r="S168" s="525"/>
      <c r="T168" s="525"/>
      <c r="U168" s="525"/>
      <c r="V168" s="525"/>
      <c r="W168" s="525"/>
      <c r="X168" s="525"/>
      <c r="Y168" s="525"/>
      <c r="Z168" s="525"/>
      <c r="AA168" s="525"/>
      <c r="AB168" s="525"/>
      <c r="AC168" s="525"/>
      <c r="AD168" s="525"/>
      <c r="AE168" s="525"/>
      <c r="AF168" s="525"/>
      <c r="AG168" s="525"/>
      <c r="AH168" s="525"/>
      <c r="AI168" s="525"/>
      <c r="AJ168" s="525"/>
    </row>
    <row r="169" spans="1:36" ht="15" customHeight="1">
      <c r="A169" s="525"/>
      <c r="B169" s="658"/>
      <c r="C169" s="525"/>
      <c r="D169" s="525"/>
      <c r="E169" s="525"/>
      <c r="F169" s="525"/>
      <c r="G169" s="525"/>
      <c r="H169" s="525"/>
      <c r="I169" s="525"/>
      <c r="J169" s="525"/>
      <c r="K169" s="525"/>
      <c r="L169" s="525"/>
      <c r="M169" s="525"/>
      <c r="N169" s="525"/>
      <c r="O169" s="525"/>
      <c r="P169" s="525"/>
      <c r="Q169" s="525"/>
      <c r="R169" s="525"/>
      <c r="S169" s="525"/>
      <c r="T169" s="525"/>
      <c r="U169" s="525"/>
      <c r="V169" s="525"/>
      <c r="W169" s="525"/>
      <c r="X169" s="525"/>
      <c r="Y169" s="525"/>
      <c r="Z169" s="525"/>
      <c r="AA169" s="525"/>
      <c r="AB169" s="525"/>
      <c r="AC169" s="525"/>
      <c r="AD169" s="525"/>
      <c r="AE169" s="525"/>
      <c r="AF169" s="525"/>
      <c r="AG169" s="525"/>
      <c r="AH169" s="525"/>
      <c r="AI169" s="525"/>
      <c r="AJ169" s="525"/>
    </row>
    <row r="170" spans="1:36" ht="15" customHeight="1">
      <c r="A170" s="525"/>
      <c r="B170" s="659" t="s">
        <v>576</v>
      </c>
      <c r="C170" s="525"/>
      <c r="D170" s="525"/>
      <c r="E170" s="525"/>
      <c r="F170" s="525"/>
      <c r="G170" s="525"/>
      <c r="H170" s="525"/>
      <c r="I170" s="525"/>
      <c r="J170" s="525"/>
      <c r="K170" s="525"/>
      <c r="L170" s="525"/>
      <c r="M170" s="525"/>
      <c r="N170" s="525"/>
      <c r="O170" s="525"/>
      <c r="P170" s="525"/>
      <c r="Q170" s="525"/>
      <c r="R170" s="525"/>
      <c r="S170" s="525"/>
      <c r="T170" s="525"/>
      <c r="U170" s="525"/>
      <c r="V170" s="525"/>
      <c r="W170" s="525"/>
      <c r="X170" s="525"/>
      <c r="Y170" s="525"/>
      <c r="Z170" s="525"/>
      <c r="AA170" s="525"/>
      <c r="AB170" s="525"/>
      <c r="AC170" s="525"/>
      <c r="AD170" s="525"/>
      <c r="AE170" s="525"/>
      <c r="AF170" s="525"/>
      <c r="AG170" s="525"/>
      <c r="AH170" s="525"/>
      <c r="AI170" s="525"/>
      <c r="AJ170" s="525"/>
    </row>
    <row r="171" spans="1:36" ht="15" customHeight="1">
      <c r="A171" s="660"/>
      <c r="B171" s="203" t="s">
        <v>526</v>
      </c>
      <c r="C171" s="203" t="s">
        <v>165</v>
      </c>
      <c r="D171" s="204">
        <v>1</v>
      </c>
      <c r="E171" s="204">
        <v>2</v>
      </c>
      <c r="F171" s="204">
        <v>3</v>
      </c>
      <c r="G171" s="204">
        <v>4</v>
      </c>
      <c r="H171" s="204">
        <v>5</v>
      </c>
      <c r="I171" s="204">
        <v>6</v>
      </c>
      <c r="J171" s="204">
        <v>7</v>
      </c>
      <c r="K171" s="204">
        <v>8</v>
      </c>
      <c r="L171" s="204">
        <v>9</v>
      </c>
      <c r="M171" s="204">
        <v>10</v>
      </c>
      <c r="N171" s="204">
        <v>11</v>
      </c>
      <c r="O171" s="204">
        <v>12</v>
      </c>
      <c r="P171" s="204">
        <v>13</v>
      </c>
      <c r="Q171" s="204">
        <v>14</v>
      </c>
      <c r="R171" s="204">
        <v>15</v>
      </c>
      <c r="S171" s="204">
        <v>16</v>
      </c>
      <c r="T171" s="204">
        <v>17</v>
      </c>
      <c r="U171" s="204">
        <v>18</v>
      </c>
      <c r="V171" s="204">
        <v>19</v>
      </c>
      <c r="W171" s="204">
        <v>20</v>
      </c>
      <c r="X171" s="204">
        <v>21</v>
      </c>
      <c r="Y171" s="204">
        <v>22</v>
      </c>
      <c r="Z171" s="204">
        <v>23</v>
      </c>
      <c r="AA171" s="204">
        <v>24</v>
      </c>
      <c r="AB171" s="204">
        <v>25</v>
      </c>
      <c r="AC171" s="204">
        <v>26</v>
      </c>
      <c r="AD171" s="204">
        <v>27</v>
      </c>
      <c r="AE171" s="204">
        <v>28</v>
      </c>
      <c r="AF171" s="204">
        <v>29</v>
      </c>
      <c r="AG171" s="204">
        <v>30</v>
      </c>
      <c r="AH171" s="525"/>
      <c r="AI171" s="660"/>
      <c r="AJ171" s="660"/>
    </row>
    <row r="172" spans="1:36" ht="15" customHeight="1">
      <c r="A172" s="660"/>
      <c r="B172" s="205" t="str">
        <f>'A4 - Previsão de Receita Bruta'!B7</f>
        <v>Ingresso</v>
      </c>
      <c r="C172" s="206" t="str">
        <f t="shared" ref="C172:C191" si="35">IFERROR(VLOOKUP(B172,ReceitaPorTipo,24,0),0)</f>
        <v>Serviços</v>
      </c>
      <c r="D172" s="207">
        <f>IFERROR('A4 - Previsão de Receita Bruta'!C7*VLOOKUP($C172,AliqPorTipo,COLUMN($C160)-1,0),0)</f>
        <v>1221314.6924999999</v>
      </c>
      <c r="E172" s="207">
        <f>IFERROR('A4 - Previsão de Receita Bruta'!D7*VLOOKUP($C172,AliqPorTipo,COLUMN($C160)-1,0),0)</f>
        <v>2526896.5604999997</v>
      </c>
      <c r="F172" s="207">
        <f>IFERROR('A4 - Previsão de Receita Bruta'!E7*VLOOKUP($C172,AliqPorTipo,COLUMN($C160)-1,0),0)</f>
        <v>2614057.4205</v>
      </c>
      <c r="G172" s="207">
        <f>IFERROR('A4 - Previsão de Receita Bruta'!F7*VLOOKUP($C172,AliqPorTipo,COLUMN($C160)-1,0),0)</f>
        <v>2698478.7389999996</v>
      </c>
      <c r="H172" s="207">
        <f>IFERROR('A4 - Previsão de Receita Bruta'!G7*VLOOKUP($C172,AliqPorTipo,COLUMN($C160)-1,0),0)</f>
        <v>2784240.6344999997</v>
      </c>
      <c r="I172" s="207">
        <f>IFERROR('A4 - Previsão de Receita Bruta'!H7*VLOOKUP($C172,AliqPorTipo,COLUMN($C160)-1,0),0)</f>
        <v>2871506.5919999997</v>
      </c>
      <c r="J172" s="207">
        <f>IFERROR('A4 - Previsão de Receita Bruta'!I7*VLOOKUP($C172,AliqPorTipo,COLUMN($C160)-1,0),0)</f>
        <v>2961231.8309999998</v>
      </c>
      <c r="K172" s="207">
        <f>IFERROR('A4 - Previsão de Receita Bruta'!J7*VLOOKUP($C172,AliqPorTipo,COLUMN($C160)-1,0),0)</f>
        <v>3053575.1654999997</v>
      </c>
      <c r="L172" s="207">
        <f>IFERROR('A4 - Previsão de Receita Bruta'!K7*VLOOKUP($C172,AliqPorTipo,COLUMN($C160)-1,0),0)</f>
        <v>3147600.0599999996</v>
      </c>
      <c r="M172" s="207">
        <f>IFERROR('A4 - Previsão de Receita Bruta'!L7*VLOOKUP($C172,AliqPorTipo,COLUMN($C160)-1,0),0)</f>
        <v>3243381.2504999996</v>
      </c>
      <c r="N172" s="207">
        <f>IFERROR('A4 - Previsão de Receita Bruta'!M7*VLOOKUP($C172,AliqPorTipo,COLUMN($C160)-1,0),0)</f>
        <v>3342156.5519999997</v>
      </c>
      <c r="O172" s="207">
        <f>IFERROR('A4 - Previsão de Receita Bruta'!N7*VLOOKUP($C172,AliqPorTipo,COLUMN($C160)-1,0),0)</f>
        <v>3443888.5964999995</v>
      </c>
      <c r="P172" s="207">
        <f>IFERROR('A4 - Previsão de Receita Bruta'!O7*VLOOKUP($C172,AliqPorTipo,COLUMN($C160)-1,0),0)</f>
        <v>3548869.3214999996</v>
      </c>
      <c r="Q172" s="207">
        <f>IFERROR('A4 - Previsão de Receita Bruta'!P7*VLOOKUP($C172,AliqPorTipo,COLUMN($C160)-1,0),0)</f>
        <v>3657021.6554999999</v>
      </c>
      <c r="R172" s="207">
        <f>IFERROR('A4 - Previsão de Receita Bruta'!Q7*VLOOKUP($C172,AliqPorTipo,COLUMN($C160)-1,0),0)</f>
        <v>3768425.0054999995</v>
      </c>
      <c r="S172" s="207">
        <f>IFERROR('A4 - Previsão de Receita Bruta'!R7*VLOOKUP($C172,AliqPorTipo,COLUMN($C160)-1,0),0)</f>
        <v>3882883.1894999999</v>
      </c>
      <c r="T172" s="207">
        <f>IFERROR('A4 - Previsão de Receita Bruta'!S7*VLOOKUP($C172,AliqPorTipo,COLUMN($C160)-1,0),0)</f>
        <v>4000256.0774999997</v>
      </c>
      <c r="U172" s="207">
        <f>IFERROR('A4 - Previsão de Receita Bruta'!T7*VLOOKUP($C172,AliqPorTipo,COLUMN($C160)-1,0),0)</f>
        <v>4120127.9504999998</v>
      </c>
      <c r="V172" s="207">
        <f>IFERROR('A4 - Previsão de Receita Bruta'!U7*VLOOKUP($C172,AliqPorTipo,COLUMN($C160)-1,0),0)</f>
        <v>4242192.858</v>
      </c>
      <c r="W172" s="207">
        <f>IFERROR('A4 - Previsão de Receita Bruta'!V7*VLOOKUP($C172,AliqPorTipo,COLUMN($C160)-1,0),0)</f>
        <v>4365883.2735000001</v>
      </c>
      <c r="X172" s="207">
        <f>IFERROR('A4 - Previsão de Receita Bruta'!W7*VLOOKUP($C172,AliqPorTipo,COLUMN($C160)-1,0),0)</f>
        <v>4365883.2735000001</v>
      </c>
      <c r="Y172" s="207">
        <f>IFERROR('A4 - Previsão de Receita Bruta'!X7*VLOOKUP($C172,AliqPorTipo,COLUMN($C160)-1,0),0)</f>
        <v>4365883.2735000001</v>
      </c>
      <c r="Z172" s="207">
        <f>IFERROR('A4 - Previsão de Receita Bruta'!Y7*VLOOKUP($C172,AliqPorTipo,COLUMN($C160)-1,0),0)</f>
        <v>4365883.2735000001</v>
      </c>
      <c r="AA172" s="207">
        <f>IFERROR('A4 - Previsão de Receita Bruta'!Z7*VLOOKUP($C172,AliqPorTipo,COLUMN($C160)-1,0),0)</f>
        <v>4365883.2735000001</v>
      </c>
      <c r="AB172" s="207">
        <f>IFERROR('A4 - Previsão de Receita Bruta'!AA7*VLOOKUP($C172,AliqPorTipo,COLUMN($C160)-1,0),0)</f>
        <v>4365883.2735000001</v>
      </c>
      <c r="AC172" s="207">
        <f>IFERROR('A4 - Previsão de Receita Bruta'!AB7*VLOOKUP($C172,AliqPorTipo,COLUMN($C160)-1,0),0)</f>
        <v>4365883.2735000001</v>
      </c>
      <c r="AD172" s="207">
        <f>IFERROR('A4 - Previsão de Receita Bruta'!AC7*VLOOKUP($C172,AliqPorTipo,COLUMN($C160)-1,0),0)</f>
        <v>4365883.2735000001</v>
      </c>
      <c r="AE172" s="207">
        <f>IFERROR('A4 - Previsão de Receita Bruta'!AD7*VLOOKUP($C172,AliqPorTipo,COLUMN($C160)-1,0),0)</f>
        <v>4365883.2735000001</v>
      </c>
      <c r="AF172" s="207">
        <f>IFERROR('A4 - Previsão de Receita Bruta'!AE7*VLOOKUP($C172,AliqPorTipo,COLUMN($C160)-1,0),0)</f>
        <v>4365883.2735000001</v>
      </c>
      <c r="AG172" s="207">
        <f>IFERROR('A4 - Previsão de Receita Bruta'!AF7*VLOOKUP($C172,AliqPorTipo,COLUMN($C160)-1,0),0)</f>
        <v>4365883.2735000001</v>
      </c>
      <c r="AH172" s="525"/>
      <c r="AI172" s="660"/>
      <c r="AJ172" s="660"/>
    </row>
    <row r="173" spans="1:36" ht="15" customHeight="1">
      <c r="A173" s="660"/>
      <c r="B173" s="205" t="str">
        <f>'A4 - Previsão de Receita Bruta'!B8</f>
        <v>Preá - Alimentação</v>
      </c>
      <c r="C173" s="206" t="str">
        <f t="shared" si="35"/>
        <v>Alimentação</v>
      </c>
      <c r="D173" s="207">
        <f>IFERROR('A4 - Previsão de Receita Bruta'!C8*VLOOKUP($C173,AliqPorTipo,COLUMN($C161)-1,0),0)</f>
        <v>0</v>
      </c>
      <c r="E173" s="207">
        <f>IFERROR('A4 - Previsão de Receita Bruta'!D8*VLOOKUP($C173,AliqPorTipo,COLUMN($C161)-1,0),0)</f>
        <v>468484.35</v>
      </c>
      <c r="F173" s="207">
        <f>IFERROR('A4 - Previsão de Receita Bruta'!E8*VLOOKUP($C173,AliqPorTipo,COLUMN($C161)-1,0),0)</f>
        <v>484646.07500000001</v>
      </c>
      <c r="G173" s="207">
        <f>IFERROR('A4 - Previsão de Receita Bruta'!F8*VLOOKUP($C173,AliqPorTipo,COLUMN($C161)-1,0),0)</f>
        <v>500293.61249999999</v>
      </c>
      <c r="H173" s="207">
        <f>IFERROR('A4 - Previsão de Receita Bruta'!G8*VLOOKUP($C173,AliqPorTipo,COLUMN($C161)-1,0),0)</f>
        <v>516195.53749999998</v>
      </c>
      <c r="I173" s="207">
        <f>IFERROR('A4 - Previsão de Receita Bruta'!H8*VLOOKUP($C173,AliqPorTipo,COLUMN($C161)-1,0),0)</f>
        <v>532373.5</v>
      </c>
      <c r="J173" s="207">
        <f>IFERROR('A4 - Previsão de Receita Bruta'!I8*VLOOKUP($C173,AliqPorTipo,COLUMN($C161)-1,0),0)</f>
        <v>549011.52500000002</v>
      </c>
      <c r="K173" s="207">
        <f>IFERROR('A4 - Previsão de Receita Bruta'!J8*VLOOKUP($C173,AliqPorTipo,COLUMN($C161)-1,0),0)</f>
        <v>566131.26249999995</v>
      </c>
      <c r="L173" s="207">
        <f>IFERROR('A4 - Previsão de Receita Bruta'!K8*VLOOKUP($C173,AliqPorTipo,COLUMN($C161)-1,0),0)</f>
        <v>583564.92500000005</v>
      </c>
      <c r="M173" s="207">
        <f>IFERROR('A4 - Previsão de Receita Bruta'!L8*VLOOKUP($C173,AliqPorTipo,COLUMN($C161)-1,0),0)</f>
        <v>601317.92500000005</v>
      </c>
      <c r="N173" s="207">
        <f>IFERROR('A4 - Previsão de Receita Bruta'!M8*VLOOKUP($C173,AliqPorTipo,COLUMN($C161)-1,0),0)</f>
        <v>619633.82499999995</v>
      </c>
      <c r="O173" s="207">
        <f>IFERROR('A4 - Previsão de Receita Bruta'!N8*VLOOKUP($C173,AliqPorTipo,COLUMN($C161)-1,0),0)</f>
        <v>638496.38749999995</v>
      </c>
      <c r="P173" s="207">
        <f>IFERROR('A4 - Previsão de Receita Bruta'!O8*VLOOKUP($C173,AliqPorTipo,COLUMN($C161)-1,0),0)</f>
        <v>657959.73750000005</v>
      </c>
      <c r="Q173" s="207">
        <f>IFERROR('A4 - Previsão de Receita Bruta'!P8*VLOOKUP($C173,AliqPorTipo,COLUMN($C161)-1,0),0)</f>
        <v>678007.63749999995</v>
      </c>
      <c r="R173" s="207">
        <f>IFERROR('A4 - Previsão de Receita Bruta'!Q8*VLOOKUP($C173,AliqPorTipo,COLUMN($C161)-1,0),0)</f>
        <v>698661.73750000005</v>
      </c>
      <c r="S173" s="207">
        <f>IFERROR('A4 - Previsão de Receita Bruta'!R8*VLOOKUP($C173,AliqPorTipo,COLUMN($C161)-1,0),0)</f>
        <v>719884.15</v>
      </c>
      <c r="T173" s="207">
        <f>IFERROR('A4 - Previsão de Receita Bruta'!S8*VLOOKUP($C173,AliqPorTipo,COLUMN($C161)-1,0),0)</f>
        <v>741642.4</v>
      </c>
      <c r="U173" s="207">
        <f>IFERROR('A4 - Previsão de Receita Bruta'!T8*VLOOKUP($C173,AliqPorTipo,COLUMN($C161)-1,0),0)</f>
        <v>763866.125</v>
      </c>
      <c r="V173" s="207">
        <f>IFERROR('A4 - Previsão de Receita Bruta'!U8*VLOOKUP($C173,AliqPorTipo,COLUMN($C161)-1,0),0)</f>
        <v>786501.2</v>
      </c>
      <c r="W173" s="207">
        <f>IFERROR('A4 - Previsão de Receita Bruta'!V8*VLOOKUP($C173,AliqPorTipo,COLUMN($C161)-1,0),0)</f>
        <v>809433.96250000002</v>
      </c>
      <c r="X173" s="207">
        <f>IFERROR('A4 - Previsão de Receita Bruta'!W8*VLOOKUP($C173,AliqPorTipo,COLUMN($C161)-1,0),0)</f>
        <v>809433.96250000002</v>
      </c>
      <c r="Y173" s="207">
        <f>IFERROR('A4 - Previsão de Receita Bruta'!X8*VLOOKUP($C173,AliqPorTipo,COLUMN($C161)-1,0),0)</f>
        <v>809433.96250000002</v>
      </c>
      <c r="Z173" s="207">
        <f>IFERROR('A4 - Previsão de Receita Bruta'!Y8*VLOOKUP($C173,AliqPorTipo,COLUMN($C161)-1,0),0)</f>
        <v>809433.96250000002</v>
      </c>
      <c r="AA173" s="207">
        <f>IFERROR('A4 - Previsão de Receita Bruta'!Z8*VLOOKUP($C173,AliqPorTipo,COLUMN($C161)-1,0),0)</f>
        <v>809433.96250000002</v>
      </c>
      <c r="AB173" s="207">
        <f>IFERROR('A4 - Previsão de Receita Bruta'!AA8*VLOOKUP($C173,AliqPorTipo,COLUMN($C161)-1,0),0)</f>
        <v>809433.96250000002</v>
      </c>
      <c r="AC173" s="207">
        <f>IFERROR('A4 - Previsão de Receita Bruta'!AB8*VLOOKUP($C173,AliqPorTipo,COLUMN($C161)-1,0),0)</f>
        <v>809433.96250000002</v>
      </c>
      <c r="AD173" s="207">
        <f>IFERROR('A4 - Previsão de Receita Bruta'!AC8*VLOOKUP($C173,AliqPorTipo,COLUMN($C161)-1,0),0)</f>
        <v>809433.96250000002</v>
      </c>
      <c r="AE173" s="207">
        <f>IFERROR('A4 - Previsão de Receita Bruta'!AD8*VLOOKUP($C173,AliqPorTipo,COLUMN($C161)-1,0),0)</f>
        <v>809433.96250000002</v>
      </c>
      <c r="AF173" s="207">
        <f>IFERROR('A4 - Previsão de Receita Bruta'!AE8*VLOOKUP($C173,AliqPorTipo,COLUMN($C161)-1,0),0)</f>
        <v>809433.96250000002</v>
      </c>
      <c r="AG173" s="207">
        <f>IFERROR('A4 - Previsão de Receita Bruta'!AF8*VLOOKUP($C173,AliqPorTipo,COLUMN($C161)-1,0),0)</f>
        <v>809433.96250000002</v>
      </c>
      <c r="AH173" s="525"/>
      <c r="AI173" s="660"/>
      <c r="AJ173" s="660"/>
    </row>
    <row r="174" spans="1:36" ht="15" customHeight="1">
      <c r="A174" s="660"/>
      <c r="B174" s="205" t="str">
        <f>'A4 - Previsão de Receita Bruta'!B9</f>
        <v>Preá - Comércio</v>
      </c>
      <c r="C174" s="206" t="str">
        <f t="shared" si="35"/>
        <v>Comércio</v>
      </c>
      <c r="D174" s="207">
        <f>IFERROR('A4 - Previsão de Receita Bruta'!C9*VLOOKUP($C174,AliqPorTipo,COLUMN($C162)-1,0),0)</f>
        <v>0</v>
      </c>
      <c r="E174" s="207">
        <f>IFERROR('A4 - Previsão de Receita Bruta'!D9*VLOOKUP($C174,AliqPorTipo,COLUMN($C162)-1,0),0)</f>
        <v>156161.45000000001</v>
      </c>
      <c r="F174" s="207">
        <f>IFERROR('A4 - Previsão de Receita Bruta'!E9*VLOOKUP($C174,AliqPorTipo,COLUMN($C162)-1,0),0)</f>
        <v>161552.29999999999</v>
      </c>
      <c r="G174" s="207">
        <f>IFERROR('A4 - Previsão de Receita Bruta'!F9*VLOOKUP($C174,AliqPorTipo,COLUMN($C162)-1,0),0)</f>
        <v>166769.95000000001</v>
      </c>
      <c r="H174" s="207">
        <f>IFERROR('A4 - Previsão de Receita Bruta'!G9*VLOOKUP($C174,AliqPorTipo,COLUMN($C162)-1,0),0)</f>
        <v>172063.375</v>
      </c>
      <c r="I174" s="207">
        <f>IFERROR('A4 - Previsão de Receita Bruta'!H9*VLOOKUP($C174,AliqPorTipo,COLUMN($C162)-1,0),0)</f>
        <v>177454.22500000001</v>
      </c>
      <c r="J174" s="207">
        <f>IFERROR('A4 - Previsão de Receita Bruta'!I9*VLOOKUP($C174,AliqPorTipo,COLUMN($C162)-1,0),0)</f>
        <v>183007.45</v>
      </c>
      <c r="K174" s="207">
        <f>IFERROR('A4 - Previsão de Receita Bruta'!J9*VLOOKUP($C174,AliqPorTipo,COLUMN($C162)-1,0),0)</f>
        <v>188712.22500000001</v>
      </c>
      <c r="L174" s="207">
        <f>IFERROR('A4 - Previsão de Receita Bruta'!K9*VLOOKUP($C174,AliqPorTipo,COLUMN($C162)-1,0),0)</f>
        <v>194525.25</v>
      </c>
      <c r="M174" s="207">
        <f>IFERROR('A4 - Previsão de Receita Bruta'!L9*VLOOKUP($C174,AliqPorTipo,COLUMN($C162)-1,0),0)</f>
        <v>200435.7</v>
      </c>
      <c r="N174" s="207">
        <f>IFERROR('A4 - Previsão de Receita Bruta'!M9*VLOOKUP($C174,AliqPorTipo,COLUMN($C162)-1,0),0)</f>
        <v>206541</v>
      </c>
      <c r="O174" s="207">
        <f>IFERROR('A4 - Previsão de Receita Bruta'!N9*VLOOKUP($C174,AliqPorTipo,COLUMN($C162)-1,0),0)</f>
        <v>212830.32500000001</v>
      </c>
      <c r="P174" s="207">
        <f>IFERROR('A4 - Previsão de Receita Bruta'!O9*VLOOKUP($C174,AliqPorTipo,COLUMN($C162)-1,0),0)</f>
        <v>219314.5</v>
      </c>
      <c r="Q174" s="207">
        <f>IFERROR('A4 - Previsão de Receita Bruta'!P9*VLOOKUP($C174,AliqPorTipo,COLUMN($C162)-1,0),0)</f>
        <v>226004.35</v>
      </c>
      <c r="R174" s="207">
        <f>IFERROR('A4 - Previsão de Receita Bruta'!Q9*VLOOKUP($C174,AliqPorTipo,COLUMN($C162)-1,0),0)</f>
        <v>232889.05</v>
      </c>
      <c r="S174" s="207">
        <f>IFERROR('A4 - Previsão de Receita Bruta'!R9*VLOOKUP($C174,AliqPorTipo,COLUMN($C162)-1,0),0)</f>
        <v>239957.77499999999</v>
      </c>
      <c r="T174" s="207">
        <f>IFERROR('A4 - Previsão de Receita Bruta'!S9*VLOOKUP($C174,AliqPorTipo,COLUMN($C162)-1,0),0)</f>
        <v>247210.52499999999</v>
      </c>
      <c r="U174" s="207">
        <f>IFERROR('A4 - Previsão de Receita Bruta'!T9*VLOOKUP($C174,AliqPorTipo,COLUMN($C162)-1,0),0)</f>
        <v>254625.65</v>
      </c>
      <c r="V174" s="207">
        <f>IFERROR('A4 - Previsão de Receita Bruta'!U9*VLOOKUP($C174,AliqPorTipo,COLUMN($C162)-1,0),0)</f>
        <v>262170.67499999999</v>
      </c>
      <c r="W174" s="207">
        <f>IFERROR('A4 - Previsão de Receita Bruta'!V9*VLOOKUP($C174,AliqPorTipo,COLUMN($C162)-1,0),0)</f>
        <v>269813.125</v>
      </c>
      <c r="X174" s="207">
        <f>IFERROR('A4 - Previsão de Receita Bruta'!W9*VLOOKUP($C174,AliqPorTipo,COLUMN($C162)-1,0),0)</f>
        <v>269813.125</v>
      </c>
      <c r="Y174" s="207">
        <f>IFERROR('A4 - Previsão de Receita Bruta'!X9*VLOOKUP($C174,AliqPorTipo,COLUMN($C162)-1,0),0)</f>
        <v>269813.125</v>
      </c>
      <c r="Z174" s="207">
        <f>IFERROR('A4 - Previsão de Receita Bruta'!Y9*VLOOKUP($C174,AliqPorTipo,COLUMN($C162)-1,0),0)</f>
        <v>269813.125</v>
      </c>
      <c r="AA174" s="207">
        <f>IFERROR('A4 - Previsão de Receita Bruta'!Z9*VLOOKUP($C174,AliqPorTipo,COLUMN($C162)-1,0),0)</f>
        <v>269813.125</v>
      </c>
      <c r="AB174" s="207">
        <f>IFERROR('A4 - Previsão de Receita Bruta'!AA9*VLOOKUP($C174,AliqPorTipo,COLUMN($C162)-1,0),0)</f>
        <v>269813.125</v>
      </c>
      <c r="AC174" s="207">
        <f>IFERROR('A4 - Previsão de Receita Bruta'!AB9*VLOOKUP($C174,AliqPorTipo,COLUMN($C162)-1,0),0)</f>
        <v>269813.125</v>
      </c>
      <c r="AD174" s="207">
        <f>IFERROR('A4 - Previsão de Receita Bruta'!AC9*VLOOKUP($C174,AliqPorTipo,COLUMN($C162)-1,0),0)</f>
        <v>269813.125</v>
      </c>
      <c r="AE174" s="207">
        <f>IFERROR('A4 - Previsão de Receita Bruta'!AD9*VLOOKUP($C174,AliqPorTipo,COLUMN($C162)-1,0),0)</f>
        <v>269813.125</v>
      </c>
      <c r="AF174" s="207">
        <f>IFERROR('A4 - Previsão de Receita Bruta'!AE9*VLOOKUP($C174,AliqPorTipo,COLUMN($C162)-1,0),0)</f>
        <v>269813.125</v>
      </c>
      <c r="AG174" s="207">
        <f>IFERROR('A4 - Previsão de Receita Bruta'!AF9*VLOOKUP($C174,AliqPorTipo,COLUMN($C162)-1,0),0)</f>
        <v>269813.125</v>
      </c>
      <c r="AH174" s="525"/>
      <c r="AI174" s="660"/>
      <c r="AJ174" s="660"/>
    </row>
    <row r="175" spans="1:36" ht="15" customHeight="1">
      <c r="A175" s="660"/>
      <c r="B175" s="205" t="str">
        <f>'A4 - Previsão de Receita Bruta'!B10</f>
        <v>Preá - Estacionamento</v>
      </c>
      <c r="C175" s="206" t="str">
        <f t="shared" si="35"/>
        <v>Serviços</v>
      </c>
      <c r="D175" s="207">
        <f>IFERROR('A4 - Previsão de Receita Bruta'!C10*VLOOKUP($C175,AliqPorTipo,COLUMN($C163)-1,0),0)</f>
        <v>0</v>
      </c>
      <c r="E175" s="207">
        <f>IFERROR('A4 - Previsão de Receita Bruta'!D10*VLOOKUP($C175,AliqPorTipo,COLUMN($C163)-1,0),0)</f>
        <v>101075.76899999999</v>
      </c>
      <c r="F175" s="207">
        <f>IFERROR('A4 - Previsão de Receita Bruta'!E10*VLOOKUP($C175,AliqPorTipo,COLUMN($C163)-1,0),0)</f>
        <v>104560.33499999999</v>
      </c>
      <c r="G175" s="207">
        <f>IFERROR('A4 - Previsão de Receita Bruta'!F10*VLOOKUP($C175,AliqPorTipo,COLUMN($C163)-1,0),0)</f>
        <v>107937.46799999999</v>
      </c>
      <c r="H175" s="207">
        <f>IFERROR('A4 - Previsão de Receita Bruta'!G10*VLOOKUP($C175,AliqPorTipo,COLUMN($C163)-1,0),0)</f>
        <v>111370.65299999999</v>
      </c>
      <c r="I175" s="207">
        <f>IFERROR('A4 - Previsão de Receita Bruta'!H10*VLOOKUP($C175,AliqPorTipo,COLUMN($C163)-1,0),0)</f>
        <v>114859.88999999998</v>
      </c>
      <c r="J175" s="207">
        <f>IFERROR('A4 - Previsão de Receita Bruta'!I10*VLOOKUP($C175,AliqPorTipo,COLUMN($C163)-1,0),0)</f>
        <v>118447.21799999999</v>
      </c>
      <c r="K175" s="207">
        <f>IFERROR('A4 - Previsão de Receita Bruta'!J10*VLOOKUP($C175,AliqPorTipo,COLUMN($C163)-1,0),0)</f>
        <v>122141.97899999999</v>
      </c>
      <c r="L175" s="207">
        <f>IFERROR('A4 - Previsão de Receita Bruta'!K10*VLOOKUP($C175,AliqPorTipo,COLUMN($C163)-1,0),0)</f>
        <v>125902.13399999999</v>
      </c>
      <c r="M175" s="207">
        <f>IFERROR('A4 - Previsão de Receita Bruta'!L10*VLOOKUP($C175,AliqPorTipo,COLUMN($C163)-1,0),0)</f>
        <v>129737.02499999999</v>
      </c>
      <c r="N175" s="207">
        <f>IFERROR('A4 - Previsão de Receita Bruta'!M10*VLOOKUP($C175,AliqPorTipo,COLUMN($C163)-1,0),0)</f>
        <v>133684.01999999999</v>
      </c>
      <c r="O175" s="207">
        <f>IFERROR('A4 - Previsão de Receita Bruta'!N10*VLOOKUP($C175,AliqPorTipo,COLUMN($C163)-1,0),0)</f>
        <v>137757.13199999998</v>
      </c>
      <c r="P175" s="207">
        <f>IFERROR('A4 - Previsão de Receita Bruta'!O10*VLOOKUP($C175,AliqPorTipo,COLUMN($C163)-1,0),0)</f>
        <v>141956.36099999998</v>
      </c>
      <c r="Q175" s="207">
        <f>IFERROR('A4 - Previsão de Receita Bruta'!P10*VLOOKUP($C175,AliqPorTipo,COLUMN($C163)-1,0),0)</f>
        <v>146281.70699999999</v>
      </c>
      <c r="R175" s="207">
        <f>IFERROR('A4 - Previsão de Receita Bruta'!Q10*VLOOKUP($C175,AliqPorTipo,COLUMN($C163)-1,0),0)</f>
        <v>150737.84099999999</v>
      </c>
      <c r="S175" s="207">
        <f>IFERROR('A4 - Previsão de Receita Bruta'!R10*VLOOKUP($C175,AliqPorTipo,COLUMN($C163)-1,0),0)</f>
        <v>155315.421</v>
      </c>
      <c r="T175" s="207">
        <f>IFERROR('A4 - Previsão de Receita Bruta'!S10*VLOOKUP($C175,AliqPorTipo,COLUMN($C163)-1,0),0)</f>
        <v>160009.77599999998</v>
      </c>
      <c r="U175" s="207">
        <f>IFERROR('A4 - Previsão de Receita Bruta'!T10*VLOOKUP($C175,AliqPorTipo,COLUMN($C163)-1,0),0)</f>
        <v>164806.89299999998</v>
      </c>
      <c r="V175" s="207">
        <f>IFERROR('A4 - Previsão de Receita Bruta'!U10*VLOOKUP($C175,AliqPorTipo,COLUMN($C163)-1,0),0)</f>
        <v>169688.08799999999</v>
      </c>
      <c r="W175" s="207">
        <f>IFERROR('A4 - Previsão de Receita Bruta'!V10*VLOOKUP($C175,AliqPorTipo,COLUMN($C163)-1,0),0)</f>
        <v>174634.677</v>
      </c>
      <c r="X175" s="207">
        <f>IFERROR('A4 - Previsão de Receita Bruta'!W10*VLOOKUP($C175,AliqPorTipo,COLUMN($C163)-1,0),0)</f>
        <v>174634.677</v>
      </c>
      <c r="Y175" s="207">
        <f>IFERROR('A4 - Previsão de Receita Bruta'!X10*VLOOKUP($C175,AliqPorTipo,COLUMN($C163)-1,0),0)</f>
        <v>174634.677</v>
      </c>
      <c r="Z175" s="207">
        <f>IFERROR('A4 - Previsão de Receita Bruta'!Y10*VLOOKUP($C175,AliqPorTipo,COLUMN($C163)-1,0),0)</f>
        <v>174634.677</v>
      </c>
      <c r="AA175" s="207">
        <f>IFERROR('A4 - Previsão de Receita Bruta'!Z10*VLOOKUP($C175,AliqPorTipo,COLUMN($C163)-1,0),0)</f>
        <v>174634.677</v>
      </c>
      <c r="AB175" s="207">
        <f>IFERROR('A4 - Previsão de Receita Bruta'!AA10*VLOOKUP($C175,AliqPorTipo,COLUMN($C163)-1,0),0)</f>
        <v>174634.677</v>
      </c>
      <c r="AC175" s="207">
        <f>IFERROR('A4 - Previsão de Receita Bruta'!AB10*VLOOKUP($C175,AliqPorTipo,COLUMN($C163)-1,0),0)</f>
        <v>174634.677</v>
      </c>
      <c r="AD175" s="207">
        <f>IFERROR('A4 - Previsão de Receita Bruta'!AC10*VLOOKUP($C175,AliqPorTipo,COLUMN($C163)-1,0),0)</f>
        <v>174634.677</v>
      </c>
      <c r="AE175" s="207">
        <f>IFERROR('A4 - Previsão de Receita Bruta'!AD10*VLOOKUP($C175,AliqPorTipo,COLUMN($C163)-1,0),0)</f>
        <v>174634.677</v>
      </c>
      <c r="AF175" s="207">
        <f>IFERROR('A4 - Previsão de Receita Bruta'!AE10*VLOOKUP($C175,AliqPorTipo,COLUMN($C163)-1,0),0)</f>
        <v>174634.677</v>
      </c>
      <c r="AG175" s="207">
        <f>IFERROR('A4 - Previsão de Receita Bruta'!AF10*VLOOKUP($C175,AliqPorTipo,COLUMN($C163)-1,0),0)</f>
        <v>174634.677</v>
      </c>
      <c r="AH175" s="525"/>
      <c r="AI175" s="660"/>
      <c r="AJ175" s="660"/>
    </row>
    <row r="176" spans="1:36" ht="15" customHeight="1">
      <c r="A176" s="660"/>
      <c r="B176" s="205" t="str">
        <f>'A4 - Previsão de Receita Bruta'!B11</f>
        <v>Árvore da Preguiça - Alimentação</v>
      </c>
      <c r="C176" s="206" t="str">
        <f t="shared" si="35"/>
        <v>Alimentação</v>
      </c>
      <c r="D176" s="207">
        <f>IFERROR('A4 - Previsão de Receita Bruta'!C11*VLOOKUP($C176,AliqPorTipo,COLUMN($C164)-1,0),0)</f>
        <v>0</v>
      </c>
      <c r="E176" s="207">
        <f>IFERROR('A4 - Previsão de Receita Bruta'!D11*VLOOKUP($C176,AliqPorTipo,COLUMN($C164)-1,0),0)</f>
        <v>468484.35</v>
      </c>
      <c r="F176" s="207">
        <f>IFERROR('A4 - Previsão de Receita Bruta'!E11*VLOOKUP($C176,AliqPorTipo,COLUMN($C164)-1,0),0)</f>
        <v>484646.07500000001</v>
      </c>
      <c r="G176" s="207">
        <f>IFERROR('A4 - Previsão de Receita Bruta'!F11*VLOOKUP($C176,AliqPorTipo,COLUMN($C164)-1,0),0)</f>
        <v>500293.61249999999</v>
      </c>
      <c r="H176" s="207">
        <f>IFERROR('A4 - Previsão de Receita Bruta'!G11*VLOOKUP($C176,AliqPorTipo,COLUMN($C164)-1,0),0)</f>
        <v>516195.53749999998</v>
      </c>
      <c r="I176" s="207">
        <f>IFERROR('A4 - Previsão de Receita Bruta'!H11*VLOOKUP($C176,AliqPorTipo,COLUMN($C164)-1,0),0)</f>
        <v>532373.5</v>
      </c>
      <c r="J176" s="207">
        <f>IFERROR('A4 - Previsão de Receita Bruta'!I11*VLOOKUP($C176,AliqPorTipo,COLUMN($C164)-1,0),0)</f>
        <v>549011.52500000002</v>
      </c>
      <c r="K176" s="207">
        <f>IFERROR('A4 - Previsão de Receita Bruta'!J11*VLOOKUP($C176,AliqPorTipo,COLUMN($C164)-1,0),0)</f>
        <v>566131.26249999995</v>
      </c>
      <c r="L176" s="207">
        <f>IFERROR('A4 - Previsão de Receita Bruta'!K11*VLOOKUP($C176,AliqPorTipo,COLUMN($C164)-1,0),0)</f>
        <v>583564.92500000005</v>
      </c>
      <c r="M176" s="207">
        <f>IFERROR('A4 - Previsão de Receita Bruta'!L11*VLOOKUP($C176,AliqPorTipo,COLUMN($C164)-1,0),0)</f>
        <v>601317.92500000005</v>
      </c>
      <c r="N176" s="207">
        <f>IFERROR('A4 - Previsão de Receita Bruta'!M11*VLOOKUP($C176,AliqPorTipo,COLUMN($C164)-1,0),0)</f>
        <v>619633.82499999995</v>
      </c>
      <c r="O176" s="207">
        <f>IFERROR('A4 - Previsão de Receita Bruta'!N11*VLOOKUP($C176,AliqPorTipo,COLUMN($C164)-1,0),0)</f>
        <v>638496.38749999995</v>
      </c>
      <c r="P176" s="207">
        <f>IFERROR('A4 - Previsão de Receita Bruta'!O11*VLOOKUP($C176,AliqPorTipo,COLUMN($C164)-1,0),0)</f>
        <v>657959.73750000005</v>
      </c>
      <c r="Q176" s="207">
        <f>IFERROR('A4 - Previsão de Receita Bruta'!P11*VLOOKUP($C176,AliqPorTipo,COLUMN($C164)-1,0),0)</f>
        <v>678007.63749999995</v>
      </c>
      <c r="R176" s="207">
        <f>IFERROR('A4 - Previsão de Receita Bruta'!Q11*VLOOKUP($C176,AliqPorTipo,COLUMN($C164)-1,0),0)</f>
        <v>698661.73750000005</v>
      </c>
      <c r="S176" s="207">
        <f>IFERROR('A4 - Previsão de Receita Bruta'!R11*VLOOKUP($C176,AliqPorTipo,COLUMN($C164)-1,0),0)</f>
        <v>719884.15</v>
      </c>
      <c r="T176" s="207">
        <f>IFERROR('A4 - Previsão de Receita Bruta'!S11*VLOOKUP($C176,AliqPorTipo,COLUMN($C164)-1,0),0)</f>
        <v>741642.4</v>
      </c>
      <c r="U176" s="207">
        <f>IFERROR('A4 - Previsão de Receita Bruta'!T11*VLOOKUP($C176,AliqPorTipo,COLUMN($C164)-1,0),0)</f>
        <v>763866.125</v>
      </c>
      <c r="V176" s="207">
        <f>IFERROR('A4 - Previsão de Receita Bruta'!U11*VLOOKUP($C176,AliqPorTipo,COLUMN($C164)-1,0),0)</f>
        <v>786501.2</v>
      </c>
      <c r="W176" s="207">
        <f>IFERROR('A4 - Previsão de Receita Bruta'!V11*VLOOKUP($C176,AliqPorTipo,COLUMN($C164)-1,0),0)</f>
        <v>809433.96250000002</v>
      </c>
      <c r="X176" s="207">
        <f>IFERROR('A4 - Previsão de Receita Bruta'!W11*VLOOKUP($C176,AliqPorTipo,COLUMN($C164)-1,0),0)</f>
        <v>809433.96250000002</v>
      </c>
      <c r="Y176" s="207">
        <f>IFERROR('A4 - Previsão de Receita Bruta'!X11*VLOOKUP($C176,AliqPorTipo,COLUMN($C164)-1,0),0)</f>
        <v>809433.96250000002</v>
      </c>
      <c r="Z176" s="207">
        <f>IFERROR('A4 - Previsão de Receita Bruta'!Y11*VLOOKUP($C176,AliqPorTipo,COLUMN($C164)-1,0),0)</f>
        <v>809433.96250000002</v>
      </c>
      <c r="AA176" s="207">
        <f>IFERROR('A4 - Previsão de Receita Bruta'!Z11*VLOOKUP($C176,AliqPorTipo,COLUMN($C164)-1,0),0)</f>
        <v>809433.96250000002</v>
      </c>
      <c r="AB176" s="207">
        <f>IFERROR('A4 - Previsão de Receita Bruta'!AA11*VLOOKUP($C176,AliqPorTipo,COLUMN($C164)-1,0),0)</f>
        <v>809433.96250000002</v>
      </c>
      <c r="AC176" s="207">
        <f>IFERROR('A4 - Previsão de Receita Bruta'!AB11*VLOOKUP($C176,AliqPorTipo,COLUMN($C164)-1,0),0)</f>
        <v>809433.96250000002</v>
      </c>
      <c r="AD176" s="207">
        <f>IFERROR('A4 - Previsão de Receita Bruta'!AC11*VLOOKUP($C176,AliqPorTipo,COLUMN($C164)-1,0),0)</f>
        <v>809433.96250000002</v>
      </c>
      <c r="AE176" s="207">
        <f>IFERROR('A4 - Previsão de Receita Bruta'!AD11*VLOOKUP($C176,AliqPorTipo,COLUMN($C164)-1,0),0)</f>
        <v>809433.96250000002</v>
      </c>
      <c r="AF176" s="207">
        <f>IFERROR('A4 - Previsão de Receita Bruta'!AE11*VLOOKUP($C176,AliqPorTipo,COLUMN($C164)-1,0),0)</f>
        <v>809433.96250000002</v>
      </c>
      <c r="AG176" s="207">
        <f>IFERROR('A4 - Previsão de Receita Bruta'!AF11*VLOOKUP($C176,AliqPorTipo,COLUMN($C164)-1,0),0)</f>
        <v>809433.96250000002</v>
      </c>
      <c r="AH176" s="525"/>
      <c r="AI176" s="660"/>
      <c r="AJ176" s="660"/>
    </row>
    <row r="177" spans="1:36" ht="15" customHeight="1">
      <c r="A177" s="660"/>
      <c r="B177" s="205" t="str">
        <f>'A4 - Previsão de Receita Bruta'!B12</f>
        <v>Árvore da Preguiça - Comércio</v>
      </c>
      <c r="C177" s="206" t="str">
        <f t="shared" si="35"/>
        <v>Comércio</v>
      </c>
      <c r="D177" s="207">
        <f>IFERROR('A4 - Previsão de Receita Bruta'!C12*VLOOKUP($C177,AliqPorTipo,COLUMN($C165)-1,0),0)</f>
        <v>0</v>
      </c>
      <c r="E177" s="207">
        <f>IFERROR('A4 - Previsão de Receita Bruta'!D12*VLOOKUP($C177,AliqPorTipo,COLUMN($C165)-1,0),0)</f>
        <v>156161.45000000001</v>
      </c>
      <c r="F177" s="207">
        <f>IFERROR('A4 - Previsão de Receita Bruta'!E12*VLOOKUP($C177,AliqPorTipo,COLUMN($C165)-1,0),0)</f>
        <v>161552.29999999999</v>
      </c>
      <c r="G177" s="207">
        <f>IFERROR('A4 - Previsão de Receita Bruta'!F12*VLOOKUP($C177,AliqPorTipo,COLUMN($C165)-1,0),0)</f>
        <v>166769.95000000001</v>
      </c>
      <c r="H177" s="207">
        <f>IFERROR('A4 - Previsão de Receita Bruta'!G12*VLOOKUP($C177,AliqPorTipo,COLUMN($C165)-1,0),0)</f>
        <v>172063.375</v>
      </c>
      <c r="I177" s="207">
        <f>IFERROR('A4 - Previsão de Receita Bruta'!H12*VLOOKUP($C177,AliqPorTipo,COLUMN($C165)-1,0),0)</f>
        <v>177454.22500000001</v>
      </c>
      <c r="J177" s="207">
        <f>IFERROR('A4 - Previsão de Receita Bruta'!I12*VLOOKUP($C177,AliqPorTipo,COLUMN($C165)-1,0),0)</f>
        <v>183007.45</v>
      </c>
      <c r="K177" s="207">
        <f>IFERROR('A4 - Previsão de Receita Bruta'!J12*VLOOKUP($C177,AliqPorTipo,COLUMN($C165)-1,0),0)</f>
        <v>188712.22500000001</v>
      </c>
      <c r="L177" s="207">
        <f>IFERROR('A4 - Previsão de Receita Bruta'!K12*VLOOKUP($C177,AliqPorTipo,COLUMN($C165)-1,0),0)</f>
        <v>194525.25</v>
      </c>
      <c r="M177" s="207">
        <f>IFERROR('A4 - Previsão de Receita Bruta'!L12*VLOOKUP($C177,AliqPorTipo,COLUMN($C165)-1,0),0)</f>
        <v>200435.7</v>
      </c>
      <c r="N177" s="207">
        <f>IFERROR('A4 - Previsão de Receita Bruta'!M12*VLOOKUP($C177,AliqPorTipo,COLUMN($C165)-1,0),0)</f>
        <v>206541</v>
      </c>
      <c r="O177" s="207">
        <f>IFERROR('A4 - Previsão de Receita Bruta'!N12*VLOOKUP($C177,AliqPorTipo,COLUMN($C165)-1,0),0)</f>
        <v>212830.32500000001</v>
      </c>
      <c r="P177" s="207">
        <f>IFERROR('A4 - Previsão de Receita Bruta'!O12*VLOOKUP($C177,AliqPorTipo,COLUMN($C165)-1,0),0)</f>
        <v>219314.5</v>
      </c>
      <c r="Q177" s="207">
        <f>IFERROR('A4 - Previsão de Receita Bruta'!P12*VLOOKUP($C177,AliqPorTipo,COLUMN($C165)-1,0),0)</f>
        <v>226004.35</v>
      </c>
      <c r="R177" s="207">
        <f>IFERROR('A4 - Previsão de Receita Bruta'!Q12*VLOOKUP($C177,AliqPorTipo,COLUMN($C165)-1,0),0)</f>
        <v>232889.05</v>
      </c>
      <c r="S177" s="207">
        <f>IFERROR('A4 - Previsão de Receita Bruta'!R12*VLOOKUP($C177,AliqPorTipo,COLUMN($C165)-1,0),0)</f>
        <v>239957.77499999999</v>
      </c>
      <c r="T177" s="207">
        <f>IFERROR('A4 - Previsão de Receita Bruta'!S12*VLOOKUP($C177,AliqPorTipo,COLUMN($C165)-1,0),0)</f>
        <v>247210.52499999999</v>
      </c>
      <c r="U177" s="207">
        <f>IFERROR('A4 - Previsão de Receita Bruta'!T12*VLOOKUP($C177,AliqPorTipo,COLUMN($C165)-1,0),0)</f>
        <v>254625.65</v>
      </c>
      <c r="V177" s="207">
        <f>IFERROR('A4 - Previsão de Receita Bruta'!U12*VLOOKUP($C177,AliqPorTipo,COLUMN($C165)-1,0),0)</f>
        <v>262170.67499999999</v>
      </c>
      <c r="W177" s="207">
        <f>IFERROR('A4 - Previsão de Receita Bruta'!V12*VLOOKUP($C177,AliqPorTipo,COLUMN($C165)-1,0),0)</f>
        <v>269813.125</v>
      </c>
      <c r="X177" s="207">
        <f>IFERROR('A4 - Previsão de Receita Bruta'!W12*VLOOKUP($C177,AliqPorTipo,COLUMN($C165)-1,0),0)</f>
        <v>269813.125</v>
      </c>
      <c r="Y177" s="207">
        <f>IFERROR('A4 - Previsão de Receita Bruta'!X12*VLOOKUP($C177,AliqPorTipo,COLUMN($C165)-1,0),0)</f>
        <v>269813.125</v>
      </c>
      <c r="Z177" s="207">
        <f>IFERROR('A4 - Previsão de Receita Bruta'!Y12*VLOOKUP($C177,AliqPorTipo,COLUMN($C165)-1,0),0)</f>
        <v>269813.125</v>
      </c>
      <c r="AA177" s="207">
        <f>IFERROR('A4 - Previsão de Receita Bruta'!Z12*VLOOKUP($C177,AliqPorTipo,COLUMN($C165)-1,0),0)</f>
        <v>269813.125</v>
      </c>
      <c r="AB177" s="207">
        <f>IFERROR('A4 - Previsão de Receita Bruta'!AA12*VLOOKUP($C177,AliqPorTipo,COLUMN($C165)-1,0),0)</f>
        <v>269813.125</v>
      </c>
      <c r="AC177" s="207">
        <f>IFERROR('A4 - Previsão de Receita Bruta'!AB12*VLOOKUP($C177,AliqPorTipo,COLUMN($C165)-1,0),0)</f>
        <v>269813.125</v>
      </c>
      <c r="AD177" s="207">
        <f>IFERROR('A4 - Previsão de Receita Bruta'!AC12*VLOOKUP($C177,AliqPorTipo,COLUMN($C165)-1,0),0)</f>
        <v>269813.125</v>
      </c>
      <c r="AE177" s="207">
        <f>IFERROR('A4 - Previsão de Receita Bruta'!AD12*VLOOKUP($C177,AliqPorTipo,COLUMN($C165)-1,0),0)</f>
        <v>269813.125</v>
      </c>
      <c r="AF177" s="207">
        <f>IFERROR('A4 - Previsão de Receita Bruta'!AE12*VLOOKUP($C177,AliqPorTipo,COLUMN($C165)-1,0),0)</f>
        <v>269813.125</v>
      </c>
      <c r="AG177" s="207">
        <f>IFERROR('A4 - Previsão de Receita Bruta'!AF12*VLOOKUP($C177,AliqPorTipo,COLUMN($C165)-1,0),0)</f>
        <v>269813.125</v>
      </c>
      <c r="AH177" s="525"/>
      <c r="AI177" s="660"/>
      <c r="AJ177" s="660"/>
    </row>
    <row r="178" spans="1:36" ht="15" customHeight="1">
      <c r="A178" s="660"/>
      <c r="B178" s="205" t="str">
        <f>'A4 - Previsão de Receita Bruta'!B13</f>
        <v>Silveira - Alimentação</v>
      </c>
      <c r="C178" s="206" t="str">
        <f t="shared" si="35"/>
        <v>Alimentação</v>
      </c>
      <c r="D178" s="207">
        <f>IFERROR('A4 - Previsão de Receita Bruta'!C13*VLOOKUP($C178,AliqPorTipo,COLUMN($C166)-1,0),0)</f>
        <v>0</v>
      </c>
      <c r="E178" s="207">
        <f>IFERROR('A4 - Previsão de Receita Bruta'!D13*VLOOKUP($C178,AliqPorTipo,COLUMN($C166)-1,0),0)</f>
        <v>0</v>
      </c>
      <c r="F178" s="207">
        <f>IFERROR('A4 - Previsão de Receita Bruta'!E13*VLOOKUP($C178,AliqPorTipo,COLUMN($C166)-1,0),0)</f>
        <v>0</v>
      </c>
      <c r="G178" s="207">
        <f>IFERROR('A4 - Previsão de Receita Bruta'!F13*VLOOKUP($C178,AliqPorTipo,COLUMN($C166)-1,0),0)</f>
        <v>0</v>
      </c>
      <c r="H178" s="207">
        <f>IFERROR('A4 - Previsão de Receita Bruta'!G13*VLOOKUP($C178,AliqPorTipo,COLUMN($C166)-1,0),0)</f>
        <v>0</v>
      </c>
      <c r="I178" s="207">
        <f>IFERROR('A4 - Previsão de Receita Bruta'!H13*VLOOKUP($C178,AliqPorTipo,COLUMN($C166)-1,0),0)</f>
        <v>0</v>
      </c>
      <c r="J178" s="207">
        <f>IFERROR('A4 - Previsão de Receita Bruta'!I13*VLOOKUP($C178,AliqPorTipo,COLUMN($C166)-1,0),0)</f>
        <v>0</v>
      </c>
      <c r="K178" s="207">
        <f>IFERROR('A4 - Previsão de Receita Bruta'!J13*VLOOKUP($C178,AliqPorTipo,COLUMN($C166)-1,0),0)</f>
        <v>0</v>
      </c>
      <c r="L178" s="207">
        <f>IFERROR('A4 - Previsão de Receita Bruta'!K13*VLOOKUP($C178,AliqPorTipo,COLUMN($C166)-1,0),0)</f>
        <v>0</v>
      </c>
      <c r="M178" s="207">
        <f>IFERROR('A4 - Previsão de Receita Bruta'!L13*VLOOKUP($C178,AliqPorTipo,COLUMN($C166)-1,0),0)</f>
        <v>0</v>
      </c>
      <c r="N178" s="207">
        <f>IFERROR('A4 - Previsão de Receita Bruta'!M13*VLOOKUP($C178,AliqPorTipo,COLUMN($C166)-1,0),0)</f>
        <v>0</v>
      </c>
      <c r="O178" s="207">
        <f>IFERROR('A4 - Previsão de Receita Bruta'!N13*VLOOKUP($C178,AliqPorTipo,COLUMN($C166)-1,0),0)</f>
        <v>0</v>
      </c>
      <c r="P178" s="207">
        <f>IFERROR('A4 - Previsão de Receita Bruta'!O13*VLOOKUP($C178,AliqPorTipo,COLUMN($C166)-1,0),0)</f>
        <v>0</v>
      </c>
      <c r="Q178" s="207">
        <f>IFERROR('A4 - Previsão de Receita Bruta'!P13*VLOOKUP($C178,AliqPorTipo,COLUMN($C166)-1,0),0)</f>
        <v>0</v>
      </c>
      <c r="R178" s="207">
        <f>IFERROR('A4 - Previsão de Receita Bruta'!Q13*VLOOKUP($C178,AliqPorTipo,COLUMN($C166)-1,0),0)</f>
        <v>0</v>
      </c>
      <c r="S178" s="207">
        <f>IFERROR('A4 - Previsão de Receita Bruta'!R13*VLOOKUP($C178,AliqPorTipo,COLUMN($C166)-1,0),0)</f>
        <v>0</v>
      </c>
      <c r="T178" s="207">
        <f>IFERROR('A4 - Previsão de Receita Bruta'!S13*VLOOKUP($C178,AliqPorTipo,COLUMN($C166)-1,0),0)</f>
        <v>0</v>
      </c>
      <c r="U178" s="207">
        <f>IFERROR('A4 - Previsão de Receita Bruta'!T13*VLOOKUP($C178,AliqPorTipo,COLUMN($C166)-1,0),0)</f>
        <v>0</v>
      </c>
      <c r="V178" s="207">
        <f>IFERROR('A4 - Previsão de Receita Bruta'!U13*VLOOKUP($C178,AliqPorTipo,COLUMN($C166)-1,0),0)</f>
        <v>0</v>
      </c>
      <c r="W178" s="207">
        <f>IFERROR('A4 - Previsão de Receita Bruta'!V13*VLOOKUP($C178,AliqPorTipo,COLUMN($C166)-1,0),0)</f>
        <v>0</v>
      </c>
      <c r="X178" s="207">
        <f>IFERROR('A4 - Previsão de Receita Bruta'!W13*VLOOKUP($C178,AliqPorTipo,COLUMN($C166)-1,0),0)</f>
        <v>0</v>
      </c>
      <c r="Y178" s="207">
        <f>IFERROR('A4 - Previsão de Receita Bruta'!X13*VLOOKUP($C178,AliqPorTipo,COLUMN($C166)-1,0),0)</f>
        <v>0</v>
      </c>
      <c r="Z178" s="207">
        <f>IFERROR('A4 - Previsão de Receita Bruta'!Y13*VLOOKUP($C178,AliqPorTipo,COLUMN($C166)-1,0),0)</f>
        <v>0</v>
      </c>
      <c r="AA178" s="207">
        <f>IFERROR('A4 - Previsão de Receita Bruta'!Z13*VLOOKUP($C178,AliqPorTipo,COLUMN($C166)-1,0),0)</f>
        <v>0</v>
      </c>
      <c r="AB178" s="207">
        <f>IFERROR('A4 - Previsão de Receita Bruta'!AA13*VLOOKUP($C178,AliqPorTipo,COLUMN($C166)-1,0),0)</f>
        <v>0</v>
      </c>
      <c r="AC178" s="207">
        <f>IFERROR('A4 - Previsão de Receita Bruta'!AB13*VLOOKUP($C178,AliqPorTipo,COLUMN($C166)-1,0),0)</f>
        <v>0</v>
      </c>
      <c r="AD178" s="207">
        <f>IFERROR('A4 - Previsão de Receita Bruta'!AC13*VLOOKUP($C178,AliqPorTipo,COLUMN($C166)-1,0),0)</f>
        <v>0</v>
      </c>
      <c r="AE178" s="207">
        <f>IFERROR('A4 - Previsão de Receita Bruta'!AD13*VLOOKUP($C178,AliqPorTipo,COLUMN($C166)-1,0),0)</f>
        <v>0</v>
      </c>
      <c r="AF178" s="207">
        <f>IFERROR('A4 - Previsão de Receita Bruta'!AE13*VLOOKUP($C178,AliqPorTipo,COLUMN($C166)-1,0),0)</f>
        <v>0</v>
      </c>
      <c r="AG178" s="207">
        <f>IFERROR('A4 - Previsão de Receita Bruta'!AF13*VLOOKUP($C178,AliqPorTipo,COLUMN($C166)-1,0),0)</f>
        <v>0</v>
      </c>
      <c r="AH178" s="525"/>
      <c r="AI178" s="660"/>
      <c r="AJ178" s="660"/>
    </row>
    <row r="179" spans="1:36" ht="15" customHeight="1">
      <c r="A179" s="660"/>
      <c r="B179" s="205" t="str">
        <f>'A4 - Previsão de Receita Bruta'!B14</f>
        <v>Silveira - Comércio + Locação + Atividades</v>
      </c>
      <c r="C179" s="206" t="str">
        <f t="shared" si="35"/>
        <v>Comércio</v>
      </c>
      <c r="D179" s="207">
        <f>IFERROR('A4 - Previsão de Receita Bruta'!C14*VLOOKUP($C179,AliqPorTipo,COLUMN($C167)-1,0),0)</f>
        <v>0</v>
      </c>
      <c r="E179" s="207">
        <f>IFERROR('A4 - Previsão de Receita Bruta'!D14*VLOOKUP($C179,AliqPorTipo,COLUMN($C167)-1,0),0)</f>
        <v>0</v>
      </c>
      <c r="F179" s="207">
        <f>IFERROR('A4 - Previsão de Receita Bruta'!E14*VLOOKUP($C179,AliqPorTipo,COLUMN($C167)-1,0),0)</f>
        <v>0</v>
      </c>
      <c r="G179" s="207">
        <f>IFERROR('A4 - Previsão de Receita Bruta'!F14*VLOOKUP($C179,AliqPorTipo,COLUMN($C167)-1,0),0)</f>
        <v>0</v>
      </c>
      <c r="H179" s="207">
        <f>IFERROR('A4 - Previsão de Receita Bruta'!G14*VLOOKUP($C179,AliqPorTipo,COLUMN($C167)-1,0),0)</f>
        <v>0</v>
      </c>
      <c r="I179" s="207">
        <f>IFERROR('A4 - Previsão de Receita Bruta'!H14*VLOOKUP($C179,AliqPorTipo,COLUMN($C167)-1,0),0)</f>
        <v>0</v>
      </c>
      <c r="J179" s="207">
        <f>IFERROR('A4 - Previsão de Receita Bruta'!I14*VLOOKUP($C179,AliqPorTipo,COLUMN($C167)-1,0),0)</f>
        <v>0</v>
      </c>
      <c r="K179" s="207">
        <f>IFERROR('A4 - Previsão de Receita Bruta'!J14*VLOOKUP($C179,AliqPorTipo,COLUMN($C167)-1,0),0)</f>
        <v>0</v>
      </c>
      <c r="L179" s="207">
        <f>IFERROR('A4 - Previsão de Receita Bruta'!K14*VLOOKUP($C179,AliqPorTipo,COLUMN($C167)-1,0),0)</f>
        <v>0</v>
      </c>
      <c r="M179" s="207">
        <f>IFERROR('A4 - Previsão de Receita Bruta'!L14*VLOOKUP($C179,AliqPorTipo,COLUMN($C167)-1,0),0)</f>
        <v>0</v>
      </c>
      <c r="N179" s="207">
        <f>IFERROR('A4 - Previsão de Receita Bruta'!M14*VLOOKUP($C179,AliqPorTipo,COLUMN($C167)-1,0),0)</f>
        <v>0</v>
      </c>
      <c r="O179" s="207">
        <f>IFERROR('A4 - Previsão de Receita Bruta'!N14*VLOOKUP($C179,AliqPorTipo,COLUMN($C167)-1,0),0)</f>
        <v>0</v>
      </c>
      <c r="P179" s="207">
        <f>IFERROR('A4 - Previsão de Receita Bruta'!O14*VLOOKUP($C179,AliqPorTipo,COLUMN($C167)-1,0),0)</f>
        <v>0</v>
      </c>
      <c r="Q179" s="207">
        <f>IFERROR('A4 - Previsão de Receita Bruta'!P14*VLOOKUP($C179,AliqPorTipo,COLUMN($C167)-1,0),0)</f>
        <v>0</v>
      </c>
      <c r="R179" s="207">
        <f>IFERROR('A4 - Previsão de Receita Bruta'!Q14*VLOOKUP($C179,AliqPorTipo,COLUMN($C167)-1,0),0)</f>
        <v>0</v>
      </c>
      <c r="S179" s="207">
        <f>IFERROR('A4 - Previsão de Receita Bruta'!R14*VLOOKUP($C179,AliqPorTipo,COLUMN($C167)-1,0),0)</f>
        <v>0</v>
      </c>
      <c r="T179" s="207">
        <f>IFERROR('A4 - Previsão de Receita Bruta'!S14*VLOOKUP($C179,AliqPorTipo,COLUMN($C167)-1,0),0)</f>
        <v>0</v>
      </c>
      <c r="U179" s="207">
        <f>IFERROR('A4 - Previsão de Receita Bruta'!T14*VLOOKUP($C179,AliqPorTipo,COLUMN($C167)-1,0),0)</f>
        <v>0</v>
      </c>
      <c r="V179" s="207">
        <f>IFERROR('A4 - Previsão de Receita Bruta'!U14*VLOOKUP($C179,AliqPorTipo,COLUMN($C167)-1,0),0)</f>
        <v>0</v>
      </c>
      <c r="W179" s="207">
        <f>IFERROR('A4 - Previsão de Receita Bruta'!V14*VLOOKUP($C179,AliqPorTipo,COLUMN($C167)-1,0),0)</f>
        <v>0</v>
      </c>
      <c r="X179" s="207">
        <f>IFERROR('A4 - Previsão de Receita Bruta'!W14*VLOOKUP($C179,AliqPorTipo,COLUMN($C167)-1,0),0)</f>
        <v>0</v>
      </c>
      <c r="Y179" s="207">
        <f>IFERROR('A4 - Previsão de Receita Bruta'!X14*VLOOKUP($C179,AliqPorTipo,COLUMN($C167)-1,0),0)</f>
        <v>0</v>
      </c>
      <c r="Z179" s="207">
        <f>IFERROR('A4 - Previsão de Receita Bruta'!Y14*VLOOKUP($C179,AliqPorTipo,COLUMN($C167)-1,0),0)</f>
        <v>0</v>
      </c>
      <c r="AA179" s="207">
        <f>IFERROR('A4 - Previsão de Receita Bruta'!Z14*VLOOKUP($C179,AliqPorTipo,COLUMN($C167)-1,0),0)</f>
        <v>0</v>
      </c>
      <c r="AB179" s="207">
        <f>IFERROR('A4 - Previsão de Receita Bruta'!AA14*VLOOKUP($C179,AliqPorTipo,COLUMN($C167)-1,0),0)</f>
        <v>0</v>
      </c>
      <c r="AC179" s="207">
        <f>IFERROR('A4 - Previsão de Receita Bruta'!AB14*VLOOKUP($C179,AliqPorTipo,COLUMN($C167)-1,0),0)</f>
        <v>0</v>
      </c>
      <c r="AD179" s="207">
        <f>IFERROR('A4 - Previsão de Receita Bruta'!AC14*VLOOKUP($C179,AliqPorTipo,COLUMN($C167)-1,0),0)</f>
        <v>0</v>
      </c>
      <c r="AE179" s="207">
        <f>IFERROR('A4 - Previsão de Receita Bruta'!AD14*VLOOKUP($C179,AliqPorTipo,COLUMN($C167)-1,0),0)</f>
        <v>0</v>
      </c>
      <c r="AF179" s="207">
        <f>IFERROR('A4 - Previsão de Receita Bruta'!AE14*VLOOKUP($C179,AliqPorTipo,COLUMN($C167)-1,0),0)</f>
        <v>0</v>
      </c>
      <c r="AG179" s="207">
        <f>IFERROR('A4 - Previsão de Receita Bruta'!AF14*VLOOKUP($C179,AliqPorTipo,COLUMN($C167)-1,0),0)</f>
        <v>0</v>
      </c>
      <c r="AH179" s="525"/>
      <c r="AI179" s="660"/>
      <c r="AJ179" s="660"/>
    </row>
    <row r="180" spans="1:36" ht="15" customHeight="1">
      <c r="A180" s="660"/>
      <c r="B180" s="205" t="str">
        <f>'A4 - Previsão de Receita Bruta'!B15</f>
        <v>Silveira - Hospedagem</v>
      </c>
      <c r="C180" s="206" t="str">
        <f t="shared" si="35"/>
        <v>Serviços</v>
      </c>
      <c r="D180" s="207">
        <f>IFERROR('A4 - Previsão de Receita Bruta'!C15*VLOOKUP($C180,AliqPorTipo,COLUMN($C168)-1,0),0)</f>
        <v>0</v>
      </c>
      <c r="E180" s="207">
        <f>IFERROR('A4 - Previsão de Receita Bruta'!D15*VLOOKUP($C180,AliqPorTipo,COLUMN($C168)-1,0),0)</f>
        <v>0</v>
      </c>
      <c r="F180" s="207">
        <f>IFERROR('A4 - Previsão de Receita Bruta'!E15*VLOOKUP($C180,AliqPorTipo,COLUMN($C168)-1,0),0)</f>
        <v>0</v>
      </c>
      <c r="G180" s="207">
        <f>IFERROR('A4 - Previsão de Receita Bruta'!F15*VLOOKUP($C180,AliqPorTipo,COLUMN($C168)-1,0),0)</f>
        <v>0</v>
      </c>
      <c r="H180" s="207">
        <f>IFERROR('A4 - Previsão de Receita Bruta'!G15*VLOOKUP($C180,AliqPorTipo,COLUMN($C168)-1,0),0)</f>
        <v>0</v>
      </c>
      <c r="I180" s="207">
        <f>IFERROR('A4 - Previsão de Receita Bruta'!H15*VLOOKUP($C180,AliqPorTipo,COLUMN($C168)-1,0),0)</f>
        <v>0</v>
      </c>
      <c r="J180" s="207">
        <f>IFERROR('A4 - Previsão de Receita Bruta'!I15*VLOOKUP($C180,AliqPorTipo,COLUMN($C168)-1,0),0)</f>
        <v>0</v>
      </c>
      <c r="K180" s="207">
        <f>IFERROR('A4 - Previsão de Receita Bruta'!J15*VLOOKUP($C180,AliqPorTipo,COLUMN($C168)-1,0),0)</f>
        <v>0</v>
      </c>
      <c r="L180" s="207">
        <f>IFERROR('A4 - Previsão de Receita Bruta'!K15*VLOOKUP($C180,AliqPorTipo,COLUMN($C168)-1,0),0)</f>
        <v>0</v>
      </c>
      <c r="M180" s="207">
        <f>IFERROR('A4 - Previsão de Receita Bruta'!L15*VLOOKUP($C180,AliqPorTipo,COLUMN($C168)-1,0),0)</f>
        <v>0</v>
      </c>
      <c r="N180" s="207">
        <f>IFERROR('A4 - Previsão de Receita Bruta'!M15*VLOOKUP($C180,AliqPorTipo,COLUMN($C168)-1,0),0)</f>
        <v>0</v>
      </c>
      <c r="O180" s="207">
        <f>IFERROR('A4 - Previsão de Receita Bruta'!N15*VLOOKUP($C180,AliqPorTipo,COLUMN($C168)-1,0),0)</f>
        <v>0</v>
      </c>
      <c r="P180" s="207">
        <f>IFERROR('A4 - Previsão de Receita Bruta'!O15*VLOOKUP($C180,AliqPorTipo,COLUMN($C168)-1,0),0)</f>
        <v>0</v>
      </c>
      <c r="Q180" s="207">
        <f>IFERROR('A4 - Previsão de Receita Bruta'!P15*VLOOKUP($C180,AliqPorTipo,COLUMN($C168)-1,0),0)</f>
        <v>0</v>
      </c>
      <c r="R180" s="207">
        <f>IFERROR('A4 - Previsão de Receita Bruta'!Q15*VLOOKUP($C180,AliqPorTipo,COLUMN($C168)-1,0),0)</f>
        <v>0</v>
      </c>
      <c r="S180" s="207">
        <f>IFERROR('A4 - Previsão de Receita Bruta'!R15*VLOOKUP($C180,AliqPorTipo,COLUMN($C168)-1,0),0)</f>
        <v>0</v>
      </c>
      <c r="T180" s="207">
        <f>IFERROR('A4 - Previsão de Receita Bruta'!S15*VLOOKUP($C180,AliqPorTipo,COLUMN($C168)-1,0),0)</f>
        <v>0</v>
      </c>
      <c r="U180" s="207">
        <f>IFERROR('A4 - Previsão de Receita Bruta'!T15*VLOOKUP($C180,AliqPorTipo,COLUMN($C168)-1,0),0)</f>
        <v>0</v>
      </c>
      <c r="V180" s="207">
        <f>IFERROR('A4 - Previsão de Receita Bruta'!U15*VLOOKUP($C180,AliqPorTipo,COLUMN($C168)-1,0),0)</f>
        <v>0</v>
      </c>
      <c r="W180" s="207">
        <f>IFERROR('A4 - Previsão de Receita Bruta'!V15*VLOOKUP($C180,AliqPorTipo,COLUMN($C168)-1,0),0)</f>
        <v>0</v>
      </c>
      <c r="X180" s="207">
        <f>IFERROR('A4 - Previsão de Receita Bruta'!W15*VLOOKUP($C180,AliqPorTipo,COLUMN($C168)-1,0),0)</f>
        <v>0</v>
      </c>
      <c r="Y180" s="207">
        <f>IFERROR('A4 - Previsão de Receita Bruta'!X15*VLOOKUP($C180,AliqPorTipo,COLUMN($C168)-1,0),0)</f>
        <v>0</v>
      </c>
      <c r="Z180" s="207">
        <f>IFERROR('A4 - Previsão de Receita Bruta'!Y15*VLOOKUP($C180,AliqPorTipo,COLUMN($C168)-1,0),0)</f>
        <v>0</v>
      </c>
      <c r="AA180" s="207">
        <f>IFERROR('A4 - Previsão de Receita Bruta'!Z15*VLOOKUP($C180,AliqPorTipo,COLUMN($C168)-1,0),0)</f>
        <v>0</v>
      </c>
      <c r="AB180" s="207">
        <f>IFERROR('A4 - Previsão de Receita Bruta'!AA15*VLOOKUP($C180,AliqPorTipo,COLUMN($C168)-1,0),0)</f>
        <v>0</v>
      </c>
      <c r="AC180" s="207">
        <f>IFERROR('A4 - Previsão de Receita Bruta'!AB15*VLOOKUP($C180,AliqPorTipo,COLUMN($C168)-1,0),0)</f>
        <v>0</v>
      </c>
      <c r="AD180" s="207">
        <f>IFERROR('A4 - Previsão de Receita Bruta'!AC15*VLOOKUP($C180,AliqPorTipo,COLUMN($C168)-1,0),0)</f>
        <v>0</v>
      </c>
      <c r="AE180" s="207">
        <f>IFERROR('A4 - Previsão de Receita Bruta'!AD15*VLOOKUP($C180,AliqPorTipo,COLUMN($C168)-1,0),0)</f>
        <v>0</v>
      </c>
      <c r="AF180" s="207">
        <f>IFERROR('A4 - Previsão de Receita Bruta'!AE15*VLOOKUP($C180,AliqPorTipo,COLUMN($C168)-1,0),0)</f>
        <v>0</v>
      </c>
      <c r="AG180" s="207">
        <f>IFERROR('A4 - Previsão de Receita Bruta'!AF15*VLOOKUP($C180,AliqPorTipo,COLUMN($C168)-1,0),0)</f>
        <v>0</v>
      </c>
      <c r="AH180" s="525"/>
      <c r="AI180" s="660"/>
      <c r="AJ180" s="660"/>
    </row>
    <row r="181" spans="1:36" ht="15" customHeight="1">
      <c r="A181" s="660"/>
      <c r="B181" s="205" t="str">
        <f>'A4 - Previsão de Receita Bruta'!B16</f>
        <v>Pedra Furada - Alimentação</v>
      </c>
      <c r="C181" s="206" t="str">
        <f t="shared" si="35"/>
        <v>Alimentação</v>
      </c>
      <c r="D181" s="207">
        <f>IFERROR('A4 - Previsão de Receita Bruta'!C16*VLOOKUP($C181,AliqPorTipo,COLUMN($C169)-1,0),0)</f>
        <v>0</v>
      </c>
      <c r="E181" s="207">
        <f>IFERROR('A4 - Previsão de Receita Bruta'!D16*VLOOKUP($C181,AliqPorTipo,COLUMN($C169)-1,0),0)</f>
        <v>468484.35</v>
      </c>
      <c r="F181" s="207">
        <f>IFERROR('A4 - Previsão de Receita Bruta'!E16*VLOOKUP($C181,AliqPorTipo,COLUMN($C169)-1,0),0)</f>
        <v>484646.07500000001</v>
      </c>
      <c r="G181" s="207">
        <f>IFERROR('A4 - Previsão de Receita Bruta'!F16*VLOOKUP($C181,AliqPorTipo,COLUMN($C169)-1,0),0)</f>
        <v>500293.61249999999</v>
      </c>
      <c r="H181" s="207">
        <f>IFERROR('A4 - Previsão de Receita Bruta'!G16*VLOOKUP($C181,AliqPorTipo,COLUMN($C169)-1,0),0)</f>
        <v>516195.53749999998</v>
      </c>
      <c r="I181" s="207">
        <f>IFERROR('A4 - Previsão de Receita Bruta'!H16*VLOOKUP($C181,AliqPorTipo,COLUMN($C169)-1,0),0)</f>
        <v>532373.5</v>
      </c>
      <c r="J181" s="207">
        <f>IFERROR('A4 - Previsão de Receita Bruta'!I16*VLOOKUP($C181,AliqPorTipo,COLUMN($C169)-1,0),0)</f>
        <v>549011.52500000002</v>
      </c>
      <c r="K181" s="207">
        <f>IFERROR('A4 - Previsão de Receita Bruta'!J16*VLOOKUP($C181,AliqPorTipo,COLUMN($C169)-1,0),0)</f>
        <v>566131.26249999995</v>
      </c>
      <c r="L181" s="207">
        <f>IFERROR('A4 - Previsão de Receita Bruta'!K16*VLOOKUP($C181,AliqPorTipo,COLUMN($C169)-1,0),0)</f>
        <v>583564.92500000005</v>
      </c>
      <c r="M181" s="207">
        <f>IFERROR('A4 - Previsão de Receita Bruta'!L16*VLOOKUP($C181,AliqPorTipo,COLUMN($C169)-1,0),0)</f>
        <v>601317.92500000005</v>
      </c>
      <c r="N181" s="207">
        <f>IFERROR('A4 - Previsão de Receita Bruta'!M16*VLOOKUP($C181,AliqPorTipo,COLUMN($C169)-1,0),0)</f>
        <v>619633.82499999995</v>
      </c>
      <c r="O181" s="207">
        <f>IFERROR('A4 - Previsão de Receita Bruta'!N16*VLOOKUP($C181,AliqPorTipo,COLUMN($C169)-1,0),0)</f>
        <v>638496.38749999995</v>
      </c>
      <c r="P181" s="207">
        <f>IFERROR('A4 - Previsão de Receita Bruta'!O16*VLOOKUP($C181,AliqPorTipo,COLUMN($C169)-1,0),0)</f>
        <v>657959.73750000005</v>
      </c>
      <c r="Q181" s="207">
        <f>IFERROR('A4 - Previsão de Receita Bruta'!P16*VLOOKUP($C181,AliqPorTipo,COLUMN($C169)-1,0),0)</f>
        <v>678007.63749999995</v>
      </c>
      <c r="R181" s="207">
        <f>IFERROR('A4 - Previsão de Receita Bruta'!Q16*VLOOKUP($C181,AliqPorTipo,COLUMN($C169)-1,0),0)</f>
        <v>698661.73750000005</v>
      </c>
      <c r="S181" s="207">
        <f>IFERROR('A4 - Previsão de Receita Bruta'!R16*VLOOKUP($C181,AliqPorTipo,COLUMN($C169)-1,0),0)</f>
        <v>719884.15</v>
      </c>
      <c r="T181" s="207">
        <f>IFERROR('A4 - Previsão de Receita Bruta'!S16*VLOOKUP($C181,AliqPorTipo,COLUMN($C169)-1,0),0)</f>
        <v>741642.4</v>
      </c>
      <c r="U181" s="207">
        <f>IFERROR('A4 - Previsão de Receita Bruta'!T16*VLOOKUP($C181,AliqPorTipo,COLUMN($C169)-1,0),0)</f>
        <v>763866.125</v>
      </c>
      <c r="V181" s="207">
        <f>IFERROR('A4 - Previsão de Receita Bruta'!U16*VLOOKUP($C181,AliqPorTipo,COLUMN($C169)-1,0),0)</f>
        <v>786501.2</v>
      </c>
      <c r="W181" s="207">
        <f>IFERROR('A4 - Previsão de Receita Bruta'!V16*VLOOKUP($C181,AliqPorTipo,COLUMN($C169)-1,0),0)</f>
        <v>809433.96250000002</v>
      </c>
      <c r="X181" s="207">
        <f>IFERROR('A4 - Previsão de Receita Bruta'!W16*VLOOKUP($C181,AliqPorTipo,COLUMN($C169)-1,0),0)</f>
        <v>809433.96250000002</v>
      </c>
      <c r="Y181" s="207">
        <f>IFERROR('A4 - Previsão de Receita Bruta'!X16*VLOOKUP($C181,AliqPorTipo,COLUMN($C169)-1,0),0)</f>
        <v>809433.96250000002</v>
      </c>
      <c r="Z181" s="207">
        <f>IFERROR('A4 - Previsão de Receita Bruta'!Y16*VLOOKUP($C181,AliqPorTipo,COLUMN($C169)-1,0),0)</f>
        <v>809433.96250000002</v>
      </c>
      <c r="AA181" s="207">
        <f>IFERROR('A4 - Previsão de Receita Bruta'!Z16*VLOOKUP($C181,AliqPorTipo,COLUMN($C169)-1,0),0)</f>
        <v>809433.96250000002</v>
      </c>
      <c r="AB181" s="207">
        <f>IFERROR('A4 - Previsão de Receita Bruta'!AA16*VLOOKUP($C181,AliqPorTipo,COLUMN($C169)-1,0),0)</f>
        <v>809433.96250000002</v>
      </c>
      <c r="AC181" s="207">
        <f>IFERROR('A4 - Previsão de Receita Bruta'!AB16*VLOOKUP($C181,AliqPorTipo,COLUMN($C169)-1,0),0)</f>
        <v>809433.96250000002</v>
      </c>
      <c r="AD181" s="207">
        <f>IFERROR('A4 - Previsão de Receita Bruta'!AC16*VLOOKUP($C181,AliqPorTipo,COLUMN($C169)-1,0),0)</f>
        <v>809433.96250000002</v>
      </c>
      <c r="AE181" s="207">
        <f>IFERROR('A4 - Previsão de Receita Bruta'!AD16*VLOOKUP($C181,AliqPorTipo,COLUMN($C169)-1,0),0)</f>
        <v>809433.96250000002</v>
      </c>
      <c r="AF181" s="207">
        <f>IFERROR('A4 - Previsão de Receita Bruta'!AE16*VLOOKUP($C181,AliqPorTipo,COLUMN($C169)-1,0),0)</f>
        <v>809433.96250000002</v>
      </c>
      <c r="AG181" s="207">
        <f>IFERROR('A4 - Previsão de Receita Bruta'!AF16*VLOOKUP($C181,AliqPorTipo,COLUMN($C169)-1,0),0)</f>
        <v>809433.96250000002</v>
      </c>
      <c r="AH181" s="525"/>
      <c r="AI181" s="660"/>
      <c r="AJ181" s="660"/>
    </row>
    <row r="182" spans="1:36" ht="15" customHeight="1">
      <c r="A182" s="660"/>
      <c r="B182" s="205" t="str">
        <f>'A4 - Previsão de Receita Bruta'!B17</f>
        <v>Pedra Furada - Comércio</v>
      </c>
      <c r="C182" s="206" t="str">
        <f t="shared" si="35"/>
        <v>Comércio</v>
      </c>
      <c r="D182" s="207">
        <f>IFERROR('A4 - Previsão de Receita Bruta'!C17*VLOOKUP($C182,AliqPorTipo,COLUMN($C170)-1,0),0)</f>
        <v>0</v>
      </c>
      <c r="E182" s="207">
        <f>IFERROR('A4 - Previsão de Receita Bruta'!D17*VLOOKUP($C182,AliqPorTipo,COLUMN($C170)-1,0),0)</f>
        <v>156161.45000000001</v>
      </c>
      <c r="F182" s="207">
        <f>IFERROR('A4 - Previsão de Receita Bruta'!E17*VLOOKUP($C182,AliqPorTipo,COLUMN($C170)-1,0),0)</f>
        <v>161552.29999999999</v>
      </c>
      <c r="G182" s="207">
        <f>IFERROR('A4 - Previsão de Receita Bruta'!F17*VLOOKUP($C182,AliqPorTipo,COLUMN($C170)-1,0),0)</f>
        <v>166769.95000000001</v>
      </c>
      <c r="H182" s="207">
        <f>IFERROR('A4 - Previsão de Receita Bruta'!G17*VLOOKUP($C182,AliqPorTipo,COLUMN($C170)-1,0),0)</f>
        <v>172063.375</v>
      </c>
      <c r="I182" s="207">
        <f>IFERROR('A4 - Previsão de Receita Bruta'!H17*VLOOKUP($C182,AliqPorTipo,COLUMN($C170)-1,0),0)</f>
        <v>177454.22500000001</v>
      </c>
      <c r="J182" s="207">
        <f>IFERROR('A4 - Previsão de Receita Bruta'!I17*VLOOKUP($C182,AliqPorTipo,COLUMN($C170)-1,0),0)</f>
        <v>183007.45</v>
      </c>
      <c r="K182" s="207">
        <f>IFERROR('A4 - Previsão de Receita Bruta'!J17*VLOOKUP($C182,AliqPorTipo,COLUMN($C170)-1,0),0)</f>
        <v>188712.22500000001</v>
      </c>
      <c r="L182" s="207">
        <f>IFERROR('A4 - Previsão de Receita Bruta'!K17*VLOOKUP($C182,AliqPorTipo,COLUMN($C170)-1,0),0)</f>
        <v>194525.25</v>
      </c>
      <c r="M182" s="207">
        <f>IFERROR('A4 - Previsão de Receita Bruta'!L17*VLOOKUP($C182,AliqPorTipo,COLUMN($C170)-1,0),0)</f>
        <v>200435.7</v>
      </c>
      <c r="N182" s="207">
        <f>IFERROR('A4 - Previsão de Receita Bruta'!M17*VLOOKUP($C182,AliqPorTipo,COLUMN($C170)-1,0),0)</f>
        <v>206541</v>
      </c>
      <c r="O182" s="207">
        <f>IFERROR('A4 - Previsão de Receita Bruta'!N17*VLOOKUP($C182,AliqPorTipo,COLUMN($C170)-1,0),0)</f>
        <v>212830.32500000001</v>
      </c>
      <c r="P182" s="207">
        <f>IFERROR('A4 - Previsão de Receita Bruta'!O17*VLOOKUP($C182,AliqPorTipo,COLUMN($C170)-1,0),0)</f>
        <v>219314.5</v>
      </c>
      <c r="Q182" s="207">
        <f>IFERROR('A4 - Previsão de Receita Bruta'!P17*VLOOKUP($C182,AliqPorTipo,COLUMN($C170)-1,0),0)</f>
        <v>226004.35</v>
      </c>
      <c r="R182" s="207">
        <f>IFERROR('A4 - Previsão de Receita Bruta'!Q17*VLOOKUP($C182,AliqPorTipo,COLUMN($C170)-1,0),0)</f>
        <v>232889.05</v>
      </c>
      <c r="S182" s="207">
        <f>IFERROR('A4 - Previsão de Receita Bruta'!R17*VLOOKUP($C182,AliqPorTipo,COLUMN($C170)-1,0),0)</f>
        <v>239957.77499999999</v>
      </c>
      <c r="T182" s="207">
        <f>IFERROR('A4 - Previsão de Receita Bruta'!S17*VLOOKUP($C182,AliqPorTipo,COLUMN($C170)-1,0),0)</f>
        <v>247210.52499999999</v>
      </c>
      <c r="U182" s="207">
        <f>IFERROR('A4 - Previsão de Receita Bruta'!T17*VLOOKUP($C182,AliqPorTipo,COLUMN($C170)-1,0),0)</f>
        <v>254625.65</v>
      </c>
      <c r="V182" s="207">
        <f>IFERROR('A4 - Previsão de Receita Bruta'!U17*VLOOKUP($C182,AliqPorTipo,COLUMN($C170)-1,0),0)</f>
        <v>262170.67499999999</v>
      </c>
      <c r="W182" s="207">
        <f>IFERROR('A4 - Previsão de Receita Bruta'!V17*VLOOKUP($C182,AliqPorTipo,COLUMN($C170)-1,0),0)</f>
        <v>269813.125</v>
      </c>
      <c r="X182" s="207">
        <f>IFERROR('A4 - Previsão de Receita Bruta'!W17*VLOOKUP($C182,AliqPorTipo,COLUMN($C170)-1,0),0)</f>
        <v>269813.125</v>
      </c>
      <c r="Y182" s="207">
        <f>IFERROR('A4 - Previsão de Receita Bruta'!X17*VLOOKUP($C182,AliqPorTipo,COLUMN($C170)-1,0),0)</f>
        <v>269813.125</v>
      </c>
      <c r="Z182" s="207">
        <f>IFERROR('A4 - Previsão de Receita Bruta'!Y17*VLOOKUP($C182,AliqPorTipo,COLUMN($C170)-1,0),0)</f>
        <v>269813.125</v>
      </c>
      <c r="AA182" s="207">
        <f>IFERROR('A4 - Previsão de Receita Bruta'!Z17*VLOOKUP($C182,AliqPorTipo,COLUMN($C170)-1,0),0)</f>
        <v>269813.125</v>
      </c>
      <c r="AB182" s="207">
        <f>IFERROR('A4 - Previsão de Receita Bruta'!AA17*VLOOKUP($C182,AliqPorTipo,COLUMN($C170)-1,0),0)</f>
        <v>269813.125</v>
      </c>
      <c r="AC182" s="207">
        <f>IFERROR('A4 - Previsão de Receita Bruta'!AB17*VLOOKUP($C182,AliqPorTipo,COLUMN($C170)-1,0),0)</f>
        <v>269813.125</v>
      </c>
      <c r="AD182" s="207">
        <f>IFERROR('A4 - Previsão de Receita Bruta'!AC17*VLOOKUP($C182,AliqPorTipo,COLUMN($C170)-1,0),0)</f>
        <v>269813.125</v>
      </c>
      <c r="AE182" s="207">
        <f>IFERROR('A4 - Previsão de Receita Bruta'!AD17*VLOOKUP($C182,AliqPorTipo,COLUMN($C170)-1,0),0)</f>
        <v>269813.125</v>
      </c>
      <c r="AF182" s="207">
        <f>IFERROR('A4 - Previsão de Receita Bruta'!AE17*VLOOKUP($C182,AliqPorTipo,COLUMN($C170)-1,0),0)</f>
        <v>269813.125</v>
      </c>
      <c r="AG182" s="207">
        <f>IFERROR('A4 - Previsão de Receita Bruta'!AF17*VLOOKUP($C182,AliqPorTipo,COLUMN($C170)-1,0),0)</f>
        <v>269813.125</v>
      </c>
      <c r="AH182" s="525"/>
      <c r="AI182" s="660"/>
      <c r="AJ182" s="660"/>
    </row>
    <row r="183" spans="1:36" ht="15" customHeight="1">
      <c r="A183" s="660"/>
      <c r="B183" s="205" t="str">
        <f>'A4 - Previsão de Receita Bruta'!B18</f>
        <v>Serrote - Alimentação</v>
      </c>
      <c r="C183" s="206" t="str">
        <f t="shared" si="35"/>
        <v>Alimentação</v>
      </c>
      <c r="D183" s="207">
        <f>IFERROR('A4 - Previsão de Receita Bruta'!C18*VLOOKUP($C183,AliqPorTipo,COLUMN($C171)-1,0),0)</f>
        <v>0</v>
      </c>
      <c r="E183" s="207">
        <f>IFERROR('A4 - Previsão de Receita Bruta'!D18*VLOOKUP($C183,AliqPorTipo,COLUMN($C171)-1,0),0)</f>
        <v>468484.35</v>
      </c>
      <c r="F183" s="207">
        <f>IFERROR('A4 - Previsão de Receita Bruta'!E18*VLOOKUP($C183,AliqPorTipo,COLUMN($C171)-1,0),0)</f>
        <v>484646.07500000001</v>
      </c>
      <c r="G183" s="207">
        <f>IFERROR('A4 - Previsão de Receita Bruta'!F18*VLOOKUP($C183,AliqPorTipo,COLUMN($C171)-1,0),0)</f>
        <v>500293.61249999999</v>
      </c>
      <c r="H183" s="207">
        <f>IFERROR('A4 - Previsão de Receita Bruta'!G18*VLOOKUP($C183,AliqPorTipo,COLUMN($C171)-1,0),0)</f>
        <v>516195.53749999998</v>
      </c>
      <c r="I183" s="207">
        <f>IFERROR('A4 - Previsão de Receita Bruta'!H18*VLOOKUP($C183,AliqPorTipo,COLUMN($C171)-1,0),0)</f>
        <v>532373.5</v>
      </c>
      <c r="J183" s="207">
        <f>IFERROR('A4 - Previsão de Receita Bruta'!I18*VLOOKUP($C183,AliqPorTipo,COLUMN($C171)-1,0),0)</f>
        <v>549011.52500000002</v>
      </c>
      <c r="K183" s="207">
        <f>IFERROR('A4 - Previsão de Receita Bruta'!J18*VLOOKUP($C183,AliqPorTipo,COLUMN($C171)-1,0),0)</f>
        <v>566131.26249999995</v>
      </c>
      <c r="L183" s="207">
        <f>IFERROR('A4 - Previsão de Receita Bruta'!K18*VLOOKUP($C183,AliqPorTipo,COLUMN($C171)-1,0),0)</f>
        <v>583564.92500000005</v>
      </c>
      <c r="M183" s="207">
        <f>IFERROR('A4 - Previsão de Receita Bruta'!L18*VLOOKUP($C183,AliqPorTipo,COLUMN($C171)-1,0),0)</f>
        <v>601317.92500000005</v>
      </c>
      <c r="N183" s="207">
        <f>IFERROR('A4 - Previsão de Receita Bruta'!M18*VLOOKUP($C183,AliqPorTipo,COLUMN($C171)-1,0),0)</f>
        <v>619633.82499999995</v>
      </c>
      <c r="O183" s="207">
        <f>IFERROR('A4 - Previsão de Receita Bruta'!N18*VLOOKUP($C183,AliqPorTipo,COLUMN($C171)-1,0),0)</f>
        <v>638496.38749999995</v>
      </c>
      <c r="P183" s="207">
        <f>IFERROR('A4 - Previsão de Receita Bruta'!O18*VLOOKUP($C183,AliqPorTipo,COLUMN($C171)-1,0),0)</f>
        <v>657959.73750000005</v>
      </c>
      <c r="Q183" s="207">
        <f>IFERROR('A4 - Previsão de Receita Bruta'!P18*VLOOKUP($C183,AliqPorTipo,COLUMN($C171)-1,0),0)</f>
        <v>678007.63749999995</v>
      </c>
      <c r="R183" s="207">
        <f>IFERROR('A4 - Previsão de Receita Bruta'!Q18*VLOOKUP($C183,AliqPorTipo,COLUMN($C171)-1,0),0)</f>
        <v>698661.73750000005</v>
      </c>
      <c r="S183" s="207">
        <f>IFERROR('A4 - Previsão de Receita Bruta'!R18*VLOOKUP($C183,AliqPorTipo,COLUMN($C171)-1,0),0)</f>
        <v>719884.15</v>
      </c>
      <c r="T183" s="207">
        <f>IFERROR('A4 - Previsão de Receita Bruta'!S18*VLOOKUP($C183,AliqPorTipo,COLUMN($C171)-1,0),0)</f>
        <v>741642.4</v>
      </c>
      <c r="U183" s="207">
        <f>IFERROR('A4 - Previsão de Receita Bruta'!T18*VLOOKUP($C183,AliqPorTipo,COLUMN($C171)-1,0),0)</f>
        <v>763866.125</v>
      </c>
      <c r="V183" s="207">
        <f>IFERROR('A4 - Previsão de Receita Bruta'!U18*VLOOKUP($C183,AliqPorTipo,COLUMN($C171)-1,0),0)</f>
        <v>786501.2</v>
      </c>
      <c r="W183" s="207">
        <f>IFERROR('A4 - Previsão de Receita Bruta'!V18*VLOOKUP($C183,AliqPorTipo,COLUMN($C171)-1,0),0)</f>
        <v>809433.96250000002</v>
      </c>
      <c r="X183" s="207">
        <f>IFERROR('A4 - Previsão de Receita Bruta'!W18*VLOOKUP($C183,AliqPorTipo,COLUMN($C171)-1,0),0)</f>
        <v>809433.96250000002</v>
      </c>
      <c r="Y183" s="207">
        <f>IFERROR('A4 - Previsão de Receita Bruta'!X18*VLOOKUP($C183,AliqPorTipo,COLUMN($C171)-1,0),0)</f>
        <v>809433.96250000002</v>
      </c>
      <c r="Z183" s="207">
        <f>IFERROR('A4 - Previsão de Receita Bruta'!Y18*VLOOKUP($C183,AliqPorTipo,COLUMN($C171)-1,0),0)</f>
        <v>809433.96250000002</v>
      </c>
      <c r="AA183" s="207">
        <f>IFERROR('A4 - Previsão de Receita Bruta'!Z18*VLOOKUP($C183,AliqPorTipo,COLUMN($C171)-1,0),0)</f>
        <v>809433.96250000002</v>
      </c>
      <c r="AB183" s="207">
        <f>IFERROR('A4 - Previsão de Receita Bruta'!AA18*VLOOKUP($C183,AliqPorTipo,COLUMN($C171)-1,0),0)</f>
        <v>809433.96250000002</v>
      </c>
      <c r="AC183" s="207">
        <f>IFERROR('A4 - Previsão de Receita Bruta'!AB18*VLOOKUP($C183,AliqPorTipo,COLUMN($C171)-1,0),0)</f>
        <v>809433.96250000002</v>
      </c>
      <c r="AD183" s="207">
        <f>IFERROR('A4 - Previsão de Receita Bruta'!AC18*VLOOKUP($C183,AliqPorTipo,COLUMN($C171)-1,0),0)</f>
        <v>809433.96250000002</v>
      </c>
      <c r="AE183" s="207">
        <f>IFERROR('A4 - Previsão de Receita Bruta'!AD18*VLOOKUP($C183,AliqPorTipo,COLUMN($C171)-1,0),0)</f>
        <v>809433.96250000002</v>
      </c>
      <c r="AF183" s="207">
        <f>IFERROR('A4 - Previsão de Receita Bruta'!AE18*VLOOKUP($C183,AliqPorTipo,COLUMN($C171)-1,0),0)</f>
        <v>809433.96250000002</v>
      </c>
      <c r="AG183" s="207">
        <f>IFERROR('A4 - Previsão de Receita Bruta'!AF18*VLOOKUP($C183,AliqPorTipo,COLUMN($C171)-1,0),0)</f>
        <v>809433.96250000002</v>
      </c>
      <c r="AH183" s="525"/>
      <c r="AI183" s="660"/>
      <c r="AJ183" s="660"/>
    </row>
    <row r="184" spans="1:36" ht="15" customHeight="1">
      <c r="A184" s="660"/>
      <c r="B184" s="205" t="str">
        <f>'A4 - Previsão de Receita Bruta'!B19</f>
        <v>Serrote - Comércio</v>
      </c>
      <c r="C184" s="206" t="str">
        <f t="shared" si="35"/>
        <v>Comércio</v>
      </c>
      <c r="D184" s="207">
        <f>IFERROR('A4 - Previsão de Receita Bruta'!C19*VLOOKUP($C184,AliqPorTipo,COLUMN($C172)-1,0),0)</f>
        <v>0</v>
      </c>
      <c r="E184" s="207">
        <f>IFERROR('A4 - Previsão de Receita Bruta'!D19*VLOOKUP($C184,AliqPorTipo,COLUMN($C172)-1,0),0)</f>
        <v>156161.45000000001</v>
      </c>
      <c r="F184" s="207">
        <f>IFERROR('A4 - Previsão de Receita Bruta'!E19*VLOOKUP($C184,AliqPorTipo,COLUMN($C172)-1,0),0)</f>
        <v>161552.29999999999</v>
      </c>
      <c r="G184" s="207">
        <f>IFERROR('A4 - Previsão de Receita Bruta'!F19*VLOOKUP($C184,AliqPorTipo,COLUMN($C172)-1,0),0)</f>
        <v>166769.95000000001</v>
      </c>
      <c r="H184" s="207">
        <f>IFERROR('A4 - Previsão de Receita Bruta'!G19*VLOOKUP($C184,AliqPorTipo,COLUMN($C172)-1,0),0)</f>
        <v>172063.375</v>
      </c>
      <c r="I184" s="207">
        <f>IFERROR('A4 - Previsão de Receita Bruta'!H19*VLOOKUP($C184,AliqPorTipo,COLUMN($C172)-1,0),0)</f>
        <v>177454.22500000001</v>
      </c>
      <c r="J184" s="207">
        <f>IFERROR('A4 - Previsão de Receita Bruta'!I19*VLOOKUP($C184,AliqPorTipo,COLUMN($C172)-1,0),0)</f>
        <v>183007.45</v>
      </c>
      <c r="K184" s="207">
        <f>IFERROR('A4 - Previsão de Receita Bruta'!J19*VLOOKUP($C184,AliqPorTipo,COLUMN($C172)-1,0),0)</f>
        <v>188712.22500000001</v>
      </c>
      <c r="L184" s="207">
        <f>IFERROR('A4 - Previsão de Receita Bruta'!K19*VLOOKUP($C184,AliqPorTipo,COLUMN($C172)-1,0),0)</f>
        <v>194525.25</v>
      </c>
      <c r="M184" s="207">
        <f>IFERROR('A4 - Previsão de Receita Bruta'!L19*VLOOKUP($C184,AliqPorTipo,COLUMN($C172)-1,0),0)</f>
        <v>200435.7</v>
      </c>
      <c r="N184" s="207">
        <f>IFERROR('A4 - Previsão de Receita Bruta'!M19*VLOOKUP($C184,AliqPorTipo,COLUMN($C172)-1,0),0)</f>
        <v>206541</v>
      </c>
      <c r="O184" s="207">
        <f>IFERROR('A4 - Previsão de Receita Bruta'!N19*VLOOKUP($C184,AliqPorTipo,COLUMN($C172)-1,0),0)</f>
        <v>212830.32500000001</v>
      </c>
      <c r="P184" s="207">
        <f>IFERROR('A4 - Previsão de Receita Bruta'!O19*VLOOKUP($C184,AliqPorTipo,COLUMN($C172)-1,0),0)</f>
        <v>219314.5</v>
      </c>
      <c r="Q184" s="207">
        <f>IFERROR('A4 - Previsão de Receita Bruta'!P19*VLOOKUP($C184,AliqPorTipo,COLUMN($C172)-1,0),0)</f>
        <v>226004.35</v>
      </c>
      <c r="R184" s="207">
        <f>IFERROR('A4 - Previsão de Receita Bruta'!Q19*VLOOKUP($C184,AliqPorTipo,COLUMN($C172)-1,0),0)</f>
        <v>232889.05</v>
      </c>
      <c r="S184" s="207">
        <f>IFERROR('A4 - Previsão de Receita Bruta'!R19*VLOOKUP($C184,AliqPorTipo,COLUMN($C172)-1,0),0)</f>
        <v>239957.77499999999</v>
      </c>
      <c r="T184" s="207">
        <f>IFERROR('A4 - Previsão de Receita Bruta'!S19*VLOOKUP($C184,AliqPorTipo,COLUMN($C172)-1,0),0)</f>
        <v>247210.52499999999</v>
      </c>
      <c r="U184" s="207">
        <f>IFERROR('A4 - Previsão de Receita Bruta'!T19*VLOOKUP($C184,AliqPorTipo,COLUMN($C172)-1,0),0)</f>
        <v>254625.65</v>
      </c>
      <c r="V184" s="207">
        <f>IFERROR('A4 - Previsão de Receita Bruta'!U19*VLOOKUP($C184,AliqPorTipo,COLUMN($C172)-1,0),0)</f>
        <v>262170.67499999999</v>
      </c>
      <c r="W184" s="207">
        <f>IFERROR('A4 - Previsão de Receita Bruta'!V19*VLOOKUP($C184,AliqPorTipo,COLUMN($C172)-1,0),0)</f>
        <v>269813.125</v>
      </c>
      <c r="X184" s="207">
        <f>IFERROR('A4 - Previsão de Receita Bruta'!W19*VLOOKUP($C184,AliqPorTipo,COLUMN($C172)-1,0),0)</f>
        <v>269813.125</v>
      </c>
      <c r="Y184" s="207">
        <f>IFERROR('A4 - Previsão de Receita Bruta'!X19*VLOOKUP($C184,AliqPorTipo,COLUMN($C172)-1,0),0)</f>
        <v>269813.125</v>
      </c>
      <c r="Z184" s="207">
        <f>IFERROR('A4 - Previsão de Receita Bruta'!Y19*VLOOKUP($C184,AliqPorTipo,COLUMN($C172)-1,0),0)</f>
        <v>269813.125</v>
      </c>
      <c r="AA184" s="207">
        <f>IFERROR('A4 - Previsão de Receita Bruta'!Z19*VLOOKUP($C184,AliqPorTipo,COLUMN($C172)-1,0),0)</f>
        <v>269813.125</v>
      </c>
      <c r="AB184" s="207">
        <f>IFERROR('A4 - Previsão de Receita Bruta'!AA19*VLOOKUP($C184,AliqPorTipo,COLUMN($C172)-1,0),0)</f>
        <v>269813.125</v>
      </c>
      <c r="AC184" s="207">
        <f>IFERROR('A4 - Previsão de Receita Bruta'!AB19*VLOOKUP($C184,AliqPorTipo,COLUMN($C172)-1,0),0)</f>
        <v>269813.125</v>
      </c>
      <c r="AD184" s="207">
        <f>IFERROR('A4 - Previsão de Receita Bruta'!AC19*VLOOKUP($C184,AliqPorTipo,COLUMN($C172)-1,0),0)</f>
        <v>269813.125</v>
      </c>
      <c r="AE184" s="207">
        <f>IFERROR('A4 - Previsão de Receita Bruta'!AD19*VLOOKUP($C184,AliqPorTipo,COLUMN($C172)-1,0),0)</f>
        <v>269813.125</v>
      </c>
      <c r="AF184" s="207">
        <f>IFERROR('A4 - Previsão de Receita Bruta'!AE19*VLOOKUP($C184,AliqPorTipo,COLUMN($C172)-1,0),0)</f>
        <v>269813.125</v>
      </c>
      <c r="AG184" s="207">
        <f>IFERROR('A4 - Previsão de Receita Bruta'!AF19*VLOOKUP($C184,AliqPorTipo,COLUMN($C172)-1,0),0)</f>
        <v>269813.125</v>
      </c>
      <c r="AH184" s="525"/>
      <c r="AI184" s="660"/>
      <c r="AJ184" s="660"/>
    </row>
    <row r="185" spans="1:36" ht="15" customHeight="1">
      <c r="A185" s="660"/>
      <c r="B185" s="205" t="str">
        <f>'A4 - Previsão de Receita Bruta'!B20</f>
        <v>Paraíso - Alimentação</v>
      </c>
      <c r="C185" s="206" t="str">
        <f t="shared" si="35"/>
        <v>Alimentação</v>
      </c>
      <c r="D185" s="207">
        <f>IFERROR('A4 - Previsão de Receita Bruta'!C20*VLOOKUP($C185,AliqPorTipo,COLUMN($C173)-1,0),0)</f>
        <v>0</v>
      </c>
      <c r="E185" s="207">
        <f>IFERROR('A4 - Previsão de Receita Bruta'!D20*VLOOKUP($C185,AliqPorTipo,COLUMN($C173)-1,0),0)</f>
        <v>0</v>
      </c>
      <c r="F185" s="207">
        <f>IFERROR('A4 - Previsão de Receita Bruta'!E20*VLOOKUP($C185,AliqPorTipo,COLUMN($C173)-1,0),0)</f>
        <v>0</v>
      </c>
      <c r="G185" s="207">
        <f>IFERROR('A4 - Previsão de Receita Bruta'!F20*VLOOKUP($C185,AliqPorTipo,COLUMN($C173)-1,0),0)</f>
        <v>0</v>
      </c>
      <c r="H185" s="207">
        <f>IFERROR('A4 - Previsão de Receita Bruta'!G20*VLOOKUP($C185,AliqPorTipo,COLUMN($C173)-1,0),0)</f>
        <v>0</v>
      </c>
      <c r="I185" s="207">
        <f>IFERROR('A4 - Previsão de Receita Bruta'!H20*VLOOKUP($C185,AliqPorTipo,COLUMN($C173)-1,0),0)</f>
        <v>0</v>
      </c>
      <c r="J185" s="207">
        <f>IFERROR('A4 - Previsão de Receita Bruta'!I20*VLOOKUP($C185,AliqPorTipo,COLUMN($C173)-1,0),0)</f>
        <v>0</v>
      </c>
      <c r="K185" s="207">
        <f>IFERROR('A4 - Previsão de Receita Bruta'!J20*VLOOKUP($C185,AliqPorTipo,COLUMN($C173)-1,0),0)</f>
        <v>0</v>
      </c>
      <c r="L185" s="207">
        <f>IFERROR('A4 - Previsão de Receita Bruta'!K20*VLOOKUP($C185,AliqPorTipo,COLUMN($C173)-1,0),0)</f>
        <v>0</v>
      </c>
      <c r="M185" s="207">
        <f>IFERROR('A4 - Previsão de Receita Bruta'!L20*VLOOKUP($C185,AliqPorTipo,COLUMN($C173)-1,0),0)</f>
        <v>0</v>
      </c>
      <c r="N185" s="207">
        <f>IFERROR('A4 - Previsão de Receita Bruta'!M20*VLOOKUP($C185,AliqPorTipo,COLUMN($C173)-1,0),0)</f>
        <v>0</v>
      </c>
      <c r="O185" s="207">
        <f>IFERROR('A4 - Previsão de Receita Bruta'!N20*VLOOKUP($C185,AliqPorTipo,COLUMN($C173)-1,0),0)</f>
        <v>0</v>
      </c>
      <c r="P185" s="207">
        <f>IFERROR('A4 - Previsão de Receita Bruta'!O20*VLOOKUP($C185,AliqPorTipo,COLUMN($C173)-1,0),0)</f>
        <v>0</v>
      </c>
      <c r="Q185" s="207">
        <f>IFERROR('A4 - Previsão de Receita Bruta'!P20*VLOOKUP($C185,AliqPorTipo,COLUMN($C173)-1,0),0)</f>
        <v>0</v>
      </c>
      <c r="R185" s="207">
        <f>IFERROR('A4 - Previsão de Receita Bruta'!Q20*VLOOKUP($C185,AliqPorTipo,COLUMN($C173)-1,0),0)</f>
        <v>0</v>
      </c>
      <c r="S185" s="207">
        <f>IFERROR('A4 - Previsão de Receita Bruta'!R20*VLOOKUP($C185,AliqPorTipo,COLUMN($C173)-1,0),0)</f>
        <v>0</v>
      </c>
      <c r="T185" s="207">
        <f>IFERROR('A4 - Previsão de Receita Bruta'!S20*VLOOKUP($C185,AliqPorTipo,COLUMN($C173)-1,0),0)</f>
        <v>0</v>
      </c>
      <c r="U185" s="207">
        <f>IFERROR('A4 - Previsão de Receita Bruta'!T20*VLOOKUP($C185,AliqPorTipo,COLUMN($C173)-1,0),0)</f>
        <v>0</v>
      </c>
      <c r="V185" s="207">
        <f>IFERROR('A4 - Previsão de Receita Bruta'!U20*VLOOKUP($C185,AliqPorTipo,COLUMN($C173)-1,0),0)</f>
        <v>0</v>
      </c>
      <c r="W185" s="207">
        <f>IFERROR('A4 - Previsão de Receita Bruta'!V20*VLOOKUP($C185,AliqPorTipo,COLUMN($C173)-1,0),0)</f>
        <v>0</v>
      </c>
      <c r="X185" s="207">
        <f>IFERROR('A4 - Previsão de Receita Bruta'!W20*VLOOKUP($C185,AliqPorTipo,COLUMN($C173)-1,0),0)</f>
        <v>0</v>
      </c>
      <c r="Y185" s="207">
        <f>IFERROR('A4 - Previsão de Receita Bruta'!X20*VLOOKUP($C185,AliqPorTipo,COLUMN($C173)-1,0),0)</f>
        <v>0</v>
      </c>
      <c r="Z185" s="207">
        <f>IFERROR('A4 - Previsão de Receita Bruta'!Y20*VLOOKUP($C185,AliqPorTipo,COLUMN($C173)-1,0),0)</f>
        <v>0</v>
      </c>
      <c r="AA185" s="207">
        <f>IFERROR('A4 - Previsão de Receita Bruta'!Z20*VLOOKUP($C185,AliqPorTipo,COLUMN($C173)-1,0),0)</f>
        <v>0</v>
      </c>
      <c r="AB185" s="207">
        <f>IFERROR('A4 - Previsão de Receita Bruta'!AA20*VLOOKUP($C185,AliqPorTipo,COLUMN($C173)-1,0),0)</f>
        <v>0</v>
      </c>
      <c r="AC185" s="207">
        <f>IFERROR('A4 - Previsão de Receita Bruta'!AB20*VLOOKUP($C185,AliqPorTipo,COLUMN($C173)-1,0),0)</f>
        <v>0</v>
      </c>
      <c r="AD185" s="207">
        <f>IFERROR('A4 - Previsão de Receita Bruta'!AC20*VLOOKUP($C185,AliqPorTipo,COLUMN($C173)-1,0),0)</f>
        <v>0</v>
      </c>
      <c r="AE185" s="207">
        <f>IFERROR('A4 - Previsão de Receita Bruta'!AD20*VLOOKUP($C185,AliqPorTipo,COLUMN($C173)-1,0),0)</f>
        <v>0</v>
      </c>
      <c r="AF185" s="207">
        <f>IFERROR('A4 - Previsão de Receita Bruta'!AE20*VLOOKUP($C185,AliqPorTipo,COLUMN($C173)-1,0),0)</f>
        <v>0</v>
      </c>
      <c r="AG185" s="207">
        <f>IFERROR('A4 - Previsão de Receita Bruta'!AF20*VLOOKUP($C185,AliqPorTipo,COLUMN($C173)-1,0),0)</f>
        <v>0</v>
      </c>
      <c r="AH185" s="525"/>
      <c r="AI185" s="660"/>
      <c r="AJ185" s="660"/>
    </row>
    <row r="186" spans="1:36" ht="15" customHeight="1">
      <c r="A186" s="660"/>
      <c r="B186" s="205" t="str">
        <f>'A4 - Previsão de Receita Bruta'!B21</f>
        <v>Paraíso - Comércio + Locação + Atividades</v>
      </c>
      <c r="C186" s="206" t="str">
        <f t="shared" si="35"/>
        <v xml:space="preserve"> Comércio </v>
      </c>
      <c r="D186" s="207">
        <f>IFERROR('A4 - Previsão de Receita Bruta'!C21*VLOOKUP($C186,AliqPorTipo,COLUMN($C174)-1,0),0)</f>
        <v>0</v>
      </c>
      <c r="E186" s="207">
        <f>IFERROR('A4 - Previsão de Receita Bruta'!D21*VLOOKUP($C186,AliqPorTipo,COLUMN($C174)-1,0),0)</f>
        <v>0</v>
      </c>
      <c r="F186" s="207">
        <f>IFERROR('A4 - Previsão de Receita Bruta'!E21*VLOOKUP($C186,AliqPorTipo,COLUMN($C174)-1,0),0)</f>
        <v>0</v>
      </c>
      <c r="G186" s="207">
        <f>IFERROR('A4 - Previsão de Receita Bruta'!F21*VLOOKUP($C186,AliqPorTipo,COLUMN($C174)-1,0),0)</f>
        <v>0</v>
      </c>
      <c r="H186" s="207">
        <f>IFERROR('A4 - Previsão de Receita Bruta'!G21*VLOOKUP($C186,AliqPorTipo,COLUMN($C174)-1,0),0)</f>
        <v>0</v>
      </c>
      <c r="I186" s="207">
        <f>IFERROR('A4 - Previsão de Receita Bruta'!H21*VLOOKUP($C186,AliqPorTipo,COLUMN($C174)-1,0),0)</f>
        <v>0</v>
      </c>
      <c r="J186" s="207">
        <f>IFERROR('A4 - Previsão de Receita Bruta'!I21*VLOOKUP($C186,AliqPorTipo,COLUMN($C174)-1,0),0)</f>
        <v>0</v>
      </c>
      <c r="K186" s="207">
        <f>IFERROR('A4 - Previsão de Receita Bruta'!J21*VLOOKUP($C186,AliqPorTipo,COLUMN($C174)-1,0),0)</f>
        <v>0</v>
      </c>
      <c r="L186" s="207">
        <f>IFERROR('A4 - Previsão de Receita Bruta'!K21*VLOOKUP($C186,AliqPorTipo,COLUMN($C174)-1,0),0)</f>
        <v>0</v>
      </c>
      <c r="M186" s="207">
        <f>IFERROR('A4 - Previsão de Receita Bruta'!L21*VLOOKUP($C186,AliqPorTipo,COLUMN($C174)-1,0),0)</f>
        <v>0</v>
      </c>
      <c r="N186" s="207">
        <f>IFERROR('A4 - Previsão de Receita Bruta'!M21*VLOOKUP($C186,AliqPorTipo,COLUMN($C174)-1,0),0)</f>
        <v>0</v>
      </c>
      <c r="O186" s="207">
        <f>IFERROR('A4 - Previsão de Receita Bruta'!N21*VLOOKUP($C186,AliqPorTipo,COLUMN($C174)-1,0),0)</f>
        <v>0</v>
      </c>
      <c r="P186" s="207">
        <f>IFERROR('A4 - Previsão de Receita Bruta'!O21*VLOOKUP($C186,AliqPorTipo,COLUMN($C174)-1,0),0)</f>
        <v>0</v>
      </c>
      <c r="Q186" s="207">
        <f>IFERROR('A4 - Previsão de Receita Bruta'!P21*VLOOKUP($C186,AliqPorTipo,COLUMN($C174)-1,0),0)</f>
        <v>0</v>
      </c>
      <c r="R186" s="207">
        <f>IFERROR('A4 - Previsão de Receita Bruta'!Q21*VLOOKUP($C186,AliqPorTipo,COLUMN($C174)-1,0),0)</f>
        <v>0</v>
      </c>
      <c r="S186" s="207">
        <f>IFERROR('A4 - Previsão de Receita Bruta'!R21*VLOOKUP($C186,AliqPorTipo,COLUMN($C174)-1,0),0)</f>
        <v>0</v>
      </c>
      <c r="T186" s="207">
        <f>IFERROR('A4 - Previsão de Receita Bruta'!S21*VLOOKUP($C186,AliqPorTipo,COLUMN($C174)-1,0),0)</f>
        <v>0</v>
      </c>
      <c r="U186" s="207">
        <f>IFERROR('A4 - Previsão de Receita Bruta'!T21*VLOOKUP($C186,AliqPorTipo,COLUMN($C174)-1,0),0)</f>
        <v>0</v>
      </c>
      <c r="V186" s="207">
        <f>IFERROR('A4 - Previsão de Receita Bruta'!U21*VLOOKUP($C186,AliqPorTipo,COLUMN($C174)-1,0),0)</f>
        <v>0</v>
      </c>
      <c r="W186" s="207">
        <f>IFERROR('A4 - Previsão de Receita Bruta'!V21*VLOOKUP($C186,AliqPorTipo,COLUMN($C174)-1,0),0)</f>
        <v>0</v>
      </c>
      <c r="X186" s="207">
        <f>IFERROR('A4 - Previsão de Receita Bruta'!W21*VLOOKUP($C186,AliqPorTipo,COLUMN($C174)-1,0),0)</f>
        <v>0</v>
      </c>
      <c r="Y186" s="207">
        <f>IFERROR('A4 - Previsão de Receita Bruta'!X21*VLOOKUP($C186,AliqPorTipo,COLUMN($C174)-1,0),0)</f>
        <v>0</v>
      </c>
      <c r="Z186" s="207">
        <f>IFERROR('A4 - Previsão de Receita Bruta'!Y21*VLOOKUP($C186,AliqPorTipo,COLUMN($C174)-1,0),0)</f>
        <v>0</v>
      </c>
      <c r="AA186" s="207">
        <f>IFERROR('A4 - Previsão de Receita Bruta'!Z21*VLOOKUP($C186,AliqPorTipo,COLUMN($C174)-1,0),0)</f>
        <v>0</v>
      </c>
      <c r="AB186" s="207">
        <f>IFERROR('A4 - Previsão de Receita Bruta'!AA21*VLOOKUP($C186,AliqPorTipo,COLUMN($C174)-1,0),0)</f>
        <v>0</v>
      </c>
      <c r="AC186" s="207">
        <f>IFERROR('A4 - Previsão de Receita Bruta'!AB21*VLOOKUP($C186,AliqPorTipo,COLUMN($C174)-1,0),0)</f>
        <v>0</v>
      </c>
      <c r="AD186" s="207">
        <f>IFERROR('A4 - Previsão de Receita Bruta'!AC21*VLOOKUP($C186,AliqPorTipo,COLUMN($C174)-1,0),0)</f>
        <v>0</v>
      </c>
      <c r="AE186" s="207">
        <f>IFERROR('A4 - Previsão de Receita Bruta'!AD21*VLOOKUP($C186,AliqPorTipo,COLUMN($C174)-1,0),0)</f>
        <v>0</v>
      </c>
      <c r="AF186" s="207">
        <f>IFERROR('A4 - Previsão de Receita Bruta'!AE21*VLOOKUP($C186,AliqPorTipo,COLUMN($C174)-1,0),0)</f>
        <v>0</v>
      </c>
      <c r="AG186" s="207">
        <f>IFERROR('A4 - Previsão de Receita Bruta'!AF21*VLOOKUP($C186,AliqPorTipo,COLUMN($C174)-1,0),0)</f>
        <v>0</v>
      </c>
      <c r="AH186" s="525"/>
      <c r="AI186" s="660"/>
      <c r="AJ186" s="660"/>
    </row>
    <row r="187" spans="1:36" ht="15" customHeight="1">
      <c r="A187" s="660"/>
      <c r="B187" s="205" t="str">
        <f>'A4 - Previsão de Receita Bruta'!B22</f>
        <v>Geral - Unidade móvel - Alimentação</v>
      </c>
      <c r="C187" s="206" t="str">
        <f t="shared" si="35"/>
        <v>Alimentação</v>
      </c>
      <c r="D187" s="207">
        <f>IFERROR('A4 - Previsão de Receita Bruta'!C22*VLOOKUP($C187,AliqPorTipo,COLUMN($C175)-1,0),0)</f>
        <v>0</v>
      </c>
      <c r="E187" s="207">
        <f>IFERROR('A4 - Previsão de Receita Bruta'!D22*VLOOKUP($C187,AliqPorTipo,COLUMN($C175)-1,0),0)</f>
        <v>117121.08749999999</v>
      </c>
      <c r="F187" s="207">
        <f>IFERROR('A4 - Previsão de Receita Bruta'!E22*VLOOKUP($C187,AliqPorTipo,COLUMN($C175)-1,0),0)</f>
        <v>121158.8125</v>
      </c>
      <c r="G187" s="207">
        <f>IFERROR('A4 - Previsão de Receita Bruta'!F22*VLOOKUP($C187,AliqPorTipo,COLUMN($C175)-1,0),0)</f>
        <v>125072.05</v>
      </c>
      <c r="H187" s="207">
        <f>IFERROR('A4 - Previsão de Receita Bruta'!G22*VLOOKUP($C187,AliqPorTipo,COLUMN($C175)-1,0),0)</f>
        <v>129050.2375</v>
      </c>
      <c r="I187" s="207">
        <f>IFERROR('A4 - Previsão de Receita Bruta'!H22*VLOOKUP($C187,AliqPorTipo,COLUMN($C175)-1,0),0)</f>
        <v>133093.375</v>
      </c>
      <c r="J187" s="207">
        <f>IFERROR('A4 - Previsão de Receita Bruta'!I22*VLOOKUP($C187,AliqPorTipo,COLUMN($C175)-1,0),0)</f>
        <v>137250.17499999999</v>
      </c>
      <c r="K187" s="207">
        <f>IFERROR('A4 - Previsão de Receita Bruta'!J22*VLOOKUP($C187,AliqPorTipo,COLUMN($C175)-1,0),0)</f>
        <v>141531.46249999999</v>
      </c>
      <c r="L187" s="207">
        <f>IFERROR('A4 - Previsão de Receita Bruta'!K22*VLOOKUP($C187,AliqPorTipo,COLUMN($C175)-1,0),0)</f>
        <v>145888.52499999999</v>
      </c>
      <c r="M187" s="207">
        <f>IFERROR('A4 - Previsão de Receita Bruta'!L22*VLOOKUP($C187,AliqPorTipo,COLUMN($C175)-1,0),0)</f>
        <v>150332.1875</v>
      </c>
      <c r="N187" s="207">
        <f>IFERROR('A4 - Previsão de Receita Bruta'!M22*VLOOKUP($C187,AliqPorTipo,COLUMN($C175)-1,0),0)</f>
        <v>154905.75</v>
      </c>
      <c r="O187" s="207">
        <f>IFERROR('A4 - Previsão de Receita Bruta'!N22*VLOOKUP($C187,AliqPorTipo,COLUMN($C175)-1,0),0)</f>
        <v>159625.45000000001</v>
      </c>
      <c r="P187" s="207">
        <f>IFERROR('A4 - Previsão de Receita Bruta'!O22*VLOOKUP($C187,AliqPorTipo,COLUMN($C175)-1,0),0)</f>
        <v>164491.28750000001</v>
      </c>
      <c r="Q187" s="207">
        <f>IFERROR('A4 - Previsão de Receita Bruta'!P22*VLOOKUP($C187,AliqPorTipo,COLUMN($C175)-1,0),0)</f>
        <v>169503.26250000001</v>
      </c>
      <c r="R187" s="207">
        <f>IFERROR('A4 - Previsão de Receita Bruta'!Q22*VLOOKUP($C187,AliqPorTipo,COLUMN($C175)-1,0),0)</f>
        <v>174666.78750000001</v>
      </c>
      <c r="S187" s="207">
        <f>IFERROR('A4 - Previsão de Receita Bruta'!R22*VLOOKUP($C187,AliqPorTipo,COLUMN($C175)-1,0),0)</f>
        <v>179971.03750000001</v>
      </c>
      <c r="T187" s="207">
        <f>IFERROR('A4 - Previsão de Receita Bruta'!S22*VLOOKUP($C187,AliqPorTipo,COLUMN($C175)-1,0),0)</f>
        <v>185410.6</v>
      </c>
      <c r="U187" s="207">
        <f>IFERROR('A4 - Previsão de Receita Bruta'!T22*VLOOKUP($C187,AliqPorTipo,COLUMN($C175)-1,0),0)</f>
        <v>190969.23749999999</v>
      </c>
      <c r="V187" s="207">
        <f>IFERROR('A4 - Previsão de Receita Bruta'!U22*VLOOKUP($C187,AliqPorTipo,COLUMN($C175)-1,0),0)</f>
        <v>196625.3</v>
      </c>
      <c r="W187" s="207">
        <f>IFERROR('A4 - Previsão de Receita Bruta'!V22*VLOOKUP($C187,AliqPorTipo,COLUMN($C175)-1,0),0)</f>
        <v>202357.13750000001</v>
      </c>
      <c r="X187" s="207">
        <f>IFERROR('A4 - Previsão de Receita Bruta'!W22*VLOOKUP($C187,AliqPorTipo,COLUMN($C175)-1,0),0)</f>
        <v>202357.13750000001</v>
      </c>
      <c r="Y187" s="207">
        <f>IFERROR('A4 - Previsão de Receita Bruta'!X22*VLOOKUP($C187,AliqPorTipo,COLUMN($C175)-1,0),0)</f>
        <v>202357.13750000001</v>
      </c>
      <c r="Z187" s="207">
        <f>IFERROR('A4 - Previsão de Receita Bruta'!Y22*VLOOKUP($C187,AliqPorTipo,COLUMN($C175)-1,0),0)</f>
        <v>202357.13750000001</v>
      </c>
      <c r="AA187" s="207">
        <f>IFERROR('A4 - Previsão de Receita Bruta'!Z22*VLOOKUP($C187,AliqPorTipo,COLUMN($C175)-1,0),0)</f>
        <v>202357.13750000001</v>
      </c>
      <c r="AB187" s="207">
        <f>IFERROR('A4 - Previsão de Receita Bruta'!AA22*VLOOKUP($C187,AliqPorTipo,COLUMN($C175)-1,0),0)</f>
        <v>202357.13750000001</v>
      </c>
      <c r="AC187" s="207">
        <f>IFERROR('A4 - Previsão de Receita Bruta'!AB22*VLOOKUP($C187,AliqPorTipo,COLUMN($C175)-1,0),0)</f>
        <v>202357.13750000001</v>
      </c>
      <c r="AD187" s="207">
        <f>IFERROR('A4 - Previsão de Receita Bruta'!AC22*VLOOKUP($C187,AliqPorTipo,COLUMN($C175)-1,0),0)</f>
        <v>202357.13750000001</v>
      </c>
      <c r="AE187" s="207">
        <f>IFERROR('A4 - Previsão de Receita Bruta'!AD22*VLOOKUP($C187,AliqPorTipo,COLUMN($C175)-1,0),0)</f>
        <v>202357.13750000001</v>
      </c>
      <c r="AF187" s="207">
        <f>IFERROR('A4 - Previsão de Receita Bruta'!AE22*VLOOKUP($C187,AliqPorTipo,COLUMN($C175)-1,0),0)</f>
        <v>202357.13750000001</v>
      </c>
      <c r="AG187" s="207">
        <f>IFERROR('A4 - Previsão de Receita Bruta'!AF22*VLOOKUP($C187,AliqPorTipo,COLUMN($C175)-1,0),0)</f>
        <v>202357.13750000001</v>
      </c>
      <c r="AH187" s="525"/>
      <c r="AI187" s="660"/>
      <c r="AJ187" s="660"/>
    </row>
    <row r="188" spans="1:36" ht="15" customHeight="1">
      <c r="A188" s="660"/>
      <c r="B188" s="205" t="str">
        <f>'A4 - Previsão de Receita Bruta'!B23</f>
        <v>Mangue Seco - Estacionamento</v>
      </c>
      <c r="C188" s="206" t="str">
        <f t="shared" si="35"/>
        <v>Serviços</v>
      </c>
      <c r="D188" s="207">
        <f>IFERROR('A4 - Previsão de Receita Bruta'!C23*VLOOKUP($C188,AliqPorTipo,COLUMN($C176)-1,0),0)</f>
        <v>0</v>
      </c>
      <c r="E188" s="207">
        <f>IFERROR('A4 - Previsão de Receita Bruta'!D23*VLOOKUP($C188,AliqPorTipo,COLUMN($C176)-1,0),0)</f>
        <v>0</v>
      </c>
      <c r="F188" s="207">
        <f>IFERROR('A4 - Previsão de Receita Bruta'!E23*VLOOKUP($C188,AliqPorTipo,COLUMN($C176)-1,0),0)</f>
        <v>0</v>
      </c>
      <c r="G188" s="207">
        <f>IFERROR('A4 - Previsão de Receita Bruta'!F23*VLOOKUP($C188,AliqPorTipo,COLUMN($C176)-1,0),0)</f>
        <v>0</v>
      </c>
      <c r="H188" s="207">
        <f>IFERROR('A4 - Previsão de Receita Bruta'!G23*VLOOKUP($C188,AliqPorTipo,COLUMN($C176)-1,0),0)</f>
        <v>0</v>
      </c>
      <c r="I188" s="207">
        <f>IFERROR('A4 - Previsão de Receita Bruta'!H23*VLOOKUP($C188,AliqPorTipo,COLUMN($C176)-1,0),0)</f>
        <v>0</v>
      </c>
      <c r="J188" s="207">
        <f>IFERROR('A4 - Previsão de Receita Bruta'!I23*VLOOKUP($C188,AliqPorTipo,COLUMN($C176)-1,0),0)</f>
        <v>0</v>
      </c>
      <c r="K188" s="207">
        <f>IFERROR('A4 - Previsão de Receita Bruta'!J23*VLOOKUP($C188,AliqPorTipo,COLUMN($C176)-1,0),0)</f>
        <v>0</v>
      </c>
      <c r="L188" s="207">
        <f>IFERROR('A4 - Previsão de Receita Bruta'!K23*VLOOKUP($C188,AliqPorTipo,COLUMN($C176)-1,0),0)</f>
        <v>0</v>
      </c>
      <c r="M188" s="207">
        <f>IFERROR('A4 - Previsão de Receita Bruta'!L23*VLOOKUP($C188,AliqPorTipo,COLUMN($C176)-1,0),0)</f>
        <v>0</v>
      </c>
      <c r="N188" s="207">
        <f>IFERROR('A4 - Previsão de Receita Bruta'!M23*VLOOKUP($C188,AliqPorTipo,COLUMN($C176)-1,0),0)</f>
        <v>0</v>
      </c>
      <c r="O188" s="207">
        <f>IFERROR('A4 - Previsão de Receita Bruta'!N23*VLOOKUP($C188,AliqPorTipo,COLUMN($C176)-1,0),0)</f>
        <v>0</v>
      </c>
      <c r="P188" s="207">
        <f>IFERROR('A4 - Previsão de Receita Bruta'!O23*VLOOKUP($C188,AliqPorTipo,COLUMN($C176)-1,0),0)</f>
        <v>0</v>
      </c>
      <c r="Q188" s="207">
        <f>IFERROR('A4 - Previsão de Receita Bruta'!P23*VLOOKUP($C188,AliqPorTipo,COLUMN($C176)-1,0),0)</f>
        <v>0</v>
      </c>
      <c r="R188" s="207">
        <f>IFERROR('A4 - Previsão de Receita Bruta'!Q23*VLOOKUP($C188,AliqPorTipo,COLUMN($C176)-1,0),0)</f>
        <v>0</v>
      </c>
      <c r="S188" s="207">
        <f>IFERROR('A4 - Previsão de Receita Bruta'!R23*VLOOKUP($C188,AliqPorTipo,COLUMN($C176)-1,0),0)</f>
        <v>0</v>
      </c>
      <c r="T188" s="207">
        <f>IFERROR('A4 - Previsão de Receita Bruta'!S23*VLOOKUP($C188,AliqPorTipo,COLUMN($C176)-1,0),0)</f>
        <v>0</v>
      </c>
      <c r="U188" s="207">
        <f>IFERROR('A4 - Previsão de Receita Bruta'!T23*VLOOKUP($C188,AliqPorTipo,COLUMN($C176)-1,0),0)</f>
        <v>0</v>
      </c>
      <c r="V188" s="207">
        <f>IFERROR('A4 - Previsão de Receita Bruta'!U23*VLOOKUP($C188,AliqPorTipo,COLUMN($C176)-1,0),0)</f>
        <v>0</v>
      </c>
      <c r="W188" s="207">
        <f>IFERROR('A4 - Previsão de Receita Bruta'!V23*VLOOKUP($C188,AliqPorTipo,COLUMN($C176)-1,0),0)</f>
        <v>0</v>
      </c>
      <c r="X188" s="207">
        <f>IFERROR('A4 - Previsão de Receita Bruta'!W23*VLOOKUP($C188,AliqPorTipo,COLUMN($C176)-1,0),0)</f>
        <v>0</v>
      </c>
      <c r="Y188" s="207">
        <f>IFERROR('A4 - Previsão de Receita Bruta'!X23*VLOOKUP($C188,AliqPorTipo,COLUMN($C176)-1,0),0)</f>
        <v>0</v>
      </c>
      <c r="Z188" s="207">
        <f>IFERROR('A4 - Previsão de Receita Bruta'!Y23*VLOOKUP($C188,AliqPorTipo,COLUMN($C176)-1,0),0)</f>
        <v>0</v>
      </c>
      <c r="AA188" s="207">
        <f>IFERROR('A4 - Previsão de Receita Bruta'!Z23*VLOOKUP($C188,AliqPorTipo,COLUMN($C176)-1,0),0)</f>
        <v>0</v>
      </c>
      <c r="AB188" s="207">
        <f>IFERROR('A4 - Previsão de Receita Bruta'!AA23*VLOOKUP($C188,AliqPorTipo,COLUMN($C176)-1,0),0)</f>
        <v>0</v>
      </c>
      <c r="AC188" s="207">
        <f>IFERROR('A4 - Previsão de Receita Bruta'!AB23*VLOOKUP($C188,AliqPorTipo,COLUMN($C176)-1,0),0)</f>
        <v>0</v>
      </c>
      <c r="AD188" s="207">
        <f>IFERROR('A4 - Previsão de Receita Bruta'!AC23*VLOOKUP($C188,AliqPorTipo,COLUMN($C176)-1,0),0)</f>
        <v>0</v>
      </c>
      <c r="AE188" s="207">
        <f>IFERROR('A4 - Previsão de Receita Bruta'!AD23*VLOOKUP($C188,AliqPorTipo,COLUMN($C176)-1,0),0)</f>
        <v>0</v>
      </c>
      <c r="AF188" s="207">
        <f>IFERROR('A4 - Previsão de Receita Bruta'!AE23*VLOOKUP($C188,AliqPorTipo,COLUMN($C176)-1,0),0)</f>
        <v>0</v>
      </c>
      <c r="AG188" s="207">
        <f>IFERROR('A4 - Previsão de Receita Bruta'!AF23*VLOOKUP($C188,AliqPorTipo,COLUMN($C176)-1,0),0)</f>
        <v>0</v>
      </c>
      <c r="AH188" s="525"/>
      <c r="AI188" s="660"/>
      <c r="AJ188" s="660"/>
    </row>
    <row r="189" spans="1:36" ht="15" customHeight="1">
      <c r="A189" s="660"/>
      <c r="B189" s="205" t="str">
        <f>'A4 - Previsão de Receita Bruta'!B24</f>
        <v>Lagoa Grande - Estacionamento</v>
      </c>
      <c r="C189" s="206" t="str">
        <f t="shared" si="35"/>
        <v>Serviços</v>
      </c>
      <c r="D189" s="207">
        <f>IFERROR('A4 - Previsão de Receita Bruta'!C24*VLOOKUP($C189,AliqPorTipo,COLUMN($C177)-1,0),0)</f>
        <v>0</v>
      </c>
      <c r="E189" s="207">
        <f>IFERROR('A4 - Previsão de Receita Bruta'!D24*VLOOKUP($C189,AliqPorTipo,COLUMN($C177)-1,0),0)</f>
        <v>0</v>
      </c>
      <c r="F189" s="207">
        <f>IFERROR('A4 - Previsão de Receita Bruta'!E24*VLOOKUP($C189,AliqPorTipo,COLUMN($C177)-1,0),0)</f>
        <v>0</v>
      </c>
      <c r="G189" s="207">
        <f>IFERROR('A4 - Previsão de Receita Bruta'!F24*VLOOKUP($C189,AliqPorTipo,COLUMN($C177)-1,0),0)</f>
        <v>0</v>
      </c>
      <c r="H189" s="207">
        <f>IFERROR('A4 - Previsão de Receita Bruta'!G24*VLOOKUP($C189,AliqPorTipo,COLUMN($C177)-1,0),0)</f>
        <v>0</v>
      </c>
      <c r="I189" s="207">
        <f>IFERROR('A4 - Previsão de Receita Bruta'!H24*VLOOKUP($C189,AliqPorTipo,COLUMN($C177)-1,0),0)</f>
        <v>0</v>
      </c>
      <c r="J189" s="207">
        <f>IFERROR('A4 - Previsão de Receita Bruta'!I24*VLOOKUP($C189,AliqPorTipo,COLUMN($C177)-1,0),0)</f>
        <v>0</v>
      </c>
      <c r="K189" s="207">
        <f>IFERROR('A4 - Previsão de Receita Bruta'!J24*VLOOKUP($C189,AliqPorTipo,COLUMN($C177)-1,0),0)</f>
        <v>0</v>
      </c>
      <c r="L189" s="207">
        <f>IFERROR('A4 - Previsão de Receita Bruta'!K24*VLOOKUP($C189,AliqPorTipo,COLUMN($C177)-1,0),0)</f>
        <v>0</v>
      </c>
      <c r="M189" s="207">
        <f>IFERROR('A4 - Previsão de Receita Bruta'!L24*VLOOKUP($C189,AliqPorTipo,COLUMN($C177)-1,0),0)</f>
        <v>0</v>
      </c>
      <c r="N189" s="207">
        <f>IFERROR('A4 - Previsão de Receita Bruta'!M24*VLOOKUP($C189,AliqPorTipo,COLUMN($C177)-1,0),0)</f>
        <v>0</v>
      </c>
      <c r="O189" s="207">
        <f>IFERROR('A4 - Previsão de Receita Bruta'!N24*VLOOKUP($C189,AliqPorTipo,COLUMN($C177)-1,0),0)</f>
        <v>0</v>
      </c>
      <c r="P189" s="207">
        <f>IFERROR('A4 - Previsão de Receita Bruta'!O24*VLOOKUP($C189,AliqPorTipo,COLUMN($C177)-1,0),0)</f>
        <v>0</v>
      </c>
      <c r="Q189" s="207">
        <f>IFERROR('A4 - Previsão de Receita Bruta'!P24*VLOOKUP($C189,AliqPorTipo,COLUMN($C177)-1,0),0)</f>
        <v>0</v>
      </c>
      <c r="R189" s="207">
        <f>IFERROR('A4 - Previsão de Receita Bruta'!Q24*VLOOKUP($C189,AliqPorTipo,COLUMN($C177)-1,0),0)</f>
        <v>0</v>
      </c>
      <c r="S189" s="207">
        <f>IFERROR('A4 - Previsão de Receita Bruta'!R24*VLOOKUP($C189,AliqPorTipo,COLUMN($C177)-1,0),0)</f>
        <v>0</v>
      </c>
      <c r="T189" s="207">
        <f>IFERROR('A4 - Previsão de Receita Bruta'!S24*VLOOKUP($C189,AliqPorTipo,COLUMN($C177)-1,0),0)</f>
        <v>0</v>
      </c>
      <c r="U189" s="207">
        <f>IFERROR('A4 - Previsão de Receita Bruta'!T24*VLOOKUP($C189,AliqPorTipo,COLUMN($C177)-1,0),0)</f>
        <v>0</v>
      </c>
      <c r="V189" s="207">
        <f>IFERROR('A4 - Previsão de Receita Bruta'!U24*VLOOKUP($C189,AliqPorTipo,COLUMN($C177)-1,0),0)</f>
        <v>0</v>
      </c>
      <c r="W189" s="207">
        <f>IFERROR('A4 - Previsão de Receita Bruta'!V24*VLOOKUP($C189,AliqPorTipo,COLUMN($C177)-1,0),0)</f>
        <v>0</v>
      </c>
      <c r="X189" s="207">
        <f>IFERROR('A4 - Previsão de Receita Bruta'!W24*VLOOKUP($C189,AliqPorTipo,COLUMN($C177)-1,0),0)</f>
        <v>0</v>
      </c>
      <c r="Y189" s="207">
        <f>IFERROR('A4 - Previsão de Receita Bruta'!X24*VLOOKUP($C189,AliqPorTipo,COLUMN($C177)-1,0),0)</f>
        <v>0</v>
      </c>
      <c r="Z189" s="207">
        <f>IFERROR('A4 - Previsão de Receita Bruta'!Y24*VLOOKUP($C189,AliqPorTipo,COLUMN($C177)-1,0),0)</f>
        <v>0</v>
      </c>
      <c r="AA189" s="207">
        <f>IFERROR('A4 - Previsão de Receita Bruta'!Z24*VLOOKUP($C189,AliqPorTipo,COLUMN($C177)-1,0),0)</f>
        <v>0</v>
      </c>
      <c r="AB189" s="207">
        <f>IFERROR('A4 - Previsão de Receita Bruta'!AA24*VLOOKUP($C189,AliqPorTipo,COLUMN($C177)-1,0),0)</f>
        <v>0</v>
      </c>
      <c r="AC189" s="207">
        <f>IFERROR('A4 - Previsão de Receita Bruta'!AB24*VLOOKUP($C189,AliqPorTipo,COLUMN($C177)-1,0),0)</f>
        <v>0</v>
      </c>
      <c r="AD189" s="207">
        <f>IFERROR('A4 - Previsão de Receita Bruta'!AC24*VLOOKUP($C189,AliqPorTipo,COLUMN($C177)-1,0),0)</f>
        <v>0</v>
      </c>
      <c r="AE189" s="207">
        <f>IFERROR('A4 - Previsão de Receita Bruta'!AD24*VLOOKUP($C189,AliqPorTipo,COLUMN($C177)-1,0),0)</f>
        <v>0</v>
      </c>
      <c r="AF189" s="207">
        <f>IFERROR('A4 - Previsão de Receita Bruta'!AE24*VLOOKUP($C189,AliqPorTipo,COLUMN($C177)-1,0),0)</f>
        <v>0</v>
      </c>
      <c r="AG189" s="207">
        <f>IFERROR('A4 - Previsão de Receita Bruta'!AF24*VLOOKUP($C189,AliqPorTipo,COLUMN($C177)-1,0),0)</f>
        <v>0</v>
      </c>
      <c r="AH189" s="525"/>
      <c r="AI189" s="660"/>
      <c r="AJ189" s="660"/>
    </row>
    <row r="190" spans="1:36" ht="15" customHeight="1">
      <c r="A190" s="660"/>
      <c r="B190" s="205">
        <f>'A4 - Previsão de Receita Bruta'!B25</f>
        <v>0</v>
      </c>
      <c r="C190" s="206">
        <f t="shared" si="35"/>
        <v>0</v>
      </c>
      <c r="D190" s="207">
        <f>IFERROR('A4 - Previsão de Receita Bruta'!C25*VLOOKUP($C190,AliqPorTipo,COLUMN($C178)-1,0),0)</f>
        <v>0</v>
      </c>
      <c r="E190" s="207">
        <f>IFERROR('A4 - Previsão de Receita Bruta'!D25*VLOOKUP($C190,AliqPorTipo,COLUMN($C178)-1,0),0)</f>
        <v>0</v>
      </c>
      <c r="F190" s="207">
        <f>IFERROR('A4 - Previsão de Receita Bruta'!E25*VLOOKUP($C190,AliqPorTipo,COLUMN($C178)-1,0),0)</f>
        <v>0</v>
      </c>
      <c r="G190" s="207">
        <f>IFERROR('A4 - Previsão de Receita Bruta'!F25*VLOOKUP($C190,AliqPorTipo,COLUMN($C178)-1,0),0)</f>
        <v>0</v>
      </c>
      <c r="H190" s="207">
        <f>IFERROR('A4 - Previsão de Receita Bruta'!G25*VLOOKUP($C190,AliqPorTipo,COLUMN($C178)-1,0),0)</f>
        <v>0</v>
      </c>
      <c r="I190" s="207">
        <f>IFERROR('A4 - Previsão de Receita Bruta'!H25*VLOOKUP($C190,AliqPorTipo,COLUMN($C178)-1,0),0)</f>
        <v>0</v>
      </c>
      <c r="J190" s="207">
        <f>IFERROR('A4 - Previsão de Receita Bruta'!I25*VLOOKUP($C190,AliqPorTipo,COLUMN($C178)-1,0),0)</f>
        <v>0</v>
      </c>
      <c r="K190" s="207">
        <f>IFERROR('A4 - Previsão de Receita Bruta'!J25*VLOOKUP($C190,AliqPorTipo,COLUMN($C178)-1,0),0)</f>
        <v>0</v>
      </c>
      <c r="L190" s="207">
        <f>IFERROR('A4 - Previsão de Receita Bruta'!K25*VLOOKUP($C190,AliqPorTipo,COLUMN($C178)-1,0),0)</f>
        <v>0</v>
      </c>
      <c r="M190" s="207">
        <f>IFERROR('A4 - Previsão de Receita Bruta'!L25*VLOOKUP($C190,AliqPorTipo,COLUMN($C178)-1,0),0)</f>
        <v>0</v>
      </c>
      <c r="N190" s="207">
        <f>IFERROR('A4 - Previsão de Receita Bruta'!M25*VLOOKUP($C190,AliqPorTipo,COLUMN($C178)-1,0),0)</f>
        <v>0</v>
      </c>
      <c r="O190" s="207">
        <f>IFERROR('A4 - Previsão de Receita Bruta'!N25*VLOOKUP($C190,AliqPorTipo,COLUMN($C178)-1,0),0)</f>
        <v>0</v>
      </c>
      <c r="P190" s="207">
        <f>IFERROR('A4 - Previsão de Receita Bruta'!O25*VLOOKUP($C190,AliqPorTipo,COLUMN($C178)-1,0),0)</f>
        <v>0</v>
      </c>
      <c r="Q190" s="207">
        <f>IFERROR('A4 - Previsão de Receita Bruta'!P25*VLOOKUP($C190,AliqPorTipo,COLUMN($C178)-1,0),0)</f>
        <v>0</v>
      </c>
      <c r="R190" s="207">
        <f>IFERROR('A4 - Previsão de Receita Bruta'!Q25*VLOOKUP($C190,AliqPorTipo,COLUMN($C178)-1,0),0)</f>
        <v>0</v>
      </c>
      <c r="S190" s="207">
        <f>IFERROR('A4 - Previsão de Receita Bruta'!R25*VLOOKUP($C190,AliqPorTipo,COLUMN($C178)-1,0),0)</f>
        <v>0</v>
      </c>
      <c r="T190" s="207">
        <f>IFERROR('A4 - Previsão de Receita Bruta'!S25*VLOOKUP($C190,AliqPorTipo,COLUMN($C178)-1,0),0)</f>
        <v>0</v>
      </c>
      <c r="U190" s="207">
        <f>IFERROR('A4 - Previsão de Receita Bruta'!T25*VLOOKUP($C190,AliqPorTipo,COLUMN($C178)-1,0),0)</f>
        <v>0</v>
      </c>
      <c r="V190" s="207">
        <f>IFERROR('A4 - Previsão de Receita Bruta'!U25*VLOOKUP($C190,AliqPorTipo,COLUMN($C178)-1,0),0)</f>
        <v>0</v>
      </c>
      <c r="W190" s="207">
        <f>IFERROR('A4 - Previsão de Receita Bruta'!V25*VLOOKUP($C190,AliqPorTipo,COLUMN($C178)-1,0),0)</f>
        <v>0</v>
      </c>
      <c r="X190" s="207">
        <f>IFERROR('A4 - Previsão de Receita Bruta'!W25*VLOOKUP($C190,AliqPorTipo,COLUMN($C178)-1,0),0)</f>
        <v>0</v>
      </c>
      <c r="Y190" s="207">
        <f>IFERROR('A4 - Previsão de Receita Bruta'!X25*VLOOKUP($C190,AliqPorTipo,COLUMN($C178)-1,0),0)</f>
        <v>0</v>
      </c>
      <c r="Z190" s="207">
        <f>IFERROR('A4 - Previsão de Receita Bruta'!Y25*VLOOKUP($C190,AliqPorTipo,COLUMN($C178)-1,0),0)</f>
        <v>0</v>
      </c>
      <c r="AA190" s="207">
        <f>IFERROR('A4 - Previsão de Receita Bruta'!Z25*VLOOKUP($C190,AliqPorTipo,COLUMN($C178)-1,0),0)</f>
        <v>0</v>
      </c>
      <c r="AB190" s="207">
        <f>IFERROR('A4 - Previsão de Receita Bruta'!AA25*VLOOKUP($C190,AliqPorTipo,COLUMN($C178)-1,0),0)</f>
        <v>0</v>
      </c>
      <c r="AC190" s="207">
        <f>IFERROR('A4 - Previsão de Receita Bruta'!AB25*VLOOKUP($C190,AliqPorTipo,COLUMN($C178)-1,0),0)</f>
        <v>0</v>
      </c>
      <c r="AD190" s="207">
        <f>IFERROR('A4 - Previsão de Receita Bruta'!AC25*VLOOKUP($C190,AliqPorTipo,COLUMN($C178)-1,0),0)</f>
        <v>0</v>
      </c>
      <c r="AE190" s="207">
        <f>IFERROR('A4 - Previsão de Receita Bruta'!AD25*VLOOKUP($C190,AliqPorTipo,COLUMN($C178)-1,0),0)</f>
        <v>0</v>
      </c>
      <c r="AF190" s="207">
        <f>IFERROR('A4 - Previsão de Receita Bruta'!AE25*VLOOKUP($C190,AliqPorTipo,COLUMN($C178)-1,0),0)</f>
        <v>0</v>
      </c>
      <c r="AG190" s="207">
        <f>IFERROR('A4 - Previsão de Receita Bruta'!AF25*VLOOKUP($C190,AliqPorTipo,COLUMN($C178)-1,0),0)</f>
        <v>0</v>
      </c>
      <c r="AH190" s="525"/>
      <c r="AI190" s="660"/>
      <c r="AJ190" s="660"/>
    </row>
    <row r="191" spans="1:36" ht="15" customHeight="1">
      <c r="A191" s="660"/>
      <c r="B191" s="205">
        <f>'A4 - Previsão de Receita Bruta'!B26</f>
        <v>0</v>
      </c>
      <c r="C191" s="206">
        <f t="shared" si="35"/>
        <v>0</v>
      </c>
      <c r="D191" s="207">
        <f>IFERROR('A4 - Previsão de Receita Bruta'!C26*VLOOKUP($C191,AliqPorTipo,COLUMN($C179)-1,0),0)</f>
        <v>0</v>
      </c>
      <c r="E191" s="207">
        <f>IFERROR('A4 - Previsão de Receita Bruta'!D26*VLOOKUP($C191,AliqPorTipo,COLUMN($C179)-1,0),0)</f>
        <v>0</v>
      </c>
      <c r="F191" s="207">
        <f>IFERROR('A4 - Previsão de Receita Bruta'!E26*VLOOKUP($C191,AliqPorTipo,COLUMN($C179)-1,0),0)</f>
        <v>0</v>
      </c>
      <c r="G191" s="207">
        <f>IFERROR('A4 - Previsão de Receita Bruta'!F26*VLOOKUP($C191,AliqPorTipo,COLUMN($C179)-1,0),0)</f>
        <v>0</v>
      </c>
      <c r="H191" s="207">
        <f>IFERROR('A4 - Previsão de Receita Bruta'!G26*VLOOKUP($C191,AliqPorTipo,COLUMN($C179)-1,0),0)</f>
        <v>0</v>
      </c>
      <c r="I191" s="207">
        <f>IFERROR('A4 - Previsão de Receita Bruta'!H26*VLOOKUP($C191,AliqPorTipo,COLUMN($C179)-1,0),0)</f>
        <v>0</v>
      </c>
      <c r="J191" s="207">
        <f>IFERROR('A4 - Previsão de Receita Bruta'!I26*VLOOKUP($C191,AliqPorTipo,COLUMN($C179)-1,0),0)</f>
        <v>0</v>
      </c>
      <c r="K191" s="207">
        <f>IFERROR('A4 - Previsão de Receita Bruta'!J26*VLOOKUP($C191,AliqPorTipo,COLUMN($C179)-1,0),0)</f>
        <v>0</v>
      </c>
      <c r="L191" s="207">
        <f>IFERROR('A4 - Previsão de Receita Bruta'!K26*VLOOKUP($C191,AliqPorTipo,COLUMN($C179)-1,0),0)</f>
        <v>0</v>
      </c>
      <c r="M191" s="207">
        <f>IFERROR('A4 - Previsão de Receita Bruta'!L26*VLOOKUP($C191,AliqPorTipo,COLUMN($C179)-1,0),0)</f>
        <v>0</v>
      </c>
      <c r="N191" s="207">
        <f>IFERROR('A4 - Previsão de Receita Bruta'!M26*VLOOKUP($C191,AliqPorTipo,COLUMN($C179)-1,0),0)</f>
        <v>0</v>
      </c>
      <c r="O191" s="207">
        <f>IFERROR('A4 - Previsão de Receita Bruta'!N26*VLOOKUP($C191,AliqPorTipo,COLUMN($C179)-1,0),0)</f>
        <v>0</v>
      </c>
      <c r="P191" s="207">
        <f>IFERROR('A4 - Previsão de Receita Bruta'!O26*VLOOKUP($C191,AliqPorTipo,COLUMN($C179)-1,0),0)</f>
        <v>0</v>
      </c>
      <c r="Q191" s="207">
        <f>IFERROR('A4 - Previsão de Receita Bruta'!P26*VLOOKUP($C191,AliqPorTipo,COLUMN($C179)-1,0),0)</f>
        <v>0</v>
      </c>
      <c r="R191" s="207">
        <f>IFERROR('A4 - Previsão de Receita Bruta'!Q26*VLOOKUP($C191,AliqPorTipo,COLUMN($C179)-1,0),0)</f>
        <v>0</v>
      </c>
      <c r="S191" s="207">
        <f>IFERROR('A4 - Previsão de Receita Bruta'!R26*VLOOKUP($C191,AliqPorTipo,COLUMN($C179)-1,0),0)</f>
        <v>0</v>
      </c>
      <c r="T191" s="207">
        <f>IFERROR('A4 - Previsão de Receita Bruta'!S26*VLOOKUP($C191,AliqPorTipo,COLUMN($C179)-1,0),0)</f>
        <v>0</v>
      </c>
      <c r="U191" s="207">
        <f>IFERROR('A4 - Previsão de Receita Bruta'!T26*VLOOKUP($C191,AliqPorTipo,COLUMN($C179)-1,0),0)</f>
        <v>0</v>
      </c>
      <c r="V191" s="207">
        <f>IFERROR('A4 - Previsão de Receita Bruta'!U26*VLOOKUP($C191,AliqPorTipo,COLUMN($C179)-1,0),0)</f>
        <v>0</v>
      </c>
      <c r="W191" s="207">
        <f>IFERROR('A4 - Previsão de Receita Bruta'!V26*VLOOKUP($C191,AliqPorTipo,COLUMN($C179)-1,0),0)</f>
        <v>0</v>
      </c>
      <c r="X191" s="207">
        <f>IFERROR('A4 - Previsão de Receita Bruta'!W26*VLOOKUP($C191,AliqPorTipo,COLUMN($C179)-1,0),0)</f>
        <v>0</v>
      </c>
      <c r="Y191" s="207">
        <f>IFERROR('A4 - Previsão de Receita Bruta'!X26*VLOOKUP($C191,AliqPorTipo,COLUMN($C179)-1,0),0)</f>
        <v>0</v>
      </c>
      <c r="Z191" s="207">
        <f>IFERROR('A4 - Previsão de Receita Bruta'!Y26*VLOOKUP($C191,AliqPorTipo,COLUMN($C179)-1,0),0)</f>
        <v>0</v>
      </c>
      <c r="AA191" s="207">
        <f>IFERROR('A4 - Previsão de Receita Bruta'!Z26*VLOOKUP($C191,AliqPorTipo,COLUMN($C179)-1,0),0)</f>
        <v>0</v>
      </c>
      <c r="AB191" s="207">
        <f>IFERROR('A4 - Previsão de Receita Bruta'!AA26*VLOOKUP($C191,AliqPorTipo,COLUMN($C179)-1,0),0)</f>
        <v>0</v>
      </c>
      <c r="AC191" s="207">
        <f>IFERROR('A4 - Previsão de Receita Bruta'!AB26*VLOOKUP($C191,AliqPorTipo,COLUMN($C179)-1,0),0)</f>
        <v>0</v>
      </c>
      <c r="AD191" s="207">
        <f>IFERROR('A4 - Previsão de Receita Bruta'!AC26*VLOOKUP($C191,AliqPorTipo,COLUMN($C179)-1,0),0)</f>
        <v>0</v>
      </c>
      <c r="AE191" s="207">
        <f>IFERROR('A4 - Previsão de Receita Bruta'!AD26*VLOOKUP($C191,AliqPorTipo,COLUMN($C179)-1,0),0)</f>
        <v>0</v>
      </c>
      <c r="AF191" s="207">
        <f>IFERROR('A4 - Previsão de Receita Bruta'!AE26*VLOOKUP($C191,AliqPorTipo,COLUMN($C179)-1,0),0)</f>
        <v>0</v>
      </c>
      <c r="AG191" s="207">
        <f>IFERROR('A4 - Previsão de Receita Bruta'!AF26*VLOOKUP($C191,AliqPorTipo,COLUMN($C179)-1,0),0)</f>
        <v>0</v>
      </c>
      <c r="AH191" s="525"/>
      <c r="AI191" s="660"/>
      <c r="AJ191" s="660"/>
    </row>
    <row r="192" spans="1:36" ht="15" customHeight="1">
      <c r="A192" s="661"/>
      <c r="B192" s="790" t="s">
        <v>527</v>
      </c>
      <c r="C192" s="818"/>
      <c r="D192" s="208">
        <f t="shared" ref="D192:AG192" si="36">SUM(D172:D191)</f>
        <v>1221314.6924999999</v>
      </c>
      <c r="E192" s="208">
        <f t="shared" si="36"/>
        <v>5243676.6170000006</v>
      </c>
      <c r="F192" s="208">
        <f t="shared" si="36"/>
        <v>5424570.068</v>
      </c>
      <c r="G192" s="208">
        <f t="shared" si="36"/>
        <v>5599742.5069999993</v>
      </c>
      <c r="H192" s="208">
        <f t="shared" si="36"/>
        <v>5777697.1749999989</v>
      </c>
      <c r="I192" s="208">
        <f t="shared" si="36"/>
        <v>5958770.7569999993</v>
      </c>
      <c r="J192" s="208">
        <f t="shared" si="36"/>
        <v>6145005.1240000008</v>
      </c>
      <c r="K192" s="208">
        <f t="shared" si="36"/>
        <v>6336622.5569999991</v>
      </c>
      <c r="L192" s="208">
        <f t="shared" si="36"/>
        <v>6531751.4189999998</v>
      </c>
      <c r="M192" s="208">
        <f t="shared" si="36"/>
        <v>6730464.9630000005</v>
      </c>
      <c r="N192" s="208">
        <f t="shared" si="36"/>
        <v>6935445.6219999995</v>
      </c>
      <c r="O192" s="208">
        <f t="shared" si="36"/>
        <v>7146578.0285000009</v>
      </c>
      <c r="P192" s="208">
        <f t="shared" si="36"/>
        <v>7364413.9199999981</v>
      </c>
      <c r="Q192" s="208">
        <f t="shared" si="36"/>
        <v>7588854.5749999993</v>
      </c>
      <c r="R192" s="208">
        <f t="shared" si="36"/>
        <v>7820032.7839999981</v>
      </c>
      <c r="S192" s="208">
        <f t="shared" si="36"/>
        <v>8057537.3480000021</v>
      </c>
      <c r="T192" s="208">
        <f t="shared" si="36"/>
        <v>8301088.1535000019</v>
      </c>
      <c r="U192" s="208">
        <f t="shared" si="36"/>
        <v>8549871.1810000017</v>
      </c>
      <c r="V192" s="208">
        <f t="shared" si="36"/>
        <v>8803193.7460000012</v>
      </c>
      <c r="W192" s="208">
        <f t="shared" si="36"/>
        <v>9059863.438000001</v>
      </c>
      <c r="X192" s="208">
        <f t="shared" si="36"/>
        <v>9059863.438000001</v>
      </c>
      <c r="Y192" s="208">
        <f t="shared" si="36"/>
        <v>9059863.438000001</v>
      </c>
      <c r="Z192" s="208">
        <f t="shared" si="36"/>
        <v>9059863.438000001</v>
      </c>
      <c r="AA192" s="208">
        <f t="shared" si="36"/>
        <v>9059863.438000001</v>
      </c>
      <c r="AB192" s="208">
        <f t="shared" si="36"/>
        <v>9059863.438000001</v>
      </c>
      <c r="AC192" s="208">
        <f t="shared" si="36"/>
        <v>9059863.438000001</v>
      </c>
      <c r="AD192" s="208">
        <f t="shared" si="36"/>
        <v>9059863.438000001</v>
      </c>
      <c r="AE192" s="208">
        <f t="shared" si="36"/>
        <v>9059863.438000001</v>
      </c>
      <c r="AF192" s="208">
        <f t="shared" si="36"/>
        <v>9059863.438000001</v>
      </c>
      <c r="AG192" s="208">
        <f t="shared" si="36"/>
        <v>9059863.438000001</v>
      </c>
      <c r="AH192" s="525"/>
      <c r="AI192" s="661"/>
      <c r="AJ192" s="661"/>
    </row>
    <row r="193" spans="1:36" ht="15" customHeight="1">
      <c r="A193" s="521"/>
      <c r="B193" s="658"/>
      <c r="C193" s="522"/>
      <c r="D193" s="662"/>
      <c r="E193" s="522"/>
      <c r="F193" s="522"/>
      <c r="G193" s="522"/>
      <c r="H193" s="522"/>
      <c r="I193" s="522"/>
      <c r="J193" s="522"/>
      <c r="K193" s="522"/>
      <c r="L193" s="522"/>
      <c r="M193" s="522"/>
      <c r="N193" s="522"/>
      <c r="O193" s="522"/>
      <c r="P193" s="522"/>
      <c r="Q193" s="522"/>
      <c r="R193" s="522"/>
      <c r="S193" s="522"/>
      <c r="T193" s="522"/>
      <c r="U193" s="522"/>
      <c r="V193" s="522"/>
      <c r="W193" s="522"/>
      <c r="X193" s="522"/>
      <c r="Y193" s="522"/>
      <c r="Z193" s="522"/>
      <c r="AA193" s="522"/>
      <c r="AB193" s="522"/>
      <c r="AC193" s="522"/>
      <c r="AD193" s="522"/>
      <c r="AE193" s="522"/>
      <c r="AF193" s="522"/>
      <c r="AG193" s="522"/>
      <c r="AH193" s="525"/>
      <c r="AI193" s="521"/>
      <c r="AJ193" s="521"/>
    </row>
    <row r="194" spans="1:36" ht="15" customHeight="1">
      <c r="A194" s="521"/>
      <c r="B194" s="658"/>
      <c r="C194" s="522"/>
      <c r="D194" s="662"/>
      <c r="E194" s="522"/>
      <c r="F194" s="522"/>
      <c r="G194" s="522"/>
      <c r="H194" s="522"/>
      <c r="I194" s="522"/>
      <c r="J194" s="522"/>
      <c r="K194" s="522"/>
      <c r="L194" s="522"/>
      <c r="M194" s="522"/>
      <c r="N194" s="522"/>
      <c r="O194" s="522"/>
      <c r="P194" s="522"/>
      <c r="Q194" s="522"/>
      <c r="R194" s="522"/>
      <c r="S194" s="522"/>
      <c r="T194" s="522"/>
      <c r="U194" s="522"/>
      <c r="V194" s="522"/>
      <c r="W194" s="522"/>
      <c r="X194" s="522"/>
      <c r="Y194" s="522"/>
      <c r="Z194" s="522"/>
      <c r="AA194" s="522"/>
      <c r="AB194" s="522"/>
      <c r="AC194" s="522"/>
      <c r="AD194" s="522"/>
      <c r="AE194" s="522"/>
      <c r="AF194" s="522"/>
      <c r="AG194" s="522"/>
      <c r="AH194" s="525"/>
      <c r="AI194" s="521"/>
      <c r="AJ194" s="521"/>
    </row>
    <row r="195" spans="1:36" ht="15" customHeight="1">
      <c r="A195" s="521"/>
      <c r="B195" s="659" t="s">
        <v>577</v>
      </c>
      <c r="C195" s="525"/>
      <c r="D195" s="525"/>
      <c r="E195" s="525"/>
      <c r="F195" s="525"/>
      <c r="G195" s="525"/>
      <c r="H195" s="525"/>
      <c r="I195" s="525"/>
      <c r="J195" s="525"/>
      <c r="K195" s="525"/>
      <c r="L195" s="525"/>
      <c r="M195" s="525"/>
      <c r="N195" s="525"/>
      <c r="O195" s="525"/>
      <c r="P195" s="525"/>
      <c r="Q195" s="525"/>
      <c r="R195" s="525"/>
      <c r="S195" s="525"/>
      <c r="T195" s="525"/>
      <c r="U195" s="525"/>
      <c r="V195" s="525"/>
      <c r="W195" s="525"/>
      <c r="X195" s="525"/>
      <c r="Y195" s="525"/>
      <c r="Z195" s="525"/>
      <c r="AA195" s="525"/>
      <c r="AB195" s="525"/>
      <c r="AC195" s="525"/>
      <c r="AD195" s="525"/>
      <c r="AE195" s="525"/>
      <c r="AF195" s="525"/>
      <c r="AG195" s="525"/>
      <c r="AH195" s="525"/>
      <c r="AI195" s="521"/>
      <c r="AJ195" s="521"/>
    </row>
    <row r="196" spans="1:36" ht="15" customHeight="1">
      <c r="A196" s="521"/>
      <c r="B196" s="222" t="s">
        <v>526</v>
      </c>
      <c r="C196" s="222" t="s">
        <v>165</v>
      </c>
      <c r="D196" s="223">
        <f t="shared" ref="D196:AG196" si="37">D171</f>
        <v>1</v>
      </c>
      <c r="E196" s="223">
        <f t="shared" si="37"/>
        <v>2</v>
      </c>
      <c r="F196" s="223">
        <f t="shared" si="37"/>
        <v>3</v>
      </c>
      <c r="G196" s="223">
        <f t="shared" si="37"/>
        <v>4</v>
      </c>
      <c r="H196" s="223">
        <f t="shared" si="37"/>
        <v>5</v>
      </c>
      <c r="I196" s="223">
        <f t="shared" si="37"/>
        <v>6</v>
      </c>
      <c r="J196" s="223">
        <f t="shared" si="37"/>
        <v>7</v>
      </c>
      <c r="K196" s="223">
        <f t="shared" si="37"/>
        <v>8</v>
      </c>
      <c r="L196" s="223">
        <f t="shared" si="37"/>
        <v>9</v>
      </c>
      <c r="M196" s="223">
        <f t="shared" si="37"/>
        <v>10</v>
      </c>
      <c r="N196" s="223">
        <f t="shared" si="37"/>
        <v>11</v>
      </c>
      <c r="O196" s="223">
        <f t="shared" si="37"/>
        <v>12</v>
      </c>
      <c r="P196" s="223">
        <f t="shared" si="37"/>
        <v>13</v>
      </c>
      <c r="Q196" s="223">
        <f t="shared" si="37"/>
        <v>14</v>
      </c>
      <c r="R196" s="223">
        <f t="shared" si="37"/>
        <v>15</v>
      </c>
      <c r="S196" s="223">
        <f t="shared" si="37"/>
        <v>16</v>
      </c>
      <c r="T196" s="223">
        <f t="shared" si="37"/>
        <v>17</v>
      </c>
      <c r="U196" s="223">
        <f t="shared" si="37"/>
        <v>18</v>
      </c>
      <c r="V196" s="223">
        <f t="shared" si="37"/>
        <v>19</v>
      </c>
      <c r="W196" s="223">
        <f t="shared" si="37"/>
        <v>20</v>
      </c>
      <c r="X196" s="223">
        <f t="shared" si="37"/>
        <v>21</v>
      </c>
      <c r="Y196" s="223">
        <f t="shared" si="37"/>
        <v>22</v>
      </c>
      <c r="Z196" s="223">
        <f t="shared" si="37"/>
        <v>23</v>
      </c>
      <c r="AA196" s="223">
        <f t="shared" si="37"/>
        <v>24</v>
      </c>
      <c r="AB196" s="223">
        <f t="shared" si="37"/>
        <v>25</v>
      </c>
      <c r="AC196" s="223">
        <f t="shared" si="37"/>
        <v>26</v>
      </c>
      <c r="AD196" s="223">
        <f t="shared" si="37"/>
        <v>27</v>
      </c>
      <c r="AE196" s="223">
        <f t="shared" si="37"/>
        <v>28</v>
      </c>
      <c r="AF196" s="223">
        <f t="shared" si="37"/>
        <v>29</v>
      </c>
      <c r="AG196" s="223">
        <f t="shared" si="37"/>
        <v>30</v>
      </c>
      <c r="AH196" s="525"/>
      <c r="AI196" s="521"/>
      <c r="AJ196" s="521"/>
    </row>
    <row r="197" spans="1:36" ht="15" customHeight="1">
      <c r="A197" s="521"/>
      <c r="B197" s="205" t="str">
        <f t="shared" ref="B197:B216" si="38">B172</f>
        <v>Ingresso</v>
      </c>
      <c r="C197" s="206" t="str">
        <f t="shared" ref="C197:C216" si="39">IFERROR(VLOOKUP(B172,ReceitaPorTipo,24,0),0)</f>
        <v>Serviços</v>
      </c>
      <c r="D197" s="207">
        <f>IFERROR('A4 - Previsão de Receita Bruta'!C7*VLOOKUP($C197,AliqPorTipo,COLUMN($I160)-1,0),0)</f>
        <v>677723.76</v>
      </c>
      <c r="E197" s="207">
        <f>IFERROR('A4 - Previsão de Receita Bruta'!D7*VLOOKUP($C197,AliqPorTipo,COLUMN($I160)-1,0),0)</f>
        <v>1402208.496</v>
      </c>
      <c r="F197" s="207">
        <f>IFERROR('A4 - Previsão de Receita Bruta'!E7*VLOOKUP($C197,AliqPorTipo,COLUMN($I160)-1,0),0)</f>
        <v>1450575.216</v>
      </c>
      <c r="G197" s="207">
        <f>IFERROR('A4 - Previsão de Receita Bruta'!F7*VLOOKUP($C197,AliqPorTipo,COLUMN($I160)-1,0),0)</f>
        <v>1497421.7280000001</v>
      </c>
      <c r="H197" s="207">
        <f>IFERROR('A4 - Previsão de Receita Bruta'!G7*VLOOKUP($C197,AliqPorTipo,COLUMN($I160)-1,0),0)</f>
        <v>1545012.1440000001</v>
      </c>
      <c r="I197" s="207">
        <f>IFERROR('A4 - Previsão de Receita Bruta'!H7*VLOOKUP($C197,AliqPorTipo,COLUMN($I160)-1,0),0)</f>
        <v>1593437.1840000001</v>
      </c>
      <c r="J197" s="207">
        <f>IFERROR('A4 - Previsão de Receita Bruta'!I7*VLOOKUP($C197,AliqPorTipo,COLUMN($I160)-1,0),0)</f>
        <v>1643226.912</v>
      </c>
      <c r="K197" s="207">
        <f>IFERROR('A4 - Previsão de Receita Bruta'!J7*VLOOKUP($C197,AliqPorTipo,COLUMN($I160)-1,0),0)</f>
        <v>1694469.456</v>
      </c>
      <c r="L197" s="207">
        <f>IFERROR('A4 - Previsão de Receita Bruta'!K7*VLOOKUP($C197,AliqPorTipo,COLUMN($I160)-1,0),0)</f>
        <v>1746645.12</v>
      </c>
      <c r="M197" s="207">
        <f>IFERROR('A4 - Previsão de Receita Bruta'!L7*VLOOKUP($C197,AliqPorTipo,COLUMN($I160)-1,0),0)</f>
        <v>1799795.3759999999</v>
      </c>
      <c r="N197" s="207">
        <f>IFERROR('A4 - Previsão de Receita Bruta'!M7*VLOOKUP($C197,AliqPorTipo,COLUMN($I160)-1,0),0)</f>
        <v>1854607.1040000001</v>
      </c>
      <c r="O197" s="207">
        <f>IFERROR('A4 - Previsão de Receita Bruta'!N7*VLOOKUP($C197,AliqPorTipo,COLUMN($I160)-1,0),0)</f>
        <v>1911059.568</v>
      </c>
      <c r="P197" s="207">
        <f>IFERROR('A4 - Previsão de Receita Bruta'!O7*VLOOKUP($C197,AliqPorTipo,COLUMN($I160)-1,0),0)</f>
        <v>1969314.7680000002</v>
      </c>
      <c r="Q197" s="207">
        <f>IFERROR('A4 - Previsão de Receita Bruta'!P7*VLOOKUP($C197,AliqPorTipo,COLUMN($I160)-1,0),0)</f>
        <v>2029329.936</v>
      </c>
      <c r="R197" s="207">
        <f>IFERROR('A4 - Previsão de Receita Bruta'!Q7*VLOOKUP($C197,AliqPorTipo,COLUMN($I160)-1,0),0)</f>
        <v>2091149.1359999999</v>
      </c>
      <c r="S197" s="207">
        <f>IFERROR('A4 - Previsão de Receita Bruta'!R7*VLOOKUP($C197,AliqPorTipo,COLUMN($I160)-1,0),0)</f>
        <v>2154663.5040000002</v>
      </c>
      <c r="T197" s="207">
        <f>IFERROR('A4 - Previsão de Receita Bruta'!S7*VLOOKUP($C197,AliqPorTipo,COLUMN($I160)-1,0),0)</f>
        <v>2219795.2800000003</v>
      </c>
      <c r="U197" s="207">
        <f>IFERROR('A4 - Previsão de Receita Bruta'!T7*VLOOKUP($C197,AliqPorTipo,COLUMN($I160)-1,0),0)</f>
        <v>2286313.7760000001</v>
      </c>
      <c r="V197" s="207">
        <f>IFERROR('A4 - Previsão de Receita Bruta'!U7*VLOOKUP($C197,AliqPorTipo,COLUMN($I160)-1,0),0)</f>
        <v>2354049.216</v>
      </c>
      <c r="W197" s="207">
        <f>IFERROR('A4 - Previsão de Receita Bruta'!V7*VLOOKUP($C197,AliqPorTipo,COLUMN($I160)-1,0),0)</f>
        <v>2422686.6720000003</v>
      </c>
      <c r="X197" s="207">
        <f>IFERROR('A4 - Previsão de Receita Bruta'!W7*VLOOKUP($C197,AliqPorTipo,COLUMN($I160)-1,0),0)</f>
        <v>2422686.6720000003</v>
      </c>
      <c r="Y197" s="207">
        <f>IFERROR('A4 - Previsão de Receita Bruta'!X7*VLOOKUP($C197,AliqPorTipo,COLUMN($I160)-1,0),0)</f>
        <v>2422686.6720000003</v>
      </c>
      <c r="Z197" s="207">
        <f>IFERROR('A4 - Previsão de Receita Bruta'!Y7*VLOOKUP($C197,AliqPorTipo,COLUMN($I160)-1,0),0)</f>
        <v>2422686.6720000003</v>
      </c>
      <c r="AA197" s="207">
        <f>IFERROR('A4 - Previsão de Receita Bruta'!Z7*VLOOKUP($C197,AliqPorTipo,COLUMN($I160)-1,0),0)</f>
        <v>2422686.6720000003</v>
      </c>
      <c r="AB197" s="207">
        <f>IFERROR('A4 - Previsão de Receita Bruta'!AA7*VLOOKUP($C197,AliqPorTipo,COLUMN($I160)-1,0),0)</f>
        <v>2422686.6720000003</v>
      </c>
      <c r="AC197" s="207">
        <f>IFERROR('A4 - Previsão de Receita Bruta'!AB7*VLOOKUP($C197,AliqPorTipo,COLUMN($I160)-1,0),0)</f>
        <v>2422686.6720000003</v>
      </c>
      <c r="AD197" s="207">
        <f>IFERROR('A4 - Previsão de Receita Bruta'!AC7*VLOOKUP($C197,AliqPorTipo,COLUMN($I160)-1,0),0)</f>
        <v>2422686.6720000003</v>
      </c>
      <c r="AE197" s="207">
        <f>IFERROR('A4 - Previsão de Receita Bruta'!AD7*VLOOKUP($C197,AliqPorTipo,COLUMN($I160)-1,0),0)</f>
        <v>2422686.6720000003</v>
      </c>
      <c r="AF197" s="207">
        <f>IFERROR('A4 - Previsão de Receita Bruta'!AE7*VLOOKUP($C197,AliqPorTipo,COLUMN($I160)-1,0),0)</f>
        <v>2422686.6720000003</v>
      </c>
      <c r="AG197" s="207">
        <f>IFERROR('A4 - Previsão de Receita Bruta'!AF7*VLOOKUP($C197,AliqPorTipo,COLUMN($I160)-1,0),0)</f>
        <v>2422686.6720000003</v>
      </c>
      <c r="AH197" s="525"/>
      <c r="AI197" s="521"/>
      <c r="AJ197" s="521"/>
    </row>
    <row r="198" spans="1:36" ht="15" customHeight="1">
      <c r="A198" s="521"/>
      <c r="B198" s="205" t="str">
        <f t="shared" si="38"/>
        <v>Preá - Alimentação</v>
      </c>
      <c r="C198" s="206" t="str">
        <f t="shared" si="39"/>
        <v>Alimentação</v>
      </c>
      <c r="D198" s="207">
        <f>IFERROR('A4 - Previsão de Receita Bruta'!C8*VLOOKUP($C198,AliqPorTipo,COLUMN($I161)-1,0),0)</f>
        <v>0</v>
      </c>
      <c r="E198" s="207">
        <f>IFERROR('A4 - Previsão de Receita Bruta'!D8*VLOOKUP($C198,AliqPorTipo,COLUMN($I161)-1,0),0)</f>
        <v>25966.799999999999</v>
      </c>
      <c r="F198" s="207">
        <f>IFERROR('A4 - Previsão de Receita Bruta'!E8*VLOOKUP($C198,AliqPorTipo,COLUMN($I161)-1,0),0)</f>
        <v>26862.600000000002</v>
      </c>
      <c r="G198" s="207">
        <f>IFERROR('A4 - Previsão de Receita Bruta'!F8*VLOOKUP($C198,AliqPorTipo,COLUMN($I161)-1,0),0)</f>
        <v>27729.9</v>
      </c>
      <c r="H198" s="207">
        <f>IFERROR('A4 - Previsão de Receita Bruta'!G8*VLOOKUP($C198,AliqPorTipo,COLUMN($I161)-1,0),0)</f>
        <v>28611.3</v>
      </c>
      <c r="I198" s="207">
        <f>IFERROR('A4 - Previsão de Receita Bruta'!H8*VLOOKUP($C198,AliqPorTipo,COLUMN($I161)-1,0),0)</f>
        <v>29508</v>
      </c>
      <c r="J198" s="207">
        <f>IFERROR('A4 - Previsão de Receita Bruta'!I8*VLOOKUP($C198,AliqPorTipo,COLUMN($I161)-1,0),0)</f>
        <v>30430.2</v>
      </c>
      <c r="K198" s="207">
        <f>IFERROR('A4 - Previsão de Receita Bruta'!J8*VLOOKUP($C198,AliqPorTipo,COLUMN($I161)-1,0),0)</f>
        <v>31379.100000000002</v>
      </c>
      <c r="L198" s="207">
        <f>IFERROR('A4 - Previsão de Receita Bruta'!K8*VLOOKUP($C198,AliqPorTipo,COLUMN($I161)-1,0),0)</f>
        <v>32345.4</v>
      </c>
      <c r="M198" s="207">
        <f>IFERROR('A4 - Previsão de Receita Bruta'!L8*VLOOKUP($C198,AliqPorTipo,COLUMN($I161)-1,0),0)</f>
        <v>33329.4</v>
      </c>
      <c r="N198" s="207">
        <f>IFERROR('A4 - Previsão de Receita Bruta'!M8*VLOOKUP($C198,AliqPorTipo,COLUMN($I161)-1,0),0)</f>
        <v>34344.6</v>
      </c>
      <c r="O198" s="207">
        <f>IFERROR('A4 - Previsão de Receita Bruta'!N8*VLOOKUP($C198,AliqPorTipo,COLUMN($I161)-1,0),0)</f>
        <v>35390.1</v>
      </c>
      <c r="P198" s="207">
        <f>IFERROR('A4 - Previsão de Receita Bruta'!O8*VLOOKUP($C198,AliqPorTipo,COLUMN($I161)-1,0),0)</f>
        <v>36468.9</v>
      </c>
      <c r="Q198" s="207">
        <f>IFERROR('A4 - Previsão de Receita Bruta'!P8*VLOOKUP($C198,AliqPorTipo,COLUMN($I161)-1,0),0)</f>
        <v>37580.1</v>
      </c>
      <c r="R198" s="207">
        <f>IFERROR('A4 - Previsão de Receita Bruta'!Q8*VLOOKUP($C198,AliqPorTipo,COLUMN($I161)-1,0),0)</f>
        <v>38724.9</v>
      </c>
      <c r="S198" s="207">
        <f>IFERROR('A4 - Previsão de Receita Bruta'!R8*VLOOKUP($C198,AliqPorTipo,COLUMN($I161)-1,0),0)</f>
        <v>39901.200000000004</v>
      </c>
      <c r="T198" s="207">
        <f>IFERROR('A4 - Previsão de Receita Bruta'!S8*VLOOKUP($C198,AliqPorTipo,COLUMN($I161)-1,0),0)</f>
        <v>41107.200000000004</v>
      </c>
      <c r="U198" s="207">
        <f>IFERROR('A4 - Previsão de Receita Bruta'!T8*VLOOKUP($C198,AliqPorTipo,COLUMN($I161)-1,0),0)</f>
        <v>42339</v>
      </c>
      <c r="V198" s="207">
        <f>IFERROR('A4 - Previsão de Receita Bruta'!U8*VLOOKUP($C198,AliqPorTipo,COLUMN($I161)-1,0),0)</f>
        <v>43593.599999999999</v>
      </c>
      <c r="W198" s="207">
        <f>IFERROR('A4 - Previsão de Receita Bruta'!V8*VLOOKUP($C198,AliqPorTipo,COLUMN($I161)-1,0),0)</f>
        <v>44864.700000000004</v>
      </c>
      <c r="X198" s="207">
        <f>IFERROR('A4 - Previsão de Receita Bruta'!W8*VLOOKUP($C198,AliqPorTipo,COLUMN($I161)-1,0),0)</f>
        <v>44864.700000000004</v>
      </c>
      <c r="Y198" s="207">
        <f>IFERROR('A4 - Previsão de Receita Bruta'!X8*VLOOKUP($C198,AliqPorTipo,COLUMN($I161)-1,0),0)</f>
        <v>44864.700000000004</v>
      </c>
      <c r="Z198" s="207">
        <f>IFERROR('A4 - Previsão de Receita Bruta'!Y8*VLOOKUP($C198,AliqPorTipo,COLUMN($I161)-1,0),0)</f>
        <v>44864.700000000004</v>
      </c>
      <c r="AA198" s="207">
        <f>IFERROR('A4 - Previsão de Receita Bruta'!Z8*VLOOKUP($C198,AliqPorTipo,COLUMN($I161)-1,0),0)</f>
        <v>44864.700000000004</v>
      </c>
      <c r="AB198" s="207">
        <f>IFERROR('A4 - Previsão de Receita Bruta'!AA8*VLOOKUP($C198,AliqPorTipo,COLUMN($I161)-1,0),0)</f>
        <v>44864.700000000004</v>
      </c>
      <c r="AC198" s="207">
        <f>IFERROR('A4 - Previsão de Receita Bruta'!AB8*VLOOKUP($C198,AliqPorTipo,COLUMN($I161)-1,0),0)</f>
        <v>44864.700000000004</v>
      </c>
      <c r="AD198" s="207">
        <f>IFERROR('A4 - Previsão de Receita Bruta'!AC8*VLOOKUP($C198,AliqPorTipo,COLUMN($I161)-1,0),0)</f>
        <v>44864.700000000004</v>
      </c>
      <c r="AE198" s="207">
        <f>IFERROR('A4 - Previsão de Receita Bruta'!AD8*VLOOKUP($C198,AliqPorTipo,COLUMN($I161)-1,0),0)</f>
        <v>44864.700000000004</v>
      </c>
      <c r="AF198" s="207">
        <f>IFERROR('A4 - Previsão de Receita Bruta'!AE8*VLOOKUP($C198,AliqPorTipo,COLUMN($I161)-1,0),0)</f>
        <v>44864.700000000004</v>
      </c>
      <c r="AG198" s="207">
        <f>IFERROR('A4 - Previsão de Receita Bruta'!AF8*VLOOKUP($C198,AliqPorTipo,COLUMN($I161)-1,0),0)</f>
        <v>44864.700000000004</v>
      </c>
      <c r="AH198" s="525"/>
      <c r="AI198" s="521"/>
      <c r="AJ198" s="521"/>
    </row>
    <row r="199" spans="1:36" ht="15" customHeight="1">
      <c r="A199" s="521"/>
      <c r="B199" s="205" t="str">
        <f t="shared" si="38"/>
        <v>Preá - Comércio</v>
      </c>
      <c r="C199" s="206" t="str">
        <f t="shared" si="39"/>
        <v>Comércio</v>
      </c>
      <c r="D199" s="207">
        <f>IFERROR('A4 - Previsão de Receita Bruta'!C9*VLOOKUP($C199,AliqPorTipo,COLUMN($I162)-1,0),0)</f>
        <v>0</v>
      </c>
      <c r="E199" s="207">
        <f>IFERROR('A4 - Previsão de Receita Bruta'!D9*VLOOKUP($C199,AliqPorTipo,COLUMN($I162)-1,0),0)</f>
        <v>8655.6</v>
      </c>
      <c r="F199" s="207">
        <f>IFERROR('A4 - Previsão de Receita Bruta'!E9*VLOOKUP($C199,AliqPorTipo,COLUMN($I162)-1,0),0)</f>
        <v>8954.4</v>
      </c>
      <c r="G199" s="207">
        <f>IFERROR('A4 - Previsão de Receita Bruta'!F9*VLOOKUP($C199,AliqPorTipo,COLUMN($I162)-1,0),0)</f>
        <v>9243.6</v>
      </c>
      <c r="H199" s="207">
        <f>IFERROR('A4 - Previsão de Receita Bruta'!G9*VLOOKUP($C199,AliqPorTipo,COLUMN($I162)-1,0),0)</f>
        <v>9537</v>
      </c>
      <c r="I199" s="207">
        <f>IFERROR('A4 - Previsão de Receita Bruta'!H9*VLOOKUP($C199,AliqPorTipo,COLUMN($I162)-1,0),0)</f>
        <v>9835.8000000000011</v>
      </c>
      <c r="J199" s="207">
        <f>IFERROR('A4 - Previsão de Receita Bruta'!I9*VLOOKUP($C199,AliqPorTipo,COLUMN($I162)-1,0),0)</f>
        <v>10143.6</v>
      </c>
      <c r="K199" s="207">
        <f>IFERROR('A4 - Previsão de Receita Bruta'!J9*VLOOKUP($C199,AliqPorTipo,COLUMN($I162)-1,0),0)</f>
        <v>10459.800000000001</v>
      </c>
      <c r="L199" s="207">
        <f>IFERROR('A4 - Previsão de Receita Bruta'!K9*VLOOKUP($C199,AliqPorTipo,COLUMN($I162)-1,0),0)</f>
        <v>10782</v>
      </c>
      <c r="M199" s="207">
        <f>IFERROR('A4 - Previsão de Receita Bruta'!L9*VLOOKUP($C199,AliqPorTipo,COLUMN($I162)-1,0),0)</f>
        <v>11109.6</v>
      </c>
      <c r="N199" s="207">
        <f>IFERROR('A4 - Previsão de Receita Bruta'!M9*VLOOKUP($C199,AliqPorTipo,COLUMN($I162)-1,0),0)</f>
        <v>11448</v>
      </c>
      <c r="O199" s="207">
        <f>IFERROR('A4 - Previsão de Receita Bruta'!N9*VLOOKUP($C199,AliqPorTipo,COLUMN($I162)-1,0),0)</f>
        <v>11796.6</v>
      </c>
      <c r="P199" s="207">
        <f>IFERROR('A4 - Previsão de Receita Bruta'!O9*VLOOKUP($C199,AliqPorTipo,COLUMN($I162)-1,0),0)</f>
        <v>12156</v>
      </c>
      <c r="Q199" s="207">
        <f>IFERROR('A4 - Previsão de Receita Bruta'!P9*VLOOKUP($C199,AliqPorTipo,COLUMN($I162)-1,0),0)</f>
        <v>12526.800000000001</v>
      </c>
      <c r="R199" s="207">
        <f>IFERROR('A4 - Previsão de Receita Bruta'!Q9*VLOOKUP($C199,AliqPorTipo,COLUMN($I162)-1,0),0)</f>
        <v>12908.4</v>
      </c>
      <c r="S199" s="207">
        <f>IFERROR('A4 - Previsão de Receita Bruta'!R9*VLOOKUP($C199,AliqPorTipo,COLUMN($I162)-1,0),0)</f>
        <v>13300.2</v>
      </c>
      <c r="T199" s="207">
        <f>IFERROR('A4 - Previsão de Receita Bruta'!S9*VLOOKUP($C199,AliqPorTipo,COLUMN($I162)-1,0),0)</f>
        <v>13702.2</v>
      </c>
      <c r="U199" s="207">
        <f>IFERROR('A4 - Previsão de Receita Bruta'!T9*VLOOKUP($C199,AliqPorTipo,COLUMN($I162)-1,0),0)</f>
        <v>14113.2</v>
      </c>
      <c r="V199" s="207">
        <f>IFERROR('A4 - Previsão de Receita Bruta'!U9*VLOOKUP($C199,AliqPorTipo,COLUMN($I162)-1,0),0)</f>
        <v>14531.4</v>
      </c>
      <c r="W199" s="207">
        <f>IFERROR('A4 - Previsão de Receita Bruta'!V9*VLOOKUP($C199,AliqPorTipo,COLUMN($I162)-1,0),0)</f>
        <v>14955</v>
      </c>
      <c r="X199" s="207">
        <f>IFERROR('A4 - Previsão de Receita Bruta'!W9*VLOOKUP($C199,AliqPorTipo,COLUMN($I162)-1,0),0)</f>
        <v>14955</v>
      </c>
      <c r="Y199" s="207">
        <f>IFERROR('A4 - Previsão de Receita Bruta'!X9*VLOOKUP($C199,AliqPorTipo,COLUMN($I162)-1,0),0)</f>
        <v>14955</v>
      </c>
      <c r="Z199" s="207">
        <f>IFERROR('A4 - Previsão de Receita Bruta'!Y9*VLOOKUP($C199,AliqPorTipo,COLUMN($I162)-1,0),0)</f>
        <v>14955</v>
      </c>
      <c r="AA199" s="207">
        <f>IFERROR('A4 - Previsão de Receita Bruta'!Z9*VLOOKUP($C199,AliqPorTipo,COLUMN($I162)-1,0),0)</f>
        <v>14955</v>
      </c>
      <c r="AB199" s="207">
        <f>IFERROR('A4 - Previsão de Receita Bruta'!AA9*VLOOKUP($C199,AliqPorTipo,COLUMN($I162)-1,0),0)</f>
        <v>14955</v>
      </c>
      <c r="AC199" s="207">
        <f>IFERROR('A4 - Previsão de Receita Bruta'!AB9*VLOOKUP($C199,AliqPorTipo,COLUMN($I162)-1,0),0)</f>
        <v>14955</v>
      </c>
      <c r="AD199" s="207">
        <f>IFERROR('A4 - Previsão de Receita Bruta'!AC9*VLOOKUP($C199,AliqPorTipo,COLUMN($I162)-1,0),0)</f>
        <v>14955</v>
      </c>
      <c r="AE199" s="207">
        <f>IFERROR('A4 - Previsão de Receita Bruta'!AD9*VLOOKUP($C199,AliqPorTipo,COLUMN($I162)-1,0),0)</f>
        <v>14955</v>
      </c>
      <c r="AF199" s="207">
        <f>IFERROR('A4 - Previsão de Receita Bruta'!AE9*VLOOKUP($C199,AliqPorTipo,COLUMN($I162)-1,0),0)</f>
        <v>14955</v>
      </c>
      <c r="AG199" s="207">
        <f>IFERROR('A4 - Previsão de Receita Bruta'!AF9*VLOOKUP($C199,AliqPorTipo,COLUMN($I162)-1,0),0)</f>
        <v>14955</v>
      </c>
      <c r="AH199" s="525"/>
      <c r="AI199" s="521"/>
      <c r="AJ199" s="521"/>
    </row>
    <row r="200" spans="1:36" ht="15" customHeight="1">
      <c r="A200" s="521"/>
      <c r="B200" s="205" t="str">
        <f t="shared" si="38"/>
        <v>Preá - Estacionamento</v>
      </c>
      <c r="C200" s="206" t="str">
        <f t="shared" si="39"/>
        <v>Serviços</v>
      </c>
      <c r="D200" s="207">
        <f>IFERROR('A4 - Previsão de Receita Bruta'!C10*VLOOKUP($C200,AliqPorTipo,COLUMN($I163)-1,0),0)</f>
        <v>0</v>
      </c>
      <c r="E200" s="207">
        <f>IFERROR('A4 - Previsão de Receita Bruta'!D10*VLOOKUP($C200,AliqPorTipo,COLUMN($I163)-1,0),0)</f>
        <v>56088.288</v>
      </c>
      <c r="F200" s="207">
        <f>IFERROR('A4 - Previsão de Receita Bruta'!E10*VLOOKUP($C200,AliqPorTipo,COLUMN($I163)-1,0),0)</f>
        <v>58021.919999999998</v>
      </c>
      <c r="G200" s="207">
        <f>IFERROR('A4 - Previsão de Receita Bruta'!F10*VLOOKUP($C200,AliqPorTipo,COLUMN($I163)-1,0),0)</f>
        <v>59895.936000000002</v>
      </c>
      <c r="H200" s="207">
        <f>IFERROR('A4 - Previsão de Receita Bruta'!G10*VLOOKUP($C200,AliqPorTipo,COLUMN($I163)-1,0),0)</f>
        <v>61801.056000000004</v>
      </c>
      <c r="I200" s="207">
        <f>IFERROR('A4 - Previsão de Receita Bruta'!H10*VLOOKUP($C200,AliqPorTipo,COLUMN($I163)-1,0),0)</f>
        <v>63737.279999999999</v>
      </c>
      <c r="J200" s="207">
        <f>IFERROR('A4 - Previsão de Receita Bruta'!I10*VLOOKUP($C200,AliqPorTipo,COLUMN($I163)-1,0),0)</f>
        <v>65727.936000000002</v>
      </c>
      <c r="K200" s="207">
        <f>IFERROR('A4 - Previsão de Receita Bruta'!J10*VLOOKUP($C200,AliqPorTipo,COLUMN($I163)-1,0),0)</f>
        <v>67778.207999999999</v>
      </c>
      <c r="L200" s="207">
        <f>IFERROR('A4 - Previsão de Receita Bruta'!K10*VLOOKUP($C200,AliqPorTipo,COLUMN($I163)-1,0),0)</f>
        <v>69864.767999999996</v>
      </c>
      <c r="M200" s="207">
        <f>IFERROR('A4 - Previsão de Receita Bruta'!L10*VLOOKUP($C200,AliqPorTipo,COLUMN($I163)-1,0),0)</f>
        <v>71992.800000000003</v>
      </c>
      <c r="N200" s="207">
        <f>IFERROR('A4 - Previsão de Receita Bruta'!M10*VLOOKUP($C200,AliqPorTipo,COLUMN($I163)-1,0),0)</f>
        <v>74183.040000000008</v>
      </c>
      <c r="O200" s="207">
        <f>IFERROR('A4 - Previsão de Receita Bruta'!N10*VLOOKUP($C200,AliqPorTipo,COLUMN($I163)-1,0),0)</f>
        <v>76443.263999999996</v>
      </c>
      <c r="P200" s="207">
        <f>IFERROR('A4 - Previsão de Receita Bruta'!O10*VLOOKUP($C200,AliqPorTipo,COLUMN($I163)-1,0),0)</f>
        <v>78773.472000000009</v>
      </c>
      <c r="Q200" s="207">
        <f>IFERROR('A4 - Previsão de Receita Bruta'!P10*VLOOKUP($C200,AliqPorTipo,COLUMN($I163)-1,0),0)</f>
        <v>81173.664000000004</v>
      </c>
      <c r="R200" s="207">
        <f>IFERROR('A4 - Previsão de Receita Bruta'!Q10*VLOOKUP($C200,AliqPorTipo,COLUMN($I163)-1,0),0)</f>
        <v>83646.432000000001</v>
      </c>
      <c r="S200" s="207">
        <f>IFERROR('A4 - Previsão de Receita Bruta'!R10*VLOOKUP($C200,AliqPorTipo,COLUMN($I163)-1,0),0)</f>
        <v>86186.592000000004</v>
      </c>
      <c r="T200" s="207">
        <f>IFERROR('A4 - Previsão de Receita Bruta'!S10*VLOOKUP($C200,AliqPorTipo,COLUMN($I163)-1,0),0)</f>
        <v>88791.551999999996</v>
      </c>
      <c r="U200" s="207">
        <f>IFERROR('A4 - Previsão de Receita Bruta'!T10*VLOOKUP($C200,AliqPorTipo,COLUMN($I163)-1,0),0)</f>
        <v>91453.536000000007</v>
      </c>
      <c r="V200" s="207">
        <f>IFERROR('A4 - Previsão de Receita Bruta'!U10*VLOOKUP($C200,AliqPorTipo,COLUMN($I163)-1,0),0)</f>
        <v>94162.176000000007</v>
      </c>
      <c r="W200" s="207">
        <f>IFERROR('A4 - Previsão de Receita Bruta'!V10*VLOOKUP($C200,AliqPorTipo,COLUMN($I163)-1,0),0)</f>
        <v>96907.104000000007</v>
      </c>
      <c r="X200" s="207">
        <f>IFERROR('A4 - Previsão de Receita Bruta'!W10*VLOOKUP($C200,AliqPorTipo,COLUMN($I163)-1,0),0)</f>
        <v>96907.104000000007</v>
      </c>
      <c r="Y200" s="207">
        <f>IFERROR('A4 - Previsão de Receita Bruta'!X10*VLOOKUP($C200,AliqPorTipo,COLUMN($I163)-1,0),0)</f>
        <v>96907.104000000007</v>
      </c>
      <c r="Z200" s="207">
        <f>IFERROR('A4 - Previsão de Receita Bruta'!Y10*VLOOKUP($C200,AliqPorTipo,COLUMN($I163)-1,0),0)</f>
        <v>96907.104000000007</v>
      </c>
      <c r="AA200" s="207">
        <f>IFERROR('A4 - Previsão de Receita Bruta'!Z10*VLOOKUP($C200,AliqPorTipo,COLUMN($I163)-1,0),0)</f>
        <v>96907.104000000007</v>
      </c>
      <c r="AB200" s="207">
        <f>IFERROR('A4 - Previsão de Receita Bruta'!AA10*VLOOKUP($C200,AliqPorTipo,COLUMN($I163)-1,0),0)</f>
        <v>96907.104000000007</v>
      </c>
      <c r="AC200" s="207">
        <f>IFERROR('A4 - Previsão de Receita Bruta'!AB10*VLOOKUP($C200,AliqPorTipo,COLUMN($I163)-1,0),0)</f>
        <v>96907.104000000007</v>
      </c>
      <c r="AD200" s="207">
        <f>IFERROR('A4 - Previsão de Receita Bruta'!AC10*VLOOKUP($C200,AliqPorTipo,COLUMN($I163)-1,0),0)</f>
        <v>96907.104000000007</v>
      </c>
      <c r="AE200" s="207">
        <f>IFERROR('A4 - Previsão de Receita Bruta'!AD10*VLOOKUP($C200,AliqPorTipo,COLUMN($I163)-1,0),0)</f>
        <v>96907.104000000007</v>
      </c>
      <c r="AF200" s="207">
        <f>IFERROR('A4 - Previsão de Receita Bruta'!AE10*VLOOKUP($C200,AliqPorTipo,COLUMN($I163)-1,0),0)</f>
        <v>96907.104000000007</v>
      </c>
      <c r="AG200" s="207">
        <f>IFERROR('A4 - Previsão de Receita Bruta'!AF10*VLOOKUP($C200,AliqPorTipo,COLUMN($I163)-1,0),0)</f>
        <v>96907.104000000007</v>
      </c>
      <c r="AH200" s="525"/>
      <c r="AI200" s="521"/>
      <c r="AJ200" s="521"/>
    </row>
    <row r="201" spans="1:36" ht="15" customHeight="1">
      <c r="A201" s="521"/>
      <c r="B201" s="205" t="str">
        <f t="shared" si="38"/>
        <v>Árvore da Preguiça - Alimentação</v>
      </c>
      <c r="C201" s="206" t="str">
        <f t="shared" si="39"/>
        <v>Alimentação</v>
      </c>
      <c r="D201" s="207">
        <f>IFERROR('A4 - Previsão de Receita Bruta'!C11*VLOOKUP($C201,AliqPorTipo,COLUMN($I164)-1,0),0)</f>
        <v>0</v>
      </c>
      <c r="E201" s="207">
        <f>IFERROR('A4 - Previsão de Receita Bruta'!D11*VLOOKUP($C201,AliqPorTipo,COLUMN($I164)-1,0),0)</f>
        <v>25966.799999999999</v>
      </c>
      <c r="F201" s="207">
        <f>IFERROR('A4 - Previsão de Receita Bruta'!E11*VLOOKUP($C201,AliqPorTipo,COLUMN($I164)-1,0),0)</f>
        <v>26862.600000000002</v>
      </c>
      <c r="G201" s="207">
        <f>IFERROR('A4 - Previsão de Receita Bruta'!F11*VLOOKUP($C201,AliqPorTipo,COLUMN($I164)-1,0),0)</f>
        <v>27729.9</v>
      </c>
      <c r="H201" s="207">
        <f>IFERROR('A4 - Previsão de Receita Bruta'!G11*VLOOKUP($C201,AliqPorTipo,COLUMN($I164)-1,0),0)</f>
        <v>28611.3</v>
      </c>
      <c r="I201" s="207">
        <f>IFERROR('A4 - Previsão de Receita Bruta'!H11*VLOOKUP($C201,AliqPorTipo,COLUMN($I164)-1,0),0)</f>
        <v>29508</v>
      </c>
      <c r="J201" s="207">
        <f>IFERROR('A4 - Previsão de Receita Bruta'!I11*VLOOKUP($C201,AliqPorTipo,COLUMN($I164)-1,0),0)</f>
        <v>30430.2</v>
      </c>
      <c r="K201" s="207">
        <f>IFERROR('A4 - Previsão de Receita Bruta'!J11*VLOOKUP($C201,AliqPorTipo,COLUMN($I164)-1,0),0)</f>
        <v>31379.100000000002</v>
      </c>
      <c r="L201" s="207">
        <f>IFERROR('A4 - Previsão de Receita Bruta'!K11*VLOOKUP($C201,AliqPorTipo,COLUMN($I164)-1,0),0)</f>
        <v>32345.4</v>
      </c>
      <c r="M201" s="207">
        <f>IFERROR('A4 - Previsão de Receita Bruta'!L11*VLOOKUP($C201,AliqPorTipo,COLUMN($I164)-1,0),0)</f>
        <v>33329.4</v>
      </c>
      <c r="N201" s="207">
        <f>IFERROR('A4 - Previsão de Receita Bruta'!M11*VLOOKUP($C201,AliqPorTipo,COLUMN($I164)-1,0),0)</f>
        <v>34344.6</v>
      </c>
      <c r="O201" s="207">
        <f>IFERROR('A4 - Previsão de Receita Bruta'!N11*VLOOKUP($C201,AliqPorTipo,COLUMN($I164)-1,0),0)</f>
        <v>35390.1</v>
      </c>
      <c r="P201" s="207">
        <f>IFERROR('A4 - Previsão de Receita Bruta'!O11*VLOOKUP($C201,AliqPorTipo,COLUMN($I164)-1,0),0)</f>
        <v>36468.9</v>
      </c>
      <c r="Q201" s="207">
        <f>IFERROR('A4 - Previsão de Receita Bruta'!P11*VLOOKUP($C201,AliqPorTipo,COLUMN($I164)-1,0),0)</f>
        <v>37580.1</v>
      </c>
      <c r="R201" s="207">
        <f>IFERROR('A4 - Previsão de Receita Bruta'!Q11*VLOOKUP($C201,AliqPorTipo,COLUMN($I164)-1,0),0)</f>
        <v>38724.9</v>
      </c>
      <c r="S201" s="207">
        <f>IFERROR('A4 - Previsão de Receita Bruta'!R11*VLOOKUP($C201,AliqPorTipo,COLUMN($I164)-1,0),0)</f>
        <v>39901.200000000004</v>
      </c>
      <c r="T201" s="207">
        <f>IFERROR('A4 - Previsão de Receita Bruta'!S11*VLOOKUP($C201,AliqPorTipo,COLUMN($I164)-1,0),0)</f>
        <v>41107.200000000004</v>
      </c>
      <c r="U201" s="207">
        <f>IFERROR('A4 - Previsão de Receita Bruta'!T11*VLOOKUP($C201,AliqPorTipo,COLUMN($I164)-1,0),0)</f>
        <v>42339</v>
      </c>
      <c r="V201" s="207">
        <f>IFERROR('A4 - Previsão de Receita Bruta'!U11*VLOOKUP($C201,AliqPorTipo,COLUMN($I164)-1,0),0)</f>
        <v>43593.599999999999</v>
      </c>
      <c r="W201" s="207">
        <f>IFERROR('A4 - Previsão de Receita Bruta'!V11*VLOOKUP($C201,AliqPorTipo,COLUMN($I164)-1,0),0)</f>
        <v>44864.700000000004</v>
      </c>
      <c r="X201" s="207">
        <f>IFERROR('A4 - Previsão de Receita Bruta'!W11*VLOOKUP($C201,AliqPorTipo,COLUMN($I164)-1,0),0)</f>
        <v>44864.700000000004</v>
      </c>
      <c r="Y201" s="207">
        <f>IFERROR('A4 - Previsão de Receita Bruta'!X11*VLOOKUP($C201,AliqPorTipo,COLUMN($I164)-1,0),0)</f>
        <v>44864.700000000004</v>
      </c>
      <c r="Z201" s="207">
        <f>IFERROR('A4 - Previsão de Receita Bruta'!Y11*VLOOKUP($C201,AliqPorTipo,COLUMN($I164)-1,0),0)</f>
        <v>44864.700000000004</v>
      </c>
      <c r="AA201" s="207">
        <f>IFERROR('A4 - Previsão de Receita Bruta'!Z11*VLOOKUP($C201,AliqPorTipo,COLUMN($I164)-1,0),0)</f>
        <v>44864.700000000004</v>
      </c>
      <c r="AB201" s="207">
        <f>IFERROR('A4 - Previsão de Receita Bruta'!AA11*VLOOKUP($C201,AliqPorTipo,COLUMN($I164)-1,0),0)</f>
        <v>44864.700000000004</v>
      </c>
      <c r="AC201" s="207">
        <f>IFERROR('A4 - Previsão de Receita Bruta'!AB11*VLOOKUP($C201,AliqPorTipo,COLUMN($I164)-1,0),0)</f>
        <v>44864.700000000004</v>
      </c>
      <c r="AD201" s="207">
        <f>IFERROR('A4 - Previsão de Receita Bruta'!AC11*VLOOKUP($C201,AliqPorTipo,COLUMN($I164)-1,0),0)</f>
        <v>44864.700000000004</v>
      </c>
      <c r="AE201" s="207">
        <f>IFERROR('A4 - Previsão de Receita Bruta'!AD11*VLOOKUP($C201,AliqPorTipo,COLUMN($I164)-1,0),0)</f>
        <v>44864.700000000004</v>
      </c>
      <c r="AF201" s="207">
        <f>IFERROR('A4 - Previsão de Receita Bruta'!AE11*VLOOKUP($C201,AliqPorTipo,COLUMN($I164)-1,0),0)</f>
        <v>44864.700000000004</v>
      </c>
      <c r="AG201" s="207">
        <f>IFERROR('A4 - Previsão de Receita Bruta'!AF11*VLOOKUP($C201,AliqPorTipo,COLUMN($I164)-1,0),0)</f>
        <v>44864.700000000004</v>
      </c>
      <c r="AH201" s="525"/>
      <c r="AI201" s="521"/>
      <c r="AJ201" s="521"/>
    </row>
    <row r="202" spans="1:36" ht="15" customHeight="1">
      <c r="A202" s="521"/>
      <c r="B202" s="205" t="str">
        <f t="shared" si="38"/>
        <v>Árvore da Preguiça - Comércio</v>
      </c>
      <c r="C202" s="206" t="str">
        <f t="shared" si="39"/>
        <v>Comércio</v>
      </c>
      <c r="D202" s="207">
        <f>IFERROR('A4 - Previsão de Receita Bruta'!C12*VLOOKUP($C202,AliqPorTipo,COLUMN($I165)-1,0),0)</f>
        <v>0</v>
      </c>
      <c r="E202" s="207">
        <f>IFERROR('A4 - Previsão de Receita Bruta'!D12*VLOOKUP($C202,AliqPorTipo,COLUMN($I165)-1,0),0)</f>
        <v>8655.6</v>
      </c>
      <c r="F202" s="207">
        <f>IFERROR('A4 - Previsão de Receita Bruta'!E12*VLOOKUP($C202,AliqPorTipo,COLUMN($I165)-1,0),0)</f>
        <v>8954.4</v>
      </c>
      <c r="G202" s="207">
        <f>IFERROR('A4 - Previsão de Receita Bruta'!F12*VLOOKUP($C202,AliqPorTipo,COLUMN($I165)-1,0),0)</f>
        <v>9243.6</v>
      </c>
      <c r="H202" s="207">
        <f>IFERROR('A4 - Previsão de Receita Bruta'!G12*VLOOKUP($C202,AliqPorTipo,COLUMN($I165)-1,0),0)</f>
        <v>9537</v>
      </c>
      <c r="I202" s="207">
        <f>IFERROR('A4 - Previsão de Receita Bruta'!H12*VLOOKUP($C202,AliqPorTipo,COLUMN($I165)-1,0),0)</f>
        <v>9835.8000000000011</v>
      </c>
      <c r="J202" s="207">
        <f>IFERROR('A4 - Previsão de Receita Bruta'!I12*VLOOKUP($C202,AliqPorTipo,COLUMN($I165)-1,0),0)</f>
        <v>10143.6</v>
      </c>
      <c r="K202" s="207">
        <f>IFERROR('A4 - Previsão de Receita Bruta'!J12*VLOOKUP($C202,AliqPorTipo,COLUMN($I165)-1,0),0)</f>
        <v>10459.800000000001</v>
      </c>
      <c r="L202" s="207">
        <f>IFERROR('A4 - Previsão de Receita Bruta'!K12*VLOOKUP($C202,AliqPorTipo,COLUMN($I165)-1,0),0)</f>
        <v>10782</v>
      </c>
      <c r="M202" s="207">
        <f>IFERROR('A4 - Previsão de Receita Bruta'!L12*VLOOKUP($C202,AliqPorTipo,COLUMN($I165)-1,0),0)</f>
        <v>11109.6</v>
      </c>
      <c r="N202" s="207">
        <f>IFERROR('A4 - Previsão de Receita Bruta'!M12*VLOOKUP($C202,AliqPorTipo,COLUMN($I165)-1,0),0)</f>
        <v>11448</v>
      </c>
      <c r="O202" s="207">
        <f>IFERROR('A4 - Previsão de Receita Bruta'!N12*VLOOKUP($C202,AliqPorTipo,COLUMN($I165)-1,0),0)</f>
        <v>11796.6</v>
      </c>
      <c r="P202" s="207">
        <f>IFERROR('A4 - Previsão de Receita Bruta'!O12*VLOOKUP($C202,AliqPorTipo,COLUMN($I165)-1,0),0)</f>
        <v>12156</v>
      </c>
      <c r="Q202" s="207">
        <f>IFERROR('A4 - Previsão de Receita Bruta'!P12*VLOOKUP($C202,AliqPorTipo,COLUMN($I165)-1,0),0)</f>
        <v>12526.800000000001</v>
      </c>
      <c r="R202" s="207">
        <f>IFERROR('A4 - Previsão de Receita Bruta'!Q12*VLOOKUP($C202,AliqPorTipo,COLUMN($I165)-1,0),0)</f>
        <v>12908.4</v>
      </c>
      <c r="S202" s="207">
        <f>IFERROR('A4 - Previsão de Receita Bruta'!R12*VLOOKUP($C202,AliqPorTipo,COLUMN($I165)-1,0),0)</f>
        <v>13300.2</v>
      </c>
      <c r="T202" s="207">
        <f>IFERROR('A4 - Previsão de Receita Bruta'!S12*VLOOKUP($C202,AliqPorTipo,COLUMN($I165)-1,0),0)</f>
        <v>13702.2</v>
      </c>
      <c r="U202" s="207">
        <f>IFERROR('A4 - Previsão de Receita Bruta'!T12*VLOOKUP($C202,AliqPorTipo,COLUMN($I165)-1,0),0)</f>
        <v>14113.2</v>
      </c>
      <c r="V202" s="207">
        <f>IFERROR('A4 - Previsão de Receita Bruta'!U12*VLOOKUP($C202,AliqPorTipo,COLUMN($I165)-1,0),0)</f>
        <v>14531.4</v>
      </c>
      <c r="W202" s="207">
        <f>IFERROR('A4 - Previsão de Receita Bruta'!V12*VLOOKUP($C202,AliqPorTipo,COLUMN($I165)-1,0),0)</f>
        <v>14955</v>
      </c>
      <c r="X202" s="207">
        <f>IFERROR('A4 - Previsão de Receita Bruta'!W12*VLOOKUP($C202,AliqPorTipo,COLUMN($I165)-1,0),0)</f>
        <v>14955</v>
      </c>
      <c r="Y202" s="207">
        <f>IFERROR('A4 - Previsão de Receita Bruta'!X12*VLOOKUP($C202,AliqPorTipo,COLUMN($I165)-1,0),0)</f>
        <v>14955</v>
      </c>
      <c r="Z202" s="207">
        <f>IFERROR('A4 - Previsão de Receita Bruta'!Y12*VLOOKUP($C202,AliqPorTipo,COLUMN($I165)-1,0),0)</f>
        <v>14955</v>
      </c>
      <c r="AA202" s="207">
        <f>IFERROR('A4 - Previsão de Receita Bruta'!Z12*VLOOKUP($C202,AliqPorTipo,COLUMN($I165)-1,0),0)</f>
        <v>14955</v>
      </c>
      <c r="AB202" s="207">
        <f>IFERROR('A4 - Previsão de Receita Bruta'!AA12*VLOOKUP($C202,AliqPorTipo,COLUMN($I165)-1,0),0)</f>
        <v>14955</v>
      </c>
      <c r="AC202" s="207">
        <f>IFERROR('A4 - Previsão de Receita Bruta'!AB12*VLOOKUP($C202,AliqPorTipo,COLUMN($I165)-1,0),0)</f>
        <v>14955</v>
      </c>
      <c r="AD202" s="207">
        <f>IFERROR('A4 - Previsão de Receita Bruta'!AC12*VLOOKUP($C202,AliqPorTipo,COLUMN($I165)-1,0),0)</f>
        <v>14955</v>
      </c>
      <c r="AE202" s="207">
        <f>IFERROR('A4 - Previsão de Receita Bruta'!AD12*VLOOKUP($C202,AliqPorTipo,COLUMN($I165)-1,0),0)</f>
        <v>14955</v>
      </c>
      <c r="AF202" s="207">
        <f>IFERROR('A4 - Previsão de Receita Bruta'!AE12*VLOOKUP($C202,AliqPorTipo,COLUMN($I165)-1,0),0)</f>
        <v>14955</v>
      </c>
      <c r="AG202" s="207">
        <f>IFERROR('A4 - Previsão de Receita Bruta'!AF12*VLOOKUP($C202,AliqPorTipo,COLUMN($I165)-1,0),0)</f>
        <v>14955</v>
      </c>
      <c r="AH202" s="525"/>
      <c r="AI202" s="521"/>
      <c r="AJ202" s="521"/>
    </row>
    <row r="203" spans="1:36" ht="15" customHeight="1">
      <c r="A203" s="521"/>
      <c r="B203" s="205" t="str">
        <f t="shared" si="38"/>
        <v>Silveira - Alimentação</v>
      </c>
      <c r="C203" s="206" t="str">
        <f t="shared" si="39"/>
        <v>Alimentação</v>
      </c>
      <c r="D203" s="207">
        <f>IFERROR('A4 - Previsão de Receita Bruta'!C13*VLOOKUP($C203,AliqPorTipo,COLUMN($I166)-1,0),0)</f>
        <v>0</v>
      </c>
      <c r="E203" s="207">
        <f>IFERROR('A4 - Previsão de Receita Bruta'!D13*VLOOKUP($C203,AliqPorTipo,COLUMN($I166)-1,0),0)</f>
        <v>0</v>
      </c>
      <c r="F203" s="207">
        <f>IFERROR('A4 - Previsão de Receita Bruta'!E13*VLOOKUP($C203,AliqPorTipo,COLUMN($I166)-1,0),0)</f>
        <v>0</v>
      </c>
      <c r="G203" s="207">
        <f>IFERROR('A4 - Previsão de Receita Bruta'!F13*VLOOKUP($C203,AliqPorTipo,COLUMN($I166)-1,0),0)</f>
        <v>0</v>
      </c>
      <c r="H203" s="207">
        <f>IFERROR('A4 - Previsão de Receita Bruta'!G13*VLOOKUP($C203,AliqPorTipo,COLUMN($I166)-1,0),0)</f>
        <v>0</v>
      </c>
      <c r="I203" s="207">
        <f>IFERROR('A4 - Previsão de Receita Bruta'!H13*VLOOKUP($C203,AliqPorTipo,COLUMN($I166)-1,0),0)</f>
        <v>0</v>
      </c>
      <c r="J203" s="207">
        <f>IFERROR('A4 - Previsão de Receita Bruta'!I13*VLOOKUP($C203,AliqPorTipo,COLUMN($I166)-1,0),0)</f>
        <v>0</v>
      </c>
      <c r="K203" s="207">
        <f>IFERROR('A4 - Previsão de Receita Bruta'!J13*VLOOKUP($C203,AliqPorTipo,COLUMN($I166)-1,0),0)</f>
        <v>0</v>
      </c>
      <c r="L203" s="207">
        <f>IFERROR('A4 - Previsão de Receita Bruta'!K13*VLOOKUP($C203,AliqPorTipo,COLUMN($I166)-1,0),0)</f>
        <v>0</v>
      </c>
      <c r="M203" s="207">
        <f>IFERROR('A4 - Previsão de Receita Bruta'!L13*VLOOKUP($C203,AliqPorTipo,COLUMN($I166)-1,0),0)</f>
        <v>0</v>
      </c>
      <c r="N203" s="207">
        <f>IFERROR('A4 - Previsão de Receita Bruta'!M13*VLOOKUP($C203,AliqPorTipo,COLUMN($I166)-1,0),0)</f>
        <v>0</v>
      </c>
      <c r="O203" s="207">
        <f>IFERROR('A4 - Previsão de Receita Bruta'!N13*VLOOKUP($C203,AliqPorTipo,COLUMN($I166)-1,0),0)</f>
        <v>0</v>
      </c>
      <c r="P203" s="207">
        <f>IFERROR('A4 - Previsão de Receita Bruta'!O13*VLOOKUP($C203,AliqPorTipo,COLUMN($I166)-1,0),0)</f>
        <v>0</v>
      </c>
      <c r="Q203" s="207">
        <f>IFERROR('A4 - Previsão de Receita Bruta'!P13*VLOOKUP($C203,AliqPorTipo,COLUMN($I166)-1,0),0)</f>
        <v>0</v>
      </c>
      <c r="R203" s="207">
        <f>IFERROR('A4 - Previsão de Receita Bruta'!Q13*VLOOKUP($C203,AliqPorTipo,COLUMN($I166)-1,0),0)</f>
        <v>0</v>
      </c>
      <c r="S203" s="207">
        <f>IFERROR('A4 - Previsão de Receita Bruta'!R13*VLOOKUP($C203,AliqPorTipo,COLUMN($I166)-1,0),0)</f>
        <v>0</v>
      </c>
      <c r="T203" s="207">
        <f>IFERROR('A4 - Previsão de Receita Bruta'!S13*VLOOKUP($C203,AliqPorTipo,COLUMN($I166)-1,0),0)</f>
        <v>0</v>
      </c>
      <c r="U203" s="207">
        <f>IFERROR('A4 - Previsão de Receita Bruta'!T13*VLOOKUP($C203,AliqPorTipo,COLUMN($I166)-1,0),0)</f>
        <v>0</v>
      </c>
      <c r="V203" s="207">
        <f>IFERROR('A4 - Previsão de Receita Bruta'!U13*VLOOKUP($C203,AliqPorTipo,COLUMN($I166)-1,0),0)</f>
        <v>0</v>
      </c>
      <c r="W203" s="207">
        <f>IFERROR('A4 - Previsão de Receita Bruta'!V13*VLOOKUP($C203,AliqPorTipo,COLUMN($I166)-1,0),0)</f>
        <v>0</v>
      </c>
      <c r="X203" s="207">
        <f>IFERROR('A4 - Previsão de Receita Bruta'!W13*VLOOKUP($C203,AliqPorTipo,COLUMN($I166)-1,0),0)</f>
        <v>0</v>
      </c>
      <c r="Y203" s="207">
        <f>IFERROR('A4 - Previsão de Receita Bruta'!X13*VLOOKUP($C203,AliqPorTipo,COLUMN($I166)-1,0),0)</f>
        <v>0</v>
      </c>
      <c r="Z203" s="207">
        <f>IFERROR('A4 - Previsão de Receita Bruta'!Y13*VLOOKUP($C203,AliqPorTipo,COLUMN($I166)-1,0),0)</f>
        <v>0</v>
      </c>
      <c r="AA203" s="207">
        <f>IFERROR('A4 - Previsão de Receita Bruta'!Z13*VLOOKUP($C203,AliqPorTipo,COLUMN($I166)-1,0),0)</f>
        <v>0</v>
      </c>
      <c r="AB203" s="207">
        <f>IFERROR('A4 - Previsão de Receita Bruta'!AA13*VLOOKUP($C203,AliqPorTipo,COLUMN($I166)-1,0),0)</f>
        <v>0</v>
      </c>
      <c r="AC203" s="207">
        <f>IFERROR('A4 - Previsão de Receita Bruta'!AB13*VLOOKUP($C203,AliqPorTipo,COLUMN($I166)-1,0),0)</f>
        <v>0</v>
      </c>
      <c r="AD203" s="207">
        <f>IFERROR('A4 - Previsão de Receita Bruta'!AC13*VLOOKUP($C203,AliqPorTipo,COLUMN($I166)-1,0),0)</f>
        <v>0</v>
      </c>
      <c r="AE203" s="207">
        <f>IFERROR('A4 - Previsão de Receita Bruta'!AD13*VLOOKUP($C203,AliqPorTipo,COLUMN($I166)-1,0),0)</f>
        <v>0</v>
      </c>
      <c r="AF203" s="207">
        <f>IFERROR('A4 - Previsão de Receita Bruta'!AE13*VLOOKUP($C203,AliqPorTipo,COLUMN($I166)-1,0),0)</f>
        <v>0</v>
      </c>
      <c r="AG203" s="207">
        <f>IFERROR('A4 - Previsão de Receita Bruta'!AF13*VLOOKUP($C203,AliqPorTipo,COLUMN($I166)-1,0),0)</f>
        <v>0</v>
      </c>
      <c r="AH203" s="525"/>
      <c r="AI203" s="521"/>
      <c r="AJ203" s="521"/>
    </row>
    <row r="204" spans="1:36" ht="15" customHeight="1">
      <c r="A204" s="521"/>
      <c r="B204" s="205" t="str">
        <f t="shared" si="38"/>
        <v>Silveira - Comércio + Locação + Atividades</v>
      </c>
      <c r="C204" s="206" t="str">
        <f t="shared" si="39"/>
        <v>Comércio</v>
      </c>
      <c r="D204" s="207">
        <f>IFERROR('A4 - Previsão de Receita Bruta'!C14*VLOOKUP($C204,AliqPorTipo,COLUMN($I167)-1,0),0)</f>
        <v>0</v>
      </c>
      <c r="E204" s="207">
        <f>IFERROR('A4 - Previsão de Receita Bruta'!D14*VLOOKUP($C204,AliqPorTipo,COLUMN($I167)-1,0),0)</f>
        <v>0</v>
      </c>
      <c r="F204" s="207">
        <f>IFERROR('A4 - Previsão de Receita Bruta'!E14*VLOOKUP($C204,AliqPorTipo,COLUMN($I167)-1,0),0)</f>
        <v>0</v>
      </c>
      <c r="G204" s="207">
        <f>IFERROR('A4 - Previsão de Receita Bruta'!F14*VLOOKUP($C204,AliqPorTipo,COLUMN($I167)-1,0),0)</f>
        <v>0</v>
      </c>
      <c r="H204" s="207">
        <f>IFERROR('A4 - Previsão de Receita Bruta'!G14*VLOOKUP($C204,AliqPorTipo,COLUMN($I167)-1,0),0)</f>
        <v>0</v>
      </c>
      <c r="I204" s="207">
        <f>IFERROR('A4 - Previsão de Receita Bruta'!H14*VLOOKUP($C204,AliqPorTipo,COLUMN($I167)-1,0),0)</f>
        <v>0</v>
      </c>
      <c r="J204" s="207">
        <f>IFERROR('A4 - Previsão de Receita Bruta'!I14*VLOOKUP($C204,AliqPorTipo,COLUMN($I167)-1,0),0)</f>
        <v>0</v>
      </c>
      <c r="K204" s="207">
        <f>IFERROR('A4 - Previsão de Receita Bruta'!J14*VLOOKUP($C204,AliqPorTipo,COLUMN($I167)-1,0),0)</f>
        <v>0</v>
      </c>
      <c r="L204" s="207">
        <f>IFERROR('A4 - Previsão de Receita Bruta'!K14*VLOOKUP($C204,AliqPorTipo,COLUMN($I167)-1,0),0)</f>
        <v>0</v>
      </c>
      <c r="M204" s="207">
        <f>IFERROR('A4 - Previsão de Receita Bruta'!L14*VLOOKUP($C204,AliqPorTipo,COLUMN($I167)-1,0),0)</f>
        <v>0</v>
      </c>
      <c r="N204" s="207">
        <f>IFERROR('A4 - Previsão de Receita Bruta'!M14*VLOOKUP($C204,AliqPorTipo,COLUMN($I167)-1,0),0)</f>
        <v>0</v>
      </c>
      <c r="O204" s="207">
        <f>IFERROR('A4 - Previsão de Receita Bruta'!N14*VLOOKUP($C204,AliqPorTipo,COLUMN($I167)-1,0),0)</f>
        <v>0</v>
      </c>
      <c r="P204" s="207">
        <f>IFERROR('A4 - Previsão de Receita Bruta'!O14*VLOOKUP($C204,AliqPorTipo,COLUMN($I167)-1,0),0)</f>
        <v>0</v>
      </c>
      <c r="Q204" s="207">
        <f>IFERROR('A4 - Previsão de Receita Bruta'!P14*VLOOKUP($C204,AliqPorTipo,COLUMN($I167)-1,0),0)</f>
        <v>0</v>
      </c>
      <c r="R204" s="207">
        <f>IFERROR('A4 - Previsão de Receita Bruta'!Q14*VLOOKUP($C204,AliqPorTipo,COLUMN($I167)-1,0),0)</f>
        <v>0</v>
      </c>
      <c r="S204" s="207">
        <f>IFERROR('A4 - Previsão de Receita Bruta'!R14*VLOOKUP($C204,AliqPorTipo,COLUMN($I167)-1,0),0)</f>
        <v>0</v>
      </c>
      <c r="T204" s="207">
        <f>IFERROR('A4 - Previsão de Receita Bruta'!S14*VLOOKUP($C204,AliqPorTipo,COLUMN($I167)-1,0),0)</f>
        <v>0</v>
      </c>
      <c r="U204" s="207">
        <f>IFERROR('A4 - Previsão de Receita Bruta'!T14*VLOOKUP($C204,AliqPorTipo,COLUMN($I167)-1,0),0)</f>
        <v>0</v>
      </c>
      <c r="V204" s="207">
        <f>IFERROR('A4 - Previsão de Receita Bruta'!U14*VLOOKUP($C204,AliqPorTipo,COLUMN($I167)-1,0),0)</f>
        <v>0</v>
      </c>
      <c r="W204" s="207">
        <f>IFERROR('A4 - Previsão de Receita Bruta'!V14*VLOOKUP($C204,AliqPorTipo,COLUMN($I167)-1,0),0)</f>
        <v>0</v>
      </c>
      <c r="X204" s="207">
        <f>IFERROR('A4 - Previsão de Receita Bruta'!W14*VLOOKUP($C204,AliqPorTipo,COLUMN($I167)-1,0),0)</f>
        <v>0</v>
      </c>
      <c r="Y204" s="207">
        <f>IFERROR('A4 - Previsão de Receita Bruta'!X14*VLOOKUP($C204,AliqPorTipo,COLUMN($I167)-1,0),0)</f>
        <v>0</v>
      </c>
      <c r="Z204" s="207">
        <f>IFERROR('A4 - Previsão de Receita Bruta'!Y14*VLOOKUP($C204,AliqPorTipo,COLUMN($I167)-1,0),0)</f>
        <v>0</v>
      </c>
      <c r="AA204" s="207">
        <f>IFERROR('A4 - Previsão de Receita Bruta'!Z14*VLOOKUP($C204,AliqPorTipo,COLUMN($I167)-1,0),0)</f>
        <v>0</v>
      </c>
      <c r="AB204" s="207">
        <f>IFERROR('A4 - Previsão de Receita Bruta'!AA14*VLOOKUP($C204,AliqPorTipo,COLUMN($I167)-1,0),0)</f>
        <v>0</v>
      </c>
      <c r="AC204" s="207">
        <f>IFERROR('A4 - Previsão de Receita Bruta'!AB14*VLOOKUP($C204,AliqPorTipo,COLUMN($I167)-1,0),0)</f>
        <v>0</v>
      </c>
      <c r="AD204" s="207">
        <f>IFERROR('A4 - Previsão de Receita Bruta'!AC14*VLOOKUP($C204,AliqPorTipo,COLUMN($I167)-1,0),0)</f>
        <v>0</v>
      </c>
      <c r="AE204" s="207">
        <f>IFERROR('A4 - Previsão de Receita Bruta'!AD14*VLOOKUP($C204,AliqPorTipo,COLUMN($I167)-1,0),0)</f>
        <v>0</v>
      </c>
      <c r="AF204" s="207">
        <f>IFERROR('A4 - Previsão de Receita Bruta'!AE14*VLOOKUP($C204,AliqPorTipo,COLUMN($I167)-1,0),0)</f>
        <v>0</v>
      </c>
      <c r="AG204" s="207">
        <f>IFERROR('A4 - Previsão de Receita Bruta'!AF14*VLOOKUP($C204,AliqPorTipo,COLUMN($I167)-1,0),0)</f>
        <v>0</v>
      </c>
      <c r="AH204" s="525"/>
      <c r="AI204" s="521"/>
      <c r="AJ204" s="521"/>
    </row>
    <row r="205" spans="1:36" ht="15" customHeight="1">
      <c r="A205" s="521"/>
      <c r="B205" s="205" t="str">
        <f t="shared" si="38"/>
        <v>Silveira - Hospedagem</v>
      </c>
      <c r="C205" s="206" t="str">
        <f t="shared" si="39"/>
        <v>Serviços</v>
      </c>
      <c r="D205" s="207">
        <f>IFERROR('A4 - Previsão de Receita Bruta'!C15*VLOOKUP($C205,AliqPorTipo,COLUMN($I168)-1,0),0)</f>
        <v>0</v>
      </c>
      <c r="E205" s="207">
        <f>IFERROR('A4 - Previsão de Receita Bruta'!D15*VLOOKUP($C205,AliqPorTipo,COLUMN($I168)-1,0),0)</f>
        <v>0</v>
      </c>
      <c r="F205" s="207">
        <f>IFERROR('A4 - Previsão de Receita Bruta'!E15*VLOOKUP($C205,AliqPorTipo,COLUMN($I168)-1,0),0)</f>
        <v>0</v>
      </c>
      <c r="G205" s="207">
        <f>IFERROR('A4 - Previsão de Receita Bruta'!F15*VLOOKUP($C205,AliqPorTipo,COLUMN($I168)-1,0),0)</f>
        <v>0</v>
      </c>
      <c r="H205" s="207">
        <f>IFERROR('A4 - Previsão de Receita Bruta'!G15*VLOOKUP($C205,AliqPorTipo,COLUMN($I168)-1,0),0)</f>
        <v>0</v>
      </c>
      <c r="I205" s="207">
        <f>IFERROR('A4 - Previsão de Receita Bruta'!H15*VLOOKUP($C205,AliqPorTipo,COLUMN($I168)-1,0),0)</f>
        <v>0</v>
      </c>
      <c r="J205" s="207">
        <f>IFERROR('A4 - Previsão de Receita Bruta'!I15*VLOOKUP($C205,AliqPorTipo,COLUMN($I168)-1,0),0)</f>
        <v>0</v>
      </c>
      <c r="K205" s="207">
        <f>IFERROR('A4 - Previsão de Receita Bruta'!J15*VLOOKUP($C205,AliqPorTipo,COLUMN($I168)-1,0),0)</f>
        <v>0</v>
      </c>
      <c r="L205" s="207">
        <f>IFERROR('A4 - Previsão de Receita Bruta'!K15*VLOOKUP($C205,AliqPorTipo,COLUMN($I168)-1,0),0)</f>
        <v>0</v>
      </c>
      <c r="M205" s="207">
        <f>IFERROR('A4 - Previsão de Receita Bruta'!L15*VLOOKUP($C205,AliqPorTipo,COLUMN($I168)-1,0),0)</f>
        <v>0</v>
      </c>
      <c r="N205" s="207">
        <f>IFERROR('A4 - Previsão de Receita Bruta'!M15*VLOOKUP($C205,AliqPorTipo,COLUMN($I168)-1,0),0)</f>
        <v>0</v>
      </c>
      <c r="O205" s="207">
        <f>IFERROR('A4 - Previsão de Receita Bruta'!N15*VLOOKUP($C205,AliqPorTipo,COLUMN($I168)-1,0),0)</f>
        <v>0</v>
      </c>
      <c r="P205" s="207">
        <f>IFERROR('A4 - Previsão de Receita Bruta'!O15*VLOOKUP($C205,AliqPorTipo,COLUMN($I168)-1,0),0)</f>
        <v>0</v>
      </c>
      <c r="Q205" s="207">
        <f>IFERROR('A4 - Previsão de Receita Bruta'!P15*VLOOKUP($C205,AliqPorTipo,COLUMN($I168)-1,0),0)</f>
        <v>0</v>
      </c>
      <c r="R205" s="207">
        <f>IFERROR('A4 - Previsão de Receita Bruta'!Q15*VLOOKUP($C205,AliqPorTipo,COLUMN($I168)-1,0),0)</f>
        <v>0</v>
      </c>
      <c r="S205" s="207">
        <f>IFERROR('A4 - Previsão de Receita Bruta'!R15*VLOOKUP($C205,AliqPorTipo,COLUMN($I168)-1,0),0)</f>
        <v>0</v>
      </c>
      <c r="T205" s="207">
        <f>IFERROR('A4 - Previsão de Receita Bruta'!S15*VLOOKUP($C205,AliqPorTipo,COLUMN($I168)-1,0),0)</f>
        <v>0</v>
      </c>
      <c r="U205" s="207">
        <f>IFERROR('A4 - Previsão de Receita Bruta'!T15*VLOOKUP($C205,AliqPorTipo,COLUMN($I168)-1,0),0)</f>
        <v>0</v>
      </c>
      <c r="V205" s="207">
        <f>IFERROR('A4 - Previsão de Receita Bruta'!U15*VLOOKUP($C205,AliqPorTipo,COLUMN($I168)-1,0),0)</f>
        <v>0</v>
      </c>
      <c r="W205" s="207">
        <f>IFERROR('A4 - Previsão de Receita Bruta'!V15*VLOOKUP($C205,AliqPorTipo,COLUMN($I168)-1,0),0)</f>
        <v>0</v>
      </c>
      <c r="X205" s="207">
        <f>IFERROR('A4 - Previsão de Receita Bruta'!W15*VLOOKUP($C205,AliqPorTipo,COLUMN($I168)-1,0),0)</f>
        <v>0</v>
      </c>
      <c r="Y205" s="207">
        <f>IFERROR('A4 - Previsão de Receita Bruta'!X15*VLOOKUP($C205,AliqPorTipo,COLUMN($I168)-1,0),0)</f>
        <v>0</v>
      </c>
      <c r="Z205" s="207">
        <f>IFERROR('A4 - Previsão de Receita Bruta'!Y15*VLOOKUP($C205,AliqPorTipo,COLUMN($I168)-1,0),0)</f>
        <v>0</v>
      </c>
      <c r="AA205" s="207">
        <f>IFERROR('A4 - Previsão de Receita Bruta'!Z15*VLOOKUP($C205,AliqPorTipo,COLUMN($I168)-1,0),0)</f>
        <v>0</v>
      </c>
      <c r="AB205" s="207">
        <f>IFERROR('A4 - Previsão de Receita Bruta'!AA15*VLOOKUP($C205,AliqPorTipo,COLUMN($I168)-1,0),0)</f>
        <v>0</v>
      </c>
      <c r="AC205" s="207">
        <f>IFERROR('A4 - Previsão de Receita Bruta'!AB15*VLOOKUP($C205,AliqPorTipo,COLUMN($I168)-1,0),0)</f>
        <v>0</v>
      </c>
      <c r="AD205" s="207">
        <f>IFERROR('A4 - Previsão de Receita Bruta'!AC15*VLOOKUP($C205,AliqPorTipo,COLUMN($I168)-1,0),0)</f>
        <v>0</v>
      </c>
      <c r="AE205" s="207">
        <f>IFERROR('A4 - Previsão de Receita Bruta'!AD15*VLOOKUP($C205,AliqPorTipo,COLUMN($I168)-1,0),0)</f>
        <v>0</v>
      </c>
      <c r="AF205" s="207">
        <f>IFERROR('A4 - Previsão de Receita Bruta'!AE15*VLOOKUP($C205,AliqPorTipo,COLUMN($I168)-1,0),0)</f>
        <v>0</v>
      </c>
      <c r="AG205" s="207">
        <f>IFERROR('A4 - Previsão de Receita Bruta'!AF15*VLOOKUP($C205,AliqPorTipo,COLUMN($I168)-1,0),0)</f>
        <v>0</v>
      </c>
      <c r="AH205" s="525"/>
      <c r="AI205" s="521"/>
      <c r="AJ205" s="521"/>
    </row>
    <row r="206" spans="1:36" ht="15" customHeight="1">
      <c r="A206" s="521"/>
      <c r="B206" s="205" t="str">
        <f t="shared" si="38"/>
        <v>Pedra Furada - Alimentação</v>
      </c>
      <c r="C206" s="206" t="str">
        <f t="shared" si="39"/>
        <v>Alimentação</v>
      </c>
      <c r="D206" s="207">
        <f>IFERROR('A4 - Previsão de Receita Bruta'!C16*VLOOKUP($C206,AliqPorTipo,COLUMN($I169)-1,0),0)</f>
        <v>0</v>
      </c>
      <c r="E206" s="207">
        <f>IFERROR('A4 - Previsão de Receita Bruta'!D16*VLOOKUP($C206,AliqPorTipo,COLUMN($I169)-1,0),0)</f>
        <v>25966.799999999999</v>
      </c>
      <c r="F206" s="207">
        <f>IFERROR('A4 - Previsão de Receita Bruta'!E16*VLOOKUP($C206,AliqPorTipo,COLUMN($I169)-1,0),0)</f>
        <v>26862.600000000002</v>
      </c>
      <c r="G206" s="207">
        <f>IFERROR('A4 - Previsão de Receita Bruta'!F16*VLOOKUP($C206,AliqPorTipo,COLUMN($I169)-1,0),0)</f>
        <v>27729.9</v>
      </c>
      <c r="H206" s="207">
        <f>IFERROR('A4 - Previsão de Receita Bruta'!G16*VLOOKUP($C206,AliqPorTipo,COLUMN($I169)-1,0),0)</f>
        <v>28611.3</v>
      </c>
      <c r="I206" s="207">
        <f>IFERROR('A4 - Previsão de Receita Bruta'!H16*VLOOKUP($C206,AliqPorTipo,COLUMN($I169)-1,0),0)</f>
        <v>29508</v>
      </c>
      <c r="J206" s="207">
        <f>IFERROR('A4 - Previsão de Receita Bruta'!I16*VLOOKUP($C206,AliqPorTipo,COLUMN($I169)-1,0),0)</f>
        <v>30430.2</v>
      </c>
      <c r="K206" s="207">
        <f>IFERROR('A4 - Previsão de Receita Bruta'!J16*VLOOKUP($C206,AliqPorTipo,COLUMN($I169)-1,0),0)</f>
        <v>31379.100000000002</v>
      </c>
      <c r="L206" s="207">
        <f>IFERROR('A4 - Previsão de Receita Bruta'!K16*VLOOKUP($C206,AliqPorTipo,COLUMN($I169)-1,0),0)</f>
        <v>32345.4</v>
      </c>
      <c r="M206" s="207">
        <f>IFERROR('A4 - Previsão de Receita Bruta'!L16*VLOOKUP($C206,AliqPorTipo,COLUMN($I169)-1,0),0)</f>
        <v>33329.4</v>
      </c>
      <c r="N206" s="207">
        <f>IFERROR('A4 - Previsão de Receita Bruta'!M16*VLOOKUP($C206,AliqPorTipo,COLUMN($I169)-1,0),0)</f>
        <v>34344.6</v>
      </c>
      <c r="O206" s="207">
        <f>IFERROR('A4 - Previsão de Receita Bruta'!N16*VLOOKUP($C206,AliqPorTipo,COLUMN($I169)-1,0),0)</f>
        <v>35390.1</v>
      </c>
      <c r="P206" s="207">
        <f>IFERROR('A4 - Previsão de Receita Bruta'!O16*VLOOKUP($C206,AliqPorTipo,COLUMN($I169)-1,0),0)</f>
        <v>36468.9</v>
      </c>
      <c r="Q206" s="207">
        <f>IFERROR('A4 - Previsão de Receita Bruta'!P16*VLOOKUP($C206,AliqPorTipo,COLUMN($I169)-1,0),0)</f>
        <v>37580.1</v>
      </c>
      <c r="R206" s="207">
        <f>IFERROR('A4 - Previsão de Receita Bruta'!Q16*VLOOKUP($C206,AliqPorTipo,COLUMN($I169)-1,0),0)</f>
        <v>38724.9</v>
      </c>
      <c r="S206" s="207">
        <f>IFERROR('A4 - Previsão de Receita Bruta'!R16*VLOOKUP($C206,AliqPorTipo,COLUMN($I169)-1,0),0)</f>
        <v>39901.200000000004</v>
      </c>
      <c r="T206" s="207">
        <f>IFERROR('A4 - Previsão de Receita Bruta'!S16*VLOOKUP($C206,AliqPorTipo,COLUMN($I169)-1,0),0)</f>
        <v>41107.200000000004</v>
      </c>
      <c r="U206" s="207">
        <f>IFERROR('A4 - Previsão de Receita Bruta'!T16*VLOOKUP($C206,AliqPorTipo,COLUMN($I169)-1,0),0)</f>
        <v>42339</v>
      </c>
      <c r="V206" s="207">
        <f>IFERROR('A4 - Previsão de Receita Bruta'!U16*VLOOKUP($C206,AliqPorTipo,COLUMN($I169)-1,0),0)</f>
        <v>43593.599999999999</v>
      </c>
      <c r="W206" s="207">
        <f>IFERROR('A4 - Previsão de Receita Bruta'!V16*VLOOKUP($C206,AliqPorTipo,COLUMN($I169)-1,0),0)</f>
        <v>44864.700000000004</v>
      </c>
      <c r="X206" s="207">
        <f>IFERROR('A4 - Previsão de Receita Bruta'!W16*VLOOKUP($C206,AliqPorTipo,COLUMN($I169)-1,0),0)</f>
        <v>44864.700000000004</v>
      </c>
      <c r="Y206" s="207">
        <f>IFERROR('A4 - Previsão de Receita Bruta'!X16*VLOOKUP($C206,AliqPorTipo,COLUMN($I169)-1,0),0)</f>
        <v>44864.700000000004</v>
      </c>
      <c r="Z206" s="207">
        <f>IFERROR('A4 - Previsão de Receita Bruta'!Y16*VLOOKUP($C206,AliqPorTipo,COLUMN($I169)-1,0),0)</f>
        <v>44864.700000000004</v>
      </c>
      <c r="AA206" s="207">
        <f>IFERROR('A4 - Previsão de Receita Bruta'!Z16*VLOOKUP($C206,AliqPorTipo,COLUMN($I169)-1,0),0)</f>
        <v>44864.700000000004</v>
      </c>
      <c r="AB206" s="207">
        <f>IFERROR('A4 - Previsão de Receita Bruta'!AA16*VLOOKUP($C206,AliqPorTipo,COLUMN($I169)-1,0),0)</f>
        <v>44864.700000000004</v>
      </c>
      <c r="AC206" s="207">
        <f>IFERROR('A4 - Previsão de Receita Bruta'!AB16*VLOOKUP($C206,AliqPorTipo,COLUMN($I169)-1,0),0)</f>
        <v>44864.700000000004</v>
      </c>
      <c r="AD206" s="207">
        <f>IFERROR('A4 - Previsão de Receita Bruta'!AC16*VLOOKUP($C206,AliqPorTipo,COLUMN($I169)-1,0),0)</f>
        <v>44864.700000000004</v>
      </c>
      <c r="AE206" s="207">
        <f>IFERROR('A4 - Previsão de Receita Bruta'!AD16*VLOOKUP($C206,AliqPorTipo,COLUMN($I169)-1,0),0)</f>
        <v>44864.700000000004</v>
      </c>
      <c r="AF206" s="207">
        <f>IFERROR('A4 - Previsão de Receita Bruta'!AE16*VLOOKUP($C206,AliqPorTipo,COLUMN($I169)-1,0),0)</f>
        <v>44864.700000000004</v>
      </c>
      <c r="AG206" s="207">
        <f>IFERROR('A4 - Previsão de Receita Bruta'!AF16*VLOOKUP($C206,AliqPorTipo,COLUMN($I169)-1,0),0)</f>
        <v>44864.700000000004</v>
      </c>
      <c r="AH206" s="525"/>
      <c r="AI206" s="521"/>
      <c r="AJ206" s="521"/>
    </row>
    <row r="207" spans="1:36" ht="15" customHeight="1">
      <c r="A207" s="521"/>
      <c r="B207" s="205" t="str">
        <f t="shared" si="38"/>
        <v>Pedra Furada - Comércio</v>
      </c>
      <c r="C207" s="206" t="str">
        <f t="shared" si="39"/>
        <v>Comércio</v>
      </c>
      <c r="D207" s="207">
        <f>IFERROR('A4 - Previsão de Receita Bruta'!C17*VLOOKUP($C207,AliqPorTipo,COLUMN($I170)-1,0),0)</f>
        <v>0</v>
      </c>
      <c r="E207" s="207">
        <f>IFERROR('A4 - Previsão de Receita Bruta'!D17*VLOOKUP($C207,AliqPorTipo,COLUMN($I170)-1,0),0)</f>
        <v>8655.6</v>
      </c>
      <c r="F207" s="207">
        <f>IFERROR('A4 - Previsão de Receita Bruta'!E17*VLOOKUP($C207,AliqPorTipo,COLUMN($I170)-1,0),0)</f>
        <v>8954.4</v>
      </c>
      <c r="G207" s="207">
        <f>IFERROR('A4 - Previsão de Receita Bruta'!F17*VLOOKUP($C207,AliqPorTipo,COLUMN($I170)-1,0),0)</f>
        <v>9243.6</v>
      </c>
      <c r="H207" s="207">
        <f>IFERROR('A4 - Previsão de Receita Bruta'!G17*VLOOKUP($C207,AliqPorTipo,COLUMN($I170)-1,0),0)</f>
        <v>9537</v>
      </c>
      <c r="I207" s="207">
        <f>IFERROR('A4 - Previsão de Receita Bruta'!H17*VLOOKUP($C207,AliqPorTipo,COLUMN($I170)-1,0),0)</f>
        <v>9835.8000000000011</v>
      </c>
      <c r="J207" s="207">
        <f>IFERROR('A4 - Previsão de Receita Bruta'!I17*VLOOKUP($C207,AliqPorTipo,COLUMN($I170)-1,0),0)</f>
        <v>10143.6</v>
      </c>
      <c r="K207" s="207">
        <f>IFERROR('A4 - Previsão de Receita Bruta'!J17*VLOOKUP($C207,AliqPorTipo,COLUMN($I170)-1,0),0)</f>
        <v>10459.800000000001</v>
      </c>
      <c r="L207" s="207">
        <f>IFERROR('A4 - Previsão de Receita Bruta'!K17*VLOOKUP($C207,AliqPorTipo,COLUMN($I170)-1,0),0)</f>
        <v>10782</v>
      </c>
      <c r="M207" s="207">
        <f>IFERROR('A4 - Previsão de Receita Bruta'!L17*VLOOKUP($C207,AliqPorTipo,COLUMN($I170)-1,0),0)</f>
        <v>11109.6</v>
      </c>
      <c r="N207" s="207">
        <f>IFERROR('A4 - Previsão de Receita Bruta'!M17*VLOOKUP($C207,AliqPorTipo,COLUMN($I170)-1,0),0)</f>
        <v>11448</v>
      </c>
      <c r="O207" s="207">
        <f>IFERROR('A4 - Previsão de Receita Bruta'!N17*VLOOKUP($C207,AliqPorTipo,COLUMN($I170)-1,0),0)</f>
        <v>11796.6</v>
      </c>
      <c r="P207" s="207">
        <f>IFERROR('A4 - Previsão de Receita Bruta'!O17*VLOOKUP($C207,AliqPorTipo,COLUMN($I170)-1,0),0)</f>
        <v>12156</v>
      </c>
      <c r="Q207" s="207">
        <f>IFERROR('A4 - Previsão de Receita Bruta'!P17*VLOOKUP($C207,AliqPorTipo,COLUMN($I170)-1,0),0)</f>
        <v>12526.800000000001</v>
      </c>
      <c r="R207" s="207">
        <f>IFERROR('A4 - Previsão de Receita Bruta'!Q17*VLOOKUP($C207,AliqPorTipo,COLUMN($I170)-1,0),0)</f>
        <v>12908.4</v>
      </c>
      <c r="S207" s="207">
        <f>IFERROR('A4 - Previsão de Receita Bruta'!R17*VLOOKUP($C207,AliqPorTipo,COLUMN($I170)-1,0),0)</f>
        <v>13300.2</v>
      </c>
      <c r="T207" s="207">
        <f>IFERROR('A4 - Previsão de Receita Bruta'!S17*VLOOKUP($C207,AliqPorTipo,COLUMN($I170)-1,0),0)</f>
        <v>13702.2</v>
      </c>
      <c r="U207" s="207">
        <f>IFERROR('A4 - Previsão de Receita Bruta'!T17*VLOOKUP($C207,AliqPorTipo,COLUMN($I170)-1,0),0)</f>
        <v>14113.2</v>
      </c>
      <c r="V207" s="207">
        <f>IFERROR('A4 - Previsão de Receita Bruta'!U17*VLOOKUP($C207,AliqPorTipo,COLUMN($I170)-1,0),0)</f>
        <v>14531.4</v>
      </c>
      <c r="W207" s="207">
        <f>IFERROR('A4 - Previsão de Receita Bruta'!V17*VLOOKUP($C207,AliqPorTipo,COLUMN($I170)-1,0),0)</f>
        <v>14955</v>
      </c>
      <c r="X207" s="207">
        <f>IFERROR('A4 - Previsão de Receita Bruta'!W17*VLOOKUP($C207,AliqPorTipo,COLUMN($I170)-1,0),0)</f>
        <v>14955</v>
      </c>
      <c r="Y207" s="207">
        <f>IFERROR('A4 - Previsão de Receita Bruta'!X17*VLOOKUP($C207,AliqPorTipo,COLUMN($I170)-1,0),0)</f>
        <v>14955</v>
      </c>
      <c r="Z207" s="207">
        <f>IFERROR('A4 - Previsão de Receita Bruta'!Y17*VLOOKUP($C207,AliqPorTipo,COLUMN($I170)-1,0),0)</f>
        <v>14955</v>
      </c>
      <c r="AA207" s="207">
        <f>IFERROR('A4 - Previsão de Receita Bruta'!Z17*VLOOKUP($C207,AliqPorTipo,COLUMN($I170)-1,0),0)</f>
        <v>14955</v>
      </c>
      <c r="AB207" s="207">
        <f>IFERROR('A4 - Previsão de Receita Bruta'!AA17*VLOOKUP($C207,AliqPorTipo,COLUMN($I170)-1,0),0)</f>
        <v>14955</v>
      </c>
      <c r="AC207" s="207">
        <f>IFERROR('A4 - Previsão de Receita Bruta'!AB17*VLOOKUP($C207,AliqPorTipo,COLUMN($I170)-1,0),0)</f>
        <v>14955</v>
      </c>
      <c r="AD207" s="207">
        <f>IFERROR('A4 - Previsão de Receita Bruta'!AC17*VLOOKUP($C207,AliqPorTipo,COLUMN($I170)-1,0),0)</f>
        <v>14955</v>
      </c>
      <c r="AE207" s="207">
        <f>IFERROR('A4 - Previsão de Receita Bruta'!AD17*VLOOKUP($C207,AliqPorTipo,COLUMN($I170)-1,0),0)</f>
        <v>14955</v>
      </c>
      <c r="AF207" s="207">
        <f>IFERROR('A4 - Previsão de Receita Bruta'!AE17*VLOOKUP($C207,AliqPorTipo,COLUMN($I170)-1,0),0)</f>
        <v>14955</v>
      </c>
      <c r="AG207" s="207">
        <f>IFERROR('A4 - Previsão de Receita Bruta'!AF17*VLOOKUP($C207,AliqPorTipo,COLUMN($I170)-1,0),0)</f>
        <v>14955</v>
      </c>
      <c r="AH207" s="525"/>
      <c r="AI207" s="521"/>
      <c r="AJ207" s="521"/>
    </row>
    <row r="208" spans="1:36" ht="15" customHeight="1">
      <c r="A208" s="521"/>
      <c r="B208" s="205" t="str">
        <f t="shared" si="38"/>
        <v>Serrote - Alimentação</v>
      </c>
      <c r="C208" s="206" t="str">
        <f t="shared" si="39"/>
        <v>Alimentação</v>
      </c>
      <c r="D208" s="207">
        <f>IFERROR('A4 - Previsão de Receita Bruta'!C18*VLOOKUP($C208,AliqPorTipo,COLUMN($I171)-1,0),0)</f>
        <v>0</v>
      </c>
      <c r="E208" s="207">
        <f>IFERROR('A4 - Previsão de Receita Bruta'!D18*VLOOKUP($C208,AliqPorTipo,COLUMN($I171)-1,0),0)</f>
        <v>25966.799999999999</v>
      </c>
      <c r="F208" s="207">
        <f>IFERROR('A4 - Previsão de Receita Bruta'!E18*VLOOKUP($C208,AliqPorTipo,COLUMN($I171)-1,0),0)</f>
        <v>26862.600000000002</v>
      </c>
      <c r="G208" s="207">
        <f>IFERROR('A4 - Previsão de Receita Bruta'!F18*VLOOKUP($C208,AliqPorTipo,COLUMN($I171)-1,0),0)</f>
        <v>27729.9</v>
      </c>
      <c r="H208" s="207">
        <f>IFERROR('A4 - Previsão de Receita Bruta'!G18*VLOOKUP($C208,AliqPorTipo,COLUMN($I171)-1,0),0)</f>
        <v>28611.3</v>
      </c>
      <c r="I208" s="207">
        <f>IFERROR('A4 - Previsão de Receita Bruta'!H18*VLOOKUP($C208,AliqPorTipo,COLUMN($I171)-1,0),0)</f>
        <v>29508</v>
      </c>
      <c r="J208" s="207">
        <f>IFERROR('A4 - Previsão de Receita Bruta'!I18*VLOOKUP($C208,AliqPorTipo,COLUMN($I171)-1,0),0)</f>
        <v>30430.2</v>
      </c>
      <c r="K208" s="207">
        <f>IFERROR('A4 - Previsão de Receita Bruta'!J18*VLOOKUP($C208,AliqPorTipo,COLUMN($I171)-1,0),0)</f>
        <v>31379.100000000002</v>
      </c>
      <c r="L208" s="207">
        <f>IFERROR('A4 - Previsão de Receita Bruta'!K18*VLOOKUP($C208,AliqPorTipo,COLUMN($I171)-1,0),0)</f>
        <v>32345.4</v>
      </c>
      <c r="M208" s="207">
        <f>IFERROR('A4 - Previsão de Receita Bruta'!L18*VLOOKUP($C208,AliqPorTipo,COLUMN($I171)-1,0),0)</f>
        <v>33329.4</v>
      </c>
      <c r="N208" s="207">
        <f>IFERROR('A4 - Previsão de Receita Bruta'!M18*VLOOKUP($C208,AliqPorTipo,COLUMN($I171)-1,0),0)</f>
        <v>34344.6</v>
      </c>
      <c r="O208" s="207">
        <f>IFERROR('A4 - Previsão de Receita Bruta'!N18*VLOOKUP($C208,AliqPorTipo,COLUMN($I171)-1,0),0)</f>
        <v>35390.1</v>
      </c>
      <c r="P208" s="207">
        <f>IFERROR('A4 - Previsão de Receita Bruta'!O18*VLOOKUP($C208,AliqPorTipo,COLUMN($I171)-1,0),0)</f>
        <v>36468.9</v>
      </c>
      <c r="Q208" s="207">
        <f>IFERROR('A4 - Previsão de Receita Bruta'!P18*VLOOKUP($C208,AliqPorTipo,COLUMN($I171)-1,0),0)</f>
        <v>37580.1</v>
      </c>
      <c r="R208" s="207">
        <f>IFERROR('A4 - Previsão de Receita Bruta'!Q18*VLOOKUP($C208,AliqPorTipo,COLUMN($I171)-1,0),0)</f>
        <v>38724.9</v>
      </c>
      <c r="S208" s="207">
        <f>IFERROR('A4 - Previsão de Receita Bruta'!R18*VLOOKUP($C208,AliqPorTipo,COLUMN($I171)-1,0),0)</f>
        <v>39901.200000000004</v>
      </c>
      <c r="T208" s="207">
        <f>IFERROR('A4 - Previsão de Receita Bruta'!S18*VLOOKUP($C208,AliqPorTipo,COLUMN($I171)-1,0),0)</f>
        <v>41107.200000000004</v>
      </c>
      <c r="U208" s="207">
        <f>IFERROR('A4 - Previsão de Receita Bruta'!T18*VLOOKUP($C208,AliqPorTipo,COLUMN($I171)-1,0),0)</f>
        <v>42339</v>
      </c>
      <c r="V208" s="207">
        <f>IFERROR('A4 - Previsão de Receita Bruta'!U18*VLOOKUP($C208,AliqPorTipo,COLUMN($I171)-1,0),0)</f>
        <v>43593.599999999999</v>
      </c>
      <c r="W208" s="207">
        <f>IFERROR('A4 - Previsão de Receita Bruta'!V18*VLOOKUP($C208,AliqPorTipo,COLUMN($I171)-1,0),0)</f>
        <v>44864.700000000004</v>
      </c>
      <c r="X208" s="207">
        <f>IFERROR('A4 - Previsão de Receita Bruta'!W18*VLOOKUP($C208,AliqPorTipo,COLUMN($I171)-1,0),0)</f>
        <v>44864.700000000004</v>
      </c>
      <c r="Y208" s="207">
        <f>IFERROR('A4 - Previsão de Receita Bruta'!X18*VLOOKUP($C208,AliqPorTipo,COLUMN($I171)-1,0),0)</f>
        <v>44864.700000000004</v>
      </c>
      <c r="Z208" s="207">
        <f>IFERROR('A4 - Previsão de Receita Bruta'!Y18*VLOOKUP($C208,AliqPorTipo,COLUMN($I171)-1,0),0)</f>
        <v>44864.700000000004</v>
      </c>
      <c r="AA208" s="207">
        <f>IFERROR('A4 - Previsão de Receita Bruta'!Z18*VLOOKUP($C208,AliqPorTipo,COLUMN($I171)-1,0),0)</f>
        <v>44864.700000000004</v>
      </c>
      <c r="AB208" s="207">
        <f>IFERROR('A4 - Previsão de Receita Bruta'!AA18*VLOOKUP($C208,AliqPorTipo,COLUMN($I171)-1,0),0)</f>
        <v>44864.700000000004</v>
      </c>
      <c r="AC208" s="207">
        <f>IFERROR('A4 - Previsão de Receita Bruta'!AB18*VLOOKUP($C208,AliqPorTipo,COLUMN($I171)-1,0),0)</f>
        <v>44864.700000000004</v>
      </c>
      <c r="AD208" s="207">
        <f>IFERROR('A4 - Previsão de Receita Bruta'!AC18*VLOOKUP($C208,AliqPorTipo,COLUMN($I171)-1,0),0)</f>
        <v>44864.700000000004</v>
      </c>
      <c r="AE208" s="207">
        <f>IFERROR('A4 - Previsão de Receita Bruta'!AD18*VLOOKUP($C208,AliqPorTipo,COLUMN($I171)-1,0),0)</f>
        <v>44864.700000000004</v>
      </c>
      <c r="AF208" s="207">
        <f>IFERROR('A4 - Previsão de Receita Bruta'!AE18*VLOOKUP($C208,AliqPorTipo,COLUMN($I171)-1,0),0)</f>
        <v>44864.700000000004</v>
      </c>
      <c r="AG208" s="207">
        <f>IFERROR('A4 - Previsão de Receita Bruta'!AF18*VLOOKUP($C208,AliqPorTipo,COLUMN($I171)-1,0),0)</f>
        <v>44864.700000000004</v>
      </c>
      <c r="AH208" s="525"/>
      <c r="AI208" s="521"/>
      <c r="AJ208" s="521"/>
    </row>
    <row r="209" spans="1:36" ht="15" customHeight="1">
      <c r="A209" s="521"/>
      <c r="B209" s="205" t="str">
        <f t="shared" si="38"/>
        <v>Serrote - Comércio</v>
      </c>
      <c r="C209" s="206" t="str">
        <f t="shared" si="39"/>
        <v>Comércio</v>
      </c>
      <c r="D209" s="207">
        <f>IFERROR('A4 - Previsão de Receita Bruta'!C19*VLOOKUP($C209,AliqPorTipo,COLUMN($I172)-1,0),0)</f>
        <v>0</v>
      </c>
      <c r="E209" s="207">
        <f>IFERROR('A4 - Previsão de Receita Bruta'!D19*VLOOKUP($C209,AliqPorTipo,COLUMN($I172)-1,0),0)</f>
        <v>8655.6</v>
      </c>
      <c r="F209" s="207">
        <f>IFERROR('A4 - Previsão de Receita Bruta'!E19*VLOOKUP($C209,AliqPorTipo,COLUMN($I172)-1,0),0)</f>
        <v>8954.4</v>
      </c>
      <c r="G209" s="207">
        <f>IFERROR('A4 - Previsão de Receita Bruta'!F19*VLOOKUP($C209,AliqPorTipo,COLUMN($I172)-1,0),0)</f>
        <v>9243.6</v>
      </c>
      <c r="H209" s="207">
        <f>IFERROR('A4 - Previsão de Receita Bruta'!G19*VLOOKUP($C209,AliqPorTipo,COLUMN($I172)-1,0),0)</f>
        <v>9537</v>
      </c>
      <c r="I209" s="207">
        <f>IFERROR('A4 - Previsão de Receita Bruta'!H19*VLOOKUP($C209,AliqPorTipo,COLUMN($I172)-1,0),0)</f>
        <v>9835.8000000000011</v>
      </c>
      <c r="J209" s="207">
        <f>IFERROR('A4 - Previsão de Receita Bruta'!I19*VLOOKUP($C209,AliqPorTipo,COLUMN($I172)-1,0),0)</f>
        <v>10143.6</v>
      </c>
      <c r="K209" s="207">
        <f>IFERROR('A4 - Previsão de Receita Bruta'!J19*VLOOKUP($C209,AliqPorTipo,COLUMN($I172)-1,0),0)</f>
        <v>10459.800000000001</v>
      </c>
      <c r="L209" s="207">
        <f>IFERROR('A4 - Previsão de Receita Bruta'!K19*VLOOKUP($C209,AliqPorTipo,COLUMN($I172)-1,0),0)</f>
        <v>10782</v>
      </c>
      <c r="M209" s="207">
        <f>IFERROR('A4 - Previsão de Receita Bruta'!L19*VLOOKUP($C209,AliqPorTipo,COLUMN($I172)-1,0),0)</f>
        <v>11109.6</v>
      </c>
      <c r="N209" s="207">
        <f>IFERROR('A4 - Previsão de Receita Bruta'!M19*VLOOKUP($C209,AliqPorTipo,COLUMN($I172)-1,0),0)</f>
        <v>11448</v>
      </c>
      <c r="O209" s="207">
        <f>IFERROR('A4 - Previsão de Receita Bruta'!N19*VLOOKUP($C209,AliqPorTipo,COLUMN($I172)-1,0),0)</f>
        <v>11796.6</v>
      </c>
      <c r="P209" s="207">
        <f>IFERROR('A4 - Previsão de Receita Bruta'!O19*VLOOKUP($C209,AliqPorTipo,COLUMN($I172)-1,0),0)</f>
        <v>12156</v>
      </c>
      <c r="Q209" s="207">
        <f>IFERROR('A4 - Previsão de Receita Bruta'!P19*VLOOKUP($C209,AliqPorTipo,COLUMN($I172)-1,0),0)</f>
        <v>12526.800000000001</v>
      </c>
      <c r="R209" s="207">
        <f>IFERROR('A4 - Previsão de Receita Bruta'!Q19*VLOOKUP($C209,AliqPorTipo,COLUMN($I172)-1,0),0)</f>
        <v>12908.4</v>
      </c>
      <c r="S209" s="207">
        <f>IFERROR('A4 - Previsão de Receita Bruta'!R19*VLOOKUP($C209,AliqPorTipo,COLUMN($I172)-1,0),0)</f>
        <v>13300.2</v>
      </c>
      <c r="T209" s="207">
        <f>IFERROR('A4 - Previsão de Receita Bruta'!S19*VLOOKUP($C209,AliqPorTipo,COLUMN($I172)-1,0),0)</f>
        <v>13702.2</v>
      </c>
      <c r="U209" s="207">
        <f>IFERROR('A4 - Previsão de Receita Bruta'!T19*VLOOKUP($C209,AliqPorTipo,COLUMN($I172)-1,0),0)</f>
        <v>14113.2</v>
      </c>
      <c r="V209" s="207">
        <f>IFERROR('A4 - Previsão de Receita Bruta'!U19*VLOOKUP($C209,AliqPorTipo,COLUMN($I172)-1,0),0)</f>
        <v>14531.4</v>
      </c>
      <c r="W209" s="207">
        <f>IFERROR('A4 - Previsão de Receita Bruta'!V19*VLOOKUP($C209,AliqPorTipo,COLUMN($I172)-1,0),0)</f>
        <v>14955</v>
      </c>
      <c r="X209" s="207">
        <f>IFERROR('A4 - Previsão de Receita Bruta'!W19*VLOOKUP($C209,AliqPorTipo,COLUMN($I172)-1,0),0)</f>
        <v>14955</v>
      </c>
      <c r="Y209" s="207">
        <f>IFERROR('A4 - Previsão de Receita Bruta'!X19*VLOOKUP($C209,AliqPorTipo,COLUMN($I172)-1,0),0)</f>
        <v>14955</v>
      </c>
      <c r="Z209" s="207">
        <f>IFERROR('A4 - Previsão de Receita Bruta'!Y19*VLOOKUP($C209,AliqPorTipo,COLUMN($I172)-1,0),0)</f>
        <v>14955</v>
      </c>
      <c r="AA209" s="207">
        <f>IFERROR('A4 - Previsão de Receita Bruta'!Z19*VLOOKUP($C209,AliqPorTipo,COLUMN($I172)-1,0),0)</f>
        <v>14955</v>
      </c>
      <c r="AB209" s="207">
        <f>IFERROR('A4 - Previsão de Receita Bruta'!AA19*VLOOKUP($C209,AliqPorTipo,COLUMN($I172)-1,0),0)</f>
        <v>14955</v>
      </c>
      <c r="AC209" s="207">
        <f>IFERROR('A4 - Previsão de Receita Bruta'!AB19*VLOOKUP($C209,AliqPorTipo,COLUMN($I172)-1,0),0)</f>
        <v>14955</v>
      </c>
      <c r="AD209" s="207">
        <f>IFERROR('A4 - Previsão de Receita Bruta'!AC19*VLOOKUP($C209,AliqPorTipo,COLUMN($I172)-1,0),0)</f>
        <v>14955</v>
      </c>
      <c r="AE209" s="207">
        <f>IFERROR('A4 - Previsão de Receita Bruta'!AD19*VLOOKUP($C209,AliqPorTipo,COLUMN($I172)-1,0),0)</f>
        <v>14955</v>
      </c>
      <c r="AF209" s="207">
        <f>IFERROR('A4 - Previsão de Receita Bruta'!AE19*VLOOKUP($C209,AliqPorTipo,COLUMN($I172)-1,0),0)</f>
        <v>14955</v>
      </c>
      <c r="AG209" s="207">
        <f>IFERROR('A4 - Previsão de Receita Bruta'!AF19*VLOOKUP($C209,AliqPorTipo,COLUMN($I172)-1,0),0)</f>
        <v>14955</v>
      </c>
      <c r="AH209" s="525"/>
      <c r="AI209" s="521"/>
      <c r="AJ209" s="521"/>
    </row>
    <row r="210" spans="1:36" ht="15" customHeight="1">
      <c r="A210" s="521"/>
      <c r="B210" s="205" t="str">
        <f t="shared" si="38"/>
        <v>Paraíso - Alimentação</v>
      </c>
      <c r="C210" s="206" t="str">
        <f t="shared" si="39"/>
        <v>Alimentação</v>
      </c>
      <c r="D210" s="207">
        <f>IFERROR('A4 - Previsão de Receita Bruta'!C20*VLOOKUP($C210,AliqPorTipo,COLUMN($I173)-1,0),0)</f>
        <v>0</v>
      </c>
      <c r="E210" s="207">
        <f>IFERROR('A4 - Previsão de Receita Bruta'!D20*VLOOKUP($C210,AliqPorTipo,COLUMN($I173)-1,0),0)</f>
        <v>0</v>
      </c>
      <c r="F210" s="207">
        <f>IFERROR('A4 - Previsão de Receita Bruta'!E20*VLOOKUP($C210,AliqPorTipo,COLUMN($I173)-1,0),0)</f>
        <v>0</v>
      </c>
      <c r="G210" s="207">
        <f>IFERROR('A4 - Previsão de Receita Bruta'!F20*VLOOKUP($C210,AliqPorTipo,COLUMN($I173)-1,0),0)</f>
        <v>0</v>
      </c>
      <c r="H210" s="207">
        <f>IFERROR('A4 - Previsão de Receita Bruta'!G20*VLOOKUP($C210,AliqPorTipo,COLUMN($I173)-1,0),0)</f>
        <v>0</v>
      </c>
      <c r="I210" s="207">
        <f>IFERROR('A4 - Previsão de Receita Bruta'!H20*VLOOKUP($C210,AliqPorTipo,COLUMN($I173)-1,0),0)</f>
        <v>0</v>
      </c>
      <c r="J210" s="207">
        <f>IFERROR('A4 - Previsão de Receita Bruta'!I20*VLOOKUP($C210,AliqPorTipo,COLUMN($I173)-1,0),0)</f>
        <v>0</v>
      </c>
      <c r="K210" s="207">
        <f>IFERROR('A4 - Previsão de Receita Bruta'!J20*VLOOKUP($C210,AliqPorTipo,COLUMN($I173)-1,0),0)</f>
        <v>0</v>
      </c>
      <c r="L210" s="207">
        <f>IFERROR('A4 - Previsão de Receita Bruta'!K20*VLOOKUP($C210,AliqPorTipo,COLUMN($I173)-1,0),0)</f>
        <v>0</v>
      </c>
      <c r="M210" s="207">
        <f>IFERROR('A4 - Previsão de Receita Bruta'!L20*VLOOKUP($C210,AliqPorTipo,COLUMN($I173)-1,0),0)</f>
        <v>0</v>
      </c>
      <c r="N210" s="207">
        <f>IFERROR('A4 - Previsão de Receita Bruta'!M20*VLOOKUP($C210,AliqPorTipo,COLUMN($I173)-1,0),0)</f>
        <v>0</v>
      </c>
      <c r="O210" s="207">
        <f>IFERROR('A4 - Previsão de Receita Bruta'!N20*VLOOKUP($C210,AliqPorTipo,COLUMN($I173)-1,0),0)</f>
        <v>0</v>
      </c>
      <c r="P210" s="207">
        <f>IFERROR('A4 - Previsão de Receita Bruta'!O20*VLOOKUP($C210,AliqPorTipo,COLUMN($I173)-1,0),0)</f>
        <v>0</v>
      </c>
      <c r="Q210" s="207">
        <f>IFERROR('A4 - Previsão de Receita Bruta'!P20*VLOOKUP($C210,AliqPorTipo,COLUMN($I173)-1,0),0)</f>
        <v>0</v>
      </c>
      <c r="R210" s="207">
        <f>IFERROR('A4 - Previsão de Receita Bruta'!Q20*VLOOKUP($C210,AliqPorTipo,COLUMN($I173)-1,0),0)</f>
        <v>0</v>
      </c>
      <c r="S210" s="207">
        <f>IFERROR('A4 - Previsão de Receita Bruta'!R20*VLOOKUP($C210,AliqPorTipo,COLUMN($I173)-1,0),0)</f>
        <v>0</v>
      </c>
      <c r="T210" s="207">
        <f>IFERROR('A4 - Previsão de Receita Bruta'!S20*VLOOKUP($C210,AliqPorTipo,COLUMN($I173)-1,0),0)</f>
        <v>0</v>
      </c>
      <c r="U210" s="207">
        <f>IFERROR('A4 - Previsão de Receita Bruta'!T20*VLOOKUP($C210,AliqPorTipo,COLUMN($I173)-1,0),0)</f>
        <v>0</v>
      </c>
      <c r="V210" s="207">
        <f>IFERROR('A4 - Previsão de Receita Bruta'!U20*VLOOKUP($C210,AliqPorTipo,COLUMN($I173)-1,0),0)</f>
        <v>0</v>
      </c>
      <c r="W210" s="207">
        <f>IFERROR('A4 - Previsão de Receita Bruta'!V20*VLOOKUP($C210,AliqPorTipo,COLUMN($I173)-1,0),0)</f>
        <v>0</v>
      </c>
      <c r="X210" s="207">
        <f>IFERROR('A4 - Previsão de Receita Bruta'!W20*VLOOKUP($C210,AliqPorTipo,COLUMN($I173)-1,0),0)</f>
        <v>0</v>
      </c>
      <c r="Y210" s="207">
        <f>IFERROR('A4 - Previsão de Receita Bruta'!X20*VLOOKUP($C210,AliqPorTipo,COLUMN($I173)-1,0),0)</f>
        <v>0</v>
      </c>
      <c r="Z210" s="207">
        <f>IFERROR('A4 - Previsão de Receita Bruta'!Y20*VLOOKUP($C210,AliqPorTipo,COLUMN($I173)-1,0),0)</f>
        <v>0</v>
      </c>
      <c r="AA210" s="207">
        <f>IFERROR('A4 - Previsão de Receita Bruta'!Z20*VLOOKUP($C210,AliqPorTipo,COLUMN($I173)-1,0),0)</f>
        <v>0</v>
      </c>
      <c r="AB210" s="207">
        <f>IFERROR('A4 - Previsão de Receita Bruta'!AA20*VLOOKUP($C210,AliqPorTipo,COLUMN($I173)-1,0),0)</f>
        <v>0</v>
      </c>
      <c r="AC210" s="207">
        <f>IFERROR('A4 - Previsão de Receita Bruta'!AB20*VLOOKUP($C210,AliqPorTipo,COLUMN($I173)-1,0),0)</f>
        <v>0</v>
      </c>
      <c r="AD210" s="207">
        <f>IFERROR('A4 - Previsão de Receita Bruta'!AC20*VLOOKUP($C210,AliqPorTipo,COLUMN($I173)-1,0),0)</f>
        <v>0</v>
      </c>
      <c r="AE210" s="207">
        <f>IFERROR('A4 - Previsão de Receita Bruta'!AD20*VLOOKUP($C210,AliqPorTipo,COLUMN($I173)-1,0),0)</f>
        <v>0</v>
      </c>
      <c r="AF210" s="207">
        <f>IFERROR('A4 - Previsão de Receita Bruta'!AE20*VLOOKUP($C210,AliqPorTipo,COLUMN($I173)-1,0),0)</f>
        <v>0</v>
      </c>
      <c r="AG210" s="207">
        <f>IFERROR('A4 - Previsão de Receita Bruta'!AF20*VLOOKUP($C210,AliqPorTipo,COLUMN($I173)-1,0),0)</f>
        <v>0</v>
      </c>
      <c r="AH210" s="525"/>
      <c r="AI210" s="521"/>
      <c r="AJ210" s="521"/>
    </row>
    <row r="211" spans="1:36" ht="15" customHeight="1">
      <c r="A211" s="521"/>
      <c r="B211" s="205" t="str">
        <f t="shared" si="38"/>
        <v>Paraíso - Comércio + Locação + Atividades</v>
      </c>
      <c r="C211" s="206" t="str">
        <f t="shared" si="39"/>
        <v xml:space="preserve"> Comércio </v>
      </c>
      <c r="D211" s="207">
        <f>IFERROR('A4 - Previsão de Receita Bruta'!C21*VLOOKUP($C211,AliqPorTipo,COLUMN($I174)-1,0),0)</f>
        <v>0</v>
      </c>
      <c r="E211" s="207">
        <f>IFERROR('A4 - Previsão de Receita Bruta'!D21*VLOOKUP($C211,AliqPorTipo,COLUMN($I174)-1,0),0)</f>
        <v>0</v>
      </c>
      <c r="F211" s="207">
        <f>IFERROR('A4 - Previsão de Receita Bruta'!E21*VLOOKUP($C211,AliqPorTipo,COLUMN($I174)-1,0),0)</f>
        <v>0</v>
      </c>
      <c r="G211" s="207">
        <f>IFERROR('A4 - Previsão de Receita Bruta'!F21*VLOOKUP($C211,AliqPorTipo,COLUMN($I174)-1,0),0)</f>
        <v>0</v>
      </c>
      <c r="H211" s="207">
        <f>IFERROR('A4 - Previsão de Receita Bruta'!G21*VLOOKUP($C211,AliqPorTipo,COLUMN($I174)-1,0),0)</f>
        <v>0</v>
      </c>
      <c r="I211" s="207">
        <f>IFERROR('A4 - Previsão de Receita Bruta'!H21*VLOOKUP($C211,AliqPorTipo,COLUMN($I174)-1,0),0)</f>
        <v>0</v>
      </c>
      <c r="J211" s="207">
        <f>IFERROR('A4 - Previsão de Receita Bruta'!I21*VLOOKUP($C211,AliqPorTipo,COLUMN($I174)-1,0),0)</f>
        <v>0</v>
      </c>
      <c r="K211" s="207">
        <f>IFERROR('A4 - Previsão de Receita Bruta'!J21*VLOOKUP($C211,AliqPorTipo,COLUMN($I174)-1,0),0)</f>
        <v>0</v>
      </c>
      <c r="L211" s="207">
        <f>IFERROR('A4 - Previsão de Receita Bruta'!K21*VLOOKUP($C211,AliqPorTipo,COLUMN($I174)-1,0),0)</f>
        <v>0</v>
      </c>
      <c r="M211" s="207">
        <f>IFERROR('A4 - Previsão de Receita Bruta'!L21*VLOOKUP($C211,AliqPorTipo,COLUMN($I174)-1,0),0)</f>
        <v>0</v>
      </c>
      <c r="N211" s="207">
        <f>IFERROR('A4 - Previsão de Receita Bruta'!M21*VLOOKUP($C211,AliqPorTipo,COLUMN($I174)-1,0),0)</f>
        <v>0</v>
      </c>
      <c r="O211" s="207">
        <f>IFERROR('A4 - Previsão de Receita Bruta'!N21*VLOOKUP($C211,AliqPorTipo,COLUMN($I174)-1,0),0)</f>
        <v>0</v>
      </c>
      <c r="P211" s="207">
        <f>IFERROR('A4 - Previsão de Receita Bruta'!O21*VLOOKUP($C211,AliqPorTipo,COLUMN($I174)-1,0),0)</f>
        <v>0</v>
      </c>
      <c r="Q211" s="207">
        <f>IFERROR('A4 - Previsão de Receita Bruta'!P21*VLOOKUP($C211,AliqPorTipo,COLUMN($I174)-1,0),0)</f>
        <v>0</v>
      </c>
      <c r="R211" s="207">
        <f>IFERROR('A4 - Previsão de Receita Bruta'!Q21*VLOOKUP($C211,AliqPorTipo,COLUMN($I174)-1,0),0)</f>
        <v>0</v>
      </c>
      <c r="S211" s="207">
        <f>IFERROR('A4 - Previsão de Receita Bruta'!R21*VLOOKUP($C211,AliqPorTipo,COLUMN($I174)-1,0),0)</f>
        <v>0</v>
      </c>
      <c r="T211" s="207">
        <f>IFERROR('A4 - Previsão de Receita Bruta'!S21*VLOOKUP($C211,AliqPorTipo,COLUMN($I174)-1,0),0)</f>
        <v>0</v>
      </c>
      <c r="U211" s="207">
        <f>IFERROR('A4 - Previsão de Receita Bruta'!T21*VLOOKUP($C211,AliqPorTipo,COLUMN($I174)-1,0),0)</f>
        <v>0</v>
      </c>
      <c r="V211" s="207">
        <f>IFERROR('A4 - Previsão de Receita Bruta'!U21*VLOOKUP($C211,AliqPorTipo,COLUMN($I174)-1,0),0)</f>
        <v>0</v>
      </c>
      <c r="W211" s="207">
        <f>IFERROR('A4 - Previsão de Receita Bruta'!V21*VLOOKUP($C211,AliqPorTipo,COLUMN($I174)-1,0),0)</f>
        <v>0</v>
      </c>
      <c r="X211" s="207">
        <f>IFERROR('A4 - Previsão de Receita Bruta'!W21*VLOOKUP($C211,AliqPorTipo,COLUMN($I174)-1,0),0)</f>
        <v>0</v>
      </c>
      <c r="Y211" s="207">
        <f>IFERROR('A4 - Previsão de Receita Bruta'!X21*VLOOKUP($C211,AliqPorTipo,COLUMN($I174)-1,0),0)</f>
        <v>0</v>
      </c>
      <c r="Z211" s="207">
        <f>IFERROR('A4 - Previsão de Receita Bruta'!Y21*VLOOKUP($C211,AliqPorTipo,COLUMN($I174)-1,0),0)</f>
        <v>0</v>
      </c>
      <c r="AA211" s="207">
        <f>IFERROR('A4 - Previsão de Receita Bruta'!Z21*VLOOKUP($C211,AliqPorTipo,COLUMN($I174)-1,0),0)</f>
        <v>0</v>
      </c>
      <c r="AB211" s="207">
        <f>IFERROR('A4 - Previsão de Receita Bruta'!AA21*VLOOKUP($C211,AliqPorTipo,COLUMN($I174)-1,0),0)</f>
        <v>0</v>
      </c>
      <c r="AC211" s="207">
        <f>IFERROR('A4 - Previsão de Receita Bruta'!AB21*VLOOKUP($C211,AliqPorTipo,COLUMN($I174)-1,0),0)</f>
        <v>0</v>
      </c>
      <c r="AD211" s="207">
        <f>IFERROR('A4 - Previsão de Receita Bruta'!AC21*VLOOKUP($C211,AliqPorTipo,COLUMN($I174)-1,0),0)</f>
        <v>0</v>
      </c>
      <c r="AE211" s="207">
        <f>IFERROR('A4 - Previsão de Receita Bruta'!AD21*VLOOKUP($C211,AliqPorTipo,COLUMN($I174)-1,0),0)</f>
        <v>0</v>
      </c>
      <c r="AF211" s="207">
        <f>IFERROR('A4 - Previsão de Receita Bruta'!AE21*VLOOKUP($C211,AliqPorTipo,COLUMN($I174)-1,0),0)</f>
        <v>0</v>
      </c>
      <c r="AG211" s="207">
        <f>IFERROR('A4 - Previsão de Receita Bruta'!AF21*VLOOKUP($C211,AliqPorTipo,COLUMN($I174)-1,0),0)</f>
        <v>0</v>
      </c>
      <c r="AH211" s="525"/>
      <c r="AI211" s="521"/>
      <c r="AJ211" s="521"/>
    </row>
    <row r="212" spans="1:36" ht="15" customHeight="1">
      <c r="A212" s="521"/>
      <c r="B212" s="205" t="str">
        <f t="shared" si="38"/>
        <v>Geral - Unidade móvel - Alimentação</v>
      </c>
      <c r="C212" s="206" t="str">
        <f t="shared" si="39"/>
        <v>Alimentação</v>
      </c>
      <c r="D212" s="207">
        <f>IFERROR('A4 - Previsão de Receita Bruta'!C22*VLOOKUP($C212,AliqPorTipo,COLUMN($I175)-1,0),0)</f>
        <v>0</v>
      </c>
      <c r="E212" s="207">
        <f>IFERROR('A4 - Previsão de Receita Bruta'!D22*VLOOKUP($C212,AliqPorTipo,COLUMN($I175)-1,0),0)</f>
        <v>6491.7</v>
      </c>
      <c r="F212" s="207">
        <f>IFERROR('A4 - Previsão de Receita Bruta'!E22*VLOOKUP($C212,AliqPorTipo,COLUMN($I175)-1,0),0)</f>
        <v>6715.5</v>
      </c>
      <c r="G212" s="207">
        <f>IFERROR('A4 - Previsão de Receita Bruta'!F22*VLOOKUP($C212,AliqPorTipo,COLUMN($I175)-1,0),0)</f>
        <v>6932.4000000000005</v>
      </c>
      <c r="H212" s="207">
        <f>IFERROR('A4 - Previsão de Receita Bruta'!G22*VLOOKUP($C212,AliqPorTipo,COLUMN($I175)-1,0),0)</f>
        <v>7152.9000000000005</v>
      </c>
      <c r="I212" s="207">
        <f>IFERROR('A4 - Previsão de Receita Bruta'!H22*VLOOKUP($C212,AliqPorTipo,COLUMN($I175)-1,0),0)</f>
        <v>7377</v>
      </c>
      <c r="J212" s="207">
        <f>IFERROR('A4 - Previsão de Receita Bruta'!I22*VLOOKUP($C212,AliqPorTipo,COLUMN($I175)-1,0),0)</f>
        <v>7607.4000000000005</v>
      </c>
      <c r="K212" s="207">
        <f>IFERROR('A4 - Previsão de Receita Bruta'!J22*VLOOKUP($C212,AliqPorTipo,COLUMN($I175)-1,0),0)</f>
        <v>7844.7</v>
      </c>
      <c r="L212" s="207">
        <f>IFERROR('A4 - Previsão de Receita Bruta'!K22*VLOOKUP($C212,AliqPorTipo,COLUMN($I175)-1,0),0)</f>
        <v>8086.2</v>
      </c>
      <c r="M212" s="207">
        <f>IFERROR('A4 - Previsão de Receita Bruta'!L22*VLOOKUP($C212,AliqPorTipo,COLUMN($I175)-1,0),0)</f>
        <v>8332.5</v>
      </c>
      <c r="N212" s="207">
        <f>IFERROR('A4 - Previsão de Receita Bruta'!M22*VLOOKUP($C212,AliqPorTipo,COLUMN($I175)-1,0),0)</f>
        <v>8586</v>
      </c>
      <c r="O212" s="207">
        <f>IFERROR('A4 - Previsão de Receita Bruta'!N22*VLOOKUP($C212,AliqPorTipo,COLUMN($I175)-1,0),0)</f>
        <v>8847.6</v>
      </c>
      <c r="P212" s="207">
        <f>IFERROR('A4 - Previsão de Receita Bruta'!O22*VLOOKUP($C212,AliqPorTipo,COLUMN($I175)-1,0),0)</f>
        <v>9117.3000000000011</v>
      </c>
      <c r="Q212" s="207">
        <f>IFERROR('A4 - Previsão de Receita Bruta'!P22*VLOOKUP($C212,AliqPorTipo,COLUMN($I175)-1,0),0)</f>
        <v>9395.1</v>
      </c>
      <c r="R212" s="207">
        <f>IFERROR('A4 - Previsão de Receita Bruta'!Q22*VLOOKUP($C212,AliqPorTipo,COLUMN($I175)-1,0),0)</f>
        <v>9681.3000000000011</v>
      </c>
      <c r="S212" s="207">
        <f>IFERROR('A4 - Previsão de Receita Bruta'!R22*VLOOKUP($C212,AliqPorTipo,COLUMN($I175)-1,0),0)</f>
        <v>9975.3000000000011</v>
      </c>
      <c r="T212" s="207">
        <f>IFERROR('A4 - Previsão de Receita Bruta'!S22*VLOOKUP($C212,AliqPorTipo,COLUMN($I175)-1,0),0)</f>
        <v>10276.800000000001</v>
      </c>
      <c r="U212" s="207">
        <f>IFERROR('A4 - Previsão de Receita Bruta'!T22*VLOOKUP($C212,AliqPorTipo,COLUMN($I175)-1,0),0)</f>
        <v>10584.9</v>
      </c>
      <c r="V212" s="207">
        <f>IFERROR('A4 - Previsão de Receita Bruta'!U22*VLOOKUP($C212,AliqPorTipo,COLUMN($I175)-1,0),0)</f>
        <v>10898.4</v>
      </c>
      <c r="W212" s="207">
        <f>IFERROR('A4 - Previsão de Receita Bruta'!V22*VLOOKUP($C212,AliqPorTipo,COLUMN($I175)-1,0),0)</f>
        <v>11216.1</v>
      </c>
      <c r="X212" s="207">
        <f>IFERROR('A4 - Previsão de Receita Bruta'!W22*VLOOKUP($C212,AliqPorTipo,COLUMN($I175)-1,0),0)</f>
        <v>11216.1</v>
      </c>
      <c r="Y212" s="207">
        <f>IFERROR('A4 - Previsão de Receita Bruta'!X22*VLOOKUP($C212,AliqPorTipo,COLUMN($I175)-1,0),0)</f>
        <v>11216.1</v>
      </c>
      <c r="Z212" s="207">
        <f>IFERROR('A4 - Previsão de Receita Bruta'!Y22*VLOOKUP($C212,AliqPorTipo,COLUMN($I175)-1,0),0)</f>
        <v>11216.1</v>
      </c>
      <c r="AA212" s="207">
        <f>IFERROR('A4 - Previsão de Receita Bruta'!Z22*VLOOKUP($C212,AliqPorTipo,COLUMN($I175)-1,0),0)</f>
        <v>11216.1</v>
      </c>
      <c r="AB212" s="207">
        <f>IFERROR('A4 - Previsão de Receita Bruta'!AA22*VLOOKUP($C212,AliqPorTipo,COLUMN($I175)-1,0),0)</f>
        <v>11216.1</v>
      </c>
      <c r="AC212" s="207">
        <f>IFERROR('A4 - Previsão de Receita Bruta'!AB22*VLOOKUP($C212,AliqPorTipo,COLUMN($I175)-1,0),0)</f>
        <v>11216.1</v>
      </c>
      <c r="AD212" s="207">
        <f>IFERROR('A4 - Previsão de Receita Bruta'!AC22*VLOOKUP($C212,AliqPorTipo,COLUMN($I175)-1,0),0)</f>
        <v>11216.1</v>
      </c>
      <c r="AE212" s="207">
        <f>IFERROR('A4 - Previsão de Receita Bruta'!AD22*VLOOKUP($C212,AliqPorTipo,COLUMN($I175)-1,0),0)</f>
        <v>11216.1</v>
      </c>
      <c r="AF212" s="207">
        <f>IFERROR('A4 - Previsão de Receita Bruta'!AE22*VLOOKUP($C212,AliqPorTipo,COLUMN($I175)-1,0),0)</f>
        <v>11216.1</v>
      </c>
      <c r="AG212" s="207">
        <f>IFERROR('A4 - Previsão de Receita Bruta'!AF22*VLOOKUP($C212,AliqPorTipo,COLUMN($I175)-1,0),0)</f>
        <v>11216.1</v>
      </c>
      <c r="AH212" s="525"/>
      <c r="AI212" s="521"/>
      <c r="AJ212" s="521"/>
    </row>
    <row r="213" spans="1:36" ht="15" customHeight="1">
      <c r="A213" s="521"/>
      <c r="B213" s="205" t="str">
        <f t="shared" si="38"/>
        <v>Mangue Seco - Estacionamento</v>
      </c>
      <c r="C213" s="206" t="str">
        <f t="shared" si="39"/>
        <v>Serviços</v>
      </c>
      <c r="D213" s="207">
        <f>IFERROR('A4 - Previsão de Receita Bruta'!C23*VLOOKUP($C213,AliqPorTipo,COLUMN($I176)-1,0),0)</f>
        <v>0</v>
      </c>
      <c r="E213" s="207">
        <f>IFERROR('A4 - Previsão de Receita Bruta'!D23*VLOOKUP($C213,AliqPorTipo,COLUMN($I176)-1,0),0)</f>
        <v>0</v>
      </c>
      <c r="F213" s="207">
        <f>IFERROR('A4 - Previsão de Receita Bruta'!E23*VLOOKUP($C213,AliqPorTipo,COLUMN($I176)-1,0),0)</f>
        <v>0</v>
      </c>
      <c r="G213" s="207">
        <f>IFERROR('A4 - Previsão de Receita Bruta'!F23*VLOOKUP($C213,AliqPorTipo,COLUMN($I176)-1,0),0)</f>
        <v>0</v>
      </c>
      <c r="H213" s="207">
        <f>IFERROR('A4 - Previsão de Receita Bruta'!G23*VLOOKUP($C213,AliqPorTipo,COLUMN($I176)-1,0),0)</f>
        <v>0</v>
      </c>
      <c r="I213" s="207">
        <f>IFERROR('A4 - Previsão de Receita Bruta'!H23*VLOOKUP($C213,AliqPorTipo,COLUMN($I176)-1,0),0)</f>
        <v>0</v>
      </c>
      <c r="J213" s="207">
        <f>IFERROR('A4 - Previsão de Receita Bruta'!I23*VLOOKUP($C213,AliqPorTipo,COLUMN($I176)-1,0),0)</f>
        <v>0</v>
      </c>
      <c r="K213" s="207">
        <f>IFERROR('A4 - Previsão de Receita Bruta'!J23*VLOOKUP($C213,AliqPorTipo,COLUMN($I176)-1,0),0)</f>
        <v>0</v>
      </c>
      <c r="L213" s="207">
        <f>IFERROR('A4 - Previsão de Receita Bruta'!K23*VLOOKUP($C213,AliqPorTipo,COLUMN($I176)-1,0),0)</f>
        <v>0</v>
      </c>
      <c r="M213" s="207">
        <f>IFERROR('A4 - Previsão de Receita Bruta'!L23*VLOOKUP($C213,AliqPorTipo,COLUMN($I176)-1,0),0)</f>
        <v>0</v>
      </c>
      <c r="N213" s="207">
        <f>IFERROR('A4 - Previsão de Receita Bruta'!M23*VLOOKUP($C213,AliqPorTipo,COLUMN($I176)-1,0),0)</f>
        <v>0</v>
      </c>
      <c r="O213" s="207">
        <f>IFERROR('A4 - Previsão de Receita Bruta'!N23*VLOOKUP($C213,AliqPorTipo,COLUMN($I176)-1,0),0)</f>
        <v>0</v>
      </c>
      <c r="P213" s="207">
        <f>IFERROR('A4 - Previsão de Receita Bruta'!O23*VLOOKUP($C213,AliqPorTipo,COLUMN($I176)-1,0),0)</f>
        <v>0</v>
      </c>
      <c r="Q213" s="207">
        <f>IFERROR('A4 - Previsão de Receita Bruta'!P23*VLOOKUP($C213,AliqPorTipo,COLUMN($I176)-1,0),0)</f>
        <v>0</v>
      </c>
      <c r="R213" s="207">
        <f>IFERROR('A4 - Previsão de Receita Bruta'!Q23*VLOOKUP($C213,AliqPorTipo,COLUMN($I176)-1,0),0)</f>
        <v>0</v>
      </c>
      <c r="S213" s="207">
        <f>IFERROR('A4 - Previsão de Receita Bruta'!R23*VLOOKUP($C213,AliqPorTipo,COLUMN($I176)-1,0),0)</f>
        <v>0</v>
      </c>
      <c r="T213" s="207">
        <f>IFERROR('A4 - Previsão de Receita Bruta'!S23*VLOOKUP($C213,AliqPorTipo,COLUMN($I176)-1,0),0)</f>
        <v>0</v>
      </c>
      <c r="U213" s="207">
        <f>IFERROR('A4 - Previsão de Receita Bruta'!T23*VLOOKUP($C213,AliqPorTipo,COLUMN($I176)-1,0),0)</f>
        <v>0</v>
      </c>
      <c r="V213" s="207">
        <f>IFERROR('A4 - Previsão de Receita Bruta'!U23*VLOOKUP($C213,AliqPorTipo,COLUMN($I176)-1,0),0)</f>
        <v>0</v>
      </c>
      <c r="W213" s="207">
        <f>IFERROR('A4 - Previsão de Receita Bruta'!V23*VLOOKUP($C213,AliqPorTipo,COLUMN($I176)-1,0),0)</f>
        <v>0</v>
      </c>
      <c r="X213" s="207">
        <f>IFERROR('A4 - Previsão de Receita Bruta'!W23*VLOOKUP($C213,AliqPorTipo,COLUMN($I176)-1,0),0)</f>
        <v>0</v>
      </c>
      <c r="Y213" s="207">
        <f>IFERROR('A4 - Previsão de Receita Bruta'!X23*VLOOKUP($C213,AliqPorTipo,COLUMN($I176)-1,0),0)</f>
        <v>0</v>
      </c>
      <c r="Z213" s="207">
        <f>IFERROR('A4 - Previsão de Receita Bruta'!Y23*VLOOKUP($C213,AliqPorTipo,COLUMN($I176)-1,0),0)</f>
        <v>0</v>
      </c>
      <c r="AA213" s="207">
        <f>IFERROR('A4 - Previsão de Receita Bruta'!Z23*VLOOKUP($C213,AliqPorTipo,COLUMN($I176)-1,0),0)</f>
        <v>0</v>
      </c>
      <c r="AB213" s="207">
        <f>IFERROR('A4 - Previsão de Receita Bruta'!AA23*VLOOKUP($C213,AliqPorTipo,COLUMN($I176)-1,0),0)</f>
        <v>0</v>
      </c>
      <c r="AC213" s="207">
        <f>IFERROR('A4 - Previsão de Receita Bruta'!AB23*VLOOKUP($C213,AliqPorTipo,COLUMN($I176)-1,0),0)</f>
        <v>0</v>
      </c>
      <c r="AD213" s="207">
        <f>IFERROR('A4 - Previsão de Receita Bruta'!AC23*VLOOKUP($C213,AliqPorTipo,COLUMN($I176)-1,0),0)</f>
        <v>0</v>
      </c>
      <c r="AE213" s="207">
        <f>IFERROR('A4 - Previsão de Receita Bruta'!AD23*VLOOKUP($C213,AliqPorTipo,COLUMN($I176)-1,0),0)</f>
        <v>0</v>
      </c>
      <c r="AF213" s="207">
        <f>IFERROR('A4 - Previsão de Receita Bruta'!AE23*VLOOKUP($C213,AliqPorTipo,COLUMN($I176)-1,0),0)</f>
        <v>0</v>
      </c>
      <c r="AG213" s="207">
        <f>IFERROR('A4 - Previsão de Receita Bruta'!AF23*VLOOKUP($C213,AliqPorTipo,COLUMN($I176)-1,0),0)</f>
        <v>0</v>
      </c>
      <c r="AH213" s="525"/>
      <c r="AI213" s="521"/>
      <c r="AJ213" s="521"/>
    </row>
    <row r="214" spans="1:36" ht="15" customHeight="1">
      <c r="A214" s="521"/>
      <c r="B214" s="205" t="str">
        <f t="shared" si="38"/>
        <v>Lagoa Grande - Estacionamento</v>
      </c>
      <c r="C214" s="206" t="str">
        <f t="shared" si="39"/>
        <v>Serviços</v>
      </c>
      <c r="D214" s="207">
        <f>IFERROR('A4 - Previsão de Receita Bruta'!C24*VLOOKUP($C214,AliqPorTipo,COLUMN($I177)-1,0),0)</f>
        <v>0</v>
      </c>
      <c r="E214" s="207">
        <f>IFERROR('A4 - Previsão de Receita Bruta'!D24*VLOOKUP($C214,AliqPorTipo,COLUMN($I177)-1,0),0)</f>
        <v>0</v>
      </c>
      <c r="F214" s="207">
        <f>IFERROR('A4 - Previsão de Receita Bruta'!E24*VLOOKUP($C214,AliqPorTipo,COLUMN($I177)-1,0),0)</f>
        <v>0</v>
      </c>
      <c r="G214" s="207">
        <f>IFERROR('A4 - Previsão de Receita Bruta'!F24*VLOOKUP($C214,AliqPorTipo,COLUMN($I177)-1,0),0)</f>
        <v>0</v>
      </c>
      <c r="H214" s="207">
        <f>IFERROR('A4 - Previsão de Receita Bruta'!G24*VLOOKUP($C214,AliqPorTipo,COLUMN($I177)-1,0),0)</f>
        <v>0</v>
      </c>
      <c r="I214" s="207">
        <f>IFERROR('A4 - Previsão de Receita Bruta'!H24*VLOOKUP($C214,AliqPorTipo,COLUMN($I177)-1,0),0)</f>
        <v>0</v>
      </c>
      <c r="J214" s="207">
        <f>IFERROR('A4 - Previsão de Receita Bruta'!I24*VLOOKUP($C214,AliqPorTipo,COLUMN($I177)-1,0),0)</f>
        <v>0</v>
      </c>
      <c r="K214" s="207">
        <f>IFERROR('A4 - Previsão de Receita Bruta'!J24*VLOOKUP($C214,AliqPorTipo,COLUMN($I177)-1,0),0)</f>
        <v>0</v>
      </c>
      <c r="L214" s="207">
        <f>IFERROR('A4 - Previsão de Receita Bruta'!K24*VLOOKUP($C214,AliqPorTipo,COLUMN($I177)-1,0),0)</f>
        <v>0</v>
      </c>
      <c r="M214" s="207">
        <f>IFERROR('A4 - Previsão de Receita Bruta'!L24*VLOOKUP($C214,AliqPorTipo,COLUMN($I177)-1,0),0)</f>
        <v>0</v>
      </c>
      <c r="N214" s="207">
        <f>IFERROR('A4 - Previsão de Receita Bruta'!M24*VLOOKUP($C214,AliqPorTipo,COLUMN($I177)-1,0),0)</f>
        <v>0</v>
      </c>
      <c r="O214" s="207">
        <f>IFERROR('A4 - Previsão de Receita Bruta'!N24*VLOOKUP($C214,AliqPorTipo,COLUMN($I177)-1,0),0)</f>
        <v>0</v>
      </c>
      <c r="P214" s="207">
        <f>IFERROR('A4 - Previsão de Receita Bruta'!O24*VLOOKUP($C214,AliqPorTipo,COLUMN($I177)-1,0),0)</f>
        <v>0</v>
      </c>
      <c r="Q214" s="207">
        <f>IFERROR('A4 - Previsão de Receita Bruta'!P24*VLOOKUP($C214,AliqPorTipo,COLUMN($I177)-1,0),0)</f>
        <v>0</v>
      </c>
      <c r="R214" s="207">
        <f>IFERROR('A4 - Previsão de Receita Bruta'!Q24*VLOOKUP($C214,AliqPorTipo,COLUMN($I177)-1,0),0)</f>
        <v>0</v>
      </c>
      <c r="S214" s="207">
        <f>IFERROR('A4 - Previsão de Receita Bruta'!R24*VLOOKUP($C214,AliqPorTipo,COLUMN($I177)-1,0),0)</f>
        <v>0</v>
      </c>
      <c r="T214" s="207">
        <f>IFERROR('A4 - Previsão de Receita Bruta'!S24*VLOOKUP($C214,AliqPorTipo,COLUMN($I177)-1,0),0)</f>
        <v>0</v>
      </c>
      <c r="U214" s="207">
        <f>IFERROR('A4 - Previsão de Receita Bruta'!T24*VLOOKUP($C214,AliqPorTipo,COLUMN($I177)-1,0),0)</f>
        <v>0</v>
      </c>
      <c r="V214" s="207">
        <f>IFERROR('A4 - Previsão de Receita Bruta'!U24*VLOOKUP($C214,AliqPorTipo,COLUMN($I177)-1,0),0)</f>
        <v>0</v>
      </c>
      <c r="W214" s="207">
        <f>IFERROR('A4 - Previsão de Receita Bruta'!V24*VLOOKUP($C214,AliqPorTipo,COLUMN($I177)-1,0),0)</f>
        <v>0</v>
      </c>
      <c r="X214" s="207">
        <f>IFERROR('A4 - Previsão de Receita Bruta'!W24*VLOOKUP($C214,AliqPorTipo,COLUMN($I177)-1,0),0)</f>
        <v>0</v>
      </c>
      <c r="Y214" s="207">
        <f>IFERROR('A4 - Previsão de Receita Bruta'!X24*VLOOKUP($C214,AliqPorTipo,COLUMN($I177)-1,0),0)</f>
        <v>0</v>
      </c>
      <c r="Z214" s="207">
        <f>IFERROR('A4 - Previsão de Receita Bruta'!Y24*VLOOKUP($C214,AliqPorTipo,COLUMN($I177)-1,0),0)</f>
        <v>0</v>
      </c>
      <c r="AA214" s="207">
        <f>IFERROR('A4 - Previsão de Receita Bruta'!Z24*VLOOKUP($C214,AliqPorTipo,COLUMN($I177)-1,0),0)</f>
        <v>0</v>
      </c>
      <c r="AB214" s="207">
        <f>IFERROR('A4 - Previsão de Receita Bruta'!AA24*VLOOKUP($C214,AliqPorTipo,COLUMN($I177)-1,0),0)</f>
        <v>0</v>
      </c>
      <c r="AC214" s="207">
        <f>IFERROR('A4 - Previsão de Receita Bruta'!AB24*VLOOKUP($C214,AliqPorTipo,COLUMN($I177)-1,0),0)</f>
        <v>0</v>
      </c>
      <c r="AD214" s="207">
        <f>IFERROR('A4 - Previsão de Receita Bruta'!AC24*VLOOKUP($C214,AliqPorTipo,COLUMN($I177)-1,0),0)</f>
        <v>0</v>
      </c>
      <c r="AE214" s="207">
        <f>IFERROR('A4 - Previsão de Receita Bruta'!AD24*VLOOKUP($C214,AliqPorTipo,COLUMN($I177)-1,0),0)</f>
        <v>0</v>
      </c>
      <c r="AF214" s="207">
        <f>IFERROR('A4 - Previsão de Receita Bruta'!AE24*VLOOKUP($C214,AliqPorTipo,COLUMN($I177)-1,0),0)</f>
        <v>0</v>
      </c>
      <c r="AG214" s="207">
        <f>IFERROR('A4 - Previsão de Receita Bruta'!AF24*VLOOKUP($C214,AliqPorTipo,COLUMN($I177)-1,0),0)</f>
        <v>0</v>
      </c>
      <c r="AH214" s="525"/>
      <c r="AI214" s="521"/>
      <c r="AJ214" s="521"/>
    </row>
    <row r="215" spans="1:36" ht="15" customHeight="1">
      <c r="A215" s="521"/>
      <c r="B215" s="205">
        <f t="shared" si="38"/>
        <v>0</v>
      </c>
      <c r="C215" s="206">
        <f t="shared" si="39"/>
        <v>0</v>
      </c>
      <c r="D215" s="207">
        <f>IFERROR('A4 - Previsão de Receita Bruta'!C25*VLOOKUP($C215,AliqPorTipo,COLUMN($I178)-1,0),0)</f>
        <v>0</v>
      </c>
      <c r="E215" s="207">
        <f>IFERROR('A4 - Previsão de Receita Bruta'!D25*VLOOKUP($C215,AliqPorTipo,COLUMN($I178)-1,0),0)</f>
        <v>0</v>
      </c>
      <c r="F215" s="207">
        <f>IFERROR('A4 - Previsão de Receita Bruta'!E25*VLOOKUP($C215,AliqPorTipo,COLUMN($I178)-1,0),0)</f>
        <v>0</v>
      </c>
      <c r="G215" s="207">
        <f>IFERROR('A4 - Previsão de Receita Bruta'!F25*VLOOKUP($C215,AliqPorTipo,COLUMN($I178)-1,0),0)</f>
        <v>0</v>
      </c>
      <c r="H215" s="207">
        <f>IFERROR('A4 - Previsão de Receita Bruta'!G25*VLOOKUP($C215,AliqPorTipo,COLUMN($I178)-1,0),0)</f>
        <v>0</v>
      </c>
      <c r="I215" s="207">
        <f>IFERROR('A4 - Previsão de Receita Bruta'!H25*VLOOKUP($C215,AliqPorTipo,COLUMN($I178)-1,0),0)</f>
        <v>0</v>
      </c>
      <c r="J215" s="207">
        <f>IFERROR('A4 - Previsão de Receita Bruta'!I25*VLOOKUP($C215,AliqPorTipo,COLUMN($I178)-1,0),0)</f>
        <v>0</v>
      </c>
      <c r="K215" s="207">
        <f>IFERROR('A4 - Previsão de Receita Bruta'!J25*VLOOKUP($C215,AliqPorTipo,COLUMN($I178)-1,0),0)</f>
        <v>0</v>
      </c>
      <c r="L215" s="207">
        <f>IFERROR('A4 - Previsão de Receita Bruta'!K25*VLOOKUP($C215,AliqPorTipo,COLUMN($I178)-1,0),0)</f>
        <v>0</v>
      </c>
      <c r="M215" s="207">
        <f>IFERROR('A4 - Previsão de Receita Bruta'!L25*VLOOKUP($C215,AliqPorTipo,COLUMN($I178)-1,0),0)</f>
        <v>0</v>
      </c>
      <c r="N215" s="207">
        <f>IFERROR('A4 - Previsão de Receita Bruta'!M25*VLOOKUP($C215,AliqPorTipo,COLUMN($I178)-1,0),0)</f>
        <v>0</v>
      </c>
      <c r="O215" s="207">
        <f>IFERROR('A4 - Previsão de Receita Bruta'!N25*VLOOKUP($C215,AliqPorTipo,COLUMN($I178)-1,0),0)</f>
        <v>0</v>
      </c>
      <c r="P215" s="207">
        <f>IFERROR('A4 - Previsão de Receita Bruta'!O25*VLOOKUP($C215,AliqPorTipo,COLUMN($I178)-1,0),0)</f>
        <v>0</v>
      </c>
      <c r="Q215" s="207">
        <f>IFERROR('A4 - Previsão de Receita Bruta'!P25*VLOOKUP($C215,AliqPorTipo,COLUMN($I178)-1,0),0)</f>
        <v>0</v>
      </c>
      <c r="R215" s="207">
        <f>IFERROR('A4 - Previsão de Receita Bruta'!Q25*VLOOKUP($C215,AliqPorTipo,COLUMN($I178)-1,0),0)</f>
        <v>0</v>
      </c>
      <c r="S215" s="207">
        <f>IFERROR('A4 - Previsão de Receita Bruta'!R25*VLOOKUP($C215,AliqPorTipo,COLUMN($I178)-1,0),0)</f>
        <v>0</v>
      </c>
      <c r="T215" s="207">
        <f>IFERROR('A4 - Previsão de Receita Bruta'!S25*VLOOKUP($C215,AliqPorTipo,COLUMN($I178)-1,0),0)</f>
        <v>0</v>
      </c>
      <c r="U215" s="207">
        <f>IFERROR('A4 - Previsão de Receita Bruta'!T25*VLOOKUP($C215,AliqPorTipo,COLUMN($I178)-1,0),0)</f>
        <v>0</v>
      </c>
      <c r="V215" s="207">
        <f>IFERROR('A4 - Previsão de Receita Bruta'!U25*VLOOKUP($C215,AliqPorTipo,COLUMN($I178)-1,0),0)</f>
        <v>0</v>
      </c>
      <c r="W215" s="207">
        <f>IFERROR('A4 - Previsão de Receita Bruta'!V25*VLOOKUP($C215,AliqPorTipo,COLUMN($I178)-1,0),0)</f>
        <v>0</v>
      </c>
      <c r="X215" s="207">
        <f>IFERROR('A4 - Previsão de Receita Bruta'!W25*VLOOKUP($C215,AliqPorTipo,COLUMN($I178)-1,0),0)</f>
        <v>0</v>
      </c>
      <c r="Y215" s="207">
        <f>IFERROR('A4 - Previsão de Receita Bruta'!X25*VLOOKUP($C215,AliqPorTipo,COLUMN($I178)-1,0),0)</f>
        <v>0</v>
      </c>
      <c r="Z215" s="207">
        <f>IFERROR('A4 - Previsão de Receita Bruta'!Y25*VLOOKUP($C215,AliqPorTipo,COLUMN($I178)-1,0),0)</f>
        <v>0</v>
      </c>
      <c r="AA215" s="207">
        <f>IFERROR('A4 - Previsão de Receita Bruta'!Z25*VLOOKUP($C215,AliqPorTipo,COLUMN($I178)-1,0),0)</f>
        <v>0</v>
      </c>
      <c r="AB215" s="207">
        <f>IFERROR('A4 - Previsão de Receita Bruta'!AA25*VLOOKUP($C215,AliqPorTipo,COLUMN($I178)-1,0),0)</f>
        <v>0</v>
      </c>
      <c r="AC215" s="207">
        <f>IFERROR('A4 - Previsão de Receita Bruta'!AB25*VLOOKUP($C215,AliqPorTipo,COLUMN($I178)-1,0),0)</f>
        <v>0</v>
      </c>
      <c r="AD215" s="207">
        <f>IFERROR('A4 - Previsão de Receita Bruta'!AC25*VLOOKUP($C215,AliqPorTipo,COLUMN($I178)-1,0),0)</f>
        <v>0</v>
      </c>
      <c r="AE215" s="207">
        <f>IFERROR('A4 - Previsão de Receita Bruta'!AD25*VLOOKUP($C215,AliqPorTipo,COLUMN($I178)-1,0),0)</f>
        <v>0</v>
      </c>
      <c r="AF215" s="207">
        <f>IFERROR('A4 - Previsão de Receita Bruta'!AE25*VLOOKUP($C215,AliqPorTipo,COLUMN($I178)-1,0),0)</f>
        <v>0</v>
      </c>
      <c r="AG215" s="207">
        <f>IFERROR('A4 - Previsão de Receita Bruta'!AF25*VLOOKUP($C215,AliqPorTipo,COLUMN($I178)-1,0),0)</f>
        <v>0</v>
      </c>
      <c r="AH215" s="525"/>
      <c r="AI215" s="521"/>
      <c r="AJ215" s="521"/>
    </row>
    <row r="216" spans="1:36" ht="15" customHeight="1">
      <c r="A216" s="521"/>
      <c r="B216" s="205">
        <f t="shared" si="38"/>
        <v>0</v>
      </c>
      <c r="C216" s="206">
        <f t="shared" si="39"/>
        <v>0</v>
      </c>
      <c r="D216" s="207">
        <f>IFERROR('A4 - Previsão de Receita Bruta'!C26*VLOOKUP($C216,AliqPorTipo,COLUMN($I179)-1,0),0)</f>
        <v>0</v>
      </c>
      <c r="E216" s="207">
        <f>IFERROR('A4 - Previsão de Receita Bruta'!D26*VLOOKUP($C216,AliqPorTipo,COLUMN($I179)-1,0),0)</f>
        <v>0</v>
      </c>
      <c r="F216" s="207">
        <f>IFERROR('A4 - Previsão de Receita Bruta'!E26*VLOOKUP($C216,AliqPorTipo,COLUMN($I179)-1,0),0)</f>
        <v>0</v>
      </c>
      <c r="G216" s="207">
        <f>IFERROR('A4 - Previsão de Receita Bruta'!F26*VLOOKUP($C216,AliqPorTipo,COLUMN($I179)-1,0),0)</f>
        <v>0</v>
      </c>
      <c r="H216" s="207">
        <f>IFERROR('A4 - Previsão de Receita Bruta'!G26*VLOOKUP($C216,AliqPorTipo,COLUMN($I179)-1,0),0)</f>
        <v>0</v>
      </c>
      <c r="I216" s="207">
        <f>IFERROR('A4 - Previsão de Receita Bruta'!H26*VLOOKUP($C216,AliqPorTipo,COLUMN($I179)-1,0),0)</f>
        <v>0</v>
      </c>
      <c r="J216" s="207">
        <f>IFERROR('A4 - Previsão de Receita Bruta'!I26*VLOOKUP($C216,AliqPorTipo,COLUMN($I179)-1,0),0)</f>
        <v>0</v>
      </c>
      <c r="K216" s="207">
        <f>IFERROR('A4 - Previsão de Receita Bruta'!J26*VLOOKUP($C216,AliqPorTipo,COLUMN($I179)-1,0),0)</f>
        <v>0</v>
      </c>
      <c r="L216" s="207">
        <f>IFERROR('A4 - Previsão de Receita Bruta'!K26*VLOOKUP($C216,AliqPorTipo,COLUMN($I179)-1,0),0)</f>
        <v>0</v>
      </c>
      <c r="M216" s="207">
        <f>IFERROR('A4 - Previsão de Receita Bruta'!L26*VLOOKUP($C216,AliqPorTipo,COLUMN($I179)-1,0),0)</f>
        <v>0</v>
      </c>
      <c r="N216" s="207">
        <f>IFERROR('A4 - Previsão de Receita Bruta'!M26*VLOOKUP($C216,AliqPorTipo,COLUMN($I179)-1,0),0)</f>
        <v>0</v>
      </c>
      <c r="O216" s="207">
        <f>IFERROR('A4 - Previsão de Receita Bruta'!N26*VLOOKUP($C216,AliqPorTipo,COLUMN($I179)-1,0),0)</f>
        <v>0</v>
      </c>
      <c r="P216" s="207">
        <f>IFERROR('A4 - Previsão de Receita Bruta'!O26*VLOOKUP($C216,AliqPorTipo,COLUMN($I179)-1,0),0)</f>
        <v>0</v>
      </c>
      <c r="Q216" s="207">
        <f>IFERROR('A4 - Previsão de Receita Bruta'!P26*VLOOKUP($C216,AliqPorTipo,COLUMN($I179)-1,0),0)</f>
        <v>0</v>
      </c>
      <c r="R216" s="207">
        <f>IFERROR('A4 - Previsão de Receita Bruta'!Q26*VLOOKUP($C216,AliqPorTipo,COLUMN($I179)-1,0),0)</f>
        <v>0</v>
      </c>
      <c r="S216" s="207">
        <f>IFERROR('A4 - Previsão de Receita Bruta'!R26*VLOOKUP($C216,AliqPorTipo,COLUMN($I179)-1,0),0)</f>
        <v>0</v>
      </c>
      <c r="T216" s="207">
        <f>IFERROR('A4 - Previsão de Receita Bruta'!S26*VLOOKUP($C216,AliqPorTipo,COLUMN($I179)-1,0),0)</f>
        <v>0</v>
      </c>
      <c r="U216" s="207">
        <f>IFERROR('A4 - Previsão de Receita Bruta'!T26*VLOOKUP($C216,AliqPorTipo,COLUMN($I179)-1,0),0)</f>
        <v>0</v>
      </c>
      <c r="V216" s="207">
        <f>IFERROR('A4 - Previsão de Receita Bruta'!U26*VLOOKUP($C216,AliqPorTipo,COLUMN($I179)-1,0),0)</f>
        <v>0</v>
      </c>
      <c r="W216" s="207">
        <f>IFERROR('A4 - Previsão de Receita Bruta'!V26*VLOOKUP($C216,AliqPorTipo,COLUMN($I179)-1,0),0)</f>
        <v>0</v>
      </c>
      <c r="X216" s="207">
        <f>IFERROR('A4 - Previsão de Receita Bruta'!W26*VLOOKUP($C216,AliqPorTipo,COLUMN($I179)-1,0),0)</f>
        <v>0</v>
      </c>
      <c r="Y216" s="207">
        <f>IFERROR('A4 - Previsão de Receita Bruta'!X26*VLOOKUP($C216,AliqPorTipo,COLUMN($I179)-1,0),0)</f>
        <v>0</v>
      </c>
      <c r="Z216" s="207">
        <f>IFERROR('A4 - Previsão de Receita Bruta'!Y26*VLOOKUP($C216,AliqPorTipo,COLUMN($I179)-1,0),0)</f>
        <v>0</v>
      </c>
      <c r="AA216" s="207">
        <f>IFERROR('A4 - Previsão de Receita Bruta'!Z26*VLOOKUP($C216,AliqPorTipo,COLUMN($I179)-1,0),0)</f>
        <v>0</v>
      </c>
      <c r="AB216" s="207">
        <f>IFERROR('A4 - Previsão de Receita Bruta'!AA26*VLOOKUP($C216,AliqPorTipo,COLUMN($I179)-1,0),0)</f>
        <v>0</v>
      </c>
      <c r="AC216" s="207">
        <f>IFERROR('A4 - Previsão de Receita Bruta'!AB26*VLOOKUP($C216,AliqPorTipo,COLUMN($I179)-1,0),0)</f>
        <v>0</v>
      </c>
      <c r="AD216" s="207">
        <f>IFERROR('A4 - Previsão de Receita Bruta'!AC26*VLOOKUP($C216,AliqPorTipo,COLUMN($I179)-1,0),0)</f>
        <v>0</v>
      </c>
      <c r="AE216" s="207">
        <f>IFERROR('A4 - Previsão de Receita Bruta'!AD26*VLOOKUP($C216,AliqPorTipo,COLUMN($I179)-1,0),0)</f>
        <v>0</v>
      </c>
      <c r="AF216" s="207">
        <f>IFERROR('A4 - Previsão de Receita Bruta'!AE26*VLOOKUP($C216,AliqPorTipo,COLUMN($I179)-1,0),0)</f>
        <v>0</v>
      </c>
      <c r="AG216" s="207">
        <f>IFERROR('A4 - Previsão de Receita Bruta'!AF26*VLOOKUP($C216,AliqPorTipo,COLUMN($I179)-1,0),0)</f>
        <v>0</v>
      </c>
      <c r="AH216" s="525"/>
      <c r="AI216" s="521"/>
      <c r="AJ216" s="521"/>
    </row>
    <row r="217" spans="1:36" ht="15" customHeight="1">
      <c r="A217" s="521"/>
      <c r="B217" s="222" t="s">
        <v>527</v>
      </c>
      <c r="C217" s="222"/>
      <c r="D217" s="224">
        <f t="shared" ref="D217:AG217" si="40">SUM(D197:D216)</f>
        <v>677723.76</v>
      </c>
      <c r="E217" s="224">
        <f t="shared" si="40"/>
        <v>1603278.0840000005</v>
      </c>
      <c r="F217" s="224">
        <f t="shared" si="40"/>
        <v>1658580.6359999999</v>
      </c>
      <c r="G217" s="224">
        <f t="shared" si="40"/>
        <v>1712144.064</v>
      </c>
      <c r="H217" s="224">
        <f t="shared" si="40"/>
        <v>1766559.3000000003</v>
      </c>
      <c r="I217" s="224">
        <f t="shared" si="40"/>
        <v>1821926.6640000003</v>
      </c>
      <c r="J217" s="224">
        <f t="shared" si="40"/>
        <v>1878857.4480000001</v>
      </c>
      <c r="K217" s="224">
        <f t="shared" si="40"/>
        <v>1937447.9640000006</v>
      </c>
      <c r="L217" s="224">
        <f t="shared" si="40"/>
        <v>1997105.6879999996</v>
      </c>
      <c r="M217" s="224">
        <f t="shared" si="40"/>
        <v>2057876.676</v>
      </c>
      <c r="N217" s="224">
        <f t="shared" si="40"/>
        <v>2120546.5440000002</v>
      </c>
      <c r="O217" s="224">
        <f t="shared" si="40"/>
        <v>2185097.2320000008</v>
      </c>
      <c r="P217" s="224">
        <f t="shared" si="40"/>
        <v>2251705.1399999997</v>
      </c>
      <c r="Q217" s="224">
        <f t="shared" si="40"/>
        <v>2320326.2999999998</v>
      </c>
      <c r="R217" s="224">
        <f t="shared" si="40"/>
        <v>2391010.067999999</v>
      </c>
      <c r="S217" s="224">
        <f t="shared" si="40"/>
        <v>2463630.9960000017</v>
      </c>
      <c r="T217" s="224">
        <f t="shared" si="40"/>
        <v>2538101.2320000017</v>
      </c>
      <c r="U217" s="224">
        <f t="shared" si="40"/>
        <v>2614161.0120000006</v>
      </c>
      <c r="V217" s="224">
        <f t="shared" si="40"/>
        <v>2691609.7919999999</v>
      </c>
      <c r="W217" s="224">
        <f t="shared" si="40"/>
        <v>2770088.6760000009</v>
      </c>
      <c r="X217" s="224">
        <f t="shared" si="40"/>
        <v>2770088.6760000009</v>
      </c>
      <c r="Y217" s="224">
        <f t="shared" si="40"/>
        <v>2770088.6760000009</v>
      </c>
      <c r="Z217" s="224">
        <f t="shared" si="40"/>
        <v>2770088.6760000009</v>
      </c>
      <c r="AA217" s="224">
        <f t="shared" si="40"/>
        <v>2770088.6760000009</v>
      </c>
      <c r="AB217" s="224">
        <f t="shared" si="40"/>
        <v>2770088.6760000009</v>
      </c>
      <c r="AC217" s="224">
        <f t="shared" si="40"/>
        <v>2770088.6760000009</v>
      </c>
      <c r="AD217" s="224">
        <f t="shared" si="40"/>
        <v>2770088.6760000009</v>
      </c>
      <c r="AE217" s="224">
        <f t="shared" si="40"/>
        <v>2770088.6760000009</v>
      </c>
      <c r="AF217" s="224">
        <f t="shared" si="40"/>
        <v>2770088.6760000009</v>
      </c>
      <c r="AG217" s="224">
        <f t="shared" si="40"/>
        <v>2770088.6760000009</v>
      </c>
      <c r="AH217" s="525"/>
      <c r="AI217" s="521"/>
      <c r="AJ217" s="521"/>
    </row>
    <row r="218" spans="1:36" ht="22.5" customHeight="1">
      <c r="A218" s="521"/>
      <c r="B218" s="668" t="s">
        <v>578</v>
      </c>
      <c r="C218" s="636">
        <f>'E2 - Tributos'!airpj</f>
        <v>0.1</v>
      </c>
      <c r="D218" s="669">
        <f>IF(D217/'E2 - Tributos'!irpj&lt;=AdicionalIRPJ,0,(D217/'E2 - Tributos'!irpj-AdicionalIRPJ)*'E2 - Tributos'!airpj)</f>
        <v>427815.84000000008</v>
      </c>
      <c r="E218" s="669">
        <f>IF(E217/'E2 - Tributos'!irpj&lt;=AdicionalIRPJ,0,(E217/'E2 - Tributos'!irpj-AdicionalIRPJ)*'E2 - Tributos'!airpj)</f>
        <v>1044852.0560000004</v>
      </c>
      <c r="F218" s="669">
        <f>IF(F217/'E2 - Tributos'!irpj&lt;=AdicionalIRPJ,0,(F217/'E2 - Tributos'!irpj-AdicionalIRPJ)*'E2 - Tributos'!airpj)</f>
        <v>1081720.4240000001</v>
      </c>
      <c r="G218" s="669">
        <f>IF(G217/'E2 - Tributos'!irpj&lt;=AdicionalIRPJ,0,(G217/'E2 - Tributos'!irpj-AdicionalIRPJ)*'E2 - Tributos'!airpj)</f>
        <v>1117429.3759999999</v>
      </c>
      <c r="H218" s="669">
        <f>IF(H217/'E2 - Tributos'!irpj&lt;=AdicionalIRPJ,0,(H217/'E2 - Tributos'!irpj-AdicionalIRPJ)*'E2 - Tributos'!airpj)</f>
        <v>1153706.2000000002</v>
      </c>
      <c r="I218" s="669">
        <f>IF(I217/'E2 - Tributos'!irpj&lt;=AdicionalIRPJ,0,(I217/'E2 - Tributos'!irpj-AdicionalIRPJ)*'E2 - Tributos'!airpj)</f>
        <v>1190617.7760000003</v>
      </c>
      <c r="J218" s="669">
        <f>IF(J217/'E2 - Tributos'!irpj&lt;=AdicionalIRPJ,0,(J217/'E2 - Tributos'!irpj-AdicionalIRPJ)*'E2 - Tributos'!airpj)</f>
        <v>1228571.632</v>
      </c>
      <c r="K218" s="669">
        <f>IF(K217/'E2 - Tributos'!irpj&lt;=AdicionalIRPJ,0,(K217/'E2 - Tributos'!irpj-AdicionalIRPJ)*'E2 - Tributos'!airpj)</f>
        <v>1267631.9760000007</v>
      </c>
      <c r="L218" s="669">
        <f>IF(L217/'E2 - Tributos'!irpj&lt;=AdicionalIRPJ,0,(L217/'E2 - Tributos'!irpj-AdicionalIRPJ)*'E2 - Tributos'!airpj)</f>
        <v>1307403.7919999999</v>
      </c>
      <c r="M218" s="669">
        <f>IF(M217/'E2 - Tributos'!irpj&lt;=AdicionalIRPJ,0,(M217/'E2 - Tributos'!irpj-AdicionalIRPJ)*'E2 - Tributos'!airpj)</f>
        <v>1347917.784</v>
      </c>
      <c r="N218" s="669">
        <f>IF(N217/'E2 - Tributos'!irpj&lt;=AdicionalIRPJ,0,(N217/'E2 - Tributos'!irpj-AdicionalIRPJ)*'E2 - Tributos'!airpj)</f>
        <v>1389697.6960000005</v>
      </c>
      <c r="O218" s="669">
        <f>IF(O217/'E2 - Tributos'!irpj&lt;=AdicionalIRPJ,0,(O217/'E2 - Tributos'!irpj-AdicionalIRPJ)*'E2 - Tributos'!airpj)</f>
        <v>1432731.4880000008</v>
      </c>
      <c r="P218" s="669">
        <f>IF(P217/'E2 - Tributos'!irpj&lt;=AdicionalIRPJ,0,(P217/'E2 - Tributos'!irpj-AdicionalIRPJ)*'E2 - Tributos'!airpj)</f>
        <v>1477136.7599999998</v>
      </c>
      <c r="Q218" s="669">
        <f>IF(Q217/'E2 - Tributos'!irpj&lt;=AdicionalIRPJ,0,(Q217/'E2 - Tributos'!irpj-AdicionalIRPJ)*'E2 - Tributos'!airpj)</f>
        <v>1522884.2000000002</v>
      </c>
      <c r="R218" s="669">
        <f>IF(R217/'E2 - Tributos'!irpj&lt;=AdicionalIRPJ,0,(R217/'E2 - Tributos'!irpj-AdicionalIRPJ)*'E2 - Tributos'!airpj)</f>
        <v>1570006.7119999994</v>
      </c>
      <c r="S218" s="669">
        <f>IF(S217/'E2 - Tributos'!irpj&lt;=AdicionalIRPJ,0,(S217/'E2 - Tributos'!irpj-AdicionalIRPJ)*'E2 - Tributos'!airpj)</f>
        <v>1618420.6640000013</v>
      </c>
      <c r="T218" s="669">
        <f>IF(T217/'E2 - Tributos'!irpj&lt;=AdicionalIRPJ,0,(T217/'E2 - Tributos'!irpj-AdicionalIRPJ)*'E2 - Tributos'!airpj)</f>
        <v>1668067.4880000015</v>
      </c>
      <c r="U218" s="669">
        <f>IF(U217/'E2 - Tributos'!irpj&lt;=AdicionalIRPJ,0,(U217/'E2 - Tributos'!irpj-AdicionalIRPJ)*'E2 - Tributos'!airpj)</f>
        <v>1718774.0080000006</v>
      </c>
      <c r="V218" s="669">
        <f>IF(V217/'E2 - Tributos'!irpj&lt;=AdicionalIRPJ,0,(V217/'E2 - Tributos'!irpj-AdicionalIRPJ)*'E2 - Tributos'!airpj)</f>
        <v>1770406.5280000002</v>
      </c>
      <c r="W218" s="669">
        <f>IF(W217/'E2 - Tributos'!irpj&lt;=AdicionalIRPJ,0,(W217/'E2 - Tributos'!irpj-AdicionalIRPJ)*'E2 - Tributos'!airpj)</f>
        <v>1822725.7840000009</v>
      </c>
      <c r="X218" s="669">
        <f>IF(X217/'E2 - Tributos'!irpj&lt;=AdicionalIRPJ,0,(X217/'E2 - Tributos'!irpj-AdicionalIRPJ)*'E2 - Tributos'!airpj)</f>
        <v>1822725.7840000009</v>
      </c>
      <c r="Y218" s="669">
        <f>IF(Y217/'E2 - Tributos'!irpj&lt;=AdicionalIRPJ,0,(Y217/'E2 - Tributos'!irpj-AdicionalIRPJ)*'E2 - Tributos'!airpj)</f>
        <v>1822725.7840000009</v>
      </c>
      <c r="Z218" s="669">
        <f>IF(Z217/'E2 - Tributos'!irpj&lt;=AdicionalIRPJ,0,(Z217/'E2 - Tributos'!irpj-AdicionalIRPJ)*'E2 - Tributos'!airpj)</f>
        <v>1822725.7840000009</v>
      </c>
      <c r="AA218" s="669">
        <f>IF(AA217/'E2 - Tributos'!irpj&lt;=AdicionalIRPJ,0,(AA217/'E2 - Tributos'!irpj-AdicionalIRPJ)*'E2 - Tributos'!airpj)</f>
        <v>1822725.7840000009</v>
      </c>
      <c r="AB218" s="669">
        <f>IF(AB217/'E2 - Tributos'!irpj&lt;=AdicionalIRPJ,0,(AB217/'E2 - Tributos'!irpj-AdicionalIRPJ)*'E2 - Tributos'!airpj)</f>
        <v>1822725.7840000009</v>
      </c>
      <c r="AC218" s="669">
        <f>IF(AC217/'E2 - Tributos'!irpj&lt;=AdicionalIRPJ,0,(AC217/'E2 - Tributos'!irpj-AdicionalIRPJ)*'E2 - Tributos'!airpj)</f>
        <v>1822725.7840000009</v>
      </c>
      <c r="AD218" s="669">
        <f>IF(AD217/'E2 - Tributos'!irpj&lt;=AdicionalIRPJ,0,(AD217/'E2 - Tributos'!irpj-AdicionalIRPJ)*'E2 - Tributos'!airpj)</f>
        <v>1822725.7840000009</v>
      </c>
      <c r="AE218" s="669">
        <f>IF(AE217/'E2 - Tributos'!irpj&lt;=AdicionalIRPJ,0,(AE217/'E2 - Tributos'!irpj-AdicionalIRPJ)*'E2 - Tributos'!airpj)</f>
        <v>1822725.7840000009</v>
      </c>
      <c r="AF218" s="669">
        <f>IF(AF217/'E2 - Tributos'!irpj&lt;=AdicionalIRPJ,0,(AF217/'E2 - Tributos'!irpj-AdicionalIRPJ)*'E2 - Tributos'!airpj)</f>
        <v>1822725.7840000009</v>
      </c>
      <c r="AG218" s="669">
        <f>IF(AG217/'E2 - Tributos'!irpj&lt;=AdicionalIRPJ,0,(AG217/'E2 - Tributos'!irpj-AdicionalIRPJ)*'E2 - Tributos'!airpj)</f>
        <v>1822725.7840000009</v>
      </c>
      <c r="AH218" s="525"/>
      <c r="AI218" s="521"/>
      <c r="AJ218" s="521"/>
    </row>
    <row r="219" spans="1:36" ht="21.75" customHeight="1">
      <c r="A219" s="505"/>
      <c r="B219" s="783" t="s">
        <v>579</v>
      </c>
      <c r="C219" s="817"/>
      <c r="D219" s="670">
        <f t="shared" ref="D219:AG219" si="41">SUM(D217:D218)</f>
        <v>1105539.6000000001</v>
      </c>
      <c r="E219" s="670">
        <f t="shared" si="41"/>
        <v>2648130.1400000011</v>
      </c>
      <c r="F219" s="670">
        <f t="shared" si="41"/>
        <v>2740301.06</v>
      </c>
      <c r="G219" s="670">
        <f t="shared" si="41"/>
        <v>2829573.44</v>
      </c>
      <c r="H219" s="670">
        <f t="shared" si="41"/>
        <v>2920265.5000000005</v>
      </c>
      <c r="I219" s="670">
        <f t="shared" si="41"/>
        <v>3012544.4400000004</v>
      </c>
      <c r="J219" s="670">
        <f t="shared" si="41"/>
        <v>3107429.08</v>
      </c>
      <c r="K219" s="670">
        <f t="shared" si="41"/>
        <v>3205079.9400000013</v>
      </c>
      <c r="L219" s="670">
        <f t="shared" si="41"/>
        <v>3304509.4799999995</v>
      </c>
      <c r="M219" s="670">
        <f t="shared" si="41"/>
        <v>3405794.46</v>
      </c>
      <c r="N219" s="670">
        <f t="shared" si="41"/>
        <v>3510244.2400000007</v>
      </c>
      <c r="O219" s="670">
        <f t="shared" si="41"/>
        <v>3617828.7200000016</v>
      </c>
      <c r="P219" s="670">
        <f t="shared" si="41"/>
        <v>3728841.8999999994</v>
      </c>
      <c r="Q219" s="670">
        <f t="shared" si="41"/>
        <v>3843210.5</v>
      </c>
      <c r="R219" s="670">
        <f t="shared" si="41"/>
        <v>3961016.7799999984</v>
      </c>
      <c r="S219" s="670">
        <f t="shared" si="41"/>
        <v>4082051.6600000029</v>
      </c>
      <c r="T219" s="670">
        <f t="shared" si="41"/>
        <v>4206168.7200000035</v>
      </c>
      <c r="U219" s="670">
        <f t="shared" si="41"/>
        <v>4332935.0200000014</v>
      </c>
      <c r="V219" s="670">
        <f t="shared" si="41"/>
        <v>4462016.32</v>
      </c>
      <c r="W219" s="670">
        <f t="shared" si="41"/>
        <v>4592814.4600000018</v>
      </c>
      <c r="X219" s="670">
        <f t="shared" si="41"/>
        <v>4592814.4600000018</v>
      </c>
      <c r="Y219" s="670">
        <f t="shared" si="41"/>
        <v>4592814.4600000018</v>
      </c>
      <c r="Z219" s="670">
        <f t="shared" si="41"/>
        <v>4592814.4600000018</v>
      </c>
      <c r="AA219" s="670">
        <f t="shared" si="41"/>
        <v>4592814.4600000018</v>
      </c>
      <c r="AB219" s="670">
        <f t="shared" si="41"/>
        <v>4592814.4600000018</v>
      </c>
      <c r="AC219" s="670">
        <f t="shared" si="41"/>
        <v>4592814.4600000018</v>
      </c>
      <c r="AD219" s="670">
        <f t="shared" si="41"/>
        <v>4592814.4600000018</v>
      </c>
      <c r="AE219" s="670">
        <f t="shared" si="41"/>
        <v>4592814.4600000018</v>
      </c>
      <c r="AF219" s="670">
        <f t="shared" si="41"/>
        <v>4592814.4600000018</v>
      </c>
      <c r="AG219" s="670">
        <f t="shared" si="41"/>
        <v>4592814.4600000018</v>
      </c>
      <c r="AH219" s="525"/>
      <c r="AI219" s="505"/>
      <c r="AJ219" s="505"/>
    </row>
    <row r="220" spans="1:36" ht="15" customHeight="1">
      <c r="A220" s="521"/>
      <c r="B220" s="658"/>
      <c r="C220" s="522"/>
      <c r="D220" s="662"/>
      <c r="E220" s="522"/>
      <c r="F220" s="522"/>
      <c r="G220" s="522"/>
      <c r="H220" s="522"/>
      <c r="I220" s="522"/>
      <c r="J220" s="522"/>
      <c r="K220" s="522"/>
      <c r="L220" s="522"/>
      <c r="M220" s="522"/>
      <c r="N220" s="522"/>
      <c r="O220" s="522"/>
      <c r="P220" s="522"/>
      <c r="Q220" s="522"/>
      <c r="R220" s="522"/>
      <c r="S220" s="522"/>
      <c r="T220" s="522"/>
      <c r="U220" s="522"/>
      <c r="V220" s="522"/>
      <c r="W220" s="522"/>
      <c r="X220" s="522"/>
      <c r="Y220" s="522"/>
      <c r="Z220" s="522"/>
      <c r="AA220" s="522"/>
      <c r="AB220" s="522"/>
      <c r="AC220" s="522"/>
      <c r="AD220" s="522"/>
      <c r="AE220" s="522"/>
      <c r="AF220" s="522"/>
      <c r="AG220" s="522"/>
      <c r="AH220" s="525"/>
      <c r="AI220" s="521"/>
      <c r="AJ220" s="521"/>
    </row>
    <row r="221" spans="1:36" ht="15" customHeight="1">
      <c r="A221" s="521"/>
      <c r="B221" s="659" t="s">
        <v>580</v>
      </c>
      <c r="C221" s="525"/>
      <c r="D221" s="525"/>
      <c r="E221" s="525"/>
      <c r="F221" s="525"/>
      <c r="G221" s="525"/>
      <c r="H221" s="525"/>
      <c r="I221" s="525"/>
      <c r="J221" s="525"/>
      <c r="K221" s="525"/>
      <c r="L221" s="525"/>
      <c r="M221" s="525"/>
      <c r="N221" s="525"/>
      <c r="O221" s="525"/>
      <c r="P221" s="525"/>
      <c r="Q221" s="525"/>
      <c r="R221" s="525"/>
      <c r="S221" s="525"/>
      <c r="T221" s="525"/>
      <c r="U221" s="525"/>
      <c r="V221" s="525"/>
      <c r="W221" s="525"/>
      <c r="X221" s="525"/>
      <c r="Y221" s="525"/>
      <c r="Z221" s="525"/>
      <c r="AA221" s="525"/>
      <c r="AB221" s="525"/>
      <c r="AC221" s="525"/>
      <c r="AD221" s="525"/>
      <c r="AE221" s="525"/>
      <c r="AF221" s="525"/>
      <c r="AG221" s="525"/>
      <c r="AH221" s="525"/>
      <c r="AI221" s="521"/>
      <c r="AJ221" s="521"/>
    </row>
    <row r="222" spans="1:36" ht="15" customHeight="1">
      <c r="A222" s="521"/>
      <c r="B222" s="222" t="s">
        <v>526</v>
      </c>
      <c r="C222" s="222" t="s">
        <v>165</v>
      </c>
      <c r="D222" s="223">
        <f t="shared" ref="D222:AG222" si="42">D196</f>
        <v>1</v>
      </c>
      <c r="E222" s="223">
        <f t="shared" si="42"/>
        <v>2</v>
      </c>
      <c r="F222" s="223">
        <f t="shared" si="42"/>
        <v>3</v>
      </c>
      <c r="G222" s="223">
        <f t="shared" si="42"/>
        <v>4</v>
      </c>
      <c r="H222" s="223">
        <f t="shared" si="42"/>
        <v>5</v>
      </c>
      <c r="I222" s="223">
        <f t="shared" si="42"/>
        <v>6</v>
      </c>
      <c r="J222" s="223">
        <f t="shared" si="42"/>
        <v>7</v>
      </c>
      <c r="K222" s="223">
        <f t="shared" si="42"/>
        <v>8</v>
      </c>
      <c r="L222" s="223">
        <f t="shared" si="42"/>
        <v>9</v>
      </c>
      <c r="M222" s="223">
        <f t="shared" si="42"/>
        <v>10</v>
      </c>
      <c r="N222" s="223">
        <f t="shared" si="42"/>
        <v>11</v>
      </c>
      <c r="O222" s="223">
        <f t="shared" si="42"/>
        <v>12</v>
      </c>
      <c r="P222" s="223">
        <f t="shared" si="42"/>
        <v>13</v>
      </c>
      <c r="Q222" s="223">
        <f t="shared" si="42"/>
        <v>14</v>
      </c>
      <c r="R222" s="223">
        <f t="shared" si="42"/>
        <v>15</v>
      </c>
      <c r="S222" s="223">
        <f t="shared" si="42"/>
        <v>16</v>
      </c>
      <c r="T222" s="223">
        <f t="shared" si="42"/>
        <v>17</v>
      </c>
      <c r="U222" s="223">
        <f t="shared" si="42"/>
        <v>18</v>
      </c>
      <c r="V222" s="223">
        <f t="shared" si="42"/>
        <v>19</v>
      </c>
      <c r="W222" s="223">
        <f t="shared" si="42"/>
        <v>20</v>
      </c>
      <c r="X222" s="223">
        <f t="shared" si="42"/>
        <v>21</v>
      </c>
      <c r="Y222" s="223">
        <f t="shared" si="42"/>
        <v>22</v>
      </c>
      <c r="Z222" s="223">
        <f t="shared" si="42"/>
        <v>23</v>
      </c>
      <c r="AA222" s="223">
        <f t="shared" si="42"/>
        <v>24</v>
      </c>
      <c r="AB222" s="223">
        <f t="shared" si="42"/>
        <v>25</v>
      </c>
      <c r="AC222" s="223">
        <f t="shared" si="42"/>
        <v>26</v>
      </c>
      <c r="AD222" s="223">
        <f t="shared" si="42"/>
        <v>27</v>
      </c>
      <c r="AE222" s="223">
        <f t="shared" si="42"/>
        <v>28</v>
      </c>
      <c r="AF222" s="223">
        <f t="shared" si="42"/>
        <v>29</v>
      </c>
      <c r="AG222" s="223">
        <f t="shared" si="42"/>
        <v>30</v>
      </c>
      <c r="AH222" s="525"/>
      <c r="AI222" s="521"/>
      <c r="AJ222" s="521"/>
    </row>
    <row r="223" spans="1:36" ht="15" customHeight="1">
      <c r="A223" s="521"/>
      <c r="B223" s="205" t="str">
        <f t="shared" ref="B223:B242" si="43">B197</f>
        <v>Ingresso</v>
      </c>
      <c r="C223" s="206" t="str">
        <f t="shared" ref="C223:C242" si="44">IFERROR(VLOOKUP(B172,ReceitaPorTipo,24,0),0)</f>
        <v>Serviços</v>
      </c>
      <c r="D223" s="207">
        <f>IFERROR('A4 - Previsão de Receita Bruta'!C7*VLOOKUP($C197,AliqPorTipo,COLUMN($J$160)-1,0),0)</f>
        <v>406634.25599999999</v>
      </c>
      <c r="E223" s="207">
        <f>IFERROR('A4 - Previsão de Receita Bruta'!D7*VLOOKUP($C197,AliqPorTipo,COLUMN($J$160)-1,0),0)</f>
        <v>841325.09759999998</v>
      </c>
      <c r="F223" s="207">
        <f>IFERROR('A4 - Previsão de Receita Bruta'!E7*VLOOKUP($C197,AliqPorTipo,COLUMN($J$160)-1,0),0)</f>
        <v>870345.12959999999</v>
      </c>
      <c r="G223" s="207">
        <f>IFERROR('A4 - Previsão de Receita Bruta'!F7*VLOOKUP($C197,AliqPorTipo,COLUMN($J$160)-1,0),0)</f>
        <v>898453.0368</v>
      </c>
      <c r="H223" s="207">
        <f>IFERROR('A4 - Previsão de Receita Bruta'!G7*VLOOKUP($C197,AliqPorTipo,COLUMN($J$160)-1,0),0)</f>
        <v>927007.28639999998</v>
      </c>
      <c r="I223" s="207">
        <f>IFERROR('A4 - Previsão de Receita Bruta'!H7*VLOOKUP($C197,AliqPorTipo,COLUMN($J$160)-1,0),0)</f>
        <v>956062.31039999996</v>
      </c>
      <c r="J223" s="207">
        <f>IFERROR('A4 - Previsão de Receita Bruta'!I7*VLOOKUP($C197,AliqPorTipo,COLUMN($J$160)-1,0),0)</f>
        <v>985936.14720000001</v>
      </c>
      <c r="K223" s="207">
        <f>IFERROR('A4 - Previsão de Receita Bruta'!J7*VLOOKUP($C197,AliqPorTipo,COLUMN($J$160)-1,0),0)</f>
        <v>1016681.6736</v>
      </c>
      <c r="L223" s="207">
        <f>IFERROR('A4 - Previsão de Receita Bruta'!K7*VLOOKUP($C197,AliqPorTipo,COLUMN($J$160)-1,0),0)</f>
        <v>1047987.0719999999</v>
      </c>
      <c r="M223" s="207">
        <f>IFERROR('A4 - Previsão de Receita Bruta'!L7*VLOOKUP($C197,AliqPorTipo,COLUMN($J$160)-1,0),0)</f>
        <v>1079877.2256</v>
      </c>
      <c r="N223" s="207">
        <f>IFERROR('A4 - Previsão de Receita Bruta'!M7*VLOOKUP($C197,AliqPorTipo,COLUMN($J$160)-1,0),0)</f>
        <v>1112764.2623999999</v>
      </c>
      <c r="O223" s="207">
        <f>IFERROR('A4 - Previsão de Receita Bruta'!N7*VLOOKUP($C197,AliqPorTipo,COLUMN($J$160)-1,0),0)</f>
        <v>1146635.7408</v>
      </c>
      <c r="P223" s="207">
        <f>IFERROR('A4 - Previsão de Receita Bruta'!O7*VLOOKUP($C197,AliqPorTipo,COLUMN($J$160)-1,0),0)</f>
        <v>1181588.8607999999</v>
      </c>
      <c r="Q223" s="207">
        <f>IFERROR('A4 - Previsão de Receita Bruta'!P7*VLOOKUP($C197,AliqPorTipo,COLUMN($J$160)-1,0),0)</f>
        <v>1217597.9616</v>
      </c>
      <c r="R223" s="207">
        <f>IFERROR('A4 - Previsão de Receita Bruta'!Q7*VLOOKUP($C197,AliqPorTipo,COLUMN($J$160)-1,0),0)</f>
        <v>1254689.4816000001</v>
      </c>
      <c r="S223" s="207">
        <f>IFERROR('A4 - Previsão de Receita Bruta'!R7*VLOOKUP($C197,AliqPorTipo,COLUMN($J$160)-1,0),0)</f>
        <v>1292798.1024</v>
      </c>
      <c r="T223" s="207">
        <f>IFERROR('A4 - Previsão de Receita Bruta'!S7*VLOOKUP($C197,AliqPorTipo,COLUMN($J$160)-1,0),0)</f>
        <v>1331877.1680000001</v>
      </c>
      <c r="U223" s="207">
        <f>IFERROR('A4 - Previsão de Receita Bruta'!T7*VLOOKUP($C197,AliqPorTipo,COLUMN($J$160)-1,0),0)</f>
        <v>1371788.2656</v>
      </c>
      <c r="V223" s="207">
        <f>IFERROR('A4 - Previsão de Receita Bruta'!U7*VLOOKUP($C197,AliqPorTipo,COLUMN($J$160)-1,0),0)</f>
        <v>1412429.5296</v>
      </c>
      <c r="W223" s="207">
        <f>IFERROR('A4 - Previsão de Receita Bruta'!V7*VLOOKUP($C197,AliqPorTipo,COLUMN($J$160)-1,0),0)</f>
        <v>1453612.0031999999</v>
      </c>
      <c r="X223" s="207">
        <f>IFERROR('A4 - Previsão de Receita Bruta'!W7*VLOOKUP($C197,AliqPorTipo,COLUMN($J$160)-1,0),0)</f>
        <v>1453612.0031999999</v>
      </c>
      <c r="Y223" s="207">
        <f>IFERROR('A4 - Previsão de Receita Bruta'!X7*VLOOKUP($C197,AliqPorTipo,COLUMN($J$160)-1,0),0)</f>
        <v>1453612.0031999999</v>
      </c>
      <c r="Z223" s="207">
        <f>IFERROR('A4 - Previsão de Receita Bruta'!Y7*VLOOKUP($C197,AliqPorTipo,COLUMN($J$160)-1,0),0)</f>
        <v>1453612.0031999999</v>
      </c>
      <c r="AA223" s="207">
        <f>IFERROR('A4 - Previsão de Receita Bruta'!Z7*VLOOKUP($C197,AliqPorTipo,COLUMN($J$160)-1,0),0)</f>
        <v>1453612.0031999999</v>
      </c>
      <c r="AB223" s="207">
        <f>IFERROR('A4 - Previsão de Receita Bruta'!AA7*VLOOKUP($C197,AliqPorTipo,COLUMN($J$160)-1,0),0)</f>
        <v>1453612.0031999999</v>
      </c>
      <c r="AC223" s="207">
        <f>IFERROR('A4 - Previsão de Receita Bruta'!AB7*VLOOKUP($C197,AliqPorTipo,COLUMN($J$160)-1,0),0)</f>
        <v>1453612.0031999999</v>
      </c>
      <c r="AD223" s="207">
        <f>IFERROR('A4 - Previsão de Receita Bruta'!AC7*VLOOKUP($C197,AliqPorTipo,COLUMN($J$160)-1,0),0)</f>
        <v>1453612.0031999999</v>
      </c>
      <c r="AE223" s="207">
        <f>IFERROR('A4 - Previsão de Receita Bruta'!AD7*VLOOKUP($C197,AliqPorTipo,COLUMN($J$160)-1,0),0)</f>
        <v>1453612.0031999999</v>
      </c>
      <c r="AF223" s="207">
        <f>IFERROR('A4 - Previsão de Receita Bruta'!AE7*VLOOKUP($C197,AliqPorTipo,COLUMN($J$160)-1,0),0)</f>
        <v>1453612.0031999999</v>
      </c>
      <c r="AG223" s="207">
        <f>IFERROR('A4 - Previsão de Receita Bruta'!AF7*VLOOKUP($C197,AliqPorTipo,COLUMN($J$160)-1,0),0)</f>
        <v>1453612.0031999999</v>
      </c>
      <c r="AH223" s="525"/>
      <c r="AI223" s="521"/>
      <c r="AJ223" s="521"/>
    </row>
    <row r="224" spans="1:36" ht="15" customHeight="1">
      <c r="A224" s="521"/>
      <c r="B224" s="205" t="str">
        <f t="shared" si="43"/>
        <v>Preá - Alimentação</v>
      </c>
      <c r="C224" s="206" t="str">
        <f t="shared" si="44"/>
        <v>Alimentação</v>
      </c>
      <c r="D224" s="207">
        <f>IFERROR('A4 - Previsão de Receita Bruta'!C8*VLOOKUP($C198,AliqPorTipo,COLUMN($J$160)-1,0),0)</f>
        <v>0</v>
      </c>
      <c r="E224" s="207">
        <f>IFERROR('A4 - Previsão de Receita Bruta'!D8*VLOOKUP($C198,AliqPorTipo,COLUMN($J$160)-1,0),0)</f>
        <v>23370.12</v>
      </c>
      <c r="F224" s="207">
        <f>IFERROR('A4 - Previsão de Receita Bruta'!E8*VLOOKUP($C198,AliqPorTipo,COLUMN($J$160)-1,0),0)</f>
        <v>24176.339999999997</v>
      </c>
      <c r="G224" s="207">
        <f>IFERROR('A4 - Previsão de Receita Bruta'!F8*VLOOKUP($C198,AliqPorTipo,COLUMN($J$160)-1,0),0)</f>
        <v>24956.909999999996</v>
      </c>
      <c r="H224" s="207">
        <f>IFERROR('A4 - Previsão de Receita Bruta'!G8*VLOOKUP($C198,AliqPorTipo,COLUMN($J$160)-1,0),0)</f>
        <v>25750.17</v>
      </c>
      <c r="I224" s="207">
        <f>IFERROR('A4 - Previsão de Receita Bruta'!H8*VLOOKUP($C198,AliqPorTipo,COLUMN($J$160)-1,0),0)</f>
        <v>26557.199999999997</v>
      </c>
      <c r="J224" s="207">
        <f>IFERROR('A4 - Previsão de Receita Bruta'!I8*VLOOKUP($C198,AliqPorTipo,COLUMN($J$160)-1,0),0)</f>
        <v>27387.179999999997</v>
      </c>
      <c r="K224" s="207">
        <f>IFERROR('A4 - Previsão de Receita Bruta'!J8*VLOOKUP($C198,AliqPorTipo,COLUMN($J$160)-1,0),0)</f>
        <v>28241.19</v>
      </c>
      <c r="L224" s="207">
        <f>IFERROR('A4 - Previsão de Receita Bruta'!K8*VLOOKUP($C198,AliqPorTipo,COLUMN($J$160)-1,0),0)</f>
        <v>29110.859999999997</v>
      </c>
      <c r="M224" s="207">
        <f>IFERROR('A4 - Previsão de Receita Bruta'!L8*VLOOKUP($C198,AliqPorTipo,COLUMN($J$160)-1,0),0)</f>
        <v>29996.459999999995</v>
      </c>
      <c r="N224" s="207">
        <f>IFERROR('A4 - Previsão de Receita Bruta'!M8*VLOOKUP($C198,AliqPorTipo,COLUMN($J$160)-1,0),0)</f>
        <v>30910.139999999996</v>
      </c>
      <c r="O224" s="207">
        <f>IFERROR('A4 - Previsão de Receita Bruta'!N8*VLOOKUP($C198,AliqPorTipo,COLUMN($J$160)-1,0),0)</f>
        <v>31851.089999999997</v>
      </c>
      <c r="P224" s="207">
        <f>IFERROR('A4 - Previsão de Receita Bruta'!O8*VLOOKUP($C198,AliqPorTipo,COLUMN($J$160)-1,0),0)</f>
        <v>32822.009999999995</v>
      </c>
      <c r="Q224" s="207">
        <f>IFERROR('A4 - Previsão de Receita Bruta'!P8*VLOOKUP($C198,AliqPorTipo,COLUMN($J$160)-1,0),0)</f>
        <v>33822.089999999997</v>
      </c>
      <c r="R224" s="207">
        <f>IFERROR('A4 - Previsão de Receita Bruta'!Q8*VLOOKUP($C198,AliqPorTipo,COLUMN($J$160)-1,0),0)</f>
        <v>34852.409999999996</v>
      </c>
      <c r="S224" s="207">
        <f>IFERROR('A4 - Previsão de Receita Bruta'!R8*VLOOKUP($C198,AliqPorTipo,COLUMN($J$160)-1,0),0)</f>
        <v>35911.079999999994</v>
      </c>
      <c r="T224" s="207">
        <f>IFERROR('A4 - Previsão de Receita Bruta'!S8*VLOOKUP($C198,AliqPorTipo,COLUMN($J$160)-1,0),0)</f>
        <v>36996.479999999996</v>
      </c>
      <c r="U224" s="207">
        <f>IFERROR('A4 - Previsão de Receita Bruta'!T8*VLOOKUP($C198,AliqPorTipo,COLUMN($J$160)-1,0),0)</f>
        <v>38105.1</v>
      </c>
      <c r="V224" s="207">
        <f>IFERROR('A4 - Previsão de Receita Bruta'!U8*VLOOKUP($C198,AliqPorTipo,COLUMN($J$160)-1,0),0)</f>
        <v>39234.239999999998</v>
      </c>
      <c r="W224" s="207">
        <f>IFERROR('A4 - Previsão de Receita Bruta'!V8*VLOOKUP($C198,AliqPorTipo,COLUMN($J$160)-1,0),0)</f>
        <v>40378.229999999996</v>
      </c>
      <c r="X224" s="207">
        <f>IFERROR('A4 - Previsão de Receita Bruta'!W8*VLOOKUP($C198,AliqPorTipo,COLUMN($J$160)-1,0),0)</f>
        <v>40378.229999999996</v>
      </c>
      <c r="Y224" s="207">
        <f>IFERROR('A4 - Previsão de Receita Bruta'!X8*VLOOKUP($C198,AliqPorTipo,COLUMN($J$160)-1,0),0)</f>
        <v>40378.229999999996</v>
      </c>
      <c r="Z224" s="207">
        <f>IFERROR('A4 - Previsão de Receita Bruta'!Y8*VLOOKUP($C198,AliqPorTipo,COLUMN($J$160)-1,0),0)</f>
        <v>40378.229999999996</v>
      </c>
      <c r="AA224" s="207">
        <f>IFERROR('A4 - Previsão de Receita Bruta'!Z8*VLOOKUP($C198,AliqPorTipo,COLUMN($J$160)-1,0),0)</f>
        <v>40378.229999999996</v>
      </c>
      <c r="AB224" s="207">
        <f>IFERROR('A4 - Previsão de Receita Bruta'!AA8*VLOOKUP($C198,AliqPorTipo,COLUMN($J$160)-1,0),0)</f>
        <v>40378.229999999996</v>
      </c>
      <c r="AC224" s="207">
        <f>IFERROR('A4 - Previsão de Receita Bruta'!AB8*VLOOKUP($C198,AliqPorTipo,COLUMN($J$160)-1,0),0)</f>
        <v>40378.229999999996</v>
      </c>
      <c r="AD224" s="207">
        <f>IFERROR('A4 - Previsão de Receita Bruta'!AC8*VLOOKUP($C198,AliqPorTipo,COLUMN($J$160)-1,0),0)</f>
        <v>40378.229999999996</v>
      </c>
      <c r="AE224" s="207">
        <f>IFERROR('A4 - Previsão de Receita Bruta'!AD8*VLOOKUP($C198,AliqPorTipo,COLUMN($J$160)-1,0),0)</f>
        <v>40378.229999999996</v>
      </c>
      <c r="AF224" s="207">
        <f>IFERROR('A4 - Previsão de Receita Bruta'!AE8*VLOOKUP($C198,AliqPorTipo,COLUMN($J$160)-1,0),0)</f>
        <v>40378.229999999996</v>
      </c>
      <c r="AG224" s="207">
        <f>IFERROR('A4 - Previsão de Receita Bruta'!AF8*VLOOKUP($C198,AliqPorTipo,COLUMN($J$160)-1,0),0)</f>
        <v>40378.229999999996</v>
      </c>
      <c r="AH224" s="525"/>
      <c r="AI224" s="521"/>
      <c r="AJ224" s="521"/>
    </row>
    <row r="225" spans="1:36" ht="15" customHeight="1">
      <c r="A225" s="521"/>
      <c r="B225" s="205" t="str">
        <f t="shared" si="43"/>
        <v>Preá - Comércio</v>
      </c>
      <c r="C225" s="206" t="str">
        <f t="shared" si="44"/>
        <v>Comércio</v>
      </c>
      <c r="D225" s="207">
        <f>IFERROR('A4 - Previsão de Receita Bruta'!C9*VLOOKUP($C199,AliqPorTipo,COLUMN($J$160)-1,0),0)</f>
        <v>0</v>
      </c>
      <c r="E225" s="207">
        <f>IFERROR('A4 - Previsão de Receita Bruta'!D9*VLOOKUP($C199,AliqPorTipo,COLUMN($J$160)-1,0),0)</f>
        <v>7790.0399999999991</v>
      </c>
      <c r="F225" s="207">
        <f>IFERROR('A4 - Previsão de Receita Bruta'!E9*VLOOKUP($C199,AliqPorTipo,COLUMN($J$160)-1,0),0)</f>
        <v>8058.9599999999991</v>
      </c>
      <c r="G225" s="207">
        <f>IFERROR('A4 - Previsão de Receita Bruta'!F9*VLOOKUP($C199,AliqPorTipo,COLUMN($J$160)-1,0),0)</f>
        <v>8319.24</v>
      </c>
      <c r="H225" s="207">
        <f>IFERROR('A4 - Previsão de Receita Bruta'!G9*VLOOKUP($C199,AliqPorTipo,COLUMN($J$160)-1,0),0)</f>
        <v>8583.2999999999993</v>
      </c>
      <c r="I225" s="207">
        <f>IFERROR('A4 - Previsão de Receita Bruta'!H9*VLOOKUP($C199,AliqPorTipo,COLUMN($J$160)-1,0),0)</f>
        <v>8852.2199999999993</v>
      </c>
      <c r="J225" s="207">
        <f>IFERROR('A4 - Previsão de Receita Bruta'!I9*VLOOKUP($C199,AliqPorTipo,COLUMN($J$160)-1,0),0)</f>
        <v>9129.24</v>
      </c>
      <c r="K225" s="207">
        <f>IFERROR('A4 - Previsão de Receita Bruta'!J9*VLOOKUP($C199,AliqPorTipo,COLUMN($J$160)-1,0),0)</f>
        <v>9413.82</v>
      </c>
      <c r="L225" s="207">
        <f>IFERROR('A4 - Previsão de Receita Bruta'!K9*VLOOKUP($C199,AliqPorTipo,COLUMN($J$160)-1,0),0)</f>
        <v>9703.7999999999993</v>
      </c>
      <c r="M225" s="207">
        <f>IFERROR('A4 - Previsão de Receita Bruta'!L9*VLOOKUP($C199,AliqPorTipo,COLUMN($J$160)-1,0),0)</f>
        <v>9998.64</v>
      </c>
      <c r="N225" s="207">
        <f>IFERROR('A4 - Previsão de Receita Bruta'!M9*VLOOKUP($C199,AliqPorTipo,COLUMN($J$160)-1,0),0)</f>
        <v>10303.199999999999</v>
      </c>
      <c r="O225" s="207">
        <f>IFERROR('A4 - Previsão de Receita Bruta'!N9*VLOOKUP($C199,AliqPorTipo,COLUMN($J$160)-1,0),0)</f>
        <v>10616.939999999999</v>
      </c>
      <c r="P225" s="207">
        <f>IFERROR('A4 - Previsão de Receita Bruta'!O9*VLOOKUP($C199,AliqPorTipo,COLUMN($J$160)-1,0),0)</f>
        <v>10940.4</v>
      </c>
      <c r="Q225" s="207">
        <f>IFERROR('A4 - Previsão de Receita Bruta'!P9*VLOOKUP($C199,AliqPorTipo,COLUMN($J$160)-1,0),0)</f>
        <v>11274.119999999999</v>
      </c>
      <c r="R225" s="207">
        <f>IFERROR('A4 - Previsão de Receita Bruta'!Q9*VLOOKUP($C199,AliqPorTipo,COLUMN($J$160)-1,0),0)</f>
        <v>11617.56</v>
      </c>
      <c r="S225" s="207">
        <f>IFERROR('A4 - Previsão de Receita Bruta'!R9*VLOOKUP($C199,AliqPorTipo,COLUMN($J$160)-1,0),0)</f>
        <v>11970.179999999998</v>
      </c>
      <c r="T225" s="207">
        <f>IFERROR('A4 - Previsão de Receita Bruta'!S9*VLOOKUP($C199,AliqPorTipo,COLUMN($J$160)-1,0),0)</f>
        <v>12331.98</v>
      </c>
      <c r="U225" s="207">
        <f>IFERROR('A4 - Previsão de Receita Bruta'!T9*VLOOKUP($C199,AliqPorTipo,COLUMN($J$160)-1,0),0)</f>
        <v>12701.88</v>
      </c>
      <c r="V225" s="207">
        <f>IFERROR('A4 - Previsão de Receita Bruta'!U9*VLOOKUP($C199,AliqPorTipo,COLUMN($J$160)-1,0),0)</f>
        <v>13078.259999999998</v>
      </c>
      <c r="W225" s="207">
        <f>IFERROR('A4 - Previsão de Receita Bruta'!V9*VLOOKUP($C199,AliqPorTipo,COLUMN($J$160)-1,0),0)</f>
        <v>13459.499999999998</v>
      </c>
      <c r="X225" s="207">
        <f>IFERROR('A4 - Previsão de Receita Bruta'!W9*VLOOKUP($C199,AliqPorTipo,COLUMN($J$160)-1,0),0)</f>
        <v>13459.499999999998</v>
      </c>
      <c r="Y225" s="207">
        <f>IFERROR('A4 - Previsão de Receita Bruta'!X9*VLOOKUP($C199,AliqPorTipo,COLUMN($J$160)-1,0),0)</f>
        <v>13459.499999999998</v>
      </c>
      <c r="Z225" s="207">
        <f>IFERROR('A4 - Previsão de Receita Bruta'!Y9*VLOOKUP($C199,AliqPorTipo,COLUMN($J$160)-1,0),0)</f>
        <v>13459.499999999998</v>
      </c>
      <c r="AA225" s="207">
        <f>IFERROR('A4 - Previsão de Receita Bruta'!Z9*VLOOKUP($C199,AliqPorTipo,COLUMN($J$160)-1,0),0)</f>
        <v>13459.499999999998</v>
      </c>
      <c r="AB225" s="207">
        <f>IFERROR('A4 - Previsão de Receita Bruta'!AA9*VLOOKUP($C199,AliqPorTipo,COLUMN($J$160)-1,0),0)</f>
        <v>13459.499999999998</v>
      </c>
      <c r="AC225" s="207">
        <f>IFERROR('A4 - Previsão de Receita Bruta'!AB9*VLOOKUP($C199,AliqPorTipo,COLUMN($J$160)-1,0),0)</f>
        <v>13459.499999999998</v>
      </c>
      <c r="AD225" s="207">
        <f>IFERROR('A4 - Previsão de Receita Bruta'!AC9*VLOOKUP($C199,AliqPorTipo,COLUMN($J$160)-1,0),0)</f>
        <v>13459.499999999998</v>
      </c>
      <c r="AE225" s="207">
        <f>IFERROR('A4 - Previsão de Receita Bruta'!AD9*VLOOKUP($C199,AliqPorTipo,COLUMN($J$160)-1,0),0)</f>
        <v>13459.499999999998</v>
      </c>
      <c r="AF225" s="207">
        <f>IFERROR('A4 - Previsão de Receita Bruta'!AE9*VLOOKUP($C199,AliqPorTipo,COLUMN($J$160)-1,0),0)</f>
        <v>13459.499999999998</v>
      </c>
      <c r="AG225" s="207">
        <f>IFERROR('A4 - Previsão de Receita Bruta'!AF9*VLOOKUP($C199,AliqPorTipo,COLUMN($J$160)-1,0),0)</f>
        <v>13459.499999999998</v>
      </c>
      <c r="AH225" s="525"/>
      <c r="AI225" s="521"/>
      <c r="AJ225" s="521"/>
    </row>
    <row r="226" spans="1:36" ht="15" customHeight="1">
      <c r="A226" s="521"/>
      <c r="B226" s="205" t="str">
        <f t="shared" si="43"/>
        <v>Preá - Estacionamento</v>
      </c>
      <c r="C226" s="206" t="str">
        <f t="shared" si="44"/>
        <v>Serviços</v>
      </c>
      <c r="D226" s="207">
        <f>IFERROR('A4 - Previsão de Receita Bruta'!C10*VLOOKUP($C200,AliqPorTipo,COLUMN($J$160)-1,0),0)</f>
        <v>0</v>
      </c>
      <c r="E226" s="207">
        <f>IFERROR('A4 - Previsão de Receita Bruta'!D10*VLOOKUP($C200,AliqPorTipo,COLUMN($J$160)-1,0),0)</f>
        <v>33652.972799999996</v>
      </c>
      <c r="F226" s="207">
        <f>IFERROR('A4 - Previsão de Receita Bruta'!E10*VLOOKUP($C200,AliqPorTipo,COLUMN($J$160)-1,0),0)</f>
        <v>34813.152000000002</v>
      </c>
      <c r="G226" s="207">
        <f>IFERROR('A4 - Previsão de Receita Bruta'!F10*VLOOKUP($C200,AliqPorTipo,COLUMN($J$160)-1,0),0)</f>
        <v>35937.561600000001</v>
      </c>
      <c r="H226" s="207">
        <f>IFERROR('A4 - Previsão de Receita Bruta'!G10*VLOOKUP($C200,AliqPorTipo,COLUMN($J$160)-1,0),0)</f>
        <v>37080.633600000001</v>
      </c>
      <c r="I226" s="207">
        <f>IFERROR('A4 - Previsão de Receita Bruta'!H10*VLOOKUP($C200,AliqPorTipo,COLUMN($J$160)-1,0),0)</f>
        <v>38242.368000000002</v>
      </c>
      <c r="J226" s="207">
        <f>IFERROR('A4 - Previsão de Receita Bruta'!I10*VLOOKUP($C200,AliqPorTipo,COLUMN($J$160)-1,0),0)</f>
        <v>39436.761599999998</v>
      </c>
      <c r="K226" s="207">
        <f>IFERROR('A4 - Previsão de Receita Bruta'!J10*VLOOKUP($C200,AliqPorTipo,COLUMN($J$160)-1,0),0)</f>
        <v>40666.924800000001</v>
      </c>
      <c r="L226" s="207">
        <f>IFERROR('A4 - Previsão de Receita Bruta'!K10*VLOOKUP($C200,AliqPorTipo,COLUMN($J$160)-1,0),0)</f>
        <v>41918.860800000002</v>
      </c>
      <c r="M226" s="207">
        <f>IFERROR('A4 - Previsão de Receita Bruta'!L10*VLOOKUP($C200,AliqPorTipo,COLUMN($J$160)-1,0),0)</f>
        <v>43195.68</v>
      </c>
      <c r="N226" s="207">
        <f>IFERROR('A4 - Previsão de Receita Bruta'!M10*VLOOKUP($C200,AliqPorTipo,COLUMN($J$160)-1,0),0)</f>
        <v>44509.824000000001</v>
      </c>
      <c r="O226" s="207">
        <f>IFERROR('A4 - Previsão de Receita Bruta'!N10*VLOOKUP($C200,AliqPorTipo,COLUMN($J$160)-1,0),0)</f>
        <v>45865.958399999996</v>
      </c>
      <c r="P226" s="207">
        <f>IFERROR('A4 - Previsão de Receita Bruta'!O10*VLOOKUP($C200,AliqPorTipo,COLUMN($J$160)-1,0),0)</f>
        <v>47264.083200000001</v>
      </c>
      <c r="Q226" s="207">
        <f>IFERROR('A4 - Previsão de Receita Bruta'!P10*VLOOKUP($C200,AliqPorTipo,COLUMN($J$160)-1,0),0)</f>
        <v>48704.198400000001</v>
      </c>
      <c r="R226" s="207">
        <f>IFERROR('A4 - Previsão de Receita Bruta'!Q10*VLOOKUP($C200,AliqPorTipo,COLUMN($J$160)-1,0),0)</f>
        <v>50187.859199999999</v>
      </c>
      <c r="S226" s="207">
        <f>IFERROR('A4 - Previsão de Receita Bruta'!R10*VLOOKUP($C200,AliqPorTipo,COLUMN($J$160)-1,0),0)</f>
        <v>51711.955199999997</v>
      </c>
      <c r="T226" s="207">
        <f>IFERROR('A4 - Previsão de Receita Bruta'!S10*VLOOKUP($C200,AliqPorTipo,COLUMN($J$160)-1,0),0)</f>
        <v>53274.931199999999</v>
      </c>
      <c r="U226" s="207">
        <f>IFERROR('A4 - Previsão de Receita Bruta'!T10*VLOOKUP($C200,AliqPorTipo,COLUMN($J$160)-1,0),0)</f>
        <v>54872.121599999999</v>
      </c>
      <c r="V226" s="207">
        <f>IFERROR('A4 - Previsão de Receita Bruta'!U10*VLOOKUP($C200,AliqPorTipo,COLUMN($J$160)-1,0),0)</f>
        <v>56497.3056</v>
      </c>
      <c r="W226" s="207">
        <f>IFERROR('A4 - Previsão de Receita Bruta'!V10*VLOOKUP($C200,AliqPorTipo,COLUMN($J$160)-1,0),0)</f>
        <v>58144.2624</v>
      </c>
      <c r="X226" s="207">
        <f>IFERROR('A4 - Previsão de Receita Bruta'!W10*VLOOKUP($C200,AliqPorTipo,COLUMN($J$160)-1,0),0)</f>
        <v>58144.2624</v>
      </c>
      <c r="Y226" s="207">
        <f>IFERROR('A4 - Previsão de Receita Bruta'!X10*VLOOKUP($C200,AliqPorTipo,COLUMN($J$160)-1,0),0)</f>
        <v>58144.2624</v>
      </c>
      <c r="Z226" s="207">
        <f>IFERROR('A4 - Previsão de Receita Bruta'!Y10*VLOOKUP($C200,AliqPorTipo,COLUMN($J$160)-1,0),0)</f>
        <v>58144.2624</v>
      </c>
      <c r="AA226" s="207">
        <f>IFERROR('A4 - Previsão de Receita Bruta'!Z10*VLOOKUP($C200,AliqPorTipo,COLUMN($J$160)-1,0),0)</f>
        <v>58144.2624</v>
      </c>
      <c r="AB226" s="207">
        <f>IFERROR('A4 - Previsão de Receita Bruta'!AA10*VLOOKUP($C200,AliqPorTipo,COLUMN($J$160)-1,0),0)</f>
        <v>58144.2624</v>
      </c>
      <c r="AC226" s="207">
        <f>IFERROR('A4 - Previsão de Receita Bruta'!AB10*VLOOKUP($C200,AliqPorTipo,COLUMN($J$160)-1,0),0)</f>
        <v>58144.2624</v>
      </c>
      <c r="AD226" s="207">
        <f>IFERROR('A4 - Previsão de Receita Bruta'!AC10*VLOOKUP($C200,AliqPorTipo,COLUMN($J$160)-1,0),0)</f>
        <v>58144.2624</v>
      </c>
      <c r="AE226" s="207">
        <f>IFERROR('A4 - Previsão de Receita Bruta'!AD10*VLOOKUP($C200,AliqPorTipo,COLUMN($J$160)-1,0),0)</f>
        <v>58144.2624</v>
      </c>
      <c r="AF226" s="207">
        <f>IFERROR('A4 - Previsão de Receita Bruta'!AE10*VLOOKUP($C200,AliqPorTipo,COLUMN($J$160)-1,0),0)</f>
        <v>58144.2624</v>
      </c>
      <c r="AG226" s="207">
        <f>IFERROR('A4 - Previsão de Receita Bruta'!AF10*VLOOKUP($C200,AliqPorTipo,COLUMN($J$160)-1,0),0)</f>
        <v>58144.2624</v>
      </c>
      <c r="AH226" s="525"/>
      <c r="AI226" s="521"/>
      <c r="AJ226" s="521"/>
    </row>
    <row r="227" spans="1:36" ht="15" customHeight="1">
      <c r="A227" s="521"/>
      <c r="B227" s="205" t="str">
        <f t="shared" si="43"/>
        <v>Árvore da Preguiça - Alimentação</v>
      </c>
      <c r="C227" s="206" t="str">
        <f t="shared" si="44"/>
        <v>Alimentação</v>
      </c>
      <c r="D227" s="207">
        <f>IFERROR('A4 - Previsão de Receita Bruta'!C11*VLOOKUP($C201,AliqPorTipo,COLUMN($J$160)-1,0),0)</f>
        <v>0</v>
      </c>
      <c r="E227" s="207">
        <f>IFERROR('A4 - Previsão de Receita Bruta'!D11*VLOOKUP($C201,AliqPorTipo,COLUMN($J$160)-1,0),0)</f>
        <v>23370.12</v>
      </c>
      <c r="F227" s="207">
        <f>IFERROR('A4 - Previsão de Receita Bruta'!E11*VLOOKUP($C201,AliqPorTipo,COLUMN($J$160)-1,0),0)</f>
        <v>24176.339999999997</v>
      </c>
      <c r="G227" s="207">
        <f>IFERROR('A4 - Previsão de Receita Bruta'!F11*VLOOKUP($C201,AliqPorTipo,COLUMN($J$160)-1,0),0)</f>
        <v>24956.909999999996</v>
      </c>
      <c r="H227" s="207">
        <f>IFERROR('A4 - Previsão de Receita Bruta'!G11*VLOOKUP($C201,AliqPorTipo,COLUMN($J$160)-1,0),0)</f>
        <v>25750.17</v>
      </c>
      <c r="I227" s="207">
        <f>IFERROR('A4 - Previsão de Receita Bruta'!H11*VLOOKUP($C201,AliqPorTipo,COLUMN($J$160)-1,0),0)</f>
        <v>26557.199999999997</v>
      </c>
      <c r="J227" s="207">
        <f>IFERROR('A4 - Previsão de Receita Bruta'!I11*VLOOKUP($C201,AliqPorTipo,COLUMN($J$160)-1,0),0)</f>
        <v>27387.179999999997</v>
      </c>
      <c r="K227" s="207">
        <f>IFERROR('A4 - Previsão de Receita Bruta'!J11*VLOOKUP($C201,AliqPorTipo,COLUMN($J$160)-1,0),0)</f>
        <v>28241.19</v>
      </c>
      <c r="L227" s="207">
        <f>IFERROR('A4 - Previsão de Receita Bruta'!K11*VLOOKUP($C201,AliqPorTipo,COLUMN($J$160)-1,0),0)</f>
        <v>29110.859999999997</v>
      </c>
      <c r="M227" s="207">
        <f>IFERROR('A4 - Previsão de Receita Bruta'!L11*VLOOKUP($C201,AliqPorTipo,COLUMN($J$160)-1,0),0)</f>
        <v>29996.459999999995</v>
      </c>
      <c r="N227" s="207">
        <f>IFERROR('A4 - Previsão de Receita Bruta'!M11*VLOOKUP($C201,AliqPorTipo,COLUMN($J$160)-1,0),0)</f>
        <v>30910.139999999996</v>
      </c>
      <c r="O227" s="207">
        <f>IFERROR('A4 - Previsão de Receita Bruta'!N11*VLOOKUP($C201,AliqPorTipo,COLUMN($J$160)-1,0),0)</f>
        <v>31851.089999999997</v>
      </c>
      <c r="P227" s="207">
        <f>IFERROR('A4 - Previsão de Receita Bruta'!O11*VLOOKUP($C201,AliqPorTipo,COLUMN($J$160)-1,0),0)</f>
        <v>32822.009999999995</v>
      </c>
      <c r="Q227" s="207">
        <f>IFERROR('A4 - Previsão de Receita Bruta'!P11*VLOOKUP($C201,AliqPorTipo,COLUMN($J$160)-1,0),0)</f>
        <v>33822.089999999997</v>
      </c>
      <c r="R227" s="207">
        <f>IFERROR('A4 - Previsão de Receita Bruta'!Q11*VLOOKUP($C201,AliqPorTipo,COLUMN($J$160)-1,0),0)</f>
        <v>34852.409999999996</v>
      </c>
      <c r="S227" s="207">
        <f>IFERROR('A4 - Previsão de Receita Bruta'!R11*VLOOKUP($C201,AliqPorTipo,COLUMN($J$160)-1,0),0)</f>
        <v>35911.079999999994</v>
      </c>
      <c r="T227" s="207">
        <f>IFERROR('A4 - Previsão de Receita Bruta'!S11*VLOOKUP($C201,AliqPorTipo,COLUMN($J$160)-1,0),0)</f>
        <v>36996.479999999996</v>
      </c>
      <c r="U227" s="207">
        <f>IFERROR('A4 - Previsão de Receita Bruta'!T11*VLOOKUP($C201,AliqPorTipo,COLUMN($J$160)-1,0),0)</f>
        <v>38105.1</v>
      </c>
      <c r="V227" s="207">
        <f>IFERROR('A4 - Previsão de Receita Bruta'!U11*VLOOKUP($C201,AliqPorTipo,COLUMN($J$160)-1,0),0)</f>
        <v>39234.239999999998</v>
      </c>
      <c r="W227" s="207">
        <f>IFERROR('A4 - Previsão de Receita Bruta'!V11*VLOOKUP($C201,AliqPorTipo,COLUMN($J$160)-1,0),0)</f>
        <v>40378.229999999996</v>
      </c>
      <c r="X227" s="207">
        <f>IFERROR('A4 - Previsão de Receita Bruta'!W11*VLOOKUP($C201,AliqPorTipo,COLUMN($J$160)-1,0),0)</f>
        <v>40378.229999999996</v>
      </c>
      <c r="Y227" s="207">
        <f>IFERROR('A4 - Previsão de Receita Bruta'!X11*VLOOKUP($C201,AliqPorTipo,COLUMN($J$160)-1,0),0)</f>
        <v>40378.229999999996</v>
      </c>
      <c r="Z227" s="207">
        <f>IFERROR('A4 - Previsão de Receita Bruta'!Y11*VLOOKUP($C201,AliqPorTipo,COLUMN($J$160)-1,0),0)</f>
        <v>40378.229999999996</v>
      </c>
      <c r="AA227" s="207">
        <f>IFERROR('A4 - Previsão de Receita Bruta'!Z11*VLOOKUP($C201,AliqPorTipo,COLUMN($J$160)-1,0),0)</f>
        <v>40378.229999999996</v>
      </c>
      <c r="AB227" s="207">
        <f>IFERROR('A4 - Previsão de Receita Bruta'!AA11*VLOOKUP($C201,AliqPorTipo,COLUMN($J$160)-1,0),0)</f>
        <v>40378.229999999996</v>
      </c>
      <c r="AC227" s="207">
        <f>IFERROR('A4 - Previsão de Receita Bruta'!AB11*VLOOKUP($C201,AliqPorTipo,COLUMN($J$160)-1,0),0)</f>
        <v>40378.229999999996</v>
      </c>
      <c r="AD227" s="207">
        <f>IFERROR('A4 - Previsão de Receita Bruta'!AC11*VLOOKUP($C201,AliqPorTipo,COLUMN($J$160)-1,0),0)</f>
        <v>40378.229999999996</v>
      </c>
      <c r="AE227" s="207">
        <f>IFERROR('A4 - Previsão de Receita Bruta'!AD11*VLOOKUP($C201,AliqPorTipo,COLUMN($J$160)-1,0),0)</f>
        <v>40378.229999999996</v>
      </c>
      <c r="AF227" s="207">
        <f>IFERROR('A4 - Previsão de Receita Bruta'!AE11*VLOOKUP($C201,AliqPorTipo,COLUMN($J$160)-1,0),0)</f>
        <v>40378.229999999996</v>
      </c>
      <c r="AG227" s="207">
        <f>IFERROR('A4 - Previsão de Receita Bruta'!AF11*VLOOKUP($C201,AliqPorTipo,COLUMN($J$160)-1,0),0)</f>
        <v>40378.229999999996</v>
      </c>
      <c r="AH227" s="525"/>
      <c r="AI227" s="521"/>
      <c r="AJ227" s="521"/>
    </row>
    <row r="228" spans="1:36" ht="15" customHeight="1">
      <c r="A228" s="521"/>
      <c r="B228" s="205" t="str">
        <f t="shared" si="43"/>
        <v>Árvore da Preguiça - Comércio</v>
      </c>
      <c r="C228" s="206" t="str">
        <f t="shared" si="44"/>
        <v>Comércio</v>
      </c>
      <c r="D228" s="207">
        <f>IFERROR('A4 - Previsão de Receita Bruta'!C12*VLOOKUP($C202,AliqPorTipo,COLUMN($J$160)-1,0),0)</f>
        <v>0</v>
      </c>
      <c r="E228" s="207">
        <f>IFERROR('A4 - Previsão de Receita Bruta'!D12*VLOOKUP($C202,AliqPorTipo,COLUMN($J$160)-1,0),0)</f>
        <v>7790.0399999999991</v>
      </c>
      <c r="F228" s="207">
        <f>IFERROR('A4 - Previsão de Receita Bruta'!E12*VLOOKUP($C202,AliqPorTipo,COLUMN($J$160)-1,0),0)</f>
        <v>8058.9599999999991</v>
      </c>
      <c r="G228" s="207">
        <f>IFERROR('A4 - Previsão de Receita Bruta'!F12*VLOOKUP($C202,AliqPorTipo,COLUMN($J$160)-1,0),0)</f>
        <v>8319.24</v>
      </c>
      <c r="H228" s="207">
        <f>IFERROR('A4 - Previsão de Receita Bruta'!G12*VLOOKUP($C202,AliqPorTipo,COLUMN($J$160)-1,0),0)</f>
        <v>8583.2999999999993</v>
      </c>
      <c r="I228" s="207">
        <f>IFERROR('A4 - Previsão de Receita Bruta'!H12*VLOOKUP($C202,AliqPorTipo,COLUMN($J$160)-1,0),0)</f>
        <v>8852.2199999999993</v>
      </c>
      <c r="J228" s="207">
        <f>IFERROR('A4 - Previsão de Receita Bruta'!I12*VLOOKUP($C202,AliqPorTipo,COLUMN($J$160)-1,0),0)</f>
        <v>9129.24</v>
      </c>
      <c r="K228" s="207">
        <f>IFERROR('A4 - Previsão de Receita Bruta'!J12*VLOOKUP($C202,AliqPorTipo,COLUMN($J$160)-1,0),0)</f>
        <v>9413.82</v>
      </c>
      <c r="L228" s="207">
        <f>IFERROR('A4 - Previsão de Receita Bruta'!K12*VLOOKUP($C202,AliqPorTipo,COLUMN($J$160)-1,0),0)</f>
        <v>9703.7999999999993</v>
      </c>
      <c r="M228" s="207">
        <f>IFERROR('A4 - Previsão de Receita Bruta'!L12*VLOOKUP($C202,AliqPorTipo,COLUMN($J$160)-1,0),0)</f>
        <v>9998.64</v>
      </c>
      <c r="N228" s="207">
        <f>IFERROR('A4 - Previsão de Receita Bruta'!M12*VLOOKUP($C202,AliqPorTipo,COLUMN($J$160)-1,0),0)</f>
        <v>10303.199999999999</v>
      </c>
      <c r="O228" s="207">
        <f>IFERROR('A4 - Previsão de Receita Bruta'!N12*VLOOKUP($C202,AliqPorTipo,COLUMN($J$160)-1,0),0)</f>
        <v>10616.939999999999</v>
      </c>
      <c r="P228" s="207">
        <f>IFERROR('A4 - Previsão de Receita Bruta'!O12*VLOOKUP($C202,AliqPorTipo,COLUMN($J$160)-1,0),0)</f>
        <v>10940.4</v>
      </c>
      <c r="Q228" s="207">
        <f>IFERROR('A4 - Previsão de Receita Bruta'!P12*VLOOKUP($C202,AliqPorTipo,COLUMN($J$160)-1,0),0)</f>
        <v>11274.119999999999</v>
      </c>
      <c r="R228" s="207">
        <f>IFERROR('A4 - Previsão de Receita Bruta'!Q12*VLOOKUP($C202,AliqPorTipo,COLUMN($J$160)-1,0),0)</f>
        <v>11617.56</v>
      </c>
      <c r="S228" s="207">
        <f>IFERROR('A4 - Previsão de Receita Bruta'!R12*VLOOKUP($C202,AliqPorTipo,COLUMN($J$160)-1,0),0)</f>
        <v>11970.179999999998</v>
      </c>
      <c r="T228" s="207">
        <f>IFERROR('A4 - Previsão de Receita Bruta'!S12*VLOOKUP($C202,AliqPorTipo,COLUMN($J$160)-1,0),0)</f>
        <v>12331.98</v>
      </c>
      <c r="U228" s="207">
        <f>IFERROR('A4 - Previsão de Receita Bruta'!T12*VLOOKUP($C202,AliqPorTipo,COLUMN($J$160)-1,0),0)</f>
        <v>12701.88</v>
      </c>
      <c r="V228" s="207">
        <f>IFERROR('A4 - Previsão de Receita Bruta'!U12*VLOOKUP($C202,AliqPorTipo,COLUMN($J$160)-1,0),0)</f>
        <v>13078.259999999998</v>
      </c>
      <c r="W228" s="207">
        <f>IFERROR('A4 - Previsão de Receita Bruta'!V12*VLOOKUP($C202,AliqPorTipo,COLUMN($J$160)-1,0),0)</f>
        <v>13459.499999999998</v>
      </c>
      <c r="X228" s="207">
        <f>IFERROR('A4 - Previsão de Receita Bruta'!W12*VLOOKUP($C202,AliqPorTipo,COLUMN($J$160)-1,0),0)</f>
        <v>13459.499999999998</v>
      </c>
      <c r="Y228" s="207">
        <f>IFERROR('A4 - Previsão de Receita Bruta'!X12*VLOOKUP($C202,AliqPorTipo,COLUMN($J$160)-1,0),0)</f>
        <v>13459.499999999998</v>
      </c>
      <c r="Z228" s="207">
        <f>IFERROR('A4 - Previsão de Receita Bruta'!Y12*VLOOKUP($C202,AliqPorTipo,COLUMN($J$160)-1,0),0)</f>
        <v>13459.499999999998</v>
      </c>
      <c r="AA228" s="207">
        <f>IFERROR('A4 - Previsão de Receita Bruta'!Z12*VLOOKUP($C202,AliqPorTipo,COLUMN($J$160)-1,0),0)</f>
        <v>13459.499999999998</v>
      </c>
      <c r="AB228" s="207">
        <f>IFERROR('A4 - Previsão de Receita Bruta'!AA12*VLOOKUP($C202,AliqPorTipo,COLUMN($J$160)-1,0),0)</f>
        <v>13459.499999999998</v>
      </c>
      <c r="AC228" s="207">
        <f>IFERROR('A4 - Previsão de Receita Bruta'!AB12*VLOOKUP($C202,AliqPorTipo,COLUMN($J$160)-1,0),0)</f>
        <v>13459.499999999998</v>
      </c>
      <c r="AD228" s="207">
        <f>IFERROR('A4 - Previsão de Receita Bruta'!AC12*VLOOKUP($C202,AliqPorTipo,COLUMN($J$160)-1,0),0)</f>
        <v>13459.499999999998</v>
      </c>
      <c r="AE228" s="207">
        <f>IFERROR('A4 - Previsão de Receita Bruta'!AD12*VLOOKUP($C202,AliqPorTipo,COLUMN($J$160)-1,0),0)</f>
        <v>13459.499999999998</v>
      </c>
      <c r="AF228" s="207">
        <f>IFERROR('A4 - Previsão de Receita Bruta'!AE12*VLOOKUP($C202,AliqPorTipo,COLUMN($J$160)-1,0),0)</f>
        <v>13459.499999999998</v>
      </c>
      <c r="AG228" s="207">
        <f>IFERROR('A4 - Previsão de Receita Bruta'!AF12*VLOOKUP($C202,AliqPorTipo,COLUMN($J$160)-1,0),0)</f>
        <v>13459.499999999998</v>
      </c>
      <c r="AH228" s="525"/>
      <c r="AI228" s="521"/>
      <c r="AJ228" s="521"/>
    </row>
    <row r="229" spans="1:36" ht="15" customHeight="1">
      <c r="A229" s="521"/>
      <c r="B229" s="205" t="str">
        <f t="shared" si="43"/>
        <v>Silveira - Alimentação</v>
      </c>
      <c r="C229" s="206" t="str">
        <f t="shared" si="44"/>
        <v>Alimentação</v>
      </c>
      <c r="D229" s="207">
        <f>IFERROR('A4 - Previsão de Receita Bruta'!C13*VLOOKUP($C203,AliqPorTipo,COLUMN($J$160)-1,0),0)</f>
        <v>0</v>
      </c>
      <c r="E229" s="207">
        <f>IFERROR('A4 - Previsão de Receita Bruta'!D13*VLOOKUP($C203,AliqPorTipo,COLUMN($J$160)-1,0),0)</f>
        <v>0</v>
      </c>
      <c r="F229" s="207">
        <f>IFERROR('A4 - Previsão de Receita Bruta'!E13*VLOOKUP($C203,AliqPorTipo,COLUMN($J$160)-1,0),0)</f>
        <v>0</v>
      </c>
      <c r="G229" s="207">
        <f>IFERROR('A4 - Previsão de Receita Bruta'!F13*VLOOKUP($C203,AliqPorTipo,COLUMN($J$160)-1,0),0)</f>
        <v>0</v>
      </c>
      <c r="H229" s="207">
        <f>IFERROR('A4 - Previsão de Receita Bruta'!G13*VLOOKUP($C203,AliqPorTipo,COLUMN($J$160)-1,0),0)</f>
        <v>0</v>
      </c>
      <c r="I229" s="207">
        <f>IFERROR('A4 - Previsão de Receita Bruta'!H13*VLOOKUP($C203,AliqPorTipo,COLUMN($J$160)-1,0),0)</f>
        <v>0</v>
      </c>
      <c r="J229" s="207">
        <f>IFERROR('A4 - Previsão de Receita Bruta'!I13*VLOOKUP($C203,AliqPorTipo,COLUMN($J$160)-1,0),0)</f>
        <v>0</v>
      </c>
      <c r="K229" s="207">
        <f>IFERROR('A4 - Previsão de Receita Bruta'!J13*VLOOKUP($C203,AliqPorTipo,COLUMN($J$160)-1,0),0)</f>
        <v>0</v>
      </c>
      <c r="L229" s="207">
        <f>IFERROR('A4 - Previsão de Receita Bruta'!K13*VLOOKUP($C203,AliqPorTipo,COLUMN($J$160)-1,0),0)</f>
        <v>0</v>
      </c>
      <c r="M229" s="207">
        <f>IFERROR('A4 - Previsão de Receita Bruta'!L13*VLOOKUP($C203,AliqPorTipo,COLUMN($J$160)-1,0),0)</f>
        <v>0</v>
      </c>
      <c r="N229" s="207">
        <f>IFERROR('A4 - Previsão de Receita Bruta'!M13*VLOOKUP($C203,AliqPorTipo,COLUMN($J$160)-1,0),0)</f>
        <v>0</v>
      </c>
      <c r="O229" s="207">
        <f>IFERROR('A4 - Previsão de Receita Bruta'!N13*VLOOKUP($C203,AliqPorTipo,COLUMN($J$160)-1,0),0)</f>
        <v>0</v>
      </c>
      <c r="P229" s="207">
        <f>IFERROR('A4 - Previsão de Receita Bruta'!O13*VLOOKUP($C203,AliqPorTipo,COLUMN($J$160)-1,0),0)</f>
        <v>0</v>
      </c>
      <c r="Q229" s="207">
        <f>IFERROR('A4 - Previsão de Receita Bruta'!P13*VLOOKUP($C203,AliqPorTipo,COLUMN($J$160)-1,0),0)</f>
        <v>0</v>
      </c>
      <c r="R229" s="207">
        <f>IFERROR('A4 - Previsão de Receita Bruta'!Q13*VLOOKUP($C203,AliqPorTipo,COLUMN($J$160)-1,0),0)</f>
        <v>0</v>
      </c>
      <c r="S229" s="207">
        <f>IFERROR('A4 - Previsão de Receita Bruta'!R13*VLOOKUP($C203,AliqPorTipo,COLUMN($J$160)-1,0),0)</f>
        <v>0</v>
      </c>
      <c r="T229" s="207">
        <f>IFERROR('A4 - Previsão de Receita Bruta'!S13*VLOOKUP($C203,AliqPorTipo,COLUMN($J$160)-1,0),0)</f>
        <v>0</v>
      </c>
      <c r="U229" s="207">
        <f>IFERROR('A4 - Previsão de Receita Bruta'!T13*VLOOKUP($C203,AliqPorTipo,COLUMN($J$160)-1,0),0)</f>
        <v>0</v>
      </c>
      <c r="V229" s="207">
        <f>IFERROR('A4 - Previsão de Receita Bruta'!U13*VLOOKUP($C203,AliqPorTipo,COLUMN($J$160)-1,0),0)</f>
        <v>0</v>
      </c>
      <c r="W229" s="207">
        <f>IFERROR('A4 - Previsão de Receita Bruta'!V13*VLOOKUP($C203,AliqPorTipo,COLUMN($J$160)-1,0),0)</f>
        <v>0</v>
      </c>
      <c r="X229" s="207">
        <f>IFERROR('A4 - Previsão de Receita Bruta'!W13*VLOOKUP($C203,AliqPorTipo,COLUMN($J$160)-1,0),0)</f>
        <v>0</v>
      </c>
      <c r="Y229" s="207">
        <f>IFERROR('A4 - Previsão de Receita Bruta'!X13*VLOOKUP($C203,AliqPorTipo,COLUMN($J$160)-1,0),0)</f>
        <v>0</v>
      </c>
      <c r="Z229" s="207">
        <f>IFERROR('A4 - Previsão de Receita Bruta'!Y13*VLOOKUP($C203,AliqPorTipo,COLUMN($J$160)-1,0),0)</f>
        <v>0</v>
      </c>
      <c r="AA229" s="207">
        <f>IFERROR('A4 - Previsão de Receita Bruta'!Z13*VLOOKUP($C203,AliqPorTipo,COLUMN($J$160)-1,0),0)</f>
        <v>0</v>
      </c>
      <c r="AB229" s="207">
        <f>IFERROR('A4 - Previsão de Receita Bruta'!AA13*VLOOKUP($C203,AliqPorTipo,COLUMN($J$160)-1,0),0)</f>
        <v>0</v>
      </c>
      <c r="AC229" s="207">
        <f>IFERROR('A4 - Previsão de Receita Bruta'!AB13*VLOOKUP($C203,AliqPorTipo,COLUMN($J$160)-1,0),0)</f>
        <v>0</v>
      </c>
      <c r="AD229" s="207">
        <f>IFERROR('A4 - Previsão de Receita Bruta'!AC13*VLOOKUP($C203,AliqPorTipo,COLUMN($J$160)-1,0),0)</f>
        <v>0</v>
      </c>
      <c r="AE229" s="207">
        <f>IFERROR('A4 - Previsão de Receita Bruta'!AD13*VLOOKUP($C203,AliqPorTipo,COLUMN($J$160)-1,0),0)</f>
        <v>0</v>
      </c>
      <c r="AF229" s="207">
        <f>IFERROR('A4 - Previsão de Receita Bruta'!AE13*VLOOKUP($C203,AliqPorTipo,COLUMN($J$160)-1,0),0)</f>
        <v>0</v>
      </c>
      <c r="AG229" s="207">
        <f>IFERROR('A4 - Previsão de Receita Bruta'!AF13*VLOOKUP($C203,AliqPorTipo,COLUMN($J$160)-1,0),0)</f>
        <v>0</v>
      </c>
      <c r="AH229" s="525"/>
      <c r="AI229" s="521"/>
      <c r="AJ229" s="521"/>
    </row>
    <row r="230" spans="1:36" ht="15" customHeight="1">
      <c r="A230" s="521"/>
      <c r="B230" s="205" t="str">
        <f t="shared" si="43"/>
        <v>Silveira - Comércio + Locação + Atividades</v>
      </c>
      <c r="C230" s="206" t="str">
        <f t="shared" si="44"/>
        <v>Comércio</v>
      </c>
      <c r="D230" s="207">
        <f>IFERROR('A4 - Previsão de Receita Bruta'!C14*VLOOKUP($C204,AliqPorTipo,COLUMN($J$160)-1,0),0)</f>
        <v>0</v>
      </c>
      <c r="E230" s="207">
        <f>IFERROR('A4 - Previsão de Receita Bruta'!D14*VLOOKUP($C204,AliqPorTipo,COLUMN($J$160)-1,0),0)</f>
        <v>0</v>
      </c>
      <c r="F230" s="207">
        <f>IFERROR('A4 - Previsão de Receita Bruta'!E14*VLOOKUP($C204,AliqPorTipo,COLUMN($J$160)-1,0),0)</f>
        <v>0</v>
      </c>
      <c r="G230" s="207">
        <f>IFERROR('A4 - Previsão de Receita Bruta'!F14*VLOOKUP($C204,AliqPorTipo,COLUMN($J$160)-1,0),0)</f>
        <v>0</v>
      </c>
      <c r="H230" s="207">
        <f>IFERROR('A4 - Previsão de Receita Bruta'!G14*VLOOKUP($C204,AliqPorTipo,COLUMN($J$160)-1,0),0)</f>
        <v>0</v>
      </c>
      <c r="I230" s="207">
        <f>IFERROR('A4 - Previsão de Receita Bruta'!H14*VLOOKUP($C204,AliqPorTipo,COLUMN($J$160)-1,0),0)</f>
        <v>0</v>
      </c>
      <c r="J230" s="207">
        <f>IFERROR('A4 - Previsão de Receita Bruta'!I14*VLOOKUP($C204,AliqPorTipo,COLUMN($J$160)-1,0),0)</f>
        <v>0</v>
      </c>
      <c r="K230" s="207">
        <f>IFERROR('A4 - Previsão de Receita Bruta'!J14*VLOOKUP($C204,AliqPorTipo,COLUMN($J$160)-1,0),0)</f>
        <v>0</v>
      </c>
      <c r="L230" s="207">
        <f>IFERROR('A4 - Previsão de Receita Bruta'!K14*VLOOKUP($C204,AliqPorTipo,COLUMN($J$160)-1,0),0)</f>
        <v>0</v>
      </c>
      <c r="M230" s="207">
        <f>IFERROR('A4 - Previsão de Receita Bruta'!L14*VLOOKUP($C204,AliqPorTipo,COLUMN($J$160)-1,0),0)</f>
        <v>0</v>
      </c>
      <c r="N230" s="207">
        <f>IFERROR('A4 - Previsão de Receita Bruta'!M14*VLOOKUP($C204,AliqPorTipo,COLUMN($J$160)-1,0),0)</f>
        <v>0</v>
      </c>
      <c r="O230" s="207">
        <f>IFERROR('A4 - Previsão de Receita Bruta'!N14*VLOOKUP($C204,AliqPorTipo,COLUMN($J$160)-1,0),0)</f>
        <v>0</v>
      </c>
      <c r="P230" s="207">
        <f>IFERROR('A4 - Previsão de Receita Bruta'!O14*VLOOKUP($C204,AliqPorTipo,COLUMN($J$160)-1,0),0)</f>
        <v>0</v>
      </c>
      <c r="Q230" s="207">
        <f>IFERROR('A4 - Previsão de Receita Bruta'!P14*VLOOKUP($C204,AliqPorTipo,COLUMN($J$160)-1,0),0)</f>
        <v>0</v>
      </c>
      <c r="R230" s="207">
        <f>IFERROR('A4 - Previsão de Receita Bruta'!Q14*VLOOKUP($C204,AliqPorTipo,COLUMN($J$160)-1,0),0)</f>
        <v>0</v>
      </c>
      <c r="S230" s="207">
        <f>IFERROR('A4 - Previsão de Receita Bruta'!R14*VLOOKUP($C204,AliqPorTipo,COLUMN($J$160)-1,0),0)</f>
        <v>0</v>
      </c>
      <c r="T230" s="207">
        <f>IFERROR('A4 - Previsão de Receita Bruta'!S14*VLOOKUP($C204,AliqPorTipo,COLUMN($J$160)-1,0),0)</f>
        <v>0</v>
      </c>
      <c r="U230" s="207">
        <f>IFERROR('A4 - Previsão de Receita Bruta'!T14*VLOOKUP($C204,AliqPorTipo,COLUMN($J$160)-1,0),0)</f>
        <v>0</v>
      </c>
      <c r="V230" s="207">
        <f>IFERROR('A4 - Previsão de Receita Bruta'!U14*VLOOKUP($C204,AliqPorTipo,COLUMN($J$160)-1,0),0)</f>
        <v>0</v>
      </c>
      <c r="W230" s="207">
        <f>IFERROR('A4 - Previsão de Receita Bruta'!V14*VLOOKUP($C204,AliqPorTipo,COLUMN($J$160)-1,0),0)</f>
        <v>0</v>
      </c>
      <c r="X230" s="207">
        <f>IFERROR('A4 - Previsão de Receita Bruta'!W14*VLOOKUP($C204,AliqPorTipo,COLUMN($J$160)-1,0),0)</f>
        <v>0</v>
      </c>
      <c r="Y230" s="207">
        <f>IFERROR('A4 - Previsão de Receita Bruta'!X14*VLOOKUP($C204,AliqPorTipo,COLUMN($J$160)-1,0),0)</f>
        <v>0</v>
      </c>
      <c r="Z230" s="207">
        <f>IFERROR('A4 - Previsão de Receita Bruta'!Y14*VLOOKUP($C204,AliqPorTipo,COLUMN($J$160)-1,0),0)</f>
        <v>0</v>
      </c>
      <c r="AA230" s="207">
        <f>IFERROR('A4 - Previsão de Receita Bruta'!Z14*VLOOKUP($C204,AliqPorTipo,COLUMN($J$160)-1,0),0)</f>
        <v>0</v>
      </c>
      <c r="AB230" s="207">
        <f>IFERROR('A4 - Previsão de Receita Bruta'!AA14*VLOOKUP($C204,AliqPorTipo,COLUMN($J$160)-1,0),0)</f>
        <v>0</v>
      </c>
      <c r="AC230" s="207">
        <f>IFERROR('A4 - Previsão de Receita Bruta'!AB14*VLOOKUP($C204,AliqPorTipo,COLUMN($J$160)-1,0),0)</f>
        <v>0</v>
      </c>
      <c r="AD230" s="207">
        <f>IFERROR('A4 - Previsão de Receita Bruta'!AC14*VLOOKUP($C204,AliqPorTipo,COLUMN($J$160)-1,0),0)</f>
        <v>0</v>
      </c>
      <c r="AE230" s="207">
        <f>IFERROR('A4 - Previsão de Receita Bruta'!AD14*VLOOKUP($C204,AliqPorTipo,COLUMN($J$160)-1,0),0)</f>
        <v>0</v>
      </c>
      <c r="AF230" s="207">
        <f>IFERROR('A4 - Previsão de Receita Bruta'!AE14*VLOOKUP($C204,AliqPorTipo,COLUMN($J$160)-1,0),0)</f>
        <v>0</v>
      </c>
      <c r="AG230" s="207">
        <f>IFERROR('A4 - Previsão de Receita Bruta'!AF14*VLOOKUP($C204,AliqPorTipo,COLUMN($J$160)-1,0),0)</f>
        <v>0</v>
      </c>
      <c r="AH230" s="525"/>
      <c r="AI230" s="521"/>
      <c r="AJ230" s="521"/>
    </row>
    <row r="231" spans="1:36" ht="15" customHeight="1">
      <c r="A231" s="521"/>
      <c r="B231" s="205" t="str">
        <f t="shared" si="43"/>
        <v>Silveira - Hospedagem</v>
      </c>
      <c r="C231" s="206" t="str">
        <f t="shared" si="44"/>
        <v>Serviços</v>
      </c>
      <c r="D231" s="207">
        <f>IFERROR('A4 - Previsão de Receita Bruta'!C15*VLOOKUP($C205,AliqPorTipo,COLUMN($J$160)-1,0),0)</f>
        <v>0</v>
      </c>
      <c r="E231" s="207">
        <f>IFERROR('A4 - Previsão de Receita Bruta'!D15*VLOOKUP($C205,AliqPorTipo,COLUMN($J$160)-1,0),0)</f>
        <v>0</v>
      </c>
      <c r="F231" s="207">
        <f>IFERROR('A4 - Previsão de Receita Bruta'!E15*VLOOKUP($C205,AliqPorTipo,COLUMN($J$160)-1,0),0)</f>
        <v>0</v>
      </c>
      <c r="G231" s="207">
        <f>IFERROR('A4 - Previsão de Receita Bruta'!F15*VLOOKUP($C205,AliqPorTipo,COLUMN($J$160)-1,0),0)</f>
        <v>0</v>
      </c>
      <c r="H231" s="207">
        <f>IFERROR('A4 - Previsão de Receita Bruta'!G15*VLOOKUP($C205,AliqPorTipo,COLUMN($J$160)-1,0),0)</f>
        <v>0</v>
      </c>
      <c r="I231" s="207">
        <f>IFERROR('A4 - Previsão de Receita Bruta'!H15*VLOOKUP($C205,AliqPorTipo,COLUMN($J$160)-1,0),0)</f>
        <v>0</v>
      </c>
      <c r="J231" s="207">
        <f>IFERROR('A4 - Previsão de Receita Bruta'!I15*VLOOKUP($C205,AliqPorTipo,COLUMN($J$160)-1,0),0)</f>
        <v>0</v>
      </c>
      <c r="K231" s="207">
        <f>IFERROR('A4 - Previsão de Receita Bruta'!J15*VLOOKUP($C205,AliqPorTipo,COLUMN($J$160)-1,0),0)</f>
        <v>0</v>
      </c>
      <c r="L231" s="207">
        <f>IFERROR('A4 - Previsão de Receita Bruta'!K15*VLOOKUP($C205,AliqPorTipo,COLUMN($J$160)-1,0),0)</f>
        <v>0</v>
      </c>
      <c r="M231" s="207">
        <f>IFERROR('A4 - Previsão de Receita Bruta'!L15*VLOOKUP($C205,AliqPorTipo,COLUMN($J$160)-1,0),0)</f>
        <v>0</v>
      </c>
      <c r="N231" s="207">
        <f>IFERROR('A4 - Previsão de Receita Bruta'!M15*VLOOKUP($C205,AliqPorTipo,COLUMN($J$160)-1,0),0)</f>
        <v>0</v>
      </c>
      <c r="O231" s="207">
        <f>IFERROR('A4 - Previsão de Receita Bruta'!N15*VLOOKUP($C205,AliqPorTipo,COLUMN($J$160)-1,0),0)</f>
        <v>0</v>
      </c>
      <c r="P231" s="207">
        <f>IFERROR('A4 - Previsão de Receita Bruta'!O15*VLOOKUP($C205,AliqPorTipo,COLUMN($J$160)-1,0),0)</f>
        <v>0</v>
      </c>
      <c r="Q231" s="207">
        <f>IFERROR('A4 - Previsão de Receita Bruta'!P15*VLOOKUP($C205,AliqPorTipo,COLUMN($J$160)-1,0),0)</f>
        <v>0</v>
      </c>
      <c r="R231" s="207">
        <f>IFERROR('A4 - Previsão de Receita Bruta'!Q15*VLOOKUP($C205,AliqPorTipo,COLUMN($J$160)-1,0),0)</f>
        <v>0</v>
      </c>
      <c r="S231" s="207">
        <f>IFERROR('A4 - Previsão de Receita Bruta'!R15*VLOOKUP($C205,AliqPorTipo,COLUMN($J$160)-1,0),0)</f>
        <v>0</v>
      </c>
      <c r="T231" s="207">
        <f>IFERROR('A4 - Previsão de Receita Bruta'!S15*VLOOKUP($C205,AliqPorTipo,COLUMN($J$160)-1,0),0)</f>
        <v>0</v>
      </c>
      <c r="U231" s="207">
        <f>IFERROR('A4 - Previsão de Receita Bruta'!T15*VLOOKUP($C205,AliqPorTipo,COLUMN($J$160)-1,0),0)</f>
        <v>0</v>
      </c>
      <c r="V231" s="207">
        <f>IFERROR('A4 - Previsão de Receita Bruta'!U15*VLOOKUP($C205,AliqPorTipo,COLUMN($J$160)-1,0),0)</f>
        <v>0</v>
      </c>
      <c r="W231" s="207">
        <f>IFERROR('A4 - Previsão de Receita Bruta'!V15*VLOOKUP($C205,AliqPorTipo,COLUMN($J$160)-1,0),0)</f>
        <v>0</v>
      </c>
      <c r="X231" s="207">
        <f>IFERROR('A4 - Previsão de Receita Bruta'!W15*VLOOKUP($C205,AliqPorTipo,COLUMN($J$160)-1,0),0)</f>
        <v>0</v>
      </c>
      <c r="Y231" s="207">
        <f>IFERROR('A4 - Previsão de Receita Bruta'!X15*VLOOKUP($C205,AliqPorTipo,COLUMN($J$160)-1,0),0)</f>
        <v>0</v>
      </c>
      <c r="Z231" s="207">
        <f>IFERROR('A4 - Previsão de Receita Bruta'!Y15*VLOOKUP($C205,AliqPorTipo,COLUMN($J$160)-1,0),0)</f>
        <v>0</v>
      </c>
      <c r="AA231" s="207">
        <f>IFERROR('A4 - Previsão de Receita Bruta'!Z15*VLOOKUP($C205,AliqPorTipo,COLUMN($J$160)-1,0),0)</f>
        <v>0</v>
      </c>
      <c r="AB231" s="207">
        <f>IFERROR('A4 - Previsão de Receita Bruta'!AA15*VLOOKUP($C205,AliqPorTipo,COLUMN($J$160)-1,0),0)</f>
        <v>0</v>
      </c>
      <c r="AC231" s="207">
        <f>IFERROR('A4 - Previsão de Receita Bruta'!AB15*VLOOKUP($C205,AliqPorTipo,COLUMN($J$160)-1,0),0)</f>
        <v>0</v>
      </c>
      <c r="AD231" s="207">
        <f>IFERROR('A4 - Previsão de Receita Bruta'!AC15*VLOOKUP($C205,AliqPorTipo,COLUMN($J$160)-1,0),0)</f>
        <v>0</v>
      </c>
      <c r="AE231" s="207">
        <f>IFERROR('A4 - Previsão de Receita Bruta'!AD15*VLOOKUP($C205,AliqPorTipo,COLUMN($J$160)-1,0),0)</f>
        <v>0</v>
      </c>
      <c r="AF231" s="207">
        <f>IFERROR('A4 - Previsão de Receita Bruta'!AE15*VLOOKUP($C205,AliqPorTipo,COLUMN($J$160)-1,0),0)</f>
        <v>0</v>
      </c>
      <c r="AG231" s="207">
        <f>IFERROR('A4 - Previsão de Receita Bruta'!AF15*VLOOKUP($C205,AliqPorTipo,COLUMN($J$160)-1,0),0)</f>
        <v>0</v>
      </c>
      <c r="AH231" s="525"/>
      <c r="AI231" s="521"/>
      <c r="AJ231" s="521"/>
    </row>
    <row r="232" spans="1:36" ht="15" customHeight="1">
      <c r="A232" s="521"/>
      <c r="B232" s="205" t="str">
        <f t="shared" si="43"/>
        <v>Pedra Furada - Alimentação</v>
      </c>
      <c r="C232" s="206" t="str">
        <f t="shared" si="44"/>
        <v>Alimentação</v>
      </c>
      <c r="D232" s="207">
        <f>IFERROR('A4 - Previsão de Receita Bruta'!C16*VLOOKUP($C206,AliqPorTipo,COLUMN($J$160)-1,0),0)</f>
        <v>0</v>
      </c>
      <c r="E232" s="207">
        <f>IFERROR('A4 - Previsão de Receita Bruta'!D16*VLOOKUP($C206,AliqPorTipo,COLUMN($J$160)-1,0),0)</f>
        <v>23370.12</v>
      </c>
      <c r="F232" s="207">
        <f>IFERROR('A4 - Previsão de Receita Bruta'!E16*VLOOKUP($C206,AliqPorTipo,COLUMN($J$160)-1,0),0)</f>
        <v>24176.339999999997</v>
      </c>
      <c r="G232" s="207">
        <f>IFERROR('A4 - Previsão de Receita Bruta'!F16*VLOOKUP($C206,AliqPorTipo,COLUMN($J$160)-1,0),0)</f>
        <v>24956.909999999996</v>
      </c>
      <c r="H232" s="207">
        <f>IFERROR('A4 - Previsão de Receita Bruta'!G16*VLOOKUP($C206,AliqPorTipo,COLUMN($J$160)-1,0),0)</f>
        <v>25750.17</v>
      </c>
      <c r="I232" s="207">
        <f>IFERROR('A4 - Previsão de Receita Bruta'!H16*VLOOKUP($C206,AliqPorTipo,COLUMN($J$160)-1,0),0)</f>
        <v>26557.199999999997</v>
      </c>
      <c r="J232" s="207">
        <f>IFERROR('A4 - Previsão de Receita Bruta'!I16*VLOOKUP($C206,AliqPorTipo,COLUMN($J$160)-1,0),0)</f>
        <v>27387.179999999997</v>
      </c>
      <c r="K232" s="207">
        <f>IFERROR('A4 - Previsão de Receita Bruta'!J16*VLOOKUP($C206,AliqPorTipo,COLUMN($J$160)-1,0),0)</f>
        <v>28241.19</v>
      </c>
      <c r="L232" s="207">
        <f>IFERROR('A4 - Previsão de Receita Bruta'!K16*VLOOKUP($C206,AliqPorTipo,COLUMN($J$160)-1,0),0)</f>
        <v>29110.859999999997</v>
      </c>
      <c r="M232" s="207">
        <f>IFERROR('A4 - Previsão de Receita Bruta'!L16*VLOOKUP($C206,AliqPorTipo,COLUMN($J$160)-1,0),0)</f>
        <v>29996.459999999995</v>
      </c>
      <c r="N232" s="207">
        <f>IFERROR('A4 - Previsão de Receita Bruta'!M16*VLOOKUP($C206,AliqPorTipo,COLUMN($J$160)-1,0),0)</f>
        <v>30910.139999999996</v>
      </c>
      <c r="O232" s="207">
        <f>IFERROR('A4 - Previsão de Receita Bruta'!N16*VLOOKUP($C206,AliqPorTipo,COLUMN($J$160)-1,0),0)</f>
        <v>31851.089999999997</v>
      </c>
      <c r="P232" s="207">
        <f>IFERROR('A4 - Previsão de Receita Bruta'!O16*VLOOKUP($C206,AliqPorTipo,COLUMN($J$160)-1,0),0)</f>
        <v>32822.009999999995</v>
      </c>
      <c r="Q232" s="207">
        <f>IFERROR('A4 - Previsão de Receita Bruta'!P16*VLOOKUP($C206,AliqPorTipo,COLUMN($J$160)-1,0),0)</f>
        <v>33822.089999999997</v>
      </c>
      <c r="R232" s="207">
        <f>IFERROR('A4 - Previsão de Receita Bruta'!Q16*VLOOKUP($C206,AliqPorTipo,COLUMN($J$160)-1,0),0)</f>
        <v>34852.409999999996</v>
      </c>
      <c r="S232" s="207">
        <f>IFERROR('A4 - Previsão de Receita Bruta'!R16*VLOOKUP($C206,AliqPorTipo,COLUMN($J$160)-1,0),0)</f>
        <v>35911.079999999994</v>
      </c>
      <c r="T232" s="207">
        <f>IFERROR('A4 - Previsão de Receita Bruta'!S16*VLOOKUP($C206,AliqPorTipo,COLUMN($J$160)-1,0),0)</f>
        <v>36996.479999999996</v>
      </c>
      <c r="U232" s="207">
        <f>IFERROR('A4 - Previsão de Receita Bruta'!T16*VLOOKUP($C206,AliqPorTipo,COLUMN($J$160)-1,0),0)</f>
        <v>38105.1</v>
      </c>
      <c r="V232" s="207">
        <f>IFERROR('A4 - Previsão de Receita Bruta'!U16*VLOOKUP($C206,AliqPorTipo,COLUMN($J$160)-1,0),0)</f>
        <v>39234.239999999998</v>
      </c>
      <c r="W232" s="207">
        <f>IFERROR('A4 - Previsão de Receita Bruta'!V16*VLOOKUP($C206,AliqPorTipo,COLUMN($J$160)-1,0),0)</f>
        <v>40378.229999999996</v>
      </c>
      <c r="X232" s="207">
        <f>IFERROR('A4 - Previsão de Receita Bruta'!W16*VLOOKUP($C206,AliqPorTipo,COLUMN($J$160)-1,0),0)</f>
        <v>40378.229999999996</v>
      </c>
      <c r="Y232" s="207">
        <f>IFERROR('A4 - Previsão de Receita Bruta'!X16*VLOOKUP($C206,AliqPorTipo,COLUMN($J$160)-1,0),0)</f>
        <v>40378.229999999996</v>
      </c>
      <c r="Z232" s="207">
        <f>IFERROR('A4 - Previsão de Receita Bruta'!Y16*VLOOKUP($C206,AliqPorTipo,COLUMN($J$160)-1,0),0)</f>
        <v>40378.229999999996</v>
      </c>
      <c r="AA232" s="207">
        <f>IFERROR('A4 - Previsão de Receita Bruta'!Z16*VLOOKUP($C206,AliqPorTipo,COLUMN($J$160)-1,0),0)</f>
        <v>40378.229999999996</v>
      </c>
      <c r="AB232" s="207">
        <f>IFERROR('A4 - Previsão de Receita Bruta'!AA16*VLOOKUP($C206,AliqPorTipo,COLUMN($J$160)-1,0),0)</f>
        <v>40378.229999999996</v>
      </c>
      <c r="AC232" s="207">
        <f>IFERROR('A4 - Previsão de Receita Bruta'!AB16*VLOOKUP($C206,AliqPorTipo,COLUMN($J$160)-1,0),0)</f>
        <v>40378.229999999996</v>
      </c>
      <c r="AD232" s="207">
        <f>IFERROR('A4 - Previsão de Receita Bruta'!AC16*VLOOKUP($C206,AliqPorTipo,COLUMN($J$160)-1,0),0)</f>
        <v>40378.229999999996</v>
      </c>
      <c r="AE232" s="207">
        <f>IFERROR('A4 - Previsão de Receita Bruta'!AD16*VLOOKUP($C206,AliqPorTipo,COLUMN($J$160)-1,0),0)</f>
        <v>40378.229999999996</v>
      </c>
      <c r="AF232" s="207">
        <f>IFERROR('A4 - Previsão de Receita Bruta'!AE16*VLOOKUP($C206,AliqPorTipo,COLUMN($J$160)-1,0),0)</f>
        <v>40378.229999999996</v>
      </c>
      <c r="AG232" s="207">
        <f>IFERROR('A4 - Previsão de Receita Bruta'!AF16*VLOOKUP($C206,AliqPorTipo,COLUMN($J$160)-1,0),0)</f>
        <v>40378.229999999996</v>
      </c>
      <c r="AH232" s="525"/>
      <c r="AI232" s="521"/>
      <c r="AJ232" s="521"/>
    </row>
    <row r="233" spans="1:36" ht="15" customHeight="1">
      <c r="A233" s="521"/>
      <c r="B233" s="205" t="str">
        <f t="shared" si="43"/>
        <v>Pedra Furada - Comércio</v>
      </c>
      <c r="C233" s="206" t="str">
        <f t="shared" si="44"/>
        <v>Comércio</v>
      </c>
      <c r="D233" s="207">
        <f>IFERROR('A4 - Previsão de Receita Bruta'!C17*VLOOKUP($C207,AliqPorTipo,COLUMN($J$160)-1,0),0)</f>
        <v>0</v>
      </c>
      <c r="E233" s="207">
        <f>IFERROR('A4 - Previsão de Receita Bruta'!D17*VLOOKUP($C207,AliqPorTipo,COLUMN($J$160)-1,0),0)</f>
        <v>7790.0399999999991</v>
      </c>
      <c r="F233" s="207">
        <f>IFERROR('A4 - Previsão de Receita Bruta'!E17*VLOOKUP($C207,AliqPorTipo,COLUMN($J$160)-1,0),0)</f>
        <v>8058.9599999999991</v>
      </c>
      <c r="G233" s="207">
        <f>IFERROR('A4 - Previsão de Receita Bruta'!F17*VLOOKUP($C207,AliqPorTipo,COLUMN($J$160)-1,0),0)</f>
        <v>8319.24</v>
      </c>
      <c r="H233" s="207">
        <f>IFERROR('A4 - Previsão de Receita Bruta'!G17*VLOOKUP($C207,AliqPorTipo,COLUMN($J$160)-1,0),0)</f>
        <v>8583.2999999999993</v>
      </c>
      <c r="I233" s="207">
        <f>IFERROR('A4 - Previsão de Receita Bruta'!H17*VLOOKUP($C207,AliqPorTipo,COLUMN($J$160)-1,0),0)</f>
        <v>8852.2199999999993</v>
      </c>
      <c r="J233" s="207">
        <f>IFERROR('A4 - Previsão de Receita Bruta'!I17*VLOOKUP($C207,AliqPorTipo,COLUMN($J$160)-1,0),0)</f>
        <v>9129.24</v>
      </c>
      <c r="K233" s="207">
        <f>IFERROR('A4 - Previsão de Receita Bruta'!J17*VLOOKUP($C207,AliqPorTipo,COLUMN($J$160)-1,0),0)</f>
        <v>9413.82</v>
      </c>
      <c r="L233" s="207">
        <f>IFERROR('A4 - Previsão de Receita Bruta'!K17*VLOOKUP($C207,AliqPorTipo,COLUMN($J$160)-1,0),0)</f>
        <v>9703.7999999999993</v>
      </c>
      <c r="M233" s="207">
        <f>IFERROR('A4 - Previsão de Receita Bruta'!L17*VLOOKUP($C207,AliqPorTipo,COLUMN($J$160)-1,0),0)</f>
        <v>9998.64</v>
      </c>
      <c r="N233" s="207">
        <f>IFERROR('A4 - Previsão de Receita Bruta'!M17*VLOOKUP($C207,AliqPorTipo,COLUMN($J$160)-1,0),0)</f>
        <v>10303.199999999999</v>
      </c>
      <c r="O233" s="207">
        <f>IFERROR('A4 - Previsão de Receita Bruta'!N17*VLOOKUP($C207,AliqPorTipo,COLUMN($J$160)-1,0),0)</f>
        <v>10616.939999999999</v>
      </c>
      <c r="P233" s="207">
        <f>IFERROR('A4 - Previsão de Receita Bruta'!O17*VLOOKUP($C207,AliqPorTipo,COLUMN($J$160)-1,0),0)</f>
        <v>10940.4</v>
      </c>
      <c r="Q233" s="207">
        <f>IFERROR('A4 - Previsão de Receita Bruta'!P17*VLOOKUP($C207,AliqPorTipo,COLUMN($J$160)-1,0),0)</f>
        <v>11274.119999999999</v>
      </c>
      <c r="R233" s="207">
        <f>IFERROR('A4 - Previsão de Receita Bruta'!Q17*VLOOKUP($C207,AliqPorTipo,COLUMN($J$160)-1,0),0)</f>
        <v>11617.56</v>
      </c>
      <c r="S233" s="207">
        <f>IFERROR('A4 - Previsão de Receita Bruta'!R17*VLOOKUP($C207,AliqPorTipo,COLUMN($J$160)-1,0),0)</f>
        <v>11970.179999999998</v>
      </c>
      <c r="T233" s="207">
        <f>IFERROR('A4 - Previsão de Receita Bruta'!S17*VLOOKUP($C207,AliqPorTipo,COLUMN($J$160)-1,0),0)</f>
        <v>12331.98</v>
      </c>
      <c r="U233" s="207">
        <f>IFERROR('A4 - Previsão de Receita Bruta'!T17*VLOOKUP($C207,AliqPorTipo,COLUMN($J$160)-1,0),0)</f>
        <v>12701.88</v>
      </c>
      <c r="V233" s="207">
        <f>IFERROR('A4 - Previsão de Receita Bruta'!U17*VLOOKUP($C207,AliqPorTipo,COLUMN($J$160)-1,0),0)</f>
        <v>13078.259999999998</v>
      </c>
      <c r="W233" s="207">
        <f>IFERROR('A4 - Previsão de Receita Bruta'!V17*VLOOKUP($C207,AliqPorTipo,COLUMN($J$160)-1,0),0)</f>
        <v>13459.499999999998</v>
      </c>
      <c r="X233" s="207">
        <f>IFERROR('A4 - Previsão de Receita Bruta'!W17*VLOOKUP($C207,AliqPorTipo,COLUMN($J$160)-1,0),0)</f>
        <v>13459.499999999998</v>
      </c>
      <c r="Y233" s="207">
        <f>IFERROR('A4 - Previsão de Receita Bruta'!X17*VLOOKUP($C207,AliqPorTipo,COLUMN($J$160)-1,0),0)</f>
        <v>13459.499999999998</v>
      </c>
      <c r="Z233" s="207">
        <f>IFERROR('A4 - Previsão de Receita Bruta'!Y17*VLOOKUP($C207,AliqPorTipo,COLUMN($J$160)-1,0),0)</f>
        <v>13459.499999999998</v>
      </c>
      <c r="AA233" s="207">
        <f>IFERROR('A4 - Previsão de Receita Bruta'!Z17*VLOOKUP($C207,AliqPorTipo,COLUMN($J$160)-1,0),0)</f>
        <v>13459.499999999998</v>
      </c>
      <c r="AB233" s="207">
        <f>IFERROR('A4 - Previsão de Receita Bruta'!AA17*VLOOKUP($C207,AliqPorTipo,COLUMN($J$160)-1,0),0)</f>
        <v>13459.499999999998</v>
      </c>
      <c r="AC233" s="207">
        <f>IFERROR('A4 - Previsão de Receita Bruta'!AB17*VLOOKUP($C207,AliqPorTipo,COLUMN($J$160)-1,0),0)</f>
        <v>13459.499999999998</v>
      </c>
      <c r="AD233" s="207">
        <f>IFERROR('A4 - Previsão de Receita Bruta'!AC17*VLOOKUP($C207,AliqPorTipo,COLUMN($J$160)-1,0),0)</f>
        <v>13459.499999999998</v>
      </c>
      <c r="AE233" s="207">
        <f>IFERROR('A4 - Previsão de Receita Bruta'!AD17*VLOOKUP($C207,AliqPorTipo,COLUMN($J$160)-1,0),0)</f>
        <v>13459.499999999998</v>
      </c>
      <c r="AF233" s="207">
        <f>IFERROR('A4 - Previsão de Receita Bruta'!AE17*VLOOKUP($C207,AliqPorTipo,COLUMN($J$160)-1,0),0)</f>
        <v>13459.499999999998</v>
      </c>
      <c r="AG233" s="207">
        <f>IFERROR('A4 - Previsão de Receita Bruta'!AF17*VLOOKUP($C207,AliqPorTipo,COLUMN($J$160)-1,0),0)</f>
        <v>13459.499999999998</v>
      </c>
      <c r="AH233" s="525"/>
      <c r="AI233" s="521"/>
      <c r="AJ233" s="521"/>
    </row>
    <row r="234" spans="1:36" ht="15" customHeight="1">
      <c r="A234" s="521"/>
      <c r="B234" s="205" t="str">
        <f t="shared" si="43"/>
        <v>Serrote - Alimentação</v>
      </c>
      <c r="C234" s="206" t="str">
        <f t="shared" si="44"/>
        <v>Alimentação</v>
      </c>
      <c r="D234" s="207">
        <f>IFERROR('A4 - Previsão de Receita Bruta'!C18*VLOOKUP($C208,AliqPorTipo,COLUMN($J$160)-1,0),0)</f>
        <v>0</v>
      </c>
      <c r="E234" s="207">
        <f>IFERROR('A4 - Previsão de Receita Bruta'!D18*VLOOKUP($C208,AliqPorTipo,COLUMN($J$160)-1,0),0)</f>
        <v>23370.12</v>
      </c>
      <c r="F234" s="207">
        <f>IFERROR('A4 - Previsão de Receita Bruta'!E18*VLOOKUP($C208,AliqPorTipo,COLUMN($J$160)-1,0),0)</f>
        <v>24176.339999999997</v>
      </c>
      <c r="G234" s="207">
        <f>IFERROR('A4 - Previsão de Receita Bruta'!F18*VLOOKUP($C208,AliqPorTipo,COLUMN($J$160)-1,0),0)</f>
        <v>24956.909999999996</v>
      </c>
      <c r="H234" s="207">
        <f>IFERROR('A4 - Previsão de Receita Bruta'!G18*VLOOKUP($C208,AliqPorTipo,COLUMN($J$160)-1,0),0)</f>
        <v>25750.17</v>
      </c>
      <c r="I234" s="207">
        <f>IFERROR('A4 - Previsão de Receita Bruta'!H18*VLOOKUP($C208,AliqPorTipo,COLUMN($J$160)-1,0),0)</f>
        <v>26557.199999999997</v>
      </c>
      <c r="J234" s="207">
        <f>IFERROR('A4 - Previsão de Receita Bruta'!I18*VLOOKUP($C208,AliqPorTipo,COLUMN($J$160)-1,0),0)</f>
        <v>27387.179999999997</v>
      </c>
      <c r="K234" s="207">
        <f>IFERROR('A4 - Previsão de Receita Bruta'!J18*VLOOKUP($C208,AliqPorTipo,COLUMN($J$160)-1,0),0)</f>
        <v>28241.19</v>
      </c>
      <c r="L234" s="207">
        <f>IFERROR('A4 - Previsão de Receita Bruta'!K18*VLOOKUP($C208,AliqPorTipo,COLUMN($J$160)-1,0),0)</f>
        <v>29110.859999999997</v>
      </c>
      <c r="M234" s="207">
        <f>IFERROR('A4 - Previsão de Receita Bruta'!L18*VLOOKUP($C208,AliqPorTipo,COLUMN($J$160)-1,0),0)</f>
        <v>29996.459999999995</v>
      </c>
      <c r="N234" s="207">
        <f>IFERROR('A4 - Previsão de Receita Bruta'!M18*VLOOKUP($C208,AliqPorTipo,COLUMN($J$160)-1,0),0)</f>
        <v>30910.139999999996</v>
      </c>
      <c r="O234" s="207">
        <f>IFERROR('A4 - Previsão de Receita Bruta'!N18*VLOOKUP($C208,AliqPorTipo,COLUMN($J$160)-1,0),0)</f>
        <v>31851.089999999997</v>
      </c>
      <c r="P234" s="207">
        <f>IFERROR('A4 - Previsão de Receita Bruta'!O18*VLOOKUP($C208,AliqPorTipo,COLUMN($J$160)-1,0),0)</f>
        <v>32822.009999999995</v>
      </c>
      <c r="Q234" s="207">
        <f>IFERROR('A4 - Previsão de Receita Bruta'!P18*VLOOKUP($C208,AliqPorTipo,COLUMN($J$160)-1,0),0)</f>
        <v>33822.089999999997</v>
      </c>
      <c r="R234" s="207">
        <f>IFERROR('A4 - Previsão de Receita Bruta'!Q18*VLOOKUP($C208,AliqPorTipo,COLUMN($J$160)-1,0),0)</f>
        <v>34852.409999999996</v>
      </c>
      <c r="S234" s="207">
        <f>IFERROR('A4 - Previsão de Receita Bruta'!R18*VLOOKUP($C208,AliqPorTipo,COLUMN($J$160)-1,0),0)</f>
        <v>35911.079999999994</v>
      </c>
      <c r="T234" s="207">
        <f>IFERROR('A4 - Previsão de Receita Bruta'!S18*VLOOKUP($C208,AliqPorTipo,COLUMN($J$160)-1,0),0)</f>
        <v>36996.479999999996</v>
      </c>
      <c r="U234" s="207">
        <f>IFERROR('A4 - Previsão de Receita Bruta'!T18*VLOOKUP($C208,AliqPorTipo,COLUMN($J$160)-1,0),0)</f>
        <v>38105.1</v>
      </c>
      <c r="V234" s="207">
        <f>IFERROR('A4 - Previsão de Receita Bruta'!U18*VLOOKUP($C208,AliqPorTipo,COLUMN($J$160)-1,0),0)</f>
        <v>39234.239999999998</v>
      </c>
      <c r="W234" s="207">
        <f>IFERROR('A4 - Previsão de Receita Bruta'!V18*VLOOKUP($C208,AliqPorTipo,COLUMN($J$160)-1,0),0)</f>
        <v>40378.229999999996</v>
      </c>
      <c r="X234" s="207">
        <f>IFERROR('A4 - Previsão de Receita Bruta'!W18*VLOOKUP($C208,AliqPorTipo,COLUMN($J$160)-1,0),0)</f>
        <v>40378.229999999996</v>
      </c>
      <c r="Y234" s="207">
        <f>IFERROR('A4 - Previsão de Receita Bruta'!X18*VLOOKUP($C208,AliqPorTipo,COLUMN($J$160)-1,0),0)</f>
        <v>40378.229999999996</v>
      </c>
      <c r="Z234" s="207">
        <f>IFERROR('A4 - Previsão de Receita Bruta'!Y18*VLOOKUP($C208,AliqPorTipo,COLUMN($J$160)-1,0),0)</f>
        <v>40378.229999999996</v>
      </c>
      <c r="AA234" s="207">
        <f>IFERROR('A4 - Previsão de Receita Bruta'!Z18*VLOOKUP($C208,AliqPorTipo,COLUMN($J$160)-1,0),0)</f>
        <v>40378.229999999996</v>
      </c>
      <c r="AB234" s="207">
        <f>IFERROR('A4 - Previsão de Receita Bruta'!AA18*VLOOKUP($C208,AliqPorTipo,COLUMN($J$160)-1,0),0)</f>
        <v>40378.229999999996</v>
      </c>
      <c r="AC234" s="207">
        <f>IFERROR('A4 - Previsão de Receita Bruta'!AB18*VLOOKUP($C208,AliqPorTipo,COLUMN($J$160)-1,0),0)</f>
        <v>40378.229999999996</v>
      </c>
      <c r="AD234" s="207">
        <f>IFERROR('A4 - Previsão de Receita Bruta'!AC18*VLOOKUP($C208,AliqPorTipo,COLUMN($J$160)-1,0),0)</f>
        <v>40378.229999999996</v>
      </c>
      <c r="AE234" s="207">
        <f>IFERROR('A4 - Previsão de Receita Bruta'!AD18*VLOOKUP($C208,AliqPorTipo,COLUMN($J$160)-1,0),0)</f>
        <v>40378.229999999996</v>
      </c>
      <c r="AF234" s="207">
        <f>IFERROR('A4 - Previsão de Receita Bruta'!AE18*VLOOKUP($C208,AliqPorTipo,COLUMN($J$160)-1,0),0)</f>
        <v>40378.229999999996</v>
      </c>
      <c r="AG234" s="207">
        <f>IFERROR('A4 - Previsão de Receita Bruta'!AF18*VLOOKUP($C208,AliqPorTipo,COLUMN($J$160)-1,0),0)</f>
        <v>40378.229999999996</v>
      </c>
      <c r="AH234" s="525"/>
      <c r="AI234" s="521"/>
      <c r="AJ234" s="521"/>
    </row>
    <row r="235" spans="1:36" ht="15" customHeight="1">
      <c r="A235" s="521"/>
      <c r="B235" s="205" t="str">
        <f t="shared" si="43"/>
        <v>Serrote - Comércio</v>
      </c>
      <c r="C235" s="206" t="str">
        <f t="shared" si="44"/>
        <v>Comércio</v>
      </c>
      <c r="D235" s="207">
        <f>IFERROR('A4 - Previsão de Receita Bruta'!C19*VLOOKUP($C209,AliqPorTipo,COLUMN($J$160)-1,0),0)</f>
        <v>0</v>
      </c>
      <c r="E235" s="207">
        <f>IFERROR('A4 - Previsão de Receita Bruta'!D19*VLOOKUP($C209,AliqPorTipo,COLUMN($J$160)-1,0),0)</f>
        <v>7790.0399999999991</v>
      </c>
      <c r="F235" s="207">
        <f>IFERROR('A4 - Previsão de Receita Bruta'!E19*VLOOKUP($C209,AliqPorTipo,COLUMN($J$160)-1,0),0)</f>
        <v>8058.9599999999991</v>
      </c>
      <c r="G235" s="207">
        <f>IFERROR('A4 - Previsão de Receita Bruta'!F19*VLOOKUP($C209,AliqPorTipo,COLUMN($J$160)-1,0),0)</f>
        <v>8319.24</v>
      </c>
      <c r="H235" s="207">
        <f>IFERROR('A4 - Previsão de Receita Bruta'!G19*VLOOKUP($C209,AliqPorTipo,COLUMN($J$160)-1,0),0)</f>
        <v>8583.2999999999993</v>
      </c>
      <c r="I235" s="207">
        <f>IFERROR('A4 - Previsão de Receita Bruta'!H19*VLOOKUP($C209,AliqPorTipo,COLUMN($J$160)-1,0),0)</f>
        <v>8852.2199999999993</v>
      </c>
      <c r="J235" s="207">
        <f>IFERROR('A4 - Previsão de Receita Bruta'!I19*VLOOKUP($C209,AliqPorTipo,COLUMN($J$160)-1,0),0)</f>
        <v>9129.24</v>
      </c>
      <c r="K235" s="207">
        <f>IFERROR('A4 - Previsão de Receita Bruta'!J19*VLOOKUP($C209,AliqPorTipo,COLUMN($J$160)-1,0),0)</f>
        <v>9413.82</v>
      </c>
      <c r="L235" s="207">
        <f>IFERROR('A4 - Previsão de Receita Bruta'!K19*VLOOKUP($C209,AliqPorTipo,COLUMN($J$160)-1,0),0)</f>
        <v>9703.7999999999993</v>
      </c>
      <c r="M235" s="207">
        <f>IFERROR('A4 - Previsão de Receita Bruta'!L19*VLOOKUP($C209,AliqPorTipo,COLUMN($J$160)-1,0),0)</f>
        <v>9998.64</v>
      </c>
      <c r="N235" s="207">
        <f>IFERROR('A4 - Previsão de Receita Bruta'!M19*VLOOKUP($C209,AliqPorTipo,COLUMN($J$160)-1,0),0)</f>
        <v>10303.199999999999</v>
      </c>
      <c r="O235" s="207">
        <f>IFERROR('A4 - Previsão de Receita Bruta'!N19*VLOOKUP($C209,AliqPorTipo,COLUMN($J$160)-1,0),0)</f>
        <v>10616.939999999999</v>
      </c>
      <c r="P235" s="207">
        <f>IFERROR('A4 - Previsão de Receita Bruta'!O19*VLOOKUP($C209,AliqPorTipo,COLUMN($J$160)-1,0),0)</f>
        <v>10940.4</v>
      </c>
      <c r="Q235" s="207">
        <f>IFERROR('A4 - Previsão de Receita Bruta'!P19*VLOOKUP($C209,AliqPorTipo,COLUMN($J$160)-1,0),0)</f>
        <v>11274.119999999999</v>
      </c>
      <c r="R235" s="207">
        <f>IFERROR('A4 - Previsão de Receita Bruta'!Q19*VLOOKUP($C209,AliqPorTipo,COLUMN($J$160)-1,0),0)</f>
        <v>11617.56</v>
      </c>
      <c r="S235" s="207">
        <f>IFERROR('A4 - Previsão de Receita Bruta'!R19*VLOOKUP($C209,AliqPorTipo,COLUMN($J$160)-1,0),0)</f>
        <v>11970.179999999998</v>
      </c>
      <c r="T235" s="207">
        <f>IFERROR('A4 - Previsão de Receita Bruta'!S19*VLOOKUP($C209,AliqPorTipo,COLUMN($J$160)-1,0),0)</f>
        <v>12331.98</v>
      </c>
      <c r="U235" s="207">
        <f>IFERROR('A4 - Previsão de Receita Bruta'!T19*VLOOKUP($C209,AliqPorTipo,COLUMN($J$160)-1,0),0)</f>
        <v>12701.88</v>
      </c>
      <c r="V235" s="207">
        <f>IFERROR('A4 - Previsão de Receita Bruta'!U19*VLOOKUP($C209,AliqPorTipo,COLUMN($J$160)-1,0),0)</f>
        <v>13078.259999999998</v>
      </c>
      <c r="W235" s="207">
        <f>IFERROR('A4 - Previsão de Receita Bruta'!V19*VLOOKUP($C209,AliqPorTipo,COLUMN($J$160)-1,0),0)</f>
        <v>13459.499999999998</v>
      </c>
      <c r="X235" s="207">
        <f>IFERROR('A4 - Previsão de Receita Bruta'!W19*VLOOKUP($C209,AliqPorTipo,COLUMN($J$160)-1,0),0)</f>
        <v>13459.499999999998</v>
      </c>
      <c r="Y235" s="207">
        <f>IFERROR('A4 - Previsão de Receita Bruta'!X19*VLOOKUP($C209,AliqPorTipo,COLUMN($J$160)-1,0),0)</f>
        <v>13459.499999999998</v>
      </c>
      <c r="Z235" s="207">
        <f>IFERROR('A4 - Previsão de Receita Bruta'!Y19*VLOOKUP($C209,AliqPorTipo,COLUMN($J$160)-1,0),0)</f>
        <v>13459.499999999998</v>
      </c>
      <c r="AA235" s="207">
        <f>IFERROR('A4 - Previsão de Receita Bruta'!Z19*VLOOKUP($C209,AliqPorTipo,COLUMN($J$160)-1,0),0)</f>
        <v>13459.499999999998</v>
      </c>
      <c r="AB235" s="207">
        <f>IFERROR('A4 - Previsão de Receita Bruta'!AA19*VLOOKUP($C209,AliqPorTipo,COLUMN($J$160)-1,0),0)</f>
        <v>13459.499999999998</v>
      </c>
      <c r="AC235" s="207">
        <f>IFERROR('A4 - Previsão de Receita Bruta'!AB19*VLOOKUP($C209,AliqPorTipo,COLUMN($J$160)-1,0),0)</f>
        <v>13459.499999999998</v>
      </c>
      <c r="AD235" s="207">
        <f>IFERROR('A4 - Previsão de Receita Bruta'!AC19*VLOOKUP($C209,AliqPorTipo,COLUMN($J$160)-1,0),0)</f>
        <v>13459.499999999998</v>
      </c>
      <c r="AE235" s="207">
        <f>IFERROR('A4 - Previsão de Receita Bruta'!AD19*VLOOKUP($C209,AliqPorTipo,COLUMN($J$160)-1,0),0)</f>
        <v>13459.499999999998</v>
      </c>
      <c r="AF235" s="207">
        <f>IFERROR('A4 - Previsão de Receita Bruta'!AE19*VLOOKUP($C209,AliqPorTipo,COLUMN($J$160)-1,0),0)</f>
        <v>13459.499999999998</v>
      </c>
      <c r="AG235" s="207">
        <f>IFERROR('A4 - Previsão de Receita Bruta'!AF19*VLOOKUP($C209,AliqPorTipo,COLUMN($J$160)-1,0),0)</f>
        <v>13459.499999999998</v>
      </c>
      <c r="AH235" s="525"/>
      <c r="AI235" s="521"/>
      <c r="AJ235" s="521"/>
    </row>
    <row r="236" spans="1:36" ht="15" customHeight="1">
      <c r="A236" s="521"/>
      <c r="B236" s="205" t="str">
        <f t="shared" si="43"/>
        <v>Paraíso - Alimentação</v>
      </c>
      <c r="C236" s="206" t="str">
        <f t="shared" si="44"/>
        <v>Alimentação</v>
      </c>
      <c r="D236" s="207">
        <f>IFERROR('A4 - Previsão de Receita Bruta'!C20*VLOOKUP($C210,AliqPorTipo,COLUMN($J$160)-1,0),0)</f>
        <v>0</v>
      </c>
      <c r="E236" s="207">
        <f>IFERROR('A4 - Previsão de Receita Bruta'!D20*VLOOKUP($C210,AliqPorTipo,COLUMN($J$160)-1,0),0)</f>
        <v>0</v>
      </c>
      <c r="F236" s="207">
        <f>IFERROR('A4 - Previsão de Receita Bruta'!E20*VLOOKUP($C210,AliqPorTipo,COLUMN($J$160)-1,0),0)</f>
        <v>0</v>
      </c>
      <c r="G236" s="207">
        <f>IFERROR('A4 - Previsão de Receita Bruta'!F20*VLOOKUP($C210,AliqPorTipo,COLUMN($J$160)-1,0),0)</f>
        <v>0</v>
      </c>
      <c r="H236" s="207">
        <f>IFERROR('A4 - Previsão de Receita Bruta'!G20*VLOOKUP($C210,AliqPorTipo,COLUMN($J$160)-1,0),0)</f>
        <v>0</v>
      </c>
      <c r="I236" s="207">
        <f>IFERROR('A4 - Previsão de Receita Bruta'!H20*VLOOKUP($C210,AliqPorTipo,COLUMN($J$160)-1,0),0)</f>
        <v>0</v>
      </c>
      <c r="J236" s="207">
        <f>IFERROR('A4 - Previsão de Receita Bruta'!I20*VLOOKUP($C210,AliqPorTipo,COLUMN($J$160)-1,0),0)</f>
        <v>0</v>
      </c>
      <c r="K236" s="207">
        <f>IFERROR('A4 - Previsão de Receita Bruta'!J20*VLOOKUP($C210,AliqPorTipo,COLUMN($J$160)-1,0),0)</f>
        <v>0</v>
      </c>
      <c r="L236" s="207">
        <f>IFERROR('A4 - Previsão de Receita Bruta'!K20*VLOOKUP($C210,AliqPorTipo,COLUMN($J$160)-1,0),0)</f>
        <v>0</v>
      </c>
      <c r="M236" s="207">
        <f>IFERROR('A4 - Previsão de Receita Bruta'!L20*VLOOKUP($C210,AliqPorTipo,COLUMN($J$160)-1,0),0)</f>
        <v>0</v>
      </c>
      <c r="N236" s="207">
        <f>IFERROR('A4 - Previsão de Receita Bruta'!M20*VLOOKUP($C210,AliqPorTipo,COLUMN($J$160)-1,0),0)</f>
        <v>0</v>
      </c>
      <c r="O236" s="207">
        <f>IFERROR('A4 - Previsão de Receita Bruta'!N20*VLOOKUP($C210,AliqPorTipo,COLUMN($J$160)-1,0),0)</f>
        <v>0</v>
      </c>
      <c r="P236" s="207">
        <f>IFERROR('A4 - Previsão de Receita Bruta'!O20*VLOOKUP($C210,AliqPorTipo,COLUMN($J$160)-1,0),0)</f>
        <v>0</v>
      </c>
      <c r="Q236" s="207">
        <f>IFERROR('A4 - Previsão de Receita Bruta'!P20*VLOOKUP($C210,AliqPorTipo,COLUMN($J$160)-1,0),0)</f>
        <v>0</v>
      </c>
      <c r="R236" s="207">
        <f>IFERROR('A4 - Previsão de Receita Bruta'!Q20*VLOOKUP($C210,AliqPorTipo,COLUMN($J$160)-1,0),0)</f>
        <v>0</v>
      </c>
      <c r="S236" s="207">
        <f>IFERROR('A4 - Previsão de Receita Bruta'!R20*VLOOKUP($C210,AliqPorTipo,COLUMN($J$160)-1,0),0)</f>
        <v>0</v>
      </c>
      <c r="T236" s="207">
        <f>IFERROR('A4 - Previsão de Receita Bruta'!S20*VLOOKUP($C210,AliqPorTipo,COLUMN($J$160)-1,0),0)</f>
        <v>0</v>
      </c>
      <c r="U236" s="207">
        <f>IFERROR('A4 - Previsão de Receita Bruta'!T20*VLOOKUP($C210,AliqPorTipo,COLUMN($J$160)-1,0),0)</f>
        <v>0</v>
      </c>
      <c r="V236" s="207">
        <f>IFERROR('A4 - Previsão de Receita Bruta'!U20*VLOOKUP($C210,AliqPorTipo,COLUMN($J$160)-1,0),0)</f>
        <v>0</v>
      </c>
      <c r="W236" s="207">
        <f>IFERROR('A4 - Previsão de Receita Bruta'!V20*VLOOKUP($C210,AliqPorTipo,COLUMN($J$160)-1,0),0)</f>
        <v>0</v>
      </c>
      <c r="X236" s="207">
        <f>IFERROR('A4 - Previsão de Receita Bruta'!W20*VLOOKUP($C210,AliqPorTipo,COLUMN($J$160)-1,0),0)</f>
        <v>0</v>
      </c>
      <c r="Y236" s="207">
        <f>IFERROR('A4 - Previsão de Receita Bruta'!X20*VLOOKUP($C210,AliqPorTipo,COLUMN($J$160)-1,0),0)</f>
        <v>0</v>
      </c>
      <c r="Z236" s="207">
        <f>IFERROR('A4 - Previsão de Receita Bruta'!Y20*VLOOKUP($C210,AliqPorTipo,COLUMN($J$160)-1,0),0)</f>
        <v>0</v>
      </c>
      <c r="AA236" s="207">
        <f>IFERROR('A4 - Previsão de Receita Bruta'!Z20*VLOOKUP($C210,AliqPorTipo,COLUMN($J$160)-1,0),0)</f>
        <v>0</v>
      </c>
      <c r="AB236" s="207">
        <f>IFERROR('A4 - Previsão de Receita Bruta'!AA20*VLOOKUP($C210,AliqPorTipo,COLUMN($J$160)-1,0),0)</f>
        <v>0</v>
      </c>
      <c r="AC236" s="207">
        <f>IFERROR('A4 - Previsão de Receita Bruta'!AB20*VLOOKUP($C210,AliqPorTipo,COLUMN($J$160)-1,0),0)</f>
        <v>0</v>
      </c>
      <c r="AD236" s="207">
        <f>IFERROR('A4 - Previsão de Receita Bruta'!AC20*VLOOKUP($C210,AliqPorTipo,COLUMN($J$160)-1,0),0)</f>
        <v>0</v>
      </c>
      <c r="AE236" s="207">
        <f>IFERROR('A4 - Previsão de Receita Bruta'!AD20*VLOOKUP($C210,AliqPorTipo,COLUMN($J$160)-1,0),0)</f>
        <v>0</v>
      </c>
      <c r="AF236" s="207">
        <f>IFERROR('A4 - Previsão de Receita Bruta'!AE20*VLOOKUP($C210,AliqPorTipo,COLUMN($J$160)-1,0),0)</f>
        <v>0</v>
      </c>
      <c r="AG236" s="207">
        <f>IFERROR('A4 - Previsão de Receita Bruta'!AF20*VLOOKUP($C210,AliqPorTipo,COLUMN($J$160)-1,0),0)</f>
        <v>0</v>
      </c>
      <c r="AH236" s="525"/>
      <c r="AI236" s="521"/>
      <c r="AJ236" s="521"/>
    </row>
    <row r="237" spans="1:36" ht="15" customHeight="1">
      <c r="A237" s="521"/>
      <c r="B237" s="205" t="str">
        <f t="shared" si="43"/>
        <v>Paraíso - Comércio + Locação + Atividades</v>
      </c>
      <c r="C237" s="206" t="str">
        <f t="shared" si="44"/>
        <v xml:space="preserve"> Comércio </v>
      </c>
      <c r="D237" s="207">
        <f>IFERROR('A4 - Previsão de Receita Bruta'!C21*VLOOKUP($C211,AliqPorTipo,COLUMN($J$160)-1,0),0)</f>
        <v>0</v>
      </c>
      <c r="E237" s="207">
        <f>IFERROR('A4 - Previsão de Receita Bruta'!D21*VLOOKUP($C211,AliqPorTipo,COLUMN($J$160)-1,0),0)</f>
        <v>0</v>
      </c>
      <c r="F237" s="207">
        <f>IFERROR('A4 - Previsão de Receita Bruta'!E21*VLOOKUP($C211,AliqPorTipo,COLUMN($J$160)-1,0),0)</f>
        <v>0</v>
      </c>
      <c r="G237" s="207">
        <f>IFERROR('A4 - Previsão de Receita Bruta'!F21*VLOOKUP($C211,AliqPorTipo,COLUMN($J$160)-1,0),0)</f>
        <v>0</v>
      </c>
      <c r="H237" s="207">
        <f>IFERROR('A4 - Previsão de Receita Bruta'!G21*VLOOKUP($C211,AliqPorTipo,COLUMN($J$160)-1,0),0)</f>
        <v>0</v>
      </c>
      <c r="I237" s="207">
        <f>IFERROR('A4 - Previsão de Receita Bruta'!H21*VLOOKUP($C211,AliqPorTipo,COLUMN($J$160)-1,0),0)</f>
        <v>0</v>
      </c>
      <c r="J237" s="207">
        <f>IFERROR('A4 - Previsão de Receita Bruta'!I21*VLOOKUP($C211,AliqPorTipo,COLUMN($J$160)-1,0),0)</f>
        <v>0</v>
      </c>
      <c r="K237" s="207">
        <f>IFERROR('A4 - Previsão de Receita Bruta'!J21*VLOOKUP($C211,AliqPorTipo,COLUMN($J$160)-1,0),0)</f>
        <v>0</v>
      </c>
      <c r="L237" s="207">
        <f>IFERROR('A4 - Previsão de Receita Bruta'!K21*VLOOKUP($C211,AliqPorTipo,COLUMN($J$160)-1,0),0)</f>
        <v>0</v>
      </c>
      <c r="M237" s="207">
        <f>IFERROR('A4 - Previsão de Receita Bruta'!L21*VLOOKUP($C211,AliqPorTipo,COLUMN($J$160)-1,0),0)</f>
        <v>0</v>
      </c>
      <c r="N237" s="207">
        <f>IFERROR('A4 - Previsão de Receita Bruta'!M21*VLOOKUP($C211,AliqPorTipo,COLUMN($J$160)-1,0),0)</f>
        <v>0</v>
      </c>
      <c r="O237" s="207">
        <f>IFERROR('A4 - Previsão de Receita Bruta'!N21*VLOOKUP($C211,AliqPorTipo,COLUMN($J$160)-1,0),0)</f>
        <v>0</v>
      </c>
      <c r="P237" s="207">
        <f>IFERROR('A4 - Previsão de Receita Bruta'!O21*VLOOKUP($C211,AliqPorTipo,COLUMN($J$160)-1,0),0)</f>
        <v>0</v>
      </c>
      <c r="Q237" s="207">
        <f>IFERROR('A4 - Previsão de Receita Bruta'!P21*VLOOKUP($C211,AliqPorTipo,COLUMN($J$160)-1,0),0)</f>
        <v>0</v>
      </c>
      <c r="R237" s="207">
        <f>IFERROR('A4 - Previsão de Receita Bruta'!Q21*VLOOKUP($C211,AliqPorTipo,COLUMN($J$160)-1,0),0)</f>
        <v>0</v>
      </c>
      <c r="S237" s="207">
        <f>IFERROR('A4 - Previsão de Receita Bruta'!R21*VLOOKUP($C211,AliqPorTipo,COLUMN($J$160)-1,0),0)</f>
        <v>0</v>
      </c>
      <c r="T237" s="207">
        <f>IFERROR('A4 - Previsão de Receita Bruta'!S21*VLOOKUP($C211,AliqPorTipo,COLUMN($J$160)-1,0),0)</f>
        <v>0</v>
      </c>
      <c r="U237" s="207">
        <f>IFERROR('A4 - Previsão de Receita Bruta'!T21*VLOOKUP($C211,AliqPorTipo,COLUMN($J$160)-1,0),0)</f>
        <v>0</v>
      </c>
      <c r="V237" s="207">
        <f>IFERROR('A4 - Previsão de Receita Bruta'!U21*VLOOKUP($C211,AliqPorTipo,COLUMN($J$160)-1,0),0)</f>
        <v>0</v>
      </c>
      <c r="W237" s="207">
        <f>IFERROR('A4 - Previsão de Receita Bruta'!V21*VLOOKUP($C211,AliqPorTipo,COLUMN($J$160)-1,0),0)</f>
        <v>0</v>
      </c>
      <c r="X237" s="207">
        <f>IFERROR('A4 - Previsão de Receita Bruta'!W21*VLOOKUP($C211,AliqPorTipo,COLUMN($J$160)-1,0),0)</f>
        <v>0</v>
      </c>
      <c r="Y237" s="207">
        <f>IFERROR('A4 - Previsão de Receita Bruta'!X21*VLOOKUP($C211,AliqPorTipo,COLUMN($J$160)-1,0),0)</f>
        <v>0</v>
      </c>
      <c r="Z237" s="207">
        <f>IFERROR('A4 - Previsão de Receita Bruta'!Y21*VLOOKUP($C211,AliqPorTipo,COLUMN($J$160)-1,0),0)</f>
        <v>0</v>
      </c>
      <c r="AA237" s="207">
        <f>IFERROR('A4 - Previsão de Receita Bruta'!Z21*VLOOKUP($C211,AliqPorTipo,COLUMN($J$160)-1,0),0)</f>
        <v>0</v>
      </c>
      <c r="AB237" s="207">
        <f>IFERROR('A4 - Previsão de Receita Bruta'!AA21*VLOOKUP($C211,AliqPorTipo,COLUMN($J$160)-1,0),0)</f>
        <v>0</v>
      </c>
      <c r="AC237" s="207">
        <f>IFERROR('A4 - Previsão de Receita Bruta'!AB21*VLOOKUP($C211,AliqPorTipo,COLUMN($J$160)-1,0),0)</f>
        <v>0</v>
      </c>
      <c r="AD237" s="207">
        <f>IFERROR('A4 - Previsão de Receita Bruta'!AC21*VLOOKUP($C211,AliqPorTipo,COLUMN($J$160)-1,0),0)</f>
        <v>0</v>
      </c>
      <c r="AE237" s="207">
        <f>IFERROR('A4 - Previsão de Receita Bruta'!AD21*VLOOKUP($C211,AliqPorTipo,COLUMN($J$160)-1,0),0)</f>
        <v>0</v>
      </c>
      <c r="AF237" s="207">
        <f>IFERROR('A4 - Previsão de Receita Bruta'!AE21*VLOOKUP($C211,AliqPorTipo,COLUMN($J$160)-1,0),0)</f>
        <v>0</v>
      </c>
      <c r="AG237" s="207">
        <f>IFERROR('A4 - Previsão de Receita Bruta'!AF21*VLOOKUP($C211,AliqPorTipo,COLUMN($J$160)-1,0),0)</f>
        <v>0</v>
      </c>
      <c r="AH237" s="525"/>
      <c r="AI237" s="521"/>
      <c r="AJ237" s="521"/>
    </row>
    <row r="238" spans="1:36" ht="15" customHeight="1">
      <c r="A238" s="521"/>
      <c r="B238" s="205" t="str">
        <f t="shared" si="43"/>
        <v>Geral - Unidade móvel - Alimentação</v>
      </c>
      <c r="C238" s="206" t="str">
        <f t="shared" si="44"/>
        <v>Alimentação</v>
      </c>
      <c r="D238" s="207">
        <f>IFERROR('A4 - Previsão de Receita Bruta'!C22*VLOOKUP($C212,AliqPorTipo,COLUMN($J$160)-1,0),0)</f>
        <v>0</v>
      </c>
      <c r="E238" s="207">
        <f>IFERROR('A4 - Previsão de Receita Bruta'!D22*VLOOKUP($C212,AliqPorTipo,COLUMN($J$160)-1,0),0)</f>
        <v>5842.53</v>
      </c>
      <c r="F238" s="207">
        <f>IFERROR('A4 - Previsão de Receita Bruta'!E22*VLOOKUP($C212,AliqPorTipo,COLUMN($J$160)-1,0),0)</f>
        <v>6043.9499999999989</v>
      </c>
      <c r="G238" s="207">
        <f>IFERROR('A4 - Previsão de Receita Bruta'!F22*VLOOKUP($C212,AliqPorTipo,COLUMN($J$160)-1,0),0)</f>
        <v>6239.1599999999989</v>
      </c>
      <c r="H238" s="207">
        <f>IFERROR('A4 - Previsão de Receita Bruta'!G22*VLOOKUP($C212,AliqPorTipo,COLUMN($J$160)-1,0),0)</f>
        <v>6437.61</v>
      </c>
      <c r="I238" s="207">
        <f>IFERROR('A4 - Previsão de Receita Bruta'!H22*VLOOKUP($C212,AliqPorTipo,COLUMN($J$160)-1,0),0)</f>
        <v>6639.2999999999993</v>
      </c>
      <c r="J238" s="207">
        <f>IFERROR('A4 - Previsão de Receita Bruta'!I22*VLOOKUP($C212,AliqPorTipo,COLUMN($J$160)-1,0),0)</f>
        <v>6846.6599999999989</v>
      </c>
      <c r="K238" s="207">
        <f>IFERROR('A4 - Previsão de Receita Bruta'!J22*VLOOKUP($C212,AliqPorTipo,COLUMN($J$160)-1,0),0)</f>
        <v>7060.23</v>
      </c>
      <c r="L238" s="207">
        <f>IFERROR('A4 - Previsão de Receita Bruta'!K22*VLOOKUP($C212,AliqPorTipo,COLUMN($J$160)-1,0),0)</f>
        <v>7277.579999999999</v>
      </c>
      <c r="M238" s="207">
        <f>IFERROR('A4 - Previsão de Receita Bruta'!L22*VLOOKUP($C212,AliqPorTipo,COLUMN($J$160)-1,0),0)</f>
        <v>7499.2499999999991</v>
      </c>
      <c r="N238" s="207">
        <f>IFERROR('A4 - Previsão de Receita Bruta'!M22*VLOOKUP($C212,AliqPorTipo,COLUMN($J$160)-1,0),0)</f>
        <v>7727.3999999999987</v>
      </c>
      <c r="O238" s="207">
        <f>IFERROR('A4 - Previsão de Receita Bruta'!N22*VLOOKUP($C212,AliqPorTipo,COLUMN($J$160)-1,0),0)</f>
        <v>7962.8399999999992</v>
      </c>
      <c r="P238" s="207">
        <f>IFERROR('A4 - Previsão de Receita Bruta'!O22*VLOOKUP($C212,AliqPorTipo,COLUMN($J$160)-1,0),0)</f>
        <v>8205.57</v>
      </c>
      <c r="Q238" s="207">
        <f>IFERROR('A4 - Previsão de Receita Bruta'!P22*VLOOKUP($C212,AliqPorTipo,COLUMN($J$160)-1,0),0)</f>
        <v>8455.5899999999983</v>
      </c>
      <c r="R238" s="207">
        <f>IFERROR('A4 - Previsão de Receita Bruta'!Q22*VLOOKUP($C212,AliqPorTipo,COLUMN($J$160)-1,0),0)</f>
        <v>8713.1699999999983</v>
      </c>
      <c r="S238" s="207">
        <f>IFERROR('A4 - Previsão de Receita Bruta'!R22*VLOOKUP($C212,AliqPorTipo,COLUMN($J$160)-1,0),0)</f>
        <v>8977.7699999999986</v>
      </c>
      <c r="T238" s="207">
        <f>IFERROR('A4 - Previsão de Receita Bruta'!S22*VLOOKUP($C212,AliqPorTipo,COLUMN($J$160)-1,0),0)</f>
        <v>9249.119999999999</v>
      </c>
      <c r="U238" s="207">
        <f>IFERROR('A4 - Previsão de Receita Bruta'!T22*VLOOKUP($C212,AliqPorTipo,COLUMN($J$160)-1,0),0)</f>
        <v>9526.41</v>
      </c>
      <c r="V238" s="207">
        <f>IFERROR('A4 - Previsão de Receita Bruta'!U22*VLOOKUP($C212,AliqPorTipo,COLUMN($J$160)-1,0),0)</f>
        <v>9808.56</v>
      </c>
      <c r="W238" s="207">
        <f>IFERROR('A4 - Previsão de Receita Bruta'!V22*VLOOKUP($C212,AliqPorTipo,COLUMN($J$160)-1,0),0)</f>
        <v>10094.49</v>
      </c>
      <c r="X238" s="207">
        <f>IFERROR('A4 - Previsão de Receita Bruta'!W22*VLOOKUP($C212,AliqPorTipo,COLUMN($J$160)-1,0),0)</f>
        <v>10094.49</v>
      </c>
      <c r="Y238" s="207">
        <f>IFERROR('A4 - Previsão de Receita Bruta'!X22*VLOOKUP($C212,AliqPorTipo,COLUMN($J$160)-1,0),0)</f>
        <v>10094.49</v>
      </c>
      <c r="Z238" s="207">
        <f>IFERROR('A4 - Previsão de Receita Bruta'!Y22*VLOOKUP($C212,AliqPorTipo,COLUMN($J$160)-1,0),0)</f>
        <v>10094.49</v>
      </c>
      <c r="AA238" s="207">
        <f>IFERROR('A4 - Previsão de Receita Bruta'!Z22*VLOOKUP($C212,AliqPorTipo,COLUMN($J$160)-1,0),0)</f>
        <v>10094.49</v>
      </c>
      <c r="AB238" s="207">
        <f>IFERROR('A4 - Previsão de Receita Bruta'!AA22*VLOOKUP($C212,AliqPorTipo,COLUMN($J$160)-1,0),0)</f>
        <v>10094.49</v>
      </c>
      <c r="AC238" s="207">
        <f>IFERROR('A4 - Previsão de Receita Bruta'!AB22*VLOOKUP($C212,AliqPorTipo,COLUMN($J$160)-1,0),0)</f>
        <v>10094.49</v>
      </c>
      <c r="AD238" s="207">
        <f>IFERROR('A4 - Previsão de Receita Bruta'!AC22*VLOOKUP($C212,AliqPorTipo,COLUMN($J$160)-1,0),0)</f>
        <v>10094.49</v>
      </c>
      <c r="AE238" s="207">
        <f>IFERROR('A4 - Previsão de Receita Bruta'!AD22*VLOOKUP($C212,AliqPorTipo,COLUMN($J$160)-1,0),0)</f>
        <v>10094.49</v>
      </c>
      <c r="AF238" s="207">
        <f>IFERROR('A4 - Previsão de Receita Bruta'!AE22*VLOOKUP($C212,AliqPorTipo,COLUMN($J$160)-1,0),0)</f>
        <v>10094.49</v>
      </c>
      <c r="AG238" s="207">
        <f>IFERROR('A4 - Previsão de Receita Bruta'!AF22*VLOOKUP($C212,AliqPorTipo,COLUMN($J$160)-1,0),0)</f>
        <v>10094.49</v>
      </c>
      <c r="AH238" s="525"/>
      <c r="AI238" s="521"/>
      <c r="AJ238" s="521"/>
    </row>
    <row r="239" spans="1:36" ht="15" customHeight="1">
      <c r="A239" s="521"/>
      <c r="B239" s="205" t="str">
        <f t="shared" si="43"/>
        <v>Mangue Seco - Estacionamento</v>
      </c>
      <c r="C239" s="206" t="str">
        <f t="shared" si="44"/>
        <v>Serviços</v>
      </c>
      <c r="D239" s="207">
        <f>IFERROR('A4 - Previsão de Receita Bruta'!C23*VLOOKUP($C213,AliqPorTipo,COLUMN($J$160)-1,0),0)</f>
        <v>0</v>
      </c>
      <c r="E239" s="207">
        <f>IFERROR('A4 - Previsão de Receita Bruta'!D23*VLOOKUP($C213,AliqPorTipo,COLUMN($J$160)-1,0),0)</f>
        <v>0</v>
      </c>
      <c r="F239" s="207">
        <f>IFERROR('A4 - Previsão de Receita Bruta'!E23*VLOOKUP($C213,AliqPorTipo,COLUMN($J$160)-1,0),0)</f>
        <v>0</v>
      </c>
      <c r="G239" s="207">
        <f>IFERROR('A4 - Previsão de Receita Bruta'!F23*VLOOKUP($C213,AliqPorTipo,COLUMN($J$160)-1,0),0)</f>
        <v>0</v>
      </c>
      <c r="H239" s="207">
        <f>IFERROR('A4 - Previsão de Receita Bruta'!G23*VLOOKUP($C213,AliqPorTipo,COLUMN($J$160)-1,0),0)</f>
        <v>0</v>
      </c>
      <c r="I239" s="207">
        <f>IFERROR('A4 - Previsão de Receita Bruta'!H23*VLOOKUP($C213,AliqPorTipo,COLUMN($J$160)-1,0),0)</f>
        <v>0</v>
      </c>
      <c r="J239" s="207">
        <f>IFERROR('A4 - Previsão de Receita Bruta'!I23*VLOOKUP($C213,AliqPorTipo,COLUMN($J$160)-1,0),0)</f>
        <v>0</v>
      </c>
      <c r="K239" s="207">
        <f>IFERROR('A4 - Previsão de Receita Bruta'!J23*VLOOKUP($C213,AliqPorTipo,COLUMN($J$160)-1,0),0)</f>
        <v>0</v>
      </c>
      <c r="L239" s="207">
        <f>IFERROR('A4 - Previsão de Receita Bruta'!K23*VLOOKUP($C213,AliqPorTipo,COLUMN($J$160)-1,0),0)</f>
        <v>0</v>
      </c>
      <c r="M239" s="207">
        <f>IFERROR('A4 - Previsão de Receita Bruta'!L23*VLOOKUP($C213,AliqPorTipo,COLUMN($J$160)-1,0),0)</f>
        <v>0</v>
      </c>
      <c r="N239" s="207">
        <f>IFERROR('A4 - Previsão de Receita Bruta'!M23*VLOOKUP($C213,AliqPorTipo,COLUMN($J$160)-1,0),0)</f>
        <v>0</v>
      </c>
      <c r="O239" s="207">
        <f>IFERROR('A4 - Previsão de Receita Bruta'!N23*VLOOKUP($C213,AliqPorTipo,COLUMN($J$160)-1,0),0)</f>
        <v>0</v>
      </c>
      <c r="P239" s="207">
        <f>IFERROR('A4 - Previsão de Receita Bruta'!O23*VLOOKUP($C213,AliqPorTipo,COLUMN($J$160)-1,0),0)</f>
        <v>0</v>
      </c>
      <c r="Q239" s="207">
        <f>IFERROR('A4 - Previsão de Receita Bruta'!P23*VLOOKUP($C213,AliqPorTipo,COLUMN($J$160)-1,0),0)</f>
        <v>0</v>
      </c>
      <c r="R239" s="207">
        <f>IFERROR('A4 - Previsão de Receita Bruta'!Q23*VLOOKUP($C213,AliqPorTipo,COLUMN($J$160)-1,0),0)</f>
        <v>0</v>
      </c>
      <c r="S239" s="207">
        <f>IFERROR('A4 - Previsão de Receita Bruta'!R23*VLOOKUP($C213,AliqPorTipo,COLUMN($J$160)-1,0),0)</f>
        <v>0</v>
      </c>
      <c r="T239" s="207">
        <f>IFERROR('A4 - Previsão de Receita Bruta'!S23*VLOOKUP($C213,AliqPorTipo,COLUMN($J$160)-1,0),0)</f>
        <v>0</v>
      </c>
      <c r="U239" s="207">
        <f>IFERROR('A4 - Previsão de Receita Bruta'!T23*VLOOKUP($C213,AliqPorTipo,COLUMN($J$160)-1,0),0)</f>
        <v>0</v>
      </c>
      <c r="V239" s="207">
        <f>IFERROR('A4 - Previsão de Receita Bruta'!U23*VLOOKUP($C213,AliqPorTipo,COLUMN($J$160)-1,0),0)</f>
        <v>0</v>
      </c>
      <c r="W239" s="207">
        <f>IFERROR('A4 - Previsão de Receita Bruta'!V23*VLOOKUP($C213,AliqPorTipo,COLUMN($J$160)-1,0),0)</f>
        <v>0</v>
      </c>
      <c r="X239" s="207">
        <f>IFERROR('A4 - Previsão de Receita Bruta'!W23*VLOOKUP($C213,AliqPorTipo,COLUMN($J$160)-1,0),0)</f>
        <v>0</v>
      </c>
      <c r="Y239" s="207">
        <f>IFERROR('A4 - Previsão de Receita Bruta'!X23*VLOOKUP($C213,AliqPorTipo,COLUMN($J$160)-1,0),0)</f>
        <v>0</v>
      </c>
      <c r="Z239" s="207">
        <f>IFERROR('A4 - Previsão de Receita Bruta'!Y23*VLOOKUP($C213,AliqPorTipo,COLUMN($J$160)-1,0),0)</f>
        <v>0</v>
      </c>
      <c r="AA239" s="207">
        <f>IFERROR('A4 - Previsão de Receita Bruta'!Z23*VLOOKUP($C213,AliqPorTipo,COLUMN($J$160)-1,0),0)</f>
        <v>0</v>
      </c>
      <c r="AB239" s="207">
        <f>IFERROR('A4 - Previsão de Receita Bruta'!AA23*VLOOKUP($C213,AliqPorTipo,COLUMN($J$160)-1,0),0)</f>
        <v>0</v>
      </c>
      <c r="AC239" s="207">
        <f>IFERROR('A4 - Previsão de Receita Bruta'!AB23*VLOOKUP($C213,AliqPorTipo,COLUMN($J$160)-1,0),0)</f>
        <v>0</v>
      </c>
      <c r="AD239" s="207">
        <f>IFERROR('A4 - Previsão de Receita Bruta'!AC23*VLOOKUP($C213,AliqPorTipo,COLUMN($J$160)-1,0),0)</f>
        <v>0</v>
      </c>
      <c r="AE239" s="207">
        <f>IFERROR('A4 - Previsão de Receita Bruta'!AD23*VLOOKUP($C213,AliqPorTipo,COLUMN($J$160)-1,0),0)</f>
        <v>0</v>
      </c>
      <c r="AF239" s="207">
        <f>IFERROR('A4 - Previsão de Receita Bruta'!AE23*VLOOKUP($C213,AliqPorTipo,COLUMN($J$160)-1,0),0)</f>
        <v>0</v>
      </c>
      <c r="AG239" s="207">
        <f>IFERROR('A4 - Previsão de Receita Bruta'!AF23*VLOOKUP($C213,AliqPorTipo,COLUMN($J$160)-1,0),0)</f>
        <v>0</v>
      </c>
      <c r="AH239" s="525"/>
      <c r="AI239" s="521"/>
      <c r="AJ239" s="521"/>
    </row>
    <row r="240" spans="1:36" ht="15" customHeight="1">
      <c r="A240" s="521"/>
      <c r="B240" s="205" t="str">
        <f t="shared" si="43"/>
        <v>Lagoa Grande - Estacionamento</v>
      </c>
      <c r="C240" s="206" t="str">
        <f t="shared" si="44"/>
        <v>Serviços</v>
      </c>
      <c r="D240" s="207">
        <f>IFERROR('A4 - Previsão de Receita Bruta'!C24*VLOOKUP($C214,AliqPorTipo,COLUMN($J$160)-1,0),0)</f>
        <v>0</v>
      </c>
      <c r="E240" s="207">
        <f>IFERROR('A4 - Previsão de Receita Bruta'!D24*VLOOKUP($C214,AliqPorTipo,COLUMN($J$160)-1,0),0)</f>
        <v>0</v>
      </c>
      <c r="F240" s="207">
        <f>IFERROR('A4 - Previsão de Receita Bruta'!E24*VLOOKUP($C214,AliqPorTipo,COLUMN($J$160)-1,0),0)</f>
        <v>0</v>
      </c>
      <c r="G240" s="207">
        <f>IFERROR('A4 - Previsão de Receita Bruta'!F24*VLOOKUP($C214,AliqPorTipo,COLUMN($J$160)-1,0),0)</f>
        <v>0</v>
      </c>
      <c r="H240" s="207">
        <f>IFERROR('A4 - Previsão de Receita Bruta'!G24*VLOOKUP($C214,AliqPorTipo,COLUMN($J$160)-1,0),0)</f>
        <v>0</v>
      </c>
      <c r="I240" s="207">
        <f>IFERROR('A4 - Previsão de Receita Bruta'!H24*VLOOKUP($C214,AliqPorTipo,COLUMN($J$160)-1,0),0)</f>
        <v>0</v>
      </c>
      <c r="J240" s="207">
        <f>IFERROR('A4 - Previsão de Receita Bruta'!I24*VLOOKUP($C214,AliqPorTipo,COLUMN($J$160)-1,0),0)</f>
        <v>0</v>
      </c>
      <c r="K240" s="207">
        <f>IFERROR('A4 - Previsão de Receita Bruta'!J24*VLOOKUP($C214,AliqPorTipo,COLUMN($J$160)-1,0),0)</f>
        <v>0</v>
      </c>
      <c r="L240" s="207">
        <f>IFERROR('A4 - Previsão de Receita Bruta'!K24*VLOOKUP($C214,AliqPorTipo,COLUMN($J$160)-1,0),0)</f>
        <v>0</v>
      </c>
      <c r="M240" s="207">
        <f>IFERROR('A4 - Previsão de Receita Bruta'!L24*VLOOKUP($C214,AliqPorTipo,COLUMN($J$160)-1,0),0)</f>
        <v>0</v>
      </c>
      <c r="N240" s="207">
        <f>IFERROR('A4 - Previsão de Receita Bruta'!M24*VLOOKUP($C214,AliqPorTipo,COLUMN($J$160)-1,0),0)</f>
        <v>0</v>
      </c>
      <c r="O240" s="207">
        <f>IFERROR('A4 - Previsão de Receita Bruta'!N24*VLOOKUP($C214,AliqPorTipo,COLUMN($J$160)-1,0),0)</f>
        <v>0</v>
      </c>
      <c r="P240" s="207">
        <f>IFERROR('A4 - Previsão de Receita Bruta'!O24*VLOOKUP($C214,AliqPorTipo,COLUMN($J$160)-1,0),0)</f>
        <v>0</v>
      </c>
      <c r="Q240" s="207">
        <f>IFERROR('A4 - Previsão de Receita Bruta'!P24*VLOOKUP($C214,AliqPorTipo,COLUMN($J$160)-1,0),0)</f>
        <v>0</v>
      </c>
      <c r="R240" s="207">
        <f>IFERROR('A4 - Previsão de Receita Bruta'!Q24*VLOOKUP($C214,AliqPorTipo,COLUMN($J$160)-1,0),0)</f>
        <v>0</v>
      </c>
      <c r="S240" s="207">
        <f>IFERROR('A4 - Previsão de Receita Bruta'!R24*VLOOKUP($C214,AliqPorTipo,COLUMN($J$160)-1,0),0)</f>
        <v>0</v>
      </c>
      <c r="T240" s="207">
        <f>IFERROR('A4 - Previsão de Receita Bruta'!S24*VLOOKUP($C214,AliqPorTipo,COLUMN($J$160)-1,0),0)</f>
        <v>0</v>
      </c>
      <c r="U240" s="207">
        <f>IFERROR('A4 - Previsão de Receita Bruta'!T24*VLOOKUP($C214,AliqPorTipo,COLUMN($J$160)-1,0),0)</f>
        <v>0</v>
      </c>
      <c r="V240" s="207">
        <f>IFERROR('A4 - Previsão de Receita Bruta'!U24*VLOOKUP($C214,AliqPorTipo,COLUMN($J$160)-1,0),0)</f>
        <v>0</v>
      </c>
      <c r="W240" s="207">
        <f>IFERROR('A4 - Previsão de Receita Bruta'!V24*VLOOKUP($C214,AliqPorTipo,COLUMN($J$160)-1,0),0)</f>
        <v>0</v>
      </c>
      <c r="X240" s="207">
        <f>IFERROR('A4 - Previsão de Receita Bruta'!W24*VLOOKUP($C214,AliqPorTipo,COLUMN($J$160)-1,0),0)</f>
        <v>0</v>
      </c>
      <c r="Y240" s="207">
        <f>IFERROR('A4 - Previsão de Receita Bruta'!X24*VLOOKUP($C214,AliqPorTipo,COLUMN($J$160)-1,0),0)</f>
        <v>0</v>
      </c>
      <c r="Z240" s="207">
        <f>IFERROR('A4 - Previsão de Receita Bruta'!Y24*VLOOKUP($C214,AliqPorTipo,COLUMN($J$160)-1,0),0)</f>
        <v>0</v>
      </c>
      <c r="AA240" s="207">
        <f>IFERROR('A4 - Previsão de Receita Bruta'!Z24*VLOOKUP($C214,AliqPorTipo,COLUMN($J$160)-1,0),0)</f>
        <v>0</v>
      </c>
      <c r="AB240" s="207">
        <f>IFERROR('A4 - Previsão de Receita Bruta'!AA24*VLOOKUP($C214,AliqPorTipo,COLUMN($J$160)-1,0),0)</f>
        <v>0</v>
      </c>
      <c r="AC240" s="207">
        <f>IFERROR('A4 - Previsão de Receita Bruta'!AB24*VLOOKUP($C214,AliqPorTipo,COLUMN($J$160)-1,0),0)</f>
        <v>0</v>
      </c>
      <c r="AD240" s="207">
        <f>IFERROR('A4 - Previsão de Receita Bruta'!AC24*VLOOKUP($C214,AliqPorTipo,COLUMN($J$160)-1,0),0)</f>
        <v>0</v>
      </c>
      <c r="AE240" s="207">
        <f>IFERROR('A4 - Previsão de Receita Bruta'!AD24*VLOOKUP($C214,AliqPorTipo,COLUMN($J$160)-1,0),0)</f>
        <v>0</v>
      </c>
      <c r="AF240" s="207">
        <f>IFERROR('A4 - Previsão de Receita Bruta'!AE24*VLOOKUP($C214,AliqPorTipo,COLUMN($J$160)-1,0),0)</f>
        <v>0</v>
      </c>
      <c r="AG240" s="207">
        <f>IFERROR('A4 - Previsão de Receita Bruta'!AF24*VLOOKUP($C214,AliqPorTipo,COLUMN($J$160)-1,0),0)</f>
        <v>0</v>
      </c>
      <c r="AH240" s="525"/>
      <c r="AI240" s="521"/>
      <c r="AJ240" s="521"/>
    </row>
    <row r="241" spans="1:36" ht="15" customHeight="1">
      <c r="A241" s="521"/>
      <c r="B241" s="205">
        <f t="shared" si="43"/>
        <v>0</v>
      </c>
      <c r="C241" s="206">
        <f t="shared" si="44"/>
        <v>0</v>
      </c>
      <c r="D241" s="207">
        <f>IFERROR('A4 - Previsão de Receita Bruta'!C25*VLOOKUP($C215,AliqPorTipo,COLUMN($J$160)-1,0),0)</f>
        <v>0</v>
      </c>
      <c r="E241" s="207">
        <f>IFERROR('A4 - Previsão de Receita Bruta'!D25*VLOOKUP($C215,AliqPorTipo,COLUMN($J$160)-1,0),0)</f>
        <v>0</v>
      </c>
      <c r="F241" s="207">
        <f>IFERROR('A4 - Previsão de Receita Bruta'!E25*VLOOKUP($C215,AliqPorTipo,COLUMN($J$160)-1,0),0)</f>
        <v>0</v>
      </c>
      <c r="G241" s="207">
        <f>IFERROR('A4 - Previsão de Receita Bruta'!F25*VLOOKUP($C215,AliqPorTipo,COLUMN($J$160)-1,0),0)</f>
        <v>0</v>
      </c>
      <c r="H241" s="207">
        <f>IFERROR('A4 - Previsão de Receita Bruta'!G25*VLOOKUP($C215,AliqPorTipo,COLUMN($J$160)-1,0),0)</f>
        <v>0</v>
      </c>
      <c r="I241" s="207">
        <f>IFERROR('A4 - Previsão de Receita Bruta'!H25*VLOOKUP($C215,AliqPorTipo,COLUMN($J$160)-1,0),0)</f>
        <v>0</v>
      </c>
      <c r="J241" s="207">
        <f>IFERROR('A4 - Previsão de Receita Bruta'!I25*VLOOKUP($C215,AliqPorTipo,COLUMN($J$160)-1,0),0)</f>
        <v>0</v>
      </c>
      <c r="K241" s="207">
        <f>IFERROR('A4 - Previsão de Receita Bruta'!J25*VLOOKUP($C215,AliqPorTipo,COLUMN($J$160)-1,0),0)</f>
        <v>0</v>
      </c>
      <c r="L241" s="207">
        <f>IFERROR('A4 - Previsão de Receita Bruta'!K25*VLOOKUP($C215,AliqPorTipo,COLUMN($J$160)-1,0),0)</f>
        <v>0</v>
      </c>
      <c r="M241" s="207">
        <f>IFERROR('A4 - Previsão de Receita Bruta'!L25*VLOOKUP($C215,AliqPorTipo,COLUMN($J$160)-1,0),0)</f>
        <v>0</v>
      </c>
      <c r="N241" s="207">
        <f>IFERROR('A4 - Previsão de Receita Bruta'!M25*VLOOKUP($C215,AliqPorTipo,COLUMN($J$160)-1,0),0)</f>
        <v>0</v>
      </c>
      <c r="O241" s="207">
        <f>IFERROR('A4 - Previsão de Receita Bruta'!N25*VLOOKUP($C215,AliqPorTipo,COLUMN($J$160)-1,0),0)</f>
        <v>0</v>
      </c>
      <c r="P241" s="207">
        <f>IFERROR('A4 - Previsão de Receita Bruta'!O25*VLOOKUP($C215,AliqPorTipo,COLUMN($J$160)-1,0),0)</f>
        <v>0</v>
      </c>
      <c r="Q241" s="207">
        <f>IFERROR('A4 - Previsão de Receita Bruta'!P25*VLOOKUP($C215,AliqPorTipo,COLUMN($J$160)-1,0),0)</f>
        <v>0</v>
      </c>
      <c r="R241" s="207">
        <f>IFERROR('A4 - Previsão de Receita Bruta'!Q25*VLOOKUP($C215,AliqPorTipo,COLUMN($J$160)-1,0),0)</f>
        <v>0</v>
      </c>
      <c r="S241" s="207">
        <f>IFERROR('A4 - Previsão de Receita Bruta'!R25*VLOOKUP($C215,AliqPorTipo,COLUMN($J$160)-1,0),0)</f>
        <v>0</v>
      </c>
      <c r="T241" s="207">
        <f>IFERROR('A4 - Previsão de Receita Bruta'!S25*VLOOKUP($C215,AliqPorTipo,COLUMN($J$160)-1,0),0)</f>
        <v>0</v>
      </c>
      <c r="U241" s="207">
        <f>IFERROR('A4 - Previsão de Receita Bruta'!T25*VLOOKUP($C215,AliqPorTipo,COLUMN($J$160)-1,0),0)</f>
        <v>0</v>
      </c>
      <c r="V241" s="207">
        <f>IFERROR('A4 - Previsão de Receita Bruta'!U25*VLOOKUP($C215,AliqPorTipo,COLUMN($J$160)-1,0),0)</f>
        <v>0</v>
      </c>
      <c r="W241" s="207">
        <f>IFERROR('A4 - Previsão de Receita Bruta'!V25*VLOOKUP($C215,AliqPorTipo,COLUMN($J$160)-1,0),0)</f>
        <v>0</v>
      </c>
      <c r="X241" s="207">
        <f>IFERROR('A4 - Previsão de Receita Bruta'!W25*VLOOKUP($C215,AliqPorTipo,COLUMN($J$160)-1,0),0)</f>
        <v>0</v>
      </c>
      <c r="Y241" s="207">
        <f>IFERROR('A4 - Previsão de Receita Bruta'!X25*VLOOKUP($C215,AliqPorTipo,COLUMN($J$160)-1,0),0)</f>
        <v>0</v>
      </c>
      <c r="Z241" s="207">
        <f>IFERROR('A4 - Previsão de Receita Bruta'!Y25*VLOOKUP($C215,AliqPorTipo,COLUMN($J$160)-1,0),0)</f>
        <v>0</v>
      </c>
      <c r="AA241" s="207">
        <f>IFERROR('A4 - Previsão de Receita Bruta'!Z25*VLOOKUP($C215,AliqPorTipo,COLUMN($J$160)-1,0),0)</f>
        <v>0</v>
      </c>
      <c r="AB241" s="207">
        <f>IFERROR('A4 - Previsão de Receita Bruta'!AA25*VLOOKUP($C215,AliqPorTipo,COLUMN($J$160)-1,0),0)</f>
        <v>0</v>
      </c>
      <c r="AC241" s="207">
        <f>IFERROR('A4 - Previsão de Receita Bruta'!AB25*VLOOKUP($C215,AliqPorTipo,COLUMN($J$160)-1,0),0)</f>
        <v>0</v>
      </c>
      <c r="AD241" s="207">
        <f>IFERROR('A4 - Previsão de Receita Bruta'!AC25*VLOOKUP($C215,AliqPorTipo,COLUMN($J$160)-1,0),0)</f>
        <v>0</v>
      </c>
      <c r="AE241" s="207">
        <f>IFERROR('A4 - Previsão de Receita Bruta'!AD25*VLOOKUP($C215,AliqPorTipo,COLUMN($J$160)-1,0),0)</f>
        <v>0</v>
      </c>
      <c r="AF241" s="207">
        <f>IFERROR('A4 - Previsão de Receita Bruta'!AE25*VLOOKUP($C215,AliqPorTipo,COLUMN($J$160)-1,0),0)</f>
        <v>0</v>
      </c>
      <c r="AG241" s="207">
        <f>IFERROR('A4 - Previsão de Receita Bruta'!AF25*VLOOKUP($C215,AliqPorTipo,COLUMN($J$160)-1,0),0)</f>
        <v>0</v>
      </c>
      <c r="AH241" s="525"/>
      <c r="AI241" s="521"/>
      <c r="AJ241" s="521"/>
    </row>
    <row r="242" spans="1:36" ht="15" customHeight="1">
      <c r="A242" s="521"/>
      <c r="B242" s="205">
        <f t="shared" si="43"/>
        <v>0</v>
      </c>
      <c r="C242" s="206">
        <f t="shared" si="44"/>
        <v>0</v>
      </c>
      <c r="D242" s="207">
        <f>IFERROR('A4 - Previsão de Receita Bruta'!C26*VLOOKUP($C216,AliqPorTipo,COLUMN($J$160)-1,0),0)</f>
        <v>0</v>
      </c>
      <c r="E242" s="207">
        <f>IFERROR('A4 - Previsão de Receita Bruta'!D26*VLOOKUP($C216,AliqPorTipo,COLUMN($J$160)-1,0),0)</f>
        <v>0</v>
      </c>
      <c r="F242" s="207">
        <f>IFERROR('A4 - Previsão de Receita Bruta'!E26*VLOOKUP($C216,AliqPorTipo,COLUMN($J$160)-1,0),0)</f>
        <v>0</v>
      </c>
      <c r="G242" s="207">
        <f>IFERROR('A4 - Previsão de Receita Bruta'!F26*VLOOKUP($C216,AliqPorTipo,COLUMN($J$160)-1,0),0)</f>
        <v>0</v>
      </c>
      <c r="H242" s="207">
        <f>IFERROR('A4 - Previsão de Receita Bruta'!G26*VLOOKUP($C216,AliqPorTipo,COLUMN($J$160)-1,0),0)</f>
        <v>0</v>
      </c>
      <c r="I242" s="207">
        <f>IFERROR('A4 - Previsão de Receita Bruta'!H26*VLOOKUP($C216,AliqPorTipo,COLUMN($J$160)-1,0),0)</f>
        <v>0</v>
      </c>
      <c r="J242" s="207">
        <f>IFERROR('A4 - Previsão de Receita Bruta'!I26*VLOOKUP($C216,AliqPorTipo,COLUMN($J$160)-1,0),0)</f>
        <v>0</v>
      </c>
      <c r="K242" s="207">
        <f>IFERROR('A4 - Previsão de Receita Bruta'!J26*VLOOKUP($C216,AliqPorTipo,COLUMN($J$160)-1,0),0)</f>
        <v>0</v>
      </c>
      <c r="L242" s="207">
        <f>IFERROR('A4 - Previsão de Receita Bruta'!K26*VLOOKUP($C216,AliqPorTipo,COLUMN($J$160)-1,0),0)</f>
        <v>0</v>
      </c>
      <c r="M242" s="207">
        <f>IFERROR('A4 - Previsão de Receita Bruta'!L26*VLOOKUP($C216,AliqPorTipo,COLUMN($J$160)-1,0),0)</f>
        <v>0</v>
      </c>
      <c r="N242" s="207">
        <f>IFERROR('A4 - Previsão de Receita Bruta'!M26*VLOOKUP($C216,AliqPorTipo,COLUMN($J$160)-1,0),0)</f>
        <v>0</v>
      </c>
      <c r="O242" s="207">
        <f>IFERROR('A4 - Previsão de Receita Bruta'!N26*VLOOKUP($C216,AliqPorTipo,COLUMN($J$160)-1,0),0)</f>
        <v>0</v>
      </c>
      <c r="P242" s="207">
        <f>IFERROR('A4 - Previsão de Receita Bruta'!O26*VLOOKUP($C216,AliqPorTipo,COLUMN($J$160)-1,0),0)</f>
        <v>0</v>
      </c>
      <c r="Q242" s="207">
        <f>IFERROR('A4 - Previsão de Receita Bruta'!P26*VLOOKUP($C216,AliqPorTipo,COLUMN($J$160)-1,0),0)</f>
        <v>0</v>
      </c>
      <c r="R242" s="207">
        <f>IFERROR('A4 - Previsão de Receita Bruta'!Q26*VLOOKUP($C216,AliqPorTipo,COLUMN($J$160)-1,0),0)</f>
        <v>0</v>
      </c>
      <c r="S242" s="207">
        <f>IFERROR('A4 - Previsão de Receita Bruta'!R26*VLOOKUP($C216,AliqPorTipo,COLUMN($J$160)-1,0),0)</f>
        <v>0</v>
      </c>
      <c r="T242" s="207">
        <f>IFERROR('A4 - Previsão de Receita Bruta'!S26*VLOOKUP($C216,AliqPorTipo,COLUMN($J$160)-1,0),0)</f>
        <v>0</v>
      </c>
      <c r="U242" s="207">
        <f>IFERROR('A4 - Previsão de Receita Bruta'!T26*VLOOKUP($C216,AliqPorTipo,COLUMN($J$160)-1,0),0)</f>
        <v>0</v>
      </c>
      <c r="V242" s="207">
        <f>IFERROR('A4 - Previsão de Receita Bruta'!U26*VLOOKUP($C216,AliqPorTipo,COLUMN($J$160)-1,0),0)</f>
        <v>0</v>
      </c>
      <c r="W242" s="207">
        <f>IFERROR('A4 - Previsão de Receita Bruta'!V26*VLOOKUP($C216,AliqPorTipo,COLUMN($J$160)-1,0),0)</f>
        <v>0</v>
      </c>
      <c r="X242" s="207">
        <f>IFERROR('A4 - Previsão de Receita Bruta'!W26*VLOOKUP($C216,AliqPorTipo,COLUMN($J$160)-1,0),0)</f>
        <v>0</v>
      </c>
      <c r="Y242" s="207">
        <f>IFERROR('A4 - Previsão de Receita Bruta'!X26*VLOOKUP($C216,AliqPorTipo,COLUMN($J$160)-1,0),0)</f>
        <v>0</v>
      </c>
      <c r="Z242" s="207">
        <f>IFERROR('A4 - Previsão de Receita Bruta'!Y26*VLOOKUP($C216,AliqPorTipo,COLUMN($J$160)-1,0),0)</f>
        <v>0</v>
      </c>
      <c r="AA242" s="207">
        <f>IFERROR('A4 - Previsão de Receita Bruta'!Z26*VLOOKUP($C216,AliqPorTipo,COLUMN($J$160)-1,0),0)</f>
        <v>0</v>
      </c>
      <c r="AB242" s="207">
        <f>IFERROR('A4 - Previsão de Receita Bruta'!AA26*VLOOKUP($C216,AliqPorTipo,COLUMN($J$160)-1,0),0)</f>
        <v>0</v>
      </c>
      <c r="AC242" s="207">
        <f>IFERROR('A4 - Previsão de Receita Bruta'!AB26*VLOOKUP($C216,AliqPorTipo,COLUMN($J$160)-1,0),0)</f>
        <v>0</v>
      </c>
      <c r="AD242" s="207">
        <f>IFERROR('A4 - Previsão de Receita Bruta'!AC26*VLOOKUP($C216,AliqPorTipo,COLUMN($J$160)-1,0),0)</f>
        <v>0</v>
      </c>
      <c r="AE242" s="207">
        <f>IFERROR('A4 - Previsão de Receita Bruta'!AD26*VLOOKUP($C216,AliqPorTipo,COLUMN($J$160)-1,0),0)</f>
        <v>0</v>
      </c>
      <c r="AF242" s="207">
        <f>IFERROR('A4 - Previsão de Receita Bruta'!AE26*VLOOKUP($C216,AliqPorTipo,COLUMN($J$160)-1,0),0)</f>
        <v>0</v>
      </c>
      <c r="AG242" s="207">
        <f>IFERROR('A4 - Previsão de Receita Bruta'!AF26*VLOOKUP($C216,AliqPorTipo,COLUMN($J$160)-1,0),0)</f>
        <v>0</v>
      </c>
      <c r="AH242" s="525"/>
      <c r="AI242" s="521"/>
      <c r="AJ242" s="521"/>
    </row>
    <row r="243" spans="1:36" ht="19.5" customHeight="1">
      <c r="A243" s="521"/>
      <c r="B243" s="791" t="s">
        <v>581</v>
      </c>
      <c r="C243" s="818"/>
      <c r="D243" s="225">
        <f t="shared" ref="D243:AG243" si="45">SUM(D223:D242)</f>
        <v>406634.25599999999</v>
      </c>
      <c r="E243" s="225">
        <f t="shared" si="45"/>
        <v>1005461.2404000001</v>
      </c>
      <c r="F243" s="225">
        <f t="shared" si="45"/>
        <v>1040143.4315999997</v>
      </c>
      <c r="G243" s="225">
        <f t="shared" si="45"/>
        <v>1073734.3584</v>
      </c>
      <c r="H243" s="225">
        <f t="shared" si="45"/>
        <v>1107859.4100000004</v>
      </c>
      <c r="I243" s="225">
        <f t="shared" si="45"/>
        <v>1142581.6583999998</v>
      </c>
      <c r="J243" s="225">
        <f t="shared" si="45"/>
        <v>1178285.2487999997</v>
      </c>
      <c r="K243" s="225">
        <f t="shared" si="45"/>
        <v>1215028.8683999998</v>
      </c>
      <c r="L243" s="225">
        <f t="shared" si="45"/>
        <v>1252442.1528000005</v>
      </c>
      <c r="M243" s="225">
        <f t="shared" si="45"/>
        <v>1290552.5555999994</v>
      </c>
      <c r="N243" s="225">
        <f t="shared" si="45"/>
        <v>1329854.8463999992</v>
      </c>
      <c r="O243" s="225">
        <f t="shared" si="45"/>
        <v>1370336.6592000001</v>
      </c>
      <c r="P243" s="225">
        <f t="shared" si="45"/>
        <v>1412108.1539999996</v>
      </c>
      <c r="Q243" s="225">
        <f t="shared" si="45"/>
        <v>1455142.590000001</v>
      </c>
      <c r="R243" s="225">
        <f t="shared" si="45"/>
        <v>1499470.3907999999</v>
      </c>
      <c r="S243" s="225">
        <f t="shared" si="45"/>
        <v>1545012.8676</v>
      </c>
      <c r="T243" s="225">
        <f t="shared" si="45"/>
        <v>1591715.0592</v>
      </c>
      <c r="U243" s="225">
        <f t="shared" si="45"/>
        <v>1639414.7171999998</v>
      </c>
      <c r="V243" s="225">
        <f t="shared" si="45"/>
        <v>1687985.3952000001</v>
      </c>
      <c r="W243" s="225">
        <f t="shared" si="45"/>
        <v>1737201.6755999997</v>
      </c>
      <c r="X243" s="225">
        <f t="shared" si="45"/>
        <v>1737201.6755999997</v>
      </c>
      <c r="Y243" s="225">
        <f t="shared" si="45"/>
        <v>1737201.6755999997</v>
      </c>
      <c r="Z243" s="225">
        <f t="shared" si="45"/>
        <v>1737201.6755999997</v>
      </c>
      <c r="AA243" s="225">
        <f t="shared" si="45"/>
        <v>1737201.6755999997</v>
      </c>
      <c r="AB243" s="225">
        <f t="shared" si="45"/>
        <v>1737201.6755999997</v>
      </c>
      <c r="AC243" s="225">
        <f t="shared" si="45"/>
        <v>1737201.6755999997</v>
      </c>
      <c r="AD243" s="225">
        <f t="shared" si="45"/>
        <v>1737201.6755999997</v>
      </c>
      <c r="AE243" s="225">
        <f t="shared" si="45"/>
        <v>1737201.6755999997</v>
      </c>
      <c r="AF243" s="225">
        <f t="shared" si="45"/>
        <v>1737201.6755999997</v>
      </c>
      <c r="AG243" s="225">
        <f t="shared" si="45"/>
        <v>1737201.6755999997</v>
      </c>
      <c r="AH243" s="525"/>
      <c r="AI243" s="521"/>
      <c r="AJ243" s="521"/>
    </row>
    <row r="244" spans="1:36" ht="15" customHeight="1">
      <c r="A244" s="521"/>
      <c r="B244" s="590"/>
      <c r="C244" s="671"/>
      <c r="D244" s="649"/>
      <c r="E244" s="649"/>
      <c r="F244" s="649"/>
      <c r="G244" s="649"/>
      <c r="H244" s="649"/>
      <c r="I244" s="649"/>
      <c r="J244" s="649"/>
      <c r="K244" s="649"/>
      <c r="L244" s="649"/>
      <c r="M244" s="649"/>
      <c r="N244" s="649"/>
      <c r="O244" s="649"/>
      <c r="P244" s="649"/>
      <c r="Q244" s="649"/>
      <c r="R244" s="649"/>
      <c r="S244" s="649"/>
      <c r="T244" s="649"/>
      <c r="U244" s="649"/>
      <c r="V244" s="649"/>
      <c r="W244" s="649"/>
      <c r="X244" s="649"/>
      <c r="Y244" s="649"/>
      <c r="Z244" s="649"/>
      <c r="AA244" s="649"/>
      <c r="AB244" s="649"/>
      <c r="AC244" s="649"/>
      <c r="AD244" s="649"/>
      <c r="AE244" s="649"/>
      <c r="AF244" s="649"/>
      <c r="AG244" s="649"/>
      <c r="AH244" s="525"/>
      <c r="AI244" s="521"/>
      <c r="AJ244" s="521"/>
    </row>
    <row r="245" spans="1:36" ht="21.75" customHeight="1">
      <c r="A245" s="505"/>
      <c r="B245" s="792" t="s">
        <v>582</v>
      </c>
      <c r="C245" s="826"/>
      <c r="D245" s="226">
        <f t="shared" ref="D245:AG245" si="46">SUM(D243,D219,D192)</f>
        <v>2733488.5485</v>
      </c>
      <c r="E245" s="226">
        <f t="shared" si="46"/>
        <v>8897267.9974000007</v>
      </c>
      <c r="F245" s="226">
        <f t="shared" si="46"/>
        <v>9205014.5595999993</v>
      </c>
      <c r="G245" s="226">
        <f t="shared" si="46"/>
        <v>9503050.305399999</v>
      </c>
      <c r="H245" s="226">
        <f t="shared" si="46"/>
        <v>9805822.0850000009</v>
      </c>
      <c r="I245" s="226">
        <f t="shared" si="46"/>
        <v>10113896.8554</v>
      </c>
      <c r="J245" s="226">
        <f t="shared" si="46"/>
        <v>10430719.452800002</v>
      </c>
      <c r="K245" s="226">
        <f t="shared" si="46"/>
        <v>10756731.365400001</v>
      </c>
      <c r="L245" s="226">
        <f t="shared" si="46"/>
        <v>11088703.0518</v>
      </c>
      <c r="M245" s="226">
        <f t="shared" si="46"/>
        <v>11426811.978599999</v>
      </c>
      <c r="N245" s="226">
        <f t="shared" si="46"/>
        <v>11775544.7084</v>
      </c>
      <c r="O245" s="226">
        <f t="shared" si="46"/>
        <v>12134743.407700002</v>
      </c>
      <c r="P245" s="226">
        <f t="shared" si="46"/>
        <v>12505363.973999998</v>
      </c>
      <c r="Q245" s="226">
        <f t="shared" si="46"/>
        <v>12887207.664999999</v>
      </c>
      <c r="R245" s="226">
        <f t="shared" si="46"/>
        <v>13280519.954799997</v>
      </c>
      <c r="S245" s="226">
        <f t="shared" si="46"/>
        <v>13684601.875600006</v>
      </c>
      <c r="T245" s="226">
        <f t="shared" si="46"/>
        <v>14098971.932700004</v>
      </c>
      <c r="U245" s="226">
        <f t="shared" si="46"/>
        <v>14522220.918200003</v>
      </c>
      <c r="V245" s="226">
        <f t="shared" si="46"/>
        <v>14953195.461200003</v>
      </c>
      <c r="W245" s="226">
        <f t="shared" si="46"/>
        <v>15389879.573600002</v>
      </c>
      <c r="X245" s="226">
        <f t="shared" si="46"/>
        <v>15389879.573600002</v>
      </c>
      <c r="Y245" s="226">
        <f t="shared" si="46"/>
        <v>15389879.573600002</v>
      </c>
      <c r="Z245" s="226">
        <f t="shared" si="46"/>
        <v>15389879.573600002</v>
      </c>
      <c r="AA245" s="226">
        <f t="shared" si="46"/>
        <v>15389879.573600002</v>
      </c>
      <c r="AB245" s="226">
        <f t="shared" si="46"/>
        <v>15389879.573600002</v>
      </c>
      <c r="AC245" s="226">
        <f t="shared" si="46"/>
        <v>15389879.573600002</v>
      </c>
      <c r="AD245" s="226">
        <f t="shared" si="46"/>
        <v>15389879.573600002</v>
      </c>
      <c r="AE245" s="226">
        <f t="shared" si="46"/>
        <v>15389879.573600002</v>
      </c>
      <c r="AF245" s="226">
        <f t="shared" si="46"/>
        <v>15389879.573600002</v>
      </c>
      <c r="AG245" s="226">
        <f t="shared" si="46"/>
        <v>15389879.573600002</v>
      </c>
      <c r="AH245" s="525"/>
      <c r="AI245" s="505"/>
      <c r="AJ245" s="505"/>
    </row>
    <row r="246" spans="1:36" ht="21.75" customHeight="1">
      <c r="A246" s="505"/>
      <c r="B246" s="784" t="s">
        <v>583</v>
      </c>
      <c r="C246" s="827"/>
      <c r="D246" s="227">
        <f>D245/'A4 - Previsão de Receita Bruta'!C27</f>
        <v>0.19360019239697307</v>
      </c>
      <c r="E246" s="227">
        <f>E245/'A4 - Previsão de Receita Bruta'!D27</f>
        <v>0.2095301038001168</v>
      </c>
      <c r="F246" s="227">
        <f>F245/'A4 - Previsão de Receita Bruta'!E27</f>
        <v>0.20954905114609604</v>
      </c>
      <c r="G246" s="227">
        <f>G245/'A4 - Previsão de Receita Bruta'!F27</f>
        <v>0.20956608440403032</v>
      </c>
      <c r="H246" s="227">
        <f>H245/'A4 - Previsão de Receita Bruta'!G27</f>
        <v>0.2095823150225114</v>
      </c>
      <c r="I246" s="227">
        <f>I245/'A4 - Previsão de Receita Bruta'!H27</f>
        <v>0.20959785721826199</v>
      </c>
      <c r="J246" s="227">
        <f>J245/'A4 - Previsão de Receita Bruta'!I27</f>
        <v>0.20961308641395762</v>
      </c>
      <c r="K246" s="227">
        <f>K245/'A4 - Previsão de Receita Bruta'!J27</f>
        <v>0.20962763389951164</v>
      </c>
      <c r="L246" s="227">
        <f>L245/'A4 - Previsão de Receita Bruta'!K27</f>
        <v>0.20964165407440741</v>
      </c>
      <c r="M246" s="227">
        <f>M245/'A4 - Previsão de Receita Bruta'!L27</f>
        <v>0.20965488038246433</v>
      </c>
      <c r="N246" s="227">
        <f>N245/'A4 - Previsão de Receita Bruta'!M27</f>
        <v>0.20966794457714985</v>
      </c>
      <c r="O246" s="227">
        <f>O245/'A4 - Previsão de Receita Bruta'!N27</f>
        <v>0.20968061722881243</v>
      </c>
      <c r="P246" s="227">
        <f>P245/'A4 - Previsão de Receita Bruta'!O27</f>
        <v>0.20969284244669961</v>
      </c>
      <c r="Q246" s="227">
        <f>Q245/'A4 - Previsão de Receita Bruta'!P27</f>
        <v>0.20970477397339962</v>
      </c>
      <c r="R246" s="227">
        <f>R245/'A4 - Previsão de Receita Bruta'!Q27</f>
        <v>0.2097163191691718</v>
      </c>
      <c r="S246" s="227">
        <f>S245/'A4 - Previsão de Receita Bruta'!R27</f>
        <v>0.20972746063215988</v>
      </c>
      <c r="T246" s="227">
        <f>T245/'A4 - Previsão de Receita Bruta'!S27</f>
        <v>0.20973821783955407</v>
      </c>
      <c r="U246" s="227">
        <f>U245/'A4 - Previsão de Receita Bruta'!T27</f>
        <v>0.20974867485252754</v>
      </c>
      <c r="V246" s="227">
        <f>V245/'A4 - Previsão de Receita Bruta'!U27</f>
        <v>0.20975870448949305</v>
      </c>
      <c r="W246" s="227">
        <f>W245/'A4 - Previsão de Receita Bruta'!V27</f>
        <v>0.20976823159989727</v>
      </c>
      <c r="X246" s="227">
        <f>X245/'A4 - Previsão de Receita Bruta'!W27</f>
        <v>0.20976823159989727</v>
      </c>
      <c r="Y246" s="227">
        <f>Y245/'A4 - Previsão de Receita Bruta'!X27</f>
        <v>0.20976823159989727</v>
      </c>
      <c r="Z246" s="227">
        <f>Z245/'A4 - Previsão de Receita Bruta'!Y27</f>
        <v>0.20976823159989727</v>
      </c>
      <c r="AA246" s="227">
        <f>AA245/'A4 - Previsão de Receita Bruta'!Z27</f>
        <v>0.20976823159989727</v>
      </c>
      <c r="AB246" s="227">
        <f>AB245/'A4 - Previsão de Receita Bruta'!AA27</f>
        <v>0.20976823159989727</v>
      </c>
      <c r="AC246" s="227">
        <f>AC245/'A4 - Previsão de Receita Bruta'!AB27</f>
        <v>0.20976823159989727</v>
      </c>
      <c r="AD246" s="227">
        <f>AD245/'A4 - Previsão de Receita Bruta'!AC27</f>
        <v>0.20976823159989727</v>
      </c>
      <c r="AE246" s="227">
        <f>AE245/'A4 - Previsão de Receita Bruta'!AD27</f>
        <v>0.20976823159989727</v>
      </c>
      <c r="AF246" s="227">
        <f>AF245/'A4 - Previsão de Receita Bruta'!AE27</f>
        <v>0.20976823159989727</v>
      </c>
      <c r="AG246" s="227">
        <f>AG245/'A4 - Previsão de Receita Bruta'!AF27</f>
        <v>0.20976823159989727</v>
      </c>
      <c r="AH246" s="525"/>
      <c r="AI246" s="505"/>
      <c r="AJ246" s="505"/>
    </row>
    <row r="247" spans="1:36" ht="15" customHeight="1">
      <c r="A247" s="525"/>
      <c r="B247" s="658"/>
      <c r="C247" s="525"/>
      <c r="D247" s="525"/>
      <c r="E247" s="525"/>
      <c r="F247" s="525"/>
      <c r="G247" s="525"/>
      <c r="H247" s="525"/>
      <c r="I247" s="525"/>
      <c r="J247" s="525"/>
      <c r="K247" s="525"/>
      <c r="L247" s="525"/>
      <c r="M247" s="525"/>
      <c r="N247" s="525"/>
      <c r="O247" s="525"/>
      <c r="P247" s="525"/>
      <c r="Q247" s="525"/>
      <c r="R247" s="525"/>
      <c r="S247" s="525"/>
      <c r="T247" s="525"/>
      <c r="U247" s="525"/>
      <c r="V247" s="525"/>
      <c r="W247" s="525"/>
      <c r="X247" s="525"/>
      <c r="Y247" s="525"/>
      <c r="Z247" s="525"/>
      <c r="AA247" s="525"/>
      <c r="AB247" s="525"/>
      <c r="AC247" s="525"/>
      <c r="AD247" s="525"/>
      <c r="AE247" s="525"/>
      <c r="AF247" s="525"/>
      <c r="AG247" s="525"/>
      <c r="AH247" s="525"/>
      <c r="AI247" s="525"/>
      <c r="AJ247" s="525"/>
    </row>
    <row r="248" spans="1:36" ht="10.5" customHeight="1">
      <c r="A248" s="653"/>
      <c r="B248" s="672"/>
      <c r="C248" s="653"/>
      <c r="D248" s="653"/>
      <c r="E248" s="653"/>
      <c r="F248" s="653"/>
      <c r="G248" s="653"/>
      <c r="H248" s="653"/>
      <c r="I248" s="653"/>
      <c r="J248" s="653"/>
      <c r="K248" s="653"/>
      <c r="L248" s="653"/>
      <c r="M248" s="653"/>
      <c r="N248" s="653"/>
      <c r="O248" s="653"/>
      <c r="P248" s="653"/>
      <c r="Q248" s="653"/>
      <c r="R248" s="653"/>
      <c r="S248" s="653"/>
      <c r="T248" s="653"/>
      <c r="U248" s="653"/>
      <c r="V248" s="653"/>
      <c r="W248" s="653"/>
      <c r="X248" s="653"/>
      <c r="Y248" s="653"/>
      <c r="Z248" s="653"/>
      <c r="AA248" s="653"/>
      <c r="AB248" s="653"/>
      <c r="AC248" s="653"/>
      <c r="AD248" s="653"/>
      <c r="AE248" s="653"/>
      <c r="AF248" s="653"/>
      <c r="AG248" s="653"/>
      <c r="AH248" s="525"/>
      <c r="AI248" s="653"/>
      <c r="AJ248" s="653"/>
    </row>
    <row r="249" spans="1:36" ht="10.5" customHeight="1">
      <c r="A249" s="525"/>
      <c r="B249" s="658"/>
      <c r="C249" s="525"/>
      <c r="D249" s="525"/>
      <c r="E249" s="525"/>
      <c r="F249" s="525"/>
      <c r="G249" s="525"/>
      <c r="H249" s="525"/>
      <c r="I249" s="525"/>
      <c r="J249" s="525"/>
      <c r="K249" s="525"/>
      <c r="L249" s="525"/>
      <c r="M249" s="525"/>
      <c r="N249" s="525"/>
      <c r="O249" s="525"/>
      <c r="P249" s="525"/>
      <c r="Q249" s="525"/>
      <c r="R249" s="525"/>
      <c r="S249" s="525"/>
      <c r="T249" s="525"/>
      <c r="U249" s="525"/>
      <c r="V249" s="525"/>
      <c r="W249" s="525"/>
      <c r="X249" s="525"/>
      <c r="Y249" s="525"/>
      <c r="Z249" s="525"/>
      <c r="AA249" s="525"/>
      <c r="AB249" s="525"/>
      <c r="AC249" s="525"/>
      <c r="AD249" s="525"/>
      <c r="AE249" s="525"/>
      <c r="AF249" s="525"/>
      <c r="AG249" s="525"/>
      <c r="AH249" s="525"/>
      <c r="AI249" s="525"/>
      <c r="AJ249" s="525"/>
    </row>
    <row r="250" spans="1:36" ht="15" customHeight="1">
      <c r="A250" s="525"/>
      <c r="B250" s="659" t="s">
        <v>584</v>
      </c>
      <c r="C250" s="525"/>
      <c r="D250" s="525"/>
      <c r="E250" s="525"/>
      <c r="F250" s="525"/>
      <c r="G250" s="525"/>
      <c r="H250" s="525"/>
      <c r="I250" s="525"/>
      <c r="J250" s="525"/>
      <c r="K250" s="525"/>
      <c r="L250" s="525"/>
      <c r="M250" s="525"/>
      <c r="N250" s="525"/>
      <c r="O250" s="525"/>
      <c r="P250" s="525"/>
      <c r="Q250" s="525"/>
      <c r="R250" s="525"/>
      <c r="S250" s="525"/>
      <c r="T250" s="525"/>
      <c r="U250" s="525"/>
      <c r="V250" s="525"/>
      <c r="W250" s="525"/>
      <c r="X250" s="525"/>
      <c r="Y250" s="525"/>
      <c r="Z250" s="525"/>
      <c r="AA250" s="525"/>
      <c r="AB250" s="525"/>
      <c r="AC250" s="525"/>
      <c r="AD250" s="525"/>
      <c r="AE250" s="525"/>
      <c r="AF250" s="525"/>
      <c r="AG250" s="525"/>
      <c r="AH250" s="525"/>
      <c r="AI250" s="525"/>
      <c r="AJ250" s="525"/>
    </row>
    <row r="251" spans="1:36" ht="15" customHeight="1">
      <c r="A251" s="525"/>
      <c r="B251" s="222" t="s">
        <v>526</v>
      </c>
      <c r="C251" s="222" t="s">
        <v>165</v>
      </c>
      <c r="D251" s="223">
        <v>1</v>
      </c>
      <c r="E251" s="223">
        <v>2</v>
      </c>
      <c r="F251" s="223">
        <v>3</v>
      </c>
      <c r="G251" s="223">
        <v>4</v>
      </c>
      <c r="H251" s="223">
        <v>5</v>
      </c>
      <c r="I251" s="223">
        <v>6</v>
      </c>
      <c r="J251" s="223">
        <v>7</v>
      </c>
      <c r="K251" s="223">
        <v>8</v>
      </c>
      <c r="L251" s="223">
        <v>9</v>
      </c>
      <c r="M251" s="223">
        <v>10</v>
      </c>
      <c r="N251" s="223">
        <v>11</v>
      </c>
      <c r="O251" s="223">
        <v>12</v>
      </c>
      <c r="P251" s="223">
        <v>13</v>
      </c>
      <c r="Q251" s="223">
        <v>14</v>
      </c>
      <c r="R251" s="223">
        <v>15</v>
      </c>
      <c r="S251" s="223">
        <v>16</v>
      </c>
      <c r="T251" s="223">
        <v>17</v>
      </c>
      <c r="U251" s="223">
        <v>18</v>
      </c>
      <c r="V251" s="223">
        <v>19</v>
      </c>
      <c r="W251" s="223">
        <v>20</v>
      </c>
      <c r="X251" s="223">
        <v>21</v>
      </c>
      <c r="Y251" s="223">
        <v>22</v>
      </c>
      <c r="Z251" s="223">
        <v>23</v>
      </c>
      <c r="AA251" s="223">
        <v>24</v>
      </c>
      <c r="AB251" s="223">
        <v>25</v>
      </c>
      <c r="AC251" s="223">
        <v>26</v>
      </c>
      <c r="AD251" s="223">
        <v>27</v>
      </c>
      <c r="AE251" s="223">
        <v>28</v>
      </c>
      <c r="AF251" s="223">
        <v>29</v>
      </c>
      <c r="AG251" s="223">
        <v>30</v>
      </c>
      <c r="AH251" s="525"/>
      <c r="AI251" s="525"/>
      <c r="AJ251" s="525"/>
    </row>
    <row r="252" spans="1:36" ht="15" customHeight="1">
      <c r="A252" s="525"/>
      <c r="B252" s="205" t="str">
        <f>'A4 - Previsão de Receita Bruta'!B7</f>
        <v>Ingresso</v>
      </c>
      <c r="C252" s="206" t="str">
        <f t="shared" ref="C252:C271" si="47">IFERROR(VLOOKUP(B252,ReceitaPorTipo,24,0),0)</f>
        <v>Serviços</v>
      </c>
      <c r="D252" s="207">
        <f>IFERROR('A4 - Previsão de Receita Bruta'!C7*VLOOKUP($C252,AliqPorTipo,COLUMN($K160)-1,0),0)</f>
        <v>2011992.4125000003</v>
      </c>
      <c r="E252" s="207">
        <f>IFERROR('A4 - Previsão de Receita Bruta'!D7*VLOOKUP($C252,AliqPorTipo,COLUMN($K160)-1,0),0)</f>
        <v>4162806.4725000006</v>
      </c>
      <c r="F252" s="207">
        <f>IFERROR('A4 - Previsão de Receita Bruta'!E7*VLOOKUP($C252,AliqPorTipo,COLUMN($K160)-1,0),0)</f>
        <v>4306395.1725000003</v>
      </c>
      <c r="G252" s="207">
        <f>IFERROR('A4 - Previsão de Receita Bruta'!F7*VLOOKUP($C252,AliqPorTipo,COLUMN($K160)-1,0),0)</f>
        <v>4445470.7550000008</v>
      </c>
      <c r="H252" s="207">
        <f>IFERROR('A4 - Previsão de Receita Bruta'!G7*VLOOKUP($C252,AliqPorTipo,COLUMN($K160)-1,0),0)</f>
        <v>4586754.8025000002</v>
      </c>
      <c r="I252" s="207">
        <f>IFERROR('A4 - Previsão de Receita Bruta'!H7*VLOOKUP($C252,AliqPorTipo,COLUMN($K160)-1,0),0)</f>
        <v>4730516.6400000006</v>
      </c>
      <c r="J252" s="207">
        <f>IFERROR('A4 - Previsão de Receita Bruta'!I7*VLOOKUP($C252,AliqPorTipo,COLUMN($K160)-1,0),0)</f>
        <v>4878329.8950000005</v>
      </c>
      <c r="K252" s="207">
        <f>IFERROR('A4 - Previsão de Receita Bruta'!J7*VLOOKUP($C252,AliqPorTipo,COLUMN($K160)-1,0),0)</f>
        <v>5030456.1975000007</v>
      </c>
      <c r="L252" s="207">
        <f>IFERROR('A4 - Previsão de Receita Bruta'!K7*VLOOKUP($C252,AliqPorTipo,COLUMN($K160)-1,0),0)</f>
        <v>5185352.7</v>
      </c>
      <c r="M252" s="207">
        <f>IFERROR('A4 - Previsão de Receita Bruta'!L7*VLOOKUP($C252,AliqPorTipo,COLUMN($K160)-1,0),0)</f>
        <v>5343142.5225000009</v>
      </c>
      <c r="N252" s="207">
        <f>IFERROR('A4 - Previsão de Receita Bruta'!M7*VLOOKUP($C252,AliqPorTipo,COLUMN($K160)-1,0),0)</f>
        <v>5505864.8400000008</v>
      </c>
      <c r="O252" s="207">
        <f>IFERROR('A4 - Previsão de Receita Bruta'!N7*VLOOKUP($C252,AliqPorTipo,COLUMN($K160)-1,0),0)</f>
        <v>5673458.0925000003</v>
      </c>
      <c r="P252" s="207">
        <f>IFERROR('A4 - Previsão de Receita Bruta'!O7*VLOOKUP($C252,AliqPorTipo,COLUMN($K160)-1,0),0)</f>
        <v>5846403.2175000003</v>
      </c>
      <c r="Q252" s="207">
        <f>IFERROR('A4 - Previsão de Receita Bruta'!P7*VLOOKUP($C252,AliqPorTipo,COLUMN($K160)-1,0),0)</f>
        <v>6024573.2475000005</v>
      </c>
      <c r="R252" s="207">
        <f>IFERROR('A4 - Previsão de Receita Bruta'!Q7*VLOOKUP($C252,AliqPorTipo,COLUMN($K160)-1,0),0)</f>
        <v>6208098.9975000005</v>
      </c>
      <c r="S252" s="207">
        <f>IFERROR('A4 - Previsão de Receita Bruta'!R7*VLOOKUP($C252,AliqPorTipo,COLUMN($K160)-1,0),0)</f>
        <v>6396657.2775000008</v>
      </c>
      <c r="T252" s="207">
        <f>IFERROR('A4 - Previsão de Receita Bruta'!S7*VLOOKUP($C252,AliqPorTipo,COLUMN($K160)-1,0),0)</f>
        <v>6590017.2375000007</v>
      </c>
      <c r="U252" s="207">
        <f>IFERROR('A4 - Previsão de Receita Bruta'!T7*VLOOKUP($C252,AliqPorTipo,COLUMN($K160)-1,0),0)</f>
        <v>6787494.0225000009</v>
      </c>
      <c r="V252" s="207">
        <f>IFERROR('A4 - Previsão de Receita Bruta'!U7*VLOOKUP($C252,AliqPorTipo,COLUMN($K160)-1,0),0)</f>
        <v>6988583.6100000003</v>
      </c>
      <c r="W252" s="207">
        <f>IFERROR('A4 - Previsão de Receita Bruta'!V7*VLOOKUP($C252,AliqPorTipo,COLUMN($K160)-1,0),0)</f>
        <v>7192351.057500001</v>
      </c>
      <c r="X252" s="207">
        <f>IFERROR('A4 - Previsão de Receita Bruta'!W7*VLOOKUP($C252,AliqPorTipo,COLUMN($K160)-1,0),0)</f>
        <v>7192351.057500001</v>
      </c>
      <c r="Y252" s="207">
        <f>IFERROR('A4 - Previsão de Receita Bruta'!X7*VLOOKUP($C252,AliqPorTipo,COLUMN($K160)-1,0),0)</f>
        <v>7192351.057500001</v>
      </c>
      <c r="Z252" s="207">
        <f>IFERROR('A4 - Previsão de Receita Bruta'!Y7*VLOOKUP($C252,AliqPorTipo,COLUMN($K160)-1,0),0)</f>
        <v>7192351.057500001</v>
      </c>
      <c r="AA252" s="207">
        <f>IFERROR('A4 - Previsão de Receita Bruta'!Z7*VLOOKUP($C252,AliqPorTipo,COLUMN($K160)-1,0),0)</f>
        <v>7192351.057500001</v>
      </c>
      <c r="AB252" s="207">
        <f>IFERROR('A4 - Previsão de Receita Bruta'!AA7*VLOOKUP($C252,AliqPorTipo,COLUMN($K160)-1,0),0)</f>
        <v>7192351.057500001</v>
      </c>
      <c r="AC252" s="207">
        <f>IFERROR('A4 - Previsão de Receita Bruta'!AB7*VLOOKUP($C252,AliqPorTipo,COLUMN($K160)-1,0),0)</f>
        <v>7192351.057500001</v>
      </c>
      <c r="AD252" s="207">
        <f>IFERROR('A4 - Previsão de Receita Bruta'!AC7*VLOOKUP($C252,AliqPorTipo,COLUMN($K160)-1,0),0)</f>
        <v>7192351.057500001</v>
      </c>
      <c r="AE252" s="207">
        <f>IFERROR('A4 - Previsão de Receita Bruta'!AD7*VLOOKUP($C252,AliqPorTipo,COLUMN($K160)-1,0),0)</f>
        <v>7192351.057500001</v>
      </c>
      <c r="AF252" s="207">
        <f>IFERROR('A4 - Previsão de Receita Bruta'!AE7*VLOOKUP($C252,AliqPorTipo,COLUMN($K160)-1,0),0)</f>
        <v>7192351.057500001</v>
      </c>
      <c r="AG252" s="207">
        <f>IFERROR('A4 - Previsão de Receita Bruta'!AF7*VLOOKUP($C252,AliqPorTipo,COLUMN($K160)-1,0),0)</f>
        <v>7192351.057500001</v>
      </c>
      <c r="AH252" s="525"/>
      <c r="AI252" s="525"/>
      <c r="AJ252" s="525"/>
    </row>
    <row r="253" spans="1:36" ht="15" customHeight="1">
      <c r="A253" s="525"/>
      <c r="B253" s="205" t="str">
        <f>'A4 - Previsão de Receita Bruta'!B8</f>
        <v>Preá - Alimentação</v>
      </c>
      <c r="C253" s="206" t="str">
        <f t="shared" si="47"/>
        <v>Alimentação</v>
      </c>
      <c r="D253" s="207">
        <f>IFERROR('A4 - Previsão de Receita Bruta'!C8*VLOOKUP($C253,AliqPorTipo,COLUMN($K161)-1,0),0)</f>
        <v>0</v>
      </c>
      <c r="E253" s="207">
        <f>IFERROR('A4 - Previsão de Receita Bruta'!D8*VLOOKUP($C253,AliqPorTipo,COLUMN($K161)-1,0),0)</f>
        <v>589662.75</v>
      </c>
      <c r="F253" s="207">
        <f>IFERROR('A4 - Previsão de Receita Bruta'!E8*VLOOKUP($C253,AliqPorTipo,COLUMN($K161)-1,0),0)</f>
        <v>610004.875</v>
      </c>
      <c r="G253" s="207">
        <f>IFERROR('A4 - Previsão de Receita Bruta'!F8*VLOOKUP($C253,AliqPorTipo,COLUMN($K161)-1,0),0)</f>
        <v>629699.8125</v>
      </c>
      <c r="H253" s="207">
        <f>IFERROR('A4 - Previsão de Receita Bruta'!G8*VLOOKUP($C253,AliqPorTipo,COLUMN($K161)-1,0),0)</f>
        <v>649714.9375</v>
      </c>
      <c r="I253" s="207">
        <f>IFERROR('A4 - Previsão de Receita Bruta'!H8*VLOOKUP($C253,AliqPorTipo,COLUMN($K161)-1,0),0)</f>
        <v>670077.5</v>
      </c>
      <c r="J253" s="207">
        <f>IFERROR('A4 - Previsão de Receita Bruta'!I8*VLOOKUP($C253,AliqPorTipo,COLUMN($K161)-1,0),0)</f>
        <v>691019.125</v>
      </c>
      <c r="K253" s="207">
        <f>IFERROR('A4 - Previsão de Receita Bruta'!J8*VLOOKUP($C253,AliqPorTipo,COLUMN($K161)-1,0),0)</f>
        <v>712567.0625</v>
      </c>
      <c r="L253" s="207">
        <f>IFERROR('A4 - Previsão de Receita Bruta'!K8*VLOOKUP($C253,AliqPorTipo,COLUMN($K161)-1,0),0)</f>
        <v>734510.125</v>
      </c>
      <c r="M253" s="207">
        <f>IFERROR('A4 - Previsão de Receita Bruta'!L8*VLOOKUP($C253,AliqPorTipo,COLUMN($K161)-1,0),0)</f>
        <v>756855.125</v>
      </c>
      <c r="N253" s="207">
        <f>IFERROR('A4 - Previsão de Receita Bruta'!M8*VLOOKUP($C253,AliqPorTipo,COLUMN($K161)-1,0),0)</f>
        <v>779908.625</v>
      </c>
      <c r="O253" s="207">
        <f>IFERROR('A4 - Previsão de Receita Bruta'!N8*VLOOKUP($C253,AliqPorTipo,COLUMN($K161)-1,0),0)</f>
        <v>803650.18750000012</v>
      </c>
      <c r="P253" s="207">
        <f>IFERROR('A4 - Previsão de Receita Bruta'!O8*VLOOKUP($C253,AliqPorTipo,COLUMN($K161)-1,0),0)</f>
        <v>828147.93750000012</v>
      </c>
      <c r="Q253" s="207">
        <f>IFERROR('A4 - Previsão de Receita Bruta'!P8*VLOOKUP($C253,AliqPorTipo,COLUMN($K161)-1,0),0)</f>
        <v>853381.43750000012</v>
      </c>
      <c r="R253" s="207">
        <f>IFERROR('A4 - Previsão de Receita Bruta'!Q8*VLOOKUP($C253,AliqPorTipo,COLUMN($K161)-1,0),0)</f>
        <v>879377.93750000012</v>
      </c>
      <c r="S253" s="207">
        <f>IFERROR('A4 - Previsão de Receita Bruta'!R8*VLOOKUP($C253,AliqPorTipo,COLUMN($K161)-1,0),0)</f>
        <v>906089.75000000012</v>
      </c>
      <c r="T253" s="207">
        <f>IFERROR('A4 - Previsão de Receita Bruta'!S8*VLOOKUP($C253,AliqPorTipo,COLUMN($K161)-1,0),0)</f>
        <v>933476.00000000012</v>
      </c>
      <c r="U253" s="207">
        <f>IFERROR('A4 - Previsão de Receita Bruta'!T8*VLOOKUP($C253,AliqPorTipo,COLUMN($K161)-1,0),0)</f>
        <v>961448.12500000012</v>
      </c>
      <c r="V253" s="207">
        <f>IFERROR('A4 - Previsão de Receita Bruta'!U8*VLOOKUP($C253,AliqPorTipo,COLUMN($K161)-1,0),0)</f>
        <v>989938.00000000012</v>
      </c>
      <c r="W253" s="207">
        <f>IFERROR('A4 - Previsão de Receita Bruta'!V8*VLOOKUP($C253,AliqPorTipo,COLUMN($K161)-1,0),0)</f>
        <v>1018802.5625000001</v>
      </c>
      <c r="X253" s="207">
        <f>IFERROR('A4 - Previsão de Receita Bruta'!W8*VLOOKUP($C253,AliqPorTipo,COLUMN($K161)-1,0),0)</f>
        <v>1018802.5625000001</v>
      </c>
      <c r="Y253" s="207">
        <f>IFERROR('A4 - Previsão de Receita Bruta'!X8*VLOOKUP($C253,AliqPorTipo,COLUMN($K161)-1,0),0)</f>
        <v>1018802.5625000001</v>
      </c>
      <c r="Z253" s="207">
        <f>IFERROR('A4 - Previsão de Receita Bruta'!Y8*VLOOKUP($C253,AliqPorTipo,COLUMN($K161)-1,0),0)</f>
        <v>1018802.5625000001</v>
      </c>
      <c r="AA253" s="207">
        <f>IFERROR('A4 - Previsão de Receita Bruta'!Z8*VLOOKUP($C253,AliqPorTipo,COLUMN($K161)-1,0),0)</f>
        <v>1018802.5625000001</v>
      </c>
      <c r="AB253" s="207">
        <f>IFERROR('A4 - Previsão de Receita Bruta'!AA8*VLOOKUP($C253,AliqPorTipo,COLUMN($K161)-1,0),0)</f>
        <v>1018802.5625000001</v>
      </c>
      <c r="AC253" s="207">
        <f>IFERROR('A4 - Previsão de Receita Bruta'!AB8*VLOOKUP($C253,AliqPorTipo,COLUMN($K161)-1,0),0)</f>
        <v>1018802.5625000001</v>
      </c>
      <c r="AD253" s="207">
        <f>IFERROR('A4 - Previsão de Receita Bruta'!AC8*VLOOKUP($C253,AliqPorTipo,COLUMN($K161)-1,0),0)</f>
        <v>1018802.5625000001</v>
      </c>
      <c r="AE253" s="207">
        <f>IFERROR('A4 - Previsão de Receita Bruta'!AD8*VLOOKUP($C253,AliqPorTipo,COLUMN($K161)-1,0),0)</f>
        <v>1018802.5625000001</v>
      </c>
      <c r="AF253" s="207">
        <f>IFERROR('A4 - Previsão de Receita Bruta'!AE8*VLOOKUP($C253,AliqPorTipo,COLUMN($K161)-1,0),0)</f>
        <v>1018802.5625000001</v>
      </c>
      <c r="AG253" s="207">
        <f>IFERROR('A4 - Previsão de Receita Bruta'!AF8*VLOOKUP($C253,AliqPorTipo,COLUMN($K161)-1,0),0)</f>
        <v>1018802.5625000001</v>
      </c>
      <c r="AH253" s="525"/>
      <c r="AI253" s="525"/>
      <c r="AJ253" s="525"/>
    </row>
    <row r="254" spans="1:36" ht="15" customHeight="1">
      <c r="A254" s="525"/>
      <c r="B254" s="205" t="str">
        <f>'A4 - Previsão de Receita Bruta'!B9</f>
        <v>Preá - Comércio</v>
      </c>
      <c r="C254" s="206" t="str">
        <f t="shared" si="47"/>
        <v>Comércio</v>
      </c>
      <c r="D254" s="207">
        <f>IFERROR('A4 - Previsão de Receita Bruta'!C9*VLOOKUP($C254,AliqPorTipo,COLUMN($K162)-1,0),0)</f>
        <v>0</v>
      </c>
      <c r="E254" s="207">
        <f>IFERROR('A4 - Previsão de Receita Bruta'!D9*VLOOKUP($C254,AliqPorTipo,COLUMN($K162)-1,0),0)</f>
        <v>196554.25</v>
      </c>
      <c r="F254" s="207">
        <f>IFERROR('A4 - Previsão de Receita Bruta'!E9*VLOOKUP($C254,AliqPorTipo,COLUMN($K162)-1,0),0)</f>
        <v>203339.50000000003</v>
      </c>
      <c r="G254" s="207">
        <f>IFERROR('A4 - Previsão de Receita Bruta'!F9*VLOOKUP($C254,AliqPorTipo,COLUMN($K162)-1,0),0)</f>
        <v>209906.75000000003</v>
      </c>
      <c r="H254" s="207">
        <f>IFERROR('A4 - Previsão de Receita Bruta'!G9*VLOOKUP($C254,AliqPorTipo,COLUMN($K162)-1,0),0)</f>
        <v>216569.37500000003</v>
      </c>
      <c r="I254" s="207">
        <f>IFERROR('A4 - Previsão de Receita Bruta'!H9*VLOOKUP($C254,AliqPorTipo,COLUMN($K162)-1,0),0)</f>
        <v>223354.62500000003</v>
      </c>
      <c r="J254" s="207">
        <f>IFERROR('A4 - Previsão de Receita Bruta'!I9*VLOOKUP($C254,AliqPorTipo,COLUMN($K162)-1,0),0)</f>
        <v>230344.25000000003</v>
      </c>
      <c r="K254" s="207">
        <f>IFERROR('A4 - Previsão de Receita Bruta'!J9*VLOOKUP($C254,AliqPorTipo,COLUMN($K162)-1,0),0)</f>
        <v>237524.62500000003</v>
      </c>
      <c r="L254" s="207">
        <f>IFERROR('A4 - Previsão de Receita Bruta'!K9*VLOOKUP($C254,AliqPorTipo,COLUMN($K162)-1,0),0)</f>
        <v>244841.25000000003</v>
      </c>
      <c r="M254" s="207">
        <f>IFERROR('A4 - Previsão de Receita Bruta'!L9*VLOOKUP($C254,AliqPorTipo,COLUMN($K162)-1,0),0)</f>
        <v>252280.50000000003</v>
      </c>
      <c r="N254" s="207">
        <f>IFERROR('A4 - Previsão de Receita Bruta'!M9*VLOOKUP($C254,AliqPorTipo,COLUMN($K162)-1,0),0)</f>
        <v>259965.00000000003</v>
      </c>
      <c r="O254" s="207">
        <f>IFERROR('A4 - Previsão de Receita Bruta'!N9*VLOOKUP($C254,AliqPorTipo,COLUMN($K162)-1,0),0)</f>
        <v>267881.125</v>
      </c>
      <c r="P254" s="207">
        <f>IFERROR('A4 - Previsão de Receita Bruta'!O9*VLOOKUP($C254,AliqPorTipo,COLUMN($K162)-1,0),0)</f>
        <v>276042.5</v>
      </c>
      <c r="Q254" s="207">
        <f>IFERROR('A4 - Previsão de Receita Bruta'!P9*VLOOKUP($C254,AliqPorTipo,COLUMN($K162)-1,0),0)</f>
        <v>284462.75</v>
      </c>
      <c r="R254" s="207">
        <f>IFERROR('A4 - Previsão de Receita Bruta'!Q9*VLOOKUP($C254,AliqPorTipo,COLUMN($K162)-1,0),0)</f>
        <v>293128.25</v>
      </c>
      <c r="S254" s="207">
        <f>IFERROR('A4 - Previsão de Receita Bruta'!R9*VLOOKUP($C254,AliqPorTipo,COLUMN($K162)-1,0),0)</f>
        <v>302025.375</v>
      </c>
      <c r="T254" s="207">
        <f>IFERROR('A4 - Previsão de Receita Bruta'!S9*VLOOKUP($C254,AliqPorTipo,COLUMN($K162)-1,0),0)</f>
        <v>311154.125</v>
      </c>
      <c r="U254" s="207">
        <f>IFERROR('A4 - Previsão de Receita Bruta'!T9*VLOOKUP($C254,AliqPorTipo,COLUMN($K162)-1,0),0)</f>
        <v>320487.25</v>
      </c>
      <c r="V254" s="207">
        <f>IFERROR('A4 - Previsão de Receita Bruta'!U9*VLOOKUP($C254,AliqPorTipo,COLUMN($K162)-1,0),0)</f>
        <v>329983.875</v>
      </c>
      <c r="W254" s="207">
        <f>IFERROR('A4 - Previsão de Receita Bruta'!V9*VLOOKUP($C254,AliqPorTipo,COLUMN($K162)-1,0),0)</f>
        <v>339603.125</v>
      </c>
      <c r="X254" s="207">
        <f>IFERROR('A4 - Previsão de Receita Bruta'!W9*VLOOKUP($C254,AliqPorTipo,COLUMN($K162)-1,0),0)</f>
        <v>339603.125</v>
      </c>
      <c r="Y254" s="207">
        <f>IFERROR('A4 - Previsão de Receita Bruta'!X9*VLOOKUP($C254,AliqPorTipo,COLUMN($K162)-1,0),0)</f>
        <v>339603.125</v>
      </c>
      <c r="Z254" s="207">
        <f>IFERROR('A4 - Previsão de Receita Bruta'!Y9*VLOOKUP($C254,AliqPorTipo,COLUMN($K162)-1,0),0)</f>
        <v>339603.125</v>
      </c>
      <c r="AA254" s="207">
        <f>IFERROR('A4 - Previsão de Receita Bruta'!Z9*VLOOKUP($C254,AliqPorTipo,COLUMN($K162)-1,0),0)</f>
        <v>339603.125</v>
      </c>
      <c r="AB254" s="207">
        <f>IFERROR('A4 - Previsão de Receita Bruta'!AA9*VLOOKUP($C254,AliqPorTipo,COLUMN($K162)-1,0),0)</f>
        <v>339603.125</v>
      </c>
      <c r="AC254" s="207">
        <f>IFERROR('A4 - Previsão de Receita Bruta'!AB9*VLOOKUP($C254,AliqPorTipo,COLUMN($K162)-1,0),0)</f>
        <v>339603.125</v>
      </c>
      <c r="AD254" s="207">
        <f>IFERROR('A4 - Previsão de Receita Bruta'!AC9*VLOOKUP($C254,AliqPorTipo,COLUMN($K162)-1,0),0)</f>
        <v>339603.125</v>
      </c>
      <c r="AE254" s="207">
        <f>IFERROR('A4 - Previsão de Receita Bruta'!AD9*VLOOKUP($C254,AliqPorTipo,COLUMN($K162)-1,0),0)</f>
        <v>339603.125</v>
      </c>
      <c r="AF254" s="207">
        <f>IFERROR('A4 - Previsão de Receita Bruta'!AE9*VLOOKUP($C254,AliqPorTipo,COLUMN($K162)-1,0),0)</f>
        <v>339603.125</v>
      </c>
      <c r="AG254" s="207">
        <f>IFERROR('A4 - Previsão de Receita Bruta'!AF9*VLOOKUP($C254,AliqPorTipo,COLUMN($K162)-1,0),0)</f>
        <v>339603.125</v>
      </c>
      <c r="AH254" s="525"/>
      <c r="AI254" s="525"/>
      <c r="AJ254" s="525"/>
    </row>
    <row r="255" spans="1:36" ht="15" customHeight="1">
      <c r="A255" s="525"/>
      <c r="B255" s="205" t="str">
        <f>'A4 - Previsão de Receita Bruta'!B10</f>
        <v>Preá - Estacionamento</v>
      </c>
      <c r="C255" s="206" t="str">
        <f t="shared" si="47"/>
        <v>Serviços</v>
      </c>
      <c r="D255" s="207">
        <f>IFERROR('A4 - Previsão de Receita Bruta'!C10*VLOOKUP($C255,AliqPorTipo,COLUMN($K163)-1,0),0)</f>
        <v>0</v>
      </c>
      <c r="E255" s="207">
        <f>IFERROR('A4 - Previsão de Receita Bruta'!D10*VLOOKUP($C255,AliqPorTipo,COLUMN($K163)-1,0),0)</f>
        <v>166512.10500000001</v>
      </c>
      <c r="F255" s="207">
        <f>IFERROR('A4 - Previsão de Receita Bruta'!E10*VLOOKUP($C255,AliqPorTipo,COLUMN($K163)-1,0),0)</f>
        <v>172252.57500000001</v>
      </c>
      <c r="G255" s="207">
        <f>IFERROR('A4 - Previsão de Receita Bruta'!F10*VLOOKUP($C255,AliqPorTipo,COLUMN($K163)-1,0),0)</f>
        <v>177816.06000000003</v>
      </c>
      <c r="H255" s="207">
        <f>IFERROR('A4 - Previsão de Receita Bruta'!G10*VLOOKUP($C255,AliqPorTipo,COLUMN($K163)-1,0),0)</f>
        <v>183471.88500000001</v>
      </c>
      <c r="I255" s="207">
        <f>IFERROR('A4 - Previsão de Receita Bruta'!H10*VLOOKUP($C255,AliqPorTipo,COLUMN($K163)-1,0),0)</f>
        <v>189220.05000000002</v>
      </c>
      <c r="J255" s="207">
        <f>IFERROR('A4 - Previsão de Receita Bruta'!I10*VLOOKUP($C255,AliqPorTipo,COLUMN($K163)-1,0),0)</f>
        <v>195129.81000000003</v>
      </c>
      <c r="K255" s="207">
        <f>IFERROR('A4 - Previsão de Receita Bruta'!J10*VLOOKUP($C255,AliqPorTipo,COLUMN($K163)-1,0),0)</f>
        <v>201216.55500000002</v>
      </c>
      <c r="L255" s="207">
        <f>IFERROR('A4 - Previsão de Receita Bruta'!K10*VLOOKUP($C255,AliqPorTipo,COLUMN($K163)-1,0),0)</f>
        <v>207411.03000000003</v>
      </c>
      <c r="M255" s="207">
        <f>IFERROR('A4 - Previsão de Receita Bruta'!L10*VLOOKUP($C255,AliqPorTipo,COLUMN($K163)-1,0),0)</f>
        <v>213728.62500000003</v>
      </c>
      <c r="N255" s="207">
        <f>IFERROR('A4 - Previsão de Receita Bruta'!M10*VLOOKUP($C255,AliqPorTipo,COLUMN($K163)-1,0),0)</f>
        <v>220230.90000000002</v>
      </c>
      <c r="O255" s="207">
        <f>IFERROR('A4 - Previsão de Receita Bruta'!N10*VLOOKUP($C255,AliqPorTipo,COLUMN($K163)-1,0),0)</f>
        <v>226940.94000000003</v>
      </c>
      <c r="P255" s="207">
        <f>IFERROR('A4 - Previsão de Receita Bruta'!O10*VLOOKUP($C255,AliqPorTipo,COLUMN($K163)-1,0),0)</f>
        <v>233858.74500000002</v>
      </c>
      <c r="Q255" s="207">
        <f>IFERROR('A4 - Previsão de Receita Bruta'!P10*VLOOKUP($C255,AliqPorTipo,COLUMN($K163)-1,0),0)</f>
        <v>240984.31500000003</v>
      </c>
      <c r="R255" s="207">
        <f>IFERROR('A4 - Previsão de Receita Bruta'!Q10*VLOOKUP($C255,AliqPorTipo,COLUMN($K163)-1,0),0)</f>
        <v>248325.34500000003</v>
      </c>
      <c r="S255" s="207">
        <f>IFERROR('A4 - Previsão de Receita Bruta'!R10*VLOOKUP($C255,AliqPorTipo,COLUMN($K163)-1,0),0)</f>
        <v>255866.44500000004</v>
      </c>
      <c r="T255" s="207">
        <f>IFERROR('A4 - Previsão de Receita Bruta'!S10*VLOOKUP($C255,AliqPorTipo,COLUMN($K163)-1,0),0)</f>
        <v>263599.92000000004</v>
      </c>
      <c r="U255" s="207">
        <f>IFERROR('A4 - Previsão de Receita Bruta'!T10*VLOOKUP($C255,AliqPorTipo,COLUMN($K163)-1,0),0)</f>
        <v>271502.68500000006</v>
      </c>
      <c r="V255" s="207">
        <f>IFERROR('A4 - Previsão de Receita Bruta'!U10*VLOOKUP($C255,AliqPorTipo,COLUMN($K163)-1,0),0)</f>
        <v>279543.96000000002</v>
      </c>
      <c r="W255" s="207">
        <f>IFERROR('A4 - Previsão de Receita Bruta'!V10*VLOOKUP($C255,AliqPorTipo,COLUMN($K163)-1,0),0)</f>
        <v>287692.96500000003</v>
      </c>
      <c r="X255" s="207">
        <f>IFERROR('A4 - Previsão de Receita Bruta'!W10*VLOOKUP($C255,AliqPorTipo,COLUMN($K163)-1,0),0)</f>
        <v>287692.96500000003</v>
      </c>
      <c r="Y255" s="207">
        <f>IFERROR('A4 - Previsão de Receita Bruta'!X10*VLOOKUP($C255,AliqPorTipo,COLUMN($K163)-1,0),0)</f>
        <v>287692.96500000003</v>
      </c>
      <c r="Z255" s="207">
        <f>IFERROR('A4 - Previsão de Receita Bruta'!Y10*VLOOKUP($C255,AliqPorTipo,COLUMN($K163)-1,0),0)</f>
        <v>287692.96500000003</v>
      </c>
      <c r="AA255" s="207">
        <f>IFERROR('A4 - Previsão de Receita Bruta'!Z10*VLOOKUP($C255,AliqPorTipo,COLUMN($K163)-1,0),0)</f>
        <v>287692.96500000003</v>
      </c>
      <c r="AB255" s="207">
        <f>IFERROR('A4 - Previsão de Receita Bruta'!AA10*VLOOKUP($C255,AliqPorTipo,COLUMN($K163)-1,0),0)</f>
        <v>287692.96500000003</v>
      </c>
      <c r="AC255" s="207">
        <f>IFERROR('A4 - Previsão de Receita Bruta'!AB10*VLOOKUP($C255,AliqPorTipo,COLUMN($K163)-1,0),0)</f>
        <v>287692.96500000003</v>
      </c>
      <c r="AD255" s="207">
        <f>IFERROR('A4 - Previsão de Receita Bruta'!AC10*VLOOKUP($C255,AliqPorTipo,COLUMN($K163)-1,0),0)</f>
        <v>287692.96500000003</v>
      </c>
      <c r="AE255" s="207">
        <f>IFERROR('A4 - Previsão de Receita Bruta'!AD10*VLOOKUP($C255,AliqPorTipo,COLUMN($K163)-1,0),0)</f>
        <v>287692.96500000003</v>
      </c>
      <c r="AF255" s="207">
        <f>IFERROR('A4 - Previsão de Receita Bruta'!AE10*VLOOKUP($C255,AliqPorTipo,COLUMN($K163)-1,0),0)</f>
        <v>287692.96500000003</v>
      </c>
      <c r="AG255" s="207">
        <f>IFERROR('A4 - Previsão de Receita Bruta'!AF10*VLOOKUP($C255,AliqPorTipo,COLUMN($K163)-1,0),0)</f>
        <v>287692.96500000003</v>
      </c>
      <c r="AH255" s="525"/>
      <c r="AI255" s="525"/>
      <c r="AJ255" s="525"/>
    </row>
    <row r="256" spans="1:36" ht="15" customHeight="1">
      <c r="A256" s="525"/>
      <c r="B256" s="205" t="str">
        <f>'A4 - Previsão de Receita Bruta'!B11</f>
        <v>Árvore da Preguiça - Alimentação</v>
      </c>
      <c r="C256" s="206" t="str">
        <f t="shared" si="47"/>
        <v>Alimentação</v>
      </c>
      <c r="D256" s="207">
        <f>IFERROR('A4 - Previsão de Receita Bruta'!C11*VLOOKUP($C256,AliqPorTipo,COLUMN($K164)-1,0),0)</f>
        <v>0</v>
      </c>
      <c r="E256" s="207">
        <f>IFERROR('A4 - Previsão de Receita Bruta'!D11*VLOOKUP($C256,AliqPorTipo,COLUMN($K164)-1,0),0)</f>
        <v>589662.75</v>
      </c>
      <c r="F256" s="207">
        <f>IFERROR('A4 - Previsão de Receita Bruta'!E11*VLOOKUP($C256,AliqPorTipo,COLUMN($K164)-1,0),0)</f>
        <v>610004.875</v>
      </c>
      <c r="G256" s="207">
        <f>IFERROR('A4 - Previsão de Receita Bruta'!F11*VLOOKUP($C256,AliqPorTipo,COLUMN($K164)-1,0),0)</f>
        <v>629699.8125</v>
      </c>
      <c r="H256" s="207">
        <f>IFERROR('A4 - Previsão de Receita Bruta'!G11*VLOOKUP($C256,AliqPorTipo,COLUMN($K164)-1,0),0)</f>
        <v>649714.9375</v>
      </c>
      <c r="I256" s="207">
        <f>IFERROR('A4 - Previsão de Receita Bruta'!H11*VLOOKUP($C256,AliqPorTipo,COLUMN($K164)-1,0),0)</f>
        <v>670077.5</v>
      </c>
      <c r="J256" s="207">
        <f>IFERROR('A4 - Previsão de Receita Bruta'!I11*VLOOKUP($C256,AliqPorTipo,COLUMN($K164)-1,0),0)</f>
        <v>691019.125</v>
      </c>
      <c r="K256" s="207">
        <f>IFERROR('A4 - Previsão de Receita Bruta'!J11*VLOOKUP($C256,AliqPorTipo,COLUMN($K164)-1,0),0)</f>
        <v>712567.0625</v>
      </c>
      <c r="L256" s="207">
        <f>IFERROR('A4 - Previsão de Receita Bruta'!K11*VLOOKUP($C256,AliqPorTipo,COLUMN($K164)-1,0),0)</f>
        <v>734510.125</v>
      </c>
      <c r="M256" s="207">
        <f>IFERROR('A4 - Previsão de Receita Bruta'!L11*VLOOKUP($C256,AliqPorTipo,COLUMN($K164)-1,0),0)</f>
        <v>756855.125</v>
      </c>
      <c r="N256" s="207">
        <f>IFERROR('A4 - Previsão de Receita Bruta'!M11*VLOOKUP($C256,AliqPorTipo,COLUMN($K164)-1,0),0)</f>
        <v>779908.625</v>
      </c>
      <c r="O256" s="207">
        <f>IFERROR('A4 - Previsão de Receita Bruta'!N11*VLOOKUP($C256,AliqPorTipo,COLUMN($K164)-1,0),0)</f>
        <v>803650.18750000012</v>
      </c>
      <c r="P256" s="207">
        <f>IFERROR('A4 - Previsão de Receita Bruta'!O11*VLOOKUP($C256,AliqPorTipo,COLUMN($K164)-1,0),0)</f>
        <v>828147.93750000012</v>
      </c>
      <c r="Q256" s="207">
        <f>IFERROR('A4 - Previsão de Receita Bruta'!P11*VLOOKUP($C256,AliqPorTipo,COLUMN($K164)-1,0),0)</f>
        <v>853381.43750000012</v>
      </c>
      <c r="R256" s="207">
        <f>IFERROR('A4 - Previsão de Receita Bruta'!Q11*VLOOKUP($C256,AliqPorTipo,COLUMN($K164)-1,0),0)</f>
        <v>879377.93750000012</v>
      </c>
      <c r="S256" s="207">
        <f>IFERROR('A4 - Previsão de Receita Bruta'!R11*VLOOKUP($C256,AliqPorTipo,COLUMN($K164)-1,0),0)</f>
        <v>906089.75000000012</v>
      </c>
      <c r="T256" s="207">
        <f>IFERROR('A4 - Previsão de Receita Bruta'!S11*VLOOKUP($C256,AliqPorTipo,COLUMN($K164)-1,0),0)</f>
        <v>933476.00000000012</v>
      </c>
      <c r="U256" s="207">
        <f>IFERROR('A4 - Previsão de Receita Bruta'!T11*VLOOKUP($C256,AliqPorTipo,COLUMN($K164)-1,0),0)</f>
        <v>961448.12500000012</v>
      </c>
      <c r="V256" s="207">
        <f>IFERROR('A4 - Previsão de Receita Bruta'!U11*VLOOKUP($C256,AliqPorTipo,COLUMN($K164)-1,0),0)</f>
        <v>989938.00000000012</v>
      </c>
      <c r="W256" s="207">
        <f>IFERROR('A4 - Previsão de Receita Bruta'!V11*VLOOKUP($C256,AliqPorTipo,COLUMN($K164)-1,0),0)</f>
        <v>1018802.5625000001</v>
      </c>
      <c r="X256" s="207">
        <f>IFERROR('A4 - Previsão de Receita Bruta'!W11*VLOOKUP($C256,AliqPorTipo,COLUMN($K164)-1,0),0)</f>
        <v>1018802.5625000001</v>
      </c>
      <c r="Y256" s="207">
        <f>IFERROR('A4 - Previsão de Receita Bruta'!X11*VLOOKUP($C256,AliqPorTipo,COLUMN($K164)-1,0),0)</f>
        <v>1018802.5625000001</v>
      </c>
      <c r="Z256" s="207">
        <f>IFERROR('A4 - Previsão de Receita Bruta'!Y11*VLOOKUP($C256,AliqPorTipo,COLUMN($K164)-1,0),0)</f>
        <v>1018802.5625000001</v>
      </c>
      <c r="AA256" s="207">
        <f>IFERROR('A4 - Previsão de Receita Bruta'!Z11*VLOOKUP($C256,AliqPorTipo,COLUMN($K164)-1,0),0)</f>
        <v>1018802.5625000001</v>
      </c>
      <c r="AB256" s="207">
        <f>IFERROR('A4 - Previsão de Receita Bruta'!AA11*VLOOKUP($C256,AliqPorTipo,COLUMN($K164)-1,0),0)</f>
        <v>1018802.5625000001</v>
      </c>
      <c r="AC256" s="207">
        <f>IFERROR('A4 - Previsão de Receita Bruta'!AB11*VLOOKUP($C256,AliqPorTipo,COLUMN($K164)-1,0),0)</f>
        <v>1018802.5625000001</v>
      </c>
      <c r="AD256" s="207">
        <f>IFERROR('A4 - Previsão de Receita Bruta'!AC11*VLOOKUP($C256,AliqPorTipo,COLUMN($K164)-1,0),0)</f>
        <v>1018802.5625000001</v>
      </c>
      <c r="AE256" s="207">
        <f>IFERROR('A4 - Previsão de Receita Bruta'!AD11*VLOOKUP($C256,AliqPorTipo,COLUMN($K164)-1,0),0)</f>
        <v>1018802.5625000001</v>
      </c>
      <c r="AF256" s="207">
        <f>IFERROR('A4 - Previsão de Receita Bruta'!AE11*VLOOKUP($C256,AliqPorTipo,COLUMN($K164)-1,0),0)</f>
        <v>1018802.5625000001</v>
      </c>
      <c r="AG256" s="207">
        <f>IFERROR('A4 - Previsão de Receita Bruta'!AF11*VLOOKUP($C256,AliqPorTipo,COLUMN($K164)-1,0),0)</f>
        <v>1018802.5625000001</v>
      </c>
      <c r="AH256" s="525"/>
      <c r="AI256" s="525"/>
      <c r="AJ256" s="525"/>
    </row>
    <row r="257" spans="1:36" ht="15" customHeight="1">
      <c r="A257" s="525"/>
      <c r="B257" s="205" t="str">
        <f>'A4 - Previsão de Receita Bruta'!B12</f>
        <v>Árvore da Preguiça - Comércio</v>
      </c>
      <c r="C257" s="206" t="str">
        <f t="shared" si="47"/>
        <v>Comércio</v>
      </c>
      <c r="D257" s="207">
        <f>IFERROR('A4 - Previsão de Receita Bruta'!C12*VLOOKUP($C257,AliqPorTipo,COLUMN($K165)-1,0),0)</f>
        <v>0</v>
      </c>
      <c r="E257" s="207">
        <f>IFERROR('A4 - Previsão de Receita Bruta'!D12*VLOOKUP($C257,AliqPorTipo,COLUMN($K165)-1,0),0)</f>
        <v>196554.25</v>
      </c>
      <c r="F257" s="207">
        <f>IFERROR('A4 - Previsão de Receita Bruta'!E12*VLOOKUP($C257,AliqPorTipo,COLUMN($K165)-1,0),0)</f>
        <v>203339.50000000003</v>
      </c>
      <c r="G257" s="207">
        <f>IFERROR('A4 - Previsão de Receita Bruta'!F12*VLOOKUP($C257,AliqPorTipo,COLUMN($K165)-1,0),0)</f>
        <v>209906.75000000003</v>
      </c>
      <c r="H257" s="207">
        <f>IFERROR('A4 - Previsão de Receita Bruta'!G12*VLOOKUP($C257,AliqPorTipo,COLUMN($K165)-1,0),0)</f>
        <v>216569.37500000003</v>
      </c>
      <c r="I257" s="207">
        <f>IFERROR('A4 - Previsão de Receita Bruta'!H12*VLOOKUP($C257,AliqPorTipo,COLUMN($K165)-1,0),0)</f>
        <v>223354.62500000003</v>
      </c>
      <c r="J257" s="207">
        <f>IFERROR('A4 - Previsão de Receita Bruta'!I12*VLOOKUP($C257,AliqPorTipo,COLUMN($K165)-1,0),0)</f>
        <v>230344.25000000003</v>
      </c>
      <c r="K257" s="207">
        <f>IFERROR('A4 - Previsão de Receita Bruta'!J12*VLOOKUP($C257,AliqPorTipo,COLUMN($K165)-1,0),0)</f>
        <v>237524.62500000003</v>
      </c>
      <c r="L257" s="207">
        <f>IFERROR('A4 - Previsão de Receita Bruta'!K12*VLOOKUP($C257,AliqPorTipo,COLUMN($K165)-1,0),0)</f>
        <v>244841.25000000003</v>
      </c>
      <c r="M257" s="207">
        <f>IFERROR('A4 - Previsão de Receita Bruta'!L12*VLOOKUP($C257,AliqPorTipo,COLUMN($K165)-1,0),0)</f>
        <v>252280.50000000003</v>
      </c>
      <c r="N257" s="207">
        <f>IFERROR('A4 - Previsão de Receita Bruta'!M12*VLOOKUP($C257,AliqPorTipo,COLUMN($K165)-1,0),0)</f>
        <v>259965.00000000003</v>
      </c>
      <c r="O257" s="207">
        <f>IFERROR('A4 - Previsão de Receita Bruta'!N12*VLOOKUP($C257,AliqPorTipo,COLUMN($K165)-1,0),0)</f>
        <v>267881.125</v>
      </c>
      <c r="P257" s="207">
        <f>IFERROR('A4 - Previsão de Receita Bruta'!O12*VLOOKUP($C257,AliqPorTipo,COLUMN($K165)-1,0),0)</f>
        <v>276042.5</v>
      </c>
      <c r="Q257" s="207">
        <f>IFERROR('A4 - Previsão de Receita Bruta'!P12*VLOOKUP($C257,AliqPorTipo,COLUMN($K165)-1,0),0)</f>
        <v>284462.75</v>
      </c>
      <c r="R257" s="207">
        <f>IFERROR('A4 - Previsão de Receita Bruta'!Q12*VLOOKUP($C257,AliqPorTipo,COLUMN($K165)-1,0),0)</f>
        <v>293128.25</v>
      </c>
      <c r="S257" s="207">
        <f>IFERROR('A4 - Previsão de Receita Bruta'!R12*VLOOKUP($C257,AliqPorTipo,COLUMN($K165)-1,0),0)</f>
        <v>302025.375</v>
      </c>
      <c r="T257" s="207">
        <f>IFERROR('A4 - Previsão de Receita Bruta'!S12*VLOOKUP($C257,AliqPorTipo,COLUMN($K165)-1,0),0)</f>
        <v>311154.125</v>
      </c>
      <c r="U257" s="207">
        <f>IFERROR('A4 - Previsão de Receita Bruta'!T12*VLOOKUP($C257,AliqPorTipo,COLUMN($K165)-1,0),0)</f>
        <v>320487.25</v>
      </c>
      <c r="V257" s="207">
        <f>IFERROR('A4 - Previsão de Receita Bruta'!U12*VLOOKUP($C257,AliqPorTipo,COLUMN($K165)-1,0),0)</f>
        <v>329983.875</v>
      </c>
      <c r="W257" s="207">
        <f>IFERROR('A4 - Previsão de Receita Bruta'!V12*VLOOKUP($C257,AliqPorTipo,COLUMN($K165)-1,0),0)</f>
        <v>339603.125</v>
      </c>
      <c r="X257" s="207">
        <f>IFERROR('A4 - Previsão de Receita Bruta'!W12*VLOOKUP($C257,AliqPorTipo,COLUMN($K165)-1,0),0)</f>
        <v>339603.125</v>
      </c>
      <c r="Y257" s="207">
        <f>IFERROR('A4 - Previsão de Receita Bruta'!X12*VLOOKUP($C257,AliqPorTipo,COLUMN($K165)-1,0),0)</f>
        <v>339603.125</v>
      </c>
      <c r="Z257" s="207">
        <f>IFERROR('A4 - Previsão de Receita Bruta'!Y12*VLOOKUP($C257,AliqPorTipo,COLUMN($K165)-1,0),0)</f>
        <v>339603.125</v>
      </c>
      <c r="AA257" s="207">
        <f>IFERROR('A4 - Previsão de Receita Bruta'!Z12*VLOOKUP($C257,AliqPorTipo,COLUMN($K165)-1,0),0)</f>
        <v>339603.125</v>
      </c>
      <c r="AB257" s="207">
        <f>IFERROR('A4 - Previsão de Receita Bruta'!AA12*VLOOKUP($C257,AliqPorTipo,COLUMN($K165)-1,0),0)</f>
        <v>339603.125</v>
      </c>
      <c r="AC257" s="207">
        <f>IFERROR('A4 - Previsão de Receita Bruta'!AB12*VLOOKUP($C257,AliqPorTipo,COLUMN($K165)-1,0),0)</f>
        <v>339603.125</v>
      </c>
      <c r="AD257" s="207">
        <f>IFERROR('A4 - Previsão de Receita Bruta'!AC12*VLOOKUP($C257,AliqPorTipo,COLUMN($K165)-1,0),0)</f>
        <v>339603.125</v>
      </c>
      <c r="AE257" s="207">
        <f>IFERROR('A4 - Previsão de Receita Bruta'!AD12*VLOOKUP($C257,AliqPorTipo,COLUMN($K165)-1,0),0)</f>
        <v>339603.125</v>
      </c>
      <c r="AF257" s="207">
        <f>IFERROR('A4 - Previsão de Receita Bruta'!AE12*VLOOKUP($C257,AliqPorTipo,COLUMN($K165)-1,0),0)</f>
        <v>339603.125</v>
      </c>
      <c r="AG257" s="207">
        <f>IFERROR('A4 - Previsão de Receita Bruta'!AF12*VLOOKUP($C257,AliqPorTipo,COLUMN($K165)-1,0),0)</f>
        <v>339603.125</v>
      </c>
      <c r="AH257" s="525"/>
      <c r="AI257" s="525"/>
      <c r="AJ257" s="525"/>
    </row>
    <row r="258" spans="1:36" ht="15" customHeight="1">
      <c r="A258" s="525"/>
      <c r="B258" s="205" t="str">
        <f>'A4 - Previsão de Receita Bruta'!B13</f>
        <v>Silveira - Alimentação</v>
      </c>
      <c r="C258" s="206" t="str">
        <f t="shared" si="47"/>
        <v>Alimentação</v>
      </c>
      <c r="D258" s="207">
        <f>IFERROR('A4 - Previsão de Receita Bruta'!C13*VLOOKUP($C258,AliqPorTipo,COLUMN($K166)-1,0),0)</f>
        <v>0</v>
      </c>
      <c r="E258" s="207">
        <f>IFERROR('A4 - Previsão de Receita Bruta'!D13*VLOOKUP($C258,AliqPorTipo,COLUMN($K166)-1,0),0)</f>
        <v>0</v>
      </c>
      <c r="F258" s="207">
        <f>IFERROR('A4 - Previsão de Receita Bruta'!E13*VLOOKUP($C258,AliqPorTipo,COLUMN($K166)-1,0),0)</f>
        <v>0</v>
      </c>
      <c r="G258" s="207">
        <f>IFERROR('A4 - Previsão de Receita Bruta'!F13*VLOOKUP($C258,AliqPorTipo,COLUMN($K166)-1,0),0)</f>
        <v>0</v>
      </c>
      <c r="H258" s="207">
        <f>IFERROR('A4 - Previsão de Receita Bruta'!G13*VLOOKUP($C258,AliqPorTipo,COLUMN($K166)-1,0),0)</f>
        <v>0</v>
      </c>
      <c r="I258" s="207">
        <f>IFERROR('A4 - Previsão de Receita Bruta'!H13*VLOOKUP($C258,AliqPorTipo,COLUMN($K166)-1,0),0)</f>
        <v>0</v>
      </c>
      <c r="J258" s="207">
        <f>IFERROR('A4 - Previsão de Receita Bruta'!I13*VLOOKUP($C258,AliqPorTipo,COLUMN($K166)-1,0),0)</f>
        <v>0</v>
      </c>
      <c r="K258" s="207">
        <f>IFERROR('A4 - Previsão de Receita Bruta'!J13*VLOOKUP($C258,AliqPorTipo,COLUMN($K166)-1,0),0)</f>
        <v>0</v>
      </c>
      <c r="L258" s="207">
        <f>IFERROR('A4 - Previsão de Receita Bruta'!K13*VLOOKUP($C258,AliqPorTipo,COLUMN($K166)-1,0),0)</f>
        <v>0</v>
      </c>
      <c r="M258" s="207">
        <f>IFERROR('A4 - Previsão de Receita Bruta'!L13*VLOOKUP($C258,AliqPorTipo,COLUMN($K166)-1,0),0)</f>
        <v>0</v>
      </c>
      <c r="N258" s="207">
        <f>IFERROR('A4 - Previsão de Receita Bruta'!M13*VLOOKUP($C258,AliqPorTipo,COLUMN($K166)-1,0),0)</f>
        <v>0</v>
      </c>
      <c r="O258" s="207">
        <f>IFERROR('A4 - Previsão de Receita Bruta'!N13*VLOOKUP($C258,AliqPorTipo,COLUMN($K166)-1,0),0)</f>
        <v>0</v>
      </c>
      <c r="P258" s="207">
        <f>IFERROR('A4 - Previsão de Receita Bruta'!O13*VLOOKUP($C258,AliqPorTipo,COLUMN($K166)-1,0),0)</f>
        <v>0</v>
      </c>
      <c r="Q258" s="207">
        <f>IFERROR('A4 - Previsão de Receita Bruta'!P13*VLOOKUP($C258,AliqPorTipo,COLUMN($K166)-1,0),0)</f>
        <v>0</v>
      </c>
      <c r="R258" s="207">
        <f>IFERROR('A4 - Previsão de Receita Bruta'!Q13*VLOOKUP($C258,AliqPorTipo,COLUMN($K166)-1,0),0)</f>
        <v>0</v>
      </c>
      <c r="S258" s="207">
        <f>IFERROR('A4 - Previsão de Receita Bruta'!R13*VLOOKUP($C258,AliqPorTipo,COLUMN($K166)-1,0),0)</f>
        <v>0</v>
      </c>
      <c r="T258" s="207">
        <f>IFERROR('A4 - Previsão de Receita Bruta'!S13*VLOOKUP($C258,AliqPorTipo,COLUMN($K166)-1,0),0)</f>
        <v>0</v>
      </c>
      <c r="U258" s="207">
        <f>IFERROR('A4 - Previsão de Receita Bruta'!T13*VLOOKUP($C258,AliqPorTipo,COLUMN($K166)-1,0),0)</f>
        <v>0</v>
      </c>
      <c r="V258" s="207">
        <f>IFERROR('A4 - Previsão de Receita Bruta'!U13*VLOOKUP($C258,AliqPorTipo,COLUMN($K166)-1,0),0)</f>
        <v>0</v>
      </c>
      <c r="W258" s="207">
        <f>IFERROR('A4 - Previsão de Receita Bruta'!V13*VLOOKUP($C258,AliqPorTipo,COLUMN($K166)-1,0),0)</f>
        <v>0</v>
      </c>
      <c r="X258" s="207">
        <f>IFERROR('A4 - Previsão de Receita Bruta'!W13*VLOOKUP($C258,AliqPorTipo,COLUMN($K166)-1,0),0)</f>
        <v>0</v>
      </c>
      <c r="Y258" s="207">
        <f>IFERROR('A4 - Previsão de Receita Bruta'!X13*VLOOKUP($C258,AliqPorTipo,COLUMN($K166)-1,0),0)</f>
        <v>0</v>
      </c>
      <c r="Z258" s="207">
        <f>IFERROR('A4 - Previsão de Receita Bruta'!Y13*VLOOKUP($C258,AliqPorTipo,COLUMN($K166)-1,0),0)</f>
        <v>0</v>
      </c>
      <c r="AA258" s="207">
        <f>IFERROR('A4 - Previsão de Receita Bruta'!Z13*VLOOKUP($C258,AliqPorTipo,COLUMN($K166)-1,0),0)</f>
        <v>0</v>
      </c>
      <c r="AB258" s="207">
        <f>IFERROR('A4 - Previsão de Receita Bruta'!AA13*VLOOKUP($C258,AliqPorTipo,COLUMN($K166)-1,0),0)</f>
        <v>0</v>
      </c>
      <c r="AC258" s="207">
        <f>IFERROR('A4 - Previsão de Receita Bruta'!AB13*VLOOKUP($C258,AliqPorTipo,COLUMN($K166)-1,0),0)</f>
        <v>0</v>
      </c>
      <c r="AD258" s="207">
        <f>IFERROR('A4 - Previsão de Receita Bruta'!AC13*VLOOKUP($C258,AliqPorTipo,COLUMN($K166)-1,0),0)</f>
        <v>0</v>
      </c>
      <c r="AE258" s="207">
        <f>IFERROR('A4 - Previsão de Receita Bruta'!AD13*VLOOKUP($C258,AliqPorTipo,COLUMN($K166)-1,0),0)</f>
        <v>0</v>
      </c>
      <c r="AF258" s="207">
        <f>IFERROR('A4 - Previsão de Receita Bruta'!AE13*VLOOKUP($C258,AliqPorTipo,COLUMN($K166)-1,0),0)</f>
        <v>0</v>
      </c>
      <c r="AG258" s="207">
        <f>IFERROR('A4 - Previsão de Receita Bruta'!AF13*VLOOKUP($C258,AliqPorTipo,COLUMN($K166)-1,0),0)</f>
        <v>0</v>
      </c>
      <c r="AH258" s="525"/>
      <c r="AI258" s="525"/>
      <c r="AJ258" s="525"/>
    </row>
    <row r="259" spans="1:36" ht="15" customHeight="1">
      <c r="A259" s="525"/>
      <c r="B259" s="205" t="str">
        <f>'A4 - Previsão de Receita Bruta'!B14</f>
        <v>Silveira - Comércio + Locação + Atividades</v>
      </c>
      <c r="C259" s="206" t="str">
        <f t="shared" si="47"/>
        <v>Comércio</v>
      </c>
      <c r="D259" s="207">
        <f>IFERROR('A4 - Previsão de Receita Bruta'!C14*VLOOKUP($C259,AliqPorTipo,COLUMN($K167)-1,0),0)</f>
        <v>0</v>
      </c>
      <c r="E259" s="207">
        <f>IFERROR('A4 - Previsão de Receita Bruta'!D14*VLOOKUP($C259,AliqPorTipo,COLUMN($K167)-1,0),0)</f>
        <v>0</v>
      </c>
      <c r="F259" s="207">
        <f>IFERROR('A4 - Previsão de Receita Bruta'!E14*VLOOKUP($C259,AliqPorTipo,COLUMN($K167)-1,0),0)</f>
        <v>0</v>
      </c>
      <c r="G259" s="207">
        <f>IFERROR('A4 - Previsão de Receita Bruta'!F14*VLOOKUP($C259,AliqPorTipo,COLUMN($K167)-1,0),0)</f>
        <v>0</v>
      </c>
      <c r="H259" s="207">
        <f>IFERROR('A4 - Previsão de Receita Bruta'!G14*VLOOKUP($C259,AliqPorTipo,COLUMN($K167)-1,0),0)</f>
        <v>0</v>
      </c>
      <c r="I259" s="207">
        <f>IFERROR('A4 - Previsão de Receita Bruta'!H14*VLOOKUP($C259,AliqPorTipo,COLUMN($K167)-1,0),0)</f>
        <v>0</v>
      </c>
      <c r="J259" s="207">
        <f>IFERROR('A4 - Previsão de Receita Bruta'!I14*VLOOKUP($C259,AliqPorTipo,COLUMN($K167)-1,0),0)</f>
        <v>0</v>
      </c>
      <c r="K259" s="207">
        <f>IFERROR('A4 - Previsão de Receita Bruta'!J14*VLOOKUP($C259,AliqPorTipo,COLUMN($K167)-1,0),0)</f>
        <v>0</v>
      </c>
      <c r="L259" s="207">
        <f>IFERROR('A4 - Previsão de Receita Bruta'!K14*VLOOKUP($C259,AliqPorTipo,COLUMN($K167)-1,0),0)</f>
        <v>0</v>
      </c>
      <c r="M259" s="207">
        <f>IFERROR('A4 - Previsão de Receita Bruta'!L14*VLOOKUP($C259,AliqPorTipo,COLUMN($K167)-1,0),0)</f>
        <v>0</v>
      </c>
      <c r="N259" s="207">
        <f>IFERROR('A4 - Previsão de Receita Bruta'!M14*VLOOKUP($C259,AliqPorTipo,COLUMN($K167)-1,0),0)</f>
        <v>0</v>
      </c>
      <c r="O259" s="207">
        <f>IFERROR('A4 - Previsão de Receita Bruta'!N14*VLOOKUP($C259,AliqPorTipo,COLUMN($K167)-1,0),0)</f>
        <v>0</v>
      </c>
      <c r="P259" s="207">
        <f>IFERROR('A4 - Previsão de Receita Bruta'!O14*VLOOKUP($C259,AliqPorTipo,COLUMN($K167)-1,0),0)</f>
        <v>0</v>
      </c>
      <c r="Q259" s="207">
        <f>IFERROR('A4 - Previsão de Receita Bruta'!P14*VLOOKUP($C259,AliqPorTipo,COLUMN($K167)-1,0),0)</f>
        <v>0</v>
      </c>
      <c r="R259" s="207">
        <f>IFERROR('A4 - Previsão de Receita Bruta'!Q14*VLOOKUP($C259,AliqPorTipo,COLUMN($K167)-1,0),0)</f>
        <v>0</v>
      </c>
      <c r="S259" s="207">
        <f>IFERROR('A4 - Previsão de Receita Bruta'!R14*VLOOKUP($C259,AliqPorTipo,COLUMN($K167)-1,0),0)</f>
        <v>0</v>
      </c>
      <c r="T259" s="207">
        <f>IFERROR('A4 - Previsão de Receita Bruta'!S14*VLOOKUP($C259,AliqPorTipo,COLUMN($K167)-1,0),0)</f>
        <v>0</v>
      </c>
      <c r="U259" s="207">
        <f>IFERROR('A4 - Previsão de Receita Bruta'!T14*VLOOKUP($C259,AliqPorTipo,COLUMN($K167)-1,0),0)</f>
        <v>0</v>
      </c>
      <c r="V259" s="207">
        <f>IFERROR('A4 - Previsão de Receita Bruta'!U14*VLOOKUP($C259,AliqPorTipo,COLUMN($K167)-1,0),0)</f>
        <v>0</v>
      </c>
      <c r="W259" s="207">
        <f>IFERROR('A4 - Previsão de Receita Bruta'!V14*VLOOKUP($C259,AliqPorTipo,COLUMN($K167)-1,0),0)</f>
        <v>0</v>
      </c>
      <c r="X259" s="207">
        <f>IFERROR('A4 - Previsão de Receita Bruta'!W14*VLOOKUP($C259,AliqPorTipo,COLUMN($K167)-1,0),0)</f>
        <v>0</v>
      </c>
      <c r="Y259" s="207">
        <f>IFERROR('A4 - Previsão de Receita Bruta'!X14*VLOOKUP($C259,AliqPorTipo,COLUMN($K167)-1,0),0)</f>
        <v>0</v>
      </c>
      <c r="Z259" s="207">
        <f>IFERROR('A4 - Previsão de Receita Bruta'!Y14*VLOOKUP($C259,AliqPorTipo,COLUMN($K167)-1,0),0)</f>
        <v>0</v>
      </c>
      <c r="AA259" s="207">
        <f>IFERROR('A4 - Previsão de Receita Bruta'!Z14*VLOOKUP($C259,AliqPorTipo,COLUMN($K167)-1,0),0)</f>
        <v>0</v>
      </c>
      <c r="AB259" s="207">
        <f>IFERROR('A4 - Previsão de Receita Bruta'!AA14*VLOOKUP($C259,AliqPorTipo,COLUMN($K167)-1,0),0)</f>
        <v>0</v>
      </c>
      <c r="AC259" s="207">
        <f>IFERROR('A4 - Previsão de Receita Bruta'!AB14*VLOOKUP($C259,AliqPorTipo,COLUMN($K167)-1,0),0)</f>
        <v>0</v>
      </c>
      <c r="AD259" s="207">
        <f>IFERROR('A4 - Previsão de Receita Bruta'!AC14*VLOOKUP($C259,AliqPorTipo,COLUMN($K167)-1,0),0)</f>
        <v>0</v>
      </c>
      <c r="AE259" s="207">
        <f>IFERROR('A4 - Previsão de Receita Bruta'!AD14*VLOOKUP($C259,AliqPorTipo,COLUMN($K167)-1,0),0)</f>
        <v>0</v>
      </c>
      <c r="AF259" s="207">
        <f>IFERROR('A4 - Previsão de Receita Bruta'!AE14*VLOOKUP($C259,AliqPorTipo,COLUMN($K167)-1,0),0)</f>
        <v>0</v>
      </c>
      <c r="AG259" s="207">
        <f>IFERROR('A4 - Previsão de Receita Bruta'!AF14*VLOOKUP($C259,AliqPorTipo,COLUMN($K167)-1,0),0)</f>
        <v>0</v>
      </c>
      <c r="AH259" s="525"/>
      <c r="AI259" s="525"/>
      <c r="AJ259" s="525"/>
    </row>
    <row r="260" spans="1:36" ht="15" customHeight="1">
      <c r="A260" s="525"/>
      <c r="B260" s="205" t="str">
        <f>'A4 - Previsão de Receita Bruta'!B15</f>
        <v>Silveira - Hospedagem</v>
      </c>
      <c r="C260" s="206" t="str">
        <f t="shared" si="47"/>
        <v>Serviços</v>
      </c>
      <c r="D260" s="207">
        <f>IFERROR('A4 - Previsão de Receita Bruta'!C15*VLOOKUP($C260,AliqPorTipo,COLUMN($K168)-1,0),0)</f>
        <v>0</v>
      </c>
      <c r="E260" s="207">
        <f>IFERROR('A4 - Previsão de Receita Bruta'!D15*VLOOKUP($C260,AliqPorTipo,COLUMN($K168)-1,0),0)</f>
        <v>0</v>
      </c>
      <c r="F260" s="207">
        <f>IFERROR('A4 - Previsão de Receita Bruta'!E15*VLOOKUP($C260,AliqPorTipo,COLUMN($K168)-1,0),0)</f>
        <v>0</v>
      </c>
      <c r="G260" s="207">
        <f>IFERROR('A4 - Previsão de Receita Bruta'!F15*VLOOKUP($C260,AliqPorTipo,COLUMN($K168)-1,0),0)</f>
        <v>0</v>
      </c>
      <c r="H260" s="207">
        <f>IFERROR('A4 - Previsão de Receita Bruta'!G15*VLOOKUP($C260,AliqPorTipo,COLUMN($K168)-1,0),0)</f>
        <v>0</v>
      </c>
      <c r="I260" s="207">
        <f>IFERROR('A4 - Previsão de Receita Bruta'!H15*VLOOKUP($C260,AliqPorTipo,COLUMN($K168)-1,0),0)</f>
        <v>0</v>
      </c>
      <c r="J260" s="207">
        <f>IFERROR('A4 - Previsão de Receita Bruta'!I15*VLOOKUP($C260,AliqPorTipo,COLUMN($K168)-1,0),0)</f>
        <v>0</v>
      </c>
      <c r="K260" s="207">
        <f>IFERROR('A4 - Previsão de Receita Bruta'!J15*VLOOKUP($C260,AliqPorTipo,COLUMN($K168)-1,0),0)</f>
        <v>0</v>
      </c>
      <c r="L260" s="207">
        <f>IFERROR('A4 - Previsão de Receita Bruta'!K15*VLOOKUP($C260,AliqPorTipo,COLUMN($K168)-1,0),0)</f>
        <v>0</v>
      </c>
      <c r="M260" s="207">
        <f>IFERROR('A4 - Previsão de Receita Bruta'!L15*VLOOKUP($C260,AliqPorTipo,COLUMN($K168)-1,0),0)</f>
        <v>0</v>
      </c>
      <c r="N260" s="207">
        <f>IFERROR('A4 - Previsão de Receita Bruta'!M15*VLOOKUP($C260,AliqPorTipo,COLUMN($K168)-1,0),0)</f>
        <v>0</v>
      </c>
      <c r="O260" s="207">
        <f>IFERROR('A4 - Previsão de Receita Bruta'!N15*VLOOKUP($C260,AliqPorTipo,COLUMN($K168)-1,0),0)</f>
        <v>0</v>
      </c>
      <c r="P260" s="207">
        <f>IFERROR('A4 - Previsão de Receita Bruta'!O15*VLOOKUP($C260,AliqPorTipo,COLUMN($K168)-1,0),0)</f>
        <v>0</v>
      </c>
      <c r="Q260" s="207">
        <f>IFERROR('A4 - Previsão de Receita Bruta'!P15*VLOOKUP($C260,AliqPorTipo,COLUMN($K168)-1,0),0)</f>
        <v>0</v>
      </c>
      <c r="R260" s="207">
        <f>IFERROR('A4 - Previsão de Receita Bruta'!Q15*VLOOKUP($C260,AliqPorTipo,COLUMN($K168)-1,0),0)</f>
        <v>0</v>
      </c>
      <c r="S260" s="207">
        <f>IFERROR('A4 - Previsão de Receita Bruta'!R15*VLOOKUP($C260,AliqPorTipo,COLUMN($K168)-1,0),0)</f>
        <v>0</v>
      </c>
      <c r="T260" s="207">
        <f>IFERROR('A4 - Previsão de Receita Bruta'!S15*VLOOKUP($C260,AliqPorTipo,COLUMN($K168)-1,0),0)</f>
        <v>0</v>
      </c>
      <c r="U260" s="207">
        <f>IFERROR('A4 - Previsão de Receita Bruta'!T15*VLOOKUP($C260,AliqPorTipo,COLUMN($K168)-1,0),0)</f>
        <v>0</v>
      </c>
      <c r="V260" s="207">
        <f>IFERROR('A4 - Previsão de Receita Bruta'!U15*VLOOKUP($C260,AliqPorTipo,COLUMN($K168)-1,0),0)</f>
        <v>0</v>
      </c>
      <c r="W260" s="207">
        <f>IFERROR('A4 - Previsão de Receita Bruta'!V15*VLOOKUP($C260,AliqPorTipo,COLUMN($K168)-1,0),0)</f>
        <v>0</v>
      </c>
      <c r="X260" s="207">
        <f>IFERROR('A4 - Previsão de Receita Bruta'!W15*VLOOKUP($C260,AliqPorTipo,COLUMN($K168)-1,0),0)</f>
        <v>0</v>
      </c>
      <c r="Y260" s="207">
        <f>IFERROR('A4 - Previsão de Receita Bruta'!X15*VLOOKUP($C260,AliqPorTipo,COLUMN($K168)-1,0),0)</f>
        <v>0</v>
      </c>
      <c r="Z260" s="207">
        <f>IFERROR('A4 - Previsão de Receita Bruta'!Y15*VLOOKUP($C260,AliqPorTipo,COLUMN($K168)-1,0),0)</f>
        <v>0</v>
      </c>
      <c r="AA260" s="207">
        <f>IFERROR('A4 - Previsão de Receita Bruta'!Z15*VLOOKUP($C260,AliqPorTipo,COLUMN($K168)-1,0),0)</f>
        <v>0</v>
      </c>
      <c r="AB260" s="207">
        <f>IFERROR('A4 - Previsão de Receita Bruta'!AA15*VLOOKUP($C260,AliqPorTipo,COLUMN($K168)-1,0),0)</f>
        <v>0</v>
      </c>
      <c r="AC260" s="207">
        <f>IFERROR('A4 - Previsão de Receita Bruta'!AB15*VLOOKUP($C260,AliqPorTipo,COLUMN($K168)-1,0),0)</f>
        <v>0</v>
      </c>
      <c r="AD260" s="207">
        <f>IFERROR('A4 - Previsão de Receita Bruta'!AC15*VLOOKUP($C260,AliqPorTipo,COLUMN($K168)-1,0),0)</f>
        <v>0</v>
      </c>
      <c r="AE260" s="207">
        <f>IFERROR('A4 - Previsão de Receita Bruta'!AD15*VLOOKUP($C260,AliqPorTipo,COLUMN($K168)-1,0),0)</f>
        <v>0</v>
      </c>
      <c r="AF260" s="207">
        <f>IFERROR('A4 - Previsão de Receita Bruta'!AE15*VLOOKUP($C260,AliqPorTipo,COLUMN($K168)-1,0),0)</f>
        <v>0</v>
      </c>
      <c r="AG260" s="207">
        <f>IFERROR('A4 - Previsão de Receita Bruta'!AF15*VLOOKUP($C260,AliqPorTipo,COLUMN($K168)-1,0),0)</f>
        <v>0</v>
      </c>
      <c r="AH260" s="525"/>
      <c r="AI260" s="525"/>
      <c r="AJ260" s="525"/>
    </row>
    <row r="261" spans="1:36" ht="15" customHeight="1">
      <c r="A261" s="525"/>
      <c r="B261" s="205" t="str">
        <f>'A4 - Previsão de Receita Bruta'!B16</f>
        <v>Pedra Furada - Alimentação</v>
      </c>
      <c r="C261" s="206" t="str">
        <f t="shared" si="47"/>
        <v>Alimentação</v>
      </c>
      <c r="D261" s="207">
        <f>IFERROR('A4 - Previsão de Receita Bruta'!C16*VLOOKUP($C261,AliqPorTipo,COLUMN($K169)-1,0),0)</f>
        <v>0</v>
      </c>
      <c r="E261" s="207">
        <f>IFERROR('A4 - Previsão de Receita Bruta'!D16*VLOOKUP($C261,AliqPorTipo,COLUMN($K169)-1,0),0)</f>
        <v>589662.75</v>
      </c>
      <c r="F261" s="207">
        <f>IFERROR('A4 - Previsão de Receita Bruta'!E16*VLOOKUP($C261,AliqPorTipo,COLUMN($K169)-1,0),0)</f>
        <v>610004.875</v>
      </c>
      <c r="G261" s="207">
        <f>IFERROR('A4 - Previsão de Receita Bruta'!F16*VLOOKUP($C261,AliqPorTipo,COLUMN($K169)-1,0),0)</f>
        <v>629699.8125</v>
      </c>
      <c r="H261" s="207">
        <f>IFERROR('A4 - Previsão de Receita Bruta'!G16*VLOOKUP($C261,AliqPorTipo,COLUMN($K169)-1,0),0)</f>
        <v>649714.9375</v>
      </c>
      <c r="I261" s="207">
        <f>IFERROR('A4 - Previsão de Receita Bruta'!H16*VLOOKUP($C261,AliqPorTipo,COLUMN($K169)-1,0),0)</f>
        <v>670077.5</v>
      </c>
      <c r="J261" s="207">
        <f>IFERROR('A4 - Previsão de Receita Bruta'!I16*VLOOKUP($C261,AliqPorTipo,COLUMN($K169)-1,0),0)</f>
        <v>691019.125</v>
      </c>
      <c r="K261" s="207">
        <f>IFERROR('A4 - Previsão de Receita Bruta'!J16*VLOOKUP($C261,AliqPorTipo,COLUMN($K169)-1,0),0)</f>
        <v>712567.0625</v>
      </c>
      <c r="L261" s="207">
        <f>IFERROR('A4 - Previsão de Receita Bruta'!K16*VLOOKUP($C261,AliqPorTipo,COLUMN($K169)-1,0),0)</f>
        <v>734510.125</v>
      </c>
      <c r="M261" s="207">
        <f>IFERROR('A4 - Previsão de Receita Bruta'!L16*VLOOKUP($C261,AliqPorTipo,COLUMN($K169)-1,0),0)</f>
        <v>756855.125</v>
      </c>
      <c r="N261" s="207">
        <f>IFERROR('A4 - Previsão de Receita Bruta'!M16*VLOOKUP($C261,AliqPorTipo,COLUMN($K169)-1,0),0)</f>
        <v>779908.625</v>
      </c>
      <c r="O261" s="207">
        <f>IFERROR('A4 - Previsão de Receita Bruta'!N16*VLOOKUP($C261,AliqPorTipo,COLUMN($K169)-1,0),0)</f>
        <v>803650.18750000012</v>
      </c>
      <c r="P261" s="207">
        <f>IFERROR('A4 - Previsão de Receita Bruta'!O16*VLOOKUP($C261,AliqPorTipo,COLUMN($K169)-1,0),0)</f>
        <v>828147.93750000012</v>
      </c>
      <c r="Q261" s="207">
        <f>IFERROR('A4 - Previsão de Receita Bruta'!P16*VLOOKUP($C261,AliqPorTipo,COLUMN($K169)-1,0),0)</f>
        <v>853381.43750000012</v>
      </c>
      <c r="R261" s="207">
        <f>IFERROR('A4 - Previsão de Receita Bruta'!Q16*VLOOKUP($C261,AliqPorTipo,COLUMN($K169)-1,0),0)</f>
        <v>879377.93750000012</v>
      </c>
      <c r="S261" s="207">
        <f>IFERROR('A4 - Previsão de Receita Bruta'!R16*VLOOKUP($C261,AliqPorTipo,COLUMN($K169)-1,0),0)</f>
        <v>906089.75000000012</v>
      </c>
      <c r="T261" s="207">
        <f>IFERROR('A4 - Previsão de Receita Bruta'!S16*VLOOKUP($C261,AliqPorTipo,COLUMN($K169)-1,0),0)</f>
        <v>933476.00000000012</v>
      </c>
      <c r="U261" s="207">
        <f>IFERROR('A4 - Previsão de Receita Bruta'!T16*VLOOKUP($C261,AliqPorTipo,COLUMN($K169)-1,0),0)</f>
        <v>961448.12500000012</v>
      </c>
      <c r="V261" s="207">
        <f>IFERROR('A4 - Previsão de Receita Bruta'!U16*VLOOKUP($C261,AliqPorTipo,COLUMN($K169)-1,0),0)</f>
        <v>989938.00000000012</v>
      </c>
      <c r="W261" s="207">
        <f>IFERROR('A4 - Previsão de Receita Bruta'!V16*VLOOKUP($C261,AliqPorTipo,COLUMN($K169)-1,0),0)</f>
        <v>1018802.5625000001</v>
      </c>
      <c r="X261" s="207">
        <f>IFERROR('A4 - Previsão de Receita Bruta'!W16*VLOOKUP($C261,AliqPorTipo,COLUMN($K169)-1,0),0)</f>
        <v>1018802.5625000001</v>
      </c>
      <c r="Y261" s="207">
        <f>IFERROR('A4 - Previsão de Receita Bruta'!X16*VLOOKUP($C261,AliqPorTipo,COLUMN($K169)-1,0),0)</f>
        <v>1018802.5625000001</v>
      </c>
      <c r="Z261" s="207">
        <f>IFERROR('A4 - Previsão de Receita Bruta'!Y16*VLOOKUP($C261,AliqPorTipo,COLUMN($K169)-1,0),0)</f>
        <v>1018802.5625000001</v>
      </c>
      <c r="AA261" s="207">
        <f>IFERROR('A4 - Previsão de Receita Bruta'!Z16*VLOOKUP($C261,AliqPorTipo,COLUMN($K169)-1,0),0)</f>
        <v>1018802.5625000001</v>
      </c>
      <c r="AB261" s="207">
        <f>IFERROR('A4 - Previsão de Receita Bruta'!AA16*VLOOKUP($C261,AliqPorTipo,COLUMN($K169)-1,0),0)</f>
        <v>1018802.5625000001</v>
      </c>
      <c r="AC261" s="207">
        <f>IFERROR('A4 - Previsão de Receita Bruta'!AB16*VLOOKUP($C261,AliqPorTipo,COLUMN($K169)-1,0),0)</f>
        <v>1018802.5625000001</v>
      </c>
      <c r="AD261" s="207">
        <f>IFERROR('A4 - Previsão de Receita Bruta'!AC16*VLOOKUP($C261,AliqPorTipo,COLUMN($K169)-1,0),0)</f>
        <v>1018802.5625000001</v>
      </c>
      <c r="AE261" s="207">
        <f>IFERROR('A4 - Previsão de Receita Bruta'!AD16*VLOOKUP($C261,AliqPorTipo,COLUMN($K169)-1,0),0)</f>
        <v>1018802.5625000001</v>
      </c>
      <c r="AF261" s="207">
        <f>IFERROR('A4 - Previsão de Receita Bruta'!AE16*VLOOKUP($C261,AliqPorTipo,COLUMN($K169)-1,0),0)</f>
        <v>1018802.5625000001</v>
      </c>
      <c r="AG261" s="207">
        <f>IFERROR('A4 - Previsão de Receita Bruta'!AF16*VLOOKUP($C261,AliqPorTipo,COLUMN($K169)-1,0),0)</f>
        <v>1018802.5625000001</v>
      </c>
      <c r="AH261" s="525"/>
      <c r="AI261" s="525"/>
      <c r="AJ261" s="525"/>
    </row>
    <row r="262" spans="1:36" ht="15" customHeight="1">
      <c r="A262" s="525"/>
      <c r="B262" s="205" t="str">
        <f>'A4 - Previsão de Receita Bruta'!B17</f>
        <v>Pedra Furada - Comércio</v>
      </c>
      <c r="C262" s="206" t="str">
        <f t="shared" si="47"/>
        <v>Comércio</v>
      </c>
      <c r="D262" s="207">
        <f>IFERROR('A4 - Previsão de Receita Bruta'!C17*VLOOKUP($C262,AliqPorTipo,COLUMN($K170)-1,0),0)</f>
        <v>0</v>
      </c>
      <c r="E262" s="207">
        <f>IFERROR('A4 - Previsão de Receita Bruta'!D17*VLOOKUP($C262,AliqPorTipo,COLUMN($K170)-1,0),0)</f>
        <v>196554.25</v>
      </c>
      <c r="F262" s="207">
        <f>IFERROR('A4 - Previsão de Receita Bruta'!E17*VLOOKUP($C262,AliqPorTipo,COLUMN($K170)-1,0),0)</f>
        <v>203339.50000000003</v>
      </c>
      <c r="G262" s="207">
        <f>IFERROR('A4 - Previsão de Receita Bruta'!F17*VLOOKUP($C262,AliqPorTipo,COLUMN($K170)-1,0),0)</f>
        <v>209906.75000000003</v>
      </c>
      <c r="H262" s="207">
        <f>IFERROR('A4 - Previsão de Receita Bruta'!G17*VLOOKUP($C262,AliqPorTipo,COLUMN($K170)-1,0),0)</f>
        <v>216569.37500000003</v>
      </c>
      <c r="I262" s="207">
        <f>IFERROR('A4 - Previsão de Receita Bruta'!H17*VLOOKUP($C262,AliqPorTipo,COLUMN($K170)-1,0),0)</f>
        <v>223354.62500000003</v>
      </c>
      <c r="J262" s="207">
        <f>IFERROR('A4 - Previsão de Receita Bruta'!I17*VLOOKUP($C262,AliqPorTipo,COLUMN($K170)-1,0),0)</f>
        <v>230344.25000000003</v>
      </c>
      <c r="K262" s="207">
        <f>IFERROR('A4 - Previsão de Receita Bruta'!J17*VLOOKUP($C262,AliqPorTipo,COLUMN($K170)-1,0),0)</f>
        <v>237524.62500000003</v>
      </c>
      <c r="L262" s="207">
        <f>IFERROR('A4 - Previsão de Receita Bruta'!K17*VLOOKUP($C262,AliqPorTipo,COLUMN($K170)-1,0),0)</f>
        <v>244841.25000000003</v>
      </c>
      <c r="M262" s="207">
        <f>IFERROR('A4 - Previsão de Receita Bruta'!L17*VLOOKUP($C262,AliqPorTipo,COLUMN($K170)-1,0),0)</f>
        <v>252280.50000000003</v>
      </c>
      <c r="N262" s="207">
        <f>IFERROR('A4 - Previsão de Receita Bruta'!M17*VLOOKUP($C262,AliqPorTipo,COLUMN($K170)-1,0),0)</f>
        <v>259965.00000000003</v>
      </c>
      <c r="O262" s="207">
        <f>IFERROR('A4 - Previsão de Receita Bruta'!N17*VLOOKUP($C262,AliqPorTipo,COLUMN($K170)-1,0),0)</f>
        <v>267881.125</v>
      </c>
      <c r="P262" s="207">
        <f>IFERROR('A4 - Previsão de Receita Bruta'!O17*VLOOKUP($C262,AliqPorTipo,COLUMN($K170)-1,0),0)</f>
        <v>276042.5</v>
      </c>
      <c r="Q262" s="207">
        <f>IFERROR('A4 - Previsão de Receita Bruta'!P17*VLOOKUP($C262,AliqPorTipo,COLUMN($K170)-1,0),0)</f>
        <v>284462.75</v>
      </c>
      <c r="R262" s="207">
        <f>IFERROR('A4 - Previsão de Receita Bruta'!Q17*VLOOKUP($C262,AliqPorTipo,COLUMN($K170)-1,0),0)</f>
        <v>293128.25</v>
      </c>
      <c r="S262" s="207">
        <f>IFERROR('A4 - Previsão de Receita Bruta'!R17*VLOOKUP($C262,AliqPorTipo,COLUMN($K170)-1,0),0)</f>
        <v>302025.375</v>
      </c>
      <c r="T262" s="207">
        <f>IFERROR('A4 - Previsão de Receita Bruta'!S17*VLOOKUP($C262,AliqPorTipo,COLUMN($K170)-1,0),0)</f>
        <v>311154.125</v>
      </c>
      <c r="U262" s="207">
        <f>IFERROR('A4 - Previsão de Receita Bruta'!T17*VLOOKUP($C262,AliqPorTipo,COLUMN($K170)-1,0),0)</f>
        <v>320487.25</v>
      </c>
      <c r="V262" s="207">
        <f>IFERROR('A4 - Previsão de Receita Bruta'!U17*VLOOKUP($C262,AliqPorTipo,COLUMN($K170)-1,0),0)</f>
        <v>329983.875</v>
      </c>
      <c r="W262" s="207">
        <f>IFERROR('A4 - Previsão de Receita Bruta'!V17*VLOOKUP($C262,AliqPorTipo,COLUMN($K170)-1,0),0)</f>
        <v>339603.125</v>
      </c>
      <c r="X262" s="207">
        <f>IFERROR('A4 - Previsão de Receita Bruta'!W17*VLOOKUP($C262,AliqPorTipo,COLUMN($K170)-1,0),0)</f>
        <v>339603.125</v>
      </c>
      <c r="Y262" s="207">
        <f>IFERROR('A4 - Previsão de Receita Bruta'!X17*VLOOKUP($C262,AliqPorTipo,COLUMN($K170)-1,0),0)</f>
        <v>339603.125</v>
      </c>
      <c r="Z262" s="207">
        <f>IFERROR('A4 - Previsão de Receita Bruta'!Y17*VLOOKUP($C262,AliqPorTipo,COLUMN($K170)-1,0),0)</f>
        <v>339603.125</v>
      </c>
      <c r="AA262" s="207">
        <f>IFERROR('A4 - Previsão de Receita Bruta'!Z17*VLOOKUP($C262,AliqPorTipo,COLUMN($K170)-1,0),0)</f>
        <v>339603.125</v>
      </c>
      <c r="AB262" s="207">
        <f>IFERROR('A4 - Previsão de Receita Bruta'!AA17*VLOOKUP($C262,AliqPorTipo,COLUMN($K170)-1,0),0)</f>
        <v>339603.125</v>
      </c>
      <c r="AC262" s="207">
        <f>IFERROR('A4 - Previsão de Receita Bruta'!AB17*VLOOKUP($C262,AliqPorTipo,COLUMN($K170)-1,0),0)</f>
        <v>339603.125</v>
      </c>
      <c r="AD262" s="207">
        <f>IFERROR('A4 - Previsão de Receita Bruta'!AC17*VLOOKUP($C262,AliqPorTipo,COLUMN($K170)-1,0),0)</f>
        <v>339603.125</v>
      </c>
      <c r="AE262" s="207">
        <f>IFERROR('A4 - Previsão de Receita Bruta'!AD17*VLOOKUP($C262,AliqPorTipo,COLUMN($K170)-1,0),0)</f>
        <v>339603.125</v>
      </c>
      <c r="AF262" s="207">
        <f>IFERROR('A4 - Previsão de Receita Bruta'!AE17*VLOOKUP($C262,AliqPorTipo,COLUMN($K170)-1,0),0)</f>
        <v>339603.125</v>
      </c>
      <c r="AG262" s="207">
        <f>IFERROR('A4 - Previsão de Receita Bruta'!AF17*VLOOKUP($C262,AliqPorTipo,COLUMN($K170)-1,0),0)</f>
        <v>339603.125</v>
      </c>
      <c r="AH262" s="525"/>
      <c r="AI262" s="525"/>
      <c r="AJ262" s="525"/>
    </row>
    <row r="263" spans="1:36" ht="15" customHeight="1">
      <c r="A263" s="525"/>
      <c r="B263" s="205" t="str">
        <f>'A4 - Previsão de Receita Bruta'!B18</f>
        <v>Serrote - Alimentação</v>
      </c>
      <c r="C263" s="206" t="str">
        <f t="shared" si="47"/>
        <v>Alimentação</v>
      </c>
      <c r="D263" s="207">
        <f>IFERROR('A4 - Previsão de Receita Bruta'!C18*VLOOKUP($C263,AliqPorTipo,COLUMN($K171)-1,0),0)</f>
        <v>0</v>
      </c>
      <c r="E263" s="207">
        <f>IFERROR('A4 - Previsão de Receita Bruta'!D18*VLOOKUP($C263,AliqPorTipo,COLUMN($K171)-1,0),0)</f>
        <v>589662.75</v>
      </c>
      <c r="F263" s="207">
        <f>IFERROR('A4 - Previsão de Receita Bruta'!E18*VLOOKUP($C263,AliqPorTipo,COLUMN($K171)-1,0),0)</f>
        <v>610004.875</v>
      </c>
      <c r="G263" s="207">
        <f>IFERROR('A4 - Previsão de Receita Bruta'!F18*VLOOKUP($C263,AliqPorTipo,COLUMN($K171)-1,0),0)</f>
        <v>629699.8125</v>
      </c>
      <c r="H263" s="207">
        <f>IFERROR('A4 - Previsão de Receita Bruta'!G18*VLOOKUP($C263,AliqPorTipo,COLUMN($K171)-1,0),0)</f>
        <v>649714.9375</v>
      </c>
      <c r="I263" s="207">
        <f>IFERROR('A4 - Previsão de Receita Bruta'!H18*VLOOKUP($C263,AliqPorTipo,COLUMN($K171)-1,0),0)</f>
        <v>670077.5</v>
      </c>
      <c r="J263" s="207">
        <f>IFERROR('A4 - Previsão de Receita Bruta'!I18*VLOOKUP($C263,AliqPorTipo,COLUMN($K171)-1,0),0)</f>
        <v>691019.125</v>
      </c>
      <c r="K263" s="207">
        <f>IFERROR('A4 - Previsão de Receita Bruta'!J18*VLOOKUP($C263,AliqPorTipo,COLUMN($K171)-1,0),0)</f>
        <v>712567.0625</v>
      </c>
      <c r="L263" s="207">
        <f>IFERROR('A4 - Previsão de Receita Bruta'!K18*VLOOKUP($C263,AliqPorTipo,COLUMN($K171)-1,0),0)</f>
        <v>734510.125</v>
      </c>
      <c r="M263" s="207">
        <f>IFERROR('A4 - Previsão de Receita Bruta'!L18*VLOOKUP($C263,AliqPorTipo,COLUMN($K171)-1,0),0)</f>
        <v>756855.125</v>
      </c>
      <c r="N263" s="207">
        <f>IFERROR('A4 - Previsão de Receita Bruta'!M18*VLOOKUP($C263,AliqPorTipo,COLUMN($K171)-1,0),0)</f>
        <v>779908.625</v>
      </c>
      <c r="O263" s="207">
        <f>IFERROR('A4 - Previsão de Receita Bruta'!N18*VLOOKUP($C263,AliqPorTipo,COLUMN($K171)-1,0),0)</f>
        <v>803650.18750000012</v>
      </c>
      <c r="P263" s="207">
        <f>IFERROR('A4 - Previsão de Receita Bruta'!O18*VLOOKUP($C263,AliqPorTipo,COLUMN($K171)-1,0),0)</f>
        <v>828147.93750000012</v>
      </c>
      <c r="Q263" s="207">
        <f>IFERROR('A4 - Previsão de Receita Bruta'!P18*VLOOKUP($C263,AliqPorTipo,COLUMN($K171)-1,0),0)</f>
        <v>853381.43750000012</v>
      </c>
      <c r="R263" s="207">
        <f>IFERROR('A4 - Previsão de Receita Bruta'!Q18*VLOOKUP($C263,AliqPorTipo,COLUMN($K171)-1,0),0)</f>
        <v>879377.93750000012</v>
      </c>
      <c r="S263" s="207">
        <f>IFERROR('A4 - Previsão de Receita Bruta'!R18*VLOOKUP($C263,AliqPorTipo,COLUMN($K171)-1,0),0)</f>
        <v>906089.75000000012</v>
      </c>
      <c r="T263" s="207">
        <f>IFERROR('A4 - Previsão de Receita Bruta'!S18*VLOOKUP($C263,AliqPorTipo,COLUMN($K171)-1,0),0)</f>
        <v>933476.00000000012</v>
      </c>
      <c r="U263" s="207">
        <f>IFERROR('A4 - Previsão de Receita Bruta'!T18*VLOOKUP($C263,AliqPorTipo,COLUMN($K171)-1,0),0)</f>
        <v>961448.12500000012</v>
      </c>
      <c r="V263" s="207">
        <f>IFERROR('A4 - Previsão de Receita Bruta'!U18*VLOOKUP($C263,AliqPorTipo,COLUMN($K171)-1,0),0)</f>
        <v>989938.00000000012</v>
      </c>
      <c r="W263" s="207">
        <f>IFERROR('A4 - Previsão de Receita Bruta'!V18*VLOOKUP($C263,AliqPorTipo,COLUMN($K171)-1,0),0)</f>
        <v>1018802.5625000001</v>
      </c>
      <c r="X263" s="207">
        <f>IFERROR('A4 - Previsão de Receita Bruta'!W18*VLOOKUP($C263,AliqPorTipo,COLUMN($K171)-1,0),0)</f>
        <v>1018802.5625000001</v>
      </c>
      <c r="Y263" s="207">
        <f>IFERROR('A4 - Previsão de Receita Bruta'!X18*VLOOKUP($C263,AliqPorTipo,COLUMN($K171)-1,0),0)</f>
        <v>1018802.5625000001</v>
      </c>
      <c r="Z263" s="207">
        <f>IFERROR('A4 - Previsão de Receita Bruta'!Y18*VLOOKUP($C263,AliqPorTipo,COLUMN($K171)-1,0),0)</f>
        <v>1018802.5625000001</v>
      </c>
      <c r="AA263" s="207">
        <f>IFERROR('A4 - Previsão de Receita Bruta'!Z18*VLOOKUP($C263,AliqPorTipo,COLUMN($K171)-1,0),0)</f>
        <v>1018802.5625000001</v>
      </c>
      <c r="AB263" s="207">
        <f>IFERROR('A4 - Previsão de Receita Bruta'!AA18*VLOOKUP($C263,AliqPorTipo,COLUMN($K171)-1,0),0)</f>
        <v>1018802.5625000001</v>
      </c>
      <c r="AC263" s="207">
        <f>IFERROR('A4 - Previsão de Receita Bruta'!AB18*VLOOKUP($C263,AliqPorTipo,COLUMN($K171)-1,0),0)</f>
        <v>1018802.5625000001</v>
      </c>
      <c r="AD263" s="207">
        <f>IFERROR('A4 - Previsão de Receita Bruta'!AC18*VLOOKUP($C263,AliqPorTipo,COLUMN($K171)-1,0),0)</f>
        <v>1018802.5625000001</v>
      </c>
      <c r="AE263" s="207">
        <f>IFERROR('A4 - Previsão de Receita Bruta'!AD18*VLOOKUP($C263,AliqPorTipo,COLUMN($K171)-1,0),0)</f>
        <v>1018802.5625000001</v>
      </c>
      <c r="AF263" s="207">
        <f>IFERROR('A4 - Previsão de Receita Bruta'!AE18*VLOOKUP($C263,AliqPorTipo,COLUMN($K171)-1,0),0)</f>
        <v>1018802.5625000001</v>
      </c>
      <c r="AG263" s="207">
        <f>IFERROR('A4 - Previsão de Receita Bruta'!AF18*VLOOKUP($C263,AliqPorTipo,COLUMN($K171)-1,0),0)</f>
        <v>1018802.5625000001</v>
      </c>
      <c r="AH263" s="525"/>
      <c r="AI263" s="525"/>
      <c r="AJ263" s="525"/>
    </row>
    <row r="264" spans="1:36" ht="15" customHeight="1">
      <c r="A264" s="525"/>
      <c r="B264" s="205" t="str">
        <f>'A4 - Previsão de Receita Bruta'!B19</f>
        <v>Serrote - Comércio</v>
      </c>
      <c r="C264" s="206" t="str">
        <f t="shared" si="47"/>
        <v>Comércio</v>
      </c>
      <c r="D264" s="207">
        <f>IFERROR('A4 - Previsão de Receita Bruta'!C19*VLOOKUP($C264,AliqPorTipo,COLUMN($K172)-1,0),0)</f>
        <v>0</v>
      </c>
      <c r="E264" s="207">
        <f>IFERROR('A4 - Previsão de Receita Bruta'!D19*VLOOKUP($C264,AliqPorTipo,COLUMN($K172)-1,0),0)</f>
        <v>196554.25</v>
      </c>
      <c r="F264" s="207">
        <f>IFERROR('A4 - Previsão de Receita Bruta'!E19*VLOOKUP($C264,AliqPorTipo,COLUMN($K172)-1,0),0)</f>
        <v>203339.50000000003</v>
      </c>
      <c r="G264" s="207">
        <f>IFERROR('A4 - Previsão de Receita Bruta'!F19*VLOOKUP($C264,AliqPorTipo,COLUMN($K172)-1,0),0)</f>
        <v>209906.75000000003</v>
      </c>
      <c r="H264" s="207">
        <f>IFERROR('A4 - Previsão de Receita Bruta'!G19*VLOOKUP($C264,AliqPorTipo,COLUMN($K172)-1,0),0)</f>
        <v>216569.37500000003</v>
      </c>
      <c r="I264" s="207">
        <f>IFERROR('A4 - Previsão de Receita Bruta'!H19*VLOOKUP($C264,AliqPorTipo,COLUMN($K172)-1,0),0)</f>
        <v>223354.62500000003</v>
      </c>
      <c r="J264" s="207">
        <f>IFERROR('A4 - Previsão de Receita Bruta'!I19*VLOOKUP($C264,AliqPorTipo,COLUMN($K172)-1,0),0)</f>
        <v>230344.25000000003</v>
      </c>
      <c r="K264" s="207">
        <f>IFERROR('A4 - Previsão de Receita Bruta'!J19*VLOOKUP($C264,AliqPorTipo,COLUMN($K172)-1,0),0)</f>
        <v>237524.62500000003</v>
      </c>
      <c r="L264" s="207">
        <f>IFERROR('A4 - Previsão de Receita Bruta'!K19*VLOOKUP($C264,AliqPorTipo,COLUMN($K172)-1,0),0)</f>
        <v>244841.25000000003</v>
      </c>
      <c r="M264" s="207">
        <f>IFERROR('A4 - Previsão de Receita Bruta'!L19*VLOOKUP($C264,AliqPorTipo,COLUMN($K172)-1,0),0)</f>
        <v>252280.50000000003</v>
      </c>
      <c r="N264" s="207">
        <f>IFERROR('A4 - Previsão de Receita Bruta'!M19*VLOOKUP($C264,AliqPorTipo,COLUMN($K172)-1,0),0)</f>
        <v>259965.00000000003</v>
      </c>
      <c r="O264" s="207">
        <f>IFERROR('A4 - Previsão de Receita Bruta'!N19*VLOOKUP($C264,AliqPorTipo,COLUMN($K172)-1,0),0)</f>
        <v>267881.125</v>
      </c>
      <c r="P264" s="207">
        <f>IFERROR('A4 - Previsão de Receita Bruta'!O19*VLOOKUP($C264,AliqPorTipo,COLUMN($K172)-1,0),0)</f>
        <v>276042.5</v>
      </c>
      <c r="Q264" s="207">
        <f>IFERROR('A4 - Previsão de Receita Bruta'!P19*VLOOKUP($C264,AliqPorTipo,COLUMN($K172)-1,0),0)</f>
        <v>284462.75</v>
      </c>
      <c r="R264" s="207">
        <f>IFERROR('A4 - Previsão de Receita Bruta'!Q19*VLOOKUP($C264,AliqPorTipo,COLUMN($K172)-1,0),0)</f>
        <v>293128.25</v>
      </c>
      <c r="S264" s="207">
        <f>IFERROR('A4 - Previsão de Receita Bruta'!R19*VLOOKUP($C264,AliqPorTipo,COLUMN($K172)-1,0),0)</f>
        <v>302025.375</v>
      </c>
      <c r="T264" s="207">
        <f>IFERROR('A4 - Previsão de Receita Bruta'!S19*VLOOKUP($C264,AliqPorTipo,COLUMN($K172)-1,0),0)</f>
        <v>311154.125</v>
      </c>
      <c r="U264" s="207">
        <f>IFERROR('A4 - Previsão de Receita Bruta'!T19*VLOOKUP($C264,AliqPorTipo,COLUMN($K172)-1,0),0)</f>
        <v>320487.25</v>
      </c>
      <c r="V264" s="207">
        <f>IFERROR('A4 - Previsão de Receita Bruta'!U19*VLOOKUP($C264,AliqPorTipo,COLUMN($K172)-1,0),0)</f>
        <v>329983.875</v>
      </c>
      <c r="W264" s="207">
        <f>IFERROR('A4 - Previsão de Receita Bruta'!V19*VLOOKUP($C264,AliqPorTipo,COLUMN($K172)-1,0),0)</f>
        <v>339603.125</v>
      </c>
      <c r="X264" s="207">
        <f>IFERROR('A4 - Previsão de Receita Bruta'!W19*VLOOKUP($C264,AliqPorTipo,COLUMN($K172)-1,0),0)</f>
        <v>339603.125</v>
      </c>
      <c r="Y264" s="207">
        <f>IFERROR('A4 - Previsão de Receita Bruta'!X19*VLOOKUP($C264,AliqPorTipo,COLUMN($K172)-1,0),0)</f>
        <v>339603.125</v>
      </c>
      <c r="Z264" s="207">
        <f>IFERROR('A4 - Previsão de Receita Bruta'!Y19*VLOOKUP($C264,AliqPorTipo,COLUMN($K172)-1,0),0)</f>
        <v>339603.125</v>
      </c>
      <c r="AA264" s="207">
        <f>IFERROR('A4 - Previsão de Receita Bruta'!Z19*VLOOKUP($C264,AliqPorTipo,COLUMN($K172)-1,0),0)</f>
        <v>339603.125</v>
      </c>
      <c r="AB264" s="207">
        <f>IFERROR('A4 - Previsão de Receita Bruta'!AA19*VLOOKUP($C264,AliqPorTipo,COLUMN($K172)-1,0),0)</f>
        <v>339603.125</v>
      </c>
      <c r="AC264" s="207">
        <f>IFERROR('A4 - Previsão de Receita Bruta'!AB19*VLOOKUP($C264,AliqPorTipo,COLUMN($K172)-1,0),0)</f>
        <v>339603.125</v>
      </c>
      <c r="AD264" s="207">
        <f>IFERROR('A4 - Previsão de Receita Bruta'!AC19*VLOOKUP($C264,AliqPorTipo,COLUMN($K172)-1,0),0)</f>
        <v>339603.125</v>
      </c>
      <c r="AE264" s="207">
        <f>IFERROR('A4 - Previsão de Receita Bruta'!AD19*VLOOKUP($C264,AliqPorTipo,COLUMN($K172)-1,0),0)</f>
        <v>339603.125</v>
      </c>
      <c r="AF264" s="207">
        <f>IFERROR('A4 - Previsão de Receita Bruta'!AE19*VLOOKUP($C264,AliqPorTipo,COLUMN($K172)-1,0),0)</f>
        <v>339603.125</v>
      </c>
      <c r="AG264" s="207">
        <f>IFERROR('A4 - Previsão de Receita Bruta'!AF19*VLOOKUP($C264,AliqPorTipo,COLUMN($K172)-1,0),0)</f>
        <v>339603.125</v>
      </c>
      <c r="AH264" s="525"/>
      <c r="AI264" s="525"/>
      <c r="AJ264" s="525"/>
    </row>
    <row r="265" spans="1:36" ht="15" customHeight="1">
      <c r="A265" s="525"/>
      <c r="B265" s="205" t="str">
        <f>'A4 - Previsão de Receita Bruta'!B20</f>
        <v>Paraíso - Alimentação</v>
      </c>
      <c r="C265" s="206" t="str">
        <f t="shared" si="47"/>
        <v>Alimentação</v>
      </c>
      <c r="D265" s="207">
        <f>IFERROR('A4 - Previsão de Receita Bruta'!C20*VLOOKUP($C265,AliqPorTipo,COLUMN($K173)-1,0),0)</f>
        <v>0</v>
      </c>
      <c r="E265" s="207">
        <f>IFERROR('A4 - Previsão de Receita Bruta'!D20*VLOOKUP($C265,AliqPorTipo,COLUMN($K173)-1,0),0)</f>
        <v>0</v>
      </c>
      <c r="F265" s="207">
        <f>IFERROR('A4 - Previsão de Receita Bruta'!E20*VLOOKUP($C265,AliqPorTipo,COLUMN($K173)-1,0),0)</f>
        <v>0</v>
      </c>
      <c r="G265" s="207">
        <f>IFERROR('A4 - Previsão de Receita Bruta'!F20*VLOOKUP($C265,AliqPorTipo,COLUMN($K173)-1,0),0)</f>
        <v>0</v>
      </c>
      <c r="H265" s="207">
        <f>IFERROR('A4 - Previsão de Receita Bruta'!G20*VLOOKUP($C265,AliqPorTipo,COLUMN($K173)-1,0),0)</f>
        <v>0</v>
      </c>
      <c r="I265" s="207">
        <f>IFERROR('A4 - Previsão de Receita Bruta'!H20*VLOOKUP($C265,AliqPorTipo,COLUMN($K173)-1,0),0)</f>
        <v>0</v>
      </c>
      <c r="J265" s="207">
        <f>IFERROR('A4 - Previsão de Receita Bruta'!I20*VLOOKUP($C265,AliqPorTipo,COLUMN($K173)-1,0),0)</f>
        <v>0</v>
      </c>
      <c r="K265" s="207">
        <f>IFERROR('A4 - Previsão de Receita Bruta'!J20*VLOOKUP($C265,AliqPorTipo,COLUMN($K173)-1,0),0)</f>
        <v>0</v>
      </c>
      <c r="L265" s="207">
        <f>IFERROR('A4 - Previsão de Receita Bruta'!K20*VLOOKUP($C265,AliqPorTipo,COLUMN($K173)-1,0),0)</f>
        <v>0</v>
      </c>
      <c r="M265" s="207">
        <f>IFERROR('A4 - Previsão de Receita Bruta'!L20*VLOOKUP($C265,AliqPorTipo,COLUMN($K173)-1,0),0)</f>
        <v>0</v>
      </c>
      <c r="N265" s="207">
        <f>IFERROR('A4 - Previsão de Receita Bruta'!M20*VLOOKUP($C265,AliqPorTipo,COLUMN($K173)-1,0),0)</f>
        <v>0</v>
      </c>
      <c r="O265" s="207">
        <f>IFERROR('A4 - Previsão de Receita Bruta'!N20*VLOOKUP($C265,AliqPorTipo,COLUMN($K173)-1,0),0)</f>
        <v>0</v>
      </c>
      <c r="P265" s="207">
        <f>IFERROR('A4 - Previsão de Receita Bruta'!O20*VLOOKUP($C265,AliqPorTipo,COLUMN($K173)-1,0),0)</f>
        <v>0</v>
      </c>
      <c r="Q265" s="207">
        <f>IFERROR('A4 - Previsão de Receita Bruta'!P20*VLOOKUP($C265,AliqPorTipo,COLUMN($K173)-1,0),0)</f>
        <v>0</v>
      </c>
      <c r="R265" s="207">
        <f>IFERROR('A4 - Previsão de Receita Bruta'!Q20*VLOOKUP($C265,AliqPorTipo,COLUMN($K173)-1,0),0)</f>
        <v>0</v>
      </c>
      <c r="S265" s="207">
        <f>IFERROR('A4 - Previsão de Receita Bruta'!R20*VLOOKUP($C265,AliqPorTipo,COLUMN($K173)-1,0),0)</f>
        <v>0</v>
      </c>
      <c r="T265" s="207">
        <f>IFERROR('A4 - Previsão de Receita Bruta'!S20*VLOOKUP($C265,AliqPorTipo,COLUMN($K173)-1,0),0)</f>
        <v>0</v>
      </c>
      <c r="U265" s="207">
        <f>IFERROR('A4 - Previsão de Receita Bruta'!T20*VLOOKUP($C265,AliqPorTipo,COLUMN($K173)-1,0),0)</f>
        <v>0</v>
      </c>
      <c r="V265" s="207">
        <f>IFERROR('A4 - Previsão de Receita Bruta'!U20*VLOOKUP($C265,AliqPorTipo,COLUMN($K173)-1,0),0)</f>
        <v>0</v>
      </c>
      <c r="W265" s="207">
        <f>IFERROR('A4 - Previsão de Receita Bruta'!V20*VLOOKUP($C265,AliqPorTipo,COLUMN($K173)-1,0),0)</f>
        <v>0</v>
      </c>
      <c r="X265" s="207">
        <f>IFERROR('A4 - Previsão de Receita Bruta'!W20*VLOOKUP($C265,AliqPorTipo,COLUMN($K173)-1,0),0)</f>
        <v>0</v>
      </c>
      <c r="Y265" s="207">
        <f>IFERROR('A4 - Previsão de Receita Bruta'!X20*VLOOKUP($C265,AliqPorTipo,COLUMN($K173)-1,0),0)</f>
        <v>0</v>
      </c>
      <c r="Z265" s="207">
        <f>IFERROR('A4 - Previsão de Receita Bruta'!Y20*VLOOKUP($C265,AliqPorTipo,COLUMN($K173)-1,0),0)</f>
        <v>0</v>
      </c>
      <c r="AA265" s="207">
        <f>IFERROR('A4 - Previsão de Receita Bruta'!Z20*VLOOKUP($C265,AliqPorTipo,COLUMN($K173)-1,0),0)</f>
        <v>0</v>
      </c>
      <c r="AB265" s="207">
        <f>IFERROR('A4 - Previsão de Receita Bruta'!AA20*VLOOKUP($C265,AliqPorTipo,COLUMN($K173)-1,0),0)</f>
        <v>0</v>
      </c>
      <c r="AC265" s="207">
        <f>IFERROR('A4 - Previsão de Receita Bruta'!AB20*VLOOKUP($C265,AliqPorTipo,COLUMN($K173)-1,0),0)</f>
        <v>0</v>
      </c>
      <c r="AD265" s="207">
        <f>IFERROR('A4 - Previsão de Receita Bruta'!AC20*VLOOKUP($C265,AliqPorTipo,COLUMN($K173)-1,0),0)</f>
        <v>0</v>
      </c>
      <c r="AE265" s="207">
        <f>IFERROR('A4 - Previsão de Receita Bruta'!AD20*VLOOKUP($C265,AliqPorTipo,COLUMN($K173)-1,0),0)</f>
        <v>0</v>
      </c>
      <c r="AF265" s="207">
        <f>IFERROR('A4 - Previsão de Receita Bruta'!AE20*VLOOKUP($C265,AliqPorTipo,COLUMN($K173)-1,0),0)</f>
        <v>0</v>
      </c>
      <c r="AG265" s="207">
        <f>IFERROR('A4 - Previsão de Receita Bruta'!AF20*VLOOKUP($C265,AliqPorTipo,COLUMN($K173)-1,0),0)</f>
        <v>0</v>
      </c>
      <c r="AH265" s="525"/>
      <c r="AI265" s="525"/>
      <c r="AJ265" s="525"/>
    </row>
    <row r="266" spans="1:36" ht="15" customHeight="1">
      <c r="A266" s="525"/>
      <c r="B266" s="205" t="str">
        <f>'A4 - Previsão de Receita Bruta'!B21</f>
        <v>Paraíso - Comércio + Locação + Atividades</v>
      </c>
      <c r="C266" s="206" t="str">
        <f t="shared" si="47"/>
        <v xml:space="preserve"> Comércio </v>
      </c>
      <c r="D266" s="207">
        <f>IFERROR('A4 - Previsão de Receita Bruta'!C21*VLOOKUP($C266,AliqPorTipo,COLUMN($K174)-1,0),0)</f>
        <v>0</v>
      </c>
      <c r="E266" s="207">
        <f>IFERROR('A4 - Previsão de Receita Bruta'!D21*VLOOKUP($C266,AliqPorTipo,COLUMN($K174)-1,0),0)</f>
        <v>0</v>
      </c>
      <c r="F266" s="207">
        <f>IFERROR('A4 - Previsão de Receita Bruta'!E21*VLOOKUP($C266,AliqPorTipo,COLUMN($K174)-1,0),0)</f>
        <v>0</v>
      </c>
      <c r="G266" s="207">
        <f>IFERROR('A4 - Previsão de Receita Bruta'!F21*VLOOKUP($C266,AliqPorTipo,COLUMN($K174)-1,0),0)</f>
        <v>0</v>
      </c>
      <c r="H266" s="207">
        <f>IFERROR('A4 - Previsão de Receita Bruta'!G21*VLOOKUP($C266,AliqPorTipo,COLUMN($K174)-1,0),0)</f>
        <v>0</v>
      </c>
      <c r="I266" s="207">
        <f>IFERROR('A4 - Previsão de Receita Bruta'!H21*VLOOKUP($C266,AliqPorTipo,COLUMN($K174)-1,0),0)</f>
        <v>0</v>
      </c>
      <c r="J266" s="207">
        <f>IFERROR('A4 - Previsão de Receita Bruta'!I21*VLOOKUP($C266,AliqPorTipo,COLUMN($K174)-1,0),0)</f>
        <v>0</v>
      </c>
      <c r="K266" s="207">
        <f>IFERROR('A4 - Previsão de Receita Bruta'!J21*VLOOKUP($C266,AliqPorTipo,COLUMN($K174)-1,0),0)</f>
        <v>0</v>
      </c>
      <c r="L266" s="207">
        <f>IFERROR('A4 - Previsão de Receita Bruta'!K21*VLOOKUP($C266,AliqPorTipo,COLUMN($K174)-1,0),0)</f>
        <v>0</v>
      </c>
      <c r="M266" s="207">
        <f>IFERROR('A4 - Previsão de Receita Bruta'!L21*VLOOKUP($C266,AliqPorTipo,COLUMN($K174)-1,0),0)</f>
        <v>0</v>
      </c>
      <c r="N266" s="207">
        <f>IFERROR('A4 - Previsão de Receita Bruta'!M21*VLOOKUP($C266,AliqPorTipo,COLUMN($K174)-1,0),0)</f>
        <v>0</v>
      </c>
      <c r="O266" s="207">
        <f>IFERROR('A4 - Previsão de Receita Bruta'!N21*VLOOKUP($C266,AliqPorTipo,COLUMN($K174)-1,0),0)</f>
        <v>0</v>
      </c>
      <c r="P266" s="207">
        <f>IFERROR('A4 - Previsão de Receita Bruta'!O21*VLOOKUP($C266,AliqPorTipo,COLUMN($K174)-1,0),0)</f>
        <v>0</v>
      </c>
      <c r="Q266" s="207">
        <f>IFERROR('A4 - Previsão de Receita Bruta'!P21*VLOOKUP($C266,AliqPorTipo,COLUMN($K174)-1,0),0)</f>
        <v>0</v>
      </c>
      <c r="R266" s="207">
        <f>IFERROR('A4 - Previsão de Receita Bruta'!Q21*VLOOKUP($C266,AliqPorTipo,COLUMN($K174)-1,0),0)</f>
        <v>0</v>
      </c>
      <c r="S266" s="207">
        <f>IFERROR('A4 - Previsão de Receita Bruta'!R21*VLOOKUP($C266,AliqPorTipo,COLUMN($K174)-1,0),0)</f>
        <v>0</v>
      </c>
      <c r="T266" s="207">
        <f>IFERROR('A4 - Previsão de Receita Bruta'!S21*VLOOKUP($C266,AliqPorTipo,COLUMN($K174)-1,0),0)</f>
        <v>0</v>
      </c>
      <c r="U266" s="207">
        <f>IFERROR('A4 - Previsão de Receita Bruta'!T21*VLOOKUP($C266,AliqPorTipo,COLUMN($K174)-1,0),0)</f>
        <v>0</v>
      </c>
      <c r="V266" s="207">
        <f>IFERROR('A4 - Previsão de Receita Bruta'!U21*VLOOKUP($C266,AliqPorTipo,COLUMN($K174)-1,0),0)</f>
        <v>0</v>
      </c>
      <c r="W266" s="207">
        <f>IFERROR('A4 - Previsão de Receita Bruta'!V21*VLOOKUP($C266,AliqPorTipo,COLUMN($K174)-1,0),0)</f>
        <v>0</v>
      </c>
      <c r="X266" s="207">
        <f>IFERROR('A4 - Previsão de Receita Bruta'!W21*VLOOKUP($C266,AliqPorTipo,COLUMN($K174)-1,0),0)</f>
        <v>0</v>
      </c>
      <c r="Y266" s="207">
        <f>IFERROR('A4 - Previsão de Receita Bruta'!X21*VLOOKUP($C266,AliqPorTipo,COLUMN($K174)-1,0),0)</f>
        <v>0</v>
      </c>
      <c r="Z266" s="207">
        <f>IFERROR('A4 - Previsão de Receita Bruta'!Y21*VLOOKUP($C266,AliqPorTipo,COLUMN($K174)-1,0),0)</f>
        <v>0</v>
      </c>
      <c r="AA266" s="207">
        <f>IFERROR('A4 - Previsão de Receita Bruta'!Z21*VLOOKUP($C266,AliqPorTipo,COLUMN($K174)-1,0),0)</f>
        <v>0</v>
      </c>
      <c r="AB266" s="207">
        <f>IFERROR('A4 - Previsão de Receita Bruta'!AA21*VLOOKUP($C266,AliqPorTipo,COLUMN($K174)-1,0),0)</f>
        <v>0</v>
      </c>
      <c r="AC266" s="207">
        <f>IFERROR('A4 - Previsão de Receita Bruta'!AB21*VLOOKUP($C266,AliqPorTipo,COLUMN($K174)-1,0),0)</f>
        <v>0</v>
      </c>
      <c r="AD266" s="207">
        <f>IFERROR('A4 - Previsão de Receita Bruta'!AC21*VLOOKUP($C266,AliqPorTipo,COLUMN($K174)-1,0),0)</f>
        <v>0</v>
      </c>
      <c r="AE266" s="207">
        <f>IFERROR('A4 - Previsão de Receita Bruta'!AD21*VLOOKUP($C266,AliqPorTipo,COLUMN($K174)-1,0),0)</f>
        <v>0</v>
      </c>
      <c r="AF266" s="207">
        <f>IFERROR('A4 - Previsão de Receita Bruta'!AE21*VLOOKUP($C266,AliqPorTipo,COLUMN($K174)-1,0),0)</f>
        <v>0</v>
      </c>
      <c r="AG266" s="207">
        <f>IFERROR('A4 - Previsão de Receita Bruta'!AF21*VLOOKUP($C266,AliqPorTipo,COLUMN($K174)-1,0),0)</f>
        <v>0</v>
      </c>
      <c r="AH266" s="525"/>
      <c r="AI266" s="525"/>
      <c r="AJ266" s="525"/>
    </row>
    <row r="267" spans="1:36" ht="15" customHeight="1">
      <c r="A267" s="525"/>
      <c r="B267" s="205" t="str">
        <f>'A4 - Previsão de Receita Bruta'!B22</f>
        <v>Geral - Unidade móvel - Alimentação</v>
      </c>
      <c r="C267" s="206" t="str">
        <f t="shared" si="47"/>
        <v>Alimentação</v>
      </c>
      <c r="D267" s="207">
        <f>IFERROR('A4 - Previsão de Receita Bruta'!C22*VLOOKUP($C267,AliqPorTipo,COLUMN($K175)-1,0),0)</f>
        <v>0</v>
      </c>
      <c r="E267" s="207">
        <f>IFERROR('A4 - Previsão de Receita Bruta'!D22*VLOOKUP($C267,AliqPorTipo,COLUMN($K175)-1,0),0)</f>
        <v>147415.6875</v>
      </c>
      <c r="F267" s="207">
        <f>IFERROR('A4 - Previsão de Receita Bruta'!E22*VLOOKUP($C267,AliqPorTipo,COLUMN($K175)-1,0),0)</f>
        <v>152497.8125</v>
      </c>
      <c r="G267" s="207">
        <f>IFERROR('A4 - Previsão de Receita Bruta'!F22*VLOOKUP($C267,AliqPorTipo,COLUMN($K175)-1,0),0)</f>
        <v>157423.25</v>
      </c>
      <c r="H267" s="207">
        <f>IFERROR('A4 - Previsão de Receita Bruta'!G22*VLOOKUP($C267,AliqPorTipo,COLUMN($K175)-1,0),0)</f>
        <v>162430.4375</v>
      </c>
      <c r="I267" s="207">
        <f>IFERROR('A4 - Previsão de Receita Bruta'!H22*VLOOKUP($C267,AliqPorTipo,COLUMN($K175)-1,0),0)</f>
        <v>167519.375</v>
      </c>
      <c r="J267" s="207">
        <f>IFERROR('A4 - Previsão de Receita Bruta'!I22*VLOOKUP($C267,AliqPorTipo,COLUMN($K175)-1,0),0)</f>
        <v>172751.375</v>
      </c>
      <c r="K267" s="207">
        <f>IFERROR('A4 - Previsão de Receita Bruta'!J22*VLOOKUP($C267,AliqPorTipo,COLUMN($K175)-1,0),0)</f>
        <v>178140.0625</v>
      </c>
      <c r="L267" s="207">
        <f>IFERROR('A4 - Previsão de Receita Bruta'!K22*VLOOKUP($C267,AliqPorTipo,COLUMN($K175)-1,0),0)</f>
        <v>183624.125</v>
      </c>
      <c r="M267" s="207">
        <f>IFERROR('A4 - Previsão de Receita Bruta'!L22*VLOOKUP($C267,AliqPorTipo,COLUMN($K175)-1,0),0)</f>
        <v>189217.1875</v>
      </c>
      <c r="N267" s="207">
        <f>IFERROR('A4 - Previsão de Receita Bruta'!M22*VLOOKUP($C267,AliqPorTipo,COLUMN($K175)-1,0),0)</f>
        <v>194973.75</v>
      </c>
      <c r="O267" s="207">
        <f>IFERROR('A4 - Previsão de Receita Bruta'!N22*VLOOKUP($C267,AliqPorTipo,COLUMN($K175)-1,0),0)</f>
        <v>200914.25000000003</v>
      </c>
      <c r="P267" s="207">
        <f>IFERROR('A4 - Previsão de Receita Bruta'!O22*VLOOKUP($C267,AliqPorTipo,COLUMN($K175)-1,0),0)</f>
        <v>207038.68750000003</v>
      </c>
      <c r="Q267" s="207">
        <f>IFERROR('A4 - Previsão de Receita Bruta'!P22*VLOOKUP($C267,AliqPorTipo,COLUMN($K175)-1,0),0)</f>
        <v>213347.06250000003</v>
      </c>
      <c r="R267" s="207">
        <f>IFERROR('A4 - Previsão de Receita Bruta'!Q22*VLOOKUP($C267,AliqPorTipo,COLUMN($K175)-1,0),0)</f>
        <v>219846.18750000003</v>
      </c>
      <c r="S267" s="207">
        <f>IFERROR('A4 - Previsão de Receita Bruta'!R22*VLOOKUP($C267,AliqPorTipo,COLUMN($K175)-1,0),0)</f>
        <v>226522.43750000003</v>
      </c>
      <c r="T267" s="207">
        <f>IFERROR('A4 - Previsão de Receita Bruta'!S22*VLOOKUP($C267,AliqPorTipo,COLUMN($K175)-1,0),0)</f>
        <v>233369.00000000003</v>
      </c>
      <c r="U267" s="207">
        <f>IFERROR('A4 - Previsão de Receita Bruta'!T22*VLOOKUP($C267,AliqPorTipo,COLUMN($K175)-1,0),0)</f>
        <v>240365.43750000003</v>
      </c>
      <c r="V267" s="207">
        <f>IFERROR('A4 - Previsão de Receita Bruta'!U22*VLOOKUP($C267,AliqPorTipo,COLUMN($K175)-1,0),0)</f>
        <v>247484.50000000003</v>
      </c>
      <c r="W267" s="207">
        <f>IFERROR('A4 - Previsão de Receita Bruta'!V22*VLOOKUP($C267,AliqPorTipo,COLUMN($K175)-1,0),0)</f>
        <v>254698.93750000003</v>
      </c>
      <c r="X267" s="207">
        <f>IFERROR('A4 - Previsão de Receita Bruta'!W22*VLOOKUP($C267,AliqPorTipo,COLUMN($K175)-1,0),0)</f>
        <v>254698.93750000003</v>
      </c>
      <c r="Y267" s="207">
        <f>IFERROR('A4 - Previsão de Receita Bruta'!X22*VLOOKUP($C267,AliqPorTipo,COLUMN($K175)-1,0),0)</f>
        <v>254698.93750000003</v>
      </c>
      <c r="Z267" s="207">
        <f>IFERROR('A4 - Previsão de Receita Bruta'!Y22*VLOOKUP($C267,AliqPorTipo,COLUMN($K175)-1,0),0)</f>
        <v>254698.93750000003</v>
      </c>
      <c r="AA267" s="207">
        <f>IFERROR('A4 - Previsão de Receita Bruta'!Z22*VLOOKUP($C267,AliqPorTipo,COLUMN($K175)-1,0),0)</f>
        <v>254698.93750000003</v>
      </c>
      <c r="AB267" s="207">
        <f>IFERROR('A4 - Previsão de Receita Bruta'!AA22*VLOOKUP($C267,AliqPorTipo,COLUMN($K175)-1,0),0)</f>
        <v>254698.93750000003</v>
      </c>
      <c r="AC267" s="207">
        <f>IFERROR('A4 - Previsão de Receita Bruta'!AB22*VLOOKUP($C267,AliqPorTipo,COLUMN($K175)-1,0),0)</f>
        <v>254698.93750000003</v>
      </c>
      <c r="AD267" s="207">
        <f>IFERROR('A4 - Previsão de Receita Bruta'!AC22*VLOOKUP($C267,AliqPorTipo,COLUMN($K175)-1,0),0)</f>
        <v>254698.93750000003</v>
      </c>
      <c r="AE267" s="207">
        <f>IFERROR('A4 - Previsão de Receita Bruta'!AD22*VLOOKUP($C267,AliqPorTipo,COLUMN($K175)-1,0),0)</f>
        <v>254698.93750000003</v>
      </c>
      <c r="AF267" s="207">
        <f>IFERROR('A4 - Previsão de Receita Bruta'!AE22*VLOOKUP($C267,AliqPorTipo,COLUMN($K175)-1,0),0)</f>
        <v>254698.93750000003</v>
      </c>
      <c r="AG267" s="207">
        <f>IFERROR('A4 - Previsão de Receita Bruta'!AF22*VLOOKUP($C267,AliqPorTipo,COLUMN($K175)-1,0),0)</f>
        <v>254698.93750000003</v>
      </c>
      <c r="AH267" s="525"/>
      <c r="AI267" s="525"/>
      <c r="AJ267" s="525"/>
    </row>
    <row r="268" spans="1:36" ht="15" customHeight="1">
      <c r="A268" s="525"/>
      <c r="B268" s="205" t="str">
        <f>'A4 - Previsão de Receita Bruta'!B23</f>
        <v>Mangue Seco - Estacionamento</v>
      </c>
      <c r="C268" s="206" t="str">
        <f t="shared" si="47"/>
        <v>Serviços</v>
      </c>
      <c r="D268" s="207">
        <f>IFERROR('A4 - Previsão de Receita Bruta'!C23*VLOOKUP($C268,AliqPorTipo,COLUMN($K176)-1,0),0)</f>
        <v>0</v>
      </c>
      <c r="E268" s="207">
        <f>IFERROR('A4 - Previsão de Receita Bruta'!D23*VLOOKUP($C268,AliqPorTipo,COLUMN($K176)-1,0),0)</f>
        <v>0</v>
      </c>
      <c r="F268" s="207">
        <f>IFERROR('A4 - Previsão de Receita Bruta'!E23*VLOOKUP($C268,AliqPorTipo,COLUMN($K176)-1,0),0)</f>
        <v>0</v>
      </c>
      <c r="G268" s="207">
        <f>IFERROR('A4 - Previsão de Receita Bruta'!F23*VLOOKUP($C268,AliqPorTipo,COLUMN($K176)-1,0),0)</f>
        <v>0</v>
      </c>
      <c r="H268" s="207">
        <f>IFERROR('A4 - Previsão de Receita Bruta'!G23*VLOOKUP($C268,AliqPorTipo,COLUMN($K176)-1,0),0)</f>
        <v>0</v>
      </c>
      <c r="I268" s="207">
        <f>IFERROR('A4 - Previsão de Receita Bruta'!H23*VLOOKUP($C268,AliqPorTipo,COLUMN($K176)-1,0),0)</f>
        <v>0</v>
      </c>
      <c r="J268" s="207">
        <f>IFERROR('A4 - Previsão de Receita Bruta'!I23*VLOOKUP($C268,AliqPorTipo,COLUMN($K176)-1,0),0)</f>
        <v>0</v>
      </c>
      <c r="K268" s="207">
        <f>IFERROR('A4 - Previsão de Receita Bruta'!J23*VLOOKUP($C268,AliqPorTipo,COLUMN($K176)-1,0),0)</f>
        <v>0</v>
      </c>
      <c r="L268" s="207">
        <f>IFERROR('A4 - Previsão de Receita Bruta'!K23*VLOOKUP($C268,AliqPorTipo,COLUMN($K176)-1,0),0)</f>
        <v>0</v>
      </c>
      <c r="M268" s="207">
        <f>IFERROR('A4 - Previsão de Receita Bruta'!L23*VLOOKUP($C268,AliqPorTipo,COLUMN($K176)-1,0),0)</f>
        <v>0</v>
      </c>
      <c r="N268" s="207">
        <f>IFERROR('A4 - Previsão de Receita Bruta'!M23*VLOOKUP($C268,AliqPorTipo,COLUMN($K176)-1,0),0)</f>
        <v>0</v>
      </c>
      <c r="O268" s="207">
        <f>IFERROR('A4 - Previsão de Receita Bruta'!N23*VLOOKUP($C268,AliqPorTipo,COLUMN($K176)-1,0),0)</f>
        <v>0</v>
      </c>
      <c r="P268" s="207">
        <f>IFERROR('A4 - Previsão de Receita Bruta'!O23*VLOOKUP($C268,AliqPorTipo,COLUMN($K176)-1,0),0)</f>
        <v>0</v>
      </c>
      <c r="Q268" s="207">
        <f>IFERROR('A4 - Previsão de Receita Bruta'!P23*VLOOKUP($C268,AliqPorTipo,COLUMN($K176)-1,0),0)</f>
        <v>0</v>
      </c>
      <c r="R268" s="207">
        <f>IFERROR('A4 - Previsão de Receita Bruta'!Q23*VLOOKUP($C268,AliqPorTipo,COLUMN($K176)-1,0),0)</f>
        <v>0</v>
      </c>
      <c r="S268" s="207">
        <f>IFERROR('A4 - Previsão de Receita Bruta'!R23*VLOOKUP($C268,AliqPorTipo,COLUMN($K176)-1,0),0)</f>
        <v>0</v>
      </c>
      <c r="T268" s="207">
        <f>IFERROR('A4 - Previsão de Receita Bruta'!S23*VLOOKUP($C268,AliqPorTipo,COLUMN($K176)-1,0),0)</f>
        <v>0</v>
      </c>
      <c r="U268" s="207">
        <f>IFERROR('A4 - Previsão de Receita Bruta'!T23*VLOOKUP($C268,AliqPorTipo,COLUMN($K176)-1,0),0)</f>
        <v>0</v>
      </c>
      <c r="V268" s="207">
        <f>IFERROR('A4 - Previsão de Receita Bruta'!U23*VLOOKUP($C268,AliqPorTipo,COLUMN($K176)-1,0),0)</f>
        <v>0</v>
      </c>
      <c r="W268" s="207">
        <f>IFERROR('A4 - Previsão de Receita Bruta'!V23*VLOOKUP($C268,AliqPorTipo,COLUMN($K176)-1,0),0)</f>
        <v>0</v>
      </c>
      <c r="X268" s="207">
        <f>IFERROR('A4 - Previsão de Receita Bruta'!W23*VLOOKUP($C268,AliqPorTipo,COLUMN($K176)-1,0),0)</f>
        <v>0</v>
      </c>
      <c r="Y268" s="207">
        <f>IFERROR('A4 - Previsão de Receita Bruta'!X23*VLOOKUP($C268,AliqPorTipo,COLUMN($K176)-1,0),0)</f>
        <v>0</v>
      </c>
      <c r="Z268" s="207">
        <f>IFERROR('A4 - Previsão de Receita Bruta'!Y23*VLOOKUP($C268,AliqPorTipo,COLUMN($K176)-1,0),0)</f>
        <v>0</v>
      </c>
      <c r="AA268" s="207">
        <f>IFERROR('A4 - Previsão de Receita Bruta'!Z23*VLOOKUP($C268,AliqPorTipo,COLUMN($K176)-1,0),0)</f>
        <v>0</v>
      </c>
      <c r="AB268" s="207">
        <f>IFERROR('A4 - Previsão de Receita Bruta'!AA23*VLOOKUP($C268,AliqPorTipo,COLUMN($K176)-1,0),0)</f>
        <v>0</v>
      </c>
      <c r="AC268" s="207">
        <f>IFERROR('A4 - Previsão de Receita Bruta'!AB23*VLOOKUP($C268,AliqPorTipo,COLUMN($K176)-1,0),0)</f>
        <v>0</v>
      </c>
      <c r="AD268" s="207">
        <f>IFERROR('A4 - Previsão de Receita Bruta'!AC23*VLOOKUP($C268,AliqPorTipo,COLUMN($K176)-1,0),0)</f>
        <v>0</v>
      </c>
      <c r="AE268" s="207">
        <f>IFERROR('A4 - Previsão de Receita Bruta'!AD23*VLOOKUP($C268,AliqPorTipo,COLUMN($K176)-1,0),0)</f>
        <v>0</v>
      </c>
      <c r="AF268" s="207">
        <f>IFERROR('A4 - Previsão de Receita Bruta'!AE23*VLOOKUP($C268,AliqPorTipo,COLUMN($K176)-1,0),0)</f>
        <v>0</v>
      </c>
      <c r="AG268" s="207">
        <f>IFERROR('A4 - Previsão de Receita Bruta'!AF23*VLOOKUP($C268,AliqPorTipo,COLUMN($K176)-1,0),0)</f>
        <v>0</v>
      </c>
      <c r="AH268" s="525"/>
      <c r="AI268" s="525"/>
      <c r="AJ268" s="525"/>
    </row>
    <row r="269" spans="1:36" ht="15" customHeight="1">
      <c r="A269" s="525"/>
      <c r="B269" s="205" t="str">
        <f>'A4 - Previsão de Receita Bruta'!B24</f>
        <v>Lagoa Grande - Estacionamento</v>
      </c>
      <c r="C269" s="206" t="str">
        <f t="shared" si="47"/>
        <v>Serviços</v>
      </c>
      <c r="D269" s="207">
        <f>IFERROR('A4 - Previsão de Receita Bruta'!C24*VLOOKUP($C269,AliqPorTipo,COLUMN($K177)-1,0),0)</f>
        <v>0</v>
      </c>
      <c r="E269" s="207">
        <f>IFERROR('A4 - Previsão de Receita Bruta'!D24*VLOOKUP($C269,AliqPorTipo,COLUMN($K177)-1,0),0)</f>
        <v>0</v>
      </c>
      <c r="F269" s="207">
        <f>IFERROR('A4 - Previsão de Receita Bruta'!E24*VLOOKUP($C269,AliqPorTipo,COLUMN($K177)-1,0),0)</f>
        <v>0</v>
      </c>
      <c r="G269" s="207">
        <f>IFERROR('A4 - Previsão de Receita Bruta'!F24*VLOOKUP($C269,AliqPorTipo,COLUMN($K177)-1,0),0)</f>
        <v>0</v>
      </c>
      <c r="H269" s="207">
        <f>IFERROR('A4 - Previsão de Receita Bruta'!G24*VLOOKUP($C269,AliqPorTipo,COLUMN($K177)-1,0),0)</f>
        <v>0</v>
      </c>
      <c r="I269" s="207">
        <f>IFERROR('A4 - Previsão de Receita Bruta'!H24*VLOOKUP($C269,AliqPorTipo,COLUMN($K177)-1,0),0)</f>
        <v>0</v>
      </c>
      <c r="J269" s="207">
        <f>IFERROR('A4 - Previsão de Receita Bruta'!I24*VLOOKUP($C269,AliqPorTipo,COLUMN($K177)-1,0),0)</f>
        <v>0</v>
      </c>
      <c r="K269" s="207">
        <f>IFERROR('A4 - Previsão de Receita Bruta'!J24*VLOOKUP($C269,AliqPorTipo,COLUMN($K177)-1,0),0)</f>
        <v>0</v>
      </c>
      <c r="L269" s="207">
        <f>IFERROR('A4 - Previsão de Receita Bruta'!K24*VLOOKUP($C269,AliqPorTipo,COLUMN($K177)-1,0),0)</f>
        <v>0</v>
      </c>
      <c r="M269" s="207">
        <f>IFERROR('A4 - Previsão de Receita Bruta'!L24*VLOOKUP($C269,AliqPorTipo,COLUMN($K177)-1,0),0)</f>
        <v>0</v>
      </c>
      <c r="N269" s="207">
        <f>IFERROR('A4 - Previsão de Receita Bruta'!M24*VLOOKUP($C269,AliqPorTipo,COLUMN($K177)-1,0),0)</f>
        <v>0</v>
      </c>
      <c r="O269" s="207">
        <f>IFERROR('A4 - Previsão de Receita Bruta'!N24*VLOOKUP($C269,AliqPorTipo,COLUMN($K177)-1,0),0)</f>
        <v>0</v>
      </c>
      <c r="P269" s="207">
        <f>IFERROR('A4 - Previsão de Receita Bruta'!O24*VLOOKUP($C269,AliqPorTipo,COLUMN($K177)-1,0),0)</f>
        <v>0</v>
      </c>
      <c r="Q269" s="207">
        <f>IFERROR('A4 - Previsão de Receita Bruta'!P24*VLOOKUP($C269,AliqPorTipo,COLUMN($K177)-1,0),0)</f>
        <v>0</v>
      </c>
      <c r="R269" s="207">
        <f>IFERROR('A4 - Previsão de Receita Bruta'!Q24*VLOOKUP($C269,AliqPorTipo,COLUMN($K177)-1,0),0)</f>
        <v>0</v>
      </c>
      <c r="S269" s="207">
        <f>IFERROR('A4 - Previsão de Receita Bruta'!R24*VLOOKUP($C269,AliqPorTipo,COLUMN($K177)-1,0),0)</f>
        <v>0</v>
      </c>
      <c r="T269" s="207">
        <f>IFERROR('A4 - Previsão de Receita Bruta'!S24*VLOOKUP($C269,AliqPorTipo,COLUMN($K177)-1,0),0)</f>
        <v>0</v>
      </c>
      <c r="U269" s="207">
        <f>IFERROR('A4 - Previsão de Receita Bruta'!T24*VLOOKUP($C269,AliqPorTipo,COLUMN($K177)-1,0),0)</f>
        <v>0</v>
      </c>
      <c r="V269" s="207">
        <f>IFERROR('A4 - Previsão de Receita Bruta'!U24*VLOOKUP($C269,AliqPorTipo,COLUMN($K177)-1,0),0)</f>
        <v>0</v>
      </c>
      <c r="W269" s="207">
        <f>IFERROR('A4 - Previsão de Receita Bruta'!V24*VLOOKUP($C269,AliqPorTipo,COLUMN($K177)-1,0),0)</f>
        <v>0</v>
      </c>
      <c r="X269" s="207">
        <f>IFERROR('A4 - Previsão de Receita Bruta'!W24*VLOOKUP($C269,AliqPorTipo,COLUMN($K177)-1,0),0)</f>
        <v>0</v>
      </c>
      <c r="Y269" s="207">
        <f>IFERROR('A4 - Previsão de Receita Bruta'!X24*VLOOKUP($C269,AliqPorTipo,COLUMN($K177)-1,0),0)</f>
        <v>0</v>
      </c>
      <c r="Z269" s="207">
        <f>IFERROR('A4 - Previsão de Receita Bruta'!Y24*VLOOKUP($C269,AliqPorTipo,COLUMN($K177)-1,0),0)</f>
        <v>0</v>
      </c>
      <c r="AA269" s="207">
        <f>IFERROR('A4 - Previsão de Receita Bruta'!Z24*VLOOKUP($C269,AliqPorTipo,COLUMN($K177)-1,0),0)</f>
        <v>0</v>
      </c>
      <c r="AB269" s="207">
        <f>IFERROR('A4 - Previsão de Receita Bruta'!AA24*VLOOKUP($C269,AliqPorTipo,COLUMN($K177)-1,0),0)</f>
        <v>0</v>
      </c>
      <c r="AC269" s="207">
        <f>IFERROR('A4 - Previsão de Receita Bruta'!AB24*VLOOKUP($C269,AliqPorTipo,COLUMN($K177)-1,0),0)</f>
        <v>0</v>
      </c>
      <c r="AD269" s="207">
        <f>IFERROR('A4 - Previsão de Receita Bruta'!AC24*VLOOKUP($C269,AliqPorTipo,COLUMN($K177)-1,0),0)</f>
        <v>0</v>
      </c>
      <c r="AE269" s="207">
        <f>IFERROR('A4 - Previsão de Receita Bruta'!AD24*VLOOKUP($C269,AliqPorTipo,COLUMN($K177)-1,0),0)</f>
        <v>0</v>
      </c>
      <c r="AF269" s="207">
        <f>IFERROR('A4 - Previsão de Receita Bruta'!AE24*VLOOKUP($C269,AliqPorTipo,COLUMN($K177)-1,0),0)</f>
        <v>0</v>
      </c>
      <c r="AG269" s="207">
        <f>IFERROR('A4 - Previsão de Receita Bruta'!AF24*VLOOKUP($C269,AliqPorTipo,COLUMN($K177)-1,0),0)</f>
        <v>0</v>
      </c>
      <c r="AH269" s="525"/>
      <c r="AI269" s="525"/>
      <c r="AJ269" s="525"/>
    </row>
    <row r="270" spans="1:36" ht="15" customHeight="1">
      <c r="A270" s="525"/>
      <c r="B270" s="205">
        <f>'A4 - Previsão de Receita Bruta'!B25</f>
        <v>0</v>
      </c>
      <c r="C270" s="206">
        <f t="shared" si="47"/>
        <v>0</v>
      </c>
      <c r="D270" s="207">
        <f>IFERROR('A4 - Previsão de Receita Bruta'!C25*VLOOKUP($C270,AliqPorTipo,COLUMN($K178)-1,0),0)</f>
        <v>0</v>
      </c>
      <c r="E270" s="207">
        <f>IFERROR('A4 - Previsão de Receita Bruta'!D25*VLOOKUP($C270,AliqPorTipo,COLUMN($K178)-1,0),0)</f>
        <v>0</v>
      </c>
      <c r="F270" s="207">
        <f>IFERROR('A4 - Previsão de Receita Bruta'!E25*VLOOKUP($C270,AliqPorTipo,COLUMN($K178)-1,0),0)</f>
        <v>0</v>
      </c>
      <c r="G270" s="207">
        <f>IFERROR('A4 - Previsão de Receita Bruta'!F25*VLOOKUP($C270,AliqPorTipo,COLUMN($K178)-1,0),0)</f>
        <v>0</v>
      </c>
      <c r="H270" s="207">
        <f>IFERROR('A4 - Previsão de Receita Bruta'!G25*VLOOKUP($C270,AliqPorTipo,COLUMN($K178)-1,0),0)</f>
        <v>0</v>
      </c>
      <c r="I270" s="207">
        <f>IFERROR('A4 - Previsão de Receita Bruta'!H25*VLOOKUP($C270,AliqPorTipo,COLUMN($K178)-1,0),0)</f>
        <v>0</v>
      </c>
      <c r="J270" s="207">
        <f>IFERROR('A4 - Previsão de Receita Bruta'!I25*VLOOKUP($C270,AliqPorTipo,COLUMN($K178)-1,0),0)</f>
        <v>0</v>
      </c>
      <c r="K270" s="207">
        <f>IFERROR('A4 - Previsão de Receita Bruta'!J25*VLOOKUP($C270,AliqPorTipo,COLUMN($K178)-1,0),0)</f>
        <v>0</v>
      </c>
      <c r="L270" s="207">
        <f>IFERROR('A4 - Previsão de Receita Bruta'!K25*VLOOKUP($C270,AliqPorTipo,COLUMN($K178)-1,0),0)</f>
        <v>0</v>
      </c>
      <c r="M270" s="207">
        <f>IFERROR('A4 - Previsão de Receita Bruta'!L25*VLOOKUP($C270,AliqPorTipo,COLUMN($K178)-1,0),0)</f>
        <v>0</v>
      </c>
      <c r="N270" s="207">
        <f>IFERROR('A4 - Previsão de Receita Bruta'!M25*VLOOKUP($C270,AliqPorTipo,COLUMN($K178)-1,0),0)</f>
        <v>0</v>
      </c>
      <c r="O270" s="207">
        <f>IFERROR('A4 - Previsão de Receita Bruta'!N25*VLOOKUP($C270,AliqPorTipo,COLUMN($K178)-1,0),0)</f>
        <v>0</v>
      </c>
      <c r="P270" s="207">
        <f>IFERROR('A4 - Previsão de Receita Bruta'!O25*VLOOKUP($C270,AliqPorTipo,COLUMN($K178)-1,0),0)</f>
        <v>0</v>
      </c>
      <c r="Q270" s="207">
        <f>IFERROR('A4 - Previsão de Receita Bruta'!P25*VLOOKUP($C270,AliqPorTipo,COLUMN($K178)-1,0),0)</f>
        <v>0</v>
      </c>
      <c r="R270" s="207">
        <f>IFERROR('A4 - Previsão de Receita Bruta'!Q25*VLOOKUP($C270,AliqPorTipo,COLUMN($K178)-1,0),0)</f>
        <v>0</v>
      </c>
      <c r="S270" s="207">
        <f>IFERROR('A4 - Previsão de Receita Bruta'!R25*VLOOKUP($C270,AliqPorTipo,COLUMN($K178)-1,0),0)</f>
        <v>0</v>
      </c>
      <c r="T270" s="207">
        <f>IFERROR('A4 - Previsão de Receita Bruta'!S25*VLOOKUP($C270,AliqPorTipo,COLUMN($K178)-1,0),0)</f>
        <v>0</v>
      </c>
      <c r="U270" s="207">
        <f>IFERROR('A4 - Previsão de Receita Bruta'!T25*VLOOKUP($C270,AliqPorTipo,COLUMN($K178)-1,0),0)</f>
        <v>0</v>
      </c>
      <c r="V270" s="207">
        <f>IFERROR('A4 - Previsão de Receita Bruta'!U25*VLOOKUP($C270,AliqPorTipo,COLUMN($K178)-1,0),0)</f>
        <v>0</v>
      </c>
      <c r="W270" s="207">
        <f>IFERROR('A4 - Previsão de Receita Bruta'!V25*VLOOKUP($C270,AliqPorTipo,COLUMN($K178)-1,0),0)</f>
        <v>0</v>
      </c>
      <c r="X270" s="207">
        <f>IFERROR('A4 - Previsão de Receita Bruta'!W25*VLOOKUP($C270,AliqPorTipo,COLUMN($K178)-1,0),0)</f>
        <v>0</v>
      </c>
      <c r="Y270" s="207">
        <f>IFERROR('A4 - Previsão de Receita Bruta'!X25*VLOOKUP($C270,AliqPorTipo,COLUMN($K178)-1,0),0)</f>
        <v>0</v>
      </c>
      <c r="Z270" s="207">
        <f>IFERROR('A4 - Previsão de Receita Bruta'!Y25*VLOOKUP($C270,AliqPorTipo,COLUMN($K178)-1,0),0)</f>
        <v>0</v>
      </c>
      <c r="AA270" s="207">
        <f>IFERROR('A4 - Previsão de Receita Bruta'!Z25*VLOOKUP($C270,AliqPorTipo,COLUMN($K178)-1,0),0)</f>
        <v>0</v>
      </c>
      <c r="AB270" s="207">
        <f>IFERROR('A4 - Previsão de Receita Bruta'!AA25*VLOOKUP($C270,AliqPorTipo,COLUMN($K178)-1,0),0)</f>
        <v>0</v>
      </c>
      <c r="AC270" s="207">
        <f>IFERROR('A4 - Previsão de Receita Bruta'!AB25*VLOOKUP($C270,AliqPorTipo,COLUMN($K178)-1,0),0)</f>
        <v>0</v>
      </c>
      <c r="AD270" s="207">
        <f>IFERROR('A4 - Previsão de Receita Bruta'!AC25*VLOOKUP($C270,AliqPorTipo,COLUMN($K178)-1,0),0)</f>
        <v>0</v>
      </c>
      <c r="AE270" s="207">
        <f>IFERROR('A4 - Previsão de Receita Bruta'!AD25*VLOOKUP($C270,AliqPorTipo,COLUMN($K178)-1,0),0)</f>
        <v>0</v>
      </c>
      <c r="AF270" s="207">
        <f>IFERROR('A4 - Previsão de Receita Bruta'!AE25*VLOOKUP($C270,AliqPorTipo,COLUMN($K178)-1,0),0)</f>
        <v>0</v>
      </c>
      <c r="AG270" s="207">
        <f>IFERROR('A4 - Previsão de Receita Bruta'!AF25*VLOOKUP($C270,AliqPorTipo,COLUMN($K178)-1,0),0)</f>
        <v>0</v>
      </c>
      <c r="AH270" s="525"/>
      <c r="AI270" s="525"/>
      <c r="AJ270" s="525"/>
    </row>
    <row r="271" spans="1:36" ht="15" customHeight="1">
      <c r="A271" s="525"/>
      <c r="B271" s="205">
        <f>'A4 - Previsão de Receita Bruta'!B26</f>
        <v>0</v>
      </c>
      <c r="C271" s="206">
        <f t="shared" si="47"/>
        <v>0</v>
      </c>
      <c r="D271" s="207">
        <f>IFERROR('A4 - Previsão de Receita Bruta'!C26*VLOOKUP($C271,AliqPorTipo,COLUMN($K179)-1,0),0)</f>
        <v>0</v>
      </c>
      <c r="E271" s="207">
        <f>IFERROR('A4 - Previsão de Receita Bruta'!D26*VLOOKUP($C271,AliqPorTipo,COLUMN($K179)-1,0),0)</f>
        <v>0</v>
      </c>
      <c r="F271" s="207">
        <f>IFERROR('A4 - Previsão de Receita Bruta'!E26*VLOOKUP($C271,AliqPorTipo,COLUMN($K179)-1,0),0)</f>
        <v>0</v>
      </c>
      <c r="G271" s="207">
        <f>IFERROR('A4 - Previsão de Receita Bruta'!F26*VLOOKUP($C271,AliqPorTipo,COLUMN($K179)-1,0),0)</f>
        <v>0</v>
      </c>
      <c r="H271" s="207">
        <f>IFERROR('A4 - Previsão de Receita Bruta'!G26*VLOOKUP($C271,AliqPorTipo,COLUMN($K179)-1,0),0)</f>
        <v>0</v>
      </c>
      <c r="I271" s="207">
        <f>IFERROR('A4 - Previsão de Receita Bruta'!H26*VLOOKUP($C271,AliqPorTipo,COLUMN($K179)-1,0),0)</f>
        <v>0</v>
      </c>
      <c r="J271" s="207">
        <f>IFERROR('A4 - Previsão de Receita Bruta'!I26*VLOOKUP($C271,AliqPorTipo,COLUMN($K179)-1,0),0)</f>
        <v>0</v>
      </c>
      <c r="K271" s="207">
        <f>IFERROR('A4 - Previsão de Receita Bruta'!J26*VLOOKUP($C271,AliqPorTipo,COLUMN($K179)-1,0),0)</f>
        <v>0</v>
      </c>
      <c r="L271" s="207">
        <f>IFERROR('A4 - Previsão de Receita Bruta'!K26*VLOOKUP($C271,AliqPorTipo,COLUMN($K179)-1,0),0)</f>
        <v>0</v>
      </c>
      <c r="M271" s="207">
        <f>IFERROR('A4 - Previsão de Receita Bruta'!L26*VLOOKUP($C271,AliqPorTipo,COLUMN($K179)-1,0),0)</f>
        <v>0</v>
      </c>
      <c r="N271" s="207">
        <f>IFERROR('A4 - Previsão de Receita Bruta'!M26*VLOOKUP($C271,AliqPorTipo,COLUMN($K179)-1,0),0)</f>
        <v>0</v>
      </c>
      <c r="O271" s="207">
        <f>IFERROR('A4 - Previsão de Receita Bruta'!N26*VLOOKUP($C271,AliqPorTipo,COLUMN($K179)-1,0),0)</f>
        <v>0</v>
      </c>
      <c r="P271" s="207">
        <f>IFERROR('A4 - Previsão de Receita Bruta'!O26*VLOOKUP($C271,AliqPorTipo,COLUMN($K179)-1,0),0)</f>
        <v>0</v>
      </c>
      <c r="Q271" s="207">
        <f>IFERROR('A4 - Previsão de Receita Bruta'!P26*VLOOKUP($C271,AliqPorTipo,COLUMN($K179)-1,0),0)</f>
        <v>0</v>
      </c>
      <c r="R271" s="207">
        <f>IFERROR('A4 - Previsão de Receita Bruta'!Q26*VLOOKUP($C271,AliqPorTipo,COLUMN($K179)-1,0),0)</f>
        <v>0</v>
      </c>
      <c r="S271" s="207">
        <f>IFERROR('A4 - Previsão de Receita Bruta'!R26*VLOOKUP($C271,AliqPorTipo,COLUMN($K179)-1,0),0)</f>
        <v>0</v>
      </c>
      <c r="T271" s="207">
        <f>IFERROR('A4 - Previsão de Receita Bruta'!S26*VLOOKUP($C271,AliqPorTipo,COLUMN($K179)-1,0),0)</f>
        <v>0</v>
      </c>
      <c r="U271" s="207">
        <f>IFERROR('A4 - Previsão de Receita Bruta'!T26*VLOOKUP($C271,AliqPorTipo,COLUMN($K179)-1,0),0)</f>
        <v>0</v>
      </c>
      <c r="V271" s="207">
        <f>IFERROR('A4 - Previsão de Receita Bruta'!U26*VLOOKUP($C271,AliqPorTipo,COLUMN($K179)-1,0),0)</f>
        <v>0</v>
      </c>
      <c r="W271" s="207">
        <f>IFERROR('A4 - Previsão de Receita Bruta'!V26*VLOOKUP($C271,AliqPorTipo,COLUMN($K179)-1,0),0)</f>
        <v>0</v>
      </c>
      <c r="X271" s="207">
        <f>IFERROR('A4 - Previsão de Receita Bruta'!W26*VLOOKUP($C271,AliqPorTipo,COLUMN($K179)-1,0),0)</f>
        <v>0</v>
      </c>
      <c r="Y271" s="207">
        <f>IFERROR('A4 - Previsão de Receita Bruta'!X26*VLOOKUP($C271,AliqPorTipo,COLUMN($K179)-1,0),0)</f>
        <v>0</v>
      </c>
      <c r="Z271" s="207">
        <f>IFERROR('A4 - Previsão de Receita Bruta'!Y26*VLOOKUP($C271,AliqPorTipo,COLUMN($K179)-1,0),0)</f>
        <v>0</v>
      </c>
      <c r="AA271" s="207">
        <f>IFERROR('A4 - Previsão de Receita Bruta'!Z26*VLOOKUP($C271,AliqPorTipo,COLUMN($K179)-1,0),0)</f>
        <v>0</v>
      </c>
      <c r="AB271" s="207">
        <f>IFERROR('A4 - Previsão de Receita Bruta'!AA26*VLOOKUP($C271,AliqPorTipo,COLUMN($K179)-1,0),0)</f>
        <v>0</v>
      </c>
      <c r="AC271" s="207">
        <f>IFERROR('A4 - Previsão de Receita Bruta'!AB26*VLOOKUP($C271,AliqPorTipo,COLUMN($K179)-1,0),0)</f>
        <v>0</v>
      </c>
      <c r="AD271" s="207">
        <f>IFERROR('A4 - Previsão de Receita Bruta'!AC26*VLOOKUP($C271,AliqPorTipo,COLUMN($K179)-1,0),0)</f>
        <v>0</v>
      </c>
      <c r="AE271" s="207">
        <f>IFERROR('A4 - Previsão de Receita Bruta'!AD26*VLOOKUP($C271,AliqPorTipo,COLUMN($K179)-1,0),0)</f>
        <v>0</v>
      </c>
      <c r="AF271" s="207">
        <f>IFERROR('A4 - Previsão de Receita Bruta'!AE26*VLOOKUP($C271,AliqPorTipo,COLUMN($K179)-1,0),0)</f>
        <v>0</v>
      </c>
      <c r="AG271" s="207">
        <f>IFERROR('A4 - Previsão de Receita Bruta'!AF26*VLOOKUP($C271,AliqPorTipo,COLUMN($K179)-1,0),0)</f>
        <v>0</v>
      </c>
      <c r="AH271" s="525"/>
      <c r="AI271" s="525"/>
      <c r="AJ271" s="525"/>
    </row>
    <row r="272" spans="1:36" ht="15" customHeight="1">
      <c r="A272" s="521"/>
      <c r="B272" s="222" t="s">
        <v>527</v>
      </c>
      <c r="C272" s="222"/>
      <c r="D272" s="224">
        <f t="shared" ref="D272:AG272" si="48">SUM(D252:D271)</f>
        <v>2011992.4125000003</v>
      </c>
      <c r="E272" s="224">
        <f t="shared" si="48"/>
        <v>7621602.2650000006</v>
      </c>
      <c r="F272" s="224">
        <f t="shared" si="48"/>
        <v>7884523.0600000005</v>
      </c>
      <c r="G272" s="224">
        <f t="shared" si="48"/>
        <v>8139136.3150000004</v>
      </c>
      <c r="H272" s="224">
        <f t="shared" si="48"/>
        <v>8397794.375</v>
      </c>
      <c r="I272" s="224">
        <f t="shared" si="48"/>
        <v>8660984.5650000013</v>
      </c>
      <c r="J272" s="224">
        <f t="shared" si="48"/>
        <v>8931664.5800000001</v>
      </c>
      <c r="K272" s="224">
        <f t="shared" si="48"/>
        <v>9210179.5650000013</v>
      </c>
      <c r="L272" s="224">
        <f t="shared" si="48"/>
        <v>9493793.3550000004</v>
      </c>
      <c r="M272" s="224">
        <f t="shared" si="48"/>
        <v>9782630.8350000009</v>
      </c>
      <c r="N272" s="224">
        <f t="shared" si="48"/>
        <v>10080563.990000002</v>
      </c>
      <c r="O272" s="224">
        <f t="shared" si="48"/>
        <v>10387438.532500001</v>
      </c>
      <c r="P272" s="224">
        <f t="shared" si="48"/>
        <v>10704062.4</v>
      </c>
      <c r="Q272" s="224">
        <f t="shared" si="48"/>
        <v>11030281.375</v>
      </c>
      <c r="R272" s="224">
        <f t="shared" si="48"/>
        <v>11366295.280000001</v>
      </c>
      <c r="S272" s="224">
        <f t="shared" si="48"/>
        <v>11711506.660000002</v>
      </c>
      <c r="T272" s="224">
        <f t="shared" si="48"/>
        <v>12065506.657500001</v>
      </c>
      <c r="U272" s="224">
        <f t="shared" si="48"/>
        <v>12427103.645000001</v>
      </c>
      <c r="V272" s="224">
        <f t="shared" si="48"/>
        <v>12795299.57</v>
      </c>
      <c r="W272" s="224">
        <f t="shared" si="48"/>
        <v>13168365.710000001</v>
      </c>
      <c r="X272" s="224">
        <f t="shared" si="48"/>
        <v>13168365.710000001</v>
      </c>
      <c r="Y272" s="224">
        <f t="shared" si="48"/>
        <v>13168365.710000001</v>
      </c>
      <c r="Z272" s="224">
        <f t="shared" si="48"/>
        <v>13168365.710000001</v>
      </c>
      <c r="AA272" s="224">
        <f t="shared" si="48"/>
        <v>13168365.710000001</v>
      </c>
      <c r="AB272" s="224">
        <f t="shared" si="48"/>
        <v>13168365.710000001</v>
      </c>
      <c r="AC272" s="224">
        <f t="shared" si="48"/>
        <v>13168365.710000001</v>
      </c>
      <c r="AD272" s="224">
        <f t="shared" si="48"/>
        <v>13168365.710000001</v>
      </c>
      <c r="AE272" s="224">
        <f t="shared" si="48"/>
        <v>13168365.710000001</v>
      </c>
      <c r="AF272" s="224">
        <f t="shared" si="48"/>
        <v>13168365.710000001</v>
      </c>
      <c r="AG272" s="224">
        <f t="shared" si="48"/>
        <v>13168365.710000001</v>
      </c>
      <c r="AH272" s="525"/>
      <c r="AI272" s="521"/>
      <c r="AJ272" s="521"/>
    </row>
    <row r="273" spans="1:36" ht="15" customHeight="1">
      <c r="A273" s="521"/>
      <c r="B273" s="658" t="s">
        <v>585</v>
      </c>
      <c r="C273" s="522"/>
      <c r="D273" s="534">
        <f>SUMIF($C$252:$C$271,"Serviços",D252:D271)</f>
        <v>2011992.4125000003</v>
      </c>
      <c r="E273" s="534">
        <f>SUMIF($C$252:$C$271,"Serviços",E252:E271)</f>
        <v>4329318.5775000006</v>
      </c>
      <c r="F273" s="534">
        <f t="shared" ref="F273:AG273" si="49">SUMIF($C$252:$C$271,"Serviços",F252:F271)</f>
        <v>4478647.7475000005</v>
      </c>
      <c r="G273" s="534">
        <f t="shared" si="49"/>
        <v>4623286.8150000004</v>
      </c>
      <c r="H273" s="534">
        <f t="shared" si="49"/>
        <v>4770226.6875</v>
      </c>
      <c r="I273" s="534">
        <f t="shared" si="49"/>
        <v>4919736.6900000004</v>
      </c>
      <c r="J273" s="534">
        <f t="shared" si="49"/>
        <v>5073459.7050000001</v>
      </c>
      <c r="K273" s="534">
        <f t="shared" si="49"/>
        <v>5231672.7525000004</v>
      </c>
      <c r="L273" s="534">
        <f t="shared" si="49"/>
        <v>5392763.7300000004</v>
      </c>
      <c r="M273" s="534">
        <f t="shared" si="49"/>
        <v>5556871.1475000009</v>
      </c>
      <c r="N273" s="534">
        <f t="shared" si="49"/>
        <v>5726095.7400000012</v>
      </c>
      <c r="O273" s="534">
        <f t="shared" si="49"/>
        <v>5900399.0325000007</v>
      </c>
      <c r="P273" s="534">
        <f t="shared" si="49"/>
        <v>6080261.9625000004</v>
      </c>
      <c r="Q273" s="534">
        <f t="shared" si="49"/>
        <v>6265557.5625000009</v>
      </c>
      <c r="R273" s="534">
        <f t="shared" si="49"/>
        <v>6456424.3425000003</v>
      </c>
      <c r="S273" s="534">
        <f t="shared" si="49"/>
        <v>6652523.7225000011</v>
      </c>
      <c r="T273" s="534">
        <f t="shared" si="49"/>
        <v>6853617.1575000007</v>
      </c>
      <c r="U273" s="534">
        <f t="shared" si="49"/>
        <v>7058996.7075000014</v>
      </c>
      <c r="V273" s="534">
        <f t="shared" si="49"/>
        <v>7268127.5700000003</v>
      </c>
      <c r="W273" s="534">
        <f t="shared" si="49"/>
        <v>7480044.0225000009</v>
      </c>
      <c r="X273" s="534">
        <f t="shared" si="49"/>
        <v>7480044.0225000009</v>
      </c>
      <c r="Y273" s="534">
        <f t="shared" si="49"/>
        <v>7480044.0225000009</v>
      </c>
      <c r="Z273" s="534">
        <f t="shared" si="49"/>
        <v>7480044.0225000009</v>
      </c>
      <c r="AA273" s="534">
        <f t="shared" si="49"/>
        <v>7480044.0225000009</v>
      </c>
      <c r="AB273" s="534">
        <f t="shared" si="49"/>
        <v>7480044.0225000009</v>
      </c>
      <c r="AC273" s="534">
        <f t="shared" si="49"/>
        <v>7480044.0225000009</v>
      </c>
      <c r="AD273" s="534">
        <f t="shared" si="49"/>
        <v>7480044.0225000009</v>
      </c>
      <c r="AE273" s="534">
        <f t="shared" si="49"/>
        <v>7480044.0225000009</v>
      </c>
      <c r="AF273" s="534">
        <f t="shared" si="49"/>
        <v>7480044.0225000009</v>
      </c>
      <c r="AG273" s="534">
        <f t="shared" si="49"/>
        <v>7480044.0225000009</v>
      </c>
      <c r="AH273" s="525"/>
      <c r="AI273" s="521"/>
      <c r="AJ273" s="521"/>
    </row>
    <row r="274" spans="1:36" ht="15" customHeight="1">
      <c r="A274" s="521"/>
      <c r="B274" s="658" t="s">
        <v>586</v>
      </c>
      <c r="C274" s="522"/>
      <c r="D274" s="673">
        <f>D272-D273</f>
        <v>0</v>
      </c>
      <c r="E274" s="673">
        <f t="shared" ref="E274:AG274" si="50">E272-E273</f>
        <v>3292283.6875</v>
      </c>
      <c r="F274" s="673">
        <f t="shared" si="50"/>
        <v>3405875.3125</v>
      </c>
      <c r="G274" s="673">
        <f t="shared" si="50"/>
        <v>3515849.5</v>
      </c>
      <c r="H274" s="673">
        <f t="shared" si="50"/>
        <v>3627567.6875</v>
      </c>
      <c r="I274" s="673">
        <f t="shared" si="50"/>
        <v>3741247.8750000009</v>
      </c>
      <c r="J274" s="673">
        <f t="shared" si="50"/>
        <v>3858204.875</v>
      </c>
      <c r="K274" s="673">
        <f t="shared" si="50"/>
        <v>3978506.8125000009</v>
      </c>
      <c r="L274" s="673">
        <f t="shared" si="50"/>
        <v>4101029.625</v>
      </c>
      <c r="M274" s="673">
        <f t="shared" si="50"/>
        <v>4225759.6875</v>
      </c>
      <c r="N274" s="673">
        <f t="shared" si="50"/>
        <v>4354468.2500000009</v>
      </c>
      <c r="O274" s="673">
        <f t="shared" si="50"/>
        <v>4487039.5</v>
      </c>
      <c r="P274" s="673">
        <f t="shared" si="50"/>
        <v>4623800.4375</v>
      </c>
      <c r="Q274" s="673">
        <f t="shared" si="50"/>
        <v>4764723.8124999991</v>
      </c>
      <c r="R274" s="673">
        <f t="shared" si="50"/>
        <v>4909870.9375000009</v>
      </c>
      <c r="S274" s="673">
        <f t="shared" si="50"/>
        <v>5058982.9375000009</v>
      </c>
      <c r="T274" s="673">
        <f t="shared" si="50"/>
        <v>5211889.5</v>
      </c>
      <c r="U274" s="673">
        <f t="shared" si="50"/>
        <v>5368106.9375</v>
      </c>
      <c r="V274" s="673">
        <f t="shared" si="50"/>
        <v>5527172</v>
      </c>
      <c r="W274" s="673">
        <f t="shared" si="50"/>
        <v>5688321.6875</v>
      </c>
      <c r="X274" s="673">
        <f t="shared" si="50"/>
        <v>5688321.6875</v>
      </c>
      <c r="Y274" s="673">
        <f t="shared" si="50"/>
        <v>5688321.6875</v>
      </c>
      <c r="Z274" s="673">
        <f t="shared" si="50"/>
        <v>5688321.6875</v>
      </c>
      <c r="AA274" s="673">
        <f t="shared" si="50"/>
        <v>5688321.6875</v>
      </c>
      <c r="AB274" s="673">
        <f t="shared" si="50"/>
        <v>5688321.6875</v>
      </c>
      <c r="AC274" s="673">
        <f t="shared" si="50"/>
        <v>5688321.6875</v>
      </c>
      <c r="AD274" s="673">
        <f t="shared" si="50"/>
        <v>5688321.6875</v>
      </c>
      <c r="AE274" s="673">
        <f t="shared" si="50"/>
        <v>5688321.6875</v>
      </c>
      <c r="AF274" s="673">
        <f t="shared" si="50"/>
        <v>5688321.6875</v>
      </c>
      <c r="AG274" s="673">
        <f t="shared" si="50"/>
        <v>5688321.6875</v>
      </c>
      <c r="AH274" s="525"/>
      <c r="AI274" s="521"/>
      <c r="AJ274" s="521"/>
    </row>
    <row r="275" spans="1:36" ht="15" customHeight="1">
      <c r="A275" s="521"/>
      <c r="B275" s="659" t="s">
        <v>587</v>
      </c>
      <c r="C275" s="525"/>
      <c r="D275" s="525"/>
      <c r="E275" s="525"/>
      <c r="F275" s="525"/>
      <c r="G275" s="525"/>
      <c r="H275" s="525"/>
      <c r="I275" s="525"/>
      <c r="J275" s="525"/>
      <c r="K275" s="525"/>
      <c r="L275" s="525"/>
      <c r="M275" s="525"/>
      <c r="N275" s="525"/>
      <c r="O275" s="525"/>
      <c r="P275" s="525"/>
      <c r="Q275" s="525"/>
      <c r="R275" s="525"/>
      <c r="S275" s="525"/>
      <c r="T275" s="525"/>
      <c r="U275" s="525"/>
      <c r="V275" s="525"/>
      <c r="W275" s="525"/>
      <c r="X275" s="525"/>
      <c r="Y275" s="525"/>
      <c r="Z275" s="525"/>
      <c r="AA275" s="525"/>
      <c r="AB275" s="525"/>
      <c r="AC275" s="525"/>
      <c r="AD275" s="525"/>
      <c r="AE275" s="525"/>
      <c r="AF275" s="525"/>
      <c r="AG275" s="525"/>
      <c r="AH275" s="525"/>
      <c r="AI275" s="521"/>
      <c r="AJ275" s="521"/>
    </row>
    <row r="276" spans="1:36" ht="15" customHeight="1">
      <c r="A276" s="521"/>
      <c r="B276" s="222" t="s">
        <v>588</v>
      </c>
      <c r="C276" s="222" t="s">
        <v>165</v>
      </c>
      <c r="D276" s="223">
        <f t="shared" ref="D276:AG276" si="51">D251</f>
        <v>1</v>
      </c>
      <c r="E276" s="223">
        <f t="shared" si="51"/>
        <v>2</v>
      </c>
      <c r="F276" s="223">
        <f t="shared" si="51"/>
        <v>3</v>
      </c>
      <c r="G276" s="223">
        <f t="shared" si="51"/>
        <v>4</v>
      </c>
      <c r="H276" s="223">
        <f t="shared" si="51"/>
        <v>5</v>
      </c>
      <c r="I276" s="223">
        <f t="shared" si="51"/>
        <v>6</v>
      </c>
      <c r="J276" s="223">
        <f t="shared" si="51"/>
        <v>7</v>
      </c>
      <c r="K276" s="223">
        <f t="shared" si="51"/>
        <v>8</v>
      </c>
      <c r="L276" s="223">
        <f t="shared" si="51"/>
        <v>9</v>
      </c>
      <c r="M276" s="223">
        <f t="shared" si="51"/>
        <v>10</v>
      </c>
      <c r="N276" s="223">
        <f t="shared" si="51"/>
        <v>11</v>
      </c>
      <c r="O276" s="223">
        <f t="shared" si="51"/>
        <v>12</v>
      </c>
      <c r="P276" s="223">
        <f t="shared" si="51"/>
        <v>13</v>
      </c>
      <c r="Q276" s="223">
        <f t="shared" si="51"/>
        <v>14</v>
      </c>
      <c r="R276" s="223">
        <f t="shared" si="51"/>
        <v>15</v>
      </c>
      <c r="S276" s="223">
        <f t="shared" si="51"/>
        <v>16</v>
      </c>
      <c r="T276" s="223">
        <f t="shared" si="51"/>
        <v>17</v>
      </c>
      <c r="U276" s="223">
        <f t="shared" si="51"/>
        <v>18</v>
      </c>
      <c r="V276" s="223">
        <f t="shared" si="51"/>
        <v>19</v>
      </c>
      <c r="W276" s="223">
        <f t="shared" si="51"/>
        <v>20</v>
      </c>
      <c r="X276" s="223">
        <f t="shared" si="51"/>
        <v>21</v>
      </c>
      <c r="Y276" s="223">
        <f t="shared" si="51"/>
        <v>22</v>
      </c>
      <c r="Z276" s="223">
        <f t="shared" si="51"/>
        <v>23</v>
      </c>
      <c r="AA276" s="223">
        <f t="shared" si="51"/>
        <v>24</v>
      </c>
      <c r="AB276" s="223">
        <f t="shared" si="51"/>
        <v>25</v>
      </c>
      <c r="AC276" s="223">
        <f t="shared" si="51"/>
        <v>26</v>
      </c>
      <c r="AD276" s="223">
        <f t="shared" si="51"/>
        <v>27</v>
      </c>
      <c r="AE276" s="223">
        <f t="shared" si="51"/>
        <v>28</v>
      </c>
      <c r="AF276" s="223">
        <f t="shared" si="51"/>
        <v>29</v>
      </c>
      <c r="AG276" s="223">
        <f t="shared" si="51"/>
        <v>30</v>
      </c>
      <c r="AH276" s="525"/>
      <c r="AI276" s="521"/>
      <c r="AJ276" s="521"/>
    </row>
    <row r="277" spans="1:36" ht="15" customHeight="1">
      <c r="A277" s="521"/>
      <c r="B277" s="228" t="s">
        <v>589</v>
      </c>
      <c r="C277" s="206"/>
      <c r="D277" s="229">
        <f t="shared" ref="D277:AG277" si="52">-D272</f>
        <v>-2011992.4125000003</v>
      </c>
      <c r="E277" s="229">
        <f t="shared" si="52"/>
        <v>-7621602.2650000006</v>
      </c>
      <c r="F277" s="229">
        <f t="shared" si="52"/>
        <v>-7884523.0600000005</v>
      </c>
      <c r="G277" s="229">
        <f t="shared" si="52"/>
        <v>-8139136.3150000004</v>
      </c>
      <c r="H277" s="229">
        <f t="shared" si="52"/>
        <v>-8397794.375</v>
      </c>
      <c r="I277" s="229">
        <f t="shared" si="52"/>
        <v>-8660984.5650000013</v>
      </c>
      <c r="J277" s="229">
        <f t="shared" si="52"/>
        <v>-8931664.5800000001</v>
      </c>
      <c r="K277" s="229">
        <f t="shared" si="52"/>
        <v>-9210179.5650000013</v>
      </c>
      <c r="L277" s="229">
        <f t="shared" si="52"/>
        <v>-9493793.3550000004</v>
      </c>
      <c r="M277" s="229">
        <f t="shared" si="52"/>
        <v>-9782630.8350000009</v>
      </c>
      <c r="N277" s="229">
        <f t="shared" si="52"/>
        <v>-10080563.990000002</v>
      </c>
      <c r="O277" s="229">
        <f t="shared" si="52"/>
        <v>-10387438.532500001</v>
      </c>
      <c r="P277" s="229">
        <f t="shared" si="52"/>
        <v>-10704062.4</v>
      </c>
      <c r="Q277" s="229">
        <f t="shared" si="52"/>
        <v>-11030281.375</v>
      </c>
      <c r="R277" s="229">
        <f t="shared" si="52"/>
        <v>-11366295.280000001</v>
      </c>
      <c r="S277" s="229">
        <f t="shared" si="52"/>
        <v>-11711506.660000002</v>
      </c>
      <c r="T277" s="229">
        <f t="shared" si="52"/>
        <v>-12065506.657500001</v>
      </c>
      <c r="U277" s="229">
        <f t="shared" si="52"/>
        <v>-12427103.645000001</v>
      </c>
      <c r="V277" s="229">
        <f t="shared" si="52"/>
        <v>-12795299.57</v>
      </c>
      <c r="W277" s="229">
        <f t="shared" si="52"/>
        <v>-13168365.710000001</v>
      </c>
      <c r="X277" s="229">
        <f t="shared" si="52"/>
        <v>-13168365.710000001</v>
      </c>
      <c r="Y277" s="229">
        <f t="shared" si="52"/>
        <v>-13168365.710000001</v>
      </c>
      <c r="Z277" s="229">
        <f t="shared" si="52"/>
        <v>-13168365.710000001</v>
      </c>
      <c r="AA277" s="229">
        <f t="shared" si="52"/>
        <v>-13168365.710000001</v>
      </c>
      <c r="AB277" s="229">
        <f t="shared" si="52"/>
        <v>-13168365.710000001</v>
      </c>
      <c r="AC277" s="229">
        <f t="shared" si="52"/>
        <v>-13168365.710000001</v>
      </c>
      <c r="AD277" s="229">
        <f t="shared" si="52"/>
        <v>-13168365.710000001</v>
      </c>
      <c r="AE277" s="229">
        <f t="shared" si="52"/>
        <v>-13168365.710000001</v>
      </c>
      <c r="AF277" s="229">
        <f t="shared" si="52"/>
        <v>-13168365.710000001</v>
      </c>
      <c r="AG277" s="229">
        <f t="shared" si="52"/>
        <v>-13168365.710000001</v>
      </c>
      <c r="AH277" s="525"/>
      <c r="AI277" s="521"/>
      <c r="AJ277" s="521"/>
    </row>
    <row r="278" spans="1:36" ht="15" customHeight="1">
      <c r="A278" s="521"/>
      <c r="B278" s="228" t="s">
        <v>590</v>
      </c>
      <c r="C278" s="206"/>
      <c r="D278" s="229">
        <f t="shared" ref="D278:AG278" si="53">SUM(D279:D280)</f>
        <v>-12136522.191998035</v>
      </c>
      <c r="E278" s="229">
        <f t="shared" si="53"/>
        <v>-23104831.105525225</v>
      </c>
      <c r="F278" s="229">
        <f t="shared" si="53"/>
        <v>-24020294.721227758</v>
      </c>
      <c r="G278" s="229">
        <f t="shared" si="53"/>
        <v>-24426127.889596961</v>
      </c>
      <c r="H278" s="229">
        <f t="shared" si="53"/>
        <v>-24670445.785966158</v>
      </c>
      <c r="I278" s="229">
        <f t="shared" si="53"/>
        <v>-24947899.850535359</v>
      </c>
      <c r="J278" s="229">
        <f t="shared" si="53"/>
        <v>-25204403.354904562</v>
      </c>
      <c r="K278" s="229">
        <f t="shared" si="53"/>
        <v>-25468063.371273763</v>
      </c>
      <c r="L278" s="229">
        <f t="shared" si="53"/>
        <v>-25736703.595642962</v>
      </c>
      <c r="M278" s="229">
        <f t="shared" si="53"/>
        <v>-26010821.044012159</v>
      </c>
      <c r="N278" s="229">
        <f t="shared" si="53"/>
        <v>-26337725.608489361</v>
      </c>
      <c r="O278" s="229">
        <f t="shared" si="53"/>
        <v>-26628998.29685856</v>
      </c>
      <c r="P278" s="229">
        <f t="shared" si="53"/>
        <v>-26930189.385227758</v>
      </c>
      <c r="Q278" s="229">
        <f t="shared" si="53"/>
        <v>-27240307.06559696</v>
      </c>
      <c r="R278" s="229">
        <f t="shared" si="53"/>
        <v>-27559946.313966159</v>
      </c>
      <c r="S278" s="229">
        <f t="shared" si="53"/>
        <v>-27917673.282535363</v>
      </c>
      <c r="T278" s="229">
        <f t="shared" si="53"/>
        <v>-28254817.378904559</v>
      </c>
      <c r="U278" s="229">
        <f t="shared" si="53"/>
        <v>-28599372.019273758</v>
      </c>
      <c r="V278" s="229">
        <f t="shared" si="53"/>
        <v>-28950784.779642962</v>
      </c>
      <c r="W278" s="229">
        <f t="shared" si="53"/>
        <v>-29306490.924012162</v>
      </c>
      <c r="X278" s="229">
        <f t="shared" si="53"/>
        <v>-29343363.08048936</v>
      </c>
      <c r="Y278" s="229">
        <f t="shared" si="53"/>
        <v>-29336350.760858566</v>
      </c>
      <c r="Z278" s="229">
        <f t="shared" si="53"/>
        <v>-29328902.841227762</v>
      </c>
      <c r="AA278" s="229">
        <f t="shared" si="53"/>
        <v>-29321454.921596963</v>
      </c>
      <c r="AB278" s="229">
        <f t="shared" si="53"/>
        <v>-29314442.601966165</v>
      </c>
      <c r="AC278" s="229">
        <f t="shared" si="53"/>
        <v>-29335701.802535363</v>
      </c>
      <c r="AD278" s="229">
        <f t="shared" si="53"/>
        <v>-29328253.882904563</v>
      </c>
      <c r="AE278" s="229">
        <f t="shared" si="53"/>
        <v>-29321241.563273765</v>
      </c>
      <c r="AF278" s="229">
        <f t="shared" si="53"/>
        <v>-29313793.643642962</v>
      </c>
      <c r="AG278" s="229">
        <f t="shared" si="53"/>
        <v>-29306345.724012163</v>
      </c>
      <c r="AH278" s="525"/>
      <c r="AI278" s="521"/>
      <c r="AJ278" s="521"/>
    </row>
    <row r="279" spans="1:36" ht="15" customHeight="1">
      <c r="A279" s="521"/>
      <c r="B279" s="205" t="s">
        <v>591</v>
      </c>
      <c r="C279" s="206"/>
      <c r="D279" s="207">
        <f>-('C3 - Funcionários $'!G123+'B2 - Custos diretos totais'!C24+'B3 - Custos despesas indiretos'!AK150+'D2 - Capex uso'!GI178)</f>
        <v>-3457402.7321545403</v>
      </c>
      <c r="E279" s="207">
        <f>-('C3 - Funcionários $'!H123+'B2 - Custos diretos totais'!D24+'B3 - Custos despesas indiretos'!AL150+'D2 - Capex uso'!GJ178)</f>
        <v>-12510627.5909792</v>
      </c>
      <c r="F279" s="207">
        <f>-('C3 - Funcionários $'!I123+'B2 - Custos diretos totais'!E24+'B3 - Custos despesas indiretos'!AM150+'D2 - Capex uso'!GK178)</f>
        <v>-12717841.574979197</v>
      </c>
      <c r="G279" s="207">
        <f>-('C3 - Funcionários $'!J123+'B2 - Custos diretos totais'!F24+'B3 - Custos despesas indiretos'!AN150+'D2 - Capex uso'!GL178)</f>
        <v>-12918484.960979199</v>
      </c>
      <c r="H279" s="207">
        <f>-('C3 - Funcionários $'!K123+'B2 - Custos diretos totais'!G24+'B3 - Custos despesas indiretos'!AO150+'D2 - Capex uso'!GM178)</f>
        <v>-13122298.502979198</v>
      </c>
      <c r="I279" s="207">
        <f>-('C3 - Funcionários $'!L123+'B2 - Custos diretos totais'!H24+'B3 - Custos despesas indiretos'!AP150+'D2 - Capex uso'!GN178)</f>
        <v>-13329701.340979198</v>
      </c>
      <c r="J279" s="207">
        <f>-('C3 - Funcionários $'!M123+'B2 - Custos diretos totais'!I24+'B3 - Custos despesas indiretos'!AQ150+'D2 - Capex uso'!GO178)</f>
        <v>-13543041.608979199</v>
      </c>
      <c r="K279" s="207">
        <f>-('C3 - Funcionários $'!N123+'B2 - Custos diretos totais'!J24+'B3 - Custos despesas indiretos'!AR150+'D2 - Capex uso'!GP178)</f>
        <v>-13762516.8509792</v>
      </c>
      <c r="L279" s="207">
        <f>-('C3 - Funcionários $'!O123+'B2 - Custos diretos totais'!K24+'B3 - Custos despesas indiretos'!AS150+'D2 - Capex uso'!GQ178)</f>
        <v>-13986029.2289792</v>
      </c>
      <c r="M279" s="207">
        <f>-('C3 - Funcionários $'!P123+'B2 - Custos diretos totais'!L24+'B3 - Custos despesas indiretos'!AT150+'D2 - Capex uso'!GR178)</f>
        <v>-14213609.0549792</v>
      </c>
      <c r="N279" s="207">
        <f>-('C3 - Funcionários $'!Q123+'B2 - Custos diretos totais'!M24+'B3 - Custos despesas indiretos'!AU150+'D2 - Capex uso'!GS178)</f>
        <v>-14448411.1009792</v>
      </c>
      <c r="O279" s="207">
        <f>-('C3 - Funcionários $'!R123+'B2 - Custos diretos totais'!N24+'B3 - Custos despesas indiretos'!AV150+'D2 - Capex uso'!GT178)</f>
        <v>-14690243.9669792</v>
      </c>
      <c r="P279" s="207">
        <f>-('C3 - Funcionários $'!S123+'B2 - Custos diretos totais'!O24+'B3 - Custos despesas indiretos'!AW150+'D2 - Capex uso'!GU178)</f>
        <v>-14939749.602979198</v>
      </c>
      <c r="Q279" s="207">
        <f>-('C3 - Funcionários $'!T123+'B2 - Custos diretos totais'!P24+'B3 - Custos despesas indiretos'!AX150+'D2 - Capex uso'!GV178)</f>
        <v>-15196840.7629792</v>
      </c>
      <c r="R279" s="207">
        <f>-('C3 - Funcionários $'!U123+'B2 - Custos diretos totais'!Q24+'B3 - Custos despesas indiretos'!AY150+'D2 - Capex uso'!GW178)</f>
        <v>-15461636.818979198</v>
      </c>
      <c r="S279" s="207">
        <f>-('C3 - Funcionários $'!V123+'B2 - Custos diretos totais'!R24+'B3 - Custos despesas indiretos'!AZ150+'D2 - Capex uso'!GX178)</f>
        <v>-15733671.834979201</v>
      </c>
      <c r="T279" s="207">
        <f>-('C3 - Funcionários $'!W123+'B2 - Custos diretos totais'!S24+'B3 - Custos despesas indiretos'!BA150+'D2 - Capex uso'!GY178)</f>
        <v>-16012637.2269792</v>
      </c>
      <c r="U279" s="207">
        <f>-('C3 - Funcionários $'!X123+'B2 - Custos diretos totais'!T24+'B3 - Custos despesas indiretos'!BB150+'D2 - Capex uso'!GZ178)</f>
        <v>-16297608.366979199</v>
      </c>
      <c r="V279" s="207">
        <f>-('C3 - Funcionários $'!Y123+'B2 - Custos diretos totais'!U24+'B3 - Custos despesas indiretos'!BC150+'D2 - Capex uso'!HA178)</f>
        <v>-16587778.276979199</v>
      </c>
      <c r="W279" s="207">
        <f>-('C3 - Funcionários $'!Z123+'B2 - Custos diretos totais'!V24+'B3 - Custos despesas indiretos'!BD150+'D2 - Capex uso'!HB178)</f>
        <v>-16881772.034979202</v>
      </c>
      <c r="X279" s="207">
        <f>-('C3 - Funcionários $'!AA123+'B2 - Custos diretos totais'!W24+'B3 - Custos despesas indiretos'!BE150+'D2 - Capex uso'!HC178)</f>
        <v>-16881772.034979202</v>
      </c>
      <c r="Y279" s="207">
        <f>-('C3 - Funcionários $'!AB123+'B2 - Custos diretos totais'!X24+'B3 - Custos despesas indiretos'!BF150+'D2 - Capex uso'!HD178)</f>
        <v>-16881772.034979202</v>
      </c>
      <c r="Z279" s="207">
        <f>-('C3 - Funcionários $'!AC123+'B2 - Custos diretos totais'!Y24+'B3 - Custos despesas indiretos'!BG150+'D2 - Capex uso'!HE178)</f>
        <v>-16881772.034979202</v>
      </c>
      <c r="AA279" s="207">
        <f>-('C3 - Funcionários $'!AD123+'B2 - Custos diretos totais'!Z24+'B3 - Custos despesas indiretos'!BH150+'D2 - Capex uso'!HF178)</f>
        <v>-16881772.034979202</v>
      </c>
      <c r="AB279" s="207">
        <f>-('C3 - Funcionários $'!AE123+'B2 - Custos diretos totais'!AA24+'B3 - Custos despesas indiretos'!BI150+'D2 - Capex uso'!HG178)</f>
        <v>-16881772.034979202</v>
      </c>
      <c r="AC279" s="207">
        <f>-('C3 - Funcionários $'!AF123+'B2 - Custos diretos totais'!AB24+'B3 - Custos despesas indiretos'!BJ150+'D2 - Capex uso'!HH178)</f>
        <v>-16881772.034979202</v>
      </c>
      <c r="AD279" s="207">
        <f>-('C3 - Funcionários $'!AG123+'B2 - Custos diretos totais'!AC24+'B3 - Custos despesas indiretos'!BK150+'D2 - Capex uso'!HI178)</f>
        <v>-16881772.034979202</v>
      </c>
      <c r="AE279" s="207">
        <f>-('C3 - Funcionários $'!AH123+'B2 - Custos diretos totais'!AD24+'B3 - Custos despesas indiretos'!BL150+'D2 - Capex uso'!HJ178)</f>
        <v>-16881772.034979202</v>
      </c>
      <c r="AF279" s="207">
        <f>-('C3 - Funcionários $'!AI123+'B2 - Custos diretos totais'!AE24+'B3 - Custos despesas indiretos'!BM150+'D2 - Capex uso'!HK178)</f>
        <v>-16881772.034979202</v>
      </c>
      <c r="AG279" s="207">
        <f>-('C3 - Funcionários $'!AJ123+'B2 - Custos diretos totais'!AF24+'B3 - Custos despesas indiretos'!BN150+'D2 - Capex uso'!HL178)</f>
        <v>-16881772.034979202</v>
      </c>
      <c r="AH279" s="525"/>
      <c r="AI279" s="521"/>
      <c r="AJ279" s="521"/>
    </row>
    <row r="280" spans="1:36" ht="15" customHeight="1">
      <c r="A280" s="521"/>
      <c r="B280" s="205" t="s">
        <v>592</v>
      </c>
      <c r="C280" s="206"/>
      <c r="D280" s="207">
        <f>-('C3 - Funcionários $'!G125+'B3 - Custos despesas indiretos'!AK149+'D2 - Capex uso'!GI179)</f>
        <v>-8679119.459843494</v>
      </c>
      <c r="E280" s="207">
        <f>-('C3 - Funcionários $'!H125+'B3 - Custos despesas indiretos'!AL149+'D2 - Capex uso'!GJ179)</f>
        <v>-10594203.514546027</v>
      </c>
      <c r="F280" s="207">
        <f>-('C3 - Funcionários $'!I125+'B3 - Custos despesas indiretos'!AM149+'D2 - Capex uso'!GK179)</f>
        <v>-11302453.14624856</v>
      </c>
      <c r="G280" s="207">
        <f>-('C3 - Funcionários $'!J125+'B3 - Custos despesas indiretos'!AN149+'D2 - Capex uso'!GL179)</f>
        <v>-11507642.928617761</v>
      </c>
      <c r="H280" s="207">
        <f>-('C3 - Funcionários $'!K125+'B3 - Custos despesas indiretos'!AO149+'D2 - Capex uso'!GM179)</f>
        <v>-11548147.282986961</v>
      </c>
      <c r="I280" s="207">
        <f>-('C3 - Funcionários $'!L125+'B3 - Custos despesas indiretos'!AP149+'D2 - Capex uso'!GN179)</f>
        <v>-11618198.509556161</v>
      </c>
      <c r="J280" s="207">
        <f>-('C3 - Funcionários $'!M125+'B3 - Custos despesas indiretos'!AQ149+'D2 - Capex uso'!GO179)</f>
        <v>-11661361.745925361</v>
      </c>
      <c r="K280" s="207">
        <f>-('C3 - Funcionários $'!N125+'B3 - Custos despesas indiretos'!AR149+'D2 - Capex uso'!GP179)</f>
        <v>-11705546.520294562</v>
      </c>
      <c r="L280" s="207">
        <f>-('C3 - Funcionários $'!O125+'B3 - Custos despesas indiretos'!AS149+'D2 - Capex uso'!GQ179)</f>
        <v>-11750674.366663761</v>
      </c>
      <c r="M280" s="207">
        <f>-('C3 - Funcionários $'!P125+'B3 - Custos despesas indiretos'!AT149+'D2 - Capex uso'!GR179)</f>
        <v>-11797211.98903296</v>
      </c>
      <c r="N280" s="207">
        <f>-('C3 - Funcionários $'!Q125+'B3 - Custos despesas indiretos'!AU149+'D2 - Capex uso'!GS179)</f>
        <v>-11889314.507510161</v>
      </c>
      <c r="O280" s="207">
        <f>-('C3 - Funcionários $'!R125+'B3 - Custos despesas indiretos'!AV149+'D2 - Capex uso'!GT179)</f>
        <v>-11938754.32987936</v>
      </c>
      <c r="P280" s="207">
        <f>-('C3 - Funcionários $'!S125+'B3 - Custos despesas indiretos'!AW149+'D2 - Capex uso'!GU179)</f>
        <v>-11990439.78224856</v>
      </c>
      <c r="Q280" s="207">
        <f>-('C3 - Funcionários $'!T125+'B3 - Custos despesas indiretos'!AX149+'D2 - Capex uso'!GV179)</f>
        <v>-12043466.30261776</v>
      </c>
      <c r="R280" s="207">
        <f>-('C3 - Funcionários $'!U125+'B3 - Custos despesas indiretos'!AY149+'D2 - Capex uso'!GW179)</f>
        <v>-12098309.494986961</v>
      </c>
      <c r="S280" s="207">
        <f>-('C3 - Funcionários $'!V125+'B3 - Custos despesas indiretos'!AZ149+'D2 - Capex uso'!GX179)</f>
        <v>-12184001.447556162</v>
      </c>
      <c r="T280" s="207">
        <f>-('C3 - Funcionários $'!W125+'B3 - Custos despesas indiretos'!BA149+'D2 - Capex uso'!GY179)</f>
        <v>-12242180.151925361</v>
      </c>
      <c r="U280" s="207">
        <f>-('C3 - Funcionários $'!X125+'B3 - Custos despesas indiretos'!BB149+'D2 - Capex uso'!GZ179)</f>
        <v>-12301763.652294561</v>
      </c>
      <c r="V280" s="207">
        <f>-('C3 - Funcionários $'!Y125+'B3 - Custos despesas indiretos'!BC149+'D2 - Capex uso'!HA179)</f>
        <v>-12363006.502663761</v>
      </c>
      <c r="W280" s="207">
        <f>-('C3 - Funcionários $'!Z125+'B3 - Custos despesas indiretos'!BD149+'D2 - Capex uso'!HB179)</f>
        <v>-12424718.889032962</v>
      </c>
      <c r="X280" s="207">
        <f>-('C3 - Funcionários $'!AA125+'B3 - Custos despesas indiretos'!BE149+'D2 - Capex uso'!HC179)</f>
        <v>-12461591.04551016</v>
      </c>
      <c r="Y280" s="207">
        <f>-('C3 - Funcionários $'!AB125+'B3 - Custos despesas indiretos'!BF149+'D2 - Capex uso'!HD179)</f>
        <v>-12454578.725879362</v>
      </c>
      <c r="Z280" s="207">
        <f>-('C3 - Funcionários $'!AC125+'B3 - Custos despesas indiretos'!BG149+'D2 - Capex uso'!HE179)</f>
        <v>-12447130.806248561</v>
      </c>
      <c r="AA280" s="207">
        <f>-('C3 - Funcionários $'!AD125+'B3 - Custos despesas indiretos'!BH149+'D2 - Capex uso'!HF179)</f>
        <v>-12439682.886617761</v>
      </c>
      <c r="AB280" s="207">
        <f>-('C3 - Funcionários $'!AE125+'B3 - Custos despesas indiretos'!BI149+'D2 - Capex uso'!HG179)</f>
        <v>-12432670.566986961</v>
      </c>
      <c r="AC280" s="207">
        <f>-('C3 - Funcionários $'!AF125+'B3 - Custos despesas indiretos'!BJ149+'D2 - Capex uso'!HH179)</f>
        <v>-12453929.767556161</v>
      </c>
      <c r="AD280" s="207">
        <f>-('C3 - Funcionários $'!AG125+'B3 - Custos despesas indiretos'!BK149+'D2 - Capex uso'!HI179)</f>
        <v>-12446481.847925361</v>
      </c>
      <c r="AE280" s="207">
        <f>-('C3 - Funcionários $'!AH125+'B3 - Custos despesas indiretos'!BL149+'D2 - Capex uso'!HJ179)</f>
        <v>-12439469.528294561</v>
      </c>
      <c r="AF280" s="207">
        <f>-('C3 - Funcionários $'!AI125+'B3 - Custos despesas indiretos'!BM149+'D2 - Capex uso'!HK179)</f>
        <v>-12432021.60866376</v>
      </c>
      <c r="AG280" s="207">
        <f>-('C3 - Funcionários $'!AJ125+'B3 - Custos despesas indiretos'!BN149+'D2 - Capex uso'!HL179)</f>
        <v>-12424573.689032961</v>
      </c>
      <c r="AH280" s="525"/>
      <c r="AI280" s="521"/>
      <c r="AJ280" s="521"/>
    </row>
    <row r="281" spans="1:36" ht="15" customHeight="1">
      <c r="A281" s="521"/>
      <c r="B281" s="228" t="s">
        <v>593</v>
      </c>
      <c r="C281" s="206"/>
      <c r="D281" s="229">
        <f t="shared" ref="D281:AG281" si="54">SUM(D282:D283)</f>
        <v>-2037395.6345844446</v>
      </c>
      <c r="E281" s="229">
        <f t="shared" si="54"/>
        <v>-2195046.5956955557</v>
      </c>
      <c r="F281" s="229">
        <f t="shared" si="54"/>
        <v>-2284317.3401400005</v>
      </c>
      <c r="G281" s="229">
        <f t="shared" si="54"/>
        <v>-2284317.3401400005</v>
      </c>
      <c r="H281" s="229">
        <f t="shared" si="54"/>
        <v>-2284317.3401400005</v>
      </c>
      <c r="I281" s="229">
        <f t="shared" si="54"/>
        <v>-2284317.3401400005</v>
      </c>
      <c r="J281" s="229">
        <f t="shared" si="54"/>
        <v>-2284317.3401400005</v>
      </c>
      <c r="K281" s="229">
        <f t="shared" si="54"/>
        <v>-2284317.3401400005</v>
      </c>
      <c r="L281" s="229">
        <f t="shared" si="54"/>
        <v>-2284317.3401400005</v>
      </c>
      <c r="M281" s="229">
        <f t="shared" si="54"/>
        <v>-2284317.3401400005</v>
      </c>
      <c r="N281" s="229">
        <f t="shared" si="54"/>
        <v>-2284317.3401400005</v>
      </c>
      <c r="O281" s="229">
        <f t="shared" si="54"/>
        <v>-2284317.3401400005</v>
      </c>
      <c r="P281" s="229">
        <f t="shared" si="54"/>
        <v>-2284317.3401400005</v>
      </c>
      <c r="Q281" s="229">
        <f t="shared" si="54"/>
        <v>-2284317.3401400005</v>
      </c>
      <c r="R281" s="229">
        <f t="shared" si="54"/>
        <v>-2284317.3401400005</v>
      </c>
      <c r="S281" s="229">
        <f t="shared" si="54"/>
        <v>-2284317.3401400005</v>
      </c>
      <c r="T281" s="229">
        <f t="shared" si="54"/>
        <v>-2284317.3401400005</v>
      </c>
      <c r="U281" s="229">
        <f t="shared" si="54"/>
        <v>-2284317.3401400005</v>
      </c>
      <c r="V281" s="229">
        <f t="shared" si="54"/>
        <v>-2284317.3401400005</v>
      </c>
      <c r="W281" s="229">
        <f t="shared" si="54"/>
        <v>-2284317.3401400005</v>
      </c>
      <c r="X281" s="229">
        <f t="shared" si="54"/>
        <v>-2284317.3401400005</v>
      </c>
      <c r="Y281" s="229">
        <f t="shared" si="54"/>
        <v>-2284317.3401400005</v>
      </c>
      <c r="Z281" s="229">
        <f t="shared" si="54"/>
        <v>-2284317.3401400005</v>
      </c>
      <c r="AA281" s="229">
        <f t="shared" si="54"/>
        <v>-2284317.3401400005</v>
      </c>
      <c r="AB281" s="229">
        <f t="shared" si="54"/>
        <v>-2284317.3401400005</v>
      </c>
      <c r="AC281" s="229">
        <f t="shared" si="54"/>
        <v>-2284317.3401400005</v>
      </c>
      <c r="AD281" s="229">
        <f t="shared" si="54"/>
        <v>-2284317.3401400005</v>
      </c>
      <c r="AE281" s="229">
        <f t="shared" si="54"/>
        <v>-2284317.3401400005</v>
      </c>
      <c r="AF281" s="229">
        <f t="shared" si="54"/>
        <v>-2284317.3401400005</v>
      </c>
      <c r="AG281" s="229">
        <f t="shared" si="54"/>
        <v>-2284317.3401400005</v>
      </c>
      <c r="AH281" s="525"/>
      <c r="AI281" s="521"/>
      <c r="AJ281" s="521"/>
    </row>
    <row r="282" spans="1:36" ht="15" customHeight="1">
      <c r="A282" s="521"/>
      <c r="B282" s="205" t="s">
        <v>591</v>
      </c>
      <c r="C282" s="206"/>
      <c r="D282" s="207">
        <f>-SUMIF('D2 - Capex uso'!$B$6:$B$176,"Operacional",'D2 - Capex uso'!HM$6:HM$176)</f>
        <v>-562165.53513999993</v>
      </c>
      <c r="E282" s="207">
        <f>-SUMIF('D2 - Capex uso'!$B$6:$B$176,"Operacional",'D2 - Capex uso'!HN$6:HN$176)</f>
        <v>-562165.53513999993</v>
      </c>
      <c r="F282" s="207">
        <f>-SUMIF('D2 - Capex uso'!$B$6:$B$176,"Operacional",'D2 - Capex uso'!HO$6:HO$176)</f>
        <v>-562165.53513999993</v>
      </c>
      <c r="G282" s="207">
        <f>-SUMIF('D2 - Capex uso'!$B$6:$B$176,"Operacional",'D2 - Capex uso'!HP$6:HP$176)</f>
        <v>-562165.53513999993</v>
      </c>
      <c r="H282" s="207">
        <f>-SUMIF('D2 - Capex uso'!$B$6:$B$176,"Operacional",'D2 - Capex uso'!HQ$6:HQ$176)</f>
        <v>-562165.53513999993</v>
      </c>
      <c r="I282" s="207">
        <f>-SUMIF('D2 - Capex uso'!$B$6:$B$176,"Operacional",'D2 - Capex uso'!HR$6:HR$176)</f>
        <v>-562165.53513999993</v>
      </c>
      <c r="J282" s="207">
        <f>-SUMIF('D2 - Capex uso'!$B$6:$B$176,"Operacional",'D2 - Capex uso'!HS$6:HS$176)</f>
        <v>-562165.53513999993</v>
      </c>
      <c r="K282" s="207">
        <f>-SUMIF('D2 - Capex uso'!$B$6:$B$176,"Operacional",'D2 - Capex uso'!HT$6:HT$176)</f>
        <v>-562165.53513999993</v>
      </c>
      <c r="L282" s="207">
        <f>-SUMIF('D2 - Capex uso'!$B$6:$B$176,"Operacional",'D2 - Capex uso'!HU$6:HU$176)</f>
        <v>-562165.53513999993</v>
      </c>
      <c r="M282" s="207">
        <f>-SUMIF('D2 - Capex uso'!$B$6:$B$176,"Operacional",'D2 - Capex uso'!HV$6:HV$176)</f>
        <v>-562165.53513999993</v>
      </c>
      <c r="N282" s="207">
        <f>-SUMIF('D2 - Capex uso'!$B$6:$B$176,"Operacional",'D2 - Capex uso'!HW$6:HW$176)</f>
        <v>-562165.53513999993</v>
      </c>
      <c r="O282" s="207">
        <f>-SUMIF('D2 - Capex uso'!$B$6:$B$176,"Operacional",'D2 - Capex uso'!HX$6:HX$176)</f>
        <v>-562165.53513999993</v>
      </c>
      <c r="P282" s="207">
        <f>-SUMIF('D2 - Capex uso'!$B$6:$B$176,"Operacional",'D2 - Capex uso'!HY$6:HY$176)</f>
        <v>-562165.53513999993</v>
      </c>
      <c r="Q282" s="207">
        <f>-SUMIF('D2 - Capex uso'!$B$6:$B$176,"Operacional",'D2 - Capex uso'!HZ$6:HZ$176)</f>
        <v>-562165.53513999993</v>
      </c>
      <c r="R282" s="207">
        <f>-SUMIF('D2 - Capex uso'!$B$6:$B$176,"Operacional",'D2 - Capex uso'!IA$6:IA$176)</f>
        <v>-562165.53513999993</v>
      </c>
      <c r="S282" s="207">
        <f>-SUMIF('D2 - Capex uso'!$B$6:$B$176,"Operacional",'D2 - Capex uso'!IB$6:IB$176)</f>
        <v>-562165.53513999993</v>
      </c>
      <c r="T282" s="207">
        <f>-SUMIF('D2 - Capex uso'!$B$6:$B$176,"Operacional",'D2 - Capex uso'!IC$6:IC$176)</f>
        <v>-562165.53513999993</v>
      </c>
      <c r="U282" s="207">
        <f>-SUMIF('D2 - Capex uso'!$B$6:$B$176,"Operacional",'D2 - Capex uso'!ID$6:ID$176)</f>
        <v>-562165.53513999993</v>
      </c>
      <c r="V282" s="207">
        <f>-SUMIF('D2 - Capex uso'!$B$6:$B$176,"Operacional",'D2 - Capex uso'!IE$6:IE$176)</f>
        <v>-562165.53513999993</v>
      </c>
      <c r="W282" s="207">
        <f>-SUMIF('D2 - Capex uso'!$B$6:$B$176,"Operacional",'D2 - Capex uso'!IF$6:IF$176)</f>
        <v>-562165.53513999993</v>
      </c>
      <c r="X282" s="207">
        <f>-SUMIF('D2 - Capex uso'!$B$6:$B$176,"Operacional",'D2 - Capex uso'!IG$6:IG$176)</f>
        <v>-562165.53513999993</v>
      </c>
      <c r="Y282" s="207">
        <f>-SUMIF('D2 - Capex uso'!$B$6:$B$176,"Operacional",'D2 - Capex uso'!IH$6:IH$176)</f>
        <v>-562165.53513999993</v>
      </c>
      <c r="Z282" s="207">
        <f>-SUMIF('D2 - Capex uso'!$B$6:$B$176,"Operacional",'D2 - Capex uso'!II$6:II$176)</f>
        <v>-562165.53513999993</v>
      </c>
      <c r="AA282" s="207">
        <f>-SUMIF('D2 - Capex uso'!$B$6:$B$176,"Operacional",'D2 - Capex uso'!IJ$6:IJ$176)</f>
        <v>-562165.53513999993</v>
      </c>
      <c r="AB282" s="207">
        <f>-SUMIF('D2 - Capex uso'!$B$6:$B$176,"Operacional",'D2 - Capex uso'!IK$6:IK$176)</f>
        <v>-562165.53513999993</v>
      </c>
      <c r="AC282" s="207">
        <f>-SUMIF('D2 - Capex uso'!$B$6:$B$176,"Operacional",'D2 - Capex uso'!IL$6:IL$176)</f>
        <v>-562165.53513999993</v>
      </c>
      <c r="AD282" s="207">
        <f>-SUMIF('D2 - Capex uso'!$B$6:$B$176,"Operacional",'D2 - Capex uso'!IM$6:IM$176)</f>
        <v>-562165.53513999993</v>
      </c>
      <c r="AE282" s="207">
        <f>-SUMIF('D2 - Capex uso'!$B$6:$B$176,"Operacional",'D2 - Capex uso'!IN$6:IN$176)</f>
        <v>-562165.53513999993</v>
      </c>
      <c r="AF282" s="207">
        <f>-SUMIF('D2 - Capex uso'!$B$6:$B$176,"Operacional",'D2 - Capex uso'!IO$6:IO$176)</f>
        <v>-562165.53513999993</v>
      </c>
      <c r="AG282" s="207">
        <f>-SUMIF('D2 - Capex uso'!$B$6:$B$176,"Operacional",'D2 - Capex uso'!IP$6:IP$176)</f>
        <v>-562165.53513999993</v>
      </c>
      <c r="AH282" s="525"/>
      <c r="AI282" s="521"/>
      <c r="AJ282" s="521"/>
    </row>
    <row r="283" spans="1:36" ht="15" customHeight="1">
      <c r="A283" s="521"/>
      <c r="B283" s="205" t="s">
        <v>592</v>
      </c>
      <c r="C283" s="206"/>
      <c r="D283" s="207">
        <f>-SUMIF('D2 - Capex uso'!$B$6:$B$176,"Encargo",'D2 - Capex uso'!HM$6:HM$176)</f>
        <v>-1475230.0994444448</v>
      </c>
      <c r="E283" s="207">
        <f>-SUMIF('D2 - Capex uso'!$B$6:$B$176,"Encargo",'D2 - Capex uso'!HN$6:HN$176)</f>
        <v>-1632881.0605555559</v>
      </c>
      <c r="F283" s="207">
        <f>-SUMIF('D2 - Capex uso'!$B$6:$B$176,"Encargo",'D2 - Capex uso'!HO$6:HO$176)</f>
        <v>-1722151.8050000004</v>
      </c>
      <c r="G283" s="207">
        <f>-SUMIF('D2 - Capex uso'!$B$6:$B$176,"Encargo",'D2 - Capex uso'!HP$6:HP$176)</f>
        <v>-1722151.8050000004</v>
      </c>
      <c r="H283" s="207">
        <f>-SUMIF('D2 - Capex uso'!$B$6:$B$176,"Encargo",'D2 - Capex uso'!HQ$6:HQ$176)</f>
        <v>-1722151.8050000004</v>
      </c>
      <c r="I283" s="207">
        <f>-SUMIF('D2 - Capex uso'!$B$6:$B$176,"Encargo",'D2 - Capex uso'!HR$6:HR$176)</f>
        <v>-1722151.8050000004</v>
      </c>
      <c r="J283" s="207">
        <f>-SUMIF('D2 - Capex uso'!$B$6:$B$176,"Encargo",'D2 - Capex uso'!HS$6:HS$176)</f>
        <v>-1722151.8050000004</v>
      </c>
      <c r="K283" s="207">
        <f>-SUMIF('D2 - Capex uso'!$B$6:$B$176,"Encargo",'D2 - Capex uso'!HT$6:HT$176)</f>
        <v>-1722151.8050000004</v>
      </c>
      <c r="L283" s="207">
        <f>-SUMIF('D2 - Capex uso'!$B$6:$B$176,"Encargo",'D2 - Capex uso'!HU$6:HU$176)</f>
        <v>-1722151.8050000004</v>
      </c>
      <c r="M283" s="207">
        <f>-SUMIF('D2 - Capex uso'!$B$6:$B$176,"Encargo",'D2 - Capex uso'!HV$6:HV$176)</f>
        <v>-1722151.8050000004</v>
      </c>
      <c r="N283" s="207">
        <f>-SUMIF('D2 - Capex uso'!$B$6:$B$176,"Encargo",'D2 - Capex uso'!HW$6:HW$176)</f>
        <v>-1722151.8050000004</v>
      </c>
      <c r="O283" s="207">
        <f>-SUMIF('D2 - Capex uso'!$B$6:$B$176,"Encargo",'D2 - Capex uso'!HX$6:HX$176)</f>
        <v>-1722151.8050000004</v>
      </c>
      <c r="P283" s="207">
        <f>-SUMIF('D2 - Capex uso'!$B$6:$B$176,"Encargo",'D2 - Capex uso'!HY$6:HY$176)</f>
        <v>-1722151.8050000004</v>
      </c>
      <c r="Q283" s="207">
        <f>-SUMIF('D2 - Capex uso'!$B$6:$B$176,"Encargo",'D2 - Capex uso'!HZ$6:HZ$176)</f>
        <v>-1722151.8050000004</v>
      </c>
      <c r="R283" s="207">
        <f>-SUMIF('D2 - Capex uso'!$B$6:$B$176,"Encargo",'D2 - Capex uso'!IA$6:IA$176)</f>
        <v>-1722151.8050000004</v>
      </c>
      <c r="S283" s="207">
        <f>-SUMIF('D2 - Capex uso'!$B$6:$B$176,"Encargo",'D2 - Capex uso'!IB$6:IB$176)</f>
        <v>-1722151.8050000004</v>
      </c>
      <c r="T283" s="207">
        <f>-SUMIF('D2 - Capex uso'!$B$6:$B$176,"Encargo",'D2 - Capex uso'!IC$6:IC$176)</f>
        <v>-1722151.8050000004</v>
      </c>
      <c r="U283" s="207">
        <f>-SUMIF('D2 - Capex uso'!$B$6:$B$176,"Encargo",'D2 - Capex uso'!ID$6:ID$176)</f>
        <v>-1722151.8050000004</v>
      </c>
      <c r="V283" s="207">
        <f>-SUMIF('D2 - Capex uso'!$B$6:$B$176,"Encargo",'D2 - Capex uso'!IE$6:IE$176)</f>
        <v>-1722151.8050000004</v>
      </c>
      <c r="W283" s="207">
        <f>-SUMIF('D2 - Capex uso'!$B$6:$B$176,"Encargo",'D2 - Capex uso'!IF$6:IF$176)</f>
        <v>-1722151.8050000004</v>
      </c>
      <c r="X283" s="207">
        <f>-SUMIF('D2 - Capex uso'!$B$6:$B$176,"Encargo",'D2 - Capex uso'!IG$6:IG$176)</f>
        <v>-1722151.8050000004</v>
      </c>
      <c r="Y283" s="207">
        <f>-SUMIF('D2 - Capex uso'!$B$6:$B$176,"Encargo",'D2 - Capex uso'!IH$6:IH$176)</f>
        <v>-1722151.8050000004</v>
      </c>
      <c r="Z283" s="207">
        <f>-SUMIF('D2 - Capex uso'!$B$6:$B$176,"Encargo",'D2 - Capex uso'!II$6:II$176)</f>
        <v>-1722151.8050000004</v>
      </c>
      <c r="AA283" s="207">
        <f>-SUMIF('D2 - Capex uso'!$B$6:$B$176,"Encargo",'D2 - Capex uso'!IJ$6:IJ$176)</f>
        <v>-1722151.8050000004</v>
      </c>
      <c r="AB283" s="207">
        <f>-SUMIF('D2 - Capex uso'!$B$6:$B$176,"Encargo",'D2 - Capex uso'!IK$6:IK$176)</f>
        <v>-1722151.8050000004</v>
      </c>
      <c r="AC283" s="207">
        <f>-SUMIF('D2 - Capex uso'!$B$6:$B$176,"Encargo",'D2 - Capex uso'!IL$6:IL$176)</f>
        <v>-1722151.8050000004</v>
      </c>
      <c r="AD283" s="207">
        <f>-SUMIF('D2 - Capex uso'!$B$6:$B$176,"Encargo",'D2 - Capex uso'!IM$6:IM$176)</f>
        <v>-1722151.8050000004</v>
      </c>
      <c r="AE283" s="207">
        <f>-SUMIF('D2 - Capex uso'!$B$6:$B$176,"Encargo",'D2 - Capex uso'!IN$6:IN$176)</f>
        <v>-1722151.8050000004</v>
      </c>
      <c r="AF283" s="207">
        <f>-SUMIF('D2 - Capex uso'!$B$6:$B$176,"Encargo",'D2 - Capex uso'!IO$6:IO$176)</f>
        <v>-1722151.8050000004</v>
      </c>
      <c r="AG283" s="207">
        <f>-SUMIF('D2 - Capex uso'!$B$6:$B$176,"Encargo",'D2 - Capex uso'!IP$6:IP$176)</f>
        <v>-1722151.8050000004</v>
      </c>
      <c r="AH283" s="525"/>
      <c r="AI283" s="521"/>
      <c r="AJ283" s="521"/>
    </row>
    <row r="284" spans="1:36" ht="15" customHeight="1">
      <c r="A284" s="521"/>
      <c r="B284" s="228" t="s">
        <v>594</v>
      </c>
      <c r="C284" s="206"/>
      <c r="D284" s="207"/>
      <c r="E284" s="207"/>
      <c r="F284" s="207"/>
      <c r="G284" s="207"/>
      <c r="H284" s="207"/>
      <c r="I284" s="207"/>
      <c r="J284" s="207"/>
      <c r="K284" s="207"/>
      <c r="L284" s="207"/>
      <c r="M284" s="207"/>
      <c r="N284" s="207"/>
      <c r="O284" s="207"/>
      <c r="P284" s="207"/>
      <c r="Q284" s="207"/>
      <c r="R284" s="207"/>
      <c r="S284" s="207"/>
      <c r="T284" s="207"/>
      <c r="U284" s="207"/>
      <c r="V284" s="207"/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  <c r="AG284" s="207"/>
      <c r="AH284" s="525"/>
      <c r="AI284" s="521"/>
      <c r="AJ284" s="521"/>
    </row>
    <row r="285" spans="1:36" ht="15" customHeight="1">
      <c r="A285" s="521"/>
      <c r="B285" s="222" t="s">
        <v>595</v>
      </c>
      <c r="C285" s="222"/>
      <c r="D285" s="224">
        <f t="shared" ref="D285:AG285" si="55">D278+D281+D277+D284</f>
        <v>-16185910.23908248</v>
      </c>
      <c r="E285" s="224">
        <f t="shared" si="55"/>
        <v>-32921479.966220781</v>
      </c>
      <c r="F285" s="224">
        <f t="shared" si="55"/>
        <v>-34189135.12136776</v>
      </c>
      <c r="G285" s="224">
        <f t="shared" si="55"/>
        <v>-34849581.544736959</v>
      </c>
      <c r="H285" s="224">
        <f t="shared" si="55"/>
        <v>-35352557.501106158</v>
      </c>
      <c r="I285" s="224">
        <f t="shared" si="55"/>
        <v>-35893201.755675361</v>
      </c>
      <c r="J285" s="224">
        <f t="shared" si="55"/>
        <v>-36420385.27504456</v>
      </c>
      <c r="K285" s="224">
        <f t="shared" si="55"/>
        <v>-36962560.276413769</v>
      </c>
      <c r="L285" s="224">
        <f t="shared" si="55"/>
        <v>-37514814.290782958</v>
      </c>
      <c r="M285" s="224">
        <f t="shared" si="55"/>
        <v>-38077769.21915216</v>
      </c>
      <c r="N285" s="224">
        <f t="shared" si="55"/>
        <v>-38702606.938629359</v>
      </c>
      <c r="O285" s="224">
        <f t="shared" si="55"/>
        <v>-39300754.169498563</v>
      </c>
      <c r="P285" s="224">
        <f t="shared" si="55"/>
        <v>-39918569.125367761</v>
      </c>
      <c r="Q285" s="224">
        <f t="shared" si="55"/>
        <v>-40554905.78073696</v>
      </c>
      <c r="R285" s="224">
        <f t="shared" si="55"/>
        <v>-41210558.934106156</v>
      </c>
      <c r="S285" s="224">
        <f t="shared" si="55"/>
        <v>-41913497.282675363</v>
      </c>
      <c r="T285" s="224">
        <f t="shared" si="55"/>
        <v>-42604641.376544558</v>
      </c>
      <c r="U285" s="224">
        <f t="shared" si="55"/>
        <v>-43310793.004413761</v>
      </c>
      <c r="V285" s="224">
        <f t="shared" si="55"/>
        <v>-44030401.689782962</v>
      </c>
      <c r="W285" s="224">
        <f t="shared" si="55"/>
        <v>-44759173.974152163</v>
      </c>
      <c r="X285" s="224">
        <f t="shared" si="55"/>
        <v>-44796046.130629361</v>
      </c>
      <c r="Y285" s="224">
        <f t="shared" si="55"/>
        <v>-44789033.810998566</v>
      </c>
      <c r="Z285" s="224">
        <f t="shared" si="55"/>
        <v>-44781585.891367763</v>
      </c>
      <c r="AA285" s="224">
        <f t="shared" si="55"/>
        <v>-44774137.971736968</v>
      </c>
      <c r="AB285" s="224">
        <f t="shared" si="55"/>
        <v>-44767125.652106166</v>
      </c>
      <c r="AC285" s="224">
        <f t="shared" si="55"/>
        <v>-44788384.852675363</v>
      </c>
      <c r="AD285" s="224">
        <f t="shared" si="55"/>
        <v>-44780936.933044568</v>
      </c>
      <c r="AE285" s="224">
        <f t="shared" si="55"/>
        <v>-44773924.613413766</v>
      </c>
      <c r="AF285" s="224">
        <f t="shared" si="55"/>
        <v>-44766476.693782963</v>
      </c>
      <c r="AG285" s="224">
        <f t="shared" si="55"/>
        <v>-44759028.77415216</v>
      </c>
      <c r="AH285" s="525"/>
      <c r="AI285" s="521"/>
      <c r="AJ285" s="521"/>
    </row>
    <row r="286" spans="1:36" ht="24" customHeight="1">
      <c r="A286" s="521"/>
      <c r="B286" s="230" t="s">
        <v>596</v>
      </c>
      <c r="C286" s="231"/>
      <c r="D286" s="232">
        <f>'A4 - Previsão de Receita Bruta'!C27+D285</f>
        <v>-2066665.2390824798</v>
      </c>
      <c r="E286" s="232">
        <f>'A4 - Previsão de Receita Bruta'!D27+E285</f>
        <v>9541478.0337792188</v>
      </c>
      <c r="F286" s="232">
        <f>'A4 - Previsão de Receita Bruta'!E27+F285</f>
        <v>9738596.87863224</v>
      </c>
      <c r="G286" s="232">
        <f>'A4 - Previsão de Receita Bruta'!F27+G285</f>
        <v>10496736.455263041</v>
      </c>
      <c r="H286" s="232">
        <f>'A4 - Previsão de Receita Bruta'!G27+H285</f>
        <v>11434892.498893842</v>
      </c>
      <c r="I286" s="232">
        <f>'A4 - Previsão de Receita Bruta'!H27+I285</f>
        <v>12360616.244324639</v>
      </c>
      <c r="J286" s="232">
        <f>'A4 - Previsão de Receita Bruta'!I27+J285</f>
        <v>13341390.72495544</v>
      </c>
      <c r="K286" s="232">
        <f>'A4 - Previsão de Receita Bruta'!J27+K285</f>
        <v>14350957.723586231</v>
      </c>
      <c r="L286" s="232">
        <f>'A4 - Previsão de Receita Bruta'!K27+L285</f>
        <v>15378791.709217042</v>
      </c>
      <c r="M286" s="232">
        <f>'A4 - Previsão de Receita Bruta'!L27+M285</f>
        <v>16425192.78084784</v>
      </c>
      <c r="N286" s="232">
        <f>'A4 - Previsão de Receita Bruta'!M27+N285</f>
        <v>17460221.061370641</v>
      </c>
      <c r="O286" s="232">
        <f>'A4 - Previsão de Receita Bruta'!N27+O285</f>
        <v>18571754.830501437</v>
      </c>
      <c r="P286" s="232">
        <f>'A4 - Previsão de Receita Bruta'!O27+P285</f>
        <v>19718010.874632239</v>
      </c>
      <c r="Q286" s="232">
        <f>'A4 - Previsão de Receita Bruta'!P27+Q285</f>
        <v>20899144.21926304</v>
      </c>
      <c r="R286" s="232">
        <f>'A4 - Previsão de Receita Bruta'!Q27+R285</f>
        <v>22115557.065893844</v>
      </c>
      <c r="S286" s="232">
        <f>'A4 - Previsão de Receita Bruta'!R27+S285</f>
        <v>23335954.717324637</v>
      </c>
      <c r="T286" s="232">
        <f>'A4 - Previsão de Receita Bruta'!S27+T285</f>
        <v>24617117.623455442</v>
      </c>
      <c r="U286" s="232">
        <f>'A4 - Previsão de Receita Bruta'!T27+U285</f>
        <v>25925500.995586239</v>
      </c>
      <c r="V286" s="232">
        <f>'A4 - Previsão de Receita Bruta'!U27+V285</f>
        <v>27257202.310217038</v>
      </c>
      <c r="W286" s="232">
        <f>'A4 - Previsão de Receita Bruta'!V27+W285</f>
        <v>28606938.025847837</v>
      </c>
      <c r="X286" s="232">
        <f>'A4 - Previsão de Receita Bruta'!W27+X285</f>
        <v>28570065.869370639</v>
      </c>
      <c r="Y286" s="232">
        <f>'A4 - Previsão de Receita Bruta'!X27+Y285</f>
        <v>28577078.189001434</v>
      </c>
      <c r="Z286" s="232">
        <f>'A4 - Previsão de Receita Bruta'!Y27+Z285</f>
        <v>28584526.108632237</v>
      </c>
      <c r="AA286" s="232">
        <f>'A4 - Previsão de Receita Bruta'!Z27+AA285</f>
        <v>28591974.028263032</v>
      </c>
      <c r="AB286" s="232">
        <f>'A4 - Previsão de Receita Bruta'!AA27+AB285</f>
        <v>28598986.347893834</v>
      </c>
      <c r="AC286" s="232">
        <f>'A4 - Previsão de Receita Bruta'!AB27+AC285</f>
        <v>28577727.147324637</v>
      </c>
      <c r="AD286" s="232">
        <f>'A4 - Previsão de Receita Bruta'!AC27+AD285</f>
        <v>28585175.066955432</v>
      </c>
      <c r="AE286" s="232">
        <f>'A4 - Previsão de Receita Bruta'!AD27+AE285</f>
        <v>28592187.386586234</v>
      </c>
      <c r="AF286" s="232">
        <f>'A4 - Previsão de Receita Bruta'!AE27+AF285</f>
        <v>28599635.306217037</v>
      </c>
      <c r="AG286" s="232">
        <f>'A4 - Previsão de Receita Bruta'!AF27+AG285</f>
        <v>28607083.22584784</v>
      </c>
      <c r="AH286" s="525"/>
      <c r="AI286" s="521"/>
      <c r="AJ286" s="521"/>
    </row>
    <row r="287" spans="1:36" ht="10.5" customHeight="1">
      <c r="A287" s="521"/>
      <c r="B287" s="522"/>
      <c r="C287" s="522"/>
      <c r="D287" s="522"/>
      <c r="E287" s="522"/>
      <c r="F287" s="522"/>
      <c r="G287" s="522"/>
      <c r="H287" s="522"/>
      <c r="I287" s="522"/>
      <c r="J287" s="522"/>
      <c r="K287" s="522"/>
      <c r="L287" s="522"/>
      <c r="M287" s="522"/>
      <c r="N287" s="522"/>
      <c r="O287" s="522"/>
      <c r="P287" s="522"/>
      <c r="Q287" s="522"/>
      <c r="R287" s="522"/>
      <c r="S287" s="522"/>
      <c r="T287" s="522"/>
      <c r="U287" s="522"/>
      <c r="V287" s="522"/>
      <c r="W287" s="522"/>
      <c r="X287" s="522"/>
      <c r="Y287" s="522"/>
      <c r="Z287" s="522"/>
      <c r="AA287" s="522"/>
      <c r="AB287" s="522"/>
      <c r="AC287" s="522"/>
      <c r="AD287" s="522"/>
      <c r="AE287" s="522"/>
      <c r="AF287" s="522"/>
      <c r="AG287" s="522"/>
      <c r="AH287" s="525"/>
      <c r="AI287" s="522"/>
      <c r="AJ287" s="522"/>
    </row>
    <row r="288" spans="1:36" ht="22.5" customHeight="1">
      <c r="A288" s="521"/>
      <c r="B288" s="668" t="s">
        <v>486</v>
      </c>
      <c r="C288" s="636">
        <f>irpjlr</f>
        <v>0.15</v>
      </c>
      <c r="D288" s="669">
        <f t="shared" ref="D288:AG288" si="56">IF(D286&lt;=0,0,D286*irpjlr)</f>
        <v>0</v>
      </c>
      <c r="E288" s="669">
        <f t="shared" si="56"/>
        <v>1431221.7050668828</v>
      </c>
      <c r="F288" s="669">
        <f t="shared" si="56"/>
        <v>1460789.531794836</v>
      </c>
      <c r="G288" s="669">
        <f t="shared" si="56"/>
        <v>1574510.4682894561</v>
      </c>
      <c r="H288" s="669">
        <f t="shared" si="56"/>
        <v>1715233.8748340763</v>
      </c>
      <c r="I288" s="669">
        <f t="shared" si="56"/>
        <v>1854092.436648696</v>
      </c>
      <c r="J288" s="669">
        <f t="shared" si="56"/>
        <v>2001208.6087433158</v>
      </c>
      <c r="K288" s="669">
        <f t="shared" si="56"/>
        <v>2152643.6585379345</v>
      </c>
      <c r="L288" s="669">
        <f t="shared" si="56"/>
        <v>2306818.7563825562</v>
      </c>
      <c r="M288" s="669">
        <f t="shared" si="56"/>
        <v>2463778.9171271757</v>
      </c>
      <c r="N288" s="669">
        <f t="shared" si="56"/>
        <v>2619033.159205596</v>
      </c>
      <c r="O288" s="669">
        <f t="shared" si="56"/>
        <v>2785763.2245752155</v>
      </c>
      <c r="P288" s="669">
        <f t="shared" si="56"/>
        <v>2957701.631194836</v>
      </c>
      <c r="Q288" s="669">
        <f t="shared" si="56"/>
        <v>3134871.6328894557</v>
      </c>
      <c r="R288" s="669">
        <f t="shared" si="56"/>
        <v>3317333.5598840765</v>
      </c>
      <c r="S288" s="669">
        <f t="shared" si="56"/>
        <v>3500393.2075986955</v>
      </c>
      <c r="T288" s="669">
        <f t="shared" si="56"/>
        <v>3692567.6435183161</v>
      </c>
      <c r="U288" s="669">
        <f t="shared" si="56"/>
        <v>3888825.1493379357</v>
      </c>
      <c r="V288" s="669">
        <f t="shared" si="56"/>
        <v>4088580.3465325553</v>
      </c>
      <c r="W288" s="669">
        <f t="shared" si="56"/>
        <v>4291040.7038771752</v>
      </c>
      <c r="X288" s="669">
        <f t="shared" si="56"/>
        <v>4285509.8804055955</v>
      </c>
      <c r="Y288" s="669">
        <f t="shared" si="56"/>
        <v>4286561.7283502147</v>
      </c>
      <c r="Z288" s="669">
        <f t="shared" si="56"/>
        <v>4287678.9162948355</v>
      </c>
      <c r="AA288" s="669">
        <f t="shared" si="56"/>
        <v>4288796.1042394545</v>
      </c>
      <c r="AB288" s="669">
        <f t="shared" si="56"/>
        <v>4289847.9521840746</v>
      </c>
      <c r="AC288" s="669">
        <f t="shared" si="56"/>
        <v>4286659.0720986957</v>
      </c>
      <c r="AD288" s="669">
        <f t="shared" si="56"/>
        <v>4287776.2600433147</v>
      </c>
      <c r="AE288" s="669">
        <f t="shared" si="56"/>
        <v>4288828.1079879347</v>
      </c>
      <c r="AF288" s="669">
        <f t="shared" si="56"/>
        <v>4289945.2959325556</v>
      </c>
      <c r="AG288" s="669">
        <f t="shared" si="56"/>
        <v>4291062.4838771755</v>
      </c>
      <c r="AH288" s="525"/>
      <c r="AI288" s="521"/>
      <c r="AJ288" s="521"/>
    </row>
    <row r="289" spans="1:36" ht="22.5" customHeight="1">
      <c r="A289" s="521"/>
      <c r="B289" s="668" t="s">
        <v>578</v>
      </c>
      <c r="C289" s="636">
        <f>'E2 - Tributos'!airpj</f>
        <v>0.1</v>
      </c>
      <c r="D289" s="669">
        <f>IF(D286&lt;=AdicionalIRPJ,0,(D286-AdicionalIRPJ)*'E2 - Tributos'!airpj)</f>
        <v>0</v>
      </c>
      <c r="E289" s="669">
        <f>IF(E286&lt;=AdicionalIRPJ,0,(E286-AdicionalIRPJ)*'E2 - Tributos'!airpj)</f>
        <v>930147.80337792193</v>
      </c>
      <c r="F289" s="669">
        <f>IF(F286&lt;=AdicionalIRPJ,0,(F286-AdicionalIRPJ)*'E2 - Tributos'!airpj)</f>
        <v>949859.68786322407</v>
      </c>
      <c r="G289" s="669">
        <f>IF(G286&lt;=AdicionalIRPJ,0,(G286-AdicionalIRPJ)*'E2 - Tributos'!airpj)</f>
        <v>1025673.6455263041</v>
      </c>
      <c r="H289" s="669">
        <f>IF(H286&lt;=AdicionalIRPJ,0,(H286-AdicionalIRPJ)*'E2 - Tributos'!airpj)</f>
        <v>1119489.2498893843</v>
      </c>
      <c r="I289" s="669">
        <f>IF(I286&lt;=AdicionalIRPJ,0,(I286-AdicionalIRPJ)*'E2 - Tributos'!airpj)</f>
        <v>1212061.6244324639</v>
      </c>
      <c r="J289" s="669">
        <f>IF(J286&lt;=AdicionalIRPJ,0,(J286-AdicionalIRPJ)*'E2 - Tributos'!airpj)</f>
        <v>1310139.0724955441</v>
      </c>
      <c r="K289" s="669">
        <f>IF(K286&lt;=AdicionalIRPJ,0,(K286-AdicionalIRPJ)*'E2 - Tributos'!airpj)</f>
        <v>1411095.7723586233</v>
      </c>
      <c r="L289" s="669">
        <f>IF(L286&lt;=AdicionalIRPJ,0,(L286-AdicionalIRPJ)*'E2 - Tributos'!airpj)</f>
        <v>1513879.1709217043</v>
      </c>
      <c r="M289" s="669">
        <f>IF(M286&lt;=AdicionalIRPJ,0,(M286-AdicionalIRPJ)*'E2 - Tributos'!airpj)</f>
        <v>1618519.278084784</v>
      </c>
      <c r="N289" s="669">
        <f>IF(N286&lt;=AdicionalIRPJ,0,(N286-AdicionalIRPJ)*'E2 - Tributos'!airpj)</f>
        <v>1722022.1061370643</v>
      </c>
      <c r="O289" s="669">
        <f>IF(O286&lt;=AdicionalIRPJ,0,(O286-AdicionalIRPJ)*'E2 - Tributos'!airpj)</f>
        <v>1833175.4830501438</v>
      </c>
      <c r="P289" s="669">
        <f>IF(P286&lt;=AdicionalIRPJ,0,(P286-AdicionalIRPJ)*'E2 - Tributos'!airpj)</f>
        <v>1947801.0874632241</v>
      </c>
      <c r="Q289" s="669">
        <f>IF(Q286&lt;=AdicionalIRPJ,0,(Q286-AdicionalIRPJ)*'E2 - Tributos'!airpj)</f>
        <v>2065914.421926304</v>
      </c>
      <c r="R289" s="669">
        <f>IF(R286&lt;=AdicionalIRPJ,0,(R286-AdicionalIRPJ)*'E2 - Tributos'!airpj)</f>
        <v>2187555.7065893845</v>
      </c>
      <c r="S289" s="669">
        <f>IF(S286&lt;=AdicionalIRPJ,0,(S286-AdicionalIRPJ)*'E2 - Tributos'!airpj)</f>
        <v>2309595.4717324637</v>
      </c>
      <c r="T289" s="669">
        <f>IF(T286&lt;=AdicionalIRPJ,0,(T286-AdicionalIRPJ)*'E2 - Tributos'!airpj)</f>
        <v>2437711.7623455445</v>
      </c>
      <c r="U289" s="669">
        <f>IF(U286&lt;=AdicionalIRPJ,0,(U286-AdicionalIRPJ)*'E2 - Tributos'!airpj)</f>
        <v>2568550.099558624</v>
      </c>
      <c r="V289" s="669">
        <f>IF(V286&lt;=AdicionalIRPJ,0,(V286-AdicionalIRPJ)*'E2 - Tributos'!airpj)</f>
        <v>2701720.2310217042</v>
      </c>
      <c r="W289" s="669">
        <f>IF(W286&lt;=AdicionalIRPJ,0,(W286-AdicionalIRPJ)*'E2 - Tributos'!airpj)</f>
        <v>2836693.8025847841</v>
      </c>
      <c r="X289" s="669">
        <f>IF(X286&lt;=AdicionalIRPJ,0,(X286-AdicionalIRPJ)*'E2 - Tributos'!airpj)</f>
        <v>2833006.5869370643</v>
      </c>
      <c r="Y289" s="669">
        <f>IF(Y286&lt;=AdicionalIRPJ,0,(Y286-AdicionalIRPJ)*'E2 - Tributos'!airpj)</f>
        <v>2833707.8189001437</v>
      </c>
      <c r="Z289" s="669">
        <f>IF(Z286&lt;=AdicionalIRPJ,0,(Z286-AdicionalIRPJ)*'E2 - Tributos'!airpj)</f>
        <v>2834452.6108632237</v>
      </c>
      <c r="AA289" s="669">
        <f>IF(AA286&lt;=AdicionalIRPJ,0,(AA286-AdicionalIRPJ)*'E2 - Tributos'!airpj)</f>
        <v>2835197.4028263036</v>
      </c>
      <c r="AB289" s="669">
        <f>IF(AB286&lt;=AdicionalIRPJ,0,(AB286-AdicionalIRPJ)*'E2 - Tributos'!airpj)</f>
        <v>2835898.6347893835</v>
      </c>
      <c r="AC289" s="669">
        <f>IF(AC286&lt;=AdicionalIRPJ,0,(AC286-AdicionalIRPJ)*'E2 - Tributos'!airpj)</f>
        <v>2833772.7147324639</v>
      </c>
      <c r="AD289" s="669">
        <f>IF(AD286&lt;=AdicionalIRPJ,0,(AD286-AdicionalIRPJ)*'E2 - Tributos'!airpj)</f>
        <v>2834517.5066955434</v>
      </c>
      <c r="AE289" s="669">
        <f>IF(AE286&lt;=AdicionalIRPJ,0,(AE286-AdicionalIRPJ)*'E2 - Tributos'!airpj)</f>
        <v>2835218.7386586238</v>
      </c>
      <c r="AF289" s="669">
        <f>IF(AF286&lt;=AdicionalIRPJ,0,(AF286-AdicionalIRPJ)*'E2 - Tributos'!airpj)</f>
        <v>2835963.5306217037</v>
      </c>
      <c r="AG289" s="669">
        <f>IF(AG286&lt;=AdicionalIRPJ,0,(AG286-AdicionalIRPJ)*'E2 - Tributos'!airpj)</f>
        <v>2836708.3225847841</v>
      </c>
      <c r="AH289" s="525"/>
      <c r="AI289" s="521"/>
      <c r="AJ289" s="521"/>
    </row>
    <row r="290" spans="1:36" ht="22.5" customHeight="1">
      <c r="A290" s="521"/>
      <c r="B290" s="668" t="s">
        <v>597</v>
      </c>
      <c r="C290" s="636">
        <f>'E2 - Tributos'!csll</f>
        <v>0.09</v>
      </c>
      <c r="D290" s="669">
        <f>IF(D286&lt;=0,0,D286*'E2 - Tributos'!csll)</f>
        <v>0</v>
      </c>
      <c r="E290" s="669">
        <f>IF(E286&lt;=0,0,E286*'E2 - Tributos'!csll)</f>
        <v>858733.02304012969</v>
      </c>
      <c r="F290" s="669">
        <f>IF(F286&lt;=0,0,F286*'E2 - Tributos'!csll)</f>
        <v>876473.71907690156</v>
      </c>
      <c r="G290" s="669">
        <f>IF(G286&lt;=0,0,G286*'E2 - Tributos'!csll)</f>
        <v>944706.28097367368</v>
      </c>
      <c r="H290" s="669">
        <f>IF(H286&lt;=0,0,H286*'E2 - Tributos'!csll)</f>
        <v>1029140.3249004458</v>
      </c>
      <c r="I290" s="669">
        <f>IF(I286&lt;=0,0,I286*'E2 - Tributos'!csll)</f>
        <v>1112455.4619892174</v>
      </c>
      <c r="J290" s="669">
        <f>IF(J286&lt;=0,0,J286*'E2 - Tributos'!csll)</f>
        <v>1200725.1652459896</v>
      </c>
      <c r="K290" s="669">
        <f>IF(K286&lt;=0,0,K286*'E2 - Tributos'!csll)</f>
        <v>1291586.1951227607</v>
      </c>
      <c r="L290" s="669">
        <f>IF(L286&lt;=0,0,L286*'E2 - Tributos'!csll)</f>
        <v>1384091.2538295337</v>
      </c>
      <c r="M290" s="669">
        <f>IF(M286&lt;=0,0,M286*'E2 - Tributos'!csll)</f>
        <v>1478267.3502763056</v>
      </c>
      <c r="N290" s="669">
        <f>IF(N286&lt;=0,0,N286*'E2 - Tributos'!csll)</f>
        <v>1571419.8955233577</v>
      </c>
      <c r="O290" s="669">
        <f>IF(O286&lt;=0,0,O286*'E2 - Tributos'!csll)</f>
        <v>1671457.9347451292</v>
      </c>
      <c r="P290" s="669">
        <f>IF(P286&lt;=0,0,P286*'E2 - Tributos'!csll)</f>
        <v>1774620.9787169015</v>
      </c>
      <c r="Q290" s="669">
        <f>IF(Q286&lt;=0,0,Q286*'E2 - Tributos'!csll)</f>
        <v>1880922.9797336734</v>
      </c>
      <c r="R290" s="669">
        <f>IF(R286&lt;=0,0,R286*'E2 - Tributos'!csll)</f>
        <v>1990400.135930446</v>
      </c>
      <c r="S290" s="669">
        <f>IF(S286&lt;=0,0,S286*'E2 - Tributos'!csll)</f>
        <v>2100235.9245592174</v>
      </c>
      <c r="T290" s="669">
        <f>IF(T286&lt;=0,0,T286*'E2 - Tributos'!csll)</f>
        <v>2215540.5861109896</v>
      </c>
      <c r="U290" s="669">
        <f>IF(U286&lt;=0,0,U286*'E2 - Tributos'!csll)</f>
        <v>2333295.0896027614</v>
      </c>
      <c r="V290" s="669">
        <f>IF(V286&lt;=0,0,V286*'E2 - Tributos'!csll)</f>
        <v>2453148.2079195334</v>
      </c>
      <c r="W290" s="669">
        <f>IF(W286&lt;=0,0,W286*'E2 - Tributos'!csll)</f>
        <v>2574624.4223263054</v>
      </c>
      <c r="X290" s="669">
        <f>IF(X286&lt;=0,0,X286*'E2 - Tributos'!csll)</f>
        <v>2571305.9282433572</v>
      </c>
      <c r="Y290" s="669">
        <f>IF(Y286&lt;=0,0,Y286*'E2 - Tributos'!csll)</f>
        <v>2571937.0370101291</v>
      </c>
      <c r="Z290" s="669">
        <f>IF(Z286&lt;=0,0,Z286*'E2 - Tributos'!csll)</f>
        <v>2572607.3497769013</v>
      </c>
      <c r="AA290" s="669">
        <f>IF(AA286&lt;=0,0,AA286*'E2 - Tributos'!csll)</f>
        <v>2573277.6625436726</v>
      </c>
      <c r="AB290" s="669">
        <f>IF(AB286&lt;=0,0,AB286*'E2 - Tributos'!csll)</f>
        <v>2573908.7713104449</v>
      </c>
      <c r="AC290" s="669">
        <f>IF(AC286&lt;=0,0,AC286*'E2 - Tributos'!csll)</f>
        <v>2571995.4432592173</v>
      </c>
      <c r="AD290" s="669">
        <f>IF(AD286&lt;=0,0,AD286*'E2 - Tributos'!csll)</f>
        <v>2572665.7560259886</v>
      </c>
      <c r="AE290" s="669">
        <f>IF(AE286&lt;=0,0,AE286*'E2 - Tributos'!csll)</f>
        <v>2573296.8647927609</v>
      </c>
      <c r="AF290" s="669">
        <f>IF(AF286&lt;=0,0,AF286*'E2 - Tributos'!csll)</f>
        <v>2573967.1775595332</v>
      </c>
      <c r="AG290" s="669">
        <f>IF(AG286&lt;=0,0,AG286*'E2 - Tributos'!csll)</f>
        <v>2574637.4903263054</v>
      </c>
      <c r="AH290" s="525"/>
      <c r="AI290" s="521"/>
      <c r="AJ290" s="521"/>
    </row>
    <row r="291" spans="1:36" ht="21.75" customHeight="1">
      <c r="A291" s="505"/>
      <c r="B291" s="783" t="s">
        <v>598</v>
      </c>
      <c r="C291" s="817"/>
      <c r="D291" s="670">
        <f t="shared" ref="D291:AG291" si="57">SUM(D288:D290)</f>
        <v>0</v>
      </c>
      <c r="E291" s="670">
        <f t="shared" si="57"/>
        <v>3220102.5314849345</v>
      </c>
      <c r="F291" s="670">
        <f t="shared" si="57"/>
        <v>3287122.9387349617</v>
      </c>
      <c r="G291" s="670">
        <f t="shared" si="57"/>
        <v>3544890.394789434</v>
      </c>
      <c r="H291" s="670">
        <f t="shared" si="57"/>
        <v>3863863.4496239061</v>
      </c>
      <c r="I291" s="670">
        <f t="shared" si="57"/>
        <v>4178609.5230703773</v>
      </c>
      <c r="J291" s="670">
        <f t="shared" si="57"/>
        <v>4512072.8464848492</v>
      </c>
      <c r="K291" s="670">
        <f t="shared" si="57"/>
        <v>4855325.6260193186</v>
      </c>
      <c r="L291" s="670">
        <f t="shared" si="57"/>
        <v>5204789.1811337937</v>
      </c>
      <c r="M291" s="670">
        <f t="shared" si="57"/>
        <v>5560565.5454882653</v>
      </c>
      <c r="N291" s="670">
        <f t="shared" si="57"/>
        <v>5912475.1608660184</v>
      </c>
      <c r="O291" s="670">
        <f t="shared" si="57"/>
        <v>6290396.6423704885</v>
      </c>
      <c r="P291" s="670">
        <f t="shared" si="57"/>
        <v>6680123.6973749613</v>
      </c>
      <c r="Q291" s="670">
        <f t="shared" si="57"/>
        <v>7081709.0345494337</v>
      </c>
      <c r="R291" s="670">
        <f t="shared" si="57"/>
        <v>7495289.4024039069</v>
      </c>
      <c r="S291" s="670">
        <f t="shared" si="57"/>
        <v>7910224.6038903762</v>
      </c>
      <c r="T291" s="670">
        <f t="shared" si="57"/>
        <v>8345819.9919748502</v>
      </c>
      <c r="U291" s="670">
        <f t="shared" si="57"/>
        <v>8790670.3384993207</v>
      </c>
      <c r="V291" s="670">
        <f t="shared" si="57"/>
        <v>9243448.7854737937</v>
      </c>
      <c r="W291" s="670">
        <f t="shared" si="57"/>
        <v>9702358.9287882652</v>
      </c>
      <c r="X291" s="670">
        <f t="shared" si="57"/>
        <v>9689822.3955860175</v>
      </c>
      <c r="Y291" s="670">
        <f t="shared" si="57"/>
        <v>9692206.5842604879</v>
      </c>
      <c r="Z291" s="670">
        <f t="shared" si="57"/>
        <v>9694738.8769349605</v>
      </c>
      <c r="AA291" s="670">
        <f t="shared" si="57"/>
        <v>9697271.1696094312</v>
      </c>
      <c r="AB291" s="670">
        <f t="shared" si="57"/>
        <v>9699655.3582839034</v>
      </c>
      <c r="AC291" s="670">
        <f t="shared" si="57"/>
        <v>9692427.230090376</v>
      </c>
      <c r="AD291" s="670">
        <f t="shared" si="57"/>
        <v>9694959.5227648467</v>
      </c>
      <c r="AE291" s="670">
        <f t="shared" si="57"/>
        <v>9697343.711439319</v>
      </c>
      <c r="AF291" s="670">
        <f t="shared" si="57"/>
        <v>9699876.0041137934</v>
      </c>
      <c r="AG291" s="670">
        <f t="shared" si="57"/>
        <v>9702408.2967882659</v>
      </c>
      <c r="AH291" s="525"/>
      <c r="AI291" s="505"/>
      <c r="AJ291" s="505"/>
    </row>
    <row r="292" spans="1:36" ht="21.75" customHeight="1">
      <c r="A292" s="505"/>
      <c r="B292" s="784" t="s">
        <v>599</v>
      </c>
      <c r="C292" s="827"/>
      <c r="D292" s="227">
        <f>(D291+D272)/'A4 - Previsão de Receita Bruta'!C27</f>
        <v>0.14250000000000002</v>
      </c>
      <c r="E292" s="227">
        <f>(E291+E272)/'A4 - Previsão de Receita Bruta'!D27</f>
        <v>0.25532146857232452</v>
      </c>
      <c r="F292" s="227">
        <f>(F291+F272)/'A4 - Previsão de Receita Bruta'!E27</f>
        <v>0.25431875241669571</v>
      </c>
      <c r="G292" s="227">
        <f>(G291+G272)/'A4 - Previsão de Receita Bruta'!F27</f>
        <v>0.25766208206340885</v>
      </c>
      <c r="H292" s="227">
        <f>(H291+H272)/'A4 - Previsão de Receita Bruta'!G27</f>
        <v>0.26207151329307121</v>
      </c>
      <c r="I292" s="227">
        <f>(I291+I272)/'A4 - Previsão de Receita Bruta'!H27</f>
        <v>0.26608452181069647</v>
      </c>
      <c r="J292" s="227">
        <f>(J291+J272)/'A4 - Previsão de Receita Bruta'!I27</f>
        <v>0.27016192964022928</v>
      </c>
      <c r="K292" s="227">
        <f>(K291+K272)/'A4 - Previsão de Receita Bruta'!J27</f>
        <v>0.27410915757168158</v>
      </c>
      <c r="L292" s="227">
        <f>(L291+L272)/'A4 - Previsão de Receita Bruta'!K27</f>
        <v>0.27788959096745636</v>
      </c>
      <c r="M292" s="227">
        <f>(M291+M272)/'A4 - Previsão de Receita Bruta'!L27</f>
        <v>0.28151123934307032</v>
      </c>
      <c r="N292" s="227">
        <f>(N291+N272)/'A4 - Previsão de Receita Bruta'!M27</f>
        <v>0.2847619986455458</v>
      </c>
      <c r="O292" s="227">
        <f>(O291+O272)/'A4 - Previsão de Receita Bruta'!N27</f>
        <v>0.28818234189346253</v>
      </c>
      <c r="P292" s="227">
        <f>(P291+P272)/'A4 - Previsão de Receita Bruta'!O27</f>
        <v>0.29150206295154685</v>
      </c>
      <c r="Q292" s="227">
        <f>(Q291+Q272)/'A4 - Previsão de Receita Bruta'!P27</f>
        <v>0.29472411353766648</v>
      </c>
      <c r="R292" s="227">
        <f>(R291+R272)/'A4 - Previsão de Receita Bruta'!Q27</f>
        <v>0.29784843716617498</v>
      </c>
      <c r="S292" s="227">
        <f>(S291+S272)/'A4 - Previsão de Receita Bruta'!R27</f>
        <v>0.30071871352866503</v>
      </c>
      <c r="T292" s="227">
        <f>(T291+T272)/'A4 - Previsão de Receita Bruta'!S27</f>
        <v>0.30364166235927942</v>
      </c>
      <c r="U292" s="227">
        <f>(U291+U272)/'A4 - Previsão de Receita Bruta'!T27</f>
        <v>0.30645450178918188</v>
      </c>
      <c r="V292" s="227">
        <f>(V291+V272)/'A4 - Previsão de Receita Bruta'!U27</f>
        <v>0.30915260324184546</v>
      </c>
      <c r="W292" s="227">
        <f>(W291+W272)/'A4 - Previsão de Receita Bruta'!V27</f>
        <v>0.3117341782918559</v>
      </c>
      <c r="X292" s="227">
        <f>(X291+X272)/'A4 - Previsão de Receita Bruta'!W27</f>
        <v>0.31156330194499088</v>
      </c>
      <c r="Y292" s="227">
        <f>(Y291+Y272)/'A4 - Previsão de Receita Bruta'!X27</f>
        <v>0.31159579908310375</v>
      </c>
      <c r="Z292" s="227">
        <f>(Z291+Z272)/'A4 - Previsão de Receita Bruta'!Y27</f>
        <v>0.31163031491889553</v>
      </c>
      <c r="AA292" s="227">
        <f>(AA291+AA272)/'A4 - Previsão de Receita Bruta'!Z27</f>
        <v>0.31166483075468726</v>
      </c>
      <c r="AB292" s="227">
        <f>(AB291+AB272)/'A4 - Previsão de Receita Bruta'!AA27</f>
        <v>0.31169732789280019</v>
      </c>
      <c r="AC292" s="227">
        <f>(AC291+AC272)/'A4 - Previsão de Receita Bruta'!AB27</f>
        <v>0.31159880654559391</v>
      </c>
      <c r="AD292" s="227">
        <f>(AD291+AD272)/'A4 - Previsão de Receita Bruta'!AC27</f>
        <v>0.31163332238138569</v>
      </c>
      <c r="AE292" s="227">
        <f>(AE291+AE272)/'A4 - Previsão de Receita Bruta'!AD27</f>
        <v>0.31166581951949857</v>
      </c>
      <c r="AF292" s="227">
        <f>(AF291+AF272)/'A4 - Previsão de Receita Bruta'!AE27</f>
        <v>0.3117003353552904</v>
      </c>
      <c r="AG292" s="227">
        <f>(AG291+AG272)/'A4 - Previsão de Receita Bruta'!AF27</f>
        <v>0.31173485119108219</v>
      </c>
      <c r="AH292" s="525"/>
      <c r="AI292" s="505"/>
      <c r="AJ292" s="505"/>
    </row>
  </sheetData>
  <mergeCells count="33">
    <mergeCell ref="E54:X54"/>
    <mergeCell ref="E68:X68"/>
    <mergeCell ref="B2:X2"/>
    <mergeCell ref="C4:D4"/>
    <mergeCell ref="D6:W6"/>
    <mergeCell ref="B30:D30"/>
    <mergeCell ref="E30:X30"/>
    <mergeCell ref="B42:D42"/>
    <mergeCell ref="E42:X42"/>
    <mergeCell ref="C159:J159"/>
    <mergeCell ref="K159:Q159"/>
    <mergeCell ref="S160:T160"/>
    <mergeCell ref="D77:D79"/>
    <mergeCell ref="C86:D86"/>
    <mergeCell ref="E86:E87"/>
    <mergeCell ref="F86:F87"/>
    <mergeCell ref="G86:AJ86"/>
    <mergeCell ref="B291:C291"/>
    <mergeCell ref="B292:C292"/>
    <mergeCell ref="C31:C39"/>
    <mergeCell ref="C43:C51"/>
    <mergeCell ref="B54:D54"/>
    <mergeCell ref="D55:D65"/>
    <mergeCell ref="C63:C65"/>
    <mergeCell ref="B68:D68"/>
    <mergeCell ref="C77:C79"/>
    <mergeCell ref="B192:C192"/>
    <mergeCell ref="B219:C219"/>
    <mergeCell ref="B243:C243"/>
    <mergeCell ref="B245:C245"/>
    <mergeCell ref="B246:C246"/>
    <mergeCell ref="B119:C119"/>
    <mergeCell ref="B159:B160"/>
  </mergeCells>
  <conditionalFormatting sqref="C4:D4">
    <cfRule type="expression" dxfId="13" priority="1">
      <formula>"And($E$7=3;$C$70&lt;$C$69)"</formula>
    </cfRule>
  </conditionalFormatting>
  <dataValidations disablePrompts="1" count="3">
    <dataValidation type="list" allowBlank="1" showErrorMessage="1" sqref="E156" xr:uid="{00000000-0002-0000-1000-000000000000}">
      <formula1>LstUF</formula1>
    </dataValidation>
    <dataValidation type="list" allowBlank="1" showErrorMessage="1" sqref="C4" xr:uid="{00000000-0002-0000-1000-000001000000}">
      <formula1>LstModoTrib</formula1>
    </dataValidation>
    <dataValidation type="list" allowBlank="1" showErrorMessage="1" sqref="S161:S166" xr:uid="{00000000-0002-0000-1000-000002000000}">
      <formula1>"Não,Alimentação,Produto"</formula1>
    </dataValidation>
  </dataValidations>
  <pageMargins left="0.51181102362204722" right="0.51181102362204722" top="0.78740157480314965" bottom="0.78740157480314965" header="0" footer="0"/>
  <pageSetup paperSize="9" orientation="portrait"/>
  <legacyDrawing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ErrorMessage="1" xr:uid="{00000000-0002-0000-1000-000003000000}">
          <x14:formula1>
            <xm:f>'Z 1 - Listas'!$Q$13:$Q$17</xm:f>
          </x14:formula1>
          <xm:sqref>D85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18">
    <tabColor theme="4"/>
  </sheetPr>
  <dimension ref="A1:AF52"/>
  <sheetViews>
    <sheetView workbookViewId="0">
      <pane xSplit="2" ySplit="6" topLeftCell="D7" activePane="bottomRight" state="frozen"/>
      <selection pane="bottomRight"/>
      <selection pane="bottomLeft" activeCell="A7" sqref="A7"/>
      <selection pane="topRight" activeCell="C1" sqref="C1"/>
    </sheetView>
  </sheetViews>
  <sheetFormatPr defaultColWidth="11.44140625" defaultRowHeight="15" customHeight="1"/>
  <cols>
    <col min="1" max="1" width="4.5546875" customWidth="1"/>
    <col min="2" max="2" width="61.44140625" customWidth="1"/>
    <col min="3" max="32" width="10.5546875" customWidth="1"/>
  </cols>
  <sheetData>
    <row r="1" spans="1:32" ht="27" customHeight="1">
      <c r="A1" s="674"/>
      <c r="B1" s="675" t="s">
        <v>600</v>
      </c>
      <c r="C1" s="675"/>
      <c r="D1" s="675"/>
      <c r="E1" s="675"/>
      <c r="F1" s="675"/>
      <c r="G1" s="675"/>
      <c r="H1" s="675"/>
      <c r="I1" s="675"/>
      <c r="J1" s="675"/>
      <c r="K1" s="675"/>
      <c r="L1" s="675"/>
      <c r="M1" s="675"/>
      <c r="N1" s="675"/>
      <c r="O1" s="675"/>
      <c r="P1" s="675"/>
      <c r="Q1" s="675"/>
      <c r="R1" s="675"/>
      <c r="S1" s="675"/>
      <c r="T1" s="675"/>
      <c r="U1" s="675"/>
      <c r="V1" s="675"/>
      <c r="W1" s="674"/>
      <c r="X1" s="674"/>
      <c r="Y1" s="674"/>
      <c r="Z1" s="674"/>
      <c r="AA1" s="674"/>
      <c r="AB1" s="674"/>
      <c r="AC1" s="674"/>
      <c r="AD1" s="674"/>
      <c r="AE1" s="674"/>
      <c r="AF1" s="674"/>
    </row>
    <row r="2" spans="1:32" ht="13.5" customHeight="1">
      <c r="A2" s="676"/>
      <c r="B2" s="677"/>
      <c r="C2" s="678"/>
      <c r="D2" s="678"/>
      <c r="E2" s="678"/>
      <c r="F2" s="678"/>
      <c r="G2" s="678"/>
      <c r="H2" s="678"/>
      <c r="I2" s="678"/>
      <c r="J2" s="678"/>
      <c r="K2" s="678"/>
      <c r="L2" s="678"/>
      <c r="M2" s="678"/>
      <c r="N2" s="678"/>
      <c r="O2" s="678"/>
      <c r="P2" s="678"/>
      <c r="Q2" s="678"/>
      <c r="R2" s="678"/>
      <c r="S2" s="678"/>
      <c r="T2" s="678"/>
      <c r="U2" s="678"/>
      <c r="V2" s="678"/>
      <c r="W2" s="676"/>
      <c r="X2" s="676"/>
      <c r="Y2" s="676"/>
      <c r="Z2" s="676"/>
      <c r="AA2" s="676"/>
      <c r="AB2" s="676"/>
      <c r="AC2" s="676"/>
      <c r="AD2" s="676"/>
      <c r="AE2" s="676"/>
      <c r="AF2" s="676"/>
    </row>
    <row r="3" spans="1:32" ht="13.5" customHeight="1">
      <c r="A3" s="676"/>
      <c r="B3" s="677"/>
      <c r="C3" s="678"/>
      <c r="D3" s="678"/>
      <c r="E3" s="678"/>
      <c r="F3" s="678"/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6"/>
      <c r="X3" s="676"/>
      <c r="Y3" s="676"/>
      <c r="Z3" s="676"/>
      <c r="AA3" s="676"/>
      <c r="AB3" s="676"/>
      <c r="AC3" s="676"/>
      <c r="AD3" s="676"/>
      <c r="AE3" s="676"/>
      <c r="AF3" s="676"/>
    </row>
    <row r="4" spans="1:32" ht="15.75" customHeight="1">
      <c r="A4" s="676"/>
      <c r="B4" s="674"/>
      <c r="C4" s="674"/>
      <c r="D4" s="674"/>
      <c r="E4" s="674"/>
      <c r="F4" s="674"/>
      <c r="G4" s="674"/>
      <c r="H4" s="674"/>
      <c r="I4" s="674"/>
      <c r="J4" s="674"/>
      <c r="K4" s="674"/>
      <c r="L4" s="674"/>
      <c r="M4" s="674"/>
      <c r="N4" s="674"/>
      <c r="O4" s="674"/>
      <c r="P4" s="674"/>
      <c r="Q4" s="674"/>
      <c r="R4" s="674"/>
      <c r="S4" s="674"/>
      <c r="T4" s="674"/>
      <c r="U4" s="674"/>
      <c r="V4" s="679" t="s">
        <v>151</v>
      </c>
      <c r="W4" s="674"/>
      <c r="X4" s="674"/>
      <c r="Y4" s="674"/>
      <c r="Z4" s="674"/>
      <c r="AA4" s="674"/>
      <c r="AB4" s="674"/>
      <c r="AC4" s="674"/>
      <c r="AD4" s="674"/>
      <c r="AE4" s="674"/>
      <c r="AF4" s="674"/>
    </row>
    <row r="5" spans="1:32" ht="18.75" customHeight="1">
      <c r="A5" s="676"/>
      <c r="B5" s="233" t="s">
        <v>601</v>
      </c>
      <c r="C5" s="802" t="s">
        <v>147</v>
      </c>
      <c r="D5" s="815"/>
      <c r="E5" s="815"/>
      <c r="F5" s="815"/>
      <c r="G5" s="815"/>
      <c r="H5" s="815"/>
      <c r="I5" s="815"/>
      <c r="J5" s="815"/>
      <c r="K5" s="815"/>
      <c r="L5" s="815"/>
      <c r="M5" s="815"/>
      <c r="N5" s="815"/>
      <c r="O5" s="815"/>
      <c r="P5" s="815"/>
      <c r="Q5" s="815"/>
      <c r="R5" s="815"/>
      <c r="S5" s="815"/>
      <c r="T5" s="815"/>
      <c r="U5" s="815"/>
      <c r="V5" s="815"/>
      <c r="W5" s="815"/>
      <c r="X5" s="815"/>
      <c r="Y5" s="815"/>
      <c r="Z5" s="815"/>
      <c r="AA5" s="815"/>
      <c r="AB5" s="815"/>
      <c r="AC5" s="815"/>
      <c r="AD5" s="815"/>
      <c r="AE5" s="815"/>
      <c r="AF5" s="815"/>
    </row>
    <row r="6" spans="1:32" ht="15.75" customHeight="1">
      <c r="A6" s="676"/>
      <c r="B6" s="234" t="s">
        <v>164</v>
      </c>
      <c r="C6" s="235">
        <v>1</v>
      </c>
      <c r="D6" s="235">
        <v>2</v>
      </c>
      <c r="E6" s="235">
        <v>3</v>
      </c>
      <c r="F6" s="235">
        <v>4</v>
      </c>
      <c r="G6" s="235">
        <v>5</v>
      </c>
      <c r="H6" s="235">
        <v>6</v>
      </c>
      <c r="I6" s="235">
        <v>7</v>
      </c>
      <c r="J6" s="235">
        <v>8</v>
      </c>
      <c r="K6" s="235">
        <v>9</v>
      </c>
      <c r="L6" s="235">
        <v>10</v>
      </c>
      <c r="M6" s="235">
        <v>11</v>
      </c>
      <c r="N6" s="235">
        <v>12</v>
      </c>
      <c r="O6" s="235">
        <v>13</v>
      </c>
      <c r="P6" s="235">
        <v>14</v>
      </c>
      <c r="Q6" s="235">
        <v>15</v>
      </c>
      <c r="R6" s="235">
        <v>16</v>
      </c>
      <c r="S6" s="235">
        <v>17</v>
      </c>
      <c r="T6" s="235">
        <v>18</v>
      </c>
      <c r="U6" s="235">
        <v>19</v>
      </c>
      <c r="V6" s="235">
        <v>20</v>
      </c>
      <c r="W6" s="235">
        <v>21</v>
      </c>
      <c r="X6" s="235">
        <v>22</v>
      </c>
      <c r="Y6" s="235">
        <v>23</v>
      </c>
      <c r="Z6" s="235">
        <v>24</v>
      </c>
      <c r="AA6" s="235">
        <v>25</v>
      </c>
      <c r="AB6" s="235">
        <v>26</v>
      </c>
      <c r="AC6" s="235">
        <v>27</v>
      </c>
      <c r="AD6" s="235">
        <v>28</v>
      </c>
      <c r="AE6" s="235">
        <v>29</v>
      </c>
      <c r="AF6" s="235">
        <v>30</v>
      </c>
    </row>
    <row r="7" spans="1:32" ht="15.75" customHeight="1">
      <c r="A7" s="676"/>
      <c r="B7" s="236" t="s">
        <v>602</v>
      </c>
      <c r="C7" s="237">
        <f>'A4 - Previsão de Receita Bruta'!C27/365</f>
        <v>38682.863013698632</v>
      </c>
      <c r="D7" s="237">
        <f>'A4 - Previsão de Receita Bruta'!D27/365</f>
        <v>116336.87123287671</v>
      </c>
      <c r="E7" s="237">
        <f>'A4 - Previsão de Receita Bruta'!E27/365</f>
        <v>120349.95068493151</v>
      </c>
      <c r="F7" s="237">
        <f>'A4 - Previsão de Receita Bruta'!F27/365</f>
        <v>124236.48767123287</v>
      </c>
      <c r="G7" s="237">
        <f>'A4 - Previsão de Receita Bruta'!G27/365</f>
        <v>128184.79452054795</v>
      </c>
      <c r="H7" s="237">
        <f>'A4 - Previsão de Receita Bruta'!H27/365</f>
        <v>132202.24109589041</v>
      </c>
      <c r="I7" s="237">
        <f>'A4 - Previsão de Receita Bruta'!I27/365</f>
        <v>136333.63287671233</v>
      </c>
      <c r="J7" s="237">
        <f>'A4 - Previsão de Receita Bruta'!J27/365</f>
        <v>140584.98082191779</v>
      </c>
      <c r="K7" s="237">
        <f>'A4 - Previsão de Receita Bruta'!K27/365</f>
        <v>144913.98904109589</v>
      </c>
      <c r="L7" s="237">
        <f>'A4 - Previsão de Receita Bruta'!L27/365</f>
        <v>149323.18356164385</v>
      </c>
      <c r="M7" s="237">
        <f>'A4 - Previsão de Receita Bruta'!M27/365</f>
        <v>153870.76164383561</v>
      </c>
      <c r="N7" s="237">
        <f>'A4 - Previsão de Receita Bruta'!N27/365</f>
        <v>158554.81917808219</v>
      </c>
      <c r="O7" s="237">
        <f>'A4 - Previsão de Receita Bruta'!O27/365</f>
        <v>163387.89041095891</v>
      </c>
      <c r="P7" s="237">
        <f>'A4 - Previsão de Receita Bruta'!P27/365</f>
        <v>168367.26027397261</v>
      </c>
      <c r="Q7" s="237">
        <f>'A4 - Previsão de Receita Bruta'!Q27/365</f>
        <v>173496.20821917808</v>
      </c>
      <c r="R7" s="237">
        <f>'A4 - Previsão de Receita Bruta'!R27/365</f>
        <v>178765.62191780822</v>
      </c>
      <c r="S7" s="237">
        <f>'A4 - Previsão de Receita Bruta'!S27/365</f>
        <v>184169.20273972602</v>
      </c>
      <c r="T7" s="237">
        <f>'A4 - Previsão de Receita Bruta'!T27/365</f>
        <v>189688.47671232876</v>
      </c>
      <c r="U7" s="237">
        <f>'A4 - Previsão de Receita Bruta'!U27/365</f>
        <v>195308.50410958903</v>
      </c>
      <c r="V7" s="237">
        <f>'A4 - Previsão de Receita Bruta'!V27/365</f>
        <v>201003.04657534248</v>
      </c>
      <c r="W7" s="237">
        <f>'A4 - Previsão de Receita Bruta'!W27/365</f>
        <v>201003.04657534248</v>
      </c>
      <c r="X7" s="237">
        <f>'A4 - Previsão de Receita Bruta'!X27/365</f>
        <v>201003.04657534248</v>
      </c>
      <c r="Y7" s="237">
        <f>'A4 - Previsão de Receita Bruta'!Y27/365</f>
        <v>201003.04657534248</v>
      </c>
      <c r="Z7" s="237">
        <f>'A4 - Previsão de Receita Bruta'!Z27/365</f>
        <v>201003.04657534248</v>
      </c>
      <c r="AA7" s="237">
        <f>'A4 - Previsão de Receita Bruta'!AA27/365</f>
        <v>201003.04657534248</v>
      </c>
      <c r="AB7" s="237">
        <f>'A4 - Previsão de Receita Bruta'!AB27/365</f>
        <v>201003.04657534248</v>
      </c>
      <c r="AC7" s="237">
        <f>'A4 - Previsão de Receita Bruta'!AC27/365</f>
        <v>201003.04657534248</v>
      </c>
      <c r="AD7" s="237">
        <f>'A4 - Previsão de Receita Bruta'!AD27/365</f>
        <v>201003.04657534248</v>
      </c>
      <c r="AE7" s="237">
        <f>'A4 - Previsão de Receita Bruta'!AE27/365</f>
        <v>201003.04657534248</v>
      </c>
      <c r="AF7" s="237">
        <f>'A4 - Previsão de Receita Bruta'!AF27/365</f>
        <v>201003.04657534248</v>
      </c>
    </row>
    <row r="8" spans="1:32" ht="15.75" customHeight="1">
      <c r="A8" s="676"/>
      <c r="B8" s="236" t="s">
        <v>603</v>
      </c>
      <c r="C8" s="237">
        <f>'B2 - Custos diretos totais'!C49/365</f>
        <v>1189.1398630136987</v>
      </c>
      <c r="D8" s="237">
        <f>'B2 - Custos diretos totais'!D49/365</f>
        <v>11629.729671232877</v>
      </c>
      <c r="E8" s="237">
        <f>'B2 - Custos diretos totais'!E49/365</f>
        <v>12030.983369863014</v>
      </c>
      <c r="F8" s="237">
        <f>'B2 - Custos diretos totais'!F49/365</f>
        <v>12419.473808219176</v>
      </c>
      <c r="G8" s="237">
        <f>'B2 - Custos diretos totais'!G49/365</f>
        <v>12814.088684931507</v>
      </c>
      <c r="H8" s="237">
        <f>'B2 - Custos diretos totais'!H49/365</f>
        <v>13215.666630136988</v>
      </c>
      <c r="I8" s="237">
        <f>'B2 - Custos diretos totais'!I49/365</f>
        <v>13628.803452054794</v>
      </c>
      <c r="J8" s="237">
        <f>'B2 - Custos diretos totais'!J49/365</f>
        <v>14053.757890410958</v>
      </c>
      <c r="K8" s="237">
        <f>'B2 - Custos diretos totais'!K49/365</f>
        <v>14486.557808219177</v>
      </c>
      <c r="L8" s="237">
        <f>'B2 - Custos diretos totais'!L49/365</f>
        <v>14927.158164383563</v>
      </c>
      <c r="M8" s="237">
        <f>'B2 - Custos diretos totais'!M49/365</f>
        <v>15381.818958904109</v>
      </c>
      <c r="N8" s="237">
        <f>'B2 - Custos diretos totais'!N49/365</f>
        <v>15850.09010958904</v>
      </c>
      <c r="O8" s="237">
        <f>'B2 - Custos diretos totais'!O49/365</f>
        <v>16333.187369863013</v>
      </c>
      <c r="P8" s="237">
        <f>'B2 - Custos diretos totais'!P49/365</f>
        <v>16831.005561643837</v>
      </c>
      <c r="Q8" s="237">
        <f>'B2 - Custos diretos totais'!Q49/365</f>
        <v>17343.726109589043</v>
      </c>
      <c r="R8" s="237">
        <f>'B2 - Custos diretos totais'!R49/365</f>
        <v>17870.448410958903</v>
      </c>
      <c r="S8" s="237">
        <f>'B2 - Custos diretos totais'!S49/365</f>
        <v>18410.592191780823</v>
      </c>
      <c r="T8" s="237">
        <f>'B2 - Custos diretos totais'!T49/365</f>
        <v>18962.407479452057</v>
      </c>
      <c r="U8" s="237">
        <f>'B2 - Custos diretos totais'!U49/365</f>
        <v>19524.281315068492</v>
      </c>
      <c r="V8" s="237">
        <f>'B2 - Custos diretos totais'!V49/365</f>
        <v>20093.532356164382</v>
      </c>
      <c r="W8" s="237">
        <f>'B2 - Custos diretos totais'!W49/365</f>
        <v>20093.532356164382</v>
      </c>
      <c r="X8" s="237">
        <f>'B2 - Custos diretos totais'!X49/365</f>
        <v>20093.532356164382</v>
      </c>
      <c r="Y8" s="237">
        <f>'B2 - Custos diretos totais'!Y49/365</f>
        <v>20093.532356164382</v>
      </c>
      <c r="Z8" s="237">
        <f>'B2 - Custos diretos totais'!Z49/365</f>
        <v>20093.532356164382</v>
      </c>
      <c r="AA8" s="237">
        <f>'B2 - Custos diretos totais'!AA49/365</f>
        <v>20093.532356164382</v>
      </c>
      <c r="AB8" s="237">
        <f>'B2 - Custos diretos totais'!AB49/365</f>
        <v>20093.532356164382</v>
      </c>
      <c r="AC8" s="237">
        <f>'B2 - Custos diretos totais'!AC49/365</f>
        <v>20093.532356164382</v>
      </c>
      <c r="AD8" s="237">
        <f>'B2 - Custos diretos totais'!AD49/365</f>
        <v>20093.532356164382</v>
      </c>
      <c r="AE8" s="237">
        <f>'B2 - Custos diretos totais'!AE49/365</f>
        <v>20093.532356164382</v>
      </c>
      <c r="AF8" s="237">
        <f>'B2 - Custos diretos totais'!AF49/365</f>
        <v>20093.532356164382</v>
      </c>
    </row>
    <row r="9" spans="1:32" ht="15.75" customHeight="1">
      <c r="A9" s="676"/>
      <c r="B9" s="236" t="s">
        <v>604</v>
      </c>
      <c r="C9" s="237">
        <f>'C3 - Funcionários $'!G123/365</f>
        <v>4049.4170396288769</v>
      </c>
      <c r="D9" s="237">
        <f>'C3 - Funcionários $'!H123/365</f>
        <v>15638.16819257315</v>
      </c>
      <c r="E9" s="237">
        <f>'C3 - Funcionários $'!I123/365</f>
        <v>15638.16819257315</v>
      </c>
      <c r="F9" s="237">
        <f>'C3 - Funcionários $'!J123/365</f>
        <v>15638.16819257315</v>
      </c>
      <c r="G9" s="237">
        <f>'C3 - Funcionários $'!K123/365</f>
        <v>15638.16819257315</v>
      </c>
      <c r="H9" s="237">
        <f>'C3 - Funcionários $'!L123/365</f>
        <v>15638.16819257315</v>
      </c>
      <c r="I9" s="237">
        <f>'C3 - Funcionários $'!M123/365</f>
        <v>15638.16819257315</v>
      </c>
      <c r="J9" s="237">
        <f>'C3 - Funcionários $'!N123/365</f>
        <v>15638.16819257315</v>
      </c>
      <c r="K9" s="237">
        <f>'C3 - Funcionários $'!O123/365</f>
        <v>15638.16819257315</v>
      </c>
      <c r="L9" s="237">
        <f>'C3 - Funcionários $'!P123/365</f>
        <v>15638.16819257315</v>
      </c>
      <c r="M9" s="237">
        <f>'C3 - Funcionários $'!Q123/365</f>
        <v>15638.16819257315</v>
      </c>
      <c r="N9" s="237">
        <f>'C3 - Funcionários $'!R123/365</f>
        <v>15638.16819257315</v>
      </c>
      <c r="O9" s="237">
        <f>'C3 - Funcionários $'!S123/365</f>
        <v>15638.16819257315</v>
      </c>
      <c r="P9" s="237">
        <f>'C3 - Funcionários $'!T123/365</f>
        <v>15638.16819257315</v>
      </c>
      <c r="Q9" s="237">
        <f>'C3 - Funcionários $'!U123/365</f>
        <v>15638.16819257315</v>
      </c>
      <c r="R9" s="237">
        <f>'C3 - Funcionários $'!V123/365</f>
        <v>15638.16819257315</v>
      </c>
      <c r="S9" s="237">
        <f>'C3 - Funcionários $'!W123/365</f>
        <v>15638.16819257315</v>
      </c>
      <c r="T9" s="237">
        <f>'C3 - Funcionários $'!X123/365</f>
        <v>15638.16819257315</v>
      </c>
      <c r="U9" s="237">
        <f>'C3 - Funcionários $'!Y123/365</f>
        <v>15638.16819257315</v>
      </c>
      <c r="V9" s="237">
        <f>'C3 - Funcionários $'!Z123/365</f>
        <v>15638.16819257315</v>
      </c>
      <c r="W9" s="237">
        <f>'C3 - Funcionários $'!AA123/365</f>
        <v>15638.16819257315</v>
      </c>
      <c r="X9" s="237">
        <f>'C3 - Funcionários $'!AB123/365</f>
        <v>15638.16819257315</v>
      </c>
      <c r="Y9" s="237">
        <f>'C3 - Funcionários $'!AC123/365</f>
        <v>15638.16819257315</v>
      </c>
      <c r="Z9" s="237">
        <f>'C3 - Funcionários $'!AD123/365</f>
        <v>15638.16819257315</v>
      </c>
      <c r="AA9" s="237">
        <f>'C3 - Funcionários $'!AE123/365</f>
        <v>15638.16819257315</v>
      </c>
      <c r="AB9" s="237">
        <f>'C3 - Funcionários $'!AF123/365</f>
        <v>15638.16819257315</v>
      </c>
      <c r="AC9" s="237">
        <f>'C3 - Funcionários $'!AG123/365</f>
        <v>15638.16819257315</v>
      </c>
      <c r="AD9" s="237">
        <f>'C3 - Funcionários $'!AH123/365</f>
        <v>15638.16819257315</v>
      </c>
      <c r="AE9" s="237">
        <f>'C3 - Funcionários $'!AI123/365</f>
        <v>15638.16819257315</v>
      </c>
      <c r="AF9" s="237">
        <f>'C3 - Funcionários $'!AJ123/365</f>
        <v>15638.16819257315</v>
      </c>
    </row>
    <row r="10" spans="1:32" ht="15.75" customHeight="1">
      <c r="A10" s="676"/>
      <c r="B10" s="236" t="s">
        <v>605</v>
      </c>
      <c r="C10" s="237">
        <f>'B2 - Custos diretos totais'!C99/365</f>
        <v>1432.6986301369864</v>
      </c>
      <c r="D10" s="237">
        <f>'B2 - Custos diretos totais'!D99/365</f>
        <v>2964.2493150684932</v>
      </c>
      <c r="E10" s="237">
        <f>'B2 - Custos diretos totais'!E99/365</f>
        <v>3066.495890410959</v>
      </c>
      <c r="F10" s="237">
        <f>'B2 - Custos diretos totais'!F99/365</f>
        <v>3165.5287671232877</v>
      </c>
      <c r="G10" s="237">
        <f>'B2 - Custos diretos totais'!G99/365</f>
        <v>3266.1342465753423</v>
      </c>
      <c r="H10" s="237">
        <f>'B2 - Custos diretos totais'!H99/365</f>
        <v>3368.504109589041</v>
      </c>
      <c r="I10" s="237">
        <f>'B2 - Custos diretos totais'!I99/365</f>
        <v>3473.7589041095889</v>
      </c>
      <c r="J10" s="237">
        <f>'B2 - Custos diretos totais'!J99/365</f>
        <v>3582.0849315068494</v>
      </c>
      <c r="K10" s="237">
        <f>'B2 - Custos diretos totais'!K99/365</f>
        <v>3692.3835616438355</v>
      </c>
      <c r="L10" s="237">
        <f>'B2 - Custos diretos totais'!L99/365</f>
        <v>3804.7424657534248</v>
      </c>
      <c r="M10" s="237">
        <f>'B2 - Custos diretos totais'!M99/365</f>
        <v>3920.6136986301372</v>
      </c>
      <c r="N10" s="237">
        <f>'B2 - Custos diretos totais'!N99/365</f>
        <v>4039.9534246575345</v>
      </c>
      <c r="O10" s="237">
        <f>'B2 - Custos diretos totais'!O99/365</f>
        <v>4163.1041095890414</v>
      </c>
      <c r="P10" s="237">
        <f>'B2 - Custos diretos totais'!P99/365</f>
        <v>4289.9753424657538</v>
      </c>
      <c r="Q10" s="237">
        <f>'B2 - Custos diretos totais'!Q99/365</f>
        <v>4420.6602739726031</v>
      </c>
      <c r="R10" s="237">
        <f>'B2 - Custos diretos totais'!R99/365</f>
        <v>4554.9287671232878</v>
      </c>
      <c r="S10" s="237">
        <f>'B2 - Custos diretos totais'!S99/365</f>
        <v>4692.6164383561645</v>
      </c>
      <c r="T10" s="237">
        <f>'B2 - Custos diretos totais'!T99/365</f>
        <v>4833.2356164383564</v>
      </c>
      <c r="U10" s="237">
        <f>'B2 - Custos diretos totais'!U99/365</f>
        <v>4976.4273972602741</v>
      </c>
      <c r="V10" s="237">
        <f>'B2 - Custos diretos totais'!V99/365</f>
        <v>5121.5260273972599</v>
      </c>
      <c r="W10" s="237">
        <f>'B2 - Custos diretos totais'!W99/365</f>
        <v>5121.5260273972599</v>
      </c>
      <c r="X10" s="237">
        <f>'B2 - Custos diretos totais'!X99/365</f>
        <v>5121.5260273972599</v>
      </c>
      <c r="Y10" s="237">
        <f>'B2 - Custos diretos totais'!Y99/365</f>
        <v>5121.5260273972599</v>
      </c>
      <c r="Z10" s="237">
        <f>'B2 - Custos diretos totais'!Z99/365</f>
        <v>5121.5260273972599</v>
      </c>
      <c r="AA10" s="237">
        <f>'B2 - Custos diretos totais'!AA99/365</f>
        <v>5121.5260273972599</v>
      </c>
      <c r="AB10" s="237">
        <f>'B2 - Custos diretos totais'!AB99/365</f>
        <v>5121.5260273972599</v>
      </c>
      <c r="AC10" s="237">
        <f>'B2 - Custos diretos totais'!AC99/365</f>
        <v>5121.5260273972599</v>
      </c>
      <c r="AD10" s="237">
        <f>'B2 - Custos diretos totais'!AD99/365</f>
        <v>5121.5260273972599</v>
      </c>
      <c r="AE10" s="237">
        <f>'B2 - Custos diretos totais'!AE99/365</f>
        <v>5121.5260273972599</v>
      </c>
      <c r="AF10" s="237">
        <f>'B2 - Custos diretos totais'!AF99/365</f>
        <v>5121.5260273972599</v>
      </c>
    </row>
    <row r="11" spans="1:32" ht="15.75" customHeight="1">
      <c r="A11" s="676"/>
      <c r="B11" s="236" t="s">
        <v>606</v>
      </c>
      <c r="C11" s="237">
        <f>SUMIF('B3 - Custos despesas indiretos'!$C:$C,"Operacional",'B3 - Custos despesas indiretos'!AA:AA)/365</f>
        <v>201363.94520547945</v>
      </c>
      <c r="D11" s="237">
        <f>SUMIF('B3 - Custos despesas indiretos'!$C:$C,"Operacional",'B3 - Custos despesas indiretos'!AB:AB)/365</f>
        <v>201363.94520547945</v>
      </c>
      <c r="E11" s="237">
        <f>SUMIF('B3 - Custos despesas indiretos'!$C:$C,"Operacional",'B3 - Custos despesas indiretos'!AC:AC)/365</f>
        <v>201363.94520547945</v>
      </c>
      <c r="F11" s="237">
        <f>SUMIF('B3 - Custos despesas indiretos'!$C:$C,"Operacional",'B3 - Custos despesas indiretos'!AD:AD)/365</f>
        <v>201363.94520547945</v>
      </c>
      <c r="G11" s="237">
        <f>SUMIF('B3 - Custos despesas indiretos'!$C:$C,"Operacional",'B3 - Custos despesas indiretos'!AE:AE)/365</f>
        <v>201363.94520547945</v>
      </c>
      <c r="H11" s="237">
        <f>SUMIF('B3 - Custos despesas indiretos'!$C:$C,"Operacional",'B3 - Custos despesas indiretos'!AF:AF)/365</f>
        <v>201363.94520547945</v>
      </c>
      <c r="I11" s="237">
        <f>SUMIF('B3 - Custos despesas indiretos'!$C:$C,"Operacional",'B3 - Custos despesas indiretos'!AG:AG)/365</f>
        <v>201363.94520547945</v>
      </c>
      <c r="J11" s="237">
        <f>SUMIF('B3 - Custos despesas indiretos'!$C:$C,"Operacional",'B3 - Custos despesas indiretos'!AH:AH)/365</f>
        <v>201363.94520547945</v>
      </c>
      <c r="K11" s="237">
        <f>SUMIF('B3 - Custos despesas indiretos'!$C:$C,"Operacional",'B3 - Custos despesas indiretos'!AI:AI)/365</f>
        <v>201363.94520547945</v>
      </c>
      <c r="L11" s="237">
        <f>SUMIF('B3 - Custos despesas indiretos'!$C:$C,"Operacional",'B3 - Custos despesas indiretos'!AJ:AJ)/365</f>
        <v>201363.94520547945</v>
      </c>
      <c r="M11" s="237">
        <f>SUMIF('B3 - Custos despesas indiretos'!$C:$C,"Operacional",'B3 - Custos despesas indiretos'!AK:AK)/365</f>
        <v>2069.4379178082195</v>
      </c>
      <c r="N11" s="237">
        <f>SUMIF('B3 - Custos despesas indiretos'!$C:$C,"Operacional",'B3 - Custos despesas indiretos'!AL:AL)/365</f>
        <v>4554.3661808219185</v>
      </c>
      <c r="O11" s="237">
        <f>SUMIF('B3 - Custos despesas indiretos'!$C:$C,"Operacional",'B3 - Custos despesas indiretos'!AM:AM)/365</f>
        <v>4682.7847232876711</v>
      </c>
      <c r="P11" s="237">
        <f>SUMIF('B3 - Custos despesas indiretos'!$C:$C,"Operacional",'B3 - Custos despesas indiretos'!AN:AN)/365</f>
        <v>4807.1539068493148</v>
      </c>
      <c r="Q11" s="237">
        <f>SUMIF('B3 - Custos despesas indiretos'!$C:$C,"Operacional",'B3 - Custos despesas indiretos'!AO:AO)/365</f>
        <v>4933.4997260273967</v>
      </c>
      <c r="R11" s="237">
        <f>SUMIF('B3 - Custos despesas indiretos'!$C:$C,"Operacional",'B3 - Custos despesas indiretos'!AP:AP)/365</f>
        <v>5062.0580164383564</v>
      </c>
      <c r="S11" s="237">
        <f>SUMIF('B3 - Custos despesas indiretos'!$C:$C,"Operacional",'B3 - Custos despesas indiretos'!AQ:AQ)/365</f>
        <v>5194.2625534246581</v>
      </c>
      <c r="T11" s="237">
        <f>SUMIF('B3 - Custos despesas indiretos'!$C:$C,"Operacional",'B3 - Custos despesas indiretos'!AR:AR)/365</f>
        <v>5330.3056876712344</v>
      </c>
      <c r="U11" s="237">
        <f>SUMIF('B3 - Custos despesas indiretos'!$C:$C,"Operacional",'B3 - Custos despesas indiretos'!AS:AS)/365</f>
        <v>5468.8339506849306</v>
      </c>
      <c r="V11" s="237">
        <f>SUMIF('B3 - Custos despesas indiretos'!$C:$C,"Operacional",'B3 - Custos despesas indiretos'!AT:AT)/365</f>
        <v>5609.9281753424657</v>
      </c>
      <c r="W11" s="237">
        <f>SUMIF('B3 - Custos despesas indiretos'!$C:$C,"Operacional",'B3 - Custos despesas indiretos'!AU:AU)/365</f>
        <v>5755.4506739726039</v>
      </c>
      <c r="X11" s="237">
        <f>SUMIF('B3 - Custos despesas indiretos'!$C:$C,"Operacional",'B3 - Custos despesas indiretos'!AV:AV)/365</f>
        <v>5905.3405150684948</v>
      </c>
      <c r="Y11" s="237">
        <f>SUMIF('B3 - Custos despesas indiretos'!$C:$C,"Operacional",'B3 - Custos despesas indiretos'!AW:AW)/365</f>
        <v>6059.9987945205467</v>
      </c>
      <c r="Z11" s="237">
        <f>SUMIF('B3 - Custos despesas indiretos'!$C:$C,"Operacional",'B3 - Custos despesas indiretos'!AX:AX)/365</f>
        <v>6219.3386301369883</v>
      </c>
      <c r="AA11" s="237">
        <f>SUMIF('B3 - Custos despesas indiretos'!$C:$C,"Operacional",'B3 - Custos despesas indiretos'!AY:AY)/365</f>
        <v>6383.4649643835601</v>
      </c>
      <c r="AB11" s="237">
        <f>SUMIF('B3 - Custos despesas indiretos'!$C:$C,"Operacional",'B3 - Custos despesas indiretos'!AZ:AZ)/365</f>
        <v>6552.0862027397279</v>
      </c>
      <c r="AC11" s="237">
        <f>SUMIF('B3 - Custos despesas indiretos'!$C:$C,"Operacional",'B3 - Custos despesas indiretos'!BA:BA)/365</f>
        <v>6725.0007890410961</v>
      </c>
      <c r="AD11" s="237">
        <f>SUMIF('B3 - Custos despesas indiretos'!$C:$C,"Operacional",'B3 - Custos despesas indiretos'!BB:BB)/365</f>
        <v>6901.617556164384</v>
      </c>
      <c r="AE11" s="237">
        <f>SUMIF('B3 - Custos despesas indiretos'!$C:$C,"Operacional",'B3 - Custos despesas indiretos'!BC:BC)/365</f>
        <v>7081.4584328767114</v>
      </c>
      <c r="AF11" s="237">
        <f>SUMIF('B3 - Custos despesas indiretos'!$C:$C,"Operacional",'B3 - Custos despesas indiretos'!BD:BD)/365</f>
        <v>7263.6837917808243</v>
      </c>
    </row>
    <row r="12" spans="1:32" ht="15.75" customHeight="1">
      <c r="A12" s="676"/>
      <c r="B12" s="236" t="s">
        <v>607</v>
      </c>
      <c r="C12" s="237">
        <f>('C3 - Funcionários $'!G124+'C3 - Funcionários $'!G125)/365</f>
        <v>12463.26106181085</v>
      </c>
      <c r="D12" s="237">
        <f>('C3 - Funcionários $'!H124+'C3 - Funcionários $'!H125)/365</f>
        <v>12463.26106181085</v>
      </c>
      <c r="E12" s="237">
        <f>('C3 - Funcionários $'!I124+'C3 - Funcionários $'!I125)/365</f>
        <v>12463.26106181085</v>
      </c>
      <c r="F12" s="237">
        <f>('C3 - Funcionários $'!J124+'C3 - Funcionários $'!J125)/365</f>
        <v>12463.26106181085</v>
      </c>
      <c r="G12" s="237">
        <f>('C3 - Funcionários $'!K124+'C3 - Funcionários $'!K125)/365</f>
        <v>12463.26106181085</v>
      </c>
      <c r="H12" s="237">
        <f>('C3 - Funcionários $'!L124+'C3 - Funcionários $'!L125)/365</f>
        <v>12463.26106181085</v>
      </c>
      <c r="I12" s="237">
        <f>('C3 - Funcionários $'!M124+'C3 - Funcionários $'!M125)/365</f>
        <v>12463.26106181085</v>
      </c>
      <c r="J12" s="237">
        <f>('C3 - Funcionários $'!N124+'C3 - Funcionários $'!N125)/365</f>
        <v>12463.26106181085</v>
      </c>
      <c r="K12" s="237">
        <f>('C3 - Funcionários $'!O124+'C3 - Funcionários $'!O125)/365</f>
        <v>12463.26106181085</v>
      </c>
      <c r="L12" s="237">
        <f>('C3 - Funcionários $'!P124+'C3 - Funcionários $'!P125)/365</f>
        <v>12463.26106181085</v>
      </c>
      <c r="M12" s="237">
        <f>('C3 - Funcionários $'!Q124+'C3 - Funcionários $'!Q125)/365</f>
        <v>12463.26106181085</v>
      </c>
      <c r="N12" s="237">
        <f>('C3 - Funcionários $'!R124+'C3 - Funcionários $'!R125)/365</f>
        <v>12463.26106181085</v>
      </c>
      <c r="O12" s="237">
        <f>('C3 - Funcionários $'!S124+'C3 - Funcionários $'!S125)/365</f>
        <v>12463.26106181085</v>
      </c>
      <c r="P12" s="237">
        <f>('C3 - Funcionários $'!T124+'C3 - Funcionários $'!T125)/365</f>
        <v>12463.26106181085</v>
      </c>
      <c r="Q12" s="237">
        <f>('C3 - Funcionários $'!U124+'C3 - Funcionários $'!U125)/365</f>
        <v>12463.26106181085</v>
      </c>
      <c r="R12" s="237">
        <f>('C3 - Funcionários $'!V124+'C3 - Funcionários $'!V125)/365</f>
        <v>12463.26106181085</v>
      </c>
      <c r="S12" s="237">
        <f>('C3 - Funcionários $'!W124+'C3 - Funcionários $'!W125)/365</f>
        <v>12463.26106181085</v>
      </c>
      <c r="T12" s="237">
        <f>('C3 - Funcionários $'!X124+'C3 - Funcionários $'!X125)/365</f>
        <v>12463.26106181085</v>
      </c>
      <c r="U12" s="237">
        <f>('C3 - Funcionários $'!Y124+'C3 - Funcionários $'!Y125)/365</f>
        <v>12463.26106181085</v>
      </c>
      <c r="V12" s="237">
        <f>('C3 - Funcionários $'!Z124+'C3 - Funcionários $'!Z125)/365</f>
        <v>12463.26106181085</v>
      </c>
      <c r="W12" s="237">
        <f>('C3 - Funcionários $'!AA124+'C3 - Funcionários $'!AA125)/365</f>
        <v>12463.26106181085</v>
      </c>
      <c r="X12" s="237">
        <f>('C3 - Funcionários $'!AB124+'C3 - Funcionários $'!AB125)/365</f>
        <v>12463.26106181085</v>
      </c>
      <c r="Y12" s="237">
        <f>('C3 - Funcionários $'!AC124+'C3 - Funcionários $'!AC125)/365</f>
        <v>12463.26106181085</v>
      </c>
      <c r="Z12" s="237">
        <f>('C3 - Funcionários $'!AD124+'C3 - Funcionários $'!AD125)/365</f>
        <v>12463.26106181085</v>
      </c>
      <c r="AA12" s="237">
        <f>('C3 - Funcionários $'!AE124+'C3 - Funcionários $'!AE125)/365</f>
        <v>12463.26106181085</v>
      </c>
      <c r="AB12" s="237">
        <f>('C3 - Funcionários $'!AF124+'C3 - Funcionários $'!AF125)/365</f>
        <v>12463.26106181085</v>
      </c>
      <c r="AC12" s="237">
        <f>('C3 - Funcionários $'!AG124+'C3 - Funcionários $'!AG125)/365</f>
        <v>12463.26106181085</v>
      </c>
      <c r="AD12" s="237">
        <f>('C3 - Funcionários $'!AH124+'C3 - Funcionários $'!AH125)/365</f>
        <v>12463.26106181085</v>
      </c>
      <c r="AE12" s="237">
        <f>('C3 - Funcionários $'!AI124+'C3 - Funcionários $'!AI125)/365</f>
        <v>12463.26106181085</v>
      </c>
      <c r="AF12" s="237">
        <f>('C3 - Funcionários $'!AJ124+'C3 - Funcionários $'!AJ125)/365</f>
        <v>12463.26106181085</v>
      </c>
    </row>
    <row r="13" spans="1:32" ht="15.75" customHeight="1">
      <c r="A13" s="676"/>
      <c r="B13" s="236" t="s">
        <v>608</v>
      </c>
      <c r="C13" s="237">
        <f>SUMIF('B3 - Custos despesas indiretos'!$C:$C,"Encargo",'B3 - Custos despesas indiretos'!AA:AA)/365</f>
        <v>427161.34231484932</v>
      </c>
      <c r="D13" s="237">
        <f>SUMIF('B3 - Custos despesas indiretos'!$C:$C,"Encargo",'B3 - Custos despesas indiretos'!AB:AB)/365</f>
        <v>425240.15885435621</v>
      </c>
      <c r="E13" s="237">
        <f>SUMIF('B3 - Custos despesas indiretos'!$C:$C,"Encargo",'B3 - Custos despesas indiretos'!AC:AC)/365</f>
        <v>423199.63292810955</v>
      </c>
      <c r="F13" s="237">
        <f>SUMIF('B3 - Custos despesas indiretos'!$C:$C,"Encargo",'B3 - Custos despesas indiretos'!AD:AD)/365</f>
        <v>421159.10700186301</v>
      </c>
      <c r="G13" s="237">
        <f>SUMIF('B3 - Custos despesas indiretos'!$C:$C,"Encargo",'B3 - Custos despesas indiretos'!AE:AE)/365</f>
        <v>419237.92354136991</v>
      </c>
      <c r="H13" s="237">
        <f>SUMIF('B3 - Custos despesas indiretos'!$C:$C,"Encargo",'B3 - Custos despesas indiretos'!AF:AF)/365</f>
        <v>425062.36205347948</v>
      </c>
      <c r="I13" s="237">
        <f>SUMIF('B3 - Custos despesas indiretos'!$C:$C,"Encargo",'B3 - Custos despesas indiretos'!AG:AG)/365</f>
        <v>423021.83612723293</v>
      </c>
      <c r="J13" s="237">
        <f>SUMIF('B3 - Custos despesas indiretos'!$C:$C,"Encargo",'B3 - Custos despesas indiretos'!AH:AH)/365</f>
        <v>421100.65266673971</v>
      </c>
      <c r="K13" s="237">
        <f>SUMIF('B3 - Custos despesas indiretos'!$C:$C,"Encargo",'B3 - Custos despesas indiretos'!AI:AI)/365</f>
        <v>419060.12674049317</v>
      </c>
      <c r="L13" s="237">
        <f>SUMIF('B3 - Custos despesas indiretos'!$C:$C,"Encargo",'B3 - Custos despesas indiretos'!AJ:AJ)/365</f>
        <v>417019.60081424663</v>
      </c>
      <c r="M13" s="237">
        <f>SUMIF('B3 - Custos despesas indiretos'!$C:$C,"Encargo",'B3 - Custos despesas indiretos'!AK:AK)/365</f>
        <v>14214.112440817533</v>
      </c>
      <c r="N13" s="237">
        <f>SUMIF('B3 - Custos despesas indiretos'!$C:$C,"Encargo",'B3 - Custos despesas indiretos'!AL:AL)/365</f>
        <v>19153.043653799454</v>
      </c>
      <c r="O13" s="237">
        <f>SUMIF('B3 - Custos despesas indiretos'!$C:$C,"Encargo",'B3 - Custos despesas indiretos'!AM:AM)/365</f>
        <v>19379.294877740274</v>
      </c>
      <c r="P13" s="237">
        <f>SUMIF('B3 - Custos despesas indiretos'!$C:$C,"Encargo",'B3 - Custos despesas indiretos'!AN:AN)/365</f>
        <v>19599.51286332493</v>
      </c>
      <c r="Q13" s="237">
        <f>SUMIF('B3 - Custos despesas indiretos'!$C:$C,"Encargo",'B3 - Custos despesas indiretos'!AO:AO)/365</f>
        <v>19821.454531101368</v>
      </c>
      <c r="R13" s="237">
        <f>SUMIF('B3 - Custos despesas indiretos'!$C:$C,"Encargo",'B3 - Custos despesas indiretos'!AP:AP)/365</f>
        <v>20205.296868466849</v>
      </c>
      <c r="S13" s="237">
        <f>SUMIF('B3 - Custos despesas indiretos'!$C:$C,"Encargo",'B3 - Custos despesas indiretos'!AQ:AQ)/365</f>
        <v>20441.807752681645</v>
      </c>
      <c r="T13" s="237">
        <f>SUMIF('B3 - Custos despesas indiretos'!$C:$C,"Encargo",'B3 - Custos despesas indiretos'!AR:AR)/365</f>
        <v>20683.916105389591</v>
      </c>
      <c r="U13" s="237">
        <f>SUMIF('B3 - Custos despesas indiretos'!$C:$C,"Encargo",'B3 - Custos despesas indiretos'!AS:AS)/365</f>
        <v>20931.191975905753</v>
      </c>
      <c r="V13" s="237">
        <f>SUMIF('B3 - Custos despesas indiretos'!$C:$C,"Encargo",'B3 - Custos despesas indiretos'!AT:AT)/365</f>
        <v>21186.192646421914</v>
      </c>
      <c r="W13" s="237">
        <f>SUMIF('B3 - Custos despesas indiretos'!$C:$C,"Encargo",'B3 - Custos despesas indiretos'!AU:AU)/365</f>
        <v>21690.86398054356</v>
      </c>
      <c r="X13" s="237">
        <f>SUMIF('B3 - Custos despesas indiretos'!$C:$C,"Encargo",'B3 - Custos despesas indiretos'!AV:AV)/365</f>
        <v>21961.767116813149</v>
      </c>
      <c r="Y13" s="237">
        <f>SUMIF('B3 - Custos despesas indiretos'!$C:$C,"Encargo",'B3 - Custos despesas indiretos'!AW:AW)/365</f>
        <v>22244.975075000548</v>
      </c>
      <c r="Z13" s="237">
        <f>SUMIF('B3 - Custos despesas indiretos'!$C:$C,"Encargo",'B3 - Custos despesas indiretos'!AX:AX)/365</f>
        <v>22535.531350996163</v>
      </c>
      <c r="AA13" s="237">
        <f>SUMIF('B3 - Custos despesas indiretos'!$C:$C,"Encargo",'B3 - Custos despesas indiretos'!AY:AY)/365</f>
        <v>22836.041994115069</v>
      </c>
      <c r="AB13" s="237">
        <f>SUMIF('B3 - Custos despesas indiretos'!$C:$C,"Encargo",'B3 - Custos despesas indiretos'!AZ:AZ)/365</f>
        <v>23305.58693969973</v>
      </c>
      <c r="AC13" s="237">
        <f>SUMIF('B3 - Custos despesas indiretos'!$C:$C,"Encargo",'B3 - Custos despesas indiretos'!BA:BA)/365</f>
        <v>23624.37436090082</v>
      </c>
      <c r="AD13" s="237">
        <f>SUMIF('B3 - Custos despesas indiretos'!$C:$C,"Encargo",'B3 - Custos despesas indiretos'!BB:BB)/365</f>
        <v>23950.859294430687</v>
      </c>
      <c r="AE13" s="237">
        <f>SUMIF('B3 - Custos despesas indiretos'!$C:$C,"Encargo",'B3 - Custos despesas indiretos'!BC:BC)/365</f>
        <v>24286.436556727673</v>
      </c>
      <c r="AF13" s="237">
        <f>SUMIF('B3 - Custos despesas indiretos'!$C:$C,"Encargo",'B3 - Custos despesas indiretos'!BD:BD)/365</f>
        <v>24624.586619024656</v>
      </c>
    </row>
    <row r="14" spans="1:32" ht="15.75" customHeight="1">
      <c r="A14" s="676"/>
      <c r="B14" s="236" t="s">
        <v>609</v>
      </c>
      <c r="C14" s="237">
        <f>'A4 - Previsão de Receita Bruta'!C27*'E2 - Tributos'!D21/365</f>
        <v>5512.3079794520554</v>
      </c>
      <c r="D14" s="237">
        <f>'A4 - Previsão de Receita Bruta'!D27*'E2 - Tributos'!E21/365</f>
        <v>29703.300812287496</v>
      </c>
      <c r="E14" s="237">
        <f>'A4 - Previsão de Receita Bruta'!E27*'E2 - Tributos'!F21/365</f>
        <v>30607.249311602634</v>
      </c>
      <c r="F14" s="237">
        <f>'A4 - Previsão de Receita Bruta'!F27*'E2 - Tributos'!G21/365</f>
        <v>32011.032081614892</v>
      </c>
      <c r="G14" s="237">
        <f>'A4 - Previsão de Receita Bruta'!G27*'E2 - Tributos'!H21/365</f>
        <v>33593.583081161392</v>
      </c>
      <c r="H14" s="237">
        <f>'A4 - Previsão de Receita Bruta'!H27*'E2 - Tributos'!I21/365</f>
        <v>35176.970104302418</v>
      </c>
      <c r="I14" s="237">
        <f>'A4 - Previsão de Receita Bruta'!I27*'E2 - Tributos'!J21/365</f>
        <v>36832.157332835202</v>
      </c>
      <c r="J14" s="237">
        <f>'A4 - Previsão de Receita Bruta'!J27*'E2 - Tributos'!K21/365</f>
        <v>38535.630660326904</v>
      </c>
      <c r="K14" s="237">
        <f>'A4 - Previsão de Receita Bruta'!K27*'E2 - Tributos'!L21/365</f>
        <v>40270.089140092583</v>
      </c>
      <c r="L14" s="237">
        <f>'A4 - Previsão de Receita Bruta'!L27*'E2 - Tributos'!M21/365</f>
        <v>42036.154467091146</v>
      </c>
      <c r="M14" s="237">
        <f>'A4 - Previsão de Receita Bruta'!M27*'E2 - Tributos'!N21/365</f>
        <v>43816.545618811018</v>
      </c>
      <c r="N14" s="237">
        <f>'A4 - Previsão de Receita Bruta'!N27*'E2 - Tributos'!O21/365</f>
        <v>45692.699109234221</v>
      </c>
      <c r="O14" s="237">
        <f>'A4 - Previsão de Receita Bruta'!O27*'E2 - Tributos'!P21/365</f>
        <v>47627.90711609579</v>
      </c>
      <c r="P14" s="237">
        <f>'A4 - Previsão de Receita Bruta'!P27*'E2 - Tributos'!Q21/365</f>
        <v>49621.891533012145</v>
      </c>
      <c r="Q14" s="237">
        <f>'A4 - Previsão de Receita Bruta'!Q27*'E2 - Tributos'!R21/365</f>
        <v>51675.574472339475</v>
      </c>
      <c r="R14" s="237">
        <f>'A4 - Previsão de Receita Bruta'!R27*'E2 - Tributos'!S21/365</f>
        <v>53758.167846274999</v>
      </c>
      <c r="S14" s="237">
        <f>'A4 - Previsão de Receita Bruta'!S27*'E2 - Tributos'!T21/365</f>
        <v>55921.442875273569</v>
      </c>
      <c r="T14" s="237">
        <f>'A4 - Previsão de Receita Bruta'!T27*'E2 - Tributos'!U21/365</f>
        <v>58130.887626025542</v>
      </c>
      <c r="U14" s="237">
        <f>'A4 - Previsão de Receita Bruta'!U27*'E2 - Tributos'!V21/365</f>
        <v>60380.132480750122</v>
      </c>
      <c r="V14" s="237">
        <f>'A4 - Previsão de Receita Bruta'!V27*'E2 - Tributos'!W21/365</f>
        <v>62659.51955832402</v>
      </c>
      <c r="W14" s="237">
        <f>'A4 - Previsão de Receita Bruta'!W27*'E2 - Tributos'!X21/365</f>
        <v>62625.17289201649</v>
      </c>
      <c r="X14" s="237">
        <f>'A4 - Previsão de Receita Bruta'!X27*'E2 - Tributos'!Y21/365</f>
        <v>62631.704915782153</v>
      </c>
      <c r="Y14" s="237">
        <f>'A4 - Previsão de Receita Bruta'!Y27*'E2 - Tributos'!Z21/365</f>
        <v>62638.6427039314</v>
      </c>
      <c r="Z14" s="237">
        <f>'A4 - Previsão de Receita Bruta'!Z27*'E2 - Tributos'!AA21/365</f>
        <v>62645.580492080648</v>
      </c>
      <c r="AA14" s="237">
        <f>'A4 - Previsão de Receita Bruta'!AA27*'E2 - Tributos'!AB21/365</f>
        <v>62652.112515846326</v>
      </c>
      <c r="AB14" s="237">
        <f>'A4 - Previsão de Receita Bruta'!AB27*'E2 - Tributos'!AC21/365</f>
        <v>62632.309424905143</v>
      </c>
      <c r="AC14" s="237">
        <f>'A4 - Previsão de Receita Bruta'!AC27*'E2 - Tributos'!AD21/365</f>
        <v>62639.247213054368</v>
      </c>
      <c r="AD14" s="237">
        <f>'A4 - Previsão de Receita Bruta'!AD27*'E2 - Tributos'!AE21/365</f>
        <v>62645.779236820046</v>
      </c>
      <c r="AE14" s="237">
        <f>'A4 - Previsão de Receita Bruta'!AE27*'E2 - Tributos'!AF21/365</f>
        <v>62652.717024969301</v>
      </c>
      <c r="AF14" s="237">
        <f>'A4 - Previsão de Receita Bruta'!AF27*'E2 - Tributos'!AG21/365</f>
        <v>62659.654813118534</v>
      </c>
    </row>
    <row r="15" spans="1:32" ht="15.75" customHeight="1">
      <c r="A15" s="676"/>
      <c r="B15" s="674"/>
      <c r="C15" s="680"/>
      <c r="D15" s="680"/>
      <c r="E15" s="680"/>
      <c r="F15" s="680"/>
      <c r="G15" s="680"/>
      <c r="H15" s="680"/>
      <c r="I15" s="680"/>
      <c r="J15" s="680"/>
      <c r="K15" s="680"/>
      <c r="L15" s="680"/>
      <c r="M15" s="680"/>
      <c r="N15" s="680"/>
      <c r="O15" s="680"/>
      <c r="P15" s="680"/>
      <c r="Q15" s="680"/>
      <c r="R15" s="680"/>
      <c r="S15" s="680"/>
      <c r="T15" s="680"/>
      <c r="U15" s="680"/>
      <c r="V15" s="680"/>
      <c r="W15" s="674"/>
      <c r="X15" s="674"/>
      <c r="Y15" s="674"/>
      <c r="Z15" s="674"/>
      <c r="AA15" s="674"/>
      <c r="AB15" s="674"/>
      <c r="AC15" s="674"/>
      <c r="AD15" s="674"/>
      <c r="AE15" s="674"/>
      <c r="AF15" s="674"/>
    </row>
    <row r="16" spans="1:32" ht="15.75" customHeight="1">
      <c r="A16" s="676"/>
      <c r="B16" s="674"/>
      <c r="C16" s="680"/>
      <c r="D16" s="680"/>
      <c r="E16" s="680"/>
      <c r="F16" s="680"/>
      <c r="G16" s="680"/>
      <c r="H16" s="680"/>
      <c r="I16" s="680"/>
      <c r="J16" s="680"/>
      <c r="K16" s="680"/>
      <c r="L16" s="680"/>
      <c r="M16" s="680"/>
      <c r="N16" s="680"/>
      <c r="O16" s="680"/>
      <c r="P16" s="680"/>
      <c r="Q16" s="680"/>
      <c r="R16" s="680"/>
      <c r="S16" s="680"/>
      <c r="T16" s="680"/>
      <c r="U16" s="680"/>
      <c r="V16" s="680"/>
      <c r="W16" s="674"/>
      <c r="X16" s="674"/>
      <c r="Y16" s="674"/>
      <c r="Z16" s="674"/>
      <c r="AA16" s="674"/>
      <c r="AB16" s="674"/>
      <c r="AC16" s="674"/>
      <c r="AD16" s="674"/>
      <c r="AE16" s="674"/>
      <c r="AF16" s="674"/>
    </row>
    <row r="17" spans="1:32" ht="19.5" customHeight="1">
      <c r="A17" s="676"/>
      <c r="B17" s="233" t="s">
        <v>610</v>
      </c>
      <c r="C17" s="803" t="s">
        <v>147</v>
      </c>
      <c r="D17" s="815"/>
      <c r="E17" s="815"/>
      <c r="F17" s="815"/>
      <c r="G17" s="815"/>
      <c r="H17" s="815"/>
      <c r="I17" s="815"/>
      <c r="J17" s="815"/>
      <c r="K17" s="815"/>
      <c r="L17" s="815"/>
      <c r="M17" s="815"/>
      <c r="N17" s="815"/>
      <c r="O17" s="815"/>
      <c r="P17" s="815"/>
      <c r="Q17" s="815"/>
      <c r="R17" s="815"/>
      <c r="S17" s="815"/>
      <c r="T17" s="815"/>
      <c r="U17" s="815"/>
      <c r="V17" s="815"/>
      <c r="W17" s="815"/>
      <c r="X17" s="815"/>
      <c r="Y17" s="815"/>
      <c r="Z17" s="815"/>
      <c r="AA17" s="815"/>
      <c r="AB17" s="815"/>
      <c r="AC17" s="815"/>
      <c r="AD17" s="815"/>
      <c r="AE17" s="815"/>
      <c r="AF17" s="815"/>
    </row>
    <row r="18" spans="1:32" ht="15.75" customHeight="1">
      <c r="A18" s="676"/>
      <c r="B18" s="234" t="str">
        <f>""&amp;B6</f>
        <v>Item</v>
      </c>
      <c r="C18" s="238">
        <v>1</v>
      </c>
      <c r="D18" s="238">
        <v>2</v>
      </c>
      <c r="E18" s="238">
        <v>3</v>
      </c>
      <c r="F18" s="238">
        <v>4</v>
      </c>
      <c r="G18" s="238">
        <v>5</v>
      </c>
      <c r="H18" s="238">
        <v>6</v>
      </c>
      <c r="I18" s="238">
        <v>7</v>
      </c>
      <c r="J18" s="238">
        <v>8</v>
      </c>
      <c r="K18" s="238">
        <v>9</v>
      </c>
      <c r="L18" s="238">
        <v>10</v>
      </c>
      <c r="M18" s="238">
        <v>11</v>
      </c>
      <c r="N18" s="238">
        <v>12</v>
      </c>
      <c r="O18" s="238">
        <v>13</v>
      </c>
      <c r="P18" s="238">
        <v>14</v>
      </c>
      <c r="Q18" s="238">
        <v>15</v>
      </c>
      <c r="R18" s="238">
        <v>16</v>
      </c>
      <c r="S18" s="238">
        <v>17</v>
      </c>
      <c r="T18" s="238">
        <v>18</v>
      </c>
      <c r="U18" s="238">
        <v>19</v>
      </c>
      <c r="V18" s="238">
        <v>20</v>
      </c>
      <c r="W18" s="238">
        <v>21</v>
      </c>
      <c r="X18" s="238">
        <v>22</v>
      </c>
      <c r="Y18" s="238">
        <v>23</v>
      </c>
      <c r="Z18" s="238">
        <v>24</v>
      </c>
      <c r="AA18" s="238">
        <v>25</v>
      </c>
      <c r="AB18" s="238">
        <v>26</v>
      </c>
      <c r="AC18" s="238">
        <v>27</v>
      </c>
      <c r="AD18" s="238">
        <v>28</v>
      </c>
      <c r="AE18" s="238">
        <v>29</v>
      </c>
      <c r="AF18" s="238">
        <v>30</v>
      </c>
    </row>
    <row r="19" spans="1:32" ht="15.75" customHeight="1">
      <c r="A19" s="676"/>
      <c r="B19" s="236" t="s">
        <v>611</v>
      </c>
      <c r="C19" s="239">
        <v>20</v>
      </c>
      <c r="D19" s="240">
        <f t="shared" ref="D19:AF19" si="0">$C19</f>
        <v>20</v>
      </c>
      <c r="E19" s="240">
        <f t="shared" si="0"/>
        <v>20</v>
      </c>
      <c r="F19" s="240">
        <f t="shared" si="0"/>
        <v>20</v>
      </c>
      <c r="G19" s="240">
        <f t="shared" si="0"/>
        <v>20</v>
      </c>
      <c r="H19" s="240">
        <f t="shared" si="0"/>
        <v>20</v>
      </c>
      <c r="I19" s="240">
        <f t="shared" si="0"/>
        <v>20</v>
      </c>
      <c r="J19" s="240">
        <f t="shared" si="0"/>
        <v>20</v>
      </c>
      <c r="K19" s="240">
        <f t="shared" si="0"/>
        <v>20</v>
      </c>
      <c r="L19" s="240">
        <f t="shared" si="0"/>
        <v>20</v>
      </c>
      <c r="M19" s="240">
        <f t="shared" si="0"/>
        <v>20</v>
      </c>
      <c r="N19" s="240">
        <f t="shared" si="0"/>
        <v>20</v>
      </c>
      <c r="O19" s="240">
        <f t="shared" si="0"/>
        <v>20</v>
      </c>
      <c r="P19" s="240">
        <f t="shared" si="0"/>
        <v>20</v>
      </c>
      <c r="Q19" s="240">
        <f t="shared" si="0"/>
        <v>20</v>
      </c>
      <c r="R19" s="240">
        <f t="shared" si="0"/>
        <v>20</v>
      </c>
      <c r="S19" s="240">
        <f t="shared" si="0"/>
        <v>20</v>
      </c>
      <c r="T19" s="240">
        <f t="shared" si="0"/>
        <v>20</v>
      </c>
      <c r="U19" s="240">
        <f t="shared" si="0"/>
        <v>20</v>
      </c>
      <c r="V19" s="240">
        <f t="shared" si="0"/>
        <v>20</v>
      </c>
      <c r="W19" s="240">
        <f t="shared" si="0"/>
        <v>20</v>
      </c>
      <c r="X19" s="240">
        <f t="shared" si="0"/>
        <v>20</v>
      </c>
      <c r="Y19" s="240">
        <f t="shared" si="0"/>
        <v>20</v>
      </c>
      <c r="Z19" s="240">
        <f t="shared" si="0"/>
        <v>20</v>
      </c>
      <c r="AA19" s="240">
        <f t="shared" si="0"/>
        <v>20</v>
      </c>
      <c r="AB19" s="240">
        <f t="shared" si="0"/>
        <v>20</v>
      </c>
      <c r="AC19" s="240">
        <f t="shared" si="0"/>
        <v>20</v>
      </c>
      <c r="AD19" s="240">
        <f t="shared" si="0"/>
        <v>20</v>
      </c>
      <c r="AE19" s="240">
        <f t="shared" si="0"/>
        <v>20</v>
      </c>
      <c r="AF19" s="240">
        <f t="shared" si="0"/>
        <v>20</v>
      </c>
    </row>
    <row r="20" spans="1:32" ht="15.75" customHeight="1">
      <c r="A20" s="676"/>
      <c r="B20" s="236" t="s">
        <v>612</v>
      </c>
      <c r="C20" s="239">
        <v>10</v>
      </c>
      <c r="D20" s="240">
        <f t="shared" ref="D20:AF20" si="1">$C20</f>
        <v>10</v>
      </c>
      <c r="E20" s="240">
        <f t="shared" si="1"/>
        <v>10</v>
      </c>
      <c r="F20" s="240">
        <f t="shared" si="1"/>
        <v>10</v>
      </c>
      <c r="G20" s="240">
        <f t="shared" si="1"/>
        <v>10</v>
      </c>
      <c r="H20" s="240">
        <f t="shared" si="1"/>
        <v>10</v>
      </c>
      <c r="I20" s="240">
        <f t="shared" si="1"/>
        <v>10</v>
      </c>
      <c r="J20" s="240">
        <f t="shared" si="1"/>
        <v>10</v>
      </c>
      <c r="K20" s="240">
        <f t="shared" si="1"/>
        <v>10</v>
      </c>
      <c r="L20" s="240">
        <f t="shared" si="1"/>
        <v>10</v>
      </c>
      <c r="M20" s="240">
        <f t="shared" si="1"/>
        <v>10</v>
      </c>
      <c r="N20" s="240">
        <f t="shared" si="1"/>
        <v>10</v>
      </c>
      <c r="O20" s="240">
        <f t="shared" si="1"/>
        <v>10</v>
      </c>
      <c r="P20" s="240">
        <f t="shared" si="1"/>
        <v>10</v>
      </c>
      <c r="Q20" s="240">
        <f t="shared" si="1"/>
        <v>10</v>
      </c>
      <c r="R20" s="240">
        <f t="shared" si="1"/>
        <v>10</v>
      </c>
      <c r="S20" s="240">
        <f t="shared" si="1"/>
        <v>10</v>
      </c>
      <c r="T20" s="240">
        <f t="shared" si="1"/>
        <v>10</v>
      </c>
      <c r="U20" s="240">
        <f t="shared" si="1"/>
        <v>10</v>
      </c>
      <c r="V20" s="240">
        <f t="shared" si="1"/>
        <v>10</v>
      </c>
      <c r="W20" s="240">
        <f t="shared" si="1"/>
        <v>10</v>
      </c>
      <c r="X20" s="240">
        <f t="shared" si="1"/>
        <v>10</v>
      </c>
      <c r="Y20" s="240">
        <f t="shared" si="1"/>
        <v>10</v>
      </c>
      <c r="Z20" s="240">
        <f t="shared" si="1"/>
        <v>10</v>
      </c>
      <c r="AA20" s="240">
        <f t="shared" si="1"/>
        <v>10</v>
      </c>
      <c r="AB20" s="240">
        <f t="shared" si="1"/>
        <v>10</v>
      </c>
      <c r="AC20" s="240">
        <f t="shared" si="1"/>
        <v>10</v>
      </c>
      <c r="AD20" s="240">
        <f t="shared" si="1"/>
        <v>10</v>
      </c>
      <c r="AE20" s="240">
        <f t="shared" si="1"/>
        <v>10</v>
      </c>
      <c r="AF20" s="240">
        <f t="shared" si="1"/>
        <v>10</v>
      </c>
    </row>
    <row r="21" spans="1:32" ht="15.75" customHeight="1">
      <c r="A21" s="676"/>
      <c r="B21" s="236" t="s">
        <v>613</v>
      </c>
      <c r="C21" s="239">
        <v>10</v>
      </c>
      <c r="D21" s="240">
        <f t="shared" ref="D21:AF21" si="2">$C21</f>
        <v>10</v>
      </c>
      <c r="E21" s="240">
        <f t="shared" si="2"/>
        <v>10</v>
      </c>
      <c r="F21" s="240">
        <f t="shared" si="2"/>
        <v>10</v>
      </c>
      <c r="G21" s="240">
        <f t="shared" si="2"/>
        <v>10</v>
      </c>
      <c r="H21" s="240">
        <f t="shared" si="2"/>
        <v>10</v>
      </c>
      <c r="I21" s="240">
        <f t="shared" si="2"/>
        <v>10</v>
      </c>
      <c r="J21" s="240">
        <f t="shared" si="2"/>
        <v>10</v>
      </c>
      <c r="K21" s="240">
        <f t="shared" si="2"/>
        <v>10</v>
      </c>
      <c r="L21" s="240">
        <f t="shared" si="2"/>
        <v>10</v>
      </c>
      <c r="M21" s="240">
        <f t="shared" si="2"/>
        <v>10</v>
      </c>
      <c r="N21" s="240">
        <f t="shared" si="2"/>
        <v>10</v>
      </c>
      <c r="O21" s="240">
        <f t="shared" si="2"/>
        <v>10</v>
      </c>
      <c r="P21" s="240">
        <f t="shared" si="2"/>
        <v>10</v>
      </c>
      <c r="Q21" s="240">
        <f t="shared" si="2"/>
        <v>10</v>
      </c>
      <c r="R21" s="240">
        <f t="shared" si="2"/>
        <v>10</v>
      </c>
      <c r="S21" s="240">
        <f t="shared" si="2"/>
        <v>10</v>
      </c>
      <c r="T21" s="240">
        <f t="shared" si="2"/>
        <v>10</v>
      </c>
      <c r="U21" s="240">
        <f t="shared" si="2"/>
        <v>10</v>
      </c>
      <c r="V21" s="240">
        <f t="shared" si="2"/>
        <v>10</v>
      </c>
      <c r="W21" s="240">
        <f t="shared" si="2"/>
        <v>10</v>
      </c>
      <c r="X21" s="240">
        <f t="shared" si="2"/>
        <v>10</v>
      </c>
      <c r="Y21" s="240">
        <f t="shared" si="2"/>
        <v>10</v>
      </c>
      <c r="Z21" s="240">
        <f t="shared" si="2"/>
        <v>10</v>
      </c>
      <c r="AA21" s="240">
        <f t="shared" si="2"/>
        <v>10</v>
      </c>
      <c r="AB21" s="240">
        <f t="shared" si="2"/>
        <v>10</v>
      </c>
      <c r="AC21" s="240">
        <f t="shared" si="2"/>
        <v>10</v>
      </c>
      <c r="AD21" s="240">
        <f t="shared" si="2"/>
        <v>10</v>
      </c>
      <c r="AE21" s="240">
        <f t="shared" si="2"/>
        <v>10</v>
      </c>
      <c r="AF21" s="240">
        <f t="shared" si="2"/>
        <v>10</v>
      </c>
    </row>
    <row r="22" spans="1:32" ht="15.75" customHeight="1">
      <c r="A22" s="676"/>
      <c r="B22" s="236" t="s">
        <v>614</v>
      </c>
      <c r="C22" s="239">
        <v>10</v>
      </c>
      <c r="D22" s="240">
        <f t="shared" ref="D22:AF22" si="3">$C22</f>
        <v>10</v>
      </c>
      <c r="E22" s="240">
        <f t="shared" si="3"/>
        <v>10</v>
      </c>
      <c r="F22" s="240">
        <f t="shared" si="3"/>
        <v>10</v>
      </c>
      <c r="G22" s="240">
        <f t="shared" si="3"/>
        <v>10</v>
      </c>
      <c r="H22" s="240">
        <f t="shared" si="3"/>
        <v>10</v>
      </c>
      <c r="I22" s="240">
        <f t="shared" si="3"/>
        <v>10</v>
      </c>
      <c r="J22" s="240">
        <f t="shared" si="3"/>
        <v>10</v>
      </c>
      <c r="K22" s="240">
        <f t="shared" si="3"/>
        <v>10</v>
      </c>
      <c r="L22" s="240">
        <f t="shared" si="3"/>
        <v>10</v>
      </c>
      <c r="M22" s="240">
        <f t="shared" si="3"/>
        <v>10</v>
      </c>
      <c r="N22" s="240">
        <f t="shared" si="3"/>
        <v>10</v>
      </c>
      <c r="O22" s="240">
        <f t="shared" si="3"/>
        <v>10</v>
      </c>
      <c r="P22" s="240">
        <f t="shared" si="3"/>
        <v>10</v>
      </c>
      <c r="Q22" s="240">
        <f t="shared" si="3"/>
        <v>10</v>
      </c>
      <c r="R22" s="240">
        <f t="shared" si="3"/>
        <v>10</v>
      </c>
      <c r="S22" s="240">
        <f t="shared" si="3"/>
        <v>10</v>
      </c>
      <c r="T22" s="240">
        <f t="shared" si="3"/>
        <v>10</v>
      </c>
      <c r="U22" s="240">
        <f t="shared" si="3"/>
        <v>10</v>
      </c>
      <c r="V22" s="240">
        <f t="shared" si="3"/>
        <v>10</v>
      </c>
      <c r="W22" s="240">
        <f t="shared" si="3"/>
        <v>10</v>
      </c>
      <c r="X22" s="240">
        <f t="shared" si="3"/>
        <v>10</v>
      </c>
      <c r="Y22" s="240">
        <f t="shared" si="3"/>
        <v>10</v>
      </c>
      <c r="Z22" s="240">
        <f t="shared" si="3"/>
        <v>10</v>
      </c>
      <c r="AA22" s="240">
        <f t="shared" si="3"/>
        <v>10</v>
      </c>
      <c r="AB22" s="240">
        <f t="shared" si="3"/>
        <v>10</v>
      </c>
      <c r="AC22" s="240">
        <f t="shared" si="3"/>
        <v>10</v>
      </c>
      <c r="AD22" s="240">
        <f t="shared" si="3"/>
        <v>10</v>
      </c>
      <c r="AE22" s="240">
        <f t="shared" si="3"/>
        <v>10</v>
      </c>
      <c r="AF22" s="240">
        <f t="shared" si="3"/>
        <v>10</v>
      </c>
    </row>
    <row r="23" spans="1:32" ht="15.75" customHeight="1">
      <c r="A23" s="676"/>
      <c r="B23" s="236" t="s">
        <v>615</v>
      </c>
      <c r="C23" s="239">
        <v>10</v>
      </c>
      <c r="D23" s="240">
        <f t="shared" ref="D23:AF23" si="4">$C23</f>
        <v>10</v>
      </c>
      <c r="E23" s="240">
        <f t="shared" si="4"/>
        <v>10</v>
      </c>
      <c r="F23" s="240">
        <f t="shared" si="4"/>
        <v>10</v>
      </c>
      <c r="G23" s="240">
        <f t="shared" si="4"/>
        <v>10</v>
      </c>
      <c r="H23" s="240">
        <f t="shared" si="4"/>
        <v>10</v>
      </c>
      <c r="I23" s="240">
        <f t="shared" si="4"/>
        <v>10</v>
      </c>
      <c r="J23" s="240">
        <f t="shared" si="4"/>
        <v>10</v>
      </c>
      <c r="K23" s="240">
        <f t="shared" si="4"/>
        <v>10</v>
      </c>
      <c r="L23" s="240">
        <f t="shared" si="4"/>
        <v>10</v>
      </c>
      <c r="M23" s="240">
        <f t="shared" si="4"/>
        <v>10</v>
      </c>
      <c r="N23" s="240">
        <f t="shared" si="4"/>
        <v>10</v>
      </c>
      <c r="O23" s="240">
        <f t="shared" si="4"/>
        <v>10</v>
      </c>
      <c r="P23" s="240">
        <f t="shared" si="4"/>
        <v>10</v>
      </c>
      <c r="Q23" s="240">
        <f t="shared" si="4"/>
        <v>10</v>
      </c>
      <c r="R23" s="240">
        <f t="shared" si="4"/>
        <v>10</v>
      </c>
      <c r="S23" s="240">
        <f t="shared" si="4"/>
        <v>10</v>
      </c>
      <c r="T23" s="240">
        <f t="shared" si="4"/>
        <v>10</v>
      </c>
      <c r="U23" s="240">
        <f t="shared" si="4"/>
        <v>10</v>
      </c>
      <c r="V23" s="240">
        <f t="shared" si="4"/>
        <v>10</v>
      </c>
      <c r="W23" s="240">
        <f t="shared" si="4"/>
        <v>10</v>
      </c>
      <c r="X23" s="240">
        <f t="shared" si="4"/>
        <v>10</v>
      </c>
      <c r="Y23" s="240">
        <f t="shared" si="4"/>
        <v>10</v>
      </c>
      <c r="Z23" s="240">
        <f t="shared" si="4"/>
        <v>10</v>
      </c>
      <c r="AA23" s="240">
        <f t="shared" si="4"/>
        <v>10</v>
      </c>
      <c r="AB23" s="240">
        <f t="shared" si="4"/>
        <v>10</v>
      </c>
      <c r="AC23" s="240">
        <f t="shared" si="4"/>
        <v>10</v>
      </c>
      <c r="AD23" s="240">
        <f t="shared" si="4"/>
        <v>10</v>
      </c>
      <c r="AE23" s="240">
        <f t="shared" si="4"/>
        <v>10</v>
      </c>
      <c r="AF23" s="240">
        <f t="shared" si="4"/>
        <v>10</v>
      </c>
    </row>
    <row r="24" spans="1:32" ht="15.75" customHeight="1">
      <c r="A24" s="676"/>
      <c r="B24" s="236" t="s">
        <v>616</v>
      </c>
      <c r="C24" s="239">
        <v>10</v>
      </c>
      <c r="D24" s="240">
        <f t="shared" ref="D24:AF24" si="5">$C24</f>
        <v>10</v>
      </c>
      <c r="E24" s="240">
        <f t="shared" si="5"/>
        <v>10</v>
      </c>
      <c r="F24" s="240">
        <f t="shared" si="5"/>
        <v>10</v>
      </c>
      <c r="G24" s="240">
        <f t="shared" si="5"/>
        <v>10</v>
      </c>
      <c r="H24" s="240">
        <f t="shared" si="5"/>
        <v>10</v>
      </c>
      <c r="I24" s="240">
        <f t="shared" si="5"/>
        <v>10</v>
      </c>
      <c r="J24" s="240">
        <f t="shared" si="5"/>
        <v>10</v>
      </c>
      <c r="K24" s="240">
        <f t="shared" si="5"/>
        <v>10</v>
      </c>
      <c r="L24" s="240">
        <f t="shared" si="5"/>
        <v>10</v>
      </c>
      <c r="M24" s="240">
        <f t="shared" si="5"/>
        <v>10</v>
      </c>
      <c r="N24" s="240">
        <f t="shared" si="5"/>
        <v>10</v>
      </c>
      <c r="O24" s="240">
        <f t="shared" si="5"/>
        <v>10</v>
      </c>
      <c r="P24" s="240">
        <f t="shared" si="5"/>
        <v>10</v>
      </c>
      <c r="Q24" s="240">
        <f t="shared" si="5"/>
        <v>10</v>
      </c>
      <c r="R24" s="240">
        <f t="shared" si="5"/>
        <v>10</v>
      </c>
      <c r="S24" s="240">
        <f t="shared" si="5"/>
        <v>10</v>
      </c>
      <c r="T24" s="240">
        <f t="shared" si="5"/>
        <v>10</v>
      </c>
      <c r="U24" s="240">
        <f t="shared" si="5"/>
        <v>10</v>
      </c>
      <c r="V24" s="240">
        <f t="shared" si="5"/>
        <v>10</v>
      </c>
      <c r="W24" s="240">
        <f t="shared" si="5"/>
        <v>10</v>
      </c>
      <c r="X24" s="240">
        <f t="shared" si="5"/>
        <v>10</v>
      </c>
      <c r="Y24" s="240">
        <f t="shared" si="5"/>
        <v>10</v>
      </c>
      <c r="Z24" s="240">
        <f t="shared" si="5"/>
        <v>10</v>
      </c>
      <c r="AA24" s="240">
        <f t="shared" si="5"/>
        <v>10</v>
      </c>
      <c r="AB24" s="240">
        <f t="shared" si="5"/>
        <v>10</v>
      </c>
      <c r="AC24" s="240">
        <f t="shared" si="5"/>
        <v>10</v>
      </c>
      <c r="AD24" s="240">
        <f t="shared" si="5"/>
        <v>10</v>
      </c>
      <c r="AE24" s="240">
        <f t="shared" si="5"/>
        <v>10</v>
      </c>
      <c r="AF24" s="240">
        <f t="shared" si="5"/>
        <v>10</v>
      </c>
    </row>
    <row r="25" spans="1:32" ht="15.75" customHeight="1">
      <c r="A25" s="676"/>
      <c r="B25" s="236" t="s">
        <v>617</v>
      </c>
      <c r="C25" s="239">
        <v>10</v>
      </c>
      <c r="D25" s="240">
        <f t="shared" ref="D25:AF25" si="6">$C25</f>
        <v>10</v>
      </c>
      <c r="E25" s="240">
        <f t="shared" si="6"/>
        <v>10</v>
      </c>
      <c r="F25" s="240">
        <f t="shared" si="6"/>
        <v>10</v>
      </c>
      <c r="G25" s="240">
        <f t="shared" si="6"/>
        <v>10</v>
      </c>
      <c r="H25" s="240">
        <f t="shared" si="6"/>
        <v>10</v>
      </c>
      <c r="I25" s="240">
        <f t="shared" si="6"/>
        <v>10</v>
      </c>
      <c r="J25" s="240">
        <f t="shared" si="6"/>
        <v>10</v>
      </c>
      <c r="K25" s="240">
        <f t="shared" si="6"/>
        <v>10</v>
      </c>
      <c r="L25" s="240">
        <f t="shared" si="6"/>
        <v>10</v>
      </c>
      <c r="M25" s="240">
        <f t="shared" si="6"/>
        <v>10</v>
      </c>
      <c r="N25" s="240">
        <f t="shared" si="6"/>
        <v>10</v>
      </c>
      <c r="O25" s="240">
        <f t="shared" si="6"/>
        <v>10</v>
      </c>
      <c r="P25" s="240">
        <f t="shared" si="6"/>
        <v>10</v>
      </c>
      <c r="Q25" s="240">
        <f t="shared" si="6"/>
        <v>10</v>
      </c>
      <c r="R25" s="240">
        <f t="shared" si="6"/>
        <v>10</v>
      </c>
      <c r="S25" s="240">
        <f t="shared" si="6"/>
        <v>10</v>
      </c>
      <c r="T25" s="240">
        <f t="shared" si="6"/>
        <v>10</v>
      </c>
      <c r="U25" s="240">
        <f t="shared" si="6"/>
        <v>10</v>
      </c>
      <c r="V25" s="240">
        <f t="shared" si="6"/>
        <v>10</v>
      </c>
      <c r="W25" s="240">
        <f t="shared" si="6"/>
        <v>10</v>
      </c>
      <c r="X25" s="240">
        <f t="shared" si="6"/>
        <v>10</v>
      </c>
      <c r="Y25" s="240">
        <f t="shared" si="6"/>
        <v>10</v>
      </c>
      <c r="Z25" s="240">
        <f t="shared" si="6"/>
        <v>10</v>
      </c>
      <c r="AA25" s="240">
        <f t="shared" si="6"/>
        <v>10</v>
      </c>
      <c r="AB25" s="240">
        <f t="shared" si="6"/>
        <v>10</v>
      </c>
      <c r="AC25" s="240">
        <f t="shared" si="6"/>
        <v>10</v>
      </c>
      <c r="AD25" s="240">
        <f t="shared" si="6"/>
        <v>10</v>
      </c>
      <c r="AE25" s="240">
        <f t="shared" si="6"/>
        <v>10</v>
      </c>
      <c r="AF25" s="240">
        <f t="shared" si="6"/>
        <v>10</v>
      </c>
    </row>
    <row r="26" spans="1:32" ht="15.75" customHeight="1">
      <c r="A26" s="676"/>
      <c r="B26" s="236" t="s">
        <v>618</v>
      </c>
      <c r="C26" s="239">
        <v>10</v>
      </c>
      <c r="D26" s="240">
        <f t="shared" ref="D26:AF26" si="7">$C26</f>
        <v>10</v>
      </c>
      <c r="E26" s="240">
        <f t="shared" si="7"/>
        <v>10</v>
      </c>
      <c r="F26" s="240">
        <f t="shared" si="7"/>
        <v>10</v>
      </c>
      <c r="G26" s="240">
        <f t="shared" si="7"/>
        <v>10</v>
      </c>
      <c r="H26" s="240">
        <f t="shared" si="7"/>
        <v>10</v>
      </c>
      <c r="I26" s="240">
        <f t="shared" si="7"/>
        <v>10</v>
      </c>
      <c r="J26" s="240">
        <f t="shared" si="7"/>
        <v>10</v>
      </c>
      <c r="K26" s="240">
        <f t="shared" si="7"/>
        <v>10</v>
      </c>
      <c r="L26" s="240">
        <f t="shared" si="7"/>
        <v>10</v>
      </c>
      <c r="M26" s="240">
        <f t="shared" si="7"/>
        <v>10</v>
      </c>
      <c r="N26" s="240">
        <f t="shared" si="7"/>
        <v>10</v>
      </c>
      <c r="O26" s="240">
        <f t="shared" si="7"/>
        <v>10</v>
      </c>
      <c r="P26" s="240">
        <f t="shared" si="7"/>
        <v>10</v>
      </c>
      <c r="Q26" s="240">
        <f t="shared" si="7"/>
        <v>10</v>
      </c>
      <c r="R26" s="240">
        <f t="shared" si="7"/>
        <v>10</v>
      </c>
      <c r="S26" s="240">
        <f t="shared" si="7"/>
        <v>10</v>
      </c>
      <c r="T26" s="240">
        <f t="shared" si="7"/>
        <v>10</v>
      </c>
      <c r="U26" s="240">
        <f t="shared" si="7"/>
        <v>10</v>
      </c>
      <c r="V26" s="240">
        <f t="shared" si="7"/>
        <v>10</v>
      </c>
      <c r="W26" s="240">
        <f t="shared" si="7"/>
        <v>10</v>
      </c>
      <c r="X26" s="240">
        <f t="shared" si="7"/>
        <v>10</v>
      </c>
      <c r="Y26" s="240">
        <f t="shared" si="7"/>
        <v>10</v>
      </c>
      <c r="Z26" s="240">
        <f t="shared" si="7"/>
        <v>10</v>
      </c>
      <c r="AA26" s="240">
        <f t="shared" si="7"/>
        <v>10</v>
      </c>
      <c r="AB26" s="240">
        <f t="shared" si="7"/>
        <v>10</v>
      </c>
      <c r="AC26" s="240">
        <f t="shared" si="7"/>
        <v>10</v>
      </c>
      <c r="AD26" s="240">
        <f t="shared" si="7"/>
        <v>10</v>
      </c>
      <c r="AE26" s="240">
        <f t="shared" si="7"/>
        <v>10</v>
      </c>
      <c r="AF26" s="240">
        <f t="shared" si="7"/>
        <v>10</v>
      </c>
    </row>
    <row r="27" spans="1:32" ht="15.75" customHeight="1">
      <c r="A27" s="676"/>
      <c r="B27" s="236" t="s">
        <v>619</v>
      </c>
      <c r="C27" s="239">
        <v>10</v>
      </c>
      <c r="D27" s="240">
        <f t="shared" ref="D27:AF27" si="8">$C27</f>
        <v>10</v>
      </c>
      <c r="E27" s="240">
        <f t="shared" si="8"/>
        <v>10</v>
      </c>
      <c r="F27" s="240">
        <f t="shared" si="8"/>
        <v>10</v>
      </c>
      <c r="G27" s="240">
        <f t="shared" si="8"/>
        <v>10</v>
      </c>
      <c r="H27" s="240">
        <f t="shared" si="8"/>
        <v>10</v>
      </c>
      <c r="I27" s="240">
        <f t="shared" si="8"/>
        <v>10</v>
      </c>
      <c r="J27" s="240">
        <f t="shared" si="8"/>
        <v>10</v>
      </c>
      <c r="K27" s="240">
        <f t="shared" si="8"/>
        <v>10</v>
      </c>
      <c r="L27" s="240">
        <f t="shared" si="8"/>
        <v>10</v>
      </c>
      <c r="M27" s="240">
        <f t="shared" si="8"/>
        <v>10</v>
      </c>
      <c r="N27" s="240">
        <f t="shared" si="8"/>
        <v>10</v>
      </c>
      <c r="O27" s="240">
        <f t="shared" si="8"/>
        <v>10</v>
      </c>
      <c r="P27" s="240">
        <f t="shared" si="8"/>
        <v>10</v>
      </c>
      <c r="Q27" s="240">
        <f t="shared" si="8"/>
        <v>10</v>
      </c>
      <c r="R27" s="240">
        <f t="shared" si="8"/>
        <v>10</v>
      </c>
      <c r="S27" s="240">
        <f t="shared" si="8"/>
        <v>10</v>
      </c>
      <c r="T27" s="240">
        <f t="shared" si="8"/>
        <v>10</v>
      </c>
      <c r="U27" s="240">
        <f t="shared" si="8"/>
        <v>10</v>
      </c>
      <c r="V27" s="240">
        <f t="shared" si="8"/>
        <v>10</v>
      </c>
      <c r="W27" s="240">
        <f t="shared" si="8"/>
        <v>10</v>
      </c>
      <c r="X27" s="240">
        <f t="shared" si="8"/>
        <v>10</v>
      </c>
      <c r="Y27" s="240">
        <f t="shared" si="8"/>
        <v>10</v>
      </c>
      <c r="Z27" s="240">
        <f t="shared" si="8"/>
        <v>10</v>
      </c>
      <c r="AA27" s="240">
        <f t="shared" si="8"/>
        <v>10</v>
      </c>
      <c r="AB27" s="240">
        <f t="shared" si="8"/>
        <v>10</v>
      </c>
      <c r="AC27" s="240">
        <f t="shared" si="8"/>
        <v>10</v>
      </c>
      <c r="AD27" s="240">
        <f t="shared" si="8"/>
        <v>10</v>
      </c>
      <c r="AE27" s="240">
        <f t="shared" si="8"/>
        <v>10</v>
      </c>
      <c r="AF27" s="240">
        <f t="shared" si="8"/>
        <v>10</v>
      </c>
    </row>
    <row r="28" spans="1:32" ht="15.75" customHeight="1">
      <c r="A28" s="676"/>
      <c r="B28" s="236" t="s">
        <v>620</v>
      </c>
      <c r="C28" s="239">
        <v>10</v>
      </c>
      <c r="D28" s="240">
        <f t="shared" ref="D28:AF28" si="9">$C28</f>
        <v>10</v>
      </c>
      <c r="E28" s="240">
        <f t="shared" si="9"/>
        <v>10</v>
      </c>
      <c r="F28" s="240">
        <f t="shared" si="9"/>
        <v>10</v>
      </c>
      <c r="G28" s="240">
        <f t="shared" si="9"/>
        <v>10</v>
      </c>
      <c r="H28" s="240">
        <f t="shared" si="9"/>
        <v>10</v>
      </c>
      <c r="I28" s="240">
        <f t="shared" si="9"/>
        <v>10</v>
      </c>
      <c r="J28" s="240">
        <f t="shared" si="9"/>
        <v>10</v>
      </c>
      <c r="K28" s="240">
        <f t="shared" si="9"/>
        <v>10</v>
      </c>
      <c r="L28" s="240">
        <f t="shared" si="9"/>
        <v>10</v>
      </c>
      <c r="M28" s="240">
        <f t="shared" si="9"/>
        <v>10</v>
      </c>
      <c r="N28" s="240">
        <f t="shared" si="9"/>
        <v>10</v>
      </c>
      <c r="O28" s="240">
        <f t="shared" si="9"/>
        <v>10</v>
      </c>
      <c r="P28" s="240">
        <f t="shared" si="9"/>
        <v>10</v>
      </c>
      <c r="Q28" s="240">
        <f t="shared" si="9"/>
        <v>10</v>
      </c>
      <c r="R28" s="240">
        <f t="shared" si="9"/>
        <v>10</v>
      </c>
      <c r="S28" s="240">
        <f t="shared" si="9"/>
        <v>10</v>
      </c>
      <c r="T28" s="240">
        <f t="shared" si="9"/>
        <v>10</v>
      </c>
      <c r="U28" s="240">
        <f t="shared" si="9"/>
        <v>10</v>
      </c>
      <c r="V28" s="240">
        <f t="shared" si="9"/>
        <v>10</v>
      </c>
      <c r="W28" s="240">
        <f t="shared" si="9"/>
        <v>10</v>
      </c>
      <c r="X28" s="240">
        <f t="shared" si="9"/>
        <v>10</v>
      </c>
      <c r="Y28" s="240">
        <f t="shared" si="9"/>
        <v>10</v>
      </c>
      <c r="Z28" s="240">
        <f t="shared" si="9"/>
        <v>10</v>
      </c>
      <c r="AA28" s="240">
        <f t="shared" si="9"/>
        <v>10</v>
      </c>
      <c r="AB28" s="240">
        <f t="shared" si="9"/>
        <v>10</v>
      </c>
      <c r="AC28" s="240">
        <f t="shared" si="9"/>
        <v>10</v>
      </c>
      <c r="AD28" s="240">
        <f t="shared" si="9"/>
        <v>10</v>
      </c>
      <c r="AE28" s="240">
        <f t="shared" si="9"/>
        <v>10</v>
      </c>
      <c r="AF28" s="240">
        <f t="shared" si="9"/>
        <v>10</v>
      </c>
    </row>
    <row r="29" spans="1:32" ht="15.75" customHeight="1">
      <c r="A29" s="676"/>
      <c r="B29" s="236" t="s">
        <v>621</v>
      </c>
      <c r="C29" s="239">
        <v>20</v>
      </c>
      <c r="D29" s="240">
        <f t="shared" ref="D29:AF29" si="10">$C29</f>
        <v>20</v>
      </c>
      <c r="E29" s="240">
        <f t="shared" si="10"/>
        <v>20</v>
      </c>
      <c r="F29" s="240">
        <f t="shared" si="10"/>
        <v>20</v>
      </c>
      <c r="G29" s="240">
        <f t="shared" si="10"/>
        <v>20</v>
      </c>
      <c r="H29" s="240">
        <f t="shared" si="10"/>
        <v>20</v>
      </c>
      <c r="I29" s="240">
        <f t="shared" si="10"/>
        <v>20</v>
      </c>
      <c r="J29" s="240">
        <f t="shared" si="10"/>
        <v>20</v>
      </c>
      <c r="K29" s="240">
        <f t="shared" si="10"/>
        <v>20</v>
      </c>
      <c r="L29" s="240">
        <f t="shared" si="10"/>
        <v>20</v>
      </c>
      <c r="M29" s="240">
        <f t="shared" si="10"/>
        <v>20</v>
      </c>
      <c r="N29" s="240">
        <f t="shared" si="10"/>
        <v>20</v>
      </c>
      <c r="O29" s="240">
        <f t="shared" si="10"/>
        <v>20</v>
      </c>
      <c r="P29" s="240">
        <f t="shared" si="10"/>
        <v>20</v>
      </c>
      <c r="Q29" s="240">
        <f t="shared" si="10"/>
        <v>20</v>
      </c>
      <c r="R29" s="240">
        <f t="shared" si="10"/>
        <v>20</v>
      </c>
      <c r="S29" s="240">
        <f t="shared" si="10"/>
        <v>20</v>
      </c>
      <c r="T29" s="240">
        <f t="shared" si="10"/>
        <v>20</v>
      </c>
      <c r="U29" s="240">
        <f t="shared" si="10"/>
        <v>20</v>
      </c>
      <c r="V29" s="240">
        <f t="shared" si="10"/>
        <v>20</v>
      </c>
      <c r="W29" s="240">
        <f t="shared" si="10"/>
        <v>20</v>
      </c>
      <c r="X29" s="240">
        <f t="shared" si="10"/>
        <v>20</v>
      </c>
      <c r="Y29" s="240">
        <f t="shared" si="10"/>
        <v>20</v>
      </c>
      <c r="Z29" s="240">
        <f t="shared" si="10"/>
        <v>20</v>
      </c>
      <c r="AA29" s="240">
        <f t="shared" si="10"/>
        <v>20</v>
      </c>
      <c r="AB29" s="240">
        <f t="shared" si="10"/>
        <v>20</v>
      </c>
      <c r="AC29" s="240">
        <f t="shared" si="10"/>
        <v>20</v>
      </c>
      <c r="AD29" s="240">
        <f t="shared" si="10"/>
        <v>20</v>
      </c>
      <c r="AE29" s="240">
        <f t="shared" si="10"/>
        <v>20</v>
      </c>
      <c r="AF29" s="240">
        <f t="shared" si="10"/>
        <v>20</v>
      </c>
    </row>
    <row r="30" spans="1:32" ht="15.75" customHeight="1">
      <c r="A30" s="676"/>
      <c r="B30" s="674"/>
      <c r="C30" s="680"/>
      <c r="D30" s="680"/>
      <c r="E30" s="680"/>
      <c r="F30" s="680"/>
      <c r="G30" s="680"/>
      <c r="H30" s="680"/>
      <c r="I30" s="680"/>
      <c r="J30" s="680"/>
      <c r="K30" s="680"/>
      <c r="L30" s="680"/>
      <c r="M30" s="680"/>
      <c r="N30" s="680"/>
      <c r="O30" s="680"/>
      <c r="P30" s="680"/>
      <c r="Q30" s="680"/>
      <c r="R30" s="680"/>
      <c r="S30" s="680"/>
      <c r="T30" s="680"/>
      <c r="U30" s="680"/>
      <c r="V30" s="680"/>
      <c r="W30" s="674"/>
      <c r="X30" s="674"/>
      <c r="Y30" s="674"/>
      <c r="Z30" s="674"/>
      <c r="AA30" s="674"/>
      <c r="AB30" s="674"/>
      <c r="AC30" s="674"/>
      <c r="AD30" s="674"/>
      <c r="AE30" s="674"/>
      <c r="AF30" s="674"/>
    </row>
    <row r="31" spans="1:32" ht="15.75" customHeight="1">
      <c r="A31" s="676"/>
      <c r="B31" s="674"/>
      <c r="C31" s="680"/>
      <c r="D31" s="680"/>
      <c r="E31" s="680"/>
      <c r="F31" s="680"/>
      <c r="G31" s="680"/>
      <c r="H31" s="680"/>
      <c r="I31" s="680"/>
      <c r="J31" s="680"/>
      <c r="K31" s="680"/>
      <c r="L31" s="680"/>
      <c r="M31" s="680"/>
      <c r="N31" s="680"/>
      <c r="O31" s="680"/>
      <c r="P31" s="680"/>
      <c r="Q31" s="680"/>
      <c r="R31" s="680"/>
      <c r="S31" s="680"/>
      <c r="T31" s="680"/>
      <c r="U31" s="680"/>
      <c r="V31" s="680"/>
      <c r="W31" s="674"/>
      <c r="X31" s="674"/>
      <c r="Y31" s="674"/>
      <c r="Z31" s="674"/>
      <c r="AA31" s="674"/>
      <c r="AB31" s="674"/>
      <c r="AC31" s="674"/>
      <c r="AD31" s="674"/>
      <c r="AE31" s="674"/>
      <c r="AF31" s="674"/>
    </row>
    <row r="32" spans="1:32" ht="15.75" customHeight="1">
      <c r="A32" s="676"/>
      <c r="B32" s="233" t="s">
        <v>622</v>
      </c>
      <c r="C32" s="803" t="s">
        <v>147</v>
      </c>
      <c r="D32" s="815"/>
      <c r="E32" s="815"/>
      <c r="F32" s="815"/>
      <c r="G32" s="815"/>
      <c r="H32" s="815"/>
      <c r="I32" s="815"/>
      <c r="J32" s="815"/>
      <c r="K32" s="815"/>
      <c r="L32" s="815"/>
      <c r="M32" s="815"/>
      <c r="N32" s="815"/>
      <c r="O32" s="815"/>
      <c r="P32" s="815"/>
      <c r="Q32" s="815"/>
      <c r="R32" s="815"/>
      <c r="S32" s="815"/>
      <c r="T32" s="815"/>
      <c r="U32" s="815"/>
      <c r="V32" s="815"/>
      <c r="W32" s="815"/>
      <c r="X32" s="815"/>
      <c r="Y32" s="815"/>
      <c r="Z32" s="815"/>
      <c r="AA32" s="815"/>
      <c r="AB32" s="815"/>
      <c r="AC32" s="815"/>
      <c r="AD32" s="815"/>
      <c r="AE32" s="815"/>
      <c r="AF32" s="815"/>
    </row>
    <row r="33" spans="1:32" ht="15.75" customHeight="1">
      <c r="A33" s="676"/>
      <c r="B33" s="234" t="str">
        <f>""&amp;B18</f>
        <v>Item</v>
      </c>
      <c r="C33" s="238">
        <v>1</v>
      </c>
      <c r="D33" s="238">
        <v>2</v>
      </c>
      <c r="E33" s="238">
        <v>3</v>
      </c>
      <c r="F33" s="238">
        <v>4</v>
      </c>
      <c r="G33" s="238">
        <v>5</v>
      </c>
      <c r="H33" s="238">
        <v>6</v>
      </c>
      <c r="I33" s="238">
        <v>7</v>
      </c>
      <c r="J33" s="238">
        <v>8</v>
      </c>
      <c r="K33" s="238">
        <v>9</v>
      </c>
      <c r="L33" s="238">
        <v>10</v>
      </c>
      <c r="M33" s="238">
        <v>11</v>
      </c>
      <c r="N33" s="238">
        <v>12</v>
      </c>
      <c r="O33" s="238">
        <v>13</v>
      </c>
      <c r="P33" s="238">
        <v>14</v>
      </c>
      <c r="Q33" s="238">
        <v>15</v>
      </c>
      <c r="R33" s="238">
        <v>16</v>
      </c>
      <c r="S33" s="238">
        <v>17</v>
      </c>
      <c r="T33" s="238">
        <v>18</v>
      </c>
      <c r="U33" s="238">
        <v>19</v>
      </c>
      <c r="V33" s="238">
        <v>20</v>
      </c>
      <c r="W33" s="238">
        <v>21</v>
      </c>
      <c r="X33" s="238">
        <v>22</v>
      </c>
      <c r="Y33" s="238">
        <v>23</v>
      </c>
      <c r="Z33" s="238">
        <v>24</v>
      </c>
      <c r="AA33" s="238">
        <v>25</v>
      </c>
      <c r="AB33" s="238">
        <v>26</v>
      </c>
      <c r="AC33" s="238">
        <v>27</v>
      </c>
      <c r="AD33" s="238">
        <v>28</v>
      </c>
      <c r="AE33" s="238">
        <v>29</v>
      </c>
      <c r="AF33" s="238">
        <v>30</v>
      </c>
    </row>
    <row r="34" spans="1:32" ht="15.75" customHeight="1">
      <c r="A34" s="676"/>
      <c r="B34" s="236" t="s">
        <v>623</v>
      </c>
      <c r="C34" s="241">
        <f t="shared" ref="C34:AF34" si="11">C19*C7</f>
        <v>773657.26027397264</v>
      </c>
      <c r="D34" s="241">
        <f t="shared" si="11"/>
        <v>2326737.4246575343</v>
      </c>
      <c r="E34" s="241">
        <f t="shared" si="11"/>
        <v>2406999.01369863</v>
      </c>
      <c r="F34" s="241">
        <f t="shared" si="11"/>
        <v>2484729.7534246575</v>
      </c>
      <c r="G34" s="241">
        <f t="shared" si="11"/>
        <v>2563695.8904109588</v>
      </c>
      <c r="H34" s="241">
        <f t="shared" si="11"/>
        <v>2644044.8219178081</v>
      </c>
      <c r="I34" s="241">
        <f t="shared" si="11"/>
        <v>2726672.6575342468</v>
      </c>
      <c r="J34" s="241">
        <f t="shared" si="11"/>
        <v>2811699.6164383558</v>
      </c>
      <c r="K34" s="241">
        <f t="shared" si="11"/>
        <v>2898279.7808219176</v>
      </c>
      <c r="L34" s="241">
        <f t="shared" si="11"/>
        <v>2986463.6712328768</v>
      </c>
      <c r="M34" s="241">
        <f t="shared" si="11"/>
        <v>3077415.232876712</v>
      </c>
      <c r="N34" s="241">
        <f t="shared" si="11"/>
        <v>3171096.3835616438</v>
      </c>
      <c r="O34" s="241">
        <f t="shared" si="11"/>
        <v>3267757.8082191781</v>
      </c>
      <c r="P34" s="241">
        <f t="shared" si="11"/>
        <v>3367345.2054794524</v>
      </c>
      <c r="Q34" s="241">
        <f t="shared" si="11"/>
        <v>3469924.1643835614</v>
      </c>
      <c r="R34" s="241">
        <f t="shared" si="11"/>
        <v>3575312.4383561644</v>
      </c>
      <c r="S34" s="241">
        <f t="shared" si="11"/>
        <v>3683384.0547945206</v>
      </c>
      <c r="T34" s="241">
        <f t="shared" si="11"/>
        <v>3793769.5342465751</v>
      </c>
      <c r="U34" s="241">
        <f t="shared" si="11"/>
        <v>3906170.0821917807</v>
      </c>
      <c r="V34" s="241">
        <f t="shared" si="11"/>
        <v>4020060.9315068498</v>
      </c>
      <c r="W34" s="241">
        <f t="shared" si="11"/>
        <v>4020060.9315068498</v>
      </c>
      <c r="X34" s="241">
        <f t="shared" si="11"/>
        <v>4020060.9315068498</v>
      </c>
      <c r="Y34" s="241">
        <f t="shared" si="11"/>
        <v>4020060.9315068498</v>
      </c>
      <c r="Z34" s="241">
        <f t="shared" si="11"/>
        <v>4020060.9315068498</v>
      </c>
      <c r="AA34" s="241">
        <f t="shared" si="11"/>
        <v>4020060.9315068498</v>
      </c>
      <c r="AB34" s="241">
        <f t="shared" si="11"/>
        <v>4020060.9315068498</v>
      </c>
      <c r="AC34" s="241">
        <f t="shared" si="11"/>
        <v>4020060.9315068498</v>
      </c>
      <c r="AD34" s="241">
        <f t="shared" si="11"/>
        <v>4020060.9315068498</v>
      </c>
      <c r="AE34" s="241">
        <f t="shared" si="11"/>
        <v>4020060.9315068498</v>
      </c>
      <c r="AF34" s="241">
        <f t="shared" si="11"/>
        <v>4020060.9315068498</v>
      </c>
    </row>
    <row r="35" spans="1:32" ht="15.75" customHeight="1">
      <c r="A35" s="676"/>
      <c r="B35" s="236" t="s">
        <v>624</v>
      </c>
      <c r="C35" s="242">
        <v>300000</v>
      </c>
      <c r="D35" s="242">
        <f t="shared" ref="D35:AF35" si="12">C35*1.05</f>
        <v>315000</v>
      </c>
      <c r="E35" s="242">
        <f t="shared" si="12"/>
        <v>330750</v>
      </c>
      <c r="F35" s="242">
        <f t="shared" si="12"/>
        <v>347287.5</v>
      </c>
      <c r="G35" s="242">
        <f t="shared" si="12"/>
        <v>364651.875</v>
      </c>
      <c r="H35" s="242">
        <f t="shared" si="12"/>
        <v>382884.46875</v>
      </c>
      <c r="I35" s="242">
        <f t="shared" si="12"/>
        <v>402028.69218750001</v>
      </c>
      <c r="J35" s="242">
        <f t="shared" si="12"/>
        <v>422130.12679687503</v>
      </c>
      <c r="K35" s="242">
        <f t="shared" si="12"/>
        <v>443236.63313671882</v>
      </c>
      <c r="L35" s="242">
        <f t="shared" si="12"/>
        <v>465398.4647935548</v>
      </c>
      <c r="M35" s="242">
        <f t="shared" si="12"/>
        <v>488668.38803323254</v>
      </c>
      <c r="N35" s="242">
        <f t="shared" si="12"/>
        <v>513101.8074348942</v>
      </c>
      <c r="O35" s="242">
        <f t="shared" si="12"/>
        <v>538756.89780663897</v>
      </c>
      <c r="P35" s="242">
        <f t="shared" si="12"/>
        <v>565694.74269697093</v>
      </c>
      <c r="Q35" s="242">
        <f t="shared" si="12"/>
        <v>593979.47983181954</v>
      </c>
      <c r="R35" s="242">
        <f t="shared" si="12"/>
        <v>623678.45382341056</v>
      </c>
      <c r="S35" s="242">
        <f t="shared" si="12"/>
        <v>654862.37651458115</v>
      </c>
      <c r="T35" s="242">
        <f t="shared" si="12"/>
        <v>687605.49534031027</v>
      </c>
      <c r="U35" s="242">
        <f t="shared" si="12"/>
        <v>721985.77010732586</v>
      </c>
      <c r="V35" s="242">
        <f t="shared" si="12"/>
        <v>758085.05861269217</v>
      </c>
      <c r="W35" s="242">
        <f t="shared" si="12"/>
        <v>795989.31154332682</v>
      </c>
      <c r="X35" s="242">
        <f t="shared" si="12"/>
        <v>835788.77712049324</v>
      </c>
      <c r="Y35" s="242">
        <f t="shared" si="12"/>
        <v>877578.21597651788</v>
      </c>
      <c r="Z35" s="242">
        <f t="shared" si="12"/>
        <v>921457.12677534379</v>
      </c>
      <c r="AA35" s="242">
        <f t="shared" si="12"/>
        <v>967529.983114111</v>
      </c>
      <c r="AB35" s="242">
        <f t="shared" si="12"/>
        <v>1015906.4822698166</v>
      </c>
      <c r="AC35" s="242">
        <f t="shared" si="12"/>
        <v>1066701.8063833073</v>
      </c>
      <c r="AD35" s="242">
        <f t="shared" si="12"/>
        <v>1120036.8967024728</v>
      </c>
      <c r="AE35" s="242">
        <f t="shared" si="12"/>
        <v>1176038.7415375966</v>
      </c>
      <c r="AF35" s="242">
        <f t="shared" si="12"/>
        <v>1234840.6786144765</v>
      </c>
    </row>
    <row r="36" spans="1:32" ht="15.75" customHeight="1">
      <c r="A36" s="676"/>
      <c r="B36" s="243" t="s">
        <v>625</v>
      </c>
      <c r="C36" s="244">
        <f t="shared" ref="C36:AF36" si="13">SUM(C34:C35)</f>
        <v>1073657.2602739725</v>
      </c>
      <c r="D36" s="244">
        <f t="shared" si="13"/>
        <v>2641737.4246575343</v>
      </c>
      <c r="E36" s="244">
        <f t="shared" si="13"/>
        <v>2737749.01369863</v>
      </c>
      <c r="F36" s="244">
        <f t="shared" si="13"/>
        <v>2832017.2534246575</v>
      </c>
      <c r="G36" s="244">
        <f t="shared" si="13"/>
        <v>2928347.7654109588</v>
      </c>
      <c r="H36" s="244">
        <f t="shared" si="13"/>
        <v>3026929.2906678081</v>
      </c>
      <c r="I36" s="244">
        <f t="shared" si="13"/>
        <v>3128701.349721747</v>
      </c>
      <c r="J36" s="244">
        <f t="shared" si="13"/>
        <v>3233829.7432352309</v>
      </c>
      <c r="K36" s="244">
        <f t="shared" si="13"/>
        <v>3341516.4139586366</v>
      </c>
      <c r="L36" s="244">
        <f t="shared" si="13"/>
        <v>3451862.1360264318</v>
      </c>
      <c r="M36" s="244">
        <f t="shared" si="13"/>
        <v>3566083.6209099446</v>
      </c>
      <c r="N36" s="244">
        <f t="shared" si="13"/>
        <v>3684198.1909965379</v>
      </c>
      <c r="O36" s="244">
        <f t="shared" si="13"/>
        <v>3806514.706025817</v>
      </c>
      <c r="P36" s="244">
        <f t="shared" si="13"/>
        <v>3933039.9481764231</v>
      </c>
      <c r="Q36" s="244">
        <f t="shared" si="13"/>
        <v>4063903.6442153808</v>
      </c>
      <c r="R36" s="244">
        <f t="shared" si="13"/>
        <v>4198990.8921795748</v>
      </c>
      <c r="S36" s="244">
        <f t="shared" si="13"/>
        <v>4338246.4313091021</v>
      </c>
      <c r="T36" s="244">
        <f t="shared" si="13"/>
        <v>4481375.0295868851</v>
      </c>
      <c r="U36" s="244">
        <f t="shared" si="13"/>
        <v>4628155.8522991063</v>
      </c>
      <c r="V36" s="244">
        <f t="shared" si="13"/>
        <v>4778145.990119542</v>
      </c>
      <c r="W36" s="244">
        <f t="shared" si="13"/>
        <v>4816050.2430501767</v>
      </c>
      <c r="X36" s="244">
        <f t="shared" si="13"/>
        <v>4855849.7086273432</v>
      </c>
      <c r="Y36" s="244">
        <f t="shared" si="13"/>
        <v>4897639.1474833675</v>
      </c>
      <c r="Z36" s="244">
        <f t="shared" si="13"/>
        <v>4941518.0582821937</v>
      </c>
      <c r="AA36" s="244">
        <f t="shared" si="13"/>
        <v>4987590.9146209611</v>
      </c>
      <c r="AB36" s="244">
        <f t="shared" si="13"/>
        <v>5035967.4137766659</v>
      </c>
      <c r="AC36" s="244">
        <f t="shared" si="13"/>
        <v>5086762.7378901569</v>
      </c>
      <c r="AD36" s="244">
        <f t="shared" si="13"/>
        <v>5140097.8282093229</v>
      </c>
      <c r="AE36" s="244">
        <f t="shared" si="13"/>
        <v>5196099.6730444469</v>
      </c>
      <c r="AF36" s="244">
        <f t="shared" si="13"/>
        <v>5254901.6101213265</v>
      </c>
    </row>
    <row r="37" spans="1:32" ht="15.75" customHeight="1">
      <c r="A37" s="676"/>
      <c r="B37" s="674"/>
      <c r="C37" s="680"/>
      <c r="D37" s="680"/>
      <c r="E37" s="680"/>
      <c r="F37" s="680"/>
      <c r="G37" s="680"/>
      <c r="H37" s="680"/>
      <c r="I37" s="680"/>
      <c r="J37" s="680"/>
      <c r="K37" s="680"/>
      <c r="L37" s="680"/>
      <c r="M37" s="680"/>
      <c r="N37" s="680"/>
      <c r="O37" s="680"/>
      <c r="P37" s="680"/>
      <c r="Q37" s="680"/>
      <c r="R37" s="680"/>
      <c r="S37" s="680"/>
      <c r="T37" s="680"/>
      <c r="U37" s="680"/>
      <c r="V37" s="680"/>
      <c r="W37" s="674"/>
      <c r="X37" s="674"/>
      <c r="Y37" s="674"/>
      <c r="Z37" s="674"/>
      <c r="AA37" s="674"/>
      <c r="AB37" s="674"/>
      <c r="AC37" s="674"/>
      <c r="AD37" s="674"/>
      <c r="AE37" s="674"/>
      <c r="AF37" s="674"/>
    </row>
    <row r="38" spans="1:32" ht="15.75" customHeight="1">
      <c r="A38" s="676"/>
      <c r="B38" s="674"/>
      <c r="C38" s="680"/>
      <c r="D38" s="680"/>
      <c r="E38" s="680"/>
      <c r="F38" s="680"/>
      <c r="G38" s="680"/>
      <c r="H38" s="680"/>
      <c r="I38" s="680"/>
      <c r="J38" s="680"/>
      <c r="K38" s="680"/>
      <c r="L38" s="680"/>
      <c r="M38" s="680"/>
      <c r="N38" s="680"/>
      <c r="O38" s="680"/>
      <c r="P38" s="680"/>
      <c r="Q38" s="680"/>
      <c r="R38" s="680"/>
      <c r="S38" s="680"/>
      <c r="T38" s="680"/>
      <c r="U38" s="680"/>
      <c r="V38" s="680"/>
      <c r="W38" s="674"/>
      <c r="X38" s="674"/>
      <c r="Y38" s="674"/>
      <c r="Z38" s="674"/>
      <c r="AA38" s="674"/>
      <c r="AB38" s="674"/>
      <c r="AC38" s="674"/>
      <c r="AD38" s="674"/>
      <c r="AE38" s="674"/>
      <c r="AF38" s="674"/>
    </row>
    <row r="39" spans="1:32" ht="15.75" customHeight="1">
      <c r="A39" s="676"/>
      <c r="B39" s="233" t="s">
        <v>626</v>
      </c>
      <c r="C39" s="803" t="s">
        <v>147</v>
      </c>
      <c r="D39" s="815"/>
      <c r="E39" s="815"/>
      <c r="F39" s="815"/>
      <c r="G39" s="815"/>
      <c r="H39" s="815"/>
      <c r="I39" s="815"/>
      <c r="J39" s="815"/>
      <c r="K39" s="815"/>
      <c r="L39" s="815"/>
      <c r="M39" s="815"/>
      <c r="N39" s="815"/>
      <c r="O39" s="815"/>
      <c r="P39" s="815"/>
      <c r="Q39" s="815"/>
      <c r="R39" s="815"/>
      <c r="S39" s="815"/>
      <c r="T39" s="815"/>
      <c r="U39" s="815"/>
      <c r="V39" s="815"/>
      <c r="W39" s="815"/>
      <c r="X39" s="815"/>
      <c r="Y39" s="815"/>
      <c r="Z39" s="815"/>
      <c r="AA39" s="815"/>
      <c r="AB39" s="815"/>
      <c r="AC39" s="815"/>
      <c r="AD39" s="815"/>
      <c r="AE39" s="815"/>
      <c r="AF39" s="815"/>
    </row>
    <row r="40" spans="1:32" ht="15.75" customHeight="1">
      <c r="A40" s="676"/>
      <c r="B40" s="234" t="str">
        <f>""&amp;B18</f>
        <v>Item</v>
      </c>
      <c r="C40" s="238">
        <v>1</v>
      </c>
      <c r="D40" s="238">
        <v>2</v>
      </c>
      <c r="E40" s="238">
        <v>3</v>
      </c>
      <c r="F40" s="238">
        <v>4</v>
      </c>
      <c r="G40" s="238">
        <v>5</v>
      </c>
      <c r="H40" s="238">
        <v>6</v>
      </c>
      <c r="I40" s="238">
        <v>7</v>
      </c>
      <c r="J40" s="238">
        <v>8</v>
      </c>
      <c r="K40" s="238">
        <v>9</v>
      </c>
      <c r="L40" s="238">
        <v>10</v>
      </c>
      <c r="M40" s="238">
        <v>11</v>
      </c>
      <c r="N40" s="238">
        <v>12</v>
      </c>
      <c r="O40" s="238">
        <v>13</v>
      </c>
      <c r="P40" s="238">
        <v>14</v>
      </c>
      <c r="Q40" s="238">
        <v>15</v>
      </c>
      <c r="R40" s="238">
        <v>16</v>
      </c>
      <c r="S40" s="238">
        <v>17</v>
      </c>
      <c r="T40" s="238">
        <v>18</v>
      </c>
      <c r="U40" s="238">
        <v>19</v>
      </c>
      <c r="V40" s="238">
        <v>20</v>
      </c>
      <c r="W40" s="238">
        <v>21</v>
      </c>
      <c r="X40" s="238">
        <v>22</v>
      </c>
      <c r="Y40" s="238">
        <v>23</v>
      </c>
      <c r="Z40" s="238">
        <v>24</v>
      </c>
      <c r="AA40" s="238">
        <v>25</v>
      </c>
      <c r="AB40" s="238">
        <v>26</v>
      </c>
      <c r="AC40" s="238">
        <v>27</v>
      </c>
      <c r="AD40" s="238">
        <v>28</v>
      </c>
      <c r="AE40" s="238">
        <v>29</v>
      </c>
      <c r="AF40" s="238">
        <v>30</v>
      </c>
    </row>
    <row r="41" spans="1:32" ht="15.75" customHeight="1">
      <c r="A41" s="676"/>
      <c r="B41" s="236" t="s">
        <v>627</v>
      </c>
      <c r="C41" s="241">
        <f t="shared" ref="C41:C46" si="14">C20*C8</f>
        <v>11891.398630136988</v>
      </c>
      <c r="D41" s="241">
        <f t="shared" ref="D41:AF41" si="15">D23*D8</f>
        <v>116297.29671232877</v>
      </c>
      <c r="E41" s="241">
        <f t="shared" si="15"/>
        <v>120309.83369863013</v>
      </c>
      <c r="F41" s="241">
        <f t="shared" si="15"/>
        <v>124194.73808219176</v>
      </c>
      <c r="G41" s="241">
        <f t="shared" si="15"/>
        <v>128140.88684931507</v>
      </c>
      <c r="H41" s="241">
        <f t="shared" si="15"/>
        <v>132156.66630136987</v>
      </c>
      <c r="I41" s="241">
        <f t="shared" si="15"/>
        <v>136288.03452054792</v>
      </c>
      <c r="J41" s="241">
        <f t="shared" si="15"/>
        <v>140537.57890410957</v>
      </c>
      <c r="K41" s="241">
        <f t="shared" si="15"/>
        <v>144865.57808219176</v>
      </c>
      <c r="L41" s="241">
        <f t="shared" si="15"/>
        <v>149271.58164383564</v>
      </c>
      <c r="M41" s="241">
        <f t="shared" si="15"/>
        <v>153818.18958904108</v>
      </c>
      <c r="N41" s="241">
        <f t="shared" si="15"/>
        <v>158500.90109589041</v>
      </c>
      <c r="O41" s="241">
        <f t="shared" si="15"/>
        <v>163331.87369863014</v>
      </c>
      <c r="P41" s="241">
        <f t="shared" si="15"/>
        <v>168310.05561643836</v>
      </c>
      <c r="Q41" s="241">
        <f t="shared" si="15"/>
        <v>173437.26109589043</v>
      </c>
      <c r="R41" s="241">
        <f t="shared" si="15"/>
        <v>178704.48410958902</v>
      </c>
      <c r="S41" s="241">
        <f t="shared" si="15"/>
        <v>184105.92191780824</v>
      </c>
      <c r="T41" s="241">
        <f t="shared" si="15"/>
        <v>189624.07479452057</v>
      </c>
      <c r="U41" s="241">
        <f t="shared" si="15"/>
        <v>195242.81315068493</v>
      </c>
      <c r="V41" s="241">
        <f t="shared" si="15"/>
        <v>200935.32356164383</v>
      </c>
      <c r="W41" s="241">
        <f t="shared" si="15"/>
        <v>200935.32356164383</v>
      </c>
      <c r="X41" s="241">
        <f t="shared" si="15"/>
        <v>200935.32356164383</v>
      </c>
      <c r="Y41" s="241">
        <f t="shared" si="15"/>
        <v>200935.32356164383</v>
      </c>
      <c r="Z41" s="241">
        <f t="shared" si="15"/>
        <v>200935.32356164383</v>
      </c>
      <c r="AA41" s="241">
        <f t="shared" si="15"/>
        <v>200935.32356164383</v>
      </c>
      <c r="AB41" s="241">
        <f t="shared" si="15"/>
        <v>200935.32356164383</v>
      </c>
      <c r="AC41" s="241">
        <f t="shared" si="15"/>
        <v>200935.32356164383</v>
      </c>
      <c r="AD41" s="241">
        <f t="shared" si="15"/>
        <v>200935.32356164383</v>
      </c>
      <c r="AE41" s="241">
        <f t="shared" si="15"/>
        <v>200935.32356164383</v>
      </c>
      <c r="AF41" s="241">
        <f t="shared" si="15"/>
        <v>200935.32356164383</v>
      </c>
    </row>
    <row r="42" spans="1:32" ht="15.75" customHeight="1">
      <c r="A42" s="676"/>
      <c r="B42" s="236" t="s">
        <v>628</v>
      </c>
      <c r="C42" s="241">
        <f t="shared" si="14"/>
        <v>40494.17039628877</v>
      </c>
      <c r="D42" s="241">
        <f t="shared" ref="D42:AF42" si="16">D21*D9</f>
        <v>156381.68192573151</v>
      </c>
      <c r="E42" s="241">
        <f t="shared" si="16"/>
        <v>156381.68192573151</v>
      </c>
      <c r="F42" s="241">
        <f t="shared" si="16"/>
        <v>156381.68192573151</v>
      </c>
      <c r="G42" s="241">
        <f t="shared" si="16"/>
        <v>156381.68192573151</v>
      </c>
      <c r="H42" s="241">
        <f t="shared" si="16"/>
        <v>156381.68192573151</v>
      </c>
      <c r="I42" s="241">
        <f t="shared" si="16"/>
        <v>156381.68192573151</v>
      </c>
      <c r="J42" s="241">
        <f t="shared" si="16"/>
        <v>156381.68192573151</v>
      </c>
      <c r="K42" s="241">
        <f t="shared" si="16"/>
        <v>156381.68192573151</v>
      </c>
      <c r="L42" s="241">
        <f t="shared" si="16"/>
        <v>156381.68192573151</v>
      </c>
      <c r="M42" s="241">
        <f t="shared" si="16"/>
        <v>156381.68192573151</v>
      </c>
      <c r="N42" s="241">
        <f t="shared" si="16"/>
        <v>156381.68192573151</v>
      </c>
      <c r="O42" s="241">
        <f t="shared" si="16"/>
        <v>156381.68192573151</v>
      </c>
      <c r="P42" s="241">
        <f t="shared" si="16"/>
        <v>156381.68192573151</v>
      </c>
      <c r="Q42" s="241">
        <f t="shared" si="16"/>
        <v>156381.68192573151</v>
      </c>
      <c r="R42" s="241">
        <f t="shared" si="16"/>
        <v>156381.68192573151</v>
      </c>
      <c r="S42" s="241">
        <f t="shared" si="16"/>
        <v>156381.68192573151</v>
      </c>
      <c r="T42" s="241">
        <f t="shared" si="16"/>
        <v>156381.68192573151</v>
      </c>
      <c r="U42" s="241">
        <f t="shared" si="16"/>
        <v>156381.68192573151</v>
      </c>
      <c r="V42" s="241">
        <f t="shared" si="16"/>
        <v>156381.68192573151</v>
      </c>
      <c r="W42" s="241">
        <f t="shared" si="16"/>
        <v>156381.68192573151</v>
      </c>
      <c r="X42" s="241">
        <f t="shared" si="16"/>
        <v>156381.68192573151</v>
      </c>
      <c r="Y42" s="241">
        <f t="shared" si="16"/>
        <v>156381.68192573151</v>
      </c>
      <c r="Z42" s="241">
        <f t="shared" si="16"/>
        <v>156381.68192573151</v>
      </c>
      <c r="AA42" s="241">
        <f t="shared" si="16"/>
        <v>156381.68192573151</v>
      </c>
      <c r="AB42" s="241">
        <f t="shared" si="16"/>
        <v>156381.68192573151</v>
      </c>
      <c r="AC42" s="241">
        <f t="shared" si="16"/>
        <v>156381.68192573151</v>
      </c>
      <c r="AD42" s="241">
        <f t="shared" si="16"/>
        <v>156381.68192573151</v>
      </c>
      <c r="AE42" s="241">
        <f t="shared" si="16"/>
        <v>156381.68192573151</v>
      </c>
      <c r="AF42" s="241">
        <f t="shared" si="16"/>
        <v>156381.68192573151</v>
      </c>
    </row>
    <row r="43" spans="1:32" ht="15.75" customHeight="1">
      <c r="A43" s="676"/>
      <c r="B43" s="236" t="s">
        <v>629</v>
      </c>
      <c r="C43" s="241">
        <f t="shared" si="14"/>
        <v>14326.986301369863</v>
      </c>
      <c r="D43" s="241">
        <f t="shared" ref="D43:AF43" si="17">D22*D10</f>
        <v>29642.493150684932</v>
      </c>
      <c r="E43" s="241">
        <f t="shared" si="17"/>
        <v>30664.95890410959</v>
      </c>
      <c r="F43" s="241">
        <f t="shared" si="17"/>
        <v>31655.287671232876</v>
      </c>
      <c r="G43" s="241">
        <f t="shared" si="17"/>
        <v>32661.342465753423</v>
      </c>
      <c r="H43" s="241">
        <f t="shared" si="17"/>
        <v>33685.04109589041</v>
      </c>
      <c r="I43" s="241">
        <f t="shared" si="17"/>
        <v>34737.589041095889</v>
      </c>
      <c r="J43" s="241">
        <f t="shared" si="17"/>
        <v>35820.849315068495</v>
      </c>
      <c r="K43" s="241">
        <f t="shared" si="17"/>
        <v>36923.835616438359</v>
      </c>
      <c r="L43" s="241">
        <f t="shared" si="17"/>
        <v>38047.424657534248</v>
      </c>
      <c r="M43" s="241">
        <f t="shared" si="17"/>
        <v>39206.136986301368</v>
      </c>
      <c r="N43" s="241">
        <f t="shared" si="17"/>
        <v>40399.534246575342</v>
      </c>
      <c r="O43" s="241">
        <f t="shared" si="17"/>
        <v>41631.04109589041</v>
      </c>
      <c r="P43" s="241">
        <f t="shared" si="17"/>
        <v>42899.753424657538</v>
      </c>
      <c r="Q43" s="241">
        <f t="shared" si="17"/>
        <v>44206.602739726033</v>
      </c>
      <c r="R43" s="241">
        <f t="shared" si="17"/>
        <v>45549.28767123288</v>
      </c>
      <c r="S43" s="241">
        <f t="shared" si="17"/>
        <v>46926.164383561641</v>
      </c>
      <c r="T43" s="241">
        <f t="shared" si="17"/>
        <v>48332.356164383564</v>
      </c>
      <c r="U43" s="241">
        <f t="shared" si="17"/>
        <v>49764.273972602743</v>
      </c>
      <c r="V43" s="241">
        <f t="shared" si="17"/>
        <v>51215.260273972599</v>
      </c>
      <c r="W43" s="241">
        <f t="shared" si="17"/>
        <v>51215.260273972599</v>
      </c>
      <c r="X43" s="241">
        <f t="shared" si="17"/>
        <v>51215.260273972599</v>
      </c>
      <c r="Y43" s="241">
        <f t="shared" si="17"/>
        <v>51215.260273972599</v>
      </c>
      <c r="Z43" s="241">
        <f t="shared" si="17"/>
        <v>51215.260273972599</v>
      </c>
      <c r="AA43" s="241">
        <f t="shared" si="17"/>
        <v>51215.260273972599</v>
      </c>
      <c r="AB43" s="241">
        <f t="shared" si="17"/>
        <v>51215.260273972599</v>
      </c>
      <c r="AC43" s="241">
        <f t="shared" si="17"/>
        <v>51215.260273972599</v>
      </c>
      <c r="AD43" s="241">
        <f t="shared" si="17"/>
        <v>51215.260273972599</v>
      </c>
      <c r="AE43" s="241">
        <f t="shared" si="17"/>
        <v>51215.260273972599</v>
      </c>
      <c r="AF43" s="241">
        <f t="shared" si="17"/>
        <v>51215.260273972599</v>
      </c>
    </row>
    <row r="44" spans="1:32" ht="15.75" customHeight="1">
      <c r="A44" s="676"/>
      <c r="B44" s="236" t="s">
        <v>630</v>
      </c>
      <c r="C44" s="241">
        <f t="shared" si="14"/>
        <v>2013639.4520547944</v>
      </c>
      <c r="D44" s="241">
        <f t="shared" ref="D44:AF44" si="18">D23*D11</f>
        <v>2013639.4520547944</v>
      </c>
      <c r="E44" s="241">
        <f t="shared" si="18"/>
        <v>2013639.4520547944</v>
      </c>
      <c r="F44" s="241">
        <f t="shared" si="18"/>
        <v>2013639.4520547944</v>
      </c>
      <c r="G44" s="241">
        <f t="shared" si="18"/>
        <v>2013639.4520547944</v>
      </c>
      <c r="H44" s="241">
        <f t="shared" si="18"/>
        <v>2013639.4520547944</v>
      </c>
      <c r="I44" s="241">
        <f t="shared" si="18"/>
        <v>2013639.4520547944</v>
      </c>
      <c r="J44" s="241">
        <f t="shared" si="18"/>
        <v>2013639.4520547944</v>
      </c>
      <c r="K44" s="241">
        <f t="shared" si="18"/>
        <v>2013639.4520547944</v>
      </c>
      <c r="L44" s="241">
        <f t="shared" si="18"/>
        <v>2013639.4520547944</v>
      </c>
      <c r="M44" s="241">
        <f t="shared" si="18"/>
        <v>20694.379178082196</v>
      </c>
      <c r="N44" s="241">
        <f t="shared" si="18"/>
        <v>45543.661808219185</v>
      </c>
      <c r="O44" s="241">
        <f t="shared" si="18"/>
        <v>46827.847232876709</v>
      </c>
      <c r="P44" s="241">
        <f t="shared" si="18"/>
        <v>48071.539068493148</v>
      </c>
      <c r="Q44" s="241">
        <f t="shared" si="18"/>
        <v>49334.997260273965</v>
      </c>
      <c r="R44" s="241">
        <f t="shared" si="18"/>
        <v>50620.580164383566</v>
      </c>
      <c r="S44" s="241">
        <f t="shared" si="18"/>
        <v>51942.625534246581</v>
      </c>
      <c r="T44" s="241">
        <f t="shared" si="18"/>
        <v>53303.056876712348</v>
      </c>
      <c r="U44" s="241">
        <f t="shared" si="18"/>
        <v>54688.339506849305</v>
      </c>
      <c r="V44" s="241">
        <f t="shared" si="18"/>
        <v>56099.281753424657</v>
      </c>
      <c r="W44" s="241">
        <f t="shared" si="18"/>
        <v>57554.506739726043</v>
      </c>
      <c r="X44" s="241">
        <f t="shared" si="18"/>
        <v>59053.40515068495</v>
      </c>
      <c r="Y44" s="241">
        <f t="shared" si="18"/>
        <v>60599.987945205467</v>
      </c>
      <c r="Z44" s="241">
        <f t="shared" si="18"/>
        <v>62193.386301369886</v>
      </c>
      <c r="AA44" s="241">
        <f t="shared" si="18"/>
        <v>63834.649643835597</v>
      </c>
      <c r="AB44" s="241">
        <f t="shared" si="18"/>
        <v>65520.862027397277</v>
      </c>
      <c r="AC44" s="241">
        <f t="shared" si="18"/>
        <v>67250.007890410954</v>
      </c>
      <c r="AD44" s="241">
        <f t="shared" si="18"/>
        <v>69016.175561643846</v>
      </c>
      <c r="AE44" s="241">
        <f t="shared" si="18"/>
        <v>70814.584328767116</v>
      </c>
      <c r="AF44" s="241">
        <f t="shared" si="18"/>
        <v>72636.83791780824</v>
      </c>
    </row>
    <row r="45" spans="1:32" ht="15.75" customHeight="1">
      <c r="A45" s="676"/>
      <c r="B45" s="236" t="s">
        <v>631</v>
      </c>
      <c r="C45" s="241">
        <f t="shared" si="14"/>
        <v>124632.61061810851</v>
      </c>
      <c r="D45" s="241">
        <f t="shared" ref="D45:AF45" si="19">D24*D12</f>
        <v>124632.61061810851</v>
      </c>
      <c r="E45" s="241">
        <f t="shared" si="19"/>
        <v>124632.61061810851</v>
      </c>
      <c r="F45" s="241">
        <f t="shared" si="19"/>
        <v>124632.61061810851</v>
      </c>
      <c r="G45" s="241">
        <f t="shared" si="19"/>
        <v>124632.61061810851</v>
      </c>
      <c r="H45" s="241">
        <f t="shared" si="19"/>
        <v>124632.61061810851</v>
      </c>
      <c r="I45" s="241">
        <f t="shared" si="19"/>
        <v>124632.61061810851</v>
      </c>
      <c r="J45" s="241">
        <f t="shared" si="19"/>
        <v>124632.61061810851</v>
      </c>
      <c r="K45" s="241">
        <f t="shared" si="19"/>
        <v>124632.61061810851</v>
      </c>
      <c r="L45" s="241">
        <f t="shared" si="19"/>
        <v>124632.61061810851</v>
      </c>
      <c r="M45" s="241">
        <f t="shared" si="19"/>
        <v>124632.61061810851</v>
      </c>
      <c r="N45" s="241">
        <f t="shared" si="19"/>
        <v>124632.61061810851</v>
      </c>
      <c r="O45" s="241">
        <f t="shared" si="19"/>
        <v>124632.61061810851</v>
      </c>
      <c r="P45" s="241">
        <f t="shared" si="19"/>
        <v>124632.61061810851</v>
      </c>
      <c r="Q45" s="241">
        <f t="shared" si="19"/>
        <v>124632.61061810851</v>
      </c>
      <c r="R45" s="241">
        <f t="shared" si="19"/>
        <v>124632.61061810851</v>
      </c>
      <c r="S45" s="241">
        <f t="shared" si="19"/>
        <v>124632.61061810851</v>
      </c>
      <c r="T45" s="241">
        <f t="shared" si="19"/>
        <v>124632.61061810851</v>
      </c>
      <c r="U45" s="241">
        <f t="shared" si="19"/>
        <v>124632.61061810851</v>
      </c>
      <c r="V45" s="241">
        <f t="shared" si="19"/>
        <v>124632.61061810851</v>
      </c>
      <c r="W45" s="241">
        <f t="shared" si="19"/>
        <v>124632.61061810851</v>
      </c>
      <c r="X45" s="241">
        <f t="shared" si="19"/>
        <v>124632.61061810851</v>
      </c>
      <c r="Y45" s="241">
        <f t="shared" si="19"/>
        <v>124632.61061810851</v>
      </c>
      <c r="Z45" s="241">
        <f t="shared" si="19"/>
        <v>124632.61061810851</v>
      </c>
      <c r="AA45" s="241">
        <f t="shared" si="19"/>
        <v>124632.61061810851</v>
      </c>
      <c r="AB45" s="241">
        <f t="shared" si="19"/>
        <v>124632.61061810851</v>
      </c>
      <c r="AC45" s="241">
        <f t="shared" si="19"/>
        <v>124632.61061810851</v>
      </c>
      <c r="AD45" s="241">
        <f t="shared" si="19"/>
        <v>124632.61061810851</v>
      </c>
      <c r="AE45" s="241">
        <f t="shared" si="19"/>
        <v>124632.61061810851</v>
      </c>
      <c r="AF45" s="241">
        <f t="shared" si="19"/>
        <v>124632.61061810851</v>
      </c>
    </row>
    <row r="46" spans="1:32" ht="15.75" customHeight="1">
      <c r="A46" s="676"/>
      <c r="B46" s="236" t="s">
        <v>632</v>
      </c>
      <c r="C46" s="241">
        <f t="shared" si="14"/>
        <v>4271613.4231484933</v>
      </c>
      <c r="D46" s="241">
        <f t="shared" ref="D46:AF46" si="20">D25*D13</f>
        <v>4252401.5885435622</v>
      </c>
      <c r="E46" s="241">
        <f t="shared" si="20"/>
        <v>4231996.3292810954</v>
      </c>
      <c r="F46" s="241">
        <f t="shared" si="20"/>
        <v>4211591.0700186305</v>
      </c>
      <c r="G46" s="241">
        <f t="shared" si="20"/>
        <v>4192379.2354136989</v>
      </c>
      <c r="H46" s="241">
        <f t="shared" si="20"/>
        <v>4250623.6205347944</v>
      </c>
      <c r="I46" s="241">
        <f t="shared" si="20"/>
        <v>4230218.3612723295</v>
      </c>
      <c r="J46" s="241">
        <f t="shared" si="20"/>
        <v>4211006.5266673975</v>
      </c>
      <c r="K46" s="241">
        <f t="shared" si="20"/>
        <v>4190601.2674049316</v>
      </c>
      <c r="L46" s="241">
        <f t="shared" si="20"/>
        <v>4170196.0081424662</v>
      </c>
      <c r="M46" s="241">
        <f t="shared" si="20"/>
        <v>142141.12440817532</v>
      </c>
      <c r="N46" s="241">
        <f t="shared" si="20"/>
        <v>191530.43653799454</v>
      </c>
      <c r="O46" s="241">
        <f t="shared" si="20"/>
        <v>193792.94877740275</v>
      </c>
      <c r="P46" s="241">
        <f t="shared" si="20"/>
        <v>195995.12863324929</v>
      </c>
      <c r="Q46" s="241">
        <f t="shared" si="20"/>
        <v>198214.54531101367</v>
      </c>
      <c r="R46" s="241">
        <f t="shared" si="20"/>
        <v>202052.96868466848</v>
      </c>
      <c r="S46" s="241">
        <f t="shared" si="20"/>
        <v>204418.07752681646</v>
      </c>
      <c r="T46" s="241">
        <f t="shared" si="20"/>
        <v>206839.16105389592</v>
      </c>
      <c r="U46" s="241">
        <f t="shared" si="20"/>
        <v>209311.91975905752</v>
      </c>
      <c r="V46" s="241">
        <f t="shared" si="20"/>
        <v>211861.92646421914</v>
      </c>
      <c r="W46" s="241">
        <f t="shared" si="20"/>
        <v>216908.63980543561</v>
      </c>
      <c r="X46" s="241">
        <f t="shared" si="20"/>
        <v>219617.67116813149</v>
      </c>
      <c r="Y46" s="241">
        <f t="shared" si="20"/>
        <v>222449.75075000548</v>
      </c>
      <c r="Z46" s="241">
        <f t="shared" si="20"/>
        <v>225355.31350996165</v>
      </c>
      <c r="AA46" s="241">
        <f t="shared" si="20"/>
        <v>228360.4199411507</v>
      </c>
      <c r="AB46" s="241">
        <f t="shared" si="20"/>
        <v>233055.8693969973</v>
      </c>
      <c r="AC46" s="241">
        <f t="shared" si="20"/>
        <v>236243.7436090082</v>
      </c>
      <c r="AD46" s="241">
        <f t="shared" si="20"/>
        <v>239508.59294430687</v>
      </c>
      <c r="AE46" s="241">
        <f t="shared" si="20"/>
        <v>242864.36556727672</v>
      </c>
      <c r="AF46" s="241">
        <f t="shared" si="20"/>
        <v>246245.86619024657</v>
      </c>
    </row>
    <row r="47" spans="1:32" ht="15.75" customHeight="1">
      <c r="A47" s="676"/>
      <c r="B47" s="236" t="s">
        <v>633</v>
      </c>
      <c r="C47" s="241">
        <f t="shared" ref="C47:AF47" si="21">C29*C14</f>
        <v>110246.15958904111</v>
      </c>
      <c r="D47" s="241">
        <f t="shared" si="21"/>
        <v>594066.0162457499</v>
      </c>
      <c r="E47" s="241">
        <f t="shared" si="21"/>
        <v>612144.98623205267</v>
      </c>
      <c r="F47" s="241">
        <f t="shared" si="21"/>
        <v>640220.64163229789</v>
      </c>
      <c r="G47" s="241">
        <f t="shared" si="21"/>
        <v>671871.66162322788</v>
      </c>
      <c r="H47" s="241">
        <f t="shared" si="21"/>
        <v>703539.40208604839</v>
      </c>
      <c r="I47" s="241">
        <f t="shared" si="21"/>
        <v>736643.14665670402</v>
      </c>
      <c r="J47" s="241">
        <f t="shared" si="21"/>
        <v>770712.61320653814</v>
      </c>
      <c r="K47" s="241">
        <f t="shared" si="21"/>
        <v>805401.78280185163</v>
      </c>
      <c r="L47" s="241">
        <f t="shared" si="21"/>
        <v>840723.0893418229</v>
      </c>
      <c r="M47" s="241">
        <f t="shared" si="21"/>
        <v>876330.91237622034</v>
      </c>
      <c r="N47" s="241">
        <f t="shared" si="21"/>
        <v>913853.98218468437</v>
      </c>
      <c r="O47" s="241">
        <f t="shared" si="21"/>
        <v>952558.14232191583</v>
      </c>
      <c r="P47" s="241">
        <f t="shared" si="21"/>
        <v>992437.83066024294</v>
      </c>
      <c r="Q47" s="241">
        <f t="shared" si="21"/>
        <v>1033511.4894467895</v>
      </c>
      <c r="R47" s="241">
        <f t="shared" si="21"/>
        <v>1075163.3569255001</v>
      </c>
      <c r="S47" s="241">
        <f t="shared" si="21"/>
        <v>1118428.8575054714</v>
      </c>
      <c r="T47" s="241">
        <f t="shared" si="21"/>
        <v>1162617.7525205109</v>
      </c>
      <c r="U47" s="241">
        <f t="shared" si="21"/>
        <v>1207602.6496150023</v>
      </c>
      <c r="V47" s="241">
        <f t="shared" si="21"/>
        <v>1253190.3911664805</v>
      </c>
      <c r="W47" s="241">
        <f t="shared" si="21"/>
        <v>1252503.4578403297</v>
      </c>
      <c r="X47" s="241">
        <f t="shared" si="21"/>
        <v>1252634.0983156431</v>
      </c>
      <c r="Y47" s="241">
        <f t="shared" si="21"/>
        <v>1252772.8540786281</v>
      </c>
      <c r="Z47" s="241">
        <f t="shared" si="21"/>
        <v>1252911.6098416129</v>
      </c>
      <c r="AA47" s="241">
        <f t="shared" si="21"/>
        <v>1253042.2503169265</v>
      </c>
      <c r="AB47" s="241">
        <f t="shared" si="21"/>
        <v>1252646.1884981028</v>
      </c>
      <c r="AC47" s="241">
        <f t="shared" si="21"/>
        <v>1252784.9442610873</v>
      </c>
      <c r="AD47" s="241">
        <f t="shared" si="21"/>
        <v>1252915.584736401</v>
      </c>
      <c r="AE47" s="241">
        <f t="shared" si="21"/>
        <v>1253054.340499386</v>
      </c>
      <c r="AF47" s="241">
        <f t="shared" si="21"/>
        <v>1253193.0962623707</v>
      </c>
    </row>
    <row r="48" spans="1:32" ht="18.75" customHeight="1">
      <c r="A48" s="676"/>
      <c r="B48" s="243" t="s">
        <v>634</v>
      </c>
      <c r="C48" s="244">
        <f t="shared" ref="C48:AF48" si="22">SUM(C41:C47)</f>
        <v>6586844.2007382326</v>
      </c>
      <c r="D48" s="244">
        <f t="shared" si="22"/>
        <v>7287061.1392509602</v>
      </c>
      <c r="E48" s="244">
        <f t="shared" si="22"/>
        <v>7289769.8527145227</v>
      </c>
      <c r="F48" s="244">
        <f t="shared" si="22"/>
        <v>7302315.4820029875</v>
      </c>
      <c r="G48" s="244">
        <f t="shared" si="22"/>
        <v>7319706.8709506299</v>
      </c>
      <c r="H48" s="244">
        <f t="shared" si="22"/>
        <v>7414658.4746167371</v>
      </c>
      <c r="I48" s="244">
        <f t="shared" si="22"/>
        <v>7432540.8760893112</v>
      </c>
      <c r="J48" s="244">
        <f t="shared" si="22"/>
        <v>7452731.3126917481</v>
      </c>
      <c r="K48" s="244">
        <f t="shared" si="22"/>
        <v>7472446.2085040472</v>
      </c>
      <c r="L48" s="244">
        <f t="shared" si="22"/>
        <v>7492891.8483842928</v>
      </c>
      <c r="M48" s="244">
        <f t="shared" si="22"/>
        <v>1513205.0350816604</v>
      </c>
      <c r="N48" s="244">
        <f t="shared" si="22"/>
        <v>1630842.8084172038</v>
      </c>
      <c r="O48" s="244">
        <f t="shared" si="22"/>
        <v>1679156.1456705558</v>
      </c>
      <c r="P48" s="244">
        <f t="shared" si="22"/>
        <v>1728728.5999469212</v>
      </c>
      <c r="Q48" s="244">
        <f t="shared" si="22"/>
        <v>1779719.1883975337</v>
      </c>
      <c r="R48" s="244">
        <f t="shared" si="22"/>
        <v>1833104.970099214</v>
      </c>
      <c r="S48" s="244">
        <f t="shared" si="22"/>
        <v>1886835.9394117442</v>
      </c>
      <c r="T48" s="244">
        <f t="shared" si="22"/>
        <v>1941730.6939538633</v>
      </c>
      <c r="U48" s="244">
        <f t="shared" si="22"/>
        <v>1997624.2885480367</v>
      </c>
      <c r="V48" s="244">
        <f t="shared" si="22"/>
        <v>2054316.4757635808</v>
      </c>
      <c r="W48" s="244">
        <f t="shared" si="22"/>
        <v>2060131.4807649478</v>
      </c>
      <c r="X48" s="244">
        <f t="shared" si="22"/>
        <v>2064470.051013916</v>
      </c>
      <c r="Y48" s="244">
        <f t="shared" si="22"/>
        <v>2068987.4691532955</v>
      </c>
      <c r="Z48" s="244">
        <f t="shared" si="22"/>
        <v>2073625.1860324007</v>
      </c>
      <c r="AA48" s="244">
        <f t="shared" si="22"/>
        <v>2078402.1962813693</v>
      </c>
      <c r="AB48" s="244">
        <f t="shared" si="22"/>
        <v>2084387.7963019537</v>
      </c>
      <c r="AC48" s="244">
        <f t="shared" si="22"/>
        <v>2089443.5721399628</v>
      </c>
      <c r="AD48" s="244">
        <f t="shared" si="22"/>
        <v>2094605.229621808</v>
      </c>
      <c r="AE48" s="244">
        <f t="shared" si="22"/>
        <v>2099898.1667748862</v>
      </c>
      <c r="AF48" s="244">
        <f t="shared" si="22"/>
        <v>2105240.6767498818</v>
      </c>
    </row>
    <row r="49" spans="1:32" ht="15.75" customHeight="1">
      <c r="A49" s="676"/>
      <c r="B49" s="674"/>
      <c r="C49" s="680"/>
      <c r="D49" s="680"/>
      <c r="E49" s="680"/>
      <c r="F49" s="680"/>
      <c r="G49" s="680"/>
      <c r="H49" s="680"/>
      <c r="I49" s="680"/>
      <c r="J49" s="680"/>
      <c r="K49" s="680"/>
      <c r="L49" s="680"/>
      <c r="M49" s="680"/>
      <c r="N49" s="680"/>
      <c r="O49" s="680"/>
      <c r="P49" s="680"/>
      <c r="Q49" s="680"/>
      <c r="R49" s="680"/>
      <c r="S49" s="680"/>
      <c r="T49" s="680"/>
      <c r="U49" s="680"/>
      <c r="V49" s="680"/>
      <c r="W49" s="680"/>
      <c r="X49" s="680"/>
      <c r="Y49" s="680"/>
      <c r="Z49" s="680"/>
      <c r="AA49" s="680"/>
      <c r="AB49" s="680"/>
      <c r="AC49" s="680"/>
      <c r="AD49" s="680"/>
      <c r="AE49" s="680"/>
      <c r="AF49" s="680"/>
    </row>
    <row r="50" spans="1:32" ht="18.75" customHeight="1">
      <c r="A50" s="676"/>
      <c r="B50" s="243" t="s">
        <v>635</v>
      </c>
      <c r="C50" s="244">
        <f t="shared" ref="C50:AF50" si="23">C36-C48</f>
        <v>-5513186.9404642601</v>
      </c>
      <c r="D50" s="244">
        <f t="shared" si="23"/>
        <v>-4645323.7145934254</v>
      </c>
      <c r="E50" s="244">
        <f t="shared" si="23"/>
        <v>-4552020.8390158927</v>
      </c>
      <c r="F50" s="244">
        <f t="shared" si="23"/>
        <v>-4470298.22857833</v>
      </c>
      <c r="G50" s="244">
        <f t="shared" si="23"/>
        <v>-4391359.1055396711</v>
      </c>
      <c r="H50" s="244">
        <f t="shared" si="23"/>
        <v>-4387729.1839489285</v>
      </c>
      <c r="I50" s="244">
        <f t="shared" si="23"/>
        <v>-4303839.5263675638</v>
      </c>
      <c r="J50" s="244">
        <f t="shared" si="23"/>
        <v>-4218901.5694565177</v>
      </c>
      <c r="K50" s="244">
        <f t="shared" si="23"/>
        <v>-4130929.7945454107</v>
      </c>
      <c r="L50" s="244">
        <f t="shared" si="23"/>
        <v>-4041029.712357861</v>
      </c>
      <c r="M50" s="244">
        <f t="shared" si="23"/>
        <v>2052878.5858282843</v>
      </c>
      <c r="N50" s="244">
        <f t="shared" si="23"/>
        <v>2053355.3825793341</v>
      </c>
      <c r="O50" s="244">
        <f t="shared" si="23"/>
        <v>2127358.560355261</v>
      </c>
      <c r="P50" s="244">
        <f t="shared" si="23"/>
        <v>2204311.3482295019</v>
      </c>
      <c r="Q50" s="244">
        <f t="shared" si="23"/>
        <v>2284184.455817847</v>
      </c>
      <c r="R50" s="244">
        <f t="shared" si="23"/>
        <v>2365885.9220803608</v>
      </c>
      <c r="S50" s="244">
        <f t="shared" si="23"/>
        <v>2451410.4918973576</v>
      </c>
      <c r="T50" s="244">
        <f t="shared" si="23"/>
        <v>2539644.3356330218</v>
      </c>
      <c r="U50" s="244">
        <f t="shared" si="23"/>
        <v>2630531.5637510698</v>
      </c>
      <c r="V50" s="244">
        <f t="shared" si="23"/>
        <v>2723829.5143559612</v>
      </c>
      <c r="W50" s="244">
        <f t="shared" si="23"/>
        <v>2755918.7622852288</v>
      </c>
      <c r="X50" s="244">
        <f t="shared" si="23"/>
        <v>2791379.6576134274</v>
      </c>
      <c r="Y50" s="244">
        <f t="shared" si="23"/>
        <v>2828651.6783300722</v>
      </c>
      <c r="Z50" s="244">
        <f t="shared" si="23"/>
        <v>2867892.8722497933</v>
      </c>
      <c r="AA50" s="244">
        <f t="shared" si="23"/>
        <v>2909188.7183395918</v>
      </c>
      <c r="AB50" s="244">
        <f t="shared" si="23"/>
        <v>2951579.6174747124</v>
      </c>
      <c r="AC50" s="244">
        <f t="shared" si="23"/>
        <v>2997319.1657501943</v>
      </c>
      <c r="AD50" s="244">
        <f t="shared" si="23"/>
        <v>3045492.5985875148</v>
      </c>
      <c r="AE50" s="244">
        <f t="shared" si="23"/>
        <v>3096201.5062695607</v>
      </c>
      <c r="AF50" s="244">
        <f t="shared" si="23"/>
        <v>3149660.9333714447</v>
      </c>
    </row>
    <row r="51" spans="1:32" ht="15.75" customHeight="1">
      <c r="A51" s="676"/>
      <c r="B51" s="674"/>
      <c r="C51" s="680"/>
      <c r="D51" s="680"/>
      <c r="E51" s="680"/>
      <c r="F51" s="680"/>
      <c r="G51" s="680"/>
      <c r="H51" s="680"/>
      <c r="I51" s="680"/>
      <c r="J51" s="680"/>
      <c r="K51" s="680"/>
      <c r="L51" s="680"/>
      <c r="M51" s="680"/>
      <c r="N51" s="680"/>
      <c r="O51" s="680"/>
      <c r="P51" s="680"/>
      <c r="Q51" s="680"/>
      <c r="R51" s="680"/>
      <c r="S51" s="680"/>
      <c r="T51" s="680"/>
      <c r="U51" s="680"/>
      <c r="V51" s="680"/>
      <c r="W51" s="680"/>
      <c r="X51" s="680"/>
      <c r="Y51" s="680"/>
      <c r="Z51" s="680"/>
      <c r="AA51" s="680"/>
      <c r="AB51" s="680"/>
      <c r="AC51" s="680"/>
      <c r="AD51" s="680"/>
      <c r="AE51" s="680"/>
      <c r="AF51" s="680"/>
    </row>
    <row r="52" spans="1:32" ht="18.75" customHeight="1">
      <c r="A52" s="676"/>
      <c r="B52" s="243" t="s">
        <v>636</v>
      </c>
      <c r="C52" s="244">
        <f>0-C50</f>
        <v>5513186.9404642601</v>
      </c>
      <c r="D52" s="244">
        <f t="shared" ref="D52:AF52" si="24">C50-D50</f>
        <v>-867863.22587083466</v>
      </c>
      <c r="E52" s="244">
        <f t="shared" si="24"/>
        <v>-93302.875577532686</v>
      </c>
      <c r="F52" s="244">
        <f t="shared" si="24"/>
        <v>-81722.610437562689</v>
      </c>
      <c r="G52" s="244">
        <f t="shared" si="24"/>
        <v>-78939.123038658872</v>
      </c>
      <c r="H52" s="244">
        <f t="shared" si="24"/>
        <v>-3629.9215907426551</v>
      </c>
      <c r="I52" s="244">
        <f t="shared" si="24"/>
        <v>-83889.657581364736</v>
      </c>
      <c r="J52" s="244">
        <f t="shared" si="24"/>
        <v>-84937.956911046058</v>
      </c>
      <c r="K52" s="244">
        <f t="shared" si="24"/>
        <v>-87971.77491110703</v>
      </c>
      <c r="L52" s="244">
        <f t="shared" si="24"/>
        <v>-89900.082187549677</v>
      </c>
      <c r="M52" s="244">
        <f t="shared" si="24"/>
        <v>-6093908.2981861457</v>
      </c>
      <c r="N52" s="244">
        <f t="shared" si="24"/>
        <v>-476.79675104981288</v>
      </c>
      <c r="O52" s="244">
        <f t="shared" si="24"/>
        <v>-74003.177775926888</v>
      </c>
      <c r="P52" s="244">
        <f t="shared" si="24"/>
        <v>-76952.787874240894</v>
      </c>
      <c r="Q52" s="244">
        <f t="shared" si="24"/>
        <v>-79873.107588345185</v>
      </c>
      <c r="R52" s="244">
        <f t="shared" si="24"/>
        <v>-81701.466262513772</v>
      </c>
      <c r="S52" s="244">
        <f t="shared" si="24"/>
        <v>-85524.569816996809</v>
      </c>
      <c r="T52" s="244">
        <f t="shared" si="24"/>
        <v>-88233.843735664152</v>
      </c>
      <c r="U52" s="244">
        <f t="shared" si="24"/>
        <v>-90887.22811804805</v>
      </c>
      <c r="V52" s="244">
        <f t="shared" si="24"/>
        <v>-93297.950604891405</v>
      </c>
      <c r="W52" s="244">
        <f t="shared" si="24"/>
        <v>-32089.247929267585</v>
      </c>
      <c r="X52" s="244">
        <f t="shared" si="24"/>
        <v>-35460.89532819856</v>
      </c>
      <c r="Y52" s="244">
        <f t="shared" si="24"/>
        <v>-37272.020716644824</v>
      </c>
      <c r="Z52" s="244">
        <f t="shared" si="24"/>
        <v>-39241.19391972106</v>
      </c>
      <c r="AA52" s="244">
        <f t="shared" si="24"/>
        <v>-41295.846089798491</v>
      </c>
      <c r="AB52" s="244">
        <f t="shared" si="24"/>
        <v>-42390.899135120679</v>
      </c>
      <c r="AC52" s="244">
        <f t="shared" si="24"/>
        <v>-45739.54827548191</v>
      </c>
      <c r="AD52" s="244">
        <f t="shared" si="24"/>
        <v>-48173.432837320492</v>
      </c>
      <c r="AE52" s="244">
        <f t="shared" si="24"/>
        <v>-50708.907682045829</v>
      </c>
      <c r="AF52" s="244">
        <f t="shared" si="24"/>
        <v>-53459.427101884037</v>
      </c>
    </row>
  </sheetData>
  <mergeCells count="4">
    <mergeCell ref="C5:AF5"/>
    <mergeCell ref="C17:AF17"/>
    <mergeCell ref="C32:AF32"/>
    <mergeCell ref="C39:AF39"/>
  </mergeCells>
  <pageMargins left="0.511811024" right="0.511811024" top="0.78740157499999996" bottom="0.78740157499999996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9">
    <tabColor theme="4"/>
  </sheetPr>
  <dimension ref="A1:AG62"/>
  <sheetViews>
    <sheetView zoomScale="70" zoomScaleNormal="70" workbookViewId="0"/>
  </sheetViews>
  <sheetFormatPr defaultColWidth="11.44140625" defaultRowHeight="15" customHeight="1" outlineLevelRow="1"/>
  <cols>
    <col min="1" max="1" width="10.5546875" customWidth="1"/>
    <col min="2" max="2" width="45.44140625" customWidth="1"/>
    <col min="3" max="3" width="13" customWidth="1"/>
    <col min="4" max="4" width="12.44140625" customWidth="1"/>
    <col min="5" max="33" width="10.5546875" customWidth="1"/>
  </cols>
  <sheetData>
    <row r="1" spans="1:33" ht="27" customHeight="1">
      <c r="A1" s="681"/>
      <c r="B1" s="772" t="s">
        <v>637</v>
      </c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681"/>
      <c r="Q1" s="681"/>
      <c r="R1" s="681"/>
      <c r="S1" s="681"/>
      <c r="T1" s="681"/>
      <c r="U1" s="681"/>
      <c r="V1" s="681"/>
      <c r="W1" s="681"/>
      <c r="X1" s="681"/>
      <c r="Y1" s="681"/>
      <c r="Z1" s="681"/>
      <c r="AA1" s="681"/>
      <c r="AB1" s="681"/>
      <c r="AC1" s="681"/>
      <c r="AD1" s="681"/>
      <c r="AE1" s="681"/>
      <c r="AF1" s="681"/>
      <c r="AG1" s="681"/>
    </row>
    <row r="2" spans="1:33" ht="15.75" customHeight="1">
      <c r="A2" s="676"/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  <c r="V2" s="521"/>
      <c r="W2" s="521"/>
      <c r="X2" s="521"/>
      <c r="Y2" s="521"/>
      <c r="Z2" s="521"/>
      <c r="AA2" s="521"/>
      <c r="AB2" s="521"/>
      <c r="AC2" s="521"/>
      <c r="AD2" s="521"/>
      <c r="AE2" s="521"/>
      <c r="AF2" s="521"/>
      <c r="AG2" s="521"/>
    </row>
    <row r="3" spans="1:33" ht="15.75" customHeight="1">
      <c r="A3" s="676"/>
      <c r="B3" s="646" t="s">
        <v>638</v>
      </c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  <c r="V3" s="521"/>
      <c r="W3" s="521"/>
      <c r="X3" s="521"/>
      <c r="Y3" s="521"/>
      <c r="Z3" s="521"/>
      <c r="AA3" s="521"/>
      <c r="AB3" s="521"/>
      <c r="AC3" s="521"/>
      <c r="AD3" s="521"/>
      <c r="AE3" s="521"/>
      <c r="AF3" s="521"/>
      <c r="AG3" s="521"/>
    </row>
    <row r="4" spans="1:33" ht="15.75" customHeight="1" outlineLevel="1">
      <c r="A4" s="676"/>
      <c r="B4" s="804" t="s">
        <v>639</v>
      </c>
      <c r="C4" s="245" t="s">
        <v>640</v>
      </c>
      <c r="D4" s="505"/>
      <c r="E4" s="806"/>
      <c r="F4" s="813"/>
      <c r="G4" s="813"/>
      <c r="H4" s="682"/>
      <c r="I4" s="682"/>
      <c r="J4" s="682"/>
      <c r="K4" s="505"/>
      <c r="L4" s="505"/>
      <c r="M4" s="505"/>
      <c r="N4" s="505"/>
      <c r="O4" s="505"/>
      <c r="P4" s="505"/>
      <c r="Q4" s="505"/>
      <c r="R4" s="505"/>
      <c r="S4" s="505"/>
      <c r="T4" s="505"/>
      <c r="U4" s="505"/>
      <c r="V4" s="505"/>
      <c r="W4" s="505"/>
      <c r="X4" s="505"/>
      <c r="Y4" s="505"/>
      <c r="Z4" s="505"/>
      <c r="AA4" s="505"/>
      <c r="AB4" s="505"/>
      <c r="AC4" s="505"/>
      <c r="AD4" s="505"/>
      <c r="AE4" s="505"/>
      <c r="AF4" s="505"/>
      <c r="AG4" s="505"/>
    </row>
    <row r="5" spans="1:33" ht="15" customHeight="1" outlineLevel="1">
      <c r="A5" s="676"/>
      <c r="B5" s="816"/>
      <c r="C5" s="246" t="s">
        <v>23</v>
      </c>
      <c r="D5" s="505"/>
      <c r="E5" s="682"/>
      <c r="F5" s="682"/>
      <c r="G5" s="682"/>
      <c r="H5" s="683" t="s">
        <v>641</v>
      </c>
      <c r="I5" s="684">
        <f>AlavCapex</f>
        <v>0.7</v>
      </c>
      <c r="J5" s="682"/>
      <c r="K5" s="505"/>
      <c r="L5" s="505"/>
      <c r="M5" s="505"/>
      <c r="N5" s="505"/>
      <c r="O5" s="505"/>
      <c r="P5" s="505"/>
      <c r="Q5" s="505"/>
      <c r="R5" s="505"/>
      <c r="S5" s="505"/>
      <c r="T5" s="505"/>
      <c r="U5" s="505"/>
      <c r="V5" s="505"/>
      <c r="W5" s="505"/>
      <c r="X5" s="505"/>
      <c r="Y5" s="505"/>
      <c r="Z5" s="505"/>
      <c r="AA5" s="505"/>
      <c r="AB5" s="505"/>
      <c r="AC5" s="505"/>
      <c r="AD5" s="505"/>
      <c r="AE5" s="505"/>
      <c r="AF5" s="505"/>
      <c r="AG5" s="505"/>
    </row>
    <row r="6" spans="1:33" ht="15" customHeight="1" outlineLevel="1">
      <c r="A6" s="676"/>
      <c r="B6" s="807" t="s">
        <v>642</v>
      </c>
      <c r="C6" s="818"/>
      <c r="D6" s="505"/>
      <c r="E6" s="682"/>
      <c r="F6" s="682"/>
      <c r="G6" s="682"/>
      <c r="H6" s="683" t="s">
        <v>643</v>
      </c>
      <c r="I6" s="684">
        <v>0</v>
      </c>
      <c r="J6" s="682"/>
      <c r="K6" s="505"/>
      <c r="L6" s="505"/>
      <c r="M6" s="505"/>
      <c r="N6" s="505"/>
      <c r="O6" s="505"/>
      <c r="P6" s="505"/>
      <c r="Q6" s="505"/>
      <c r="R6" s="505"/>
      <c r="S6" s="505"/>
      <c r="T6" s="505"/>
      <c r="U6" s="505"/>
      <c r="V6" s="505"/>
      <c r="W6" s="505"/>
      <c r="X6" s="505"/>
      <c r="Y6" s="505"/>
      <c r="Z6" s="505"/>
      <c r="AA6" s="505"/>
      <c r="AB6" s="505"/>
      <c r="AC6" s="505"/>
      <c r="AD6" s="505"/>
      <c r="AE6" s="505"/>
      <c r="AF6" s="505"/>
      <c r="AG6" s="505"/>
    </row>
    <row r="7" spans="1:33" ht="15" customHeight="1" outlineLevel="1">
      <c r="A7" s="676"/>
      <c r="B7" s="247" t="s">
        <v>644</v>
      </c>
      <c r="C7" s="237">
        <f>'D2 - Capex uso'!BS177</f>
        <v>41400633.088466667</v>
      </c>
      <c r="D7" s="505"/>
      <c r="E7" s="682"/>
      <c r="F7" s="682"/>
      <c r="G7" s="682"/>
      <c r="H7" s="682"/>
      <c r="I7" s="682"/>
      <c r="J7" s="682"/>
      <c r="K7" s="505"/>
      <c r="L7" s="505"/>
      <c r="M7" s="505"/>
      <c r="N7" s="505"/>
      <c r="O7" s="505"/>
      <c r="P7" s="505"/>
      <c r="Q7" s="505"/>
      <c r="R7" s="505"/>
      <c r="S7" s="505"/>
      <c r="T7" s="505"/>
      <c r="U7" s="505"/>
      <c r="V7" s="505"/>
      <c r="W7" s="505"/>
      <c r="X7" s="505"/>
      <c r="Y7" s="505"/>
      <c r="Z7" s="505"/>
      <c r="AA7" s="505"/>
      <c r="AB7" s="505"/>
      <c r="AC7" s="505"/>
      <c r="AD7" s="505"/>
      <c r="AE7" s="505"/>
      <c r="AF7" s="505"/>
      <c r="AG7" s="505"/>
    </row>
    <row r="8" spans="1:33" ht="15" customHeight="1" outlineLevel="1">
      <c r="A8" s="676"/>
      <c r="B8" s="247" t="s">
        <v>645</v>
      </c>
      <c r="C8" s="237">
        <f>'E3 - Capital de Giro'!Q50</f>
        <v>2284184.455817847</v>
      </c>
      <c r="D8" s="505"/>
      <c r="E8" s="682"/>
      <c r="F8" s="682"/>
      <c r="G8" s="682"/>
      <c r="H8" s="682"/>
      <c r="I8" s="682"/>
      <c r="J8" s="682"/>
      <c r="K8" s="505"/>
      <c r="L8" s="505"/>
      <c r="M8" s="505"/>
      <c r="N8" s="505"/>
      <c r="O8" s="505"/>
      <c r="P8" s="505"/>
      <c r="Q8" s="505"/>
      <c r="R8" s="505"/>
      <c r="S8" s="505"/>
      <c r="T8" s="505"/>
      <c r="U8" s="505"/>
      <c r="V8" s="505"/>
      <c r="W8" s="505"/>
      <c r="X8" s="505"/>
      <c r="Y8" s="505"/>
      <c r="Z8" s="505"/>
      <c r="AA8" s="505"/>
      <c r="AB8" s="505"/>
      <c r="AC8" s="505"/>
      <c r="AD8" s="505"/>
      <c r="AE8" s="505"/>
      <c r="AF8" s="505"/>
      <c r="AG8" s="505"/>
    </row>
    <row r="9" spans="1:33" ht="15" customHeight="1" outlineLevel="1">
      <c r="A9" s="676"/>
      <c r="B9" s="247" t="s">
        <v>646</v>
      </c>
      <c r="C9" s="248">
        <f>C10/SUM(C7:C8)</f>
        <v>0.66339851671689787</v>
      </c>
      <c r="D9" s="505"/>
      <c r="E9" s="682"/>
      <c r="F9" s="682"/>
      <c r="G9" s="682"/>
      <c r="H9" s="682"/>
      <c r="I9" s="682"/>
      <c r="J9" s="682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505"/>
      <c r="V9" s="505"/>
      <c r="W9" s="505"/>
      <c r="X9" s="505"/>
      <c r="Y9" s="505"/>
      <c r="Z9" s="505"/>
      <c r="AA9" s="505"/>
      <c r="AB9" s="505"/>
      <c r="AC9" s="505"/>
      <c r="AD9" s="505"/>
      <c r="AE9" s="505"/>
      <c r="AF9" s="505"/>
      <c r="AG9" s="505"/>
    </row>
    <row r="10" spans="1:33" ht="15" customHeight="1" outlineLevel="1">
      <c r="A10" s="676"/>
      <c r="B10" s="247" t="s">
        <v>647</v>
      </c>
      <c r="C10" s="237">
        <f>C7*AlavCapex+C8*I6</f>
        <v>28980443.161926664</v>
      </c>
      <c r="D10" s="505"/>
      <c r="E10" s="505"/>
      <c r="F10" s="505"/>
      <c r="G10" s="685"/>
      <c r="H10" s="505"/>
      <c r="I10" s="505"/>
      <c r="J10" s="505"/>
      <c r="K10" s="505"/>
      <c r="L10" s="505"/>
      <c r="M10" s="505"/>
      <c r="N10" s="505"/>
      <c r="O10" s="505"/>
      <c r="P10" s="505"/>
      <c r="Q10" s="505"/>
      <c r="R10" s="505"/>
      <c r="S10" s="505"/>
      <c r="T10" s="505"/>
      <c r="U10" s="505"/>
      <c r="V10" s="505"/>
      <c r="W10" s="505"/>
      <c r="X10" s="505"/>
      <c r="Y10" s="505"/>
      <c r="Z10" s="505"/>
      <c r="AA10" s="505"/>
      <c r="AB10" s="505"/>
      <c r="AC10" s="505"/>
      <c r="AD10" s="505"/>
      <c r="AE10" s="505"/>
      <c r="AF10" s="505"/>
      <c r="AG10" s="505"/>
    </row>
    <row r="11" spans="1:33" ht="15" customHeight="1" outlineLevel="1">
      <c r="A11" s="676"/>
      <c r="B11" s="247" t="s">
        <v>648</v>
      </c>
      <c r="C11" s="249">
        <v>15</v>
      </c>
      <c r="D11" s="505"/>
      <c r="E11" s="505"/>
      <c r="F11" s="505"/>
      <c r="G11" s="686"/>
      <c r="H11" s="505"/>
      <c r="I11" s="505"/>
      <c r="J11" s="505"/>
      <c r="K11" s="505"/>
      <c r="L11" s="505"/>
      <c r="M11" s="505"/>
      <c r="N11" s="505"/>
      <c r="O11" s="505"/>
      <c r="P11" s="505"/>
      <c r="Q11" s="505"/>
      <c r="R11" s="505"/>
      <c r="S11" s="505"/>
      <c r="T11" s="505"/>
      <c r="U11" s="505"/>
      <c r="V11" s="505"/>
      <c r="W11" s="505"/>
      <c r="X11" s="505"/>
      <c r="Y11" s="505"/>
      <c r="Z11" s="505"/>
      <c r="AA11" s="505"/>
      <c r="AB11" s="505"/>
      <c r="AC11" s="505"/>
      <c r="AD11" s="505"/>
      <c r="AE11" s="505"/>
      <c r="AF11" s="505"/>
      <c r="AG11" s="505"/>
    </row>
    <row r="12" spans="1:33" ht="15" customHeight="1" outlineLevel="1">
      <c r="A12" s="687"/>
      <c r="B12" s="250" t="s">
        <v>649</v>
      </c>
      <c r="C12" s="251">
        <v>3.3799999999999997E-2</v>
      </c>
      <c r="D12" s="505"/>
      <c r="E12" s="505"/>
      <c r="F12" s="505"/>
      <c r="G12" s="686"/>
      <c r="H12" s="505"/>
      <c r="I12" s="505"/>
      <c r="J12" s="505"/>
      <c r="K12" s="505"/>
      <c r="L12" s="505"/>
      <c r="M12" s="505"/>
      <c r="N12" s="505"/>
      <c r="O12" s="505"/>
      <c r="P12" s="505"/>
      <c r="Q12" s="505"/>
      <c r="R12" s="505"/>
      <c r="S12" s="505"/>
      <c r="T12" s="505"/>
      <c r="U12" s="505"/>
      <c r="V12" s="505"/>
      <c r="W12" s="505"/>
      <c r="X12" s="505"/>
      <c r="Y12" s="505"/>
      <c r="Z12" s="505"/>
      <c r="AA12" s="505"/>
      <c r="AB12" s="505"/>
      <c r="AC12" s="505"/>
      <c r="AD12" s="505"/>
      <c r="AE12" s="505"/>
      <c r="AF12" s="505"/>
      <c r="AG12" s="505"/>
    </row>
    <row r="13" spans="1:33" ht="15" customHeight="1" outlineLevel="1">
      <c r="A13" s="687"/>
      <c r="B13" s="247" t="s">
        <v>650</v>
      </c>
      <c r="C13" s="252">
        <f>C10*C12</f>
        <v>979538.9788731212</v>
      </c>
      <c r="D13" s="505"/>
      <c r="E13" s="505"/>
      <c r="F13" s="505"/>
      <c r="G13" s="505"/>
      <c r="H13" s="505"/>
      <c r="I13" s="505"/>
      <c r="J13" s="505"/>
      <c r="K13" s="505"/>
      <c r="L13" s="505"/>
      <c r="M13" s="505"/>
      <c r="N13" s="505"/>
      <c r="O13" s="505"/>
      <c r="P13" s="505"/>
      <c r="Q13" s="505"/>
      <c r="R13" s="505"/>
      <c r="S13" s="505"/>
      <c r="T13" s="505"/>
      <c r="U13" s="505"/>
      <c r="V13" s="505"/>
      <c r="W13" s="505"/>
      <c r="X13" s="505"/>
      <c r="Y13" s="505"/>
      <c r="Z13" s="505"/>
      <c r="AA13" s="505"/>
      <c r="AB13" s="505"/>
      <c r="AC13" s="505"/>
      <c r="AD13" s="505"/>
      <c r="AE13" s="505"/>
      <c r="AF13" s="505"/>
      <c r="AG13" s="505"/>
    </row>
    <row r="14" spans="1:33" ht="15" customHeight="1" outlineLevel="1">
      <c r="A14" s="687"/>
      <c r="B14" s="247" t="s">
        <v>651</v>
      </c>
      <c r="C14" s="253">
        <f>C10-C13</f>
        <v>28000904.183053542</v>
      </c>
      <c r="D14" s="505"/>
      <c r="E14" s="505"/>
      <c r="F14" s="505"/>
      <c r="G14" s="505"/>
      <c r="H14" s="505"/>
      <c r="I14" s="505"/>
      <c r="J14" s="505"/>
      <c r="K14" s="505"/>
      <c r="L14" s="505"/>
      <c r="M14" s="505"/>
      <c r="N14" s="505"/>
      <c r="O14" s="505"/>
      <c r="P14" s="505"/>
      <c r="Q14" s="505"/>
      <c r="R14" s="505"/>
      <c r="S14" s="505"/>
      <c r="T14" s="505"/>
      <c r="U14" s="505"/>
      <c r="V14" s="505"/>
      <c r="W14" s="505"/>
      <c r="X14" s="505"/>
      <c r="Y14" s="505"/>
      <c r="Z14" s="505"/>
      <c r="AA14" s="505"/>
      <c r="AB14" s="505"/>
      <c r="AC14" s="505"/>
      <c r="AD14" s="505"/>
      <c r="AE14" s="505"/>
      <c r="AF14" s="505"/>
      <c r="AG14" s="505"/>
    </row>
    <row r="15" spans="1:33" ht="15" customHeight="1" outlineLevel="1">
      <c r="A15" s="687"/>
      <c r="B15" s="247" t="s">
        <v>652</v>
      </c>
      <c r="C15" s="254">
        <v>8.8999999999999996E-2</v>
      </c>
      <c r="D15" s="505"/>
      <c r="E15" s="505"/>
      <c r="F15" s="505"/>
      <c r="G15" s="505"/>
      <c r="H15" s="505"/>
      <c r="I15" s="505"/>
      <c r="J15" s="505"/>
      <c r="K15" s="505"/>
      <c r="L15" s="505"/>
      <c r="M15" s="505"/>
      <c r="N15" s="505"/>
      <c r="O15" s="505"/>
      <c r="P15" s="505"/>
      <c r="Q15" s="505"/>
      <c r="R15" s="505"/>
      <c r="S15" s="505"/>
      <c r="T15" s="505"/>
      <c r="U15" s="505"/>
      <c r="V15" s="505"/>
      <c r="W15" s="505"/>
      <c r="X15" s="505"/>
      <c r="Y15" s="505"/>
      <c r="Z15" s="505"/>
      <c r="AA15" s="505"/>
      <c r="AB15" s="505"/>
      <c r="AC15" s="505"/>
      <c r="AD15" s="505"/>
      <c r="AE15" s="505"/>
      <c r="AF15" s="505"/>
      <c r="AG15" s="505"/>
    </row>
    <row r="16" spans="1:33" ht="15" customHeight="1" outlineLevel="1">
      <c r="A16" s="687"/>
      <c r="B16" s="247" t="s">
        <v>653</v>
      </c>
      <c r="C16" s="251">
        <f>NOMINAL(C15,C18)</f>
        <v>8.5563447599492193E-2</v>
      </c>
      <c r="D16" s="505"/>
      <c r="E16" s="505"/>
      <c r="F16" s="505"/>
      <c r="G16" s="505"/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5"/>
      <c r="U16" s="505"/>
      <c r="V16" s="505"/>
      <c r="W16" s="505"/>
      <c r="X16" s="505"/>
      <c r="Y16" s="505"/>
      <c r="Z16" s="505"/>
      <c r="AA16" s="505"/>
      <c r="AB16" s="505"/>
      <c r="AC16" s="505"/>
      <c r="AD16" s="505"/>
      <c r="AE16" s="505"/>
      <c r="AF16" s="505"/>
      <c r="AG16" s="505"/>
    </row>
    <row r="17" spans="1:33" ht="15" customHeight="1" outlineLevel="1">
      <c r="A17" s="687"/>
      <c r="B17" s="247" t="s">
        <v>654</v>
      </c>
      <c r="C17" s="255" t="s">
        <v>655</v>
      </c>
      <c r="D17" s="505"/>
      <c r="E17" s="686"/>
      <c r="F17" s="505"/>
      <c r="G17" s="686"/>
      <c r="H17" s="505"/>
      <c r="I17" s="686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05"/>
      <c r="V17" s="505"/>
      <c r="W17" s="505"/>
      <c r="X17" s="505"/>
      <c r="Y17" s="505"/>
      <c r="Z17" s="505"/>
      <c r="AA17" s="505"/>
      <c r="AB17" s="505"/>
      <c r="AC17" s="505"/>
      <c r="AD17" s="505"/>
      <c r="AE17" s="505"/>
      <c r="AF17" s="505"/>
      <c r="AG17" s="505"/>
    </row>
    <row r="18" spans="1:33" ht="15" customHeight="1" outlineLevel="1">
      <c r="A18" s="687"/>
      <c r="B18" s="247" t="s">
        <v>656</v>
      </c>
      <c r="C18" s="237">
        <f>VLOOKUP(C17,B55:C58,2,0)</f>
        <v>12</v>
      </c>
      <c r="D18" s="688"/>
      <c r="E18" s="689"/>
      <c r="F18" s="505"/>
      <c r="G18" s="505"/>
      <c r="H18" s="505"/>
      <c r="I18" s="505"/>
      <c r="J18" s="505"/>
      <c r="K18" s="505"/>
      <c r="L18" s="505"/>
      <c r="M18" s="505"/>
      <c r="N18" s="505"/>
      <c r="O18" s="505"/>
      <c r="P18" s="505"/>
      <c r="Q18" s="505"/>
      <c r="R18" s="505"/>
      <c r="S18" s="505"/>
      <c r="T18" s="505"/>
      <c r="U18" s="505"/>
      <c r="V18" s="505"/>
      <c r="W18" s="505"/>
      <c r="X18" s="505"/>
      <c r="Y18" s="505"/>
      <c r="Z18" s="505"/>
      <c r="AA18" s="505"/>
      <c r="AB18" s="505"/>
      <c r="AC18" s="505"/>
      <c r="AD18" s="505"/>
      <c r="AE18" s="505"/>
      <c r="AF18" s="505"/>
      <c r="AG18" s="505"/>
    </row>
    <row r="19" spans="1:33" ht="15" customHeight="1" outlineLevel="1">
      <c r="A19" s="687"/>
      <c r="B19" s="250" t="s">
        <v>657</v>
      </c>
      <c r="C19" s="255" t="s">
        <v>658</v>
      </c>
      <c r="D19" s="688"/>
      <c r="E19" s="689"/>
      <c r="F19" s="505"/>
      <c r="G19" s="505"/>
      <c r="H19" s="505"/>
      <c r="I19" s="505"/>
      <c r="J19" s="505"/>
      <c r="K19" s="505"/>
      <c r="L19" s="505"/>
      <c r="M19" s="505"/>
      <c r="N19" s="505"/>
      <c r="O19" s="505"/>
      <c r="P19" s="505"/>
      <c r="Q19" s="505"/>
      <c r="R19" s="505"/>
      <c r="S19" s="505"/>
      <c r="T19" s="505"/>
      <c r="U19" s="505"/>
      <c r="V19" s="505"/>
      <c r="W19" s="505"/>
      <c r="X19" s="505"/>
      <c r="Y19" s="505"/>
      <c r="Z19" s="505"/>
      <c r="AA19" s="505"/>
      <c r="AB19" s="505"/>
      <c r="AC19" s="505"/>
      <c r="AD19" s="505"/>
      <c r="AE19" s="505"/>
      <c r="AF19" s="505"/>
      <c r="AG19" s="505"/>
    </row>
    <row r="20" spans="1:33" ht="15.75" customHeight="1">
      <c r="A20" s="687"/>
      <c r="B20" s="521"/>
      <c r="C20" s="521"/>
      <c r="D20" s="521"/>
      <c r="E20" s="521"/>
      <c r="F20" s="521"/>
      <c r="G20" s="521"/>
      <c r="H20" s="521"/>
      <c r="I20" s="521"/>
      <c r="J20" s="521"/>
      <c r="K20" s="521"/>
      <c r="L20" s="521"/>
      <c r="M20" s="521"/>
      <c r="N20" s="521"/>
      <c r="O20" s="521"/>
      <c r="P20" s="521"/>
      <c r="Q20" s="521"/>
      <c r="R20" s="521"/>
      <c r="S20" s="521"/>
      <c r="T20" s="521"/>
      <c r="U20" s="521"/>
      <c r="V20" s="521"/>
      <c r="W20" s="521"/>
      <c r="X20" s="521"/>
      <c r="Y20" s="521"/>
      <c r="Z20" s="521"/>
      <c r="AA20" s="521"/>
      <c r="AB20" s="521"/>
      <c r="AC20" s="521"/>
      <c r="AD20" s="521"/>
      <c r="AE20" s="521"/>
      <c r="AF20" s="521"/>
      <c r="AG20" s="521"/>
    </row>
    <row r="21" spans="1:33" ht="17.25" customHeight="1">
      <c r="A21" s="687"/>
      <c r="B21" s="690"/>
      <c r="C21" s="691"/>
      <c r="D21" s="691"/>
      <c r="E21" s="691"/>
      <c r="F21" s="691"/>
      <c r="G21" s="691"/>
      <c r="H21" s="691"/>
      <c r="I21" s="691"/>
      <c r="J21" s="691"/>
      <c r="K21" s="691"/>
      <c r="L21" s="691"/>
      <c r="M21" s="691"/>
      <c r="N21" s="691"/>
      <c r="O21" s="691"/>
      <c r="P21" s="505"/>
      <c r="Q21" s="505"/>
      <c r="R21" s="505"/>
      <c r="S21" s="505"/>
      <c r="T21" s="505"/>
      <c r="U21" s="505"/>
      <c r="V21" s="505"/>
      <c r="W21" s="505"/>
      <c r="X21" s="505"/>
      <c r="Y21" s="505"/>
      <c r="Z21" s="505"/>
      <c r="AA21" s="505"/>
      <c r="AB21" s="505"/>
      <c r="AC21" s="505"/>
      <c r="AD21" s="505"/>
      <c r="AE21" s="505"/>
      <c r="AF21" s="505"/>
      <c r="AG21" s="505"/>
    </row>
    <row r="22" spans="1:33" ht="15.75" customHeight="1">
      <c r="A22" s="687"/>
      <c r="B22" s="646" t="s">
        <v>659</v>
      </c>
      <c r="C22" s="521"/>
      <c r="D22" s="521"/>
      <c r="E22" s="521"/>
      <c r="F22" s="521"/>
      <c r="G22" s="521"/>
      <c r="H22" s="521"/>
      <c r="I22" s="521"/>
      <c r="J22" s="521"/>
      <c r="K22" s="521"/>
      <c r="L22" s="521"/>
      <c r="M22" s="521"/>
      <c r="N22" s="521"/>
      <c r="O22" s="521"/>
      <c r="P22" s="583"/>
      <c r="Q22" s="521"/>
      <c r="R22" s="521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692" t="s">
        <v>151</v>
      </c>
    </row>
    <row r="23" spans="1:33" ht="17.25" customHeight="1" outlineLevel="1">
      <c r="A23" s="687"/>
      <c r="B23" s="804" t="s">
        <v>338</v>
      </c>
      <c r="C23" s="805" t="s">
        <v>147</v>
      </c>
      <c r="D23" s="815"/>
      <c r="E23" s="815"/>
      <c r="F23" s="815"/>
      <c r="G23" s="815"/>
      <c r="H23" s="815"/>
      <c r="I23" s="815"/>
      <c r="J23" s="815"/>
      <c r="K23" s="815"/>
      <c r="L23" s="815"/>
      <c r="M23" s="815"/>
      <c r="N23" s="815"/>
      <c r="O23" s="815"/>
      <c r="P23" s="815"/>
      <c r="Q23" s="815"/>
      <c r="R23" s="815"/>
      <c r="S23" s="815"/>
      <c r="T23" s="815"/>
      <c r="U23" s="815"/>
      <c r="V23" s="815"/>
      <c r="W23" s="815"/>
      <c r="X23" s="815"/>
      <c r="Y23" s="815"/>
      <c r="Z23" s="815"/>
      <c r="AA23" s="815"/>
      <c r="AB23" s="815"/>
      <c r="AC23" s="815"/>
      <c r="AD23" s="815"/>
      <c r="AE23" s="815"/>
      <c r="AF23" s="815"/>
      <c r="AG23" s="815"/>
    </row>
    <row r="24" spans="1:33" ht="17.25" customHeight="1" outlineLevel="1">
      <c r="A24" s="687"/>
      <c r="B24" s="816"/>
      <c r="C24" s="235">
        <v>0</v>
      </c>
      <c r="D24" s="235">
        <v>1</v>
      </c>
      <c r="E24" s="235">
        <v>2</v>
      </c>
      <c r="F24" s="235">
        <v>3</v>
      </c>
      <c r="G24" s="235">
        <v>4</v>
      </c>
      <c r="H24" s="235">
        <v>5</v>
      </c>
      <c r="I24" s="235">
        <v>6</v>
      </c>
      <c r="J24" s="235">
        <v>7</v>
      </c>
      <c r="K24" s="235">
        <v>8</v>
      </c>
      <c r="L24" s="235">
        <v>9</v>
      </c>
      <c r="M24" s="235">
        <v>10</v>
      </c>
      <c r="N24" s="235">
        <v>11</v>
      </c>
      <c r="O24" s="235">
        <v>12</v>
      </c>
      <c r="P24" s="235">
        <v>13</v>
      </c>
      <c r="Q24" s="235">
        <v>14</v>
      </c>
      <c r="R24" s="235">
        <v>15</v>
      </c>
      <c r="S24" s="235">
        <v>16</v>
      </c>
      <c r="T24" s="235">
        <v>17</v>
      </c>
      <c r="U24" s="235">
        <v>18</v>
      </c>
      <c r="V24" s="235">
        <v>19</v>
      </c>
      <c r="W24" s="235">
        <v>20</v>
      </c>
      <c r="X24" s="235">
        <v>21</v>
      </c>
      <c r="Y24" s="235">
        <v>22</v>
      </c>
      <c r="Z24" s="235">
        <v>23</v>
      </c>
      <c r="AA24" s="235">
        <v>24</v>
      </c>
      <c r="AB24" s="235">
        <v>25</v>
      </c>
      <c r="AC24" s="235">
        <v>26</v>
      </c>
      <c r="AD24" s="235">
        <v>27</v>
      </c>
      <c r="AE24" s="235">
        <v>28</v>
      </c>
      <c r="AF24" s="235">
        <v>29</v>
      </c>
      <c r="AG24" s="235">
        <v>30</v>
      </c>
    </row>
    <row r="25" spans="1:33" ht="21.75" customHeight="1" outlineLevel="1">
      <c r="A25" s="687"/>
      <c r="B25" s="256" t="s">
        <v>660</v>
      </c>
      <c r="C25" s="257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  <c r="Q25" s="258"/>
      <c r="R25" s="258"/>
      <c r="S25" s="258"/>
      <c r="T25" s="258"/>
      <c r="U25" s="258"/>
      <c r="V25" s="258"/>
      <c r="W25" s="258"/>
      <c r="X25" s="258"/>
      <c r="Y25" s="258"/>
      <c r="Z25" s="258"/>
      <c r="AA25" s="258"/>
      <c r="AB25" s="258"/>
      <c r="AC25" s="258"/>
      <c r="AD25" s="258"/>
      <c r="AE25" s="258"/>
      <c r="AF25" s="258"/>
      <c r="AG25" s="258"/>
    </row>
    <row r="26" spans="1:33" ht="21.75" customHeight="1" outlineLevel="1">
      <c r="A26" s="687"/>
      <c r="B26" s="247" t="s">
        <v>661</v>
      </c>
      <c r="C26" s="237"/>
      <c r="D26" s="237">
        <f t="shared" ref="D26:AG26" si="0">IF(D24&lt;=$C$11,D28-D27,0)</f>
        <v>-987442.68192097498</v>
      </c>
      <c r="E26" s="237">
        <f t="shared" si="0"/>
        <v>-1071931.6820930224</v>
      </c>
      <c r="F26" s="237">
        <f t="shared" si="0"/>
        <v>-1163649.852404024</v>
      </c>
      <c r="G26" s="237">
        <f t="shared" si="0"/>
        <v>-1263215.7455743528</v>
      </c>
      <c r="H26" s="237">
        <f t="shared" si="0"/>
        <v>-1371300.8398276572</v>
      </c>
      <c r="I26" s="237">
        <f t="shared" si="0"/>
        <v>-1488634.0673793906</v>
      </c>
      <c r="J26" s="237">
        <f t="shared" si="0"/>
        <v>-1616006.7303984258</v>
      </c>
      <c r="K26" s="237">
        <f t="shared" si="0"/>
        <v>-1754277.8375952984</v>
      </c>
      <c r="L26" s="237">
        <f t="shared" si="0"/>
        <v>-1904379.8974273342</v>
      </c>
      <c r="M26" s="237">
        <f t="shared" si="0"/>
        <v>-2067325.2069903843</v>
      </c>
      <c r="N26" s="237">
        <f t="shared" si="0"/>
        <v>-2244212.6790098152</v>
      </c>
      <c r="O26" s="237">
        <f t="shared" si="0"/>
        <v>-2436235.2529723877</v>
      </c>
      <c r="P26" s="237">
        <f t="shared" si="0"/>
        <v>-2644687.9403801262</v>
      </c>
      <c r="Q26" s="237">
        <f t="shared" si="0"/>
        <v>-2870976.5583838499</v>
      </c>
      <c r="R26" s="237">
        <f t="shared" si="0"/>
        <v>-3116627.210696497</v>
      </c>
      <c r="S26" s="237">
        <f t="shared" si="0"/>
        <v>0</v>
      </c>
      <c r="T26" s="237">
        <f t="shared" si="0"/>
        <v>0</v>
      </c>
      <c r="U26" s="237">
        <f t="shared" si="0"/>
        <v>0</v>
      </c>
      <c r="V26" s="237">
        <f t="shared" si="0"/>
        <v>0</v>
      </c>
      <c r="W26" s="237">
        <f t="shared" si="0"/>
        <v>0</v>
      </c>
      <c r="X26" s="237">
        <f t="shared" si="0"/>
        <v>0</v>
      </c>
      <c r="Y26" s="237">
        <f t="shared" si="0"/>
        <v>0</v>
      </c>
      <c r="Z26" s="237">
        <f t="shared" si="0"/>
        <v>0</v>
      </c>
      <c r="AA26" s="237">
        <f t="shared" si="0"/>
        <v>0</v>
      </c>
      <c r="AB26" s="237">
        <f t="shared" si="0"/>
        <v>0</v>
      </c>
      <c r="AC26" s="237">
        <f t="shared" si="0"/>
        <v>0</v>
      </c>
      <c r="AD26" s="237">
        <f t="shared" si="0"/>
        <v>0</v>
      </c>
      <c r="AE26" s="237">
        <f t="shared" si="0"/>
        <v>0</v>
      </c>
      <c r="AF26" s="237">
        <f t="shared" si="0"/>
        <v>0</v>
      </c>
      <c r="AG26" s="237">
        <f t="shared" si="0"/>
        <v>0</v>
      </c>
    </row>
    <row r="27" spans="1:33" ht="21.75" customHeight="1" outlineLevel="1">
      <c r="A27" s="687"/>
      <c r="B27" s="247" t="s">
        <v>662</v>
      </c>
      <c r="C27" s="237"/>
      <c r="D27" s="237">
        <f t="shared" ref="D27:AG27" si="1">IF(D24&lt;=$C$11,-C34*$C16,0)</f>
        <v>-2395853.8978051036</v>
      </c>
      <c r="E27" s="237">
        <f t="shared" si="1"/>
        <v>-2311364.8976330562</v>
      </c>
      <c r="F27" s="237">
        <f t="shared" si="1"/>
        <v>-2219646.7273220546</v>
      </c>
      <c r="G27" s="237">
        <f t="shared" si="1"/>
        <v>-2120080.8341517258</v>
      </c>
      <c r="H27" s="237">
        <f t="shared" si="1"/>
        <v>-2011995.7398984213</v>
      </c>
      <c r="I27" s="237">
        <f t="shared" si="1"/>
        <v>-1894662.512346688</v>
      </c>
      <c r="J27" s="237">
        <f t="shared" si="1"/>
        <v>-1767289.8493276527</v>
      </c>
      <c r="K27" s="237">
        <f t="shared" si="1"/>
        <v>-1629018.7421307801</v>
      </c>
      <c r="L27" s="237">
        <f t="shared" si="1"/>
        <v>-1478916.6822987443</v>
      </c>
      <c r="M27" s="237">
        <f t="shared" si="1"/>
        <v>-1315971.3727356943</v>
      </c>
      <c r="N27" s="237">
        <f t="shared" si="1"/>
        <v>-1139083.9007162633</v>
      </c>
      <c r="O27" s="237">
        <f t="shared" si="1"/>
        <v>-947061.32675369096</v>
      </c>
      <c r="P27" s="237">
        <f t="shared" si="1"/>
        <v>-738608.63934595254</v>
      </c>
      <c r="Q27" s="237">
        <f t="shared" si="1"/>
        <v>-512320.02134222863</v>
      </c>
      <c r="R27" s="237">
        <f t="shared" si="1"/>
        <v>-266669.36902958166</v>
      </c>
      <c r="S27" s="237">
        <f t="shared" si="1"/>
        <v>0</v>
      </c>
      <c r="T27" s="237">
        <f t="shared" si="1"/>
        <v>0</v>
      </c>
      <c r="U27" s="237">
        <f t="shared" si="1"/>
        <v>0</v>
      </c>
      <c r="V27" s="237">
        <f t="shared" si="1"/>
        <v>0</v>
      </c>
      <c r="W27" s="237">
        <f t="shared" si="1"/>
        <v>0</v>
      </c>
      <c r="X27" s="237">
        <f t="shared" si="1"/>
        <v>0</v>
      </c>
      <c r="Y27" s="237">
        <f t="shared" si="1"/>
        <v>0</v>
      </c>
      <c r="Z27" s="237">
        <f t="shared" si="1"/>
        <v>0</v>
      </c>
      <c r="AA27" s="237">
        <f t="shared" si="1"/>
        <v>0</v>
      </c>
      <c r="AB27" s="237">
        <f t="shared" si="1"/>
        <v>0</v>
      </c>
      <c r="AC27" s="237">
        <f t="shared" si="1"/>
        <v>0</v>
      </c>
      <c r="AD27" s="237">
        <f t="shared" si="1"/>
        <v>0</v>
      </c>
      <c r="AE27" s="237">
        <f t="shared" si="1"/>
        <v>0</v>
      </c>
      <c r="AF27" s="237">
        <f t="shared" si="1"/>
        <v>0</v>
      </c>
      <c r="AG27" s="237">
        <f t="shared" si="1"/>
        <v>0</v>
      </c>
    </row>
    <row r="28" spans="1:33" ht="21.75" customHeight="1" outlineLevel="1">
      <c r="A28" s="687"/>
      <c r="B28" s="259" t="s">
        <v>663</v>
      </c>
      <c r="C28" s="260"/>
      <c r="D28" s="260">
        <f t="shared" ref="D28:AG28" si="2">IF(D24&lt;=$C$11,PMT($C16,$C11,$C14,0),0)</f>
        <v>-3383296.5797260785</v>
      </c>
      <c r="E28" s="260">
        <f t="shared" si="2"/>
        <v>-3383296.5797260785</v>
      </c>
      <c r="F28" s="260">
        <f t="shared" si="2"/>
        <v>-3383296.5797260785</v>
      </c>
      <c r="G28" s="260">
        <f t="shared" si="2"/>
        <v>-3383296.5797260785</v>
      </c>
      <c r="H28" s="260">
        <f t="shared" si="2"/>
        <v>-3383296.5797260785</v>
      </c>
      <c r="I28" s="260">
        <f t="shared" si="2"/>
        <v>-3383296.5797260785</v>
      </c>
      <c r="J28" s="260">
        <f t="shared" si="2"/>
        <v>-3383296.5797260785</v>
      </c>
      <c r="K28" s="260">
        <f t="shared" si="2"/>
        <v>-3383296.5797260785</v>
      </c>
      <c r="L28" s="260">
        <f t="shared" si="2"/>
        <v>-3383296.5797260785</v>
      </c>
      <c r="M28" s="260">
        <f t="shared" si="2"/>
        <v>-3383296.5797260785</v>
      </c>
      <c r="N28" s="260">
        <f t="shared" si="2"/>
        <v>-3383296.5797260785</v>
      </c>
      <c r="O28" s="260">
        <f t="shared" si="2"/>
        <v>-3383296.5797260785</v>
      </c>
      <c r="P28" s="260">
        <f t="shared" si="2"/>
        <v>-3383296.5797260785</v>
      </c>
      <c r="Q28" s="260">
        <f t="shared" si="2"/>
        <v>-3383296.5797260785</v>
      </c>
      <c r="R28" s="260">
        <f t="shared" si="2"/>
        <v>-3383296.5797260785</v>
      </c>
      <c r="S28" s="260">
        <f t="shared" si="2"/>
        <v>0</v>
      </c>
      <c r="T28" s="260">
        <f t="shared" si="2"/>
        <v>0</v>
      </c>
      <c r="U28" s="260">
        <f t="shared" si="2"/>
        <v>0</v>
      </c>
      <c r="V28" s="260">
        <f t="shared" si="2"/>
        <v>0</v>
      </c>
      <c r="W28" s="260">
        <f t="shared" si="2"/>
        <v>0</v>
      </c>
      <c r="X28" s="260">
        <f t="shared" si="2"/>
        <v>0</v>
      </c>
      <c r="Y28" s="260">
        <f t="shared" si="2"/>
        <v>0</v>
      </c>
      <c r="Z28" s="260">
        <f t="shared" si="2"/>
        <v>0</v>
      </c>
      <c r="AA28" s="260">
        <f t="shared" si="2"/>
        <v>0</v>
      </c>
      <c r="AB28" s="260">
        <f t="shared" si="2"/>
        <v>0</v>
      </c>
      <c r="AC28" s="260">
        <f t="shared" si="2"/>
        <v>0</v>
      </c>
      <c r="AD28" s="260">
        <f t="shared" si="2"/>
        <v>0</v>
      </c>
      <c r="AE28" s="260">
        <f t="shared" si="2"/>
        <v>0</v>
      </c>
      <c r="AF28" s="260">
        <f t="shared" si="2"/>
        <v>0</v>
      </c>
      <c r="AG28" s="260">
        <f t="shared" si="2"/>
        <v>0</v>
      </c>
    </row>
    <row r="29" spans="1:33" ht="21.75" customHeight="1" outlineLevel="1">
      <c r="A29" s="687"/>
      <c r="B29" s="256" t="s">
        <v>664</v>
      </c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</row>
    <row r="30" spans="1:33" ht="21.75" customHeight="1" outlineLevel="1">
      <c r="A30" s="687"/>
      <c r="B30" s="247" t="s">
        <v>665</v>
      </c>
      <c r="C30" s="237">
        <f>C14</f>
        <v>28000904.183053542</v>
      </c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Y30" s="237"/>
      <c r="Z30" s="237"/>
      <c r="AA30" s="237"/>
      <c r="AB30" s="237"/>
      <c r="AC30" s="237"/>
      <c r="AD30" s="237"/>
      <c r="AE30" s="237"/>
      <c r="AF30" s="237"/>
      <c r="AG30" s="237"/>
    </row>
    <row r="31" spans="1:33" ht="21.75" customHeight="1" outlineLevel="1">
      <c r="A31" s="687"/>
      <c r="B31" s="259" t="s">
        <v>666</v>
      </c>
      <c r="C31" s="260">
        <f t="shared" ref="C31:AG31" si="3">C30</f>
        <v>28000904.183053542</v>
      </c>
      <c r="D31" s="260">
        <f t="shared" si="3"/>
        <v>0</v>
      </c>
      <c r="E31" s="260">
        <f t="shared" si="3"/>
        <v>0</v>
      </c>
      <c r="F31" s="260">
        <f t="shared" si="3"/>
        <v>0</v>
      </c>
      <c r="G31" s="260">
        <f t="shared" si="3"/>
        <v>0</v>
      </c>
      <c r="H31" s="260">
        <f t="shared" si="3"/>
        <v>0</v>
      </c>
      <c r="I31" s="260">
        <f t="shared" si="3"/>
        <v>0</v>
      </c>
      <c r="J31" s="260">
        <f t="shared" si="3"/>
        <v>0</v>
      </c>
      <c r="K31" s="260">
        <f t="shared" si="3"/>
        <v>0</v>
      </c>
      <c r="L31" s="260">
        <f t="shared" si="3"/>
        <v>0</v>
      </c>
      <c r="M31" s="260">
        <f t="shared" si="3"/>
        <v>0</v>
      </c>
      <c r="N31" s="260">
        <f t="shared" si="3"/>
        <v>0</v>
      </c>
      <c r="O31" s="260">
        <f t="shared" si="3"/>
        <v>0</v>
      </c>
      <c r="P31" s="260">
        <f t="shared" si="3"/>
        <v>0</v>
      </c>
      <c r="Q31" s="260">
        <f t="shared" si="3"/>
        <v>0</v>
      </c>
      <c r="R31" s="260">
        <f t="shared" si="3"/>
        <v>0</v>
      </c>
      <c r="S31" s="260">
        <f t="shared" si="3"/>
        <v>0</v>
      </c>
      <c r="T31" s="260">
        <f t="shared" si="3"/>
        <v>0</v>
      </c>
      <c r="U31" s="260">
        <f t="shared" si="3"/>
        <v>0</v>
      </c>
      <c r="V31" s="260">
        <f t="shared" si="3"/>
        <v>0</v>
      </c>
      <c r="W31" s="260">
        <f t="shared" si="3"/>
        <v>0</v>
      </c>
      <c r="X31" s="260">
        <f t="shared" si="3"/>
        <v>0</v>
      </c>
      <c r="Y31" s="260">
        <f t="shared" si="3"/>
        <v>0</v>
      </c>
      <c r="Z31" s="260">
        <f t="shared" si="3"/>
        <v>0</v>
      </c>
      <c r="AA31" s="260">
        <f t="shared" si="3"/>
        <v>0</v>
      </c>
      <c r="AB31" s="260">
        <f t="shared" si="3"/>
        <v>0</v>
      </c>
      <c r="AC31" s="260">
        <f t="shared" si="3"/>
        <v>0</v>
      </c>
      <c r="AD31" s="260">
        <f t="shared" si="3"/>
        <v>0</v>
      </c>
      <c r="AE31" s="260">
        <f t="shared" si="3"/>
        <v>0</v>
      </c>
      <c r="AF31" s="260">
        <f t="shared" si="3"/>
        <v>0</v>
      </c>
      <c r="AG31" s="260">
        <f t="shared" si="3"/>
        <v>0</v>
      </c>
    </row>
    <row r="32" spans="1:33" ht="21.75" customHeight="1" outlineLevel="1">
      <c r="A32" s="687"/>
      <c r="B32" s="261" t="s">
        <v>667</v>
      </c>
      <c r="C32" s="262">
        <f t="shared" ref="C32:AG32" si="4">IF(ISERR(C31+C28),0,C31+C28)</f>
        <v>28000904.183053542</v>
      </c>
      <c r="D32" s="262">
        <f t="shared" si="4"/>
        <v>-3383296.5797260785</v>
      </c>
      <c r="E32" s="262">
        <f t="shared" si="4"/>
        <v>-3383296.5797260785</v>
      </c>
      <c r="F32" s="262">
        <f t="shared" si="4"/>
        <v>-3383296.5797260785</v>
      </c>
      <c r="G32" s="262">
        <f t="shared" si="4"/>
        <v>-3383296.5797260785</v>
      </c>
      <c r="H32" s="262">
        <f t="shared" si="4"/>
        <v>-3383296.5797260785</v>
      </c>
      <c r="I32" s="262">
        <f t="shared" si="4"/>
        <v>-3383296.5797260785</v>
      </c>
      <c r="J32" s="262">
        <f t="shared" si="4"/>
        <v>-3383296.5797260785</v>
      </c>
      <c r="K32" s="262">
        <f t="shared" si="4"/>
        <v>-3383296.5797260785</v>
      </c>
      <c r="L32" s="262">
        <f t="shared" si="4"/>
        <v>-3383296.5797260785</v>
      </c>
      <c r="M32" s="262">
        <f t="shared" si="4"/>
        <v>-3383296.5797260785</v>
      </c>
      <c r="N32" s="262">
        <f t="shared" si="4"/>
        <v>-3383296.5797260785</v>
      </c>
      <c r="O32" s="262">
        <f t="shared" si="4"/>
        <v>-3383296.5797260785</v>
      </c>
      <c r="P32" s="262">
        <f t="shared" si="4"/>
        <v>-3383296.5797260785</v>
      </c>
      <c r="Q32" s="262">
        <f t="shared" si="4"/>
        <v>-3383296.5797260785</v>
      </c>
      <c r="R32" s="262">
        <f t="shared" si="4"/>
        <v>-3383296.5797260785</v>
      </c>
      <c r="S32" s="262">
        <f t="shared" si="4"/>
        <v>0</v>
      </c>
      <c r="T32" s="262">
        <f t="shared" si="4"/>
        <v>0</v>
      </c>
      <c r="U32" s="262">
        <f t="shared" si="4"/>
        <v>0</v>
      </c>
      <c r="V32" s="262">
        <f t="shared" si="4"/>
        <v>0</v>
      </c>
      <c r="W32" s="262">
        <f t="shared" si="4"/>
        <v>0</v>
      </c>
      <c r="X32" s="262">
        <f t="shared" si="4"/>
        <v>0</v>
      </c>
      <c r="Y32" s="262">
        <f t="shared" si="4"/>
        <v>0</v>
      </c>
      <c r="Z32" s="262">
        <f t="shared" si="4"/>
        <v>0</v>
      </c>
      <c r="AA32" s="262">
        <f t="shared" si="4"/>
        <v>0</v>
      </c>
      <c r="AB32" s="262">
        <f t="shared" si="4"/>
        <v>0</v>
      </c>
      <c r="AC32" s="262">
        <f t="shared" si="4"/>
        <v>0</v>
      </c>
      <c r="AD32" s="262">
        <f t="shared" si="4"/>
        <v>0</v>
      </c>
      <c r="AE32" s="262">
        <f t="shared" si="4"/>
        <v>0</v>
      </c>
      <c r="AF32" s="262">
        <f t="shared" si="4"/>
        <v>0</v>
      </c>
      <c r="AG32" s="262">
        <f t="shared" si="4"/>
        <v>0</v>
      </c>
    </row>
    <row r="33" spans="1:33" ht="15.75" customHeight="1" outlineLevel="1">
      <c r="A33" s="687"/>
      <c r="B33" s="693"/>
      <c r="C33" s="689"/>
      <c r="D33" s="689"/>
      <c r="E33" s="689"/>
      <c r="F33" s="689"/>
      <c r="G33" s="689"/>
      <c r="H33" s="689"/>
      <c r="I33" s="689"/>
      <c r="J33" s="689"/>
      <c r="K33" s="689"/>
      <c r="L33" s="689"/>
      <c r="M33" s="689"/>
      <c r="N33" s="689"/>
      <c r="O33" s="689"/>
      <c r="P33" s="689"/>
      <c r="Q33" s="689"/>
      <c r="R33" s="689"/>
      <c r="S33" s="689"/>
      <c r="T33" s="689"/>
      <c r="U33" s="689"/>
      <c r="V33" s="689"/>
      <c r="W33" s="689"/>
      <c r="X33" s="689"/>
      <c r="Y33" s="689"/>
      <c r="Z33" s="689"/>
      <c r="AA33" s="689"/>
      <c r="AB33" s="689"/>
      <c r="AC33" s="689"/>
      <c r="AD33" s="689"/>
      <c r="AE33" s="689"/>
      <c r="AF33" s="689"/>
      <c r="AG33" s="689"/>
    </row>
    <row r="34" spans="1:33" ht="18" customHeight="1" outlineLevel="1">
      <c r="A34" s="687"/>
      <c r="B34" s="263" t="s">
        <v>668</v>
      </c>
      <c r="C34" s="264">
        <f>C30</f>
        <v>28000904.183053542</v>
      </c>
      <c r="D34" s="264">
        <f t="shared" ref="D34:AG34" si="5">IF(D24&lt;=$C$11,C34+D26,"")</f>
        <v>27013461.501132566</v>
      </c>
      <c r="E34" s="264">
        <f t="shared" si="5"/>
        <v>25941529.819039546</v>
      </c>
      <c r="F34" s="264">
        <f t="shared" si="5"/>
        <v>24777879.966635522</v>
      </c>
      <c r="G34" s="264">
        <f t="shared" si="5"/>
        <v>23514664.22106117</v>
      </c>
      <c r="H34" s="264">
        <f t="shared" si="5"/>
        <v>22143363.381233513</v>
      </c>
      <c r="I34" s="264">
        <f t="shared" si="5"/>
        <v>20654729.313854124</v>
      </c>
      <c r="J34" s="264">
        <f t="shared" si="5"/>
        <v>19038722.583455697</v>
      </c>
      <c r="K34" s="264">
        <f t="shared" si="5"/>
        <v>17284444.745860398</v>
      </c>
      <c r="L34" s="264">
        <f t="shared" si="5"/>
        <v>15380064.848433064</v>
      </c>
      <c r="M34" s="264">
        <f t="shared" si="5"/>
        <v>13312739.641442681</v>
      </c>
      <c r="N34" s="264">
        <f t="shared" si="5"/>
        <v>11068526.962432865</v>
      </c>
      <c r="O34" s="264">
        <f t="shared" si="5"/>
        <v>8632291.7094604783</v>
      </c>
      <c r="P34" s="264">
        <f t="shared" si="5"/>
        <v>5987603.769080352</v>
      </c>
      <c r="Q34" s="264">
        <f t="shared" si="5"/>
        <v>3116627.2106965021</v>
      </c>
      <c r="R34" s="264">
        <f t="shared" si="5"/>
        <v>5.1222741603851318E-9</v>
      </c>
      <c r="S34" s="264" t="str">
        <f t="shared" si="5"/>
        <v/>
      </c>
      <c r="T34" s="264" t="str">
        <f t="shared" si="5"/>
        <v/>
      </c>
      <c r="U34" s="264" t="str">
        <f t="shared" si="5"/>
        <v/>
      </c>
      <c r="V34" s="264" t="str">
        <f t="shared" si="5"/>
        <v/>
      </c>
      <c r="W34" s="264" t="str">
        <f t="shared" si="5"/>
        <v/>
      </c>
      <c r="X34" s="264" t="str">
        <f t="shared" si="5"/>
        <v/>
      </c>
      <c r="Y34" s="264" t="str">
        <f t="shared" si="5"/>
        <v/>
      </c>
      <c r="Z34" s="264" t="str">
        <f t="shared" si="5"/>
        <v/>
      </c>
      <c r="AA34" s="264" t="str">
        <f t="shared" si="5"/>
        <v/>
      </c>
      <c r="AB34" s="264" t="str">
        <f t="shared" si="5"/>
        <v/>
      </c>
      <c r="AC34" s="264" t="str">
        <f t="shared" si="5"/>
        <v/>
      </c>
      <c r="AD34" s="264" t="str">
        <f t="shared" si="5"/>
        <v/>
      </c>
      <c r="AE34" s="264" t="str">
        <f t="shared" si="5"/>
        <v/>
      </c>
      <c r="AF34" s="264" t="str">
        <f t="shared" si="5"/>
        <v/>
      </c>
      <c r="AG34" s="264" t="str">
        <f t="shared" si="5"/>
        <v/>
      </c>
    </row>
    <row r="35" spans="1:33" ht="15.75" customHeight="1">
      <c r="A35" s="687"/>
      <c r="B35" s="694"/>
      <c r="C35" s="695"/>
      <c r="D35" s="695"/>
      <c r="E35" s="695"/>
      <c r="F35" s="695"/>
      <c r="G35" s="695"/>
      <c r="H35" s="695"/>
      <c r="I35" s="695"/>
      <c r="J35" s="695"/>
      <c r="K35" s="695"/>
      <c r="L35" s="695"/>
      <c r="M35" s="695"/>
      <c r="N35" s="695"/>
      <c r="O35" s="695"/>
      <c r="P35" s="505"/>
      <c r="Q35" s="505"/>
      <c r="R35" s="505"/>
      <c r="S35" s="505"/>
      <c r="T35" s="505"/>
      <c r="U35" s="505"/>
      <c r="V35" s="505"/>
      <c r="W35" s="505"/>
      <c r="X35" s="505"/>
      <c r="Y35" s="505"/>
      <c r="Z35" s="505"/>
      <c r="AA35" s="505"/>
      <c r="AB35" s="505"/>
      <c r="AC35" s="505"/>
      <c r="AD35" s="505"/>
      <c r="AE35" s="505"/>
      <c r="AF35" s="505"/>
      <c r="AG35" s="505"/>
    </row>
    <row r="36" spans="1:33" ht="15.75" customHeight="1">
      <c r="A36" s="687"/>
      <c r="B36" s="696"/>
      <c r="C36" s="808"/>
      <c r="D36" s="813"/>
      <c r="E36" s="521"/>
      <c r="F36" s="521"/>
      <c r="G36" s="521"/>
      <c r="H36" s="521"/>
      <c r="I36" s="521"/>
      <c r="J36" s="521"/>
      <c r="K36" s="521"/>
      <c r="L36" s="521"/>
      <c r="M36" s="521"/>
      <c r="N36" s="521"/>
      <c r="O36" s="521"/>
      <c r="P36" s="521"/>
      <c r="Q36" s="521"/>
      <c r="R36" s="521"/>
      <c r="S36" s="521"/>
      <c r="T36" s="521"/>
      <c r="U36" s="521"/>
      <c r="V36" s="521"/>
      <c r="W36" s="521"/>
      <c r="X36" s="521"/>
      <c r="Y36" s="521"/>
      <c r="Z36" s="521"/>
      <c r="AA36" s="521"/>
      <c r="AB36" s="521"/>
      <c r="AC36" s="521"/>
      <c r="AD36" s="521"/>
      <c r="AE36" s="521"/>
      <c r="AF36" s="521"/>
      <c r="AG36" s="521"/>
    </row>
    <row r="37" spans="1:33" ht="15.75" customHeight="1">
      <c r="A37" s="687"/>
      <c r="B37" s="646" t="s">
        <v>669</v>
      </c>
      <c r="C37" s="521"/>
      <c r="D37" s="521"/>
      <c r="E37" s="521"/>
      <c r="F37" s="521"/>
      <c r="G37" s="521"/>
      <c r="H37" s="521"/>
      <c r="I37" s="521"/>
      <c r="J37" s="521"/>
      <c r="K37" s="521"/>
      <c r="L37" s="521"/>
      <c r="M37" s="521"/>
      <c r="N37" s="521"/>
      <c r="O37" s="521"/>
      <c r="P37" s="583"/>
      <c r="Q37" s="521"/>
      <c r="R37" s="521"/>
      <c r="S37" s="521"/>
      <c r="T37" s="521"/>
      <c r="U37" s="521"/>
      <c r="V37" s="521"/>
      <c r="W37" s="521"/>
      <c r="X37" s="521"/>
      <c r="Y37" s="521"/>
      <c r="Z37" s="521"/>
      <c r="AA37" s="521"/>
      <c r="AB37" s="521"/>
      <c r="AC37" s="521"/>
      <c r="AD37" s="521"/>
      <c r="AE37" s="521"/>
      <c r="AF37" s="521"/>
      <c r="AG37" s="692" t="s">
        <v>151</v>
      </c>
    </row>
    <row r="38" spans="1:33" ht="17.25" customHeight="1" outlineLevel="1">
      <c r="A38" s="687"/>
      <c r="B38" s="804" t="s">
        <v>338</v>
      </c>
      <c r="C38" s="805" t="s">
        <v>147</v>
      </c>
      <c r="D38" s="815"/>
      <c r="E38" s="815"/>
      <c r="F38" s="815"/>
      <c r="G38" s="815"/>
      <c r="H38" s="815"/>
      <c r="I38" s="815"/>
      <c r="J38" s="815"/>
      <c r="K38" s="815"/>
      <c r="L38" s="815"/>
      <c r="M38" s="815"/>
      <c r="N38" s="815"/>
      <c r="O38" s="815"/>
      <c r="P38" s="815"/>
      <c r="Q38" s="815"/>
      <c r="R38" s="815"/>
      <c r="S38" s="815"/>
      <c r="T38" s="815"/>
      <c r="U38" s="815"/>
      <c r="V38" s="815"/>
      <c r="W38" s="815"/>
      <c r="X38" s="815"/>
      <c r="Y38" s="815"/>
      <c r="Z38" s="815"/>
      <c r="AA38" s="815"/>
      <c r="AB38" s="815"/>
      <c r="AC38" s="815"/>
      <c r="AD38" s="815"/>
      <c r="AE38" s="815"/>
      <c r="AF38" s="815"/>
      <c r="AG38" s="815"/>
    </row>
    <row r="39" spans="1:33" ht="17.25" customHeight="1" outlineLevel="1">
      <c r="A39" s="687"/>
      <c r="B39" s="816"/>
      <c r="C39" s="235">
        <v>0</v>
      </c>
      <c r="D39" s="235">
        <v>1</v>
      </c>
      <c r="E39" s="235">
        <v>2</v>
      </c>
      <c r="F39" s="235">
        <v>3</v>
      </c>
      <c r="G39" s="235">
        <v>4</v>
      </c>
      <c r="H39" s="235">
        <v>5</v>
      </c>
      <c r="I39" s="235">
        <v>6</v>
      </c>
      <c r="J39" s="235">
        <v>7</v>
      </c>
      <c r="K39" s="235">
        <v>8</v>
      </c>
      <c r="L39" s="235">
        <v>9</v>
      </c>
      <c r="M39" s="235">
        <v>10</v>
      </c>
      <c r="N39" s="235">
        <v>11</v>
      </c>
      <c r="O39" s="235">
        <v>12</v>
      </c>
      <c r="P39" s="235">
        <v>13</v>
      </c>
      <c r="Q39" s="235">
        <v>14</v>
      </c>
      <c r="R39" s="235">
        <v>15</v>
      </c>
      <c r="S39" s="235">
        <v>16</v>
      </c>
      <c r="T39" s="235">
        <v>17</v>
      </c>
      <c r="U39" s="235">
        <v>18</v>
      </c>
      <c r="V39" s="235">
        <v>19</v>
      </c>
      <c r="W39" s="235">
        <v>20</v>
      </c>
      <c r="X39" s="235">
        <v>21</v>
      </c>
      <c r="Y39" s="235">
        <v>22</v>
      </c>
      <c r="Z39" s="235">
        <v>23</v>
      </c>
      <c r="AA39" s="235">
        <v>24</v>
      </c>
      <c r="AB39" s="235">
        <v>25</v>
      </c>
      <c r="AC39" s="235">
        <v>26</v>
      </c>
      <c r="AD39" s="235">
        <v>27</v>
      </c>
      <c r="AE39" s="235">
        <v>28</v>
      </c>
      <c r="AF39" s="235">
        <v>29</v>
      </c>
      <c r="AG39" s="235">
        <v>30</v>
      </c>
    </row>
    <row r="40" spans="1:33" ht="21.75" customHeight="1" outlineLevel="1">
      <c r="A40" s="687"/>
      <c r="B40" s="256" t="s">
        <v>660</v>
      </c>
      <c r="C40" s="257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</row>
    <row r="41" spans="1:33" ht="21.75" customHeight="1" outlineLevel="1">
      <c r="A41" s="687"/>
      <c r="B41" s="247" t="s">
        <v>661</v>
      </c>
      <c r="C41" s="237"/>
      <c r="D41" s="237">
        <f t="shared" ref="D41:AG41" si="6">IF(D39&lt;=$C$11,-($C14/$C11),0)</f>
        <v>-1866726.9455369029</v>
      </c>
      <c r="E41" s="237">
        <f t="shared" si="6"/>
        <v>-1866726.9455369029</v>
      </c>
      <c r="F41" s="237">
        <f t="shared" si="6"/>
        <v>-1866726.9455369029</v>
      </c>
      <c r="G41" s="237">
        <f t="shared" si="6"/>
        <v>-1866726.9455369029</v>
      </c>
      <c r="H41" s="237">
        <f t="shared" si="6"/>
        <v>-1866726.9455369029</v>
      </c>
      <c r="I41" s="237">
        <f t="shared" si="6"/>
        <v>-1866726.9455369029</v>
      </c>
      <c r="J41" s="237">
        <f t="shared" si="6"/>
        <v>-1866726.9455369029</v>
      </c>
      <c r="K41" s="237">
        <f t="shared" si="6"/>
        <v>-1866726.9455369029</v>
      </c>
      <c r="L41" s="237">
        <f t="shared" si="6"/>
        <v>-1866726.9455369029</v>
      </c>
      <c r="M41" s="237">
        <f t="shared" si="6"/>
        <v>-1866726.9455369029</v>
      </c>
      <c r="N41" s="237">
        <f t="shared" si="6"/>
        <v>-1866726.9455369029</v>
      </c>
      <c r="O41" s="237">
        <f t="shared" si="6"/>
        <v>-1866726.9455369029</v>
      </c>
      <c r="P41" s="237">
        <f t="shared" si="6"/>
        <v>-1866726.9455369029</v>
      </c>
      <c r="Q41" s="237">
        <f t="shared" si="6"/>
        <v>-1866726.9455369029</v>
      </c>
      <c r="R41" s="237">
        <f t="shared" si="6"/>
        <v>-1866726.9455369029</v>
      </c>
      <c r="S41" s="237">
        <f t="shared" si="6"/>
        <v>0</v>
      </c>
      <c r="T41" s="237">
        <f t="shared" si="6"/>
        <v>0</v>
      </c>
      <c r="U41" s="237">
        <f t="shared" si="6"/>
        <v>0</v>
      </c>
      <c r="V41" s="237">
        <f t="shared" si="6"/>
        <v>0</v>
      </c>
      <c r="W41" s="237">
        <f t="shared" si="6"/>
        <v>0</v>
      </c>
      <c r="X41" s="237">
        <f t="shared" si="6"/>
        <v>0</v>
      </c>
      <c r="Y41" s="237">
        <f t="shared" si="6"/>
        <v>0</v>
      </c>
      <c r="Z41" s="237">
        <f t="shared" si="6"/>
        <v>0</v>
      </c>
      <c r="AA41" s="237">
        <f t="shared" si="6"/>
        <v>0</v>
      </c>
      <c r="AB41" s="237">
        <f t="shared" si="6"/>
        <v>0</v>
      </c>
      <c r="AC41" s="237">
        <f t="shared" si="6"/>
        <v>0</v>
      </c>
      <c r="AD41" s="237">
        <f t="shared" si="6"/>
        <v>0</v>
      </c>
      <c r="AE41" s="237">
        <f t="shared" si="6"/>
        <v>0</v>
      </c>
      <c r="AF41" s="237">
        <f t="shared" si="6"/>
        <v>0</v>
      </c>
      <c r="AG41" s="237">
        <f t="shared" si="6"/>
        <v>0</v>
      </c>
    </row>
    <row r="42" spans="1:33" ht="21.75" customHeight="1" outlineLevel="1">
      <c r="A42" s="687"/>
      <c r="B42" s="247" t="s">
        <v>662</v>
      </c>
      <c r="C42" s="237"/>
      <c r="D42" s="237">
        <f t="shared" ref="D42:AG42" si="7">IF(D39&lt;=$C$11,-C49*$C16,0)</f>
        <v>-2395853.8978051036</v>
      </c>
      <c r="E42" s="237">
        <f t="shared" si="7"/>
        <v>-2236130.3046180964</v>
      </c>
      <c r="F42" s="237">
        <f t="shared" si="7"/>
        <v>-2076406.7114310896</v>
      </c>
      <c r="G42" s="237">
        <f t="shared" si="7"/>
        <v>-1916683.1182440824</v>
      </c>
      <c r="H42" s="237">
        <f t="shared" si="7"/>
        <v>-1756959.5250570755</v>
      </c>
      <c r="I42" s="237">
        <f t="shared" si="7"/>
        <v>-1597235.9318700684</v>
      </c>
      <c r="J42" s="237">
        <f t="shared" si="7"/>
        <v>-1437512.3386830615</v>
      </c>
      <c r="K42" s="237">
        <f t="shared" si="7"/>
        <v>-1277788.7454960546</v>
      </c>
      <c r="L42" s="237">
        <f t="shared" si="7"/>
        <v>-1118065.1523090478</v>
      </c>
      <c r="M42" s="237">
        <f t="shared" si="7"/>
        <v>-958341.55912204087</v>
      </c>
      <c r="N42" s="237">
        <f t="shared" si="7"/>
        <v>-798617.9659350341</v>
      </c>
      <c r="O42" s="237">
        <f t="shared" si="7"/>
        <v>-638894.37274802709</v>
      </c>
      <c r="P42" s="237">
        <f t="shared" si="7"/>
        <v>-479170.7795610202</v>
      </c>
      <c r="Q42" s="237">
        <f t="shared" si="7"/>
        <v>-319447.18637401331</v>
      </c>
      <c r="R42" s="237">
        <f t="shared" si="7"/>
        <v>-159723.59318700639</v>
      </c>
      <c r="S42" s="237">
        <f t="shared" si="7"/>
        <v>0</v>
      </c>
      <c r="T42" s="237">
        <f t="shared" si="7"/>
        <v>0</v>
      </c>
      <c r="U42" s="237">
        <f t="shared" si="7"/>
        <v>0</v>
      </c>
      <c r="V42" s="237">
        <f t="shared" si="7"/>
        <v>0</v>
      </c>
      <c r="W42" s="237">
        <f t="shared" si="7"/>
        <v>0</v>
      </c>
      <c r="X42" s="237">
        <f t="shared" si="7"/>
        <v>0</v>
      </c>
      <c r="Y42" s="237">
        <f t="shared" si="7"/>
        <v>0</v>
      </c>
      <c r="Z42" s="237">
        <f t="shared" si="7"/>
        <v>0</v>
      </c>
      <c r="AA42" s="237">
        <f t="shared" si="7"/>
        <v>0</v>
      </c>
      <c r="AB42" s="237">
        <f t="shared" si="7"/>
        <v>0</v>
      </c>
      <c r="AC42" s="237">
        <f t="shared" si="7"/>
        <v>0</v>
      </c>
      <c r="AD42" s="237">
        <f t="shared" si="7"/>
        <v>0</v>
      </c>
      <c r="AE42" s="237">
        <f t="shared" si="7"/>
        <v>0</v>
      </c>
      <c r="AF42" s="237">
        <f t="shared" si="7"/>
        <v>0</v>
      </c>
      <c r="AG42" s="237">
        <f t="shared" si="7"/>
        <v>0</v>
      </c>
    </row>
    <row r="43" spans="1:33" ht="21.75" customHeight="1" outlineLevel="1">
      <c r="A43" s="687"/>
      <c r="B43" s="259" t="s">
        <v>663</v>
      </c>
      <c r="C43" s="260"/>
      <c r="D43" s="260">
        <f t="shared" ref="D43:AG43" si="8">IF(D39&lt;=$C$11,SUM(D41:D42),0)</f>
        <v>-4262580.8433420062</v>
      </c>
      <c r="E43" s="260">
        <f t="shared" si="8"/>
        <v>-4102857.2501549991</v>
      </c>
      <c r="F43" s="260">
        <f t="shared" si="8"/>
        <v>-3943133.6569679924</v>
      </c>
      <c r="G43" s="260">
        <f t="shared" si="8"/>
        <v>-3783410.0637809853</v>
      </c>
      <c r="H43" s="260">
        <f t="shared" si="8"/>
        <v>-3623686.4705939787</v>
      </c>
      <c r="I43" s="260">
        <f t="shared" si="8"/>
        <v>-3463962.8774069715</v>
      </c>
      <c r="J43" s="260">
        <f t="shared" si="8"/>
        <v>-3304239.2842199644</v>
      </c>
      <c r="K43" s="260">
        <f t="shared" si="8"/>
        <v>-3144515.6910329573</v>
      </c>
      <c r="L43" s="260">
        <f t="shared" si="8"/>
        <v>-2984792.0978459506</v>
      </c>
      <c r="M43" s="260">
        <f t="shared" si="8"/>
        <v>-2825068.504658944</v>
      </c>
      <c r="N43" s="260">
        <f t="shared" si="8"/>
        <v>-2665344.9114719369</v>
      </c>
      <c r="O43" s="260">
        <f t="shared" si="8"/>
        <v>-2505621.3182849297</v>
      </c>
      <c r="P43" s="260">
        <f t="shared" si="8"/>
        <v>-2345897.7250979231</v>
      </c>
      <c r="Q43" s="260">
        <f t="shared" si="8"/>
        <v>-2186174.1319109164</v>
      </c>
      <c r="R43" s="260">
        <f t="shared" si="8"/>
        <v>-2026450.5387239093</v>
      </c>
      <c r="S43" s="260">
        <f t="shared" si="8"/>
        <v>0</v>
      </c>
      <c r="T43" s="260">
        <f t="shared" si="8"/>
        <v>0</v>
      </c>
      <c r="U43" s="260">
        <f t="shared" si="8"/>
        <v>0</v>
      </c>
      <c r="V43" s="260">
        <f t="shared" si="8"/>
        <v>0</v>
      </c>
      <c r="W43" s="260">
        <f t="shared" si="8"/>
        <v>0</v>
      </c>
      <c r="X43" s="260">
        <f t="shared" si="8"/>
        <v>0</v>
      </c>
      <c r="Y43" s="260">
        <f t="shared" si="8"/>
        <v>0</v>
      </c>
      <c r="Z43" s="260">
        <f t="shared" si="8"/>
        <v>0</v>
      </c>
      <c r="AA43" s="260">
        <f t="shared" si="8"/>
        <v>0</v>
      </c>
      <c r="AB43" s="260">
        <f t="shared" si="8"/>
        <v>0</v>
      </c>
      <c r="AC43" s="260">
        <f t="shared" si="8"/>
        <v>0</v>
      </c>
      <c r="AD43" s="260">
        <f t="shared" si="8"/>
        <v>0</v>
      </c>
      <c r="AE43" s="260">
        <f t="shared" si="8"/>
        <v>0</v>
      </c>
      <c r="AF43" s="260">
        <f t="shared" si="8"/>
        <v>0</v>
      </c>
      <c r="AG43" s="260">
        <f t="shared" si="8"/>
        <v>0</v>
      </c>
    </row>
    <row r="44" spans="1:33" ht="21.75" customHeight="1" outlineLevel="1">
      <c r="A44" s="687"/>
      <c r="B44" s="256" t="s">
        <v>664</v>
      </c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</row>
    <row r="45" spans="1:33" ht="21.75" customHeight="1" outlineLevel="1">
      <c r="A45" s="687"/>
      <c r="B45" s="247" t="s">
        <v>665</v>
      </c>
      <c r="C45" s="237">
        <f>C14</f>
        <v>28000904.183053542</v>
      </c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</row>
    <row r="46" spans="1:33" ht="21.75" customHeight="1" outlineLevel="1">
      <c r="A46" s="687"/>
      <c r="B46" s="259" t="s">
        <v>666</v>
      </c>
      <c r="C46" s="260">
        <f t="shared" ref="C46:AG46" si="9">C45</f>
        <v>28000904.183053542</v>
      </c>
      <c r="D46" s="260">
        <f t="shared" si="9"/>
        <v>0</v>
      </c>
      <c r="E46" s="260">
        <f t="shared" si="9"/>
        <v>0</v>
      </c>
      <c r="F46" s="260">
        <f t="shared" si="9"/>
        <v>0</v>
      </c>
      <c r="G46" s="260">
        <f t="shared" si="9"/>
        <v>0</v>
      </c>
      <c r="H46" s="260">
        <f t="shared" si="9"/>
        <v>0</v>
      </c>
      <c r="I46" s="260">
        <f t="shared" si="9"/>
        <v>0</v>
      </c>
      <c r="J46" s="260">
        <f t="shared" si="9"/>
        <v>0</v>
      </c>
      <c r="K46" s="260">
        <f t="shared" si="9"/>
        <v>0</v>
      </c>
      <c r="L46" s="260">
        <f t="shared" si="9"/>
        <v>0</v>
      </c>
      <c r="M46" s="260">
        <f t="shared" si="9"/>
        <v>0</v>
      </c>
      <c r="N46" s="260">
        <f t="shared" si="9"/>
        <v>0</v>
      </c>
      <c r="O46" s="260">
        <f t="shared" si="9"/>
        <v>0</v>
      </c>
      <c r="P46" s="260">
        <f t="shared" si="9"/>
        <v>0</v>
      </c>
      <c r="Q46" s="260">
        <f t="shared" si="9"/>
        <v>0</v>
      </c>
      <c r="R46" s="260">
        <f t="shared" si="9"/>
        <v>0</v>
      </c>
      <c r="S46" s="260">
        <f t="shared" si="9"/>
        <v>0</v>
      </c>
      <c r="T46" s="260">
        <f t="shared" si="9"/>
        <v>0</v>
      </c>
      <c r="U46" s="260">
        <f t="shared" si="9"/>
        <v>0</v>
      </c>
      <c r="V46" s="260">
        <f t="shared" si="9"/>
        <v>0</v>
      </c>
      <c r="W46" s="260">
        <f t="shared" si="9"/>
        <v>0</v>
      </c>
      <c r="X46" s="260">
        <f t="shared" si="9"/>
        <v>0</v>
      </c>
      <c r="Y46" s="260">
        <f t="shared" si="9"/>
        <v>0</v>
      </c>
      <c r="Z46" s="260">
        <f t="shared" si="9"/>
        <v>0</v>
      </c>
      <c r="AA46" s="260">
        <f t="shared" si="9"/>
        <v>0</v>
      </c>
      <c r="AB46" s="260">
        <f t="shared" si="9"/>
        <v>0</v>
      </c>
      <c r="AC46" s="260">
        <f t="shared" si="9"/>
        <v>0</v>
      </c>
      <c r="AD46" s="260">
        <f t="shared" si="9"/>
        <v>0</v>
      </c>
      <c r="AE46" s="260">
        <f t="shared" si="9"/>
        <v>0</v>
      </c>
      <c r="AF46" s="260">
        <f t="shared" si="9"/>
        <v>0</v>
      </c>
      <c r="AG46" s="260">
        <f t="shared" si="9"/>
        <v>0</v>
      </c>
    </row>
    <row r="47" spans="1:33" ht="21.75" customHeight="1" outlineLevel="1">
      <c r="A47" s="687"/>
      <c r="B47" s="261" t="s">
        <v>667</v>
      </c>
      <c r="C47" s="262">
        <f t="shared" ref="C47:AG47" si="10">IF(ISERR(C46+C43),0,C46+C43)</f>
        <v>28000904.183053542</v>
      </c>
      <c r="D47" s="262">
        <f t="shared" si="10"/>
        <v>-4262580.8433420062</v>
      </c>
      <c r="E47" s="262">
        <f t="shared" si="10"/>
        <v>-4102857.2501549991</v>
      </c>
      <c r="F47" s="262">
        <f t="shared" si="10"/>
        <v>-3943133.6569679924</v>
      </c>
      <c r="G47" s="262">
        <f t="shared" si="10"/>
        <v>-3783410.0637809853</v>
      </c>
      <c r="H47" s="262">
        <f t="shared" si="10"/>
        <v>-3623686.4705939787</v>
      </c>
      <c r="I47" s="262">
        <f t="shared" si="10"/>
        <v>-3463962.8774069715</v>
      </c>
      <c r="J47" s="262">
        <f t="shared" si="10"/>
        <v>-3304239.2842199644</v>
      </c>
      <c r="K47" s="262">
        <f t="shared" si="10"/>
        <v>-3144515.6910329573</v>
      </c>
      <c r="L47" s="262">
        <f t="shared" si="10"/>
        <v>-2984792.0978459506</v>
      </c>
      <c r="M47" s="262">
        <f t="shared" si="10"/>
        <v>-2825068.504658944</v>
      </c>
      <c r="N47" s="262">
        <f t="shared" si="10"/>
        <v>-2665344.9114719369</v>
      </c>
      <c r="O47" s="262">
        <f t="shared" si="10"/>
        <v>-2505621.3182849297</v>
      </c>
      <c r="P47" s="262">
        <f t="shared" si="10"/>
        <v>-2345897.7250979231</v>
      </c>
      <c r="Q47" s="262">
        <f t="shared" si="10"/>
        <v>-2186174.1319109164</v>
      </c>
      <c r="R47" s="262">
        <f t="shared" si="10"/>
        <v>-2026450.5387239093</v>
      </c>
      <c r="S47" s="262">
        <f t="shared" si="10"/>
        <v>0</v>
      </c>
      <c r="T47" s="262">
        <f t="shared" si="10"/>
        <v>0</v>
      </c>
      <c r="U47" s="262">
        <f t="shared" si="10"/>
        <v>0</v>
      </c>
      <c r="V47" s="262">
        <f t="shared" si="10"/>
        <v>0</v>
      </c>
      <c r="W47" s="262">
        <f t="shared" si="10"/>
        <v>0</v>
      </c>
      <c r="X47" s="262">
        <f t="shared" si="10"/>
        <v>0</v>
      </c>
      <c r="Y47" s="262">
        <f t="shared" si="10"/>
        <v>0</v>
      </c>
      <c r="Z47" s="262">
        <f t="shared" si="10"/>
        <v>0</v>
      </c>
      <c r="AA47" s="262">
        <f t="shared" si="10"/>
        <v>0</v>
      </c>
      <c r="AB47" s="262">
        <f t="shared" si="10"/>
        <v>0</v>
      </c>
      <c r="AC47" s="262">
        <f t="shared" si="10"/>
        <v>0</v>
      </c>
      <c r="AD47" s="262">
        <f t="shared" si="10"/>
        <v>0</v>
      </c>
      <c r="AE47" s="262">
        <f t="shared" si="10"/>
        <v>0</v>
      </c>
      <c r="AF47" s="262">
        <f t="shared" si="10"/>
        <v>0</v>
      </c>
      <c r="AG47" s="262">
        <f t="shared" si="10"/>
        <v>0</v>
      </c>
    </row>
    <row r="48" spans="1:33" ht="15.75" customHeight="1" outlineLevel="1">
      <c r="A48" s="687"/>
      <c r="B48" s="693"/>
      <c r="C48" s="689"/>
      <c r="D48" s="689"/>
      <c r="E48" s="689"/>
      <c r="F48" s="689"/>
      <c r="G48" s="689"/>
      <c r="H48" s="689"/>
      <c r="I48" s="689"/>
      <c r="J48" s="689"/>
      <c r="K48" s="689"/>
      <c r="L48" s="689"/>
      <c r="M48" s="689"/>
      <c r="N48" s="689"/>
      <c r="O48" s="689"/>
      <c r="P48" s="689"/>
      <c r="Q48" s="689"/>
      <c r="R48" s="689"/>
      <c r="S48" s="689"/>
      <c r="T48" s="689"/>
      <c r="U48" s="689"/>
      <c r="V48" s="689"/>
      <c r="W48" s="689"/>
      <c r="X48" s="689"/>
      <c r="Y48" s="689"/>
      <c r="Z48" s="689"/>
      <c r="AA48" s="689"/>
      <c r="AB48" s="689"/>
      <c r="AC48" s="689"/>
      <c r="AD48" s="689"/>
      <c r="AE48" s="689"/>
      <c r="AF48" s="689"/>
      <c r="AG48" s="689"/>
    </row>
    <row r="49" spans="1:33" ht="18" customHeight="1" outlineLevel="1">
      <c r="A49" s="687"/>
      <c r="B49" s="263" t="s">
        <v>668</v>
      </c>
      <c r="C49" s="264">
        <f>C45</f>
        <v>28000904.183053542</v>
      </c>
      <c r="D49" s="264">
        <f t="shared" ref="D49:AG49" si="11">IF(D39&lt;=$C$11,C49+D41,"")</f>
        <v>26134177.237516638</v>
      </c>
      <c r="E49" s="264">
        <f t="shared" si="11"/>
        <v>24267450.291979734</v>
      </c>
      <c r="F49" s="264">
        <f t="shared" si="11"/>
        <v>22400723.34644283</v>
      </c>
      <c r="G49" s="264">
        <f t="shared" si="11"/>
        <v>20533996.400905926</v>
      </c>
      <c r="H49" s="264">
        <f t="shared" si="11"/>
        <v>18667269.455369022</v>
      </c>
      <c r="I49" s="264">
        <f t="shared" si="11"/>
        <v>16800542.509832118</v>
      </c>
      <c r="J49" s="264">
        <f t="shared" si="11"/>
        <v>14933815.564295216</v>
      </c>
      <c r="K49" s="264">
        <f t="shared" si="11"/>
        <v>13067088.618758313</v>
      </c>
      <c r="L49" s="264">
        <f t="shared" si="11"/>
        <v>11200361.673221411</v>
      </c>
      <c r="M49" s="264">
        <f t="shared" si="11"/>
        <v>9333634.727684509</v>
      </c>
      <c r="N49" s="264">
        <f t="shared" si="11"/>
        <v>7466907.7821476059</v>
      </c>
      <c r="O49" s="264">
        <f t="shared" si="11"/>
        <v>5600180.8366107028</v>
      </c>
      <c r="P49" s="264">
        <f t="shared" si="11"/>
        <v>3733453.8910737997</v>
      </c>
      <c r="Q49" s="264">
        <f t="shared" si="11"/>
        <v>1866726.9455368968</v>
      </c>
      <c r="R49" s="264">
        <f t="shared" si="11"/>
        <v>-6.0535967350006104E-9</v>
      </c>
      <c r="S49" s="264" t="str">
        <f t="shared" si="11"/>
        <v/>
      </c>
      <c r="T49" s="264" t="str">
        <f t="shared" si="11"/>
        <v/>
      </c>
      <c r="U49" s="264" t="str">
        <f t="shared" si="11"/>
        <v/>
      </c>
      <c r="V49" s="264" t="str">
        <f t="shared" si="11"/>
        <v/>
      </c>
      <c r="W49" s="264" t="str">
        <f t="shared" si="11"/>
        <v/>
      </c>
      <c r="X49" s="264" t="str">
        <f t="shared" si="11"/>
        <v/>
      </c>
      <c r="Y49" s="264" t="str">
        <f t="shared" si="11"/>
        <v/>
      </c>
      <c r="Z49" s="264" t="str">
        <f t="shared" si="11"/>
        <v/>
      </c>
      <c r="AA49" s="264" t="str">
        <f t="shared" si="11"/>
        <v/>
      </c>
      <c r="AB49" s="264" t="str">
        <f t="shared" si="11"/>
        <v/>
      </c>
      <c r="AC49" s="264" t="str">
        <f t="shared" si="11"/>
        <v/>
      </c>
      <c r="AD49" s="264" t="str">
        <f t="shared" si="11"/>
        <v/>
      </c>
      <c r="AE49" s="264" t="str">
        <f t="shared" si="11"/>
        <v/>
      </c>
      <c r="AF49" s="264" t="str">
        <f t="shared" si="11"/>
        <v/>
      </c>
      <c r="AG49" s="264" t="str">
        <f t="shared" si="11"/>
        <v/>
      </c>
    </row>
    <row r="50" spans="1:33" ht="15.75" customHeight="1">
      <c r="A50" s="292"/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</row>
    <row r="51" spans="1:33" ht="15.75" customHeight="1">
      <c r="A51" s="292"/>
      <c r="B51" s="292"/>
      <c r="C51" s="292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</row>
    <row r="52" spans="1:33" ht="15.75" customHeight="1">
      <c r="A52" s="292"/>
      <c r="B52" s="292"/>
      <c r="C52" s="292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</row>
    <row r="53" spans="1:33" ht="15.75" customHeight="1">
      <c r="A53" s="292"/>
      <c r="B53" s="292"/>
      <c r="C53" s="292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</row>
    <row r="54" spans="1:33" ht="15.75" customHeight="1">
      <c r="A54" s="292"/>
      <c r="B54" s="697" t="s">
        <v>670</v>
      </c>
      <c r="C54" s="697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</row>
    <row r="55" spans="1:33" ht="15.75" customHeight="1">
      <c r="A55" s="292"/>
      <c r="B55" s="292" t="s">
        <v>655</v>
      </c>
      <c r="C55" s="292">
        <v>12</v>
      </c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</row>
    <row r="56" spans="1:33" ht="15.75" customHeight="1">
      <c r="A56" s="292"/>
      <c r="B56" s="698" t="s">
        <v>671</v>
      </c>
      <c r="C56" s="698">
        <v>4</v>
      </c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</row>
    <row r="57" spans="1:33" ht="15.75" customHeight="1">
      <c r="A57" s="292"/>
      <c r="B57" s="292" t="s">
        <v>672</v>
      </c>
      <c r="C57" s="292">
        <v>2</v>
      </c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</row>
    <row r="58" spans="1:33" ht="15.75" customHeight="1">
      <c r="A58" s="292"/>
      <c r="B58" s="698" t="s">
        <v>673</v>
      </c>
      <c r="C58" s="698">
        <v>1</v>
      </c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</row>
    <row r="59" spans="1:33" ht="15.75" customHeight="1">
      <c r="A59" s="292"/>
      <c r="B59" s="57"/>
      <c r="C59" s="57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</row>
    <row r="60" spans="1:33" ht="15.75" customHeight="1">
      <c r="A60" s="292"/>
      <c r="B60" s="699" t="s">
        <v>674</v>
      </c>
      <c r="C60" s="292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</row>
    <row r="61" spans="1:33" ht="15.75" customHeight="1">
      <c r="A61" s="292"/>
      <c r="B61" s="259" t="s">
        <v>675</v>
      </c>
      <c r="C61" s="260">
        <f>IF(MetodoFin="PRICE",C30,C45)</f>
        <v>28000904.183053542</v>
      </c>
      <c r="D61" s="260">
        <f t="shared" ref="D61:AG61" si="12">IF(MetodoFin="PRICE",D26,D41)</f>
        <v>-987442.68192097498</v>
      </c>
      <c r="E61" s="260">
        <f t="shared" si="12"/>
        <v>-1071931.6820930224</v>
      </c>
      <c r="F61" s="260">
        <f t="shared" si="12"/>
        <v>-1163649.852404024</v>
      </c>
      <c r="G61" s="260">
        <f t="shared" si="12"/>
        <v>-1263215.7455743528</v>
      </c>
      <c r="H61" s="260">
        <f t="shared" si="12"/>
        <v>-1371300.8398276572</v>
      </c>
      <c r="I61" s="260">
        <f t="shared" si="12"/>
        <v>-1488634.0673793906</v>
      </c>
      <c r="J61" s="260">
        <f t="shared" si="12"/>
        <v>-1616006.7303984258</v>
      </c>
      <c r="K61" s="260">
        <f t="shared" si="12"/>
        <v>-1754277.8375952984</v>
      </c>
      <c r="L61" s="260">
        <f t="shared" si="12"/>
        <v>-1904379.8974273342</v>
      </c>
      <c r="M61" s="260">
        <f t="shared" si="12"/>
        <v>-2067325.2069903843</v>
      </c>
      <c r="N61" s="260">
        <f t="shared" si="12"/>
        <v>-2244212.6790098152</v>
      </c>
      <c r="O61" s="260">
        <f t="shared" si="12"/>
        <v>-2436235.2529723877</v>
      </c>
      <c r="P61" s="260">
        <f t="shared" si="12"/>
        <v>-2644687.9403801262</v>
      </c>
      <c r="Q61" s="260">
        <f t="shared" si="12"/>
        <v>-2870976.5583838499</v>
      </c>
      <c r="R61" s="260">
        <f t="shared" si="12"/>
        <v>-3116627.210696497</v>
      </c>
      <c r="S61" s="260">
        <f t="shared" si="12"/>
        <v>0</v>
      </c>
      <c r="T61" s="260">
        <f t="shared" si="12"/>
        <v>0</v>
      </c>
      <c r="U61" s="260">
        <f t="shared" si="12"/>
        <v>0</v>
      </c>
      <c r="V61" s="260">
        <f t="shared" si="12"/>
        <v>0</v>
      </c>
      <c r="W61" s="260">
        <f t="shared" si="12"/>
        <v>0</v>
      </c>
      <c r="X61" s="260">
        <f t="shared" si="12"/>
        <v>0</v>
      </c>
      <c r="Y61" s="260">
        <f t="shared" si="12"/>
        <v>0</v>
      </c>
      <c r="Z61" s="260">
        <f t="shared" si="12"/>
        <v>0</v>
      </c>
      <c r="AA61" s="260">
        <f t="shared" si="12"/>
        <v>0</v>
      </c>
      <c r="AB61" s="260">
        <f t="shared" si="12"/>
        <v>0</v>
      </c>
      <c r="AC61" s="260">
        <f t="shared" si="12"/>
        <v>0</v>
      </c>
      <c r="AD61" s="260">
        <f t="shared" si="12"/>
        <v>0</v>
      </c>
      <c r="AE61" s="260">
        <f t="shared" si="12"/>
        <v>0</v>
      </c>
      <c r="AF61" s="260">
        <f t="shared" si="12"/>
        <v>0</v>
      </c>
      <c r="AG61" s="260">
        <f t="shared" si="12"/>
        <v>0</v>
      </c>
    </row>
    <row r="62" spans="1:33" ht="15.75" customHeight="1">
      <c r="A62" s="292"/>
      <c r="B62" s="259" t="s">
        <v>676</v>
      </c>
      <c r="C62" s="260"/>
      <c r="D62" s="260">
        <f t="shared" ref="D62:AG62" si="13">IF(MetodoFin="PRICE",D27,D42)</f>
        <v>-2395853.8978051036</v>
      </c>
      <c r="E62" s="260">
        <f t="shared" si="13"/>
        <v>-2311364.8976330562</v>
      </c>
      <c r="F62" s="260">
        <f t="shared" si="13"/>
        <v>-2219646.7273220546</v>
      </c>
      <c r="G62" s="260">
        <f t="shared" si="13"/>
        <v>-2120080.8341517258</v>
      </c>
      <c r="H62" s="260">
        <f t="shared" si="13"/>
        <v>-2011995.7398984213</v>
      </c>
      <c r="I62" s="260">
        <f t="shared" si="13"/>
        <v>-1894662.512346688</v>
      </c>
      <c r="J62" s="260">
        <f t="shared" si="13"/>
        <v>-1767289.8493276527</v>
      </c>
      <c r="K62" s="260">
        <f t="shared" si="13"/>
        <v>-1629018.7421307801</v>
      </c>
      <c r="L62" s="260">
        <f t="shared" si="13"/>
        <v>-1478916.6822987443</v>
      </c>
      <c r="M62" s="260">
        <f t="shared" si="13"/>
        <v>-1315971.3727356943</v>
      </c>
      <c r="N62" s="260">
        <f t="shared" si="13"/>
        <v>-1139083.9007162633</v>
      </c>
      <c r="O62" s="260">
        <f t="shared" si="13"/>
        <v>-947061.32675369096</v>
      </c>
      <c r="P62" s="260">
        <f t="shared" si="13"/>
        <v>-738608.63934595254</v>
      </c>
      <c r="Q62" s="260">
        <f t="shared" si="13"/>
        <v>-512320.02134222863</v>
      </c>
      <c r="R62" s="260">
        <f t="shared" si="13"/>
        <v>-266669.36902958166</v>
      </c>
      <c r="S62" s="260">
        <f t="shared" si="13"/>
        <v>0</v>
      </c>
      <c r="T62" s="260">
        <f t="shared" si="13"/>
        <v>0</v>
      </c>
      <c r="U62" s="260">
        <f t="shared" si="13"/>
        <v>0</v>
      </c>
      <c r="V62" s="260">
        <f t="shared" si="13"/>
        <v>0</v>
      </c>
      <c r="W62" s="260">
        <f t="shared" si="13"/>
        <v>0</v>
      </c>
      <c r="X62" s="260">
        <f t="shared" si="13"/>
        <v>0</v>
      </c>
      <c r="Y62" s="260">
        <f t="shared" si="13"/>
        <v>0</v>
      </c>
      <c r="Z62" s="260">
        <f t="shared" si="13"/>
        <v>0</v>
      </c>
      <c r="AA62" s="260">
        <f t="shared" si="13"/>
        <v>0</v>
      </c>
      <c r="AB62" s="260">
        <f t="shared" si="13"/>
        <v>0</v>
      </c>
      <c r="AC62" s="260">
        <f t="shared" si="13"/>
        <v>0</v>
      </c>
      <c r="AD62" s="260">
        <f t="shared" si="13"/>
        <v>0</v>
      </c>
      <c r="AE62" s="260">
        <f t="shared" si="13"/>
        <v>0</v>
      </c>
      <c r="AF62" s="260">
        <f t="shared" si="13"/>
        <v>0</v>
      </c>
      <c r="AG62" s="260">
        <f t="shared" si="13"/>
        <v>0</v>
      </c>
    </row>
  </sheetData>
  <mergeCells count="9">
    <mergeCell ref="B38:B39"/>
    <mergeCell ref="C38:AG38"/>
    <mergeCell ref="B1:O1"/>
    <mergeCell ref="B4:B5"/>
    <mergeCell ref="E4:G4"/>
    <mergeCell ref="B6:C6"/>
    <mergeCell ref="B23:B24"/>
    <mergeCell ref="C23:AG23"/>
    <mergeCell ref="C36:D36"/>
  </mergeCells>
  <conditionalFormatting sqref="A5:A36">
    <cfRule type="expression" dxfId="12" priority="1">
      <formula>#REF!="Não"</formula>
    </cfRule>
  </conditionalFormatting>
  <conditionalFormatting sqref="A37">
    <cfRule type="expression" dxfId="11" priority="3">
      <formula>#REF!="Não"</formula>
    </cfRule>
  </conditionalFormatting>
  <conditionalFormatting sqref="A38:A49">
    <cfRule type="expression" dxfId="10" priority="2">
      <formula>#REF!="Não"</formula>
    </cfRule>
  </conditionalFormatting>
  <dataValidations disablePrompts="1" count="3">
    <dataValidation type="decimal" operator="lessThanOrEqual" allowBlank="1" showInputMessage="1" showErrorMessage="1" prompt="Período de financiamento - Máximo 30 anos" sqref="C11" xr:uid="{00000000-0002-0000-1200-000000000000}">
      <formula1>30</formula1>
    </dataValidation>
    <dataValidation type="list" allowBlank="1" showErrorMessage="1" sqref="C17" xr:uid="{00000000-0002-0000-1200-000001000000}">
      <formula1>$B$55:$B$58</formula1>
    </dataValidation>
    <dataValidation type="list" allowBlank="1" showErrorMessage="1" sqref="C19" xr:uid="{00000000-0002-0000-1200-000002000000}">
      <formula1>"PRICE,SAC"</formula1>
    </dataValidation>
  </dataValidations>
  <pageMargins left="0.511811024" right="0.511811024" top="0.78740157499999996" bottom="0.78740157499999996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>
    <tabColor rgb="FF222A35"/>
  </sheetPr>
  <dimension ref="A1:O40"/>
  <sheetViews>
    <sheetView tabSelected="1" zoomScale="55" zoomScaleNormal="55" workbookViewId="0"/>
  </sheetViews>
  <sheetFormatPr defaultColWidth="11.44140625" defaultRowHeight="15" customHeight="1"/>
  <cols>
    <col min="1" max="1" width="38.77734375" customWidth="1"/>
    <col min="2" max="2" width="14.5546875" customWidth="1"/>
    <col min="3" max="3" width="10.5546875" customWidth="1"/>
    <col min="4" max="4" width="10.21875" customWidth="1"/>
    <col min="5" max="5" width="13.21875" customWidth="1"/>
    <col min="6" max="11" width="10.44140625" customWidth="1"/>
    <col min="12" max="12" width="10.5546875" customWidth="1"/>
    <col min="13" max="13" width="16.109375" bestFit="1" customWidth="1"/>
    <col min="14" max="15" width="10.5546875" customWidth="1"/>
    <col min="16" max="26" width="11.44140625" customWidth="1"/>
  </cols>
  <sheetData>
    <row r="1" spans="1:15" ht="15.6">
      <c r="A1" s="405" t="s">
        <v>5</v>
      </c>
      <c r="B1" s="465"/>
      <c r="C1" s="466"/>
      <c r="D1" s="466"/>
      <c r="E1" s="466"/>
      <c r="F1" s="466"/>
      <c r="G1" s="298"/>
      <c r="H1" s="298"/>
      <c r="I1" s="298"/>
      <c r="J1" s="298"/>
      <c r="K1" s="298"/>
      <c r="L1" s="298"/>
      <c r="M1" s="298"/>
      <c r="N1" s="298"/>
      <c r="O1" s="298"/>
    </row>
    <row r="2" spans="1:15" ht="15.6">
      <c r="A2" s="466"/>
      <c r="B2" s="465"/>
      <c r="C2" s="466"/>
      <c r="D2" s="466"/>
      <c r="E2" s="466"/>
      <c r="F2" s="466"/>
      <c r="G2" s="298"/>
      <c r="H2" s="298"/>
      <c r="I2" s="298"/>
      <c r="J2" s="298"/>
      <c r="K2" s="298"/>
      <c r="L2" s="298"/>
      <c r="M2" s="298"/>
      <c r="N2" s="298"/>
      <c r="O2" s="298"/>
    </row>
    <row r="3" spans="1:15" ht="19.5" customHeight="1">
      <c r="A3" s="467" t="s">
        <v>6</v>
      </c>
      <c r="B3" s="467" t="s">
        <v>7</v>
      </c>
      <c r="C3" s="754" t="s">
        <v>8</v>
      </c>
      <c r="D3" s="813"/>
      <c r="E3" s="466"/>
      <c r="F3" s="466"/>
      <c r="G3" s="298"/>
      <c r="H3" s="298"/>
      <c r="I3" s="298"/>
      <c r="J3" s="298"/>
      <c r="K3" s="298"/>
      <c r="L3" s="298"/>
      <c r="M3" s="298"/>
      <c r="N3" s="298"/>
      <c r="O3" s="298"/>
    </row>
    <row r="4" spans="1:15" ht="15.6">
      <c r="A4" s="468" t="s">
        <v>9</v>
      </c>
      <c r="B4" s="1">
        <v>0.05</v>
      </c>
      <c r="C4" s="755" t="s">
        <v>10</v>
      </c>
      <c r="D4" s="813"/>
      <c r="E4" s="466"/>
      <c r="F4" s="466"/>
      <c r="G4" s="298"/>
      <c r="H4" s="298"/>
      <c r="I4" s="298"/>
      <c r="J4" s="298"/>
      <c r="K4" s="298"/>
      <c r="L4" s="298"/>
      <c r="M4" s="298"/>
      <c r="N4" s="298"/>
      <c r="O4" s="298"/>
    </row>
    <row r="5" spans="1:15" ht="15.6">
      <c r="A5" s="468" t="s">
        <v>11</v>
      </c>
      <c r="B5" s="1">
        <v>0.05</v>
      </c>
      <c r="C5" s="755" t="s">
        <v>10</v>
      </c>
      <c r="D5" s="813"/>
      <c r="E5" s="466"/>
      <c r="F5" s="466"/>
      <c r="G5" s="298"/>
      <c r="H5" s="298"/>
      <c r="I5" s="298"/>
      <c r="J5" s="298"/>
      <c r="K5" s="298"/>
      <c r="L5" s="298"/>
      <c r="M5" s="298"/>
      <c r="N5" s="298"/>
      <c r="O5" s="298"/>
    </row>
    <row r="6" spans="1:15" ht="15.6">
      <c r="A6" s="468" t="s">
        <v>12</v>
      </c>
      <c r="B6" s="2" t="s">
        <v>13</v>
      </c>
      <c r="C6" s="755"/>
      <c r="D6" s="813"/>
      <c r="E6" s="466"/>
      <c r="F6" s="469"/>
      <c r="G6" s="298"/>
      <c r="H6" s="298"/>
      <c r="I6" s="298"/>
      <c r="J6" s="298"/>
      <c r="K6" s="298"/>
      <c r="L6" s="298"/>
      <c r="M6" s="298"/>
      <c r="N6" s="298"/>
      <c r="O6" s="298"/>
    </row>
    <row r="7" spans="1:15" ht="15.6">
      <c r="A7" s="468" t="s">
        <v>14</v>
      </c>
      <c r="B7" s="3">
        <v>0.7</v>
      </c>
      <c r="C7" s="755" t="s">
        <v>15</v>
      </c>
      <c r="D7" s="813"/>
      <c r="E7" s="466"/>
      <c r="F7" s="466"/>
      <c r="G7" s="298"/>
      <c r="H7" s="298"/>
      <c r="I7" s="298"/>
      <c r="J7" s="298"/>
      <c r="K7" s="298"/>
      <c r="L7" s="298"/>
      <c r="M7" s="298"/>
      <c r="N7" s="298"/>
      <c r="O7" s="298"/>
    </row>
    <row r="8" spans="1:15" ht="15.6">
      <c r="A8" s="468" t="s">
        <v>16</v>
      </c>
      <c r="B8" s="309">
        <f>WACC!C24</f>
        <v>9.3883182166137238E-2</v>
      </c>
      <c r="C8" s="755" t="s">
        <v>17</v>
      </c>
      <c r="D8" s="813"/>
      <c r="E8" s="466"/>
      <c r="F8" s="466"/>
      <c r="G8" s="298"/>
      <c r="H8" s="298"/>
      <c r="I8" s="298"/>
      <c r="J8" s="298"/>
      <c r="K8" s="298"/>
      <c r="L8" s="298"/>
      <c r="M8" s="470"/>
      <c r="N8" s="298"/>
      <c r="O8" s="298"/>
    </row>
    <row r="9" spans="1:15" ht="15.6">
      <c r="A9" s="468" t="s">
        <v>18</v>
      </c>
      <c r="B9" s="310" t="s">
        <v>19</v>
      </c>
      <c r="C9" s="755" t="s">
        <v>19</v>
      </c>
      <c r="D9" s="813"/>
      <c r="E9" s="298"/>
      <c r="F9" s="298"/>
      <c r="G9" s="298"/>
      <c r="H9" s="298"/>
      <c r="I9" s="298"/>
      <c r="J9" s="298"/>
      <c r="K9" s="298"/>
      <c r="L9" s="298"/>
      <c r="M9" s="470"/>
      <c r="N9" s="298"/>
      <c r="O9" s="298"/>
    </row>
    <row r="10" spans="1:15" ht="15.6">
      <c r="A10" s="468" t="s">
        <v>20</v>
      </c>
      <c r="B10" s="403">
        <v>45</v>
      </c>
      <c r="C10" s="755" t="s">
        <v>21</v>
      </c>
      <c r="D10" s="813"/>
      <c r="E10" s="298"/>
      <c r="F10" s="298"/>
      <c r="G10" s="298"/>
      <c r="H10" s="298"/>
      <c r="I10" s="298"/>
      <c r="J10" s="298"/>
      <c r="K10" s="298"/>
      <c r="L10" s="298"/>
      <c r="M10" s="298"/>
      <c r="N10" s="298"/>
      <c r="O10" s="298"/>
    </row>
    <row r="11" spans="1:15" ht="15.6">
      <c r="A11" s="466"/>
      <c r="B11" s="465"/>
      <c r="C11" s="466"/>
      <c r="D11" s="466"/>
      <c r="E11" s="466"/>
      <c r="F11" s="466"/>
      <c r="G11" s="298"/>
      <c r="H11" s="298"/>
      <c r="I11" s="298"/>
      <c r="J11" s="298"/>
      <c r="K11" s="298"/>
      <c r="L11" s="298"/>
      <c r="M11" s="298"/>
      <c r="N11" s="298"/>
      <c r="O11" s="298"/>
    </row>
    <row r="12" spans="1:15" ht="15.6">
      <c r="A12" s="466"/>
      <c r="B12" s="471"/>
      <c r="C12" s="298"/>
      <c r="D12" s="472"/>
      <c r="E12" s="298"/>
      <c r="F12" s="298"/>
      <c r="G12" s="298"/>
      <c r="H12" s="298"/>
      <c r="I12" s="298"/>
      <c r="J12" s="298"/>
      <c r="K12" s="298"/>
      <c r="L12" s="298"/>
      <c r="M12" s="470"/>
      <c r="N12" s="298"/>
      <c r="O12" s="298"/>
    </row>
    <row r="13" spans="1:15" ht="18.75" customHeight="1">
      <c r="A13" s="467" t="s">
        <v>22</v>
      </c>
      <c r="B13" s="467" t="s">
        <v>23</v>
      </c>
      <c r="C13" s="298"/>
      <c r="D13" s="298"/>
      <c r="E13" s="298"/>
      <c r="F13" s="298"/>
      <c r="G13" s="298"/>
      <c r="H13" s="298"/>
      <c r="I13" s="298"/>
      <c r="J13" s="298"/>
      <c r="K13" s="298"/>
      <c r="L13" s="298"/>
      <c r="M13" s="298"/>
      <c r="N13" s="298"/>
      <c r="O13" s="298"/>
    </row>
    <row r="14" spans="1:15" ht="19.5" customHeight="1">
      <c r="A14" s="297" t="s">
        <v>24</v>
      </c>
      <c r="B14" s="299">
        <f>NPV(WACC,'F2 - DRE 30 anos'!C38:AF38)</f>
        <v>7472.5662802169663</v>
      </c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</row>
    <row r="15" spans="1:15" ht="15.75" customHeight="1">
      <c r="A15" s="297" t="s">
        <v>25</v>
      </c>
      <c r="B15" s="473">
        <f>'F2 - DRE 30 anos'!B53</f>
        <v>15.207966450352835</v>
      </c>
      <c r="C15" s="298"/>
      <c r="D15" s="298"/>
      <c r="E15" s="298"/>
      <c r="F15" s="298"/>
      <c r="G15" s="298"/>
      <c r="H15" s="298"/>
      <c r="I15" s="298"/>
      <c r="J15" s="298"/>
      <c r="K15" s="298"/>
      <c r="L15" s="298"/>
      <c r="M15" s="298"/>
      <c r="N15" s="298"/>
      <c r="O15" s="298"/>
    </row>
    <row r="16" spans="1:15" ht="15.75" customHeight="1">
      <c r="A16" s="297" t="s">
        <v>26</v>
      </c>
      <c r="B16" s="473">
        <f>'F2 - DRE 30 anos'!B54</f>
        <v>23.010367936452887</v>
      </c>
      <c r="C16" s="298"/>
      <c r="D16" s="298"/>
      <c r="E16" s="298"/>
      <c r="F16" s="298"/>
      <c r="G16" s="298"/>
      <c r="H16" s="298"/>
      <c r="I16" s="298"/>
      <c r="J16" s="298"/>
      <c r="K16" s="298"/>
      <c r="L16" s="298"/>
      <c r="M16" s="298"/>
      <c r="N16" s="298"/>
      <c r="O16" s="298"/>
    </row>
    <row r="17" spans="1:15" ht="15.75" customHeight="1">
      <c r="A17" s="297" t="s">
        <v>27</v>
      </c>
      <c r="B17" s="299">
        <f>'F2 - DRE 30 anos'!B55</f>
        <v>1.0176520708802417</v>
      </c>
      <c r="C17" s="472"/>
      <c r="D17" s="298"/>
      <c r="E17" s="298"/>
      <c r="F17" s="298"/>
      <c r="G17" s="298"/>
      <c r="H17" s="298"/>
      <c r="I17" s="298"/>
      <c r="J17" s="298"/>
      <c r="K17" s="298"/>
      <c r="L17" s="298"/>
      <c r="M17" s="298"/>
      <c r="N17" s="298"/>
      <c r="O17" s="298"/>
    </row>
    <row r="18" spans="1:15" ht="15.75" customHeight="1">
      <c r="A18" s="297" t="s">
        <v>28</v>
      </c>
      <c r="B18" s="299">
        <f>-SUM('F2 - DRE 30 anos'!C9:AF9)</f>
        <v>91392.190350000063</v>
      </c>
      <c r="C18" s="300">
        <f>B18/30</f>
        <v>3046.4063450000021</v>
      </c>
      <c r="D18" s="298" t="s">
        <v>29</v>
      </c>
      <c r="E18" s="298"/>
      <c r="F18" s="298"/>
      <c r="G18" s="298"/>
      <c r="H18" s="298"/>
      <c r="I18" s="298"/>
      <c r="J18" s="298"/>
      <c r="K18" s="298"/>
      <c r="L18" s="298"/>
      <c r="M18" s="298"/>
      <c r="N18" s="298"/>
      <c r="O18" s="298"/>
    </row>
    <row r="19" spans="1:15" ht="15.75" customHeight="1">
      <c r="A19" s="297" t="s">
        <v>30</v>
      </c>
      <c r="B19" s="299">
        <f>SUM('E2 - Tributos'!D273:AG273)/1000</f>
        <v>186930.4643100001</v>
      </c>
      <c r="C19" s="298"/>
      <c r="D19" s="298"/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</row>
    <row r="20" spans="1:15" ht="15.75" customHeight="1">
      <c r="A20" s="297" t="s">
        <v>31</v>
      </c>
      <c r="B20" s="299">
        <f>SUM('E2 - Tributos'!D274:AG274)/1000</f>
        <v>140623.91793749999</v>
      </c>
      <c r="C20" s="298"/>
      <c r="D20" s="298"/>
      <c r="E20" s="298"/>
      <c r="F20" s="298"/>
      <c r="G20" s="298"/>
      <c r="H20" s="298"/>
      <c r="I20" s="298"/>
      <c r="J20" s="298"/>
      <c r="K20" s="298"/>
      <c r="L20" s="298"/>
      <c r="M20" s="298"/>
      <c r="N20" s="298"/>
      <c r="O20" s="298"/>
    </row>
    <row r="21" spans="1:15" ht="15.75" customHeight="1">
      <c r="A21" s="466"/>
      <c r="B21" s="466"/>
      <c r="C21" s="298"/>
      <c r="D21" s="298"/>
      <c r="E21" s="298"/>
      <c r="F21" s="298"/>
      <c r="G21" s="298"/>
      <c r="H21" s="298"/>
      <c r="I21" s="298"/>
      <c r="J21" s="298"/>
      <c r="K21" s="298"/>
      <c r="L21" s="298"/>
      <c r="M21" s="298"/>
      <c r="N21" s="298"/>
      <c r="O21" s="298"/>
    </row>
    <row r="22" spans="1:15" ht="16.5" customHeight="1">
      <c r="A22" s="297" t="s">
        <v>32</v>
      </c>
      <c r="B22" s="474">
        <f t="array" ref="B22">NPV(WACC,'D2 - Capex uso'!BS177:CV177)/1000</f>
        <v>72447.420534383127</v>
      </c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</row>
    <row r="23" spans="1:15" ht="16.5" customHeight="1">
      <c r="A23" s="475" t="s">
        <v>33</v>
      </c>
      <c r="B23" s="308">
        <f>SUM('D2 - Capex uso'!BS177:BW177)/1000</f>
        <v>70078.030921800004</v>
      </c>
      <c r="C23" s="298"/>
      <c r="D23" s="298"/>
      <c r="E23" s="298"/>
      <c r="F23" s="298"/>
      <c r="G23" s="298"/>
      <c r="H23" s="298"/>
      <c r="I23" s="298"/>
      <c r="J23" s="298"/>
      <c r="K23" s="298"/>
      <c r="L23" s="298"/>
      <c r="M23" s="298"/>
      <c r="N23" s="298"/>
      <c r="O23" s="298"/>
    </row>
    <row r="24" spans="1:15" ht="16.5" customHeight="1">
      <c r="A24" s="475" t="s">
        <v>34</v>
      </c>
      <c r="B24" s="308">
        <f>SUM('D2 - Capex uso'!BS177:CV177)/1000</f>
        <v>115951.93565779999</v>
      </c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</row>
    <row r="25" spans="1:15" ht="16.5" customHeight="1">
      <c r="A25" s="475" t="s">
        <v>35</v>
      </c>
      <c r="B25" s="308">
        <f>-SUM('F2 - DRE 30 anos'!C14:AF14)</f>
        <v>989259.69297653437</v>
      </c>
      <c r="C25" s="298"/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</row>
    <row r="26" spans="1:15" ht="15" customHeight="1">
      <c r="A26" s="298"/>
      <c r="B26" s="29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</row>
    <row r="27" spans="1:15" ht="15.75" customHeight="1">
      <c r="A27" s="476" t="s">
        <v>36</v>
      </c>
      <c r="B27" s="477"/>
      <c r="C27" s="298"/>
      <c r="D27" s="425"/>
      <c r="E27" s="405"/>
      <c r="F27" s="406"/>
      <c r="G27" s="406"/>
      <c r="H27" s="406"/>
      <c r="I27" s="406"/>
      <c r="J27" s="406"/>
      <c r="K27" s="406"/>
      <c r="L27" s="425"/>
      <c r="M27" s="298"/>
      <c r="N27" s="298"/>
      <c r="O27" s="298"/>
    </row>
    <row r="28" spans="1:15" ht="15.75" customHeight="1">
      <c r="A28" s="478" t="s">
        <v>37</v>
      </c>
      <c r="B28" s="479">
        <v>1322883</v>
      </c>
      <c r="C28" s="480"/>
      <c r="D28" s="425"/>
      <c r="E28" s="405"/>
      <c r="F28" s="406"/>
      <c r="G28" s="406"/>
      <c r="H28" s="406"/>
      <c r="I28" s="406"/>
      <c r="J28" s="406"/>
      <c r="K28" s="406"/>
      <c r="L28" s="425"/>
      <c r="M28" s="298"/>
      <c r="N28" s="298"/>
      <c r="O28" s="298"/>
    </row>
    <row r="29" spans="1:15" ht="15.75" customHeight="1">
      <c r="A29" s="478" t="s">
        <v>38</v>
      </c>
      <c r="B29" s="481">
        <v>-0.1</v>
      </c>
      <c r="C29" s="480"/>
      <c r="D29" s="425"/>
      <c r="E29" s="814"/>
      <c r="F29" s="412"/>
      <c r="G29" s="408"/>
      <c r="H29" s="408"/>
      <c r="I29" s="408"/>
      <c r="J29" s="408"/>
      <c r="K29" s="408"/>
      <c r="L29" s="482"/>
      <c r="M29" s="298"/>
      <c r="N29" s="298"/>
      <c r="O29" s="298"/>
    </row>
    <row r="30" spans="1:15" ht="15.75" customHeight="1">
      <c r="A30" s="478" t="s">
        <v>39</v>
      </c>
      <c r="B30" s="481">
        <v>0.1</v>
      </c>
      <c r="C30" s="480"/>
      <c r="D30" s="425"/>
      <c r="E30" s="814"/>
      <c r="F30" s="412"/>
      <c r="G30" s="408"/>
      <c r="H30" s="408"/>
      <c r="I30" s="408"/>
      <c r="J30" s="408"/>
      <c r="K30" s="408"/>
      <c r="L30" s="482"/>
      <c r="M30" s="298"/>
      <c r="N30" s="298"/>
      <c r="O30" s="298"/>
    </row>
    <row r="31" spans="1:15" ht="15.75" customHeight="1">
      <c r="A31" s="480"/>
      <c r="B31" s="483"/>
      <c r="C31" s="480"/>
      <c r="D31" s="425"/>
      <c r="E31" s="406"/>
      <c r="F31" s="406"/>
      <c r="G31" s="409"/>
      <c r="H31" s="409"/>
      <c r="I31" s="409"/>
      <c r="J31" s="409"/>
      <c r="K31" s="409"/>
      <c r="L31" s="482"/>
      <c r="M31" s="298"/>
      <c r="N31" s="298"/>
      <c r="O31" s="298"/>
    </row>
    <row r="32" spans="1:15" ht="15.75" customHeight="1">
      <c r="A32" s="298"/>
      <c r="B32" s="477"/>
      <c r="C32" s="298"/>
      <c r="D32" s="425"/>
      <c r="E32" s="406"/>
      <c r="F32" s="406"/>
      <c r="G32" s="406"/>
      <c r="H32" s="406"/>
      <c r="I32" s="406"/>
      <c r="J32" s="406"/>
      <c r="K32" s="406"/>
      <c r="L32" s="482"/>
      <c r="M32" s="298"/>
      <c r="N32" s="298"/>
      <c r="O32" s="298"/>
    </row>
    <row r="33" spans="1:15" ht="15.75" customHeight="1">
      <c r="A33" s="298"/>
      <c r="B33" s="477"/>
      <c r="C33" s="298"/>
      <c r="D33" s="425"/>
      <c r="E33" s="406"/>
      <c r="F33" s="406"/>
      <c r="G33" s="406"/>
      <c r="H33" s="406"/>
      <c r="I33" s="406"/>
      <c r="J33" s="406"/>
      <c r="K33" s="406"/>
      <c r="L33" s="482"/>
      <c r="M33" s="298"/>
      <c r="N33" s="298"/>
      <c r="O33" s="298"/>
    </row>
    <row r="34" spans="1:15" ht="15.75" customHeight="1">
      <c r="A34" s="298"/>
      <c r="B34" s="477"/>
      <c r="C34" s="298"/>
      <c r="D34" s="425"/>
      <c r="E34" s="407"/>
      <c r="F34" s="407"/>
      <c r="G34" s="756"/>
      <c r="H34" s="814"/>
      <c r="I34" s="814"/>
      <c r="J34" s="814"/>
      <c r="K34" s="814"/>
      <c r="L34" s="425"/>
      <c r="M34" s="298"/>
      <c r="N34" s="298"/>
      <c r="O34" s="298"/>
    </row>
    <row r="35" spans="1:15" ht="15.75" customHeight="1">
      <c r="A35" s="298"/>
      <c r="B35" s="477"/>
      <c r="C35" s="298"/>
      <c r="D35" s="425"/>
      <c r="E35" s="407"/>
      <c r="F35" s="411"/>
      <c r="G35" s="412"/>
      <c r="H35" s="412"/>
      <c r="I35" s="412"/>
      <c r="J35" s="412"/>
      <c r="K35" s="412"/>
      <c r="L35" s="425"/>
      <c r="M35" s="298"/>
      <c r="N35" s="298"/>
      <c r="O35" s="298"/>
    </row>
    <row r="36" spans="1:15" ht="15.75" customHeight="1">
      <c r="A36" s="298"/>
      <c r="B36" s="477"/>
      <c r="C36" s="298"/>
      <c r="D36" s="425"/>
      <c r="E36" s="757"/>
      <c r="F36" s="412"/>
      <c r="G36" s="410"/>
      <c r="H36" s="410"/>
      <c r="I36" s="410"/>
      <c r="J36" s="410"/>
      <c r="K36" s="410"/>
      <c r="L36" s="425"/>
      <c r="M36" s="298"/>
      <c r="N36" s="298"/>
      <c r="O36" s="298"/>
    </row>
    <row r="37" spans="1:15" ht="15.75" customHeight="1">
      <c r="A37" s="298"/>
      <c r="B37" s="477"/>
      <c r="C37" s="298"/>
      <c r="D37" s="425"/>
      <c r="E37" s="814"/>
      <c r="F37" s="412"/>
      <c r="G37" s="410"/>
      <c r="H37" s="410"/>
      <c r="I37" s="410"/>
      <c r="J37" s="410"/>
      <c r="K37" s="410"/>
      <c r="L37" s="425"/>
      <c r="M37" s="298"/>
      <c r="N37" s="298"/>
      <c r="O37" s="298"/>
    </row>
    <row r="38" spans="1:15" ht="15.75" customHeight="1">
      <c r="A38" s="298"/>
      <c r="B38" s="477"/>
      <c r="C38" s="298"/>
      <c r="D38" s="425"/>
      <c r="E38" s="814"/>
      <c r="F38" s="412"/>
      <c r="G38" s="410"/>
      <c r="H38" s="410"/>
      <c r="I38" s="410"/>
      <c r="J38" s="410"/>
      <c r="K38" s="410"/>
      <c r="L38" s="425"/>
      <c r="M38" s="298"/>
      <c r="N38" s="298"/>
      <c r="O38" s="298"/>
    </row>
    <row r="39" spans="1:15" ht="15.75" customHeight="1">
      <c r="A39" s="298"/>
      <c r="B39" s="477"/>
      <c r="C39" s="298"/>
      <c r="D39" s="425"/>
      <c r="E39" s="814"/>
      <c r="F39" s="412"/>
      <c r="G39" s="410"/>
      <c r="H39" s="410"/>
      <c r="I39" s="410"/>
      <c r="J39" s="410"/>
      <c r="K39" s="410"/>
      <c r="L39" s="425"/>
      <c r="M39" s="298"/>
      <c r="N39" s="298"/>
      <c r="O39" s="298"/>
    </row>
    <row r="40" spans="1:15" ht="15.75" customHeight="1">
      <c r="A40" s="298"/>
      <c r="B40" s="477"/>
      <c r="C40" s="298"/>
      <c r="D40" s="425"/>
      <c r="E40" s="814"/>
      <c r="F40" s="412"/>
      <c r="G40" s="410"/>
      <c r="H40" s="410"/>
      <c r="I40" s="410"/>
      <c r="J40" s="410"/>
      <c r="K40" s="410"/>
      <c r="L40" s="425"/>
      <c r="M40" s="298"/>
      <c r="N40" s="298"/>
      <c r="O40" s="298"/>
    </row>
  </sheetData>
  <mergeCells count="11">
    <mergeCell ref="G34:K34"/>
    <mergeCell ref="E36:E40"/>
    <mergeCell ref="C7:D7"/>
    <mergeCell ref="C8:D8"/>
    <mergeCell ref="C9:D9"/>
    <mergeCell ref="C10:D10"/>
    <mergeCell ref="C3:D3"/>
    <mergeCell ref="C4:D4"/>
    <mergeCell ref="C5:D5"/>
    <mergeCell ref="C6:D6"/>
    <mergeCell ref="E29:E30"/>
  </mergeCells>
  <conditionalFormatting sqref="B15:B16">
    <cfRule type="cellIs" dxfId="39" priority="5" operator="lessThan">
      <formula>$B$8</formula>
    </cfRule>
    <cfRule type="containsText" dxfId="38" priority="7" operator="containsText" text="NA">
      <formula>NOT(ISERROR(SEARCH(("NA"),(B15))))</formula>
    </cfRule>
  </conditionalFormatting>
  <conditionalFormatting sqref="B17:B20">
    <cfRule type="cellIs" dxfId="37" priority="4" operator="between">
      <formula>0</formula>
      <formula>1</formula>
    </cfRule>
  </conditionalFormatting>
  <conditionalFormatting sqref="C18">
    <cfRule type="cellIs" dxfId="36" priority="1" operator="between">
      <formula>0</formula>
      <formula>1</formula>
    </cfRule>
  </conditionalFormatting>
  <conditionalFormatting sqref="G29:K30">
    <cfRule type="colorScale" priority="75">
      <colorScale>
        <cfvo type="min"/>
        <cfvo type="max"/>
        <color rgb="FFFF7128"/>
        <color rgb="FF8EAADB"/>
      </colorScale>
    </cfRule>
  </conditionalFormatting>
  <conditionalFormatting sqref="G36:K40">
    <cfRule type="colorScale" priority="9">
      <colorScale>
        <cfvo type="min"/>
        <cfvo type="max"/>
        <color rgb="FFFF7128"/>
        <color rgb="FF8EAADB"/>
      </colorScale>
    </cfRule>
  </conditionalFormatting>
  <dataValidations disablePrompts="1" count="2">
    <dataValidation type="list" allowBlank="1" showErrorMessage="1" sqref="B9:C9" xr:uid="{00000000-0002-0000-0100-000000000000}">
      <formula1>"MODERADA,OTIMISTA,PESSIMISTA"</formula1>
    </dataValidation>
    <dataValidation type="list" allowBlank="1" showErrorMessage="1" sqref="B6:C6" xr:uid="{00000000-0002-0000-0100-000001000000}">
      <formula1>LstModoTrib</formula1>
    </dataValidation>
  </dataValidations>
  <pageMargins left="0.75" right="0.75" top="1" bottom="1" header="0" footer="0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ilha20">
    <tabColor rgb="FF833C0B"/>
    <outlinePr summaryBelow="0"/>
  </sheetPr>
  <dimension ref="A1:CQ459"/>
  <sheetViews>
    <sheetView zoomScale="40" zoomScaleNormal="40" workbookViewId="0">
      <pane xSplit="1" ySplit="3" topLeftCell="B137" activePane="bottomRight" state="frozen"/>
      <selection pane="bottomRight"/>
      <selection pane="bottomLeft" activeCell="A4" sqref="A4"/>
      <selection pane="topRight" activeCell="B1" sqref="B1"/>
    </sheetView>
  </sheetViews>
  <sheetFormatPr defaultColWidth="11.44140625" defaultRowHeight="15" customHeight="1" outlineLevelRow="3"/>
  <cols>
    <col min="1" max="1" width="54" customWidth="1"/>
    <col min="2" max="31" width="12.44140625" customWidth="1"/>
    <col min="32" max="32" width="10.5546875" customWidth="1"/>
    <col min="33" max="33" width="44.5546875" customWidth="1"/>
    <col min="34" max="64" width="10.5546875" customWidth="1"/>
    <col min="65" max="65" width="44.5546875" customWidth="1"/>
    <col min="66" max="95" width="10.5546875" customWidth="1"/>
    <col min="96" max="115" width="11.44140625" customWidth="1"/>
  </cols>
  <sheetData>
    <row r="1" spans="1:95" ht="28.5" customHeight="1">
      <c r="A1" s="592" t="s">
        <v>677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622"/>
      <c r="U1" s="622"/>
      <c r="V1" s="622"/>
      <c r="W1" s="622"/>
      <c r="X1" s="622"/>
      <c r="Y1" s="622"/>
      <c r="Z1" s="622"/>
      <c r="AA1" s="622"/>
      <c r="AB1" s="622"/>
      <c r="AC1" s="622"/>
      <c r="AD1" s="622"/>
      <c r="AE1" s="622"/>
      <c r="AF1" s="594"/>
      <c r="AG1" s="592" t="s">
        <v>678</v>
      </c>
      <c r="AH1" s="594"/>
      <c r="AI1" s="594"/>
      <c r="AJ1" s="594"/>
      <c r="AK1" s="594"/>
      <c r="AL1" s="594"/>
      <c r="AM1" s="594"/>
      <c r="AN1" s="594"/>
      <c r="AO1" s="594"/>
      <c r="AP1" s="594"/>
      <c r="AQ1" s="594"/>
      <c r="AR1" s="594"/>
      <c r="AS1" s="594"/>
      <c r="AT1" s="594"/>
      <c r="AU1" s="594"/>
      <c r="AV1" s="594"/>
      <c r="AW1" s="594"/>
      <c r="AX1" s="594"/>
      <c r="AY1" s="594"/>
      <c r="AZ1" s="594"/>
      <c r="BA1" s="594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92" t="s">
        <v>679</v>
      </c>
      <c r="BN1" s="594"/>
      <c r="BO1" s="594"/>
      <c r="BP1" s="594"/>
      <c r="BQ1" s="594"/>
      <c r="BR1" s="594"/>
      <c r="BS1" s="594"/>
      <c r="BT1" s="594"/>
      <c r="BU1" s="594"/>
      <c r="BV1" s="594"/>
      <c r="BW1" s="594"/>
      <c r="BX1" s="594"/>
      <c r="BY1" s="594"/>
      <c r="BZ1" s="594"/>
      <c r="CA1" s="594"/>
      <c r="CB1" s="594"/>
      <c r="CC1" s="594"/>
      <c r="CD1" s="594"/>
      <c r="CE1" s="594"/>
      <c r="CF1" s="594"/>
      <c r="CG1" s="594"/>
      <c r="CH1" s="594"/>
      <c r="CI1" s="594"/>
      <c r="CJ1" s="594"/>
      <c r="CK1" s="594"/>
      <c r="CL1" s="594"/>
      <c r="CM1" s="594"/>
      <c r="CN1" s="594"/>
      <c r="CO1" s="594"/>
      <c r="CP1" s="594"/>
      <c r="CQ1" s="594"/>
    </row>
    <row r="2" spans="1:95" ht="15.75" customHeight="1">
      <c r="A2" s="594"/>
      <c r="B2" s="622"/>
      <c r="C2" s="622"/>
      <c r="D2" s="622"/>
      <c r="E2" s="622"/>
      <c r="F2" s="622"/>
      <c r="G2" s="622"/>
      <c r="H2" s="622"/>
      <c r="I2" s="622"/>
      <c r="J2" s="622"/>
      <c r="K2" s="622"/>
      <c r="L2" s="622"/>
      <c r="M2" s="622"/>
      <c r="N2" s="622"/>
      <c r="O2" s="622"/>
      <c r="P2" s="622"/>
      <c r="Q2" s="622"/>
      <c r="R2" s="622"/>
      <c r="S2" s="622"/>
      <c r="T2" s="622"/>
      <c r="U2" s="622"/>
      <c r="V2" s="622"/>
      <c r="W2" s="622"/>
      <c r="X2" s="622"/>
      <c r="Y2" s="622"/>
      <c r="Z2" s="622"/>
      <c r="AA2" s="622"/>
      <c r="AB2" s="622"/>
      <c r="AC2" s="622"/>
      <c r="AD2" s="622"/>
      <c r="AE2" s="622"/>
      <c r="AF2" s="594"/>
      <c r="AG2" s="594"/>
      <c r="AH2" s="594"/>
      <c r="AI2" s="594"/>
      <c r="AJ2" s="594"/>
      <c r="AK2" s="594"/>
      <c r="AL2" s="594"/>
      <c r="AM2" s="594"/>
      <c r="AN2" s="594"/>
      <c r="AO2" s="594"/>
      <c r="AP2" s="594"/>
      <c r="AQ2" s="594"/>
      <c r="AR2" s="594"/>
      <c r="AS2" s="594"/>
      <c r="AT2" s="594"/>
      <c r="AU2" s="594"/>
      <c r="AV2" s="594"/>
      <c r="AW2" s="594"/>
      <c r="AX2" s="594"/>
      <c r="AY2" s="594"/>
      <c r="AZ2" s="594"/>
      <c r="BA2" s="594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94"/>
      <c r="BN2" s="594"/>
      <c r="BO2" s="594"/>
      <c r="BP2" s="594"/>
      <c r="BQ2" s="594"/>
      <c r="BR2" s="594"/>
      <c r="BS2" s="594"/>
      <c r="BT2" s="594"/>
      <c r="BU2" s="594"/>
      <c r="BV2" s="594"/>
      <c r="BW2" s="594"/>
      <c r="BX2" s="594"/>
      <c r="BY2" s="594"/>
      <c r="BZ2" s="594"/>
      <c r="CA2" s="594"/>
      <c r="CB2" s="594"/>
      <c r="CC2" s="594"/>
      <c r="CD2" s="594"/>
      <c r="CE2" s="594"/>
      <c r="CF2" s="594"/>
      <c r="CG2" s="594"/>
      <c r="CH2" s="57"/>
      <c r="CI2" s="57"/>
      <c r="CJ2" s="57"/>
      <c r="CK2" s="57"/>
      <c r="CL2" s="57"/>
      <c r="CM2" s="57"/>
      <c r="CN2" s="57"/>
      <c r="CO2" s="57"/>
      <c r="CP2" s="57"/>
      <c r="CQ2" s="57"/>
    </row>
    <row r="3" spans="1:95" ht="33" customHeight="1">
      <c r="A3" s="700" t="s">
        <v>164</v>
      </c>
      <c r="B3" s="701">
        <v>1</v>
      </c>
      <c r="C3" s="701">
        <v>2</v>
      </c>
      <c r="D3" s="701">
        <v>3</v>
      </c>
      <c r="E3" s="701">
        <v>4</v>
      </c>
      <c r="F3" s="701">
        <v>5</v>
      </c>
      <c r="G3" s="701">
        <v>6</v>
      </c>
      <c r="H3" s="701">
        <v>7</v>
      </c>
      <c r="I3" s="701">
        <v>8</v>
      </c>
      <c r="J3" s="701">
        <v>9</v>
      </c>
      <c r="K3" s="701">
        <v>10</v>
      </c>
      <c r="L3" s="701">
        <v>11</v>
      </c>
      <c r="M3" s="701">
        <v>12</v>
      </c>
      <c r="N3" s="701">
        <v>13</v>
      </c>
      <c r="O3" s="701">
        <v>14</v>
      </c>
      <c r="P3" s="701">
        <v>15</v>
      </c>
      <c r="Q3" s="701">
        <v>16</v>
      </c>
      <c r="R3" s="701">
        <v>17</v>
      </c>
      <c r="S3" s="701">
        <v>18</v>
      </c>
      <c r="T3" s="701">
        <v>19</v>
      </c>
      <c r="U3" s="701">
        <v>20</v>
      </c>
      <c r="V3" s="701">
        <v>21</v>
      </c>
      <c r="W3" s="701">
        <v>22</v>
      </c>
      <c r="X3" s="701">
        <v>23</v>
      </c>
      <c r="Y3" s="701">
        <v>24</v>
      </c>
      <c r="Z3" s="701">
        <v>25</v>
      </c>
      <c r="AA3" s="701">
        <v>26</v>
      </c>
      <c r="AB3" s="701">
        <v>27</v>
      </c>
      <c r="AC3" s="701">
        <v>28</v>
      </c>
      <c r="AD3" s="701">
        <v>29</v>
      </c>
      <c r="AE3" s="701">
        <v>30</v>
      </c>
      <c r="AF3" s="594"/>
      <c r="AG3" s="702" t="s">
        <v>164</v>
      </c>
      <c r="AH3" s="702">
        <v>1</v>
      </c>
      <c r="AI3" s="702">
        <v>2</v>
      </c>
      <c r="AJ3" s="702">
        <v>3</v>
      </c>
      <c r="AK3" s="702">
        <v>4</v>
      </c>
      <c r="AL3" s="702">
        <v>5</v>
      </c>
      <c r="AM3" s="702">
        <v>6</v>
      </c>
      <c r="AN3" s="702">
        <v>7</v>
      </c>
      <c r="AO3" s="702">
        <v>8</v>
      </c>
      <c r="AP3" s="702">
        <v>9</v>
      </c>
      <c r="AQ3" s="702">
        <v>10</v>
      </c>
      <c r="AR3" s="702">
        <v>11</v>
      </c>
      <c r="AS3" s="702">
        <v>12</v>
      </c>
      <c r="AT3" s="702">
        <v>13</v>
      </c>
      <c r="AU3" s="702">
        <v>14</v>
      </c>
      <c r="AV3" s="702">
        <v>15</v>
      </c>
      <c r="AW3" s="702">
        <v>16</v>
      </c>
      <c r="AX3" s="702">
        <v>17</v>
      </c>
      <c r="AY3" s="702">
        <v>18</v>
      </c>
      <c r="AZ3" s="702">
        <v>19</v>
      </c>
      <c r="BA3" s="702">
        <v>20</v>
      </c>
      <c r="BB3" s="702">
        <v>21</v>
      </c>
      <c r="BC3" s="702">
        <v>22</v>
      </c>
      <c r="BD3" s="702">
        <v>23</v>
      </c>
      <c r="BE3" s="702">
        <v>24</v>
      </c>
      <c r="BF3" s="702">
        <v>25</v>
      </c>
      <c r="BG3" s="702">
        <v>26</v>
      </c>
      <c r="BH3" s="702">
        <v>27</v>
      </c>
      <c r="BI3" s="702">
        <v>28</v>
      </c>
      <c r="BJ3" s="702">
        <v>29</v>
      </c>
      <c r="BK3" s="702">
        <v>30</v>
      </c>
      <c r="BL3" s="57"/>
      <c r="BM3" s="702" t="s">
        <v>164</v>
      </c>
      <c r="BN3" s="702">
        <v>1</v>
      </c>
      <c r="BO3" s="702">
        <v>2</v>
      </c>
      <c r="BP3" s="702">
        <v>3</v>
      </c>
      <c r="BQ3" s="702">
        <v>4</v>
      </c>
      <c r="BR3" s="702">
        <v>5</v>
      </c>
      <c r="BS3" s="702">
        <v>6</v>
      </c>
      <c r="BT3" s="702">
        <v>7</v>
      </c>
      <c r="BU3" s="702">
        <v>8</v>
      </c>
      <c r="BV3" s="702">
        <v>9</v>
      </c>
      <c r="BW3" s="702">
        <v>10</v>
      </c>
      <c r="BX3" s="702">
        <v>11</v>
      </c>
      <c r="BY3" s="702">
        <v>12</v>
      </c>
      <c r="BZ3" s="702">
        <v>13</v>
      </c>
      <c r="CA3" s="702">
        <v>14</v>
      </c>
      <c r="CB3" s="702">
        <v>15</v>
      </c>
      <c r="CC3" s="702">
        <v>16</v>
      </c>
      <c r="CD3" s="702">
        <v>17</v>
      </c>
      <c r="CE3" s="702">
        <v>18</v>
      </c>
      <c r="CF3" s="702">
        <v>19</v>
      </c>
      <c r="CG3" s="702">
        <v>20</v>
      </c>
      <c r="CH3" s="702">
        <v>21</v>
      </c>
      <c r="CI3" s="702">
        <v>22</v>
      </c>
      <c r="CJ3" s="702">
        <v>23</v>
      </c>
      <c r="CK3" s="702">
        <v>24</v>
      </c>
      <c r="CL3" s="702">
        <v>25</v>
      </c>
      <c r="CM3" s="702">
        <v>26</v>
      </c>
      <c r="CN3" s="702">
        <v>27</v>
      </c>
      <c r="CO3" s="702">
        <v>28</v>
      </c>
      <c r="CP3" s="702">
        <v>29</v>
      </c>
      <c r="CQ3" s="702">
        <v>30</v>
      </c>
    </row>
    <row r="4" spans="1:95" ht="27" customHeight="1">
      <c r="A4" s="703" t="str">
        <f>IF(ISBLANK('A1 - Serviços e demanda'!A20),,'A1 - Serviços e demanda'!A20)</f>
        <v>Ingresso</v>
      </c>
      <c r="B4" s="704">
        <f t="shared" ref="B4:AE4" si="0">IF($A4=0,0,SUM(B13:B14))</f>
        <v>1461824.8768454595</v>
      </c>
      <c r="C4" s="704">
        <f t="shared" si="0"/>
        <v>18145564.695441745</v>
      </c>
      <c r="D4" s="704">
        <f t="shared" si="0"/>
        <v>18887919.697417796</v>
      </c>
      <c r="E4" s="704">
        <f t="shared" si="0"/>
        <v>19606953.524635438</v>
      </c>
      <c r="F4" s="704">
        <f t="shared" si="0"/>
        <v>20337406.587597478</v>
      </c>
      <c r="G4" s="704">
        <f t="shared" si="0"/>
        <v>21069487.948600732</v>
      </c>
      <c r="H4" s="704">
        <f t="shared" si="0"/>
        <v>21844858.793059617</v>
      </c>
      <c r="I4" s="704">
        <f t="shared" si="0"/>
        <v>22631364.431175925</v>
      </c>
      <c r="J4" s="704">
        <f t="shared" si="0"/>
        <v>23432184.588837437</v>
      </c>
      <c r="K4" s="704">
        <f t="shared" si="0"/>
        <v>24247983.737377383</v>
      </c>
      <c r="L4" s="704">
        <f t="shared" si="0"/>
        <v>22440967.349153765</v>
      </c>
      <c r="M4" s="704">
        <f t="shared" si="0"/>
        <v>25955726.673518285</v>
      </c>
      <c r="N4" s="704">
        <f t="shared" si="0"/>
        <v>26849868.089263719</v>
      </c>
      <c r="O4" s="704">
        <f t="shared" si="0"/>
        <v>27771015.290562719</v>
      </c>
      <c r="P4" s="704">
        <f t="shared" si="0"/>
        <v>28719854.935704555</v>
      </c>
      <c r="Q4" s="704">
        <f t="shared" si="0"/>
        <v>29683536.172251891</v>
      </c>
      <c r="R4" s="704">
        <f t="shared" si="0"/>
        <v>30694403.690582234</v>
      </c>
      <c r="S4" s="704">
        <f t="shared" si="0"/>
        <v>31715363.104709048</v>
      </c>
      <c r="T4" s="704">
        <f t="shared" si="0"/>
        <v>32755002.134292953</v>
      </c>
      <c r="U4" s="704">
        <f t="shared" si="0"/>
        <v>33808493.784583315</v>
      </c>
      <c r="V4" s="704">
        <f t="shared" si="0"/>
        <v>31160197.386583313</v>
      </c>
      <c r="W4" s="704">
        <f t="shared" si="0"/>
        <v>33808493.784583315</v>
      </c>
      <c r="X4" s="704">
        <f t="shared" si="0"/>
        <v>33808493.784583315</v>
      </c>
      <c r="Y4" s="704">
        <f t="shared" si="0"/>
        <v>33808493.784583315</v>
      </c>
      <c r="Z4" s="704">
        <f t="shared" si="0"/>
        <v>33808493.784583315</v>
      </c>
      <c r="AA4" s="704">
        <f t="shared" si="0"/>
        <v>33797313.516583316</v>
      </c>
      <c r="AB4" s="704">
        <f t="shared" si="0"/>
        <v>33808493.784583315</v>
      </c>
      <c r="AC4" s="704">
        <f t="shared" si="0"/>
        <v>33808493.784583315</v>
      </c>
      <c r="AD4" s="704">
        <f t="shared" si="0"/>
        <v>33808493.784583315</v>
      </c>
      <c r="AE4" s="704">
        <f t="shared" si="0"/>
        <v>33808493.784583315</v>
      </c>
      <c r="AF4" s="594"/>
      <c r="AG4" s="486" t="str">
        <f>A4</f>
        <v>Ingresso</v>
      </c>
      <c r="AH4" s="705">
        <f t="shared" ref="AH4:BK4" si="1">IFERROR(-B7/B5,0)</f>
        <v>0.21823039779071332</v>
      </c>
      <c r="AI4" s="705">
        <f t="shared" si="1"/>
        <v>0.19935796586937515</v>
      </c>
      <c r="AJ4" s="705">
        <f t="shared" si="1"/>
        <v>0.19550416047320351</v>
      </c>
      <c r="AK4" s="705">
        <f t="shared" si="1"/>
        <v>0.19200882497099434</v>
      </c>
      <c r="AL4" s="705">
        <f t="shared" si="1"/>
        <v>0.18867502557010055</v>
      </c>
      <c r="AM4" s="705">
        <f t="shared" si="1"/>
        <v>0.18548716634901616</v>
      </c>
      <c r="AN4" s="705">
        <f t="shared" si="1"/>
        <v>0.18240537481126395</v>
      </c>
      <c r="AO4" s="705">
        <f t="shared" si="1"/>
        <v>0.17942277222571301</v>
      </c>
      <c r="AP4" s="705">
        <f t="shared" si="1"/>
        <v>0.17656567146926552</v>
      </c>
      <c r="AQ4" s="705">
        <f t="shared" si="1"/>
        <v>0.17382552646769098</v>
      </c>
      <c r="AR4" s="705">
        <f t="shared" si="1"/>
        <v>0.17116422278910662</v>
      </c>
      <c r="AS4" s="705">
        <f t="shared" si="1"/>
        <v>0.16858283797845269</v>
      </c>
      <c r="AT4" s="705">
        <f t="shared" si="1"/>
        <v>0.16607418074230165</v>
      </c>
      <c r="AU4" s="705">
        <f t="shared" si="1"/>
        <v>0.1636403564724804</v>
      </c>
      <c r="AV4" s="705">
        <f t="shared" si="1"/>
        <v>0.16127943412607748</v>
      </c>
      <c r="AW4" s="705">
        <f t="shared" si="1"/>
        <v>0.15899486917531966</v>
      </c>
      <c r="AX4" s="705">
        <f t="shared" si="1"/>
        <v>0.15678789865312076</v>
      </c>
      <c r="AY4" s="705">
        <f t="shared" si="1"/>
        <v>0.15466372677243398</v>
      </c>
      <c r="AZ4" s="705">
        <f t="shared" si="1"/>
        <v>0.15262405363716738</v>
      </c>
      <c r="BA4" s="705">
        <f t="shared" si="1"/>
        <v>0.15067356070521853</v>
      </c>
      <c r="BB4" s="705">
        <f t="shared" si="1"/>
        <v>0.15067356070521853</v>
      </c>
      <c r="BC4" s="705">
        <f t="shared" si="1"/>
        <v>0.15067356070521853</v>
      </c>
      <c r="BD4" s="705">
        <f t="shared" si="1"/>
        <v>0.15067356070521853</v>
      </c>
      <c r="BE4" s="705">
        <f t="shared" si="1"/>
        <v>0.15067356070521853</v>
      </c>
      <c r="BF4" s="705">
        <f t="shared" si="1"/>
        <v>0.15067356070521853</v>
      </c>
      <c r="BG4" s="705">
        <f t="shared" si="1"/>
        <v>0.15067356070521853</v>
      </c>
      <c r="BH4" s="705">
        <f t="shared" si="1"/>
        <v>0.15067356070521853</v>
      </c>
      <c r="BI4" s="705">
        <f t="shared" si="1"/>
        <v>0.15067356070521853</v>
      </c>
      <c r="BJ4" s="705">
        <f t="shared" si="1"/>
        <v>0.15067356070521853</v>
      </c>
      <c r="BK4" s="705">
        <f t="shared" si="1"/>
        <v>0.15067356070521853</v>
      </c>
      <c r="BL4" s="57"/>
      <c r="BM4" s="486" t="str">
        <f>AG4</f>
        <v>Ingresso</v>
      </c>
      <c r="BN4" s="705">
        <f t="shared" ref="BN4:CQ4" si="2">IFERROR(B13/B5,0)</f>
        <v>0.63926960220928675</v>
      </c>
      <c r="BO4" s="705">
        <f t="shared" si="2"/>
        <v>0.62115377839017438</v>
      </c>
      <c r="BP4" s="705">
        <f t="shared" si="2"/>
        <v>0.62500733190250113</v>
      </c>
      <c r="BQ4" s="705">
        <f t="shared" si="2"/>
        <v>0.62850281359247184</v>
      </c>
      <c r="BR4" s="705">
        <f t="shared" si="2"/>
        <v>0.63183679170141138</v>
      </c>
      <c r="BS4" s="705">
        <f t="shared" si="2"/>
        <v>0.63502476568090127</v>
      </c>
      <c r="BT4" s="705">
        <f t="shared" si="2"/>
        <v>0.63810616440711121</v>
      </c>
      <c r="BU4" s="705">
        <f t="shared" si="2"/>
        <v>0.64108886049843583</v>
      </c>
      <c r="BV4" s="705">
        <f t="shared" si="2"/>
        <v>0.64394584073506411</v>
      </c>
      <c r="BW4" s="705">
        <f t="shared" si="2"/>
        <v>0.64668641497505119</v>
      </c>
      <c r="BX4" s="705">
        <f t="shared" si="2"/>
        <v>0.64934759349621285</v>
      </c>
      <c r="BY4" s="705">
        <f t="shared" si="2"/>
        <v>0.65192885726358363</v>
      </c>
      <c r="BZ4" s="705">
        <f t="shared" si="2"/>
        <v>0.65443761923013133</v>
      </c>
      <c r="CA4" s="705">
        <f t="shared" si="2"/>
        <v>0.65687136936169976</v>
      </c>
      <c r="CB4" s="705">
        <f t="shared" si="2"/>
        <v>0.65923229155752505</v>
      </c>
      <c r="CC4" s="705">
        <f t="shared" si="2"/>
        <v>0.66151693129160216</v>
      </c>
      <c r="CD4" s="705">
        <f t="shared" si="2"/>
        <v>0.66372398861391724</v>
      </c>
      <c r="CE4" s="705">
        <f t="shared" si="2"/>
        <v>0.66584798858598759</v>
      </c>
      <c r="CF4" s="705">
        <f t="shared" si="2"/>
        <v>0.66788752408397467</v>
      </c>
      <c r="CG4" s="705">
        <f t="shared" si="2"/>
        <v>0.66983804402585956</v>
      </c>
      <c r="CH4" s="705">
        <f t="shared" si="2"/>
        <v>0.66983804402585956</v>
      </c>
      <c r="CI4" s="705">
        <f t="shared" si="2"/>
        <v>0.66983804402585956</v>
      </c>
      <c r="CJ4" s="705">
        <f t="shared" si="2"/>
        <v>0.66983804402585956</v>
      </c>
      <c r="CK4" s="705">
        <f t="shared" si="2"/>
        <v>0.66983804402585956</v>
      </c>
      <c r="CL4" s="705">
        <f t="shared" si="2"/>
        <v>0.66983804402585956</v>
      </c>
      <c r="CM4" s="705">
        <f t="shared" si="2"/>
        <v>0.66983804402585956</v>
      </c>
      <c r="CN4" s="705">
        <f t="shared" si="2"/>
        <v>0.66983804402585956</v>
      </c>
      <c r="CO4" s="705">
        <f t="shared" si="2"/>
        <v>0.66983804402585956</v>
      </c>
      <c r="CP4" s="705">
        <f t="shared" si="2"/>
        <v>0.66983804402585956</v>
      </c>
      <c r="CQ4" s="705">
        <f t="shared" si="2"/>
        <v>0.66983804402585956</v>
      </c>
    </row>
    <row r="5" spans="1:95" ht="33.75" customHeight="1" outlineLevel="1">
      <c r="A5" s="706" t="s">
        <v>680</v>
      </c>
      <c r="B5" s="707">
        <f>IFERROR(VLOOKUP($A4,ReceitaBruta,COLUMN('A4 - Previsão de Receita Bruta'!C6)-1,0),0)</f>
        <v>14119245</v>
      </c>
      <c r="C5" s="707">
        <f>IFERROR(VLOOKUP($A4,ReceitaBruta,COLUMN('A4 - Previsão de Receita Bruta'!D6)-1,0),0)</f>
        <v>29212677</v>
      </c>
      <c r="D5" s="707">
        <f>IFERROR(VLOOKUP($A4,ReceitaBruta,COLUMN('A4 - Previsão de Receita Bruta'!E6)-1,0),0)</f>
        <v>30220317</v>
      </c>
      <c r="E5" s="707">
        <f>IFERROR(VLOOKUP($A4,ReceitaBruta,COLUMN('A4 - Previsão de Receita Bruta'!F6)-1,0),0)</f>
        <v>31196286</v>
      </c>
      <c r="F5" s="707">
        <f>IFERROR(VLOOKUP($A4,ReceitaBruta,COLUMN('A4 - Previsão de Receita Bruta'!G6)-1,0),0)</f>
        <v>32187753</v>
      </c>
      <c r="G5" s="707">
        <f>IFERROR(VLOOKUP($A4,ReceitaBruta,COLUMN('A4 - Previsão de Receita Bruta'!H6)-1,0),0)</f>
        <v>33196608</v>
      </c>
      <c r="H5" s="707">
        <f>IFERROR(VLOOKUP($A4,ReceitaBruta,COLUMN('A4 - Previsão de Receita Bruta'!I6)-1,0),0)</f>
        <v>34233894</v>
      </c>
      <c r="I5" s="707">
        <f>IFERROR(VLOOKUP($A4,ReceitaBruta,COLUMN('A4 - Previsão de Receita Bruta'!J6)-1,0),0)</f>
        <v>35301447</v>
      </c>
      <c r="J5" s="707">
        <f>IFERROR(VLOOKUP($A4,ReceitaBruta,COLUMN('A4 - Previsão de Receita Bruta'!K6)-1,0),0)</f>
        <v>36388440</v>
      </c>
      <c r="K5" s="707">
        <f>IFERROR(VLOOKUP($A4,ReceitaBruta,COLUMN('A4 - Previsão de Receita Bruta'!L6)-1,0),0)</f>
        <v>37495737</v>
      </c>
      <c r="L5" s="707">
        <f>IFERROR(VLOOKUP($A4,ReceitaBruta,COLUMN('A4 - Previsão de Receita Bruta'!M6)-1,0),0)</f>
        <v>38637648</v>
      </c>
      <c r="M5" s="707">
        <f>IFERROR(VLOOKUP($A4,ReceitaBruta,COLUMN('A4 - Previsão de Receita Bruta'!N6)-1,0),0)</f>
        <v>39813741</v>
      </c>
      <c r="N5" s="707">
        <f>IFERROR(VLOOKUP($A4,ReceitaBruta,COLUMN('A4 - Previsão de Receita Bruta'!O6)-1,0),0)</f>
        <v>41027391</v>
      </c>
      <c r="O5" s="707">
        <f>IFERROR(VLOOKUP($A4,ReceitaBruta,COLUMN('A4 - Previsão de Receita Bruta'!P6)-1,0),0)</f>
        <v>42277707</v>
      </c>
      <c r="P5" s="707">
        <f>IFERROR(VLOOKUP($A4,ReceitaBruta,COLUMN('A4 - Previsão de Receita Bruta'!Q6)-1,0),0)</f>
        <v>43565607</v>
      </c>
      <c r="Q5" s="707">
        <f>IFERROR(VLOOKUP($A4,ReceitaBruta,COLUMN('A4 - Previsão de Receita Bruta'!R6)-1,0),0)</f>
        <v>44888823</v>
      </c>
      <c r="R5" s="707">
        <f>IFERROR(VLOOKUP($A4,ReceitaBruta,COLUMN('A4 - Previsão de Receita Bruta'!S6)-1,0),0)</f>
        <v>46245735</v>
      </c>
      <c r="S5" s="707">
        <f>IFERROR(VLOOKUP($A4,ReceitaBruta,COLUMN('A4 - Previsão de Receita Bruta'!T6)-1,0),0)</f>
        <v>47631537</v>
      </c>
      <c r="T5" s="707">
        <f>IFERROR(VLOOKUP($A4,ReceitaBruta,COLUMN('A4 - Previsão de Receita Bruta'!U6)-1,0),0)</f>
        <v>49042692</v>
      </c>
      <c r="U5" s="707">
        <f>IFERROR(VLOOKUP($A4,ReceitaBruta,COLUMN('A4 - Previsão de Receita Bruta'!V6)-1,0),0)</f>
        <v>50472639</v>
      </c>
      <c r="V5" s="707">
        <f>IFERROR(VLOOKUP($A4,ReceitaBruta,COLUMN('A4 - Previsão de Receita Bruta'!W6)-1,0),0)</f>
        <v>50472639</v>
      </c>
      <c r="W5" s="707">
        <f>IFERROR(VLOOKUP($A4,ReceitaBruta,COLUMN('A4 - Previsão de Receita Bruta'!X6)-1,0),0)</f>
        <v>50472639</v>
      </c>
      <c r="X5" s="707">
        <f>IFERROR(VLOOKUP($A4,ReceitaBruta,COLUMN('A4 - Previsão de Receita Bruta'!Y6)-1,0),0)</f>
        <v>50472639</v>
      </c>
      <c r="Y5" s="707">
        <f>IFERROR(VLOOKUP($A4,ReceitaBruta,COLUMN('A4 - Previsão de Receita Bruta'!Z6)-1,0),0)</f>
        <v>50472639</v>
      </c>
      <c r="Z5" s="707">
        <f>IFERROR(VLOOKUP($A4,ReceitaBruta,COLUMN('A4 - Previsão de Receita Bruta'!AA6)-1,0),0)</f>
        <v>50472639</v>
      </c>
      <c r="AA5" s="707">
        <f>IFERROR(VLOOKUP($A4,ReceitaBruta,COLUMN('A4 - Previsão de Receita Bruta'!AB6)-1,0),0)</f>
        <v>50472639</v>
      </c>
      <c r="AB5" s="707">
        <f>IFERROR(VLOOKUP($A4,ReceitaBruta,COLUMN('A4 - Previsão de Receita Bruta'!AC6)-1,0),0)</f>
        <v>50472639</v>
      </c>
      <c r="AC5" s="707">
        <f>IFERROR(VLOOKUP($A4,ReceitaBruta,COLUMN('A4 - Previsão de Receita Bruta'!AD6)-1,0),0)</f>
        <v>50472639</v>
      </c>
      <c r="AD5" s="707">
        <f>IFERROR(VLOOKUP($A4,ReceitaBruta,COLUMN('A4 - Previsão de Receita Bruta'!AE6)-1,0),0)</f>
        <v>50472639</v>
      </c>
      <c r="AE5" s="707">
        <f>IFERROR(VLOOKUP($A4,ReceitaBruta,COLUMN('A4 - Previsão de Receita Bruta'!AF6)-1,0),0)</f>
        <v>50472639</v>
      </c>
      <c r="AF5" s="594"/>
      <c r="AG5" s="594"/>
      <c r="AH5" s="594"/>
      <c r="AI5" s="594"/>
      <c r="AJ5" s="594"/>
      <c r="AK5" s="594"/>
      <c r="AL5" s="594"/>
      <c r="AM5" s="594"/>
      <c r="AN5" s="594"/>
      <c r="AO5" s="594"/>
      <c r="AP5" s="594"/>
      <c r="AQ5" s="594"/>
      <c r="AR5" s="594"/>
      <c r="AS5" s="594"/>
      <c r="AT5" s="594"/>
      <c r="AU5" s="594"/>
      <c r="AV5" s="594"/>
      <c r="AW5" s="594"/>
      <c r="AX5" s="594"/>
      <c r="AY5" s="594"/>
      <c r="AZ5" s="594"/>
      <c r="BA5" s="594"/>
      <c r="BB5" s="594"/>
      <c r="BC5" s="594"/>
      <c r="BD5" s="594"/>
      <c r="BE5" s="594"/>
      <c r="BF5" s="594"/>
      <c r="BG5" s="594"/>
      <c r="BH5" s="594"/>
      <c r="BI5" s="594"/>
      <c r="BJ5" s="594"/>
      <c r="BK5" s="594"/>
      <c r="BL5" s="57"/>
      <c r="BM5" s="594"/>
      <c r="BN5" s="594"/>
      <c r="BO5" s="594"/>
      <c r="BP5" s="594"/>
      <c r="BQ5" s="594"/>
      <c r="BR5" s="594"/>
      <c r="BS5" s="594"/>
      <c r="BT5" s="594"/>
      <c r="BU5" s="594"/>
      <c r="BV5" s="594"/>
      <c r="BW5" s="594"/>
      <c r="BX5" s="594"/>
      <c r="BY5" s="594"/>
      <c r="BZ5" s="594"/>
      <c r="CA5" s="594"/>
      <c r="CB5" s="594"/>
      <c r="CC5" s="594"/>
      <c r="CD5" s="594"/>
      <c r="CE5" s="594"/>
      <c r="CF5" s="594"/>
      <c r="CG5" s="594"/>
      <c r="CH5" s="594"/>
      <c r="CI5" s="594"/>
      <c r="CJ5" s="594"/>
      <c r="CK5" s="594"/>
      <c r="CL5" s="594"/>
      <c r="CM5" s="594"/>
      <c r="CN5" s="594"/>
      <c r="CO5" s="594"/>
      <c r="CP5" s="594"/>
      <c r="CQ5" s="594"/>
    </row>
    <row r="6" spans="1:95" ht="21" customHeight="1" outlineLevel="1">
      <c r="A6" s="708" t="s">
        <v>681</v>
      </c>
      <c r="B6" s="707">
        <f>IFERROR(-'E2 - Tributos'!D$19*VLOOKUP('F1 - FCL'!$A4,ReceitaBruta,COLUMN('A4 - Previsão de Receita Bruta'!C$6)-1,0),0)</f>
        <v>-2011992.4125000003</v>
      </c>
      <c r="C6" s="707">
        <f>IFERROR(-'E2 - Tributos'!E$19*VLOOKUP('F1 - FCL'!$A4,ReceitaBruta,COLUMN('A4 - Previsão de Receita Bruta'!D$6)-1,0),0)</f>
        <v>-5243332.4402391715</v>
      </c>
      <c r="D6" s="707">
        <f>IFERROR(-'E2 - Tributos'!F$19*VLOOKUP('F1 - FCL'!$A4,ReceitaBruta,COLUMN('A4 - Previsão de Receita Bruta'!E$6)-1,0),0)</f>
        <v>-5424199.5982631212</v>
      </c>
      <c r="E6" s="707">
        <f>IFERROR(-'E2 - Tributos'!G$19*VLOOKUP('F1 - FCL'!$A4,ReceitaBruta,COLUMN('A4 - Previsão de Receita Bruta'!F$6)-1,0),0)</f>
        <v>-5599370.2570454804</v>
      </c>
      <c r="F6" s="707">
        <f>IFERROR(-'E2 - Tributos'!H$19*VLOOKUP('F1 - FCL'!$A4,ReceitaBruta,COLUMN('A4 - Previsão de Receita Bruta'!G$6)-1,0),0)</f>
        <v>-5777321.2920834413</v>
      </c>
      <c r="G6" s="707">
        <f>IFERROR(-'E2 - Tributos'!I$19*VLOOKUP('F1 - FCL'!$A4,ReceitaBruta,COLUMN('A4 - Previsão de Receita Bruta'!H$6)-1,0),0)</f>
        <v>-5958395.0330801923</v>
      </c>
      <c r="H6" s="707">
        <f>IFERROR(-'E2 - Tributos'!J$19*VLOOKUP('F1 - FCL'!$A4,ReceitaBruta,COLUMN('A4 - Previsão de Receita Bruta'!I$6)-1,0),0)</f>
        <v>-6144588.9406213015</v>
      </c>
      <c r="I6" s="707">
        <f>IFERROR(-'E2 - Tributos'!K$19*VLOOKUP('F1 - FCL'!$A4,ReceitaBruta,COLUMN('A4 - Previsão de Receita Bruta'!J$6)-1,0),0)</f>
        <v>-6336199.0845049946</v>
      </c>
      <c r="J6" s="707">
        <f>IFERROR(-'E2 - Tributos'!L$19*VLOOKUP('F1 - FCL'!$A4,ReceitaBruta,COLUMN('A4 - Previsão de Receita Bruta'!K$6)-1,0),0)</f>
        <v>-6531306.0688434858</v>
      </c>
      <c r="K6" s="707">
        <f>IFERROR(-'E2 - Tributos'!M$19*VLOOKUP('F1 - FCL'!$A4,ReceitaBruta,COLUMN('A4 - Previsão de Receita Bruta'!L$6)-1,0),0)</f>
        <v>-6730037.038303541</v>
      </c>
      <c r="L6" s="707">
        <f>IFERROR(-'E2 - Tributos'!N$19*VLOOKUP('F1 - FCL'!$A4,ReceitaBruta,COLUMN('A4 - Previsão de Receita Bruta'!M$6)-1,0),0)</f>
        <v>-6935001.2625271576</v>
      </c>
      <c r="M6" s="707">
        <f>IFERROR(-'E2 - Tributos'!O$19*VLOOKUP('F1 - FCL'!$A4,ReceitaBruta,COLUMN('A4 - Previsão de Receita Bruta'!N$6)-1,0),0)</f>
        <v>-7146100.8781626374</v>
      </c>
      <c r="N6" s="707">
        <f>IFERROR(-'E2 - Tributos'!P$19*VLOOKUP('F1 - FCL'!$A4,ReceitaBruta,COLUMN('A4 - Previsão de Receita Bruta'!O$6)-1,0),0)</f>
        <v>-7363932.5624172017</v>
      </c>
      <c r="O6" s="707">
        <f>IFERROR(-'E2 - Tributos'!Q$19*VLOOKUP('F1 - FCL'!$A4,ReceitaBruta,COLUMN('A4 - Previsão de Receita Bruta'!P$6)-1,0),0)</f>
        <v>-7588352.6651182007</v>
      </c>
      <c r="P6" s="707">
        <f>IFERROR(-'E2 - Tributos'!R$19*VLOOKUP('F1 - FCL'!$A4,ReceitaBruta,COLUMN('A4 - Previsão de Receita Bruta'!Q$6)-1,0),0)</f>
        <v>-7819515.6199763622</v>
      </c>
      <c r="Q6" s="707">
        <f>IFERROR(-'E2 - Tributos'!S$19*VLOOKUP('F1 - FCL'!$A4,ReceitaBruta,COLUMN('A4 - Previsão de Receita Bruta'!R$6)-1,0),0)</f>
        <v>-8057014.0194290252</v>
      </c>
      <c r="R6" s="707">
        <f>IFERROR(-'E2 - Tributos'!T$19*VLOOKUP('F1 - FCL'!$A4,ReceitaBruta,COLUMN('A4 - Previsão de Receita Bruta'!S$6)-1,0),0)</f>
        <v>-8300559.6970986854</v>
      </c>
      <c r="S6" s="707">
        <f>IFERROR(-'E2 - Tributos'!U$19*VLOOKUP('F1 - FCL'!$A4,ReceitaBruta,COLUMN('A4 - Previsão de Receita Bruta'!T$6)-1,0),0)</f>
        <v>-8549302.8709718697</v>
      </c>
      <c r="T6" s="707">
        <f>IFERROR(-'E2 - Tributos'!V$19*VLOOKUP('F1 - FCL'!$A4,ReceitaBruta,COLUMN('A4 - Previsão de Receita Bruta'!U$6)-1,0),0)</f>
        <v>-8802595.4113879669</v>
      </c>
      <c r="U6" s="707">
        <f>IFERROR(-'E2 - Tributos'!W$19*VLOOKUP('F1 - FCL'!$A4,ReceitaBruta,COLUMN('A4 - Previsão de Receita Bruta'!V$6)-1,0),0)</f>
        <v>-9059252.9790976085</v>
      </c>
      <c r="V6" s="707">
        <f>IFERROR(-'E2 - Tributos'!X$19*VLOOKUP('F1 - FCL'!$A4,ReceitaBruta,COLUMN('A4 - Previsão de Receita Bruta'!W$6)-1,0),0)</f>
        <v>-9059252.9790976085</v>
      </c>
      <c r="W6" s="707">
        <f>IFERROR(-'E2 - Tributos'!Y$19*VLOOKUP('F1 - FCL'!$A4,ReceitaBruta,COLUMN('A4 - Previsão de Receita Bruta'!X$6)-1,0),0)</f>
        <v>-9059252.9790976085</v>
      </c>
      <c r="X6" s="707">
        <f>IFERROR(-'E2 - Tributos'!Z$19*VLOOKUP('F1 - FCL'!$A4,ReceitaBruta,COLUMN('A4 - Previsão de Receita Bruta'!Y$6)-1,0),0)</f>
        <v>-9059252.9790976085</v>
      </c>
      <c r="Y6" s="707">
        <f>IFERROR(-'E2 - Tributos'!AA$19*VLOOKUP('F1 - FCL'!$A4,ReceitaBruta,COLUMN('A4 - Previsão de Receita Bruta'!Z$6)-1,0),0)</f>
        <v>-9059252.9790976085</v>
      </c>
      <c r="Z6" s="707">
        <f>IFERROR(-'E2 - Tributos'!AB$19*VLOOKUP('F1 - FCL'!$A4,ReceitaBruta,COLUMN('A4 - Previsão de Receita Bruta'!AA$6)-1,0),0)</f>
        <v>-9059252.9790976085</v>
      </c>
      <c r="AA6" s="707">
        <f>IFERROR(-'E2 - Tributos'!AC$19*VLOOKUP('F1 - FCL'!$A4,ReceitaBruta,COLUMN('A4 - Previsão de Receita Bruta'!AB$6)-1,0),0)</f>
        <v>-9059252.9790976085</v>
      </c>
      <c r="AB6" s="707">
        <f>IFERROR(-'E2 - Tributos'!AD$19*VLOOKUP('F1 - FCL'!$A4,ReceitaBruta,COLUMN('A4 - Previsão de Receita Bruta'!AC$6)-1,0),0)</f>
        <v>-9059252.9790976085</v>
      </c>
      <c r="AC6" s="707">
        <f>IFERROR(-'E2 - Tributos'!AE$19*VLOOKUP('F1 - FCL'!$A4,ReceitaBruta,COLUMN('A4 - Previsão de Receita Bruta'!AD$6)-1,0),0)</f>
        <v>-9059252.9790976085</v>
      </c>
      <c r="AD6" s="707">
        <f>IFERROR(-'E2 - Tributos'!AF$19*VLOOKUP('F1 - FCL'!$A4,ReceitaBruta,COLUMN('A4 - Previsão de Receita Bruta'!AE$6)-1,0),0)</f>
        <v>-9059252.9790976085</v>
      </c>
      <c r="AE6" s="707">
        <f>IFERROR(-'E2 - Tributos'!AG$19*VLOOKUP('F1 - FCL'!$A4,ReceitaBruta,COLUMN('A4 - Previsão de Receita Bruta'!AF$6)-1,0),0)</f>
        <v>-9059252.9790976085</v>
      </c>
      <c r="AF6" s="594"/>
      <c r="AG6" s="594"/>
      <c r="AH6" s="594"/>
      <c r="AI6" s="594"/>
      <c r="AJ6" s="594"/>
      <c r="AK6" s="594"/>
      <c r="AL6" s="594"/>
      <c r="AM6" s="594"/>
      <c r="AN6" s="594"/>
      <c r="AO6" s="594"/>
      <c r="AP6" s="594"/>
      <c r="AQ6" s="594"/>
      <c r="AR6" s="594"/>
      <c r="AS6" s="594"/>
      <c r="AT6" s="594"/>
      <c r="AU6" s="594"/>
      <c r="AV6" s="594"/>
      <c r="AW6" s="594"/>
      <c r="AX6" s="594"/>
      <c r="AY6" s="594"/>
      <c r="AZ6" s="594"/>
      <c r="BA6" s="594"/>
      <c r="BB6" s="594"/>
      <c r="BC6" s="594"/>
      <c r="BD6" s="594"/>
      <c r="BE6" s="594"/>
      <c r="BF6" s="594"/>
      <c r="BG6" s="594"/>
      <c r="BH6" s="594"/>
      <c r="BI6" s="594"/>
      <c r="BJ6" s="594"/>
      <c r="BK6" s="594"/>
      <c r="BL6" s="57"/>
      <c r="BM6" s="594"/>
      <c r="BN6" s="594"/>
      <c r="BO6" s="594"/>
      <c r="BP6" s="594"/>
      <c r="BQ6" s="594"/>
      <c r="BR6" s="594"/>
      <c r="BS6" s="594"/>
      <c r="BT6" s="594"/>
      <c r="BU6" s="594"/>
      <c r="BV6" s="594"/>
      <c r="BW6" s="594"/>
      <c r="BX6" s="594"/>
      <c r="BY6" s="594"/>
      <c r="BZ6" s="594"/>
      <c r="CA6" s="594"/>
      <c r="CB6" s="594"/>
      <c r="CC6" s="594"/>
      <c r="CD6" s="594"/>
      <c r="CE6" s="594"/>
      <c r="CF6" s="594"/>
      <c r="CG6" s="594"/>
      <c r="CH6" s="594"/>
      <c r="CI6" s="594"/>
      <c r="CJ6" s="594"/>
      <c r="CK6" s="594"/>
      <c r="CL6" s="594"/>
      <c r="CM6" s="594"/>
      <c r="CN6" s="594"/>
      <c r="CO6" s="594"/>
      <c r="CP6" s="594"/>
      <c r="CQ6" s="594"/>
    </row>
    <row r="7" spans="1:95" ht="19.5" customHeight="1" outlineLevel="1">
      <c r="A7" s="708" t="s">
        <v>590</v>
      </c>
      <c r="B7" s="707">
        <f t="shared" ref="B7:AE7" si="3">SUM(B8:B12)</f>
        <v>-3081248.4528545402</v>
      </c>
      <c r="C7" s="707">
        <f t="shared" si="3"/>
        <v>-5823779.8643190805</v>
      </c>
      <c r="D7" s="707">
        <f t="shared" si="3"/>
        <v>-5908197.7043190803</v>
      </c>
      <c r="E7" s="707">
        <f t="shared" si="3"/>
        <v>-5989962.2183190808</v>
      </c>
      <c r="F7" s="707">
        <f t="shared" si="3"/>
        <v>-6073025.1203190805</v>
      </c>
      <c r="G7" s="707">
        <f t="shared" si="3"/>
        <v>-6157544.7503190804</v>
      </c>
      <c r="H7" s="707">
        <f t="shared" si="3"/>
        <v>-6244446.2663190803</v>
      </c>
      <c r="I7" s="707">
        <f t="shared" si="3"/>
        <v>-6333883.4843190797</v>
      </c>
      <c r="J7" s="707">
        <f t="shared" si="3"/>
        <v>-6424949.3423190806</v>
      </c>
      <c r="K7" s="707">
        <f t="shared" si="3"/>
        <v>-6517716.2243190799</v>
      </c>
      <c r="L7" s="707">
        <f t="shared" si="3"/>
        <v>-6613382.9903190797</v>
      </c>
      <c r="M7" s="707">
        <f t="shared" si="3"/>
        <v>-6711913.4483190794</v>
      </c>
      <c r="N7" s="707">
        <f t="shared" si="3"/>
        <v>-6813590.3483190797</v>
      </c>
      <c r="O7" s="707">
        <f t="shared" si="3"/>
        <v>-6918339.0443190802</v>
      </c>
      <c r="P7" s="707">
        <f t="shared" si="3"/>
        <v>-7026236.4443190806</v>
      </c>
      <c r="Q7" s="707">
        <f t="shared" si="3"/>
        <v>-7137092.5403190805</v>
      </c>
      <c r="R7" s="707">
        <f t="shared" si="3"/>
        <v>-7250771.6123190792</v>
      </c>
      <c r="S7" s="707">
        <f t="shared" si="3"/>
        <v>-7366871.0243190797</v>
      </c>
      <c r="T7" s="707">
        <f t="shared" si="3"/>
        <v>-7485094.4543190803</v>
      </c>
      <c r="U7" s="707">
        <f t="shared" si="3"/>
        <v>-7604892.23631908</v>
      </c>
      <c r="V7" s="707">
        <f t="shared" si="3"/>
        <v>-7604892.23631908</v>
      </c>
      <c r="W7" s="707">
        <f t="shared" si="3"/>
        <v>-7604892.23631908</v>
      </c>
      <c r="X7" s="707">
        <f t="shared" si="3"/>
        <v>-7604892.23631908</v>
      </c>
      <c r="Y7" s="707">
        <f t="shared" si="3"/>
        <v>-7604892.23631908</v>
      </c>
      <c r="Z7" s="707">
        <f t="shared" si="3"/>
        <v>-7604892.23631908</v>
      </c>
      <c r="AA7" s="707">
        <f t="shared" si="3"/>
        <v>-7604892.23631908</v>
      </c>
      <c r="AB7" s="707">
        <f t="shared" si="3"/>
        <v>-7604892.23631908</v>
      </c>
      <c r="AC7" s="707">
        <f t="shared" si="3"/>
        <v>-7604892.23631908</v>
      </c>
      <c r="AD7" s="707">
        <f t="shared" si="3"/>
        <v>-7604892.23631908</v>
      </c>
      <c r="AE7" s="707">
        <f t="shared" si="3"/>
        <v>-7604892.23631908</v>
      </c>
      <c r="AF7" s="594"/>
      <c r="AG7" s="594"/>
      <c r="AH7" s="594"/>
      <c r="AI7" s="594"/>
      <c r="AJ7" s="594"/>
      <c r="AK7" s="594"/>
      <c r="AL7" s="594"/>
      <c r="AM7" s="594"/>
      <c r="AN7" s="594"/>
      <c r="AO7" s="594"/>
      <c r="AP7" s="594"/>
      <c r="AQ7" s="594"/>
      <c r="AR7" s="594"/>
      <c r="AS7" s="594"/>
      <c r="AT7" s="594"/>
      <c r="AU7" s="594"/>
      <c r="AV7" s="594"/>
      <c r="AW7" s="594"/>
      <c r="AX7" s="594"/>
      <c r="AY7" s="594"/>
      <c r="AZ7" s="594"/>
      <c r="BA7" s="594"/>
      <c r="BB7" s="594"/>
      <c r="BC7" s="594"/>
      <c r="BD7" s="594"/>
      <c r="BE7" s="594"/>
      <c r="BF7" s="594"/>
      <c r="BG7" s="594"/>
      <c r="BH7" s="594"/>
      <c r="BI7" s="594"/>
      <c r="BJ7" s="594"/>
      <c r="BK7" s="594"/>
      <c r="BL7" s="57"/>
      <c r="BM7" s="594"/>
      <c r="BN7" s="594"/>
      <c r="BO7" s="594"/>
      <c r="BP7" s="594"/>
      <c r="BQ7" s="594"/>
      <c r="BR7" s="594"/>
      <c r="BS7" s="594"/>
      <c r="BT7" s="594"/>
      <c r="BU7" s="594"/>
      <c r="BV7" s="594"/>
      <c r="BW7" s="594"/>
      <c r="BX7" s="594"/>
      <c r="BY7" s="594"/>
      <c r="BZ7" s="594"/>
      <c r="CA7" s="594"/>
      <c r="CB7" s="594"/>
      <c r="CC7" s="594"/>
      <c r="CD7" s="594"/>
      <c r="CE7" s="594"/>
      <c r="CF7" s="594"/>
      <c r="CG7" s="594"/>
      <c r="CH7" s="594"/>
      <c r="CI7" s="594"/>
      <c r="CJ7" s="594"/>
      <c r="CK7" s="594"/>
      <c r="CL7" s="594"/>
      <c r="CM7" s="594"/>
      <c r="CN7" s="594"/>
      <c r="CO7" s="594"/>
      <c r="CP7" s="594"/>
      <c r="CQ7" s="594"/>
    </row>
    <row r="8" spans="1:95" ht="21" customHeight="1" outlineLevel="2">
      <c r="A8" s="709" t="s">
        <v>682</v>
      </c>
      <c r="B8" s="710">
        <f>IF($A4="",0,-SUMIF('C3 - Funcionários $'!$D$7:$D$121,$A4,'C3 - Funcionários $'!G$7:G$121))</f>
        <v>-1478037.21946454</v>
      </c>
      <c r="C8" s="710">
        <f>IF($A4="",0,-SUMIF('C3 - Funcionários $'!$D$7:$D$121,$A4,'C3 - Funcionários $'!H$7:H$121))</f>
        <v>-2956074.43892908</v>
      </c>
      <c r="D8" s="710">
        <f>IF($A4="",0,-SUMIF('C3 - Funcionários $'!$D$7:$D$121,$A4,'C3 - Funcionários $'!I$7:I$121))</f>
        <v>-2956074.43892908</v>
      </c>
      <c r="E8" s="710">
        <f>IF($A4="",0,-SUMIF('C3 - Funcionários $'!$D$7:$D$121,$A4,'C3 - Funcionários $'!J$7:J$121))</f>
        <v>-2956074.43892908</v>
      </c>
      <c r="F8" s="710">
        <f>IF($A4="",0,-SUMIF('C3 - Funcionários $'!$D$7:$D$121,$A4,'C3 - Funcionários $'!K$7:K$121))</f>
        <v>-2956074.43892908</v>
      </c>
      <c r="G8" s="710">
        <f>IF($A4="",0,-SUMIF('C3 - Funcionários $'!$D$7:$D$121,$A4,'C3 - Funcionários $'!L$7:L$121))</f>
        <v>-2956074.43892908</v>
      </c>
      <c r="H8" s="710">
        <f>IF($A4="",0,-SUMIF('C3 - Funcionários $'!$D$7:$D$121,$A4,'C3 - Funcionários $'!M$7:M$121))</f>
        <v>-2956074.43892908</v>
      </c>
      <c r="I8" s="710">
        <f>IF($A4="",0,-SUMIF('C3 - Funcionários $'!$D$7:$D$121,$A4,'C3 - Funcionários $'!N$7:N$121))</f>
        <v>-2956074.43892908</v>
      </c>
      <c r="J8" s="710">
        <f>IF($A4="",0,-SUMIF('C3 - Funcionários $'!$D$7:$D$121,$A4,'C3 - Funcionários $'!O$7:O$121))</f>
        <v>-2956074.43892908</v>
      </c>
      <c r="K8" s="710">
        <f>IF($A4="",0,-SUMIF('C3 - Funcionários $'!$D$7:$D$121,$A4,'C3 - Funcionários $'!P$7:P$121))</f>
        <v>-2956074.43892908</v>
      </c>
      <c r="L8" s="710">
        <f>IF($A4="",0,-SUMIF('C3 - Funcionários $'!$D$7:$D$121,$A4,'C3 - Funcionários $'!Q$7:Q$121))</f>
        <v>-2956074.43892908</v>
      </c>
      <c r="M8" s="710">
        <f>IF($A4="",0,-SUMIF('C3 - Funcionários $'!$D$7:$D$121,$A4,'C3 - Funcionários $'!R$7:R$121))</f>
        <v>-2956074.43892908</v>
      </c>
      <c r="N8" s="710">
        <f>IF($A4="",0,-SUMIF('C3 - Funcionários $'!$D$7:$D$121,$A4,'C3 - Funcionários $'!S$7:S$121))</f>
        <v>-2956074.43892908</v>
      </c>
      <c r="O8" s="710">
        <f>IF($A4="",0,-SUMIF('C3 - Funcionários $'!$D$7:$D$121,$A4,'C3 - Funcionários $'!T$7:T$121))</f>
        <v>-2956074.43892908</v>
      </c>
      <c r="P8" s="710">
        <f>IF($A4="",0,-SUMIF('C3 - Funcionários $'!$D$7:$D$121,$A4,'C3 - Funcionários $'!U$7:U$121))</f>
        <v>-2956074.43892908</v>
      </c>
      <c r="Q8" s="710">
        <f>IF($A4="",0,-SUMIF('C3 - Funcionários $'!$D$7:$D$121,$A4,'C3 - Funcionários $'!V$7:V$121))</f>
        <v>-2956074.43892908</v>
      </c>
      <c r="R8" s="710">
        <f>IF($A4="",0,-SUMIF('C3 - Funcionários $'!$D$7:$D$121,$A4,'C3 - Funcionários $'!W$7:W$121))</f>
        <v>-2956074.43892908</v>
      </c>
      <c r="S8" s="710">
        <f>IF($A4="",0,-SUMIF('C3 - Funcionários $'!$D$7:$D$121,$A4,'C3 - Funcionários $'!X$7:X$121))</f>
        <v>-2956074.43892908</v>
      </c>
      <c r="T8" s="710">
        <f>IF($A4="",0,-SUMIF('C3 - Funcionários $'!$D$7:$D$121,$A4,'C3 - Funcionários $'!Y$7:Y$121))</f>
        <v>-2956074.43892908</v>
      </c>
      <c r="U8" s="710">
        <f>IF($A4="",0,-SUMIF('C3 - Funcionários $'!$D$7:$D$121,$A4,'C3 - Funcionários $'!Z$7:Z$121))</f>
        <v>-2956074.43892908</v>
      </c>
      <c r="V8" s="710">
        <f>IF($A4="",0,-SUMIF('C3 - Funcionários $'!$D$7:$D$121,$A4,'C3 - Funcionários $'!AA$7:AA$121))</f>
        <v>-2956074.43892908</v>
      </c>
      <c r="W8" s="710">
        <f>IF($A4="",0,-SUMIF('C3 - Funcionários $'!$D$7:$D$121,$A4,'C3 - Funcionários $'!AB$7:AB$121))</f>
        <v>-2956074.43892908</v>
      </c>
      <c r="X8" s="710">
        <f>IF($A4="",0,-SUMIF('C3 - Funcionários $'!$D$7:$D$121,$A4,'C3 - Funcionários $'!AC$7:AC$121))</f>
        <v>-2956074.43892908</v>
      </c>
      <c r="Y8" s="710">
        <f>IF($A4="",0,-SUMIF('C3 - Funcionários $'!$D$7:$D$121,$A4,'C3 - Funcionários $'!AD$7:AD$121))</f>
        <v>-2956074.43892908</v>
      </c>
      <c r="Z8" s="710">
        <f>IF($A4="",0,-SUMIF('C3 - Funcionários $'!$D$7:$D$121,$A4,'C3 - Funcionários $'!AE$7:AE$121))</f>
        <v>-2956074.43892908</v>
      </c>
      <c r="AA8" s="710">
        <f>IF($A4="",0,-SUMIF('C3 - Funcionários $'!$D$7:$D$121,$A4,'C3 - Funcionários $'!AF$7:AF$121))</f>
        <v>-2956074.43892908</v>
      </c>
      <c r="AB8" s="710">
        <f>IF($A4="",0,-SUMIF('C3 - Funcionários $'!$D$7:$D$121,$A4,'C3 - Funcionários $'!AG$7:AG$121))</f>
        <v>-2956074.43892908</v>
      </c>
      <c r="AC8" s="710">
        <f>IF($A4="",0,-SUMIF('C3 - Funcionários $'!$D$7:$D$121,$A4,'C3 - Funcionários $'!AH$7:AH$121))</f>
        <v>-2956074.43892908</v>
      </c>
      <c r="AD8" s="710">
        <f>IF($A4="",0,-SUMIF('C3 - Funcionários $'!$D$7:$D$121,$A4,'C3 - Funcionários $'!AI$7:AI$121))</f>
        <v>-2956074.43892908</v>
      </c>
      <c r="AE8" s="710">
        <f>IF($A4="",0,-SUMIF('C3 - Funcionários $'!$D$7:$D$121,$A4,'C3 - Funcionários $'!AJ$7:AJ$121))</f>
        <v>-2956074.43892908</v>
      </c>
      <c r="AF8" s="594"/>
      <c r="AG8" s="594"/>
      <c r="AH8" s="594"/>
      <c r="AI8" s="594"/>
      <c r="AJ8" s="594"/>
      <c r="AK8" s="594"/>
      <c r="AL8" s="594"/>
      <c r="AM8" s="594"/>
      <c r="AN8" s="594"/>
      <c r="AO8" s="594"/>
      <c r="AP8" s="594"/>
      <c r="AQ8" s="594"/>
      <c r="AR8" s="594"/>
      <c r="AS8" s="594"/>
      <c r="AT8" s="594"/>
      <c r="AU8" s="594"/>
      <c r="AV8" s="594"/>
      <c r="AW8" s="594"/>
      <c r="AX8" s="594"/>
      <c r="AY8" s="594"/>
      <c r="AZ8" s="594"/>
      <c r="BA8" s="594"/>
      <c r="BB8" s="594"/>
      <c r="BC8" s="594"/>
      <c r="BD8" s="594"/>
      <c r="BE8" s="594"/>
      <c r="BF8" s="594"/>
      <c r="BG8" s="594"/>
      <c r="BH8" s="594"/>
      <c r="BI8" s="594"/>
      <c r="BJ8" s="594"/>
      <c r="BK8" s="594"/>
      <c r="BL8" s="57"/>
      <c r="BM8" s="594"/>
      <c r="BN8" s="594"/>
      <c r="BO8" s="594"/>
      <c r="BP8" s="594"/>
      <c r="BQ8" s="594"/>
      <c r="BR8" s="594"/>
      <c r="BS8" s="594"/>
      <c r="BT8" s="594"/>
      <c r="BU8" s="594"/>
      <c r="BV8" s="594"/>
      <c r="BW8" s="594"/>
      <c r="BX8" s="594"/>
      <c r="BY8" s="594"/>
      <c r="BZ8" s="594"/>
      <c r="CA8" s="594"/>
      <c r="CB8" s="594"/>
      <c r="CC8" s="594"/>
      <c r="CD8" s="594"/>
      <c r="CE8" s="594"/>
      <c r="CF8" s="594"/>
      <c r="CG8" s="594"/>
      <c r="CH8" s="594"/>
      <c r="CI8" s="594"/>
      <c r="CJ8" s="594"/>
      <c r="CK8" s="594"/>
      <c r="CL8" s="594"/>
      <c r="CM8" s="594"/>
      <c r="CN8" s="594"/>
      <c r="CO8" s="594"/>
      <c r="CP8" s="594"/>
      <c r="CQ8" s="594"/>
    </row>
    <row r="9" spans="1:95" ht="21" customHeight="1" outlineLevel="2">
      <c r="A9" s="709" t="s">
        <v>683</v>
      </c>
      <c r="B9" s="710">
        <f>IFERROR(-VLOOKUP($A4,CustoDiretoTotal,COLUMN('B2 - Custos diretos totais'!C$3)-1,0),0)</f>
        <v>-956971.05</v>
      </c>
      <c r="C9" s="710">
        <f>IFERROR(-VLOOKUP($A4,CustoDiretoTotal,COLUMN('B2 - Custos diretos totais'!D$3)-1,0),0)</f>
        <v>-1979970.33</v>
      </c>
      <c r="D9" s="710">
        <f>IFERROR(-VLOOKUP($A4,CustoDiretoTotal,COLUMN('B2 - Custos diretos totais'!E$3)-1,0),0)</f>
        <v>-2048265.9300000002</v>
      </c>
      <c r="E9" s="710">
        <f>IFERROR(-VLOOKUP($A4,CustoDiretoTotal,COLUMN('B2 - Custos diretos totais'!F$3)-1,0),0)</f>
        <v>-2114414.94</v>
      </c>
      <c r="F9" s="710">
        <f>IFERROR(-VLOOKUP($A4,CustoDiretoTotal,COLUMN('B2 - Custos diretos totais'!G$3)-1,0),0)</f>
        <v>-2181614.37</v>
      </c>
      <c r="G9" s="710">
        <f>IFERROR(-VLOOKUP($A4,CustoDiretoTotal,COLUMN('B2 - Custos diretos totais'!H$3)-1,0),0)</f>
        <v>-2249992.3200000003</v>
      </c>
      <c r="H9" s="710">
        <f>IFERROR(-VLOOKUP($A4,CustoDiretoTotal,COLUMN('B2 - Custos diretos totais'!I$3)-1,0),0)</f>
        <v>-2320297.2600000002</v>
      </c>
      <c r="I9" s="710">
        <f>IFERROR(-VLOOKUP($A4,CustoDiretoTotal,COLUMN('B2 - Custos diretos totais'!J$3)-1,0),0)</f>
        <v>-2392653.63</v>
      </c>
      <c r="J9" s="710">
        <f>IFERROR(-VLOOKUP($A4,CustoDiretoTotal,COLUMN('B2 - Custos diretos totais'!K$3)-1,0),0)</f>
        <v>-2466327.6</v>
      </c>
      <c r="K9" s="710">
        <f>IFERROR(-VLOOKUP($A4,CustoDiretoTotal,COLUMN('B2 - Custos diretos totais'!L$3)-1,0),0)</f>
        <v>-2541377.73</v>
      </c>
      <c r="L9" s="710">
        <f>IFERROR(-VLOOKUP($A4,CustoDiretoTotal,COLUMN('B2 - Custos diretos totais'!M$3)-1,0),0)</f>
        <v>-2618773.92</v>
      </c>
      <c r="M9" s="710">
        <f>IFERROR(-VLOOKUP($A4,CustoDiretoTotal,COLUMN('B2 - Custos diretos totais'!N$3)-1,0),0)</f>
        <v>-2698486.89</v>
      </c>
      <c r="N9" s="710">
        <f>IFERROR(-VLOOKUP($A4,CustoDiretoTotal,COLUMN('B2 - Custos diretos totais'!O$3)-1,0),0)</f>
        <v>-2780745.39</v>
      </c>
      <c r="O9" s="710">
        <f>IFERROR(-VLOOKUP($A4,CustoDiretoTotal,COLUMN('B2 - Custos diretos totais'!P$3)-1,0),0)</f>
        <v>-2865489.0300000003</v>
      </c>
      <c r="P9" s="710">
        <f>IFERROR(-VLOOKUP($A4,CustoDiretoTotal,COLUMN('B2 - Custos diretos totais'!Q$3)-1,0),0)</f>
        <v>-2952780.0300000003</v>
      </c>
      <c r="Q9" s="710">
        <f>IFERROR(-VLOOKUP($A4,CustoDiretoTotal,COLUMN('B2 - Custos diretos totais'!R$3)-1,0),0)</f>
        <v>-3042464.67</v>
      </c>
      <c r="R9" s="710">
        <f>IFERROR(-VLOOKUP($A4,CustoDiretoTotal,COLUMN('B2 - Custos diretos totais'!S$3)-1,0),0)</f>
        <v>-3134433.15</v>
      </c>
      <c r="S9" s="710">
        <f>IFERROR(-VLOOKUP($A4,CustoDiretoTotal,COLUMN('B2 - Custos diretos totais'!T$3)-1,0),0)</f>
        <v>-3228359.73</v>
      </c>
      <c r="T9" s="710">
        <f>IFERROR(-VLOOKUP($A4,CustoDiretoTotal,COLUMN('B2 - Custos diretos totais'!U$3)-1,0),0)</f>
        <v>-3324004.68</v>
      </c>
      <c r="U9" s="710">
        <f>IFERROR(-VLOOKUP($A4,CustoDiretoTotal,COLUMN('B2 - Custos diretos totais'!V$3)-1,0),0)</f>
        <v>-3420923.31</v>
      </c>
      <c r="V9" s="710">
        <f>IFERROR(-VLOOKUP($A4,CustoDiretoTotal,COLUMN('B2 - Custos diretos totais'!W$3)-1,0),0)</f>
        <v>-3420923.31</v>
      </c>
      <c r="W9" s="710">
        <f>IFERROR(-VLOOKUP($A4,CustoDiretoTotal,COLUMN('B2 - Custos diretos totais'!X$3)-1,0),0)</f>
        <v>-3420923.31</v>
      </c>
      <c r="X9" s="710">
        <f>IFERROR(-VLOOKUP($A4,CustoDiretoTotal,COLUMN('B2 - Custos diretos totais'!Y$3)-1,0),0)</f>
        <v>-3420923.31</v>
      </c>
      <c r="Y9" s="710">
        <f>IFERROR(-VLOOKUP($A4,CustoDiretoTotal,COLUMN('B2 - Custos diretos totais'!Z$3)-1,0),0)</f>
        <v>-3420923.31</v>
      </c>
      <c r="Z9" s="710">
        <f>IFERROR(-VLOOKUP($A4,CustoDiretoTotal,COLUMN('B2 - Custos diretos totais'!AA$3)-1,0),0)</f>
        <v>-3420923.31</v>
      </c>
      <c r="AA9" s="710">
        <f>IFERROR(-VLOOKUP($A4,CustoDiretoTotal,COLUMN('B2 - Custos diretos totais'!AB$3)-1,0),0)</f>
        <v>-3420923.31</v>
      </c>
      <c r="AB9" s="710">
        <f>IFERROR(-VLOOKUP($A4,CustoDiretoTotal,COLUMN('B2 - Custos diretos totais'!AC$3)-1,0),0)</f>
        <v>-3420923.31</v>
      </c>
      <c r="AC9" s="710">
        <f>IFERROR(-VLOOKUP($A4,CustoDiretoTotal,COLUMN('B2 - Custos diretos totais'!AD$3)-1,0),0)</f>
        <v>-3420923.31</v>
      </c>
      <c r="AD9" s="710">
        <f>IFERROR(-VLOOKUP($A4,CustoDiretoTotal,COLUMN('B2 - Custos diretos totais'!AE$3)-1,0),0)</f>
        <v>-3420923.31</v>
      </c>
      <c r="AE9" s="710">
        <f>IFERROR(-VLOOKUP($A4,CustoDiretoTotal,COLUMN('B2 - Custos diretos totais'!AF$3)-1,0),0)</f>
        <v>-3420923.31</v>
      </c>
      <c r="AF9" s="594"/>
      <c r="AG9" s="594"/>
      <c r="AH9" s="594"/>
      <c r="AI9" s="594"/>
      <c r="AJ9" s="594"/>
      <c r="AK9" s="594"/>
      <c r="AL9" s="594"/>
      <c r="AM9" s="594"/>
      <c r="AN9" s="594"/>
      <c r="AO9" s="594"/>
      <c r="AP9" s="594"/>
      <c r="AQ9" s="594"/>
      <c r="AR9" s="594"/>
      <c r="AS9" s="594"/>
      <c r="AT9" s="594"/>
      <c r="AU9" s="594"/>
      <c r="AV9" s="594"/>
      <c r="AW9" s="594"/>
      <c r="AX9" s="594"/>
      <c r="AY9" s="594"/>
      <c r="AZ9" s="594"/>
      <c r="BA9" s="594"/>
      <c r="BB9" s="594"/>
      <c r="BC9" s="594"/>
      <c r="BD9" s="594"/>
      <c r="BE9" s="594"/>
      <c r="BF9" s="594"/>
      <c r="BG9" s="594"/>
      <c r="BH9" s="594"/>
      <c r="BI9" s="594"/>
      <c r="BJ9" s="594"/>
      <c r="BK9" s="594"/>
      <c r="BL9" s="57"/>
      <c r="BM9" s="594"/>
      <c r="BN9" s="594"/>
      <c r="BO9" s="594"/>
      <c r="BP9" s="594"/>
      <c r="BQ9" s="594"/>
      <c r="BR9" s="594"/>
      <c r="BS9" s="594"/>
      <c r="BT9" s="594"/>
      <c r="BU9" s="594"/>
      <c r="BV9" s="594"/>
      <c r="BW9" s="594"/>
      <c r="BX9" s="594"/>
      <c r="BY9" s="594"/>
      <c r="BZ9" s="594"/>
      <c r="CA9" s="594"/>
      <c r="CB9" s="594"/>
      <c r="CC9" s="594"/>
      <c r="CD9" s="594"/>
      <c r="CE9" s="594"/>
      <c r="CF9" s="594"/>
      <c r="CG9" s="594"/>
      <c r="CH9" s="594"/>
      <c r="CI9" s="594"/>
      <c r="CJ9" s="594"/>
      <c r="CK9" s="594"/>
      <c r="CL9" s="594"/>
      <c r="CM9" s="594"/>
      <c r="CN9" s="594"/>
      <c r="CO9" s="594"/>
      <c r="CP9" s="594"/>
      <c r="CQ9" s="594"/>
    </row>
    <row r="10" spans="1:95" ht="21" customHeight="1" outlineLevel="2">
      <c r="A10" s="709" t="s">
        <v>684</v>
      </c>
      <c r="B10" s="710">
        <f>-SUMIFS('B3 - Custos despesas indiretos'!AK$5:AK$148,'B3 - Custos despesas indiretos'!$B$5:$B$148,"Custos",'B3 - Custos despesas indiretos'!$D$5:$D$148,$A4)</f>
        <v>-21186.5</v>
      </c>
      <c r="C10" s="710">
        <f>-SUMIFS('B3 - Custos despesas indiretos'!AL$5:AL$148,'B3 - Custos despesas indiretos'!$B$5:$B$148,"Custos",'B3 - Custos despesas indiretos'!$D$5:$D$148,$A4)</f>
        <v>-21186.5</v>
      </c>
      <c r="D10" s="710">
        <f>-SUMIFS('B3 - Custos despesas indiretos'!AM$5:AM$148,'B3 - Custos despesas indiretos'!$B$5:$B$148,"Custos",'B3 - Custos despesas indiretos'!$D$5:$D$148,$A4)</f>
        <v>-21186.5</v>
      </c>
      <c r="E10" s="710">
        <f>-SUMIFS('B3 - Custos despesas indiretos'!AN$5:AN$148,'B3 - Custos despesas indiretos'!$B$5:$B$148,"Custos",'B3 - Custos despesas indiretos'!$D$5:$D$148,$A4)</f>
        <v>-21186.5</v>
      </c>
      <c r="F10" s="710">
        <f>-SUMIFS('B3 - Custos despesas indiretos'!AO$5:AO$148,'B3 - Custos despesas indiretos'!$B$5:$B$148,"Custos",'B3 - Custos despesas indiretos'!$D$5:$D$148,$A4)</f>
        <v>-21186.5</v>
      </c>
      <c r="G10" s="710">
        <f>-SUMIFS('B3 - Custos despesas indiretos'!AP$5:AP$148,'B3 - Custos despesas indiretos'!$B$5:$B$148,"Custos",'B3 - Custos despesas indiretos'!$D$5:$D$148,$A4)</f>
        <v>-21186.5</v>
      </c>
      <c r="H10" s="710">
        <f>-SUMIFS('B3 - Custos despesas indiretos'!AQ$5:AQ$148,'B3 - Custos despesas indiretos'!$B$5:$B$148,"Custos",'B3 - Custos despesas indiretos'!$D$5:$D$148,$A4)</f>
        <v>-21186.5</v>
      </c>
      <c r="I10" s="710">
        <f>-SUMIFS('B3 - Custos despesas indiretos'!AR$5:AR$148,'B3 - Custos despesas indiretos'!$B$5:$B$148,"Custos",'B3 - Custos despesas indiretos'!$D$5:$D$148,$A4)</f>
        <v>-21186.5</v>
      </c>
      <c r="J10" s="710">
        <f>-SUMIFS('B3 - Custos despesas indiretos'!AS$5:AS$148,'B3 - Custos despesas indiretos'!$B$5:$B$148,"Custos",'B3 - Custos despesas indiretos'!$D$5:$D$148,$A4)</f>
        <v>-21186.5</v>
      </c>
      <c r="K10" s="710">
        <f>-SUMIFS('B3 - Custos despesas indiretos'!AT$5:AT$148,'B3 - Custos despesas indiretos'!$B$5:$B$148,"Custos",'B3 - Custos despesas indiretos'!$D$5:$D$148,$A4)</f>
        <v>-21186.5</v>
      </c>
      <c r="L10" s="710">
        <f>-SUMIFS('B3 - Custos despesas indiretos'!AU$5:AU$148,'B3 - Custos despesas indiretos'!$B$5:$B$148,"Custos",'B3 - Custos despesas indiretos'!$D$5:$D$148,$A4)</f>
        <v>-21186.5</v>
      </c>
      <c r="M10" s="710">
        <f>-SUMIFS('B3 - Custos despesas indiretos'!AV$5:AV$148,'B3 - Custos despesas indiretos'!$B$5:$B$148,"Custos",'B3 - Custos despesas indiretos'!$D$5:$D$148,$A4)</f>
        <v>-21186.5</v>
      </c>
      <c r="N10" s="710">
        <f>-SUMIFS('B3 - Custos despesas indiretos'!AW$5:AW$148,'B3 - Custos despesas indiretos'!$B$5:$B$148,"Custos",'B3 - Custos despesas indiretos'!$D$5:$D$148,$A4)</f>
        <v>-21186.5</v>
      </c>
      <c r="O10" s="710">
        <f>-SUMIFS('B3 - Custos despesas indiretos'!AX$5:AX$148,'B3 - Custos despesas indiretos'!$B$5:$B$148,"Custos",'B3 - Custos despesas indiretos'!$D$5:$D$148,$A4)</f>
        <v>-21186.5</v>
      </c>
      <c r="P10" s="710">
        <f>-SUMIFS('B3 - Custos despesas indiretos'!AY$5:AY$148,'B3 - Custos despesas indiretos'!$B$5:$B$148,"Custos",'B3 - Custos despesas indiretos'!$D$5:$D$148,$A4)</f>
        <v>-21186.5</v>
      </c>
      <c r="Q10" s="710">
        <f>-SUMIFS('B3 - Custos despesas indiretos'!AZ$5:AZ$148,'B3 - Custos despesas indiretos'!$B$5:$B$148,"Custos",'B3 - Custos despesas indiretos'!$D$5:$D$148,$A4)</f>
        <v>-21186.5</v>
      </c>
      <c r="R10" s="710">
        <f>-SUMIFS('B3 - Custos despesas indiretos'!BA$5:BA$148,'B3 - Custos despesas indiretos'!$B$5:$B$148,"Custos",'B3 - Custos despesas indiretos'!$D$5:$D$148,$A4)</f>
        <v>-21186.5</v>
      </c>
      <c r="S10" s="710">
        <f>-SUMIFS('B3 - Custos despesas indiretos'!BB$5:BB$148,'B3 - Custos despesas indiretos'!$B$5:$B$148,"Custos",'B3 - Custos despesas indiretos'!$D$5:$D$148,$A4)</f>
        <v>-21186.5</v>
      </c>
      <c r="T10" s="710">
        <f>-SUMIFS('B3 - Custos despesas indiretos'!BC$5:BC$148,'B3 - Custos despesas indiretos'!$B$5:$B$148,"Custos",'B3 - Custos despesas indiretos'!$D$5:$D$148,$A4)</f>
        <v>-21186.5</v>
      </c>
      <c r="U10" s="710">
        <f>-SUMIFS('B3 - Custos despesas indiretos'!BD$5:BD$148,'B3 - Custos despesas indiretos'!$B$5:$B$148,"Custos",'B3 - Custos despesas indiretos'!$D$5:$D$148,$A4)</f>
        <v>-21186.5</v>
      </c>
      <c r="V10" s="710">
        <f>-SUMIFS('B3 - Custos despesas indiretos'!BE$5:BE$148,'B3 - Custos despesas indiretos'!$B$5:$B$148,"Custos",'B3 - Custos despesas indiretos'!$D$5:$D$148,$A4)</f>
        <v>-21186.5</v>
      </c>
      <c r="W10" s="710">
        <f>-SUMIFS('B3 - Custos despesas indiretos'!BF$5:BF$148,'B3 - Custos despesas indiretos'!$B$5:$B$148,"Custos",'B3 - Custos despesas indiretos'!$D$5:$D$148,$A4)</f>
        <v>-21186.5</v>
      </c>
      <c r="X10" s="710">
        <f>-SUMIFS('B3 - Custos despesas indiretos'!BG$5:BG$148,'B3 - Custos despesas indiretos'!$B$5:$B$148,"Custos",'B3 - Custos despesas indiretos'!$D$5:$D$148,$A4)</f>
        <v>-21186.5</v>
      </c>
      <c r="Y10" s="710">
        <f>-SUMIFS('B3 - Custos despesas indiretos'!BH$5:BH$148,'B3 - Custos despesas indiretos'!$B$5:$B$148,"Custos",'B3 - Custos despesas indiretos'!$D$5:$D$148,$A4)</f>
        <v>-21186.5</v>
      </c>
      <c r="Z10" s="710">
        <f>-SUMIFS('B3 - Custos despesas indiretos'!BI$5:BI$148,'B3 - Custos despesas indiretos'!$B$5:$B$148,"Custos",'B3 - Custos despesas indiretos'!$D$5:$D$148,$A4)</f>
        <v>-21186.5</v>
      </c>
      <c r="AA10" s="710">
        <f>-SUMIFS('B3 - Custos despesas indiretos'!BJ$5:BJ$148,'B3 - Custos despesas indiretos'!$B$5:$B$148,"Custos",'B3 - Custos despesas indiretos'!$D$5:$D$148,$A4)</f>
        <v>-21186.5</v>
      </c>
      <c r="AB10" s="710">
        <f>-SUMIFS('B3 - Custos despesas indiretos'!BK$5:BK$148,'B3 - Custos despesas indiretos'!$B$5:$B$148,"Custos",'B3 - Custos despesas indiretos'!$D$5:$D$148,$A4)</f>
        <v>-21186.5</v>
      </c>
      <c r="AC10" s="710">
        <f>-SUMIFS('B3 - Custos despesas indiretos'!BL$5:BL$148,'B3 - Custos despesas indiretos'!$B$5:$B$148,"Custos",'B3 - Custos despesas indiretos'!$D$5:$D$148,$A4)</f>
        <v>-21186.5</v>
      </c>
      <c r="AD10" s="710">
        <f>-SUMIFS('B3 - Custos despesas indiretos'!BM$5:BM$148,'B3 - Custos despesas indiretos'!$B$5:$B$148,"Custos",'B3 - Custos despesas indiretos'!$D$5:$D$148,$A4)</f>
        <v>-21186.5</v>
      </c>
      <c r="AE10" s="710">
        <f>-SUMIFS('B3 - Custos despesas indiretos'!BN$5:BN$148,'B3 - Custos despesas indiretos'!$B$5:$B$148,"Custos",'B3 - Custos despesas indiretos'!$D$5:$D$148,$A4)</f>
        <v>-21186.5</v>
      </c>
      <c r="AF10" s="594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594"/>
      <c r="AS10" s="594"/>
      <c r="AT10" s="594"/>
      <c r="AU10" s="594"/>
      <c r="AV10" s="594"/>
      <c r="AW10" s="594"/>
      <c r="AX10" s="594"/>
      <c r="AY10" s="594"/>
      <c r="AZ10" s="594"/>
      <c r="BA10" s="594"/>
      <c r="BB10" s="594"/>
      <c r="BC10" s="594"/>
      <c r="BD10" s="594"/>
      <c r="BE10" s="594"/>
      <c r="BF10" s="594"/>
      <c r="BG10" s="594"/>
      <c r="BH10" s="594"/>
      <c r="BI10" s="594"/>
      <c r="BJ10" s="594"/>
      <c r="BK10" s="594"/>
      <c r="BL10" s="57"/>
      <c r="BM10" s="594"/>
      <c r="BN10" s="594"/>
      <c r="BO10" s="594"/>
      <c r="BP10" s="594"/>
      <c r="BQ10" s="594"/>
      <c r="BR10" s="594"/>
      <c r="BS10" s="594"/>
      <c r="BT10" s="594"/>
      <c r="BU10" s="594"/>
      <c r="BV10" s="594"/>
      <c r="BW10" s="594"/>
      <c r="BX10" s="594"/>
      <c r="BY10" s="594"/>
      <c r="BZ10" s="594"/>
      <c r="CA10" s="594"/>
      <c r="CB10" s="594"/>
      <c r="CC10" s="594"/>
      <c r="CD10" s="594"/>
      <c r="CE10" s="594"/>
      <c r="CF10" s="594"/>
      <c r="CG10" s="594"/>
      <c r="CH10" s="594"/>
      <c r="CI10" s="594"/>
      <c r="CJ10" s="594"/>
      <c r="CK10" s="594"/>
      <c r="CL10" s="594"/>
      <c r="CM10" s="594"/>
      <c r="CN10" s="594"/>
      <c r="CO10" s="594"/>
      <c r="CP10" s="594"/>
      <c r="CQ10" s="594"/>
    </row>
    <row r="11" spans="1:95" ht="21" customHeight="1" outlineLevel="2">
      <c r="A11" s="709" t="s">
        <v>685</v>
      </c>
      <c r="B11" s="710">
        <f>-SUMIFS('B3 - Custos despesas indiretos'!AK$5:AK$148,'B3 - Custos despesas indiretos'!$B$5:$B$148,"Despesas",'B3 - Custos despesas indiretos'!$D$5:$D$148,$A4)</f>
        <v>-225907.92</v>
      </c>
      <c r="C11" s="710">
        <f>-SUMIFS('B3 - Custos despesas indiretos'!AL$5:AL$148,'B3 - Custos despesas indiretos'!$B$5:$B$148,"Despesas",'B3 - Custos despesas indiretos'!$D$5:$D$148,$A4)</f>
        <v>-467402.83199999999</v>
      </c>
      <c r="D11" s="710">
        <f>-SUMIFS('B3 - Custos despesas indiretos'!AM$5:AM$148,'B3 - Custos despesas indiretos'!$B$5:$B$148,"Despesas",'B3 - Custos despesas indiretos'!$D$5:$D$148,$A4)</f>
        <v>-483525.07199999999</v>
      </c>
      <c r="E11" s="710">
        <f>-SUMIFS('B3 - Custos despesas indiretos'!AN$5:AN$148,'B3 - Custos despesas indiretos'!$B$5:$B$148,"Despesas",'B3 - Custos despesas indiretos'!$D$5:$D$148,$A4)</f>
        <v>-499140.576</v>
      </c>
      <c r="F11" s="710">
        <f>-SUMIFS('B3 - Custos despesas indiretos'!AO$5:AO$148,'B3 - Custos despesas indiretos'!$B$5:$B$148,"Despesas",'B3 - Custos despesas indiretos'!$D$5:$D$148,$A4)</f>
        <v>-515004.04800000001</v>
      </c>
      <c r="G11" s="710">
        <f>-SUMIFS('B3 - Custos despesas indiretos'!AP$5:AP$148,'B3 - Custos despesas indiretos'!$B$5:$B$148,"Despesas",'B3 - Custos despesas indiretos'!$D$5:$D$148,$A4)</f>
        <v>-531145.728</v>
      </c>
      <c r="H11" s="710">
        <f>-SUMIFS('B3 - Custos despesas indiretos'!AQ$5:AQ$148,'B3 - Custos despesas indiretos'!$B$5:$B$148,"Despesas",'B3 - Custos despesas indiretos'!$D$5:$D$148,$A4)</f>
        <v>-547742.304</v>
      </c>
      <c r="I11" s="710">
        <f>-SUMIFS('B3 - Custos despesas indiretos'!AR$5:AR$148,'B3 - Custos despesas indiretos'!$B$5:$B$148,"Despesas",'B3 - Custos despesas indiretos'!$D$5:$D$148,$A4)</f>
        <v>-564823.152</v>
      </c>
      <c r="J11" s="710">
        <f>-SUMIFS('B3 - Custos despesas indiretos'!AS$5:AS$148,'B3 - Custos despesas indiretos'!$B$5:$B$148,"Despesas",'B3 - Custos despesas indiretos'!$D$5:$D$148,$A4)</f>
        <v>-582215.04</v>
      </c>
      <c r="K11" s="710">
        <f>-SUMIFS('B3 - Custos despesas indiretos'!AT$5:AT$148,'B3 - Custos despesas indiretos'!$B$5:$B$148,"Despesas",'B3 - Custos despesas indiretos'!$D$5:$D$148,$A4)</f>
        <v>-599931.79200000002</v>
      </c>
      <c r="L11" s="710">
        <f>-SUMIFS('B3 - Custos despesas indiretos'!AU$5:AU$148,'B3 - Custos despesas indiretos'!$B$5:$B$148,"Despesas",'B3 - Custos despesas indiretos'!$D$5:$D$148,$A4)</f>
        <v>-618202.36800000002</v>
      </c>
      <c r="M11" s="710">
        <f>-SUMIFS('B3 - Custos despesas indiretos'!AV$5:AV$148,'B3 - Custos despesas indiretos'!$B$5:$B$148,"Despesas",'B3 - Custos despesas indiretos'!$D$5:$D$148,$A4)</f>
        <v>-637019.85600000003</v>
      </c>
      <c r="N11" s="710">
        <f>-SUMIFS('B3 - Custos despesas indiretos'!AW$5:AW$148,'B3 - Custos despesas indiretos'!$B$5:$B$148,"Despesas",'B3 - Custos despesas indiretos'!$D$5:$D$148,$A4)</f>
        <v>-656438.25600000005</v>
      </c>
      <c r="O11" s="710">
        <f>-SUMIFS('B3 - Custos despesas indiretos'!AX$5:AX$148,'B3 - Custos despesas indiretos'!$B$5:$B$148,"Despesas",'B3 - Custos despesas indiretos'!$D$5:$D$148,$A4)</f>
        <v>-676443.31200000003</v>
      </c>
      <c r="P11" s="710">
        <f>-SUMIFS('B3 - Custos despesas indiretos'!AY$5:AY$148,'B3 - Custos despesas indiretos'!$B$5:$B$148,"Despesas",'B3 - Custos despesas indiretos'!$D$5:$D$148,$A4)</f>
        <v>-697049.71200000006</v>
      </c>
      <c r="Q11" s="710">
        <f>-SUMIFS('B3 - Custos despesas indiretos'!AZ$5:AZ$148,'B3 - Custos despesas indiretos'!$B$5:$B$148,"Despesas",'B3 - Custos despesas indiretos'!$D$5:$D$148,$A4)</f>
        <v>-718221.16800000006</v>
      </c>
      <c r="R11" s="710">
        <f>-SUMIFS('B3 - Custos despesas indiretos'!BA$5:BA$148,'B3 - Custos despesas indiretos'!$B$5:$B$148,"Despesas",'B3 - Custos despesas indiretos'!$D$5:$D$148,$A4)</f>
        <v>-739931.76</v>
      </c>
      <c r="S11" s="710">
        <f>-SUMIFS('B3 - Custos despesas indiretos'!BB$5:BB$148,'B3 - Custos despesas indiretos'!$B$5:$B$148,"Despesas",'B3 - Custos despesas indiretos'!$D$5:$D$148,$A4)</f>
        <v>-762104.59200000006</v>
      </c>
      <c r="T11" s="710">
        <f>-SUMIFS('B3 - Custos despesas indiretos'!BC$5:BC$148,'B3 - Custos despesas indiretos'!$B$5:$B$148,"Despesas",'B3 - Custos despesas indiretos'!$D$5:$D$148,$A4)</f>
        <v>-784683.07200000004</v>
      </c>
      <c r="U11" s="710">
        <f>-SUMIFS('B3 - Custos despesas indiretos'!BD$5:BD$148,'B3 - Custos despesas indiretos'!$B$5:$B$148,"Despesas",'B3 - Custos despesas indiretos'!$D$5:$D$148,$A4)</f>
        <v>-807562.22400000005</v>
      </c>
      <c r="V11" s="710">
        <f>-SUMIFS('B3 - Custos despesas indiretos'!BE$5:BE$148,'B3 - Custos despesas indiretos'!$B$5:$B$148,"Despesas",'B3 - Custos despesas indiretos'!$D$5:$D$148,$A4)</f>
        <v>-807562.22400000005</v>
      </c>
      <c r="W11" s="710">
        <f>-SUMIFS('B3 - Custos despesas indiretos'!BF$5:BF$148,'B3 - Custos despesas indiretos'!$B$5:$B$148,"Despesas",'B3 - Custos despesas indiretos'!$D$5:$D$148,$A4)</f>
        <v>-807562.22400000005</v>
      </c>
      <c r="X11" s="710">
        <f>-SUMIFS('B3 - Custos despesas indiretos'!BG$5:BG$148,'B3 - Custos despesas indiretos'!$B$5:$B$148,"Despesas",'B3 - Custos despesas indiretos'!$D$5:$D$148,$A4)</f>
        <v>-807562.22400000005</v>
      </c>
      <c r="Y11" s="710">
        <f>-SUMIFS('B3 - Custos despesas indiretos'!BH$5:BH$148,'B3 - Custos despesas indiretos'!$B$5:$B$148,"Despesas",'B3 - Custos despesas indiretos'!$D$5:$D$148,$A4)</f>
        <v>-807562.22400000005</v>
      </c>
      <c r="Z11" s="710">
        <f>-SUMIFS('B3 - Custos despesas indiretos'!BI$5:BI$148,'B3 - Custos despesas indiretos'!$B$5:$B$148,"Despesas",'B3 - Custos despesas indiretos'!$D$5:$D$148,$A4)</f>
        <v>-807562.22400000005</v>
      </c>
      <c r="AA11" s="710">
        <f>-SUMIFS('B3 - Custos despesas indiretos'!BJ$5:BJ$148,'B3 - Custos despesas indiretos'!$B$5:$B$148,"Despesas",'B3 - Custos despesas indiretos'!$D$5:$D$148,$A4)</f>
        <v>-807562.22400000005</v>
      </c>
      <c r="AB11" s="710">
        <f>-SUMIFS('B3 - Custos despesas indiretos'!BK$5:BK$148,'B3 - Custos despesas indiretos'!$B$5:$B$148,"Despesas",'B3 - Custos despesas indiretos'!$D$5:$D$148,$A4)</f>
        <v>-807562.22400000005</v>
      </c>
      <c r="AC11" s="710">
        <f>-SUMIFS('B3 - Custos despesas indiretos'!BL$5:BL$148,'B3 - Custos despesas indiretos'!$B$5:$B$148,"Despesas",'B3 - Custos despesas indiretos'!$D$5:$D$148,$A4)</f>
        <v>-807562.22400000005</v>
      </c>
      <c r="AD11" s="710">
        <f>-SUMIFS('B3 - Custos despesas indiretos'!BM$5:BM$148,'B3 - Custos despesas indiretos'!$B$5:$B$148,"Despesas",'B3 - Custos despesas indiretos'!$D$5:$D$148,$A4)</f>
        <v>-807562.22400000005</v>
      </c>
      <c r="AE11" s="710">
        <f>-SUMIFS('B3 - Custos despesas indiretos'!BN$5:BN$148,'B3 - Custos despesas indiretos'!$B$5:$B$148,"Despesas",'B3 - Custos despesas indiretos'!$D$5:$D$148,$A4)</f>
        <v>-807562.22400000005</v>
      </c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4"/>
      <c r="BA11" s="594"/>
      <c r="BB11" s="594"/>
      <c r="BC11" s="594"/>
      <c r="BD11" s="594"/>
      <c r="BE11" s="594"/>
      <c r="BF11" s="594"/>
      <c r="BG11" s="594"/>
      <c r="BH11" s="594"/>
      <c r="BI11" s="594"/>
      <c r="BJ11" s="594"/>
      <c r="BK11" s="594"/>
      <c r="BL11" s="57"/>
      <c r="BM11" s="594"/>
      <c r="BN11" s="594"/>
      <c r="BO11" s="594"/>
      <c r="BP11" s="594"/>
      <c r="BQ11" s="594"/>
      <c r="BR11" s="594"/>
      <c r="BS11" s="594"/>
      <c r="BT11" s="594"/>
      <c r="BU11" s="594"/>
      <c r="BV11" s="594"/>
      <c r="BW11" s="594"/>
      <c r="BX11" s="594"/>
      <c r="BY11" s="594"/>
      <c r="BZ11" s="594"/>
      <c r="CA11" s="594"/>
      <c r="CB11" s="594"/>
      <c r="CC11" s="594"/>
      <c r="CD11" s="594"/>
      <c r="CE11" s="594"/>
      <c r="CF11" s="594"/>
      <c r="CG11" s="594"/>
      <c r="CH11" s="594"/>
      <c r="CI11" s="594"/>
      <c r="CJ11" s="594"/>
      <c r="CK11" s="594"/>
      <c r="CL11" s="594"/>
      <c r="CM11" s="594"/>
      <c r="CN11" s="594"/>
      <c r="CO11" s="594"/>
      <c r="CP11" s="594"/>
      <c r="CQ11" s="594"/>
    </row>
    <row r="12" spans="1:95" ht="21" customHeight="1" outlineLevel="2">
      <c r="A12" s="709" t="s">
        <v>686</v>
      </c>
      <c r="B12" s="710">
        <f>-SUMIF('D2 - Capex uso'!$C$6:$C$176,$A4,'D2 - Capex uso'!GI$6:GI$176)</f>
        <v>-399145.76339000004</v>
      </c>
      <c r="C12" s="710">
        <f>-SUMIF('D2 - Capex uso'!$C$6:$C$176,$A4,'D2 - Capex uso'!GJ$6:GJ$176)</f>
        <v>-399145.76339000004</v>
      </c>
      <c r="D12" s="710">
        <f>-SUMIF('D2 - Capex uso'!$C$6:$C$176,$A4,'D2 - Capex uso'!GK$6:GK$176)</f>
        <v>-399145.76339000004</v>
      </c>
      <c r="E12" s="710">
        <f>-SUMIF('D2 - Capex uso'!$C$6:$C$176,$A4,'D2 - Capex uso'!GL$6:GL$176)</f>
        <v>-399145.76339000004</v>
      </c>
      <c r="F12" s="710">
        <f>-SUMIF('D2 - Capex uso'!$C$6:$C$176,$A4,'D2 - Capex uso'!GM$6:GM$176)</f>
        <v>-399145.76339000004</v>
      </c>
      <c r="G12" s="710">
        <f>-SUMIF('D2 - Capex uso'!$C$6:$C$176,$A4,'D2 - Capex uso'!GN$6:GN$176)</f>
        <v>-399145.76339000004</v>
      </c>
      <c r="H12" s="710">
        <f>-SUMIF('D2 - Capex uso'!$C$6:$C$176,$A4,'D2 - Capex uso'!GO$6:GO$176)</f>
        <v>-399145.76339000004</v>
      </c>
      <c r="I12" s="710">
        <f>-SUMIF('D2 - Capex uso'!$C$6:$C$176,$A4,'D2 - Capex uso'!GP$6:GP$176)</f>
        <v>-399145.76339000004</v>
      </c>
      <c r="J12" s="710">
        <f>-SUMIF('D2 - Capex uso'!$C$6:$C$176,$A4,'D2 - Capex uso'!GQ$6:GQ$176)</f>
        <v>-399145.76339000004</v>
      </c>
      <c r="K12" s="710">
        <f>-SUMIF('D2 - Capex uso'!$C$6:$C$176,$A4,'D2 - Capex uso'!GR$6:GR$176)</f>
        <v>-399145.76339000004</v>
      </c>
      <c r="L12" s="710">
        <f>-SUMIF('D2 - Capex uso'!$C$6:$C$176,$A4,'D2 - Capex uso'!GS$6:GS$176)</f>
        <v>-399145.76339000004</v>
      </c>
      <c r="M12" s="710">
        <f>-SUMIF('D2 - Capex uso'!$C$6:$C$176,$A4,'D2 - Capex uso'!GT$6:GT$176)</f>
        <v>-399145.76339000004</v>
      </c>
      <c r="N12" s="710">
        <f>-SUMIF('D2 - Capex uso'!$C$6:$C$176,$A4,'D2 - Capex uso'!GU$6:GU$176)</f>
        <v>-399145.76339000004</v>
      </c>
      <c r="O12" s="710">
        <f>-SUMIF('D2 - Capex uso'!$C$6:$C$176,$A4,'D2 - Capex uso'!GV$6:GV$176)</f>
        <v>-399145.76339000004</v>
      </c>
      <c r="P12" s="710">
        <f>-SUMIF('D2 - Capex uso'!$C$6:$C$176,$A4,'D2 - Capex uso'!GW$6:GW$176)</f>
        <v>-399145.76339000004</v>
      </c>
      <c r="Q12" s="710">
        <f>-SUMIF('D2 - Capex uso'!$C$6:$C$176,$A4,'D2 - Capex uso'!GX$6:GX$176)</f>
        <v>-399145.76339000004</v>
      </c>
      <c r="R12" s="710">
        <f>-SUMIF('D2 - Capex uso'!$C$6:$C$176,$A4,'D2 - Capex uso'!GY$6:GY$176)</f>
        <v>-399145.76339000004</v>
      </c>
      <c r="S12" s="710">
        <f>-SUMIF('D2 - Capex uso'!$C$6:$C$176,$A4,'D2 - Capex uso'!GZ$6:GZ$176)</f>
        <v>-399145.76339000004</v>
      </c>
      <c r="T12" s="710">
        <f>-SUMIF('D2 - Capex uso'!$C$6:$C$176,$A4,'D2 - Capex uso'!HA$6:HA$176)</f>
        <v>-399145.76339000004</v>
      </c>
      <c r="U12" s="710">
        <f>-SUMIF('D2 - Capex uso'!$C$6:$C$176,$A4,'D2 - Capex uso'!HB$6:HB$176)</f>
        <v>-399145.76339000004</v>
      </c>
      <c r="V12" s="710">
        <f>-SUMIF('D2 - Capex uso'!$C$6:$C$176,$A4,'D2 - Capex uso'!HC$6:HC$176)</f>
        <v>-399145.76339000004</v>
      </c>
      <c r="W12" s="710">
        <f>-SUMIF('D2 - Capex uso'!$C$6:$C$176,$A4,'D2 - Capex uso'!HD$6:HD$176)</f>
        <v>-399145.76339000004</v>
      </c>
      <c r="X12" s="710">
        <f>-SUMIF('D2 - Capex uso'!$C$6:$C$176,$A4,'D2 - Capex uso'!HE$6:HE$176)</f>
        <v>-399145.76339000004</v>
      </c>
      <c r="Y12" s="710">
        <f>-SUMIF('D2 - Capex uso'!$C$6:$C$176,$A4,'D2 - Capex uso'!HF$6:HF$176)</f>
        <v>-399145.76339000004</v>
      </c>
      <c r="Z12" s="710">
        <f>-SUMIF('D2 - Capex uso'!$C$6:$C$176,$A4,'D2 - Capex uso'!HG$6:HG$176)</f>
        <v>-399145.76339000004</v>
      </c>
      <c r="AA12" s="710">
        <f>-SUMIF('D2 - Capex uso'!$C$6:$C$176,$A4,'D2 - Capex uso'!HH$6:HH$176)</f>
        <v>-399145.76339000004</v>
      </c>
      <c r="AB12" s="710">
        <f>-SUMIF('D2 - Capex uso'!$C$6:$C$176,$A4,'D2 - Capex uso'!HI$6:HI$176)</f>
        <v>-399145.76339000004</v>
      </c>
      <c r="AC12" s="710">
        <f>-SUMIF('D2 - Capex uso'!$C$6:$C$176,$A4,'D2 - Capex uso'!HJ$6:HJ$176)</f>
        <v>-399145.76339000004</v>
      </c>
      <c r="AD12" s="710">
        <f>-SUMIF('D2 - Capex uso'!$C$6:$C$176,$A4,'D2 - Capex uso'!HK$6:HK$176)</f>
        <v>-399145.76339000004</v>
      </c>
      <c r="AE12" s="710">
        <f>-SUMIF('D2 - Capex uso'!$C$6:$C$176,$A4,'D2 - Capex uso'!HL$6:HL$176)</f>
        <v>-399145.76339000004</v>
      </c>
      <c r="AF12" s="594"/>
      <c r="AG12" s="594"/>
      <c r="AH12" s="594"/>
      <c r="AI12" s="594"/>
      <c r="AJ12" s="594"/>
      <c r="AK12" s="594"/>
      <c r="AL12" s="594"/>
      <c r="AM12" s="594"/>
      <c r="AN12" s="594"/>
      <c r="AO12" s="594"/>
      <c r="AP12" s="594"/>
      <c r="AQ12" s="594"/>
      <c r="AR12" s="594"/>
      <c r="AS12" s="594"/>
      <c r="AT12" s="594"/>
      <c r="AU12" s="594"/>
      <c r="AV12" s="594"/>
      <c r="AW12" s="594"/>
      <c r="AX12" s="594"/>
      <c r="AY12" s="594"/>
      <c r="AZ12" s="594"/>
      <c r="BA12" s="594"/>
      <c r="BB12" s="594"/>
      <c r="BC12" s="594"/>
      <c r="BD12" s="594"/>
      <c r="BE12" s="594"/>
      <c r="BF12" s="594"/>
      <c r="BG12" s="594"/>
      <c r="BH12" s="594"/>
      <c r="BI12" s="594"/>
      <c r="BJ12" s="594"/>
      <c r="BK12" s="594"/>
      <c r="BL12" s="57"/>
      <c r="BM12" s="594"/>
      <c r="BN12" s="594"/>
      <c r="BO12" s="594"/>
      <c r="BP12" s="594"/>
      <c r="BQ12" s="594"/>
      <c r="BR12" s="594"/>
      <c r="BS12" s="594"/>
      <c r="BT12" s="594"/>
      <c r="BU12" s="594"/>
      <c r="BV12" s="594"/>
      <c r="BW12" s="594"/>
      <c r="BX12" s="594"/>
      <c r="BY12" s="594"/>
      <c r="BZ12" s="594"/>
      <c r="CA12" s="594"/>
      <c r="CB12" s="594"/>
      <c r="CC12" s="594"/>
      <c r="CD12" s="594"/>
      <c r="CE12" s="594"/>
      <c r="CF12" s="594"/>
      <c r="CG12" s="594"/>
      <c r="CH12" s="594"/>
      <c r="CI12" s="594"/>
      <c r="CJ12" s="594"/>
      <c r="CK12" s="594"/>
      <c r="CL12" s="594"/>
      <c r="CM12" s="594"/>
      <c r="CN12" s="594"/>
      <c r="CO12" s="594"/>
      <c r="CP12" s="594"/>
      <c r="CQ12" s="594"/>
    </row>
    <row r="13" spans="1:95" ht="21" customHeight="1" outlineLevel="1">
      <c r="A13" s="708" t="s">
        <v>687</v>
      </c>
      <c r="B13" s="707">
        <f t="shared" ref="B13:AE13" si="4">SUM(B5:B7)</f>
        <v>9026004.1346454602</v>
      </c>
      <c r="C13" s="707">
        <f t="shared" si="4"/>
        <v>18145564.695441745</v>
      </c>
      <c r="D13" s="707">
        <f t="shared" si="4"/>
        <v>18887919.697417796</v>
      </c>
      <c r="E13" s="707">
        <f t="shared" si="4"/>
        <v>19606953.524635438</v>
      </c>
      <c r="F13" s="707">
        <f t="shared" si="4"/>
        <v>20337406.587597478</v>
      </c>
      <c r="G13" s="707">
        <f t="shared" si="4"/>
        <v>21080668.216600731</v>
      </c>
      <c r="H13" s="707">
        <f t="shared" si="4"/>
        <v>21844858.793059617</v>
      </c>
      <c r="I13" s="707">
        <f t="shared" si="4"/>
        <v>22631364.431175925</v>
      </c>
      <c r="J13" s="707">
        <f t="shared" si="4"/>
        <v>23432184.588837437</v>
      </c>
      <c r="K13" s="707">
        <f t="shared" si="4"/>
        <v>24247983.737377383</v>
      </c>
      <c r="L13" s="707">
        <f t="shared" si="4"/>
        <v>25089263.747153763</v>
      </c>
      <c r="M13" s="707">
        <f t="shared" si="4"/>
        <v>25955726.673518285</v>
      </c>
      <c r="N13" s="707">
        <f t="shared" si="4"/>
        <v>26849868.089263719</v>
      </c>
      <c r="O13" s="707">
        <f t="shared" si="4"/>
        <v>27771015.290562719</v>
      </c>
      <c r="P13" s="707">
        <f t="shared" si="4"/>
        <v>28719854.935704555</v>
      </c>
      <c r="Q13" s="707">
        <f t="shared" si="4"/>
        <v>29694716.440251891</v>
      </c>
      <c r="R13" s="707">
        <f t="shared" si="4"/>
        <v>30694403.690582234</v>
      </c>
      <c r="S13" s="707">
        <f t="shared" si="4"/>
        <v>31715363.104709048</v>
      </c>
      <c r="T13" s="707">
        <f t="shared" si="4"/>
        <v>32755002.134292953</v>
      </c>
      <c r="U13" s="707">
        <f t="shared" si="4"/>
        <v>33808493.784583315</v>
      </c>
      <c r="V13" s="707">
        <f t="shared" si="4"/>
        <v>33808493.784583315</v>
      </c>
      <c r="W13" s="707">
        <f t="shared" si="4"/>
        <v>33808493.784583315</v>
      </c>
      <c r="X13" s="707">
        <f t="shared" si="4"/>
        <v>33808493.784583315</v>
      </c>
      <c r="Y13" s="707">
        <f t="shared" si="4"/>
        <v>33808493.784583315</v>
      </c>
      <c r="Z13" s="707">
        <f t="shared" si="4"/>
        <v>33808493.784583315</v>
      </c>
      <c r="AA13" s="707">
        <f t="shared" si="4"/>
        <v>33808493.784583315</v>
      </c>
      <c r="AB13" s="707">
        <f t="shared" si="4"/>
        <v>33808493.784583315</v>
      </c>
      <c r="AC13" s="707">
        <f t="shared" si="4"/>
        <v>33808493.784583315</v>
      </c>
      <c r="AD13" s="707">
        <f t="shared" si="4"/>
        <v>33808493.784583315</v>
      </c>
      <c r="AE13" s="707">
        <f t="shared" si="4"/>
        <v>33808493.784583315</v>
      </c>
      <c r="AF13" s="594"/>
      <c r="AG13" s="594"/>
      <c r="AH13" s="594"/>
      <c r="AI13" s="594"/>
      <c r="AJ13" s="594"/>
      <c r="AK13" s="594"/>
      <c r="AL13" s="594"/>
      <c r="AM13" s="594"/>
      <c r="AN13" s="594"/>
      <c r="AO13" s="594"/>
      <c r="AP13" s="594"/>
      <c r="AQ13" s="594"/>
      <c r="AR13" s="594"/>
      <c r="AS13" s="594"/>
      <c r="AT13" s="594"/>
      <c r="AU13" s="594"/>
      <c r="AV13" s="594"/>
      <c r="AW13" s="594"/>
      <c r="AX13" s="594"/>
      <c r="AY13" s="594"/>
      <c r="AZ13" s="594"/>
      <c r="BA13" s="594"/>
      <c r="BB13" s="594"/>
      <c r="BC13" s="594"/>
      <c r="BD13" s="594"/>
      <c r="BE13" s="594"/>
      <c r="BF13" s="594"/>
      <c r="BG13" s="594"/>
      <c r="BH13" s="594"/>
      <c r="BI13" s="594"/>
      <c r="BJ13" s="594"/>
      <c r="BK13" s="594"/>
      <c r="BL13" s="57"/>
      <c r="BM13" s="594"/>
      <c r="BN13" s="594"/>
      <c r="BO13" s="594"/>
      <c r="BP13" s="594"/>
      <c r="BQ13" s="594"/>
      <c r="BR13" s="594"/>
      <c r="BS13" s="594"/>
      <c r="BT13" s="594"/>
      <c r="BU13" s="594"/>
      <c r="BV13" s="594"/>
      <c r="BW13" s="594"/>
      <c r="BX13" s="594"/>
      <c r="BY13" s="594"/>
      <c r="BZ13" s="594"/>
      <c r="CA13" s="594"/>
      <c r="CB13" s="594"/>
      <c r="CC13" s="594"/>
      <c r="CD13" s="594"/>
      <c r="CE13" s="594"/>
      <c r="CF13" s="594"/>
      <c r="CG13" s="594"/>
      <c r="CH13" s="594"/>
      <c r="CI13" s="594"/>
      <c r="CJ13" s="594"/>
      <c r="CK13" s="594"/>
      <c r="CL13" s="594"/>
      <c r="CM13" s="594"/>
      <c r="CN13" s="594"/>
      <c r="CO13" s="594"/>
      <c r="CP13" s="594"/>
      <c r="CQ13" s="594"/>
    </row>
    <row r="14" spans="1:95" ht="19.5" customHeight="1" outlineLevel="1">
      <c r="A14" s="708" t="s">
        <v>688</v>
      </c>
      <c r="B14" s="707">
        <f t="shared" ref="B14:AE14" si="5">SUM(B15:B22)</f>
        <v>-7564179.2578000007</v>
      </c>
      <c r="C14" s="707">
        <f t="shared" si="5"/>
        <v>0</v>
      </c>
      <c r="D14" s="707">
        <f t="shared" si="5"/>
        <v>0</v>
      </c>
      <c r="E14" s="707">
        <f t="shared" si="5"/>
        <v>0</v>
      </c>
      <c r="F14" s="707">
        <f t="shared" si="5"/>
        <v>0</v>
      </c>
      <c r="G14" s="707">
        <f t="shared" si="5"/>
        <v>-11180.268</v>
      </c>
      <c r="H14" s="707">
        <f t="shared" si="5"/>
        <v>0</v>
      </c>
      <c r="I14" s="707">
        <f t="shared" si="5"/>
        <v>0</v>
      </c>
      <c r="J14" s="707">
        <f t="shared" si="5"/>
        <v>0</v>
      </c>
      <c r="K14" s="707">
        <f t="shared" si="5"/>
        <v>0</v>
      </c>
      <c r="L14" s="707">
        <f t="shared" si="5"/>
        <v>-2648296.398</v>
      </c>
      <c r="M14" s="707">
        <f t="shared" si="5"/>
        <v>0</v>
      </c>
      <c r="N14" s="707">
        <f t="shared" si="5"/>
        <v>0</v>
      </c>
      <c r="O14" s="707">
        <f t="shared" si="5"/>
        <v>0</v>
      </c>
      <c r="P14" s="707">
        <f t="shared" si="5"/>
        <v>0</v>
      </c>
      <c r="Q14" s="707">
        <f t="shared" si="5"/>
        <v>-11180.268</v>
      </c>
      <c r="R14" s="707">
        <f t="shared" si="5"/>
        <v>0</v>
      </c>
      <c r="S14" s="707">
        <f t="shared" si="5"/>
        <v>0</v>
      </c>
      <c r="T14" s="707">
        <f t="shared" si="5"/>
        <v>0</v>
      </c>
      <c r="U14" s="707">
        <f t="shared" si="5"/>
        <v>0</v>
      </c>
      <c r="V14" s="707">
        <f t="shared" si="5"/>
        <v>-2648296.398</v>
      </c>
      <c r="W14" s="707">
        <f t="shared" si="5"/>
        <v>0</v>
      </c>
      <c r="X14" s="707">
        <f t="shared" si="5"/>
        <v>0</v>
      </c>
      <c r="Y14" s="707">
        <f t="shared" si="5"/>
        <v>0</v>
      </c>
      <c r="Z14" s="707">
        <f t="shared" si="5"/>
        <v>0</v>
      </c>
      <c r="AA14" s="707">
        <f t="shared" si="5"/>
        <v>-11180.268</v>
      </c>
      <c r="AB14" s="707">
        <f t="shared" si="5"/>
        <v>0</v>
      </c>
      <c r="AC14" s="707">
        <f t="shared" si="5"/>
        <v>0</v>
      </c>
      <c r="AD14" s="707">
        <f t="shared" si="5"/>
        <v>0</v>
      </c>
      <c r="AE14" s="707">
        <f t="shared" si="5"/>
        <v>0</v>
      </c>
      <c r="AF14" s="594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594"/>
      <c r="AS14" s="594"/>
      <c r="AT14" s="594"/>
      <c r="AU14" s="594"/>
      <c r="AV14" s="594"/>
      <c r="AW14" s="594"/>
      <c r="AX14" s="594"/>
      <c r="AY14" s="594"/>
      <c r="AZ14" s="594"/>
      <c r="BA14" s="594"/>
      <c r="BB14" s="594"/>
      <c r="BC14" s="594"/>
      <c r="BD14" s="594"/>
      <c r="BE14" s="594"/>
      <c r="BF14" s="594"/>
      <c r="BG14" s="594"/>
      <c r="BH14" s="594"/>
      <c r="BI14" s="594"/>
      <c r="BJ14" s="594"/>
      <c r="BK14" s="594"/>
      <c r="BL14" s="57"/>
      <c r="BM14" s="594"/>
      <c r="BN14" s="594"/>
      <c r="BO14" s="594"/>
      <c r="BP14" s="594"/>
      <c r="BQ14" s="594"/>
      <c r="BR14" s="594"/>
      <c r="BS14" s="594"/>
      <c r="BT14" s="594"/>
      <c r="BU14" s="594"/>
      <c r="BV14" s="594"/>
      <c r="BW14" s="594"/>
      <c r="BX14" s="594"/>
      <c r="BY14" s="594"/>
      <c r="BZ14" s="594"/>
      <c r="CA14" s="594"/>
      <c r="CB14" s="594"/>
      <c r="CC14" s="594"/>
      <c r="CD14" s="594"/>
      <c r="CE14" s="594"/>
      <c r="CF14" s="594"/>
      <c r="CG14" s="594"/>
      <c r="CH14" s="594"/>
      <c r="CI14" s="594"/>
      <c r="CJ14" s="594"/>
      <c r="CK14" s="594"/>
      <c r="CL14" s="594"/>
      <c r="CM14" s="594"/>
      <c r="CN14" s="594"/>
      <c r="CO14" s="594"/>
      <c r="CP14" s="594"/>
      <c r="CQ14" s="594"/>
    </row>
    <row r="15" spans="1:95" ht="19.5" customHeight="1" outlineLevel="2">
      <c r="A15" s="709" t="s">
        <v>354</v>
      </c>
      <c r="B15" s="710">
        <f>-SUMIFS('D2 - Capex uso'!BS$6:BS$176,'D2 - Capex uso'!$C$6:$C$176,$A4,'D2 - Capex uso'!$AK$6:$AK$176,$A15)</f>
        <v>-3920040.6498000007</v>
      </c>
      <c r="C15" s="710">
        <f>-SUMIFS('D2 - Capex uso'!BT$6:BT$176,'D2 - Capex uso'!$C$6:$C$176,$A4,'D2 - Capex uso'!$AK$6:$AK$176,$A15)</f>
        <v>0</v>
      </c>
      <c r="D15" s="710">
        <f>-SUMIFS('D2 - Capex uso'!BU$6:BU$176,'D2 - Capex uso'!$C$6:$C$176,$A4,'D2 - Capex uso'!$AK$6:$AK$176,$A15)</f>
        <v>0</v>
      </c>
      <c r="E15" s="710">
        <f>-SUMIFS('D2 - Capex uso'!BV$6:BV$176,'D2 - Capex uso'!$C$6:$C$176,$A4,'D2 - Capex uso'!$AK$6:$AK$176,$A15)</f>
        <v>0</v>
      </c>
      <c r="F15" s="710">
        <f>-SUMIFS('D2 - Capex uso'!BW$6:BW$176,'D2 - Capex uso'!$C$6:$C$176,$A4,'D2 - Capex uso'!$AK$6:$AK$176,$A15)</f>
        <v>0</v>
      </c>
      <c r="G15" s="710">
        <f>-SUMIFS('D2 - Capex uso'!BX$6:BX$176,'D2 - Capex uso'!$C$6:$C$176,$A4,'D2 - Capex uso'!$AK$6:$AK$176,$A15)</f>
        <v>0</v>
      </c>
      <c r="H15" s="710">
        <f>-SUMIFS('D2 - Capex uso'!BY$6:BY$176,'D2 - Capex uso'!$C$6:$C$176,$A4,'D2 - Capex uso'!$AK$6:$AK$176,$A15)</f>
        <v>0</v>
      </c>
      <c r="I15" s="710">
        <f>-SUMIFS('D2 - Capex uso'!BZ$6:BZ$176,'D2 - Capex uso'!$C$6:$C$176,$A4,'D2 - Capex uso'!$AK$6:$AK$176,$A15)</f>
        <v>0</v>
      </c>
      <c r="J15" s="710">
        <f>-SUMIFS('D2 - Capex uso'!CA$6:CA$176,'D2 - Capex uso'!$C$6:$C$176,$A4,'D2 - Capex uso'!$AK$6:$AK$176,$A15)</f>
        <v>0</v>
      </c>
      <c r="K15" s="710">
        <f>-SUMIFS('D2 - Capex uso'!CB$6:CB$176,'D2 - Capex uso'!$C$6:$C$176,$A4,'D2 - Capex uso'!$AK$6:$AK$176,$A15)</f>
        <v>0</v>
      </c>
      <c r="L15" s="710">
        <f>-SUMIFS('D2 - Capex uso'!CC$6:CC$176,'D2 - Capex uso'!$C$6:$C$176,$A4,'D2 - Capex uso'!$AK$6:$AK$176,$A15)</f>
        <v>0</v>
      </c>
      <c r="M15" s="710">
        <f>-SUMIFS('D2 - Capex uso'!CD$6:CD$176,'D2 - Capex uso'!$C$6:$C$176,$A4,'D2 - Capex uso'!$AK$6:$AK$176,$A15)</f>
        <v>0</v>
      </c>
      <c r="N15" s="710">
        <f>-SUMIFS('D2 - Capex uso'!CE$6:CE$176,'D2 - Capex uso'!$C$6:$C$176,$A4,'D2 - Capex uso'!$AK$6:$AK$176,$A15)</f>
        <v>0</v>
      </c>
      <c r="O15" s="710">
        <f>-SUMIFS('D2 - Capex uso'!CF$6:CF$176,'D2 - Capex uso'!$C$6:$C$176,$A4,'D2 - Capex uso'!$AK$6:$AK$176,$A15)</f>
        <v>0</v>
      </c>
      <c r="P15" s="710">
        <f>-SUMIFS('D2 - Capex uso'!CG$6:CG$176,'D2 - Capex uso'!$C$6:$C$176,$A4,'D2 - Capex uso'!$AK$6:$AK$176,$A15)</f>
        <v>0</v>
      </c>
      <c r="Q15" s="710">
        <f>-SUMIFS('D2 - Capex uso'!CH$6:CH$176,'D2 - Capex uso'!$C$6:$C$176,$A4,'D2 - Capex uso'!$AK$6:$AK$176,$A15)</f>
        <v>0</v>
      </c>
      <c r="R15" s="710">
        <f>-SUMIFS('D2 - Capex uso'!CI$6:CI$176,'D2 - Capex uso'!$C$6:$C$176,$A4,'D2 - Capex uso'!$AK$6:$AK$176,$A15)</f>
        <v>0</v>
      </c>
      <c r="S15" s="710">
        <f>-SUMIFS('D2 - Capex uso'!CJ$6:CJ$176,'D2 - Capex uso'!$C$6:$C$176,$A4,'D2 - Capex uso'!$AK$6:$AK$176,$A15)</f>
        <v>0</v>
      </c>
      <c r="T15" s="710">
        <f>-SUMIFS('D2 - Capex uso'!CK$6:CK$176,'D2 - Capex uso'!$C$6:$C$176,$A4,'D2 - Capex uso'!$AK$6:$AK$176,$A15)</f>
        <v>0</v>
      </c>
      <c r="U15" s="710">
        <f>-SUMIFS('D2 - Capex uso'!CL$6:CL$176,'D2 - Capex uso'!$C$6:$C$176,$A4,'D2 - Capex uso'!$AK$6:$AK$176,$A15)</f>
        <v>0</v>
      </c>
      <c r="V15" s="710">
        <f>-SUMIFS('D2 - Capex uso'!CM$6:CM$176,'D2 - Capex uso'!$C$6:$C$176,$A4,'D2 - Capex uso'!$AK$6:$AK$176,$A15)</f>
        <v>0</v>
      </c>
      <c r="W15" s="710">
        <f>-SUMIFS('D2 - Capex uso'!CN$6:CN$176,'D2 - Capex uso'!$C$6:$C$176,$A4,'D2 - Capex uso'!$AK$6:$AK$176,$A15)</f>
        <v>0</v>
      </c>
      <c r="X15" s="710">
        <f>-SUMIFS('D2 - Capex uso'!CO$6:CO$176,'D2 - Capex uso'!$C$6:$C$176,$A4,'D2 - Capex uso'!$AK$6:$AK$176,$A15)</f>
        <v>0</v>
      </c>
      <c r="Y15" s="710">
        <f>-SUMIFS('D2 - Capex uso'!CP$6:CP$176,'D2 - Capex uso'!$C$6:$C$176,$A4,'D2 - Capex uso'!$AK$6:$AK$176,$A15)</f>
        <v>0</v>
      </c>
      <c r="Z15" s="710">
        <f>-SUMIFS('D2 - Capex uso'!CQ$6:CQ$176,'D2 - Capex uso'!$C$6:$C$176,$A4,'D2 - Capex uso'!$AK$6:$AK$176,$A15)</f>
        <v>0</v>
      </c>
      <c r="AA15" s="710">
        <f>-SUMIFS('D2 - Capex uso'!CR$6:CR$176,'D2 - Capex uso'!$C$6:$C$176,$A4,'D2 - Capex uso'!$AK$6:$AK$176,$A15)</f>
        <v>0</v>
      </c>
      <c r="AB15" s="710">
        <f>-SUMIFS('D2 - Capex uso'!CS$6:CS$176,'D2 - Capex uso'!$C$6:$C$176,$A4,'D2 - Capex uso'!$AK$6:$AK$176,$A15)</f>
        <v>0</v>
      </c>
      <c r="AC15" s="710">
        <f>-SUMIFS('D2 - Capex uso'!CT$6:CT$176,'D2 - Capex uso'!$C$6:$C$176,$A4,'D2 - Capex uso'!$AK$6:$AK$176,$A15)</f>
        <v>0</v>
      </c>
      <c r="AD15" s="710">
        <f>-SUMIFS('D2 - Capex uso'!CU$6:CU$176,'D2 - Capex uso'!$C$6:$C$176,$A4,'D2 - Capex uso'!$AK$6:$AK$176,$A15)</f>
        <v>0</v>
      </c>
      <c r="AE15" s="710">
        <f>-SUMIFS('D2 - Capex uso'!CV$6:CV$176,'D2 - Capex uso'!$C$6:$C$176,$A4,'D2 - Capex uso'!$AK$6:$AK$176,$A15)</f>
        <v>0</v>
      </c>
      <c r="AF15" s="594"/>
      <c r="AG15" s="594"/>
      <c r="AH15" s="594"/>
      <c r="AI15" s="594"/>
      <c r="AJ15" s="594"/>
      <c r="AK15" s="594"/>
      <c r="AL15" s="594"/>
      <c r="AM15" s="594"/>
      <c r="AN15" s="594"/>
      <c r="AO15" s="594"/>
      <c r="AP15" s="594"/>
      <c r="AQ15" s="594"/>
      <c r="AR15" s="594"/>
      <c r="AS15" s="594"/>
      <c r="AT15" s="594"/>
      <c r="AU15" s="594"/>
      <c r="AV15" s="594"/>
      <c r="AW15" s="594"/>
      <c r="AX15" s="594"/>
      <c r="AY15" s="594"/>
      <c r="AZ15" s="594"/>
      <c r="BA15" s="594"/>
      <c r="BB15" s="594"/>
      <c r="BC15" s="594"/>
      <c r="BD15" s="594"/>
      <c r="BE15" s="594"/>
      <c r="BF15" s="594"/>
      <c r="BG15" s="594"/>
      <c r="BH15" s="594"/>
      <c r="BI15" s="594"/>
      <c r="BJ15" s="594"/>
      <c r="BK15" s="594"/>
      <c r="BL15" s="57"/>
      <c r="BM15" s="594"/>
      <c r="BN15" s="594"/>
      <c r="BO15" s="594"/>
      <c r="BP15" s="594"/>
      <c r="BQ15" s="594"/>
      <c r="BR15" s="594"/>
      <c r="BS15" s="594"/>
      <c r="BT15" s="594"/>
      <c r="BU15" s="594"/>
      <c r="BV15" s="594"/>
      <c r="BW15" s="594"/>
      <c r="BX15" s="594"/>
      <c r="BY15" s="594"/>
      <c r="BZ15" s="594"/>
      <c r="CA15" s="594"/>
      <c r="CB15" s="594"/>
      <c r="CC15" s="594"/>
      <c r="CD15" s="594"/>
      <c r="CE15" s="594"/>
      <c r="CF15" s="594"/>
      <c r="CG15" s="594"/>
      <c r="CH15" s="594"/>
      <c r="CI15" s="594"/>
      <c r="CJ15" s="594"/>
      <c r="CK15" s="594"/>
      <c r="CL15" s="594"/>
      <c r="CM15" s="594"/>
      <c r="CN15" s="594"/>
      <c r="CO15" s="594"/>
      <c r="CP15" s="594"/>
      <c r="CQ15" s="594"/>
    </row>
    <row r="16" spans="1:95" ht="19.5" customHeight="1" outlineLevel="2">
      <c r="A16" s="709" t="s">
        <v>689</v>
      </c>
      <c r="B16" s="710">
        <f>-SUMIFS('D2 - Capex uso'!BS$6:BS$176,'D2 - Capex uso'!$C$6:$C$176,$A4,'D2 - Capex uso'!$AK$6:$AK$176,$A16)</f>
        <v>0</v>
      </c>
      <c r="C16" s="710">
        <f>-SUMIFS('D2 - Capex uso'!BT$6:BT$176,'D2 - Capex uso'!$C$6:$C$176,$A4,'D2 - Capex uso'!$AK$6:$AK$176,$A16)</f>
        <v>0</v>
      </c>
      <c r="D16" s="710">
        <f>-SUMIFS('D2 - Capex uso'!BU$6:BU$176,'D2 - Capex uso'!$C$6:$C$176,$A4,'D2 - Capex uso'!$AK$6:$AK$176,$A16)</f>
        <v>0</v>
      </c>
      <c r="E16" s="710">
        <f>-SUMIFS('D2 - Capex uso'!BV$6:BV$176,'D2 - Capex uso'!$C$6:$C$176,$A4,'D2 - Capex uso'!$AK$6:$AK$176,$A16)</f>
        <v>0</v>
      </c>
      <c r="F16" s="710">
        <f>-SUMIFS('D2 - Capex uso'!BW$6:BW$176,'D2 - Capex uso'!$C$6:$C$176,$A4,'D2 - Capex uso'!$AK$6:$AK$176,$A16)</f>
        <v>0</v>
      </c>
      <c r="G16" s="710">
        <f>-SUMIFS('D2 - Capex uso'!BX$6:BX$176,'D2 - Capex uso'!$C$6:$C$176,$A4,'D2 - Capex uso'!$AK$6:$AK$176,$A16)</f>
        <v>0</v>
      </c>
      <c r="H16" s="710">
        <f>-SUMIFS('D2 - Capex uso'!BY$6:BY$176,'D2 - Capex uso'!$C$6:$C$176,$A4,'D2 - Capex uso'!$AK$6:$AK$176,$A16)</f>
        <v>0</v>
      </c>
      <c r="I16" s="710">
        <f>-SUMIFS('D2 - Capex uso'!BZ$6:BZ$176,'D2 - Capex uso'!$C$6:$C$176,$A4,'D2 - Capex uso'!$AK$6:$AK$176,$A16)</f>
        <v>0</v>
      </c>
      <c r="J16" s="710">
        <f>-SUMIFS('D2 - Capex uso'!CA$6:CA$176,'D2 - Capex uso'!$C$6:$C$176,$A4,'D2 - Capex uso'!$AK$6:$AK$176,$A16)</f>
        <v>0</v>
      </c>
      <c r="K16" s="710">
        <f>-SUMIFS('D2 - Capex uso'!CB$6:CB$176,'D2 - Capex uso'!$C$6:$C$176,$A4,'D2 - Capex uso'!$AK$6:$AK$176,$A16)</f>
        <v>0</v>
      </c>
      <c r="L16" s="710">
        <f>-SUMIFS('D2 - Capex uso'!CC$6:CC$176,'D2 - Capex uso'!$C$6:$C$176,$A4,'D2 - Capex uso'!$AK$6:$AK$176,$A16)</f>
        <v>0</v>
      </c>
      <c r="M16" s="710">
        <f>-SUMIFS('D2 - Capex uso'!CD$6:CD$176,'D2 - Capex uso'!$C$6:$C$176,$A4,'D2 - Capex uso'!$AK$6:$AK$176,$A16)</f>
        <v>0</v>
      </c>
      <c r="N16" s="710">
        <f>-SUMIFS('D2 - Capex uso'!CE$6:CE$176,'D2 - Capex uso'!$C$6:$C$176,$A4,'D2 - Capex uso'!$AK$6:$AK$176,$A16)</f>
        <v>0</v>
      </c>
      <c r="O16" s="710">
        <f>-SUMIFS('D2 - Capex uso'!CF$6:CF$176,'D2 - Capex uso'!$C$6:$C$176,$A4,'D2 - Capex uso'!$AK$6:$AK$176,$A16)</f>
        <v>0</v>
      </c>
      <c r="P16" s="710">
        <f>-SUMIFS('D2 - Capex uso'!CG$6:CG$176,'D2 - Capex uso'!$C$6:$C$176,$A4,'D2 - Capex uso'!$AK$6:$AK$176,$A16)</f>
        <v>0</v>
      </c>
      <c r="Q16" s="710">
        <f>-SUMIFS('D2 - Capex uso'!CH$6:CH$176,'D2 - Capex uso'!$C$6:$C$176,$A4,'D2 - Capex uso'!$AK$6:$AK$176,$A16)</f>
        <v>0</v>
      </c>
      <c r="R16" s="710">
        <f>-SUMIFS('D2 - Capex uso'!CI$6:CI$176,'D2 - Capex uso'!$C$6:$C$176,$A4,'D2 - Capex uso'!$AK$6:$AK$176,$A16)</f>
        <v>0</v>
      </c>
      <c r="S16" s="710">
        <f>-SUMIFS('D2 - Capex uso'!CJ$6:CJ$176,'D2 - Capex uso'!$C$6:$C$176,$A4,'D2 - Capex uso'!$AK$6:$AK$176,$A16)</f>
        <v>0</v>
      </c>
      <c r="T16" s="710">
        <f>-SUMIFS('D2 - Capex uso'!CK$6:CK$176,'D2 - Capex uso'!$C$6:$C$176,$A4,'D2 - Capex uso'!$AK$6:$AK$176,$A16)</f>
        <v>0</v>
      </c>
      <c r="U16" s="710">
        <f>-SUMIFS('D2 - Capex uso'!CL$6:CL$176,'D2 - Capex uso'!$C$6:$C$176,$A4,'D2 - Capex uso'!$AK$6:$AK$176,$A16)</f>
        <v>0</v>
      </c>
      <c r="V16" s="710">
        <f>-SUMIFS('D2 - Capex uso'!CM$6:CM$176,'D2 - Capex uso'!$C$6:$C$176,$A4,'D2 - Capex uso'!$AK$6:$AK$176,$A16)</f>
        <v>0</v>
      </c>
      <c r="W16" s="710">
        <f>-SUMIFS('D2 - Capex uso'!CN$6:CN$176,'D2 - Capex uso'!$C$6:$C$176,$A4,'D2 - Capex uso'!$AK$6:$AK$176,$A16)</f>
        <v>0</v>
      </c>
      <c r="X16" s="710">
        <f>-SUMIFS('D2 - Capex uso'!CO$6:CO$176,'D2 - Capex uso'!$C$6:$C$176,$A4,'D2 - Capex uso'!$AK$6:$AK$176,$A16)</f>
        <v>0</v>
      </c>
      <c r="Y16" s="710">
        <f>-SUMIFS('D2 - Capex uso'!CP$6:CP$176,'D2 - Capex uso'!$C$6:$C$176,$A4,'D2 - Capex uso'!$AK$6:$AK$176,$A16)</f>
        <v>0</v>
      </c>
      <c r="Z16" s="710">
        <f>-SUMIFS('D2 - Capex uso'!CQ$6:CQ$176,'D2 - Capex uso'!$C$6:$C$176,$A4,'D2 - Capex uso'!$AK$6:$AK$176,$A16)</f>
        <v>0</v>
      </c>
      <c r="AA16" s="710">
        <f>-SUMIFS('D2 - Capex uso'!CR$6:CR$176,'D2 - Capex uso'!$C$6:$C$176,$A4,'D2 - Capex uso'!$AK$6:$AK$176,$A16)</f>
        <v>0</v>
      </c>
      <c r="AB16" s="710">
        <f>-SUMIFS('D2 - Capex uso'!CS$6:CS$176,'D2 - Capex uso'!$C$6:$C$176,$A4,'D2 - Capex uso'!$AK$6:$AK$176,$A16)</f>
        <v>0</v>
      </c>
      <c r="AC16" s="710">
        <f>-SUMIFS('D2 - Capex uso'!CT$6:CT$176,'D2 - Capex uso'!$C$6:$C$176,$A4,'D2 - Capex uso'!$AK$6:$AK$176,$A16)</f>
        <v>0</v>
      </c>
      <c r="AD16" s="710">
        <f>-SUMIFS('D2 - Capex uso'!CU$6:CU$176,'D2 - Capex uso'!$C$6:$C$176,$A4,'D2 - Capex uso'!$AK$6:$AK$176,$A16)</f>
        <v>0</v>
      </c>
      <c r="AE16" s="710">
        <f>-SUMIFS('D2 - Capex uso'!CV$6:CV$176,'D2 - Capex uso'!$C$6:$C$176,$A4,'D2 - Capex uso'!$AK$6:$AK$176,$A16)</f>
        <v>0</v>
      </c>
      <c r="AF16" s="594"/>
      <c r="AG16" s="594"/>
      <c r="AH16" s="594"/>
      <c r="AI16" s="594"/>
      <c r="AJ16" s="594"/>
      <c r="AK16" s="594"/>
      <c r="AL16" s="594"/>
      <c r="AM16" s="594"/>
      <c r="AN16" s="594"/>
      <c r="AO16" s="594"/>
      <c r="AP16" s="594"/>
      <c r="AQ16" s="594"/>
      <c r="AR16" s="594"/>
      <c r="AS16" s="594"/>
      <c r="AT16" s="594"/>
      <c r="AU16" s="594"/>
      <c r="AV16" s="594"/>
      <c r="AW16" s="594"/>
      <c r="AX16" s="594"/>
      <c r="AY16" s="594"/>
      <c r="AZ16" s="594"/>
      <c r="BA16" s="594"/>
      <c r="BB16" s="594"/>
      <c r="BC16" s="594"/>
      <c r="BD16" s="594"/>
      <c r="BE16" s="594"/>
      <c r="BF16" s="594"/>
      <c r="BG16" s="594"/>
      <c r="BH16" s="594"/>
      <c r="BI16" s="594"/>
      <c r="BJ16" s="594"/>
      <c r="BK16" s="594"/>
      <c r="BL16" s="57"/>
      <c r="BM16" s="594"/>
      <c r="BN16" s="594"/>
      <c r="BO16" s="594"/>
      <c r="BP16" s="594"/>
      <c r="BQ16" s="594"/>
      <c r="BR16" s="594"/>
      <c r="BS16" s="594"/>
      <c r="BT16" s="594"/>
      <c r="BU16" s="594"/>
      <c r="BV16" s="594"/>
      <c r="BW16" s="594"/>
      <c r="BX16" s="594"/>
      <c r="BY16" s="594"/>
      <c r="BZ16" s="594"/>
      <c r="CA16" s="594"/>
      <c r="CB16" s="594"/>
      <c r="CC16" s="594"/>
      <c r="CD16" s="594"/>
      <c r="CE16" s="594"/>
      <c r="CF16" s="594"/>
      <c r="CG16" s="594"/>
      <c r="CH16" s="594"/>
      <c r="CI16" s="594"/>
      <c r="CJ16" s="594"/>
      <c r="CK16" s="594"/>
      <c r="CL16" s="594"/>
      <c r="CM16" s="594"/>
      <c r="CN16" s="594"/>
      <c r="CO16" s="594"/>
      <c r="CP16" s="594"/>
      <c r="CQ16" s="594"/>
    </row>
    <row r="17" spans="1:95" ht="19.5" customHeight="1" outlineLevel="2">
      <c r="A17" s="709" t="s">
        <v>378</v>
      </c>
      <c r="B17" s="710">
        <f>-SUMIFS('D2 - Capex uso'!BS$6:BS$176,'D2 - Capex uso'!$C$6:$C$176,$A4,'D2 - Capex uso'!$AK$6:$AK$176,$A17)</f>
        <v>0</v>
      </c>
      <c r="C17" s="710">
        <f>-SUMIFS('D2 - Capex uso'!BT$6:BT$176,'D2 - Capex uso'!$C$6:$C$176,$A4,'D2 - Capex uso'!$AK$6:$AK$176,$A17)</f>
        <v>0</v>
      </c>
      <c r="D17" s="710">
        <f>-SUMIFS('D2 - Capex uso'!BU$6:BU$176,'D2 - Capex uso'!$C$6:$C$176,$A4,'D2 - Capex uso'!$AK$6:$AK$176,$A17)</f>
        <v>0</v>
      </c>
      <c r="E17" s="710">
        <f>-SUMIFS('D2 - Capex uso'!BV$6:BV$176,'D2 - Capex uso'!$C$6:$C$176,$A4,'D2 - Capex uso'!$AK$6:$AK$176,$A17)</f>
        <v>0</v>
      </c>
      <c r="F17" s="710">
        <f>-SUMIFS('D2 - Capex uso'!BW$6:BW$176,'D2 - Capex uso'!$C$6:$C$176,$A4,'D2 - Capex uso'!$AK$6:$AK$176,$A17)</f>
        <v>0</v>
      </c>
      <c r="G17" s="710">
        <f>-SUMIFS('D2 - Capex uso'!BX$6:BX$176,'D2 - Capex uso'!$C$6:$C$176,$A4,'D2 - Capex uso'!$AK$6:$AK$176,$A17)</f>
        <v>0</v>
      </c>
      <c r="H17" s="710">
        <f>-SUMIFS('D2 - Capex uso'!BY$6:BY$176,'D2 - Capex uso'!$C$6:$C$176,$A4,'D2 - Capex uso'!$AK$6:$AK$176,$A17)</f>
        <v>0</v>
      </c>
      <c r="I17" s="710">
        <f>-SUMIFS('D2 - Capex uso'!BZ$6:BZ$176,'D2 - Capex uso'!$C$6:$C$176,$A4,'D2 - Capex uso'!$AK$6:$AK$176,$A17)</f>
        <v>0</v>
      </c>
      <c r="J17" s="710">
        <f>-SUMIFS('D2 - Capex uso'!CA$6:CA$176,'D2 - Capex uso'!$C$6:$C$176,$A4,'D2 - Capex uso'!$AK$6:$AK$176,$A17)</f>
        <v>0</v>
      </c>
      <c r="K17" s="710">
        <f>-SUMIFS('D2 - Capex uso'!CB$6:CB$176,'D2 - Capex uso'!$C$6:$C$176,$A4,'D2 - Capex uso'!$AK$6:$AK$176,$A17)</f>
        <v>0</v>
      </c>
      <c r="L17" s="710">
        <f>-SUMIFS('D2 - Capex uso'!CC$6:CC$176,'D2 - Capex uso'!$C$6:$C$176,$A4,'D2 - Capex uso'!$AK$6:$AK$176,$A17)</f>
        <v>0</v>
      </c>
      <c r="M17" s="710">
        <f>-SUMIFS('D2 - Capex uso'!CD$6:CD$176,'D2 - Capex uso'!$C$6:$C$176,$A4,'D2 - Capex uso'!$AK$6:$AK$176,$A17)</f>
        <v>0</v>
      </c>
      <c r="N17" s="710">
        <f>-SUMIFS('D2 - Capex uso'!CE$6:CE$176,'D2 - Capex uso'!$C$6:$C$176,$A4,'D2 - Capex uso'!$AK$6:$AK$176,$A17)</f>
        <v>0</v>
      </c>
      <c r="O17" s="710">
        <f>-SUMIFS('D2 - Capex uso'!CF$6:CF$176,'D2 - Capex uso'!$C$6:$C$176,$A4,'D2 - Capex uso'!$AK$6:$AK$176,$A17)</f>
        <v>0</v>
      </c>
      <c r="P17" s="710">
        <f>-SUMIFS('D2 - Capex uso'!CG$6:CG$176,'D2 - Capex uso'!$C$6:$C$176,$A4,'D2 - Capex uso'!$AK$6:$AK$176,$A17)</f>
        <v>0</v>
      </c>
      <c r="Q17" s="710">
        <f>-SUMIFS('D2 - Capex uso'!CH$6:CH$176,'D2 - Capex uso'!$C$6:$C$176,$A4,'D2 - Capex uso'!$AK$6:$AK$176,$A17)</f>
        <v>0</v>
      </c>
      <c r="R17" s="710">
        <f>-SUMIFS('D2 - Capex uso'!CI$6:CI$176,'D2 - Capex uso'!$C$6:$C$176,$A4,'D2 - Capex uso'!$AK$6:$AK$176,$A17)</f>
        <v>0</v>
      </c>
      <c r="S17" s="710">
        <f>-SUMIFS('D2 - Capex uso'!CJ$6:CJ$176,'D2 - Capex uso'!$C$6:$C$176,$A4,'D2 - Capex uso'!$AK$6:$AK$176,$A17)</f>
        <v>0</v>
      </c>
      <c r="T17" s="710">
        <f>-SUMIFS('D2 - Capex uso'!CK$6:CK$176,'D2 - Capex uso'!$C$6:$C$176,$A4,'D2 - Capex uso'!$AK$6:$AK$176,$A17)</f>
        <v>0</v>
      </c>
      <c r="U17" s="710">
        <f>-SUMIFS('D2 - Capex uso'!CL$6:CL$176,'D2 - Capex uso'!$C$6:$C$176,$A4,'D2 - Capex uso'!$AK$6:$AK$176,$A17)</f>
        <v>0</v>
      </c>
      <c r="V17" s="710">
        <f>-SUMIFS('D2 - Capex uso'!CM$6:CM$176,'D2 - Capex uso'!$C$6:$C$176,$A4,'D2 - Capex uso'!$AK$6:$AK$176,$A17)</f>
        <v>0</v>
      </c>
      <c r="W17" s="710">
        <f>-SUMIFS('D2 - Capex uso'!CN$6:CN$176,'D2 - Capex uso'!$C$6:$C$176,$A4,'D2 - Capex uso'!$AK$6:$AK$176,$A17)</f>
        <v>0</v>
      </c>
      <c r="X17" s="710">
        <f>-SUMIFS('D2 - Capex uso'!CO$6:CO$176,'D2 - Capex uso'!$C$6:$C$176,$A4,'D2 - Capex uso'!$AK$6:$AK$176,$A17)</f>
        <v>0</v>
      </c>
      <c r="Y17" s="710">
        <f>-SUMIFS('D2 - Capex uso'!CP$6:CP$176,'D2 - Capex uso'!$C$6:$C$176,$A4,'D2 - Capex uso'!$AK$6:$AK$176,$A17)</f>
        <v>0</v>
      </c>
      <c r="Z17" s="710">
        <f>-SUMIFS('D2 - Capex uso'!CQ$6:CQ$176,'D2 - Capex uso'!$C$6:$C$176,$A4,'D2 - Capex uso'!$AK$6:$AK$176,$A17)</f>
        <v>0</v>
      </c>
      <c r="AA17" s="710">
        <f>-SUMIFS('D2 - Capex uso'!CR$6:CR$176,'D2 - Capex uso'!$C$6:$C$176,$A4,'D2 - Capex uso'!$AK$6:$AK$176,$A17)</f>
        <v>0</v>
      </c>
      <c r="AB17" s="710">
        <f>-SUMIFS('D2 - Capex uso'!CS$6:CS$176,'D2 - Capex uso'!$C$6:$C$176,$A4,'D2 - Capex uso'!$AK$6:$AK$176,$A17)</f>
        <v>0</v>
      </c>
      <c r="AC17" s="710">
        <f>-SUMIFS('D2 - Capex uso'!CT$6:CT$176,'D2 - Capex uso'!$C$6:$C$176,$A4,'D2 - Capex uso'!$AK$6:$AK$176,$A17)</f>
        <v>0</v>
      </c>
      <c r="AD17" s="710">
        <f>-SUMIFS('D2 - Capex uso'!CU$6:CU$176,'D2 - Capex uso'!$C$6:$C$176,$A4,'D2 - Capex uso'!$AK$6:$AK$176,$A17)</f>
        <v>0</v>
      </c>
      <c r="AE17" s="710">
        <f>-SUMIFS('D2 - Capex uso'!CV$6:CV$176,'D2 - Capex uso'!$C$6:$C$176,$A4,'D2 - Capex uso'!$AK$6:$AK$176,$A17)</f>
        <v>0</v>
      </c>
      <c r="AF17" s="594"/>
      <c r="AG17" s="594"/>
      <c r="AH17" s="594"/>
      <c r="AI17" s="594"/>
      <c r="AJ17" s="594"/>
      <c r="AK17" s="594"/>
      <c r="AL17" s="594"/>
      <c r="AM17" s="594"/>
      <c r="AN17" s="594"/>
      <c r="AO17" s="594"/>
      <c r="AP17" s="594"/>
      <c r="AQ17" s="594"/>
      <c r="AR17" s="594"/>
      <c r="AS17" s="594"/>
      <c r="AT17" s="594"/>
      <c r="AU17" s="594"/>
      <c r="AV17" s="594"/>
      <c r="AW17" s="594"/>
      <c r="AX17" s="594"/>
      <c r="AY17" s="594"/>
      <c r="AZ17" s="594"/>
      <c r="BA17" s="594"/>
      <c r="BB17" s="594"/>
      <c r="BC17" s="594"/>
      <c r="BD17" s="594"/>
      <c r="BE17" s="594"/>
      <c r="BF17" s="594"/>
      <c r="BG17" s="594"/>
      <c r="BH17" s="594"/>
      <c r="BI17" s="594"/>
      <c r="BJ17" s="594"/>
      <c r="BK17" s="594"/>
      <c r="BL17" s="57"/>
      <c r="BM17" s="594"/>
      <c r="BN17" s="594"/>
      <c r="BO17" s="594"/>
      <c r="BP17" s="594"/>
      <c r="BQ17" s="594"/>
      <c r="BR17" s="594"/>
      <c r="BS17" s="594"/>
      <c r="BT17" s="594"/>
      <c r="BU17" s="594"/>
      <c r="BV17" s="594"/>
      <c r="BW17" s="594"/>
      <c r="BX17" s="594"/>
      <c r="BY17" s="594"/>
      <c r="BZ17" s="594"/>
      <c r="CA17" s="594"/>
      <c r="CB17" s="594"/>
      <c r="CC17" s="594"/>
      <c r="CD17" s="594"/>
      <c r="CE17" s="594"/>
      <c r="CF17" s="594"/>
      <c r="CG17" s="594"/>
      <c r="CH17" s="594"/>
      <c r="CI17" s="594"/>
      <c r="CJ17" s="594"/>
      <c r="CK17" s="594"/>
      <c r="CL17" s="594"/>
      <c r="CM17" s="594"/>
      <c r="CN17" s="594"/>
      <c r="CO17" s="594"/>
      <c r="CP17" s="594"/>
      <c r="CQ17" s="594"/>
    </row>
    <row r="18" spans="1:95" ht="19.5" customHeight="1" outlineLevel="2">
      <c r="A18" s="709" t="s">
        <v>366</v>
      </c>
      <c r="B18" s="710">
        <f>-SUMIFS('D2 - Capex uso'!BS$6:BS$176,'D2 - Capex uso'!$C$6:$C$176,$A4,'D2 - Capex uso'!$AK$6:$AK$176,$A18)</f>
        <v>-330000</v>
      </c>
      <c r="C18" s="710">
        <f>-SUMIFS('D2 - Capex uso'!BT$6:BT$176,'D2 - Capex uso'!$C$6:$C$176,$A4,'D2 - Capex uso'!$AK$6:$AK$176,$A18)</f>
        <v>0</v>
      </c>
      <c r="D18" s="710">
        <f>-SUMIFS('D2 - Capex uso'!BU$6:BU$176,'D2 - Capex uso'!$C$6:$C$176,$A4,'D2 - Capex uso'!$AK$6:$AK$176,$A18)</f>
        <v>0</v>
      </c>
      <c r="E18" s="710">
        <f>-SUMIFS('D2 - Capex uso'!BV$6:BV$176,'D2 - Capex uso'!$C$6:$C$176,$A4,'D2 - Capex uso'!$AK$6:$AK$176,$A18)</f>
        <v>0</v>
      </c>
      <c r="F18" s="710">
        <f>-SUMIFS('D2 - Capex uso'!BW$6:BW$176,'D2 - Capex uso'!$C$6:$C$176,$A4,'D2 - Capex uso'!$AK$6:$AK$176,$A18)</f>
        <v>0</v>
      </c>
      <c r="G18" s="710">
        <f>-SUMIFS('D2 - Capex uso'!BX$6:BX$176,'D2 - Capex uso'!$C$6:$C$176,$A4,'D2 - Capex uso'!$AK$6:$AK$176,$A18)</f>
        <v>0</v>
      </c>
      <c r="H18" s="710">
        <f>-SUMIFS('D2 - Capex uso'!BY$6:BY$176,'D2 - Capex uso'!$C$6:$C$176,$A4,'D2 - Capex uso'!$AK$6:$AK$176,$A18)</f>
        <v>0</v>
      </c>
      <c r="I18" s="710">
        <f>-SUMIFS('D2 - Capex uso'!BZ$6:BZ$176,'D2 - Capex uso'!$C$6:$C$176,$A4,'D2 - Capex uso'!$AK$6:$AK$176,$A18)</f>
        <v>0</v>
      </c>
      <c r="J18" s="710">
        <f>-SUMIFS('D2 - Capex uso'!CA$6:CA$176,'D2 - Capex uso'!$C$6:$C$176,$A4,'D2 - Capex uso'!$AK$6:$AK$176,$A18)</f>
        <v>0</v>
      </c>
      <c r="K18" s="710">
        <f>-SUMIFS('D2 - Capex uso'!CB$6:CB$176,'D2 - Capex uso'!$C$6:$C$176,$A4,'D2 - Capex uso'!$AK$6:$AK$176,$A18)</f>
        <v>0</v>
      </c>
      <c r="L18" s="710">
        <f>-SUMIFS('D2 - Capex uso'!CC$6:CC$176,'D2 - Capex uso'!$C$6:$C$176,$A4,'D2 - Capex uso'!$AK$6:$AK$176,$A18)</f>
        <v>-330000</v>
      </c>
      <c r="M18" s="710">
        <f>-SUMIFS('D2 - Capex uso'!CD$6:CD$176,'D2 - Capex uso'!$C$6:$C$176,$A4,'D2 - Capex uso'!$AK$6:$AK$176,$A18)</f>
        <v>0</v>
      </c>
      <c r="N18" s="710">
        <f>-SUMIFS('D2 - Capex uso'!CE$6:CE$176,'D2 - Capex uso'!$C$6:$C$176,$A4,'D2 - Capex uso'!$AK$6:$AK$176,$A18)</f>
        <v>0</v>
      </c>
      <c r="O18" s="710">
        <f>-SUMIFS('D2 - Capex uso'!CF$6:CF$176,'D2 - Capex uso'!$C$6:$C$176,$A4,'D2 - Capex uso'!$AK$6:$AK$176,$A18)</f>
        <v>0</v>
      </c>
      <c r="P18" s="710">
        <f>-SUMIFS('D2 - Capex uso'!CG$6:CG$176,'D2 - Capex uso'!$C$6:$C$176,$A4,'D2 - Capex uso'!$AK$6:$AK$176,$A18)</f>
        <v>0</v>
      </c>
      <c r="Q18" s="710">
        <f>-SUMIFS('D2 - Capex uso'!CH$6:CH$176,'D2 - Capex uso'!$C$6:$C$176,$A4,'D2 - Capex uso'!$AK$6:$AK$176,$A18)</f>
        <v>0</v>
      </c>
      <c r="R18" s="710">
        <f>-SUMIFS('D2 - Capex uso'!CI$6:CI$176,'D2 - Capex uso'!$C$6:$C$176,$A4,'D2 - Capex uso'!$AK$6:$AK$176,$A18)</f>
        <v>0</v>
      </c>
      <c r="S18" s="710">
        <f>-SUMIFS('D2 - Capex uso'!CJ$6:CJ$176,'D2 - Capex uso'!$C$6:$C$176,$A4,'D2 - Capex uso'!$AK$6:$AK$176,$A18)</f>
        <v>0</v>
      </c>
      <c r="T18" s="710">
        <f>-SUMIFS('D2 - Capex uso'!CK$6:CK$176,'D2 - Capex uso'!$C$6:$C$176,$A4,'D2 - Capex uso'!$AK$6:$AK$176,$A18)</f>
        <v>0</v>
      </c>
      <c r="U18" s="710">
        <f>-SUMIFS('D2 - Capex uso'!CL$6:CL$176,'D2 - Capex uso'!$C$6:$C$176,$A4,'D2 - Capex uso'!$AK$6:$AK$176,$A18)</f>
        <v>0</v>
      </c>
      <c r="V18" s="710">
        <f>-SUMIFS('D2 - Capex uso'!CM$6:CM$176,'D2 - Capex uso'!$C$6:$C$176,$A4,'D2 - Capex uso'!$AK$6:$AK$176,$A18)</f>
        <v>-330000</v>
      </c>
      <c r="W18" s="710">
        <f>-SUMIFS('D2 - Capex uso'!CN$6:CN$176,'D2 - Capex uso'!$C$6:$C$176,$A4,'D2 - Capex uso'!$AK$6:$AK$176,$A18)</f>
        <v>0</v>
      </c>
      <c r="X18" s="710">
        <f>-SUMIFS('D2 - Capex uso'!CO$6:CO$176,'D2 - Capex uso'!$C$6:$C$176,$A4,'D2 - Capex uso'!$AK$6:$AK$176,$A18)</f>
        <v>0</v>
      </c>
      <c r="Y18" s="710">
        <f>-SUMIFS('D2 - Capex uso'!CP$6:CP$176,'D2 - Capex uso'!$C$6:$C$176,$A4,'D2 - Capex uso'!$AK$6:$AK$176,$A18)</f>
        <v>0</v>
      </c>
      <c r="Z18" s="710">
        <f>-SUMIFS('D2 - Capex uso'!CQ$6:CQ$176,'D2 - Capex uso'!$C$6:$C$176,$A4,'D2 - Capex uso'!$AK$6:$AK$176,$A18)</f>
        <v>0</v>
      </c>
      <c r="AA18" s="710">
        <f>-SUMIFS('D2 - Capex uso'!CR$6:CR$176,'D2 - Capex uso'!$C$6:$C$176,$A4,'D2 - Capex uso'!$AK$6:$AK$176,$A18)</f>
        <v>0</v>
      </c>
      <c r="AB18" s="710">
        <f>-SUMIFS('D2 - Capex uso'!CS$6:CS$176,'D2 - Capex uso'!$C$6:$C$176,$A4,'D2 - Capex uso'!$AK$6:$AK$176,$A18)</f>
        <v>0</v>
      </c>
      <c r="AC18" s="710">
        <f>-SUMIFS('D2 - Capex uso'!CT$6:CT$176,'D2 - Capex uso'!$C$6:$C$176,$A4,'D2 - Capex uso'!$AK$6:$AK$176,$A18)</f>
        <v>0</v>
      </c>
      <c r="AD18" s="710">
        <f>-SUMIFS('D2 - Capex uso'!CU$6:CU$176,'D2 - Capex uso'!$C$6:$C$176,$A4,'D2 - Capex uso'!$AK$6:$AK$176,$A18)</f>
        <v>0</v>
      </c>
      <c r="AE18" s="710">
        <f>-SUMIFS('D2 - Capex uso'!CV$6:CV$176,'D2 - Capex uso'!$C$6:$C$176,$A4,'D2 - Capex uso'!$AK$6:$AK$176,$A18)</f>
        <v>0</v>
      </c>
      <c r="AF18" s="594"/>
      <c r="AG18" s="594"/>
      <c r="AH18" s="594"/>
      <c r="AI18" s="594"/>
      <c r="AJ18" s="594"/>
      <c r="AK18" s="594"/>
      <c r="AL18" s="594"/>
      <c r="AM18" s="594"/>
      <c r="AN18" s="594"/>
      <c r="AO18" s="594"/>
      <c r="AP18" s="594"/>
      <c r="AQ18" s="594"/>
      <c r="AR18" s="594"/>
      <c r="AS18" s="594"/>
      <c r="AT18" s="594"/>
      <c r="AU18" s="594"/>
      <c r="AV18" s="594"/>
      <c r="AW18" s="594"/>
      <c r="AX18" s="594"/>
      <c r="AY18" s="594"/>
      <c r="AZ18" s="594"/>
      <c r="BA18" s="594"/>
      <c r="BB18" s="594"/>
      <c r="BC18" s="594"/>
      <c r="BD18" s="594"/>
      <c r="BE18" s="594"/>
      <c r="BF18" s="594"/>
      <c r="BG18" s="594"/>
      <c r="BH18" s="594"/>
      <c r="BI18" s="594"/>
      <c r="BJ18" s="594"/>
      <c r="BK18" s="594"/>
      <c r="BL18" s="57"/>
      <c r="BM18" s="594"/>
      <c r="BN18" s="594"/>
      <c r="BO18" s="594"/>
      <c r="BP18" s="594"/>
      <c r="BQ18" s="594"/>
      <c r="BR18" s="594"/>
      <c r="BS18" s="594"/>
      <c r="BT18" s="594"/>
      <c r="BU18" s="594"/>
      <c r="BV18" s="594"/>
      <c r="BW18" s="594"/>
      <c r="BX18" s="594"/>
      <c r="BY18" s="594"/>
      <c r="BZ18" s="594"/>
      <c r="CA18" s="594"/>
      <c r="CB18" s="594"/>
      <c r="CC18" s="594"/>
      <c r="CD18" s="594"/>
      <c r="CE18" s="594"/>
      <c r="CF18" s="594"/>
      <c r="CG18" s="594"/>
      <c r="CH18" s="594"/>
      <c r="CI18" s="594"/>
      <c r="CJ18" s="594"/>
      <c r="CK18" s="594"/>
      <c r="CL18" s="594"/>
      <c r="CM18" s="594"/>
      <c r="CN18" s="594"/>
      <c r="CO18" s="594"/>
      <c r="CP18" s="594"/>
      <c r="CQ18" s="594"/>
    </row>
    <row r="19" spans="1:95" ht="19.5" customHeight="1" outlineLevel="2">
      <c r="A19" s="709" t="s">
        <v>371</v>
      </c>
      <c r="B19" s="710">
        <f>-SUMIFS('D2 - Capex uso'!BS$6:BS$176,'D2 - Capex uso'!$C$6:$C$176,$A4,'D2 - Capex uso'!$AK$6:$AK$176,$A19)</f>
        <v>-568986.00000000012</v>
      </c>
      <c r="C19" s="710">
        <f>-SUMIFS('D2 - Capex uso'!BT$6:BT$176,'D2 - Capex uso'!$C$6:$C$176,$A4,'D2 - Capex uso'!$AK$6:$AK$176,$A19)</f>
        <v>0</v>
      </c>
      <c r="D19" s="710">
        <f>-SUMIFS('D2 - Capex uso'!BU$6:BU$176,'D2 - Capex uso'!$C$6:$C$176,$A4,'D2 - Capex uso'!$AK$6:$AK$176,$A19)</f>
        <v>0</v>
      </c>
      <c r="E19" s="710">
        <f>-SUMIFS('D2 - Capex uso'!BV$6:BV$176,'D2 - Capex uso'!$C$6:$C$176,$A4,'D2 - Capex uso'!$AK$6:$AK$176,$A19)</f>
        <v>0</v>
      </c>
      <c r="F19" s="710">
        <f>-SUMIFS('D2 - Capex uso'!BW$6:BW$176,'D2 - Capex uso'!$C$6:$C$176,$A4,'D2 - Capex uso'!$AK$6:$AK$176,$A19)</f>
        <v>0</v>
      </c>
      <c r="G19" s="710">
        <f>-SUMIFS('D2 - Capex uso'!BX$6:BX$176,'D2 - Capex uso'!$C$6:$C$176,$A4,'D2 - Capex uso'!$AK$6:$AK$176,$A19)</f>
        <v>0</v>
      </c>
      <c r="H19" s="710">
        <f>-SUMIFS('D2 - Capex uso'!BY$6:BY$176,'D2 - Capex uso'!$C$6:$C$176,$A4,'D2 - Capex uso'!$AK$6:$AK$176,$A19)</f>
        <v>0</v>
      </c>
      <c r="I19" s="710">
        <f>-SUMIFS('D2 - Capex uso'!BZ$6:BZ$176,'D2 - Capex uso'!$C$6:$C$176,$A4,'D2 - Capex uso'!$AK$6:$AK$176,$A19)</f>
        <v>0</v>
      </c>
      <c r="J19" s="710">
        <f>-SUMIFS('D2 - Capex uso'!CA$6:CA$176,'D2 - Capex uso'!$C$6:$C$176,$A4,'D2 - Capex uso'!$AK$6:$AK$176,$A19)</f>
        <v>0</v>
      </c>
      <c r="K19" s="710">
        <f>-SUMIFS('D2 - Capex uso'!CB$6:CB$176,'D2 - Capex uso'!$C$6:$C$176,$A4,'D2 - Capex uso'!$AK$6:$AK$176,$A19)</f>
        <v>0</v>
      </c>
      <c r="L19" s="710">
        <f>-SUMIFS('D2 - Capex uso'!CC$6:CC$176,'D2 - Capex uso'!$C$6:$C$176,$A4,'D2 - Capex uso'!$AK$6:$AK$176,$A19)</f>
        <v>-568986.00000000012</v>
      </c>
      <c r="M19" s="710">
        <f>-SUMIFS('D2 - Capex uso'!CD$6:CD$176,'D2 - Capex uso'!$C$6:$C$176,$A4,'D2 - Capex uso'!$AK$6:$AK$176,$A19)</f>
        <v>0</v>
      </c>
      <c r="N19" s="710">
        <f>-SUMIFS('D2 - Capex uso'!CE$6:CE$176,'D2 - Capex uso'!$C$6:$C$176,$A4,'D2 - Capex uso'!$AK$6:$AK$176,$A19)</f>
        <v>0</v>
      </c>
      <c r="O19" s="710">
        <f>-SUMIFS('D2 - Capex uso'!CF$6:CF$176,'D2 - Capex uso'!$C$6:$C$176,$A4,'D2 - Capex uso'!$AK$6:$AK$176,$A19)</f>
        <v>0</v>
      </c>
      <c r="P19" s="710">
        <f>-SUMIFS('D2 - Capex uso'!CG$6:CG$176,'D2 - Capex uso'!$C$6:$C$176,$A4,'D2 - Capex uso'!$AK$6:$AK$176,$A19)</f>
        <v>0</v>
      </c>
      <c r="Q19" s="710">
        <f>-SUMIFS('D2 - Capex uso'!CH$6:CH$176,'D2 - Capex uso'!$C$6:$C$176,$A4,'D2 - Capex uso'!$AK$6:$AK$176,$A19)</f>
        <v>0</v>
      </c>
      <c r="R19" s="710">
        <f>-SUMIFS('D2 - Capex uso'!CI$6:CI$176,'D2 - Capex uso'!$C$6:$C$176,$A4,'D2 - Capex uso'!$AK$6:$AK$176,$A19)</f>
        <v>0</v>
      </c>
      <c r="S19" s="710">
        <f>-SUMIFS('D2 - Capex uso'!CJ$6:CJ$176,'D2 - Capex uso'!$C$6:$C$176,$A4,'D2 - Capex uso'!$AK$6:$AK$176,$A19)</f>
        <v>0</v>
      </c>
      <c r="T19" s="710">
        <f>-SUMIFS('D2 - Capex uso'!CK$6:CK$176,'D2 - Capex uso'!$C$6:$C$176,$A4,'D2 - Capex uso'!$AK$6:$AK$176,$A19)</f>
        <v>0</v>
      </c>
      <c r="U19" s="710">
        <f>-SUMIFS('D2 - Capex uso'!CL$6:CL$176,'D2 - Capex uso'!$C$6:$C$176,$A4,'D2 - Capex uso'!$AK$6:$AK$176,$A19)</f>
        <v>0</v>
      </c>
      <c r="V19" s="710">
        <f>-SUMIFS('D2 - Capex uso'!CM$6:CM$176,'D2 - Capex uso'!$C$6:$C$176,$A4,'D2 - Capex uso'!$AK$6:$AK$176,$A19)</f>
        <v>-568986.00000000012</v>
      </c>
      <c r="W19" s="710">
        <f>-SUMIFS('D2 - Capex uso'!CN$6:CN$176,'D2 - Capex uso'!$C$6:$C$176,$A4,'D2 - Capex uso'!$AK$6:$AK$176,$A19)</f>
        <v>0</v>
      </c>
      <c r="X19" s="710">
        <f>-SUMIFS('D2 - Capex uso'!CO$6:CO$176,'D2 - Capex uso'!$C$6:$C$176,$A4,'D2 - Capex uso'!$AK$6:$AK$176,$A19)</f>
        <v>0</v>
      </c>
      <c r="Y19" s="710">
        <f>-SUMIFS('D2 - Capex uso'!CP$6:CP$176,'D2 - Capex uso'!$C$6:$C$176,$A4,'D2 - Capex uso'!$AK$6:$AK$176,$A19)</f>
        <v>0</v>
      </c>
      <c r="Z19" s="710">
        <f>-SUMIFS('D2 - Capex uso'!CQ$6:CQ$176,'D2 - Capex uso'!$C$6:$C$176,$A4,'D2 - Capex uso'!$AK$6:$AK$176,$A19)</f>
        <v>0</v>
      </c>
      <c r="AA19" s="710">
        <f>-SUMIFS('D2 - Capex uso'!CR$6:CR$176,'D2 - Capex uso'!$C$6:$C$176,$A4,'D2 - Capex uso'!$AK$6:$AK$176,$A19)</f>
        <v>0</v>
      </c>
      <c r="AB19" s="710">
        <f>-SUMIFS('D2 - Capex uso'!CS$6:CS$176,'D2 - Capex uso'!$C$6:$C$176,$A4,'D2 - Capex uso'!$AK$6:$AK$176,$A19)</f>
        <v>0</v>
      </c>
      <c r="AC19" s="710">
        <f>-SUMIFS('D2 - Capex uso'!CT$6:CT$176,'D2 - Capex uso'!$C$6:$C$176,$A4,'D2 - Capex uso'!$AK$6:$AK$176,$A19)</f>
        <v>0</v>
      </c>
      <c r="AD19" s="710">
        <f>-SUMIFS('D2 - Capex uso'!CU$6:CU$176,'D2 - Capex uso'!$C$6:$C$176,$A4,'D2 - Capex uso'!$AK$6:$AK$176,$A19)</f>
        <v>0</v>
      </c>
      <c r="AE19" s="710">
        <f>-SUMIFS('D2 - Capex uso'!CV$6:CV$176,'D2 - Capex uso'!$C$6:$C$176,$A4,'D2 - Capex uso'!$AK$6:$AK$176,$A19)</f>
        <v>0</v>
      </c>
      <c r="AF19" s="594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594"/>
      <c r="AS19" s="594"/>
      <c r="AT19" s="594"/>
      <c r="AU19" s="594"/>
      <c r="AV19" s="594"/>
      <c r="AW19" s="594"/>
      <c r="AX19" s="594"/>
      <c r="AY19" s="594"/>
      <c r="AZ19" s="594"/>
      <c r="BA19" s="594"/>
      <c r="BB19" s="594"/>
      <c r="BC19" s="594"/>
      <c r="BD19" s="594"/>
      <c r="BE19" s="594"/>
      <c r="BF19" s="594"/>
      <c r="BG19" s="594"/>
      <c r="BH19" s="594"/>
      <c r="BI19" s="594"/>
      <c r="BJ19" s="594"/>
      <c r="BK19" s="594"/>
      <c r="BL19" s="57"/>
      <c r="BM19" s="594"/>
      <c r="BN19" s="594"/>
      <c r="BO19" s="594"/>
      <c r="BP19" s="594"/>
      <c r="BQ19" s="594"/>
      <c r="BR19" s="594"/>
      <c r="BS19" s="594"/>
      <c r="BT19" s="594"/>
      <c r="BU19" s="594"/>
      <c r="BV19" s="594"/>
      <c r="BW19" s="594"/>
      <c r="BX19" s="594"/>
      <c r="BY19" s="594"/>
      <c r="BZ19" s="594"/>
      <c r="CA19" s="594"/>
      <c r="CB19" s="594"/>
      <c r="CC19" s="594"/>
      <c r="CD19" s="594"/>
      <c r="CE19" s="594"/>
      <c r="CF19" s="594"/>
      <c r="CG19" s="594"/>
      <c r="CH19" s="594"/>
      <c r="CI19" s="594"/>
      <c r="CJ19" s="594"/>
      <c r="CK19" s="594"/>
      <c r="CL19" s="594"/>
      <c r="CM19" s="594"/>
      <c r="CN19" s="594"/>
      <c r="CO19" s="594"/>
      <c r="CP19" s="594"/>
      <c r="CQ19" s="594"/>
    </row>
    <row r="20" spans="1:95" ht="19.5" customHeight="1" outlineLevel="2">
      <c r="A20" s="709" t="s">
        <v>361</v>
      </c>
      <c r="B20" s="710">
        <f>-SUMIFS('D2 - Capex uso'!BS$6:BS$176,'D2 - Capex uso'!$C$6:$C$176,$A4,'D2 - Capex uso'!$AK$6:$AK$176,$A20)</f>
        <v>0</v>
      </c>
      <c r="C20" s="710">
        <f>-SUMIFS('D2 - Capex uso'!BT$6:BT$176,'D2 - Capex uso'!$C$6:$C$176,$A4,'D2 - Capex uso'!$AK$6:$AK$176,$A20)</f>
        <v>0</v>
      </c>
      <c r="D20" s="710">
        <f>-SUMIFS('D2 - Capex uso'!BU$6:BU$176,'D2 - Capex uso'!$C$6:$C$176,$A4,'D2 - Capex uso'!$AK$6:$AK$176,$A20)</f>
        <v>0</v>
      </c>
      <c r="E20" s="710">
        <f>-SUMIFS('D2 - Capex uso'!BV$6:BV$176,'D2 - Capex uso'!$C$6:$C$176,$A4,'D2 - Capex uso'!$AK$6:$AK$176,$A20)</f>
        <v>0</v>
      </c>
      <c r="F20" s="710">
        <f>-SUMIFS('D2 - Capex uso'!BW$6:BW$176,'D2 - Capex uso'!$C$6:$C$176,$A4,'D2 - Capex uso'!$AK$6:$AK$176,$A20)</f>
        <v>0</v>
      </c>
      <c r="G20" s="710">
        <f>-SUMIFS('D2 - Capex uso'!BX$6:BX$176,'D2 - Capex uso'!$C$6:$C$176,$A4,'D2 - Capex uso'!$AK$6:$AK$176,$A20)</f>
        <v>0</v>
      </c>
      <c r="H20" s="710">
        <f>-SUMIFS('D2 - Capex uso'!BY$6:BY$176,'D2 - Capex uso'!$C$6:$C$176,$A4,'D2 - Capex uso'!$AK$6:$AK$176,$A20)</f>
        <v>0</v>
      </c>
      <c r="I20" s="710">
        <f>-SUMIFS('D2 - Capex uso'!BZ$6:BZ$176,'D2 - Capex uso'!$C$6:$C$176,$A4,'D2 - Capex uso'!$AK$6:$AK$176,$A20)</f>
        <v>0</v>
      </c>
      <c r="J20" s="710">
        <f>-SUMIFS('D2 - Capex uso'!CA$6:CA$176,'D2 - Capex uso'!$C$6:$C$176,$A4,'D2 - Capex uso'!$AK$6:$AK$176,$A20)</f>
        <v>0</v>
      </c>
      <c r="K20" s="710">
        <f>-SUMIFS('D2 - Capex uso'!CB$6:CB$176,'D2 - Capex uso'!$C$6:$C$176,$A4,'D2 - Capex uso'!$AK$6:$AK$176,$A20)</f>
        <v>0</v>
      </c>
      <c r="L20" s="710">
        <f>-SUMIFS('D2 - Capex uso'!CC$6:CC$176,'D2 - Capex uso'!$C$6:$C$176,$A4,'D2 - Capex uso'!$AK$6:$AK$176,$A20)</f>
        <v>0</v>
      </c>
      <c r="M20" s="710">
        <f>-SUMIFS('D2 - Capex uso'!CD$6:CD$176,'D2 - Capex uso'!$C$6:$C$176,$A4,'D2 - Capex uso'!$AK$6:$AK$176,$A20)</f>
        <v>0</v>
      </c>
      <c r="N20" s="710">
        <f>-SUMIFS('D2 - Capex uso'!CE$6:CE$176,'D2 - Capex uso'!$C$6:$C$176,$A4,'D2 - Capex uso'!$AK$6:$AK$176,$A20)</f>
        <v>0</v>
      </c>
      <c r="O20" s="710">
        <f>-SUMIFS('D2 - Capex uso'!CF$6:CF$176,'D2 - Capex uso'!$C$6:$C$176,$A4,'D2 - Capex uso'!$AK$6:$AK$176,$A20)</f>
        <v>0</v>
      </c>
      <c r="P20" s="710">
        <f>-SUMIFS('D2 - Capex uso'!CG$6:CG$176,'D2 - Capex uso'!$C$6:$C$176,$A4,'D2 - Capex uso'!$AK$6:$AK$176,$A20)</f>
        <v>0</v>
      </c>
      <c r="Q20" s="710">
        <f>-SUMIFS('D2 - Capex uso'!CH$6:CH$176,'D2 - Capex uso'!$C$6:$C$176,$A4,'D2 - Capex uso'!$AK$6:$AK$176,$A20)</f>
        <v>0</v>
      </c>
      <c r="R20" s="710">
        <f>-SUMIFS('D2 - Capex uso'!CI$6:CI$176,'D2 - Capex uso'!$C$6:$C$176,$A4,'D2 - Capex uso'!$AK$6:$AK$176,$A20)</f>
        <v>0</v>
      </c>
      <c r="S20" s="710">
        <f>-SUMIFS('D2 - Capex uso'!CJ$6:CJ$176,'D2 - Capex uso'!$C$6:$C$176,$A4,'D2 - Capex uso'!$AK$6:$AK$176,$A20)</f>
        <v>0</v>
      </c>
      <c r="T20" s="710">
        <f>-SUMIFS('D2 - Capex uso'!CK$6:CK$176,'D2 - Capex uso'!$C$6:$C$176,$A4,'D2 - Capex uso'!$AK$6:$AK$176,$A20)</f>
        <v>0</v>
      </c>
      <c r="U20" s="710">
        <f>-SUMIFS('D2 - Capex uso'!CL$6:CL$176,'D2 - Capex uso'!$C$6:$C$176,$A4,'D2 - Capex uso'!$AK$6:$AK$176,$A20)</f>
        <v>0</v>
      </c>
      <c r="V20" s="710">
        <f>-SUMIFS('D2 - Capex uso'!CM$6:CM$176,'D2 - Capex uso'!$C$6:$C$176,$A4,'D2 - Capex uso'!$AK$6:$AK$176,$A20)</f>
        <v>0</v>
      </c>
      <c r="W20" s="710">
        <f>-SUMIFS('D2 - Capex uso'!CN$6:CN$176,'D2 - Capex uso'!$C$6:$C$176,$A4,'D2 - Capex uso'!$AK$6:$AK$176,$A20)</f>
        <v>0</v>
      </c>
      <c r="X20" s="710">
        <f>-SUMIFS('D2 - Capex uso'!CO$6:CO$176,'D2 - Capex uso'!$C$6:$C$176,$A4,'D2 - Capex uso'!$AK$6:$AK$176,$A20)</f>
        <v>0</v>
      </c>
      <c r="Y20" s="710">
        <f>-SUMIFS('D2 - Capex uso'!CP$6:CP$176,'D2 - Capex uso'!$C$6:$C$176,$A4,'D2 - Capex uso'!$AK$6:$AK$176,$A20)</f>
        <v>0</v>
      </c>
      <c r="Z20" s="710">
        <f>-SUMIFS('D2 - Capex uso'!CQ$6:CQ$176,'D2 - Capex uso'!$C$6:$C$176,$A4,'D2 - Capex uso'!$AK$6:$AK$176,$A20)</f>
        <v>0</v>
      </c>
      <c r="AA20" s="710">
        <f>-SUMIFS('D2 - Capex uso'!CR$6:CR$176,'D2 - Capex uso'!$C$6:$C$176,$A4,'D2 - Capex uso'!$AK$6:$AK$176,$A20)</f>
        <v>0</v>
      </c>
      <c r="AB20" s="710">
        <f>-SUMIFS('D2 - Capex uso'!CS$6:CS$176,'D2 - Capex uso'!$C$6:$C$176,$A4,'D2 - Capex uso'!$AK$6:$AK$176,$A20)</f>
        <v>0</v>
      </c>
      <c r="AC20" s="710">
        <f>-SUMIFS('D2 - Capex uso'!CT$6:CT$176,'D2 - Capex uso'!$C$6:$C$176,$A4,'D2 - Capex uso'!$AK$6:$AK$176,$A20)</f>
        <v>0</v>
      </c>
      <c r="AD20" s="710">
        <f>-SUMIFS('D2 - Capex uso'!CU$6:CU$176,'D2 - Capex uso'!$C$6:$C$176,$A4,'D2 - Capex uso'!$AK$6:$AK$176,$A20)</f>
        <v>0</v>
      </c>
      <c r="AE20" s="710">
        <f>-SUMIFS('D2 - Capex uso'!CV$6:CV$176,'D2 - Capex uso'!$C$6:$C$176,$A4,'D2 - Capex uso'!$AK$6:$AK$176,$A20)</f>
        <v>0</v>
      </c>
      <c r="AF20" s="594"/>
      <c r="AG20" s="594"/>
      <c r="AH20" s="594"/>
      <c r="AI20" s="594"/>
      <c r="AJ20" s="594"/>
      <c r="AK20" s="594"/>
      <c r="AL20" s="594"/>
      <c r="AM20" s="594"/>
      <c r="AN20" s="594"/>
      <c r="AO20" s="594"/>
      <c r="AP20" s="594"/>
      <c r="AQ20" s="594"/>
      <c r="AR20" s="594"/>
      <c r="AS20" s="594"/>
      <c r="AT20" s="594"/>
      <c r="AU20" s="594"/>
      <c r="AV20" s="594"/>
      <c r="AW20" s="594"/>
      <c r="AX20" s="594"/>
      <c r="AY20" s="594"/>
      <c r="AZ20" s="594"/>
      <c r="BA20" s="594"/>
      <c r="BB20" s="594"/>
      <c r="BC20" s="594"/>
      <c r="BD20" s="594"/>
      <c r="BE20" s="594"/>
      <c r="BF20" s="594"/>
      <c r="BG20" s="594"/>
      <c r="BH20" s="594"/>
      <c r="BI20" s="594"/>
      <c r="BJ20" s="594"/>
      <c r="BK20" s="594"/>
      <c r="BL20" s="57"/>
      <c r="BM20" s="594"/>
      <c r="BN20" s="594"/>
      <c r="BO20" s="594"/>
      <c r="BP20" s="594"/>
      <c r="BQ20" s="594"/>
      <c r="BR20" s="594"/>
      <c r="BS20" s="594"/>
      <c r="BT20" s="594"/>
      <c r="BU20" s="594"/>
      <c r="BV20" s="594"/>
      <c r="BW20" s="594"/>
      <c r="BX20" s="594"/>
      <c r="BY20" s="594"/>
      <c r="BZ20" s="594"/>
      <c r="CA20" s="594"/>
      <c r="CB20" s="594"/>
      <c r="CC20" s="594"/>
      <c r="CD20" s="594"/>
      <c r="CE20" s="594"/>
      <c r="CF20" s="594"/>
      <c r="CG20" s="594"/>
      <c r="CH20" s="594"/>
      <c r="CI20" s="594"/>
      <c r="CJ20" s="594"/>
      <c r="CK20" s="594"/>
      <c r="CL20" s="594"/>
      <c r="CM20" s="594"/>
      <c r="CN20" s="594"/>
      <c r="CO20" s="594"/>
      <c r="CP20" s="594"/>
      <c r="CQ20" s="594"/>
    </row>
    <row r="21" spans="1:95" ht="19.5" customHeight="1" outlineLevel="2">
      <c r="A21" s="709" t="s">
        <v>359</v>
      </c>
      <c r="B21" s="710">
        <f>-SUMIFS('D2 - Capex uso'!BS$6:BS$176,'D2 - Capex uso'!$C$6:$C$176,$A4,'D2 - Capex uso'!$AK$6:$AK$176,$A21)</f>
        <v>-2440087.21</v>
      </c>
      <c r="C21" s="710">
        <f>-SUMIFS('D2 - Capex uso'!BT$6:BT$176,'D2 - Capex uso'!$C$6:$C$176,$A4,'D2 - Capex uso'!$AK$6:$AK$176,$A21)</f>
        <v>0</v>
      </c>
      <c r="D21" s="710">
        <f>-SUMIFS('D2 - Capex uso'!BU$6:BU$176,'D2 - Capex uso'!$C$6:$C$176,$A4,'D2 - Capex uso'!$AK$6:$AK$176,$A21)</f>
        <v>0</v>
      </c>
      <c r="E21" s="710">
        <f>-SUMIFS('D2 - Capex uso'!BV$6:BV$176,'D2 - Capex uso'!$C$6:$C$176,$A4,'D2 - Capex uso'!$AK$6:$AK$176,$A21)</f>
        <v>0</v>
      </c>
      <c r="F21" s="710">
        <f>-SUMIFS('D2 - Capex uso'!BW$6:BW$176,'D2 - Capex uso'!$C$6:$C$176,$A4,'D2 - Capex uso'!$AK$6:$AK$176,$A21)</f>
        <v>0</v>
      </c>
      <c r="G21" s="710">
        <f>-SUMIFS('D2 - Capex uso'!BX$6:BX$176,'D2 - Capex uso'!$C$6:$C$176,$A4,'D2 - Capex uso'!$AK$6:$AK$176,$A21)</f>
        <v>0</v>
      </c>
      <c r="H21" s="710">
        <f>-SUMIFS('D2 - Capex uso'!BY$6:BY$176,'D2 - Capex uso'!$C$6:$C$176,$A4,'D2 - Capex uso'!$AK$6:$AK$176,$A21)</f>
        <v>0</v>
      </c>
      <c r="I21" s="710">
        <f>-SUMIFS('D2 - Capex uso'!BZ$6:BZ$176,'D2 - Capex uso'!$C$6:$C$176,$A4,'D2 - Capex uso'!$AK$6:$AK$176,$A21)</f>
        <v>0</v>
      </c>
      <c r="J21" s="710">
        <f>-SUMIFS('D2 - Capex uso'!CA$6:CA$176,'D2 - Capex uso'!$C$6:$C$176,$A4,'D2 - Capex uso'!$AK$6:$AK$176,$A21)</f>
        <v>0</v>
      </c>
      <c r="K21" s="710">
        <f>-SUMIFS('D2 - Capex uso'!CB$6:CB$176,'D2 - Capex uso'!$C$6:$C$176,$A4,'D2 - Capex uso'!$AK$6:$AK$176,$A21)</f>
        <v>0</v>
      </c>
      <c r="L21" s="710">
        <f>-SUMIFS('D2 - Capex uso'!CC$6:CC$176,'D2 - Capex uso'!$C$6:$C$176,$A4,'D2 - Capex uso'!$AK$6:$AK$176,$A21)</f>
        <v>-1710720</v>
      </c>
      <c r="M21" s="710">
        <f>-SUMIFS('D2 - Capex uso'!CD$6:CD$176,'D2 - Capex uso'!$C$6:$C$176,$A4,'D2 - Capex uso'!$AK$6:$AK$176,$A21)</f>
        <v>0</v>
      </c>
      <c r="N21" s="710">
        <f>-SUMIFS('D2 - Capex uso'!CE$6:CE$176,'D2 - Capex uso'!$C$6:$C$176,$A4,'D2 - Capex uso'!$AK$6:$AK$176,$A21)</f>
        <v>0</v>
      </c>
      <c r="O21" s="710">
        <f>-SUMIFS('D2 - Capex uso'!CF$6:CF$176,'D2 - Capex uso'!$C$6:$C$176,$A4,'D2 - Capex uso'!$AK$6:$AK$176,$A21)</f>
        <v>0</v>
      </c>
      <c r="P21" s="710">
        <f>-SUMIFS('D2 - Capex uso'!CG$6:CG$176,'D2 - Capex uso'!$C$6:$C$176,$A4,'D2 - Capex uso'!$AK$6:$AK$176,$A21)</f>
        <v>0</v>
      </c>
      <c r="Q21" s="710">
        <f>-SUMIFS('D2 - Capex uso'!CH$6:CH$176,'D2 - Capex uso'!$C$6:$C$176,$A4,'D2 - Capex uso'!$AK$6:$AK$176,$A21)</f>
        <v>0</v>
      </c>
      <c r="R21" s="710">
        <f>-SUMIFS('D2 - Capex uso'!CI$6:CI$176,'D2 - Capex uso'!$C$6:$C$176,$A4,'D2 - Capex uso'!$AK$6:$AK$176,$A21)</f>
        <v>0</v>
      </c>
      <c r="S21" s="710">
        <f>-SUMIFS('D2 - Capex uso'!CJ$6:CJ$176,'D2 - Capex uso'!$C$6:$C$176,$A4,'D2 - Capex uso'!$AK$6:$AK$176,$A21)</f>
        <v>0</v>
      </c>
      <c r="T21" s="710">
        <f>-SUMIFS('D2 - Capex uso'!CK$6:CK$176,'D2 - Capex uso'!$C$6:$C$176,$A4,'D2 - Capex uso'!$AK$6:$AK$176,$A21)</f>
        <v>0</v>
      </c>
      <c r="U21" s="710">
        <f>-SUMIFS('D2 - Capex uso'!CL$6:CL$176,'D2 - Capex uso'!$C$6:$C$176,$A4,'D2 - Capex uso'!$AK$6:$AK$176,$A21)</f>
        <v>0</v>
      </c>
      <c r="V21" s="710">
        <f>-SUMIFS('D2 - Capex uso'!CM$6:CM$176,'D2 - Capex uso'!$C$6:$C$176,$A4,'D2 - Capex uso'!$AK$6:$AK$176,$A21)</f>
        <v>-1710720</v>
      </c>
      <c r="W21" s="710">
        <f>-SUMIFS('D2 - Capex uso'!CN$6:CN$176,'D2 - Capex uso'!$C$6:$C$176,$A4,'D2 - Capex uso'!$AK$6:$AK$176,$A21)</f>
        <v>0</v>
      </c>
      <c r="X21" s="710">
        <f>-SUMIFS('D2 - Capex uso'!CO$6:CO$176,'D2 - Capex uso'!$C$6:$C$176,$A4,'D2 - Capex uso'!$AK$6:$AK$176,$A21)</f>
        <v>0</v>
      </c>
      <c r="Y21" s="710">
        <f>-SUMIFS('D2 - Capex uso'!CP$6:CP$176,'D2 - Capex uso'!$C$6:$C$176,$A4,'D2 - Capex uso'!$AK$6:$AK$176,$A21)</f>
        <v>0</v>
      </c>
      <c r="Z21" s="710">
        <f>-SUMIFS('D2 - Capex uso'!CQ$6:CQ$176,'D2 - Capex uso'!$C$6:$C$176,$A4,'D2 - Capex uso'!$AK$6:$AK$176,$A21)</f>
        <v>0</v>
      </c>
      <c r="AA21" s="710">
        <f>-SUMIFS('D2 - Capex uso'!CR$6:CR$176,'D2 - Capex uso'!$C$6:$C$176,$A4,'D2 - Capex uso'!$AK$6:$AK$176,$A21)</f>
        <v>0</v>
      </c>
      <c r="AB21" s="710">
        <f>-SUMIFS('D2 - Capex uso'!CS$6:CS$176,'D2 - Capex uso'!$C$6:$C$176,$A4,'D2 - Capex uso'!$AK$6:$AK$176,$A21)</f>
        <v>0</v>
      </c>
      <c r="AC21" s="710">
        <f>-SUMIFS('D2 - Capex uso'!CT$6:CT$176,'D2 - Capex uso'!$C$6:$C$176,$A4,'D2 - Capex uso'!$AK$6:$AK$176,$A21)</f>
        <v>0</v>
      </c>
      <c r="AD21" s="710">
        <f>-SUMIFS('D2 - Capex uso'!CU$6:CU$176,'D2 - Capex uso'!$C$6:$C$176,$A4,'D2 - Capex uso'!$AK$6:$AK$176,$A21)</f>
        <v>0</v>
      </c>
      <c r="AE21" s="710">
        <f>-SUMIFS('D2 - Capex uso'!CV$6:CV$176,'D2 - Capex uso'!$C$6:$C$176,$A4,'D2 - Capex uso'!$AK$6:$AK$176,$A21)</f>
        <v>0</v>
      </c>
      <c r="AF21" s="594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594"/>
      <c r="AS21" s="594"/>
      <c r="AT21" s="594"/>
      <c r="AU21" s="594"/>
      <c r="AV21" s="594"/>
      <c r="AW21" s="594"/>
      <c r="AX21" s="594"/>
      <c r="AY21" s="594"/>
      <c r="AZ21" s="594"/>
      <c r="BA21" s="594"/>
      <c r="BB21" s="594"/>
      <c r="BC21" s="594"/>
      <c r="BD21" s="594"/>
      <c r="BE21" s="594"/>
      <c r="BF21" s="594"/>
      <c r="BG21" s="594"/>
      <c r="BH21" s="594"/>
      <c r="BI21" s="594"/>
      <c r="BJ21" s="594"/>
      <c r="BK21" s="594"/>
      <c r="BL21" s="57"/>
      <c r="BM21" s="594"/>
      <c r="BN21" s="594"/>
      <c r="BO21" s="594"/>
      <c r="BP21" s="594"/>
      <c r="BQ21" s="594"/>
      <c r="BR21" s="594"/>
      <c r="BS21" s="594"/>
      <c r="BT21" s="594"/>
      <c r="BU21" s="594"/>
      <c r="BV21" s="594"/>
      <c r="BW21" s="594"/>
      <c r="BX21" s="594"/>
      <c r="BY21" s="594"/>
      <c r="BZ21" s="594"/>
      <c r="CA21" s="594"/>
      <c r="CB21" s="594"/>
      <c r="CC21" s="594"/>
      <c r="CD21" s="594"/>
      <c r="CE21" s="594"/>
      <c r="CF21" s="594"/>
      <c r="CG21" s="594"/>
      <c r="CH21" s="594"/>
      <c r="CI21" s="594"/>
      <c r="CJ21" s="594"/>
      <c r="CK21" s="594"/>
      <c r="CL21" s="594"/>
      <c r="CM21" s="594"/>
      <c r="CN21" s="594"/>
      <c r="CO21" s="594"/>
      <c r="CP21" s="594"/>
      <c r="CQ21" s="594"/>
    </row>
    <row r="22" spans="1:95" ht="19.5" customHeight="1" outlineLevel="2">
      <c r="A22" s="709" t="s">
        <v>171</v>
      </c>
      <c r="B22" s="710">
        <f>-SUMIFS('D2 - Capex uso'!BS$6:BS$176,'D2 - Capex uso'!$C$6:$C$176,$A4,'D2 - Capex uso'!$AK$6:$AK$176,$A22)</f>
        <v>-305065.39800000004</v>
      </c>
      <c r="C22" s="710">
        <f>-SUMIFS('D2 - Capex uso'!BT$6:BT$176,'D2 - Capex uso'!$C$6:$C$176,$A4,'D2 - Capex uso'!$AK$6:$AK$176,$A22)</f>
        <v>0</v>
      </c>
      <c r="D22" s="710">
        <f>-SUMIFS('D2 - Capex uso'!BU$6:BU$176,'D2 - Capex uso'!$C$6:$C$176,$A4,'D2 - Capex uso'!$AK$6:$AK$176,$A22)</f>
        <v>0</v>
      </c>
      <c r="E22" s="710">
        <f>-SUMIFS('D2 - Capex uso'!BV$6:BV$176,'D2 - Capex uso'!$C$6:$C$176,$A4,'D2 - Capex uso'!$AK$6:$AK$176,$A22)</f>
        <v>0</v>
      </c>
      <c r="F22" s="710">
        <f>-SUMIFS('D2 - Capex uso'!BW$6:BW$176,'D2 - Capex uso'!$C$6:$C$176,$A4,'D2 - Capex uso'!$AK$6:$AK$176,$A22)</f>
        <v>0</v>
      </c>
      <c r="G22" s="710">
        <f>-SUMIFS('D2 - Capex uso'!BX$6:BX$176,'D2 - Capex uso'!$C$6:$C$176,$A4,'D2 - Capex uso'!$AK$6:$AK$176,$A22)</f>
        <v>-11180.268</v>
      </c>
      <c r="H22" s="710">
        <f>-SUMIFS('D2 - Capex uso'!BY$6:BY$176,'D2 - Capex uso'!$C$6:$C$176,$A4,'D2 - Capex uso'!$AK$6:$AK$176,$A22)</f>
        <v>0</v>
      </c>
      <c r="I22" s="710">
        <f>-SUMIFS('D2 - Capex uso'!BZ$6:BZ$176,'D2 - Capex uso'!$C$6:$C$176,$A4,'D2 - Capex uso'!$AK$6:$AK$176,$A22)</f>
        <v>0</v>
      </c>
      <c r="J22" s="710">
        <f>-SUMIFS('D2 - Capex uso'!CA$6:CA$176,'D2 - Capex uso'!$C$6:$C$176,$A4,'D2 - Capex uso'!$AK$6:$AK$176,$A22)</f>
        <v>0</v>
      </c>
      <c r="K22" s="710">
        <f>-SUMIFS('D2 - Capex uso'!CB$6:CB$176,'D2 - Capex uso'!$C$6:$C$176,$A4,'D2 - Capex uso'!$AK$6:$AK$176,$A22)</f>
        <v>0</v>
      </c>
      <c r="L22" s="710">
        <f>-SUMIFS('D2 - Capex uso'!CC$6:CC$176,'D2 - Capex uso'!$C$6:$C$176,$A4,'D2 - Capex uso'!$AK$6:$AK$176,$A22)</f>
        <v>-38590.398000000001</v>
      </c>
      <c r="M22" s="710">
        <f>-SUMIFS('D2 - Capex uso'!CD$6:CD$176,'D2 - Capex uso'!$C$6:$C$176,$A4,'D2 - Capex uso'!$AK$6:$AK$176,$A22)</f>
        <v>0</v>
      </c>
      <c r="N22" s="710">
        <f>-SUMIFS('D2 - Capex uso'!CE$6:CE$176,'D2 - Capex uso'!$C$6:$C$176,$A4,'D2 - Capex uso'!$AK$6:$AK$176,$A22)</f>
        <v>0</v>
      </c>
      <c r="O22" s="710">
        <f>-SUMIFS('D2 - Capex uso'!CF$6:CF$176,'D2 - Capex uso'!$C$6:$C$176,$A4,'D2 - Capex uso'!$AK$6:$AK$176,$A22)</f>
        <v>0</v>
      </c>
      <c r="P22" s="710">
        <f>-SUMIFS('D2 - Capex uso'!CG$6:CG$176,'D2 - Capex uso'!$C$6:$C$176,$A4,'D2 - Capex uso'!$AK$6:$AK$176,$A22)</f>
        <v>0</v>
      </c>
      <c r="Q22" s="710">
        <f>-SUMIFS('D2 - Capex uso'!CH$6:CH$176,'D2 - Capex uso'!$C$6:$C$176,$A4,'D2 - Capex uso'!$AK$6:$AK$176,$A22)</f>
        <v>-11180.268</v>
      </c>
      <c r="R22" s="710">
        <f>-SUMIFS('D2 - Capex uso'!CI$6:CI$176,'D2 - Capex uso'!$C$6:$C$176,$A4,'D2 - Capex uso'!$AK$6:$AK$176,$A22)</f>
        <v>0</v>
      </c>
      <c r="S22" s="710">
        <f>-SUMIFS('D2 - Capex uso'!CJ$6:CJ$176,'D2 - Capex uso'!$C$6:$C$176,$A4,'D2 - Capex uso'!$AK$6:$AK$176,$A22)</f>
        <v>0</v>
      </c>
      <c r="T22" s="710">
        <f>-SUMIFS('D2 - Capex uso'!CK$6:CK$176,'D2 - Capex uso'!$C$6:$C$176,$A4,'D2 - Capex uso'!$AK$6:$AK$176,$A22)</f>
        <v>0</v>
      </c>
      <c r="U22" s="710">
        <f>-SUMIFS('D2 - Capex uso'!CL$6:CL$176,'D2 - Capex uso'!$C$6:$C$176,$A4,'D2 - Capex uso'!$AK$6:$AK$176,$A22)</f>
        <v>0</v>
      </c>
      <c r="V22" s="710">
        <f>-SUMIFS('D2 - Capex uso'!CM$6:CM$176,'D2 - Capex uso'!$C$6:$C$176,$A4,'D2 - Capex uso'!$AK$6:$AK$176,$A22)</f>
        <v>-38590.398000000001</v>
      </c>
      <c r="W22" s="710">
        <f>-SUMIFS('D2 - Capex uso'!CN$6:CN$176,'D2 - Capex uso'!$C$6:$C$176,$A4,'D2 - Capex uso'!$AK$6:$AK$176,$A22)</f>
        <v>0</v>
      </c>
      <c r="X22" s="710">
        <f>-SUMIFS('D2 - Capex uso'!CO$6:CO$176,'D2 - Capex uso'!$C$6:$C$176,$A4,'D2 - Capex uso'!$AK$6:$AK$176,$A22)</f>
        <v>0</v>
      </c>
      <c r="Y22" s="710">
        <f>-SUMIFS('D2 - Capex uso'!CP$6:CP$176,'D2 - Capex uso'!$C$6:$C$176,$A4,'D2 - Capex uso'!$AK$6:$AK$176,$A22)</f>
        <v>0</v>
      </c>
      <c r="Z22" s="710">
        <f>-SUMIFS('D2 - Capex uso'!CQ$6:CQ$176,'D2 - Capex uso'!$C$6:$C$176,$A4,'D2 - Capex uso'!$AK$6:$AK$176,$A22)</f>
        <v>0</v>
      </c>
      <c r="AA22" s="710">
        <f>-SUMIFS('D2 - Capex uso'!CR$6:CR$176,'D2 - Capex uso'!$C$6:$C$176,$A4,'D2 - Capex uso'!$AK$6:$AK$176,$A22)</f>
        <v>-11180.268</v>
      </c>
      <c r="AB22" s="710">
        <f>-SUMIFS('D2 - Capex uso'!CS$6:CS$176,'D2 - Capex uso'!$C$6:$C$176,$A4,'D2 - Capex uso'!$AK$6:$AK$176,$A22)</f>
        <v>0</v>
      </c>
      <c r="AC22" s="710">
        <f>-SUMIFS('D2 - Capex uso'!CT$6:CT$176,'D2 - Capex uso'!$C$6:$C$176,$A4,'D2 - Capex uso'!$AK$6:$AK$176,$A22)</f>
        <v>0</v>
      </c>
      <c r="AD22" s="710">
        <f>-SUMIFS('D2 - Capex uso'!CU$6:CU$176,'D2 - Capex uso'!$C$6:$C$176,$A4,'D2 - Capex uso'!$AK$6:$AK$176,$A22)</f>
        <v>0</v>
      </c>
      <c r="AE22" s="710">
        <f>-SUMIFS('D2 - Capex uso'!CV$6:CV$176,'D2 - Capex uso'!$C$6:$C$176,$A4,'D2 - Capex uso'!$AK$6:$AK$176,$A22)</f>
        <v>0</v>
      </c>
      <c r="AF22" s="594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594"/>
      <c r="AS22" s="594"/>
      <c r="AT22" s="594"/>
      <c r="AU22" s="594"/>
      <c r="AV22" s="594"/>
      <c r="AW22" s="594"/>
      <c r="AX22" s="594"/>
      <c r="AY22" s="594"/>
      <c r="AZ22" s="594"/>
      <c r="BA22" s="594"/>
      <c r="BB22" s="594"/>
      <c r="BC22" s="594"/>
      <c r="BD22" s="594"/>
      <c r="BE22" s="594"/>
      <c r="BF22" s="594"/>
      <c r="BG22" s="594"/>
      <c r="BH22" s="594"/>
      <c r="BI22" s="594"/>
      <c r="BJ22" s="594"/>
      <c r="BK22" s="594"/>
      <c r="BL22" s="57"/>
      <c r="BM22" s="594"/>
      <c r="BN22" s="594"/>
      <c r="BO22" s="594"/>
      <c r="BP22" s="594"/>
      <c r="BQ22" s="594"/>
      <c r="BR22" s="594"/>
      <c r="BS22" s="594"/>
      <c r="BT22" s="594"/>
      <c r="BU22" s="594"/>
      <c r="BV22" s="594"/>
      <c r="BW22" s="594"/>
      <c r="BX22" s="594"/>
      <c r="BY22" s="594"/>
      <c r="BZ22" s="594"/>
      <c r="CA22" s="594"/>
      <c r="CB22" s="594"/>
      <c r="CC22" s="594"/>
      <c r="CD22" s="594"/>
      <c r="CE22" s="594"/>
      <c r="CF22" s="594"/>
      <c r="CG22" s="594"/>
      <c r="CH22" s="594"/>
      <c r="CI22" s="594"/>
      <c r="CJ22" s="594"/>
      <c r="CK22" s="594"/>
      <c r="CL22" s="594"/>
      <c r="CM22" s="594"/>
      <c r="CN22" s="594"/>
      <c r="CO22" s="594"/>
      <c r="CP22" s="594"/>
      <c r="CQ22" s="594"/>
    </row>
    <row r="23" spans="1:95" ht="27" customHeight="1" collapsed="1">
      <c r="A23" s="703" t="str">
        <f>IF(ISBLANK('A1 - Serviços e demanda'!A21),,'A1 - Serviços e demanda'!A21)</f>
        <v>Preá - Alimentação</v>
      </c>
      <c r="B23" s="704">
        <f t="shared" ref="B23:AE23" si="6">IF($A23=0,0,SUM(B32:B33))</f>
        <v>-509205.59120000002</v>
      </c>
      <c r="C23" s="704">
        <f t="shared" si="6"/>
        <v>687553.03547551949</v>
      </c>
      <c r="D23" s="704">
        <f t="shared" si="6"/>
        <v>727453.77332991385</v>
      </c>
      <c r="E23" s="704">
        <f t="shared" si="6"/>
        <v>766085.92925570183</v>
      </c>
      <c r="F23" s="704">
        <f t="shared" si="6"/>
        <v>805346.23519731429</v>
      </c>
      <c r="G23" s="704">
        <f t="shared" si="6"/>
        <v>845287.9129338467</v>
      </c>
      <c r="H23" s="704">
        <f t="shared" si="6"/>
        <v>886364.15879919659</v>
      </c>
      <c r="I23" s="704">
        <f t="shared" si="6"/>
        <v>928630.90327347466</v>
      </c>
      <c r="J23" s="704">
        <f t="shared" si="6"/>
        <v>971672.12764344015</v>
      </c>
      <c r="K23" s="704">
        <f t="shared" si="6"/>
        <v>1015503.2638324241</v>
      </c>
      <c r="L23" s="704">
        <f t="shared" si="6"/>
        <v>734245.4318716788</v>
      </c>
      <c r="M23" s="704">
        <f t="shared" si="6"/>
        <v>1107291.6008877123</v>
      </c>
      <c r="N23" s="704">
        <f t="shared" si="6"/>
        <v>1155344.5205735022</v>
      </c>
      <c r="O23" s="704">
        <f t="shared" si="6"/>
        <v>1204840.081074036</v>
      </c>
      <c r="P23" s="704">
        <f t="shared" si="6"/>
        <v>1255832.4992326919</v>
      </c>
      <c r="Q23" s="704">
        <f t="shared" si="6"/>
        <v>1308228.2598048421</v>
      </c>
      <c r="R23" s="704">
        <f t="shared" si="6"/>
        <v>1361946.9930942454</v>
      </c>
      <c r="S23" s="704">
        <f t="shared" si="6"/>
        <v>1416814.0317856316</v>
      </c>
      <c r="T23" s="704">
        <f t="shared" si="6"/>
        <v>1472696.7316176451</v>
      </c>
      <c r="U23" s="704">
        <f t="shared" si="6"/>
        <v>1529314.9714704799</v>
      </c>
      <c r="V23" s="704">
        <f t="shared" si="6"/>
        <v>1202837.78747048</v>
      </c>
      <c r="W23" s="704">
        <f t="shared" si="6"/>
        <v>1529314.9714704799</v>
      </c>
      <c r="X23" s="704">
        <f t="shared" si="6"/>
        <v>1529314.9714704799</v>
      </c>
      <c r="Y23" s="704">
        <f t="shared" si="6"/>
        <v>1529314.9714704799</v>
      </c>
      <c r="Z23" s="704">
        <f t="shared" si="6"/>
        <v>1529314.9714704799</v>
      </c>
      <c r="AA23" s="704">
        <f t="shared" si="6"/>
        <v>1529314.9714704799</v>
      </c>
      <c r="AB23" s="704">
        <f t="shared" si="6"/>
        <v>1529314.9714704799</v>
      </c>
      <c r="AC23" s="704">
        <f t="shared" si="6"/>
        <v>1529314.9714704799</v>
      </c>
      <c r="AD23" s="704">
        <f t="shared" si="6"/>
        <v>1529314.9714704799</v>
      </c>
      <c r="AE23" s="704">
        <f t="shared" si="6"/>
        <v>1529314.9714704799</v>
      </c>
      <c r="AF23" s="594"/>
      <c r="AG23" s="486" t="str">
        <f>A23</f>
        <v>Preá - Alimentação</v>
      </c>
      <c r="AH23" s="705">
        <f t="shared" ref="AH23:BK23" si="7">IFERROR(-B26/B24,0)</f>
        <v>0</v>
      </c>
      <c r="AI23" s="705">
        <f t="shared" si="7"/>
        <v>0.502773847186894</v>
      </c>
      <c r="AJ23" s="705">
        <f t="shared" si="7"/>
        <v>0.49554498578442291</v>
      </c>
      <c r="AK23" s="705">
        <f t="shared" si="7"/>
        <v>0.48899110833910825</v>
      </c>
      <c r="AL23" s="705">
        <f t="shared" si="7"/>
        <v>0.48273776218251663</v>
      </c>
      <c r="AM23" s="705">
        <f t="shared" si="7"/>
        <v>0.47675922241875557</v>
      </c>
      <c r="AN23" s="705">
        <f t="shared" si="7"/>
        <v>0.47097818401235086</v>
      </c>
      <c r="AO23" s="705">
        <f t="shared" si="7"/>
        <v>0.46538446721329291</v>
      </c>
      <c r="AP23" s="705">
        <f t="shared" si="7"/>
        <v>0.46002546065692923</v>
      </c>
      <c r="AQ23" s="705">
        <f t="shared" si="7"/>
        <v>0.45488762279346878</v>
      </c>
      <c r="AR23" s="705">
        <f t="shared" si="7"/>
        <v>0.44989543436617807</v>
      </c>
      <c r="AS23" s="705">
        <f t="shared" si="7"/>
        <v>0.44505360920519127</v>
      </c>
      <c r="AT23" s="705">
        <f t="shared" si="7"/>
        <v>0.44034858564784346</v>
      </c>
      <c r="AU23" s="705">
        <f t="shared" si="7"/>
        <v>0.43578467686708228</v>
      </c>
      <c r="AV23" s="705">
        <f t="shared" si="7"/>
        <v>0.43135668614076828</v>
      </c>
      <c r="AW23" s="705">
        <f t="shared" si="7"/>
        <v>0.42707152504517759</v>
      </c>
      <c r="AX23" s="705">
        <f t="shared" si="7"/>
        <v>0.42293277905409854</v>
      </c>
      <c r="AY23" s="705">
        <f t="shared" si="7"/>
        <v>0.41894889192311202</v>
      </c>
      <c r="AZ23" s="705">
        <f t="shared" si="7"/>
        <v>0.41512269542163621</v>
      </c>
      <c r="BA23" s="705">
        <f t="shared" si="7"/>
        <v>0.41146441044145265</v>
      </c>
      <c r="BB23" s="705">
        <f t="shared" si="7"/>
        <v>0.41146441044145265</v>
      </c>
      <c r="BC23" s="705">
        <f t="shared" si="7"/>
        <v>0.41146441044145265</v>
      </c>
      <c r="BD23" s="705">
        <f t="shared" si="7"/>
        <v>0.41146441044145265</v>
      </c>
      <c r="BE23" s="705">
        <f t="shared" si="7"/>
        <v>0.41146441044145265</v>
      </c>
      <c r="BF23" s="705">
        <f t="shared" si="7"/>
        <v>0.41146441044145265</v>
      </c>
      <c r="BG23" s="705">
        <f t="shared" si="7"/>
        <v>0.41146441044145265</v>
      </c>
      <c r="BH23" s="705">
        <f t="shared" si="7"/>
        <v>0.41146441044145265</v>
      </c>
      <c r="BI23" s="705">
        <f t="shared" si="7"/>
        <v>0.41146441044145265</v>
      </c>
      <c r="BJ23" s="705">
        <f t="shared" si="7"/>
        <v>0.41146441044145265</v>
      </c>
      <c r="BK23" s="705">
        <f t="shared" si="7"/>
        <v>0.41146441044145265</v>
      </c>
      <c r="BL23" s="57"/>
      <c r="BM23" s="486" t="str">
        <f>AG23</f>
        <v>Preá - Alimentação</v>
      </c>
      <c r="BN23" s="705">
        <f t="shared" ref="BN23:CQ23" si="8">IFERROR(B32/B24,0)</f>
        <v>0</v>
      </c>
      <c r="BO23" s="705">
        <f t="shared" si="8"/>
        <v>0.3177378970726556</v>
      </c>
      <c r="BP23" s="705">
        <f t="shared" si="8"/>
        <v>0.32496650659128179</v>
      </c>
      <c r="BQ23" s="705">
        <f t="shared" si="8"/>
        <v>0.3315205302243579</v>
      </c>
      <c r="BR23" s="705">
        <f t="shared" si="8"/>
        <v>0.33777405508899533</v>
      </c>
      <c r="BS23" s="705">
        <f t="shared" si="8"/>
        <v>0.34375270961116172</v>
      </c>
      <c r="BT23" s="705">
        <f t="shared" si="8"/>
        <v>0.34953335520602424</v>
      </c>
      <c r="BU23" s="705">
        <f t="shared" si="8"/>
        <v>0.35512716551085582</v>
      </c>
      <c r="BV23" s="705">
        <f t="shared" si="8"/>
        <v>0.36048605154740032</v>
      </c>
      <c r="BW23" s="705">
        <f t="shared" si="8"/>
        <v>0.36562431864927331</v>
      </c>
      <c r="BX23" s="705">
        <f t="shared" si="8"/>
        <v>0.37061638191914148</v>
      </c>
      <c r="BY23" s="705">
        <f t="shared" si="8"/>
        <v>0.375458086036845</v>
      </c>
      <c r="BZ23" s="705">
        <f t="shared" si="8"/>
        <v>0.3801632143245896</v>
      </c>
      <c r="CA23" s="705">
        <f t="shared" si="8"/>
        <v>0.38472704896709781</v>
      </c>
      <c r="CB23" s="705">
        <f t="shared" si="8"/>
        <v>0.38915503954283426</v>
      </c>
      <c r="CC23" s="705">
        <f t="shared" si="8"/>
        <v>0.39344027542174431</v>
      </c>
      <c r="CD23" s="705">
        <f t="shared" si="8"/>
        <v>0.39757910821293946</v>
      </c>
      <c r="CE23" s="705">
        <f t="shared" si="8"/>
        <v>0.40156282343530975</v>
      </c>
      <c r="CF23" s="705">
        <f t="shared" si="8"/>
        <v>0.40538888229950593</v>
      </c>
      <c r="CG23" s="705">
        <f t="shared" si="8"/>
        <v>0.40904719428962544</v>
      </c>
      <c r="CH23" s="705">
        <f t="shared" si="8"/>
        <v>0.40904719428962544</v>
      </c>
      <c r="CI23" s="705">
        <f t="shared" si="8"/>
        <v>0.40904719428962544</v>
      </c>
      <c r="CJ23" s="705">
        <f t="shared" si="8"/>
        <v>0.40904719428962544</v>
      </c>
      <c r="CK23" s="705">
        <f t="shared" si="8"/>
        <v>0.40904719428962544</v>
      </c>
      <c r="CL23" s="705">
        <f t="shared" si="8"/>
        <v>0.40904719428962544</v>
      </c>
      <c r="CM23" s="705">
        <f t="shared" si="8"/>
        <v>0.40904719428962544</v>
      </c>
      <c r="CN23" s="705">
        <f t="shared" si="8"/>
        <v>0.40904719428962544</v>
      </c>
      <c r="CO23" s="705">
        <f t="shared" si="8"/>
        <v>0.40904719428962544</v>
      </c>
      <c r="CP23" s="705">
        <f t="shared" si="8"/>
        <v>0.40904719428962544</v>
      </c>
      <c r="CQ23" s="705">
        <f t="shared" si="8"/>
        <v>0.40904719428962544</v>
      </c>
    </row>
    <row r="24" spans="1:95" ht="33.75" hidden="1" customHeight="1" outlineLevel="1">
      <c r="A24" s="706" t="s">
        <v>680</v>
      </c>
      <c r="B24" s="707">
        <f>IFERROR(VLOOKUP($A23,ReceitaBruta,COLUMN('A4 - Previsão de Receita Bruta'!C25)-1,0),0)</f>
        <v>0</v>
      </c>
      <c r="C24" s="707">
        <f>IFERROR(VLOOKUP($A23,ReceitaBruta,COLUMN('A4 - Previsão de Receita Bruta'!D25)-1,0),0)</f>
        <v>2163900</v>
      </c>
      <c r="D24" s="707">
        <f>IFERROR(VLOOKUP($A23,ReceitaBruta,COLUMN('A4 - Previsão de Receita Bruta'!E25)-1,0),0)</f>
        <v>2238550</v>
      </c>
      <c r="E24" s="707">
        <f>IFERROR(VLOOKUP($A23,ReceitaBruta,COLUMN('A4 - Previsão de Receita Bruta'!F25)-1,0),0)</f>
        <v>2310825</v>
      </c>
      <c r="F24" s="707">
        <f>IFERROR(VLOOKUP($A23,ReceitaBruta,COLUMN('A4 - Previsão de Receita Bruta'!G25)-1,0),0)</f>
        <v>2384275</v>
      </c>
      <c r="G24" s="707">
        <f>IFERROR(VLOOKUP($A23,ReceitaBruta,COLUMN('A4 - Previsão de Receita Bruta'!H25)-1,0),0)</f>
        <v>2459000</v>
      </c>
      <c r="H24" s="707">
        <f>IFERROR(VLOOKUP($A23,ReceitaBruta,COLUMN('A4 - Previsão de Receita Bruta'!I25)-1,0),0)</f>
        <v>2535850</v>
      </c>
      <c r="I24" s="707">
        <f>IFERROR(VLOOKUP($A23,ReceitaBruta,COLUMN('A4 - Previsão de Receita Bruta'!J25)-1,0),0)</f>
        <v>2614925</v>
      </c>
      <c r="J24" s="707">
        <f>IFERROR(VLOOKUP($A23,ReceitaBruta,COLUMN('A4 - Previsão de Receita Bruta'!K25)-1,0),0)</f>
        <v>2695450</v>
      </c>
      <c r="K24" s="707">
        <f>IFERROR(VLOOKUP($A23,ReceitaBruta,COLUMN('A4 - Previsão de Receita Bruta'!L25)-1,0),0)</f>
        <v>2777450</v>
      </c>
      <c r="L24" s="707">
        <f>IFERROR(VLOOKUP($A23,ReceitaBruta,COLUMN('A4 - Previsão de Receita Bruta'!M25)-1,0),0)</f>
        <v>2862050</v>
      </c>
      <c r="M24" s="707">
        <f>IFERROR(VLOOKUP($A23,ReceitaBruta,COLUMN('A4 - Previsão de Receita Bruta'!N25)-1,0),0)</f>
        <v>2949175</v>
      </c>
      <c r="N24" s="707">
        <f>IFERROR(VLOOKUP($A23,ReceitaBruta,COLUMN('A4 - Previsão de Receita Bruta'!O25)-1,0),0)</f>
        <v>3039075</v>
      </c>
      <c r="O24" s="707">
        <f>IFERROR(VLOOKUP($A23,ReceitaBruta,COLUMN('A4 - Previsão de Receita Bruta'!P25)-1,0),0)</f>
        <v>3131675</v>
      </c>
      <c r="P24" s="707">
        <f>IFERROR(VLOOKUP($A23,ReceitaBruta,COLUMN('A4 - Previsão de Receita Bruta'!Q25)-1,0),0)</f>
        <v>3227075</v>
      </c>
      <c r="Q24" s="707">
        <f>IFERROR(VLOOKUP($A23,ReceitaBruta,COLUMN('A4 - Previsão de Receita Bruta'!R25)-1,0),0)</f>
        <v>3325100</v>
      </c>
      <c r="R24" s="707">
        <f>IFERROR(VLOOKUP($A23,ReceitaBruta,COLUMN('A4 - Previsão de Receita Bruta'!S25)-1,0),0)</f>
        <v>3425600</v>
      </c>
      <c r="S24" s="707">
        <f>IFERROR(VLOOKUP($A23,ReceitaBruta,COLUMN('A4 - Previsão de Receita Bruta'!T25)-1,0),0)</f>
        <v>3528250</v>
      </c>
      <c r="T24" s="707">
        <f>IFERROR(VLOOKUP($A23,ReceitaBruta,COLUMN('A4 - Previsão de Receita Bruta'!U25)-1,0),0)</f>
        <v>3632800</v>
      </c>
      <c r="U24" s="707">
        <f>IFERROR(VLOOKUP($A23,ReceitaBruta,COLUMN('A4 - Previsão de Receita Bruta'!V25)-1,0),0)</f>
        <v>3738725</v>
      </c>
      <c r="V24" s="707">
        <f>IFERROR(VLOOKUP($A23,ReceitaBruta,COLUMN('A4 - Previsão de Receita Bruta'!W25)-1,0),0)</f>
        <v>3738725</v>
      </c>
      <c r="W24" s="707">
        <f>IFERROR(VLOOKUP($A23,ReceitaBruta,COLUMN('A4 - Previsão de Receita Bruta'!X25)-1,0),0)</f>
        <v>3738725</v>
      </c>
      <c r="X24" s="707">
        <f>IFERROR(VLOOKUP($A23,ReceitaBruta,COLUMN('A4 - Previsão de Receita Bruta'!Y25)-1,0),0)</f>
        <v>3738725</v>
      </c>
      <c r="Y24" s="707">
        <f>IFERROR(VLOOKUP($A23,ReceitaBruta,COLUMN('A4 - Previsão de Receita Bruta'!Z25)-1,0),0)</f>
        <v>3738725</v>
      </c>
      <c r="Z24" s="707">
        <f>IFERROR(VLOOKUP($A23,ReceitaBruta,COLUMN('A4 - Previsão de Receita Bruta'!AA25)-1,0),0)</f>
        <v>3738725</v>
      </c>
      <c r="AA24" s="707">
        <f>IFERROR(VLOOKUP($A23,ReceitaBruta,COLUMN('A4 - Previsão de Receita Bruta'!AB25)-1,0),0)</f>
        <v>3738725</v>
      </c>
      <c r="AB24" s="707">
        <f>IFERROR(VLOOKUP($A23,ReceitaBruta,COLUMN('A4 - Previsão de Receita Bruta'!AC25)-1,0),0)</f>
        <v>3738725</v>
      </c>
      <c r="AC24" s="707">
        <f>IFERROR(VLOOKUP($A23,ReceitaBruta,COLUMN('A4 - Previsão de Receita Bruta'!AD25)-1,0),0)</f>
        <v>3738725</v>
      </c>
      <c r="AD24" s="707">
        <f>IFERROR(VLOOKUP($A23,ReceitaBruta,COLUMN('A4 - Previsão de Receita Bruta'!AE25)-1,0),0)</f>
        <v>3738725</v>
      </c>
      <c r="AE24" s="707">
        <f>IFERROR(VLOOKUP($A23,ReceitaBruta,COLUMN('A4 - Previsão de Receita Bruta'!AF25)-1,0),0)</f>
        <v>3738725</v>
      </c>
      <c r="AF24" s="594"/>
      <c r="AG24" s="594"/>
      <c r="AH24" s="594"/>
      <c r="AI24" s="594"/>
      <c r="AJ24" s="594"/>
      <c r="AK24" s="594"/>
      <c r="AL24" s="594"/>
      <c r="AM24" s="594"/>
      <c r="AN24" s="594"/>
      <c r="AO24" s="594"/>
      <c r="AP24" s="594"/>
      <c r="AQ24" s="594"/>
      <c r="AR24" s="594"/>
      <c r="AS24" s="594"/>
      <c r="AT24" s="594"/>
      <c r="AU24" s="594"/>
      <c r="AV24" s="594"/>
      <c r="AW24" s="594"/>
      <c r="AX24" s="594"/>
      <c r="AY24" s="594"/>
      <c r="AZ24" s="594"/>
      <c r="BA24" s="594"/>
      <c r="BB24" s="594"/>
      <c r="BC24" s="594"/>
      <c r="BD24" s="594"/>
      <c r="BE24" s="594"/>
      <c r="BF24" s="594"/>
      <c r="BG24" s="594"/>
      <c r="BH24" s="594"/>
      <c r="BI24" s="594"/>
      <c r="BJ24" s="594"/>
      <c r="BK24" s="594"/>
      <c r="BL24" s="57"/>
      <c r="BM24" s="594"/>
      <c r="BN24" s="594"/>
      <c r="BO24" s="594"/>
      <c r="BP24" s="594"/>
      <c r="BQ24" s="594"/>
      <c r="BR24" s="594"/>
      <c r="BS24" s="594"/>
      <c r="BT24" s="594"/>
      <c r="BU24" s="594"/>
      <c r="BV24" s="594"/>
      <c r="BW24" s="594"/>
      <c r="BX24" s="594"/>
      <c r="BY24" s="594"/>
      <c r="BZ24" s="594"/>
      <c r="CA24" s="594"/>
      <c r="CB24" s="594"/>
      <c r="CC24" s="594"/>
      <c r="CD24" s="594"/>
      <c r="CE24" s="594"/>
      <c r="CF24" s="594"/>
      <c r="CG24" s="594"/>
      <c r="CH24" s="594"/>
      <c r="CI24" s="594"/>
      <c r="CJ24" s="594"/>
      <c r="CK24" s="594"/>
      <c r="CL24" s="594"/>
      <c r="CM24" s="594"/>
      <c r="CN24" s="594"/>
      <c r="CO24" s="594"/>
      <c r="CP24" s="594"/>
      <c r="CQ24" s="594"/>
    </row>
    <row r="25" spans="1:95" ht="21" hidden="1" customHeight="1" outlineLevel="1">
      <c r="A25" s="708" t="s">
        <v>681</v>
      </c>
      <c r="B25" s="707">
        <f>IFERROR(-'E2 - Tributos'!D$19*VLOOKUP('F1 - FCL'!$A23,ReceitaBruta,COLUMN('A4 - Previsão de Receita Bruta'!C$6)-1,0),0)</f>
        <v>0</v>
      </c>
      <c r="C25" s="707">
        <f>IFERROR(-'E2 - Tributos'!E$19*VLOOKUP('F1 - FCL'!$A23,ReceitaBruta,COLUMN('A4 - Previsão de Receita Bruta'!D$6)-1,0),0)</f>
        <v>-388394.63659676048</v>
      </c>
      <c r="D25" s="707">
        <f>IFERROR(-'E2 - Tributos'!F$19*VLOOKUP('F1 - FCL'!$A23,ReceitaBruta,COLUMN('A4 - Previsão de Receita Bruta'!E$6)-1,0),0)</f>
        <v>-401793.99874236627</v>
      </c>
      <c r="E25" s="707">
        <f>IFERROR(-'E2 - Tributos'!G$19*VLOOKUP('F1 - FCL'!$A23,ReceitaBruta,COLUMN('A4 - Previsão de Receita Bruta'!F$6)-1,0),0)</f>
        <v>-414766.19281657832</v>
      </c>
      <c r="F25" s="707">
        <f>IFERROR(-'E2 - Tributos'!H$19*VLOOKUP('F1 - FCL'!$A23,ReceitaBruta,COLUMN('A4 - Previsão de Receita Bruta'!G$6)-1,0),0)</f>
        <v>-427949.18687496596</v>
      </c>
      <c r="G25" s="707">
        <f>IFERROR(-'E2 - Tributos'!I$19*VLOOKUP('F1 - FCL'!$A23,ReceitaBruta,COLUMN('A4 - Previsão de Receita Bruta'!H$6)-1,0),0)</f>
        <v>-441361.15913843346</v>
      </c>
      <c r="H25" s="707">
        <f>IFERROR(-'E2 - Tributos'!J$19*VLOOKUP('F1 - FCL'!$A23,ReceitaBruta,COLUMN('A4 - Previsão de Receita Bruta'!I$6)-1,0),0)</f>
        <v>-455155.81327308336</v>
      </c>
      <c r="I25" s="707">
        <f>IFERROR(-'E2 - Tributos'!K$19*VLOOKUP('F1 - FCL'!$A23,ReceitaBruta,COLUMN('A4 - Previsão de Receita Bruta'!J$6)-1,0),0)</f>
        <v>-469348.61879880517</v>
      </c>
      <c r="J25" s="707">
        <f>IFERROR(-'E2 - Tributos'!L$19*VLOOKUP('F1 - FCL'!$A23,ReceitaBruta,COLUMN('A4 - Previsão de Receita Bruta'!K$6)-1,0),0)</f>
        <v>-483802.24442883983</v>
      </c>
      <c r="K25" s="707">
        <f>IFERROR(-'E2 - Tributos'!M$19*VLOOKUP('F1 - FCL'!$A23,ReceitaBruta,COLUMN('A4 - Previsão de Receita Bruta'!L$6)-1,0),0)</f>
        <v>-498519.10823985591</v>
      </c>
      <c r="L25" s="707">
        <f>IFERROR(-'E2 - Tributos'!N$19*VLOOKUP('F1 - FCL'!$A23,ReceitaBruta,COLUMN('A4 - Previsão de Receita Bruta'!M$6)-1,0),0)</f>
        <v>-513704.15620060131</v>
      </c>
      <c r="M25" s="707">
        <f>IFERROR(-'E2 - Tributos'!O$19*VLOOKUP('F1 - FCL'!$A23,ReceitaBruta,COLUMN('A4 - Previsão de Receita Bruta'!N$6)-1,0),0)</f>
        <v>-529342.42118456773</v>
      </c>
      <c r="N25" s="707">
        <f>IFERROR(-'E2 - Tributos'!P$19*VLOOKUP('F1 - FCL'!$A23,ReceitaBruta,COLUMN('A4 - Previsão de Receita Bruta'!O$6)-1,0),0)</f>
        <v>-545478.10149877821</v>
      </c>
      <c r="O25" s="707">
        <f>IFERROR(-'E2 - Tributos'!Q$19*VLOOKUP('F1 - FCL'!$A23,ReceitaBruta,COLUMN('A4 - Previsão de Receita Bruta'!P$6)-1,0),0)</f>
        <v>-562098.94099824387</v>
      </c>
      <c r="P25" s="707">
        <f>IFERROR(-'E2 - Tributos'!R$19*VLOOKUP('F1 - FCL'!$A23,ReceitaBruta,COLUMN('A4 - Previsão de Receita Bruta'!Q$6)-1,0),0)</f>
        <v>-579222.12283958809</v>
      </c>
      <c r="Q25" s="707">
        <f>IFERROR(-'E2 - Tributos'!S$19*VLOOKUP('F1 - FCL'!$A23,ReceitaBruta,COLUMN('A4 - Previsão de Receita Bruta'!R$6)-1,0),0)</f>
        <v>-596816.21226743795</v>
      </c>
      <c r="R25" s="707">
        <f>IFERROR(-'E2 - Tributos'!T$19*VLOOKUP('F1 - FCL'!$A23,ReceitaBruta,COLUMN('A4 - Previsão de Receita Bruta'!S$6)-1,0),0)</f>
        <v>-614854.47897803457</v>
      </c>
      <c r="S25" s="707">
        <f>IFERROR(-'E2 - Tributos'!U$19*VLOOKUP('F1 - FCL'!$A23,ReceitaBruta,COLUMN('A4 - Previsão de Receita Bruta'!T$6)-1,0),0)</f>
        <v>-633279.54028664867</v>
      </c>
      <c r="T25" s="707">
        <f>IFERROR(-'E2 - Tributos'!V$19*VLOOKUP('F1 - FCL'!$A23,ReceitaBruta,COLUMN('A4 - Previsão de Receita Bruta'!U$6)-1,0),0)</f>
        <v>-652045.54045463505</v>
      </c>
      <c r="U25" s="707">
        <f>IFERROR(-'E2 - Tributos'!W$19*VLOOKUP('F1 - FCL'!$A23,ReceitaBruta,COLUMN('A4 - Previsão de Receita Bruta'!V$6)-1,0),0)</f>
        <v>-671057.75060180039</v>
      </c>
      <c r="V25" s="707">
        <f>IFERROR(-'E2 - Tributos'!X$19*VLOOKUP('F1 - FCL'!$A23,ReceitaBruta,COLUMN('A4 - Previsão de Receita Bruta'!W$6)-1,0),0)</f>
        <v>-671057.75060180039</v>
      </c>
      <c r="W25" s="707">
        <f>IFERROR(-'E2 - Tributos'!Y$19*VLOOKUP('F1 - FCL'!$A23,ReceitaBruta,COLUMN('A4 - Previsão de Receita Bruta'!X$6)-1,0),0)</f>
        <v>-671057.75060180039</v>
      </c>
      <c r="X25" s="707">
        <f>IFERROR(-'E2 - Tributos'!Z$19*VLOOKUP('F1 - FCL'!$A23,ReceitaBruta,COLUMN('A4 - Previsão de Receita Bruta'!Y$6)-1,0),0)</f>
        <v>-671057.75060180039</v>
      </c>
      <c r="Y25" s="707">
        <f>IFERROR(-'E2 - Tributos'!AA$19*VLOOKUP('F1 - FCL'!$A23,ReceitaBruta,COLUMN('A4 - Previsão de Receita Bruta'!Z$6)-1,0),0)</f>
        <v>-671057.75060180039</v>
      </c>
      <c r="Z25" s="707">
        <f>IFERROR(-'E2 - Tributos'!AB$19*VLOOKUP('F1 - FCL'!$A23,ReceitaBruta,COLUMN('A4 - Previsão de Receita Bruta'!AA$6)-1,0),0)</f>
        <v>-671057.75060180039</v>
      </c>
      <c r="AA25" s="707">
        <f>IFERROR(-'E2 - Tributos'!AC$19*VLOOKUP('F1 - FCL'!$A23,ReceitaBruta,COLUMN('A4 - Previsão de Receita Bruta'!AB$6)-1,0),0)</f>
        <v>-671057.75060180039</v>
      </c>
      <c r="AB25" s="707">
        <f>IFERROR(-'E2 - Tributos'!AD$19*VLOOKUP('F1 - FCL'!$A23,ReceitaBruta,COLUMN('A4 - Previsão de Receita Bruta'!AC$6)-1,0),0)</f>
        <v>-671057.75060180039</v>
      </c>
      <c r="AC25" s="707">
        <f>IFERROR(-'E2 - Tributos'!AE$19*VLOOKUP('F1 - FCL'!$A23,ReceitaBruta,COLUMN('A4 - Previsão de Receita Bruta'!AD$6)-1,0),0)</f>
        <v>-671057.75060180039</v>
      </c>
      <c r="AD25" s="707">
        <f>IFERROR(-'E2 - Tributos'!AF$19*VLOOKUP('F1 - FCL'!$A23,ReceitaBruta,COLUMN('A4 - Previsão de Receita Bruta'!AE$6)-1,0),0)</f>
        <v>-671057.75060180039</v>
      </c>
      <c r="AE25" s="707">
        <f>IFERROR(-'E2 - Tributos'!AG$19*VLOOKUP('F1 - FCL'!$A23,ReceitaBruta,COLUMN('A4 - Previsão de Receita Bruta'!AF$6)-1,0),0)</f>
        <v>-671057.75060180039</v>
      </c>
      <c r="AF25" s="594"/>
      <c r="AG25" s="594"/>
      <c r="AH25" s="594"/>
      <c r="AI25" s="594"/>
      <c r="AJ25" s="594"/>
      <c r="AK25" s="594"/>
      <c r="AL25" s="594"/>
      <c r="AM25" s="594"/>
      <c r="AN25" s="594"/>
      <c r="AO25" s="594"/>
      <c r="AP25" s="594"/>
      <c r="AQ25" s="594"/>
      <c r="AR25" s="594"/>
      <c r="AS25" s="594"/>
      <c r="AT25" s="594"/>
      <c r="AU25" s="594"/>
      <c r="AV25" s="594"/>
      <c r="AW25" s="594"/>
      <c r="AX25" s="594"/>
      <c r="AY25" s="594"/>
      <c r="AZ25" s="594"/>
      <c r="BA25" s="594"/>
      <c r="BB25" s="594"/>
      <c r="BC25" s="594"/>
      <c r="BD25" s="594"/>
      <c r="BE25" s="594"/>
      <c r="BF25" s="594"/>
      <c r="BG25" s="594"/>
      <c r="BH25" s="594"/>
      <c r="BI25" s="594"/>
      <c r="BJ25" s="594"/>
      <c r="BK25" s="594"/>
      <c r="BL25" s="57"/>
      <c r="BM25" s="594"/>
      <c r="BN25" s="594"/>
      <c r="BO25" s="594"/>
      <c r="BP25" s="594"/>
      <c r="BQ25" s="594"/>
      <c r="BR25" s="594"/>
      <c r="BS25" s="594"/>
      <c r="BT25" s="594"/>
      <c r="BU25" s="594"/>
      <c r="BV25" s="594"/>
      <c r="BW25" s="594"/>
      <c r="BX25" s="594"/>
      <c r="BY25" s="594"/>
      <c r="BZ25" s="594"/>
      <c r="CA25" s="594"/>
      <c r="CB25" s="594"/>
      <c r="CC25" s="594"/>
      <c r="CD25" s="594"/>
      <c r="CE25" s="594"/>
      <c r="CF25" s="594"/>
      <c r="CG25" s="594"/>
      <c r="CH25" s="594"/>
      <c r="CI25" s="594"/>
      <c r="CJ25" s="594"/>
      <c r="CK25" s="594"/>
      <c r="CL25" s="594"/>
      <c r="CM25" s="594"/>
      <c r="CN25" s="594"/>
      <c r="CO25" s="594"/>
      <c r="CP25" s="594"/>
      <c r="CQ25" s="594"/>
    </row>
    <row r="26" spans="1:95" ht="19.5" hidden="1" customHeight="1" outlineLevel="1">
      <c r="A26" s="708" t="s">
        <v>590</v>
      </c>
      <c r="B26" s="707">
        <f t="shared" ref="B26:AE26" si="9">SUM(B27:B31)</f>
        <v>-30882.647199999999</v>
      </c>
      <c r="C26" s="707">
        <f t="shared" si="9"/>
        <v>-1087952.32792772</v>
      </c>
      <c r="D26" s="707">
        <f t="shared" si="9"/>
        <v>-1109302.2279277199</v>
      </c>
      <c r="E26" s="707">
        <f t="shared" si="9"/>
        <v>-1129972.8779277198</v>
      </c>
      <c r="F26" s="707">
        <f t="shared" si="9"/>
        <v>-1150979.5779277198</v>
      </c>
      <c r="G26" s="707">
        <f t="shared" si="9"/>
        <v>-1172350.9279277199</v>
      </c>
      <c r="H26" s="707">
        <f t="shared" si="9"/>
        <v>-1194330.02792772</v>
      </c>
      <c r="I26" s="707">
        <f t="shared" si="9"/>
        <v>-1216945.4779277199</v>
      </c>
      <c r="J26" s="707">
        <f t="shared" si="9"/>
        <v>-1239975.6279277198</v>
      </c>
      <c r="K26" s="707">
        <f t="shared" si="9"/>
        <v>-1263427.6279277198</v>
      </c>
      <c r="L26" s="707">
        <f t="shared" si="9"/>
        <v>-1287623.2279277199</v>
      </c>
      <c r="M26" s="707">
        <f t="shared" si="9"/>
        <v>-1312540.9779277199</v>
      </c>
      <c r="N26" s="707">
        <f t="shared" si="9"/>
        <v>-1338252.3779277198</v>
      </c>
      <c r="O26" s="707">
        <f t="shared" si="9"/>
        <v>-1364735.9779277199</v>
      </c>
      <c r="P26" s="707">
        <f t="shared" si="9"/>
        <v>-1392020.3779277198</v>
      </c>
      <c r="Q26" s="707">
        <f t="shared" si="9"/>
        <v>-1420055.52792772</v>
      </c>
      <c r="R26" s="707">
        <f t="shared" si="9"/>
        <v>-1448798.52792772</v>
      </c>
      <c r="S26" s="707">
        <f t="shared" si="9"/>
        <v>-1478156.4279277199</v>
      </c>
      <c r="T26" s="707">
        <f t="shared" si="9"/>
        <v>-1508057.7279277199</v>
      </c>
      <c r="U26" s="707">
        <f t="shared" si="9"/>
        <v>-1538352.27792772</v>
      </c>
      <c r="V26" s="707">
        <f t="shared" si="9"/>
        <v>-1538352.27792772</v>
      </c>
      <c r="W26" s="707">
        <f t="shared" si="9"/>
        <v>-1538352.27792772</v>
      </c>
      <c r="X26" s="707">
        <f t="shared" si="9"/>
        <v>-1538352.27792772</v>
      </c>
      <c r="Y26" s="707">
        <f t="shared" si="9"/>
        <v>-1538352.27792772</v>
      </c>
      <c r="Z26" s="707">
        <f t="shared" si="9"/>
        <v>-1538352.27792772</v>
      </c>
      <c r="AA26" s="707">
        <f t="shared" si="9"/>
        <v>-1538352.27792772</v>
      </c>
      <c r="AB26" s="707">
        <f t="shared" si="9"/>
        <v>-1538352.27792772</v>
      </c>
      <c r="AC26" s="707">
        <f t="shared" si="9"/>
        <v>-1538352.27792772</v>
      </c>
      <c r="AD26" s="707">
        <f t="shared" si="9"/>
        <v>-1538352.27792772</v>
      </c>
      <c r="AE26" s="707">
        <f t="shared" si="9"/>
        <v>-1538352.27792772</v>
      </c>
      <c r="AF26" s="594"/>
      <c r="AG26" s="594"/>
      <c r="AH26" s="594"/>
      <c r="AI26" s="594"/>
      <c r="AJ26" s="594"/>
      <c r="AK26" s="594"/>
      <c r="AL26" s="594"/>
      <c r="AM26" s="594"/>
      <c r="AN26" s="594"/>
      <c r="AO26" s="594"/>
      <c r="AP26" s="594"/>
      <c r="AQ26" s="594"/>
      <c r="AR26" s="594"/>
      <c r="AS26" s="594"/>
      <c r="AT26" s="594"/>
      <c r="AU26" s="594"/>
      <c r="AV26" s="594"/>
      <c r="AW26" s="594"/>
      <c r="AX26" s="594"/>
      <c r="AY26" s="594"/>
      <c r="AZ26" s="594"/>
      <c r="BA26" s="594"/>
      <c r="BB26" s="594"/>
      <c r="BC26" s="594"/>
      <c r="BD26" s="594"/>
      <c r="BE26" s="594"/>
      <c r="BF26" s="594"/>
      <c r="BG26" s="594"/>
      <c r="BH26" s="594"/>
      <c r="BI26" s="594"/>
      <c r="BJ26" s="594"/>
      <c r="BK26" s="594"/>
      <c r="BL26" s="57"/>
      <c r="BM26" s="594"/>
      <c r="BN26" s="594"/>
      <c r="BO26" s="594"/>
      <c r="BP26" s="594"/>
      <c r="BQ26" s="594"/>
      <c r="BR26" s="594"/>
      <c r="BS26" s="594"/>
      <c r="BT26" s="594"/>
      <c r="BU26" s="594"/>
      <c r="BV26" s="594"/>
      <c r="BW26" s="594"/>
      <c r="BX26" s="594"/>
      <c r="BY26" s="594"/>
      <c r="BZ26" s="594"/>
      <c r="CA26" s="594"/>
      <c r="CB26" s="594"/>
      <c r="CC26" s="594"/>
      <c r="CD26" s="594"/>
      <c r="CE26" s="594"/>
      <c r="CF26" s="594"/>
      <c r="CG26" s="594"/>
      <c r="CH26" s="594"/>
      <c r="CI26" s="594"/>
      <c r="CJ26" s="594"/>
      <c r="CK26" s="594"/>
      <c r="CL26" s="594"/>
      <c r="CM26" s="594"/>
      <c r="CN26" s="594"/>
      <c r="CO26" s="594"/>
      <c r="CP26" s="594"/>
      <c r="CQ26" s="594"/>
    </row>
    <row r="27" spans="1:95" ht="21" hidden="1" customHeight="1" outlineLevel="2">
      <c r="A27" s="709" t="s">
        <v>682</v>
      </c>
      <c r="B27" s="710">
        <f>IF($A23="",0,-SUMIF('C3 - Funcionários $'!$D$7:$D$121,$A23,'C3 - Funcionários $'!G$7:G$121))</f>
        <v>0</v>
      </c>
      <c r="C27" s="710">
        <f>IF($A23="",0,-SUMIF('C3 - Funcionários $'!$D$7:$D$121,$A23,'C3 - Funcionários $'!H$7:H$121))</f>
        <v>-438194.28072772</v>
      </c>
      <c r="D27" s="710">
        <f>IF($A23="",0,-SUMIF('C3 - Funcionários $'!$D$7:$D$121,$A23,'C3 - Funcionários $'!I$7:I$121))</f>
        <v>-438194.28072772</v>
      </c>
      <c r="E27" s="710">
        <f>IF($A23="",0,-SUMIF('C3 - Funcionários $'!$D$7:$D$121,$A23,'C3 - Funcionários $'!J$7:J$121))</f>
        <v>-438194.28072772</v>
      </c>
      <c r="F27" s="710">
        <f>IF($A23="",0,-SUMIF('C3 - Funcionários $'!$D$7:$D$121,$A23,'C3 - Funcionários $'!K$7:K$121))</f>
        <v>-438194.28072772</v>
      </c>
      <c r="G27" s="710">
        <f>IF($A23="",0,-SUMIF('C3 - Funcionários $'!$D$7:$D$121,$A23,'C3 - Funcionários $'!L$7:L$121))</f>
        <v>-438194.28072772</v>
      </c>
      <c r="H27" s="710">
        <f>IF($A23="",0,-SUMIF('C3 - Funcionários $'!$D$7:$D$121,$A23,'C3 - Funcionários $'!M$7:M$121))</f>
        <v>-438194.28072772</v>
      </c>
      <c r="I27" s="710">
        <f>IF($A23="",0,-SUMIF('C3 - Funcionários $'!$D$7:$D$121,$A23,'C3 - Funcionários $'!N$7:N$121))</f>
        <v>-438194.28072772</v>
      </c>
      <c r="J27" s="710">
        <f>IF($A23="",0,-SUMIF('C3 - Funcionários $'!$D$7:$D$121,$A23,'C3 - Funcionários $'!O$7:O$121))</f>
        <v>-438194.28072772</v>
      </c>
      <c r="K27" s="710">
        <f>IF($A23="",0,-SUMIF('C3 - Funcionários $'!$D$7:$D$121,$A23,'C3 - Funcionários $'!P$7:P$121))</f>
        <v>-438194.28072772</v>
      </c>
      <c r="L27" s="710">
        <f>IF($A23="",0,-SUMIF('C3 - Funcionários $'!$D$7:$D$121,$A23,'C3 - Funcionários $'!Q$7:Q$121))</f>
        <v>-438194.28072772</v>
      </c>
      <c r="M27" s="710">
        <f>IF($A23="",0,-SUMIF('C3 - Funcionários $'!$D$7:$D$121,$A23,'C3 - Funcionários $'!R$7:R$121))</f>
        <v>-438194.28072772</v>
      </c>
      <c r="N27" s="710">
        <f>IF($A23="",0,-SUMIF('C3 - Funcionários $'!$D$7:$D$121,$A23,'C3 - Funcionários $'!S$7:S$121))</f>
        <v>-438194.28072772</v>
      </c>
      <c r="O27" s="710">
        <f>IF($A23="",0,-SUMIF('C3 - Funcionários $'!$D$7:$D$121,$A23,'C3 - Funcionários $'!T$7:T$121))</f>
        <v>-438194.28072772</v>
      </c>
      <c r="P27" s="710">
        <f>IF($A23="",0,-SUMIF('C3 - Funcionários $'!$D$7:$D$121,$A23,'C3 - Funcionários $'!U$7:U$121))</f>
        <v>-438194.28072772</v>
      </c>
      <c r="Q27" s="710">
        <f>IF($A23="",0,-SUMIF('C3 - Funcionários $'!$D$7:$D$121,$A23,'C3 - Funcionários $'!V$7:V$121))</f>
        <v>-438194.28072772</v>
      </c>
      <c r="R27" s="710">
        <f>IF($A23="",0,-SUMIF('C3 - Funcionários $'!$D$7:$D$121,$A23,'C3 - Funcionários $'!W$7:W$121))</f>
        <v>-438194.28072772</v>
      </c>
      <c r="S27" s="710">
        <f>IF($A23="",0,-SUMIF('C3 - Funcionários $'!$D$7:$D$121,$A23,'C3 - Funcionários $'!X$7:X$121))</f>
        <v>-438194.28072772</v>
      </c>
      <c r="T27" s="710">
        <f>IF($A23="",0,-SUMIF('C3 - Funcionários $'!$D$7:$D$121,$A23,'C3 - Funcionários $'!Y$7:Y$121))</f>
        <v>-438194.28072772</v>
      </c>
      <c r="U27" s="710">
        <f>IF($A23="",0,-SUMIF('C3 - Funcionários $'!$D$7:$D$121,$A23,'C3 - Funcionários $'!Z$7:Z$121))</f>
        <v>-438194.28072772</v>
      </c>
      <c r="V27" s="710">
        <f>IF($A23="",0,-SUMIF('C3 - Funcionários $'!$D$7:$D$121,$A23,'C3 - Funcionários $'!AA$7:AA$121))</f>
        <v>-438194.28072772</v>
      </c>
      <c r="W27" s="710">
        <f>IF($A23="",0,-SUMIF('C3 - Funcionários $'!$D$7:$D$121,$A23,'C3 - Funcionários $'!AB$7:AB$121))</f>
        <v>-438194.28072772</v>
      </c>
      <c r="X27" s="710">
        <f>IF($A23="",0,-SUMIF('C3 - Funcionários $'!$D$7:$D$121,$A23,'C3 - Funcionários $'!AC$7:AC$121))</f>
        <v>-438194.28072772</v>
      </c>
      <c r="Y27" s="710">
        <f>IF($A23="",0,-SUMIF('C3 - Funcionários $'!$D$7:$D$121,$A23,'C3 - Funcionários $'!AD$7:AD$121))</f>
        <v>-438194.28072772</v>
      </c>
      <c r="Z27" s="710">
        <f>IF($A23="",0,-SUMIF('C3 - Funcionários $'!$D$7:$D$121,$A23,'C3 - Funcionários $'!AE$7:AE$121))</f>
        <v>-438194.28072772</v>
      </c>
      <c r="AA27" s="710">
        <f>IF($A23="",0,-SUMIF('C3 - Funcionários $'!$D$7:$D$121,$A23,'C3 - Funcionários $'!AF$7:AF$121))</f>
        <v>-438194.28072772</v>
      </c>
      <c r="AB27" s="710">
        <f>IF($A23="",0,-SUMIF('C3 - Funcionários $'!$D$7:$D$121,$A23,'C3 - Funcionários $'!AG$7:AG$121))</f>
        <v>-438194.28072772</v>
      </c>
      <c r="AC27" s="710">
        <f>IF($A23="",0,-SUMIF('C3 - Funcionários $'!$D$7:$D$121,$A23,'C3 - Funcionários $'!AH$7:AH$121))</f>
        <v>-438194.28072772</v>
      </c>
      <c r="AD27" s="710">
        <f>IF($A23="",0,-SUMIF('C3 - Funcionários $'!$D$7:$D$121,$A23,'C3 - Funcionários $'!AI$7:AI$121))</f>
        <v>-438194.28072772</v>
      </c>
      <c r="AE27" s="710">
        <f>IF($A23="",0,-SUMIF('C3 - Funcionários $'!$D$7:$D$121,$A23,'C3 - Funcionários $'!AJ$7:AJ$121))</f>
        <v>-438194.28072772</v>
      </c>
      <c r="AF27" s="594"/>
      <c r="AG27" s="594"/>
      <c r="AH27" s="594"/>
      <c r="AI27" s="594"/>
      <c r="AJ27" s="594"/>
      <c r="AK27" s="594"/>
      <c r="AL27" s="594"/>
      <c r="AM27" s="594"/>
      <c r="AN27" s="594"/>
      <c r="AO27" s="594"/>
      <c r="AP27" s="594"/>
      <c r="AQ27" s="594"/>
      <c r="AR27" s="594"/>
      <c r="AS27" s="594"/>
      <c r="AT27" s="594"/>
      <c r="AU27" s="594"/>
      <c r="AV27" s="594"/>
      <c r="AW27" s="594"/>
      <c r="AX27" s="594"/>
      <c r="AY27" s="594"/>
      <c r="AZ27" s="594"/>
      <c r="BA27" s="594"/>
      <c r="BB27" s="594"/>
      <c r="BC27" s="594"/>
      <c r="BD27" s="594"/>
      <c r="BE27" s="594"/>
      <c r="BF27" s="594"/>
      <c r="BG27" s="594"/>
      <c r="BH27" s="594"/>
      <c r="BI27" s="594"/>
      <c r="BJ27" s="594"/>
      <c r="BK27" s="594"/>
      <c r="BL27" s="57"/>
      <c r="BM27" s="594"/>
      <c r="BN27" s="594"/>
      <c r="BO27" s="594"/>
      <c r="BP27" s="594"/>
      <c r="BQ27" s="594"/>
      <c r="BR27" s="594"/>
      <c r="BS27" s="594"/>
      <c r="BT27" s="594"/>
      <c r="BU27" s="594"/>
      <c r="BV27" s="594"/>
      <c r="BW27" s="594"/>
      <c r="BX27" s="594"/>
      <c r="BY27" s="594"/>
      <c r="BZ27" s="594"/>
      <c r="CA27" s="594"/>
      <c r="CB27" s="594"/>
      <c r="CC27" s="594"/>
      <c r="CD27" s="594"/>
      <c r="CE27" s="594"/>
      <c r="CF27" s="594"/>
      <c r="CG27" s="594"/>
      <c r="CH27" s="594"/>
      <c r="CI27" s="594"/>
      <c r="CJ27" s="594"/>
      <c r="CK27" s="594"/>
      <c r="CL27" s="594"/>
      <c r="CM27" s="594"/>
      <c r="CN27" s="594"/>
      <c r="CO27" s="594"/>
      <c r="CP27" s="594"/>
      <c r="CQ27" s="594"/>
    </row>
    <row r="28" spans="1:95" ht="21" hidden="1" customHeight="1" outlineLevel="2">
      <c r="A28" s="709" t="s">
        <v>683</v>
      </c>
      <c r="B28" s="710">
        <f>IFERROR(-VLOOKUP($A23,CustoDiretoTotal,COLUMN('B2 - Custos diretos totais'!C$3)-1,0),0)</f>
        <v>0</v>
      </c>
      <c r="C28" s="710">
        <f>IFERROR(-VLOOKUP($A23,CustoDiretoTotal,COLUMN('B2 - Custos diretos totais'!D$3)-1,0),0)</f>
        <v>-584253</v>
      </c>
      <c r="D28" s="710">
        <f>IFERROR(-VLOOKUP($A23,CustoDiretoTotal,COLUMN('B2 - Custos diretos totais'!E$3)-1,0),0)</f>
        <v>-604408.5</v>
      </c>
      <c r="E28" s="710">
        <f>IFERROR(-VLOOKUP($A23,CustoDiretoTotal,COLUMN('B2 - Custos diretos totais'!F$3)-1,0),0)</f>
        <v>-623922.75</v>
      </c>
      <c r="F28" s="710">
        <f>IFERROR(-VLOOKUP($A23,CustoDiretoTotal,COLUMN('B2 - Custos diretos totais'!G$3)-1,0),0)</f>
        <v>-643754.25</v>
      </c>
      <c r="G28" s="710">
        <f>IFERROR(-VLOOKUP($A23,CustoDiretoTotal,COLUMN('B2 - Custos diretos totais'!H$3)-1,0),0)</f>
        <v>-663930</v>
      </c>
      <c r="H28" s="710">
        <f>IFERROR(-VLOOKUP($A23,CustoDiretoTotal,COLUMN('B2 - Custos diretos totais'!I$3)-1,0),0)</f>
        <v>-684679.5</v>
      </c>
      <c r="I28" s="710">
        <f>IFERROR(-VLOOKUP($A23,CustoDiretoTotal,COLUMN('B2 - Custos diretos totais'!J$3)-1,0),0)</f>
        <v>-706029.75</v>
      </c>
      <c r="J28" s="710">
        <f>IFERROR(-VLOOKUP($A23,CustoDiretoTotal,COLUMN('B2 - Custos diretos totais'!K$3)-1,0),0)</f>
        <v>-727771.5</v>
      </c>
      <c r="K28" s="710">
        <f>IFERROR(-VLOOKUP($A23,CustoDiretoTotal,COLUMN('B2 - Custos diretos totais'!L$3)-1,0),0)</f>
        <v>-749911.5</v>
      </c>
      <c r="L28" s="710">
        <f>IFERROR(-VLOOKUP($A23,CustoDiretoTotal,COLUMN('B2 - Custos diretos totais'!M$3)-1,0),0)</f>
        <v>-772753.5</v>
      </c>
      <c r="M28" s="710">
        <f>IFERROR(-VLOOKUP($A23,CustoDiretoTotal,COLUMN('B2 - Custos diretos totais'!N$3)-1,0),0)</f>
        <v>-796277.25</v>
      </c>
      <c r="N28" s="710">
        <f>IFERROR(-VLOOKUP($A23,CustoDiretoTotal,COLUMN('B2 - Custos diretos totais'!O$3)-1,0),0)</f>
        <v>-820550.25</v>
      </c>
      <c r="O28" s="710">
        <f>IFERROR(-VLOOKUP($A23,CustoDiretoTotal,COLUMN('B2 - Custos diretos totais'!P$3)-1,0),0)</f>
        <v>-845552.25</v>
      </c>
      <c r="P28" s="710">
        <f>IFERROR(-VLOOKUP($A23,CustoDiretoTotal,COLUMN('B2 - Custos diretos totais'!Q$3)-1,0),0)</f>
        <v>-871310.25</v>
      </c>
      <c r="Q28" s="710">
        <f>IFERROR(-VLOOKUP($A23,CustoDiretoTotal,COLUMN('B2 - Custos diretos totais'!R$3)-1,0),0)</f>
        <v>-897777</v>
      </c>
      <c r="R28" s="710">
        <f>IFERROR(-VLOOKUP($A23,CustoDiretoTotal,COLUMN('B2 - Custos diretos totais'!S$3)-1,0),0)</f>
        <v>-924912</v>
      </c>
      <c r="S28" s="710">
        <f>IFERROR(-VLOOKUP($A23,CustoDiretoTotal,COLUMN('B2 - Custos diretos totais'!T$3)-1,0),0)</f>
        <v>-952627.5</v>
      </c>
      <c r="T28" s="710">
        <f>IFERROR(-VLOOKUP($A23,CustoDiretoTotal,COLUMN('B2 - Custos diretos totais'!U$3)-1,0),0)</f>
        <v>-980856</v>
      </c>
      <c r="U28" s="710">
        <f>IFERROR(-VLOOKUP($A23,CustoDiretoTotal,COLUMN('B2 - Custos diretos totais'!V$3)-1,0),0)</f>
        <v>-1009455.75</v>
      </c>
      <c r="V28" s="710">
        <f>IFERROR(-VLOOKUP($A23,CustoDiretoTotal,COLUMN('B2 - Custos diretos totais'!W$3)-1,0),0)</f>
        <v>-1009455.75</v>
      </c>
      <c r="W28" s="710">
        <f>IFERROR(-VLOOKUP($A23,CustoDiretoTotal,COLUMN('B2 - Custos diretos totais'!X$3)-1,0),0)</f>
        <v>-1009455.75</v>
      </c>
      <c r="X28" s="710">
        <f>IFERROR(-VLOOKUP($A23,CustoDiretoTotal,COLUMN('B2 - Custos diretos totais'!Y$3)-1,0),0)</f>
        <v>-1009455.75</v>
      </c>
      <c r="Y28" s="710">
        <f>IFERROR(-VLOOKUP($A23,CustoDiretoTotal,COLUMN('B2 - Custos diretos totais'!Z$3)-1,0),0)</f>
        <v>-1009455.75</v>
      </c>
      <c r="Z28" s="710">
        <f>IFERROR(-VLOOKUP($A23,CustoDiretoTotal,COLUMN('B2 - Custos diretos totais'!AA$3)-1,0),0)</f>
        <v>-1009455.75</v>
      </c>
      <c r="AA28" s="710">
        <f>IFERROR(-VLOOKUP($A23,CustoDiretoTotal,COLUMN('B2 - Custos diretos totais'!AB$3)-1,0),0)</f>
        <v>-1009455.75</v>
      </c>
      <c r="AB28" s="710">
        <f>IFERROR(-VLOOKUP($A23,CustoDiretoTotal,COLUMN('B2 - Custos diretos totais'!AC$3)-1,0),0)</f>
        <v>-1009455.75</v>
      </c>
      <c r="AC28" s="710">
        <f>IFERROR(-VLOOKUP($A23,CustoDiretoTotal,COLUMN('B2 - Custos diretos totais'!AD$3)-1,0),0)</f>
        <v>-1009455.75</v>
      </c>
      <c r="AD28" s="710">
        <f>IFERROR(-VLOOKUP($A23,CustoDiretoTotal,COLUMN('B2 - Custos diretos totais'!AE$3)-1,0),0)</f>
        <v>-1009455.75</v>
      </c>
      <c r="AE28" s="710">
        <f>IFERROR(-VLOOKUP($A23,CustoDiretoTotal,COLUMN('B2 - Custos diretos totais'!AF$3)-1,0),0)</f>
        <v>-1009455.75</v>
      </c>
      <c r="AF28" s="594"/>
      <c r="AG28" s="594"/>
      <c r="AH28" s="594"/>
      <c r="AI28" s="594"/>
      <c r="AJ28" s="594"/>
      <c r="AK28" s="594"/>
      <c r="AL28" s="594"/>
      <c r="AM28" s="594"/>
      <c r="AN28" s="594"/>
      <c r="AO28" s="594"/>
      <c r="AP28" s="594"/>
      <c r="AQ28" s="594"/>
      <c r="AR28" s="594"/>
      <c r="AS28" s="594"/>
      <c r="AT28" s="594"/>
      <c r="AU28" s="594"/>
      <c r="AV28" s="594"/>
      <c r="AW28" s="594"/>
      <c r="AX28" s="594"/>
      <c r="AY28" s="594"/>
      <c r="AZ28" s="594"/>
      <c r="BA28" s="594"/>
      <c r="BB28" s="594"/>
      <c r="BC28" s="594"/>
      <c r="BD28" s="594"/>
      <c r="BE28" s="594"/>
      <c r="BF28" s="594"/>
      <c r="BG28" s="594"/>
      <c r="BH28" s="594"/>
      <c r="BI28" s="594"/>
      <c r="BJ28" s="594"/>
      <c r="BK28" s="594"/>
      <c r="BL28" s="57"/>
      <c r="BM28" s="594"/>
      <c r="BN28" s="594"/>
      <c r="BO28" s="594"/>
      <c r="BP28" s="594"/>
      <c r="BQ28" s="594"/>
      <c r="BR28" s="594"/>
      <c r="BS28" s="594"/>
      <c r="BT28" s="594"/>
      <c r="BU28" s="594"/>
      <c r="BV28" s="594"/>
      <c r="BW28" s="594"/>
      <c r="BX28" s="594"/>
      <c r="BY28" s="594"/>
      <c r="BZ28" s="594"/>
      <c r="CA28" s="594"/>
      <c r="CB28" s="594"/>
      <c r="CC28" s="594"/>
      <c r="CD28" s="594"/>
      <c r="CE28" s="594"/>
      <c r="CF28" s="594"/>
      <c r="CG28" s="594"/>
      <c r="CH28" s="594"/>
      <c r="CI28" s="594"/>
      <c r="CJ28" s="594"/>
      <c r="CK28" s="594"/>
      <c r="CL28" s="594"/>
      <c r="CM28" s="594"/>
      <c r="CN28" s="594"/>
      <c r="CO28" s="594"/>
      <c r="CP28" s="594"/>
      <c r="CQ28" s="594"/>
    </row>
    <row r="29" spans="1:95" ht="21" hidden="1" customHeight="1" outlineLevel="2">
      <c r="A29" s="709" t="s">
        <v>684</v>
      </c>
      <c r="B29" s="710">
        <f>-SUMIFS('B3 - Custos despesas indiretos'!AK$5:AK$148,'B3 - Custos despesas indiretos'!$B$5:$B$148,"Custos",'B3 - Custos despesas indiretos'!$D$5:$D$148,$A23)</f>
        <v>-6966.5</v>
      </c>
      <c r="C29" s="710">
        <f>-SUMIFS('B3 - Custos despesas indiretos'!AL$5:AL$148,'B3 - Custos despesas indiretos'!$B$5:$B$148,"Custos",'B3 - Custos despesas indiretos'!$D$5:$D$148,$A23)</f>
        <v>-6966.5</v>
      </c>
      <c r="D29" s="710">
        <f>-SUMIFS('B3 - Custos despesas indiretos'!AM$5:AM$148,'B3 - Custos despesas indiretos'!$B$5:$B$148,"Custos",'B3 - Custos despesas indiretos'!$D$5:$D$148,$A23)</f>
        <v>-6966.5</v>
      </c>
      <c r="E29" s="710">
        <f>-SUMIFS('B3 - Custos despesas indiretos'!AN$5:AN$148,'B3 - Custos despesas indiretos'!$B$5:$B$148,"Custos",'B3 - Custos despesas indiretos'!$D$5:$D$148,$A23)</f>
        <v>-6966.5</v>
      </c>
      <c r="F29" s="710">
        <f>-SUMIFS('B3 - Custos despesas indiretos'!AO$5:AO$148,'B3 - Custos despesas indiretos'!$B$5:$B$148,"Custos",'B3 - Custos despesas indiretos'!$D$5:$D$148,$A23)</f>
        <v>-6966.5</v>
      </c>
      <c r="G29" s="710">
        <f>-SUMIFS('B3 - Custos despesas indiretos'!AP$5:AP$148,'B3 - Custos despesas indiretos'!$B$5:$B$148,"Custos",'B3 - Custos despesas indiretos'!$D$5:$D$148,$A23)</f>
        <v>-6966.5</v>
      </c>
      <c r="H29" s="710">
        <f>-SUMIFS('B3 - Custos despesas indiretos'!AQ$5:AQ$148,'B3 - Custos despesas indiretos'!$B$5:$B$148,"Custos",'B3 - Custos despesas indiretos'!$D$5:$D$148,$A23)</f>
        <v>-6966.5</v>
      </c>
      <c r="I29" s="710">
        <f>-SUMIFS('B3 - Custos despesas indiretos'!AR$5:AR$148,'B3 - Custos despesas indiretos'!$B$5:$B$148,"Custos",'B3 - Custos despesas indiretos'!$D$5:$D$148,$A23)</f>
        <v>-6966.5</v>
      </c>
      <c r="J29" s="710">
        <f>-SUMIFS('B3 - Custos despesas indiretos'!AS$5:AS$148,'B3 - Custos despesas indiretos'!$B$5:$B$148,"Custos",'B3 - Custos despesas indiretos'!$D$5:$D$148,$A23)</f>
        <v>-6966.5</v>
      </c>
      <c r="K29" s="710">
        <f>-SUMIFS('B3 - Custos despesas indiretos'!AT$5:AT$148,'B3 - Custos despesas indiretos'!$B$5:$B$148,"Custos",'B3 - Custos despesas indiretos'!$D$5:$D$148,$A23)</f>
        <v>-6966.5</v>
      </c>
      <c r="L29" s="710">
        <f>-SUMIFS('B3 - Custos despesas indiretos'!AU$5:AU$148,'B3 - Custos despesas indiretos'!$B$5:$B$148,"Custos",'B3 - Custos despesas indiretos'!$D$5:$D$148,$A23)</f>
        <v>-6966.5</v>
      </c>
      <c r="M29" s="710">
        <f>-SUMIFS('B3 - Custos despesas indiretos'!AV$5:AV$148,'B3 - Custos despesas indiretos'!$B$5:$B$148,"Custos",'B3 - Custos despesas indiretos'!$D$5:$D$148,$A23)</f>
        <v>-6966.5</v>
      </c>
      <c r="N29" s="710">
        <f>-SUMIFS('B3 - Custos despesas indiretos'!AW$5:AW$148,'B3 - Custos despesas indiretos'!$B$5:$B$148,"Custos",'B3 - Custos despesas indiretos'!$D$5:$D$148,$A23)</f>
        <v>-6966.5</v>
      </c>
      <c r="O29" s="710">
        <f>-SUMIFS('B3 - Custos despesas indiretos'!AX$5:AX$148,'B3 - Custos despesas indiretos'!$B$5:$B$148,"Custos",'B3 - Custos despesas indiretos'!$D$5:$D$148,$A23)</f>
        <v>-6966.5</v>
      </c>
      <c r="P29" s="710">
        <f>-SUMIFS('B3 - Custos despesas indiretos'!AY$5:AY$148,'B3 - Custos despesas indiretos'!$B$5:$B$148,"Custos",'B3 - Custos despesas indiretos'!$D$5:$D$148,$A23)</f>
        <v>-6966.5</v>
      </c>
      <c r="Q29" s="710">
        <f>-SUMIFS('B3 - Custos despesas indiretos'!AZ$5:AZ$148,'B3 - Custos despesas indiretos'!$B$5:$B$148,"Custos",'B3 - Custos despesas indiretos'!$D$5:$D$148,$A23)</f>
        <v>-6966.5</v>
      </c>
      <c r="R29" s="710">
        <f>-SUMIFS('B3 - Custos despesas indiretos'!BA$5:BA$148,'B3 - Custos despesas indiretos'!$B$5:$B$148,"Custos",'B3 - Custos despesas indiretos'!$D$5:$D$148,$A23)</f>
        <v>-6966.5</v>
      </c>
      <c r="S29" s="710">
        <f>-SUMIFS('B3 - Custos despesas indiretos'!BB$5:BB$148,'B3 - Custos despesas indiretos'!$B$5:$B$148,"Custos",'B3 - Custos despesas indiretos'!$D$5:$D$148,$A23)</f>
        <v>-6966.5</v>
      </c>
      <c r="T29" s="710">
        <f>-SUMIFS('B3 - Custos despesas indiretos'!BC$5:BC$148,'B3 - Custos despesas indiretos'!$B$5:$B$148,"Custos",'B3 - Custos despesas indiretos'!$D$5:$D$148,$A23)</f>
        <v>-6966.5</v>
      </c>
      <c r="U29" s="710">
        <f>-SUMIFS('B3 - Custos despesas indiretos'!BD$5:BD$148,'B3 - Custos despesas indiretos'!$B$5:$B$148,"Custos",'B3 - Custos despesas indiretos'!$D$5:$D$148,$A23)</f>
        <v>-6966.5</v>
      </c>
      <c r="V29" s="710">
        <f>-SUMIFS('B3 - Custos despesas indiretos'!BE$5:BE$148,'B3 - Custos despesas indiretos'!$B$5:$B$148,"Custos",'B3 - Custos despesas indiretos'!$D$5:$D$148,$A23)</f>
        <v>-6966.5</v>
      </c>
      <c r="W29" s="710">
        <f>-SUMIFS('B3 - Custos despesas indiretos'!BF$5:BF$148,'B3 - Custos despesas indiretos'!$B$5:$B$148,"Custos",'B3 - Custos despesas indiretos'!$D$5:$D$148,$A23)</f>
        <v>-6966.5</v>
      </c>
      <c r="X29" s="710">
        <f>-SUMIFS('B3 - Custos despesas indiretos'!BG$5:BG$148,'B3 - Custos despesas indiretos'!$B$5:$B$148,"Custos",'B3 - Custos despesas indiretos'!$D$5:$D$148,$A23)</f>
        <v>-6966.5</v>
      </c>
      <c r="Y29" s="710">
        <f>-SUMIFS('B3 - Custos despesas indiretos'!BH$5:BH$148,'B3 - Custos despesas indiretos'!$B$5:$B$148,"Custos",'B3 - Custos despesas indiretos'!$D$5:$D$148,$A23)</f>
        <v>-6966.5</v>
      </c>
      <c r="Z29" s="710">
        <f>-SUMIFS('B3 - Custos despesas indiretos'!BI$5:BI$148,'B3 - Custos despesas indiretos'!$B$5:$B$148,"Custos",'B3 - Custos despesas indiretos'!$D$5:$D$148,$A23)</f>
        <v>-6966.5</v>
      </c>
      <c r="AA29" s="710">
        <f>-SUMIFS('B3 - Custos despesas indiretos'!BJ$5:BJ$148,'B3 - Custos despesas indiretos'!$B$5:$B$148,"Custos",'B3 - Custos despesas indiretos'!$D$5:$D$148,$A23)</f>
        <v>-6966.5</v>
      </c>
      <c r="AB29" s="710">
        <f>-SUMIFS('B3 - Custos despesas indiretos'!BK$5:BK$148,'B3 - Custos despesas indiretos'!$B$5:$B$148,"Custos",'B3 - Custos despesas indiretos'!$D$5:$D$148,$A23)</f>
        <v>-6966.5</v>
      </c>
      <c r="AC29" s="710">
        <f>-SUMIFS('B3 - Custos despesas indiretos'!BL$5:BL$148,'B3 - Custos despesas indiretos'!$B$5:$B$148,"Custos",'B3 - Custos despesas indiretos'!$D$5:$D$148,$A23)</f>
        <v>-6966.5</v>
      </c>
      <c r="AD29" s="710">
        <f>-SUMIFS('B3 - Custos despesas indiretos'!BM$5:BM$148,'B3 - Custos despesas indiretos'!$B$5:$B$148,"Custos",'B3 - Custos despesas indiretos'!$D$5:$D$148,$A23)</f>
        <v>-6966.5</v>
      </c>
      <c r="AE29" s="710">
        <f>-SUMIFS('B3 - Custos despesas indiretos'!BN$5:BN$148,'B3 - Custos despesas indiretos'!$B$5:$B$148,"Custos",'B3 - Custos despesas indiretos'!$D$5:$D$148,$A23)</f>
        <v>-6966.5</v>
      </c>
      <c r="AF29" s="594"/>
      <c r="AG29" s="594"/>
      <c r="AH29" s="594"/>
      <c r="AI29" s="594"/>
      <c r="AJ29" s="594"/>
      <c r="AK29" s="594"/>
      <c r="AL29" s="594"/>
      <c r="AM29" s="594"/>
      <c r="AN29" s="594"/>
      <c r="AO29" s="594"/>
      <c r="AP29" s="594"/>
      <c r="AQ29" s="594"/>
      <c r="AR29" s="594"/>
      <c r="AS29" s="594"/>
      <c r="AT29" s="594"/>
      <c r="AU29" s="594"/>
      <c r="AV29" s="594"/>
      <c r="AW29" s="594"/>
      <c r="AX29" s="594"/>
      <c r="AY29" s="594"/>
      <c r="AZ29" s="594"/>
      <c r="BA29" s="594"/>
      <c r="BB29" s="594"/>
      <c r="BC29" s="594"/>
      <c r="BD29" s="594"/>
      <c r="BE29" s="594"/>
      <c r="BF29" s="594"/>
      <c r="BG29" s="594"/>
      <c r="BH29" s="594"/>
      <c r="BI29" s="594"/>
      <c r="BJ29" s="594"/>
      <c r="BK29" s="594"/>
      <c r="BL29" s="57"/>
      <c r="BM29" s="594"/>
      <c r="BN29" s="594"/>
      <c r="BO29" s="594"/>
      <c r="BP29" s="594"/>
      <c r="BQ29" s="594"/>
      <c r="BR29" s="594"/>
      <c r="BS29" s="594"/>
      <c r="BT29" s="594"/>
      <c r="BU29" s="594"/>
      <c r="BV29" s="594"/>
      <c r="BW29" s="594"/>
      <c r="BX29" s="594"/>
      <c r="BY29" s="594"/>
      <c r="BZ29" s="594"/>
      <c r="CA29" s="594"/>
      <c r="CB29" s="594"/>
      <c r="CC29" s="594"/>
      <c r="CD29" s="594"/>
      <c r="CE29" s="594"/>
      <c r="CF29" s="594"/>
      <c r="CG29" s="594"/>
      <c r="CH29" s="594"/>
      <c r="CI29" s="594"/>
      <c r="CJ29" s="594"/>
      <c r="CK29" s="594"/>
      <c r="CL29" s="594"/>
      <c r="CM29" s="594"/>
      <c r="CN29" s="594"/>
      <c r="CO29" s="594"/>
      <c r="CP29" s="594"/>
      <c r="CQ29" s="594"/>
    </row>
    <row r="30" spans="1:95" ht="21" hidden="1" customHeight="1" outlineLevel="2">
      <c r="A30" s="709" t="s">
        <v>685</v>
      </c>
      <c r="B30" s="710">
        <f>-SUMIFS('B3 - Custos despesas indiretos'!AK$5:AK$148,'B3 - Custos despesas indiretos'!$B$5:$B$148,"Despesas",'B3 - Custos despesas indiretos'!$D$5:$D$148,$A23)</f>
        <v>0</v>
      </c>
      <c r="C30" s="710">
        <f>-SUMIFS('B3 - Custos despesas indiretos'!AL$5:AL$148,'B3 - Custos despesas indiretos'!$B$5:$B$148,"Despesas",'B3 - Custos despesas indiretos'!$D$5:$D$148,$A23)</f>
        <v>-34622.400000000001</v>
      </c>
      <c r="D30" s="710">
        <f>-SUMIFS('B3 - Custos despesas indiretos'!AM$5:AM$148,'B3 - Custos despesas indiretos'!$B$5:$B$148,"Despesas",'B3 - Custos despesas indiretos'!$D$5:$D$148,$A23)</f>
        <v>-35816.800000000003</v>
      </c>
      <c r="E30" s="710">
        <f>-SUMIFS('B3 - Custos despesas indiretos'!AN$5:AN$148,'B3 - Custos despesas indiretos'!$B$5:$B$148,"Despesas",'B3 - Custos despesas indiretos'!$D$5:$D$148,$A23)</f>
        <v>-36973.200000000004</v>
      </c>
      <c r="F30" s="710">
        <f>-SUMIFS('B3 - Custos despesas indiretos'!AO$5:AO$148,'B3 - Custos despesas indiretos'!$B$5:$B$148,"Despesas",'B3 - Custos despesas indiretos'!$D$5:$D$148,$A23)</f>
        <v>-38148.400000000001</v>
      </c>
      <c r="G30" s="710">
        <f>-SUMIFS('B3 - Custos despesas indiretos'!AP$5:AP$148,'B3 - Custos despesas indiretos'!$B$5:$B$148,"Despesas",'B3 - Custos despesas indiretos'!$D$5:$D$148,$A23)</f>
        <v>-39344</v>
      </c>
      <c r="H30" s="710">
        <f>-SUMIFS('B3 - Custos despesas indiretos'!AQ$5:AQ$148,'B3 - Custos despesas indiretos'!$B$5:$B$148,"Despesas",'B3 - Custos despesas indiretos'!$D$5:$D$148,$A23)</f>
        <v>-40573.599999999999</v>
      </c>
      <c r="I30" s="710">
        <f>-SUMIFS('B3 - Custos despesas indiretos'!AR$5:AR$148,'B3 - Custos despesas indiretos'!$B$5:$B$148,"Despesas",'B3 - Custos despesas indiretos'!$D$5:$D$148,$A23)</f>
        <v>-41838.800000000003</v>
      </c>
      <c r="J30" s="710">
        <f>-SUMIFS('B3 - Custos despesas indiretos'!AS$5:AS$148,'B3 - Custos despesas indiretos'!$B$5:$B$148,"Despesas",'B3 - Custos despesas indiretos'!$D$5:$D$148,$A23)</f>
        <v>-43127.200000000004</v>
      </c>
      <c r="K30" s="710">
        <f>-SUMIFS('B3 - Custos despesas indiretos'!AT$5:AT$148,'B3 - Custos despesas indiretos'!$B$5:$B$148,"Despesas",'B3 - Custos despesas indiretos'!$D$5:$D$148,$A23)</f>
        <v>-44439.200000000004</v>
      </c>
      <c r="L30" s="710">
        <f>-SUMIFS('B3 - Custos despesas indiretos'!AU$5:AU$148,'B3 - Custos despesas indiretos'!$B$5:$B$148,"Despesas",'B3 - Custos despesas indiretos'!$D$5:$D$148,$A23)</f>
        <v>-45792.800000000003</v>
      </c>
      <c r="M30" s="710">
        <f>-SUMIFS('B3 - Custos despesas indiretos'!AV$5:AV$148,'B3 - Custos despesas indiretos'!$B$5:$B$148,"Despesas",'B3 - Custos despesas indiretos'!$D$5:$D$148,$A23)</f>
        <v>-47186.8</v>
      </c>
      <c r="N30" s="710">
        <f>-SUMIFS('B3 - Custos despesas indiretos'!AW$5:AW$148,'B3 - Custos despesas indiretos'!$B$5:$B$148,"Despesas",'B3 - Custos despesas indiretos'!$D$5:$D$148,$A23)</f>
        <v>-48625.200000000004</v>
      </c>
      <c r="O30" s="710">
        <f>-SUMIFS('B3 - Custos despesas indiretos'!AX$5:AX$148,'B3 - Custos despesas indiretos'!$B$5:$B$148,"Despesas",'B3 - Custos despesas indiretos'!$D$5:$D$148,$A23)</f>
        <v>-50106.8</v>
      </c>
      <c r="P30" s="710">
        <f>-SUMIFS('B3 - Custos despesas indiretos'!AY$5:AY$148,'B3 - Custos despesas indiretos'!$B$5:$B$148,"Despesas",'B3 - Custos despesas indiretos'!$D$5:$D$148,$A23)</f>
        <v>-51633.200000000004</v>
      </c>
      <c r="Q30" s="710">
        <f>-SUMIFS('B3 - Custos despesas indiretos'!AZ$5:AZ$148,'B3 - Custos despesas indiretos'!$B$5:$B$148,"Despesas",'B3 - Custos despesas indiretos'!$D$5:$D$148,$A23)</f>
        <v>-53201.599999999999</v>
      </c>
      <c r="R30" s="710">
        <f>-SUMIFS('B3 - Custos despesas indiretos'!BA$5:BA$148,'B3 - Custos despesas indiretos'!$B$5:$B$148,"Despesas",'B3 - Custos despesas indiretos'!$D$5:$D$148,$A23)</f>
        <v>-54809.599999999999</v>
      </c>
      <c r="S30" s="710">
        <f>-SUMIFS('B3 - Custos despesas indiretos'!BB$5:BB$148,'B3 - Custos despesas indiretos'!$B$5:$B$148,"Despesas",'B3 - Custos despesas indiretos'!$D$5:$D$148,$A23)</f>
        <v>-56452</v>
      </c>
      <c r="T30" s="710">
        <f>-SUMIFS('B3 - Custos despesas indiretos'!BC$5:BC$148,'B3 - Custos despesas indiretos'!$B$5:$B$148,"Despesas",'B3 - Custos despesas indiretos'!$D$5:$D$148,$A23)</f>
        <v>-58124.800000000003</v>
      </c>
      <c r="U30" s="710">
        <f>-SUMIFS('B3 - Custos despesas indiretos'!BD$5:BD$148,'B3 - Custos despesas indiretos'!$B$5:$B$148,"Despesas",'B3 - Custos despesas indiretos'!$D$5:$D$148,$A23)</f>
        <v>-59819.6</v>
      </c>
      <c r="V30" s="710">
        <f>-SUMIFS('B3 - Custos despesas indiretos'!BE$5:BE$148,'B3 - Custos despesas indiretos'!$B$5:$B$148,"Despesas",'B3 - Custos despesas indiretos'!$D$5:$D$148,$A23)</f>
        <v>-59819.6</v>
      </c>
      <c r="W30" s="710">
        <f>-SUMIFS('B3 - Custos despesas indiretos'!BF$5:BF$148,'B3 - Custos despesas indiretos'!$B$5:$B$148,"Despesas",'B3 - Custos despesas indiretos'!$D$5:$D$148,$A23)</f>
        <v>-59819.6</v>
      </c>
      <c r="X30" s="710">
        <f>-SUMIFS('B3 - Custos despesas indiretos'!BG$5:BG$148,'B3 - Custos despesas indiretos'!$B$5:$B$148,"Despesas",'B3 - Custos despesas indiretos'!$D$5:$D$148,$A23)</f>
        <v>-59819.6</v>
      </c>
      <c r="Y30" s="710">
        <f>-SUMIFS('B3 - Custos despesas indiretos'!BH$5:BH$148,'B3 - Custos despesas indiretos'!$B$5:$B$148,"Despesas",'B3 - Custos despesas indiretos'!$D$5:$D$148,$A23)</f>
        <v>-59819.6</v>
      </c>
      <c r="Z30" s="710">
        <f>-SUMIFS('B3 - Custos despesas indiretos'!BI$5:BI$148,'B3 - Custos despesas indiretos'!$B$5:$B$148,"Despesas",'B3 - Custos despesas indiretos'!$D$5:$D$148,$A23)</f>
        <v>-59819.6</v>
      </c>
      <c r="AA30" s="710">
        <f>-SUMIFS('B3 - Custos despesas indiretos'!BJ$5:BJ$148,'B3 - Custos despesas indiretos'!$B$5:$B$148,"Despesas",'B3 - Custos despesas indiretos'!$D$5:$D$148,$A23)</f>
        <v>-59819.6</v>
      </c>
      <c r="AB30" s="710">
        <f>-SUMIFS('B3 - Custos despesas indiretos'!BK$5:BK$148,'B3 - Custos despesas indiretos'!$B$5:$B$148,"Despesas",'B3 - Custos despesas indiretos'!$D$5:$D$148,$A23)</f>
        <v>-59819.6</v>
      </c>
      <c r="AC30" s="710">
        <f>-SUMIFS('B3 - Custos despesas indiretos'!BL$5:BL$148,'B3 - Custos despesas indiretos'!$B$5:$B$148,"Despesas",'B3 - Custos despesas indiretos'!$D$5:$D$148,$A23)</f>
        <v>-59819.6</v>
      </c>
      <c r="AD30" s="710">
        <f>-SUMIFS('B3 - Custos despesas indiretos'!BM$5:BM$148,'B3 - Custos despesas indiretos'!$B$5:$B$148,"Despesas",'B3 - Custos despesas indiretos'!$D$5:$D$148,$A23)</f>
        <v>-59819.6</v>
      </c>
      <c r="AE30" s="710">
        <f>-SUMIFS('B3 - Custos despesas indiretos'!BN$5:BN$148,'B3 - Custos despesas indiretos'!$B$5:$B$148,"Despesas",'B3 - Custos despesas indiretos'!$D$5:$D$148,$A23)</f>
        <v>-59819.6</v>
      </c>
      <c r="AF30" s="594"/>
      <c r="AG30" s="594"/>
      <c r="AH30" s="594"/>
      <c r="AI30" s="594"/>
      <c r="AJ30" s="594"/>
      <c r="AK30" s="594"/>
      <c r="AL30" s="594"/>
      <c r="AM30" s="594"/>
      <c r="AN30" s="594"/>
      <c r="AO30" s="594"/>
      <c r="AP30" s="594"/>
      <c r="AQ30" s="594"/>
      <c r="AR30" s="594"/>
      <c r="AS30" s="594"/>
      <c r="AT30" s="594"/>
      <c r="AU30" s="594"/>
      <c r="AV30" s="594"/>
      <c r="AW30" s="594"/>
      <c r="AX30" s="594"/>
      <c r="AY30" s="594"/>
      <c r="AZ30" s="594"/>
      <c r="BA30" s="594"/>
      <c r="BB30" s="594"/>
      <c r="BC30" s="594"/>
      <c r="BD30" s="594"/>
      <c r="BE30" s="594"/>
      <c r="BF30" s="594"/>
      <c r="BG30" s="594"/>
      <c r="BH30" s="594"/>
      <c r="BI30" s="594"/>
      <c r="BJ30" s="594"/>
      <c r="BK30" s="594"/>
      <c r="BL30" s="57"/>
      <c r="BM30" s="594"/>
      <c r="BN30" s="594"/>
      <c r="BO30" s="594"/>
      <c r="BP30" s="594"/>
      <c r="BQ30" s="594"/>
      <c r="BR30" s="594"/>
      <c r="BS30" s="594"/>
      <c r="BT30" s="594"/>
      <c r="BU30" s="594"/>
      <c r="BV30" s="594"/>
      <c r="BW30" s="594"/>
      <c r="BX30" s="594"/>
      <c r="BY30" s="594"/>
      <c r="BZ30" s="594"/>
      <c r="CA30" s="594"/>
      <c r="CB30" s="594"/>
      <c r="CC30" s="594"/>
      <c r="CD30" s="594"/>
      <c r="CE30" s="594"/>
      <c r="CF30" s="594"/>
      <c r="CG30" s="594"/>
      <c r="CH30" s="594"/>
      <c r="CI30" s="594"/>
      <c r="CJ30" s="594"/>
      <c r="CK30" s="594"/>
      <c r="CL30" s="594"/>
      <c r="CM30" s="594"/>
      <c r="CN30" s="594"/>
      <c r="CO30" s="594"/>
      <c r="CP30" s="594"/>
      <c r="CQ30" s="594"/>
    </row>
    <row r="31" spans="1:95" ht="21" hidden="1" customHeight="1" outlineLevel="2">
      <c r="A31" s="709" t="s">
        <v>686</v>
      </c>
      <c r="B31" s="710">
        <f>-SUMIF('D2 - Capex uso'!$C$6:$C$176,$A23,'D2 - Capex uso'!GI$6:GI$176)</f>
        <v>-23916.147199999999</v>
      </c>
      <c r="C31" s="710">
        <f>-SUMIF('D2 - Capex uso'!$C$6:$C$176,$A23,'D2 - Capex uso'!GJ$6:GJ$176)</f>
        <v>-23916.147199999999</v>
      </c>
      <c r="D31" s="710">
        <f>-SUMIF('D2 - Capex uso'!$C$6:$C$176,$A23,'D2 - Capex uso'!GK$6:GK$176)</f>
        <v>-23916.147199999999</v>
      </c>
      <c r="E31" s="710">
        <f>-SUMIF('D2 - Capex uso'!$C$6:$C$176,$A23,'D2 - Capex uso'!GL$6:GL$176)</f>
        <v>-23916.147199999999</v>
      </c>
      <c r="F31" s="710">
        <f>-SUMIF('D2 - Capex uso'!$C$6:$C$176,$A23,'D2 - Capex uso'!GM$6:GM$176)</f>
        <v>-23916.147199999999</v>
      </c>
      <c r="G31" s="710">
        <f>-SUMIF('D2 - Capex uso'!$C$6:$C$176,$A23,'D2 - Capex uso'!GN$6:GN$176)</f>
        <v>-23916.147199999999</v>
      </c>
      <c r="H31" s="710">
        <f>-SUMIF('D2 - Capex uso'!$C$6:$C$176,$A23,'D2 - Capex uso'!GO$6:GO$176)</f>
        <v>-23916.147199999999</v>
      </c>
      <c r="I31" s="710">
        <f>-SUMIF('D2 - Capex uso'!$C$6:$C$176,$A23,'D2 - Capex uso'!GP$6:GP$176)</f>
        <v>-23916.147199999999</v>
      </c>
      <c r="J31" s="710">
        <f>-SUMIF('D2 - Capex uso'!$C$6:$C$176,$A23,'D2 - Capex uso'!GQ$6:GQ$176)</f>
        <v>-23916.147199999999</v>
      </c>
      <c r="K31" s="710">
        <f>-SUMIF('D2 - Capex uso'!$C$6:$C$176,$A23,'D2 - Capex uso'!GR$6:GR$176)</f>
        <v>-23916.147199999999</v>
      </c>
      <c r="L31" s="710">
        <f>-SUMIF('D2 - Capex uso'!$C$6:$C$176,$A23,'D2 - Capex uso'!GS$6:GS$176)</f>
        <v>-23916.147199999999</v>
      </c>
      <c r="M31" s="710">
        <f>-SUMIF('D2 - Capex uso'!$C$6:$C$176,$A23,'D2 - Capex uso'!GT$6:GT$176)</f>
        <v>-23916.147199999999</v>
      </c>
      <c r="N31" s="710">
        <f>-SUMIF('D2 - Capex uso'!$C$6:$C$176,$A23,'D2 - Capex uso'!GU$6:GU$176)</f>
        <v>-23916.147199999999</v>
      </c>
      <c r="O31" s="710">
        <f>-SUMIF('D2 - Capex uso'!$C$6:$C$176,$A23,'D2 - Capex uso'!GV$6:GV$176)</f>
        <v>-23916.147199999999</v>
      </c>
      <c r="P31" s="710">
        <f>-SUMIF('D2 - Capex uso'!$C$6:$C$176,$A23,'D2 - Capex uso'!GW$6:GW$176)</f>
        <v>-23916.147199999999</v>
      </c>
      <c r="Q31" s="710">
        <f>-SUMIF('D2 - Capex uso'!$C$6:$C$176,$A23,'D2 - Capex uso'!GX$6:GX$176)</f>
        <v>-23916.147199999999</v>
      </c>
      <c r="R31" s="710">
        <f>-SUMIF('D2 - Capex uso'!$C$6:$C$176,$A23,'D2 - Capex uso'!GY$6:GY$176)</f>
        <v>-23916.147199999999</v>
      </c>
      <c r="S31" s="710">
        <f>-SUMIF('D2 - Capex uso'!$C$6:$C$176,$A23,'D2 - Capex uso'!GZ$6:GZ$176)</f>
        <v>-23916.147199999999</v>
      </c>
      <c r="T31" s="710">
        <f>-SUMIF('D2 - Capex uso'!$C$6:$C$176,$A23,'D2 - Capex uso'!HA$6:HA$176)</f>
        <v>-23916.147199999999</v>
      </c>
      <c r="U31" s="710">
        <f>-SUMIF('D2 - Capex uso'!$C$6:$C$176,$A23,'D2 - Capex uso'!HB$6:HB$176)</f>
        <v>-23916.147199999999</v>
      </c>
      <c r="V31" s="710">
        <f>-SUMIF('D2 - Capex uso'!$C$6:$C$176,$A23,'D2 - Capex uso'!HC$6:HC$176)</f>
        <v>-23916.147199999999</v>
      </c>
      <c r="W31" s="710">
        <f>-SUMIF('D2 - Capex uso'!$C$6:$C$176,$A23,'D2 - Capex uso'!HD$6:HD$176)</f>
        <v>-23916.147199999999</v>
      </c>
      <c r="X31" s="710">
        <f>-SUMIF('D2 - Capex uso'!$C$6:$C$176,$A23,'D2 - Capex uso'!HE$6:HE$176)</f>
        <v>-23916.147199999999</v>
      </c>
      <c r="Y31" s="710">
        <f>-SUMIF('D2 - Capex uso'!$C$6:$C$176,$A23,'D2 - Capex uso'!HF$6:HF$176)</f>
        <v>-23916.147199999999</v>
      </c>
      <c r="Z31" s="710">
        <f>-SUMIF('D2 - Capex uso'!$C$6:$C$176,$A23,'D2 - Capex uso'!HG$6:HG$176)</f>
        <v>-23916.147199999999</v>
      </c>
      <c r="AA31" s="710">
        <f>-SUMIF('D2 - Capex uso'!$C$6:$C$176,$A23,'D2 - Capex uso'!HH$6:HH$176)</f>
        <v>-23916.147199999999</v>
      </c>
      <c r="AB31" s="710">
        <f>-SUMIF('D2 - Capex uso'!$C$6:$C$176,$A23,'D2 - Capex uso'!HI$6:HI$176)</f>
        <v>-23916.147199999999</v>
      </c>
      <c r="AC31" s="710">
        <f>-SUMIF('D2 - Capex uso'!$C$6:$C$176,$A23,'D2 - Capex uso'!HJ$6:HJ$176)</f>
        <v>-23916.147199999999</v>
      </c>
      <c r="AD31" s="710">
        <f>-SUMIF('D2 - Capex uso'!$C$6:$C$176,$A23,'D2 - Capex uso'!HK$6:HK$176)</f>
        <v>-23916.147199999999</v>
      </c>
      <c r="AE31" s="710">
        <f>-SUMIF('D2 - Capex uso'!$C$6:$C$176,$A23,'D2 - Capex uso'!HL$6:HL$176)</f>
        <v>-23916.147199999999</v>
      </c>
      <c r="AF31" s="594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594"/>
      <c r="AS31" s="594"/>
      <c r="AT31" s="594"/>
      <c r="AU31" s="594"/>
      <c r="AV31" s="594"/>
      <c r="AW31" s="594"/>
      <c r="AX31" s="594"/>
      <c r="AY31" s="594"/>
      <c r="AZ31" s="594"/>
      <c r="BA31" s="594"/>
      <c r="BB31" s="594"/>
      <c r="BC31" s="594"/>
      <c r="BD31" s="594"/>
      <c r="BE31" s="594"/>
      <c r="BF31" s="594"/>
      <c r="BG31" s="594"/>
      <c r="BH31" s="594"/>
      <c r="BI31" s="594"/>
      <c r="BJ31" s="594"/>
      <c r="BK31" s="594"/>
      <c r="BL31" s="57"/>
      <c r="BM31" s="594"/>
      <c r="BN31" s="594"/>
      <c r="BO31" s="594"/>
      <c r="BP31" s="594"/>
      <c r="BQ31" s="594"/>
      <c r="BR31" s="594"/>
      <c r="BS31" s="594"/>
      <c r="BT31" s="594"/>
      <c r="BU31" s="594"/>
      <c r="BV31" s="594"/>
      <c r="BW31" s="594"/>
      <c r="BX31" s="594"/>
      <c r="BY31" s="594"/>
      <c r="BZ31" s="594"/>
      <c r="CA31" s="594"/>
      <c r="CB31" s="594"/>
      <c r="CC31" s="594"/>
      <c r="CD31" s="594"/>
      <c r="CE31" s="594"/>
      <c r="CF31" s="594"/>
      <c r="CG31" s="594"/>
      <c r="CH31" s="594"/>
      <c r="CI31" s="594"/>
      <c r="CJ31" s="594"/>
      <c r="CK31" s="594"/>
      <c r="CL31" s="594"/>
      <c r="CM31" s="594"/>
      <c r="CN31" s="594"/>
      <c r="CO31" s="594"/>
      <c r="CP31" s="594"/>
      <c r="CQ31" s="594"/>
    </row>
    <row r="32" spans="1:95" ht="21" hidden="1" customHeight="1" outlineLevel="1">
      <c r="A32" s="708" t="s">
        <v>687</v>
      </c>
      <c r="B32" s="707">
        <f t="shared" ref="B32:AE32" si="10">SUM(B24:B26)</f>
        <v>-30882.647199999999</v>
      </c>
      <c r="C32" s="707">
        <f t="shared" si="10"/>
        <v>687553.03547551949</v>
      </c>
      <c r="D32" s="707">
        <f t="shared" si="10"/>
        <v>727453.77332991385</v>
      </c>
      <c r="E32" s="707">
        <f t="shared" si="10"/>
        <v>766085.92925570183</v>
      </c>
      <c r="F32" s="707">
        <f t="shared" si="10"/>
        <v>805346.23519731429</v>
      </c>
      <c r="G32" s="707">
        <f t="shared" si="10"/>
        <v>845287.9129338467</v>
      </c>
      <c r="H32" s="707">
        <f t="shared" si="10"/>
        <v>886364.15879919659</v>
      </c>
      <c r="I32" s="707">
        <f t="shared" si="10"/>
        <v>928630.90327347466</v>
      </c>
      <c r="J32" s="707">
        <f t="shared" si="10"/>
        <v>971672.12764344015</v>
      </c>
      <c r="K32" s="707">
        <f t="shared" si="10"/>
        <v>1015503.2638324241</v>
      </c>
      <c r="L32" s="707">
        <f t="shared" si="10"/>
        <v>1060722.6158716788</v>
      </c>
      <c r="M32" s="707">
        <f t="shared" si="10"/>
        <v>1107291.6008877123</v>
      </c>
      <c r="N32" s="707">
        <f t="shared" si="10"/>
        <v>1155344.5205735022</v>
      </c>
      <c r="O32" s="707">
        <f t="shared" si="10"/>
        <v>1204840.081074036</v>
      </c>
      <c r="P32" s="707">
        <f t="shared" si="10"/>
        <v>1255832.4992326919</v>
      </c>
      <c r="Q32" s="707">
        <f t="shared" si="10"/>
        <v>1308228.2598048421</v>
      </c>
      <c r="R32" s="707">
        <f t="shared" si="10"/>
        <v>1361946.9930942454</v>
      </c>
      <c r="S32" s="707">
        <f t="shared" si="10"/>
        <v>1416814.0317856316</v>
      </c>
      <c r="T32" s="707">
        <f t="shared" si="10"/>
        <v>1472696.7316176451</v>
      </c>
      <c r="U32" s="707">
        <f t="shared" si="10"/>
        <v>1529314.9714704799</v>
      </c>
      <c r="V32" s="707">
        <f t="shared" si="10"/>
        <v>1529314.9714704799</v>
      </c>
      <c r="W32" s="707">
        <f t="shared" si="10"/>
        <v>1529314.9714704799</v>
      </c>
      <c r="X32" s="707">
        <f t="shared" si="10"/>
        <v>1529314.9714704799</v>
      </c>
      <c r="Y32" s="707">
        <f t="shared" si="10"/>
        <v>1529314.9714704799</v>
      </c>
      <c r="Z32" s="707">
        <f t="shared" si="10"/>
        <v>1529314.9714704799</v>
      </c>
      <c r="AA32" s="707">
        <f t="shared" si="10"/>
        <v>1529314.9714704799</v>
      </c>
      <c r="AB32" s="707">
        <f t="shared" si="10"/>
        <v>1529314.9714704799</v>
      </c>
      <c r="AC32" s="707">
        <f t="shared" si="10"/>
        <v>1529314.9714704799</v>
      </c>
      <c r="AD32" s="707">
        <f t="shared" si="10"/>
        <v>1529314.9714704799</v>
      </c>
      <c r="AE32" s="707">
        <f t="shared" si="10"/>
        <v>1529314.9714704799</v>
      </c>
      <c r="AF32" s="594"/>
      <c r="AG32" s="594"/>
      <c r="AH32" s="594"/>
      <c r="AI32" s="594"/>
      <c r="AJ32" s="594"/>
      <c r="AK32" s="594"/>
      <c r="AL32" s="594"/>
      <c r="AM32" s="594"/>
      <c r="AN32" s="594"/>
      <c r="AO32" s="594"/>
      <c r="AP32" s="594"/>
      <c r="AQ32" s="594"/>
      <c r="AR32" s="594"/>
      <c r="AS32" s="594"/>
      <c r="AT32" s="594"/>
      <c r="AU32" s="594"/>
      <c r="AV32" s="594"/>
      <c r="AW32" s="594"/>
      <c r="AX32" s="594"/>
      <c r="AY32" s="594"/>
      <c r="AZ32" s="594"/>
      <c r="BA32" s="594"/>
      <c r="BB32" s="594"/>
      <c r="BC32" s="594"/>
      <c r="BD32" s="594"/>
      <c r="BE32" s="594"/>
      <c r="BF32" s="594"/>
      <c r="BG32" s="594"/>
      <c r="BH32" s="594"/>
      <c r="BI32" s="594"/>
      <c r="BJ32" s="594"/>
      <c r="BK32" s="594"/>
      <c r="BL32" s="57"/>
      <c r="BM32" s="594"/>
      <c r="BN32" s="594"/>
      <c r="BO32" s="594"/>
      <c r="BP32" s="594"/>
      <c r="BQ32" s="594"/>
      <c r="BR32" s="594"/>
      <c r="BS32" s="594"/>
      <c r="BT32" s="594"/>
      <c r="BU32" s="594"/>
      <c r="BV32" s="594"/>
      <c r="BW32" s="594"/>
      <c r="BX32" s="594"/>
      <c r="BY32" s="594"/>
      <c r="BZ32" s="594"/>
      <c r="CA32" s="594"/>
      <c r="CB32" s="594"/>
      <c r="CC32" s="594"/>
      <c r="CD32" s="594"/>
      <c r="CE32" s="594"/>
      <c r="CF32" s="594"/>
      <c r="CG32" s="594"/>
      <c r="CH32" s="594"/>
      <c r="CI32" s="594"/>
      <c r="CJ32" s="594"/>
      <c r="CK32" s="594"/>
      <c r="CL32" s="594"/>
      <c r="CM32" s="594"/>
      <c r="CN32" s="594"/>
      <c r="CO32" s="594"/>
      <c r="CP32" s="594"/>
      <c r="CQ32" s="594"/>
    </row>
    <row r="33" spans="1:95" ht="19.5" hidden="1" customHeight="1" outlineLevel="1">
      <c r="A33" s="708" t="s">
        <v>688</v>
      </c>
      <c r="B33" s="707">
        <f t="shared" ref="B33:AE33" si="11">SUM(B34:B41)</f>
        <v>-478322.94400000002</v>
      </c>
      <c r="C33" s="707">
        <f t="shared" si="11"/>
        <v>0</v>
      </c>
      <c r="D33" s="707">
        <f t="shared" si="11"/>
        <v>0</v>
      </c>
      <c r="E33" s="707">
        <f t="shared" si="11"/>
        <v>0</v>
      </c>
      <c r="F33" s="707">
        <f t="shared" si="11"/>
        <v>0</v>
      </c>
      <c r="G33" s="707">
        <f t="shared" si="11"/>
        <v>0</v>
      </c>
      <c r="H33" s="707">
        <f t="shared" si="11"/>
        <v>0</v>
      </c>
      <c r="I33" s="707">
        <f t="shared" si="11"/>
        <v>0</v>
      </c>
      <c r="J33" s="707">
        <f t="shared" si="11"/>
        <v>0</v>
      </c>
      <c r="K33" s="707">
        <f t="shared" si="11"/>
        <v>0</v>
      </c>
      <c r="L33" s="707">
        <f t="shared" si="11"/>
        <v>-326477.18400000001</v>
      </c>
      <c r="M33" s="707">
        <f t="shared" si="11"/>
        <v>0</v>
      </c>
      <c r="N33" s="707">
        <f t="shared" si="11"/>
        <v>0</v>
      </c>
      <c r="O33" s="707">
        <f t="shared" si="11"/>
        <v>0</v>
      </c>
      <c r="P33" s="707">
        <f t="shared" si="11"/>
        <v>0</v>
      </c>
      <c r="Q33" s="707">
        <f t="shared" si="11"/>
        <v>0</v>
      </c>
      <c r="R33" s="707">
        <f t="shared" si="11"/>
        <v>0</v>
      </c>
      <c r="S33" s="707">
        <f t="shared" si="11"/>
        <v>0</v>
      </c>
      <c r="T33" s="707">
        <f t="shared" si="11"/>
        <v>0</v>
      </c>
      <c r="U33" s="707">
        <f t="shared" si="11"/>
        <v>0</v>
      </c>
      <c r="V33" s="707">
        <f t="shared" si="11"/>
        <v>-326477.18400000001</v>
      </c>
      <c r="W33" s="707">
        <f t="shared" si="11"/>
        <v>0</v>
      </c>
      <c r="X33" s="707">
        <f t="shared" si="11"/>
        <v>0</v>
      </c>
      <c r="Y33" s="707">
        <f t="shared" si="11"/>
        <v>0</v>
      </c>
      <c r="Z33" s="707">
        <f t="shared" si="11"/>
        <v>0</v>
      </c>
      <c r="AA33" s="707">
        <f t="shared" si="11"/>
        <v>0</v>
      </c>
      <c r="AB33" s="707">
        <f t="shared" si="11"/>
        <v>0</v>
      </c>
      <c r="AC33" s="707">
        <f t="shared" si="11"/>
        <v>0</v>
      </c>
      <c r="AD33" s="707">
        <f t="shared" si="11"/>
        <v>0</v>
      </c>
      <c r="AE33" s="707">
        <f t="shared" si="11"/>
        <v>0</v>
      </c>
      <c r="AF33" s="594"/>
      <c r="AG33" s="594"/>
      <c r="AH33" s="594"/>
      <c r="AI33" s="594"/>
      <c r="AJ33" s="594"/>
      <c r="AK33" s="594"/>
      <c r="AL33" s="594"/>
      <c r="AM33" s="594"/>
      <c r="AN33" s="594"/>
      <c r="AO33" s="594"/>
      <c r="AP33" s="594"/>
      <c r="AQ33" s="594"/>
      <c r="AR33" s="594"/>
      <c r="AS33" s="594"/>
      <c r="AT33" s="594"/>
      <c r="AU33" s="594"/>
      <c r="AV33" s="594"/>
      <c r="AW33" s="594"/>
      <c r="AX33" s="594"/>
      <c r="AY33" s="594"/>
      <c r="AZ33" s="594"/>
      <c r="BA33" s="594"/>
      <c r="BB33" s="594"/>
      <c r="BC33" s="594"/>
      <c r="BD33" s="594"/>
      <c r="BE33" s="594"/>
      <c r="BF33" s="594"/>
      <c r="BG33" s="594"/>
      <c r="BH33" s="594"/>
      <c r="BI33" s="594"/>
      <c r="BJ33" s="594"/>
      <c r="BK33" s="594"/>
      <c r="BL33" s="57"/>
      <c r="BM33" s="594"/>
      <c r="BN33" s="594"/>
      <c r="BO33" s="594"/>
      <c r="BP33" s="594"/>
      <c r="BQ33" s="594"/>
      <c r="BR33" s="594"/>
      <c r="BS33" s="594"/>
      <c r="BT33" s="594"/>
      <c r="BU33" s="594"/>
      <c r="BV33" s="594"/>
      <c r="BW33" s="594"/>
      <c r="BX33" s="594"/>
      <c r="BY33" s="594"/>
      <c r="BZ33" s="594"/>
      <c r="CA33" s="594"/>
      <c r="CB33" s="594"/>
      <c r="CC33" s="594"/>
      <c r="CD33" s="594"/>
      <c r="CE33" s="594"/>
      <c r="CF33" s="594"/>
      <c r="CG33" s="594"/>
      <c r="CH33" s="594"/>
      <c r="CI33" s="594"/>
      <c r="CJ33" s="594"/>
      <c r="CK33" s="594"/>
      <c r="CL33" s="594"/>
      <c r="CM33" s="594"/>
      <c r="CN33" s="594"/>
      <c r="CO33" s="594"/>
      <c r="CP33" s="594"/>
      <c r="CQ33" s="594"/>
    </row>
    <row r="34" spans="1:95" ht="19.5" hidden="1" customHeight="1" outlineLevel="2">
      <c r="A34" s="709" t="s">
        <v>354</v>
      </c>
      <c r="B34" s="710">
        <f>-SUMIFS('D2 - Capex uso'!BS$6:BS$176,'D2 - Capex uso'!$C$6:$C$176,$A23,'D2 - Capex uso'!$AK$6:$AK$176,$A34)</f>
        <v>-151845.76000000001</v>
      </c>
      <c r="C34" s="710">
        <f>-SUMIFS('D2 - Capex uso'!BT$6:BT$176,'D2 - Capex uso'!$C$6:$C$176,$A23,'D2 - Capex uso'!$AK$6:$AK$176,$A34)</f>
        <v>0</v>
      </c>
      <c r="D34" s="710">
        <f>-SUMIFS('D2 - Capex uso'!BU$6:BU$176,'D2 - Capex uso'!$C$6:$C$176,$A23,'D2 - Capex uso'!$AK$6:$AK$176,$A34)</f>
        <v>0</v>
      </c>
      <c r="E34" s="710">
        <f>-SUMIFS('D2 - Capex uso'!BV$6:BV$176,'D2 - Capex uso'!$C$6:$C$176,$A23,'D2 - Capex uso'!$AK$6:$AK$176,$A34)</f>
        <v>0</v>
      </c>
      <c r="F34" s="710">
        <f>-SUMIFS('D2 - Capex uso'!BW$6:BW$176,'D2 - Capex uso'!$C$6:$C$176,$A23,'D2 - Capex uso'!$AK$6:$AK$176,$A34)</f>
        <v>0</v>
      </c>
      <c r="G34" s="710">
        <f>-SUMIFS('D2 - Capex uso'!BX$6:BX$176,'D2 - Capex uso'!$C$6:$C$176,$A23,'D2 - Capex uso'!$AK$6:$AK$176,$A34)</f>
        <v>0</v>
      </c>
      <c r="H34" s="710">
        <f>-SUMIFS('D2 - Capex uso'!BY$6:BY$176,'D2 - Capex uso'!$C$6:$C$176,$A23,'D2 - Capex uso'!$AK$6:$AK$176,$A34)</f>
        <v>0</v>
      </c>
      <c r="I34" s="710">
        <f>-SUMIFS('D2 - Capex uso'!BZ$6:BZ$176,'D2 - Capex uso'!$C$6:$C$176,$A23,'D2 - Capex uso'!$AK$6:$AK$176,$A34)</f>
        <v>0</v>
      </c>
      <c r="J34" s="710">
        <f>-SUMIFS('D2 - Capex uso'!CA$6:CA$176,'D2 - Capex uso'!$C$6:$C$176,$A23,'D2 - Capex uso'!$AK$6:$AK$176,$A34)</f>
        <v>0</v>
      </c>
      <c r="K34" s="710">
        <f>-SUMIFS('D2 - Capex uso'!CB$6:CB$176,'D2 - Capex uso'!$C$6:$C$176,$A23,'D2 - Capex uso'!$AK$6:$AK$176,$A34)</f>
        <v>0</v>
      </c>
      <c r="L34" s="710">
        <f>-SUMIFS('D2 - Capex uso'!CC$6:CC$176,'D2 - Capex uso'!$C$6:$C$176,$A23,'D2 - Capex uso'!$AK$6:$AK$176,$A34)</f>
        <v>0</v>
      </c>
      <c r="M34" s="710">
        <f>-SUMIFS('D2 - Capex uso'!CD$6:CD$176,'D2 - Capex uso'!$C$6:$C$176,$A23,'D2 - Capex uso'!$AK$6:$AK$176,$A34)</f>
        <v>0</v>
      </c>
      <c r="N34" s="710">
        <f>-SUMIFS('D2 - Capex uso'!CE$6:CE$176,'D2 - Capex uso'!$C$6:$C$176,$A23,'D2 - Capex uso'!$AK$6:$AK$176,$A34)</f>
        <v>0</v>
      </c>
      <c r="O34" s="710">
        <f>-SUMIFS('D2 - Capex uso'!CF$6:CF$176,'D2 - Capex uso'!$C$6:$C$176,$A23,'D2 - Capex uso'!$AK$6:$AK$176,$A34)</f>
        <v>0</v>
      </c>
      <c r="P34" s="710">
        <f>-SUMIFS('D2 - Capex uso'!CG$6:CG$176,'D2 - Capex uso'!$C$6:$C$176,$A23,'D2 - Capex uso'!$AK$6:$AK$176,$A34)</f>
        <v>0</v>
      </c>
      <c r="Q34" s="710">
        <f>-SUMIFS('D2 - Capex uso'!CH$6:CH$176,'D2 - Capex uso'!$C$6:$C$176,$A23,'D2 - Capex uso'!$AK$6:$AK$176,$A34)</f>
        <v>0</v>
      </c>
      <c r="R34" s="710">
        <f>-SUMIFS('D2 - Capex uso'!CI$6:CI$176,'D2 - Capex uso'!$C$6:$C$176,$A23,'D2 - Capex uso'!$AK$6:$AK$176,$A34)</f>
        <v>0</v>
      </c>
      <c r="S34" s="710">
        <f>-SUMIFS('D2 - Capex uso'!CJ$6:CJ$176,'D2 - Capex uso'!$C$6:$C$176,$A23,'D2 - Capex uso'!$AK$6:$AK$176,$A34)</f>
        <v>0</v>
      </c>
      <c r="T34" s="710">
        <f>-SUMIFS('D2 - Capex uso'!CK$6:CK$176,'D2 - Capex uso'!$C$6:$C$176,$A23,'D2 - Capex uso'!$AK$6:$AK$176,$A34)</f>
        <v>0</v>
      </c>
      <c r="U34" s="710">
        <f>-SUMIFS('D2 - Capex uso'!CL$6:CL$176,'D2 - Capex uso'!$C$6:$C$176,$A23,'D2 - Capex uso'!$AK$6:$AK$176,$A34)</f>
        <v>0</v>
      </c>
      <c r="V34" s="710">
        <f>-SUMIFS('D2 - Capex uso'!CM$6:CM$176,'D2 - Capex uso'!$C$6:$C$176,$A23,'D2 - Capex uso'!$AK$6:$AK$176,$A34)</f>
        <v>0</v>
      </c>
      <c r="W34" s="710">
        <f>-SUMIFS('D2 - Capex uso'!CN$6:CN$176,'D2 - Capex uso'!$C$6:$C$176,$A23,'D2 - Capex uso'!$AK$6:$AK$176,$A34)</f>
        <v>0</v>
      </c>
      <c r="X34" s="710">
        <f>-SUMIFS('D2 - Capex uso'!CO$6:CO$176,'D2 - Capex uso'!$C$6:$C$176,$A23,'D2 - Capex uso'!$AK$6:$AK$176,$A34)</f>
        <v>0</v>
      </c>
      <c r="Y34" s="710">
        <f>-SUMIFS('D2 - Capex uso'!CP$6:CP$176,'D2 - Capex uso'!$C$6:$C$176,$A23,'D2 - Capex uso'!$AK$6:$AK$176,$A34)</f>
        <v>0</v>
      </c>
      <c r="Z34" s="710">
        <f>-SUMIFS('D2 - Capex uso'!CQ$6:CQ$176,'D2 - Capex uso'!$C$6:$C$176,$A23,'D2 - Capex uso'!$AK$6:$AK$176,$A34)</f>
        <v>0</v>
      </c>
      <c r="AA34" s="710">
        <f>-SUMIFS('D2 - Capex uso'!CR$6:CR$176,'D2 - Capex uso'!$C$6:$C$176,$A23,'D2 - Capex uso'!$AK$6:$AK$176,$A34)</f>
        <v>0</v>
      </c>
      <c r="AB34" s="710">
        <f>-SUMIFS('D2 - Capex uso'!CS$6:CS$176,'D2 - Capex uso'!$C$6:$C$176,$A23,'D2 - Capex uso'!$AK$6:$AK$176,$A34)</f>
        <v>0</v>
      </c>
      <c r="AC34" s="710">
        <f>-SUMIFS('D2 - Capex uso'!CT$6:CT$176,'D2 - Capex uso'!$C$6:$C$176,$A23,'D2 - Capex uso'!$AK$6:$AK$176,$A34)</f>
        <v>0</v>
      </c>
      <c r="AD34" s="710">
        <f>-SUMIFS('D2 - Capex uso'!CU$6:CU$176,'D2 - Capex uso'!$C$6:$C$176,$A23,'D2 - Capex uso'!$AK$6:$AK$176,$A34)</f>
        <v>0</v>
      </c>
      <c r="AE34" s="710">
        <f>-SUMIFS('D2 - Capex uso'!CV$6:CV$176,'D2 - Capex uso'!$C$6:$C$176,$A23,'D2 - Capex uso'!$AK$6:$AK$176,$A34)</f>
        <v>0</v>
      </c>
      <c r="AF34" s="594"/>
      <c r="AG34" s="594"/>
      <c r="AH34" s="594"/>
      <c r="AI34" s="594"/>
      <c r="AJ34" s="594"/>
      <c r="AK34" s="594"/>
      <c r="AL34" s="594"/>
      <c r="AM34" s="594"/>
      <c r="AN34" s="594"/>
      <c r="AO34" s="594"/>
      <c r="AP34" s="594"/>
      <c r="AQ34" s="594"/>
      <c r="AR34" s="594"/>
      <c r="AS34" s="594"/>
      <c r="AT34" s="594"/>
      <c r="AU34" s="594"/>
      <c r="AV34" s="594"/>
      <c r="AW34" s="594"/>
      <c r="AX34" s="594"/>
      <c r="AY34" s="594"/>
      <c r="AZ34" s="594"/>
      <c r="BA34" s="594"/>
      <c r="BB34" s="594"/>
      <c r="BC34" s="594"/>
      <c r="BD34" s="594"/>
      <c r="BE34" s="594"/>
      <c r="BF34" s="594"/>
      <c r="BG34" s="594"/>
      <c r="BH34" s="594"/>
      <c r="BI34" s="594"/>
      <c r="BJ34" s="594"/>
      <c r="BK34" s="594"/>
      <c r="BL34" s="57"/>
      <c r="BM34" s="594"/>
      <c r="BN34" s="594"/>
      <c r="BO34" s="594"/>
      <c r="BP34" s="594"/>
      <c r="BQ34" s="594"/>
      <c r="BR34" s="594"/>
      <c r="BS34" s="594"/>
      <c r="BT34" s="594"/>
      <c r="BU34" s="594"/>
      <c r="BV34" s="594"/>
      <c r="BW34" s="594"/>
      <c r="BX34" s="594"/>
      <c r="BY34" s="594"/>
      <c r="BZ34" s="594"/>
      <c r="CA34" s="594"/>
      <c r="CB34" s="594"/>
      <c r="CC34" s="594"/>
      <c r="CD34" s="594"/>
      <c r="CE34" s="594"/>
      <c r="CF34" s="594"/>
      <c r="CG34" s="594"/>
      <c r="CH34" s="594"/>
      <c r="CI34" s="594"/>
      <c r="CJ34" s="594"/>
      <c r="CK34" s="594"/>
      <c r="CL34" s="594"/>
      <c r="CM34" s="594"/>
      <c r="CN34" s="594"/>
      <c r="CO34" s="594"/>
      <c r="CP34" s="594"/>
      <c r="CQ34" s="594"/>
    </row>
    <row r="35" spans="1:95" ht="19.5" hidden="1" customHeight="1" outlineLevel="2">
      <c r="A35" s="709" t="s">
        <v>689</v>
      </c>
      <c r="B35" s="710">
        <f>-SUMIFS('D2 - Capex uso'!BS$6:BS$176,'D2 - Capex uso'!$C$6:$C$176,$A23,'D2 - Capex uso'!$AK$6:$AK$176,$A35)</f>
        <v>0</v>
      </c>
      <c r="C35" s="710">
        <f>-SUMIFS('D2 - Capex uso'!BT$6:BT$176,'D2 - Capex uso'!$C$6:$C$176,$A23,'D2 - Capex uso'!$AK$6:$AK$176,$A35)</f>
        <v>0</v>
      </c>
      <c r="D35" s="710">
        <f>-SUMIFS('D2 - Capex uso'!BU$6:BU$176,'D2 - Capex uso'!$C$6:$C$176,$A23,'D2 - Capex uso'!$AK$6:$AK$176,$A35)</f>
        <v>0</v>
      </c>
      <c r="E35" s="710">
        <f>-SUMIFS('D2 - Capex uso'!BV$6:BV$176,'D2 - Capex uso'!$C$6:$C$176,$A23,'D2 - Capex uso'!$AK$6:$AK$176,$A35)</f>
        <v>0</v>
      </c>
      <c r="F35" s="710">
        <f>-SUMIFS('D2 - Capex uso'!BW$6:BW$176,'D2 - Capex uso'!$C$6:$C$176,$A23,'D2 - Capex uso'!$AK$6:$AK$176,$A35)</f>
        <v>0</v>
      </c>
      <c r="G35" s="710">
        <f>-SUMIFS('D2 - Capex uso'!BX$6:BX$176,'D2 - Capex uso'!$C$6:$C$176,$A23,'D2 - Capex uso'!$AK$6:$AK$176,$A35)</f>
        <v>0</v>
      </c>
      <c r="H35" s="710">
        <f>-SUMIFS('D2 - Capex uso'!BY$6:BY$176,'D2 - Capex uso'!$C$6:$C$176,$A23,'D2 - Capex uso'!$AK$6:$AK$176,$A35)</f>
        <v>0</v>
      </c>
      <c r="I35" s="710">
        <f>-SUMIFS('D2 - Capex uso'!BZ$6:BZ$176,'D2 - Capex uso'!$C$6:$C$176,$A23,'D2 - Capex uso'!$AK$6:$AK$176,$A35)</f>
        <v>0</v>
      </c>
      <c r="J35" s="710">
        <f>-SUMIFS('D2 - Capex uso'!CA$6:CA$176,'D2 - Capex uso'!$C$6:$C$176,$A23,'D2 - Capex uso'!$AK$6:$AK$176,$A35)</f>
        <v>0</v>
      </c>
      <c r="K35" s="710">
        <f>-SUMIFS('D2 - Capex uso'!CB$6:CB$176,'D2 - Capex uso'!$C$6:$C$176,$A23,'D2 - Capex uso'!$AK$6:$AK$176,$A35)</f>
        <v>0</v>
      </c>
      <c r="L35" s="710">
        <f>-SUMIFS('D2 - Capex uso'!CC$6:CC$176,'D2 - Capex uso'!$C$6:$C$176,$A23,'D2 - Capex uso'!$AK$6:$AK$176,$A35)</f>
        <v>0</v>
      </c>
      <c r="M35" s="710">
        <f>-SUMIFS('D2 - Capex uso'!CD$6:CD$176,'D2 - Capex uso'!$C$6:$C$176,$A23,'D2 - Capex uso'!$AK$6:$AK$176,$A35)</f>
        <v>0</v>
      </c>
      <c r="N35" s="710">
        <f>-SUMIFS('D2 - Capex uso'!CE$6:CE$176,'D2 - Capex uso'!$C$6:$C$176,$A23,'D2 - Capex uso'!$AK$6:$AK$176,$A35)</f>
        <v>0</v>
      </c>
      <c r="O35" s="710">
        <f>-SUMIFS('D2 - Capex uso'!CF$6:CF$176,'D2 - Capex uso'!$C$6:$C$176,$A23,'D2 - Capex uso'!$AK$6:$AK$176,$A35)</f>
        <v>0</v>
      </c>
      <c r="P35" s="710">
        <f>-SUMIFS('D2 - Capex uso'!CG$6:CG$176,'D2 - Capex uso'!$C$6:$C$176,$A23,'D2 - Capex uso'!$AK$6:$AK$176,$A35)</f>
        <v>0</v>
      </c>
      <c r="Q35" s="710">
        <f>-SUMIFS('D2 - Capex uso'!CH$6:CH$176,'D2 - Capex uso'!$C$6:$C$176,$A23,'D2 - Capex uso'!$AK$6:$AK$176,$A35)</f>
        <v>0</v>
      </c>
      <c r="R35" s="710">
        <f>-SUMIFS('D2 - Capex uso'!CI$6:CI$176,'D2 - Capex uso'!$C$6:$C$176,$A23,'D2 - Capex uso'!$AK$6:$AK$176,$A35)</f>
        <v>0</v>
      </c>
      <c r="S35" s="710">
        <f>-SUMIFS('D2 - Capex uso'!CJ$6:CJ$176,'D2 - Capex uso'!$C$6:$C$176,$A23,'D2 - Capex uso'!$AK$6:$AK$176,$A35)</f>
        <v>0</v>
      </c>
      <c r="T35" s="710">
        <f>-SUMIFS('D2 - Capex uso'!CK$6:CK$176,'D2 - Capex uso'!$C$6:$C$176,$A23,'D2 - Capex uso'!$AK$6:$AK$176,$A35)</f>
        <v>0</v>
      </c>
      <c r="U35" s="710">
        <f>-SUMIFS('D2 - Capex uso'!CL$6:CL$176,'D2 - Capex uso'!$C$6:$C$176,$A23,'D2 - Capex uso'!$AK$6:$AK$176,$A35)</f>
        <v>0</v>
      </c>
      <c r="V35" s="710">
        <f>-SUMIFS('D2 - Capex uso'!CM$6:CM$176,'D2 - Capex uso'!$C$6:$C$176,$A23,'D2 - Capex uso'!$AK$6:$AK$176,$A35)</f>
        <v>0</v>
      </c>
      <c r="W35" s="710">
        <f>-SUMIFS('D2 - Capex uso'!CN$6:CN$176,'D2 - Capex uso'!$C$6:$C$176,$A23,'D2 - Capex uso'!$AK$6:$AK$176,$A35)</f>
        <v>0</v>
      </c>
      <c r="X35" s="710">
        <f>-SUMIFS('D2 - Capex uso'!CO$6:CO$176,'D2 - Capex uso'!$C$6:$C$176,$A23,'D2 - Capex uso'!$AK$6:$AK$176,$A35)</f>
        <v>0</v>
      </c>
      <c r="Y35" s="710">
        <f>-SUMIFS('D2 - Capex uso'!CP$6:CP$176,'D2 - Capex uso'!$C$6:$C$176,$A23,'D2 - Capex uso'!$AK$6:$AK$176,$A35)</f>
        <v>0</v>
      </c>
      <c r="Z35" s="710">
        <f>-SUMIFS('D2 - Capex uso'!CQ$6:CQ$176,'D2 - Capex uso'!$C$6:$C$176,$A23,'D2 - Capex uso'!$AK$6:$AK$176,$A35)</f>
        <v>0</v>
      </c>
      <c r="AA35" s="710">
        <f>-SUMIFS('D2 - Capex uso'!CR$6:CR$176,'D2 - Capex uso'!$C$6:$C$176,$A23,'D2 - Capex uso'!$AK$6:$AK$176,$A35)</f>
        <v>0</v>
      </c>
      <c r="AB35" s="710">
        <f>-SUMIFS('D2 - Capex uso'!CS$6:CS$176,'D2 - Capex uso'!$C$6:$C$176,$A23,'D2 - Capex uso'!$AK$6:$AK$176,$A35)</f>
        <v>0</v>
      </c>
      <c r="AC35" s="710">
        <f>-SUMIFS('D2 - Capex uso'!CT$6:CT$176,'D2 - Capex uso'!$C$6:$C$176,$A23,'D2 - Capex uso'!$AK$6:$AK$176,$A35)</f>
        <v>0</v>
      </c>
      <c r="AD35" s="710">
        <f>-SUMIFS('D2 - Capex uso'!CU$6:CU$176,'D2 - Capex uso'!$C$6:$C$176,$A23,'D2 - Capex uso'!$AK$6:$AK$176,$A35)</f>
        <v>0</v>
      </c>
      <c r="AE35" s="710">
        <f>-SUMIFS('D2 - Capex uso'!CV$6:CV$176,'D2 - Capex uso'!$C$6:$C$176,$A23,'D2 - Capex uso'!$AK$6:$AK$176,$A35)</f>
        <v>0</v>
      </c>
      <c r="AF35" s="594"/>
      <c r="AG35" s="594"/>
      <c r="AH35" s="594"/>
      <c r="AI35" s="594"/>
      <c r="AJ35" s="594"/>
      <c r="AK35" s="594"/>
      <c r="AL35" s="594"/>
      <c r="AM35" s="594"/>
      <c r="AN35" s="594"/>
      <c r="AO35" s="594"/>
      <c r="AP35" s="594"/>
      <c r="AQ35" s="594"/>
      <c r="AR35" s="594"/>
      <c r="AS35" s="594"/>
      <c r="AT35" s="594"/>
      <c r="AU35" s="594"/>
      <c r="AV35" s="594"/>
      <c r="AW35" s="594"/>
      <c r="AX35" s="594"/>
      <c r="AY35" s="594"/>
      <c r="AZ35" s="594"/>
      <c r="BA35" s="594"/>
      <c r="BB35" s="594"/>
      <c r="BC35" s="594"/>
      <c r="BD35" s="594"/>
      <c r="BE35" s="594"/>
      <c r="BF35" s="594"/>
      <c r="BG35" s="594"/>
      <c r="BH35" s="594"/>
      <c r="BI35" s="594"/>
      <c r="BJ35" s="594"/>
      <c r="BK35" s="594"/>
      <c r="BL35" s="57"/>
      <c r="BM35" s="594"/>
      <c r="BN35" s="594"/>
      <c r="BO35" s="594"/>
      <c r="BP35" s="594"/>
      <c r="BQ35" s="594"/>
      <c r="BR35" s="594"/>
      <c r="BS35" s="594"/>
      <c r="BT35" s="594"/>
      <c r="BU35" s="594"/>
      <c r="BV35" s="594"/>
      <c r="BW35" s="594"/>
      <c r="BX35" s="594"/>
      <c r="BY35" s="594"/>
      <c r="BZ35" s="594"/>
      <c r="CA35" s="594"/>
      <c r="CB35" s="594"/>
      <c r="CC35" s="594"/>
      <c r="CD35" s="594"/>
      <c r="CE35" s="594"/>
      <c r="CF35" s="594"/>
      <c r="CG35" s="594"/>
      <c r="CH35" s="594"/>
      <c r="CI35" s="594"/>
      <c r="CJ35" s="594"/>
      <c r="CK35" s="594"/>
      <c r="CL35" s="594"/>
      <c r="CM35" s="594"/>
      <c r="CN35" s="594"/>
      <c r="CO35" s="594"/>
      <c r="CP35" s="594"/>
      <c r="CQ35" s="594"/>
    </row>
    <row r="36" spans="1:95" ht="19.5" hidden="1" customHeight="1" outlineLevel="2">
      <c r="A36" s="709" t="s">
        <v>378</v>
      </c>
      <c r="B36" s="710">
        <f>-SUMIFS('D2 - Capex uso'!BS$6:BS$176,'D2 - Capex uso'!$C$6:$C$176,$A23,'D2 - Capex uso'!$AK$6:$AK$176,$A36)</f>
        <v>0</v>
      </c>
      <c r="C36" s="710">
        <f>-SUMIFS('D2 - Capex uso'!BT$6:BT$176,'D2 - Capex uso'!$C$6:$C$176,$A23,'D2 - Capex uso'!$AK$6:$AK$176,$A36)</f>
        <v>0</v>
      </c>
      <c r="D36" s="710">
        <f>-SUMIFS('D2 - Capex uso'!BU$6:BU$176,'D2 - Capex uso'!$C$6:$C$176,$A23,'D2 - Capex uso'!$AK$6:$AK$176,$A36)</f>
        <v>0</v>
      </c>
      <c r="E36" s="710">
        <f>-SUMIFS('D2 - Capex uso'!BV$6:BV$176,'D2 - Capex uso'!$C$6:$C$176,$A23,'D2 - Capex uso'!$AK$6:$AK$176,$A36)</f>
        <v>0</v>
      </c>
      <c r="F36" s="710">
        <f>-SUMIFS('D2 - Capex uso'!BW$6:BW$176,'D2 - Capex uso'!$C$6:$C$176,$A23,'D2 - Capex uso'!$AK$6:$AK$176,$A36)</f>
        <v>0</v>
      </c>
      <c r="G36" s="710">
        <f>-SUMIFS('D2 - Capex uso'!BX$6:BX$176,'D2 - Capex uso'!$C$6:$C$176,$A23,'D2 - Capex uso'!$AK$6:$AK$176,$A36)</f>
        <v>0</v>
      </c>
      <c r="H36" s="710">
        <f>-SUMIFS('D2 - Capex uso'!BY$6:BY$176,'D2 - Capex uso'!$C$6:$C$176,$A23,'D2 - Capex uso'!$AK$6:$AK$176,$A36)</f>
        <v>0</v>
      </c>
      <c r="I36" s="710">
        <f>-SUMIFS('D2 - Capex uso'!BZ$6:BZ$176,'D2 - Capex uso'!$C$6:$C$176,$A23,'D2 - Capex uso'!$AK$6:$AK$176,$A36)</f>
        <v>0</v>
      </c>
      <c r="J36" s="710">
        <f>-SUMIFS('D2 - Capex uso'!CA$6:CA$176,'D2 - Capex uso'!$C$6:$C$176,$A23,'D2 - Capex uso'!$AK$6:$AK$176,$A36)</f>
        <v>0</v>
      </c>
      <c r="K36" s="710">
        <f>-SUMIFS('D2 - Capex uso'!CB$6:CB$176,'D2 - Capex uso'!$C$6:$C$176,$A23,'D2 - Capex uso'!$AK$6:$AK$176,$A36)</f>
        <v>0</v>
      </c>
      <c r="L36" s="710">
        <f>-SUMIFS('D2 - Capex uso'!CC$6:CC$176,'D2 - Capex uso'!$C$6:$C$176,$A23,'D2 - Capex uso'!$AK$6:$AK$176,$A36)</f>
        <v>0</v>
      </c>
      <c r="M36" s="710">
        <f>-SUMIFS('D2 - Capex uso'!CD$6:CD$176,'D2 - Capex uso'!$C$6:$C$176,$A23,'D2 - Capex uso'!$AK$6:$AK$176,$A36)</f>
        <v>0</v>
      </c>
      <c r="N36" s="710">
        <f>-SUMIFS('D2 - Capex uso'!CE$6:CE$176,'D2 - Capex uso'!$C$6:$C$176,$A23,'D2 - Capex uso'!$AK$6:$AK$176,$A36)</f>
        <v>0</v>
      </c>
      <c r="O36" s="710">
        <f>-SUMIFS('D2 - Capex uso'!CF$6:CF$176,'D2 - Capex uso'!$C$6:$C$176,$A23,'D2 - Capex uso'!$AK$6:$AK$176,$A36)</f>
        <v>0</v>
      </c>
      <c r="P36" s="710">
        <f>-SUMIFS('D2 - Capex uso'!CG$6:CG$176,'D2 - Capex uso'!$C$6:$C$176,$A23,'D2 - Capex uso'!$AK$6:$AK$176,$A36)</f>
        <v>0</v>
      </c>
      <c r="Q36" s="710">
        <f>-SUMIFS('D2 - Capex uso'!CH$6:CH$176,'D2 - Capex uso'!$C$6:$C$176,$A23,'D2 - Capex uso'!$AK$6:$AK$176,$A36)</f>
        <v>0</v>
      </c>
      <c r="R36" s="710">
        <f>-SUMIFS('D2 - Capex uso'!CI$6:CI$176,'D2 - Capex uso'!$C$6:$C$176,$A23,'D2 - Capex uso'!$AK$6:$AK$176,$A36)</f>
        <v>0</v>
      </c>
      <c r="S36" s="710">
        <f>-SUMIFS('D2 - Capex uso'!CJ$6:CJ$176,'D2 - Capex uso'!$C$6:$C$176,$A23,'D2 - Capex uso'!$AK$6:$AK$176,$A36)</f>
        <v>0</v>
      </c>
      <c r="T36" s="710">
        <f>-SUMIFS('D2 - Capex uso'!CK$6:CK$176,'D2 - Capex uso'!$C$6:$C$176,$A23,'D2 - Capex uso'!$AK$6:$AK$176,$A36)</f>
        <v>0</v>
      </c>
      <c r="U36" s="710">
        <f>-SUMIFS('D2 - Capex uso'!CL$6:CL$176,'D2 - Capex uso'!$C$6:$C$176,$A23,'D2 - Capex uso'!$AK$6:$AK$176,$A36)</f>
        <v>0</v>
      </c>
      <c r="V36" s="710">
        <f>-SUMIFS('D2 - Capex uso'!CM$6:CM$176,'D2 - Capex uso'!$C$6:$C$176,$A23,'D2 - Capex uso'!$AK$6:$AK$176,$A36)</f>
        <v>0</v>
      </c>
      <c r="W36" s="710">
        <f>-SUMIFS('D2 - Capex uso'!CN$6:CN$176,'D2 - Capex uso'!$C$6:$C$176,$A23,'D2 - Capex uso'!$AK$6:$AK$176,$A36)</f>
        <v>0</v>
      </c>
      <c r="X36" s="710">
        <f>-SUMIFS('D2 - Capex uso'!CO$6:CO$176,'D2 - Capex uso'!$C$6:$C$176,$A23,'D2 - Capex uso'!$AK$6:$AK$176,$A36)</f>
        <v>0</v>
      </c>
      <c r="Y36" s="710">
        <f>-SUMIFS('D2 - Capex uso'!CP$6:CP$176,'D2 - Capex uso'!$C$6:$C$176,$A23,'D2 - Capex uso'!$AK$6:$AK$176,$A36)</f>
        <v>0</v>
      </c>
      <c r="Z36" s="710">
        <f>-SUMIFS('D2 - Capex uso'!CQ$6:CQ$176,'D2 - Capex uso'!$C$6:$C$176,$A23,'D2 - Capex uso'!$AK$6:$AK$176,$A36)</f>
        <v>0</v>
      </c>
      <c r="AA36" s="710">
        <f>-SUMIFS('D2 - Capex uso'!CR$6:CR$176,'D2 - Capex uso'!$C$6:$C$176,$A23,'D2 - Capex uso'!$AK$6:$AK$176,$A36)</f>
        <v>0</v>
      </c>
      <c r="AB36" s="710">
        <f>-SUMIFS('D2 - Capex uso'!CS$6:CS$176,'D2 - Capex uso'!$C$6:$C$176,$A23,'D2 - Capex uso'!$AK$6:$AK$176,$A36)</f>
        <v>0</v>
      </c>
      <c r="AC36" s="710">
        <f>-SUMIFS('D2 - Capex uso'!CT$6:CT$176,'D2 - Capex uso'!$C$6:$C$176,$A23,'D2 - Capex uso'!$AK$6:$AK$176,$A36)</f>
        <v>0</v>
      </c>
      <c r="AD36" s="710">
        <f>-SUMIFS('D2 - Capex uso'!CU$6:CU$176,'D2 - Capex uso'!$C$6:$C$176,$A23,'D2 - Capex uso'!$AK$6:$AK$176,$A36)</f>
        <v>0</v>
      </c>
      <c r="AE36" s="710">
        <f>-SUMIFS('D2 - Capex uso'!CV$6:CV$176,'D2 - Capex uso'!$C$6:$C$176,$A23,'D2 - Capex uso'!$AK$6:$AK$176,$A36)</f>
        <v>0</v>
      </c>
      <c r="AF36" s="594"/>
      <c r="AG36" s="594"/>
      <c r="AH36" s="594"/>
      <c r="AI36" s="594"/>
      <c r="AJ36" s="594"/>
      <c r="AK36" s="594"/>
      <c r="AL36" s="594"/>
      <c r="AM36" s="594"/>
      <c r="AN36" s="594"/>
      <c r="AO36" s="594"/>
      <c r="AP36" s="594"/>
      <c r="AQ36" s="594"/>
      <c r="AR36" s="594"/>
      <c r="AS36" s="594"/>
      <c r="AT36" s="594"/>
      <c r="AU36" s="594"/>
      <c r="AV36" s="594"/>
      <c r="AW36" s="594"/>
      <c r="AX36" s="594"/>
      <c r="AY36" s="594"/>
      <c r="AZ36" s="594"/>
      <c r="BA36" s="594"/>
      <c r="BB36" s="594"/>
      <c r="BC36" s="594"/>
      <c r="BD36" s="594"/>
      <c r="BE36" s="594"/>
      <c r="BF36" s="594"/>
      <c r="BG36" s="594"/>
      <c r="BH36" s="594"/>
      <c r="BI36" s="594"/>
      <c r="BJ36" s="594"/>
      <c r="BK36" s="594"/>
      <c r="BL36" s="57"/>
      <c r="BM36" s="594"/>
      <c r="BN36" s="594"/>
      <c r="BO36" s="594"/>
      <c r="BP36" s="594"/>
      <c r="BQ36" s="594"/>
      <c r="BR36" s="594"/>
      <c r="BS36" s="594"/>
      <c r="BT36" s="594"/>
      <c r="BU36" s="594"/>
      <c r="BV36" s="594"/>
      <c r="BW36" s="594"/>
      <c r="BX36" s="594"/>
      <c r="BY36" s="594"/>
      <c r="BZ36" s="594"/>
      <c r="CA36" s="594"/>
      <c r="CB36" s="594"/>
      <c r="CC36" s="594"/>
      <c r="CD36" s="594"/>
      <c r="CE36" s="594"/>
      <c r="CF36" s="594"/>
      <c r="CG36" s="594"/>
      <c r="CH36" s="594"/>
      <c r="CI36" s="594"/>
      <c r="CJ36" s="594"/>
      <c r="CK36" s="594"/>
      <c r="CL36" s="594"/>
      <c r="CM36" s="594"/>
      <c r="CN36" s="594"/>
      <c r="CO36" s="594"/>
      <c r="CP36" s="594"/>
      <c r="CQ36" s="594"/>
    </row>
    <row r="37" spans="1:95" ht="19.5" hidden="1" customHeight="1" outlineLevel="2">
      <c r="A37" s="709" t="s">
        <v>366</v>
      </c>
      <c r="B37" s="710">
        <f>-SUMIFS('D2 - Capex uso'!BS$6:BS$176,'D2 - Capex uso'!$C$6:$C$176,$A23,'D2 - Capex uso'!$AK$6:$AK$176,$A37)</f>
        <v>-326477.18400000001</v>
      </c>
      <c r="C37" s="710">
        <f>-SUMIFS('D2 - Capex uso'!BT$6:BT$176,'D2 - Capex uso'!$C$6:$C$176,$A23,'D2 - Capex uso'!$AK$6:$AK$176,$A37)</f>
        <v>0</v>
      </c>
      <c r="D37" s="710">
        <f>-SUMIFS('D2 - Capex uso'!BU$6:BU$176,'D2 - Capex uso'!$C$6:$C$176,$A23,'D2 - Capex uso'!$AK$6:$AK$176,$A37)</f>
        <v>0</v>
      </c>
      <c r="E37" s="710">
        <f>-SUMIFS('D2 - Capex uso'!BV$6:BV$176,'D2 - Capex uso'!$C$6:$C$176,$A23,'D2 - Capex uso'!$AK$6:$AK$176,$A37)</f>
        <v>0</v>
      </c>
      <c r="F37" s="710">
        <f>-SUMIFS('D2 - Capex uso'!BW$6:BW$176,'D2 - Capex uso'!$C$6:$C$176,$A23,'D2 - Capex uso'!$AK$6:$AK$176,$A37)</f>
        <v>0</v>
      </c>
      <c r="G37" s="710">
        <f>-SUMIFS('D2 - Capex uso'!BX$6:BX$176,'D2 - Capex uso'!$C$6:$C$176,$A23,'D2 - Capex uso'!$AK$6:$AK$176,$A37)</f>
        <v>0</v>
      </c>
      <c r="H37" s="710">
        <f>-SUMIFS('D2 - Capex uso'!BY$6:BY$176,'D2 - Capex uso'!$C$6:$C$176,$A23,'D2 - Capex uso'!$AK$6:$AK$176,$A37)</f>
        <v>0</v>
      </c>
      <c r="I37" s="710">
        <f>-SUMIFS('D2 - Capex uso'!BZ$6:BZ$176,'D2 - Capex uso'!$C$6:$C$176,$A23,'D2 - Capex uso'!$AK$6:$AK$176,$A37)</f>
        <v>0</v>
      </c>
      <c r="J37" s="710">
        <f>-SUMIFS('D2 - Capex uso'!CA$6:CA$176,'D2 - Capex uso'!$C$6:$C$176,$A23,'D2 - Capex uso'!$AK$6:$AK$176,$A37)</f>
        <v>0</v>
      </c>
      <c r="K37" s="710">
        <f>-SUMIFS('D2 - Capex uso'!CB$6:CB$176,'D2 - Capex uso'!$C$6:$C$176,$A23,'D2 - Capex uso'!$AK$6:$AK$176,$A37)</f>
        <v>0</v>
      </c>
      <c r="L37" s="710">
        <f>-SUMIFS('D2 - Capex uso'!CC$6:CC$176,'D2 - Capex uso'!$C$6:$C$176,$A23,'D2 - Capex uso'!$AK$6:$AK$176,$A37)</f>
        <v>-326477.18400000001</v>
      </c>
      <c r="M37" s="710">
        <f>-SUMIFS('D2 - Capex uso'!CD$6:CD$176,'D2 - Capex uso'!$C$6:$C$176,$A23,'D2 - Capex uso'!$AK$6:$AK$176,$A37)</f>
        <v>0</v>
      </c>
      <c r="N37" s="710">
        <f>-SUMIFS('D2 - Capex uso'!CE$6:CE$176,'D2 - Capex uso'!$C$6:$C$176,$A23,'D2 - Capex uso'!$AK$6:$AK$176,$A37)</f>
        <v>0</v>
      </c>
      <c r="O37" s="710">
        <f>-SUMIFS('D2 - Capex uso'!CF$6:CF$176,'D2 - Capex uso'!$C$6:$C$176,$A23,'D2 - Capex uso'!$AK$6:$AK$176,$A37)</f>
        <v>0</v>
      </c>
      <c r="P37" s="710">
        <f>-SUMIFS('D2 - Capex uso'!CG$6:CG$176,'D2 - Capex uso'!$C$6:$C$176,$A23,'D2 - Capex uso'!$AK$6:$AK$176,$A37)</f>
        <v>0</v>
      </c>
      <c r="Q37" s="710">
        <f>-SUMIFS('D2 - Capex uso'!CH$6:CH$176,'D2 - Capex uso'!$C$6:$C$176,$A23,'D2 - Capex uso'!$AK$6:$AK$176,$A37)</f>
        <v>0</v>
      </c>
      <c r="R37" s="710">
        <f>-SUMIFS('D2 - Capex uso'!CI$6:CI$176,'D2 - Capex uso'!$C$6:$C$176,$A23,'D2 - Capex uso'!$AK$6:$AK$176,$A37)</f>
        <v>0</v>
      </c>
      <c r="S37" s="710">
        <f>-SUMIFS('D2 - Capex uso'!CJ$6:CJ$176,'D2 - Capex uso'!$C$6:$C$176,$A23,'D2 - Capex uso'!$AK$6:$AK$176,$A37)</f>
        <v>0</v>
      </c>
      <c r="T37" s="710">
        <f>-SUMIFS('D2 - Capex uso'!CK$6:CK$176,'D2 - Capex uso'!$C$6:$C$176,$A23,'D2 - Capex uso'!$AK$6:$AK$176,$A37)</f>
        <v>0</v>
      </c>
      <c r="U37" s="710">
        <f>-SUMIFS('D2 - Capex uso'!CL$6:CL$176,'D2 - Capex uso'!$C$6:$C$176,$A23,'D2 - Capex uso'!$AK$6:$AK$176,$A37)</f>
        <v>0</v>
      </c>
      <c r="V37" s="710">
        <f>-SUMIFS('D2 - Capex uso'!CM$6:CM$176,'D2 - Capex uso'!$C$6:$C$176,$A23,'D2 - Capex uso'!$AK$6:$AK$176,$A37)</f>
        <v>-326477.18400000001</v>
      </c>
      <c r="W37" s="710">
        <f>-SUMIFS('D2 - Capex uso'!CN$6:CN$176,'D2 - Capex uso'!$C$6:$C$176,$A23,'D2 - Capex uso'!$AK$6:$AK$176,$A37)</f>
        <v>0</v>
      </c>
      <c r="X37" s="710">
        <f>-SUMIFS('D2 - Capex uso'!CO$6:CO$176,'D2 - Capex uso'!$C$6:$C$176,$A23,'D2 - Capex uso'!$AK$6:$AK$176,$A37)</f>
        <v>0</v>
      </c>
      <c r="Y37" s="710">
        <f>-SUMIFS('D2 - Capex uso'!CP$6:CP$176,'D2 - Capex uso'!$C$6:$C$176,$A23,'D2 - Capex uso'!$AK$6:$AK$176,$A37)</f>
        <v>0</v>
      </c>
      <c r="Z37" s="710">
        <f>-SUMIFS('D2 - Capex uso'!CQ$6:CQ$176,'D2 - Capex uso'!$C$6:$C$176,$A23,'D2 - Capex uso'!$AK$6:$AK$176,$A37)</f>
        <v>0</v>
      </c>
      <c r="AA37" s="710">
        <f>-SUMIFS('D2 - Capex uso'!CR$6:CR$176,'D2 - Capex uso'!$C$6:$C$176,$A23,'D2 - Capex uso'!$AK$6:$AK$176,$A37)</f>
        <v>0</v>
      </c>
      <c r="AB37" s="710">
        <f>-SUMIFS('D2 - Capex uso'!CS$6:CS$176,'D2 - Capex uso'!$C$6:$C$176,$A23,'D2 - Capex uso'!$AK$6:$AK$176,$A37)</f>
        <v>0</v>
      </c>
      <c r="AC37" s="710">
        <f>-SUMIFS('D2 - Capex uso'!CT$6:CT$176,'D2 - Capex uso'!$C$6:$C$176,$A23,'D2 - Capex uso'!$AK$6:$AK$176,$A37)</f>
        <v>0</v>
      </c>
      <c r="AD37" s="710">
        <f>-SUMIFS('D2 - Capex uso'!CU$6:CU$176,'D2 - Capex uso'!$C$6:$C$176,$A23,'D2 - Capex uso'!$AK$6:$AK$176,$A37)</f>
        <v>0</v>
      </c>
      <c r="AE37" s="710">
        <f>-SUMIFS('D2 - Capex uso'!CV$6:CV$176,'D2 - Capex uso'!$C$6:$C$176,$A23,'D2 - Capex uso'!$AK$6:$AK$176,$A37)</f>
        <v>0</v>
      </c>
      <c r="AF37" s="594"/>
      <c r="AG37" s="594"/>
      <c r="AH37" s="594"/>
      <c r="AI37" s="594"/>
      <c r="AJ37" s="594"/>
      <c r="AK37" s="594"/>
      <c r="AL37" s="594"/>
      <c r="AM37" s="594"/>
      <c r="AN37" s="594"/>
      <c r="AO37" s="594"/>
      <c r="AP37" s="594"/>
      <c r="AQ37" s="594"/>
      <c r="AR37" s="594"/>
      <c r="AS37" s="594"/>
      <c r="AT37" s="594"/>
      <c r="AU37" s="594"/>
      <c r="AV37" s="594"/>
      <c r="AW37" s="594"/>
      <c r="AX37" s="594"/>
      <c r="AY37" s="594"/>
      <c r="AZ37" s="594"/>
      <c r="BA37" s="594"/>
      <c r="BB37" s="594"/>
      <c r="BC37" s="594"/>
      <c r="BD37" s="594"/>
      <c r="BE37" s="594"/>
      <c r="BF37" s="594"/>
      <c r="BG37" s="594"/>
      <c r="BH37" s="594"/>
      <c r="BI37" s="594"/>
      <c r="BJ37" s="594"/>
      <c r="BK37" s="594"/>
      <c r="BL37" s="57"/>
      <c r="BM37" s="594"/>
      <c r="BN37" s="594"/>
      <c r="BO37" s="594"/>
      <c r="BP37" s="594"/>
      <c r="BQ37" s="594"/>
      <c r="BR37" s="594"/>
      <c r="BS37" s="594"/>
      <c r="BT37" s="594"/>
      <c r="BU37" s="594"/>
      <c r="BV37" s="594"/>
      <c r="BW37" s="594"/>
      <c r="BX37" s="594"/>
      <c r="BY37" s="594"/>
      <c r="BZ37" s="594"/>
      <c r="CA37" s="594"/>
      <c r="CB37" s="594"/>
      <c r="CC37" s="594"/>
      <c r="CD37" s="594"/>
      <c r="CE37" s="594"/>
      <c r="CF37" s="594"/>
      <c r="CG37" s="594"/>
      <c r="CH37" s="594"/>
      <c r="CI37" s="594"/>
      <c r="CJ37" s="594"/>
      <c r="CK37" s="594"/>
      <c r="CL37" s="594"/>
      <c r="CM37" s="594"/>
      <c r="CN37" s="594"/>
      <c r="CO37" s="594"/>
      <c r="CP37" s="594"/>
      <c r="CQ37" s="594"/>
    </row>
    <row r="38" spans="1:95" ht="19.5" hidden="1" customHeight="1" outlineLevel="2">
      <c r="A38" s="709" t="s">
        <v>371</v>
      </c>
      <c r="B38" s="710">
        <f>-SUMIFS('D2 - Capex uso'!BS$6:BS$176,'D2 - Capex uso'!$C$6:$C$176,$A23,'D2 - Capex uso'!$AK$6:$AK$176,$A38)</f>
        <v>0</v>
      </c>
      <c r="C38" s="710">
        <f>-SUMIFS('D2 - Capex uso'!BT$6:BT$176,'D2 - Capex uso'!$C$6:$C$176,$A23,'D2 - Capex uso'!$AK$6:$AK$176,$A38)</f>
        <v>0</v>
      </c>
      <c r="D38" s="710">
        <f>-SUMIFS('D2 - Capex uso'!BU$6:BU$176,'D2 - Capex uso'!$C$6:$C$176,$A23,'D2 - Capex uso'!$AK$6:$AK$176,$A38)</f>
        <v>0</v>
      </c>
      <c r="E38" s="710">
        <f>-SUMIFS('D2 - Capex uso'!BV$6:BV$176,'D2 - Capex uso'!$C$6:$C$176,$A23,'D2 - Capex uso'!$AK$6:$AK$176,$A38)</f>
        <v>0</v>
      </c>
      <c r="F38" s="710">
        <f>-SUMIFS('D2 - Capex uso'!BW$6:BW$176,'D2 - Capex uso'!$C$6:$C$176,$A23,'D2 - Capex uso'!$AK$6:$AK$176,$A38)</f>
        <v>0</v>
      </c>
      <c r="G38" s="710">
        <f>-SUMIFS('D2 - Capex uso'!BX$6:BX$176,'D2 - Capex uso'!$C$6:$C$176,$A23,'D2 - Capex uso'!$AK$6:$AK$176,$A38)</f>
        <v>0</v>
      </c>
      <c r="H38" s="710">
        <f>-SUMIFS('D2 - Capex uso'!BY$6:BY$176,'D2 - Capex uso'!$C$6:$C$176,$A23,'D2 - Capex uso'!$AK$6:$AK$176,$A38)</f>
        <v>0</v>
      </c>
      <c r="I38" s="710">
        <f>-SUMIFS('D2 - Capex uso'!BZ$6:BZ$176,'D2 - Capex uso'!$C$6:$C$176,$A23,'D2 - Capex uso'!$AK$6:$AK$176,$A38)</f>
        <v>0</v>
      </c>
      <c r="J38" s="710">
        <f>-SUMIFS('D2 - Capex uso'!CA$6:CA$176,'D2 - Capex uso'!$C$6:$C$176,$A23,'D2 - Capex uso'!$AK$6:$AK$176,$A38)</f>
        <v>0</v>
      </c>
      <c r="K38" s="710">
        <f>-SUMIFS('D2 - Capex uso'!CB$6:CB$176,'D2 - Capex uso'!$C$6:$C$176,$A23,'D2 - Capex uso'!$AK$6:$AK$176,$A38)</f>
        <v>0</v>
      </c>
      <c r="L38" s="710">
        <f>-SUMIFS('D2 - Capex uso'!CC$6:CC$176,'D2 - Capex uso'!$C$6:$C$176,$A23,'D2 - Capex uso'!$AK$6:$AK$176,$A38)</f>
        <v>0</v>
      </c>
      <c r="M38" s="710">
        <f>-SUMIFS('D2 - Capex uso'!CD$6:CD$176,'D2 - Capex uso'!$C$6:$C$176,$A23,'D2 - Capex uso'!$AK$6:$AK$176,$A38)</f>
        <v>0</v>
      </c>
      <c r="N38" s="710">
        <f>-SUMIFS('D2 - Capex uso'!CE$6:CE$176,'D2 - Capex uso'!$C$6:$C$176,$A23,'D2 - Capex uso'!$AK$6:$AK$176,$A38)</f>
        <v>0</v>
      </c>
      <c r="O38" s="710">
        <f>-SUMIFS('D2 - Capex uso'!CF$6:CF$176,'D2 - Capex uso'!$C$6:$C$176,$A23,'D2 - Capex uso'!$AK$6:$AK$176,$A38)</f>
        <v>0</v>
      </c>
      <c r="P38" s="710">
        <f>-SUMIFS('D2 - Capex uso'!CG$6:CG$176,'D2 - Capex uso'!$C$6:$C$176,$A23,'D2 - Capex uso'!$AK$6:$AK$176,$A38)</f>
        <v>0</v>
      </c>
      <c r="Q38" s="710">
        <f>-SUMIFS('D2 - Capex uso'!CH$6:CH$176,'D2 - Capex uso'!$C$6:$C$176,$A23,'D2 - Capex uso'!$AK$6:$AK$176,$A38)</f>
        <v>0</v>
      </c>
      <c r="R38" s="710">
        <f>-SUMIFS('D2 - Capex uso'!CI$6:CI$176,'D2 - Capex uso'!$C$6:$C$176,$A23,'D2 - Capex uso'!$AK$6:$AK$176,$A38)</f>
        <v>0</v>
      </c>
      <c r="S38" s="710">
        <f>-SUMIFS('D2 - Capex uso'!CJ$6:CJ$176,'D2 - Capex uso'!$C$6:$C$176,$A23,'D2 - Capex uso'!$AK$6:$AK$176,$A38)</f>
        <v>0</v>
      </c>
      <c r="T38" s="710">
        <f>-SUMIFS('D2 - Capex uso'!CK$6:CK$176,'D2 - Capex uso'!$C$6:$C$176,$A23,'D2 - Capex uso'!$AK$6:$AK$176,$A38)</f>
        <v>0</v>
      </c>
      <c r="U38" s="710">
        <f>-SUMIFS('D2 - Capex uso'!CL$6:CL$176,'D2 - Capex uso'!$C$6:$C$176,$A23,'D2 - Capex uso'!$AK$6:$AK$176,$A38)</f>
        <v>0</v>
      </c>
      <c r="V38" s="710">
        <f>-SUMIFS('D2 - Capex uso'!CM$6:CM$176,'D2 - Capex uso'!$C$6:$C$176,$A23,'D2 - Capex uso'!$AK$6:$AK$176,$A38)</f>
        <v>0</v>
      </c>
      <c r="W38" s="710">
        <f>-SUMIFS('D2 - Capex uso'!CN$6:CN$176,'D2 - Capex uso'!$C$6:$C$176,$A23,'D2 - Capex uso'!$AK$6:$AK$176,$A38)</f>
        <v>0</v>
      </c>
      <c r="X38" s="710">
        <f>-SUMIFS('D2 - Capex uso'!CO$6:CO$176,'D2 - Capex uso'!$C$6:$C$176,$A23,'D2 - Capex uso'!$AK$6:$AK$176,$A38)</f>
        <v>0</v>
      </c>
      <c r="Y38" s="710">
        <f>-SUMIFS('D2 - Capex uso'!CP$6:CP$176,'D2 - Capex uso'!$C$6:$C$176,$A23,'D2 - Capex uso'!$AK$6:$AK$176,$A38)</f>
        <v>0</v>
      </c>
      <c r="Z38" s="710">
        <f>-SUMIFS('D2 - Capex uso'!CQ$6:CQ$176,'D2 - Capex uso'!$C$6:$C$176,$A23,'D2 - Capex uso'!$AK$6:$AK$176,$A38)</f>
        <v>0</v>
      </c>
      <c r="AA38" s="710">
        <f>-SUMIFS('D2 - Capex uso'!CR$6:CR$176,'D2 - Capex uso'!$C$6:$C$176,$A23,'D2 - Capex uso'!$AK$6:$AK$176,$A38)</f>
        <v>0</v>
      </c>
      <c r="AB38" s="710">
        <f>-SUMIFS('D2 - Capex uso'!CS$6:CS$176,'D2 - Capex uso'!$C$6:$C$176,$A23,'D2 - Capex uso'!$AK$6:$AK$176,$A38)</f>
        <v>0</v>
      </c>
      <c r="AC38" s="710">
        <f>-SUMIFS('D2 - Capex uso'!CT$6:CT$176,'D2 - Capex uso'!$C$6:$C$176,$A23,'D2 - Capex uso'!$AK$6:$AK$176,$A38)</f>
        <v>0</v>
      </c>
      <c r="AD38" s="710">
        <f>-SUMIFS('D2 - Capex uso'!CU$6:CU$176,'D2 - Capex uso'!$C$6:$C$176,$A23,'D2 - Capex uso'!$AK$6:$AK$176,$A38)</f>
        <v>0</v>
      </c>
      <c r="AE38" s="710">
        <f>-SUMIFS('D2 - Capex uso'!CV$6:CV$176,'D2 - Capex uso'!$C$6:$C$176,$A23,'D2 - Capex uso'!$AK$6:$AK$176,$A38)</f>
        <v>0</v>
      </c>
      <c r="AF38" s="594"/>
      <c r="AG38" s="594"/>
      <c r="AH38" s="594"/>
      <c r="AI38" s="594"/>
      <c r="AJ38" s="594"/>
      <c r="AK38" s="594"/>
      <c r="AL38" s="594"/>
      <c r="AM38" s="594"/>
      <c r="AN38" s="594"/>
      <c r="AO38" s="594"/>
      <c r="AP38" s="594"/>
      <c r="AQ38" s="594"/>
      <c r="AR38" s="594"/>
      <c r="AS38" s="594"/>
      <c r="AT38" s="594"/>
      <c r="AU38" s="594"/>
      <c r="AV38" s="594"/>
      <c r="AW38" s="594"/>
      <c r="AX38" s="594"/>
      <c r="AY38" s="594"/>
      <c r="AZ38" s="594"/>
      <c r="BA38" s="594"/>
      <c r="BB38" s="594"/>
      <c r="BC38" s="594"/>
      <c r="BD38" s="594"/>
      <c r="BE38" s="594"/>
      <c r="BF38" s="594"/>
      <c r="BG38" s="594"/>
      <c r="BH38" s="594"/>
      <c r="BI38" s="594"/>
      <c r="BJ38" s="594"/>
      <c r="BK38" s="594"/>
      <c r="BL38" s="57"/>
      <c r="BM38" s="594"/>
      <c r="BN38" s="594"/>
      <c r="BO38" s="594"/>
      <c r="BP38" s="594"/>
      <c r="BQ38" s="594"/>
      <c r="BR38" s="594"/>
      <c r="BS38" s="594"/>
      <c r="BT38" s="594"/>
      <c r="BU38" s="594"/>
      <c r="BV38" s="594"/>
      <c r="BW38" s="594"/>
      <c r="BX38" s="594"/>
      <c r="BY38" s="594"/>
      <c r="BZ38" s="594"/>
      <c r="CA38" s="594"/>
      <c r="CB38" s="594"/>
      <c r="CC38" s="594"/>
      <c r="CD38" s="594"/>
      <c r="CE38" s="594"/>
      <c r="CF38" s="594"/>
      <c r="CG38" s="594"/>
      <c r="CH38" s="594"/>
      <c r="CI38" s="594"/>
      <c r="CJ38" s="594"/>
      <c r="CK38" s="594"/>
      <c r="CL38" s="594"/>
      <c r="CM38" s="594"/>
      <c r="CN38" s="594"/>
      <c r="CO38" s="594"/>
      <c r="CP38" s="594"/>
      <c r="CQ38" s="594"/>
    </row>
    <row r="39" spans="1:95" ht="19.5" hidden="1" customHeight="1" outlineLevel="2">
      <c r="A39" s="709" t="s">
        <v>361</v>
      </c>
      <c r="B39" s="710">
        <f>-SUMIFS('D2 - Capex uso'!BS$6:BS$176,'D2 - Capex uso'!$C$6:$C$176,$A23,'D2 - Capex uso'!$AK$6:$AK$176,$A39)</f>
        <v>0</v>
      </c>
      <c r="C39" s="710">
        <f>-SUMIFS('D2 - Capex uso'!BT$6:BT$176,'D2 - Capex uso'!$C$6:$C$176,$A23,'D2 - Capex uso'!$AK$6:$AK$176,$A39)</f>
        <v>0</v>
      </c>
      <c r="D39" s="710">
        <f>-SUMIFS('D2 - Capex uso'!BU$6:BU$176,'D2 - Capex uso'!$C$6:$C$176,$A23,'D2 - Capex uso'!$AK$6:$AK$176,$A39)</f>
        <v>0</v>
      </c>
      <c r="E39" s="710">
        <f>-SUMIFS('D2 - Capex uso'!BV$6:BV$176,'D2 - Capex uso'!$C$6:$C$176,$A23,'D2 - Capex uso'!$AK$6:$AK$176,$A39)</f>
        <v>0</v>
      </c>
      <c r="F39" s="710">
        <f>-SUMIFS('D2 - Capex uso'!BW$6:BW$176,'D2 - Capex uso'!$C$6:$C$176,$A23,'D2 - Capex uso'!$AK$6:$AK$176,$A39)</f>
        <v>0</v>
      </c>
      <c r="G39" s="710">
        <f>-SUMIFS('D2 - Capex uso'!BX$6:BX$176,'D2 - Capex uso'!$C$6:$C$176,$A23,'D2 - Capex uso'!$AK$6:$AK$176,$A39)</f>
        <v>0</v>
      </c>
      <c r="H39" s="710">
        <f>-SUMIFS('D2 - Capex uso'!BY$6:BY$176,'D2 - Capex uso'!$C$6:$C$176,$A23,'D2 - Capex uso'!$AK$6:$AK$176,$A39)</f>
        <v>0</v>
      </c>
      <c r="I39" s="710">
        <f>-SUMIFS('D2 - Capex uso'!BZ$6:BZ$176,'D2 - Capex uso'!$C$6:$C$176,$A23,'D2 - Capex uso'!$AK$6:$AK$176,$A39)</f>
        <v>0</v>
      </c>
      <c r="J39" s="710">
        <f>-SUMIFS('D2 - Capex uso'!CA$6:CA$176,'D2 - Capex uso'!$C$6:$C$176,$A23,'D2 - Capex uso'!$AK$6:$AK$176,$A39)</f>
        <v>0</v>
      </c>
      <c r="K39" s="710">
        <f>-SUMIFS('D2 - Capex uso'!CB$6:CB$176,'D2 - Capex uso'!$C$6:$C$176,$A23,'D2 - Capex uso'!$AK$6:$AK$176,$A39)</f>
        <v>0</v>
      </c>
      <c r="L39" s="710">
        <f>-SUMIFS('D2 - Capex uso'!CC$6:CC$176,'D2 - Capex uso'!$C$6:$C$176,$A23,'D2 - Capex uso'!$AK$6:$AK$176,$A39)</f>
        <v>0</v>
      </c>
      <c r="M39" s="710">
        <f>-SUMIFS('D2 - Capex uso'!CD$6:CD$176,'D2 - Capex uso'!$C$6:$C$176,$A23,'D2 - Capex uso'!$AK$6:$AK$176,$A39)</f>
        <v>0</v>
      </c>
      <c r="N39" s="710">
        <f>-SUMIFS('D2 - Capex uso'!CE$6:CE$176,'D2 - Capex uso'!$C$6:$C$176,$A23,'D2 - Capex uso'!$AK$6:$AK$176,$A39)</f>
        <v>0</v>
      </c>
      <c r="O39" s="710">
        <f>-SUMIFS('D2 - Capex uso'!CF$6:CF$176,'D2 - Capex uso'!$C$6:$C$176,$A23,'D2 - Capex uso'!$AK$6:$AK$176,$A39)</f>
        <v>0</v>
      </c>
      <c r="P39" s="710">
        <f>-SUMIFS('D2 - Capex uso'!CG$6:CG$176,'D2 - Capex uso'!$C$6:$C$176,$A23,'D2 - Capex uso'!$AK$6:$AK$176,$A39)</f>
        <v>0</v>
      </c>
      <c r="Q39" s="710">
        <f>-SUMIFS('D2 - Capex uso'!CH$6:CH$176,'D2 - Capex uso'!$C$6:$C$176,$A23,'D2 - Capex uso'!$AK$6:$AK$176,$A39)</f>
        <v>0</v>
      </c>
      <c r="R39" s="710">
        <f>-SUMIFS('D2 - Capex uso'!CI$6:CI$176,'D2 - Capex uso'!$C$6:$C$176,$A23,'D2 - Capex uso'!$AK$6:$AK$176,$A39)</f>
        <v>0</v>
      </c>
      <c r="S39" s="710">
        <f>-SUMIFS('D2 - Capex uso'!CJ$6:CJ$176,'D2 - Capex uso'!$C$6:$C$176,$A23,'D2 - Capex uso'!$AK$6:$AK$176,$A39)</f>
        <v>0</v>
      </c>
      <c r="T39" s="710">
        <f>-SUMIFS('D2 - Capex uso'!CK$6:CK$176,'D2 - Capex uso'!$C$6:$C$176,$A23,'D2 - Capex uso'!$AK$6:$AK$176,$A39)</f>
        <v>0</v>
      </c>
      <c r="U39" s="710">
        <f>-SUMIFS('D2 - Capex uso'!CL$6:CL$176,'D2 - Capex uso'!$C$6:$C$176,$A23,'D2 - Capex uso'!$AK$6:$AK$176,$A39)</f>
        <v>0</v>
      </c>
      <c r="V39" s="710">
        <f>-SUMIFS('D2 - Capex uso'!CM$6:CM$176,'D2 - Capex uso'!$C$6:$C$176,$A23,'D2 - Capex uso'!$AK$6:$AK$176,$A39)</f>
        <v>0</v>
      </c>
      <c r="W39" s="710">
        <f>-SUMIFS('D2 - Capex uso'!CN$6:CN$176,'D2 - Capex uso'!$C$6:$C$176,$A23,'D2 - Capex uso'!$AK$6:$AK$176,$A39)</f>
        <v>0</v>
      </c>
      <c r="X39" s="710">
        <f>-SUMIFS('D2 - Capex uso'!CO$6:CO$176,'D2 - Capex uso'!$C$6:$C$176,$A23,'D2 - Capex uso'!$AK$6:$AK$176,$A39)</f>
        <v>0</v>
      </c>
      <c r="Y39" s="710">
        <f>-SUMIFS('D2 - Capex uso'!CP$6:CP$176,'D2 - Capex uso'!$C$6:$C$176,$A23,'D2 - Capex uso'!$AK$6:$AK$176,$A39)</f>
        <v>0</v>
      </c>
      <c r="Z39" s="710">
        <f>-SUMIFS('D2 - Capex uso'!CQ$6:CQ$176,'D2 - Capex uso'!$C$6:$C$176,$A23,'D2 - Capex uso'!$AK$6:$AK$176,$A39)</f>
        <v>0</v>
      </c>
      <c r="AA39" s="710">
        <f>-SUMIFS('D2 - Capex uso'!CR$6:CR$176,'D2 - Capex uso'!$C$6:$C$176,$A23,'D2 - Capex uso'!$AK$6:$AK$176,$A39)</f>
        <v>0</v>
      </c>
      <c r="AB39" s="710">
        <f>-SUMIFS('D2 - Capex uso'!CS$6:CS$176,'D2 - Capex uso'!$C$6:$C$176,$A23,'D2 - Capex uso'!$AK$6:$AK$176,$A39)</f>
        <v>0</v>
      </c>
      <c r="AC39" s="710">
        <f>-SUMIFS('D2 - Capex uso'!CT$6:CT$176,'D2 - Capex uso'!$C$6:$C$176,$A23,'D2 - Capex uso'!$AK$6:$AK$176,$A39)</f>
        <v>0</v>
      </c>
      <c r="AD39" s="710">
        <f>-SUMIFS('D2 - Capex uso'!CU$6:CU$176,'D2 - Capex uso'!$C$6:$C$176,$A23,'D2 - Capex uso'!$AK$6:$AK$176,$A39)</f>
        <v>0</v>
      </c>
      <c r="AE39" s="710">
        <f>-SUMIFS('D2 - Capex uso'!CV$6:CV$176,'D2 - Capex uso'!$C$6:$C$176,$A23,'D2 - Capex uso'!$AK$6:$AK$176,$A39)</f>
        <v>0</v>
      </c>
      <c r="AF39" s="594"/>
      <c r="AG39" s="594"/>
      <c r="AH39" s="594"/>
      <c r="AI39" s="594"/>
      <c r="AJ39" s="594"/>
      <c r="AK39" s="594"/>
      <c r="AL39" s="594"/>
      <c r="AM39" s="594"/>
      <c r="AN39" s="594"/>
      <c r="AO39" s="594"/>
      <c r="AP39" s="594"/>
      <c r="AQ39" s="594"/>
      <c r="AR39" s="594"/>
      <c r="AS39" s="594"/>
      <c r="AT39" s="594"/>
      <c r="AU39" s="594"/>
      <c r="AV39" s="594"/>
      <c r="AW39" s="594"/>
      <c r="AX39" s="594"/>
      <c r="AY39" s="594"/>
      <c r="AZ39" s="594"/>
      <c r="BA39" s="594"/>
      <c r="BB39" s="594"/>
      <c r="BC39" s="594"/>
      <c r="BD39" s="594"/>
      <c r="BE39" s="594"/>
      <c r="BF39" s="594"/>
      <c r="BG39" s="594"/>
      <c r="BH39" s="594"/>
      <c r="BI39" s="594"/>
      <c r="BJ39" s="594"/>
      <c r="BK39" s="594"/>
      <c r="BL39" s="57"/>
      <c r="BM39" s="594"/>
      <c r="BN39" s="594"/>
      <c r="BO39" s="594"/>
      <c r="BP39" s="594"/>
      <c r="BQ39" s="594"/>
      <c r="BR39" s="594"/>
      <c r="BS39" s="594"/>
      <c r="BT39" s="594"/>
      <c r="BU39" s="594"/>
      <c r="BV39" s="594"/>
      <c r="BW39" s="594"/>
      <c r="BX39" s="594"/>
      <c r="BY39" s="594"/>
      <c r="BZ39" s="594"/>
      <c r="CA39" s="594"/>
      <c r="CB39" s="594"/>
      <c r="CC39" s="594"/>
      <c r="CD39" s="594"/>
      <c r="CE39" s="594"/>
      <c r="CF39" s="594"/>
      <c r="CG39" s="594"/>
      <c r="CH39" s="594"/>
      <c r="CI39" s="594"/>
      <c r="CJ39" s="594"/>
      <c r="CK39" s="594"/>
      <c r="CL39" s="594"/>
      <c r="CM39" s="594"/>
      <c r="CN39" s="594"/>
      <c r="CO39" s="594"/>
      <c r="CP39" s="594"/>
      <c r="CQ39" s="594"/>
    </row>
    <row r="40" spans="1:95" ht="19.5" hidden="1" customHeight="1" outlineLevel="2">
      <c r="A40" s="709" t="s">
        <v>359</v>
      </c>
      <c r="B40" s="710">
        <f>-SUMIFS('D2 - Capex uso'!BS$6:BS$176,'D2 - Capex uso'!$C$6:$C$176,$A23,'D2 - Capex uso'!$AK$6:$AK$176,$A40)</f>
        <v>0</v>
      </c>
      <c r="C40" s="710">
        <f>-SUMIFS('D2 - Capex uso'!BT$6:BT$176,'D2 - Capex uso'!$C$6:$C$176,$A23,'D2 - Capex uso'!$AK$6:$AK$176,$A40)</f>
        <v>0</v>
      </c>
      <c r="D40" s="710">
        <f>-SUMIFS('D2 - Capex uso'!BU$6:BU$176,'D2 - Capex uso'!$C$6:$C$176,$A23,'D2 - Capex uso'!$AK$6:$AK$176,$A40)</f>
        <v>0</v>
      </c>
      <c r="E40" s="710">
        <f>-SUMIFS('D2 - Capex uso'!BV$6:BV$176,'D2 - Capex uso'!$C$6:$C$176,$A23,'D2 - Capex uso'!$AK$6:$AK$176,$A40)</f>
        <v>0</v>
      </c>
      <c r="F40" s="710">
        <f>-SUMIFS('D2 - Capex uso'!BW$6:BW$176,'D2 - Capex uso'!$C$6:$C$176,$A23,'D2 - Capex uso'!$AK$6:$AK$176,$A40)</f>
        <v>0</v>
      </c>
      <c r="G40" s="710">
        <f>-SUMIFS('D2 - Capex uso'!BX$6:BX$176,'D2 - Capex uso'!$C$6:$C$176,$A23,'D2 - Capex uso'!$AK$6:$AK$176,$A40)</f>
        <v>0</v>
      </c>
      <c r="H40" s="710">
        <f>-SUMIFS('D2 - Capex uso'!BY$6:BY$176,'D2 - Capex uso'!$C$6:$C$176,$A23,'D2 - Capex uso'!$AK$6:$AK$176,$A40)</f>
        <v>0</v>
      </c>
      <c r="I40" s="710">
        <f>-SUMIFS('D2 - Capex uso'!BZ$6:BZ$176,'D2 - Capex uso'!$C$6:$C$176,$A23,'D2 - Capex uso'!$AK$6:$AK$176,$A40)</f>
        <v>0</v>
      </c>
      <c r="J40" s="710">
        <f>-SUMIFS('D2 - Capex uso'!CA$6:CA$176,'D2 - Capex uso'!$C$6:$C$176,$A23,'D2 - Capex uso'!$AK$6:$AK$176,$A40)</f>
        <v>0</v>
      </c>
      <c r="K40" s="710">
        <f>-SUMIFS('D2 - Capex uso'!CB$6:CB$176,'D2 - Capex uso'!$C$6:$C$176,$A23,'D2 - Capex uso'!$AK$6:$AK$176,$A40)</f>
        <v>0</v>
      </c>
      <c r="L40" s="710">
        <f>-SUMIFS('D2 - Capex uso'!CC$6:CC$176,'D2 - Capex uso'!$C$6:$C$176,$A23,'D2 - Capex uso'!$AK$6:$AK$176,$A40)</f>
        <v>0</v>
      </c>
      <c r="M40" s="710">
        <f>-SUMIFS('D2 - Capex uso'!CD$6:CD$176,'D2 - Capex uso'!$C$6:$C$176,$A23,'D2 - Capex uso'!$AK$6:$AK$176,$A40)</f>
        <v>0</v>
      </c>
      <c r="N40" s="710">
        <f>-SUMIFS('D2 - Capex uso'!CE$6:CE$176,'D2 - Capex uso'!$C$6:$C$176,$A23,'D2 - Capex uso'!$AK$6:$AK$176,$A40)</f>
        <v>0</v>
      </c>
      <c r="O40" s="710">
        <f>-SUMIFS('D2 - Capex uso'!CF$6:CF$176,'D2 - Capex uso'!$C$6:$C$176,$A23,'D2 - Capex uso'!$AK$6:$AK$176,$A40)</f>
        <v>0</v>
      </c>
      <c r="P40" s="710">
        <f>-SUMIFS('D2 - Capex uso'!CG$6:CG$176,'D2 - Capex uso'!$C$6:$C$176,$A23,'D2 - Capex uso'!$AK$6:$AK$176,$A40)</f>
        <v>0</v>
      </c>
      <c r="Q40" s="710">
        <f>-SUMIFS('D2 - Capex uso'!CH$6:CH$176,'D2 - Capex uso'!$C$6:$C$176,$A23,'D2 - Capex uso'!$AK$6:$AK$176,$A40)</f>
        <v>0</v>
      </c>
      <c r="R40" s="710">
        <f>-SUMIFS('D2 - Capex uso'!CI$6:CI$176,'D2 - Capex uso'!$C$6:$C$176,$A23,'D2 - Capex uso'!$AK$6:$AK$176,$A40)</f>
        <v>0</v>
      </c>
      <c r="S40" s="710">
        <f>-SUMIFS('D2 - Capex uso'!CJ$6:CJ$176,'D2 - Capex uso'!$C$6:$C$176,$A23,'D2 - Capex uso'!$AK$6:$AK$176,$A40)</f>
        <v>0</v>
      </c>
      <c r="T40" s="710">
        <f>-SUMIFS('D2 - Capex uso'!CK$6:CK$176,'D2 - Capex uso'!$C$6:$C$176,$A23,'D2 - Capex uso'!$AK$6:$AK$176,$A40)</f>
        <v>0</v>
      </c>
      <c r="U40" s="710">
        <f>-SUMIFS('D2 - Capex uso'!CL$6:CL$176,'D2 - Capex uso'!$C$6:$C$176,$A23,'D2 - Capex uso'!$AK$6:$AK$176,$A40)</f>
        <v>0</v>
      </c>
      <c r="V40" s="710">
        <f>-SUMIFS('D2 - Capex uso'!CM$6:CM$176,'D2 - Capex uso'!$C$6:$C$176,$A23,'D2 - Capex uso'!$AK$6:$AK$176,$A40)</f>
        <v>0</v>
      </c>
      <c r="W40" s="710">
        <f>-SUMIFS('D2 - Capex uso'!CN$6:CN$176,'D2 - Capex uso'!$C$6:$C$176,$A23,'D2 - Capex uso'!$AK$6:$AK$176,$A40)</f>
        <v>0</v>
      </c>
      <c r="X40" s="710">
        <f>-SUMIFS('D2 - Capex uso'!CO$6:CO$176,'D2 - Capex uso'!$C$6:$C$176,$A23,'D2 - Capex uso'!$AK$6:$AK$176,$A40)</f>
        <v>0</v>
      </c>
      <c r="Y40" s="710">
        <f>-SUMIFS('D2 - Capex uso'!CP$6:CP$176,'D2 - Capex uso'!$C$6:$C$176,$A23,'D2 - Capex uso'!$AK$6:$AK$176,$A40)</f>
        <v>0</v>
      </c>
      <c r="Z40" s="710">
        <f>-SUMIFS('D2 - Capex uso'!CQ$6:CQ$176,'D2 - Capex uso'!$C$6:$C$176,$A23,'D2 - Capex uso'!$AK$6:$AK$176,$A40)</f>
        <v>0</v>
      </c>
      <c r="AA40" s="710">
        <f>-SUMIFS('D2 - Capex uso'!CR$6:CR$176,'D2 - Capex uso'!$C$6:$C$176,$A23,'D2 - Capex uso'!$AK$6:$AK$176,$A40)</f>
        <v>0</v>
      </c>
      <c r="AB40" s="710">
        <f>-SUMIFS('D2 - Capex uso'!CS$6:CS$176,'D2 - Capex uso'!$C$6:$C$176,$A23,'D2 - Capex uso'!$AK$6:$AK$176,$A40)</f>
        <v>0</v>
      </c>
      <c r="AC40" s="710">
        <f>-SUMIFS('D2 - Capex uso'!CT$6:CT$176,'D2 - Capex uso'!$C$6:$C$176,$A23,'D2 - Capex uso'!$AK$6:$AK$176,$A40)</f>
        <v>0</v>
      </c>
      <c r="AD40" s="710">
        <f>-SUMIFS('D2 - Capex uso'!CU$6:CU$176,'D2 - Capex uso'!$C$6:$C$176,$A23,'D2 - Capex uso'!$AK$6:$AK$176,$A40)</f>
        <v>0</v>
      </c>
      <c r="AE40" s="710">
        <f>-SUMIFS('D2 - Capex uso'!CV$6:CV$176,'D2 - Capex uso'!$C$6:$C$176,$A23,'D2 - Capex uso'!$AK$6:$AK$176,$A40)</f>
        <v>0</v>
      </c>
      <c r="AF40" s="594"/>
      <c r="AG40" s="594"/>
      <c r="AH40" s="594"/>
      <c r="AI40" s="594"/>
      <c r="AJ40" s="594"/>
      <c r="AK40" s="594"/>
      <c r="AL40" s="594"/>
      <c r="AM40" s="594"/>
      <c r="AN40" s="594"/>
      <c r="AO40" s="594"/>
      <c r="AP40" s="594"/>
      <c r="AQ40" s="594"/>
      <c r="AR40" s="594"/>
      <c r="AS40" s="594"/>
      <c r="AT40" s="594"/>
      <c r="AU40" s="594"/>
      <c r="AV40" s="594"/>
      <c r="AW40" s="594"/>
      <c r="AX40" s="594"/>
      <c r="AY40" s="594"/>
      <c r="AZ40" s="594"/>
      <c r="BA40" s="594"/>
      <c r="BB40" s="594"/>
      <c r="BC40" s="594"/>
      <c r="BD40" s="594"/>
      <c r="BE40" s="594"/>
      <c r="BF40" s="594"/>
      <c r="BG40" s="594"/>
      <c r="BH40" s="594"/>
      <c r="BI40" s="594"/>
      <c r="BJ40" s="594"/>
      <c r="BK40" s="594"/>
      <c r="BL40" s="57"/>
      <c r="BM40" s="594"/>
      <c r="BN40" s="594"/>
      <c r="BO40" s="594"/>
      <c r="BP40" s="594"/>
      <c r="BQ40" s="594"/>
      <c r="BR40" s="594"/>
      <c r="BS40" s="594"/>
      <c r="BT40" s="594"/>
      <c r="BU40" s="594"/>
      <c r="BV40" s="594"/>
      <c r="BW40" s="594"/>
      <c r="BX40" s="594"/>
      <c r="BY40" s="594"/>
      <c r="BZ40" s="594"/>
      <c r="CA40" s="594"/>
      <c r="CB40" s="594"/>
      <c r="CC40" s="594"/>
      <c r="CD40" s="594"/>
      <c r="CE40" s="594"/>
      <c r="CF40" s="594"/>
      <c r="CG40" s="594"/>
      <c r="CH40" s="594"/>
      <c r="CI40" s="594"/>
      <c r="CJ40" s="594"/>
      <c r="CK40" s="594"/>
      <c r="CL40" s="594"/>
      <c r="CM40" s="594"/>
      <c r="CN40" s="594"/>
      <c r="CO40" s="594"/>
      <c r="CP40" s="594"/>
      <c r="CQ40" s="594"/>
    </row>
    <row r="41" spans="1:95" ht="19.5" hidden="1" customHeight="1" outlineLevel="2">
      <c r="A41" s="709" t="s">
        <v>171</v>
      </c>
      <c r="B41" s="710">
        <f>-SUMIFS('D2 - Capex uso'!BS$6:BS$176,'D2 - Capex uso'!$C$6:$C$176,$A23,'D2 - Capex uso'!$AK$6:$AK$176,$A41)</f>
        <v>0</v>
      </c>
      <c r="C41" s="710">
        <f>-SUMIFS('D2 - Capex uso'!BT$6:BT$176,'D2 - Capex uso'!$C$6:$C$176,$A23,'D2 - Capex uso'!$AK$6:$AK$176,$A41)</f>
        <v>0</v>
      </c>
      <c r="D41" s="710">
        <f>-SUMIFS('D2 - Capex uso'!BU$6:BU$176,'D2 - Capex uso'!$C$6:$C$176,$A23,'D2 - Capex uso'!$AK$6:$AK$176,$A41)</f>
        <v>0</v>
      </c>
      <c r="E41" s="710">
        <f>-SUMIFS('D2 - Capex uso'!BV$6:BV$176,'D2 - Capex uso'!$C$6:$C$176,$A23,'D2 - Capex uso'!$AK$6:$AK$176,$A41)</f>
        <v>0</v>
      </c>
      <c r="F41" s="710">
        <f>-SUMIFS('D2 - Capex uso'!BW$6:BW$176,'D2 - Capex uso'!$C$6:$C$176,$A23,'D2 - Capex uso'!$AK$6:$AK$176,$A41)</f>
        <v>0</v>
      </c>
      <c r="G41" s="710">
        <f>-SUMIFS('D2 - Capex uso'!BX$6:BX$176,'D2 - Capex uso'!$C$6:$C$176,$A23,'D2 - Capex uso'!$AK$6:$AK$176,$A41)</f>
        <v>0</v>
      </c>
      <c r="H41" s="710">
        <f>-SUMIFS('D2 - Capex uso'!BY$6:BY$176,'D2 - Capex uso'!$C$6:$C$176,$A23,'D2 - Capex uso'!$AK$6:$AK$176,$A41)</f>
        <v>0</v>
      </c>
      <c r="I41" s="710">
        <f>-SUMIFS('D2 - Capex uso'!BZ$6:BZ$176,'D2 - Capex uso'!$C$6:$C$176,$A23,'D2 - Capex uso'!$AK$6:$AK$176,$A41)</f>
        <v>0</v>
      </c>
      <c r="J41" s="710">
        <f>-SUMIFS('D2 - Capex uso'!CA$6:CA$176,'D2 - Capex uso'!$C$6:$C$176,$A23,'D2 - Capex uso'!$AK$6:$AK$176,$A41)</f>
        <v>0</v>
      </c>
      <c r="K41" s="710">
        <f>-SUMIFS('D2 - Capex uso'!CB$6:CB$176,'D2 - Capex uso'!$C$6:$C$176,$A23,'D2 - Capex uso'!$AK$6:$AK$176,$A41)</f>
        <v>0</v>
      </c>
      <c r="L41" s="710">
        <f>-SUMIFS('D2 - Capex uso'!CC$6:CC$176,'D2 - Capex uso'!$C$6:$C$176,$A23,'D2 - Capex uso'!$AK$6:$AK$176,$A41)</f>
        <v>0</v>
      </c>
      <c r="M41" s="710">
        <f>-SUMIFS('D2 - Capex uso'!CD$6:CD$176,'D2 - Capex uso'!$C$6:$C$176,$A23,'D2 - Capex uso'!$AK$6:$AK$176,$A41)</f>
        <v>0</v>
      </c>
      <c r="N41" s="710">
        <f>-SUMIFS('D2 - Capex uso'!CE$6:CE$176,'D2 - Capex uso'!$C$6:$C$176,$A23,'D2 - Capex uso'!$AK$6:$AK$176,$A41)</f>
        <v>0</v>
      </c>
      <c r="O41" s="710">
        <f>-SUMIFS('D2 - Capex uso'!CF$6:CF$176,'D2 - Capex uso'!$C$6:$C$176,$A23,'D2 - Capex uso'!$AK$6:$AK$176,$A41)</f>
        <v>0</v>
      </c>
      <c r="P41" s="710">
        <f>-SUMIFS('D2 - Capex uso'!CG$6:CG$176,'D2 - Capex uso'!$C$6:$C$176,$A23,'D2 - Capex uso'!$AK$6:$AK$176,$A41)</f>
        <v>0</v>
      </c>
      <c r="Q41" s="710">
        <f>-SUMIFS('D2 - Capex uso'!CH$6:CH$176,'D2 - Capex uso'!$C$6:$C$176,$A23,'D2 - Capex uso'!$AK$6:$AK$176,$A41)</f>
        <v>0</v>
      </c>
      <c r="R41" s="710">
        <f>-SUMIFS('D2 - Capex uso'!CI$6:CI$176,'D2 - Capex uso'!$C$6:$C$176,$A23,'D2 - Capex uso'!$AK$6:$AK$176,$A41)</f>
        <v>0</v>
      </c>
      <c r="S41" s="710">
        <f>-SUMIFS('D2 - Capex uso'!CJ$6:CJ$176,'D2 - Capex uso'!$C$6:$C$176,$A23,'D2 - Capex uso'!$AK$6:$AK$176,$A41)</f>
        <v>0</v>
      </c>
      <c r="T41" s="710">
        <f>-SUMIFS('D2 - Capex uso'!CK$6:CK$176,'D2 - Capex uso'!$C$6:$C$176,$A23,'D2 - Capex uso'!$AK$6:$AK$176,$A41)</f>
        <v>0</v>
      </c>
      <c r="U41" s="710">
        <f>-SUMIFS('D2 - Capex uso'!CL$6:CL$176,'D2 - Capex uso'!$C$6:$C$176,$A23,'D2 - Capex uso'!$AK$6:$AK$176,$A41)</f>
        <v>0</v>
      </c>
      <c r="V41" s="710">
        <f>-SUMIFS('D2 - Capex uso'!CM$6:CM$176,'D2 - Capex uso'!$C$6:$C$176,$A23,'D2 - Capex uso'!$AK$6:$AK$176,$A41)</f>
        <v>0</v>
      </c>
      <c r="W41" s="710">
        <f>-SUMIFS('D2 - Capex uso'!CN$6:CN$176,'D2 - Capex uso'!$C$6:$C$176,$A23,'D2 - Capex uso'!$AK$6:$AK$176,$A41)</f>
        <v>0</v>
      </c>
      <c r="X41" s="710">
        <f>-SUMIFS('D2 - Capex uso'!CO$6:CO$176,'D2 - Capex uso'!$C$6:$C$176,$A23,'D2 - Capex uso'!$AK$6:$AK$176,$A41)</f>
        <v>0</v>
      </c>
      <c r="Y41" s="710">
        <f>-SUMIFS('D2 - Capex uso'!CP$6:CP$176,'D2 - Capex uso'!$C$6:$C$176,$A23,'D2 - Capex uso'!$AK$6:$AK$176,$A41)</f>
        <v>0</v>
      </c>
      <c r="Z41" s="710">
        <f>-SUMIFS('D2 - Capex uso'!CQ$6:CQ$176,'D2 - Capex uso'!$C$6:$C$176,$A23,'D2 - Capex uso'!$AK$6:$AK$176,$A41)</f>
        <v>0</v>
      </c>
      <c r="AA41" s="710">
        <f>-SUMIFS('D2 - Capex uso'!CR$6:CR$176,'D2 - Capex uso'!$C$6:$C$176,$A23,'D2 - Capex uso'!$AK$6:$AK$176,$A41)</f>
        <v>0</v>
      </c>
      <c r="AB41" s="710">
        <f>-SUMIFS('D2 - Capex uso'!CS$6:CS$176,'D2 - Capex uso'!$C$6:$C$176,$A23,'D2 - Capex uso'!$AK$6:$AK$176,$A41)</f>
        <v>0</v>
      </c>
      <c r="AC41" s="710">
        <f>-SUMIFS('D2 - Capex uso'!CT$6:CT$176,'D2 - Capex uso'!$C$6:$C$176,$A23,'D2 - Capex uso'!$AK$6:$AK$176,$A41)</f>
        <v>0</v>
      </c>
      <c r="AD41" s="710">
        <f>-SUMIFS('D2 - Capex uso'!CU$6:CU$176,'D2 - Capex uso'!$C$6:$C$176,$A23,'D2 - Capex uso'!$AK$6:$AK$176,$A41)</f>
        <v>0</v>
      </c>
      <c r="AE41" s="710">
        <f>-SUMIFS('D2 - Capex uso'!CV$6:CV$176,'D2 - Capex uso'!$C$6:$C$176,$A23,'D2 - Capex uso'!$AK$6:$AK$176,$A41)</f>
        <v>0</v>
      </c>
      <c r="AF41" s="594"/>
      <c r="AG41" s="594"/>
      <c r="AH41" s="594"/>
      <c r="AI41" s="594"/>
      <c r="AJ41" s="594"/>
      <c r="AK41" s="594"/>
      <c r="AL41" s="594"/>
      <c r="AM41" s="594"/>
      <c r="AN41" s="594"/>
      <c r="AO41" s="594"/>
      <c r="AP41" s="594"/>
      <c r="AQ41" s="594"/>
      <c r="AR41" s="594"/>
      <c r="AS41" s="594"/>
      <c r="AT41" s="594"/>
      <c r="AU41" s="594"/>
      <c r="AV41" s="594"/>
      <c r="AW41" s="594"/>
      <c r="AX41" s="594"/>
      <c r="AY41" s="594"/>
      <c r="AZ41" s="594"/>
      <c r="BA41" s="594"/>
      <c r="BB41" s="594"/>
      <c r="BC41" s="594"/>
      <c r="BD41" s="594"/>
      <c r="BE41" s="594"/>
      <c r="BF41" s="594"/>
      <c r="BG41" s="594"/>
      <c r="BH41" s="594"/>
      <c r="BI41" s="594"/>
      <c r="BJ41" s="594"/>
      <c r="BK41" s="594"/>
      <c r="BL41" s="57"/>
      <c r="BM41" s="594"/>
      <c r="BN41" s="594"/>
      <c r="BO41" s="594"/>
      <c r="BP41" s="594"/>
      <c r="BQ41" s="594"/>
      <c r="BR41" s="594"/>
      <c r="BS41" s="594"/>
      <c r="BT41" s="594"/>
      <c r="BU41" s="594"/>
      <c r="BV41" s="594"/>
      <c r="BW41" s="594"/>
      <c r="BX41" s="594"/>
      <c r="BY41" s="594"/>
      <c r="BZ41" s="594"/>
      <c r="CA41" s="594"/>
      <c r="CB41" s="594"/>
      <c r="CC41" s="594"/>
      <c r="CD41" s="594"/>
      <c r="CE41" s="594"/>
      <c r="CF41" s="594"/>
      <c r="CG41" s="594"/>
      <c r="CH41" s="594"/>
      <c r="CI41" s="594"/>
      <c r="CJ41" s="594"/>
      <c r="CK41" s="594"/>
      <c r="CL41" s="594"/>
      <c r="CM41" s="594"/>
      <c r="CN41" s="594"/>
      <c r="CO41" s="594"/>
      <c r="CP41" s="594"/>
      <c r="CQ41" s="594"/>
    </row>
    <row r="42" spans="1:95" ht="27" customHeight="1" collapsed="1">
      <c r="A42" s="703" t="str">
        <f>IF(ISBLANK('A1 - Serviços e demanda'!A22),,'A1 - Serviços e demanda'!A22)</f>
        <v>Preá - Comércio</v>
      </c>
      <c r="B42" s="704">
        <f t="shared" ref="B42:AE42" si="12">IF($A42=0,0,SUM(B51:B52))</f>
        <v>-478772.31140000001</v>
      </c>
      <c r="C42" s="704">
        <f t="shared" si="12"/>
        <v>140433.50846569316</v>
      </c>
      <c r="D42" s="704">
        <f t="shared" si="12"/>
        <v>151750.66294203087</v>
      </c>
      <c r="E42" s="704">
        <f t="shared" si="12"/>
        <v>162704.50251671794</v>
      </c>
      <c r="F42" s="704">
        <f t="shared" si="12"/>
        <v>173817.454107814</v>
      </c>
      <c r="G42" s="704">
        <f t="shared" si="12"/>
        <v>185134.89241960167</v>
      </c>
      <c r="H42" s="704">
        <f t="shared" si="12"/>
        <v>196792.79143257247</v>
      </c>
      <c r="I42" s="704">
        <f t="shared" si="12"/>
        <v>208769.25199528423</v>
      </c>
      <c r="J42" s="704">
        <f t="shared" si="12"/>
        <v>220972.78104687016</v>
      </c>
      <c r="K42" s="704">
        <f t="shared" si="12"/>
        <v>233381.34271897061</v>
      </c>
      <c r="L42" s="704">
        <f t="shared" si="12"/>
        <v>-94001.267932525254</v>
      </c>
      <c r="M42" s="704">
        <f t="shared" si="12"/>
        <v>259401.90933896368</v>
      </c>
      <c r="N42" s="704">
        <f t="shared" si="12"/>
        <v>273014.64070335461</v>
      </c>
      <c r="O42" s="704">
        <f t="shared" si="12"/>
        <v>287058.97792958061</v>
      </c>
      <c r="P42" s="704">
        <f t="shared" si="12"/>
        <v>301512.45064913132</v>
      </c>
      <c r="Q42" s="704">
        <f t="shared" si="12"/>
        <v>316352.34137879289</v>
      </c>
      <c r="R42" s="704">
        <f t="shared" si="12"/>
        <v>331578.58580714732</v>
      </c>
      <c r="S42" s="704">
        <f t="shared" si="12"/>
        <v>347145.41576431971</v>
      </c>
      <c r="T42" s="704">
        <f t="shared" si="12"/>
        <v>362984.98237269698</v>
      </c>
      <c r="U42" s="704">
        <f t="shared" si="12"/>
        <v>379029.27472738596</v>
      </c>
      <c r="V42" s="704">
        <f t="shared" si="12"/>
        <v>38829.546727385954</v>
      </c>
      <c r="W42" s="704">
        <f t="shared" si="12"/>
        <v>379029.27472738596</v>
      </c>
      <c r="X42" s="704">
        <f t="shared" si="12"/>
        <v>379029.27472738596</v>
      </c>
      <c r="Y42" s="704">
        <f t="shared" si="12"/>
        <v>379029.27472738596</v>
      </c>
      <c r="Z42" s="704">
        <f t="shared" si="12"/>
        <v>379029.27472738596</v>
      </c>
      <c r="AA42" s="704">
        <f t="shared" si="12"/>
        <v>379029.27472738596</v>
      </c>
      <c r="AB42" s="704">
        <f t="shared" si="12"/>
        <v>379029.27472738596</v>
      </c>
      <c r="AC42" s="704">
        <f t="shared" si="12"/>
        <v>379029.27472738596</v>
      </c>
      <c r="AD42" s="704">
        <f t="shared" si="12"/>
        <v>379029.27472738596</v>
      </c>
      <c r="AE42" s="704">
        <f t="shared" si="12"/>
        <v>379029.27472738596</v>
      </c>
      <c r="AF42" s="594"/>
      <c r="AG42" s="486" t="str">
        <f>A42</f>
        <v>Preá - Comércio</v>
      </c>
      <c r="AH42" s="705">
        <f t="shared" ref="AH42:BK42" si="13">IFERROR(-B45/B43,0)</f>
        <v>0</v>
      </c>
      <c r="AI42" s="705">
        <f t="shared" si="13"/>
        <v>0.62581673737518373</v>
      </c>
      <c r="AJ42" s="705">
        <f t="shared" si="13"/>
        <v>0.61714689449037796</v>
      </c>
      <c r="AK42" s="705">
        <f t="shared" si="13"/>
        <v>0.60928938422526291</v>
      </c>
      <c r="AL42" s="705">
        <f t="shared" si="13"/>
        <v>0.60180473440543569</v>
      </c>
      <c r="AM42" s="705">
        <f t="shared" si="13"/>
        <v>0.59464126476998724</v>
      </c>
      <c r="AN42" s="705">
        <f t="shared" si="13"/>
        <v>0.5877033155905832</v>
      </c>
      <c r="AO42" s="705">
        <f t="shared" si="13"/>
        <v>0.58100121914612524</v>
      </c>
      <c r="AP42" s="705">
        <f t="shared" si="13"/>
        <v>0.57457630792289371</v>
      </c>
      <c r="AQ42" s="705">
        <f t="shared" si="13"/>
        <v>0.56842580759205019</v>
      </c>
      <c r="AR42" s="705">
        <f t="shared" si="13"/>
        <v>0.56244215164436062</v>
      </c>
      <c r="AS42" s="705">
        <f t="shared" si="13"/>
        <v>0.55663711171224262</v>
      </c>
      <c r="AT42" s="705">
        <f t="shared" si="13"/>
        <v>0.55100080223960513</v>
      </c>
      <c r="AU42" s="705">
        <f t="shared" si="13"/>
        <v>0.54552467924965997</v>
      </c>
      <c r="AV42" s="705">
        <f t="shared" si="13"/>
        <v>0.54021754454654647</v>
      </c>
      <c r="AW42" s="705">
        <f t="shared" si="13"/>
        <v>0.53508540864232423</v>
      </c>
      <c r="AX42" s="705">
        <f t="shared" si="13"/>
        <v>0.53012472099550734</v>
      </c>
      <c r="AY42" s="705">
        <f t="shared" si="13"/>
        <v>0.52534513448577502</v>
      </c>
      <c r="AZ42" s="705">
        <f t="shared" si="13"/>
        <v>0.52075933165590649</v>
      </c>
      <c r="BA42" s="705">
        <f t="shared" si="13"/>
        <v>0.51637577746737817</v>
      </c>
      <c r="BB42" s="705">
        <f t="shared" si="13"/>
        <v>0.51637577746737817</v>
      </c>
      <c r="BC42" s="705">
        <f t="shared" si="13"/>
        <v>0.51637577746737817</v>
      </c>
      <c r="BD42" s="705">
        <f t="shared" si="13"/>
        <v>0.51637577746737817</v>
      </c>
      <c r="BE42" s="705">
        <f t="shared" si="13"/>
        <v>0.51637577746737817</v>
      </c>
      <c r="BF42" s="705">
        <f t="shared" si="13"/>
        <v>0.51637577746737817</v>
      </c>
      <c r="BG42" s="705">
        <f t="shared" si="13"/>
        <v>0.51637577746737817</v>
      </c>
      <c r="BH42" s="705">
        <f t="shared" si="13"/>
        <v>0.51637577746737817</v>
      </c>
      <c r="BI42" s="705">
        <f t="shared" si="13"/>
        <v>0.51637577746737817</v>
      </c>
      <c r="BJ42" s="705">
        <f t="shared" si="13"/>
        <v>0.51637577746737817</v>
      </c>
      <c r="BK42" s="705">
        <f t="shared" si="13"/>
        <v>0.51637577746737817</v>
      </c>
      <c r="BL42" s="57"/>
      <c r="BM42" s="486" t="str">
        <f>AG42</f>
        <v>Preá - Comércio</v>
      </c>
      <c r="BN42" s="705">
        <f t="shared" ref="BN42:CQ42" si="14">IFERROR(B51/B43,0)</f>
        <v>0</v>
      </c>
      <c r="BO42" s="705">
        <f t="shared" si="14"/>
        <v>0.19469500688436595</v>
      </c>
      <c r="BP42" s="705">
        <f t="shared" si="14"/>
        <v>0.20336459788532682</v>
      </c>
      <c r="BQ42" s="705">
        <f t="shared" si="14"/>
        <v>0.21122225433820321</v>
      </c>
      <c r="BR42" s="705">
        <f t="shared" si="14"/>
        <v>0.21870708286607612</v>
      </c>
      <c r="BS42" s="705">
        <f t="shared" si="14"/>
        <v>0.22587066725993005</v>
      </c>
      <c r="BT42" s="705">
        <f t="shared" si="14"/>
        <v>0.23280822362779188</v>
      </c>
      <c r="BU42" s="705">
        <f t="shared" si="14"/>
        <v>0.23951041357802355</v>
      </c>
      <c r="BV42" s="705">
        <f t="shared" si="14"/>
        <v>0.24593520428143592</v>
      </c>
      <c r="BW42" s="705">
        <f t="shared" si="14"/>
        <v>0.25208613385069195</v>
      </c>
      <c r="BX42" s="705">
        <f t="shared" si="14"/>
        <v>0.25806966464095887</v>
      </c>
      <c r="BY42" s="705">
        <f t="shared" si="14"/>
        <v>0.2638745835297937</v>
      </c>
      <c r="BZ42" s="705">
        <f t="shared" si="14"/>
        <v>0.26951099773282783</v>
      </c>
      <c r="CA42" s="705">
        <f t="shared" si="14"/>
        <v>0.27498704658452017</v>
      </c>
      <c r="CB42" s="705">
        <f t="shared" si="14"/>
        <v>0.28029418113705618</v>
      </c>
      <c r="CC42" s="705">
        <f t="shared" si="14"/>
        <v>0.28542639182459772</v>
      </c>
      <c r="CD42" s="705">
        <f t="shared" si="14"/>
        <v>0.29038716627153072</v>
      </c>
      <c r="CE42" s="705">
        <f t="shared" si="14"/>
        <v>0.29516658087264663</v>
      </c>
      <c r="CF42" s="705">
        <f t="shared" si="14"/>
        <v>0.29975224606523554</v>
      </c>
      <c r="CG42" s="705">
        <f t="shared" si="14"/>
        <v>0.30413582726369986</v>
      </c>
      <c r="CH42" s="705">
        <f t="shared" si="14"/>
        <v>0.30413582726369986</v>
      </c>
      <c r="CI42" s="705">
        <f t="shared" si="14"/>
        <v>0.30413582726369986</v>
      </c>
      <c r="CJ42" s="705">
        <f t="shared" si="14"/>
        <v>0.30413582726369986</v>
      </c>
      <c r="CK42" s="705">
        <f t="shared" si="14"/>
        <v>0.30413582726369986</v>
      </c>
      <c r="CL42" s="705">
        <f t="shared" si="14"/>
        <v>0.30413582726369986</v>
      </c>
      <c r="CM42" s="705">
        <f t="shared" si="14"/>
        <v>0.30413582726369986</v>
      </c>
      <c r="CN42" s="705">
        <f t="shared" si="14"/>
        <v>0.30413582726369986</v>
      </c>
      <c r="CO42" s="705">
        <f t="shared" si="14"/>
        <v>0.30413582726369986</v>
      </c>
      <c r="CP42" s="705">
        <f t="shared" si="14"/>
        <v>0.30413582726369986</v>
      </c>
      <c r="CQ42" s="705">
        <f t="shared" si="14"/>
        <v>0.30413582726369986</v>
      </c>
    </row>
    <row r="43" spans="1:95" ht="33.75" hidden="1" customHeight="1" outlineLevel="1">
      <c r="A43" s="706" t="s">
        <v>680</v>
      </c>
      <c r="B43" s="707">
        <f>IFERROR(VLOOKUP($A42,ReceitaBruta,COLUMN('A4 - Previsão de Receita Bruta'!C45)-1,0),0)</f>
        <v>0</v>
      </c>
      <c r="C43" s="707">
        <f>IFERROR(VLOOKUP($A42,ReceitaBruta,COLUMN('A4 - Previsão de Receita Bruta'!D45)-1,0),0)</f>
        <v>721300</v>
      </c>
      <c r="D43" s="707">
        <f>IFERROR(VLOOKUP($A42,ReceitaBruta,COLUMN('A4 - Previsão de Receita Bruta'!E45)-1,0),0)</f>
        <v>746200</v>
      </c>
      <c r="E43" s="707">
        <f>IFERROR(VLOOKUP($A42,ReceitaBruta,COLUMN('A4 - Previsão de Receita Bruta'!F45)-1,0),0)</f>
        <v>770300</v>
      </c>
      <c r="F43" s="707">
        <f>IFERROR(VLOOKUP($A42,ReceitaBruta,COLUMN('A4 - Previsão de Receita Bruta'!G45)-1,0),0)</f>
        <v>794750</v>
      </c>
      <c r="G43" s="707">
        <f>IFERROR(VLOOKUP($A42,ReceitaBruta,COLUMN('A4 - Previsão de Receita Bruta'!H45)-1,0),0)</f>
        <v>819650</v>
      </c>
      <c r="H43" s="707">
        <f>IFERROR(VLOOKUP($A42,ReceitaBruta,COLUMN('A4 - Previsão de Receita Bruta'!I45)-1,0),0)</f>
        <v>845300</v>
      </c>
      <c r="I43" s="707">
        <f>IFERROR(VLOOKUP($A42,ReceitaBruta,COLUMN('A4 - Previsão de Receita Bruta'!J45)-1,0),0)</f>
        <v>871650</v>
      </c>
      <c r="J43" s="707">
        <f>IFERROR(VLOOKUP($A42,ReceitaBruta,COLUMN('A4 - Previsão de Receita Bruta'!K45)-1,0),0)</f>
        <v>898500</v>
      </c>
      <c r="K43" s="707">
        <f>IFERROR(VLOOKUP($A42,ReceitaBruta,COLUMN('A4 - Previsão de Receita Bruta'!L45)-1,0),0)</f>
        <v>925800</v>
      </c>
      <c r="L43" s="707">
        <f>IFERROR(VLOOKUP($A42,ReceitaBruta,COLUMN('A4 - Previsão de Receita Bruta'!M45)-1,0),0)</f>
        <v>954000</v>
      </c>
      <c r="M43" s="707">
        <f>IFERROR(VLOOKUP($A42,ReceitaBruta,COLUMN('A4 - Previsão de Receita Bruta'!N45)-1,0),0)</f>
        <v>983050</v>
      </c>
      <c r="N43" s="707">
        <f>IFERROR(VLOOKUP($A42,ReceitaBruta,COLUMN('A4 - Previsão de Receita Bruta'!O45)-1,0),0)</f>
        <v>1013000</v>
      </c>
      <c r="O43" s="707">
        <f>IFERROR(VLOOKUP($A42,ReceitaBruta,COLUMN('A4 - Previsão de Receita Bruta'!P45)-1,0),0)</f>
        <v>1043900</v>
      </c>
      <c r="P43" s="707">
        <f>IFERROR(VLOOKUP($A42,ReceitaBruta,COLUMN('A4 - Previsão de Receita Bruta'!Q45)-1,0),0)</f>
        <v>1075700</v>
      </c>
      <c r="Q43" s="707">
        <f>IFERROR(VLOOKUP($A42,ReceitaBruta,COLUMN('A4 - Previsão de Receita Bruta'!R45)-1,0),0)</f>
        <v>1108350</v>
      </c>
      <c r="R43" s="707">
        <f>IFERROR(VLOOKUP($A42,ReceitaBruta,COLUMN('A4 - Previsão de Receita Bruta'!S45)-1,0),0)</f>
        <v>1141850</v>
      </c>
      <c r="S43" s="707">
        <f>IFERROR(VLOOKUP($A42,ReceitaBruta,COLUMN('A4 - Previsão de Receita Bruta'!T45)-1,0),0)</f>
        <v>1176100</v>
      </c>
      <c r="T43" s="707">
        <f>IFERROR(VLOOKUP($A42,ReceitaBruta,COLUMN('A4 - Previsão de Receita Bruta'!U45)-1,0),0)</f>
        <v>1210950</v>
      </c>
      <c r="U43" s="707">
        <f>IFERROR(VLOOKUP($A42,ReceitaBruta,COLUMN('A4 - Previsão de Receita Bruta'!V45)-1,0),0)</f>
        <v>1246250</v>
      </c>
      <c r="V43" s="707">
        <f>IFERROR(VLOOKUP($A42,ReceitaBruta,COLUMN('A4 - Previsão de Receita Bruta'!W45)-1,0),0)</f>
        <v>1246250</v>
      </c>
      <c r="W43" s="707">
        <f>IFERROR(VLOOKUP($A42,ReceitaBruta,COLUMN('A4 - Previsão de Receita Bruta'!X45)-1,0),0)</f>
        <v>1246250</v>
      </c>
      <c r="X43" s="707">
        <f>IFERROR(VLOOKUP($A42,ReceitaBruta,COLUMN('A4 - Previsão de Receita Bruta'!Y45)-1,0),0)</f>
        <v>1246250</v>
      </c>
      <c r="Y43" s="707">
        <f>IFERROR(VLOOKUP($A42,ReceitaBruta,COLUMN('A4 - Previsão de Receita Bruta'!Z45)-1,0),0)</f>
        <v>1246250</v>
      </c>
      <c r="Z43" s="707">
        <f>IFERROR(VLOOKUP($A42,ReceitaBruta,COLUMN('A4 - Previsão de Receita Bruta'!AA45)-1,0),0)</f>
        <v>1246250</v>
      </c>
      <c r="AA43" s="707">
        <f>IFERROR(VLOOKUP($A42,ReceitaBruta,COLUMN('A4 - Previsão de Receita Bruta'!AB45)-1,0),0)</f>
        <v>1246250</v>
      </c>
      <c r="AB43" s="707">
        <f>IFERROR(VLOOKUP($A42,ReceitaBruta,COLUMN('A4 - Previsão de Receita Bruta'!AC45)-1,0),0)</f>
        <v>1246250</v>
      </c>
      <c r="AC43" s="707">
        <f>IFERROR(VLOOKUP($A42,ReceitaBruta,COLUMN('A4 - Previsão de Receita Bruta'!AD45)-1,0),0)</f>
        <v>1246250</v>
      </c>
      <c r="AD43" s="707">
        <f>IFERROR(VLOOKUP($A42,ReceitaBruta,COLUMN('A4 - Previsão de Receita Bruta'!AE45)-1,0),0)</f>
        <v>1246250</v>
      </c>
      <c r="AE43" s="707">
        <f>IFERROR(VLOOKUP($A42,ReceitaBruta,COLUMN('A4 - Previsão de Receita Bruta'!AF45)-1,0),0)</f>
        <v>1246250</v>
      </c>
      <c r="AF43" s="594"/>
      <c r="AG43" s="594"/>
      <c r="AH43" s="594"/>
      <c r="AI43" s="594"/>
      <c r="AJ43" s="594"/>
      <c r="AK43" s="594"/>
      <c r="AL43" s="594"/>
      <c r="AM43" s="594"/>
      <c r="AN43" s="594"/>
      <c r="AO43" s="594"/>
      <c r="AP43" s="594"/>
      <c r="AQ43" s="594"/>
      <c r="AR43" s="594"/>
      <c r="AS43" s="594"/>
      <c r="AT43" s="594"/>
      <c r="AU43" s="594"/>
      <c r="AV43" s="594"/>
      <c r="AW43" s="594"/>
      <c r="AX43" s="594"/>
      <c r="AY43" s="594"/>
      <c r="AZ43" s="594"/>
      <c r="BA43" s="594"/>
      <c r="BB43" s="594"/>
      <c r="BC43" s="594"/>
      <c r="BD43" s="594"/>
      <c r="BE43" s="594"/>
      <c r="BF43" s="594"/>
      <c r="BG43" s="594"/>
      <c r="BH43" s="594"/>
      <c r="BI43" s="594"/>
      <c r="BJ43" s="594"/>
      <c r="BK43" s="594"/>
      <c r="BL43" s="57"/>
      <c r="BM43" s="594"/>
      <c r="BN43" s="594"/>
      <c r="BO43" s="594"/>
      <c r="BP43" s="594"/>
      <c r="BQ43" s="594"/>
      <c r="BR43" s="594"/>
      <c r="BS43" s="594"/>
      <c r="BT43" s="594"/>
      <c r="BU43" s="594"/>
      <c r="BV43" s="594"/>
      <c r="BW43" s="594"/>
      <c r="BX43" s="594"/>
      <c r="BY43" s="594"/>
      <c r="BZ43" s="594"/>
      <c r="CA43" s="594"/>
      <c r="CB43" s="594"/>
      <c r="CC43" s="594"/>
      <c r="CD43" s="594"/>
      <c r="CE43" s="594"/>
      <c r="CF43" s="594"/>
      <c r="CG43" s="594"/>
      <c r="CH43" s="594"/>
      <c r="CI43" s="594"/>
      <c r="CJ43" s="594"/>
      <c r="CK43" s="594"/>
      <c r="CL43" s="594"/>
      <c r="CM43" s="594"/>
      <c r="CN43" s="594"/>
      <c r="CO43" s="594"/>
      <c r="CP43" s="594"/>
      <c r="CQ43" s="594"/>
    </row>
    <row r="44" spans="1:95" ht="21" hidden="1" customHeight="1" outlineLevel="1">
      <c r="A44" s="708" t="s">
        <v>681</v>
      </c>
      <c r="B44" s="707">
        <f>IFERROR(-'E2 - Tributos'!D$19*VLOOKUP('F1 - FCL'!$A42,ReceitaBruta,COLUMN('A4 - Previsão de Receita Bruta'!C$6)-1,0),0)</f>
        <v>0</v>
      </c>
      <c r="C44" s="707">
        <f>IFERROR(-'E2 - Tributos'!E$19*VLOOKUP('F1 - FCL'!$A42,ReceitaBruta,COLUMN('A4 - Previsão de Receita Bruta'!D$6)-1,0),0)</f>
        <v>-129464.87886558683</v>
      </c>
      <c r="D44" s="707">
        <f>IFERROR(-'E2 - Tributos'!F$19*VLOOKUP('F1 - FCL'!$A42,ReceitaBruta,COLUMN('A4 - Previsão de Receita Bruta'!E$6)-1,0),0)</f>
        <v>-133934.32438924914</v>
      </c>
      <c r="E44" s="707">
        <f>IFERROR(-'E2 - Tributos'!G$19*VLOOKUP('F1 - FCL'!$A42,ReceitaBruta,COLUMN('A4 - Previsão de Receita Bruta'!F$6)-1,0),0)</f>
        <v>-138259.88481456201</v>
      </c>
      <c r="F44" s="707">
        <f>IFERROR(-'E2 - Tributos'!H$19*VLOOKUP('F1 - FCL'!$A42,ReceitaBruta,COLUMN('A4 - Previsão de Receita Bruta'!G$6)-1,0),0)</f>
        <v>-142648.23322346591</v>
      </c>
      <c r="G44" s="707">
        <f>IFERROR(-'E2 - Tributos'!I$19*VLOOKUP('F1 - FCL'!$A42,ReceitaBruta,COLUMN('A4 - Previsão de Receita Bruta'!H$6)-1,0),0)</f>
        <v>-147117.3949116783</v>
      </c>
      <c r="H44" s="707">
        <f>IFERROR(-'E2 - Tributos'!J$19*VLOOKUP('F1 - FCL'!$A42,ReceitaBruta,COLUMN('A4 - Previsão de Receita Bruta'!I$6)-1,0),0)</f>
        <v>-151721.59589870748</v>
      </c>
      <c r="I44" s="707">
        <f>IFERROR(-'E2 - Tributos'!K$19*VLOOKUP('F1 - FCL'!$A42,ReceitaBruta,COLUMN('A4 - Previsão de Receita Bruta'!J$6)-1,0),0)</f>
        <v>-156451.03533599569</v>
      </c>
      <c r="J44" s="707">
        <f>IFERROR(-'E2 - Tributos'!L$19*VLOOKUP('F1 - FCL'!$A42,ReceitaBruta,COLUMN('A4 - Previsão de Receita Bruta'!K$6)-1,0),0)</f>
        <v>-161270.40628440987</v>
      </c>
      <c r="K44" s="707">
        <f>IFERROR(-'E2 - Tributos'!M$19*VLOOKUP('F1 - FCL'!$A42,ReceitaBruta,COLUMN('A4 - Previsão de Receita Bruta'!L$6)-1,0),0)</f>
        <v>-166170.04461230934</v>
      </c>
      <c r="L44" s="707">
        <f>IFERROR(-'E2 - Tributos'!N$19*VLOOKUP('F1 - FCL'!$A42,ReceitaBruta,COLUMN('A4 - Previsão de Receita Bruta'!M$6)-1,0),0)</f>
        <v>-171231.72726380519</v>
      </c>
      <c r="M44" s="707">
        <f>IFERROR(-'E2 - Tributos'!O$19*VLOOKUP('F1 - FCL'!$A42,ReceitaBruta,COLUMN('A4 - Previsão de Receita Bruta'!N$6)-1,0),0)</f>
        <v>-176445.97799231627</v>
      </c>
      <c r="N44" s="707">
        <f>IFERROR(-'E2 - Tributos'!P$19*VLOOKUP('F1 - FCL'!$A42,ReceitaBruta,COLUMN('A4 - Previsão de Receita Bruta'!O$6)-1,0),0)</f>
        <v>-181821.54662792536</v>
      </c>
      <c r="O44" s="707">
        <f>IFERROR(-'E2 - Tributos'!Q$19*VLOOKUP('F1 - FCL'!$A42,ReceitaBruta,COLUMN('A4 - Previsão de Receita Bruta'!P$6)-1,0),0)</f>
        <v>-187367.80940169931</v>
      </c>
      <c r="P44" s="707">
        <f>IFERROR(-'E2 - Tributos'!R$19*VLOOKUP('F1 - FCL'!$A42,ReceitaBruta,COLUMN('A4 - Previsão de Receita Bruta'!Q$6)-1,0),0)</f>
        <v>-193075.53668214867</v>
      </c>
      <c r="Q44" s="707">
        <f>IFERROR(-'E2 - Tributos'!S$19*VLOOKUP('F1 - FCL'!$A42,ReceitaBruta,COLUMN('A4 - Previsão de Receita Bruta'!R$6)-1,0),0)</f>
        <v>-198935.74595248711</v>
      </c>
      <c r="R44" s="707">
        <f>IFERROR(-'E2 - Tributos'!T$19*VLOOKUP('F1 - FCL'!$A42,ReceitaBruta,COLUMN('A4 - Previsão de Receita Bruta'!S$6)-1,0),0)</f>
        <v>-204948.50152413262</v>
      </c>
      <c r="S44" s="707">
        <f>IFERROR(-'E2 - Tributos'!U$19*VLOOKUP('F1 - FCL'!$A42,ReceitaBruta,COLUMN('A4 - Previsão de Receita Bruta'!T$6)-1,0),0)</f>
        <v>-211096.17156696026</v>
      </c>
      <c r="T44" s="707">
        <f>IFERROR(-'E2 - Tributos'!V$19*VLOOKUP('F1 - FCL'!$A42,ReceitaBruta,COLUMN('A4 - Previsão de Receita Bruta'!U$6)-1,0),0)</f>
        <v>-217351.50495858298</v>
      </c>
      <c r="U44" s="707">
        <f>IFERROR(-'E2 - Tributos'!W$19*VLOOKUP('F1 - FCL'!$A42,ReceitaBruta,COLUMN('A4 - Previsão de Receita Bruta'!V$6)-1,0),0)</f>
        <v>-223687.41260389404</v>
      </c>
      <c r="V44" s="707">
        <f>IFERROR(-'E2 - Tributos'!X$19*VLOOKUP('F1 - FCL'!$A42,ReceitaBruta,COLUMN('A4 - Previsão de Receita Bruta'!W$6)-1,0),0)</f>
        <v>-223687.41260389404</v>
      </c>
      <c r="W44" s="707">
        <f>IFERROR(-'E2 - Tributos'!Y$19*VLOOKUP('F1 - FCL'!$A42,ReceitaBruta,COLUMN('A4 - Previsão de Receita Bruta'!X$6)-1,0),0)</f>
        <v>-223687.41260389404</v>
      </c>
      <c r="X44" s="707">
        <f>IFERROR(-'E2 - Tributos'!Z$19*VLOOKUP('F1 - FCL'!$A42,ReceitaBruta,COLUMN('A4 - Previsão de Receita Bruta'!Y$6)-1,0),0)</f>
        <v>-223687.41260389404</v>
      </c>
      <c r="Y44" s="707">
        <f>IFERROR(-'E2 - Tributos'!AA$19*VLOOKUP('F1 - FCL'!$A42,ReceitaBruta,COLUMN('A4 - Previsão de Receita Bruta'!Z$6)-1,0),0)</f>
        <v>-223687.41260389404</v>
      </c>
      <c r="Z44" s="707">
        <f>IFERROR(-'E2 - Tributos'!AB$19*VLOOKUP('F1 - FCL'!$A42,ReceitaBruta,COLUMN('A4 - Previsão de Receita Bruta'!AA$6)-1,0),0)</f>
        <v>-223687.41260389404</v>
      </c>
      <c r="AA44" s="707">
        <f>IFERROR(-'E2 - Tributos'!AC$19*VLOOKUP('F1 - FCL'!$A42,ReceitaBruta,COLUMN('A4 - Previsão de Receita Bruta'!AB$6)-1,0),0)</f>
        <v>-223687.41260389404</v>
      </c>
      <c r="AB44" s="707">
        <f>IFERROR(-'E2 - Tributos'!AD$19*VLOOKUP('F1 - FCL'!$A42,ReceitaBruta,COLUMN('A4 - Previsão de Receita Bruta'!AC$6)-1,0),0)</f>
        <v>-223687.41260389404</v>
      </c>
      <c r="AC44" s="707">
        <f>IFERROR(-'E2 - Tributos'!AE$19*VLOOKUP('F1 - FCL'!$A42,ReceitaBruta,COLUMN('A4 - Previsão de Receita Bruta'!AD$6)-1,0),0)</f>
        <v>-223687.41260389404</v>
      </c>
      <c r="AD44" s="707">
        <f>IFERROR(-'E2 - Tributos'!AF$19*VLOOKUP('F1 - FCL'!$A42,ReceitaBruta,COLUMN('A4 - Previsão de Receita Bruta'!AE$6)-1,0),0)</f>
        <v>-223687.41260389404</v>
      </c>
      <c r="AE44" s="707">
        <f>IFERROR(-'E2 - Tributos'!AG$19*VLOOKUP('F1 - FCL'!$A42,ReceitaBruta,COLUMN('A4 - Previsão de Receita Bruta'!AF$6)-1,0),0)</f>
        <v>-223687.41260389404</v>
      </c>
      <c r="AF44" s="594"/>
      <c r="AG44" s="594"/>
      <c r="AH44" s="594"/>
      <c r="AI44" s="594"/>
      <c r="AJ44" s="594"/>
      <c r="AK44" s="594"/>
      <c r="AL44" s="594"/>
      <c r="AM44" s="594"/>
      <c r="AN44" s="594"/>
      <c r="AO44" s="594"/>
      <c r="AP44" s="594"/>
      <c r="AQ44" s="594"/>
      <c r="AR44" s="594"/>
      <c r="AS44" s="594"/>
      <c r="AT44" s="594"/>
      <c r="AU44" s="594"/>
      <c r="AV44" s="594"/>
      <c r="AW44" s="594"/>
      <c r="AX44" s="594"/>
      <c r="AY44" s="594"/>
      <c r="AZ44" s="594"/>
      <c r="BA44" s="594"/>
      <c r="BB44" s="594"/>
      <c r="BC44" s="594"/>
      <c r="BD44" s="594"/>
      <c r="BE44" s="594"/>
      <c r="BF44" s="594"/>
      <c r="BG44" s="594"/>
      <c r="BH44" s="594"/>
      <c r="BI44" s="594"/>
      <c r="BJ44" s="594"/>
      <c r="BK44" s="594"/>
      <c r="BL44" s="57"/>
      <c r="BM44" s="594"/>
      <c r="BN44" s="594"/>
      <c r="BO44" s="594"/>
      <c r="BP44" s="594"/>
      <c r="BQ44" s="594"/>
      <c r="BR44" s="594"/>
      <c r="BS44" s="594"/>
      <c r="BT44" s="594"/>
      <c r="BU44" s="594"/>
      <c r="BV44" s="594"/>
      <c r="BW44" s="594"/>
      <c r="BX44" s="594"/>
      <c r="BY44" s="594"/>
      <c r="BZ44" s="594"/>
      <c r="CA44" s="594"/>
      <c r="CB44" s="594"/>
      <c r="CC44" s="594"/>
      <c r="CD44" s="594"/>
      <c r="CE44" s="594"/>
      <c r="CF44" s="594"/>
      <c r="CG44" s="594"/>
      <c r="CH44" s="594"/>
      <c r="CI44" s="594"/>
      <c r="CJ44" s="594"/>
      <c r="CK44" s="594"/>
      <c r="CL44" s="594"/>
      <c r="CM44" s="594"/>
      <c r="CN44" s="594"/>
      <c r="CO44" s="594"/>
      <c r="CP44" s="594"/>
      <c r="CQ44" s="594"/>
    </row>
    <row r="45" spans="1:95" ht="19.5" hidden="1" customHeight="1" outlineLevel="1">
      <c r="A45" s="708" t="s">
        <v>590</v>
      </c>
      <c r="B45" s="707">
        <f t="shared" ref="B45:AE45" si="15">SUM(B46:B50)</f>
        <v>-29433.4434</v>
      </c>
      <c r="C45" s="707">
        <f t="shared" si="15"/>
        <v>-451401.61266872002</v>
      </c>
      <c r="D45" s="707">
        <f t="shared" si="15"/>
        <v>-460515.01266872004</v>
      </c>
      <c r="E45" s="707">
        <f t="shared" si="15"/>
        <v>-469335.61266872002</v>
      </c>
      <c r="F45" s="707">
        <f t="shared" si="15"/>
        <v>-478284.31266872003</v>
      </c>
      <c r="G45" s="707">
        <f t="shared" si="15"/>
        <v>-487397.71266872005</v>
      </c>
      <c r="H45" s="707">
        <f t="shared" si="15"/>
        <v>-496785.61266872002</v>
      </c>
      <c r="I45" s="707">
        <f t="shared" si="15"/>
        <v>-506429.71266872005</v>
      </c>
      <c r="J45" s="707">
        <f t="shared" si="15"/>
        <v>-516256.81266872003</v>
      </c>
      <c r="K45" s="707">
        <f t="shared" si="15"/>
        <v>-526248.61266872007</v>
      </c>
      <c r="L45" s="707">
        <f t="shared" si="15"/>
        <v>-536569.81266872003</v>
      </c>
      <c r="M45" s="707">
        <f t="shared" si="15"/>
        <v>-547202.11266872007</v>
      </c>
      <c r="N45" s="707">
        <f t="shared" si="15"/>
        <v>-558163.81266872003</v>
      </c>
      <c r="O45" s="707">
        <f t="shared" si="15"/>
        <v>-569473.21266872005</v>
      </c>
      <c r="P45" s="707">
        <f t="shared" si="15"/>
        <v>-581112.01266871998</v>
      </c>
      <c r="Q45" s="707">
        <f t="shared" si="15"/>
        <v>-593061.91266872</v>
      </c>
      <c r="R45" s="707">
        <f t="shared" si="15"/>
        <v>-605322.91266872</v>
      </c>
      <c r="S45" s="707">
        <f t="shared" si="15"/>
        <v>-617858.41266872</v>
      </c>
      <c r="T45" s="707">
        <f t="shared" si="15"/>
        <v>-630613.51266871998</v>
      </c>
      <c r="U45" s="707">
        <f t="shared" si="15"/>
        <v>-643533.31266872003</v>
      </c>
      <c r="V45" s="707">
        <f t="shared" si="15"/>
        <v>-643533.31266872003</v>
      </c>
      <c r="W45" s="707">
        <f t="shared" si="15"/>
        <v>-643533.31266872003</v>
      </c>
      <c r="X45" s="707">
        <f t="shared" si="15"/>
        <v>-643533.31266872003</v>
      </c>
      <c r="Y45" s="707">
        <f t="shared" si="15"/>
        <v>-643533.31266872003</v>
      </c>
      <c r="Z45" s="707">
        <f t="shared" si="15"/>
        <v>-643533.31266872003</v>
      </c>
      <c r="AA45" s="707">
        <f t="shared" si="15"/>
        <v>-643533.31266872003</v>
      </c>
      <c r="AB45" s="707">
        <f t="shared" si="15"/>
        <v>-643533.31266872003</v>
      </c>
      <c r="AC45" s="707">
        <f t="shared" si="15"/>
        <v>-643533.31266872003</v>
      </c>
      <c r="AD45" s="707">
        <f t="shared" si="15"/>
        <v>-643533.31266872003</v>
      </c>
      <c r="AE45" s="707">
        <f t="shared" si="15"/>
        <v>-643533.31266872003</v>
      </c>
      <c r="AF45" s="594"/>
      <c r="AG45" s="594"/>
      <c r="AH45" s="594"/>
      <c r="AI45" s="594"/>
      <c r="AJ45" s="594"/>
      <c r="AK45" s="594"/>
      <c r="AL45" s="594"/>
      <c r="AM45" s="594"/>
      <c r="AN45" s="594"/>
      <c r="AO45" s="594"/>
      <c r="AP45" s="594"/>
      <c r="AQ45" s="594"/>
      <c r="AR45" s="594"/>
      <c r="AS45" s="594"/>
      <c r="AT45" s="594"/>
      <c r="AU45" s="594"/>
      <c r="AV45" s="594"/>
      <c r="AW45" s="594"/>
      <c r="AX45" s="594"/>
      <c r="AY45" s="594"/>
      <c r="AZ45" s="594"/>
      <c r="BA45" s="594"/>
      <c r="BB45" s="594"/>
      <c r="BC45" s="594"/>
      <c r="BD45" s="594"/>
      <c r="BE45" s="594"/>
      <c r="BF45" s="594"/>
      <c r="BG45" s="594"/>
      <c r="BH45" s="594"/>
      <c r="BI45" s="594"/>
      <c r="BJ45" s="594"/>
      <c r="BK45" s="594"/>
      <c r="BL45" s="57"/>
      <c r="BM45" s="594"/>
      <c r="BN45" s="594"/>
      <c r="BO45" s="594"/>
      <c r="BP45" s="594"/>
      <c r="BQ45" s="594"/>
      <c r="BR45" s="594"/>
      <c r="BS45" s="594"/>
      <c r="BT45" s="594"/>
      <c r="BU45" s="594"/>
      <c r="BV45" s="594"/>
      <c r="BW45" s="594"/>
      <c r="BX45" s="594"/>
      <c r="BY45" s="594"/>
      <c r="BZ45" s="594"/>
      <c r="CA45" s="594"/>
      <c r="CB45" s="594"/>
      <c r="CC45" s="594"/>
      <c r="CD45" s="594"/>
      <c r="CE45" s="594"/>
      <c r="CF45" s="594"/>
      <c r="CG45" s="594"/>
      <c r="CH45" s="594"/>
      <c r="CI45" s="594"/>
      <c r="CJ45" s="594"/>
      <c r="CK45" s="594"/>
      <c r="CL45" s="594"/>
      <c r="CM45" s="594"/>
      <c r="CN45" s="594"/>
      <c r="CO45" s="594"/>
      <c r="CP45" s="594"/>
      <c r="CQ45" s="594"/>
    </row>
    <row r="46" spans="1:95" ht="21" hidden="1" customHeight="1" outlineLevel="2">
      <c r="A46" s="709" t="s">
        <v>682</v>
      </c>
      <c r="B46" s="710">
        <f>IF($A42="",0,-SUMIF('C3 - Funcionários $'!$D$7:$D$121,$A42,'C3 - Funcionários $'!G$7:G$121))</f>
        <v>0</v>
      </c>
      <c r="C46" s="710">
        <f>IF($A42="",0,-SUMIF('C3 - Funcionários $'!$D$7:$D$121,$A42,'C3 - Funcionários $'!H$7:H$121))</f>
        <v>-157972.36926872004</v>
      </c>
      <c r="D46" s="710">
        <f>IF($A42="",0,-SUMIF('C3 - Funcionários $'!$D$7:$D$121,$A42,'C3 - Funcionários $'!I$7:I$121))</f>
        <v>-157972.36926872004</v>
      </c>
      <c r="E46" s="710">
        <f>IF($A42="",0,-SUMIF('C3 - Funcionários $'!$D$7:$D$121,$A42,'C3 - Funcionários $'!J$7:J$121))</f>
        <v>-157972.36926872004</v>
      </c>
      <c r="F46" s="710">
        <f>IF($A42="",0,-SUMIF('C3 - Funcionários $'!$D$7:$D$121,$A42,'C3 - Funcionários $'!K$7:K$121))</f>
        <v>-157972.36926872004</v>
      </c>
      <c r="G46" s="710">
        <f>IF($A42="",0,-SUMIF('C3 - Funcionários $'!$D$7:$D$121,$A42,'C3 - Funcionários $'!L$7:L$121))</f>
        <v>-157972.36926872004</v>
      </c>
      <c r="H46" s="710">
        <f>IF($A42="",0,-SUMIF('C3 - Funcionários $'!$D$7:$D$121,$A42,'C3 - Funcionários $'!M$7:M$121))</f>
        <v>-157972.36926872004</v>
      </c>
      <c r="I46" s="710">
        <f>IF($A42="",0,-SUMIF('C3 - Funcionários $'!$D$7:$D$121,$A42,'C3 - Funcionários $'!N$7:N$121))</f>
        <v>-157972.36926872004</v>
      </c>
      <c r="J46" s="710">
        <f>IF($A42="",0,-SUMIF('C3 - Funcionários $'!$D$7:$D$121,$A42,'C3 - Funcionários $'!O$7:O$121))</f>
        <v>-157972.36926872004</v>
      </c>
      <c r="K46" s="710">
        <f>IF($A42="",0,-SUMIF('C3 - Funcionários $'!$D$7:$D$121,$A42,'C3 - Funcionários $'!P$7:P$121))</f>
        <v>-157972.36926872004</v>
      </c>
      <c r="L46" s="710">
        <f>IF($A42="",0,-SUMIF('C3 - Funcionários $'!$D$7:$D$121,$A42,'C3 - Funcionários $'!Q$7:Q$121))</f>
        <v>-157972.36926872004</v>
      </c>
      <c r="M46" s="710">
        <f>IF($A42="",0,-SUMIF('C3 - Funcionários $'!$D$7:$D$121,$A42,'C3 - Funcionários $'!R$7:R$121))</f>
        <v>-157972.36926872004</v>
      </c>
      <c r="N46" s="710">
        <f>IF($A42="",0,-SUMIF('C3 - Funcionários $'!$D$7:$D$121,$A42,'C3 - Funcionários $'!S$7:S$121))</f>
        <v>-157972.36926872004</v>
      </c>
      <c r="O46" s="710">
        <f>IF($A42="",0,-SUMIF('C3 - Funcionários $'!$D$7:$D$121,$A42,'C3 - Funcionários $'!T$7:T$121))</f>
        <v>-157972.36926872004</v>
      </c>
      <c r="P46" s="710">
        <f>IF($A42="",0,-SUMIF('C3 - Funcionários $'!$D$7:$D$121,$A42,'C3 - Funcionários $'!U$7:U$121))</f>
        <v>-157972.36926872004</v>
      </c>
      <c r="Q46" s="710">
        <f>IF($A42="",0,-SUMIF('C3 - Funcionários $'!$D$7:$D$121,$A42,'C3 - Funcionários $'!V$7:V$121))</f>
        <v>-157972.36926872004</v>
      </c>
      <c r="R46" s="710">
        <f>IF($A42="",0,-SUMIF('C3 - Funcionários $'!$D$7:$D$121,$A42,'C3 - Funcionários $'!W$7:W$121))</f>
        <v>-157972.36926872004</v>
      </c>
      <c r="S46" s="710">
        <f>IF($A42="",0,-SUMIF('C3 - Funcionários $'!$D$7:$D$121,$A42,'C3 - Funcionários $'!X$7:X$121))</f>
        <v>-157972.36926872004</v>
      </c>
      <c r="T46" s="710">
        <f>IF($A42="",0,-SUMIF('C3 - Funcionários $'!$D$7:$D$121,$A42,'C3 - Funcionários $'!Y$7:Y$121))</f>
        <v>-157972.36926872004</v>
      </c>
      <c r="U46" s="710">
        <f>IF($A42="",0,-SUMIF('C3 - Funcionários $'!$D$7:$D$121,$A42,'C3 - Funcionários $'!Z$7:Z$121))</f>
        <v>-157972.36926872004</v>
      </c>
      <c r="V46" s="710">
        <f>IF($A42="",0,-SUMIF('C3 - Funcionários $'!$D$7:$D$121,$A42,'C3 - Funcionários $'!AA$7:AA$121))</f>
        <v>-157972.36926872004</v>
      </c>
      <c r="W46" s="710">
        <f>IF($A42="",0,-SUMIF('C3 - Funcionários $'!$D$7:$D$121,$A42,'C3 - Funcionários $'!AB$7:AB$121))</f>
        <v>-157972.36926872004</v>
      </c>
      <c r="X46" s="710">
        <f>IF($A42="",0,-SUMIF('C3 - Funcionários $'!$D$7:$D$121,$A42,'C3 - Funcionários $'!AC$7:AC$121))</f>
        <v>-157972.36926872004</v>
      </c>
      <c r="Y46" s="710">
        <f>IF($A42="",0,-SUMIF('C3 - Funcionários $'!$D$7:$D$121,$A42,'C3 - Funcionários $'!AD$7:AD$121))</f>
        <v>-157972.36926872004</v>
      </c>
      <c r="Z46" s="710">
        <f>IF($A42="",0,-SUMIF('C3 - Funcionários $'!$D$7:$D$121,$A42,'C3 - Funcionários $'!AE$7:AE$121))</f>
        <v>-157972.36926872004</v>
      </c>
      <c r="AA46" s="710">
        <f>IF($A42="",0,-SUMIF('C3 - Funcionários $'!$D$7:$D$121,$A42,'C3 - Funcionários $'!AF$7:AF$121))</f>
        <v>-157972.36926872004</v>
      </c>
      <c r="AB46" s="710">
        <f>IF($A42="",0,-SUMIF('C3 - Funcionários $'!$D$7:$D$121,$A42,'C3 - Funcionários $'!AG$7:AG$121))</f>
        <v>-157972.36926872004</v>
      </c>
      <c r="AC46" s="710">
        <f>IF($A42="",0,-SUMIF('C3 - Funcionários $'!$D$7:$D$121,$A42,'C3 - Funcionários $'!AH$7:AH$121))</f>
        <v>-157972.36926872004</v>
      </c>
      <c r="AD46" s="710">
        <f>IF($A42="",0,-SUMIF('C3 - Funcionários $'!$D$7:$D$121,$A42,'C3 - Funcionários $'!AI$7:AI$121))</f>
        <v>-157972.36926872004</v>
      </c>
      <c r="AE46" s="710">
        <f>IF($A42="",0,-SUMIF('C3 - Funcionários $'!$D$7:$D$121,$A42,'C3 - Funcionários $'!AJ$7:AJ$121))</f>
        <v>-157972.36926872004</v>
      </c>
      <c r="AF46" s="594"/>
      <c r="AG46" s="594"/>
      <c r="AH46" s="594"/>
      <c r="AI46" s="594"/>
      <c r="AJ46" s="594"/>
      <c r="AK46" s="594"/>
      <c r="AL46" s="594"/>
      <c r="AM46" s="594"/>
      <c r="AN46" s="594"/>
      <c r="AO46" s="594"/>
      <c r="AP46" s="594"/>
      <c r="AQ46" s="594"/>
      <c r="AR46" s="594"/>
      <c r="AS46" s="594"/>
      <c r="AT46" s="594"/>
      <c r="AU46" s="594"/>
      <c r="AV46" s="594"/>
      <c r="AW46" s="594"/>
      <c r="AX46" s="594"/>
      <c r="AY46" s="594"/>
      <c r="AZ46" s="594"/>
      <c r="BA46" s="594"/>
      <c r="BB46" s="594"/>
      <c r="BC46" s="594"/>
      <c r="BD46" s="594"/>
      <c r="BE46" s="594"/>
      <c r="BF46" s="594"/>
      <c r="BG46" s="594"/>
      <c r="BH46" s="594"/>
      <c r="BI46" s="594"/>
      <c r="BJ46" s="594"/>
      <c r="BK46" s="594"/>
      <c r="BL46" s="57"/>
      <c r="BM46" s="594"/>
      <c r="BN46" s="594"/>
      <c r="BO46" s="594"/>
      <c r="BP46" s="594"/>
      <c r="BQ46" s="594"/>
      <c r="BR46" s="594"/>
      <c r="BS46" s="594"/>
      <c r="BT46" s="594"/>
      <c r="BU46" s="594"/>
      <c r="BV46" s="594"/>
      <c r="BW46" s="594"/>
      <c r="BX46" s="594"/>
      <c r="BY46" s="594"/>
      <c r="BZ46" s="594"/>
      <c r="CA46" s="594"/>
      <c r="CB46" s="594"/>
      <c r="CC46" s="594"/>
      <c r="CD46" s="594"/>
      <c r="CE46" s="594"/>
      <c r="CF46" s="594"/>
      <c r="CG46" s="594"/>
      <c r="CH46" s="594"/>
      <c r="CI46" s="594"/>
      <c r="CJ46" s="594"/>
      <c r="CK46" s="594"/>
      <c r="CL46" s="594"/>
      <c r="CM46" s="594"/>
      <c r="CN46" s="594"/>
      <c r="CO46" s="594"/>
      <c r="CP46" s="594"/>
      <c r="CQ46" s="594"/>
    </row>
    <row r="47" spans="1:95" ht="21" hidden="1" customHeight="1" outlineLevel="2">
      <c r="A47" s="709" t="s">
        <v>683</v>
      </c>
      <c r="B47" s="710">
        <f>IFERROR(-VLOOKUP($A42,CustoDiretoTotal,COLUMN('B2 - Custos diretos totais'!C$3)-1,0),0)</f>
        <v>0</v>
      </c>
      <c r="C47" s="710">
        <f>IFERROR(-VLOOKUP($A42,CustoDiretoTotal,COLUMN('B2 - Custos diretos totais'!D$3)-1,0),0)</f>
        <v>-252455</v>
      </c>
      <c r="D47" s="710">
        <f>IFERROR(-VLOOKUP($A42,CustoDiretoTotal,COLUMN('B2 - Custos diretos totais'!E$3)-1,0),0)</f>
        <v>-261170</v>
      </c>
      <c r="E47" s="710">
        <f>IFERROR(-VLOOKUP($A42,CustoDiretoTotal,COLUMN('B2 - Custos diretos totais'!F$3)-1,0),0)</f>
        <v>-269605</v>
      </c>
      <c r="F47" s="710">
        <f>IFERROR(-VLOOKUP($A42,CustoDiretoTotal,COLUMN('B2 - Custos diretos totais'!G$3)-1,0),0)</f>
        <v>-278162.5</v>
      </c>
      <c r="G47" s="710">
        <f>IFERROR(-VLOOKUP($A42,CustoDiretoTotal,COLUMN('B2 - Custos diretos totais'!H$3)-1,0),0)</f>
        <v>-286877.5</v>
      </c>
      <c r="H47" s="710">
        <f>IFERROR(-VLOOKUP($A42,CustoDiretoTotal,COLUMN('B2 - Custos diretos totais'!I$3)-1,0),0)</f>
        <v>-295855</v>
      </c>
      <c r="I47" s="710">
        <f>IFERROR(-VLOOKUP($A42,CustoDiretoTotal,COLUMN('B2 - Custos diretos totais'!J$3)-1,0),0)</f>
        <v>-305077.5</v>
      </c>
      <c r="J47" s="710">
        <f>IFERROR(-VLOOKUP($A42,CustoDiretoTotal,COLUMN('B2 - Custos diretos totais'!K$3)-1,0),0)</f>
        <v>-314475</v>
      </c>
      <c r="K47" s="710">
        <f>IFERROR(-VLOOKUP($A42,CustoDiretoTotal,COLUMN('B2 - Custos diretos totais'!L$3)-1,0),0)</f>
        <v>-324030</v>
      </c>
      <c r="L47" s="710">
        <f>IFERROR(-VLOOKUP($A42,CustoDiretoTotal,COLUMN('B2 - Custos diretos totais'!M$3)-1,0),0)</f>
        <v>-333900</v>
      </c>
      <c r="M47" s="710">
        <f>IFERROR(-VLOOKUP($A42,CustoDiretoTotal,COLUMN('B2 - Custos diretos totais'!N$3)-1,0),0)</f>
        <v>-344067.5</v>
      </c>
      <c r="N47" s="710">
        <f>IFERROR(-VLOOKUP($A42,CustoDiretoTotal,COLUMN('B2 - Custos diretos totais'!O$3)-1,0),0)</f>
        <v>-354550</v>
      </c>
      <c r="O47" s="710">
        <f>IFERROR(-VLOOKUP($A42,CustoDiretoTotal,COLUMN('B2 - Custos diretos totais'!P$3)-1,0),0)</f>
        <v>-365365</v>
      </c>
      <c r="P47" s="710">
        <f>IFERROR(-VLOOKUP($A42,CustoDiretoTotal,COLUMN('B2 - Custos diretos totais'!Q$3)-1,0),0)</f>
        <v>-376495</v>
      </c>
      <c r="Q47" s="710">
        <f>IFERROR(-VLOOKUP($A42,CustoDiretoTotal,COLUMN('B2 - Custos diretos totais'!R$3)-1,0),0)</f>
        <v>-387922.5</v>
      </c>
      <c r="R47" s="710">
        <f>IFERROR(-VLOOKUP($A42,CustoDiretoTotal,COLUMN('B2 - Custos diretos totais'!S$3)-1,0),0)</f>
        <v>-399647.5</v>
      </c>
      <c r="S47" s="710">
        <f>IFERROR(-VLOOKUP($A42,CustoDiretoTotal,COLUMN('B2 - Custos diretos totais'!T$3)-1,0),0)</f>
        <v>-411635</v>
      </c>
      <c r="T47" s="710">
        <f>IFERROR(-VLOOKUP($A42,CustoDiretoTotal,COLUMN('B2 - Custos diretos totais'!U$3)-1,0),0)</f>
        <v>-423832.5</v>
      </c>
      <c r="U47" s="710">
        <f>IFERROR(-VLOOKUP($A42,CustoDiretoTotal,COLUMN('B2 - Custos diretos totais'!V$3)-1,0),0)</f>
        <v>-436187.5</v>
      </c>
      <c r="V47" s="710">
        <f>IFERROR(-VLOOKUP($A42,CustoDiretoTotal,COLUMN('B2 - Custos diretos totais'!W$3)-1,0),0)</f>
        <v>-436187.5</v>
      </c>
      <c r="W47" s="710">
        <f>IFERROR(-VLOOKUP($A42,CustoDiretoTotal,COLUMN('B2 - Custos diretos totais'!X$3)-1,0),0)</f>
        <v>-436187.5</v>
      </c>
      <c r="X47" s="710">
        <f>IFERROR(-VLOOKUP($A42,CustoDiretoTotal,COLUMN('B2 - Custos diretos totais'!Y$3)-1,0),0)</f>
        <v>-436187.5</v>
      </c>
      <c r="Y47" s="710">
        <f>IFERROR(-VLOOKUP($A42,CustoDiretoTotal,COLUMN('B2 - Custos diretos totais'!Z$3)-1,0),0)</f>
        <v>-436187.5</v>
      </c>
      <c r="Z47" s="710">
        <f>IFERROR(-VLOOKUP($A42,CustoDiretoTotal,COLUMN('B2 - Custos diretos totais'!AA$3)-1,0),0)</f>
        <v>-436187.5</v>
      </c>
      <c r="AA47" s="710">
        <f>IFERROR(-VLOOKUP($A42,CustoDiretoTotal,COLUMN('B2 - Custos diretos totais'!AB$3)-1,0),0)</f>
        <v>-436187.5</v>
      </c>
      <c r="AB47" s="710">
        <f>IFERROR(-VLOOKUP($A42,CustoDiretoTotal,COLUMN('B2 - Custos diretos totais'!AC$3)-1,0),0)</f>
        <v>-436187.5</v>
      </c>
      <c r="AC47" s="710">
        <f>IFERROR(-VLOOKUP($A42,CustoDiretoTotal,COLUMN('B2 - Custos diretos totais'!AD$3)-1,0),0)</f>
        <v>-436187.5</v>
      </c>
      <c r="AD47" s="710">
        <f>IFERROR(-VLOOKUP($A42,CustoDiretoTotal,COLUMN('B2 - Custos diretos totais'!AE$3)-1,0),0)</f>
        <v>-436187.5</v>
      </c>
      <c r="AE47" s="710">
        <f>IFERROR(-VLOOKUP($A42,CustoDiretoTotal,COLUMN('B2 - Custos diretos totais'!AF$3)-1,0),0)</f>
        <v>-436187.5</v>
      </c>
      <c r="AF47" s="594"/>
      <c r="AG47" s="594"/>
      <c r="AH47" s="594"/>
      <c r="AI47" s="594"/>
      <c r="AJ47" s="594"/>
      <c r="AK47" s="594"/>
      <c r="AL47" s="594"/>
      <c r="AM47" s="594"/>
      <c r="AN47" s="594"/>
      <c r="AO47" s="594"/>
      <c r="AP47" s="594"/>
      <c r="AQ47" s="594"/>
      <c r="AR47" s="594"/>
      <c r="AS47" s="594"/>
      <c r="AT47" s="594"/>
      <c r="AU47" s="594"/>
      <c r="AV47" s="594"/>
      <c r="AW47" s="594"/>
      <c r="AX47" s="594"/>
      <c r="AY47" s="594"/>
      <c r="AZ47" s="594"/>
      <c r="BA47" s="594"/>
      <c r="BB47" s="594"/>
      <c r="BC47" s="594"/>
      <c r="BD47" s="594"/>
      <c r="BE47" s="594"/>
      <c r="BF47" s="594"/>
      <c r="BG47" s="594"/>
      <c r="BH47" s="594"/>
      <c r="BI47" s="594"/>
      <c r="BJ47" s="594"/>
      <c r="BK47" s="594"/>
      <c r="BL47" s="57"/>
      <c r="BM47" s="594"/>
      <c r="BN47" s="594"/>
      <c r="BO47" s="594"/>
      <c r="BP47" s="594"/>
      <c r="BQ47" s="594"/>
      <c r="BR47" s="594"/>
      <c r="BS47" s="594"/>
      <c r="BT47" s="594"/>
      <c r="BU47" s="594"/>
      <c r="BV47" s="594"/>
      <c r="BW47" s="594"/>
      <c r="BX47" s="594"/>
      <c r="BY47" s="594"/>
      <c r="BZ47" s="594"/>
      <c r="CA47" s="594"/>
      <c r="CB47" s="594"/>
      <c r="CC47" s="594"/>
      <c r="CD47" s="594"/>
      <c r="CE47" s="594"/>
      <c r="CF47" s="594"/>
      <c r="CG47" s="594"/>
      <c r="CH47" s="594"/>
      <c r="CI47" s="594"/>
      <c r="CJ47" s="594"/>
      <c r="CK47" s="594"/>
      <c r="CL47" s="594"/>
      <c r="CM47" s="594"/>
      <c r="CN47" s="594"/>
      <c r="CO47" s="594"/>
      <c r="CP47" s="594"/>
      <c r="CQ47" s="594"/>
    </row>
    <row r="48" spans="1:95" ht="21" hidden="1" customHeight="1" outlineLevel="2">
      <c r="A48" s="709" t="s">
        <v>684</v>
      </c>
      <c r="B48" s="710">
        <f>-SUMIFS('B3 - Custos despesas indiretos'!AK$5:AK$148,'B3 - Custos despesas indiretos'!$B$5:$B$148,"Custos",'B3 - Custos despesas indiretos'!$D$5:$D$148,$A42)</f>
        <v>-6966.5</v>
      </c>
      <c r="C48" s="710">
        <f>-SUMIFS('B3 - Custos despesas indiretos'!AL$5:AL$148,'B3 - Custos despesas indiretos'!$B$5:$B$148,"Custos",'B3 - Custos despesas indiretos'!$D$5:$D$148,$A42)</f>
        <v>-6966.5</v>
      </c>
      <c r="D48" s="710">
        <f>-SUMIFS('B3 - Custos despesas indiretos'!AM$5:AM$148,'B3 - Custos despesas indiretos'!$B$5:$B$148,"Custos",'B3 - Custos despesas indiretos'!$D$5:$D$148,$A42)</f>
        <v>-6966.5</v>
      </c>
      <c r="E48" s="710">
        <f>-SUMIFS('B3 - Custos despesas indiretos'!AN$5:AN$148,'B3 - Custos despesas indiretos'!$B$5:$B$148,"Custos",'B3 - Custos despesas indiretos'!$D$5:$D$148,$A42)</f>
        <v>-6966.5</v>
      </c>
      <c r="F48" s="710">
        <f>-SUMIFS('B3 - Custos despesas indiretos'!AO$5:AO$148,'B3 - Custos despesas indiretos'!$B$5:$B$148,"Custos",'B3 - Custos despesas indiretos'!$D$5:$D$148,$A42)</f>
        <v>-6966.5</v>
      </c>
      <c r="G48" s="710">
        <f>-SUMIFS('B3 - Custos despesas indiretos'!AP$5:AP$148,'B3 - Custos despesas indiretos'!$B$5:$B$148,"Custos",'B3 - Custos despesas indiretos'!$D$5:$D$148,$A42)</f>
        <v>-6966.5</v>
      </c>
      <c r="H48" s="710">
        <f>-SUMIFS('B3 - Custos despesas indiretos'!AQ$5:AQ$148,'B3 - Custos despesas indiretos'!$B$5:$B$148,"Custos",'B3 - Custos despesas indiretos'!$D$5:$D$148,$A42)</f>
        <v>-6966.5</v>
      </c>
      <c r="I48" s="710">
        <f>-SUMIFS('B3 - Custos despesas indiretos'!AR$5:AR$148,'B3 - Custos despesas indiretos'!$B$5:$B$148,"Custos",'B3 - Custos despesas indiretos'!$D$5:$D$148,$A42)</f>
        <v>-6966.5</v>
      </c>
      <c r="J48" s="710">
        <f>-SUMIFS('B3 - Custos despesas indiretos'!AS$5:AS$148,'B3 - Custos despesas indiretos'!$B$5:$B$148,"Custos",'B3 - Custos despesas indiretos'!$D$5:$D$148,$A42)</f>
        <v>-6966.5</v>
      </c>
      <c r="K48" s="710">
        <f>-SUMIFS('B3 - Custos despesas indiretos'!AT$5:AT$148,'B3 - Custos despesas indiretos'!$B$5:$B$148,"Custos",'B3 - Custos despesas indiretos'!$D$5:$D$148,$A42)</f>
        <v>-6966.5</v>
      </c>
      <c r="L48" s="710">
        <f>-SUMIFS('B3 - Custos despesas indiretos'!AU$5:AU$148,'B3 - Custos despesas indiretos'!$B$5:$B$148,"Custos",'B3 - Custos despesas indiretos'!$D$5:$D$148,$A42)</f>
        <v>-6966.5</v>
      </c>
      <c r="M48" s="710">
        <f>-SUMIFS('B3 - Custos despesas indiretos'!AV$5:AV$148,'B3 - Custos despesas indiretos'!$B$5:$B$148,"Custos",'B3 - Custos despesas indiretos'!$D$5:$D$148,$A42)</f>
        <v>-6966.5</v>
      </c>
      <c r="N48" s="710">
        <f>-SUMIFS('B3 - Custos despesas indiretos'!AW$5:AW$148,'B3 - Custos despesas indiretos'!$B$5:$B$148,"Custos",'B3 - Custos despesas indiretos'!$D$5:$D$148,$A42)</f>
        <v>-6966.5</v>
      </c>
      <c r="O48" s="710">
        <f>-SUMIFS('B3 - Custos despesas indiretos'!AX$5:AX$148,'B3 - Custos despesas indiretos'!$B$5:$B$148,"Custos",'B3 - Custos despesas indiretos'!$D$5:$D$148,$A42)</f>
        <v>-6966.5</v>
      </c>
      <c r="P48" s="710">
        <f>-SUMIFS('B3 - Custos despesas indiretos'!AY$5:AY$148,'B3 - Custos despesas indiretos'!$B$5:$B$148,"Custos",'B3 - Custos despesas indiretos'!$D$5:$D$148,$A42)</f>
        <v>-6966.5</v>
      </c>
      <c r="Q48" s="710">
        <f>-SUMIFS('B3 - Custos despesas indiretos'!AZ$5:AZ$148,'B3 - Custos despesas indiretos'!$B$5:$B$148,"Custos",'B3 - Custos despesas indiretos'!$D$5:$D$148,$A42)</f>
        <v>-6966.5</v>
      </c>
      <c r="R48" s="710">
        <f>-SUMIFS('B3 - Custos despesas indiretos'!BA$5:BA$148,'B3 - Custos despesas indiretos'!$B$5:$B$148,"Custos",'B3 - Custos despesas indiretos'!$D$5:$D$148,$A42)</f>
        <v>-6966.5</v>
      </c>
      <c r="S48" s="710">
        <f>-SUMIFS('B3 - Custos despesas indiretos'!BB$5:BB$148,'B3 - Custos despesas indiretos'!$B$5:$B$148,"Custos",'B3 - Custos despesas indiretos'!$D$5:$D$148,$A42)</f>
        <v>-6966.5</v>
      </c>
      <c r="T48" s="710">
        <f>-SUMIFS('B3 - Custos despesas indiretos'!BC$5:BC$148,'B3 - Custos despesas indiretos'!$B$5:$B$148,"Custos",'B3 - Custos despesas indiretos'!$D$5:$D$148,$A42)</f>
        <v>-6966.5</v>
      </c>
      <c r="U48" s="710">
        <f>-SUMIFS('B3 - Custos despesas indiretos'!BD$5:BD$148,'B3 - Custos despesas indiretos'!$B$5:$B$148,"Custos",'B3 - Custos despesas indiretos'!$D$5:$D$148,$A42)</f>
        <v>-6966.5</v>
      </c>
      <c r="V48" s="710">
        <f>-SUMIFS('B3 - Custos despesas indiretos'!BE$5:BE$148,'B3 - Custos despesas indiretos'!$B$5:$B$148,"Custos",'B3 - Custos despesas indiretos'!$D$5:$D$148,$A42)</f>
        <v>-6966.5</v>
      </c>
      <c r="W48" s="710">
        <f>-SUMIFS('B3 - Custos despesas indiretos'!BF$5:BF$148,'B3 - Custos despesas indiretos'!$B$5:$B$148,"Custos",'B3 - Custos despesas indiretos'!$D$5:$D$148,$A42)</f>
        <v>-6966.5</v>
      </c>
      <c r="X48" s="710">
        <f>-SUMIFS('B3 - Custos despesas indiretos'!BG$5:BG$148,'B3 - Custos despesas indiretos'!$B$5:$B$148,"Custos",'B3 - Custos despesas indiretos'!$D$5:$D$148,$A42)</f>
        <v>-6966.5</v>
      </c>
      <c r="Y48" s="710">
        <f>-SUMIFS('B3 - Custos despesas indiretos'!BH$5:BH$148,'B3 - Custos despesas indiretos'!$B$5:$B$148,"Custos",'B3 - Custos despesas indiretos'!$D$5:$D$148,$A42)</f>
        <v>-6966.5</v>
      </c>
      <c r="Z48" s="710">
        <f>-SUMIFS('B3 - Custos despesas indiretos'!BI$5:BI$148,'B3 - Custos despesas indiretos'!$B$5:$B$148,"Custos",'B3 - Custos despesas indiretos'!$D$5:$D$148,$A42)</f>
        <v>-6966.5</v>
      </c>
      <c r="AA48" s="710">
        <f>-SUMIFS('B3 - Custos despesas indiretos'!BJ$5:BJ$148,'B3 - Custos despesas indiretos'!$B$5:$B$148,"Custos",'B3 - Custos despesas indiretos'!$D$5:$D$148,$A42)</f>
        <v>-6966.5</v>
      </c>
      <c r="AB48" s="710">
        <f>-SUMIFS('B3 - Custos despesas indiretos'!BK$5:BK$148,'B3 - Custos despesas indiretos'!$B$5:$B$148,"Custos",'B3 - Custos despesas indiretos'!$D$5:$D$148,$A42)</f>
        <v>-6966.5</v>
      </c>
      <c r="AC48" s="710">
        <f>-SUMIFS('B3 - Custos despesas indiretos'!BL$5:BL$148,'B3 - Custos despesas indiretos'!$B$5:$B$148,"Custos",'B3 - Custos despesas indiretos'!$D$5:$D$148,$A42)</f>
        <v>-6966.5</v>
      </c>
      <c r="AD48" s="710">
        <f>-SUMIFS('B3 - Custos despesas indiretos'!BM$5:BM$148,'B3 - Custos despesas indiretos'!$B$5:$B$148,"Custos",'B3 - Custos despesas indiretos'!$D$5:$D$148,$A42)</f>
        <v>-6966.5</v>
      </c>
      <c r="AE48" s="710">
        <f>-SUMIFS('B3 - Custos despesas indiretos'!BN$5:BN$148,'B3 - Custos despesas indiretos'!$B$5:$B$148,"Custos",'B3 - Custos despesas indiretos'!$D$5:$D$148,$A42)</f>
        <v>-6966.5</v>
      </c>
      <c r="AF48" s="594"/>
      <c r="AG48" s="594"/>
      <c r="AH48" s="594"/>
      <c r="AI48" s="594"/>
      <c r="AJ48" s="594"/>
      <c r="AK48" s="594"/>
      <c r="AL48" s="594"/>
      <c r="AM48" s="594"/>
      <c r="AN48" s="594"/>
      <c r="AO48" s="594"/>
      <c r="AP48" s="594"/>
      <c r="AQ48" s="594"/>
      <c r="AR48" s="594"/>
      <c r="AS48" s="594"/>
      <c r="AT48" s="594"/>
      <c r="AU48" s="594"/>
      <c r="AV48" s="594"/>
      <c r="AW48" s="594"/>
      <c r="AX48" s="594"/>
      <c r="AY48" s="594"/>
      <c r="AZ48" s="594"/>
      <c r="BA48" s="594"/>
      <c r="BB48" s="594"/>
      <c r="BC48" s="594"/>
      <c r="BD48" s="594"/>
      <c r="BE48" s="594"/>
      <c r="BF48" s="594"/>
      <c r="BG48" s="594"/>
      <c r="BH48" s="594"/>
      <c r="BI48" s="594"/>
      <c r="BJ48" s="594"/>
      <c r="BK48" s="594"/>
      <c r="BL48" s="57"/>
      <c r="BM48" s="594"/>
      <c r="BN48" s="594"/>
      <c r="BO48" s="594"/>
      <c r="BP48" s="594"/>
      <c r="BQ48" s="594"/>
      <c r="BR48" s="594"/>
      <c r="BS48" s="594"/>
      <c r="BT48" s="594"/>
      <c r="BU48" s="594"/>
      <c r="BV48" s="594"/>
      <c r="BW48" s="594"/>
      <c r="BX48" s="594"/>
      <c r="BY48" s="594"/>
      <c r="BZ48" s="594"/>
      <c r="CA48" s="594"/>
      <c r="CB48" s="594"/>
      <c r="CC48" s="594"/>
      <c r="CD48" s="594"/>
      <c r="CE48" s="594"/>
      <c r="CF48" s="594"/>
      <c r="CG48" s="594"/>
      <c r="CH48" s="594"/>
      <c r="CI48" s="594"/>
      <c r="CJ48" s="594"/>
      <c r="CK48" s="594"/>
      <c r="CL48" s="594"/>
      <c r="CM48" s="594"/>
      <c r="CN48" s="594"/>
      <c r="CO48" s="594"/>
      <c r="CP48" s="594"/>
      <c r="CQ48" s="594"/>
    </row>
    <row r="49" spans="1:95" ht="21" hidden="1" customHeight="1" outlineLevel="2">
      <c r="A49" s="709" t="s">
        <v>685</v>
      </c>
      <c r="B49" s="710">
        <f>-SUMIFS('B3 - Custos despesas indiretos'!AK$5:AK$148,'B3 - Custos despesas indiretos'!$B$5:$B$148,"Despesas",'B3 - Custos despesas indiretos'!$D$5:$D$148,$A42)</f>
        <v>0</v>
      </c>
      <c r="C49" s="710">
        <f>-SUMIFS('B3 - Custos despesas indiretos'!AL$5:AL$148,'B3 - Custos despesas indiretos'!$B$5:$B$148,"Despesas",'B3 - Custos despesas indiretos'!$D$5:$D$148,$A42)</f>
        <v>-11540.800000000001</v>
      </c>
      <c r="D49" s="710">
        <f>-SUMIFS('B3 - Custos despesas indiretos'!AM$5:AM$148,'B3 - Custos despesas indiretos'!$B$5:$B$148,"Despesas",'B3 - Custos despesas indiretos'!$D$5:$D$148,$A42)</f>
        <v>-11939.2</v>
      </c>
      <c r="E49" s="710">
        <f>-SUMIFS('B3 - Custos despesas indiretos'!AN$5:AN$148,'B3 - Custos despesas indiretos'!$B$5:$B$148,"Despesas",'B3 - Custos despesas indiretos'!$D$5:$D$148,$A42)</f>
        <v>-12324.800000000001</v>
      </c>
      <c r="F49" s="710">
        <f>-SUMIFS('B3 - Custos despesas indiretos'!AO$5:AO$148,'B3 - Custos despesas indiretos'!$B$5:$B$148,"Despesas",'B3 - Custos despesas indiretos'!$D$5:$D$148,$A42)</f>
        <v>-12716</v>
      </c>
      <c r="G49" s="710">
        <f>-SUMIFS('B3 - Custos despesas indiretos'!AP$5:AP$148,'B3 - Custos despesas indiretos'!$B$5:$B$148,"Despesas",'B3 - Custos despesas indiretos'!$D$5:$D$148,$A42)</f>
        <v>-13114.4</v>
      </c>
      <c r="H49" s="710">
        <f>-SUMIFS('B3 - Custos despesas indiretos'!AQ$5:AQ$148,'B3 - Custos despesas indiretos'!$B$5:$B$148,"Despesas",'B3 - Custos despesas indiretos'!$D$5:$D$148,$A42)</f>
        <v>-13524.800000000001</v>
      </c>
      <c r="I49" s="710">
        <f>-SUMIFS('B3 - Custos despesas indiretos'!AR$5:AR$148,'B3 - Custos despesas indiretos'!$B$5:$B$148,"Despesas",'B3 - Custos despesas indiretos'!$D$5:$D$148,$A42)</f>
        <v>-13946.4</v>
      </c>
      <c r="J49" s="710">
        <f>-SUMIFS('B3 - Custos despesas indiretos'!AS$5:AS$148,'B3 - Custos despesas indiretos'!$B$5:$B$148,"Despesas",'B3 - Custos despesas indiretos'!$D$5:$D$148,$A42)</f>
        <v>-14376</v>
      </c>
      <c r="K49" s="710">
        <f>-SUMIFS('B3 - Custos despesas indiretos'!AT$5:AT$148,'B3 - Custos despesas indiretos'!$B$5:$B$148,"Despesas",'B3 - Custos despesas indiretos'!$D$5:$D$148,$A42)</f>
        <v>-14812.800000000001</v>
      </c>
      <c r="L49" s="710">
        <f>-SUMIFS('B3 - Custos despesas indiretos'!AU$5:AU$148,'B3 - Custos despesas indiretos'!$B$5:$B$148,"Despesas",'B3 - Custos despesas indiretos'!$D$5:$D$148,$A42)</f>
        <v>-15264</v>
      </c>
      <c r="M49" s="710">
        <f>-SUMIFS('B3 - Custos despesas indiretos'!AV$5:AV$148,'B3 - Custos despesas indiretos'!$B$5:$B$148,"Despesas",'B3 - Custos despesas indiretos'!$D$5:$D$148,$A42)</f>
        <v>-15728.800000000001</v>
      </c>
      <c r="N49" s="710">
        <f>-SUMIFS('B3 - Custos despesas indiretos'!AW$5:AW$148,'B3 - Custos despesas indiretos'!$B$5:$B$148,"Despesas",'B3 - Custos despesas indiretos'!$D$5:$D$148,$A42)</f>
        <v>-16208</v>
      </c>
      <c r="O49" s="710">
        <f>-SUMIFS('B3 - Custos despesas indiretos'!AX$5:AX$148,'B3 - Custos despesas indiretos'!$B$5:$B$148,"Despesas",'B3 - Custos despesas indiretos'!$D$5:$D$148,$A42)</f>
        <v>-16702.400000000001</v>
      </c>
      <c r="P49" s="710">
        <f>-SUMIFS('B3 - Custos despesas indiretos'!AY$5:AY$148,'B3 - Custos despesas indiretos'!$B$5:$B$148,"Despesas",'B3 - Custos despesas indiretos'!$D$5:$D$148,$A42)</f>
        <v>-17211.2</v>
      </c>
      <c r="Q49" s="710">
        <f>-SUMIFS('B3 - Custos despesas indiretos'!AZ$5:AZ$148,'B3 - Custos despesas indiretos'!$B$5:$B$148,"Despesas",'B3 - Custos despesas indiretos'!$D$5:$D$148,$A42)</f>
        <v>-17733.600000000002</v>
      </c>
      <c r="R49" s="710">
        <f>-SUMIFS('B3 - Custos despesas indiretos'!BA$5:BA$148,'B3 - Custos despesas indiretos'!$B$5:$B$148,"Despesas",'B3 - Custos despesas indiretos'!$D$5:$D$148,$A42)</f>
        <v>-18269.600000000002</v>
      </c>
      <c r="S49" s="710">
        <f>-SUMIFS('B3 - Custos despesas indiretos'!BB$5:BB$148,'B3 - Custos despesas indiretos'!$B$5:$B$148,"Despesas",'B3 - Custos despesas indiretos'!$D$5:$D$148,$A42)</f>
        <v>-18817.600000000002</v>
      </c>
      <c r="T49" s="710">
        <f>-SUMIFS('B3 - Custos despesas indiretos'!BC$5:BC$148,'B3 - Custos despesas indiretos'!$B$5:$B$148,"Despesas",'B3 - Custos despesas indiretos'!$D$5:$D$148,$A42)</f>
        <v>-19375.2</v>
      </c>
      <c r="U49" s="710">
        <f>-SUMIFS('B3 - Custos despesas indiretos'!BD$5:BD$148,'B3 - Custos despesas indiretos'!$B$5:$B$148,"Despesas",'B3 - Custos despesas indiretos'!$D$5:$D$148,$A42)</f>
        <v>-19940</v>
      </c>
      <c r="V49" s="710">
        <f>-SUMIFS('B3 - Custos despesas indiretos'!BE$5:BE$148,'B3 - Custos despesas indiretos'!$B$5:$B$148,"Despesas",'B3 - Custos despesas indiretos'!$D$5:$D$148,$A42)</f>
        <v>-19940</v>
      </c>
      <c r="W49" s="710">
        <f>-SUMIFS('B3 - Custos despesas indiretos'!BF$5:BF$148,'B3 - Custos despesas indiretos'!$B$5:$B$148,"Despesas",'B3 - Custos despesas indiretos'!$D$5:$D$148,$A42)</f>
        <v>-19940</v>
      </c>
      <c r="X49" s="710">
        <f>-SUMIFS('B3 - Custos despesas indiretos'!BG$5:BG$148,'B3 - Custos despesas indiretos'!$B$5:$B$148,"Despesas",'B3 - Custos despesas indiretos'!$D$5:$D$148,$A42)</f>
        <v>-19940</v>
      </c>
      <c r="Y49" s="710">
        <f>-SUMIFS('B3 - Custos despesas indiretos'!BH$5:BH$148,'B3 - Custos despesas indiretos'!$B$5:$B$148,"Despesas",'B3 - Custos despesas indiretos'!$D$5:$D$148,$A42)</f>
        <v>-19940</v>
      </c>
      <c r="Z49" s="710">
        <f>-SUMIFS('B3 - Custos despesas indiretos'!BI$5:BI$148,'B3 - Custos despesas indiretos'!$B$5:$B$148,"Despesas",'B3 - Custos despesas indiretos'!$D$5:$D$148,$A42)</f>
        <v>-19940</v>
      </c>
      <c r="AA49" s="710">
        <f>-SUMIFS('B3 - Custos despesas indiretos'!BJ$5:BJ$148,'B3 - Custos despesas indiretos'!$B$5:$B$148,"Despesas",'B3 - Custos despesas indiretos'!$D$5:$D$148,$A42)</f>
        <v>-19940</v>
      </c>
      <c r="AB49" s="710">
        <f>-SUMIFS('B3 - Custos despesas indiretos'!BK$5:BK$148,'B3 - Custos despesas indiretos'!$B$5:$B$148,"Despesas",'B3 - Custos despesas indiretos'!$D$5:$D$148,$A42)</f>
        <v>-19940</v>
      </c>
      <c r="AC49" s="710">
        <f>-SUMIFS('B3 - Custos despesas indiretos'!BL$5:BL$148,'B3 - Custos despesas indiretos'!$B$5:$B$148,"Despesas",'B3 - Custos despesas indiretos'!$D$5:$D$148,$A42)</f>
        <v>-19940</v>
      </c>
      <c r="AD49" s="710">
        <f>-SUMIFS('B3 - Custos despesas indiretos'!BM$5:BM$148,'B3 - Custos despesas indiretos'!$B$5:$B$148,"Despesas",'B3 - Custos despesas indiretos'!$D$5:$D$148,$A42)</f>
        <v>-19940</v>
      </c>
      <c r="AE49" s="710">
        <f>-SUMIFS('B3 - Custos despesas indiretos'!BN$5:BN$148,'B3 - Custos despesas indiretos'!$B$5:$B$148,"Despesas",'B3 - Custos despesas indiretos'!$D$5:$D$148,$A42)</f>
        <v>-19940</v>
      </c>
      <c r="AF49" s="594"/>
      <c r="AG49" s="594"/>
      <c r="AH49" s="594"/>
      <c r="AI49" s="594"/>
      <c r="AJ49" s="594"/>
      <c r="AK49" s="594"/>
      <c r="AL49" s="594"/>
      <c r="AM49" s="594"/>
      <c r="AN49" s="594"/>
      <c r="AO49" s="594"/>
      <c r="AP49" s="594"/>
      <c r="AQ49" s="594"/>
      <c r="AR49" s="594"/>
      <c r="AS49" s="594"/>
      <c r="AT49" s="594"/>
      <c r="AU49" s="594"/>
      <c r="AV49" s="594"/>
      <c r="AW49" s="594"/>
      <c r="AX49" s="594"/>
      <c r="AY49" s="594"/>
      <c r="AZ49" s="594"/>
      <c r="BA49" s="594"/>
      <c r="BB49" s="594"/>
      <c r="BC49" s="594"/>
      <c r="BD49" s="594"/>
      <c r="BE49" s="594"/>
      <c r="BF49" s="594"/>
      <c r="BG49" s="594"/>
      <c r="BH49" s="594"/>
      <c r="BI49" s="594"/>
      <c r="BJ49" s="594"/>
      <c r="BK49" s="594"/>
      <c r="BL49" s="57"/>
      <c r="BM49" s="594"/>
      <c r="BN49" s="594"/>
      <c r="BO49" s="594"/>
      <c r="BP49" s="594"/>
      <c r="BQ49" s="594"/>
      <c r="BR49" s="594"/>
      <c r="BS49" s="594"/>
      <c r="BT49" s="594"/>
      <c r="BU49" s="594"/>
      <c r="BV49" s="594"/>
      <c r="BW49" s="594"/>
      <c r="BX49" s="594"/>
      <c r="BY49" s="594"/>
      <c r="BZ49" s="594"/>
      <c r="CA49" s="594"/>
      <c r="CB49" s="594"/>
      <c r="CC49" s="594"/>
      <c r="CD49" s="594"/>
      <c r="CE49" s="594"/>
      <c r="CF49" s="594"/>
      <c r="CG49" s="594"/>
      <c r="CH49" s="594"/>
      <c r="CI49" s="594"/>
      <c r="CJ49" s="594"/>
      <c r="CK49" s="594"/>
      <c r="CL49" s="594"/>
      <c r="CM49" s="594"/>
      <c r="CN49" s="594"/>
      <c r="CO49" s="594"/>
      <c r="CP49" s="594"/>
      <c r="CQ49" s="594"/>
    </row>
    <row r="50" spans="1:95" ht="21" hidden="1" customHeight="1" outlineLevel="2">
      <c r="A50" s="709" t="s">
        <v>686</v>
      </c>
      <c r="B50" s="710">
        <f>-SUMIF('D2 - Capex uso'!$C$6:$C$176,$A42,'D2 - Capex uso'!GI$6:GI$176)</f>
        <v>-22466.9434</v>
      </c>
      <c r="C50" s="710">
        <f>-SUMIF('D2 - Capex uso'!$C$6:$C$176,$A42,'D2 - Capex uso'!GJ$6:GJ$176)</f>
        <v>-22466.9434</v>
      </c>
      <c r="D50" s="710">
        <f>-SUMIF('D2 - Capex uso'!$C$6:$C$176,$A42,'D2 - Capex uso'!GK$6:GK$176)</f>
        <v>-22466.9434</v>
      </c>
      <c r="E50" s="710">
        <f>-SUMIF('D2 - Capex uso'!$C$6:$C$176,$A42,'D2 - Capex uso'!GL$6:GL$176)</f>
        <v>-22466.9434</v>
      </c>
      <c r="F50" s="710">
        <f>-SUMIF('D2 - Capex uso'!$C$6:$C$176,$A42,'D2 - Capex uso'!GM$6:GM$176)</f>
        <v>-22466.9434</v>
      </c>
      <c r="G50" s="710">
        <f>-SUMIF('D2 - Capex uso'!$C$6:$C$176,$A42,'D2 - Capex uso'!GN$6:GN$176)</f>
        <v>-22466.9434</v>
      </c>
      <c r="H50" s="710">
        <f>-SUMIF('D2 - Capex uso'!$C$6:$C$176,$A42,'D2 - Capex uso'!GO$6:GO$176)</f>
        <v>-22466.9434</v>
      </c>
      <c r="I50" s="710">
        <f>-SUMIF('D2 - Capex uso'!$C$6:$C$176,$A42,'D2 - Capex uso'!GP$6:GP$176)</f>
        <v>-22466.9434</v>
      </c>
      <c r="J50" s="710">
        <f>-SUMIF('D2 - Capex uso'!$C$6:$C$176,$A42,'D2 - Capex uso'!GQ$6:GQ$176)</f>
        <v>-22466.9434</v>
      </c>
      <c r="K50" s="710">
        <f>-SUMIF('D2 - Capex uso'!$C$6:$C$176,$A42,'D2 - Capex uso'!GR$6:GR$176)</f>
        <v>-22466.9434</v>
      </c>
      <c r="L50" s="710">
        <f>-SUMIF('D2 - Capex uso'!$C$6:$C$176,$A42,'D2 - Capex uso'!GS$6:GS$176)</f>
        <v>-22466.9434</v>
      </c>
      <c r="M50" s="710">
        <f>-SUMIF('D2 - Capex uso'!$C$6:$C$176,$A42,'D2 - Capex uso'!GT$6:GT$176)</f>
        <v>-22466.9434</v>
      </c>
      <c r="N50" s="710">
        <f>-SUMIF('D2 - Capex uso'!$C$6:$C$176,$A42,'D2 - Capex uso'!GU$6:GU$176)</f>
        <v>-22466.9434</v>
      </c>
      <c r="O50" s="710">
        <f>-SUMIF('D2 - Capex uso'!$C$6:$C$176,$A42,'D2 - Capex uso'!GV$6:GV$176)</f>
        <v>-22466.9434</v>
      </c>
      <c r="P50" s="710">
        <f>-SUMIF('D2 - Capex uso'!$C$6:$C$176,$A42,'D2 - Capex uso'!GW$6:GW$176)</f>
        <v>-22466.9434</v>
      </c>
      <c r="Q50" s="710">
        <f>-SUMIF('D2 - Capex uso'!$C$6:$C$176,$A42,'D2 - Capex uso'!GX$6:GX$176)</f>
        <v>-22466.9434</v>
      </c>
      <c r="R50" s="710">
        <f>-SUMIF('D2 - Capex uso'!$C$6:$C$176,$A42,'D2 - Capex uso'!GY$6:GY$176)</f>
        <v>-22466.9434</v>
      </c>
      <c r="S50" s="710">
        <f>-SUMIF('D2 - Capex uso'!$C$6:$C$176,$A42,'D2 - Capex uso'!GZ$6:GZ$176)</f>
        <v>-22466.9434</v>
      </c>
      <c r="T50" s="710">
        <f>-SUMIF('D2 - Capex uso'!$C$6:$C$176,$A42,'D2 - Capex uso'!HA$6:HA$176)</f>
        <v>-22466.9434</v>
      </c>
      <c r="U50" s="710">
        <f>-SUMIF('D2 - Capex uso'!$C$6:$C$176,$A42,'D2 - Capex uso'!HB$6:HB$176)</f>
        <v>-22466.9434</v>
      </c>
      <c r="V50" s="710">
        <f>-SUMIF('D2 - Capex uso'!$C$6:$C$176,$A42,'D2 - Capex uso'!HC$6:HC$176)</f>
        <v>-22466.9434</v>
      </c>
      <c r="W50" s="710">
        <f>-SUMIF('D2 - Capex uso'!$C$6:$C$176,$A42,'D2 - Capex uso'!HD$6:HD$176)</f>
        <v>-22466.9434</v>
      </c>
      <c r="X50" s="710">
        <f>-SUMIF('D2 - Capex uso'!$C$6:$C$176,$A42,'D2 - Capex uso'!HE$6:HE$176)</f>
        <v>-22466.9434</v>
      </c>
      <c r="Y50" s="710">
        <f>-SUMIF('D2 - Capex uso'!$C$6:$C$176,$A42,'D2 - Capex uso'!HF$6:HF$176)</f>
        <v>-22466.9434</v>
      </c>
      <c r="Z50" s="710">
        <f>-SUMIF('D2 - Capex uso'!$C$6:$C$176,$A42,'D2 - Capex uso'!HG$6:HG$176)</f>
        <v>-22466.9434</v>
      </c>
      <c r="AA50" s="710">
        <f>-SUMIF('D2 - Capex uso'!$C$6:$C$176,$A42,'D2 - Capex uso'!HH$6:HH$176)</f>
        <v>-22466.9434</v>
      </c>
      <c r="AB50" s="710">
        <f>-SUMIF('D2 - Capex uso'!$C$6:$C$176,$A42,'D2 - Capex uso'!HI$6:HI$176)</f>
        <v>-22466.9434</v>
      </c>
      <c r="AC50" s="710">
        <f>-SUMIF('D2 - Capex uso'!$C$6:$C$176,$A42,'D2 - Capex uso'!HJ$6:HJ$176)</f>
        <v>-22466.9434</v>
      </c>
      <c r="AD50" s="710">
        <f>-SUMIF('D2 - Capex uso'!$C$6:$C$176,$A42,'D2 - Capex uso'!HK$6:HK$176)</f>
        <v>-22466.9434</v>
      </c>
      <c r="AE50" s="710">
        <f>-SUMIF('D2 - Capex uso'!$C$6:$C$176,$A42,'D2 - Capex uso'!HL$6:HL$176)</f>
        <v>-22466.9434</v>
      </c>
      <c r="AF50" s="594"/>
      <c r="AG50" s="594"/>
      <c r="AH50" s="594"/>
      <c r="AI50" s="594"/>
      <c r="AJ50" s="594"/>
      <c r="AK50" s="594"/>
      <c r="AL50" s="594"/>
      <c r="AM50" s="594"/>
      <c r="AN50" s="594"/>
      <c r="AO50" s="594"/>
      <c r="AP50" s="594"/>
      <c r="AQ50" s="594"/>
      <c r="AR50" s="594"/>
      <c r="AS50" s="594"/>
      <c r="AT50" s="594"/>
      <c r="AU50" s="594"/>
      <c r="AV50" s="594"/>
      <c r="AW50" s="594"/>
      <c r="AX50" s="594"/>
      <c r="AY50" s="594"/>
      <c r="AZ50" s="594"/>
      <c r="BA50" s="594"/>
      <c r="BB50" s="594"/>
      <c r="BC50" s="594"/>
      <c r="BD50" s="594"/>
      <c r="BE50" s="594"/>
      <c r="BF50" s="594"/>
      <c r="BG50" s="594"/>
      <c r="BH50" s="594"/>
      <c r="BI50" s="594"/>
      <c r="BJ50" s="594"/>
      <c r="BK50" s="594"/>
      <c r="BL50" s="57"/>
      <c r="BM50" s="594"/>
      <c r="BN50" s="594"/>
      <c r="BO50" s="594"/>
      <c r="BP50" s="594"/>
      <c r="BQ50" s="594"/>
      <c r="BR50" s="594"/>
      <c r="BS50" s="594"/>
      <c r="BT50" s="594"/>
      <c r="BU50" s="594"/>
      <c r="BV50" s="594"/>
      <c r="BW50" s="594"/>
      <c r="BX50" s="594"/>
      <c r="BY50" s="594"/>
      <c r="BZ50" s="594"/>
      <c r="CA50" s="594"/>
      <c r="CB50" s="594"/>
      <c r="CC50" s="594"/>
      <c r="CD50" s="594"/>
      <c r="CE50" s="594"/>
      <c r="CF50" s="594"/>
      <c r="CG50" s="594"/>
      <c r="CH50" s="594"/>
      <c r="CI50" s="594"/>
      <c r="CJ50" s="594"/>
      <c r="CK50" s="594"/>
      <c r="CL50" s="594"/>
      <c r="CM50" s="594"/>
      <c r="CN50" s="594"/>
      <c r="CO50" s="594"/>
      <c r="CP50" s="594"/>
      <c r="CQ50" s="594"/>
    </row>
    <row r="51" spans="1:95" ht="21" hidden="1" customHeight="1" outlineLevel="1">
      <c r="A51" s="708" t="s">
        <v>687</v>
      </c>
      <c r="B51" s="707">
        <f t="shared" ref="B51:AE51" si="16">SUM(B43:B45)</f>
        <v>-29433.4434</v>
      </c>
      <c r="C51" s="707">
        <f t="shared" si="16"/>
        <v>140433.50846569316</v>
      </c>
      <c r="D51" s="707">
        <f t="shared" si="16"/>
        <v>151750.66294203087</v>
      </c>
      <c r="E51" s="707">
        <f t="shared" si="16"/>
        <v>162704.50251671794</v>
      </c>
      <c r="F51" s="707">
        <f t="shared" si="16"/>
        <v>173817.454107814</v>
      </c>
      <c r="G51" s="707">
        <f t="shared" si="16"/>
        <v>185134.89241960167</v>
      </c>
      <c r="H51" s="707">
        <f t="shared" si="16"/>
        <v>196792.79143257247</v>
      </c>
      <c r="I51" s="707">
        <f t="shared" si="16"/>
        <v>208769.25199528423</v>
      </c>
      <c r="J51" s="707">
        <f t="shared" si="16"/>
        <v>220972.78104687016</v>
      </c>
      <c r="K51" s="707">
        <f t="shared" si="16"/>
        <v>233381.34271897061</v>
      </c>
      <c r="L51" s="707">
        <f t="shared" si="16"/>
        <v>246198.46006747475</v>
      </c>
      <c r="M51" s="707">
        <f t="shared" si="16"/>
        <v>259401.90933896368</v>
      </c>
      <c r="N51" s="707">
        <f t="shared" si="16"/>
        <v>273014.64070335461</v>
      </c>
      <c r="O51" s="707">
        <f t="shared" si="16"/>
        <v>287058.97792958061</v>
      </c>
      <c r="P51" s="707">
        <f t="shared" si="16"/>
        <v>301512.45064913132</v>
      </c>
      <c r="Q51" s="707">
        <f t="shared" si="16"/>
        <v>316352.34137879289</v>
      </c>
      <c r="R51" s="707">
        <f t="shared" si="16"/>
        <v>331578.58580714732</v>
      </c>
      <c r="S51" s="707">
        <f t="shared" si="16"/>
        <v>347145.41576431971</v>
      </c>
      <c r="T51" s="707">
        <f t="shared" si="16"/>
        <v>362984.98237269698</v>
      </c>
      <c r="U51" s="707">
        <f t="shared" si="16"/>
        <v>379029.27472738596</v>
      </c>
      <c r="V51" s="707">
        <f t="shared" si="16"/>
        <v>379029.27472738596</v>
      </c>
      <c r="W51" s="707">
        <f t="shared" si="16"/>
        <v>379029.27472738596</v>
      </c>
      <c r="X51" s="707">
        <f t="shared" si="16"/>
        <v>379029.27472738596</v>
      </c>
      <c r="Y51" s="707">
        <f t="shared" si="16"/>
        <v>379029.27472738596</v>
      </c>
      <c r="Z51" s="707">
        <f t="shared" si="16"/>
        <v>379029.27472738596</v>
      </c>
      <c r="AA51" s="707">
        <f t="shared" si="16"/>
        <v>379029.27472738596</v>
      </c>
      <c r="AB51" s="707">
        <f t="shared" si="16"/>
        <v>379029.27472738596</v>
      </c>
      <c r="AC51" s="707">
        <f t="shared" si="16"/>
        <v>379029.27472738596</v>
      </c>
      <c r="AD51" s="707">
        <f t="shared" si="16"/>
        <v>379029.27472738596</v>
      </c>
      <c r="AE51" s="707">
        <f t="shared" si="16"/>
        <v>379029.27472738596</v>
      </c>
      <c r="AF51" s="594"/>
      <c r="AG51" s="594"/>
      <c r="AH51" s="594"/>
      <c r="AI51" s="594"/>
      <c r="AJ51" s="594"/>
      <c r="AK51" s="594"/>
      <c r="AL51" s="594"/>
      <c r="AM51" s="594"/>
      <c r="AN51" s="594"/>
      <c r="AO51" s="594"/>
      <c r="AP51" s="594"/>
      <c r="AQ51" s="594"/>
      <c r="AR51" s="594"/>
      <c r="AS51" s="594"/>
      <c r="AT51" s="594"/>
      <c r="AU51" s="594"/>
      <c r="AV51" s="594"/>
      <c r="AW51" s="594"/>
      <c r="AX51" s="594"/>
      <c r="AY51" s="594"/>
      <c r="AZ51" s="594"/>
      <c r="BA51" s="594"/>
      <c r="BB51" s="594"/>
      <c r="BC51" s="594"/>
      <c r="BD51" s="594"/>
      <c r="BE51" s="594"/>
      <c r="BF51" s="594"/>
      <c r="BG51" s="594"/>
      <c r="BH51" s="594"/>
      <c r="BI51" s="594"/>
      <c r="BJ51" s="594"/>
      <c r="BK51" s="594"/>
      <c r="BL51" s="57"/>
      <c r="BM51" s="594"/>
      <c r="BN51" s="594"/>
      <c r="BO51" s="594"/>
      <c r="BP51" s="594"/>
      <c r="BQ51" s="594"/>
      <c r="BR51" s="594"/>
      <c r="BS51" s="594"/>
      <c r="BT51" s="594"/>
      <c r="BU51" s="594"/>
      <c r="BV51" s="594"/>
      <c r="BW51" s="594"/>
      <c r="BX51" s="594"/>
      <c r="BY51" s="594"/>
      <c r="BZ51" s="594"/>
      <c r="CA51" s="594"/>
      <c r="CB51" s="594"/>
      <c r="CC51" s="594"/>
      <c r="CD51" s="594"/>
      <c r="CE51" s="594"/>
      <c r="CF51" s="594"/>
      <c r="CG51" s="594"/>
      <c r="CH51" s="594"/>
      <c r="CI51" s="594"/>
      <c r="CJ51" s="594"/>
      <c r="CK51" s="594"/>
      <c r="CL51" s="594"/>
      <c r="CM51" s="594"/>
      <c r="CN51" s="594"/>
      <c r="CO51" s="594"/>
      <c r="CP51" s="594"/>
      <c r="CQ51" s="594"/>
    </row>
    <row r="52" spans="1:95" ht="19.5" hidden="1" customHeight="1" outlineLevel="1">
      <c r="A52" s="708" t="s">
        <v>688</v>
      </c>
      <c r="B52" s="707">
        <f t="shared" ref="B52:AE52" si="17">SUM(B53:B60)</f>
        <v>-449338.86800000002</v>
      </c>
      <c r="C52" s="707">
        <f t="shared" si="17"/>
        <v>0</v>
      </c>
      <c r="D52" s="707">
        <f t="shared" si="17"/>
        <v>0</v>
      </c>
      <c r="E52" s="707">
        <f t="shared" si="17"/>
        <v>0</v>
      </c>
      <c r="F52" s="707">
        <f t="shared" si="17"/>
        <v>0</v>
      </c>
      <c r="G52" s="707">
        <f t="shared" si="17"/>
        <v>0</v>
      </c>
      <c r="H52" s="707">
        <f t="shared" si="17"/>
        <v>0</v>
      </c>
      <c r="I52" s="707">
        <f t="shared" si="17"/>
        <v>0</v>
      </c>
      <c r="J52" s="707">
        <f t="shared" si="17"/>
        <v>0</v>
      </c>
      <c r="K52" s="707">
        <f t="shared" si="17"/>
        <v>0</v>
      </c>
      <c r="L52" s="707">
        <f t="shared" si="17"/>
        <v>-340199.728</v>
      </c>
      <c r="M52" s="707">
        <f t="shared" si="17"/>
        <v>0</v>
      </c>
      <c r="N52" s="707">
        <f t="shared" si="17"/>
        <v>0</v>
      </c>
      <c r="O52" s="707">
        <f t="shared" si="17"/>
        <v>0</v>
      </c>
      <c r="P52" s="707">
        <f t="shared" si="17"/>
        <v>0</v>
      </c>
      <c r="Q52" s="707">
        <f t="shared" si="17"/>
        <v>0</v>
      </c>
      <c r="R52" s="707">
        <f t="shared" si="17"/>
        <v>0</v>
      </c>
      <c r="S52" s="707">
        <f t="shared" si="17"/>
        <v>0</v>
      </c>
      <c r="T52" s="707">
        <f t="shared" si="17"/>
        <v>0</v>
      </c>
      <c r="U52" s="707">
        <f t="shared" si="17"/>
        <v>0</v>
      </c>
      <c r="V52" s="707">
        <f t="shared" si="17"/>
        <v>-340199.728</v>
      </c>
      <c r="W52" s="707">
        <f t="shared" si="17"/>
        <v>0</v>
      </c>
      <c r="X52" s="707">
        <f t="shared" si="17"/>
        <v>0</v>
      </c>
      <c r="Y52" s="707">
        <f t="shared" si="17"/>
        <v>0</v>
      </c>
      <c r="Z52" s="707">
        <f t="shared" si="17"/>
        <v>0</v>
      </c>
      <c r="AA52" s="707">
        <f t="shared" si="17"/>
        <v>0</v>
      </c>
      <c r="AB52" s="707">
        <f t="shared" si="17"/>
        <v>0</v>
      </c>
      <c r="AC52" s="707">
        <f t="shared" si="17"/>
        <v>0</v>
      </c>
      <c r="AD52" s="707">
        <f t="shared" si="17"/>
        <v>0</v>
      </c>
      <c r="AE52" s="707">
        <f t="shared" si="17"/>
        <v>0</v>
      </c>
      <c r="AF52" s="594"/>
      <c r="AG52" s="594"/>
      <c r="AH52" s="594"/>
      <c r="AI52" s="594"/>
      <c r="AJ52" s="594"/>
      <c r="AK52" s="594"/>
      <c r="AL52" s="594"/>
      <c r="AM52" s="594"/>
      <c r="AN52" s="594"/>
      <c r="AO52" s="594"/>
      <c r="AP52" s="594"/>
      <c r="AQ52" s="594"/>
      <c r="AR52" s="594"/>
      <c r="AS52" s="594"/>
      <c r="AT52" s="594"/>
      <c r="AU52" s="594"/>
      <c r="AV52" s="594"/>
      <c r="AW52" s="594"/>
      <c r="AX52" s="594"/>
      <c r="AY52" s="594"/>
      <c r="AZ52" s="594"/>
      <c r="BA52" s="594"/>
      <c r="BB52" s="594"/>
      <c r="BC52" s="594"/>
      <c r="BD52" s="594"/>
      <c r="BE52" s="594"/>
      <c r="BF52" s="594"/>
      <c r="BG52" s="594"/>
      <c r="BH52" s="594"/>
      <c r="BI52" s="594"/>
      <c r="BJ52" s="594"/>
      <c r="BK52" s="594"/>
      <c r="BL52" s="57"/>
      <c r="BM52" s="594"/>
      <c r="BN52" s="594"/>
      <c r="BO52" s="594"/>
      <c r="BP52" s="594"/>
      <c r="BQ52" s="594"/>
      <c r="BR52" s="594"/>
      <c r="BS52" s="594"/>
      <c r="BT52" s="594"/>
      <c r="BU52" s="594"/>
      <c r="BV52" s="594"/>
      <c r="BW52" s="594"/>
      <c r="BX52" s="594"/>
      <c r="BY52" s="594"/>
      <c r="BZ52" s="594"/>
      <c r="CA52" s="594"/>
      <c r="CB52" s="594"/>
      <c r="CC52" s="594"/>
      <c r="CD52" s="594"/>
      <c r="CE52" s="594"/>
      <c r="CF52" s="594"/>
      <c r="CG52" s="594"/>
      <c r="CH52" s="594"/>
      <c r="CI52" s="594"/>
      <c r="CJ52" s="594"/>
      <c r="CK52" s="594"/>
      <c r="CL52" s="594"/>
      <c r="CM52" s="594"/>
      <c r="CN52" s="594"/>
      <c r="CO52" s="594"/>
      <c r="CP52" s="594"/>
      <c r="CQ52" s="594"/>
    </row>
    <row r="53" spans="1:95" ht="19.5" hidden="1" customHeight="1" outlineLevel="2">
      <c r="A53" s="709" t="s">
        <v>354</v>
      </c>
      <c r="B53" s="710">
        <f>-SUMIFS('D2 - Capex uso'!BS$6:BS$176,'D2 - Capex uso'!$C$6:$C$176,$A42,'D2 - Capex uso'!$AK$6:$AK$176,$A53)</f>
        <v>-109139.14000000001</v>
      </c>
      <c r="C53" s="710">
        <f>-SUMIFS('D2 - Capex uso'!BT$6:BT$176,'D2 - Capex uso'!$C$6:$C$176,$A42,'D2 - Capex uso'!$AK$6:$AK$176,$A53)</f>
        <v>0</v>
      </c>
      <c r="D53" s="710">
        <f>-SUMIFS('D2 - Capex uso'!BU$6:BU$176,'D2 - Capex uso'!$C$6:$C$176,$A42,'D2 - Capex uso'!$AK$6:$AK$176,$A53)</f>
        <v>0</v>
      </c>
      <c r="E53" s="710">
        <f>-SUMIFS('D2 - Capex uso'!BV$6:BV$176,'D2 - Capex uso'!$C$6:$C$176,$A42,'D2 - Capex uso'!$AK$6:$AK$176,$A53)</f>
        <v>0</v>
      </c>
      <c r="F53" s="710">
        <f>-SUMIFS('D2 - Capex uso'!BW$6:BW$176,'D2 - Capex uso'!$C$6:$C$176,$A42,'D2 - Capex uso'!$AK$6:$AK$176,$A53)</f>
        <v>0</v>
      </c>
      <c r="G53" s="710">
        <f>-SUMIFS('D2 - Capex uso'!BX$6:BX$176,'D2 - Capex uso'!$C$6:$C$176,$A42,'D2 - Capex uso'!$AK$6:$AK$176,$A53)</f>
        <v>0</v>
      </c>
      <c r="H53" s="710">
        <f>-SUMIFS('D2 - Capex uso'!BY$6:BY$176,'D2 - Capex uso'!$C$6:$C$176,$A42,'D2 - Capex uso'!$AK$6:$AK$176,$A53)</f>
        <v>0</v>
      </c>
      <c r="I53" s="710">
        <f>-SUMIFS('D2 - Capex uso'!BZ$6:BZ$176,'D2 - Capex uso'!$C$6:$C$176,$A42,'D2 - Capex uso'!$AK$6:$AK$176,$A53)</f>
        <v>0</v>
      </c>
      <c r="J53" s="710">
        <f>-SUMIFS('D2 - Capex uso'!CA$6:CA$176,'D2 - Capex uso'!$C$6:$C$176,$A42,'D2 - Capex uso'!$AK$6:$AK$176,$A53)</f>
        <v>0</v>
      </c>
      <c r="K53" s="710">
        <f>-SUMIFS('D2 - Capex uso'!CB$6:CB$176,'D2 - Capex uso'!$C$6:$C$176,$A42,'D2 - Capex uso'!$AK$6:$AK$176,$A53)</f>
        <v>0</v>
      </c>
      <c r="L53" s="710">
        <f>-SUMIFS('D2 - Capex uso'!CC$6:CC$176,'D2 - Capex uso'!$C$6:$C$176,$A42,'D2 - Capex uso'!$AK$6:$AK$176,$A53)</f>
        <v>0</v>
      </c>
      <c r="M53" s="710">
        <f>-SUMIFS('D2 - Capex uso'!CD$6:CD$176,'D2 - Capex uso'!$C$6:$C$176,$A42,'D2 - Capex uso'!$AK$6:$AK$176,$A53)</f>
        <v>0</v>
      </c>
      <c r="N53" s="710">
        <f>-SUMIFS('D2 - Capex uso'!CE$6:CE$176,'D2 - Capex uso'!$C$6:$C$176,$A42,'D2 - Capex uso'!$AK$6:$AK$176,$A53)</f>
        <v>0</v>
      </c>
      <c r="O53" s="710">
        <f>-SUMIFS('D2 - Capex uso'!CF$6:CF$176,'D2 - Capex uso'!$C$6:$C$176,$A42,'D2 - Capex uso'!$AK$6:$AK$176,$A53)</f>
        <v>0</v>
      </c>
      <c r="P53" s="710">
        <f>-SUMIFS('D2 - Capex uso'!CG$6:CG$176,'D2 - Capex uso'!$C$6:$C$176,$A42,'D2 - Capex uso'!$AK$6:$AK$176,$A53)</f>
        <v>0</v>
      </c>
      <c r="Q53" s="710">
        <f>-SUMIFS('D2 - Capex uso'!CH$6:CH$176,'D2 - Capex uso'!$C$6:$C$176,$A42,'D2 - Capex uso'!$AK$6:$AK$176,$A53)</f>
        <v>0</v>
      </c>
      <c r="R53" s="710">
        <f>-SUMIFS('D2 - Capex uso'!CI$6:CI$176,'D2 - Capex uso'!$C$6:$C$176,$A42,'D2 - Capex uso'!$AK$6:$AK$176,$A53)</f>
        <v>0</v>
      </c>
      <c r="S53" s="710">
        <f>-SUMIFS('D2 - Capex uso'!CJ$6:CJ$176,'D2 - Capex uso'!$C$6:$C$176,$A42,'D2 - Capex uso'!$AK$6:$AK$176,$A53)</f>
        <v>0</v>
      </c>
      <c r="T53" s="710">
        <f>-SUMIFS('D2 - Capex uso'!CK$6:CK$176,'D2 - Capex uso'!$C$6:$C$176,$A42,'D2 - Capex uso'!$AK$6:$AK$176,$A53)</f>
        <v>0</v>
      </c>
      <c r="U53" s="710">
        <f>-SUMIFS('D2 - Capex uso'!CL$6:CL$176,'D2 - Capex uso'!$C$6:$C$176,$A42,'D2 - Capex uso'!$AK$6:$AK$176,$A53)</f>
        <v>0</v>
      </c>
      <c r="V53" s="710">
        <f>-SUMIFS('D2 - Capex uso'!CM$6:CM$176,'D2 - Capex uso'!$C$6:$C$176,$A42,'D2 - Capex uso'!$AK$6:$AK$176,$A53)</f>
        <v>0</v>
      </c>
      <c r="W53" s="710">
        <f>-SUMIFS('D2 - Capex uso'!CN$6:CN$176,'D2 - Capex uso'!$C$6:$C$176,$A42,'D2 - Capex uso'!$AK$6:$AK$176,$A53)</f>
        <v>0</v>
      </c>
      <c r="X53" s="710">
        <f>-SUMIFS('D2 - Capex uso'!CO$6:CO$176,'D2 - Capex uso'!$C$6:$C$176,$A42,'D2 - Capex uso'!$AK$6:$AK$176,$A53)</f>
        <v>0</v>
      </c>
      <c r="Y53" s="710">
        <f>-SUMIFS('D2 - Capex uso'!CP$6:CP$176,'D2 - Capex uso'!$C$6:$C$176,$A42,'D2 - Capex uso'!$AK$6:$AK$176,$A53)</f>
        <v>0</v>
      </c>
      <c r="Z53" s="710">
        <f>-SUMIFS('D2 - Capex uso'!CQ$6:CQ$176,'D2 - Capex uso'!$C$6:$C$176,$A42,'D2 - Capex uso'!$AK$6:$AK$176,$A53)</f>
        <v>0</v>
      </c>
      <c r="AA53" s="710">
        <f>-SUMIFS('D2 - Capex uso'!CR$6:CR$176,'D2 - Capex uso'!$C$6:$C$176,$A42,'D2 - Capex uso'!$AK$6:$AK$176,$A53)</f>
        <v>0</v>
      </c>
      <c r="AB53" s="710">
        <f>-SUMIFS('D2 - Capex uso'!CS$6:CS$176,'D2 - Capex uso'!$C$6:$C$176,$A42,'D2 - Capex uso'!$AK$6:$AK$176,$A53)</f>
        <v>0</v>
      </c>
      <c r="AC53" s="710">
        <f>-SUMIFS('D2 - Capex uso'!CT$6:CT$176,'D2 - Capex uso'!$C$6:$C$176,$A42,'D2 - Capex uso'!$AK$6:$AK$176,$A53)</f>
        <v>0</v>
      </c>
      <c r="AD53" s="710">
        <f>-SUMIFS('D2 - Capex uso'!CU$6:CU$176,'D2 - Capex uso'!$C$6:$C$176,$A42,'D2 - Capex uso'!$AK$6:$AK$176,$A53)</f>
        <v>0</v>
      </c>
      <c r="AE53" s="710">
        <f>-SUMIFS('D2 - Capex uso'!CV$6:CV$176,'D2 - Capex uso'!$C$6:$C$176,$A42,'D2 - Capex uso'!$AK$6:$AK$176,$A53)</f>
        <v>0</v>
      </c>
      <c r="AF53" s="594"/>
      <c r="AG53" s="594"/>
      <c r="AH53" s="594"/>
      <c r="AI53" s="594"/>
      <c r="AJ53" s="594"/>
      <c r="AK53" s="594"/>
      <c r="AL53" s="594"/>
      <c r="AM53" s="594"/>
      <c r="AN53" s="594"/>
      <c r="AO53" s="594"/>
      <c r="AP53" s="594"/>
      <c r="AQ53" s="594"/>
      <c r="AR53" s="594"/>
      <c r="AS53" s="594"/>
      <c r="AT53" s="594"/>
      <c r="AU53" s="594"/>
      <c r="AV53" s="594"/>
      <c r="AW53" s="594"/>
      <c r="AX53" s="594"/>
      <c r="AY53" s="594"/>
      <c r="AZ53" s="594"/>
      <c r="BA53" s="594"/>
      <c r="BB53" s="594"/>
      <c r="BC53" s="594"/>
      <c r="BD53" s="594"/>
      <c r="BE53" s="594"/>
      <c r="BF53" s="594"/>
      <c r="BG53" s="594"/>
      <c r="BH53" s="594"/>
      <c r="BI53" s="594"/>
      <c r="BJ53" s="594"/>
      <c r="BK53" s="594"/>
      <c r="BL53" s="57"/>
      <c r="BM53" s="594"/>
      <c r="BN53" s="594"/>
      <c r="BO53" s="594"/>
      <c r="BP53" s="594"/>
      <c r="BQ53" s="594"/>
      <c r="BR53" s="594"/>
      <c r="BS53" s="594"/>
      <c r="BT53" s="594"/>
      <c r="BU53" s="594"/>
      <c r="BV53" s="594"/>
      <c r="BW53" s="594"/>
      <c r="BX53" s="594"/>
      <c r="BY53" s="594"/>
      <c r="BZ53" s="594"/>
      <c r="CA53" s="594"/>
      <c r="CB53" s="594"/>
      <c r="CC53" s="594"/>
      <c r="CD53" s="594"/>
      <c r="CE53" s="594"/>
      <c r="CF53" s="594"/>
      <c r="CG53" s="594"/>
      <c r="CH53" s="594"/>
      <c r="CI53" s="594"/>
      <c r="CJ53" s="594"/>
      <c r="CK53" s="594"/>
      <c r="CL53" s="594"/>
      <c r="CM53" s="594"/>
      <c r="CN53" s="594"/>
      <c r="CO53" s="594"/>
      <c r="CP53" s="594"/>
      <c r="CQ53" s="594"/>
    </row>
    <row r="54" spans="1:95" ht="19.5" hidden="1" customHeight="1" outlineLevel="2">
      <c r="A54" s="709" t="s">
        <v>689</v>
      </c>
      <c r="B54" s="710">
        <f>-SUMIFS('D2 - Capex uso'!BS$6:BS$176,'D2 - Capex uso'!$C$6:$C$176,$A42,'D2 - Capex uso'!$AK$6:$AK$176,$A54)</f>
        <v>0</v>
      </c>
      <c r="C54" s="710">
        <f>-SUMIFS('D2 - Capex uso'!BT$6:BT$176,'D2 - Capex uso'!$C$6:$C$176,$A42,'D2 - Capex uso'!$AK$6:$AK$176,$A54)</f>
        <v>0</v>
      </c>
      <c r="D54" s="710">
        <f>-SUMIFS('D2 - Capex uso'!BU$6:BU$176,'D2 - Capex uso'!$C$6:$C$176,$A42,'D2 - Capex uso'!$AK$6:$AK$176,$A54)</f>
        <v>0</v>
      </c>
      <c r="E54" s="710">
        <f>-SUMIFS('D2 - Capex uso'!BV$6:BV$176,'D2 - Capex uso'!$C$6:$C$176,$A42,'D2 - Capex uso'!$AK$6:$AK$176,$A54)</f>
        <v>0</v>
      </c>
      <c r="F54" s="710">
        <f>-SUMIFS('D2 - Capex uso'!BW$6:BW$176,'D2 - Capex uso'!$C$6:$C$176,$A42,'D2 - Capex uso'!$AK$6:$AK$176,$A54)</f>
        <v>0</v>
      </c>
      <c r="G54" s="710">
        <f>-SUMIFS('D2 - Capex uso'!BX$6:BX$176,'D2 - Capex uso'!$C$6:$C$176,$A42,'D2 - Capex uso'!$AK$6:$AK$176,$A54)</f>
        <v>0</v>
      </c>
      <c r="H54" s="710">
        <f>-SUMIFS('D2 - Capex uso'!BY$6:BY$176,'D2 - Capex uso'!$C$6:$C$176,$A42,'D2 - Capex uso'!$AK$6:$AK$176,$A54)</f>
        <v>0</v>
      </c>
      <c r="I54" s="710">
        <f>-SUMIFS('D2 - Capex uso'!BZ$6:BZ$176,'D2 - Capex uso'!$C$6:$C$176,$A42,'D2 - Capex uso'!$AK$6:$AK$176,$A54)</f>
        <v>0</v>
      </c>
      <c r="J54" s="710">
        <f>-SUMIFS('D2 - Capex uso'!CA$6:CA$176,'D2 - Capex uso'!$C$6:$C$176,$A42,'D2 - Capex uso'!$AK$6:$AK$176,$A54)</f>
        <v>0</v>
      </c>
      <c r="K54" s="710">
        <f>-SUMIFS('D2 - Capex uso'!CB$6:CB$176,'D2 - Capex uso'!$C$6:$C$176,$A42,'D2 - Capex uso'!$AK$6:$AK$176,$A54)</f>
        <v>0</v>
      </c>
      <c r="L54" s="710">
        <f>-SUMIFS('D2 - Capex uso'!CC$6:CC$176,'D2 - Capex uso'!$C$6:$C$176,$A42,'D2 - Capex uso'!$AK$6:$AK$176,$A54)</f>
        <v>0</v>
      </c>
      <c r="M54" s="710">
        <f>-SUMIFS('D2 - Capex uso'!CD$6:CD$176,'D2 - Capex uso'!$C$6:$C$176,$A42,'D2 - Capex uso'!$AK$6:$AK$176,$A54)</f>
        <v>0</v>
      </c>
      <c r="N54" s="710">
        <f>-SUMIFS('D2 - Capex uso'!CE$6:CE$176,'D2 - Capex uso'!$C$6:$C$176,$A42,'D2 - Capex uso'!$AK$6:$AK$176,$A54)</f>
        <v>0</v>
      </c>
      <c r="O54" s="710">
        <f>-SUMIFS('D2 - Capex uso'!CF$6:CF$176,'D2 - Capex uso'!$C$6:$C$176,$A42,'D2 - Capex uso'!$AK$6:$AK$176,$A54)</f>
        <v>0</v>
      </c>
      <c r="P54" s="710">
        <f>-SUMIFS('D2 - Capex uso'!CG$6:CG$176,'D2 - Capex uso'!$C$6:$C$176,$A42,'D2 - Capex uso'!$AK$6:$AK$176,$A54)</f>
        <v>0</v>
      </c>
      <c r="Q54" s="710">
        <f>-SUMIFS('D2 - Capex uso'!CH$6:CH$176,'D2 - Capex uso'!$C$6:$C$176,$A42,'D2 - Capex uso'!$AK$6:$AK$176,$A54)</f>
        <v>0</v>
      </c>
      <c r="R54" s="710">
        <f>-SUMIFS('D2 - Capex uso'!CI$6:CI$176,'D2 - Capex uso'!$C$6:$C$176,$A42,'D2 - Capex uso'!$AK$6:$AK$176,$A54)</f>
        <v>0</v>
      </c>
      <c r="S54" s="710">
        <f>-SUMIFS('D2 - Capex uso'!CJ$6:CJ$176,'D2 - Capex uso'!$C$6:$C$176,$A42,'D2 - Capex uso'!$AK$6:$AK$176,$A54)</f>
        <v>0</v>
      </c>
      <c r="T54" s="710">
        <f>-SUMIFS('D2 - Capex uso'!CK$6:CK$176,'D2 - Capex uso'!$C$6:$C$176,$A42,'D2 - Capex uso'!$AK$6:$AK$176,$A54)</f>
        <v>0</v>
      </c>
      <c r="U54" s="710">
        <f>-SUMIFS('D2 - Capex uso'!CL$6:CL$176,'D2 - Capex uso'!$C$6:$C$176,$A42,'D2 - Capex uso'!$AK$6:$AK$176,$A54)</f>
        <v>0</v>
      </c>
      <c r="V54" s="710">
        <f>-SUMIFS('D2 - Capex uso'!CM$6:CM$176,'D2 - Capex uso'!$C$6:$C$176,$A42,'D2 - Capex uso'!$AK$6:$AK$176,$A54)</f>
        <v>0</v>
      </c>
      <c r="W54" s="710">
        <f>-SUMIFS('D2 - Capex uso'!CN$6:CN$176,'D2 - Capex uso'!$C$6:$C$176,$A42,'D2 - Capex uso'!$AK$6:$AK$176,$A54)</f>
        <v>0</v>
      </c>
      <c r="X54" s="710">
        <f>-SUMIFS('D2 - Capex uso'!CO$6:CO$176,'D2 - Capex uso'!$C$6:$C$176,$A42,'D2 - Capex uso'!$AK$6:$AK$176,$A54)</f>
        <v>0</v>
      </c>
      <c r="Y54" s="710">
        <f>-SUMIFS('D2 - Capex uso'!CP$6:CP$176,'D2 - Capex uso'!$C$6:$C$176,$A42,'D2 - Capex uso'!$AK$6:$AK$176,$A54)</f>
        <v>0</v>
      </c>
      <c r="Z54" s="710">
        <f>-SUMIFS('D2 - Capex uso'!CQ$6:CQ$176,'D2 - Capex uso'!$C$6:$C$176,$A42,'D2 - Capex uso'!$AK$6:$AK$176,$A54)</f>
        <v>0</v>
      </c>
      <c r="AA54" s="710">
        <f>-SUMIFS('D2 - Capex uso'!CR$6:CR$176,'D2 - Capex uso'!$C$6:$C$176,$A42,'D2 - Capex uso'!$AK$6:$AK$176,$A54)</f>
        <v>0</v>
      </c>
      <c r="AB54" s="710">
        <f>-SUMIFS('D2 - Capex uso'!CS$6:CS$176,'D2 - Capex uso'!$C$6:$C$176,$A42,'D2 - Capex uso'!$AK$6:$AK$176,$A54)</f>
        <v>0</v>
      </c>
      <c r="AC54" s="710">
        <f>-SUMIFS('D2 - Capex uso'!CT$6:CT$176,'D2 - Capex uso'!$C$6:$C$176,$A42,'D2 - Capex uso'!$AK$6:$AK$176,$A54)</f>
        <v>0</v>
      </c>
      <c r="AD54" s="710">
        <f>-SUMIFS('D2 - Capex uso'!CU$6:CU$176,'D2 - Capex uso'!$C$6:$C$176,$A42,'D2 - Capex uso'!$AK$6:$AK$176,$A54)</f>
        <v>0</v>
      </c>
      <c r="AE54" s="710">
        <f>-SUMIFS('D2 - Capex uso'!CV$6:CV$176,'D2 - Capex uso'!$C$6:$C$176,$A42,'D2 - Capex uso'!$AK$6:$AK$176,$A54)</f>
        <v>0</v>
      </c>
      <c r="AF54" s="594"/>
      <c r="AG54" s="594"/>
      <c r="AH54" s="594"/>
      <c r="AI54" s="594"/>
      <c r="AJ54" s="594"/>
      <c r="AK54" s="594"/>
      <c r="AL54" s="594"/>
      <c r="AM54" s="594"/>
      <c r="AN54" s="594"/>
      <c r="AO54" s="594"/>
      <c r="AP54" s="594"/>
      <c r="AQ54" s="594"/>
      <c r="AR54" s="594"/>
      <c r="AS54" s="594"/>
      <c r="AT54" s="594"/>
      <c r="AU54" s="594"/>
      <c r="AV54" s="594"/>
      <c r="AW54" s="594"/>
      <c r="AX54" s="594"/>
      <c r="AY54" s="594"/>
      <c r="AZ54" s="594"/>
      <c r="BA54" s="594"/>
      <c r="BB54" s="594"/>
      <c r="BC54" s="594"/>
      <c r="BD54" s="594"/>
      <c r="BE54" s="594"/>
      <c r="BF54" s="594"/>
      <c r="BG54" s="594"/>
      <c r="BH54" s="594"/>
      <c r="BI54" s="594"/>
      <c r="BJ54" s="594"/>
      <c r="BK54" s="594"/>
      <c r="BL54" s="57"/>
      <c r="BM54" s="594"/>
      <c r="BN54" s="594"/>
      <c r="BO54" s="594"/>
      <c r="BP54" s="594"/>
      <c r="BQ54" s="594"/>
      <c r="BR54" s="594"/>
      <c r="BS54" s="594"/>
      <c r="BT54" s="594"/>
      <c r="BU54" s="594"/>
      <c r="BV54" s="594"/>
      <c r="BW54" s="594"/>
      <c r="BX54" s="594"/>
      <c r="BY54" s="594"/>
      <c r="BZ54" s="594"/>
      <c r="CA54" s="594"/>
      <c r="CB54" s="594"/>
      <c r="CC54" s="594"/>
      <c r="CD54" s="594"/>
      <c r="CE54" s="594"/>
      <c r="CF54" s="594"/>
      <c r="CG54" s="594"/>
      <c r="CH54" s="594"/>
      <c r="CI54" s="594"/>
      <c r="CJ54" s="594"/>
      <c r="CK54" s="594"/>
      <c r="CL54" s="594"/>
      <c r="CM54" s="594"/>
      <c r="CN54" s="594"/>
      <c r="CO54" s="594"/>
      <c r="CP54" s="594"/>
      <c r="CQ54" s="594"/>
    </row>
    <row r="55" spans="1:95" ht="19.5" hidden="1" customHeight="1" outlineLevel="2">
      <c r="A55" s="709" t="s">
        <v>378</v>
      </c>
      <c r="B55" s="710">
        <f>-SUMIFS('D2 - Capex uso'!BS$6:BS$176,'D2 - Capex uso'!$C$6:$C$176,$A42,'D2 - Capex uso'!$AK$6:$AK$176,$A55)</f>
        <v>0</v>
      </c>
      <c r="C55" s="710">
        <f>-SUMIFS('D2 - Capex uso'!BT$6:BT$176,'D2 - Capex uso'!$C$6:$C$176,$A42,'D2 - Capex uso'!$AK$6:$AK$176,$A55)</f>
        <v>0</v>
      </c>
      <c r="D55" s="710">
        <f>-SUMIFS('D2 - Capex uso'!BU$6:BU$176,'D2 - Capex uso'!$C$6:$C$176,$A42,'D2 - Capex uso'!$AK$6:$AK$176,$A55)</f>
        <v>0</v>
      </c>
      <c r="E55" s="710">
        <f>-SUMIFS('D2 - Capex uso'!BV$6:BV$176,'D2 - Capex uso'!$C$6:$C$176,$A42,'D2 - Capex uso'!$AK$6:$AK$176,$A55)</f>
        <v>0</v>
      </c>
      <c r="F55" s="710">
        <f>-SUMIFS('D2 - Capex uso'!BW$6:BW$176,'D2 - Capex uso'!$C$6:$C$176,$A42,'D2 - Capex uso'!$AK$6:$AK$176,$A55)</f>
        <v>0</v>
      </c>
      <c r="G55" s="710">
        <f>-SUMIFS('D2 - Capex uso'!BX$6:BX$176,'D2 - Capex uso'!$C$6:$C$176,$A42,'D2 - Capex uso'!$AK$6:$AK$176,$A55)</f>
        <v>0</v>
      </c>
      <c r="H55" s="710">
        <f>-SUMIFS('D2 - Capex uso'!BY$6:BY$176,'D2 - Capex uso'!$C$6:$C$176,$A42,'D2 - Capex uso'!$AK$6:$AK$176,$A55)</f>
        <v>0</v>
      </c>
      <c r="I55" s="710">
        <f>-SUMIFS('D2 - Capex uso'!BZ$6:BZ$176,'D2 - Capex uso'!$C$6:$C$176,$A42,'D2 - Capex uso'!$AK$6:$AK$176,$A55)</f>
        <v>0</v>
      </c>
      <c r="J55" s="710">
        <f>-SUMIFS('D2 - Capex uso'!CA$6:CA$176,'D2 - Capex uso'!$C$6:$C$176,$A42,'D2 - Capex uso'!$AK$6:$AK$176,$A55)</f>
        <v>0</v>
      </c>
      <c r="K55" s="710">
        <f>-SUMIFS('D2 - Capex uso'!CB$6:CB$176,'D2 - Capex uso'!$C$6:$C$176,$A42,'D2 - Capex uso'!$AK$6:$AK$176,$A55)</f>
        <v>0</v>
      </c>
      <c r="L55" s="710">
        <f>-SUMIFS('D2 - Capex uso'!CC$6:CC$176,'D2 - Capex uso'!$C$6:$C$176,$A42,'D2 - Capex uso'!$AK$6:$AK$176,$A55)</f>
        <v>0</v>
      </c>
      <c r="M55" s="710">
        <f>-SUMIFS('D2 - Capex uso'!CD$6:CD$176,'D2 - Capex uso'!$C$6:$C$176,$A42,'D2 - Capex uso'!$AK$6:$AK$176,$A55)</f>
        <v>0</v>
      </c>
      <c r="N55" s="710">
        <f>-SUMIFS('D2 - Capex uso'!CE$6:CE$176,'D2 - Capex uso'!$C$6:$C$176,$A42,'D2 - Capex uso'!$AK$6:$AK$176,$A55)</f>
        <v>0</v>
      </c>
      <c r="O55" s="710">
        <f>-SUMIFS('D2 - Capex uso'!CF$6:CF$176,'D2 - Capex uso'!$C$6:$C$176,$A42,'D2 - Capex uso'!$AK$6:$AK$176,$A55)</f>
        <v>0</v>
      </c>
      <c r="P55" s="710">
        <f>-SUMIFS('D2 - Capex uso'!CG$6:CG$176,'D2 - Capex uso'!$C$6:$C$176,$A42,'D2 - Capex uso'!$AK$6:$AK$176,$A55)</f>
        <v>0</v>
      </c>
      <c r="Q55" s="710">
        <f>-SUMIFS('D2 - Capex uso'!CH$6:CH$176,'D2 - Capex uso'!$C$6:$C$176,$A42,'D2 - Capex uso'!$AK$6:$AK$176,$A55)</f>
        <v>0</v>
      </c>
      <c r="R55" s="710">
        <f>-SUMIFS('D2 - Capex uso'!CI$6:CI$176,'D2 - Capex uso'!$C$6:$C$176,$A42,'D2 - Capex uso'!$AK$6:$AK$176,$A55)</f>
        <v>0</v>
      </c>
      <c r="S55" s="710">
        <f>-SUMIFS('D2 - Capex uso'!CJ$6:CJ$176,'D2 - Capex uso'!$C$6:$C$176,$A42,'D2 - Capex uso'!$AK$6:$AK$176,$A55)</f>
        <v>0</v>
      </c>
      <c r="T55" s="710">
        <f>-SUMIFS('D2 - Capex uso'!CK$6:CK$176,'D2 - Capex uso'!$C$6:$C$176,$A42,'D2 - Capex uso'!$AK$6:$AK$176,$A55)</f>
        <v>0</v>
      </c>
      <c r="U55" s="710">
        <f>-SUMIFS('D2 - Capex uso'!CL$6:CL$176,'D2 - Capex uso'!$C$6:$C$176,$A42,'D2 - Capex uso'!$AK$6:$AK$176,$A55)</f>
        <v>0</v>
      </c>
      <c r="V55" s="710">
        <f>-SUMIFS('D2 - Capex uso'!CM$6:CM$176,'D2 - Capex uso'!$C$6:$C$176,$A42,'D2 - Capex uso'!$AK$6:$AK$176,$A55)</f>
        <v>0</v>
      </c>
      <c r="W55" s="710">
        <f>-SUMIFS('D2 - Capex uso'!CN$6:CN$176,'D2 - Capex uso'!$C$6:$C$176,$A42,'D2 - Capex uso'!$AK$6:$AK$176,$A55)</f>
        <v>0</v>
      </c>
      <c r="X55" s="710">
        <f>-SUMIFS('D2 - Capex uso'!CO$6:CO$176,'D2 - Capex uso'!$C$6:$C$176,$A42,'D2 - Capex uso'!$AK$6:$AK$176,$A55)</f>
        <v>0</v>
      </c>
      <c r="Y55" s="710">
        <f>-SUMIFS('D2 - Capex uso'!CP$6:CP$176,'D2 - Capex uso'!$C$6:$C$176,$A42,'D2 - Capex uso'!$AK$6:$AK$176,$A55)</f>
        <v>0</v>
      </c>
      <c r="Z55" s="710">
        <f>-SUMIFS('D2 - Capex uso'!CQ$6:CQ$176,'D2 - Capex uso'!$C$6:$C$176,$A42,'D2 - Capex uso'!$AK$6:$AK$176,$A55)</f>
        <v>0</v>
      </c>
      <c r="AA55" s="710">
        <f>-SUMIFS('D2 - Capex uso'!CR$6:CR$176,'D2 - Capex uso'!$C$6:$C$176,$A42,'D2 - Capex uso'!$AK$6:$AK$176,$A55)</f>
        <v>0</v>
      </c>
      <c r="AB55" s="710">
        <f>-SUMIFS('D2 - Capex uso'!CS$6:CS$176,'D2 - Capex uso'!$C$6:$C$176,$A42,'D2 - Capex uso'!$AK$6:$AK$176,$A55)</f>
        <v>0</v>
      </c>
      <c r="AC55" s="710">
        <f>-SUMIFS('D2 - Capex uso'!CT$6:CT$176,'D2 - Capex uso'!$C$6:$C$176,$A42,'D2 - Capex uso'!$AK$6:$AK$176,$A55)</f>
        <v>0</v>
      </c>
      <c r="AD55" s="710">
        <f>-SUMIFS('D2 - Capex uso'!CU$6:CU$176,'D2 - Capex uso'!$C$6:$C$176,$A42,'D2 - Capex uso'!$AK$6:$AK$176,$A55)</f>
        <v>0</v>
      </c>
      <c r="AE55" s="710">
        <f>-SUMIFS('D2 - Capex uso'!CV$6:CV$176,'D2 - Capex uso'!$C$6:$C$176,$A42,'D2 - Capex uso'!$AK$6:$AK$176,$A55)</f>
        <v>0</v>
      </c>
      <c r="AF55" s="594"/>
      <c r="AG55" s="594"/>
      <c r="AH55" s="594"/>
      <c r="AI55" s="594"/>
      <c r="AJ55" s="594"/>
      <c r="AK55" s="594"/>
      <c r="AL55" s="594"/>
      <c r="AM55" s="594"/>
      <c r="AN55" s="594"/>
      <c r="AO55" s="594"/>
      <c r="AP55" s="594"/>
      <c r="AQ55" s="594"/>
      <c r="AR55" s="594"/>
      <c r="AS55" s="594"/>
      <c r="AT55" s="594"/>
      <c r="AU55" s="594"/>
      <c r="AV55" s="594"/>
      <c r="AW55" s="594"/>
      <c r="AX55" s="594"/>
      <c r="AY55" s="594"/>
      <c r="AZ55" s="594"/>
      <c r="BA55" s="594"/>
      <c r="BB55" s="594"/>
      <c r="BC55" s="594"/>
      <c r="BD55" s="594"/>
      <c r="BE55" s="594"/>
      <c r="BF55" s="594"/>
      <c r="BG55" s="594"/>
      <c r="BH55" s="594"/>
      <c r="BI55" s="594"/>
      <c r="BJ55" s="594"/>
      <c r="BK55" s="594"/>
      <c r="BL55" s="57"/>
      <c r="BM55" s="594"/>
      <c r="BN55" s="594"/>
      <c r="BO55" s="594"/>
      <c r="BP55" s="594"/>
      <c r="BQ55" s="594"/>
      <c r="BR55" s="594"/>
      <c r="BS55" s="594"/>
      <c r="BT55" s="594"/>
      <c r="BU55" s="594"/>
      <c r="BV55" s="594"/>
      <c r="BW55" s="594"/>
      <c r="BX55" s="594"/>
      <c r="BY55" s="594"/>
      <c r="BZ55" s="594"/>
      <c r="CA55" s="594"/>
      <c r="CB55" s="594"/>
      <c r="CC55" s="594"/>
      <c r="CD55" s="594"/>
      <c r="CE55" s="594"/>
      <c r="CF55" s="594"/>
      <c r="CG55" s="594"/>
      <c r="CH55" s="594"/>
      <c r="CI55" s="594"/>
      <c r="CJ55" s="594"/>
      <c r="CK55" s="594"/>
      <c r="CL55" s="594"/>
      <c r="CM55" s="594"/>
      <c r="CN55" s="594"/>
      <c r="CO55" s="594"/>
      <c r="CP55" s="594"/>
      <c r="CQ55" s="594"/>
    </row>
    <row r="56" spans="1:95" ht="19.5" hidden="1" customHeight="1" outlineLevel="2">
      <c r="A56" s="709" t="s">
        <v>366</v>
      </c>
      <c r="B56" s="710">
        <f>-SUMIFS('D2 - Capex uso'!BS$6:BS$176,'D2 - Capex uso'!$C$6:$C$176,$A42,'D2 - Capex uso'!$AK$6:$AK$176,$A56)</f>
        <v>-336679.728</v>
      </c>
      <c r="C56" s="710">
        <f>-SUMIFS('D2 - Capex uso'!BT$6:BT$176,'D2 - Capex uso'!$C$6:$C$176,$A42,'D2 - Capex uso'!$AK$6:$AK$176,$A56)</f>
        <v>0</v>
      </c>
      <c r="D56" s="710">
        <f>-SUMIFS('D2 - Capex uso'!BU$6:BU$176,'D2 - Capex uso'!$C$6:$C$176,$A42,'D2 - Capex uso'!$AK$6:$AK$176,$A56)</f>
        <v>0</v>
      </c>
      <c r="E56" s="710">
        <f>-SUMIFS('D2 - Capex uso'!BV$6:BV$176,'D2 - Capex uso'!$C$6:$C$176,$A42,'D2 - Capex uso'!$AK$6:$AK$176,$A56)</f>
        <v>0</v>
      </c>
      <c r="F56" s="710">
        <f>-SUMIFS('D2 - Capex uso'!BW$6:BW$176,'D2 - Capex uso'!$C$6:$C$176,$A42,'D2 - Capex uso'!$AK$6:$AK$176,$A56)</f>
        <v>0</v>
      </c>
      <c r="G56" s="710">
        <f>-SUMIFS('D2 - Capex uso'!BX$6:BX$176,'D2 - Capex uso'!$C$6:$C$176,$A42,'D2 - Capex uso'!$AK$6:$AK$176,$A56)</f>
        <v>0</v>
      </c>
      <c r="H56" s="710">
        <f>-SUMIFS('D2 - Capex uso'!BY$6:BY$176,'D2 - Capex uso'!$C$6:$C$176,$A42,'D2 - Capex uso'!$AK$6:$AK$176,$A56)</f>
        <v>0</v>
      </c>
      <c r="I56" s="710">
        <f>-SUMIFS('D2 - Capex uso'!BZ$6:BZ$176,'D2 - Capex uso'!$C$6:$C$176,$A42,'D2 - Capex uso'!$AK$6:$AK$176,$A56)</f>
        <v>0</v>
      </c>
      <c r="J56" s="710">
        <f>-SUMIFS('D2 - Capex uso'!CA$6:CA$176,'D2 - Capex uso'!$C$6:$C$176,$A42,'D2 - Capex uso'!$AK$6:$AK$176,$A56)</f>
        <v>0</v>
      </c>
      <c r="K56" s="710">
        <f>-SUMIFS('D2 - Capex uso'!CB$6:CB$176,'D2 - Capex uso'!$C$6:$C$176,$A42,'D2 - Capex uso'!$AK$6:$AK$176,$A56)</f>
        <v>0</v>
      </c>
      <c r="L56" s="710">
        <f>-SUMIFS('D2 - Capex uso'!CC$6:CC$176,'D2 - Capex uso'!$C$6:$C$176,$A42,'D2 - Capex uso'!$AK$6:$AK$176,$A56)</f>
        <v>-336679.728</v>
      </c>
      <c r="M56" s="710">
        <f>-SUMIFS('D2 - Capex uso'!CD$6:CD$176,'D2 - Capex uso'!$C$6:$C$176,$A42,'D2 - Capex uso'!$AK$6:$AK$176,$A56)</f>
        <v>0</v>
      </c>
      <c r="N56" s="710">
        <f>-SUMIFS('D2 - Capex uso'!CE$6:CE$176,'D2 - Capex uso'!$C$6:$C$176,$A42,'D2 - Capex uso'!$AK$6:$AK$176,$A56)</f>
        <v>0</v>
      </c>
      <c r="O56" s="710">
        <f>-SUMIFS('D2 - Capex uso'!CF$6:CF$176,'D2 - Capex uso'!$C$6:$C$176,$A42,'D2 - Capex uso'!$AK$6:$AK$176,$A56)</f>
        <v>0</v>
      </c>
      <c r="P56" s="710">
        <f>-SUMIFS('D2 - Capex uso'!CG$6:CG$176,'D2 - Capex uso'!$C$6:$C$176,$A42,'D2 - Capex uso'!$AK$6:$AK$176,$A56)</f>
        <v>0</v>
      </c>
      <c r="Q56" s="710">
        <f>-SUMIFS('D2 - Capex uso'!CH$6:CH$176,'D2 - Capex uso'!$C$6:$C$176,$A42,'D2 - Capex uso'!$AK$6:$AK$176,$A56)</f>
        <v>0</v>
      </c>
      <c r="R56" s="710">
        <f>-SUMIFS('D2 - Capex uso'!CI$6:CI$176,'D2 - Capex uso'!$C$6:$C$176,$A42,'D2 - Capex uso'!$AK$6:$AK$176,$A56)</f>
        <v>0</v>
      </c>
      <c r="S56" s="710">
        <f>-SUMIFS('D2 - Capex uso'!CJ$6:CJ$176,'D2 - Capex uso'!$C$6:$C$176,$A42,'D2 - Capex uso'!$AK$6:$AK$176,$A56)</f>
        <v>0</v>
      </c>
      <c r="T56" s="710">
        <f>-SUMIFS('D2 - Capex uso'!CK$6:CK$176,'D2 - Capex uso'!$C$6:$C$176,$A42,'D2 - Capex uso'!$AK$6:$AK$176,$A56)</f>
        <v>0</v>
      </c>
      <c r="U56" s="710">
        <f>-SUMIFS('D2 - Capex uso'!CL$6:CL$176,'D2 - Capex uso'!$C$6:$C$176,$A42,'D2 - Capex uso'!$AK$6:$AK$176,$A56)</f>
        <v>0</v>
      </c>
      <c r="V56" s="710">
        <f>-SUMIFS('D2 - Capex uso'!CM$6:CM$176,'D2 - Capex uso'!$C$6:$C$176,$A42,'D2 - Capex uso'!$AK$6:$AK$176,$A56)</f>
        <v>-336679.728</v>
      </c>
      <c r="W56" s="710">
        <f>-SUMIFS('D2 - Capex uso'!CN$6:CN$176,'D2 - Capex uso'!$C$6:$C$176,$A42,'D2 - Capex uso'!$AK$6:$AK$176,$A56)</f>
        <v>0</v>
      </c>
      <c r="X56" s="710">
        <f>-SUMIFS('D2 - Capex uso'!CO$6:CO$176,'D2 - Capex uso'!$C$6:$C$176,$A42,'D2 - Capex uso'!$AK$6:$AK$176,$A56)</f>
        <v>0</v>
      </c>
      <c r="Y56" s="710">
        <f>-SUMIFS('D2 - Capex uso'!CP$6:CP$176,'D2 - Capex uso'!$C$6:$C$176,$A42,'D2 - Capex uso'!$AK$6:$AK$176,$A56)</f>
        <v>0</v>
      </c>
      <c r="Z56" s="710">
        <f>-SUMIFS('D2 - Capex uso'!CQ$6:CQ$176,'D2 - Capex uso'!$C$6:$C$176,$A42,'D2 - Capex uso'!$AK$6:$AK$176,$A56)</f>
        <v>0</v>
      </c>
      <c r="AA56" s="710">
        <f>-SUMIFS('D2 - Capex uso'!CR$6:CR$176,'D2 - Capex uso'!$C$6:$C$176,$A42,'D2 - Capex uso'!$AK$6:$AK$176,$A56)</f>
        <v>0</v>
      </c>
      <c r="AB56" s="710">
        <f>-SUMIFS('D2 - Capex uso'!CS$6:CS$176,'D2 - Capex uso'!$C$6:$C$176,$A42,'D2 - Capex uso'!$AK$6:$AK$176,$A56)</f>
        <v>0</v>
      </c>
      <c r="AC56" s="710">
        <f>-SUMIFS('D2 - Capex uso'!CT$6:CT$176,'D2 - Capex uso'!$C$6:$C$176,$A42,'D2 - Capex uso'!$AK$6:$AK$176,$A56)</f>
        <v>0</v>
      </c>
      <c r="AD56" s="710">
        <f>-SUMIFS('D2 - Capex uso'!CU$6:CU$176,'D2 - Capex uso'!$C$6:$C$176,$A42,'D2 - Capex uso'!$AK$6:$AK$176,$A56)</f>
        <v>0</v>
      </c>
      <c r="AE56" s="710">
        <f>-SUMIFS('D2 - Capex uso'!CV$6:CV$176,'D2 - Capex uso'!$C$6:$C$176,$A42,'D2 - Capex uso'!$AK$6:$AK$176,$A56)</f>
        <v>0</v>
      </c>
      <c r="AF56" s="594"/>
      <c r="AG56" s="594"/>
      <c r="AH56" s="594"/>
      <c r="AI56" s="594"/>
      <c r="AJ56" s="594"/>
      <c r="AK56" s="594"/>
      <c r="AL56" s="594"/>
      <c r="AM56" s="594"/>
      <c r="AN56" s="594"/>
      <c r="AO56" s="594"/>
      <c r="AP56" s="594"/>
      <c r="AQ56" s="594"/>
      <c r="AR56" s="594"/>
      <c r="AS56" s="594"/>
      <c r="AT56" s="594"/>
      <c r="AU56" s="594"/>
      <c r="AV56" s="594"/>
      <c r="AW56" s="594"/>
      <c r="AX56" s="594"/>
      <c r="AY56" s="594"/>
      <c r="AZ56" s="594"/>
      <c r="BA56" s="594"/>
      <c r="BB56" s="594"/>
      <c r="BC56" s="594"/>
      <c r="BD56" s="594"/>
      <c r="BE56" s="594"/>
      <c r="BF56" s="594"/>
      <c r="BG56" s="594"/>
      <c r="BH56" s="594"/>
      <c r="BI56" s="594"/>
      <c r="BJ56" s="594"/>
      <c r="BK56" s="594"/>
      <c r="BL56" s="57"/>
      <c r="BM56" s="594"/>
      <c r="BN56" s="594"/>
      <c r="BO56" s="594"/>
      <c r="BP56" s="594"/>
      <c r="BQ56" s="594"/>
      <c r="BR56" s="594"/>
      <c r="BS56" s="594"/>
      <c r="BT56" s="594"/>
      <c r="BU56" s="594"/>
      <c r="BV56" s="594"/>
      <c r="BW56" s="594"/>
      <c r="BX56" s="594"/>
      <c r="BY56" s="594"/>
      <c r="BZ56" s="594"/>
      <c r="CA56" s="594"/>
      <c r="CB56" s="594"/>
      <c r="CC56" s="594"/>
      <c r="CD56" s="594"/>
      <c r="CE56" s="594"/>
      <c r="CF56" s="594"/>
      <c r="CG56" s="594"/>
      <c r="CH56" s="594"/>
      <c r="CI56" s="594"/>
      <c r="CJ56" s="594"/>
      <c r="CK56" s="594"/>
      <c r="CL56" s="594"/>
      <c r="CM56" s="594"/>
      <c r="CN56" s="594"/>
      <c r="CO56" s="594"/>
      <c r="CP56" s="594"/>
      <c r="CQ56" s="594"/>
    </row>
    <row r="57" spans="1:95" ht="19.5" hidden="1" customHeight="1" outlineLevel="2">
      <c r="A57" s="709" t="s">
        <v>371</v>
      </c>
      <c r="B57" s="710">
        <f>-SUMIFS('D2 - Capex uso'!BS$6:BS$176,'D2 - Capex uso'!$C$6:$C$176,$A42,'D2 - Capex uso'!$AK$6:$AK$176,$A57)</f>
        <v>0</v>
      </c>
      <c r="C57" s="710">
        <f>-SUMIFS('D2 - Capex uso'!BT$6:BT$176,'D2 - Capex uso'!$C$6:$C$176,$A42,'D2 - Capex uso'!$AK$6:$AK$176,$A57)</f>
        <v>0</v>
      </c>
      <c r="D57" s="710">
        <f>-SUMIFS('D2 - Capex uso'!BU$6:BU$176,'D2 - Capex uso'!$C$6:$C$176,$A42,'D2 - Capex uso'!$AK$6:$AK$176,$A57)</f>
        <v>0</v>
      </c>
      <c r="E57" s="710">
        <f>-SUMIFS('D2 - Capex uso'!BV$6:BV$176,'D2 - Capex uso'!$C$6:$C$176,$A42,'D2 - Capex uso'!$AK$6:$AK$176,$A57)</f>
        <v>0</v>
      </c>
      <c r="F57" s="710">
        <f>-SUMIFS('D2 - Capex uso'!BW$6:BW$176,'D2 - Capex uso'!$C$6:$C$176,$A42,'D2 - Capex uso'!$AK$6:$AK$176,$A57)</f>
        <v>0</v>
      </c>
      <c r="G57" s="710">
        <f>-SUMIFS('D2 - Capex uso'!BX$6:BX$176,'D2 - Capex uso'!$C$6:$C$176,$A42,'D2 - Capex uso'!$AK$6:$AK$176,$A57)</f>
        <v>0</v>
      </c>
      <c r="H57" s="710">
        <f>-SUMIFS('D2 - Capex uso'!BY$6:BY$176,'D2 - Capex uso'!$C$6:$C$176,$A42,'D2 - Capex uso'!$AK$6:$AK$176,$A57)</f>
        <v>0</v>
      </c>
      <c r="I57" s="710">
        <f>-SUMIFS('D2 - Capex uso'!BZ$6:BZ$176,'D2 - Capex uso'!$C$6:$C$176,$A42,'D2 - Capex uso'!$AK$6:$AK$176,$A57)</f>
        <v>0</v>
      </c>
      <c r="J57" s="710">
        <f>-SUMIFS('D2 - Capex uso'!CA$6:CA$176,'D2 - Capex uso'!$C$6:$C$176,$A42,'D2 - Capex uso'!$AK$6:$AK$176,$A57)</f>
        <v>0</v>
      </c>
      <c r="K57" s="710">
        <f>-SUMIFS('D2 - Capex uso'!CB$6:CB$176,'D2 - Capex uso'!$C$6:$C$176,$A42,'D2 - Capex uso'!$AK$6:$AK$176,$A57)</f>
        <v>0</v>
      </c>
      <c r="L57" s="710">
        <f>-SUMIFS('D2 - Capex uso'!CC$6:CC$176,'D2 - Capex uso'!$C$6:$C$176,$A42,'D2 - Capex uso'!$AK$6:$AK$176,$A57)</f>
        <v>0</v>
      </c>
      <c r="M57" s="710">
        <f>-SUMIFS('D2 - Capex uso'!CD$6:CD$176,'D2 - Capex uso'!$C$6:$C$176,$A42,'D2 - Capex uso'!$AK$6:$AK$176,$A57)</f>
        <v>0</v>
      </c>
      <c r="N57" s="710">
        <f>-SUMIFS('D2 - Capex uso'!CE$6:CE$176,'D2 - Capex uso'!$C$6:$C$176,$A42,'D2 - Capex uso'!$AK$6:$AK$176,$A57)</f>
        <v>0</v>
      </c>
      <c r="O57" s="710">
        <f>-SUMIFS('D2 - Capex uso'!CF$6:CF$176,'D2 - Capex uso'!$C$6:$C$176,$A42,'D2 - Capex uso'!$AK$6:$AK$176,$A57)</f>
        <v>0</v>
      </c>
      <c r="P57" s="710">
        <f>-SUMIFS('D2 - Capex uso'!CG$6:CG$176,'D2 - Capex uso'!$C$6:$C$176,$A42,'D2 - Capex uso'!$AK$6:$AK$176,$A57)</f>
        <v>0</v>
      </c>
      <c r="Q57" s="710">
        <f>-SUMIFS('D2 - Capex uso'!CH$6:CH$176,'D2 - Capex uso'!$C$6:$C$176,$A42,'D2 - Capex uso'!$AK$6:$AK$176,$A57)</f>
        <v>0</v>
      </c>
      <c r="R57" s="710">
        <f>-SUMIFS('D2 - Capex uso'!CI$6:CI$176,'D2 - Capex uso'!$C$6:$C$176,$A42,'D2 - Capex uso'!$AK$6:$AK$176,$A57)</f>
        <v>0</v>
      </c>
      <c r="S57" s="710">
        <f>-SUMIFS('D2 - Capex uso'!CJ$6:CJ$176,'D2 - Capex uso'!$C$6:$C$176,$A42,'D2 - Capex uso'!$AK$6:$AK$176,$A57)</f>
        <v>0</v>
      </c>
      <c r="T57" s="710">
        <f>-SUMIFS('D2 - Capex uso'!CK$6:CK$176,'D2 - Capex uso'!$C$6:$C$176,$A42,'D2 - Capex uso'!$AK$6:$AK$176,$A57)</f>
        <v>0</v>
      </c>
      <c r="U57" s="710">
        <f>-SUMIFS('D2 - Capex uso'!CL$6:CL$176,'D2 - Capex uso'!$C$6:$C$176,$A42,'D2 - Capex uso'!$AK$6:$AK$176,$A57)</f>
        <v>0</v>
      </c>
      <c r="V57" s="710">
        <f>-SUMIFS('D2 - Capex uso'!CM$6:CM$176,'D2 - Capex uso'!$C$6:$C$176,$A42,'D2 - Capex uso'!$AK$6:$AK$176,$A57)</f>
        <v>0</v>
      </c>
      <c r="W57" s="710">
        <f>-SUMIFS('D2 - Capex uso'!CN$6:CN$176,'D2 - Capex uso'!$C$6:$C$176,$A42,'D2 - Capex uso'!$AK$6:$AK$176,$A57)</f>
        <v>0</v>
      </c>
      <c r="X57" s="710">
        <f>-SUMIFS('D2 - Capex uso'!CO$6:CO$176,'D2 - Capex uso'!$C$6:$C$176,$A42,'D2 - Capex uso'!$AK$6:$AK$176,$A57)</f>
        <v>0</v>
      </c>
      <c r="Y57" s="710">
        <f>-SUMIFS('D2 - Capex uso'!CP$6:CP$176,'D2 - Capex uso'!$C$6:$C$176,$A42,'D2 - Capex uso'!$AK$6:$AK$176,$A57)</f>
        <v>0</v>
      </c>
      <c r="Z57" s="710">
        <f>-SUMIFS('D2 - Capex uso'!CQ$6:CQ$176,'D2 - Capex uso'!$C$6:$C$176,$A42,'D2 - Capex uso'!$AK$6:$AK$176,$A57)</f>
        <v>0</v>
      </c>
      <c r="AA57" s="710">
        <f>-SUMIFS('D2 - Capex uso'!CR$6:CR$176,'D2 - Capex uso'!$C$6:$C$176,$A42,'D2 - Capex uso'!$AK$6:$AK$176,$A57)</f>
        <v>0</v>
      </c>
      <c r="AB57" s="710">
        <f>-SUMIFS('D2 - Capex uso'!CS$6:CS$176,'D2 - Capex uso'!$C$6:$C$176,$A42,'D2 - Capex uso'!$AK$6:$AK$176,$A57)</f>
        <v>0</v>
      </c>
      <c r="AC57" s="710">
        <f>-SUMIFS('D2 - Capex uso'!CT$6:CT$176,'D2 - Capex uso'!$C$6:$C$176,$A42,'D2 - Capex uso'!$AK$6:$AK$176,$A57)</f>
        <v>0</v>
      </c>
      <c r="AD57" s="710">
        <f>-SUMIFS('D2 - Capex uso'!CU$6:CU$176,'D2 - Capex uso'!$C$6:$C$176,$A42,'D2 - Capex uso'!$AK$6:$AK$176,$A57)</f>
        <v>0</v>
      </c>
      <c r="AE57" s="710">
        <f>-SUMIFS('D2 - Capex uso'!CV$6:CV$176,'D2 - Capex uso'!$C$6:$C$176,$A42,'D2 - Capex uso'!$AK$6:$AK$176,$A57)</f>
        <v>0</v>
      </c>
      <c r="AF57" s="594"/>
      <c r="AG57" s="594"/>
      <c r="AH57" s="594"/>
      <c r="AI57" s="594"/>
      <c r="AJ57" s="594"/>
      <c r="AK57" s="594"/>
      <c r="AL57" s="594"/>
      <c r="AM57" s="594"/>
      <c r="AN57" s="594"/>
      <c r="AO57" s="594"/>
      <c r="AP57" s="594"/>
      <c r="AQ57" s="594"/>
      <c r="AR57" s="594"/>
      <c r="AS57" s="594"/>
      <c r="AT57" s="594"/>
      <c r="AU57" s="594"/>
      <c r="AV57" s="594"/>
      <c r="AW57" s="594"/>
      <c r="AX57" s="594"/>
      <c r="AY57" s="594"/>
      <c r="AZ57" s="594"/>
      <c r="BA57" s="594"/>
      <c r="BB57" s="594"/>
      <c r="BC57" s="594"/>
      <c r="BD57" s="594"/>
      <c r="BE57" s="594"/>
      <c r="BF57" s="594"/>
      <c r="BG57" s="594"/>
      <c r="BH57" s="594"/>
      <c r="BI57" s="594"/>
      <c r="BJ57" s="594"/>
      <c r="BK57" s="594"/>
      <c r="BL57" s="57"/>
      <c r="BM57" s="594"/>
      <c r="BN57" s="594"/>
      <c r="BO57" s="594"/>
      <c r="BP57" s="594"/>
      <c r="BQ57" s="594"/>
      <c r="BR57" s="594"/>
      <c r="BS57" s="594"/>
      <c r="BT57" s="594"/>
      <c r="BU57" s="594"/>
      <c r="BV57" s="594"/>
      <c r="BW57" s="594"/>
      <c r="BX57" s="594"/>
      <c r="BY57" s="594"/>
      <c r="BZ57" s="594"/>
      <c r="CA57" s="594"/>
      <c r="CB57" s="594"/>
      <c r="CC57" s="594"/>
      <c r="CD57" s="594"/>
      <c r="CE57" s="594"/>
      <c r="CF57" s="594"/>
      <c r="CG57" s="594"/>
      <c r="CH57" s="594"/>
      <c r="CI57" s="594"/>
      <c r="CJ57" s="594"/>
      <c r="CK57" s="594"/>
      <c r="CL57" s="594"/>
      <c r="CM57" s="594"/>
      <c r="CN57" s="594"/>
      <c r="CO57" s="594"/>
      <c r="CP57" s="594"/>
      <c r="CQ57" s="594"/>
    </row>
    <row r="58" spans="1:95" ht="19.5" hidden="1" customHeight="1" outlineLevel="2">
      <c r="A58" s="709" t="s">
        <v>361</v>
      </c>
      <c r="B58" s="710">
        <f>-SUMIFS('D2 - Capex uso'!BS$6:BS$176,'D2 - Capex uso'!$C$6:$C$176,$A42,'D2 - Capex uso'!$AK$6:$AK$176,$A58)</f>
        <v>0</v>
      </c>
      <c r="C58" s="710">
        <f>-SUMIFS('D2 - Capex uso'!BT$6:BT$176,'D2 - Capex uso'!$C$6:$C$176,$A42,'D2 - Capex uso'!$AK$6:$AK$176,$A58)</f>
        <v>0</v>
      </c>
      <c r="D58" s="710">
        <f>-SUMIFS('D2 - Capex uso'!BU$6:BU$176,'D2 - Capex uso'!$C$6:$C$176,$A42,'D2 - Capex uso'!$AK$6:$AK$176,$A58)</f>
        <v>0</v>
      </c>
      <c r="E58" s="710">
        <f>-SUMIFS('D2 - Capex uso'!BV$6:BV$176,'D2 - Capex uso'!$C$6:$C$176,$A42,'D2 - Capex uso'!$AK$6:$AK$176,$A58)</f>
        <v>0</v>
      </c>
      <c r="F58" s="710">
        <f>-SUMIFS('D2 - Capex uso'!BW$6:BW$176,'D2 - Capex uso'!$C$6:$C$176,$A42,'D2 - Capex uso'!$AK$6:$AK$176,$A58)</f>
        <v>0</v>
      </c>
      <c r="G58" s="710">
        <f>-SUMIFS('D2 - Capex uso'!BX$6:BX$176,'D2 - Capex uso'!$C$6:$C$176,$A42,'D2 - Capex uso'!$AK$6:$AK$176,$A58)</f>
        <v>0</v>
      </c>
      <c r="H58" s="710">
        <f>-SUMIFS('D2 - Capex uso'!BY$6:BY$176,'D2 - Capex uso'!$C$6:$C$176,$A42,'D2 - Capex uso'!$AK$6:$AK$176,$A58)</f>
        <v>0</v>
      </c>
      <c r="I58" s="710">
        <f>-SUMIFS('D2 - Capex uso'!BZ$6:BZ$176,'D2 - Capex uso'!$C$6:$C$176,$A42,'D2 - Capex uso'!$AK$6:$AK$176,$A58)</f>
        <v>0</v>
      </c>
      <c r="J58" s="710">
        <f>-SUMIFS('D2 - Capex uso'!CA$6:CA$176,'D2 - Capex uso'!$C$6:$C$176,$A42,'D2 - Capex uso'!$AK$6:$AK$176,$A58)</f>
        <v>0</v>
      </c>
      <c r="K58" s="710">
        <f>-SUMIFS('D2 - Capex uso'!CB$6:CB$176,'D2 - Capex uso'!$C$6:$C$176,$A42,'D2 - Capex uso'!$AK$6:$AK$176,$A58)</f>
        <v>0</v>
      </c>
      <c r="L58" s="710">
        <f>-SUMIFS('D2 - Capex uso'!CC$6:CC$176,'D2 - Capex uso'!$C$6:$C$176,$A42,'D2 - Capex uso'!$AK$6:$AK$176,$A58)</f>
        <v>0</v>
      </c>
      <c r="M58" s="710">
        <f>-SUMIFS('D2 - Capex uso'!CD$6:CD$176,'D2 - Capex uso'!$C$6:$C$176,$A42,'D2 - Capex uso'!$AK$6:$AK$176,$A58)</f>
        <v>0</v>
      </c>
      <c r="N58" s="710">
        <f>-SUMIFS('D2 - Capex uso'!CE$6:CE$176,'D2 - Capex uso'!$C$6:$C$176,$A42,'D2 - Capex uso'!$AK$6:$AK$176,$A58)</f>
        <v>0</v>
      </c>
      <c r="O58" s="710">
        <f>-SUMIFS('D2 - Capex uso'!CF$6:CF$176,'D2 - Capex uso'!$C$6:$C$176,$A42,'D2 - Capex uso'!$AK$6:$AK$176,$A58)</f>
        <v>0</v>
      </c>
      <c r="P58" s="710">
        <f>-SUMIFS('D2 - Capex uso'!CG$6:CG$176,'D2 - Capex uso'!$C$6:$C$176,$A42,'D2 - Capex uso'!$AK$6:$AK$176,$A58)</f>
        <v>0</v>
      </c>
      <c r="Q58" s="710">
        <f>-SUMIFS('D2 - Capex uso'!CH$6:CH$176,'D2 - Capex uso'!$C$6:$C$176,$A42,'D2 - Capex uso'!$AK$6:$AK$176,$A58)</f>
        <v>0</v>
      </c>
      <c r="R58" s="710">
        <f>-SUMIFS('D2 - Capex uso'!CI$6:CI$176,'D2 - Capex uso'!$C$6:$C$176,$A42,'D2 - Capex uso'!$AK$6:$AK$176,$A58)</f>
        <v>0</v>
      </c>
      <c r="S58" s="710">
        <f>-SUMIFS('D2 - Capex uso'!CJ$6:CJ$176,'D2 - Capex uso'!$C$6:$C$176,$A42,'D2 - Capex uso'!$AK$6:$AK$176,$A58)</f>
        <v>0</v>
      </c>
      <c r="T58" s="710">
        <f>-SUMIFS('D2 - Capex uso'!CK$6:CK$176,'D2 - Capex uso'!$C$6:$C$176,$A42,'D2 - Capex uso'!$AK$6:$AK$176,$A58)</f>
        <v>0</v>
      </c>
      <c r="U58" s="710">
        <f>-SUMIFS('D2 - Capex uso'!CL$6:CL$176,'D2 - Capex uso'!$C$6:$C$176,$A42,'D2 - Capex uso'!$AK$6:$AK$176,$A58)</f>
        <v>0</v>
      </c>
      <c r="V58" s="710">
        <f>-SUMIFS('D2 - Capex uso'!CM$6:CM$176,'D2 - Capex uso'!$C$6:$C$176,$A42,'D2 - Capex uso'!$AK$6:$AK$176,$A58)</f>
        <v>0</v>
      </c>
      <c r="W58" s="710">
        <f>-SUMIFS('D2 - Capex uso'!CN$6:CN$176,'D2 - Capex uso'!$C$6:$C$176,$A42,'D2 - Capex uso'!$AK$6:$AK$176,$A58)</f>
        <v>0</v>
      </c>
      <c r="X58" s="710">
        <f>-SUMIFS('D2 - Capex uso'!CO$6:CO$176,'D2 - Capex uso'!$C$6:$C$176,$A42,'D2 - Capex uso'!$AK$6:$AK$176,$A58)</f>
        <v>0</v>
      </c>
      <c r="Y58" s="710">
        <f>-SUMIFS('D2 - Capex uso'!CP$6:CP$176,'D2 - Capex uso'!$C$6:$C$176,$A42,'D2 - Capex uso'!$AK$6:$AK$176,$A58)</f>
        <v>0</v>
      </c>
      <c r="Z58" s="710">
        <f>-SUMIFS('D2 - Capex uso'!CQ$6:CQ$176,'D2 - Capex uso'!$C$6:$C$176,$A42,'D2 - Capex uso'!$AK$6:$AK$176,$A58)</f>
        <v>0</v>
      </c>
      <c r="AA58" s="710">
        <f>-SUMIFS('D2 - Capex uso'!CR$6:CR$176,'D2 - Capex uso'!$C$6:$C$176,$A42,'D2 - Capex uso'!$AK$6:$AK$176,$A58)</f>
        <v>0</v>
      </c>
      <c r="AB58" s="710">
        <f>-SUMIFS('D2 - Capex uso'!CS$6:CS$176,'D2 - Capex uso'!$C$6:$C$176,$A42,'D2 - Capex uso'!$AK$6:$AK$176,$A58)</f>
        <v>0</v>
      </c>
      <c r="AC58" s="710">
        <f>-SUMIFS('D2 - Capex uso'!CT$6:CT$176,'D2 - Capex uso'!$C$6:$C$176,$A42,'D2 - Capex uso'!$AK$6:$AK$176,$A58)</f>
        <v>0</v>
      </c>
      <c r="AD58" s="710">
        <f>-SUMIFS('D2 - Capex uso'!CU$6:CU$176,'D2 - Capex uso'!$C$6:$C$176,$A42,'D2 - Capex uso'!$AK$6:$AK$176,$A58)</f>
        <v>0</v>
      </c>
      <c r="AE58" s="710">
        <f>-SUMIFS('D2 - Capex uso'!CV$6:CV$176,'D2 - Capex uso'!$C$6:$C$176,$A42,'D2 - Capex uso'!$AK$6:$AK$176,$A58)</f>
        <v>0</v>
      </c>
      <c r="AF58" s="594"/>
      <c r="AG58" s="594"/>
      <c r="AH58" s="594"/>
      <c r="AI58" s="594"/>
      <c r="AJ58" s="594"/>
      <c r="AK58" s="594"/>
      <c r="AL58" s="594"/>
      <c r="AM58" s="594"/>
      <c r="AN58" s="594"/>
      <c r="AO58" s="594"/>
      <c r="AP58" s="594"/>
      <c r="AQ58" s="594"/>
      <c r="AR58" s="594"/>
      <c r="AS58" s="594"/>
      <c r="AT58" s="594"/>
      <c r="AU58" s="594"/>
      <c r="AV58" s="594"/>
      <c r="AW58" s="594"/>
      <c r="AX58" s="594"/>
      <c r="AY58" s="594"/>
      <c r="AZ58" s="594"/>
      <c r="BA58" s="594"/>
      <c r="BB58" s="594"/>
      <c r="BC58" s="594"/>
      <c r="BD58" s="594"/>
      <c r="BE58" s="594"/>
      <c r="BF58" s="594"/>
      <c r="BG58" s="594"/>
      <c r="BH58" s="594"/>
      <c r="BI58" s="594"/>
      <c r="BJ58" s="594"/>
      <c r="BK58" s="594"/>
      <c r="BL58" s="57"/>
      <c r="BM58" s="594"/>
      <c r="BN58" s="594"/>
      <c r="BO58" s="594"/>
      <c r="BP58" s="594"/>
      <c r="BQ58" s="594"/>
      <c r="BR58" s="594"/>
      <c r="BS58" s="594"/>
      <c r="BT58" s="594"/>
      <c r="BU58" s="594"/>
      <c r="BV58" s="594"/>
      <c r="BW58" s="594"/>
      <c r="BX58" s="594"/>
      <c r="BY58" s="594"/>
      <c r="BZ58" s="594"/>
      <c r="CA58" s="594"/>
      <c r="CB58" s="594"/>
      <c r="CC58" s="594"/>
      <c r="CD58" s="594"/>
      <c r="CE58" s="594"/>
      <c r="CF58" s="594"/>
      <c r="CG58" s="594"/>
      <c r="CH58" s="594"/>
      <c r="CI58" s="594"/>
      <c r="CJ58" s="594"/>
      <c r="CK58" s="594"/>
      <c r="CL58" s="594"/>
      <c r="CM58" s="594"/>
      <c r="CN58" s="594"/>
      <c r="CO58" s="594"/>
      <c r="CP58" s="594"/>
      <c r="CQ58" s="594"/>
    </row>
    <row r="59" spans="1:95" ht="19.5" hidden="1" customHeight="1" outlineLevel="2">
      <c r="A59" s="709" t="s">
        <v>359</v>
      </c>
      <c r="B59" s="710">
        <f>-SUMIFS('D2 - Capex uso'!BS$6:BS$176,'D2 - Capex uso'!$C$6:$C$176,$A42,'D2 - Capex uso'!$AK$6:$AK$176,$A59)</f>
        <v>-3520.0000000000005</v>
      </c>
      <c r="C59" s="710">
        <f>-SUMIFS('D2 - Capex uso'!BT$6:BT$176,'D2 - Capex uso'!$C$6:$C$176,$A42,'D2 - Capex uso'!$AK$6:$AK$176,$A59)</f>
        <v>0</v>
      </c>
      <c r="D59" s="710">
        <f>-SUMIFS('D2 - Capex uso'!BU$6:BU$176,'D2 - Capex uso'!$C$6:$C$176,$A42,'D2 - Capex uso'!$AK$6:$AK$176,$A59)</f>
        <v>0</v>
      </c>
      <c r="E59" s="710">
        <f>-SUMIFS('D2 - Capex uso'!BV$6:BV$176,'D2 - Capex uso'!$C$6:$C$176,$A42,'D2 - Capex uso'!$AK$6:$AK$176,$A59)</f>
        <v>0</v>
      </c>
      <c r="F59" s="710">
        <f>-SUMIFS('D2 - Capex uso'!BW$6:BW$176,'D2 - Capex uso'!$C$6:$C$176,$A42,'D2 - Capex uso'!$AK$6:$AK$176,$A59)</f>
        <v>0</v>
      </c>
      <c r="G59" s="710">
        <f>-SUMIFS('D2 - Capex uso'!BX$6:BX$176,'D2 - Capex uso'!$C$6:$C$176,$A42,'D2 - Capex uso'!$AK$6:$AK$176,$A59)</f>
        <v>0</v>
      </c>
      <c r="H59" s="710">
        <f>-SUMIFS('D2 - Capex uso'!BY$6:BY$176,'D2 - Capex uso'!$C$6:$C$176,$A42,'D2 - Capex uso'!$AK$6:$AK$176,$A59)</f>
        <v>0</v>
      </c>
      <c r="I59" s="710">
        <f>-SUMIFS('D2 - Capex uso'!BZ$6:BZ$176,'D2 - Capex uso'!$C$6:$C$176,$A42,'D2 - Capex uso'!$AK$6:$AK$176,$A59)</f>
        <v>0</v>
      </c>
      <c r="J59" s="710">
        <f>-SUMIFS('D2 - Capex uso'!CA$6:CA$176,'D2 - Capex uso'!$C$6:$C$176,$A42,'D2 - Capex uso'!$AK$6:$AK$176,$A59)</f>
        <v>0</v>
      </c>
      <c r="K59" s="710">
        <f>-SUMIFS('D2 - Capex uso'!CB$6:CB$176,'D2 - Capex uso'!$C$6:$C$176,$A42,'D2 - Capex uso'!$AK$6:$AK$176,$A59)</f>
        <v>0</v>
      </c>
      <c r="L59" s="710">
        <f>-SUMIFS('D2 - Capex uso'!CC$6:CC$176,'D2 - Capex uso'!$C$6:$C$176,$A42,'D2 - Capex uso'!$AK$6:$AK$176,$A59)</f>
        <v>-3520.0000000000005</v>
      </c>
      <c r="M59" s="710">
        <f>-SUMIFS('D2 - Capex uso'!CD$6:CD$176,'D2 - Capex uso'!$C$6:$C$176,$A42,'D2 - Capex uso'!$AK$6:$AK$176,$A59)</f>
        <v>0</v>
      </c>
      <c r="N59" s="710">
        <f>-SUMIFS('D2 - Capex uso'!CE$6:CE$176,'D2 - Capex uso'!$C$6:$C$176,$A42,'D2 - Capex uso'!$AK$6:$AK$176,$A59)</f>
        <v>0</v>
      </c>
      <c r="O59" s="710">
        <f>-SUMIFS('D2 - Capex uso'!CF$6:CF$176,'D2 - Capex uso'!$C$6:$C$176,$A42,'D2 - Capex uso'!$AK$6:$AK$176,$A59)</f>
        <v>0</v>
      </c>
      <c r="P59" s="710">
        <f>-SUMIFS('D2 - Capex uso'!CG$6:CG$176,'D2 - Capex uso'!$C$6:$C$176,$A42,'D2 - Capex uso'!$AK$6:$AK$176,$A59)</f>
        <v>0</v>
      </c>
      <c r="Q59" s="710">
        <f>-SUMIFS('D2 - Capex uso'!CH$6:CH$176,'D2 - Capex uso'!$C$6:$C$176,$A42,'D2 - Capex uso'!$AK$6:$AK$176,$A59)</f>
        <v>0</v>
      </c>
      <c r="R59" s="710">
        <f>-SUMIFS('D2 - Capex uso'!CI$6:CI$176,'D2 - Capex uso'!$C$6:$C$176,$A42,'D2 - Capex uso'!$AK$6:$AK$176,$A59)</f>
        <v>0</v>
      </c>
      <c r="S59" s="710">
        <f>-SUMIFS('D2 - Capex uso'!CJ$6:CJ$176,'D2 - Capex uso'!$C$6:$C$176,$A42,'D2 - Capex uso'!$AK$6:$AK$176,$A59)</f>
        <v>0</v>
      </c>
      <c r="T59" s="710">
        <f>-SUMIFS('D2 - Capex uso'!CK$6:CK$176,'D2 - Capex uso'!$C$6:$C$176,$A42,'D2 - Capex uso'!$AK$6:$AK$176,$A59)</f>
        <v>0</v>
      </c>
      <c r="U59" s="710">
        <f>-SUMIFS('D2 - Capex uso'!CL$6:CL$176,'D2 - Capex uso'!$C$6:$C$176,$A42,'D2 - Capex uso'!$AK$6:$AK$176,$A59)</f>
        <v>0</v>
      </c>
      <c r="V59" s="710">
        <f>-SUMIFS('D2 - Capex uso'!CM$6:CM$176,'D2 - Capex uso'!$C$6:$C$176,$A42,'D2 - Capex uso'!$AK$6:$AK$176,$A59)</f>
        <v>-3520.0000000000005</v>
      </c>
      <c r="W59" s="710">
        <f>-SUMIFS('D2 - Capex uso'!CN$6:CN$176,'D2 - Capex uso'!$C$6:$C$176,$A42,'D2 - Capex uso'!$AK$6:$AK$176,$A59)</f>
        <v>0</v>
      </c>
      <c r="X59" s="710">
        <f>-SUMIFS('D2 - Capex uso'!CO$6:CO$176,'D2 - Capex uso'!$C$6:$C$176,$A42,'D2 - Capex uso'!$AK$6:$AK$176,$A59)</f>
        <v>0</v>
      </c>
      <c r="Y59" s="710">
        <f>-SUMIFS('D2 - Capex uso'!CP$6:CP$176,'D2 - Capex uso'!$C$6:$C$176,$A42,'D2 - Capex uso'!$AK$6:$AK$176,$A59)</f>
        <v>0</v>
      </c>
      <c r="Z59" s="710">
        <f>-SUMIFS('D2 - Capex uso'!CQ$6:CQ$176,'D2 - Capex uso'!$C$6:$C$176,$A42,'D2 - Capex uso'!$AK$6:$AK$176,$A59)</f>
        <v>0</v>
      </c>
      <c r="AA59" s="710">
        <f>-SUMIFS('D2 - Capex uso'!CR$6:CR$176,'D2 - Capex uso'!$C$6:$C$176,$A42,'D2 - Capex uso'!$AK$6:$AK$176,$A59)</f>
        <v>0</v>
      </c>
      <c r="AB59" s="710">
        <f>-SUMIFS('D2 - Capex uso'!CS$6:CS$176,'D2 - Capex uso'!$C$6:$C$176,$A42,'D2 - Capex uso'!$AK$6:$AK$176,$A59)</f>
        <v>0</v>
      </c>
      <c r="AC59" s="710">
        <f>-SUMIFS('D2 - Capex uso'!CT$6:CT$176,'D2 - Capex uso'!$C$6:$C$176,$A42,'D2 - Capex uso'!$AK$6:$AK$176,$A59)</f>
        <v>0</v>
      </c>
      <c r="AD59" s="710">
        <f>-SUMIFS('D2 - Capex uso'!CU$6:CU$176,'D2 - Capex uso'!$C$6:$C$176,$A42,'D2 - Capex uso'!$AK$6:$AK$176,$A59)</f>
        <v>0</v>
      </c>
      <c r="AE59" s="710">
        <f>-SUMIFS('D2 - Capex uso'!CV$6:CV$176,'D2 - Capex uso'!$C$6:$C$176,$A42,'D2 - Capex uso'!$AK$6:$AK$176,$A59)</f>
        <v>0</v>
      </c>
      <c r="AF59" s="594"/>
      <c r="AG59" s="594"/>
      <c r="AH59" s="594"/>
      <c r="AI59" s="594"/>
      <c r="AJ59" s="594"/>
      <c r="AK59" s="594"/>
      <c r="AL59" s="594"/>
      <c r="AM59" s="594"/>
      <c r="AN59" s="594"/>
      <c r="AO59" s="594"/>
      <c r="AP59" s="594"/>
      <c r="AQ59" s="594"/>
      <c r="AR59" s="594"/>
      <c r="AS59" s="594"/>
      <c r="AT59" s="594"/>
      <c r="AU59" s="594"/>
      <c r="AV59" s="594"/>
      <c r="AW59" s="594"/>
      <c r="AX59" s="594"/>
      <c r="AY59" s="594"/>
      <c r="AZ59" s="594"/>
      <c r="BA59" s="594"/>
      <c r="BB59" s="594"/>
      <c r="BC59" s="594"/>
      <c r="BD59" s="594"/>
      <c r="BE59" s="594"/>
      <c r="BF59" s="594"/>
      <c r="BG59" s="594"/>
      <c r="BH59" s="594"/>
      <c r="BI59" s="594"/>
      <c r="BJ59" s="594"/>
      <c r="BK59" s="594"/>
      <c r="BL59" s="57"/>
      <c r="BM59" s="594"/>
      <c r="BN59" s="594"/>
      <c r="BO59" s="594"/>
      <c r="BP59" s="594"/>
      <c r="BQ59" s="594"/>
      <c r="BR59" s="594"/>
      <c r="BS59" s="594"/>
      <c r="BT59" s="594"/>
      <c r="BU59" s="594"/>
      <c r="BV59" s="594"/>
      <c r="BW59" s="594"/>
      <c r="BX59" s="594"/>
      <c r="BY59" s="594"/>
      <c r="BZ59" s="594"/>
      <c r="CA59" s="594"/>
      <c r="CB59" s="594"/>
      <c r="CC59" s="594"/>
      <c r="CD59" s="594"/>
      <c r="CE59" s="594"/>
      <c r="CF59" s="594"/>
      <c r="CG59" s="594"/>
      <c r="CH59" s="594"/>
      <c r="CI59" s="594"/>
      <c r="CJ59" s="594"/>
      <c r="CK59" s="594"/>
      <c r="CL59" s="594"/>
      <c r="CM59" s="594"/>
      <c r="CN59" s="594"/>
      <c r="CO59" s="594"/>
      <c r="CP59" s="594"/>
      <c r="CQ59" s="594"/>
    </row>
    <row r="60" spans="1:95" ht="19.5" hidden="1" customHeight="1" outlineLevel="2">
      <c r="A60" s="709" t="s">
        <v>171</v>
      </c>
      <c r="B60" s="710">
        <f>-SUMIFS('D2 - Capex uso'!BS$6:BS$176,'D2 - Capex uso'!$C$6:$C$176,$A42,'D2 - Capex uso'!$AK$6:$AK$176,$A60)</f>
        <v>0</v>
      </c>
      <c r="C60" s="710">
        <f>-SUMIFS('D2 - Capex uso'!BT$6:BT$176,'D2 - Capex uso'!$C$6:$C$176,$A42,'D2 - Capex uso'!$AK$6:$AK$176,$A60)</f>
        <v>0</v>
      </c>
      <c r="D60" s="710">
        <f>-SUMIFS('D2 - Capex uso'!BU$6:BU$176,'D2 - Capex uso'!$C$6:$C$176,$A42,'D2 - Capex uso'!$AK$6:$AK$176,$A60)</f>
        <v>0</v>
      </c>
      <c r="E60" s="710">
        <f>-SUMIFS('D2 - Capex uso'!BV$6:BV$176,'D2 - Capex uso'!$C$6:$C$176,$A42,'D2 - Capex uso'!$AK$6:$AK$176,$A60)</f>
        <v>0</v>
      </c>
      <c r="F60" s="710">
        <f>-SUMIFS('D2 - Capex uso'!BW$6:BW$176,'D2 - Capex uso'!$C$6:$C$176,$A42,'D2 - Capex uso'!$AK$6:$AK$176,$A60)</f>
        <v>0</v>
      </c>
      <c r="G60" s="710">
        <f>-SUMIFS('D2 - Capex uso'!BX$6:BX$176,'D2 - Capex uso'!$C$6:$C$176,$A42,'D2 - Capex uso'!$AK$6:$AK$176,$A60)</f>
        <v>0</v>
      </c>
      <c r="H60" s="710">
        <f>-SUMIFS('D2 - Capex uso'!BY$6:BY$176,'D2 - Capex uso'!$C$6:$C$176,$A42,'D2 - Capex uso'!$AK$6:$AK$176,$A60)</f>
        <v>0</v>
      </c>
      <c r="I60" s="710">
        <f>-SUMIFS('D2 - Capex uso'!BZ$6:BZ$176,'D2 - Capex uso'!$C$6:$C$176,$A42,'D2 - Capex uso'!$AK$6:$AK$176,$A60)</f>
        <v>0</v>
      </c>
      <c r="J60" s="710">
        <f>-SUMIFS('D2 - Capex uso'!CA$6:CA$176,'D2 - Capex uso'!$C$6:$C$176,$A42,'D2 - Capex uso'!$AK$6:$AK$176,$A60)</f>
        <v>0</v>
      </c>
      <c r="K60" s="710">
        <f>-SUMIFS('D2 - Capex uso'!CB$6:CB$176,'D2 - Capex uso'!$C$6:$C$176,$A42,'D2 - Capex uso'!$AK$6:$AK$176,$A60)</f>
        <v>0</v>
      </c>
      <c r="L60" s="710">
        <f>-SUMIFS('D2 - Capex uso'!CC$6:CC$176,'D2 - Capex uso'!$C$6:$C$176,$A42,'D2 - Capex uso'!$AK$6:$AK$176,$A60)</f>
        <v>0</v>
      </c>
      <c r="M60" s="710">
        <f>-SUMIFS('D2 - Capex uso'!CD$6:CD$176,'D2 - Capex uso'!$C$6:$C$176,$A42,'D2 - Capex uso'!$AK$6:$AK$176,$A60)</f>
        <v>0</v>
      </c>
      <c r="N60" s="710">
        <f>-SUMIFS('D2 - Capex uso'!CE$6:CE$176,'D2 - Capex uso'!$C$6:$C$176,$A42,'D2 - Capex uso'!$AK$6:$AK$176,$A60)</f>
        <v>0</v>
      </c>
      <c r="O60" s="710">
        <f>-SUMIFS('D2 - Capex uso'!CF$6:CF$176,'D2 - Capex uso'!$C$6:$C$176,$A42,'D2 - Capex uso'!$AK$6:$AK$176,$A60)</f>
        <v>0</v>
      </c>
      <c r="P60" s="710">
        <f>-SUMIFS('D2 - Capex uso'!CG$6:CG$176,'D2 - Capex uso'!$C$6:$C$176,$A42,'D2 - Capex uso'!$AK$6:$AK$176,$A60)</f>
        <v>0</v>
      </c>
      <c r="Q60" s="710">
        <f>-SUMIFS('D2 - Capex uso'!CH$6:CH$176,'D2 - Capex uso'!$C$6:$C$176,$A42,'D2 - Capex uso'!$AK$6:$AK$176,$A60)</f>
        <v>0</v>
      </c>
      <c r="R60" s="710">
        <f>-SUMIFS('D2 - Capex uso'!CI$6:CI$176,'D2 - Capex uso'!$C$6:$C$176,$A42,'D2 - Capex uso'!$AK$6:$AK$176,$A60)</f>
        <v>0</v>
      </c>
      <c r="S60" s="710">
        <f>-SUMIFS('D2 - Capex uso'!CJ$6:CJ$176,'D2 - Capex uso'!$C$6:$C$176,$A42,'D2 - Capex uso'!$AK$6:$AK$176,$A60)</f>
        <v>0</v>
      </c>
      <c r="T60" s="710">
        <f>-SUMIFS('D2 - Capex uso'!CK$6:CK$176,'D2 - Capex uso'!$C$6:$C$176,$A42,'D2 - Capex uso'!$AK$6:$AK$176,$A60)</f>
        <v>0</v>
      </c>
      <c r="U60" s="710">
        <f>-SUMIFS('D2 - Capex uso'!CL$6:CL$176,'D2 - Capex uso'!$C$6:$C$176,$A42,'D2 - Capex uso'!$AK$6:$AK$176,$A60)</f>
        <v>0</v>
      </c>
      <c r="V60" s="710">
        <f>-SUMIFS('D2 - Capex uso'!CM$6:CM$176,'D2 - Capex uso'!$C$6:$C$176,$A42,'D2 - Capex uso'!$AK$6:$AK$176,$A60)</f>
        <v>0</v>
      </c>
      <c r="W60" s="710">
        <f>-SUMIFS('D2 - Capex uso'!CN$6:CN$176,'D2 - Capex uso'!$C$6:$C$176,$A42,'D2 - Capex uso'!$AK$6:$AK$176,$A60)</f>
        <v>0</v>
      </c>
      <c r="X60" s="710">
        <f>-SUMIFS('D2 - Capex uso'!CO$6:CO$176,'D2 - Capex uso'!$C$6:$C$176,$A42,'D2 - Capex uso'!$AK$6:$AK$176,$A60)</f>
        <v>0</v>
      </c>
      <c r="Y60" s="710">
        <f>-SUMIFS('D2 - Capex uso'!CP$6:CP$176,'D2 - Capex uso'!$C$6:$C$176,$A42,'D2 - Capex uso'!$AK$6:$AK$176,$A60)</f>
        <v>0</v>
      </c>
      <c r="Z60" s="710">
        <f>-SUMIFS('D2 - Capex uso'!CQ$6:CQ$176,'D2 - Capex uso'!$C$6:$C$176,$A42,'D2 - Capex uso'!$AK$6:$AK$176,$A60)</f>
        <v>0</v>
      </c>
      <c r="AA60" s="710">
        <f>-SUMIFS('D2 - Capex uso'!CR$6:CR$176,'D2 - Capex uso'!$C$6:$C$176,$A42,'D2 - Capex uso'!$AK$6:$AK$176,$A60)</f>
        <v>0</v>
      </c>
      <c r="AB60" s="710">
        <f>-SUMIFS('D2 - Capex uso'!CS$6:CS$176,'D2 - Capex uso'!$C$6:$C$176,$A42,'D2 - Capex uso'!$AK$6:$AK$176,$A60)</f>
        <v>0</v>
      </c>
      <c r="AC60" s="710">
        <f>-SUMIFS('D2 - Capex uso'!CT$6:CT$176,'D2 - Capex uso'!$C$6:$C$176,$A42,'D2 - Capex uso'!$AK$6:$AK$176,$A60)</f>
        <v>0</v>
      </c>
      <c r="AD60" s="710">
        <f>-SUMIFS('D2 - Capex uso'!CU$6:CU$176,'D2 - Capex uso'!$C$6:$C$176,$A42,'D2 - Capex uso'!$AK$6:$AK$176,$A60)</f>
        <v>0</v>
      </c>
      <c r="AE60" s="710">
        <f>-SUMIFS('D2 - Capex uso'!CV$6:CV$176,'D2 - Capex uso'!$C$6:$C$176,$A42,'D2 - Capex uso'!$AK$6:$AK$176,$A60)</f>
        <v>0</v>
      </c>
      <c r="AF60" s="594"/>
      <c r="AG60" s="594"/>
      <c r="AH60" s="594"/>
      <c r="AI60" s="594"/>
      <c r="AJ60" s="594"/>
      <c r="AK60" s="594"/>
      <c r="AL60" s="594"/>
      <c r="AM60" s="594"/>
      <c r="AN60" s="594"/>
      <c r="AO60" s="594"/>
      <c r="AP60" s="594"/>
      <c r="AQ60" s="594"/>
      <c r="AR60" s="594"/>
      <c r="AS60" s="594"/>
      <c r="AT60" s="594"/>
      <c r="AU60" s="594"/>
      <c r="AV60" s="594"/>
      <c r="AW60" s="594"/>
      <c r="AX60" s="594"/>
      <c r="AY60" s="594"/>
      <c r="AZ60" s="594"/>
      <c r="BA60" s="594"/>
      <c r="BB60" s="594"/>
      <c r="BC60" s="594"/>
      <c r="BD60" s="594"/>
      <c r="BE60" s="594"/>
      <c r="BF60" s="594"/>
      <c r="BG60" s="594"/>
      <c r="BH60" s="594"/>
      <c r="BI60" s="594"/>
      <c r="BJ60" s="594"/>
      <c r="BK60" s="594"/>
      <c r="BL60" s="57"/>
      <c r="BM60" s="594"/>
      <c r="BN60" s="594"/>
      <c r="BO60" s="594"/>
      <c r="BP60" s="594"/>
      <c r="BQ60" s="594"/>
      <c r="BR60" s="594"/>
      <c r="BS60" s="594"/>
      <c r="BT60" s="594"/>
      <c r="BU60" s="594"/>
      <c r="BV60" s="594"/>
      <c r="BW60" s="594"/>
      <c r="BX60" s="594"/>
      <c r="BY60" s="594"/>
      <c r="BZ60" s="594"/>
      <c r="CA60" s="594"/>
      <c r="CB60" s="594"/>
      <c r="CC60" s="594"/>
      <c r="CD60" s="594"/>
      <c r="CE60" s="594"/>
      <c r="CF60" s="594"/>
      <c r="CG60" s="594"/>
      <c r="CH60" s="594"/>
      <c r="CI60" s="594"/>
      <c r="CJ60" s="594"/>
      <c r="CK60" s="594"/>
      <c r="CL60" s="594"/>
      <c r="CM60" s="594"/>
      <c r="CN60" s="594"/>
      <c r="CO60" s="594"/>
      <c r="CP60" s="594"/>
      <c r="CQ60" s="594"/>
    </row>
    <row r="61" spans="1:95" ht="27" customHeight="1" collapsed="1">
      <c r="A61" s="703" t="str">
        <f>IF(ISBLANK('A1 - Serviços e demanda'!A23),,'A1 - Serviços e demanda'!A23)</f>
        <v>Preá - Estacionamento</v>
      </c>
      <c r="B61" s="704">
        <f t="shared" ref="B61:AE61" si="18">IF($A61=0,0,SUM(B70:B71))</f>
        <v>-598144.16000000015</v>
      </c>
      <c r="C61" s="704">
        <f t="shared" si="18"/>
        <v>669734.09703674936</v>
      </c>
      <c r="D61" s="704">
        <f t="shared" si="18"/>
        <v>702142.74366782792</v>
      </c>
      <c r="E61" s="704">
        <f t="shared" si="18"/>
        <v>733552.66377092712</v>
      </c>
      <c r="F61" s="704">
        <f t="shared" si="18"/>
        <v>765483.96079605143</v>
      </c>
      <c r="G61" s="704">
        <f t="shared" si="18"/>
        <v>797936.51086424594</v>
      </c>
      <c r="H61" s="704">
        <f t="shared" si="18"/>
        <v>831300.69181997608</v>
      </c>
      <c r="I61" s="704">
        <f t="shared" si="18"/>
        <v>865664.72974060336</v>
      </c>
      <c r="J61" s="704">
        <f t="shared" si="18"/>
        <v>900636.67499659688</v>
      </c>
      <c r="K61" s="704">
        <f t="shared" si="18"/>
        <v>936304.53217189678</v>
      </c>
      <c r="L61" s="704">
        <f t="shared" si="18"/>
        <v>973014.21863163565</v>
      </c>
      <c r="M61" s="704">
        <f t="shared" si="18"/>
        <v>1010896.8782672191</v>
      </c>
      <c r="N61" s="704">
        <f t="shared" si="18"/>
        <v>1049952.8748989594</v>
      </c>
      <c r="O61" s="704">
        <f t="shared" si="18"/>
        <v>1090181.557568247</v>
      </c>
      <c r="P61" s="704">
        <f t="shared" si="18"/>
        <v>1131626.7833739193</v>
      </c>
      <c r="Q61" s="704">
        <f t="shared" si="18"/>
        <v>1174201.6781745832</v>
      </c>
      <c r="R61" s="704">
        <f t="shared" si="18"/>
        <v>1217862.6941508614</v>
      </c>
      <c r="S61" s="704">
        <f t="shared" si="18"/>
        <v>1262478.9868605244</v>
      </c>
      <c r="T61" s="704">
        <f t="shared" si="18"/>
        <v>1307877.3129534971</v>
      </c>
      <c r="U61" s="704">
        <f t="shared" si="18"/>
        <v>1353884.1665673638</v>
      </c>
      <c r="V61" s="704">
        <f t="shared" si="18"/>
        <v>1353884.1665673638</v>
      </c>
      <c r="W61" s="704">
        <f t="shared" si="18"/>
        <v>1353884.1665673638</v>
      </c>
      <c r="X61" s="704">
        <f t="shared" si="18"/>
        <v>1353884.1665673638</v>
      </c>
      <c r="Y61" s="704">
        <f t="shared" si="18"/>
        <v>1353884.1665673638</v>
      </c>
      <c r="Z61" s="704">
        <f t="shared" si="18"/>
        <v>1353884.1665673638</v>
      </c>
      <c r="AA61" s="704">
        <f t="shared" si="18"/>
        <v>1353884.1665673638</v>
      </c>
      <c r="AB61" s="704">
        <f t="shared" si="18"/>
        <v>1353884.1665673638</v>
      </c>
      <c r="AC61" s="704">
        <f t="shared" si="18"/>
        <v>1353884.1665673638</v>
      </c>
      <c r="AD61" s="704">
        <f t="shared" si="18"/>
        <v>1353884.1665673638</v>
      </c>
      <c r="AE61" s="704">
        <f t="shared" si="18"/>
        <v>1353884.1665673638</v>
      </c>
      <c r="AF61" s="594"/>
      <c r="AG61" s="486" t="str">
        <f>A61</f>
        <v>Preá - Estacionamento</v>
      </c>
      <c r="AH61" s="705">
        <f t="shared" ref="AH61:BK61" si="19">IFERROR(-B64/B62,0)</f>
        <v>0</v>
      </c>
      <c r="AI61" s="705">
        <f t="shared" si="19"/>
        <v>0.24735756530218936</v>
      </c>
      <c r="AJ61" s="705">
        <f t="shared" si="19"/>
        <v>0.23964736902274181</v>
      </c>
      <c r="AK61" s="705">
        <f t="shared" si="19"/>
        <v>0.23264992018236436</v>
      </c>
      <c r="AL61" s="705">
        <f t="shared" si="19"/>
        <v>0.22597132724800048</v>
      </c>
      <c r="AM61" s="705">
        <f t="shared" si="19"/>
        <v>0.21959277574518402</v>
      </c>
      <c r="AN61" s="705">
        <f t="shared" si="19"/>
        <v>0.21342670382420048</v>
      </c>
      <c r="AO61" s="705">
        <f t="shared" si="19"/>
        <v>0.20745460077150468</v>
      </c>
      <c r="AP61" s="705">
        <f t="shared" si="19"/>
        <v>0.2017366756538575</v>
      </c>
      <c r="AQ61" s="705">
        <f t="shared" si="19"/>
        <v>0.19624649345001172</v>
      </c>
      <c r="AR61" s="705">
        <f t="shared" si="19"/>
        <v>0.19092475036946455</v>
      </c>
      <c r="AS61" s="705">
        <f t="shared" si="19"/>
        <v>0.18575269074915485</v>
      </c>
      <c r="AT61" s="705">
        <f t="shared" si="19"/>
        <v>0.18073121501675085</v>
      </c>
      <c r="AU61" s="705">
        <f t="shared" si="19"/>
        <v>0.17586034280339993</v>
      </c>
      <c r="AV61" s="705">
        <f t="shared" si="19"/>
        <v>0.17113452807703744</v>
      </c>
      <c r="AW61" s="705">
        <f t="shared" si="19"/>
        <v>0.16656227949758129</v>
      </c>
      <c r="AX61" s="705">
        <f t="shared" si="19"/>
        <v>0.16214509445276959</v>
      </c>
      <c r="AY61" s="705">
        <f t="shared" si="19"/>
        <v>0.15789117579497419</v>
      </c>
      <c r="AZ61" s="705">
        <f t="shared" si="19"/>
        <v>0.15380957816488866</v>
      </c>
      <c r="BA61" s="705">
        <f t="shared" si="19"/>
        <v>0.14990607311563045</v>
      </c>
      <c r="BB61" s="705">
        <f t="shared" si="19"/>
        <v>0.14990607311563045</v>
      </c>
      <c r="BC61" s="705">
        <f t="shared" si="19"/>
        <v>0.14990607311563045</v>
      </c>
      <c r="BD61" s="705">
        <f t="shared" si="19"/>
        <v>0.14990607311563045</v>
      </c>
      <c r="BE61" s="705">
        <f t="shared" si="19"/>
        <v>0.14990607311563045</v>
      </c>
      <c r="BF61" s="705">
        <f t="shared" si="19"/>
        <v>0.14990607311563045</v>
      </c>
      <c r="BG61" s="705">
        <f t="shared" si="19"/>
        <v>0.14990607311563045</v>
      </c>
      <c r="BH61" s="705">
        <f t="shared" si="19"/>
        <v>0.14990607311563045</v>
      </c>
      <c r="BI61" s="705">
        <f t="shared" si="19"/>
        <v>0.14990607311563045</v>
      </c>
      <c r="BJ61" s="705">
        <f t="shared" si="19"/>
        <v>0.14990607311563045</v>
      </c>
      <c r="BK61" s="705">
        <f t="shared" si="19"/>
        <v>0.14990607311563045</v>
      </c>
      <c r="BL61" s="57"/>
      <c r="BM61" s="486" t="str">
        <f>AG61</f>
        <v>Preá - Estacionamento</v>
      </c>
      <c r="BN61" s="705">
        <f t="shared" ref="BN61:CQ61" si="20">IFERROR(B70/B62,0)</f>
        <v>0</v>
      </c>
      <c r="BO61" s="705">
        <f t="shared" si="20"/>
        <v>0.57315417895736043</v>
      </c>
      <c r="BP61" s="705">
        <f t="shared" si="20"/>
        <v>0.58086412335296278</v>
      </c>
      <c r="BQ61" s="705">
        <f t="shared" si="20"/>
        <v>0.58786171838110191</v>
      </c>
      <c r="BR61" s="705">
        <f t="shared" si="20"/>
        <v>0.59454049002351139</v>
      </c>
      <c r="BS61" s="705">
        <f t="shared" si="20"/>
        <v>0.60091915628473325</v>
      </c>
      <c r="BT61" s="705">
        <f t="shared" si="20"/>
        <v>0.60708483539417479</v>
      </c>
      <c r="BU61" s="705">
        <f t="shared" si="20"/>
        <v>0.61305703195264416</v>
      </c>
      <c r="BV61" s="705">
        <f t="shared" si="20"/>
        <v>0.61877483655047205</v>
      </c>
      <c r="BW61" s="705">
        <f t="shared" si="20"/>
        <v>0.62426544799273043</v>
      </c>
      <c r="BX61" s="705">
        <f t="shared" si="20"/>
        <v>0.629587065915855</v>
      </c>
      <c r="BY61" s="705">
        <f t="shared" si="20"/>
        <v>0.63475900449288136</v>
      </c>
      <c r="BZ61" s="705">
        <f t="shared" si="20"/>
        <v>0.63978058495568224</v>
      </c>
      <c r="CA61" s="705">
        <f t="shared" si="20"/>
        <v>0.64465138303078018</v>
      </c>
      <c r="CB61" s="705">
        <f t="shared" si="20"/>
        <v>0.64937719760656532</v>
      </c>
      <c r="CC61" s="705">
        <f t="shared" si="20"/>
        <v>0.65394952096934056</v>
      </c>
      <c r="CD61" s="705">
        <f t="shared" si="20"/>
        <v>0.65836679281426846</v>
      </c>
      <c r="CE61" s="705">
        <f t="shared" si="20"/>
        <v>0.66262053956344746</v>
      </c>
      <c r="CF61" s="705">
        <f t="shared" si="20"/>
        <v>0.66670199955625342</v>
      </c>
      <c r="CG61" s="705">
        <f t="shared" si="20"/>
        <v>0.67060553161544756</v>
      </c>
      <c r="CH61" s="705">
        <f t="shared" si="20"/>
        <v>0.67060553161544756</v>
      </c>
      <c r="CI61" s="705">
        <f t="shared" si="20"/>
        <v>0.67060553161544756</v>
      </c>
      <c r="CJ61" s="705">
        <f t="shared" si="20"/>
        <v>0.67060553161544756</v>
      </c>
      <c r="CK61" s="705">
        <f t="shared" si="20"/>
        <v>0.67060553161544756</v>
      </c>
      <c r="CL61" s="705">
        <f t="shared" si="20"/>
        <v>0.67060553161544756</v>
      </c>
      <c r="CM61" s="705">
        <f t="shared" si="20"/>
        <v>0.67060553161544756</v>
      </c>
      <c r="CN61" s="705">
        <f t="shared" si="20"/>
        <v>0.67060553161544756</v>
      </c>
      <c r="CO61" s="705">
        <f t="shared" si="20"/>
        <v>0.67060553161544756</v>
      </c>
      <c r="CP61" s="705">
        <f t="shared" si="20"/>
        <v>0.67060553161544756</v>
      </c>
      <c r="CQ61" s="705">
        <f t="shared" si="20"/>
        <v>0.67060553161544756</v>
      </c>
    </row>
    <row r="62" spans="1:95" ht="33.75" hidden="1" customHeight="1" outlineLevel="1">
      <c r="A62" s="706" t="s">
        <v>680</v>
      </c>
      <c r="B62" s="707">
        <f>IFERROR(VLOOKUP($A61,ReceitaBruta,COLUMN('A4 - Previsão de Receita Bruta'!C64)-1,0),0)</f>
        <v>0</v>
      </c>
      <c r="C62" s="707">
        <f>IFERROR(VLOOKUP($A61,ReceitaBruta,COLUMN('A4 - Previsão de Receita Bruta'!D64)-1,0),0)</f>
        <v>1168506</v>
      </c>
      <c r="D62" s="707">
        <f>IFERROR(VLOOKUP($A61,ReceitaBruta,COLUMN('A4 - Previsão de Receita Bruta'!E64)-1,0),0)</f>
        <v>1208790</v>
      </c>
      <c r="E62" s="707">
        <f>IFERROR(VLOOKUP($A61,ReceitaBruta,COLUMN('A4 - Previsão de Receita Bruta'!F64)-1,0),0)</f>
        <v>1247832</v>
      </c>
      <c r="F62" s="707">
        <f>IFERROR(VLOOKUP($A61,ReceitaBruta,COLUMN('A4 - Previsão de Receita Bruta'!G64)-1,0),0)</f>
        <v>1287522</v>
      </c>
      <c r="G62" s="707">
        <f>IFERROR(VLOOKUP($A61,ReceitaBruta,COLUMN('A4 - Previsão de Receita Bruta'!H64)-1,0),0)</f>
        <v>1327860</v>
      </c>
      <c r="H62" s="707">
        <f>IFERROR(VLOOKUP($A61,ReceitaBruta,COLUMN('A4 - Previsão de Receita Bruta'!I64)-1,0),0)</f>
        <v>1369332</v>
      </c>
      <c r="I62" s="707">
        <f>IFERROR(VLOOKUP($A61,ReceitaBruta,COLUMN('A4 - Previsão de Receita Bruta'!J64)-1,0),0)</f>
        <v>1412046</v>
      </c>
      <c r="J62" s="707">
        <f>IFERROR(VLOOKUP($A61,ReceitaBruta,COLUMN('A4 - Previsão de Receita Bruta'!K64)-1,0),0)</f>
        <v>1455516</v>
      </c>
      <c r="K62" s="707">
        <f>IFERROR(VLOOKUP($A61,ReceitaBruta,COLUMN('A4 - Previsão de Receita Bruta'!L64)-1,0),0)</f>
        <v>1499850</v>
      </c>
      <c r="L62" s="707">
        <f>IFERROR(VLOOKUP($A61,ReceitaBruta,COLUMN('A4 - Previsão de Receita Bruta'!M64)-1,0),0)</f>
        <v>1545480</v>
      </c>
      <c r="M62" s="707">
        <f>IFERROR(VLOOKUP($A61,ReceitaBruta,COLUMN('A4 - Previsão de Receita Bruta'!N64)-1,0),0)</f>
        <v>1592568</v>
      </c>
      <c r="N62" s="707">
        <f>IFERROR(VLOOKUP($A61,ReceitaBruta,COLUMN('A4 - Previsão de Receita Bruta'!O64)-1,0),0)</f>
        <v>1641114</v>
      </c>
      <c r="O62" s="707">
        <f>IFERROR(VLOOKUP($A61,ReceitaBruta,COLUMN('A4 - Previsão de Receita Bruta'!P64)-1,0),0)</f>
        <v>1691118</v>
      </c>
      <c r="P62" s="707">
        <f>IFERROR(VLOOKUP($A61,ReceitaBruta,COLUMN('A4 - Previsão de Receita Bruta'!Q64)-1,0),0)</f>
        <v>1742634</v>
      </c>
      <c r="Q62" s="707">
        <f>IFERROR(VLOOKUP($A61,ReceitaBruta,COLUMN('A4 - Previsão de Receita Bruta'!R64)-1,0),0)</f>
        <v>1795554</v>
      </c>
      <c r="R62" s="707">
        <f>IFERROR(VLOOKUP($A61,ReceitaBruta,COLUMN('A4 - Previsão de Receita Bruta'!S64)-1,0),0)</f>
        <v>1849824</v>
      </c>
      <c r="S62" s="707">
        <f>IFERROR(VLOOKUP($A61,ReceitaBruta,COLUMN('A4 - Previsão de Receita Bruta'!T64)-1,0),0)</f>
        <v>1905282</v>
      </c>
      <c r="T62" s="707">
        <f>IFERROR(VLOOKUP($A61,ReceitaBruta,COLUMN('A4 - Previsão de Receita Bruta'!U64)-1,0),0)</f>
        <v>1961712</v>
      </c>
      <c r="U62" s="707">
        <f>IFERROR(VLOOKUP($A61,ReceitaBruta,COLUMN('A4 - Previsão de Receita Bruta'!V64)-1,0),0)</f>
        <v>2018898</v>
      </c>
      <c r="V62" s="707">
        <f>IFERROR(VLOOKUP($A61,ReceitaBruta,COLUMN('A4 - Previsão de Receita Bruta'!W64)-1,0),0)</f>
        <v>2018898</v>
      </c>
      <c r="W62" s="707">
        <f>IFERROR(VLOOKUP($A61,ReceitaBruta,COLUMN('A4 - Previsão de Receita Bruta'!X64)-1,0),0)</f>
        <v>2018898</v>
      </c>
      <c r="X62" s="707">
        <f>IFERROR(VLOOKUP($A61,ReceitaBruta,COLUMN('A4 - Previsão de Receita Bruta'!Y64)-1,0),0)</f>
        <v>2018898</v>
      </c>
      <c r="Y62" s="707">
        <f>IFERROR(VLOOKUP($A61,ReceitaBruta,COLUMN('A4 - Previsão de Receita Bruta'!Z64)-1,0),0)</f>
        <v>2018898</v>
      </c>
      <c r="Z62" s="707">
        <f>IFERROR(VLOOKUP($A61,ReceitaBruta,COLUMN('A4 - Previsão de Receita Bruta'!AA64)-1,0),0)</f>
        <v>2018898</v>
      </c>
      <c r="AA62" s="707">
        <f>IFERROR(VLOOKUP($A61,ReceitaBruta,COLUMN('A4 - Previsão de Receita Bruta'!AB64)-1,0),0)</f>
        <v>2018898</v>
      </c>
      <c r="AB62" s="707">
        <f>IFERROR(VLOOKUP($A61,ReceitaBruta,COLUMN('A4 - Previsão de Receita Bruta'!AC64)-1,0),0)</f>
        <v>2018898</v>
      </c>
      <c r="AC62" s="707">
        <f>IFERROR(VLOOKUP($A61,ReceitaBruta,COLUMN('A4 - Previsão de Receita Bruta'!AD64)-1,0),0)</f>
        <v>2018898</v>
      </c>
      <c r="AD62" s="707">
        <f>IFERROR(VLOOKUP($A61,ReceitaBruta,COLUMN('A4 - Previsão de Receita Bruta'!AE64)-1,0),0)</f>
        <v>2018898</v>
      </c>
      <c r="AE62" s="707">
        <f>IFERROR(VLOOKUP($A61,ReceitaBruta,COLUMN('A4 - Previsão de Receita Bruta'!AF64)-1,0),0)</f>
        <v>2018898</v>
      </c>
      <c r="AF62" s="594"/>
      <c r="AG62" s="594"/>
      <c r="AH62" s="594"/>
      <c r="AI62" s="594"/>
      <c r="AJ62" s="594"/>
      <c r="AK62" s="594"/>
      <c r="AL62" s="594"/>
      <c r="AM62" s="594"/>
      <c r="AN62" s="594"/>
      <c r="AO62" s="594"/>
      <c r="AP62" s="594"/>
      <c r="AQ62" s="594"/>
      <c r="AR62" s="594"/>
      <c r="AS62" s="594"/>
      <c r="AT62" s="594"/>
      <c r="AU62" s="594"/>
      <c r="AV62" s="594"/>
      <c r="AW62" s="594"/>
      <c r="AX62" s="594"/>
      <c r="AY62" s="594"/>
      <c r="AZ62" s="594"/>
      <c r="BA62" s="594"/>
      <c r="BB62" s="594"/>
      <c r="BC62" s="594"/>
      <c r="BD62" s="594"/>
      <c r="BE62" s="594"/>
      <c r="BF62" s="594"/>
      <c r="BG62" s="594"/>
      <c r="BH62" s="594"/>
      <c r="BI62" s="594"/>
      <c r="BJ62" s="594"/>
      <c r="BK62" s="594"/>
      <c r="BL62" s="57"/>
      <c r="BM62" s="594"/>
      <c r="BN62" s="594"/>
      <c r="BO62" s="594"/>
      <c r="BP62" s="594"/>
      <c r="BQ62" s="594"/>
      <c r="BR62" s="594"/>
      <c r="BS62" s="594"/>
      <c r="BT62" s="594"/>
      <c r="BU62" s="594"/>
      <c r="BV62" s="594"/>
      <c r="BW62" s="594"/>
      <c r="BX62" s="594"/>
      <c r="BY62" s="594"/>
      <c r="BZ62" s="594"/>
      <c r="CA62" s="594"/>
      <c r="CB62" s="594"/>
      <c r="CC62" s="594"/>
      <c r="CD62" s="594"/>
      <c r="CE62" s="594"/>
      <c r="CF62" s="594"/>
      <c r="CG62" s="594"/>
      <c r="CH62" s="594"/>
      <c r="CI62" s="594"/>
      <c r="CJ62" s="594"/>
      <c r="CK62" s="594"/>
      <c r="CL62" s="594"/>
      <c r="CM62" s="594"/>
      <c r="CN62" s="594"/>
      <c r="CO62" s="594"/>
      <c r="CP62" s="594"/>
      <c r="CQ62" s="594"/>
    </row>
    <row r="63" spans="1:95" ht="21" hidden="1" customHeight="1" outlineLevel="1">
      <c r="A63" s="708" t="s">
        <v>681</v>
      </c>
      <c r="B63" s="707">
        <f>IFERROR(-'E2 - Tributos'!D$19*VLOOKUP('F1 - FCL'!$A61,ReceitaBruta,COLUMN('A4 - Previsão de Receita Bruta'!C$6)-1,0),0)</f>
        <v>0</v>
      </c>
      <c r="C63" s="707">
        <f>IFERROR(-'E2 - Tributos'!E$19*VLOOKUP('F1 - FCL'!$A61,ReceitaBruta,COLUMN('A4 - Previsão de Receita Bruta'!D$6)-1,0),0)</f>
        <v>-209733.10376225066</v>
      </c>
      <c r="D63" s="707">
        <f>IFERROR(-'E2 - Tributos'!F$19*VLOOKUP('F1 - FCL'!$A61,ReceitaBruta,COLUMN('A4 - Previsão de Receita Bruta'!E$6)-1,0),0)</f>
        <v>-216963.91313117192</v>
      </c>
      <c r="E63" s="707">
        <f>IFERROR(-'E2 - Tributos'!G$19*VLOOKUP('F1 - FCL'!$A61,ReceitaBruta,COLUMN('A4 - Previsão de Receita Bruta'!F$6)-1,0),0)</f>
        <v>-223971.32102807291</v>
      </c>
      <c r="F63" s="707">
        <f>IFERROR(-'E2 - Tributos'!H$19*VLOOKUP('F1 - FCL'!$A61,ReceitaBruta,COLUMN('A4 - Previsão de Receita Bruta'!G$6)-1,0),0)</f>
        <v>-231094.98400294845</v>
      </c>
      <c r="G63" s="707">
        <f>IFERROR(-'E2 - Tributos'!I$19*VLOOKUP('F1 - FCL'!$A61,ReceitaBruta,COLUMN('A4 - Previsão de Receita Bruta'!H$6)-1,0),0)</f>
        <v>-238335.02593475406</v>
      </c>
      <c r="H63" s="707">
        <f>IFERROR(-'E2 - Tributos'!J$19*VLOOKUP('F1 - FCL'!$A61,ReceitaBruta,COLUMN('A4 - Previsão de Receita Bruta'!I$6)-1,0),0)</f>
        <v>-245779.29297902391</v>
      </c>
      <c r="I63" s="707">
        <f>IFERROR(-'E2 - Tributos'!K$19*VLOOKUP('F1 - FCL'!$A61,ReceitaBruta,COLUMN('A4 - Previsão de Receita Bruta'!J$6)-1,0),0)</f>
        <v>-253445.83105839655</v>
      </c>
      <c r="J63" s="707">
        <f>IFERROR(-'E2 - Tributos'!L$19*VLOOKUP('F1 - FCL'!$A61,ReceitaBruta,COLUMN('A4 - Previsão de Receita Bruta'!K$6)-1,0),0)</f>
        <v>-261248.36580240302</v>
      </c>
      <c r="K63" s="707">
        <f>IFERROR(-'E2 - Tributos'!M$19*VLOOKUP('F1 - FCL'!$A61,ReceitaBruta,COLUMN('A4 - Previsão de Receita Bruta'!L$6)-1,0),0)</f>
        <v>-269205.16462710325</v>
      </c>
      <c r="L63" s="707">
        <f>IFERROR(-'E2 - Tributos'!N$19*VLOOKUP('F1 - FCL'!$A61,ReceitaBruta,COLUMN('A4 - Previsão de Receita Bruta'!M$6)-1,0),0)</f>
        <v>-277395.39816736442</v>
      </c>
      <c r="M63" s="707">
        <f>IFERROR(-'E2 - Tributos'!O$19*VLOOKUP('F1 - FCL'!$A61,ReceitaBruta,COLUMN('A4 - Previsão de Receita Bruta'!N$6)-1,0),0)</f>
        <v>-285847.33053178084</v>
      </c>
      <c r="N63" s="707">
        <f>IFERROR(-'E2 - Tributos'!P$19*VLOOKUP('F1 - FCL'!$A61,ReceitaBruta,COLUMN('A4 - Previsão de Receita Bruta'!O$6)-1,0),0)</f>
        <v>-294560.59790004056</v>
      </c>
      <c r="O63" s="707">
        <f>IFERROR(-'E2 - Tributos'!Q$19*VLOOKUP('F1 - FCL'!$A61,ReceitaBruta,COLUMN('A4 - Previsão de Receita Bruta'!P$6)-1,0),0)</f>
        <v>-303535.85123075289</v>
      </c>
      <c r="P63" s="707">
        <f>IFERROR(-'E2 - Tributos'!R$19*VLOOKUP('F1 - FCL'!$A61,ReceitaBruta,COLUMN('A4 - Previsão de Receita Bruta'!Q$6)-1,0),0)</f>
        <v>-312782.36942508083</v>
      </c>
      <c r="Q63" s="707">
        <f>IFERROR(-'E2 - Tributos'!S$19*VLOOKUP('F1 - FCL'!$A61,ReceitaBruta,COLUMN('A4 - Previsão de Receita Bruta'!R$6)-1,0),0)</f>
        <v>-322280.75462441653</v>
      </c>
      <c r="R63" s="707">
        <f>IFERROR(-'E2 - Tributos'!T$19*VLOOKUP('F1 - FCL'!$A61,ReceitaBruta,COLUMN('A4 - Previsão de Receita Bruta'!S$6)-1,0),0)</f>
        <v>-332021.41864813864</v>
      </c>
      <c r="S63" s="707">
        <f>IFERROR(-'E2 - Tributos'!U$19*VLOOKUP('F1 - FCL'!$A61,ReceitaBruta,COLUMN('A4 - Previsão de Receita Bruta'!T$6)-1,0),0)</f>
        <v>-341975.79793847562</v>
      </c>
      <c r="T63" s="707">
        <f>IFERROR(-'E2 - Tributos'!V$19*VLOOKUP('F1 - FCL'!$A61,ReceitaBruta,COLUMN('A4 - Previsão de Receita Bruta'!U$6)-1,0),0)</f>
        <v>-352104.5918455029</v>
      </c>
      <c r="U63" s="707">
        <f>IFERROR(-'E2 - Tributos'!W$19*VLOOKUP('F1 - FCL'!$A61,ReceitaBruta,COLUMN('A4 - Previsão de Receita Bruta'!V$6)-1,0),0)</f>
        <v>-362368.76223163609</v>
      </c>
      <c r="V63" s="707">
        <f>IFERROR(-'E2 - Tributos'!X$19*VLOOKUP('F1 - FCL'!$A61,ReceitaBruta,COLUMN('A4 - Previsão de Receita Bruta'!W$6)-1,0),0)</f>
        <v>-362368.76223163609</v>
      </c>
      <c r="W63" s="707">
        <f>IFERROR(-'E2 - Tributos'!Y$19*VLOOKUP('F1 - FCL'!$A61,ReceitaBruta,COLUMN('A4 - Previsão de Receita Bruta'!X$6)-1,0),0)</f>
        <v>-362368.76223163609</v>
      </c>
      <c r="X63" s="707">
        <f>IFERROR(-'E2 - Tributos'!Z$19*VLOOKUP('F1 - FCL'!$A61,ReceitaBruta,COLUMN('A4 - Previsão de Receita Bruta'!Y$6)-1,0),0)</f>
        <v>-362368.76223163609</v>
      </c>
      <c r="Y63" s="707">
        <f>IFERROR(-'E2 - Tributos'!AA$19*VLOOKUP('F1 - FCL'!$A61,ReceitaBruta,COLUMN('A4 - Previsão de Receita Bruta'!Z$6)-1,0),0)</f>
        <v>-362368.76223163609</v>
      </c>
      <c r="Z63" s="707">
        <f>IFERROR(-'E2 - Tributos'!AB$19*VLOOKUP('F1 - FCL'!$A61,ReceitaBruta,COLUMN('A4 - Previsão de Receita Bruta'!AA$6)-1,0),0)</f>
        <v>-362368.76223163609</v>
      </c>
      <c r="AA63" s="707">
        <f>IFERROR(-'E2 - Tributos'!AC$19*VLOOKUP('F1 - FCL'!$A61,ReceitaBruta,COLUMN('A4 - Previsão de Receita Bruta'!AB$6)-1,0),0)</f>
        <v>-362368.76223163609</v>
      </c>
      <c r="AB63" s="707">
        <f>IFERROR(-'E2 - Tributos'!AD$19*VLOOKUP('F1 - FCL'!$A61,ReceitaBruta,COLUMN('A4 - Previsão de Receita Bruta'!AC$6)-1,0),0)</f>
        <v>-362368.76223163609</v>
      </c>
      <c r="AC63" s="707">
        <f>IFERROR(-'E2 - Tributos'!AE$19*VLOOKUP('F1 - FCL'!$A61,ReceitaBruta,COLUMN('A4 - Previsão de Receita Bruta'!AD$6)-1,0),0)</f>
        <v>-362368.76223163609</v>
      </c>
      <c r="AD63" s="707">
        <f>IFERROR(-'E2 - Tributos'!AF$19*VLOOKUP('F1 - FCL'!$A61,ReceitaBruta,COLUMN('A4 - Previsão de Receita Bruta'!AE$6)-1,0),0)</f>
        <v>-362368.76223163609</v>
      </c>
      <c r="AE63" s="707">
        <f>IFERROR(-'E2 - Tributos'!AG$19*VLOOKUP('F1 - FCL'!$A61,ReceitaBruta,COLUMN('A4 - Previsão de Receita Bruta'!AF$6)-1,0),0)</f>
        <v>-362368.76223163609</v>
      </c>
      <c r="AF63" s="594"/>
      <c r="AG63" s="594"/>
      <c r="AH63" s="594"/>
      <c r="AI63" s="594"/>
      <c r="AJ63" s="594"/>
      <c r="AK63" s="594"/>
      <c r="AL63" s="594"/>
      <c r="AM63" s="594"/>
      <c r="AN63" s="594"/>
      <c r="AO63" s="594"/>
      <c r="AP63" s="594"/>
      <c r="AQ63" s="594"/>
      <c r="AR63" s="594"/>
      <c r="AS63" s="594"/>
      <c r="AT63" s="594"/>
      <c r="AU63" s="594"/>
      <c r="AV63" s="594"/>
      <c r="AW63" s="594"/>
      <c r="AX63" s="594"/>
      <c r="AY63" s="594"/>
      <c r="AZ63" s="594"/>
      <c r="BA63" s="594"/>
      <c r="BB63" s="594"/>
      <c r="BC63" s="594"/>
      <c r="BD63" s="594"/>
      <c r="BE63" s="594"/>
      <c r="BF63" s="594"/>
      <c r="BG63" s="594"/>
      <c r="BH63" s="594"/>
      <c r="BI63" s="594"/>
      <c r="BJ63" s="594"/>
      <c r="BK63" s="594"/>
      <c r="BL63" s="57"/>
      <c r="BM63" s="594"/>
      <c r="BN63" s="594"/>
      <c r="BO63" s="594"/>
      <c r="BP63" s="594"/>
      <c r="BQ63" s="594"/>
      <c r="BR63" s="594"/>
      <c r="BS63" s="594"/>
      <c r="BT63" s="594"/>
      <c r="BU63" s="594"/>
      <c r="BV63" s="594"/>
      <c r="BW63" s="594"/>
      <c r="BX63" s="594"/>
      <c r="BY63" s="594"/>
      <c r="BZ63" s="594"/>
      <c r="CA63" s="594"/>
      <c r="CB63" s="594"/>
      <c r="CC63" s="594"/>
      <c r="CD63" s="594"/>
      <c r="CE63" s="594"/>
      <c r="CF63" s="594"/>
      <c r="CG63" s="594"/>
      <c r="CH63" s="594"/>
      <c r="CI63" s="594"/>
      <c r="CJ63" s="594"/>
      <c r="CK63" s="594"/>
      <c r="CL63" s="594"/>
      <c r="CM63" s="594"/>
      <c r="CN63" s="594"/>
      <c r="CO63" s="594"/>
      <c r="CP63" s="594"/>
      <c r="CQ63" s="594"/>
    </row>
    <row r="64" spans="1:95" ht="19.5" hidden="1" customHeight="1" outlineLevel="1">
      <c r="A64" s="708" t="s">
        <v>590</v>
      </c>
      <c r="B64" s="707">
        <f t="shared" ref="B64:AE64" si="21">SUM(B65:B69)</f>
        <v>-72073.560000000012</v>
      </c>
      <c r="C64" s="707">
        <f t="shared" si="21"/>
        <v>-289038.79920100007</v>
      </c>
      <c r="D64" s="707">
        <f t="shared" si="21"/>
        <v>-289683.34320100007</v>
      </c>
      <c r="E64" s="707">
        <f t="shared" si="21"/>
        <v>-290308.01520100009</v>
      </c>
      <c r="F64" s="707">
        <f t="shared" si="21"/>
        <v>-290943.05520100007</v>
      </c>
      <c r="G64" s="707">
        <f t="shared" si="21"/>
        <v>-291588.46320100006</v>
      </c>
      <c r="H64" s="707">
        <f t="shared" si="21"/>
        <v>-292252.01520100009</v>
      </c>
      <c r="I64" s="707">
        <f t="shared" si="21"/>
        <v>-292935.43920100009</v>
      </c>
      <c r="J64" s="707">
        <f t="shared" si="21"/>
        <v>-293630.95920100005</v>
      </c>
      <c r="K64" s="707">
        <f t="shared" si="21"/>
        <v>-294340.30320100009</v>
      </c>
      <c r="L64" s="707">
        <f t="shared" si="21"/>
        <v>-295070.38320100005</v>
      </c>
      <c r="M64" s="707">
        <f t="shared" si="21"/>
        <v>-295823.79120100004</v>
      </c>
      <c r="N64" s="707">
        <f t="shared" si="21"/>
        <v>-296600.52720100008</v>
      </c>
      <c r="O64" s="707">
        <f t="shared" si="21"/>
        <v>-297400.59120100009</v>
      </c>
      <c r="P64" s="707">
        <f t="shared" si="21"/>
        <v>-298224.84720100008</v>
      </c>
      <c r="Q64" s="707">
        <f t="shared" si="21"/>
        <v>-299071.56720100006</v>
      </c>
      <c r="R64" s="707">
        <f t="shared" si="21"/>
        <v>-299939.88720100006</v>
      </c>
      <c r="S64" s="707">
        <f t="shared" si="21"/>
        <v>-300827.21520100004</v>
      </c>
      <c r="T64" s="707">
        <f t="shared" si="21"/>
        <v>-301730.09520100005</v>
      </c>
      <c r="U64" s="707">
        <f t="shared" si="21"/>
        <v>-302645.07120100007</v>
      </c>
      <c r="V64" s="707">
        <f t="shared" si="21"/>
        <v>-302645.07120100007</v>
      </c>
      <c r="W64" s="707">
        <f t="shared" si="21"/>
        <v>-302645.07120100007</v>
      </c>
      <c r="X64" s="707">
        <f t="shared" si="21"/>
        <v>-302645.07120100007</v>
      </c>
      <c r="Y64" s="707">
        <f t="shared" si="21"/>
        <v>-302645.07120100007</v>
      </c>
      <c r="Z64" s="707">
        <f t="shared" si="21"/>
        <v>-302645.07120100007</v>
      </c>
      <c r="AA64" s="707">
        <f t="shared" si="21"/>
        <v>-302645.07120100007</v>
      </c>
      <c r="AB64" s="707">
        <f t="shared" si="21"/>
        <v>-302645.07120100007</v>
      </c>
      <c r="AC64" s="707">
        <f t="shared" si="21"/>
        <v>-302645.07120100007</v>
      </c>
      <c r="AD64" s="707">
        <f t="shared" si="21"/>
        <v>-302645.07120100007</v>
      </c>
      <c r="AE64" s="707">
        <f t="shared" si="21"/>
        <v>-302645.07120100007</v>
      </c>
      <c r="AF64" s="594"/>
      <c r="AG64" s="594"/>
      <c r="AH64" s="594"/>
      <c r="AI64" s="594"/>
      <c r="AJ64" s="594"/>
      <c r="AK64" s="594"/>
      <c r="AL64" s="594"/>
      <c r="AM64" s="594"/>
      <c r="AN64" s="594"/>
      <c r="AO64" s="594"/>
      <c r="AP64" s="594"/>
      <c r="AQ64" s="594"/>
      <c r="AR64" s="594"/>
      <c r="AS64" s="594"/>
      <c r="AT64" s="594"/>
      <c r="AU64" s="594"/>
      <c r="AV64" s="594"/>
      <c r="AW64" s="594"/>
      <c r="AX64" s="594"/>
      <c r="AY64" s="594"/>
      <c r="AZ64" s="594"/>
      <c r="BA64" s="594"/>
      <c r="BB64" s="594"/>
      <c r="BC64" s="594"/>
      <c r="BD64" s="594"/>
      <c r="BE64" s="594"/>
      <c r="BF64" s="594"/>
      <c r="BG64" s="594"/>
      <c r="BH64" s="594"/>
      <c r="BI64" s="594"/>
      <c r="BJ64" s="594"/>
      <c r="BK64" s="594"/>
      <c r="BL64" s="57"/>
      <c r="BM64" s="594"/>
      <c r="BN64" s="594"/>
      <c r="BO64" s="594"/>
      <c r="BP64" s="594"/>
      <c r="BQ64" s="594"/>
      <c r="BR64" s="594"/>
      <c r="BS64" s="594"/>
      <c r="BT64" s="594"/>
      <c r="BU64" s="594"/>
      <c r="BV64" s="594"/>
      <c r="BW64" s="594"/>
      <c r="BX64" s="594"/>
      <c r="BY64" s="594"/>
      <c r="BZ64" s="594"/>
      <c r="CA64" s="594"/>
      <c r="CB64" s="594"/>
      <c r="CC64" s="594"/>
      <c r="CD64" s="594"/>
      <c r="CE64" s="594"/>
      <c r="CF64" s="594"/>
      <c r="CG64" s="594"/>
      <c r="CH64" s="594"/>
      <c r="CI64" s="594"/>
      <c r="CJ64" s="594"/>
      <c r="CK64" s="594"/>
      <c r="CL64" s="594"/>
      <c r="CM64" s="594"/>
      <c r="CN64" s="594"/>
      <c r="CO64" s="594"/>
      <c r="CP64" s="594"/>
      <c r="CQ64" s="594"/>
    </row>
    <row r="65" spans="1:95" ht="21" hidden="1" customHeight="1" outlineLevel="2">
      <c r="A65" s="709" t="s">
        <v>682</v>
      </c>
      <c r="B65" s="710">
        <f>IF($A61="",0,-SUMIF('C3 - Funcionários $'!$D$7:$D$121,$A61,'C3 - Funcionários $'!G$7:G$121))</f>
        <v>0</v>
      </c>
      <c r="C65" s="710">
        <f>IF($A61="",0,-SUMIF('C3 - Funcionários $'!$D$7:$D$121,$A61,'C3 - Funcionários $'!H$7:H$121))</f>
        <v>-198269.14320100006</v>
      </c>
      <c r="D65" s="710">
        <f>IF($A61="",0,-SUMIF('C3 - Funcionários $'!$D$7:$D$121,$A61,'C3 - Funcionários $'!I$7:I$121))</f>
        <v>-198269.14320100006</v>
      </c>
      <c r="E65" s="710">
        <f>IF($A61="",0,-SUMIF('C3 - Funcionários $'!$D$7:$D$121,$A61,'C3 - Funcionários $'!J$7:J$121))</f>
        <v>-198269.14320100006</v>
      </c>
      <c r="F65" s="710">
        <f>IF($A61="",0,-SUMIF('C3 - Funcionários $'!$D$7:$D$121,$A61,'C3 - Funcionários $'!K$7:K$121))</f>
        <v>-198269.14320100006</v>
      </c>
      <c r="G65" s="710">
        <f>IF($A61="",0,-SUMIF('C3 - Funcionários $'!$D$7:$D$121,$A61,'C3 - Funcionários $'!L$7:L$121))</f>
        <v>-198269.14320100006</v>
      </c>
      <c r="H65" s="710">
        <f>IF($A61="",0,-SUMIF('C3 - Funcionários $'!$D$7:$D$121,$A61,'C3 - Funcionários $'!M$7:M$121))</f>
        <v>-198269.14320100006</v>
      </c>
      <c r="I65" s="710">
        <f>IF($A61="",0,-SUMIF('C3 - Funcionários $'!$D$7:$D$121,$A61,'C3 - Funcionários $'!N$7:N$121))</f>
        <v>-198269.14320100006</v>
      </c>
      <c r="J65" s="710">
        <f>IF($A61="",0,-SUMIF('C3 - Funcionários $'!$D$7:$D$121,$A61,'C3 - Funcionários $'!O$7:O$121))</f>
        <v>-198269.14320100006</v>
      </c>
      <c r="K65" s="710">
        <f>IF($A61="",0,-SUMIF('C3 - Funcionários $'!$D$7:$D$121,$A61,'C3 - Funcionários $'!P$7:P$121))</f>
        <v>-198269.14320100006</v>
      </c>
      <c r="L65" s="710">
        <f>IF($A61="",0,-SUMIF('C3 - Funcionários $'!$D$7:$D$121,$A61,'C3 - Funcionários $'!Q$7:Q$121))</f>
        <v>-198269.14320100006</v>
      </c>
      <c r="M65" s="710">
        <f>IF($A61="",0,-SUMIF('C3 - Funcionários $'!$D$7:$D$121,$A61,'C3 - Funcionários $'!R$7:R$121))</f>
        <v>-198269.14320100006</v>
      </c>
      <c r="N65" s="710">
        <f>IF($A61="",0,-SUMIF('C3 - Funcionários $'!$D$7:$D$121,$A61,'C3 - Funcionários $'!S$7:S$121))</f>
        <v>-198269.14320100006</v>
      </c>
      <c r="O65" s="710">
        <f>IF($A61="",0,-SUMIF('C3 - Funcionários $'!$D$7:$D$121,$A61,'C3 - Funcionários $'!T$7:T$121))</f>
        <v>-198269.14320100006</v>
      </c>
      <c r="P65" s="710">
        <f>IF($A61="",0,-SUMIF('C3 - Funcionários $'!$D$7:$D$121,$A61,'C3 - Funcionários $'!U$7:U$121))</f>
        <v>-198269.14320100006</v>
      </c>
      <c r="Q65" s="710">
        <f>IF($A61="",0,-SUMIF('C3 - Funcionários $'!$D$7:$D$121,$A61,'C3 - Funcionários $'!V$7:V$121))</f>
        <v>-198269.14320100006</v>
      </c>
      <c r="R65" s="710">
        <f>IF($A61="",0,-SUMIF('C3 - Funcionários $'!$D$7:$D$121,$A61,'C3 - Funcionários $'!W$7:W$121))</f>
        <v>-198269.14320100006</v>
      </c>
      <c r="S65" s="710">
        <f>IF($A61="",0,-SUMIF('C3 - Funcionários $'!$D$7:$D$121,$A61,'C3 - Funcionários $'!X$7:X$121))</f>
        <v>-198269.14320100006</v>
      </c>
      <c r="T65" s="710">
        <f>IF($A61="",0,-SUMIF('C3 - Funcionários $'!$D$7:$D$121,$A61,'C3 - Funcionários $'!Y$7:Y$121))</f>
        <v>-198269.14320100006</v>
      </c>
      <c r="U65" s="710">
        <f>IF($A61="",0,-SUMIF('C3 - Funcionários $'!$D$7:$D$121,$A61,'C3 - Funcionários $'!Z$7:Z$121))</f>
        <v>-198269.14320100006</v>
      </c>
      <c r="V65" s="710">
        <f>IF($A61="",0,-SUMIF('C3 - Funcionários $'!$D$7:$D$121,$A61,'C3 - Funcionários $'!AA$7:AA$121))</f>
        <v>-198269.14320100006</v>
      </c>
      <c r="W65" s="710">
        <f>IF($A61="",0,-SUMIF('C3 - Funcionários $'!$D$7:$D$121,$A61,'C3 - Funcionários $'!AB$7:AB$121))</f>
        <v>-198269.14320100006</v>
      </c>
      <c r="X65" s="710">
        <f>IF($A61="",0,-SUMIF('C3 - Funcionários $'!$D$7:$D$121,$A61,'C3 - Funcionários $'!AC$7:AC$121))</f>
        <v>-198269.14320100006</v>
      </c>
      <c r="Y65" s="710">
        <f>IF($A61="",0,-SUMIF('C3 - Funcionários $'!$D$7:$D$121,$A61,'C3 - Funcionários $'!AD$7:AD$121))</f>
        <v>-198269.14320100006</v>
      </c>
      <c r="Z65" s="710">
        <f>IF($A61="",0,-SUMIF('C3 - Funcionários $'!$D$7:$D$121,$A61,'C3 - Funcionários $'!AE$7:AE$121))</f>
        <v>-198269.14320100006</v>
      </c>
      <c r="AA65" s="710">
        <f>IF($A61="",0,-SUMIF('C3 - Funcionários $'!$D$7:$D$121,$A61,'C3 - Funcionários $'!AF$7:AF$121))</f>
        <v>-198269.14320100006</v>
      </c>
      <c r="AB65" s="710">
        <f>IF($A61="",0,-SUMIF('C3 - Funcionários $'!$D$7:$D$121,$A61,'C3 - Funcionários $'!AG$7:AG$121))</f>
        <v>-198269.14320100006</v>
      </c>
      <c r="AC65" s="710">
        <f>IF($A61="",0,-SUMIF('C3 - Funcionários $'!$D$7:$D$121,$A61,'C3 - Funcionários $'!AH$7:AH$121))</f>
        <v>-198269.14320100006</v>
      </c>
      <c r="AD65" s="710">
        <f>IF($A61="",0,-SUMIF('C3 - Funcionários $'!$D$7:$D$121,$A61,'C3 - Funcionários $'!AI$7:AI$121))</f>
        <v>-198269.14320100006</v>
      </c>
      <c r="AE65" s="710">
        <f>IF($A61="",0,-SUMIF('C3 - Funcionários $'!$D$7:$D$121,$A61,'C3 - Funcionários $'!AJ$7:AJ$121))</f>
        <v>-198269.14320100006</v>
      </c>
      <c r="AF65" s="594"/>
      <c r="AG65" s="594"/>
      <c r="AH65" s="594"/>
      <c r="AI65" s="594"/>
      <c r="AJ65" s="594"/>
      <c r="AK65" s="594"/>
      <c r="AL65" s="594"/>
      <c r="AM65" s="594"/>
      <c r="AN65" s="594"/>
      <c r="AO65" s="594"/>
      <c r="AP65" s="594"/>
      <c r="AQ65" s="594"/>
      <c r="AR65" s="594"/>
      <c r="AS65" s="594"/>
      <c r="AT65" s="594"/>
      <c r="AU65" s="594"/>
      <c r="AV65" s="594"/>
      <c r="AW65" s="594"/>
      <c r="AX65" s="594"/>
      <c r="AY65" s="594"/>
      <c r="AZ65" s="594"/>
      <c r="BA65" s="594"/>
      <c r="BB65" s="594"/>
      <c r="BC65" s="594"/>
      <c r="BD65" s="594"/>
      <c r="BE65" s="594"/>
      <c r="BF65" s="594"/>
      <c r="BG65" s="594"/>
      <c r="BH65" s="594"/>
      <c r="BI65" s="594"/>
      <c r="BJ65" s="594"/>
      <c r="BK65" s="594"/>
      <c r="BL65" s="57"/>
      <c r="BM65" s="594"/>
      <c r="BN65" s="594"/>
      <c r="BO65" s="594"/>
      <c r="BP65" s="594"/>
      <c r="BQ65" s="594"/>
      <c r="BR65" s="594"/>
      <c r="BS65" s="594"/>
      <c r="BT65" s="594"/>
      <c r="BU65" s="594"/>
      <c r="BV65" s="594"/>
      <c r="BW65" s="594"/>
      <c r="BX65" s="594"/>
      <c r="BY65" s="594"/>
      <c r="BZ65" s="594"/>
      <c r="CA65" s="594"/>
      <c r="CB65" s="594"/>
      <c r="CC65" s="594"/>
      <c r="CD65" s="594"/>
      <c r="CE65" s="594"/>
      <c r="CF65" s="594"/>
      <c r="CG65" s="594"/>
      <c r="CH65" s="594"/>
      <c r="CI65" s="594"/>
      <c r="CJ65" s="594"/>
      <c r="CK65" s="594"/>
      <c r="CL65" s="594"/>
      <c r="CM65" s="594"/>
      <c r="CN65" s="594"/>
      <c r="CO65" s="594"/>
      <c r="CP65" s="594"/>
      <c r="CQ65" s="594"/>
    </row>
    <row r="66" spans="1:95" ht="21" hidden="1" customHeight="1" outlineLevel="2">
      <c r="A66" s="709" t="s">
        <v>683</v>
      </c>
      <c r="B66" s="710">
        <f>IFERROR(-VLOOKUP($A61,CustoDiretoTotal,COLUMN('B2 - Custos diretos totais'!C$3)-1,0),0)</f>
        <v>0</v>
      </c>
      <c r="C66" s="710">
        <f>IFERROR(-VLOOKUP($A61,CustoDiretoTotal,COLUMN('B2 - Custos diretos totais'!D$3)-1,0),0)</f>
        <v>0</v>
      </c>
      <c r="D66" s="710">
        <f>IFERROR(-VLOOKUP($A61,CustoDiretoTotal,COLUMN('B2 - Custos diretos totais'!E$3)-1,0),0)</f>
        <v>0</v>
      </c>
      <c r="E66" s="710">
        <f>IFERROR(-VLOOKUP($A61,CustoDiretoTotal,COLUMN('B2 - Custos diretos totais'!F$3)-1,0),0)</f>
        <v>0</v>
      </c>
      <c r="F66" s="710">
        <f>IFERROR(-VLOOKUP($A61,CustoDiretoTotal,COLUMN('B2 - Custos diretos totais'!G$3)-1,0),0)</f>
        <v>0</v>
      </c>
      <c r="G66" s="710">
        <f>IFERROR(-VLOOKUP($A61,CustoDiretoTotal,COLUMN('B2 - Custos diretos totais'!H$3)-1,0),0)</f>
        <v>0</v>
      </c>
      <c r="H66" s="710">
        <f>IFERROR(-VLOOKUP($A61,CustoDiretoTotal,COLUMN('B2 - Custos diretos totais'!I$3)-1,0),0)</f>
        <v>0</v>
      </c>
      <c r="I66" s="710">
        <f>IFERROR(-VLOOKUP($A61,CustoDiretoTotal,COLUMN('B2 - Custos diretos totais'!J$3)-1,0),0)</f>
        <v>0</v>
      </c>
      <c r="J66" s="710">
        <f>IFERROR(-VLOOKUP($A61,CustoDiretoTotal,COLUMN('B2 - Custos diretos totais'!K$3)-1,0),0)</f>
        <v>0</v>
      </c>
      <c r="K66" s="710">
        <f>IFERROR(-VLOOKUP($A61,CustoDiretoTotal,COLUMN('B2 - Custos diretos totais'!L$3)-1,0),0)</f>
        <v>0</v>
      </c>
      <c r="L66" s="710">
        <f>IFERROR(-VLOOKUP($A61,CustoDiretoTotal,COLUMN('B2 - Custos diretos totais'!M$3)-1,0),0)</f>
        <v>0</v>
      </c>
      <c r="M66" s="710">
        <f>IFERROR(-VLOOKUP($A61,CustoDiretoTotal,COLUMN('B2 - Custos diretos totais'!N$3)-1,0),0)</f>
        <v>0</v>
      </c>
      <c r="N66" s="710">
        <f>IFERROR(-VLOOKUP($A61,CustoDiretoTotal,COLUMN('B2 - Custos diretos totais'!O$3)-1,0),0)</f>
        <v>0</v>
      </c>
      <c r="O66" s="710">
        <f>IFERROR(-VLOOKUP($A61,CustoDiretoTotal,COLUMN('B2 - Custos diretos totais'!P$3)-1,0),0)</f>
        <v>0</v>
      </c>
      <c r="P66" s="710">
        <f>IFERROR(-VLOOKUP($A61,CustoDiretoTotal,COLUMN('B2 - Custos diretos totais'!Q$3)-1,0),0)</f>
        <v>0</v>
      </c>
      <c r="Q66" s="710">
        <f>IFERROR(-VLOOKUP($A61,CustoDiretoTotal,COLUMN('B2 - Custos diretos totais'!R$3)-1,0),0)</f>
        <v>0</v>
      </c>
      <c r="R66" s="710">
        <f>IFERROR(-VLOOKUP($A61,CustoDiretoTotal,COLUMN('B2 - Custos diretos totais'!S$3)-1,0),0)</f>
        <v>0</v>
      </c>
      <c r="S66" s="710">
        <f>IFERROR(-VLOOKUP($A61,CustoDiretoTotal,COLUMN('B2 - Custos diretos totais'!T$3)-1,0),0)</f>
        <v>0</v>
      </c>
      <c r="T66" s="710">
        <f>IFERROR(-VLOOKUP($A61,CustoDiretoTotal,COLUMN('B2 - Custos diretos totais'!U$3)-1,0),0)</f>
        <v>0</v>
      </c>
      <c r="U66" s="710">
        <f>IFERROR(-VLOOKUP($A61,CustoDiretoTotal,COLUMN('B2 - Custos diretos totais'!V$3)-1,0),0)</f>
        <v>0</v>
      </c>
      <c r="V66" s="710">
        <f>IFERROR(-VLOOKUP($A61,CustoDiretoTotal,COLUMN('B2 - Custos diretos totais'!W$3)-1,0),0)</f>
        <v>0</v>
      </c>
      <c r="W66" s="710">
        <f>IFERROR(-VLOOKUP($A61,CustoDiretoTotal,COLUMN('B2 - Custos diretos totais'!X$3)-1,0),0)</f>
        <v>0</v>
      </c>
      <c r="X66" s="710">
        <f>IFERROR(-VLOOKUP($A61,CustoDiretoTotal,COLUMN('B2 - Custos diretos totais'!Y$3)-1,0),0)</f>
        <v>0</v>
      </c>
      <c r="Y66" s="710">
        <f>IFERROR(-VLOOKUP($A61,CustoDiretoTotal,COLUMN('B2 - Custos diretos totais'!Z$3)-1,0),0)</f>
        <v>0</v>
      </c>
      <c r="Z66" s="710">
        <f>IFERROR(-VLOOKUP($A61,CustoDiretoTotal,COLUMN('B2 - Custos diretos totais'!AA$3)-1,0),0)</f>
        <v>0</v>
      </c>
      <c r="AA66" s="710">
        <f>IFERROR(-VLOOKUP($A61,CustoDiretoTotal,COLUMN('B2 - Custos diretos totais'!AB$3)-1,0),0)</f>
        <v>0</v>
      </c>
      <c r="AB66" s="710">
        <f>IFERROR(-VLOOKUP($A61,CustoDiretoTotal,COLUMN('B2 - Custos diretos totais'!AC$3)-1,0),0)</f>
        <v>0</v>
      </c>
      <c r="AC66" s="710">
        <f>IFERROR(-VLOOKUP($A61,CustoDiretoTotal,COLUMN('B2 - Custos diretos totais'!AD$3)-1,0),0)</f>
        <v>0</v>
      </c>
      <c r="AD66" s="710">
        <f>IFERROR(-VLOOKUP($A61,CustoDiretoTotal,COLUMN('B2 - Custos diretos totais'!AE$3)-1,0),0)</f>
        <v>0</v>
      </c>
      <c r="AE66" s="710">
        <f>IFERROR(-VLOOKUP($A61,CustoDiretoTotal,COLUMN('B2 - Custos diretos totais'!AF$3)-1,0),0)</f>
        <v>0</v>
      </c>
      <c r="AF66" s="594"/>
      <c r="AG66" s="594"/>
      <c r="AH66" s="594"/>
      <c r="AI66" s="594"/>
      <c r="AJ66" s="594"/>
      <c r="AK66" s="594"/>
      <c r="AL66" s="594"/>
      <c r="AM66" s="594"/>
      <c r="AN66" s="594"/>
      <c r="AO66" s="594"/>
      <c r="AP66" s="594"/>
      <c r="AQ66" s="594"/>
      <c r="AR66" s="594"/>
      <c r="AS66" s="594"/>
      <c r="AT66" s="594"/>
      <c r="AU66" s="594"/>
      <c r="AV66" s="594"/>
      <c r="AW66" s="594"/>
      <c r="AX66" s="594"/>
      <c r="AY66" s="594"/>
      <c r="AZ66" s="594"/>
      <c r="BA66" s="594"/>
      <c r="BB66" s="594"/>
      <c r="BC66" s="594"/>
      <c r="BD66" s="594"/>
      <c r="BE66" s="594"/>
      <c r="BF66" s="594"/>
      <c r="BG66" s="594"/>
      <c r="BH66" s="594"/>
      <c r="BI66" s="594"/>
      <c r="BJ66" s="594"/>
      <c r="BK66" s="594"/>
      <c r="BL66" s="57"/>
      <c r="BM66" s="594"/>
      <c r="BN66" s="594"/>
      <c r="BO66" s="594"/>
      <c r="BP66" s="594"/>
      <c r="BQ66" s="594"/>
      <c r="BR66" s="594"/>
      <c r="BS66" s="594"/>
      <c r="BT66" s="594"/>
      <c r="BU66" s="594"/>
      <c r="BV66" s="594"/>
      <c r="BW66" s="594"/>
      <c r="BX66" s="594"/>
      <c r="BY66" s="594"/>
      <c r="BZ66" s="594"/>
      <c r="CA66" s="594"/>
      <c r="CB66" s="594"/>
      <c r="CC66" s="594"/>
      <c r="CD66" s="594"/>
      <c r="CE66" s="594"/>
      <c r="CF66" s="594"/>
      <c r="CG66" s="594"/>
      <c r="CH66" s="594"/>
      <c r="CI66" s="594"/>
      <c r="CJ66" s="594"/>
      <c r="CK66" s="594"/>
      <c r="CL66" s="594"/>
      <c r="CM66" s="594"/>
      <c r="CN66" s="594"/>
      <c r="CO66" s="594"/>
      <c r="CP66" s="594"/>
      <c r="CQ66" s="594"/>
    </row>
    <row r="67" spans="1:95" ht="21" hidden="1" customHeight="1" outlineLevel="2">
      <c r="A67" s="709" t="s">
        <v>684</v>
      </c>
      <c r="B67" s="710">
        <f>-SUMIFS('B3 - Custos despesas indiretos'!AK$5:AK$148,'B3 - Custos despesas indiretos'!$B$5:$B$148,"Custos",'B3 - Custos despesas indiretos'!$D$5:$D$148,$A61)</f>
        <v>-19466.5</v>
      </c>
      <c r="C67" s="710">
        <f>-SUMIFS('B3 - Custos despesas indiretos'!AL$5:AL$148,'B3 - Custos despesas indiretos'!$B$5:$B$148,"Custos",'B3 - Custos despesas indiretos'!$D$5:$D$148,$A61)</f>
        <v>-19466.5</v>
      </c>
      <c r="D67" s="710">
        <f>-SUMIFS('B3 - Custos despesas indiretos'!AM$5:AM$148,'B3 - Custos despesas indiretos'!$B$5:$B$148,"Custos",'B3 - Custos despesas indiretos'!$D$5:$D$148,$A61)</f>
        <v>-19466.5</v>
      </c>
      <c r="E67" s="710">
        <f>-SUMIFS('B3 - Custos despesas indiretos'!AN$5:AN$148,'B3 - Custos despesas indiretos'!$B$5:$B$148,"Custos",'B3 - Custos despesas indiretos'!$D$5:$D$148,$A61)</f>
        <v>-19466.5</v>
      </c>
      <c r="F67" s="710">
        <f>-SUMIFS('B3 - Custos despesas indiretos'!AO$5:AO$148,'B3 - Custos despesas indiretos'!$B$5:$B$148,"Custos",'B3 - Custos despesas indiretos'!$D$5:$D$148,$A61)</f>
        <v>-19466.5</v>
      </c>
      <c r="G67" s="710">
        <f>-SUMIFS('B3 - Custos despesas indiretos'!AP$5:AP$148,'B3 - Custos despesas indiretos'!$B$5:$B$148,"Custos",'B3 - Custos despesas indiretos'!$D$5:$D$148,$A61)</f>
        <v>-19466.5</v>
      </c>
      <c r="H67" s="710">
        <f>-SUMIFS('B3 - Custos despesas indiretos'!AQ$5:AQ$148,'B3 - Custos despesas indiretos'!$B$5:$B$148,"Custos",'B3 - Custos despesas indiretos'!$D$5:$D$148,$A61)</f>
        <v>-19466.5</v>
      </c>
      <c r="I67" s="710">
        <f>-SUMIFS('B3 - Custos despesas indiretos'!AR$5:AR$148,'B3 - Custos despesas indiretos'!$B$5:$B$148,"Custos",'B3 - Custos despesas indiretos'!$D$5:$D$148,$A61)</f>
        <v>-19466.5</v>
      </c>
      <c r="J67" s="710">
        <f>-SUMIFS('B3 - Custos despesas indiretos'!AS$5:AS$148,'B3 - Custos despesas indiretos'!$B$5:$B$148,"Custos",'B3 - Custos despesas indiretos'!$D$5:$D$148,$A61)</f>
        <v>-19466.5</v>
      </c>
      <c r="K67" s="710">
        <f>-SUMIFS('B3 - Custos despesas indiretos'!AT$5:AT$148,'B3 - Custos despesas indiretos'!$B$5:$B$148,"Custos",'B3 - Custos despesas indiretos'!$D$5:$D$148,$A61)</f>
        <v>-19466.5</v>
      </c>
      <c r="L67" s="710">
        <f>-SUMIFS('B3 - Custos despesas indiretos'!AU$5:AU$148,'B3 - Custos despesas indiretos'!$B$5:$B$148,"Custos",'B3 - Custos despesas indiretos'!$D$5:$D$148,$A61)</f>
        <v>-19466.5</v>
      </c>
      <c r="M67" s="710">
        <f>-SUMIFS('B3 - Custos despesas indiretos'!AV$5:AV$148,'B3 - Custos despesas indiretos'!$B$5:$B$148,"Custos",'B3 - Custos despesas indiretos'!$D$5:$D$148,$A61)</f>
        <v>-19466.5</v>
      </c>
      <c r="N67" s="710">
        <f>-SUMIFS('B3 - Custos despesas indiretos'!AW$5:AW$148,'B3 - Custos despesas indiretos'!$B$5:$B$148,"Custos",'B3 - Custos despesas indiretos'!$D$5:$D$148,$A61)</f>
        <v>-19466.5</v>
      </c>
      <c r="O67" s="710">
        <f>-SUMIFS('B3 - Custos despesas indiretos'!AX$5:AX$148,'B3 - Custos despesas indiretos'!$B$5:$B$148,"Custos",'B3 - Custos despesas indiretos'!$D$5:$D$148,$A61)</f>
        <v>-19466.5</v>
      </c>
      <c r="P67" s="710">
        <f>-SUMIFS('B3 - Custos despesas indiretos'!AY$5:AY$148,'B3 - Custos despesas indiretos'!$B$5:$B$148,"Custos",'B3 - Custos despesas indiretos'!$D$5:$D$148,$A61)</f>
        <v>-19466.5</v>
      </c>
      <c r="Q67" s="710">
        <f>-SUMIFS('B3 - Custos despesas indiretos'!AZ$5:AZ$148,'B3 - Custos despesas indiretos'!$B$5:$B$148,"Custos",'B3 - Custos despesas indiretos'!$D$5:$D$148,$A61)</f>
        <v>-19466.5</v>
      </c>
      <c r="R67" s="710">
        <f>-SUMIFS('B3 - Custos despesas indiretos'!BA$5:BA$148,'B3 - Custos despesas indiretos'!$B$5:$B$148,"Custos",'B3 - Custos despesas indiretos'!$D$5:$D$148,$A61)</f>
        <v>-19466.5</v>
      </c>
      <c r="S67" s="710">
        <f>-SUMIFS('B3 - Custos despesas indiretos'!BB$5:BB$148,'B3 - Custos despesas indiretos'!$B$5:$B$148,"Custos",'B3 - Custos despesas indiretos'!$D$5:$D$148,$A61)</f>
        <v>-19466.5</v>
      </c>
      <c r="T67" s="710">
        <f>-SUMIFS('B3 - Custos despesas indiretos'!BC$5:BC$148,'B3 - Custos despesas indiretos'!$B$5:$B$148,"Custos",'B3 - Custos despesas indiretos'!$D$5:$D$148,$A61)</f>
        <v>-19466.5</v>
      </c>
      <c r="U67" s="710">
        <f>-SUMIFS('B3 - Custos despesas indiretos'!BD$5:BD$148,'B3 - Custos despesas indiretos'!$B$5:$B$148,"Custos",'B3 - Custos despesas indiretos'!$D$5:$D$148,$A61)</f>
        <v>-19466.5</v>
      </c>
      <c r="V67" s="710">
        <f>-SUMIFS('B3 - Custos despesas indiretos'!BE$5:BE$148,'B3 - Custos despesas indiretos'!$B$5:$B$148,"Custos",'B3 - Custos despesas indiretos'!$D$5:$D$148,$A61)</f>
        <v>-19466.5</v>
      </c>
      <c r="W67" s="710">
        <f>-SUMIFS('B3 - Custos despesas indiretos'!BF$5:BF$148,'B3 - Custos despesas indiretos'!$B$5:$B$148,"Custos",'B3 - Custos despesas indiretos'!$D$5:$D$148,$A61)</f>
        <v>-19466.5</v>
      </c>
      <c r="X67" s="710">
        <f>-SUMIFS('B3 - Custos despesas indiretos'!BG$5:BG$148,'B3 - Custos despesas indiretos'!$B$5:$B$148,"Custos",'B3 - Custos despesas indiretos'!$D$5:$D$148,$A61)</f>
        <v>-19466.5</v>
      </c>
      <c r="Y67" s="710">
        <f>-SUMIFS('B3 - Custos despesas indiretos'!BH$5:BH$148,'B3 - Custos despesas indiretos'!$B$5:$B$148,"Custos",'B3 - Custos despesas indiretos'!$D$5:$D$148,$A61)</f>
        <v>-19466.5</v>
      </c>
      <c r="Z67" s="710">
        <f>-SUMIFS('B3 - Custos despesas indiretos'!BI$5:BI$148,'B3 - Custos despesas indiretos'!$B$5:$B$148,"Custos",'B3 - Custos despesas indiretos'!$D$5:$D$148,$A61)</f>
        <v>-19466.5</v>
      </c>
      <c r="AA67" s="710">
        <f>-SUMIFS('B3 - Custos despesas indiretos'!BJ$5:BJ$148,'B3 - Custos despesas indiretos'!$B$5:$B$148,"Custos",'B3 - Custos despesas indiretos'!$D$5:$D$148,$A61)</f>
        <v>-19466.5</v>
      </c>
      <c r="AB67" s="710">
        <f>-SUMIFS('B3 - Custos despesas indiretos'!BK$5:BK$148,'B3 - Custos despesas indiretos'!$B$5:$B$148,"Custos",'B3 - Custos despesas indiretos'!$D$5:$D$148,$A61)</f>
        <v>-19466.5</v>
      </c>
      <c r="AC67" s="710">
        <f>-SUMIFS('B3 - Custos despesas indiretos'!BL$5:BL$148,'B3 - Custos despesas indiretos'!$B$5:$B$148,"Custos",'B3 - Custos despesas indiretos'!$D$5:$D$148,$A61)</f>
        <v>-19466.5</v>
      </c>
      <c r="AD67" s="710">
        <f>-SUMIFS('B3 - Custos despesas indiretos'!BM$5:BM$148,'B3 - Custos despesas indiretos'!$B$5:$B$148,"Custos",'B3 - Custos despesas indiretos'!$D$5:$D$148,$A61)</f>
        <v>-19466.5</v>
      </c>
      <c r="AE67" s="710">
        <f>-SUMIFS('B3 - Custos despesas indiretos'!BN$5:BN$148,'B3 - Custos despesas indiretos'!$B$5:$B$148,"Custos",'B3 - Custos despesas indiretos'!$D$5:$D$148,$A61)</f>
        <v>-19466.5</v>
      </c>
      <c r="AF67" s="594"/>
      <c r="AG67" s="594"/>
      <c r="AH67" s="594"/>
      <c r="AI67" s="594"/>
      <c r="AJ67" s="594"/>
      <c r="AK67" s="594"/>
      <c r="AL67" s="594"/>
      <c r="AM67" s="594"/>
      <c r="AN67" s="594"/>
      <c r="AO67" s="594"/>
      <c r="AP67" s="594"/>
      <c r="AQ67" s="594"/>
      <c r="AR67" s="594"/>
      <c r="AS67" s="594"/>
      <c r="AT67" s="594"/>
      <c r="AU67" s="594"/>
      <c r="AV67" s="594"/>
      <c r="AW67" s="594"/>
      <c r="AX67" s="594"/>
      <c r="AY67" s="594"/>
      <c r="AZ67" s="594"/>
      <c r="BA67" s="594"/>
      <c r="BB67" s="594"/>
      <c r="BC67" s="594"/>
      <c r="BD67" s="594"/>
      <c r="BE67" s="594"/>
      <c r="BF67" s="594"/>
      <c r="BG67" s="594"/>
      <c r="BH67" s="594"/>
      <c r="BI67" s="594"/>
      <c r="BJ67" s="594"/>
      <c r="BK67" s="594"/>
      <c r="BL67" s="57"/>
      <c r="BM67" s="594"/>
      <c r="BN67" s="594"/>
      <c r="BO67" s="594"/>
      <c r="BP67" s="594"/>
      <c r="BQ67" s="594"/>
      <c r="BR67" s="594"/>
      <c r="BS67" s="594"/>
      <c r="BT67" s="594"/>
      <c r="BU67" s="594"/>
      <c r="BV67" s="594"/>
      <c r="BW67" s="594"/>
      <c r="BX67" s="594"/>
      <c r="BY67" s="594"/>
      <c r="BZ67" s="594"/>
      <c r="CA67" s="594"/>
      <c r="CB67" s="594"/>
      <c r="CC67" s="594"/>
      <c r="CD67" s="594"/>
      <c r="CE67" s="594"/>
      <c r="CF67" s="594"/>
      <c r="CG67" s="594"/>
      <c r="CH67" s="594"/>
      <c r="CI67" s="594"/>
      <c r="CJ67" s="594"/>
      <c r="CK67" s="594"/>
      <c r="CL67" s="594"/>
      <c r="CM67" s="594"/>
      <c r="CN67" s="594"/>
      <c r="CO67" s="594"/>
      <c r="CP67" s="594"/>
      <c r="CQ67" s="594"/>
    </row>
    <row r="68" spans="1:95" ht="21" hidden="1" customHeight="1" outlineLevel="2">
      <c r="A68" s="709" t="s">
        <v>685</v>
      </c>
      <c r="B68" s="710">
        <f>-SUMIFS('B3 - Custos despesas indiretos'!AK$5:AK$148,'B3 - Custos despesas indiretos'!$B$5:$B$148,"Despesas",'B3 - Custos despesas indiretos'!$D$5:$D$148,$A61)</f>
        <v>0</v>
      </c>
      <c r="C68" s="710">
        <f>-SUMIFS('B3 - Custos despesas indiretos'!AL$5:AL$148,'B3 - Custos despesas indiretos'!$B$5:$B$148,"Despesas",'B3 - Custos despesas indiretos'!$D$5:$D$148,$A61)</f>
        <v>-18696.096000000001</v>
      </c>
      <c r="D68" s="710">
        <f>-SUMIFS('B3 - Custos despesas indiretos'!AM$5:AM$148,'B3 - Custos despesas indiretos'!$B$5:$B$148,"Despesas",'B3 - Custos despesas indiretos'!$D$5:$D$148,$A61)</f>
        <v>-19340.64</v>
      </c>
      <c r="E68" s="710">
        <f>-SUMIFS('B3 - Custos despesas indiretos'!AN$5:AN$148,'B3 - Custos despesas indiretos'!$B$5:$B$148,"Despesas",'B3 - Custos despesas indiretos'!$D$5:$D$148,$A61)</f>
        <v>-19965.312000000002</v>
      </c>
      <c r="F68" s="710">
        <f>-SUMIFS('B3 - Custos despesas indiretos'!AO$5:AO$148,'B3 - Custos despesas indiretos'!$B$5:$B$148,"Despesas",'B3 - Custos despesas indiretos'!$D$5:$D$148,$A61)</f>
        <v>-20600.351999999999</v>
      </c>
      <c r="G68" s="710">
        <f>-SUMIFS('B3 - Custos despesas indiretos'!AP$5:AP$148,'B3 - Custos despesas indiretos'!$B$5:$B$148,"Despesas",'B3 - Custos despesas indiretos'!$D$5:$D$148,$A61)</f>
        <v>-21245.760000000002</v>
      </c>
      <c r="H68" s="710">
        <f>-SUMIFS('B3 - Custos despesas indiretos'!AQ$5:AQ$148,'B3 - Custos despesas indiretos'!$B$5:$B$148,"Despesas",'B3 - Custos despesas indiretos'!$D$5:$D$148,$A61)</f>
        <v>-21909.312000000002</v>
      </c>
      <c r="I68" s="710">
        <f>-SUMIFS('B3 - Custos despesas indiretos'!AR$5:AR$148,'B3 - Custos despesas indiretos'!$B$5:$B$148,"Despesas",'B3 - Custos despesas indiretos'!$D$5:$D$148,$A61)</f>
        <v>-22592.736000000001</v>
      </c>
      <c r="J68" s="710">
        <f>-SUMIFS('B3 - Custos despesas indiretos'!AS$5:AS$148,'B3 - Custos despesas indiretos'!$B$5:$B$148,"Despesas",'B3 - Custos despesas indiretos'!$D$5:$D$148,$A61)</f>
        <v>-23288.256000000001</v>
      </c>
      <c r="K68" s="710">
        <f>-SUMIFS('B3 - Custos despesas indiretos'!AT$5:AT$148,'B3 - Custos despesas indiretos'!$B$5:$B$148,"Despesas",'B3 - Custos despesas indiretos'!$D$5:$D$148,$A61)</f>
        <v>-23997.600000000002</v>
      </c>
      <c r="L68" s="710">
        <f>-SUMIFS('B3 - Custos despesas indiretos'!AU$5:AU$148,'B3 - Custos despesas indiretos'!$B$5:$B$148,"Despesas",'B3 - Custos despesas indiretos'!$D$5:$D$148,$A61)</f>
        <v>-24727.68</v>
      </c>
      <c r="M68" s="710">
        <f>-SUMIFS('B3 - Custos despesas indiretos'!AV$5:AV$148,'B3 - Custos despesas indiretos'!$B$5:$B$148,"Despesas",'B3 - Custos despesas indiretos'!$D$5:$D$148,$A61)</f>
        <v>-25481.088</v>
      </c>
      <c r="N68" s="710">
        <f>-SUMIFS('B3 - Custos despesas indiretos'!AW$5:AW$148,'B3 - Custos despesas indiretos'!$B$5:$B$148,"Despesas",'B3 - Custos despesas indiretos'!$D$5:$D$148,$A61)</f>
        <v>-26257.824000000001</v>
      </c>
      <c r="O68" s="710">
        <f>-SUMIFS('B3 - Custos despesas indiretos'!AX$5:AX$148,'B3 - Custos despesas indiretos'!$B$5:$B$148,"Despesas",'B3 - Custos despesas indiretos'!$D$5:$D$148,$A61)</f>
        <v>-27057.887999999999</v>
      </c>
      <c r="P68" s="710">
        <f>-SUMIFS('B3 - Custos despesas indiretos'!AY$5:AY$148,'B3 - Custos despesas indiretos'!$B$5:$B$148,"Despesas",'B3 - Custos despesas indiretos'!$D$5:$D$148,$A61)</f>
        <v>-27882.144</v>
      </c>
      <c r="Q68" s="710">
        <f>-SUMIFS('B3 - Custos despesas indiretos'!AZ$5:AZ$148,'B3 - Custos despesas indiretos'!$B$5:$B$148,"Despesas",'B3 - Custos despesas indiretos'!$D$5:$D$148,$A61)</f>
        <v>-28728.864000000001</v>
      </c>
      <c r="R68" s="710">
        <f>-SUMIFS('B3 - Custos despesas indiretos'!BA$5:BA$148,'B3 - Custos despesas indiretos'!$B$5:$B$148,"Despesas",'B3 - Custos despesas indiretos'!$D$5:$D$148,$A61)</f>
        <v>-29597.184000000001</v>
      </c>
      <c r="S68" s="710">
        <f>-SUMIFS('B3 - Custos despesas indiretos'!BB$5:BB$148,'B3 - Custos despesas indiretos'!$B$5:$B$148,"Despesas",'B3 - Custos despesas indiretos'!$D$5:$D$148,$A61)</f>
        <v>-30484.512000000002</v>
      </c>
      <c r="T68" s="710">
        <f>-SUMIFS('B3 - Custos despesas indiretos'!BC$5:BC$148,'B3 - Custos despesas indiretos'!$B$5:$B$148,"Despesas",'B3 - Custos despesas indiretos'!$D$5:$D$148,$A61)</f>
        <v>-31387.392</v>
      </c>
      <c r="U68" s="710">
        <f>-SUMIFS('B3 - Custos despesas indiretos'!BD$5:BD$148,'B3 - Custos despesas indiretos'!$B$5:$B$148,"Despesas",'B3 - Custos despesas indiretos'!$D$5:$D$148,$A61)</f>
        <v>-32302.368000000002</v>
      </c>
      <c r="V68" s="710">
        <f>-SUMIFS('B3 - Custos despesas indiretos'!BE$5:BE$148,'B3 - Custos despesas indiretos'!$B$5:$B$148,"Despesas",'B3 - Custos despesas indiretos'!$D$5:$D$148,$A61)</f>
        <v>-32302.368000000002</v>
      </c>
      <c r="W68" s="710">
        <f>-SUMIFS('B3 - Custos despesas indiretos'!BF$5:BF$148,'B3 - Custos despesas indiretos'!$B$5:$B$148,"Despesas",'B3 - Custos despesas indiretos'!$D$5:$D$148,$A61)</f>
        <v>-32302.368000000002</v>
      </c>
      <c r="X68" s="710">
        <f>-SUMIFS('B3 - Custos despesas indiretos'!BG$5:BG$148,'B3 - Custos despesas indiretos'!$B$5:$B$148,"Despesas",'B3 - Custos despesas indiretos'!$D$5:$D$148,$A61)</f>
        <v>-32302.368000000002</v>
      </c>
      <c r="Y68" s="710">
        <f>-SUMIFS('B3 - Custos despesas indiretos'!BH$5:BH$148,'B3 - Custos despesas indiretos'!$B$5:$B$148,"Despesas",'B3 - Custos despesas indiretos'!$D$5:$D$148,$A61)</f>
        <v>-32302.368000000002</v>
      </c>
      <c r="Z68" s="710">
        <f>-SUMIFS('B3 - Custos despesas indiretos'!BI$5:BI$148,'B3 - Custos despesas indiretos'!$B$5:$B$148,"Despesas",'B3 - Custos despesas indiretos'!$D$5:$D$148,$A61)</f>
        <v>-32302.368000000002</v>
      </c>
      <c r="AA68" s="710">
        <f>-SUMIFS('B3 - Custos despesas indiretos'!BJ$5:BJ$148,'B3 - Custos despesas indiretos'!$B$5:$B$148,"Despesas",'B3 - Custos despesas indiretos'!$D$5:$D$148,$A61)</f>
        <v>-32302.368000000002</v>
      </c>
      <c r="AB68" s="710">
        <f>-SUMIFS('B3 - Custos despesas indiretos'!BK$5:BK$148,'B3 - Custos despesas indiretos'!$B$5:$B$148,"Despesas",'B3 - Custos despesas indiretos'!$D$5:$D$148,$A61)</f>
        <v>-32302.368000000002</v>
      </c>
      <c r="AC68" s="710">
        <f>-SUMIFS('B3 - Custos despesas indiretos'!BL$5:BL$148,'B3 - Custos despesas indiretos'!$B$5:$B$148,"Despesas",'B3 - Custos despesas indiretos'!$D$5:$D$148,$A61)</f>
        <v>-32302.368000000002</v>
      </c>
      <c r="AD68" s="710">
        <f>-SUMIFS('B3 - Custos despesas indiretos'!BM$5:BM$148,'B3 - Custos despesas indiretos'!$B$5:$B$148,"Despesas",'B3 - Custos despesas indiretos'!$D$5:$D$148,$A61)</f>
        <v>-32302.368000000002</v>
      </c>
      <c r="AE68" s="710">
        <f>-SUMIFS('B3 - Custos despesas indiretos'!BN$5:BN$148,'B3 - Custos despesas indiretos'!$B$5:$B$148,"Despesas",'B3 - Custos despesas indiretos'!$D$5:$D$148,$A61)</f>
        <v>-32302.368000000002</v>
      </c>
      <c r="AF68" s="594"/>
      <c r="AG68" s="594"/>
      <c r="AH68" s="594"/>
      <c r="AI68" s="594"/>
      <c r="AJ68" s="594"/>
      <c r="AK68" s="594"/>
      <c r="AL68" s="594"/>
      <c r="AM68" s="594"/>
      <c r="AN68" s="594"/>
      <c r="AO68" s="594"/>
      <c r="AP68" s="594"/>
      <c r="AQ68" s="594"/>
      <c r="AR68" s="594"/>
      <c r="AS68" s="594"/>
      <c r="AT68" s="594"/>
      <c r="AU68" s="594"/>
      <c r="AV68" s="594"/>
      <c r="AW68" s="594"/>
      <c r="AX68" s="594"/>
      <c r="AY68" s="594"/>
      <c r="AZ68" s="594"/>
      <c r="BA68" s="594"/>
      <c r="BB68" s="594"/>
      <c r="BC68" s="594"/>
      <c r="BD68" s="594"/>
      <c r="BE68" s="594"/>
      <c r="BF68" s="594"/>
      <c r="BG68" s="594"/>
      <c r="BH68" s="594"/>
      <c r="BI68" s="594"/>
      <c r="BJ68" s="594"/>
      <c r="BK68" s="594"/>
      <c r="BL68" s="57"/>
      <c r="BM68" s="594"/>
      <c r="BN68" s="594"/>
      <c r="BO68" s="594"/>
      <c r="BP68" s="594"/>
      <c r="BQ68" s="594"/>
      <c r="BR68" s="594"/>
      <c r="BS68" s="594"/>
      <c r="BT68" s="594"/>
      <c r="BU68" s="594"/>
      <c r="BV68" s="594"/>
      <c r="BW68" s="594"/>
      <c r="BX68" s="594"/>
      <c r="BY68" s="594"/>
      <c r="BZ68" s="594"/>
      <c r="CA68" s="594"/>
      <c r="CB68" s="594"/>
      <c r="CC68" s="594"/>
      <c r="CD68" s="594"/>
      <c r="CE68" s="594"/>
      <c r="CF68" s="594"/>
      <c r="CG68" s="594"/>
      <c r="CH68" s="594"/>
      <c r="CI68" s="594"/>
      <c r="CJ68" s="594"/>
      <c r="CK68" s="594"/>
      <c r="CL68" s="594"/>
      <c r="CM68" s="594"/>
      <c r="CN68" s="594"/>
      <c r="CO68" s="594"/>
      <c r="CP68" s="594"/>
      <c r="CQ68" s="594"/>
    </row>
    <row r="69" spans="1:95" ht="21" hidden="1" customHeight="1" outlineLevel="2">
      <c r="A69" s="709" t="s">
        <v>686</v>
      </c>
      <c r="B69" s="710">
        <f>-SUMIF('D2 - Capex uso'!$C$6:$C$176,$A61,'D2 - Capex uso'!GI$6:GI$176)</f>
        <v>-52607.060000000012</v>
      </c>
      <c r="C69" s="710">
        <f>-SUMIF('D2 - Capex uso'!$C$6:$C$176,$A61,'D2 - Capex uso'!GJ$6:GJ$176)</f>
        <v>-52607.060000000012</v>
      </c>
      <c r="D69" s="710">
        <f>-SUMIF('D2 - Capex uso'!$C$6:$C$176,$A61,'D2 - Capex uso'!GK$6:GK$176)</f>
        <v>-52607.060000000012</v>
      </c>
      <c r="E69" s="710">
        <f>-SUMIF('D2 - Capex uso'!$C$6:$C$176,$A61,'D2 - Capex uso'!GL$6:GL$176)</f>
        <v>-52607.060000000012</v>
      </c>
      <c r="F69" s="710">
        <f>-SUMIF('D2 - Capex uso'!$C$6:$C$176,$A61,'D2 - Capex uso'!GM$6:GM$176)</f>
        <v>-52607.060000000012</v>
      </c>
      <c r="G69" s="710">
        <f>-SUMIF('D2 - Capex uso'!$C$6:$C$176,$A61,'D2 - Capex uso'!GN$6:GN$176)</f>
        <v>-52607.060000000012</v>
      </c>
      <c r="H69" s="710">
        <f>-SUMIF('D2 - Capex uso'!$C$6:$C$176,$A61,'D2 - Capex uso'!GO$6:GO$176)</f>
        <v>-52607.060000000012</v>
      </c>
      <c r="I69" s="710">
        <f>-SUMIF('D2 - Capex uso'!$C$6:$C$176,$A61,'D2 - Capex uso'!GP$6:GP$176)</f>
        <v>-52607.060000000012</v>
      </c>
      <c r="J69" s="710">
        <f>-SUMIF('D2 - Capex uso'!$C$6:$C$176,$A61,'D2 - Capex uso'!GQ$6:GQ$176)</f>
        <v>-52607.060000000012</v>
      </c>
      <c r="K69" s="710">
        <f>-SUMIF('D2 - Capex uso'!$C$6:$C$176,$A61,'D2 - Capex uso'!GR$6:GR$176)</f>
        <v>-52607.060000000012</v>
      </c>
      <c r="L69" s="710">
        <f>-SUMIF('D2 - Capex uso'!$C$6:$C$176,$A61,'D2 - Capex uso'!GS$6:GS$176)</f>
        <v>-52607.060000000012</v>
      </c>
      <c r="M69" s="710">
        <f>-SUMIF('D2 - Capex uso'!$C$6:$C$176,$A61,'D2 - Capex uso'!GT$6:GT$176)</f>
        <v>-52607.060000000012</v>
      </c>
      <c r="N69" s="710">
        <f>-SUMIF('D2 - Capex uso'!$C$6:$C$176,$A61,'D2 - Capex uso'!GU$6:GU$176)</f>
        <v>-52607.060000000012</v>
      </c>
      <c r="O69" s="710">
        <f>-SUMIF('D2 - Capex uso'!$C$6:$C$176,$A61,'D2 - Capex uso'!GV$6:GV$176)</f>
        <v>-52607.060000000012</v>
      </c>
      <c r="P69" s="710">
        <f>-SUMIF('D2 - Capex uso'!$C$6:$C$176,$A61,'D2 - Capex uso'!GW$6:GW$176)</f>
        <v>-52607.060000000012</v>
      </c>
      <c r="Q69" s="710">
        <f>-SUMIF('D2 - Capex uso'!$C$6:$C$176,$A61,'D2 - Capex uso'!GX$6:GX$176)</f>
        <v>-52607.060000000012</v>
      </c>
      <c r="R69" s="710">
        <f>-SUMIF('D2 - Capex uso'!$C$6:$C$176,$A61,'D2 - Capex uso'!GY$6:GY$176)</f>
        <v>-52607.060000000012</v>
      </c>
      <c r="S69" s="710">
        <f>-SUMIF('D2 - Capex uso'!$C$6:$C$176,$A61,'D2 - Capex uso'!GZ$6:GZ$176)</f>
        <v>-52607.060000000012</v>
      </c>
      <c r="T69" s="710">
        <f>-SUMIF('D2 - Capex uso'!$C$6:$C$176,$A61,'D2 - Capex uso'!HA$6:HA$176)</f>
        <v>-52607.060000000012</v>
      </c>
      <c r="U69" s="710">
        <f>-SUMIF('D2 - Capex uso'!$C$6:$C$176,$A61,'D2 - Capex uso'!HB$6:HB$176)</f>
        <v>-52607.060000000012</v>
      </c>
      <c r="V69" s="710">
        <f>-SUMIF('D2 - Capex uso'!$C$6:$C$176,$A61,'D2 - Capex uso'!HC$6:HC$176)</f>
        <v>-52607.060000000012</v>
      </c>
      <c r="W69" s="710">
        <f>-SUMIF('D2 - Capex uso'!$C$6:$C$176,$A61,'D2 - Capex uso'!HD$6:HD$176)</f>
        <v>-52607.060000000012</v>
      </c>
      <c r="X69" s="710">
        <f>-SUMIF('D2 - Capex uso'!$C$6:$C$176,$A61,'D2 - Capex uso'!HE$6:HE$176)</f>
        <v>-52607.060000000012</v>
      </c>
      <c r="Y69" s="710">
        <f>-SUMIF('D2 - Capex uso'!$C$6:$C$176,$A61,'D2 - Capex uso'!HF$6:HF$176)</f>
        <v>-52607.060000000012</v>
      </c>
      <c r="Z69" s="710">
        <f>-SUMIF('D2 - Capex uso'!$C$6:$C$176,$A61,'D2 - Capex uso'!HG$6:HG$176)</f>
        <v>-52607.060000000012</v>
      </c>
      <c r="AA69" s="710">
        <f>-SUMIF('D2 - Capex uso'!$C$6:$C$176,$A61,'D2 - Capex uso'!HH$6:HH$176)</f>
        <v>-52607.060000000012</v>
      </c>
      <c r="AB69" s="710">
        <f>-SUMIF('D2 - Capex uso'!$C$6:$C$176,$A61,'D2 - Capex uso'!HI$6:HI$176)</f>
        <v>-52607.060000000012</v>
      </c>
      <c r="AC69" s="710">
        <f>-SUMIF('D2 - Capex uso'!$C$6:$C$176,$A61,'D2 - Capex uso'!HJ$6:HJ$176)</f>
        <v>-52607.060000000012</v>
      </c>
      <c r="AD69" s="710">
        <f>-SUMIF('D2 - Capex uso'!$C$6:$C$176,$A61,'D2 - Capex uso'!HK$6:HK$176)</f>
        <v>-52607.060000000012</v>
      </c>
      <c r="AE69" s="710">
        <f>-SUMIF('D2 - Capex uso'!$C$6:$C$176,$A61,'D2 - Capex uso'!HL$6:HL$176)</f>
        <v>-52607.060000000012</v>
      </c>
      <c r="AF69" s="594"/>
      <c r="AG69" s="594"/>
      <c r="AH69" s="594"/>
      <c r="AI69" s="594"/>
      <c r="AJ69" s="594"/>
      <c r="AK69" s="594"/>
      <c r="AL69" s="594"/>
      <c r="AM69" s="594"/>
      <c r="AN69" s="594"/>
      <c r="AO69" s="594"/>
      <c r="AP69" s="594"/>
      <c r="AQ69" s="594"/>
      <c r="AR69" s="594"/>
      <c r="AS69" s="594"/>
      <c r="AT69" s="594"/>
      <c r="AU69" s="594"/>
      <c r="AV69" s="594"/>
      <c r="AW69" s="594"/>
      <c r="AX69" s="594"/>
      <c r="AY69" s="594"/>
      <c r="AZ69" s="594"/>
      <c r="BA69" s="594"/>
      <c r="BB69" s="594"/>
      <c r="BC69" s="594"/>
      <c r="BD69" s="594"/>
      <c r="BE69" s="594"/>
      <c r="BF69" s="594"/>
      <c r="BG69" s="594"/>
      <c r="BH69" s="594"/>
      <c r="BI69" s="594"/>
      <c r="BJ69" s="594"/>
      <c r="BK69" s="594"/>
      <c r="BL69" s="57"/>
      <c r="BM69" s="594"/>
      <c r="BN69" s="594"/>
      <c r="BO69" s="594"/>
      <c r="BP69" s="594"/>
      <c r="BQ69" s="594"/>
      <c r="BR69" s="594"/>
      <c r="BS69" s="594"/>
      <c r="BT69" s="594"/>
      <c r="BU69" s="594"/>
      <c r="BV69" s="594"/>
      <c r="BW69" s="594"/>
      <c r="BX69" s="594"/>
      <c r="BY69" s="594"/>
      <c r="BZ69" s="594"/>
      <c r="CA69" s="594"/>
      <c r="CB69" s="594"/>
      <c r="CC69" s="594"/>
      <c r="CD69" s="594"/>
      <c r="CE69" s="594"/>
      <c r="CF69" s="594"/>
      <c r="CG69" s="594"/>
      <c r="CH69" s="594"/>
      <c r="CI69" s="594"/>
      <c r="CJ69" s="594"/>
      <c r="CK69" s="594"/>
      <c r="CL69" s="594"/>
      <c r="CM69" s="594"/>
      <c r="CN69" s="594"/>
      <c r="CO69" s="594"/>
      <c r="CP69" s="594"/>
      <c r="CQ69" s="594"/>
    </row>
    <row r="70" spans="1:95" ht="21" hidden="1" customHeight="1" outlineLevel="1">
      <c r="A70" s="708" t="s">
        <v>687</v>
      </c>
      <c r="B70" s="707">
        <f t="shared" ref="B70:AE70" si="22">SUM(B62:B64)</f>
        <v>-72073.560000000012</v>
      </c>
      <c r="C70" s="707">
        <f t="shared" si="22"/>
        <v>669734.09703674936</v>
      </c>
      <c r="D70" s="707">
        <f t="shared" si="22"/>
        <v>702142.74366782792</v>
      </c>
      <c r="E70" s="707">
        <f t="shared" si="22"/>
        <v>733552.66377092712</v>
      </c>
      <c r="F70" s="707">
        <f t="shared" si="22"/>
        <v>765483.96079605143</v>
      </c>
      <c r="G70" s="707">
        <f t="shared" si="22"/>
        <v>797936.51086424594</v>
      </c>
      <c r="H70" s="707">
        <f t="shared" si="22"/>
        <v>831300.69181997608</v>
      </c>
      <c r="I70" s="707">
        <f t="shared" si="22"/>
        <v>865664.72974060336</v>
      </c>
      <c r="J70" s="707">
        <f t="shared" si="22"/>
        <v>900636.67499659688</v>
      </c>
      <c r="K70" s="707">
        <f t="shared" si="22"/>
        <v>936304.53217189678</v>
      </c>
      <c r="L70" s="707">
        <f t="shared" si="22"/>
        <v>973014.21863163565</v>
      </c>
      <c r="M70" s="707">
        <f t="shared" si="22"/>
        <v>1010896.8782672191</v>
      </c>
      <c r="N70" s="707">
        <f t="shared" si="22"/>
        <v>1049952.8748989594</v>
      </c>
      <c r="O70" s="707">
        <f t="shared" si="22"/>
        <v>1090181.557568247</v>
      </c>
      <c r="P70" s="707">
        <f t="shared" si="22"/>
        <v>1131626.7833739193</v>
      </c>
      <c r="Q70" s="707">
        <f t="shared" si="22"/>
        <v>1174201.6781745832</v>
      </c>
      <c r="R70" s="707">
        <f t="shared" si="22"/>
        <v>1217862.6941508614</v>
      </c>
      <c r="S70" s="707">
        <f t="shared" si="22"/>
        <v>1262478.9868605244</v>
      </c>
      <c r="T70" s="707">
        <f t="shared" si="22"/>
        <v>1307877.3129534971</v>
      </c>
      <c r="U70" s="707">
        <f t="shared" si="22"/>
        <v>1353884.1665673638</v>
      </c>
      <c r="V70" s="707">
        <f t="shared" si="22"/>
        <v>1353884.1665673638</v>
      </c>
      <c r="W70" s="707">
        <f t="shared" si="22"/>
        <v>1353884.1665673638</v>
      </c>
      <c r="X70" s="707">
        <f t="shared" si="22"/>
        <v>1353884.1665673638</v>
      </c>
      <c r="Y70" s="707">
        <f t="shared" si="22"/>
        <v>1353884.1665673638</v>
      </c>
      <c r="Z70" s="707">
        <f t="shared" si="22"/>
        <v>1353884.1665673638</v>
      </c>
      <c r="AA70" s="707">
        <f t="shared" si="22"/>
        <v>1353884.1665673638</v>
      </c>
      <c r="AB70" s="707">
        <f t="shared" si="22"/>
        <v>1353884.1665673638</v>
      </c>
      <c r="AC70" s="707">
        <f t="shared" si="22"/>
        <v>1353884.1665673638</v>
      </c>
      <c r="AD70" s="707">
        <f t="shared" si="22"/>
        <v>1353884.1665673638</v>
      </c>
      <c r="AE70" s="707">
        <f t="shared" si="22"/>
        <v>1353884.1665673638</v>
      </c>
      <c r="AF70" s="594"/>
      <c r="AG70" s="594"/>
      <c r="AH70" s="594"/>
      <c r="AI70" s="594"/>
      <c r="AJ70" s="594"/>
      <c r="AK70" s="594"/>
      <c r="AL70" s="594"/>
      <c r="AM70" s="594"/>
      <c r="AN70" s="594"/>
      <c r="AO70" s="594"/>
      <c r="AP70" s="594"/>
      <c r="AQ70" s="594"/>
      <c r="AR70" s="594"/>
      <c r="AS70" s="594"/>
      <c r="AT70" s="594"/>
      <c r="AU70" s="594"/>
      <c r="AV70" s="594"/>
      <c r="AW70" s="594"/>
      <c r="AX70" s="594"/>
      <c r="AY70" s="594"/>
      <c r="AZ70" s="594"/>
      <c r="BA70" s="594"/>
      <c r="BB70" s="594"/>
      <c r="BC70" s="594"/>
      <c r="BD70" s="594"/>
      <c r="BE70" s="594"/>
      <c r="BF70" s="594"/>
      <c r="BG70" s="594"/>
      <c r="BH70" s="594"/>
      <c r="BI70" s="594"/>
      <c r="BJ70" s="594"/>
      <c r="BK70" s="594"/>
      <c r="BL70" s="57"/>
      <c r="BM70" s="594"/>
      <c r="BN70" s="594"/>
      <c r="BO70" s="594"/>
      <c r="BP70" s="594"/>
      <c r="BQ70" s="594"/>
      <c r="BR70" s="594"/>
      <c r="BS70" s="594"/>
      <c r="BT70" s="594"/>
      <c r="BU70" s="594"/>
      <c r="BV70" s="594"/>
      <c r="BW70" s="594"/>
      <c r="BX70" s="594"/>
      <c r="BY70" s="594"/>
      <c r="BZ70" s="594"/>
      <c r="CA70" s="594"/>
      <c r="CB70" s="594"/>
      <c r="CC70" s="594"/>
      <c r="CD70" s="594"/>
      <c r="CE70" s="594"/>
      <c r="CF70" s="594"/>
      <c r="CG70" s="594"/>
      <c r="CH70" s="594"/>
      <c r="CI70" s="594"/>
      <c r="CJ70" s="594"/>
      <c r="CK70" s="594"/>
      <c r="CL70" s="594"/>
      <c r="CM70" s="594"/>
      <c r="CN70" s="594"/>
      <c r="CO70" s="594"/>
      <c r="CP70" s="594"/>
      <c r="CQ70" s="594"/>
    </row>
    <row r="71" spans="1:95" ht="19.5" hidden="1" customHeight="1" outlineLevel="1">
      <c r="A71" s="708" t="s">
        <v>688</v>
      </c>
      <c r="B71" s="707">
        <f t="shared" ref="B71:AE71" si="23">SUM(B72:B79)</f>
        <v>-526070.60000000009</v>
      </c>
      <c r="C71" s="707">
        <f t="shared" si="23"/>
        <v>0</v>
      </c>
      <c r="D71" s="707">
        <f t="shared" si="23"/>
        <v>0</v>
      </c>
      <c r="E71" s="707">
        <f t="shared" si="23"/>
        <v>0</v>
      </c>
      <c r="F71" s="707">
        <f t="shared" si="23"/>
        <v>0</v>
      </c>
      <c r="G71" s="707">
        <f t="shared" si="23"/>
        <v>0</v>
      </c>
      <c r="H71" s="707">
        <f t="shared" si="23"/>
        <v>0</v>
      </c>
      <c r="I71" s="707">
        <f t="shared" si="23"/>
        <v>0</v>
      </c>
      <c r="J71" s="707">
        <f t="shared" si="23"/>
        <v>0</v>
      </c>
      <c r="K71" s="707">
        <f t="shared" si="23"/>
        <v>0</v>
      </c>
      <c r="L71" s="707">
        <f t="shared" si="23"/>
        <v>0</v>
      </c>
      <c r="M71" s="707">
        <f t="shared" si="23"/>
        <v>0</v>
      </c>
      <c r="N71" s="707">
        <f t="shared" si="23"/>
        <v>0</v>
      </c>
      <c r="O71" s="707">
        <f t="shared" si="23"/>
        <v>0</v>
      </c>
      <c r="P71" s="707">
        <f t="shared" si="23"/>
        <v>0</v>
      </c>
      <c r="Q71" s="707">
        <f t="shared" si="23"/>
        <v>0</v>
      </c>
      <c r="R71" s="707">
        <f t="shared" si="23"/>
        <v>0</v>
      </c>
      <c r="S71" s="707">
        <f t="shared" si="23"/>
        <v>0</v>
      </c>
      <c r="T71" s="707">
        <f t="shared" si="23"/>
        <v>0</v>
      </c>
      <c r="U71" s="707">
        <f t="shared" si="23"/>
        <v>0</v>
      </c>
      <c r="V71" s="707">
        <f t="shared" si="23"/>
        <v>0</v>
      </c>
      <c r="W71" s="707">
        <f t="shared" si="23"/>
        <v>0</v>
      </c>
      <c r="X71" s="707">
        <f t="shared" si="23"/>
        <v>0</v>
      </c>
      <c r="Y71" s="707">
        <f t="shared" si="23"/>
        <v>0</v>
      </c>
      <c r="Z71" s="707">
        <f t="shared" si="23"/>
        <v>0</v>
      </c>
      <c r="AA71" s="707">
        <f t="shared" si="23"/>
        <v>0</v>
      </c>
      <c r="AB71" s="707">
        <f t="shared" si="23"/>
        <v>0</v>
      </c>
      <c r="AC71" s="707">
        <f t="shared" si="23"/>
        <v>0</v>
      </c>
      <c r="AD71" s="707">
        <f t="shared" si="23"/>
        <v>0</v>
      </c>
      <c r="AE71" s="707">
        <f t="shared" si="23"/>
        <v>0</v>
      </c>
      <c r="AF71" s="594"/>
      <c r="AG71" s="594"/>
      <c r="AH71" s="594"/>
      <c r="AI71" s="594"/>
      <c r="AJ71" s="594"/>
      <c r="AK71" s="594"/>
      <c r="AL71" s="594"/>
      <c r="AM71" s="594"/>
      <c r="AN71" s="594"/>
      <c r="AO71" s="594"/>
      <c r="AP71" s="594"/>
      <c r="AQ71" s="594"/>
      <c r="AR71" s="594"/>
      <c r="AS71" s="594"/>
      <c r="AT71" s="594"/>
      <c r="AU71" s="594"/>
      <c r="AV71" s="594"/>
      <c r="AW71" s="594"/>
      <c r="AX71" s="594"/>
      <c r="AY71" s="594"/>
      <c r="AZ71" s="594"/>
      <c r="BA71" s="594"/>
      <c r="BB71" s="594"/>
      <c r="BC71" s="594"/>
      <c r="BD71" s="594"/>
      <c r="BE71" s="594"/>
      <c r="BF71" s="594"/>
      <c r="BG71" s="594"/>
      <c r="BH71" s="594"/>
      <c r="BI71" s="594"/>
      <c r="BJ71" s="594"/>
      <c r="BK71" s="594"/>
      <c r="BL71" s="57"/>
      <c r="BM71" s="594"/>
      <c r="BN71" s="594"/>
      <c r="BO71" s="594"/>
      <c r="BP71" s="594"/>
      <c r="BQ71" s="594"/>
      <c r="BR71" s="594"/>
      <c r="BS71" s="594"/>
      <c r="BT71" s="594"/>
      <c r="BU71" s="594"/>
      <c r="BV71" s="594"/>
      <c r="BW71" s="594"/>
      <c r="BX71" s="594"/>
      <c r="BY71" s="594"/>
      <c r="BZ71" s="594"/>
      <c r="CA71" s="594"/>
      <c r="CB71" s="594"/>
      <c r="CC71" s="594"/>
      <c r="CD71" s="594"/>
      <c r="CE71" s="594"/>
      <c r="CF71" s="594"/>
      <c r="CG71" s="594"/>
      <c r="CH71" s="594"/>
      <c r="CI71" s="594"/>
      <c r="CJ71" s="594"/>
      <c r="CK71" s="594"/>
      <c r="CL71" s="594"/>
      <c r="CM71" s="594"/>
      <c r="CN71" s="594"/>
      <c r="CO71" s="594"/>
      <c r="CP71" s="594"/>
      <c r="CQ71" s="594"/>
    </row>
    <row r="72" spans="1:95" ht="19.5" hidden="1" customHeight="1" outlineLevel="2">
      <c r="A72" s="709" t="s">
        <v>354</v>
      </c>
      <c r="B72" s="710">
        <f>-SUMIFS('D2 - Capex uso'!BS$6:BS$176,'D2 - Capex uso'!$C$6:$C$176,$A61,'D2 - Capex uso'!$AK$6:$AK$176,$A72)</f>
        <v>0</v>
      </c>
      <c r="C72" s="710">
        <f>-SUMIFS('D2 - Capex uso'!BT$6:BT$176,'D2 - Capex uso'!$C$6:$C$176,$A61,'D2 - Capex uso'!$AK$6:$AK$176,$A72)</f>
        <v>0</v>
      </c>
      <c r="D72" s="710">
        <f>-SUMIFS('D2 - Capex uso'!BU$6:BU$176,'D2 - Capex uso'!$C$6:$C$176,$A61,'D2 - Capex uso'!$AK$6:$AK$176,$A72)</f>
        <v>0</v>
      </c>
      <c r="E72" s="710">
        <f>-SUMIFS('D2 - Capex uso'!BV$6:BV$176,'D2 - Capex uso'!$C$6:$C$176,$A61,'D2 - Capex uso'!$AK$6:$AK$176,$A72)</f>
        <v>0</v>
      </c>
      <c r="F72" s="710">
        <f>-SUMIFS('D2 - Capex uso'!BW$6:BW$176,'D2 - Capex uso'!$C$6:$C$176,$A61,'D2 - Capex uso'!$AK$6:$AK$176,$A72)</f>
        <v>0</v>
      </c>
      <c r="G72" s="710">
        <f>-SUMIFS('D2 - Capex uso'!BX$6:BX$176,'D2 - Capex uso'!$C$6:$C$176,$A61,'D2 - Capex uso'!$AK$6:$AK$176,$A72)</f>
        <v>0</v>
      </c>
      <c r="H72" s="710">
        <f>-SUMIFS('D2 - Capex uso'!BY$6:BY$176,'D2 - Capex uso'!$C$6:$C$176,$A61,'D2 - Capex uso'!$AK$6:$AK$176,$A72)</f>
        <v>0</v>
      </c>
      <c r="I72" s="710">
        <f>-SUMIFS('D2 - Capex uso'!BZ$6:BZ$176,'D2 - Capex uso'!$C$6:$C$176,$A61,'D2 - Capex uso'!$AK$6:$AK$176,$A72)</f>
        <v>0</v>
      </c>
      <c r="J72" s="710">
        <f>-SUMIFS('D2 - Capex uso'!CA$6:CA$176,'D2 - Capex uso'!$C$6:$C$176,$A61,'D2 - Capex uso'!$AK$6:$AK$176,$A72)</f>
        <v>0</v>
      </c>
      <c r="K72" s="710">
        <f>-SUMIFS('D2 - Capex uso'!CB$6:CB$176,'D2 - Capex uso'!$C$6:$C$176,$A61,'D2 - Capex uso'!$AK$6:$AK$176,$A72)</f>
        <v>0</v>
      </c>
      <c r="L72" s="710">
        <f>-SUMIFS('D2 - Capex uso'!CC$6:CC$176,'D2 - Capex uso'!$C$6:$C$176,$A61,'D2 - Capex uso'!$AK$6:$AK$176,$A72)</f>
        <v>0</v>
      </c>
      <c r="M72" s="710">
        <f>-SUMIFS('D2 - Capex uso'!CD$6:CD$176,'D2 - Capex uso'!$C$6:$C$176,$A61,'D2 - Capex uso'!$AK$6:$AK$176,$A72)</f>
        <v>0</v>
      </c>
      <c r="N72" s="710">
        <f>-SUMIFS('D2 - Capex uso'!CE$6:CE$176,'D2 - Capex uso'!$C$6:$C$176,$A61,'D2 - Capex uso'!$AK$6:$AK$176,$A72)</f>
        <v>0</v>
      </c>
      <c r="O72" s="710">
        <f>-SUMIFS('D2 - Capex uso'!CF$6:CF$176,'D2 - Capex uso'!$C$6:$C$176,$A61,'D2 - Capex uso'!$AK$6:$AK$176,$A72)</f>
        <v>0</v>
      </c>
      <c r="P72" s="710">
        <f>-SUMIFS('D2 - Capex uso'!CG$6:CG$176,'D2 - Capex uso'!$C$6:$C$176,$A61,'D2 - Capex uso'!$AK$6:$AK$176,$A72)</f>
        <v>0</v>
      </c>
      <c r="Q72" s="710">
        <f>-SUMIFS('D2 - Capex uso'!CH$6:CH$176,'D2 - Capex uso'!$C$6:$C$176,$A61,'D2 - Capex uso'!$AK$6:$AK$176,$A72)</f>
        <v>0</v>
      </c>
      <c r="R72" s="710">
        <f>-SUMIFS('D2 - Capex uso'!CI$6:CI$176,'D2 - Capex uso'!$C$6:$C$176,$A61,'D2 - Capex uso'!$AK$6:$AK$176,$A72)</f>
        <v>0</v>
      </c>
      <c r="S72" s="710">
        <f>-SUMIFS('D2 - Capex uso'!CJ$6:CJ$176,'D2 - Capex uso'!$C$6:$C$176,$A61,'D2 - Capex uso'!$AK$6:$AK$176,$A72)</f>
        <v>0</v>
      </c>
      <c r="T72" s="710">
        <f>-SUMIFS('D2 - Capex uso'!CK$6:CK$176,'D2 - Capex uso'!$C$6:$C$176,$A61,'D2 - Capex uso'!$AK$6:$AK$176,$A72)</f>
        <v>0</v>
      </c>
      <c r="U72" s="710">
        <f>-SUMIFS('D2 - Capex uso'!CL$6:CL$176,'D2 - Capex uso'!$C$6:$C$176,$A61,'D2 - Capex uso'!$AK$6:$AK$176,$A72)</f>
        <v>0</v>
      </c>
      <c r="V72" s="710">
        <f>-SUMIFS('D2 - Capex uso'!CM$6:CM$176,'D2 - Capex uso'!$C$6:$C$176,$A61,'D2 - Capex uso'!$AK$6:$AK$176,$A72)</f>
        <v>0</v>
      </c>
      <c r="W72" s="710">
        <f>-SUMIFS('D2 - Capex uso'!CN$6:CN$176,'D2 - Capex uso'!$C$6:$C$176,$A61,'D2 - Capex uso'!$AK$6:$AK$176,$A72)</f>
        <v>0</v>
      </c>
      <c r="X72" s="710">
        <f>-SUMIFS('D2 - Capex uso'!CO$6:CO$176,'D2 - Capex uso'!$C$6:$C$176,$A61,'D2 - Capex uso'!$AK$6:$AK$176,$A72)</f>
        <v>0</v>
      </c>
      <c r="Y72" s="710">
        <f>-SUMIFS('D2 - Capex uso'!CP$6:CP$176,'D2 - Capex uso'!$C$6:$C$176,$A61,'D2 - Capex uso'!$AK$6:$AK$176,$A72)</f>
        <v>0</v>
      </c>
      <c r="Z72" s="710">
        <f>-SUMIFS('D2 - Capex uso'!CQ$6:CQ$176,'D2 - Capex uso'!$C$6:$C$176,$A61,'D2 - Capex uso'!$AK$6:$AK$176,$A72)</f>
        <v>0</v>
      </c>
      <c r="AA72" s="710">
        <f>-SUMIFS('D2 - Capex uso'!CR$6:CR$176,'D2 - Capex uso'!$C$6:$C$176,$A61,'D2 - Capex uso'!$AK$6:$AK$176,$A72)</f>
        <v>0</v>
      </c>
      <c r="AB72" s="710">
        <f>-SUMIFS('D2 - Capex uso'!CS$6:CS$176,'D2 - Capex uso'!$C$6:$C$176,$A61,'D2 - Capex uso'!$AK$6:$AK$176,$A72)</f>
        <v>0</v>
      </c>
      <c r="AC72" s="710">
        <f>-SUMIFS('D2 - Capex uso'!CT$6:CT$176,'D2 - Capex uso'!$C$6:$C$176,$A61,'D2 - Capex uso'!$AK$6:$AK$176,$A72)</f>
        <v>0</v>
      </c>
      <c r="AD72" s="710">
        <f>-SUMIFS('D2 - Capex uso'!CU$6:CU$176,'D2 - Capex uso'!$C$6:$C$176,$A61,'D2 - Capex uso'!$AK$6:$AK$176,$A72)</f>
        <v>0</v>
      </c>
      <c r="AE72" s="710">
        <f>-SUMIFS('D2 - Capex uso'!CV$6:CV$176,'D2 - Capex uso'!$C$6:$C$176,$A61,'D2 - Capex uso'!$AK$6:$AK$176,$A72)</f>
        <v>0</v>
      </c>
      <c r="AF72" s="594"/>
      <c r="AG72" s="594"/>
      <c r="AH72" s="594"/>
      <c r="AI72" s="594"/>
      <c r="AJ72" s="594"/>
      <c r="AK72" s="594"/>
      <c r="AL72" s="594"/>
      <c r="AM72" s="594"/>
      <c r="AN72" s="594"/>
      <c r="AO72" s="594"/>
      <c r="AP72" s="594"/>
      <c r="AQ72" s="594"/>
      <c r="AR72" s="594"/>
      <c r="AS72" s="594"/>
      <c r="AT72" s="594"/>
      <c r="AU72" s="594"/>
      <c r="AV72" s="594"/>
      <c r="AW72" s="594"/>
      <c r="AX72" s="594"/>
      <c r="AY72" s="594"/>
      <c r="AZ72" s="594"/>
      <c r="BA72" s="594"/>
      <c r="BB72" s="594"/>
      <c r="BC72" s="594"/>
      <c r="BD72" s="594"/>
      <c r="BE72" s="594"/>
      <c r="BF72" s="594"/>
      <c r="BG72" s="594"/>
      <c r="BH72" s="594"/>
      <c r="BI72" s="594"/>
      <c r="BJ72" s="594"/>
      <c r="BK72" s="594"/>
      <c r="BL72" s="57"/>
      <c r="BM72" s="594"/>
      <c r="BN72" s="594"/>
      <c r="BO72" s="594"/>
      <c r="BP72" s="594"/>
      <c r="BQ72" s="594"/>
      <c r="BR72" s="594"/>
      <c r="BS72" s="594"/>
      <c r="BT72" s="594"/>
      <c r="BU72" s="594"/>
      <c r="BV72" s="594"/>
      <c r="BW72" s="594"/>
      <c r="BX72" s="594"/>
      <c r="BY72" s="594"/>
      <c r="BZ72" s="594"/>
      <c r="CA72" s="594"/>
      <c r="CB72" s="594"/>
      <c r="CC72" s="594"/>
      <c r="CD72" s="594"/>
      <c r="CE72" s="594"/>
      <c r="CF72" s="594"/>
      <c r="CG72" s="594"/>
      <c r="CH72" s="594"/>
      <c r="CI72" s="594"/>
      <c r="CJ72" s="594"/>
      <c r="CK72" s="594"/>
      <c r="CL72" s="594"/>
      <c r="CM72" s="594"/>
      <c r="CN72" s="594"/>
      <c r="CO72" s="594"/>
      <c r="CP72" s="594"/>
      <c r="CQ72" s="594"/>
    </row>
    <row r="73" spans="1:95" ht="19.5" hidden="1" customHeight="1" outlineLevel="2">
      <c r="A73" s="709" t="s">
        <v>689</v>
      </c>
      <c r="B73" s="710">
        <f>-SUMIFS('D2 - Capex uso'!BS$6:BS$176,'D2 - Capex uso'!$C$6:$C$176,$A61,'D2 - Capex uso'!$AK$6:$AK$176,$A73)</f>
        <v>0</v>
      </c>
      <c r="C73" s="710">
        <f>-SUMIFS('D2 - Capex uso'!BT$6:BT$176,'D2 - Capex uso'!$C$6:$C$176,$A61,'D2 - Capex uso'!$AK$6:$AK$176,$A73)</f>
        <v>0</v>
      </c>
      <c r="D73" s="710">
        <f>-SUMIFS('D2 - Capex uso'!BU$6:BU$176,'D2 - Capex uso'!$C$6:$C$176,$A61,'D2 - Capex uso'!$AK$6:$AK$176,$A73)</f>
        <v>0</v>
      </c>
      <c r="E73" s="710">
        <f>-SUMIFS('D2 - Capex uso'!BV$6:BV$176,'D2 - Capex uso'!$C$6:$C$176,$A61,'D2 - Capex uso'!$AK$6:$AK$176,$A73)</f>
        <v>0</v>
      </c>
      <c r="F73" s="710">
        <f>-SUMIFS('D2 - Capex uso'!BW$6:BW$176,'D2 - Capex uso'!$C$6:$C$176,$A61,'D2 - Capex uso'!$AK$6:$AK$176,$A73)</f>
        <v>0</v>
      </c>
      <c r="G73" s="710">
        <f>-SUMIFS('D2 - Capex uso'!BX$6:BX$176,'D2 - Capex uso'!$C$6:$C$176,$A61,'D2 - Capex uso'!$AK$6:$AK$176,$A73)</f>
        <v>0</v>
      </c>
      <c r="H73" s="710">
        <f>-SUMIFS('D2 - Capex uso'!BY$6:BY$176,'D2 - Capex uso'!$C$6:$C$176,$A61,'D2 - Capex uso'!$AK$6:$AK$176,$A73)</f>
        <v>0</v>
      </c>
      <c r="I73" s="710">
        <f>-SUMIFS('D2 - Capex uso'!BZ$6:BZ$176,'D2 - Capex uso'!$C$6:$C$176,$A61,'D2 - Capex uso'!$AK$6:$AK$176,$A73)</f>
        <v>0</v>
      </c>
      <c r="J73" s="710">
        <f>-SUMIFS('D2 - Capex uso'!CA$6:CA$176,'D2 - Capex uso'!$C$6:$C$176,$A61,'D2 - Capex uso'!$AK$6:$AK$176,$A73)</f>
        <v>0</v>
      </c>
      <c r="K73" s="710">
        <f>-SUMIFS('D2 - Capex uso'!CB$6:CB$176,'D2 - Capex uso'!$C$6:$C$176,$A61,'D2 - Capex uso'!$AK$6:$AK$176,$A73)</f>
        <v>0</v>
      </c>
      <c r="L73" s="710">
        <f>-SUMIFS('D2 - Capex uso'!CC$6:CC$176,'D2 - Capex uso'!$C$6:$C$176,$A61,'D2 - Capex uso'!$AK$6:$AK$176,$A73)</f>
        <v>0</v>
      </c>
      <c r="M73" s="710">
        <f>-SUMIFS('D2 - Capex uso'!CD$6:CD$176,'D2 - Capex uso'!$C$6:$C$176,$A61,'D2 - Capex uso'!$AK$6:$AK$176,$A73)</f>
        <v>0</v>
      </c>
      <c r="N73" s="710">
        <f>-SUMIFS('D2 - Capex uso'!CE$6:CE$176,'D2 - Capex uso'!$C$6:$C$176,$A61,'D2 - Capex uso'!$AK$6:$AK$176,$A73)</f>
        <v>0</v>
      </c>
      <c r="O73" s="710">
        <f>-SUMIFS('D2 - Capex uso'!CF$6:CF$176,'D2 - Capex uso'!$C$6:$C$176,$A61,'D2 - Capex uso'!$AK$6:$AK$176,$A73)</f>
        <v>0</v>
      </c>
      <c r="P73" s="710">
        <f>-SUMIFS('D2 - Capex uso'!CG$6:CG$176,'D2 - Capex uso'!$C$6:$C$176,$A61,'D2 - Capex uso'!$AK$6:$AK$176,$A73)</f>
        <v>0</v>
      </c>
      <c r="Q73" s="710">
        <f>-SUMIFS('D2 - Capex uso'!CH$6:CH$176,'D2 - Capex uso'!$C$6:$C$176,$A61,'D2 - Capex uso'!$AK$6:$AK$176,$A73)</f>
        <v>0</v>
      </c>
      <c r="R73" s="710">
        <f>-SUMIFS('D2 - Capex uso'!CI$6:CI$176,'D2 - Capex uso'!$C$6:$C$176,$A61,'D2 - Capex uso'!$AK$6:$AK$176,$A73)</f>
        <v>0</v>
      </c>
      <c r="S73" s="710">
        <f>-SUMIFS('D2 - Capex uso'!CJ$6:CJ$176,'D2 - Capex uso'!$C$6:$C$176,$A61,'D2 - Capex uso'!$AK$6:$AK$176,$A73)</f>
        <v>0</v>
      </c>
      <c r="T73" s="710">
        <f>-SUMIFS('D2 - Capex uso'!CK$6:CK$176,'D2 - Capex uso'!$C$6:$C$176,$A61,'D2 - Capex uso'!$AK$6:$AK$176,$A73)</f>
        <v>0</v>
      </c>
      <c r="U73" s="710">
        <f>-SUMIFS('D2 - Capex uso'!CL$6:CL$176,'D2 - Capex uso'!$C$6:$C$176,$A61,'D2 - Capex uso'!$AK$6:$AK$176,$A73)</f>
        <v>0</v>
      </c>
      <c r="V73" s="710">
        <f>-SUMIFS('D2 - Capex uso'!CM$6:CM$176,'D2 - Capex uso'!$C$6:$C$176,$A61,'D2 - Capex uso'!$AK$6:$AK$176,$A73)</f>
        <v>0</v>
      </c>
      <c r="W73" s="710">
        <f>-SUMIFS('D2 - Capex uso'!CN$6:CN$176,'D2 - Capex uso'!$C$6:$C$176,$A61,'D2 - Capex uso'!$AK$6:$AK$176,$A73)</f>
        <v>0</v>
      </c>
      <c r="X73" s="710">
        <f>-SUMIFS('D2 - Capex uso'!CO$6:CO$176,'D2 - Capex uso'!$C$6:$C$176,$A61,'D2 - Capex uso'!$AK$6:$AK$176,$A73)</f>
        <v>0</v>
      </c>
      <c r="Y73" s="710">
        <f>-SUMIFS('D2 - Capex uso'!CP$6:CP$176,'D2 - Capex uso'!$C$6:$C$176,$A61,'D2 - Capex uso'!$AK$6:$AK$176,$A73)</f>
        <v>0</v>
      </c>
      <c r="Z73" s="710">
        <f>-SUMIFS('D2 - Capex uso'!CQ$6:CQ$176,'D2 - Capex uso'!$C$6:$C$176,$A61,'D2 - Capex uso'!$AK$6:$AK$176,$A73)</f>
        <v>0</v>
      </c>
      <c r="AA73" s="710">
        <f>-SUMIFS('D2 - Capex uso'!CR$6:CR$176,'D2 - Capex uso'!$C$6:$C$176,$A61,'D2 - Capex uso'!$AK$6:$AK$176,$A73)</f>
        <v>0</v>
      </c>
      <c r="AB73" s="710">
        <f>-SUMIFS('D2 - Capex uso'!CS$6:CS$176,'D2 - Capex uso'!$C$6:$C$176,$A61,'D2 - Capex uso'!$AK$6:$AK$176,$A73)</f>
        <v>0</v>
      </c>
      <c r="AC73" s="710">
        <f>-SUMIFS('D2 - Capex uso'!CT$6:CT$176,'D2 - Capex uso'!$C$6:$C$176,$A61,'D2 - Capex uso'!$AK$6:$AK$176,$A73)</f>
        <v>0</v>
      </c>
      <c r="AD73" s="710">
        <f>-SUMIFS('D2 - Capex uso'!CU$6:CU$176,'D2 - Capex uso'!$C$6:$C$176,$A61,'D2 - Capex uso'!$AK$6:$AK$176,$A73)</f>
        <v>0</v>
      </c>
      <c r="AE73" s="710">
        <f>-SUMIFS('D2 - Capex uso'!CV$6:CV$176,'D2 - Capex uso'!$C$6:$C$176,$A61,'D2 - Capex uso'!$AK$6:$AK$176,$A73)</f>
        <v>0</v>
      </c>
      <c r="AF73" s="594"/>
      <c r="AG73" s="594"/>
      <c r="AH73" s="594"/>
      <c r="AI73" s="594"/>
      <c r="AJ73" s="594"/>
      <c r="AK73" s="594"/>
      <c r="AL73" s="594"/>
      <c r="AM73" s="594"/>
      <c r="AN73" s="594"/>
      <c r="AO73" s="594"/>
      <c r="AP73" s="594"/>
      <c r="AQ73" s="594"/>
      <c r="AR73" s="594"/>
      <c r="AS73" s="594"/>
      <c r="AT73" s="594"/>
      <c r="AU73" s="594"/>
      <c r="AV73" s="594"/>
      <c r="AW73" s="594"/>
      <c r="AX73" s="594"/>
      <c r="AY73" s="594"/>
      <c r="AZ73" s="594"/>
      <c r="BA73" s="594"/>
      <c r="BB73" s="594"/>
      <c r="BC73" s="594"/>
      <c r="BD73" s="594"/>
      <c r="BE73" s="594"/>
      <c r="BF73" s="594"/>
      <c r="BG73" s="594"/>
      <c r="BH73" s="594"/>
      <c r="BI73" s="594"/>
      <c r="BJ73" s="594"/>
      <c r="BK73" s="594"/>
      <c r="BL73" s="57"/>
      <c r="BM73" s="594"/>
      <c r="BN73" s="594"/>
      <c r="BO73" s="594"/>
      <c r="BP73" s="594"/>
      <c r="BQ73" s="594"/>
      <c r="BR73" s="594"/>
      <c r="BS73" s="594"/>
      <c r="BT73" s="594"/>
      <c r="BU73" s="594"/>
      <c r="BV73" s="594"/>
      <c r="BW73" s="594"/>
      <c r="BX73" s="594"/>
      <c r="BY73" s="594"/>
      <c r="BZ73" s="594"/>
      <c r="CA73" s="594"/>
      <c r="CB73" s="594"/>
      <c r="CC73" s="594"/>
      <c r="CD73" s="594"/>
      <c r="CE73" s="594"/>
      <c r="CF73" s="594"/>
      <c r="CG73" s="594"/>
      <c r="CH73" s="594"/>
      <c r="CI73" s="594"/>
      <c r="CJ73" s="594"/>
      <c r="CK73" s="594"/>
      <c r="CL73" s="594"/>
      <c r="CM73" s="594"/>
      <c r="CN73" s="594"/>
      <c r="CO73" s="594"/>
      <c r="CP73" s="594"/>
      <c r="CQ73" s="594"/>
    </row>
    <row r="74" spans="1:95" ht="19.5" hidden="1" customHeight="1" outlineLevel="2">
      <c r="A74" s="709" t="s">
        <v>378</v>
      </c>
      <c r="B74" s="710">
        <f>-SUMIFS('D2 - Capex uso'!BS$6:BS$176,'D2 - Capex uso'!$C$6:$C$176,$A61,'D2 - Capex uso'!$AK$6:$AK$176,$A74)</f>
        <v>0</v>
      </c>
      <c r="C74" s="710">
        <f>-SUMIFS('D2 - Capex uso'!BT$6:BT$176,'D2 - Capex uso'!$C$6:$C$176,$A61,'D2 - Capex uso'!$AK$6:$AK$176,$A74)</f>
        <v>0</v>
      </c>
      <c r="D74" s="710">
        <f>-SUMIFS('D2 - Capex uso'!BU$6:BU$176,'D2 - Capex uso'!$C$6:$C$176,$A61,'D2 - Capex uso'!$AK$6:$AK$176,$A74)</f>
        <v>0</v>
      </c>
      <c r="E74" s="710">
        <f>-SUMIFS('D2 - Capex uso'!BV$6:BV$176,'D2 - Capex uso'!$C$6:$C$176,$A61,'D2 - Capex uso'!$AK$6:$AK$176,$A74)</f>
        <v>0</v>
      </c>
      <c r="F74" s="710">
        <f>-SUMIFS('D2 - Capex uso'!BW$6:BW$176,'D2 - Capex uso'!$C$6:$C$176,$A61,'D2 - Capex uso'!$AK$6:$AK$176,$A74)</f>
        <v>0</v>
      </c>
      <c r="G74" s="710">
        <f>-SUMIFS('D2 - Capex uso'!BX$6:BX$176,'D2 - Capex uso'!$C$6:$C$176,$A61,'D2 - Capex uso'!$AK$6:$AK$176,$A74)</f>
        <v>0</v>
      </c>
      <c r="H74" s="710">
        <f>-SUMIFS('D2 - Capex uso'!BY$6:BY$176,'D2 - Capex uso'!$C$6:$C$176,$A61,'D2 - Capex uso'!$AK$6:$AK$176,$A74)</f>
        <v>0</v>
      </c>
      <c r="I74" s="710">
        <f>-SUMIFS('D2 - Capex uso'!BZ$6:BZ$176,'D2 - Capex uso'!$C$6:$C$176,$A61,'D2 - Capex uso'!$AK$6:$AK$176,$A74)</f>
        <v>0</v>
      </c>
      <c r="J74" s="710">
        <f>-SUMIFS('D2 - Capex uso'!CA$6:CA$176,'D2 - Capex uso'!$C$6:$C$176,$A61,'D2 - Capex uso'!$AK$6:$AK$176,$A74)</f>
        <v>0</v>
      </c>
      <c r="K74" s="710">
        <f>-SUMIFS('D2 - Capex uso'!CB$6:CB$176,'D2 - Capex uso'!$C$6:$C$176,$A61,'D2 - Capex uso'!$AK$6:$AK$176,$A74)</f>
        <v>0</v>
      </c>
      <c r="L74" s="710">
        <f>-SUMIFS('D2 - Capex uso'!CC$6:CC$176,'D2 - Capex uso'!$C$6:$C$176,$A61,'D2 - Capex uso'!$AK$6:$AK$176,$A74)</f>
        <v>0</v>
      </c>
      <c r="M74" s="710">
        <f>-SUMIFS('D2 - Capex uso'!CD$6:CD$176,'D2 - Capex uso'!$C$6:$C$176,$A61,'D2 - Capex uso'!$AK$6:$AK$176,$A74)</f>
        <v>0</v>
      </c>
      <c r="N74" s="710">
        <f>-SUMIFS('D2 - Capex uso'!CE$6:CE$176,'D2 - Capex uso'!$C$6:$C$176,$A61,'D2 - Capex uso'!$AK$6:$AK$176,$A74)</f>
        <v>0</v>
      </c>
      <c r="O74" s="710">
        <f>-SUMIFS('D2 - Capex uso'!CF$6:CF$176,'D2 - Capex uso'!$C$6:$C$176,$A61,'D2 - Capex uso'!$AK$6:$AK$176,$A74)</f>
        <v>0</v>
      </c>
      <c r="P74" s="710">
        <f>-SUMIFS('D2 - Capex uso'!CG$6:CG$176,'D2 - Capex uso'!$C$6:$C$176,$A61,'D2 - Capex uso'!$AK$6:$AK$176,$A74)</f>
        <v>0</v>
      </c>
      <c r="Q74" s="710">
        <f>-SUMIFS('D2 - Capex uso'!CH$6:CH$176,'D2 - Capex uso'!$C$6:$C$176,$A61,'D2 - Capex uso'!$AK$6:$AK$176,$A74)</f>
        <v>0</v>
      </c>
      <c r="R74" s="710">
        <f>-SUMIFS('D2 - Capex uso'!CI$6:CI$176,'D2 - Capex uso'!$C$6:$C$176,$A61,'D2 - Capex uso'!$AK$6:$AK$176,$A74)</f>
        <v>0</v>
      </c>
      <c r="S74" s="710">
        <f>-SUMIFS('D2 - Capex uso'!CJ$6:CJ$176,'D2 - Capex uso'!$C$6:$C$176,$A61,'D2 - Capex uso'!$AK$6:$AK$176,$A74)</f>
        <v>0</v>
      </c>
      <c r="T74" s="710">
        <f>-SUMIFS('D2 - Capex uso'!CK$6:CK$176,'D2 - Capex uso'!$C$6:$C$176,$A61,'D2 - Capex uso'!$AK$6:$AK$176,$A74)</f>
        <v>0</v>
      </c>
      <c r="U74" s="710">
        <f>-SUMIFS('D2 - Capex uso'!CL$6:CL$176,'D2 - Capex uso'!$C$6:$C$176,$A61,'D2 - Capex uso'!$AK$6:$AK$176,$A74)</f>
        <v>0</v>
      </c>
      <c r="V74" s="710">
        <f>-SUMIFS('D2 - Capex uso'!CM$6:CM$176,'D2 - Capex uso'!$C$6:$C$176,$A61,'D2 - Capex uso'!$AK$6:$AK$176,$A74)</f>
        <v>0</v>
      </c>
      <c r="W74" s="710">
        <f>-SUMIFS('D2 - Capex uso'!CN$6:CN$176,'D2 - Capex uso'!$C$6:$C$176,$A61,'D2 - Capex uso'!$AK$6:$AK$176,$A74)</f>
        <v>0</v>
      </c>
      <c r="X74" s="710">
        <f>-SUMIFS('D2 - Capex uso'!CO$6:CO$176,'D2 - Capex uso'!$C$6:$C$176,$A61,'D2 - Capex uso'!$AK$6:$AK$176,$A74)</f>
        <v>0</v>
      </c>
      <c r="Y74" s="710">
        <f>-SUMIFS('D2 - Capex uso'!CP$6:CP$176,'D2 - Capex uso'!$C$6:$C$176,$A61,'D2 - Capex uso'!$AK$6:$AK$176,$A74)</f>
        <v>0</v>
      </c>
      <c r="Z74" s="710">
        <f>-SUMIFS('D2 - Capex uso'!CQ$6:CQ$176,'D2 - Capex uso'!$C$6:$C$176,$A61,'D2 - Capex uso'!$AK$6:$AK$176,$A74)</f>
        <v>0</v>
      </c>
      <c r="AA74" s="710">
        <f>-SUMIFS('D2 - Capex uso'!CR$6:CR$176,'D2 - Capex uso'!$C$6:$C$176,$A61,'D2 - Capex uso'!$AK$6:$AK$176,$A74)</f>
        <v>0</v>
      </c>
      <c r="AB74" s="710">
        <f>-SUMIFS('D2 - Capex uso'!CS$6:CS$176,'D2 - Capex uso'!$C$6:$C$176,$A61,'D2 - Capex uso'!$AK$6:$AK$176,$A74)</f>
        <v>0</v>
      </c>
      <c r="AC74" s="710">
        <f>-SUMIFS('D2 - Capex uso'!CT$6:CT$176,'D2 - Capex uso'!$C$6:$C$176,$A61,'D2 - Capex uso'!$AK$6:$AK$176,$A74)</f>
        <v>0</v>
      </c>
      <c r="AD74" s="710">
        <f>-SUMIFS('D2 - Capex uso'!CU$6:CU$176,'D2 - Capex uso'!$C$6:$C$176,$A61,'D2 - Capex uso'!$AK$6:$AK$176,$A74)</f>
        <v>0</v>
      </c>
      <c r="AE74" s="710">
        <f>-SUMIFS('D2 - Capex uso'!CV$6:CV$176,'D2 - Capex uso'!$C$6:$C$176,$A61,'D2 - Capex uso'!$AK$6:$AK$176,$A74)</f>
        <v>0</v>
      </c>
      <c r="AF74" s="594"/>
      <c r="AG74" s="594"/>
      <c r="AH74" s="594"/>
      <c r="AI74" s="594"/>
      <c r="AJ74" s="594"/>
      <c r="AK74" s="594"/>
      <c r="AL74" s="594"/>
      <c r="AM74" s="594"/>
      <c r="AN74" s="594"/>
      <c r="AO74" s="594"/>
      <c r="AP74" s="594"/>
      <c r="AQ74" s="594"/>
      <c r="AR74" s="594"/>
      <c r="AS74" s="594"/>
      <c r="AT74" s="594"/>
      <c r="AU74" s="594"/>
      <c r="AV74" s="594"/>
      <c r="AW74" s="594"/>
      <c r="AX74" s="594"/>
      <c r="AY74" s="594"/>
      <c r="AZ74" s="594"/>
      <c r="BA74" s="594"/>
      <c r="BB74" s="594"/>
      <c r="BC74" s="594"/>
      <c r="BD74" s="594"/>
      <c r="BE74" s="594"/>
      <c r="BF74" s="594"/>
      <c r="BG74" s="594"/>
      <c r="BH74" s="594"/>
      <c r="BI74" s="594"/>
      <c r="BJ74" s="594"/>
      <c r="BK74" s="594"/>
      <c r="BL74" s="57"/>
      <c r="BM74" s="594"/>
      <c r="BN74" s="594"/>
      <c r="BO74" s="594"/>
      <c r="BP74" s="594"/>
      <c r="BQ74" s="594"/>
      <c r="BR74" s="594"/>
      <c r="BS74" s="594"/>
      <c r="BT74" s="594"/>
      <c r="BU74" s="594"/>
      <c r="BV74" s="594"/>
      <c r="BW74" s="594"/>
      <c r="BX74" s="594"/>
      <c r="BY74" s="594"/>
      <c r="BZ74" s="594"/>
      <c r="CA74" s="594"/>
      <c r="CB74" s="594"/>
      <c r="CC74" s="594"/>
      <c r="CD74" s="594"/>
      <c r="CE74" s="594"/>
      <c r="CF74" s="594"/>
      <c r="CG74" s="594"/>
      <c r="CH74" s="594"/>
      <c r="CI74" s="594"/>
      <c r="CJ74" s="594"/>
      <c r="CK74" s="594"/>
      <c r="CL74" s="594"/>
      <c r="CM74" s="594"/>
      <c r="CN74" s="594"/>
      <c r="CO74" s="594"/>
      <c r="CP74" s="594"/>
      <c r="CQ74" s="594"/>
    </row>
    <row r="75" spans="1:95" ht="19.5" hidden="1" customHeight="1" outlineLevel="2">
      <c r="A75" s="709" t="s">
        <v>366</v>
      </c>
      <c r="B75" s="710">
        <f>-SUMIFS('D2 - Capex uso'!BS$6:BS$176,'D2 - Capex uso'!$C$6:$C$176,$A61,'D2 - Capex uso'!$AK$6:$AK$176,$A75)</f>
        <v>0</v>
      </c>
      <c r="C75" s="710">
        <f>-SUMIFS('D2 - Capex uso'!BT$6:BT$176,'D2 - Capex uso'!$C$6:$C$176,$A61,'D2 - Capex uso'!$AK$6:$AK$176,$A75)</f>
        <v>0</v>
      </c>
      <c r="D75" s="710">
        <f>-SUMIFS('D2 - Capex uso'!BU$6:BU$176,'D2 - Capex uso'!$C$6:$C$176,$A61,'D2 - Capex uso'!$AK$6:$AK$176,$A75)</f>
        <v>0</v>
      </c>
      <c r="E75" s="710">
        <f>-SUMIFS('D2 - Capex uso'!BV$6:BV$176,'D2 - Capex uso'!$C$6:$C$176,$A61,'D2 - Capex uso'!$AK$6:$AK$176,$A75)</f>
        <v>0</v>
      </c>
      <c r="F75" s="710">
        <f>-SUMIFS('D2 - Capex uso'!BW$6:BW$176,'D2 - Capex uso'!$C$6:$C$176,$A61,'D2 - Capex uso'!$AK$6:$AK$176,$A75)</f>
        <v>0</v>
      </c>
      <c r="G75" s="710">
        <f>-SUMIFS('D2 - Capex uso'!BX$6:BX$176,'D2 - Capex uso'!$C$6:$C$176,$A61,'D2 - Capex uso'!$AK$6:$AK$176,$A75)</f>
        <v>0</v>
      </c>
      <c r="H75" s="710">
        <f>-SUMIFS('D2 - Capex uso'!BY$6:BY$176,'D2 - Capex uso'!$C$6:$C$176,$A61,'D2 - Capex uso'!$AK$6:$AK$176,$A75)</f>
        <v>0</v>
      </c>
      <c r="I75" s="710">
        <f>-SUMIFS('D2 - Capex uso'!BZ$6:BZ$176,'D2 - Capex uso'!$C$6:$C$176,$A61,'D2 - Capex uso'!$AK$6:$AK$176,$A75)</f>
        <v>0</v>
      </c>
      <c r="J75" s="710">
        <f>-SUMIFS('D2 - Capex uso'!CA$6:CA$176,'D2 - Capex uso'!$C$6:$C$176,$A61,'D2 - Capex uso'!$AK$6:$AK$176,$A75)</f>
        <v>0</v>
      </c>
      <c r="K75" s="710">
        <f>-SUMIFS('D2 - Capex uso'!CB$6:CB$176,'D2 - Capex uso'!$C$6:$C$176,$A61,'D2 - Capex uso'!$AK$6:$AK$176,$A75)</f>
        <v>0</v>
      </c>
      <c r="L75" s="710">
        <f>-SUMIFS('D2 - Capex uso'!CC$6:CC$176,'D2 - Capex uso'!$C$6:$C$176,$A61,'D2 - Capex uso'!$AK$6:$AK$176,$A75)</f>
        <v>0</v>
      </c>
      <c r="M75" s="710">
        <f>-SUMIFS('D2 - Capex uso'!CD$6:CD$176,'D2 - Capex uso'!$C$6:$C$176,$A61,'D2 - Capex uso'!$AK$6:$AK$176,$A75)</f>
        <v>0</v>
      </c>
      <c r="N75" s="710">
        <f>-SUMIFS('D2 - Capex uso'!CE$6:CE$176,'D2 - Capex uso'!$C$6:$C$176,$A61,'D2 - Capex uso'!$AK$6:$AK$176,$A75)</f>
        <v>0</v>
      </c>
      <c r="O75" s="710">
        <f>-SUMIFS('D2 - Capex uso'!CF$6:CF$176,'D2 - Capex uso'!$C$6:$C$176,$A61,'D2 - Capex uso'!$AK$6:$AK$176,$A75)</f>
        <v>0</v>
      </c>
      <c r="P75" s="710">
        <f>-SUMIFS('D2 - Capex uso'!CG$6:CG$176,'D2 - Capex uso'!$C$6:$C$176,$A61,'D2 - Capex uso'!$AK$6:$AK$176,$A75)</f>
        <v>0</v>
      </c>
      <c r="Q75" s="710">
        <f>-SUMIFS('D2 - Capex uso'!CH$6:CH$176,'D2 - Capex uso'!$C$6:$C$176,$A61,'D2 - Capex uso'!$AK$6:$AK$176,$A75)</f>
        <v>0</v>
      </c>
      <c r="R75" s="710">
        <f>-SUMIFS('D2 - Capex uso'!CI$6:CI$176,'D2 - Capex uso'!$C$6:$C$176,$A61,'D2 - Capex uso'!$AK$6:$AK$176,$A75)</f>
        <v>0</v>
      </c>
      <c r="S75" s="710">
        <f>-SUMIFS('D2 - Capex uso'!CJ$6:CJ$176,'D2 - Capex uso'!$C$6:$C$176,$A61,'D2 - Capex uso'!$AK$6:$AK$176,$A75)</f>
        <v>0</v>
      </c>
      <c r="T75" s="710">
        <f>-SUMIFS('D2 - Capex uso'!CK$6:CK$176,'D2 - Capex uso'!$C$6:$C$176,$A61,'D2 - Capex uso'!$AK$6:$AK$176,$A75)</f>
        <v>0</v>
      </c>
      <c r="U75" s="710">
        <f>-SUMIFS('D2 - Capex uso'!CL$6:CL$176,'D2 - Capex uso'!$C$6:$C$176,$A61,'D2 - Capex uso'!$AK$6:$AK$176,$A75)</f>
        <v>0</v>
      </c>
      <c r="V75" s="710">
        <f>-SUMIFS('D2 - Capex uso'!CM$6:CM$176,'D2 - Capex uso'!$C$6:$C$176,$A61,'D2 - Capex uso'!$AK$6:$AK$176,$A75)</f>
        <v>0</v>
      </c>
      <c r="W75" s="710">
        <f>-SUMIFS('D2 - Capex uso'!CN$6:CN$176,'D2 - Capex uso'!$C$6:$C$176,$A61,'D2 - Capex uso'!$AK$6:$AK$176,$A75)</f>
        <v>0</v>
      </c>
      <c r="X75" s="710">
        <f>-SUMIFS('D2 - Capex uso'!CO$6:CO$176,'D2 - Capex uso'!$C$6:$C$176,$A61,'D2 - Capex uso'!$AK$6:$AK$176,$A75)</f>
        <v>0</v>
      </c>
      <c r="Y75" s="710">
        <f>-SUMIFS('D2 - Capex uso'!CP$6:CP$176,'D2 - Capex uso'!$C$6:$C$176,$A61,'D2 - Capex uso'!$AK$6:$AK$176,$A75)</f>
        <v>0</v>
      </c>
      <c r="Z75" s="710">
        <f>-SUMIFS('D2 - Capex uso'!CQ$6:CQ$176,'D2 - Capex uso'!$C$6:$C$176,$A61,'D2 - Capex uso'!$AK$6:$AK$176,$A75)</f>
        <v>0</v>
      </c>
      <c r="AA75" s="710">
        <f>-SUMIFS('D2 - Capex uso'!CR$6:CR$176,'D2 - Capex uso'!$C$6:$C$176,$A61,'D2 - Capex uso'!$AK$6:$AK$176,$A75)</f>
        <v>0</v>
      </c>
      <c r="AB75" s="710">
        <f>-SUMIFS('D2 - Capex uso'!CS$6:CS$176,'D2 - Capex uso'!$C$6:$C$176,$A61,'D2 - Capex uso'!$AK$6:$AK$176,$A75)</f>
        <v>0</v>
      </c>
      <c r="AC75" s="710">
        <f>-SUMIFS('D2 - Capex uso'!CT$6:CT$176,'D2 - Capex uso'!$C$6:$C$176,$A61,'D2 - Capex uso'!$AK$6:$AK$176,$A75)</f>
        <v>0</v>
      </c>
      <c r="AD75" s="710">
        <f>-SUMIFS('D2 - Capex uso'!CU$6:CU$176,'D2 - Capex uso'!$C$6:$C$176,$A61,'D2 - Capex uso'!$AK$6:$AK$176,$A75)</f>
        <v>0</v>
      </c>
      <c r="AE75" s="710">
        <f>-SUMIFS('D2 - Capex uso'!CV$6:CV$176,'D2 - Capex uso'!$C$6:$C$176,$A61,'D2 - Capex uso'!$AK$6:$AK$176,$A75)</f>
        <v>0</v>
      </c>
      <c r="AF75" s="594"/>
      <c r="AG75" s="594"/>
      <c r="AH75" s="594"/>
      <c r="AI75" s="594"/>
      <c r="AJ75" s="594"/>
      <c r="AK75" s="594"/>
      <c r="AL75" s="594"/>
      <c r="AM75" s="594"/>
      <c r="AN75" s="594"/>
      <c r="AO75" s="594"/>
      <c r="AP75" s="594"/>
      <c r="AQ75" s="594"/>
      <c r="AR75" s="594"/>
      <c r="AS75" s="594"/>
      <c r="AT75" s="594"/>
      <c r="AU75" s="594"/>
      <c r="AV75" s="594"/>
      <c r="AW75" s="594"/>
      <c r="AX75" s="594"/>
      <c r="AY75" s="594"/>
      <c r="AZ75" s="594"/>
      <c r="BA75" s="594"/>
      <c r="BB75" s="594"/>
      <c r="BC75" s="594"/>
      <c r="BD75" s="594"/>
      <c r="BE75" s="594"/>
      <c r="BF75" s="594"/>
      <c r="BG75" s="594"/>
      <c r="BH75" s="594"/>
      <c r="BI75" s="594"/>
      <c r="BJ75" s="594"/>
      <c r="BK75" s="594"/>
      <c r="BL75" s="57"/>
      <c r="BM75" s="594"/>
      <c r="BN75" s="594"/>
      <c r="BO75" s="594"/>
      <c r="BP75" s="594"/>
      <c r="BQ75" s="594"/>
      <c r="BR75" s="594"/>
      <c r="BS75" s="594"/>
      <c r="BT75" s="594"/>
      <c r="BU75" s="594"/>
      <c r="BV75" s="594"/>
      <c r="BW75" s="594"/>
      <c r="BX75" s="594"/>
      <c r="BY75" s="594"/>
      <c r="BZ75" s="594"/>
      <c r="CA75" s="594"/>
      <c r="CB75" s="594"/>
      <c r="CC75" s="594"/>
      <c r="CD75" s="594"/>
      <c r="CE75" s="594"/>
      <c r="CF75" s="594"/>
      <c r="CG75" s="594"/>
      <c r="CH75" s="594"/>
      <c r="CI75" s="594"/>
      <c r="CJ75" s="594"/>
      <c r="CK75" s="594"/>
      <c r="CL75" s="594"/>
      <c r="CM75" s="594"/>
      <c r="CN75" s="594"/>
      <c r="CO75" s="594"/>
      <c r="CP75" s="594"/>
      <c r="CQ75" s="594"/>
    </row>
    <row r="76" spans="1:95" ht="19.5" hidden="1" customHeight="1" outlineLevel="2">
      <c r="A76" s="709" t="s">
        <v>371</v>
      </c>
      <c r="B76" s="710">
        <f>-SUMIFS('D2 - Capex uso'!BS$6:BS$176,'D2 - Capex uso'!$C$6:$C$176,$A61,'D2 - Capex uso'!$AK$6:$AK$176,$A76)</f>
        <v>0</v>
      </c>
      <c r="C76" s="710">
        <f>-SUMIFS('D2 - Capex uso'!BT$6:BT$176,'D2 - Capex uso'!$C$6:$C$176,$A61,'D2 - Capex uso'!$AK$6:$AK$176,$A76)</f>
        <v>0</v>
      </c>
      <c r="D76" s="710">
        <f>-SUMIFS('D2 - Capex uso'!BU$6:BU$176,'D2 - Capex uso'!$C$6:$C$176,$A61,'D2 - Capex uso'!$AK$6:$AK$176,$A76)</f>
        <v>0</v>
      </c>
      <c r="E76" s="710">
        <f>-SUMIFS('D2 - Capex uso'!BV$6:BV$176,'D2 - Capex uso'!$C$6:$C$176,$A61,'D2 - Capex uso'!$AK$6:$AK$176,$A76)</f>
        <v>0</v>
      </c>
      <c r="F76" s="710">
        <f>-SUMIFS('D2 - Capex uso'!BW$6:BW$176,'D2 - Capex uso'!$C$6:$C$176,$A61,'D2 - Capex uso'!$AK$6:$AK$176,$A76)</f>
        <v>0</v>
      </c>
      <c r="G76" s="710">
        <f>-SUMIFS('D2 - Capex uso'!BX$6:BX$176,'D2 - Capex uso'!$C$6:$C$176,$A61,'D2 - Capex uso'!$AK$6:$AK$176,$A76)</f>
        <v>0</v>
      </c>
      <c r="H76" s="710">
        <f>-SUMIFS('D2 - Capex uso'!BY$6:BY$176,'D2 - Capex uso'!$C$6:$C$176,$A61,'D2 - Capex uso'!$AK$6:$AK$176,$A76)</f>
        <v>0</v>
      </c>
      <c r="I76" s="710">
        <f>-SUMIFS('D2 - Capex uso'!BZ$6:BZ$176,'D2 - Capex uso'!$C$6:$C$176,$A61,'D2 - Capex uso'!$AK$6:$AK$176,$A76)</f>
        <v>0</v>
      </c>
      <c r="J76" s="710">
        <f>-SUMIFS('D2 - Capex uso'!CA$6:CA$176,'D2 - Capex uso'!$C$6:$C$176,$A61,'D2 - Capex uso'!$AK$6:$AK$176,$A76)</f>
        <v>0</v>
      </c>
      <c r="K76" s="710">
        <f>-SUMIFS('D2 - Capex uso'!CB$6:CB$176,'D2 - Capex uso'!$C$6:$C$176,$A61,'D2 - Capex uso'!$AK$6:$AK$176,$A76)</f>
        <v>0</v>
      </c>
      <c r="L76" s="710">
        <f>-SUMIFS('D2 - Capex uso'!CC$6:CC$176,'D2 - Capex uso'!$C$6:$C$176,$A61,'D2 - Capex uso'!$AK$6:$AK$176,$A76)</f>
        <v>0</v>
      </c>
      <c r="M76" s="710">
        <f>-SUMIFS('D2 - Capex uso'!CD$6:CD$176,'D2 - Capex uso'!$C$6:$C$176,$A61,'D2 - Capex uso'!$AK$6:$AK$176,$A76)</f>
        <v>0</v>
      </c>
      <c r="N76" s="710">
        <f>-SUMIFS('D2 - Capex uso'!CE$6:CE$176,'D2 - Capex uso'!$C$6:$C$176,$A61,'D2 - Capex uso'!$AK$6:$AK$176,$A76)</f>
        <v>0</v>
      </c>
      <c r="O76" s="710">
        <f>-SUMIFS('D2 - Capex uso'!CF$6:CF$176,'D2 - Capex uso'!$C$6:$C$176,$A61,'D2 - Capex uso'!$AK$6:$AK$176,$A76)</f>
        <v>0</v>
      </c>
      <c r="P76" s="710">
        <f>-SUMIFS('D2 - Capex uso'!CG$6:CG$176,'D2 - Capex uso'!$C$6:$C$176,$A61,'D2 - Capex uso'!$AK$6:$AK$176,$A76)</f>
        <v>0</v>
      </c>
      <c r="Q76" s="710">
        <f>-SUMIFS('D2 - Capex uso'!CH$6:CH$176,'D2 - Capex uso'!$C$6:$C$176,$A61,'D2 - Capex uso'!$AK$6:$AK$176,$A76)</f>
        <v>0</v>
      </c>
      <c r="R76" s="710">
        <f>-SUMIFS('D2 - Capex uso'!CI$6:CI$176,'D2 - Capex uso'!$C$6:$C$176,$A61,'D2 - Capex uso'!$AK$6:$AK$176,$A76)</f>
        <v>0</v>
      </c>
      <c r="S76" s="710">
        <f>-SUMIFS('D2 - Capex uso'!CJ$6:CJ$176,'D2 - Capex uso'!$C$6:$C$176,$A61,'D2 - Capex uso'!$AK$6:$AK$176,$A76)</f>
        <v>0</v>
      </c>
      <c r="T76" s="710">
        <f>-SUMIFS('D2 - Capex uso'!CK$6:CK$176,'D2 - Capex uso'!$C$6:$C$176,$A61,'D2 - Capex uso'!$AK$6:$AK$176,$A76)</f>
        <v>0</v>
      </c>
      <c r="U76" s="710">
        <f>-SUMIFS('D2 - Capex uso'!CL$6:CL$176,'D2 - Capex uso'!$C$6:$C$176,$A61,'D2 - Capex uso'!$AK$6:$AK$176,$A76)</f>
        <v>0</v>
      </c>
      <c r="V76" s="710">
        <f>-SUMIFS('D2 - Capex uso'!CM$6:CM$176,'D2 - Capex uso'!$C$6:$C$176,$A61,'D2 - Capex uso'!$AK$6:$AK$176,$A76)</f>
        <v>0</v>
      </c>
      <c r="W76" s="710">
        <f>-SUMIFS('D2 - Capex uso'!CN$6:CN$176,'D2 - Capex uso'!$C$6:$C$176,$A61,'D2 - Capex uso'!$AK$6:$AK$176,$A76)</f>
        <v>0</v>
      </c>
      <c r="X76" s="710">
        <f>-SUMIFS('D2 - Capex uso'!CO$6:CO$176,'D2 - Capex uso'!$C$6:$C$176,$A61,'D2 - Capex uso'!$AK$6:$AK$176,$A76)</f>
        <v>0</v>
      </c>
      <c r="Y76" s="710">
        <f>-SUMIFS('D2 - Capex uso'!CP$6:CP$176,'D2 - Capex uso'!$C$6:$C$176,$A61,'D2 - Capex uso'!$AK$6:$AK$176,$A76)</f>
        <v>0</v>
      </c>
      <c r="Z76" s="710">
        <f>-SUMIFS('D2 - Capex uso'!CQ$6:CQ$176,'D2 - Capex uso'!$C$6:$C$176,$A61,'D2 - Capex uso'!$AK$6:$AK$176,$A76)</f>
        <v>0</v>
      </c>
      <c r="AA76" s="710">
        <f>-SUMIFS('D2 - Capex uso'!CR$6:CR$176,'D2 - Capex uso'!$C$6:$C$176,$A61,'D2 - Capex uso'!$AK$6:$AK$176,$A76)</f>
        <v>0</v>
      </c>
      <c r="AB76" s="710">
        <f>-SUMIFS('D2 - Capex uso'!CS$6:CS$176,'D2 - Capex uso'!$C$6:$C$176,$A61,'D2 - Capex uso'!$AK$6:$AK$176,$A76)</f>
        <v>0</v>
      </c>
      <c r="AC76" s="710">
        <f>-SUMIFS('D2 - Capex uso'!CT$6:CT$176,'D2 - Capex uso'!$C$6:$C$176,$A61,'D2 - Capex uso'!$AK$6:$AK$176,$A76)</f>
        <v>0</v>
      </c>
      <c r="AD76" s="710">
        <f>-SUMIFS('D2 - Capex uso'!CU$6:CU$176,'D2 - Capex uso'!$C$6:$C$176,$A61,'D2 - Capex uso'!$AK$6:$AK$176,$A76)</f>
        <v>0</v>
      </c>
      <c r="AE76" s="710">
        <f>-SUMIFS('D2 - Capex uso'!CV$6:CV$176,'D2 - Capex uso'!$C$6:$C$176,$A61,'D2 - Capex uso'!$AK$6:$AK$176,$A76)</f>
        <v>0</v>
      </c>
      <c r="AF76" s="594"/>
      <c r="AG76" s="594"/>
      <c r="AH76" s="594"/>
      <c r="AI76" s="594"/>
      <c r="AJ76" s="594"/>
      <c r="AK76" s="594"/>
      <c r="AL76" s="594"/>
      <c r="AM76" s="594"/>
      <c r="AN76" s="594"/>
      <c r="AO76" s="594"/>
      <c r="AP76" s="594"/>
      <c r="AQ76" s="594"/>
      <c r="AR76" s="594"/>
      <c r="AS76" s="594"/>
      <c r="AT76" s="594"/>
      <c r="AU76" s="594"/>
      <c r="AV76" s="594"/>
      <c r="AW76" s="594"/>
      <c r="AX76" s="594"/>
      <c r="AY76" s="594"/>
      <c r="AZ76" s="594"/>
      <c r="BA76" s="594"/>
      <c r="BB76" s="594"/>
      <c r="BC76" s="594"/>
      <c r="BD76" s="594"/>
      <c r="BE76" s="594"/>
      <c r="BF76" s="594"/>
      <c r="BG76" s="594"/>
      <c r="BH76" s="594"/>
      <c r="BI76" s="594"/>
      <c r="BJ76" s="594"/>
      <c r="BK76" s="594"/>
      <c r="BL76" s="57"/>
      <c r="BM76" s="594"/>
      <c r="BN76" s="594"/>
      <c r="BO76" s="594"/>
      <c r="BP76" s="594"/>
      <c r="BQ76" s="594"/>
      <c r="BR76" s="594"/>
      <c r="BS76" s="594"/>
      <c r="BT76" s="594"/>
      <c r="BU76" s="594"/>
      <c r="BV76" s="594"/>
      <c r="BW76" s="594"/>
      <c r="BX76" s="594"/>
      <c r="BY76" s="594"/>
      <c r="BZ76" s="594"/>
      <c r="CA76" s="594"/>
      <c r="CB76" s="594"/>
      <c r="CC76" s="594"/>
      <c r="CD76" s="594"/>
      <c r="CE76" s="594"/>
      <c r="CF76" s="594"/>
      <c r="CG76" s="594"/>
      <c r="CH76" s="594"/>
      <c r="CI76" s="594"/>
      <c r="CJ76" s="594"/>
      <c r="CK76" s="594"/>
      <c r="CL76" s="594"/>
      <c r="CM76" s="594"/>
      <c r="CN76" s="594"/>
      <c r="CO76" s="594"/>
      <c r="CP76" s="594"/>
      <c r="CQ76" s="594"/>
    </row>
    <row r="77" spans="1:95" ht="19.5" hidden="1" customHeight="1" outlineLevel="2">
      <c r="A77" s="709" t="s">
        <v>361</v>
      </c>
      <c r="B77" s="710">
        <f>-SUMIFS('D2 - Capex uso'!BS$6:BS$176,'D2 - Capex uso'!$C$6:$C$176,$A61,'D2 - Capex uso'!$AK$6:$AK$176,$A77)</f>
        <v>0</v>
      </c>
      <c r="C77" s="710">
        <f>-SUMIFS('D2 - Capex uso'!BT$6:BT$176,'D2 - Capex uso'!$C$6:$C$176,$A61,'D2 - Capex uso'!$AK$6:$AK$176,$A77)</f>
        <v>0</v>
      </c>
      <c r="D77" s="710">
        <f>-SUMIFS('D2 - Capex uso'!BU$6:BU$176,'D2 - Capex uso'!$C$6:$C$176,$A61,'D2 - Capex uso'!$AK$6:$AK$176,$A77)</f>
        <v>0</v>
      </c>
      <c r="E77" s="710">
        <f>-SUMIFS('D2 - Capex uso'!BV$6:BV$176,'D2 - Capex uso'!$C$6:$C$176,$A61,'D2 - Capex uso'!$AK$6:$AK$176,$A77)</f>
        <v>0</v>
      </c>
      <c r="F77" s="710">
        <f>-SUMIFS('D2 - Capex uso'!BW$6:BW$176,'D2 - Capex uso'!$C$6:$C$176,$A61,'D2 - Capex uso'!$AK$6:$AK$176,$A77)</f>
        <v>0</v>
      </c>
      <c r="G77" s="710">
        <f>-SUMIFS('D2 - Capex uso'!BX$6:BX$176,'D2 - Capex uso'!$C$6:$C$176,$A61,'D2 - Capex uso'!$AK$6:$AK$176,$A77)</f>
        <v>0</v>
      </c>
      <c r="H77" s="710">
        <f>-SUMIFS('D2 - Capex uso'!BY$6:BY$176,'D2 - Capex uso'!$C$6:$C$176,$A61,'D2 - Capex uso'!$AK$6:$AK$176,$A77)</f>
        <v>0</v>
      </c>
      <c r="I77" s="710">
        <f>-SUMIFS('D2 - Capex uso'!BZ$6:BZ$176,'D2 - Capex uso'!$C$6:$C$176,$A61,'D2 - Capex uso'!$AK$6:$AK$176,$A77)</f>
        <v>0</v>
      </c>
      <c r="J77" s="710">
        <f>-SUMIFS('D2 - Capex uso'!CA$6:CA$176,'D2 - Capex uso'!$C$6:$C$176,$A61,'D2 - Capex uso'!$AK$6:$AK$176,$A77)</f>
        <v>0</v>
      </c>
      <c r="K77" s="710">
        <f>-SUMIFS('D2 - Capex uso'!CB$6:CB$176,'D2 - Capex uso'!$C$6:$C$176,$A61,'D2 - Capex uso'!$AK$6:$AK$176,$A77)</f>
        <v>0</v>
      </c>
      <c r="L77" s="710">
        <f>-SUMIFS('D2 - Capex uso'!CC$6:CC$176,'D2 - Capex uso'!$C$6:$C$176,$A61,'D2 - Capex uso'!$AK$6:$AK$176,$A77)</f>
        <v>0</v>
      </c>
      <c r="M77" s="710">
        <f>-SUMIFS('D2 - Capex uso'!CD$6:CD$176,'D2 - Capex uso'!$C$6:$C$176,$A61,'D2 - Capex uso'!$AK$6:$AK$176,$A77)</f>
        <v>0</v>
      </c>
      <c r="N77" s="710">
        <f>-SUMIFS('D2 - Capex uso'!CE$6:CE$176,'D2 - Capex uso'!$C$6:$C$176,$A61,'D2 - Capex uso'!$AK$6:$AK$176,$A77)</f>
        <v>0</v>
      </c>
      <c r="O77" s="710">
        <f>-SUMIFS('D2 - Capex uso'!CF$6:CF$176,'D2 - Capex uso'!$C$6:$C$176,$A61,'D2 - Capex uso'!$AK$6:$AK$176,$A77)</f>
        <v>0</v>
      </c>
      <c r="P77" s="710">
        <f>-SUMIFS('D2 - Capex uso'!CG$6:CG$176,'D2 - Capex uso'!$C$6:$C$176,$A61,'D2 - Capex uso'!$AK$6:$AK$176,$A77)</f>
        <v>0</v>
      </c>
      <c r="Q77" s="710">
        <f>-SUMIFS('D2 - Capex uso'!CH$6:CH$176,'D2 - Capex uso'!$C$6:$C$176,$A61,'D2 - Capex uso'!$AK$6:$AK$176,$A77)</f>
        <v>0</v>
      </c>
      <c r="R77" s="710">
        <f>-SUMIFS('D2 - Capex uso'!CI$6:CI$176,'D2 - Capex uso'!$C$6:$C$176,$A61,'D2 - Capex uso'!$AK$6:$AK$176,$A77)</f>
        <v>0</v>
      </c>
      <c r="S77" s="710">
        <f>-SUMIFS('D2 - Capex uso'!CJ$6:CJ$176,'D2 - Capex uso'!$C$6:$C$176,$A61,'D2 - Capex uso'!$AK$6:$AK$176,$A77)</f>
        <v>0</v>
      </c>
      <c r="T77" s="710">
        <f>-SUMIFS('D2 - Capex uso'!CK$6:CK$176,'D2 - Capex uso'!$C$6:$C$176,$A61,'D2 - Capex uso'!$AK$6:$AK$176,$A77)</f>
        <v>0</v>
      </c>
      <c r="U77" s="710">
        <f>-SUMIFS('D2 - Capex uso'!CL$6:CL$176,'D2 - Capex uso'!$C$6:$C$176,$A61,'D2 - Capex uso'!$AK$6:$AK$176,$A77)</f>
        <v>0</v>
      </c>
      <c r="V77" s="710">
        <f>-SUMIFS('D2 - Capex uso'!CM$6:CM$176,'D2 - Capex uso'!$C$6:$C$176,$A61,'D2 - Capex uso'!$AK$6:$AK$176,$A77)</f>
        <v>0</v>
      </c>
      <c r="W77" s="710">
        <f>-SUMIFS('D2 - Capex uso'!CN$6:CN$176,'D2 - Capex uso'!$C$6:$C$176,$A61,'D2 - Capex uso'!$AK$6:$AK$176,$A77)</f>
        <v>0</v>
      </c>
      <c r="X77" s="710">
        <f>-SUMIFS('D2 - Capex uso'!CO$6:CO$176,'D2 - Capex uso'!$C$6:$C$176,$A61,'D2 - Capex uso'!$AK$6:$AK$176,$A77)</f>
        <v>0</v>
      </c>
      <c r="Y77" s="710">
        <f>-SUMIFS('D2 - Capex uso'!CP$6:CP$176,'D2 - Capex uso'!$C$6:$C$176,$A61,'D2 - Capex uso'!$AK$6:$AK$176,$A77)</f>
        <v>0</v>
      </c>
      <c r="Z77" s="710">
        <f>-SUMIFS('D2 - Capex uso'!CQ$6:CQ$176,'D2 - Capex uso'!$C$6:$C$176,$A61,'D2 - Capex uso'!$AK$6:$AK$176,$A77)</f>
        <v>0</v>
      </c>
      <c r="AA77" s="710">
        <f>-SUMIFS('D2 - Capex uso'!CR$6:CR$176,'D2 - Capex uso'!$C$6:$C$176,$A61,'D2 - Capex uso'!$AK$6:$AK$176,$A77)</f>
        <v>0</v>
      </c>
      <c r="AB77" s="710">
        <f>-SUMIFS('D2 - Capex uso'!CS$6:CS$176,'D2 - Capex uso'!$C$6:$C$176,$A61,'D2 - Capex uso'!$AK$6:$AK$176,$A77)</f>
        <v>0</v>
      </c>
      <c r="AC77" s="710">
        <f>-SUMIFS('D2 - Capex uso'!CT$6:CT$176,'D2 - Capex uso'!$C$6:$C$176,$A61,'D2 - Capex uso'!$AK$6:$AK$176,$A77)</f>
        <v>0</v>
      </c>
      <c r="AD77" s="710">
        <f>-SUMIFS('D2 - Capex uso'!CU$6:CU$176,'D2 - Capex uso'!$C$6:$C$176,$A61,'D2 - Capex uso'!$AK$6:$AK$176,$A77)</f>
        <v>0</v>
      </c>
      <c r="AE77" s="710">
        <f>-SUMIFS('D2 - Capex uso'!CV$6:CV$176,'D2 - Capex uso'!$C$6:$C$176,$A61,'D2 - Capex uso'!$AK$6:$AK$176,$A77)</f>
        <v>0</v>
      </c>
      <c r="AF77" s="594"/>
      <c r="AG77" s="594"/>
      <c r="AH77" s="594"/>
      <c r="AI77" s="594"/>
      <c r="AJ77" s="594"/>
      <c r="AK77" s="594"/>
      <c r="AL77" s="594"/>
      <c r="AM77" s="594"/>
      <c r="AN77" s="594"/>
      <c r="AO77" s="594"/>
      <c r="AP77" s="594"/>
      <c r="AQ77" s="594"/>
      <c r="AR77" s="594"/>
      <c r="AS77" s="594"/>
      <c r="AT77" s="594"/>
      <c r="AU77" s="594"/>
      <c r="AV77" s="594"/>
      <c r="AW77" s="594"/>
      <c r="AX77" s="594"/>
      <c r="AY77" s="594"/>
      <c r="AZ77" s="594"/>
      <c r="BA77" s="594"/>
      <c r="BB77" s="594"/>
      <c r="BC77" s="594"/>
      <c r="BD77" s="594"/>
      <c r="BE77" s="594"/>
      <c r="BF77" s="594"/>
      <c r="BG77" s="594"/>
      <c r="BH77" s="594"/>
      <c r="BI77" s="594"/>
      <c r="BJ77" s="594"/>
      <c r="BK77" s="594"/>
      <c r="BL77" s="57"/>
      <c r="BM77" s="594"/>
      <c r="BN77" s="594"/>
      <c r="BO77" s="594"/>
      <c r="BP77" s="594"/>
      <c r="BQ77" s="594"/>
      <c r="BR77" s="594"/>
      <c r="BS77" s="594"/>
      <c r="BT77" s="594"/>
      <c r="BU77" s="594"/>
      <c r="BV77" s="594"/>
      <c r="BW77" s="594"/>
      <c r="BX77" s="594"/>
      <c r="BY77" s="594"/>
      <c r="BZ77" s="594"/>
      <c r="CA77" s="594"/>
      <c r="CB77" s="594"/>
      <c r="CC77" s="594"/>
      <c r="CD77" s="594"/>
      <c r="CE77" s="594"/>
      <c r="CF77" s="594"/>
      <c r="CG77" s="594"/>
      <c r="CH77" s="594"/>
      <c r="CI77" s="594"/>
      <c r="CJ77" s="594"/>
      <c r="CK77" s="594"/>
      <c r="CL77" s="594"/>
      <c r="CM77" s="594"/>
      <c r="CN77" s="594"/>
      <c r="CO77" s="594"/>
      <c r="CP77" s="594"/>
      <c r="CQ77" s="594"/>
    </row>
    <row r="78" spans="1:95" ht="19.5" hidden="1" customHeight="1" outlineLevel="2">
      <c r="A78" s="709" t="s">
        <v>359</v>
      </c>
      <c r="B78" s="710">
        <f>-SUMIFS('D2 - Capex uso'!BS$6:BS$176,'D2 - Capex uso'!$C$6:$C$176,$A61,'D2 - Capex uso'!$AK$6:$AK$176,$A78)</f>
        <v>-526070.60000000009</v>
      </c>
      <c r="C78" s="710">
        <f>-SUMIFS('D2 - Capex uso'!BT$6:BT$176,'D2 - Capex uso'!$C$6:$C$176,$A61,'D2 - Capex uso'!$AK$6:$AK$176,$A78)</f>
        <v>0</v>
      </c>
      <c r="D78" s="710">
        <f>-SUMIFS('D2 - Capex uso'!BU$6:BU$176,'D2 - Capex uso'!$C$6:$C$176,$A61,'D2 - Capex uso'!$AK$6:$AK$176,$A78)</f>
        <v>0</v>
      </c>
      <c r="E78" s="710">
        <f>-SUMIFS('D2 - Capex uso'!BV$6:BV$176,'D2 - Capex uso'!$C$6:$C$176,$A61,'D2 - Capex uso'!$AK$6:$AK$176,$A78)</f>
        <v>0</v>
      </c>
      <c r="F78" s="710">
        <f>-SUMIFS('D2 - Capex uso'!BW$6:BW$176,'D2 - Capex uso'!$C$6:$C$176,$A61,'D2 - Capex uso'!$AK$6:$AK$176,$A78)</f>
        <v>0</v>
      </c>
      <c r="G78" s="710">
        <f>-SUMIFS('D2 - Capex uso'!BX$6:BX$176,'D2 - Capex uso'!$C$6:$C$176,$A61,'D2 - Capex uso'!$AK$6:$AK$176,$A78)</f>
        <v>0</v>
      </c>
      <c r="H78" s="710">
        <f>-SUMIFS('D2 - Capex uso'!BY$6:BY$176,'D2 - Capex uso'!$C$6:$C$176,$A61,'D2 - Capex uso'!$AK$6:$AK$176,$A78)</f>
        <v>0</v>
      </c>
      <c r="I78" s="710">
        <f>-SUMIFS('D2 - Capex uso'!BZ$6:BZ$176,'D2 - Capex uso'!$C$6:$C$176,$A61,'D2 - Capex uso'!$AK$6:$AK$176,$A78)</f>
        <v>0</v>
      </c>
      <c r="J78" s="710">
        <f>-SUMIFS('D2 - Capex uso'!CA$6:CA$176,'D2 - Capex uso'!$C$6:$C$176,$A61,'D2 - Capex uso'!$AK$6:$AK$176,$A78)</f>
        <v>0</v>
      </c>
      <c r="K78" s="710">
        <f>-SUMIFS('D2 - Capex uso'!CB$6:CB$176,'D2 - Capex uso'!$C$6:$C$176,$A61,'D2 - Capex uso'!$AK$6:$AK$176,$A78)</f>
        <v>0</v>
      </c>
      <c r="L78" s="710">
        <f>-SUMIFS('D2 - Capex uso'!CC$6:CC$176,'D2 - Capex uso'!$C$6:$C$176,$A61,'D2 - Capex uso'!$AK$6:$AK$176,$A78)</f>
        <v>0</v>
      </c>
      <c r="M78" s="710">
        <f>-SUMIFS('D2 - Capex uso'!CD$6:CD$176,'D2 - Capex uso'!$C$6:$C$176,$A61,'D2 - Capex uso'!$AK$6:$AK$176,$A78)</f>
        <v>0</v>
      </c>
      <c r="N78" s="710">
        <f>-SUMIFS('D2 - Capex uso'!CE$6:CE$176,'D2 - Capex uso'!$C$6:$C$176,$A61,'D2 - Capex uso'!$AK$6:$AK$176,$A78)</f>
        <v>0</v>
      </c>
      <c r="O78" s="710">
        <f>-SUMIFS('D2 - Capex uso'!CF$6:CF$176,'D2 - Capex uso'!$C$6:$C$176,$A61,'D2 - Capex uso'!$AK$6:$AK$176,$A78)</f>
        <v>0</v>
      </c>
      <c r="P78" s="710">
        <f>-SUMIFS('D2 - Capex uso'!CG$6:CG$176,'D2 - Capex uso'!$C$6:$C$176,$A61,'D2 - Capex uso'!$AK$6:$AK$176,$A78)</f>
        <v>0</v>
      </c>
      <c r="Q78" s="710">
        <f>-SUMIFS('D2 - Capex uso'!CH$6:CH$176,'D2 - Capex uso'!$C$6:$C$176,$A61,'D2 - Capex uso'!$AK$6:$AK$176,$A78)</f>
        <v>0</v>
      </c>
      <c r="R78" s="710">
        <f>-SUMIFS('D2 - Capex uso'!CI$6:CI$176,'D2 - Capex uso'!$C$6:$C$176,$A61,'D2 - Capex uso'!$AK$6:$AK$176,$A78)</f>
        <v>0</v>
      </c>
      <c r="S78" s="710">
        <f>-SUMIFS('D2 - Capex uso'!CJ$6:CJ$176,'D2 - Capex uso'!$C$6:$C$176,$A61,'D2 - Capex uso'!$AK$6:$AK$176,$A78)</f>
        <v>0</v>
      </c>
      <c r="T78" s="710">
        <f>-SUMIFS('D2 - Capex uso'!CK$6:CK$176,'D2 - Capex uso'!$C$6:$C$176,$A61,'D2 - Capex uso'!$AK$6:$AK$176,$A78)</f>
        <v>0</v>
      </c>
      <c r="U78" s="710">
        <f>-SUMIFS('D2 - Capex uso'!CL$6:CL$176,'D2 - Capex uso'!$C$6:$C$176,$A61,'D2 - Capex uso'!$AK$6:$AK$176,$A78)</f>
        <v>0</v>
      </c>
      <c r="V78" s="710">
        <f>-SUMIFS('D2 - Capex uso'!CM$6:CM$176,'D2 - Capex uso'!$C$6:$C$176,$A61,'D2 - Capex uso'!$AK$6:$AK$176,$A78)</f>
        <v>0</v>
      </c>
      <c r="W78" s="710">
        <f>-SUMIFS('D2 - Capex uso'!CN$6:CN$176,'D2 - Capex uso'!$C$6:$C$176,$A61,'D2 - Capex uso'!$AK$6:$AK$176,$A78)</f>
        <v>0</v>
      </c>
      <c r="X78" s="710">
        <f>-SUMIFS('D2 - Capex uso'!CO$6:CO$176,'D2 - Capex uso'!$C$6:$C$176,$A61,'D2 - Capex uso'!$AK$6:$AK$176,$A78)</f>
        <v>0</v>
      </c>
      <c r="Y78" s="710">
        <f>-SUMIFS('D2 - Capex uso'!CP$6:CP$176,'D2 - Capex uso'!$C$6:$C$176,$A61,'D2 - Capex uso'!$AK$6:$AK$176,$A78)</f>
        <v>0</v>
      </c>
      <c r="Z78" s="710">
        <f>-SUMIFS('D2 - Capex uso'!CQ$6:CQ$176,'D2 - Capex uso'!$C$6:$C$176,$A61,'D2 - Capex uso'!$AK$6:$AK$176,$A78)</f>
        <v>0</v>
      </c>
      <c r="AA78" s="710">
        <f>-SUMIFS('D2 - Capex uso'!CR$6:CR$176,'D2 - Capex uso'!$C$6:$C$176,$A61,'D2 - Capex uso'!$AK$6:$AK$176,$A78)</f>
        <v>0</v>
      </c>
      <c r="AB78" s="710">
        <f>-SUMIFS('D2 - Capex uso'!CS$6:CS$176,'D2 - Capex uso'!$C$6:$C$176,$A61,'D2 - Capex uso'!$AK$6:$AK$176,$A78)</f>
        <v>0</v>
      </c>
      <c r="AC78" s="710">
        <f>-SUMIFS('D2 - Capex uso'!CT$6:CT$176,'D2 - Capex uso'!$C$6:$C$176,$A61,'D2 - Capex uso'!$AK$6:$AK$176,$A78)</f>
        <v>0</v>
      </c>
      <c r="AD78" s="710">
        <f>-SUMIFS('D2 - Capex uso'!CU$6:CU$176,'D2 - Capex uso'!$C$6:$C$176,$A61,'D2 - Capex uso'!$AK$6:$AK$176,$A78)</f>
        <v>0</v>
      </c>
      <c r="AE78" s="710">
        <f>-SUMIFS('D2 - Capex uso'!CV$6:CV$176,'D2 - Capex uso'!$C$6:$C$176,$A61,'D2 - Capex uso'!$AK$6:$AK$176,$A78)</f>
        <v>0</v>
      </c>
      <c r="AF78" s="594"/>
      <c r="AG78" s="594"/>
      <c r="AH78" s="594"/>
      <c r="AI78" s="594"/>
      <c r="AJ78" s="594"/>
      <c r="AK78" s="594"/>
      <c r="AL78" s="594"/>
      <c r="AM78" s="594"/>
      <c r="AN78" s="594"/>
      <c r="AO78" s="594"/>
      <c r="AP78" s="594"/>
      <c r="AQ78" s="594"/>
      <c r="AR78" s="594"/>
      <c r="AS78" s="594"/>
      <c r="AT78" s="594"/>
      <c r="AU78" s="594"/>
      <c r="AV78" s="594"/>
      <c r="AW78" s="594"/>
      <c r="AX78" s="594"/>
      <c r="AY78" s="594"/>
      <c r="AZ78" s="594"/>
      <c r="BA78" s="594"/>
      <c r="BB78" s="594"/>
      <c r="BC78" s="594"/>
      <c r="BD78" s="594"/>
      <c r="BE78" s="594"/>
      <c r="BF78" s="594"/>
      <c r="BG78" s="594"/>
      <c r="BH78" s="594"/>
      <c r="BI78" s="594"/>
      <c r="BJ78" s="594"/>
      <c r="BK78" s="594"/>
      <c r="BL78" s="57"/>
      <c r="BM78" s="594"/>
      <c r="BN78" s="594"/>
      <c r="BO78" s="594"/>
      <c r="BP78" s="594"/>
      <c r="BQ78" s="594"/>
      <c r="BR78" s="594"/>
      <c r="BS78" s="594"/>
      <c r="BT78" s="594"/>
      <c r="BU78" s="594"/>
      <c r="BV78" s="594"/>
      <c r="BW78" s="594"/>
      <c r="BX78" s="594"/>
      <c r="BY78" s="594"/>
      <c r="BZ78" s="594"/>
      <c r="CA78" s="594"/>
      <c r="CB78" s="594"/>
      <c r="CC78" s="594"/>
      <c r="CD78" s="594"/>
      <c r="CE78" s="594"/>
      <c r="CF78" s="594"/>
      <c r="CG78" s="594"/>
      <c r="CH78" s="594"/>
      <c r="CI78" s="594"/>
      <c r="CJ78" s="594"/>
      <c r="CK78" s="594"/>
      <c r="CL78" s="594"/>
      <c r="CM78" s="594"/>
      <c r="CN78" s="594"/>
      <c r="CO78" s="594"/>
      <c r="CP78" s="594"/>
      <c r="CQ78" s="594"/>
    </row>
    <row r="79" spans="1:95" ht="19.5" hidden="1" customHeight="1" outlineLevel="2">
      <c r="A79" s="709" t="s">
        <v>171</v>
      </c>
      <c r="B79" s="710">
        <f>-SUMIFS('D2 - Capex uso'!BS$6:BS$176,'D2 - Capex uso'!$C$6:$C$176,$A61,'D2 - Capex uso'!$AK$6:$AK$176,$A79)</f>
        <v>0</v>
      </c>
      <c r="C79" s="710">
        <f>-SUMIFS('D2 - Capex uso'!BT$6:BT$176,'D2 - Capex uso'!$C$6:$C$176,$A61,'D2 - Capex uso'!$AK$6:$AK$176,$A79)</f>
        <v>0</v>
      </c>
      <c r="D79" s="710">
        <f>-SUMIFS('D2 - Capex uso'!BU$6:BU$176,'D2 - Capex uso'!$C$6:$C$176,$A61,'D2 - Capex uso'!$AK$6:$AK$176,$A79)</f>
        <v>0</v>
      </c>
      <c r="E79" s="710">
        <f>-SUMIFS('D2 - Capex uso'!BV$6:BV$176,'D2 - Capex uso'!$C$6:$C$176,$A61,'D2 - Capex uso'!$AK$6:$AK$176,$A79)</f>
        <v>0</v>
      </c>
      <c r="F79" s="710">
        <f>-SUMIFS('D2 - Capex uso'!BW$6:BW$176,'D2 - Capex uso'!$C$6:$C$176,$A61,'D2 - Capex uso'!$AK$6:$AK$176,$A79)</f>
        <v>0</v>
      </c>
      <c r="G79" s="710">
        <f>-SUMIFS('D2 - Capex uso'!BX$6:BX$176,'D2 - Capex uso'!$C$6:$C$176,$A61,'D2 - Capex uso'!$AK$6:$AK$176,$A79)</f>
        <v>0</v>
      </c>
      <c r="H79" s="710">
        <f>-SUMIFS('D2 - Capex uso'!BY$6:BY$176,'D2 - Capex uso'!$C$6:$C$176,$A61,'D2 - Capex uso'!$AK$6:$AK$176,$A79)</f>
        <v>0</v>
      </c>
      <c r="I79" s="710">
        <f>-SUMIFS('D2 - Capex uso'!BZ$6:BZ$176,'D2 - Capex uso'!$C$6:$C$176,$A61,'D2 - Capex uso'!$AK$6:$AK$176,$A79)</f>
        <v>0</v>
      </c>
      <c r="J79" s="710">
        <f>-SUMIFS('D2 - Capex uso'!CA$6:CA$176,'D2 - Capex uso'!$C$6:$C$176,$A61,'D2 - Capex uso'!$AK$6:$AK$176,$A79)</f>
        <v>0</v>
      </c>
      <c r="K79" s="710">
        <f>-SUMIFS('D2 - Capex uso'!CB$6:CB$176,'D2 - Capex uso'!$C$6:$C$176,$A61,'D2 - Capex uso'!$AK$6:$AK$176,$A79)</f>
        <v>0</v>
      </c>
      <c r="L79" s="710">
        <f>-SUMIFS('D2 - Capex uso'!CC$6:CC$176,'D2 - Capex uso'!$C$6:$C$176,$A61,'D2 - Capex uso'!$AK$6:$AK$176,$A79)</f>
        <v>0</v>
      </c>
      <c r="M79" s="710">
        <f>-SUMIFS('D2 - Capex uso'!CD$6:CD$176,'D2 - Capex uso'!$C$6:$C$176,$A61,'D2 - Capex uso'!$AK$6:$AK$176,$A79)</f>
        <v>0</v>
      </c>
      <c r="N79" s="710">
        <f>-SUMIFS('D2 - Capex uso'!CE$6:CE$176,'D2 - Capex uso'!$C$6:$C$176,$A61,'D2 - Capex uso'!$AK$6:$AK$176,$A79)</f>
        <v>0</v>
      </c>
      <c r="O79" s="710">
        <f>-SUMIFS('D2 - Capex uso'!CF$6:CF$176,'D2 - Capex uso'!$C$6:$C$176,$A61,'D2 - Capex uso'!$AK$6:$AK$176,$A79)</f>
        <v>0</v>
      </c>
      <c r="P79" s="710">
        <f>-SUMIFS('D2 - Capex uso'!CG$6:CG$176,'D2 - Capex uso'!$C$6:$C$176,$A61,'D2 - Capex uso'!$AK$6:$AK$176,$A79)</f>
        <v>0</v>
      </c>
      <c r="Q79" s="710">
        <f>-SUMIFS('D2 - Capex uso'!CH$6:CH$176,'D2 - Capex uso'!$C$6:$C$176,$A61,'D2 - Capex uso'!$AK$6:$AK$176,$A79)</f>
        <v>0</v>
      </c>
      <c r="R79" s="710">
        <f>-SUMIFS('D2 - Capex uso'!CI$6:CI$176,'D2 - Capex uso'!$C$6:$C$176,$A61,'D2 - Capex uso'!$AK$6:$AK$176,$A79)</f>
        <v>0</v>
      </c>
      <c r="S79" s="710">
        <f>-SUMIFS('D2 - Capex uso'!CJ$6:CJ$176,'D2 - Capex uso'!$C$6:$C$176,$A61,'D2 - Capex uso'!$AK$6:$AK$176,$A79)</f>
        <v>0</v>
      </c>
      <c r="T79" s="710">
        <f>-SUMIFS('D2 - Capex uso'!CK$6:CK$176,'D2 - Capex uso'!$C$6:$C$176,$A61,'D2 - Capex uso'!$AK$6:$AK$176,$A79)</f>
        <v>0</v>
      </c>
      <c r="U79" s="710">
        <f>-SUMIFS('D2 - Capex uso'!CL$6:CL$176,'D2 - Capex uso'!$C$6:$C$176,$A61,'D2 - Capex uso'!$AK$6:$AK$176,$A79)</f>
        <v>0</v>
      </c>
      <c r="V79" s="710">
        <f>-SUMIFS('D2 - Capex uso'!CM$6:CM$176,'D2 - Capex uso'!$C$6:$C$176,$A61,'D2 - Capex uso'!$AK$6:$AK$176,$A79)</f>
        <v>0</v>
      </c>
      <c r="W79" s="710">
        <f>-SUMIFS('D2 - Capex uso'!CN$6:CN$176,'D2 - Capex uso'!$C$6:$C$176,$A61,'D2 - Capex uso'!$AK$6:$AK$176,$A79)</f>
        <v>0</v>
      </c>
      <c r="X79" s="710">
        <f>-SUMIFS('D2 - Capex uso'!CO$6:CO$176,'D2 - Capex uso'!$C$6:$C$176,$A61,'D2 - Capex uso'!$AK$6:$AK$176,$A79)</f>
        <v>0</v>
      </c>
      <c r="Y79" s="710">
        <f>-SUMIFS('D2 - Capex uso'!CP$6:CP$176,'D2 - Capex uso'!$C$6:$C$176,$A61,'D2 - Capex uso'!$AK$6:$AK$176,$A79)</f>
        <v>0</v>
      </c>
      <c r="Z79" s="710">
        <f>-SUMIFS('D2 - Capex uso'!CQ$6:CQ$176,'D2 - Capex uso'!$C$6:$C$176,$A61,'D2 - Capex uso'!$AK$6:$AK$176,$A79)</f>
        <v>0</v>
      </c>
      <c r="AA79" s="710">
        <f>-SUMIFS('D2 - Capex uso'!CR$6:CR$176,'D2 - Capex uso'!$C$6:$C$176,$A61,'D2 - Capex uso'!$AK$6:$AK$176,$A79)</f>
        <v>0</v>
      </c>
      <c r="AB79" s="710">
        <f>-SUMIFS('D2 - Capex uso'!CS$6:CS$176,'D2 - Capex uso'!$C$6:$C$176,$A61,'D2 - Capex uso'!$AK$6:$AK$176,$A79)</f>
        <v>0</v>
      </c>
      <c r="AC79" s="710">
        <f>-SUMIFS('D2 - Capex uso'!CT$6:CT$176,'D2 - Capex uso'!$C$6:$C$176,$A61,'D2 - Capex uso'!$AK$6:$AK$176,$A79)</f>
        <v>0</v>
      </c>
      <c r="AD79" s="710">
        <f>-SUMIFS('D2 - Capex uso'!CU$6:CU$176,'D2 - Capex uso'!$C$6:$C$176,$A61,'D2 - Capex uso'!$AK$6:$AK$176,$A79)</f>
        <v>0</v>
      </c>
      <c r="AE79" s="710">
        <f>-SUMIFS('D2 - Capex uso'!CV$6:CV$176,'D2 - Capex uso'!$C$6:$C$176,$A61,'D2 - Capex uso'!$AK$6:$AK$176,$A79)</f>
        <v>0</v>
      </c>
      <c r="AF79" s="594"/>
      <c r="AG79" s="594"/>
      <c r="AH79" s="594"/>
      <c r="AI79" s="594"/>
      <c r="AJ79" s="594"/>
      <c r="AK79" s="594"/>
      <c r="AL79" s="594"/>
      <c r="AM79" s="594"/>
      <c r="AN79" s="594"/>
      <c r="AO79" s="594"/>
      <c r="AP79" s="594"/>
      <c r="AQ79" s="594"/>
      <c r="AR79" s="594"/>
      <c r="AS79" s="594"/>
      <c r="AT79" s="594"/>
      <c r="AU79" s="594"/>
      <c r="AV79" s="594"/>
      <c r="AW79" s="594"/>
      <c r="AX79" s="594"/>
      <c r="AY79" s="594"/>
      <c r="AZ79" s="594"/>
      <c r="BA79" s="594"/>
      <c r="BB79" s="594"/>
      <c r="BC79" s="594"/>
      <c r="BD79" s="594"/>
      <c r="BE79" s="594"/>
      <c r="BF79" s="594"/>
      <c r="BG79" s="594"/>
      <c r="BH79" s="594"/>
      <c r="BI79" s="594"/>
      <c r="BJ79" s="594"/>
      <c r="BK79" s="594"/>
      <c r="BL79" s="57"/>
      <c r="BM79" s="594"/>
      <c r="BN79" s="594"/>
      <c r="BO79" s="594"/>
      <c r="BP79" s="594"/>
      <c r="BQ79" s="594"/>
      <c r="BR79" s="594"/>
      <c r="BS79" s="594"/>
      <c r="BT79" s="594"/>
      <c r="BU79" s="594"/>
      <c r="BV79" s="594"/>
      <c r="BW79" s="594"/>
      <c r="BX79" s="594"/>
      <c r="BY79" s="594"/>
      <c r="BZ79" s="594"/>
      <c r="CA79" s="594"/>
      <c r="CB79" s="594"/>
      <c r="CC79" s="594"/>
      <c r="CD79" s="594"/>
      <c r="CE79" s="594"/>
      <c r="CF79" s="594"/>
      <c r="CG79" s="594"/>
      <c r="CH79" s="594"/>
      <c r="CI79" s="594"/>
      <c r="CJ79" s="594"/>
      <c r="CK79" s="594"/>
      <c r="CL79" s="594"/>
      <c r="CM79" s="594"/>
      <c r="CN79" s="594"/>
      <c r="CO79" s="594"/>
      <c r="CP79" s="594"/>
      <c r="CQ79" s="594"/>
    </row>
    <row r="80" spans="1:95" ht="27" customHeight="1" collapsed="1">
      <c r="A80" s="703" t="str">
        <f>IF(ISBLANK('A1 - Serviços e demanda'!A24),,'A1 - Serviços e demanda'!A24)</f>
        <v>Árvore da Preguiça - Alimentação</v>
      </c>
      <c r="B80" s="704">
        <f t="shared" ref="B80:AE80" si="24">IF($A80=0,0,SUM(B89:B90))</f>
        <v>-280342.06400000001</v>
      </c>
      <c r="C80" s="704">
        <f t="shared" si="24"/>
        <v>858965.33151231951</v>
      </c>
      <c r="D80" s="704">
        <f t="shared" si="24"/>
        <v>898866.06936671375</v>
      </c>
      <c r="E80" s="704">
        <f t="shared" si="24"/>
        <v>937498.22529250174</v>
      </c>
      <c r="F80" s="704">
        <f t="shared" si="24"/>
        <v>976758.53123411408</v>
      </c>
      <c r="G80" s="704">
        <f t="shared" si="24"/>
        <v>1016700.2089706466</v>
      </c>
      <c r="H80" s="704">
        <f t="shared" si="24"/>
        <v>1057776.4548359965</v>
      </c>
      <c r="I80" s="704">
        <f t="shared" si="24"/>
        <v>1100043.1993102746</v>
      </c>
      <c r="J80" s="704">
        <f t="shared" si="24"/>
        <v>1143084.4236802398</v>
      </c>
      <c r="K80" s="704">
        <f t="shared" si="24"/>
        <v>1186915.5598692237</v>
      </c>
      <c r="L80" s="704">
        <f t="shared" si="24"/>
        <v>1050072.7019084787</v>
      </c>
      <c r="M80" s="704">
        <f t="shared" si="24"/>
        <v>1278703.8969245122</v>
      </c>
      <c r="N80" s="704">
        <f t="shared" si="24"/>
        <v>1326756.8166103021</v>
      </c>
      <c r="O80" s="704">
        <f t="shared" si="24"/>
        <v>1376252.3771108359</v>
      </c>
      <c r="P80" s="704">
        <f t="shared" si="24"/>
        <v>1427244.7952694918</v>
      </c>
      <c r="Q80" s="704">
        <f t="shared" si="24"/>
        <v>1479640.555841642</v>
      </c>
      <c r="R80" s="704">
        <f t="shared" si="24"/>
        <v>1533359.2891310453</v>
      </c>
      <c r="S80" s="704">
        <f t="shared" si="24"/>
        <v>1588226.3278224315</v>
      </c>
      <c r="T80" s="704">
        <f t="shared" si="24"/>
        <v>1644109.027654445</v>
      </c>
      <c r="U80" s="704">
        <f t="shared" si="24"/>
        <v>1700727.2675072798</v>
      </c>
      <c r="V80" s="704">
        <f t="shared" si="24"/>
        <v>1518665.0575072798</v>
      </c>
      <c r="W80" s="704">
        <f t="shared" si="24"/>
        <v>1700727.2675072798</v>
      </c>
      <c r="X80" s="704">
        <f t="shared" si="24"/>
        <v>1700727.2675072798</v>
      </c>
      <c r="Y80" s="704">
        <f t="shared" si="24"/>
        <v>1700727.2675072798</v>
      </c>
      <c r="Z80" s="704">
        <f t="shared" si="24"/>
        <v>1700727.2675072798</v>
      </c>
      <c r="AA80" s="704">
        <f t="shared" si="24"/>
        <v>1700727.2675072798</v>
      </c>
      <c r="AB80" s="704">
        <f t="shared" si="24"/>
        <v>1700727.2675072798</v>
      </c>
      <c r="AC80" s="704">
        <f t="shared" si="24"/>
        <v>1700727.2675072798</v>
      </c>
      <c r="AD80" s="704">
        <f t="shared" si="24"/>
        <v>1700727.2675072798</v>
      </c>
      <c r="AE80" s="704">
        <f t="shared" si="24"/>
        <v>1700727.2675072798</v>
      </c>
      <c r="AF80" s="594"/>
      <c r="AG80" s="486" t="str">
        <f>A80</f>
        <v>Árvore da Preguiça - Alimentação</v>
      </c>
      <c r="AH80" s="705">
        <f t="shared" ref="AH80:BK80" si="25">IFERROR(-B83/B81,0)</f>
        <v>0</v>
      </c>
      <c r="AI80" s="705">
        <f t="shared" si="25"/>
        <v>0.42355932893891585</v>
      </c>
      <c r="AJ80" s="705">
        <f t="shared" si="25"/>
        <v>0.41897207205151549</v>
      </c>
      <c r="AK80" s="705">
        <f t="shared" si="25"/>
        <v>0.41481314331068769</v>
      </c>
      <c r="AL80" s="705">
        <f t="shared" si="25"/>
        <v>0.4108449243023225</v>
      </c>
      <c r="AM80" s="705">
        <f t="shared" si="25"/>
        <v>0.40705109064291173</v>
      </c>
      <c r="AN80" s="705">
        <f t="shared" si="25"/>
        <v>0.40338258646643926</v>
      </c>
      <c r="AO80" s="705">
        <f t="shared" si="25"/>
        <v>0.3998329519549968</v>
      </c>
      <c r="AP80" s="705">
        <f t="shared" si="25"/>
        <v>0.39643225876603916</v>
      </c>
      <c r="AQ80" s="705">
        <f t="shared" si="25"/>
        <v>0.39317191376655569</v>
      </c>
      <c r="AR80" s="705">
        <f t="shared" si="25"/>
        <v>0.39000399430160898</v>
      </c>
      <c r="AS80" s="705">
        <f t="shared" si="25"/>
        <v>0.38693149165136692</v>
      </c>
      <c r="AT80" s="705">
        <f t="shared" si="25"/>
        <v>0.38394579991968608</v>
      </c>
      <c r="AU80" s="705">
        <f t="shared" si="25"/>
        <v>0.38104965613958025</v>
      </c>
      <c r="AV80" s="705">
        <f t="shared" si="25"/>
        <v>0.37823976259954289</v>
      </c>
      <c r="AW80" s="705">
        <f t="shared" si="25"/>
        <v>0.37552050521515745</v>
      </c>
      <c r="AX80" s="705">
        <f t="shared" si="25"/>
        <v>0.37289415923952596</v>
      </c>
      <c r="AY80" s="705">
        <f t="shared" si="25"/>
        <v>0.37036608287137252</v>
      </c>
      <c r="AZ80" s="705">
        <f t="shared" si="25"/>
        <v>0.36793807308162302</v>
      </c>
      <c r="BA80" s="705">
        <f t="shared" si="25"/>
        <v>0.3656166157957379</v>
      </c>
      <c r="BB80" s="705">
        <f t="shared" si="25"/>
        <v>0.3656166157957379</v>
      </c>
      <c r="BC80" s="705">
        <f t="shared" si="25"/>
        <v>0.3656166157957379</v>
      </c>
      <c r="BD80" s="705">
        <f t="shared" si="25"/>
        <v>0.3656166157957379</v>
      </c>
      <c r="BE80" s="705">
        <f t="shared" si="25"/>
        <v>0.3656166157957379</v>
      </c>
      <c r="BF80" s="705">
        <f t="shared" si="25"/>
        <v>0.3656166157957379</v>
      </c>
      <c r="BG80" s="705">
        <f t="shared" si="25"/>
        <v>0.3656166157957379</v>
      </c>
      <c r="BH80" s="705">
        <f t="shared" si="25"/>
        <v>0.3656166157957379</v>
      </c>
      <c r="BI80" s="705">
        <f t="shared" si="25"/>
        <v>0.3656166157957379</v>
      </c>
      <c r="BJ80" s="705">
        <f t="shared" si="25"/>
        <v>0.3656166157957379</v>
      </c>
      <c r="BK80" s="705">
        <f t="shared" si="25"/>
        <v>0.3656166157957379</v>
      </c>
      <c r="BL80" s="57"/>
      <c r="BM80" s="486" t="str">
        <f>AG80</f>
        <v>Árvore da Preguiça - Alimentação</v>
      </c>
      <c r="BN80" s="705">
        <f t="shared" ref="BN80:CQ80" si="26">IFERROR(B89/B81,0)</f>
        <v>0</v>
      </c>
      <c r="BO80" s="705">
        <f t="shared" si="26"/>
        <v>0.3969524153206338</v>
      </c>
      <c r="BP80" s="705">
        <f t="shared" si="26"/>
        <v>0.40153942032418921</v>
      </c>
      <c r="BQ80" s="705">
        <f t="shared" si="26"/>
        <v>0.40569849525277846</v>
      </c>
      <c r="BR80" s="705">
        <f t="shared" si="26"/>
        <v>0.4096668929691894</v>
      </c>
      <c r="BS80" s="705">
        <f t="shared" si="26"/>
        <v>0.41346084138700551</v>
      </c>
      <c r="BT80" s="705">
        <f t="shared" si="26"/>
        <v>0.41712895275193584</v>
      </c>
      <c r="BU80" s="705">
        <f t="shared" si="26"/>
        <v>0.42067868076915194</v>
      </c>
      <c r="BV80" s="705">
        <f t="shared" si="26"/>
        <v>0.42407925343829039</v>
      </c>
      <c r="BW80" s="705">
        <f t="shared" si="26"/>
        <v>0.42734002767618634</v>
      </c>
      <c r="BX80" s="705">
        <f t="shared" si="26"/>
        <v>0.43050782198371051</v>
      </c>
      <c r="BY80" s="705">
        <f t="shared" si="26"/>
        <v>0.43358020359066934</v>
      </c>
      <c r="BZ80" s="705">
        <f t="shared" si="26"/>
        <v>0.43656600005274698</v>
      </c>
      <c r="CA80" s="705">
        <f t="shared" si="26"/>
        <v>0.43946206969459983</v>
      </c>
      <c r="CB80" s="705">
        <f t="shared" si="26"/>
        <v>0.44227196308405969</v>
      </c>
      <c r="CC80" s="705">
        <f t="shared" si="26"/>
        <v>0.44499129525176445</v>
      </c>
      <c r="CD80" s="705">
        <f t="shared" si="26"/>
        <v>0.44761772802751204</v>
      </c>
      <c r="CE80" s="705">
        <f t="shared" si="26"/>
        <v>0.45014563248704925</v>
      </c>
      <c r="CF80" s="705">
        <f t="shared" si="26"/>
        <v>0.45257350463951912</v>
      </c>
      <c r="CG80" s="705">
        <f t="shared" si="26"/>
        <v>0.45489498893534019</v>
      </c>
      <c r="CH80" s="705">
        <f t="shared" si="26"/>
        <v>0.45489498893534019</v>
      </c>
      <c r="CI80" s="705">
        <f t="shared" si="26"/>
        <v>0.45489498893534019</v>
      </c>
      <c r="CJ80" s="705">
        <f t="shared" si="26"/>
        <v>0.45489498893534019</v>
      </c>
      <c r="CK80" s="705">
        <f t="shared" si="26"/>
        <v>0.45489498893534019</v>
      </c>
      <c r="CL80" s="705">
        <f t="shared" si="26"/>
        <v>0.45489498893534019</v>
      </c>
      <c r="CM80" s="705">
        <f t="shared" si="26"/>
        <v>0.45489498893534019</v>
      </c>
      <c r="CN80" s="705">
        <f t="shared" si="26"/>
        <v>0.45489498893534019</v>
      </c>
      <c r="CO80" s="705">
        <f t="shared" si="26"/>
        <v>0.45489498893534019</v>
      </c>
      <c r="CP80" s="705">
        <f t="shared" si="26"/>
        <v>0.45489498893534019</v>
      </c>
      <c r="CQ80" s="705">
        <f t="shared" si="26"/>
        <v>0.45489498893534019</v>
      </c>
    </row>
    <row r="81" spans="1:95" ht="33.75" hidden="1" customHeight="1" outlineLevel="1">
      <c r="A81" s="706" t="s">
        <v>680</v>
      </c>
      <c r="B81" s="707">
        <f>IFERROR(VLOOKUP($A80,ReceitaBruta,COLUMN('A4 - Previsão de Receita Bruta'!C83)-1,0),0)</f>
        <v>0</v>
      </c>
      <c r="C81" s="707">
        <f>IFERROR(VLOOKUP($A80,ReceitaBruta,COLUMN('A4 - Previsão de Receita Bruta'!D83)-1,0),0)</f>
        <v>2163900</v>
      </c>
      <c r="D81" s="707">
        <f>IFERROR(VLOOKUP($A80,ReceitaBruta,COLUMN('A4 - Previsão de Receita Bruta'!E83)-1,0),0)</f>
        <v>2238550</v>
      </c>
      <c r="E81" s="707">
        <f>IFERROR(VLOOKUP($A80,ReceitaBruta,COLUMN('A4 - Previsão de Receita Bruta'!F83)-1,0),0)</f>
        <v>2310825</v>
      </c>
      <c r="F81" s="707">
        <f>IFERROR(VLOOKUP($A80,ReceitaBruta,COLUMN('A4 - Previsão de Receita Bruta'!G83)-1,0),0)</f>
        <v>2384275</v>
      </c>
      <c r="G81" s="707">
        <f>IFERROR(VLOOKUP($A80,ReceitaBruta,COLUMN('A4 - Previsão de Receita Bruta'!H83)-1,0),0)</f>
        <v>2459000</v>
      </c>
      <c r="H81" s="707">
        <f>IFERROR(VLOOKUP($A80,ReceitaBruta,COLUMN('A4 - Previsão de Receita Bruta'!I83)-1,0),0)</f>
        <v>2535850</v>
      </c>
      <c r="I81" s="707">
        <f>IFERROR(VLOOKUP($A80,ReceitaBruta,COLUMN('A4 - Previsão de Receita Bruta'!J83)-1,0),0)</f>
        <v>2614925</v>
      </c>
      <c r="J81" s="707">
        <f>IFERROR(VLOOKUP($A80,ReceitaBruta,COLUMN('A4 - Previsão de Receita Bruta'!K83)-1,0),0)</f>
        <v>2695450</v>
      </c>
      <c r="K81" s="707">
        <f>IFERROR(VLOOKUP($A80,ReceitaBruta,COLUMN('A4 - Previsão de Receita Bruta'!L83)-1,0),0)</f>
        <v>2777450</v>
      </c>
      <c r="L81" s="707">
        <f>IFERROR(VLOOKUP($A80,ReceitaBruta,COLUMN('A4 - Previsão de Receita Bruta'!M83)-1,0),0)</f>
        <v>2862050</v>
      </c>
      <c r="M81" s="707">
        <f>IFERROR(VLOOKUP($A80,ReceitaBruta,COLUMN('A4 - Previsão de Receita Bruta'!N83)-1,0),0)</f>
        <v>2949175</v>
      </c>
      <c r="N81" s="707">
        <f>IFERROR(VLOOKUP($A80,ReceitaBruta,COLUMN('A4 - Previsão de Receita Bruta'!O83)-1,0),0)</f>
        <v>3039075</v>
      </c>
      <c r="O81" s="707">
        <f>IFERROR(VLOOKUP($A80,ReceitaBruta,COLUMN('A4 - Previsão de Receita Bruta'!P83)-1,0),0)</f>
        <v>3131675</v>
      </c>
      <c r="P81" s="707">
        <f>IFERROR(VLOOKUP($A80,ReceitaBruta,COLUMN('A4 - Previsão de Receita Bruta'!Q83)-1,0),0)</f>
        <v>3227075</v>
      </c>
      <c r="Q81" s="707">
        <f>IFERROR(VLOOKUP($A80,ReceitaBruta,COLUMN('A4 - Previsão de Receita Bruta'!R83)-1,0),0)</f>
        <v>3325100</v>
      </c>
      <c r="R81" s="707">
        <f>IFERROR(VLOOKUP($A80,ReceitaBruta,COLUMN('A4 - Previsão de Receita Bruta'!S83)-1,0),0)</f>
        <v>3425600</v>
      </c>
      <c r="S81" s="707">
        <f>IFERROR(VLOOKUP($A80,ReceitaBruta,COLUMN('A4 - Previsão de Receita Bruta'!T83)-1,0),0)</f>
        <v>3528250</v>
      </c>
      <c r="T81" s="707">
        <f>IFERROR(VLOOKUP($A80,ReceitaBruta,COLUMN('A4 - Previsão de Receita Bruta'!U83)-1,0),0)</f>
        <v>3632800</v>
      </c>
      <c r="U81" s="707">
        <f>IFERROR(VLOOKUP($A80,ReceitaBruta,COLUMN('A4 - Previsão de Receita Bruta'!V83)-1,0),0)</f>
        <v>3738725</v>
      </c>
      <c r="V81" s="707">
        <f>IFERROR(VLOOKUP($A80,ReceitaBruta,COLUMN('A4 - Previsão de Receita Bruta'!W83)-1,0),0)</f>
        <v>3738725</v>
      </c>
      <c r="W81" s="707">
        <f>IFERROR(VLOOKUP($A80,ReceitaBruta,COLUMN('A4 - Previsão de Receita Bruta'!X83)-1,0),0)</f>
        <v>3738725</v>
      </c>
      <c r="X81" s="707">
        <f>IFERROR(VLOOKUP($A80,ReceitaBruta,COLUMN('A4 - Previsão de Receita Bruta'!Y83)-1,0),0)</f>
        <v>3738725</v>
      </c>
      <c r="Y81" s="707">
        <f>IFERROR(VLOOKUP($A80,ReceitaBruta,COLUMN('A4 - Previsão de Receita Bruta'!Z83)-1,0),0)</f>
        <v>3738725</v>
      </c>
      <c r="Z81" s="707">
        <f>IFERROR(VLOOKUP($A80,ReceitaBruta,COLUMN('A4 - Previsão de Receita Bruta'!AA83)-1,0),0)</f>
        <v>3738725</v>
      </c>
      <c r="AA81" s="707">
        <f>IFERROR(VLOOKUP($A80,ReceitaBruta,COLUMN('A4 - Previsão de Receita Bruta'!AB83)-1,0),0)</f>
        <v>3738725</v>
      </c>
      <c r="AB81" s="707">
        <f>IFERROR(VLOOKUP($A80,ReceitaBruta,COLUMN('A4 - Previsão de Receita Bruta'!AC83)-1,0),0)</f>
        <v>3738725</v>
      </c>
      <c r="AC81" s="707">
        <f>IFERROR(VLOOKUP($A80,ReceitaBruta,COLUMN('A4 - Previsão de Receita Bruta'!AD83)-1,0),0)</f>
        <v>3738725</v>
      </c>
      <c r="AD81" s="707">
        <f>IFERROR(VLOOKUP($A80,ReceitaBruta,COLUMN('A4 - Previsão de Receita Bruta'!AE83)-1,0),0)</f>
        <v>3738725</v>
      </c>
      <c r="AE81" s="707">
        <f>IFERROR(VLOOKUP($A80,ReceitaBruta,COLUMN('A4 - Previsão de Receita Bruta'!AF83)-1,0),0)</f>
        <v>3738725</v>
      </c>
      <c r="AF81" s="594"/>
      <c r="AG81" s="594"/>
      <c r="AH81" s="594"/>
      <c r="AI81" s="594"/>
      <c r="AJ81" s="594"/>
      <c r="AK81" s="594"/>
      <c r="AL81" s="594"/>
      <c r="AM81" s="594"/>
      <c r="AN81" s="594"/>
      <c r="AO81" s="594"/>
      <c r="AP81" s="594"/>
      <c r="AQ81" s="594"/>
      <c r="AR81" s="594"/>
      <c r="AS81" s="594"/>
      <c r="AT81" s="594"/>
      <c r="AU81" s="594"/>
      <c r="AV81" s="594"/>
      <c r="AW81" s="594"/>
      <c r="AX81" s="594"/>
      <c r="AY81" s="594"/>
      <c r="AZ81" s="594"/>
      <c r="BA81" s="594"/>
      <c r="BB81" s="594"/>
      <c r="BC81" s="594"/>
      <c r="BD81" s="594"/>
      <c r="BE81" s="594"/>
      <c r="BF81" s="594"/>
      <c r="BG81" s="594"/>
      <c r="BH81" s="594"/>
      <c r="BI81" s="594"/>
      <c r="BJ81" s="594"/>
      <c r="BK81" s="594"/>
      <c r="BL81" s="57"/>
      <c r="BM81" s="594"/>
      <c r="BN81" s="594"/>
      <c r="BO81" s="594"/>
      <c r="BP81" s="594"/>
      <c r="BQ81" s="594"/>
      <c r="BR81" s="594"/>
      <c r="BS81" s="594"/>
      <c r="BT81" s="594"/>
      <c r="BU81" s="594"/>
      <c r="BV81" s="594"/>
      <c r="BW81" s="594"/>
      <c r="BX81" s="594"/>
      <c r="BY81" s="594"/>
      <c r="BZ81" s="594"/>
      <c r="CA81" s="594"/>
      <c r="CB81" s="594"/>
      <c r="CC81" s="594"/>
      <c r="CD81" s="594"/>
      <c r="CE81" s="594"/>
      <c r="CF81" s="594"/>
      <c r="CG81" s="594"/>
      <c r="CH81" s="594"/>
      <c r="CI81" s="594"/>
      <c r="CJ81" s="594"/>
      <c r="CK81" s="594"/>
      <c r="CL81" s="594"/>
      <c r="CM81" s="594"/>
      <c r="CN81" s="594"/>
      <c r="CO81" s="594"/>
      <c r="CP81" s="594"/>
      <c r="CQ81" s="594"/>
    </row>
    <row r="82" spans="1:95" ht="21" hidden="1" customHeight="1" outlineLevel="1">
      <c r="A82" s="708" t="s">
        <v>681</v>
      </c>
      <c r="B82" s="707">
        <f>IFERROR(-'E2 - Tributos'!D$19*VLOOKUP('F1 - FCL'!$A80,ReceitaBruta,COLUMN('A4 - Previsão de Receita Bruta'!C$6)-1,0),0)</f>
        <v>0</v>
      </c>
      <c r="C82" s="707">
        <f>IFERROR(-'E2 - Tributos'!E$19*VLOOKUP('F1 - FCL'!$A80,ReceitaBruta,COLUMN('A4 - Previsão de Receita Bruta'!D$6)-1,0),0)</f>
        <v>-388394.63659676048</v>
      </c>
      <c r="D82" s="707">
        <f>IFERROR(-'E2 - Tributos'!F$19*VLOOKUP('F1 - FCL'!$A80,ReceitaBruta,COLUMN('A4 - Previsão de Receita Bruta'!E$6)-1,0),0)</f>
        <v>-401793.99874236627</v>
      </c>
      <c r="E82" s="707">
        <f>IFERROR(-'E2 - Tributos'!G$19*VLOOKUP('F1 - FCL'!$A80,ReceitaBruta,COLUMN('A4 - Previsão de Receita Bruta'!F$6)-1,0),0)</f>
        <v>-414766.19281657832</v>
      </c>
      <c r="F82" s="707">
        <f>IFERROR(-'E2 - Tributos'!H$19*VLOOKUP('F1 - FCL'!$A80,ReceitaBruta,COLUMN('A4 - Previsão de Receita Bruta'!G$6)-1,0),0)</f>
        <v>-427949.18687496596</v>
      </c>
      <c r="G82" s="707">
        <f>IFERROR(-'E2 - Tributos'!I$19*VLOOKUP('F1 - FCL'!$A80,ReceitaBruta,COLUMN('A4 - Previsão de Receita Bruta'!H$6)-1,0),0)</f>
        <v>-441361.15913843346</v>
      </c>
      <c r="H82" s="707">
        <f>IFERROR(-'E2 - Tributos'!J$19*VLOOKUP('F1 - FCL'!$A80,ReceitaBruta,COLUMN('A4 - Previsão de Receita Bruta'!I$6)-1,0),0)</f>
        <v>-455155.81327308336</v>
      </c>
      <c r="I82" s="707">
        <f>IFERROR(-'E2 - Tributos'!K$19*VLOOKUP('F1 - FCL'!$A80,ReceitaBruta,COLUMN('A4 - Previsão de Receita Bruta'!J$6)-1,0),0)</f>
        <v>-469348.61879880517</v>
      </c>
      <c r="J82" s="707">
        <f>IFERROR(-'E2 - Tributos'!L$19*VLOOKUP('F1 - FCL'!$A80,ReceitaBruta,COLUMN('A4 - Previsão de Receita Bruta'!K$6)-1,0),0)</f>
        <v>-483802.24442883983</v>
      </c>
      <c r="K82" s="707">
        <f>IFERROR(-'E2 - Tributos'!M$19*VLOOKUP('F1 - FCL'!$A80,ReceitaBruta,COLUMN('A4 - Previsão de Receita Bruta'!L$6)-1,0),0)</f>
        <v>-498519.10823985591</v>
      </c>
      <c r="L82" s="707">
        <f>IFERROR(-'E2 - Tributos'!N$19*VLOOKUP('F1 - FCL'!$A80,ReceitaBruta,COLUMN('A4 - Previsão de Receita Bruta'!M$6)-1,0),0)</f>
        <v>-513704.15620060131</v>
      </c>
      <c r="M82" s="707">
        <f>IFERROR(-'E2 - Tributos'!O$19*VLOOKUP('F1 - FCL'!$A80,ReceitaBruta,COLUMN('A4 - Previsão de Receita Bruta'!N$6)-1,0),0)</f>
        <v>-529342.42118456773</v>
      </c>
      <c r="N82" s="707">
        <f>IFERROR(-'E2 - Tributos'!P$19*VLOOKUP('F1 - FCL'!$A80,ReceitaBruta,COLUMN('A4 - Previsão de Receita Bruta'!O$6)-1,0),0)</f>
        <v>-545478.10149877821</v>
      </c>
      <c r="O82" s="707">
        <f>IFERROR(-'E2 - Tributos'!Q$19*VLOOKUP('F1 - FCL'!$A80,ReceitaBruta,COLUMN('A4 - Previsão de Receita Bruta'!P$6)-1,0),0)</f>
        <v>-562098.94099824387</v>
      </c>
      <c r="P82" s="707">
        <f>IFERROR(-'E2 - Tributos'!R$19*VLOOKUP('F1 - FCL'!$A80,ReceitaBruta,COLUMN('A4 - Previsão de Receita Bruta'!Q$6)-1,0),0)</f>
        <v>-579222.12283958809</v>
      </c>
      <c r="Q82" s="707">
        <f>IFERROR(-'E2 - Tributos'!S$19*VLOOKUP('F1 - FCL'!$A80,ReceitaBruta,COLUMN('A4 - Previsão de Receita Bruta'!R$6)-1,0),0)</f>
        <v>-596816.21226743795</v>
      </c>
      <c r="R82" s="707">
        <f>IFERROR(-'E2 - Tributos'!T$19*VLOOKUP('F1 - FCL'!$A80,ReceitaBruta,COLUMN('A4 - Previsão de Receita Bruta'!S$6)-1,0),0)</f>
        <v>-614854.47897803457</v>
      </c>
      <c r="S82" s="707">
        <f>IFERROR(-'E2 - Tributos'!U$19*VLOOKUP('F1 - FCL'!$A80,ReceitaBruta,COLUMN('A4 - Previsão de Receita Bruta'!T$6)-1,0),0)</f>
        <v>-633279.54028664867</v>
      </c>
      <c r="T82" s="707">
        <f>IFERROR(-'E2 - Tributos'!V$19*VLOOKUP('F1 - FCL'!$A80,ReceitaBruta,COLUMN('A4 - Previsão de Receita Bruta'!U$6)-1,0),0)</f>
        <v>-652045.54045463505</v>
      </c>
      <c r="U82" s="707">
        <f>IFERROR(-'E2 - Tributos'!W$19*VLOOKUP('F1 - FCL'!$A80,ReceitaBruta,COLUMN('A4 - Previsão de Receita Bruta'!V$6)-1,0),0)</f>
        <v>-671057.75060180039</v>
      </c>
      <c r="V82" s="707">
        <f>IFERROR(-'E2 - Tributos'!X$19*VLOOKUP('F1 - FCL'!$A80,ReceitaBruta,COLUMN('A4 - Previsão de Receita Bruta'!W$6)-1,0),0)</f>
        <v>-671057.75060180039</v>
      </c>
      <c r="W82" s="707">
        <f>IFERROR(-'E2 - Tributos'!Y$19*VLOOKUP('F1 - FCL'!$A80,ReceitaBruta,COLUMN('A4 - Previsão de Receita Bruta'!X$6)-1,0),0)</f>
        <v>-671057.75060180039</v>
      </c>
      <c r="X82" s="707">
        <f>IFERROR(-'E2 - Tributos'!Z$19*VLOOKUP('F1 - FCL'!$A80,ReceitaBruta,COLUMN('A4 - Previsão de Receita Bruta'!Y$6)-1,0),0)</f>
        <v>-671057.75060180039</v>
      </c>
      <c r="Y82" s="707">
        <f>IFERROR(-'E2 - Tributos'!AA$19*VLOOKUP('F1 - FCL'!$A80,ReceitaBruta,COLUMN('A4 - Previsão de Receita Bruta'!Z$6)-1,0),0)</f>
        <v>-671057.75060180039</v>
      </c>
      <c r="Z82" s="707">
        <f>IFERROR(-'E2 - Tributos'!AB$19*VLOOKUP('F1 - FCL'!$A80,ReceitaBruta,COLUMN('A4 - Previsão de Receita Bruta'!AA$6)-1,0),0)</f>
        <v>-671057.75060180039</v>
      </c>
      <c r="AA82" s="707">
        <f>IFERROR(-'E2 - Tributos'!AC$19*VLOOKUP('F1 - FCL'!$A80,ReceitaBruta,COLUMN('A4 - Previsão de Receita Bruta'!AB$6)-1,0),0)</f>
        <v>-671057.75060180039</v>
      </c>
      <c r="AB82" s="707">
        <f>IFERROR(-'E2 - Tributos'!AD$19*VLOOKUP('F1 - FCL'!$A80,ReceitaBruta,COLUMN('A4 - Previsão de Receita Bruta'!AC$6)-1,0),0)</f>
        <v>-671057.75060180039</v>
      </c>
      <c r="AC82" s="707">
        <f>IFERROR(-'E2 - Tributos'!AE$19*VLOOKUP('F1 - FCL'!$A80,ReceitaBruta,COLUMN('A4 - Previsão de Receita Bruta'!AD$6)-1,0),0)</f>
        <v>-671057.75060180039</v>
      </c>
      <c r="AD82" s="707">
        <f>IFERROR(-'E2 - Tributos'!AF$19*VLOOKUP('F1 - FCL'!$A80,ReceitaBruta,COLUMN('A4 - Previsão de Receita Bruta'!AE$6)-1,0),0)</f>
        <v>-671057.75060180039</v>
      </c>
      <c r="AE82" s="707">
        <f>IFERROR(-'E2 - Tributos'!AG$19*VLOOKUP('F1 - FCL'!$A80,ReceitaBruta,COLUMN('A4 - Previsão de Receita Bruta'!AF$6)-1,0),0)</f>
        <v>-671057.75060180039</v>
      </c>
      <c r="AF82" s="594"/>
      <c r="AG82" s="594"/>
      <c r="AH82" s="594"/>
      <c r="AI82" s="594"/>
      <c r="AJ82" s="594"/>
      <c r="AK82" s="594"/>
      <c r="AL82" s="594"/>
      <c r="AM82" s="594"/>
      <c r="AN82" s="594"/>
      <c r="AO82" s="594"/>
      <c r="AP82" s="594"/>
      <c r="AQ82" s="594"/>
      <c r="AR82" s="594"/>
      <c r="AS82" s="594"/>
      <c r="AT82" s="594"/>
      <c r="AU82" s="594"/>
      <c r="AV82" s="594"/>
      <c r="AW82" s="594"/>
      <c r="AX82" s="594"/>
      <c r="AY82" s="594"/>
      <c r="AZ82" s="594"/>
      <c r="BA82" s="594"/>
      <c r="BB82" s="594"/>
      <c r="BC82" s="594"/>
      <c r="BD82" s="594"/>
      <c r="BE82" s="594"/>
      <c r="BF82" s="594"/>
      <c r="BG82" s="594"/>
      <c r="BH82" s="594"/>
      <c r="BI82" s="594"/>
      <c r="BJ82" s="594"/>
      <c r="BK82" s="594"/>
      <c r="BL82" s="57"/>
      <c r="BM82" s="594"/>
      <c r="BN82" s="594"/>
      <c r="BO82" s="594"/>
      <c r="BP82" s="594"/>
      <c r="BQ82" s="594"/>
      <c r="BR82" s="594"/>
      <c r="BS82" s="594"/>
      <c r="BT82" s="594"/>
      <c r="BU82" s="594"/>
      <c r="BV82" s="594"/>
      <c r="BW82" s="594"/>
      <c r="BX82" s="594"/>
      <c r="BY82" s="594"/>
      <c r="BZ82" s="594"/>
      <c r="CA82" s="594"/>
      <c r="CB82" s="594"/>
      <c r="CC82" s="594"/>
      <c r="CD82" s="594"/>
      <c r="CE82" s="594"/>
      <c r="CF82" s="594"/>
      <c r="CG82" s="594"/>
      <c r="CH82" s="594"/>
      <c r="CI82" s="594"/>
      <c r="CJ82" s="594"/>
      <c r="CK82" s="594"/>
      <c r="CL82" s="594"/>
      <c r="CM82" s="594"/>
      <c r="CN82" s="594"/>
      <c r="CO82" s="594"/>
      <c r="CP82" s="594"/>
      <c r="CQ82" s="594"/>
    </row>
    <row r="83" spans="1:95" ht="19.5" hidden="1" customHeight="1" outlineLevel="1">
      <c r="A83" s="708" t="s">
        <v>590</v>
      </c>
      <c r="B83" s="707">
        <f t="shared" ref="B83:AE83" si="27">SUM(B84:B88)</f>
        <v>-19984.383999999998</v>
      </c>
      <c r="C83" s="707">
        <f t="shared" si="27"/>
        <v>-916540.03189092001</v>
      </c>
      <c r="D83" s="707">
        <f t="shared" si="27"/>
        <v>-937889.93189092004</v>
      </c>
      <c r="E83" s="707">
        <f t="shared" si="27"/>
        <v>-958560.58189091994</v>
      </c>
      <c r="F83" s="707">
        <f t="shared" si="27"/>
        <v>-979567.28189092001</v>
      </c>
      <c r="G83" s="707">
        <f t="shared" si="27"/>
        <v>-1000938.63189092</v>
      </c>
      <c r="H83" s="707">
        <f t="shared" si="27"/>
        <v>-1022917.73189092</v>
      </c>
      <c r="I83" s="707">
        <f t="shared" si="27"/>
        <v>-1045533.18189092</v>
      </c>
      <c r="J83" s="707">
        <f t="shared" si="27"/>
        <v>-1068563.3318909202</v>
      </c>
      <c r="K83" s="707">
        <f t="shared" si="27"/>
        <v>-1092015.3318909202</v>
      </c>
      <c r="L83" s="707">
        <f t="shared" si="27"/>
        <v>-1116210.93189092</v>
      </c>
      <c r="M83" s="707">
        <f t="shared" si="27"/>
        <v>-1141128.68189092</v>
      </c>
      <c r="N83" s="707">
        <f t="shared" si="27"/>
        <v>-1166840.0818909199</v>
      </c>
      <c r="O83" s="707">
        <f t="shared" si="27"/>
        <v>-1193323.68189092</v>
      </c>
      <c r="P83" s="707">
        <f t="shared" si="27"/>
        <v>-1220608.0818909199</v>
      </c>
      <c r="Q83" s="707">
        <f t="shared" si="27"/>
        <v>-1248643.2318909201</v>
      </c>
      <c r="R83" s="707">
        <f t="shared" si="27"/>
        <v>-1277386.2318909201</v>
      </c>
      <c r="S83" s="707">
        <f t="shared" si="27"/>
        <v>-1306744.13189092</v>
      </c>
      <c r="T83" s="707">
        <f t="shared" si="27"/>
        <v>-1336645.43189092</v>
      </c>
      <c r="U83" s="707">
        <f t="shared" si="27"/>
        <v>-1366939.9818909201</v>
      </c>
      <c r="V83" s="707">
        <f t="shared" si="27"/>
        <v>-1366939.9818909201</v>
      </c>
      <c r="W83" s="707">
        <f t="shared" si="27"/>
        <v>-1366939.9818909201</v>
      </c>
      <c r="X83" s="707">
        <f t="shared" si="27"/>
        <v>-1366939.9818909201</v>
      </c>
      <c r="Y83" s="707">
        <f t="shared" si="27"/>
        <v>-1366939.9818909201</v>
      </c>
      <c r="Z83" s="707">
        <f t="shared" si="27"/>
        <v>-1366939.9818909201</v>
      </c>
      <c r="AA83" s="707">
        <f t="shared" si="27"/>
        <v>-1366939.9818909201</v>
      </c>
      <c r="AB83" s="707">
        <f t="shared" si="27"/>
        <v>-1366939.9818909201</v>
      </c>
      <c r="AC83" s="707">
        <f t="shared" si="27"/>
        <v>-1366939.9818909201</v>
      </c>
      <c r="AD83" s="707">
        <f t="shared" si="27"/>
        <v>-1366939.9818909201</v>
      </c>
      <c r="AE83" s="707">
        <f t="shared" si="27"/>
        <v>-1366939.9818909201</v>
      </c>
      <c r="AF83" s="594"/>
      <c r="AG83" s="594"/>
      <c r="AH83" s="594"/>
      <c r="AI83" s="594"/>
      <c r="AJ83" s="594"/>
      <c r="AK83" s="594"/>
      <c r="AL83" s="594"/>
      <c r="AM83" s="594"/>
      <c r="AN83" s="594"/>
      <c r="AO83" s="594"/>
      <c r="AP83" s="594"/>
      <c r="AQ83" s="594"/>
      <c r="AR83" s="594"/>
      <c r="AS83" s="594"/>
      <c r="AT83" s="594"/>
      <c r="AU83" s="594"/>
      <c r="AV83" s="594"/>
      <c r="AW83" s="594"/>
      <c r="AX83" s="594"/>
      <c r="AY83" s="594"/>
      <c r="AZ83" s="594"/>
      <c r="BA83" s="594"/>
      <c r="BB83" s="594"/>
      <c r="BC83" s="594"/>
      <c r="BD83" s="594"/>
      <c r="BE83" s="594"/>
      <c r="BF83" s="594"/>
      <c r="BG83" s="594"/>
      <c r="BH83" s="594"/>
      <c r="BI83" s="594"/>
      <c r="BJ83" s="594"/>
      <c r="BK83" s="594"/>
      <c r="BL83" s="57"/>
      <c r="BM83" s="594"/>
      <c r="BN83" s="594"/>
      <c r="BO83" s="594"/>
      <c r="BP83" s="594"/>
      <c r="BQ83" s="594"/>
      <c r="BR83" s="594"/>
      <c r="BS83" s="594"/>
      <c r="BT83" s="594"/>
      <c r="BU83" s="594"/>
      <c r="BV83" s="594"/>
      <c r="BW83" s="594"/>
      <c r="BX83" s="594"/>
      <c r="BY83" s="594"/>
      <c r="BZ83" s="594"/>
      <c r="CA83" s="594"/>
      <c r="CB83" s="594"/>
      <c r="CC83" s="594"/>
      <c r="CD83" s="594"/>
      <c r="CE83" s="594"/>
      <c r="CF83" s="594"/>
      <c r="CG83" s="594"/>
      <c r="CH83" s="594"/>
      <c r="CI83" s="594"/>
      <c r="CJ83" s="594"/>
      <c r="CK83" s="594"/>
      <c r="CL83" s="594"/>
      <c r="CM83" s="594"/>
      <c r="CN83" s="594"/>
      <c r="CO83" s="594"/>
      <c r="CP83" s="594"/>
      <c r="CQ83" s="594"/>
    </row>
    <row r="84" spans="1:95" ht="21" hidden="1" customHeight="1" outlineLevel="2">
      <c r="A84" s="709" t="s">
        <v>682</v>
      </c>
      <c r="B84" s="710">
        <f>IF($A80="",0,-SUMIF('C3 - Funcionários $'!$D$7:$D$121,$A80,'C3 - Funcionários $'!G$7:G$121))</f>
        <v>0</v>
      </c>
      <c r="C84" s="710">
        <f>IF($A80="",0,-SUMIF('C3 - Funcionários $'!$D$7:$D$121,$A80,'C3 - Funcionários $'!H$7:H$121))</f>
        <v>-277680.24789092003</v>
      </c>
      <c r="D84" s="710">
        <f>IF($A80="",0,-SUMIF('C3 - Funcionários $'!$D$7:$D$121,$A80,'C3 - Funcionários $'!I$7:I$121))</f>
        <v>-277680.24789092003</v>
      </c>
      <c r="E84" s="710">
        <f>IF($A80="",0,-SUMIF('C3 - Funcionários $'!$D$7:$D$121,$A80,'C3 - Funcionários $'!J$7:J$121))</f>
        <v>-277680.24789092003</v>
      </c>
      <c r="F84" s="710">
        <f>IF($A80="",0,-SUMIF('C3 - Funcionários $'!$D$7:$D$121,$A80,'C3 - Funcionários $'!K$7:K$121))</f>
        <v>-277680.24789092003</v>
      </c>
      <c r="G84" s="710">
        <f>IF($A80="",0,-SUMIF('C3 - Funcionários $'!$D$7:$D$121,$A80,'C3 - Funcionários $'!L$7:L$121))</f>
        <v>-277680.24789092003</v>
      </c>
      <c r="H84" s="710">
        <f>IF($A80="",0,-SUMIF('C3 - Funcionários $'!$D$7:$D$121,$A80,'C3 - Funcionários $'!M$7:M$121))</f>
        <v>-277680.24789092003</v>
      </c>
      <c r="I84" s="710">
        <f>IF($A80="",0,-SUMIF('C3 - Funcionários $'!$D$7:$D$121,$A80,'C3 - Funcionários $'!N$7:N$121))</f>
        <v>-277680.24789092003</v>
      </c>
      <c r="J84" s="710">
        <f>IF($A80="",0,-SUMIF('C3 - Funcionários $'!$D$7:$D$121,$A80,'C3 - Funcionários $'!O$7:O$121))</f>
        <v>-277680.24789092003</v>
      </c>
      <c r="K84" s="710">
        <f>IF($A80="",0,-SUMIF('C3 - Funcionários $'!$D$7:$D$121,$A80,'C3 - Funcionários $'!P$7:P$121))</f>
        <v>-277680.24789092003</v>
      </c>
      <c r="L84" s="710">
        <f>IF($A80="",0,-SUMIF('C3 - Funcionários $'!$D$7:$D$121,$A80,'C3 - Funcionários $'!Q$7:Q$121))</f>
        <v>-277680.24789092003</v>
      </c>
      <c r="M84" s="710">
        <f>IF($A80="",0,-SUMIF('C3 - Funcionários $'!$D$7:$D$121,$A80,'C3 - Funcionários $'!R$7:R$121))</f>
        <v>-277680.24789092003</v>
      </c>
      <c r="N84" s="710">
        <f>IF($A80="",0,-SUMIF('C3 - Funcionários $'!$D$7:$D$121,$A80,'C3 - Funcionários $'!S$7:S$121))</f>
        <v>-277680.24789092003</v>
      </c>
      <c r="O84" s="710">
        <f>IF($A80="",0,-SUMIF('C3 - Funcionários $'!$D$7:$D$121,$A80,'C3 - Funcionários $'!T$7:T$121))</f>
        <v>-277680.24789092003</v>
      </c>
      <c r="P84" s="710">
        <f>IF($A80="",0,-SUMIF('C3 - Funcionários $'!$D$7:$D$121,$A80,'C3 - Funcionários $'!U$7:U$121))</f>
        <v>-277680.24789092003</v>
      </c>
      <c r="Q84" s="710">
        <f>IF($A80="",0,-SUMIF('C3 - Funcionários $'!$D$7:$D$121,$A80,'C3 - Funcionários $'!V$7:V$121))</f>
        <v>-277680.24789092003</v>
      </c>
      <c r="R84" s="710">
        <f>IF($A80="",0,-SUMIF('C3 - Funcionários $'!$D$7:$D$121,$A80,'C3 - Funcionários $'!W$7:W$121))</f>
        <v>-277680.24789092003</v>
      </c>
      <c r="S84" s="710">
        <f>IF($A80="",0,-SUMIF('C3 - Funcionários $'!$D$7:$D$121,$A80,'C3 - Funcionários $'!X$7:X$121))</f>
        <v>-277680.24789092003</v>
      </c>
      <c r="T84" s="710">
        <f>IF($A80="",0,-SUMIF('C3 - Funcionários $'!$D$7:$D$121,$A80,'C3 - Funcionários $'!Y$7:Y$121))</f>
        <v>-277680.24789092003</v>
      </c>
      <c r="U84" s="710">
        <f>IF($A80="",0,-SUMIF('C3 - Funcionários $'!$D$7:$D$121,$A80,'C3 - Funcionários $'!Z$7:Z$121))</f>
        <v>-277680.24789092003</v>
      </c>
      <c r="V84" s="710">
        <f>IF($A80="",0,-SUMIF('C3 - Funcionários $'!$D$7:$D$121,$A80,'C3 - Funcionários $'!AA$7:AA$121))</f>
        <v>-277680.24789092003</v>
      </c>
      <c r="W84" s="710">
        <f>IF($A80="",0,-SUMIF('C3 - Funcionários $'!$D$7:$D$121,$A80,'C3 - Funcionários $'!AB$7:AB$121))</f>
        <v>-277680.24789092003</v>
      </c>
      <c r="X84" s="710">
        <f>IF($A80="",0,-SUMIF('C3 - Funcionários $'!$D$7:$D$121,$A80,'C3 - Funcionários $'!AC$7:AC$121))</f>
        <v>-277680.24789092003</v>
      </c>
      <c r="Y84" s="710">
        <f>IF($A80="",0,-SUMIF('C3 - Funcionários $'!$D$7:$D$121,$A80,'C3 - Funcionários $'!AD$7:AD$121))</f>
        <v>-277680.24789092003</v>
      </c>
      <c r="Z84" s="710">
        <f>IF($A80="",0,-SUMIF('C3 - Funcionários $'!$D$7:$D$121,$A80,'C3 - Funcionários $'!AE$7:AE$121))</f>
        <v>-277680.24789092003</v>
      </c>
      <c r="AA84" s="710">
        <f>IF($A80="",0,-SUMIF('C3 - Funcionários $'!$D$7:$D$121,$A80,'C3 - Funcionários $'!AF$7:AF$121))</f>
        <v>-277680.24789092003</v>
      </c>
      <c r="AB84" s="710">
        <f>IF($A80="",0,-SUMIF('C3 - Funcionários $'!$D$7:$D$121,$A80,'C3 - Funcionários $'!AG$7:AG$121))</f>
        <v>-277680.24789092003</v>
      </c>
      <c r="AC84" s="710">
        <f>IF($A80="",0,-SUMIF('C3 - Funcionários $'!$D$7:$D$121,$A80,'C3 - Funcionários $'!AH$7:AH$121))</f>
        <v>-277680.24789092003</v>
      </c>
      <c r="AD84" s="710">
        <f>IF($A80="",0,-SUMIF('C3 - Funcionários $'!$D$7:$D$121,$A80,'C3 - Funcionários $'!AI$7:AI$121))</f>
        <v>-277680.24789092003</v>
      </c>
      <c r="AE84" s="710">
        <f>IF($A80="",0,-SUMIF('C3 - Funcionários $'!$D$7:$D$121,$A80,'C3 - Funcionários $'!AJ$7:AJ$121))</f>
        <v>-277680.24789092003</v>
      </c>
      <c r="AF84" s="594"/>
      <c r="AG84" s="594"/>
      <c r="AH84" s="594"/>
      <c r="AI84" s="594"/>
      <c r="AJ84" s="594"/>
      <c r="AK84" s="594"/>
      <c r="AL84" s="594"/>
      <c r="AM84" s="594"/>
      <c r="AN84" s="594"/>
      <c r="AO84" s="594"/>
      <c r="AP84" s="594"/>
      <c r="AQ84" s="594"/>
      <c r="AR84" s="594"/>
      <c r="AS84" s="594"/>
      <c r="AT84" s="594"/>
      <c r="AU84" s="594"/>
      <c r="AV84" s="594"/>
      <c r="AW84" s="594"/>
      <c r="AX84" s="594"/>
      <c r="AY84" s="594"/>
      <c r="AZ84" s="594"/>
      <c r="BA84" s="594"/>
      <c r="BB84" s="594"/>
      <c r="BC84" s="594"/>
      <c r="BD84" s="594"/>
      <c r="BE84" s="594"/>
      <c r="BF84" s="594"/>
      <c r="BG84" s="594"/>
      <c r="BH84" s="594"/>
      <c r="BI84" s="594"/>
      <c r="BJ84" s="594"/>
      <c r="BK84" s="594"/>
      <c r="BL84" s="57"/>
      <c r="BM84" s="594"/>
      <c r="BN84" s="594"/>
      <c r="BO84" s="594"/>
      <c r="BP84" s="594"/>
      <c r="BQ84" s="594"/>
      <c r="BR84" s="594"/>
      <c r="BS84" s="594"/>
      <c r="BT84" s="594"/>
      <c r="BU84" s="594"/>
      <c r="BV84" s="594"/>
      <c r="BW84" s="594"/>
      <c r="BX84" s="594"/>
      <c r="BY84" s="594"/>
      <c r="BZ84" s="594"/>
      <c r="CA84" s="594"/>
      <c r="CB84" s="594"/>
      <c r="CC84" s="594"/>
      <c r="CD84" s="594"/>
      <c r="CE84" s="594"/>
      <c r="CF84" s="594"/>
      <c r="CG84" s="594"/>
      <c r="CH84" s="594"/>
      <c r="CI84" s="594"/>
      <c r="CJ84" s="594"/>
      <c r="CK84" s="594"/>
      <c r="CL84" s="594"/>
      <c r="CM84" s="594"/>
      <c r="CN84" s="594"/>
      <c r="CO84" s="594"/>
      <c r="CP84" s="594"/>
      <c r="CQ84" s="594"/>
    </row>
    <row r="85" spans="1:95" ht="21" hidden="1" customHeight="1" outlineLevel="2">
      <c r="A85" s="709" t="s">
        <v>683</v>
      </c>
      <c r="B85" s="710">
        <f>IFERROR(-VLOOKUP($A80,CustoDiretoTotal,COLUMN('B2 - Custos diretos totais'!C$3)-1,0),0)</f>
        <v>0</v>
      </c>
      <c r="C85" s="710">
        <f>IFERROR(-VLOOKUP($A80,CustoDiretoTotal,COLUMN('B2 - Custos diretos totais'!D$3)-1,0),0)</f>
        <v>-584253</v>
      </c>
      <c r="D85" s="710">
        <f>IFERROR(-VLOOKUP($A80,CustoDiretoTotal,COLUMN('B2 - Custos diretos totais'!E$3)-1,0),0)</f>
        <v>-604408.5</v>
      </c>
      <c r="E85" s="710">
        <f>IFERROR(-VLOOKUP($A80,CustoDiretoTotal,COLUMN('B2 - Custos diretos totais'!F$3)-1,0),0)</f>
        <v>-623922.75</v>
      </c>
      <c r="F85" s="710">
        <f>IFERROR(-VLOOKUP($A80,CustoDiretoTotal,COLUMN('B2 - Custos diretos totais'!G$3)-1,0),0)</f>
        <v>-643754.25</v>
      </c>
      <c r="G85" s="710">
        <f>IFERROR(-VLOOKUP($A80,CustoDiretoTotal,COLUMN('B2 - Custos diretos totais'!H$3)-1,0),0)</f>
        <v>-663930</v>
      </c>
      <c r="H85" s="710">
        <f>IFERROR(-VLOOKUP($A80,CustoDiretoTotal,COLUMN('B2 - Custos diretos totais'!I$3)-1,0),0)</f>
        <v>-684679.5</v>
      </c>
      <c r="I85" s="710">
        <f>IFERROR(-VLOOKUP($A80,CustoDiretoTotal,COLUMN('B2 - Custos diretos totais'!J$3)-1,0),0)</f>
        <v>-706029.75</v>
      </c>
      <c r="J85" s="710">
        <f>IFERROR(-VLOOKUP($A80,CustoDiretoTotal,COLUMN('B2 - Custos diretos totais'!K$3)-1,0),0)</f>
        <v>-727771.5</v>
      </c>
      <c r="K85" s="710">
        <f>IFERROR(-VLOOKUP($A80,CustoDiretoTotal,COLUMN('B2 - Custos diretos totais'!L$3)-1,0),0)</f>
        <v>-749911.5</v>
      </c>
      <c r="L85" s="710">
        <f>IFERROR(-VLOOKUP($A80,CustoDiretoTotal,COLUMN('B2 - Custos diretos totais'!M$3)-1,0),0)</f>
        <v>-772753.5</v>
      </c>
      <c r="M85" s="710">
        <f>IFERROR(-VLOOKUP($A80,CustoDiretoTotal,COLUMN('B2 - Custos diretos totais'!N$3)-1,0),0)</f>
        <v>-796277.25</v>
      </c>
      <c r="N85" s="710">
        <f>IFERROR(-VLOOKUP($A80,CustoDiretoTotal,COLUMN('B2 - Custos diretos totais'!O$3)-1,0),0)</f>
        <v>-820550.25</v>
      </c>
      <c r="O85" s="710">
        <f>IFERROR(-VLOOKUP($A80,CustoDiretoTotal,COLUMN('B2 - Custos diretos totais'!P$3)-1,0),0)</f>
        <v>-845552.25</v>
      </c>
      <c r="P85" s="710">
        <f>IFERROR(-VLOOKUP($A80,CustoDiretoTotal,COLUMN('B2 - Custos diretos totais'!Q$3)-1,0),0)</f>
        <v>-871310.25</v>
      </c>
      <c r="Q85" s="710">
        <f>IFERROR(-VLOOKUP($A80,CustoDiretoTotal,COLUMN('B2 - Custos diretos totais'!R$3)-1,0),0)</f>
        <v>-897777</v>
      </c>
      <c r="R85" s="710">
        <f>IFERROR(-VLOOKUP($A80,CustoDiretoTotal,COLUMN('B2 - Custos diretos totais'!S$3)-1,0),0)</f>
        <v>-924912</v>
      </c>
      <c r="S85" s="710">
        <f>IFERROR(-VLOOKUP($A80,CustoDiretoTotal,COLUMN('B2 - Custos diretos totais'!T$3)-1,0),0)</f>
        <v>-952627.5</v>
      </c>
      <c r="T85" s="710">
        <f>IFERROR(-VLOOKUP($A80,CustoDiretoTotal,COLUMN('B2 - Custos diretos totais'!U$3)-1,0),0)</f>
        <v>-980856</v>
      </c>
      <c r="U85" s="710">
        <f>IFERROR(-VLOOKUP($A80,CustoDiretoTotal,COLUMN('B2 - Custos diretos totais'!V$3)-1,0),0)</f>
        <v>-1009455.75</v>
      </c>
      <c r="V85" s="710">
        <f>IFERROR(-VLOOKUP($A80,CustoDiretoTotal,COLUMN('B2 - Custos diretos totais'!W$3)-1,0),0)</f>
        <v>-1009455.75</v>
      </c>
      <c r="W85" s="710">
        <f>IFERROR(-VLOOKUP($A80,CustoDiretoTotal,COLUMN('B2 - Custos diretos totais'!X$3)-1,0),0)</f>
        <v>-1009455.75</v>
      </c>
      <c r="X85" s="710">
        <f>IFERROR(-VLOOKUP($A80,CustoDiretoTotal,COLUMN('B2 - Custos diretos totais'!Y$3)-1,0),0)</f>
        <v>-1009455.75</v>
      </c>
      <c r="Y85" s="710">
        <f>IFERROR(-VLOOKUP($A80,CustoDiretoTotal,COLUMN('B2 - Custos diretos totais'!Z$3)-1,0),0)</f>
        <v>-1009455.75</v>
      </c>
      <c r="Z85" s="710">
        <f>IFERROR(-VLOOKUP($A80,CustoDiretoTotal,COLUMN('B2 - Custos diretos totais'!AA$3)-1,0),0)</f>
        <v>-1009455.75</v>
      </c>
      <c r="AA85" s="710">
        <f>IFERROR(-VLOOKUP($A80,CustoDiretoTotal,COLUMN('B2 - Custos diretos totais'!AB$3)-1,0),0)</f>
        <v>-1009455.75</v>
      </c>
      <c r="AB85" s="710">
        <f>IFERROR(-VLOOKUP($A80,CustoDiretoTotal,COLUMN('B2 - Custos diretos totais'!AC$3)-1,0),0)</f>
        <v>-1009455.75</v>
      </c>
      <c r="AC85" s="710">
        <f>IFERROR(-VLOOKUP($A80,CustoDiretoTotal,COLUMN('B2 - Custos diretos totais'!AD$3)-1,0),0)</f>
        <v>-1009455.75</v>
      </c>
      <c r="AD85" s="710">
        <f>IFERROR(-VLOOKUP($A80,CustoDiretoTotal,COLUMN('B2 - Custos diretos totais'!AE$3)-1,0),0)</f>
        <v>-1009455.75</v>
      </c>
      <c r="AE85" s="710">
        <f>IFERROR(-VLOOKUP($A80,CustoDiretoTotal,COLUMN('B2 - Custos diretos totais'!AF$3)-1,0),0)</f>
        <v>-1009455.75</v>
      </c>
      <c r="AF85" s="594"/>
      <c r="AG85" s="594"/>
      <c r="AH85" s="594"/>
      <c r="AI85" s="594"/>
      <c r="AJ85" s="594"/>
      <c r="AK85" s="594"/>
      <c r="AL85" s="594"/>
      <c r="AM85" s="594"/>
      <c r="AN85" s="594"/>
      <c r="AO85" s="594"/>
      <c r="AP85" s="594"/>
      <c r="AQ85" s="594"/>
      <c r="AR85" s="594"/>
      <c r="AS85" s="594"/>
      <c r="AT85" s="594"/>
      <c r="AU85" s="594"/>
      <c r="AV85" s="594"/>
      <c r="AW85" s="594"/>
      <c r="AX85" s="594"/>
      <c r="AY85" s="594"/>
      <c r="AZ85" s="594"/>
      <c r="BA85" s="594"/>
      <c r="BB85" s="594"/>
      <c r="BC85" s="594"/>
      <c r="BD85" s="594"/>
      <c r="BE85" s="594"/>
      <c r="BF85" s="594"/>
      <c r="BG85" s="594"/>
      <c r="BH85" s="594"/>
      <c r="BI85" s="594"/>
      <c r="BJ85" s="594"/>
      <c r="BK85" s="594"/>
      <c r="BL85" s="57"/>
      <c r="BM85" s="594"/>
      <c r="BN85" s="594"/>
      <c r="BO85" s="594"/>
      <c r="BP85" s="594"/>
      <c r="BQ85" s="594"/>
      <c r="BR85" s="594"/>
      <c r="BS85" s="594"/>
      <c r="BT85" s="594"/>
      <c r="BU85" s="594"/>
      <c r="BV85" s="594"/>
      <c r="BW85" s="594"/>
      <c r="BX85" s="594"/>
      <c r="BY85" s="594"/>
      <c r="BZ85" s="594"/>
      <c r="CA85" s="594"/>
      <c r="CB85" s="594"/>
      <c r="CC85" s="594"/>
      <c r="CD85" s="594"/>
      <c r="CE85" s="594"/>
      <c r="CF85" s="594"/>
      <c r="CG85" s="594"/>
      <c r="CH85" s="594"/>
      <c r="CI85" s="594"/>
      <c r="CJ85" s="594"/>
      <c r="CK85" s="594"/>
      <c r="CL85" s="594"/>
      <c r="CM85" s="594"/>
      <c r="CN85" s="594"/>
      <c r="CO85" s="594"/>
      <c r="CP85" s="594"/>
      <c r="CQ85" s="594"/>
    </row>
    <row r="86" spans="1:95" ht="21" hidden="1" customHeight="1" outlineLevel="2">
      <c r="A86" s="709" t="s">
        <v>684</v>
      </c>
      <c r="B86" s="710">
        <f>-SUMIFS('B3 - Custos despesas indiretos'!AK$5:AK$148,'B3 - Custos despesas indiretos'!$B$5:$B$148,"Custos",'B3 - Custos despesas indiretos'!$D$5:$D$148,$A80)</f>
        <v>-6966.5</v>
      </c>
      <c r="C86" s="710">
        <f>-SUMIFS('B3 - Custos despesas indiretos'!AL$5:AL$148,'B3 - Custos despesas indiretos'!$B$5:$B$148,"Custos",'B3 - Custos despesas indiretos'!$D$5:$D$148,$A80)</f>
        <v>-6966.5</v>
      </c>
      <c r="D86" s="710">
        <f>-SUMIFS('B3 - Custos despesas indiretos'!AM$5:AM$148,'B3 - Custos despesas indiretos'!$B$5:$B$148,"Custos",'B3 - Custos despesas indiretos'!$D$5:$D$148,$A80)</f>
        <v>-6966.5</v>
      </c>
      <c r="E86" s="710">
        <f>-SUMIFS('B3 - Custos despesas indiretos'!AN$5:AN$148,'B3 - Custos despesas indiretos'!$B$5:$B$148,"Custos",'B3 - Custos despesas indiretos'!$D$5:$D$148,$A80)</f>
        <v>-6966.5</v>
      </c>
      <c r="F86" s="710">
        <f>-SUMIFS('B3 - Custos despesas indiretos'!AO$5:AO$148,'B3 - Custos despesas indiretos'!$B$5:$B$148,"Custos",'B3 - Custos despesas indiretos'!$D$5:$D$148,$A80)</f>
        <v>-6966.5</v>
      </c>
      <c r="G86" s="710">
        <f>-SUMIFS('B3 - Custos despesas indiretos'!AP$5:AP$148,'B3 - Custos despesas indiretos'!$B$5:$B$148,"Custos",'B3 - Custos despesas indiretos'!$D$5:$D$148,$A80)</f>
        <v>-6966.5</v>
      </c>
      <c r="H86" s="710">
        <f>-SUMIFS('B3 - Custos despesas indiretos'!AQ$5:AQ$148,'B3 - Custos despesas indiretos'!$B$5:$B$148,"Custos",'B3 - Custos despesas indiretos'!$D$5:$D$148,$A80)</f>
        <v>-6966.5</v>
      </c>
      <c r="I86" s="710">
        <f>-SUMIFS('B3 - Custos despesas indiretos'!AR$5:AR$148,'B3 - Custos despesas indiretos'!$B$5:$B$148,"Custos",'B3 - Custos despesas indiretos'!$D$5:$D$148,$A80)</f>
        <v>-6966.5</v>
      </c>
      <c r="J86" s="710">
        <f>-SUMIFS('B3 - Custos despesas indiretos'!AS$5:AS$148,'B3 - Custos despesas indiretos'!$B$5:$B$148,"Custos",'B3 - Custos despesas indiretos'!$D$5:$D$148,$A80)</f>
        <v>-6966.5</v>
      </c>
      <c r="K86" s="710">
        <f>-SUMIFS('B3 - Custos despesas indiretos'!AT$5:AT$148,'B3 - Custos despesas indiretos'!$B$5:$B$148,"Custos",'B3 - Custos despesas indiretos'!$D$5:$D$148,$A80)</f>
        <v>-6966.5</v>
      </c>
      <c r="L86" s="710">
        <f>-SUMIFS('B3 - Custos despesas indiretos'!AU$5:AU$148,'B3 - Custos despesas indiretos'!$B$5:$B$148,"Custos",'B3 - Custos despesas indiretos'!$D$5:$D$148,$A80)</f>
        <v>-6966.5</v>
      </c>
      <c r="M86" s="710">
        <f>-SUMIFS('B3 - Custos despesas indiretos'!AV$5:AV$148,'B3 - Custos despesas indiretos'!$B$5:$B$148,"Custos",'B3 - Custos despesas indiretos'!$D$5:$D$148,$A80)</f>
        <v>-6966.5</v>
      </c>
      <c r="N86" s="710">
        <f>-SUMIFS('B3 - Custos despesas indiretos'!AW$5:AW$148,'B3 - Custos despesas indiretos'!$B$5:$B$148,"Custos",'B3 - Custos despesas indiretos'!$D$5:$D$148,$A80)</f>
        <v>-6966.5</v>
      </c>
      <c r="O86" s="710">
        <f>-SUMIFS('B3 - Custos despesas indiretos'!AX$5:AX$148,'B3 - Custos despesas indiretos'!$B$5:$B$148,"Custos",'B3 - Custos despesas indiretos'!$D$5:$D$148,$A80)</f>
        <v>-6966.5</v>
      </c>
      <c r="P86" s="710">
        <f>-SUMIFS('B3 - Custos despesas indiretos'!AY$5:AY$148,'B3 - Custos despesas indiretos'!$B$5:$B$148,"Custos",'B3 - Custos despesas indiretos'!$D$5:$D$148,$A80)</f>
        <v>-6966.5</v>
      </c>
      <c r="Q86" s="710">
        <f>-SUMIFS('B3 - Custos despesas indiretos'!AZ$5:AZ$148,'B3 - Custos despesas indiretos'!$B$5:$B$148,"Custos",'B3 - Custos despesas indiretos'!$D$5:$D$148,$A80)</f>
        <v>-6966.5</v>
      </c>
      <c r="R86" s="710">
        <f>-SUMIFS('B3 - Custos despesas indiretos'!BA$5:BA$148,'B3 - Custos despesas indiretos'!$B$5:$B$148,"Custos",'B3 - Custos despesas indiretos'!$D$5:$D$148,$A80)</f>
        <v>-6966.5</v>
      </c>
      <c r="S86" s="710">
        <f>-SUMIFS('B3 - Custos despesas indiretos'!BB$5:BB$148,'B3 - Custos despesas indiretos'!$B$5:$B$148,"Custos",'B3 - Custos despesas indiretos'!$D$5:$D$148,$A80)</f>
        <v>-6966.5</v>
      </c>
      <c r="T86" s="710">
        <f>-SUMIFS('B3 - Custos despesas indiretos'!BC$5:BC$148,'B3 - Custos despesas indiretos'!$B$5:$B$148,"Custos",'B3 - Custos despesas indiretos'!$D$5:$D$148,$A80)</f>
        <v>-6966.5</v>
      </c>
      <c r="U86" s="710">
        <f>-SUMIFS('B3 - Custos despesas indiretos'!BD$5:BD$148,'B3 - Custos despesas indiretos'!$B$5:$B$148,"Custos",'B3 - Custos despesas indiretos'!$D$5:$D$148,$A80)</f>
        <v>-6966.5</v>
      </c>
      <c r="V86" s="710">
        <f>-SUMIFS('B3 - Custos despesas indiretos'!BE$5:BE$148,'B3 - Custos despesas indiretos'!$B$5:$B$148,"Custos",'B3 - Custos despesas indiretos'!$D$5:$D$148,$A80)</f>
        <v>-6966.5</v>
      </c>
      <c r="W86" s="710">
        <f>-SUMIFS('B3 - Custos despesas indiretos'!BF$5:BF$148,'B3 - Custos despesas indiretos'!$B$5:$B$148,"Custos",'B3 - Custos despesas indiretos'!$D$5:$D$148,$A80)</f>
        <v>-6966.5</v>
      </c>
      <c r="X86" s="710">
        <f>-SUMIFS('B3 - Custos despesas indiretos'!BG$5:BG$148,'B3 - Custos despesas indiretos'!$B$5:$B$148,"Custos",'B3 - Custos despesas indiretos'!$D$5:$D$148,$A80)</f>
        <v>-6966.5</v>
      </c>
      <c r="Y86" s="710">
        <f>-SUMIFS('B3 - Custos despesas indiretos'!BH$5:BH$148,'B3 - Custos despesas indiretos'!$B$5:$B$148,"Custos",'B3 - Custos despesas indiretos'!$D$5:$D$148,$A80)</f>
        <v>-6966.5</v>
      </c>
      <c r="Z86" s="710">
        <f>-SUMIFS('B3 - Custos despesas indiretos'!BI$5:BI$148,'B3 - Custos despesas indiretos'!$B$5:$B$148,"Custos",'B3 - Custos despesas indiretos'!$D$5:$D$148,$A80)</f>
        <v>-6966.5</v>
      </c>
      <c r="AA86" s="710">
        <f>-SUMIFS('B3 - Custos despesas indiretos'!BJ$5:BJ$148,'B3 - Custos despesas indiretos'!$B$5:$B$148,"Custos",'B3 - Custos despesas indiretos'!$D$5:$D$148,$A80)</f>
        <v>-6966.5</v>
      </c>
      <c r="AB86" s="710">
        <f>-SUMIFS('B3 - Custos despesas indiretos'!BK$5:BK$148,'B3 - Custos despesas indiretos'!$B$5:$B$148,"Custos",'B3 - Custos despesas indiretos'!$D$5:$D$148,$A80)</f>
        <v>-6966.5</v>
      </c>
      <c r="AC86" s="710">
        <f>-SUMIFS('B3 - Custos despesas indiretos'!BL$5:BL$148,'B3 - Custos despesas indiretos'!$B$5:$B$148,"Custos",'B3 - Custos despesas indiretos'!$D$5:$D$148,$A80)</f>
        <v>-6966.5</v>
      </c>
      <c r="AD86" s="710">
        <f>-SUMIFS('B3 - Custos despesas indiretos'!BM$5:BM$148,'B3 - Custos despesas indiretos'!$B$5:$B$148,"Custos",'B3 - Custos despesas indiretos'!$D$5:$D$148,$A80)</f>
        <v>-6966.5</v>
      </c>
      <c r="AE86" s="710">
        <f>-SUMIFS('B3 - Custos despesas indiretos'!BN$5:BN$148,'B3 - Custos despesas indiretos'!$B$5:$B$148,"Custos",'B3 - Custos despesas indiretos'!$D$5:$D$148,$A80)</f>
        <v>-6966.5</v>
      </c>
      <c r="AF86" s="594"/>
      <c r="AG86" s="594"/>
      <c r="AH86" s="594"/>
      <c r="AI86" s="594"/>
      <c r="AJ86" s="594"/>
      <c r="AK86" s="594"/>
      <c r="AL86" s="594"/>
      <c r="AM86" s="594"/>
      <c r="AN86" s="594"/>
      <c r="AO86" s="594"/>
      <c r="AP86" s="594"/>
      <c r="AQ86" s="594"/>
      <c r="AR86" s="594"/>
      <c r="AS86" s="594"/>
      <c r="AT86" s="594"/>
      <c r="AU86" s="594"/>
      <c r="AV86" s="594"/>
      <c r="AW86" s="594"/>
      <c r="AX86" s="594"/>
      <c r="AY86" s="594"/>
      <c r="AZ86" s="594"/>
      <c r="BA86" s="594"/>
      <c r="BB86" s="594"/>
      <c r="BC86" s="594"/>
      <c r="BD86" s="594"/>
      <c r="BE86" s="594"/>
      <c r="BF86" s="594"/>
      <c r="BG86" s="594"/>
      <c r="BH86" s="594"/>
      <c r="BI86" s="594"/>
      <c r="BJ86" s="594"/>
      <c r="BK86" s="594"/>
      <c r="BL86" s="57"/>
      <c r="BM86" s="594"/>
      <c r="BN86" s="594"/>
      <c r="BO86" s="594"/>
      <c r="BP86" s="594"/>
      <c r="BQ86" s="594"/>
      <c r="BR86" s="594"/>
      <c r="BS86" s="594"/>
      <c r="BT86" s="594"/>
      <c r="BU86" s="594"/>
      <c r="BV86" s="594"/>
      <c r="BW86" s="594"/>
      <c r="BX86" s="594"/>
      <c r="BY86" s="594"/>
      <c r="BZ86" s="594"/>
      <c r="CA86" s="594"/>
      <c r="CB86" s="594"/>
      <c r="CC86" s="594"/>
      <c r="CD86" s="594"/>
      <c r="CE86" s="594"/>
      <c r="CF86" s="594"/>
      <c r="CG86" s="594"/>
      <c r="CH86" s="594"/>
      <c r="CI86" s="594"/>
      <c r="CJ86" s="594"/>
      <c r="CK86" s="594"/>
      <c r="CL86" s="594"/>
      <c r="CM86" s="594"/>
      <c r="CN86" s="594"/>
      <c r="CO86" s="594"/>
      <c r="CP86" s="594"/>
      <c r="CQ86" s="594"/>
    </row>
    <row r="87" spans="1:95" ht="21" hidden="1" customHeight="1" outlineLevel="2">
      <c r="A87" s="709" t="s">
        <v>685</v>
      </c>
      <c r="B87" s="710">
        <f>-SUMIFS('B3 - Custos despesas indiretos'!AK$5:AK$148,'B3 - Custos despesas indiretos'!$B$5:$B$148,"Despesas",'B3 - Custos despesas indiretos'!$D$5:$D$148,$A80)</f>
        <v>0</v>
      </c>
      <c r="C87" s="710">
        <f>-SUMIFS('B3 - Custos despesas indiretos'!AL$5:AL$148,'B3 - Custos despesas indiretos'!$B$5:$B$148,"Despesas",'B3 - Custos despesas indiretos'!$D$5:$D$148,$A80)</f>
        <v>-34622.400000000001</v>
      </c>
      <c r="D87" s="710">
        <f>-SUMIFS('B3 - Custos despesas indiretos'!AM$5:AM$148,'B3 - Custos despesas indiretos'!$B$5:$B$148,"Despesas",'B3 - Custos despesas indiretos'!$D$5:$D$148,$A80)</f>
        <v>-35816.800000000003</v>
      </c>
      <c r="E87" s="710">
        <f>-SUMIFS('B3 - Custos despesas indiretos'!AN$5:AN$148,'B3 - Custos despesas indiretos'!$B$5:$B$148,"Despesas",'B3 - Custos despesas indiretos'!$D$5:$D$148,$A80)</f>
        <v>-36973.200000000004</v>
      </c>
      <c r="F87" s="710">
        <f>-SUMIFS('B3 - Custos despesas indiretos'!AO$5:AO$148,'B3 - Custos despesas indiretos'!$B$5:$B$148,"Despesas",'B3 - Custos despesas indiretos'!$D$5:$D$148,$A80)</f>
        <v>-38148.400000000001</v>
      </c>
      <c r="G87" s="710">
        <f>-SUMIFS('B3 - Custos despesas indiretos'!AP$5:AP$148,'B3 - Custos despesas indiretos'!$B$5:$B$148,"Despesas",'B3 - Custos despesas indiretos'!$D$5:$D$148,$A80)</f>
        <v>-39344</v>
      </c>
      <c r="H87" s="710">
        <f>-SUMIFS('B3 - Custos despesas indiretos'!AQ$5:AQ$148,'B3 - Custos despesas indiretos'!$B$5:$B$148,"Despesas",'B3 - Custos despesas indiretos'!$D$5:$D$148,$A80)</f>
        <v>-40573.599999999999</v>
      </c>
      <c r="I87" s="710">
        <f>-SUMIFS('B3 - Custos despesas indiretos'!AR$5:AR$148,'B3 - Custos despesas indiretos'!$B$5:$B$148,"Despesas",'B3 - Custos despesas indiretos'!$D$5:$D$148,$A80)</f>
        <v>-41838.800000000003</v>
      </c>
      <c r="J87" s="710">
        <f>-SUMIFS('B3 - Custos despesas indiretos'!AS$5:AS$148,'B3 - Custos despesas indiretos'!$B$5:$B$148,"Despesas",'B3 - Custos despesas indiretos'!$D$5:$D$148,$A80)</f>
        <v>-43127.200000000004</v>
      </c>
      <c r="K87" s="710">
        <f>-SUMIFS('B3 - Custos despesas indiretos'!AT$5:AT$148,'B3 - Custos despesas indiretos'!$B$5:$B$148,"Despesas",'B3 - Custos despesas indiretos'!$D$5:$D$148,$A80)</f>
        <v>-44439.200000000004</v>
      </c>
      <c r="L87" s="710">
        <f>-SUMIFS('B3 - Custos despesas indiretos'!AU$5:AU$148,'B3 - Custos despesas indiretos'!$B$5:$B$148,"Despesas",'B3 - Custos despesas indiretos'!$D$5:$D$148,$A80)</f>
        <v>-45792.800000000003</v>
      </c>
      <c r="M87" s="710">
        <f>-SUMIFS('B3 - Custos despesas indiretos'!AV$5:AV$148,'B3 - Custos despesas indiretos'!$B$5:$B$148,"Despesas",'B3 - Custos despesas indiretos'!$D$5:$D$148,$A80)</f>
        <v>-47186.8</v>
      </c>
      <c r="N87" s="710">
        <f>-SUMIFS('B3 - Custos despesas indiretos'!AW$5:AW$148,'B3 - Custos despesas indiretos'!$B$5:$B$148,"Despesas",'B3 - Custos despesas indiretos'!$D$5:$D$148,$A80)</f>
        <v>-48625.200000000004</v>
      </c>
      <c r="O87" s="710">
        <f>-SUMIFS('B3 - Custos despesas indiretos'!AX$5:AX$148,'B3 - Custos despesas indiretos'!$B$5:$B$148,"Despesas",'B3 - Custos despesas indiretos'!$D$5:$D$148,$A80)</f>
        <v>-50106.8</v>
      </c>
      <c r="P87" s="710">
        <f>-SUMIFS('B3 - Custos despesas indiretos'!AY$5:AY$148,'B3 - Custos despesas indiretos'!$B$5:$B$148,"Despesas",'B3 - Custos despesas indiretos'!$D$5:$D$148,$A80)</f>
        <v>-51633.200000000004</v>
      </c>
      <c r="Q87" s="710">
        <f>-SUMIFS('B3 - Custos despesas indiretos'!AZ$5:AZ$148,'B3 - Custos despesas indiretos'!$B$5:$B$148,"Despesas",'B3 - Custos despesas indiretos'!$D$5:$D$148,$A80)</f>
        <v>-53201.599999999999</v>
      </c>
      <c r="R87" s="710">
        <f>-SUMIFS('B3 - Custos despesas indiretos'!BA$5:BA$148,'B3 - Custos despesas indiretos'!$B$5:$B$148,"Despesas",'B3 - Custos despesas indiretos'!$D$5:$D$148,$A80)</f>
        <v>-54809.599999999999</v>
      </c>
      <c r="S87" s="710">
        <f>-SUMIFS('B3 - Custos despesas indiretos'!BB$5:BB$148,'B3 - Custos despesas indiretos'!$B$5:$B$148,"Despesas",'B3 - Custos despesas indiretos'!$D$5:$D$148,$A80)</f>
        <v>-56452</v>
      </c>
      <c r="T87" s="710">
        <f>-SUMIFS('B3 - Custos despesas indiretos'!BC$5:BC$148,'B3 - Custos despesas indiretos'!$B$5:$B$148,"Despesas",'B3 - Custos despesas indiretos'!$D$5:$D$148,$A80)</f>
        <v>-58124.800000000003</v>
      </c>
      <c r="U87" s="710">
        <f>-SUMIFS('B3 - Custos despesas indiretos'!BD$5:BD$148,'B3 - Custos despesas indiretos'!$B$5:$B$148,"Despesas",'B3 - Custos despesas indiretos'!$D$5:$D$148,$A80)</f>
        <v>-59819.6</v>
      </c>
      <c r="V87" s="710">
        <f>-SUMIFS('B3 - Custos despesas indiretos'!BE$5:BE$148,'B3 - Custos despesas indiretos'!$B$5:$B$148,"Despesas",'B3 - Custos despesas indiretos'!$D$5:$D$148,$A80)</f>
        <v>-59819.6</v>
      </c>
      <c r="W87" s="710">
        <f>-SUMIFS('B3 - Custos despesas indiretos'!BF$5:BF$148,'B3 - Custos despesas indiretos'!$B$5:$B$148,"Despesas",'B3 - Custos despesas indiretos'!$D$5:$D$148,$A80)</f>
        <v>-59819.6</v>
      </c>
      <c r="X87" s="710">
        <f>-SUMIFS('B3 - Custos despesas indiretos'!BG$5:BG$148,'B3 - Custos despesas indiretos'!$B$5:$B$148,"Despesas",'B3 - Custos despesas indiretos'!$D$5:$D$148,$A80)</f>
        <v>-59819.6</v>
      </c>
      <c r="Y87" s="710">
        <f>-SUMIFS('B3 - Custos despesas indiretos'!BH$5:BH$148,'B3 - Custos despesas indiretos'!$B$5:$B$148,"Despesas",'B3 - Custos despesas indiretos'!$D$5:$D$148,$A80)</f>
        <v>-59819.6</v>
      </c>
      <c r="Z87" s="710">
        <f>-SUMIFS('B3 - Custos despesas indiretos'!BI$5:BI$148,'B3 - Custos despesas indiretos'!$B$5:$B$148,"Despesas",'B3 - Custos despesas indiretos'!$D$5:$D$148,$A80)</f>
        <v>-59819.6</v>
      </c>
      <c r="AA87" s="710">
        <f>-SUMIFS('B3 - Custos despesas indiretos'!BJ$5:BJ$148,'B3 - Custos despesas indiretos'!$B$5:$B$148,"Despesas",'B3 - Custos despesas indiretos'!$D$5:$D$148,$A80)</f>
        <v>-59819.6</v>
      </c>
      <c r="AB87" s="710">
        <f>-SUMIFS('B3 - Custos despesas indiretos'!BK$5:BK$148,'B3 - Custos despesas indiretos'!$B$5:$B$148,"Despesas",'B3 - Custos despesas indiretos'!$D$5:$D$148,$A80)</f>
        <v>-59819.6</v>
      </c>
      <c r="AC87" s="710">
        <f>-SUMIFS('B3 - Custos despesas indiretos'!BL$5:BL$148,'B3 - Custos despesas indiretos'!$B$5:$B$148,"Despesas",'B3 - Custos despesas indiretos'!$D$5:$D$148,$A80)</f>
        <v>-59819.6</v>
      </c>
      <c r="AD87" s="710">
        <f>-SUMIFS('B3 - Custos despesas indiretos'!BM$5:BM$148,'B3 - Custos despesas indiretos'!$B$5:$B$148,"Despesas",'B3 - Custos despesas indiretos'!$D$5:$D$148,$A80)</f>
        <v>-59819.6</v>
      </c>
      <c r="AE87" s="710">
        <f>-SUMIFS('B3 - Custos despesas indiretos'!BN$5:BN$148,'B3 - Custos despesas indiretos'!$B$5:$B$148,"Despesas",'B3 - Custos despesas indiretos'!$D$5:$D$148,$A80)</f>
        <v>-59819.6</v>
      </c>
      <c r="AF87" s="594"/>
      <c r="AG87" s="594"/>
      <c r="AH87" s="594"/>
      <c r="AI87" s="594"/>
      <c r="AJ87" s="594"/>
      <c r="AK87" s="594"/>
      <c r="AL87" s="594"/>
      <c r="AM87" s="594"/>
      <c r="AN87" s="594"/>
      <c r="AO87" s="594"/>
      <c r="AP87" s="594"/>
      <c r="AQ87" s="594"/>
      <c r="AR87" s="594"/>
      <c r="AS87" s="594"/>
      <c r="AT87" s="594"/>
      <c r="AU87" s="594"/>
      <c r="AV87" s="594"/>
      <c r="AW87" s="594"/>
      <c r="AX87" s="594"/>
      <c r="AY87" s="594"/>
      <c r="AZ87" s="594"/>
      <c r="BA87" s="594"/>
      <c r="BB87" s="594"/>
      <c r="BC87" s="594"/>
      <c r="BD87" s="594"/>
      <c r="BE87" s="594"/>
      <c r="BF87" s="594"/>
      <c r="BG87" s="594"/>
      <c r="BH87" s="594"/>
      <c r="BI87" s="594"/>
      <c r="BJ87" s="594"/>
      <c r="BK87" s="594"/>
      <c r="BL87" s="57"/>
      <c r="BM87" s="594"/>
      <c r="BN87" s="594"/>
      <c r="BO87" s="594"/>
      <c r="BP87" s="594"/>
      <c r="BQ87" s="594"/>
      <c r="BR87" s="594"/>
      <c r="BS87" s="594"/>
      <c r="BT87" s="594"/>
      <c r="BU87" s="594"/>
      <c r="BV87" s="594"/>
      <c r="BW87" s="594"/>
      <c r="BX87" s="594"/>
      <c r="BY87" s="594"/>
      <c r="BZ87" s="594"/>
      <c r="CA87" s="594"/>
      <c r="CB87" s="594"/>
      <c r="CC87" s="594"/>
      <c r="CD87" s="594"/>
      <c r="CE87" s="594"/>
      <c r="CF87" s="594"/>
      <c r="CG87" s="594"/>
      <c r="CH87" s="594"/>
      <c r="CI87" s="594"/>
      <c r="CJ87" s="594"/>
      <c r="CK87" s="594"/>
      <c r="CL87" s="594"/>
      <c r="CM87" s="594"/>
      <c r="CN87" s="594"/>
      <c r="CO87" s="594"/>
      <c r="CP87" s="594"/>
      <c r="CQ87" s="594"/>
    </row>
    <row r="88" spans="1:95" ht="21" hidden="1" customHeight="1" outlineLevel="2">
      <c r="A88" s="709" t="s">
        <v>686</v>
      </c>
      <c r="B88" s="710">
        <f>-SUMIF('D2 - Capex uso'!$C$6:$C$176,$A80,'D2 - Capex uso'!GI$6:GI$176)</f>
        <v>-13017.884</v>
      </c>
      <c r="C88" s="710">
        <f>-SUMIF('D2 - Capex uso'!$C$6:$C$176,$A80,'D2 - Capex uso'!GJ$6:GJ$176)</f>
        <v>-13017.884</v>
      </c>
      <c r="D88" s="710">
        <f>-SUMIF('D2 - Capex uso'!$C$6:$C$176,$A80,'D2 - Capex uso'!GK$6:GK$176)</f>
        <v>-13017.884</v>
      </c>
      <c r="E88" s="710">
        <f>-SUMIF('D2 - Capex uso'!$C$6:$C$176,$A80,'D2 - Capex uso'!GL$6:GL$176)</f>
        <v>-13017.884</v>
      </c>
      <c r="F88" s="710">
        <f>-SUMIF('D2 - Capex uso'!$C$6:$C$176,$A80,'D2 - Capex uso'!GM$6:GM$176)</f>
        <v>-13017.884</v>
      </c>
      <c r="G88" s="710">
        <f>-SUMIF('D2 - Capex uso'!$C$6:$C$176,$A80,'D2 - Capex uso'!GN$6:GN$176)</f>
        <v>-13017.884</v>
      </c>
      <c r="H88" s="710">
        <f>-SUMIF('D2 - Capex uso'!$C$6:$C$176,$A80,'D2 - Capex uso'!GO$6:GO$176)</f>
        <v>-13017.884</v>
      </c>
      <c r="I88" s="710">
        <f>-SUMIF('D2 - Capex uso'!$C$6:$C$176,$A80,'D2 - Capex uso'!GP$6:GP$176)</f>
        <v>-13017.884</v>
      </c>
      <c r="J88" s="710">
        <f>-SUMIF('D2 - Capex uso'!$C$6:$C$176,$A80,'D2 - Capex uso'!GQ$6:GQ$176)</f>
        <v>-13017.884</v>
      </c>
      <c r="K88" s="710">
        <f>-SUMIF('D2 - Capex uso'!$C$6:$C$176,$A80,'D2 - Capex uso'!GR$6:GR$176)</f>
        <v>-13017.884</v>
      </c>
      <c r="L88" s="710">
        <f>-SUMIF('D2 - Capex uso'!$C$6:$C$176,$A80,'D2 - Capex uso'!GS$6:GS$176)</f>
        <v>-13017.884</v>
      </c>
      <c r="M88" s="710">
        <f>-SUMIF('D2 - Capex uso'!$C$6:$C$176,$A80,'D2 - Capex uso'!GT$6:GT$176)</f>
        <v>-13017.884</v>
      </c>
      <c r="N88" s="710">
        <f>-SUMIF('D2 - Capex uso'!$C$6:$C$176,$A80,'D2 - Capex uso'!GU$6:GU$176)</f>
        <v>-13017.884</v>
      </c>
      <c r="O88" s="710">
        <f>-SUMIF('D2 - Capex uso'!$C$6:$C$176,$A80,'D2 - Capex uso'!GV$6:GV$176)</f>
        <v>-13017.884</v>
      </c>
      <c r="P88" s="710">
        <f>-SUMIF('D2 - Capex uso'!$C$6:$C$176,$A80,'D2 - Capex uso'!GW$6:GW$176)</f>
        <v>-13017.884</v>
      </c>
      <c r="Q88" s="710">
        <f>-SUMIF('D2 - Capex uso'!$C$6:$C$176,$A80,'D2 - Capex uso'!GX$6:GX$176)</f>
        <v>-13017.884</v>
      </c>
      <c r="R88" s="710">
        <f>-SUMIF('D2 - Capex uso'!$C$6:$C$176,$A80,'D2 - Capex uso'!GY$6:GY$176)</f>
        <v>-13017.884</v>
      </c>
      <c r="S88" s="710">
        <f>-SUMIF('D2 - Capex uso'!$C$6:$C$176,$A80,'D2 - Capex uso'!GZ$6:GZ$176)</f>
        <v>-13017.884</v>
      </c>
      <c r="T88" s="710">
        <f>-SUMIF('D2 - Capex uso'!$C$6:$C$176,$A80,'D2 - Capex uso'!HA$6:HA$176)</f>
        <v>-13017.884</v>
      </c>
      <c r="U88" s="710">
        <f>-SUMIF('D2 - Capex uso'!$C$6:$C$176,$A80,'D2 - Capex uso'!HB$6:HB$176)</f>
        <v>-13017.884</v>
      </c>
      <c r="V88" s="710">
        <f>-SUMIF('D2 - Capex uso'!$C$6:$C$176,$A80,'D2 - Capex uso'!HC$6:HC$176)</f>
        <v>-13017.884</v>
      </c>
      <c r="W88" s="710">
        <f>-SUMIF('D2 - Capex uso'!$C$6:$C$176,$A80,'D2 - Capex uso'!HD$6:HD$176)</f>
        <v>-13017.884</v>
      </c>
      <c r="X88" s="710">
        <f>-SUMIF('D2 - Capex uso'!$C$6:$C$176,$A80,'D2 - Capex uso'!HE$6:HE$176)</f>
        <v>-13017.884</v>
      </c>
      <c r="Y88" s="710">
        <f>-SUMIF('D2 - Capex uso'!$C$6:$C$176,$A80,'D2 - Capex uso'!HF$6:HF$176)</f>
        <v>-13017.884</v>
      </c>
      <c r="Z88" s="710">
        <f>-SUMIF('D2 - Capex uso'!$C$6:$C$176,$A80,'D2 - Capex uso'!HG$6:HG$176)</f>
        <v>-13017.884</v>
      </c>
      <c r="AA88" s="710">
        <f>-SUMIF('D2 - Capex uso'!$C$6:$C$176,$A80,'D2 - Capex uso'!HH$6:HH$176)</f>
        <v>-13017.884</v>
      </c>
      <c r="AB88" s="710">
        <f>-SUMIF('D2 - Capex uso'!$C$6:$C$176,$A80,'D2 - Capex uso'!HI$6:HI$176)</f>
        <v>-13017.884</v>
      </c>
      <c r="AC88" s="710">
        <f>-SUMIF('D2 - Capex uso'!$C$6:$C$176,$A80,'D2 - Capex uso'!HJ$6:HJ$176)</f>
        <v>-13017.884</v>
      </c>
      <c r="AD88" s="710">
        <f>-SUMIF('D2 - Capex uso'!$C$6:$C$176,$A80,'D2 - Capex uso'!HK$6:HK$176)</f>
        <v>-13017.884</v>
      </c>
      <c r="AE88" s="710">
        <f>-SUMIF('D2 - Capex uso'!$C$6:$C$176,$A80,'D2 - Capex uso'!HL$6:HL$176)</f>
        <v>-13017.884</v>
      </c>
      <c r="AF88" s="594"/>
      <c r="AG88" s="594"/>
      <c r="AH88" s="594"/>
      <c r="AI88" s="594"/>
      <c r="AJ88" s="594"/>
      <c r="AK88" s="594"/>
      <c r="AL88" s="594"/>
      <c r="AM88" s="594"/>
      <c r="AN88" s="594"/>
      <c r="AO88" s="594"/>
      <c r="AP88" s="594"/>
      <c r="AQ88" s="594"/>
      <c r="AR88" s="594"/>
      <c r="AS88" s="594"/>
      <c r="AT88" s="594"/>
      <c r="AU88" s="594"/>
      <c r="AV88" s="594"/>
      <c r="AW88" s="594"/>
      <c r="AX88" s="594"/>
      <c r="AY88" s="594"/>
      <c r="AZ88" s="594"/>
      <c r="BA88" s="594"/>
      <c r="BB88" s="594"/>
      <c r="BC88" s="594"/>
      <c r="BD88" s="594"/>
      <c r="BE88" s="594"/>
      <c r="BF88" s="594"/>
      <c r="BG88" s="594"/>
      <c r="BH88" s="594"/>
      <c r="BI88" s="594"/>
      <c r="BJ88" s="594"/>
      <c r="BK88" s="594"/>
      <c r="BL88" s="57"/>
      <c r="BM88" s="594"/>
      <c r="BN88" s="594"/>
      <c r="BO88" s="594"/>
      <c r="BP88" s="594"/>
      <c r="BQ88" s="594"/>
      <c r="BR88" s="594"/>
      <c r="BS88" s="594"/>
      <c r="BT88" s="594"/>
      <c r="BU88" s="594"/>
      <c r="BV88" s="594"/>
      <c r="BW88" s="594"/>
      <c r="BX88" s="594"/>
      <c r="BY88" s="594"/>
      <c r="BZ88" s="594"/>
      <c r="CA88" s="594"/>
      <c r="CB88" s="594"/>
      <c r="CC88" s="594"/>
      <c r="CD88" s="594"/>
      <c r="CE88" s="594"/>
      <c r="CF88" s="594"/>
      <c r="CG88" s="594"/>
      <c r="CH88" s="594"/>
      <c r="CI88" s="594"/>
      <c r="CJ88" s="594"/>
      <c r="CK88" s="594"/>
      <c r="CL88" s="594"/>
      <c r="CM88" s="594"/>
      <c r="CN88" s="594"/>
      <c r="CO88" s="594"/>
      <c r="CP88" s="594"/>
      <c r="CQ88" s="594"/>
    </row>
    <row r="89" spans="1:95" ht="21" hidden="1" customHeight="1" outlineLevel="1">
      <c r="A89" s="708" t="s">
        <v>687</v>
      </c>
      <c r="B89" s="707">
        <f t="shared" ref="B89:AE89" si="28">SUM(B81:B83)</f>
        <v>-19984.383999999998</v>
      </c>
      <c r="C89" s="707">
        <f t="shared" si="28"/>
        <v>858965.33151231951</v>
      </c>
      <c r="D89" s="707">
        <f t="shared" si="28"/>
        <v>898866.06936671375</v>
      </c>
      <c r="E89" s="707">
        <f t="shared" si="28"/>
        <v>937498.22529250174</v>
      </c>
      <c r="F89" s="707">
        <f t="shared" si="28"/>
        <v>976758.53123411408</v>
      </c>
      <c r="G89" s="707">
        <f t="shared" si="28"/>
        <v>1016700.2089706466</v>
      </c>
      <c r="H89" s="707">
        <f t="shared" si="28"/>
        <v>1057776.4548359965</v>
      </c>
      <c r="I89" s="707">
        <f t="shared" si="28"/>
        <v>1100043.1993102746</v>
      </c>
      <c r="J89" s="707">
        <f t="shared" si="28"/>
        <v>1143084.4236802398</v>
      </c>
      <c r="K89" s="707">
        <f t="shared" si="28"/>
        <v>1186915.5598692237</v>
      </c>
      <c r="L89" s="707">
        <f t="shared" si="28"/>
        <v>1232134.9119084787</v>
      </c>
      <c r="M89" s="707">
        <f t="shared" si="28"/>
        <v>1278703.8969245122</v>
      </c>
      <c r="N89" s="707">
        <f t="shared" si="28"/>
        <v>1326756.8166103021</v>
      </c>
      <c r="O89" s="707">
        <f t="shared" si="28"/>
        <v>1376252.3771108359</v>
      </c>
      <c r="P89" s="707">
        <f t="shared" si="28"/>
        <v>1427244.7952694918</v>
      </c>
      <c r="Q89" s="707">
        <f t="shared" si="28"/>
        <v>1479640.555841642</v>
      </c>
      <c r="R89" s="707">
        <f t="shared" si="28"/>
        <v>1533359.2891310453</v>
      </c>
      <c r="S89" s="707">
        <f t="shared" si="28"/>
        <v>1588226.3278224315</v>
      </c>
      <c r="T89" s="707">
        <f t="shared" si="28"/>
        <v>1644109.027654445</v>
      </c>
      <c r="U89" s="707">
        <f t="shared" si="28"/>
        <v>1700727.2675072798</v>
      </c>
      <c r="V89" s="707">
        <f t="shared" si="28"/>
        <v>1700727.2675072798</v>
      </c>
      <c r="W89" s="707">
        <f t="shared" si="28"/>
        <v>1700727.2675072798</v>
      </c>
      <c r="X89" s="707">
        <f t="shared" si="28"/>
        <v>1700727.2675072798</v>
      </c>
      <c r="Y89" s="707">
        <f t="shared" si="28"/>
        <v>1700727.2675072798</v>
      </c>
      <c r="Z89" s="707">
        <f t="shared" si="28"/>
        <v>1700727.2675072798</v>
      </c>
      <c r="AA89" s="707">
        <f t="shared" si="28"/>
        <v>1700727.2675072798</v>
      </c>
      <c r="AB89" s="707">
        <f t="shared" si="28"/>
        <v>1700727.2675072798</v>
      </c>
      <c r="AC89" s="707">
        <f t="shared" si="28"/>
        <v>1700727.2675072798</v>
      </c>
      <c r="AD89" s="707">
        <f t="shared" si="28"/>
        <v>1700727.2675072798</v>
      </c>
      <c r="AE89" s="707">
        <f t="shared" si="28"/>
        <v>1700727.2675072798</v>
      </c>
      <c r="AF89" s="594"/>
      <c r="AG89" s="594"/>
      <c r="AH89" s="594"/>
      <c r="AI89" s="594"/>
      <c r="AJ89" s="594"/>
      <c r="AK89" s="594"/>
      <c r="AL89" s="594"/>
      <c r="AM89" s="594"/>
      <c r="AN89" s="594"/>
      <c r="AO89" s="594"/>
      <c r="AP89" s="594"/>
      <c r="AQ89" s="594"/>
      <c r="AR89" s="594"/>
      <c r="AS89" s="594"/>
      <c r="AT89" s="594"/>
      <c r="AU89" s="594"/>
      <c r="AV89" s="594"/>
      <c r="AW89" s="594"/>
      <c r="AX89" s="594"/>
      <c r="AY89" s="594"/>
      <c r="AZ89" s="594"/>
      <c r="BA89" s="594"/>
      <c r="BB89" s="594"/>
      <c r="BC89" s="594"/>
      <c r="BD89" s="594"/>
      <c r="BE89" s="594"/>
      <c r="BF89" s="594"/>
      <c r="BG89" s="594"/>
      <c r="BH89" s="594"/>
      <c r="BI89" s="594"/>
      <c r="BJ89" s="594"/>
      <c r="BK89" s="594"/>
      <c r="BL89" s="57"/>
      <c r="BM89" s="594"/>
      <c r="BN89" s="594"/>
      <c r="BO89" s="594"/>
      <c r="BP89" s="594"/>
      <c r="BQ89" s="594"/>
      <c r="BR89" s="594"/>
      <c r="BS89" s="594"/>
      <c r="BT89" s="594"/>
      <c r="BU89" s="594"/>
      <c r="BV89" s="594"/>
      <c r="BW89" s="594"/>
      <c r="BX89" s="594"/>
      <c r="BY89" s="594"/>
      <c r="BZ89" s="594"/>
      <c r="CA89" s="594"/>
      <c r="CB89" s="594"/>
      <c r="CC89" s="594"/>
      <c r="CD89" s="594"/>
      <c r="CE89" s="594"/>
      <c r="CF89" s="594"/>
      <c r="CG89" s="594"/>
      <c r="CH89" s="594"/>
      <c r="CI89" s="594"/>
      <c r="CJ89" s="594"/>
      <c r="CK89" s="594"/>
      <c r="CL89" s="594"/>
      <c r="CM89" s="594"/>
      <c r="CN89" s="594"/>
      <c r="CO89" s="594"/>
      <c r="CP89" s="594"/>
      <c r="CQ89" s="594"/>
    </row>
    <row r="90" spans="1:95" ht="19.5" hidden="1" customHeight="1" outlineLevel="1">
      <c r="A90" s="708" t="s">
        <v>688</v>
      </c>
      <c r="B90" s="707">
        <f t="shared" ref="B90:AE90" si="29">SUM(B91:B98)</f>
        <v>-260357.68000000002</v>
      </c>
      <c r="C90" s="707">
        <f t="shared" si="29"/>
        <v>0</v>
      </c>
      <c r="D90" s="707">
        <f t="shared" si="29"/>
        <v>0</v>
      </c>
      <c r="E90" s="707">
        <f t="shared" si="29"/>
        <v>0</v>
      </c>
      <c r="F90" s="707">
        <f t="shared" si="29"/>
        <v>0</v>
      </c>
      <c r="G90" s="707">
        <f t="shared" si="29"/>
        <v>0</v>
      </c>
      <c r="H90" s="707">
        <f t="shared" si="29"/>
        <v>0</v>
      </c>
      <c r="I90" s="707">
        <f t="shared" si="29"/>
        <v>0</v>
      </c>
      <c r="J90" s="707">
        <f t="shared" si="29"/>
        <v>0</v>
      </c>
      <c r="K90" s="707">
        <f t="shared" si="29"/>
        <v>0</v>
      </c>
      <c r="L90" s="707">
        <f t="shared" si="29"/>
        <v>-182062.21000000002</v>
      </c>
      <c r="M90" s="707">
        <f t="shared" si="29"/>
        <v>0</v>
      </c>
      <c r="N90" s="707">
        <f t="shared" si="29"/>
        <v>0</v>
      </c>
      <c r="O90" s="707">
        <f t="shared" si="29"/>
        <v>0</v>
      </c>
      <c r="P90" s="707">
        <f t="shared" si="29"/>
        <v>0</v>
      </c>
      <c r="Q90" s="707">
        <f t="shared" si="29"/>
        <v>0</v>
      </c>
      <c r="R90" s="707">
        <f t="shared" si="29"/>
        <v>0</v>
      </c>
      <c r="S90" s="707">
        <f t="shared" si="29"/>
        <v>0</v>
      </c>
      <c r="T90" s="707">
        <f t="shared" si="29"/>
        <v>0</v>
      </c>
      <c r="U90" s="707">
        <f t="shared" si="29"/>
        <v>0</v>
      </c>
      <c r="V90" s="707">
        <f t="shared" si="29"/>
        <v>-182062.21000000002</v>
      </c>
      <c r="W90" s="707">
        <f t="shared" si="29"/>
        <v>0</v>
      </c>
      <c r="X90" s="707">
        <f t="shared" si="29"/>
        <v>0</v>
      </c>
      <c r="Y90" s="707">
        <f t="shared" si="29"/>
        <v>0</v>
      </c>
      <c r="Z90" s="707">
        <f t="shared" si="29"/>
        <v>0</v>
      </c>
      <c r="AA90" s="707">
        <f t="shared" si="29"/>
        <v>0</v>
      </c>
      <c r="AB90" s="707">
        <f t="shared" si="29"/>
        <v>0</v>
      </c>
      <c r="AC90" s="707">
        <f t="shared" si="29"/>
        <v>0</v>
      </c>
      <c r="AD90" s="707">
        <f t="shared" si="29"/>
        <v>0</v>
      </c>
      <c r="AE90" s="707">
        <f t="shared" si="29"/>
        <v>0</v>
      </c>
      <c r="AF90" s="594"/>
      <c r="AG90" s="594"/>
      <c r="AH90" s="594"/>
      <c r="AI90" s="594"/>
      <c r="AJ90" s="594"/>
      <c r="AK90" s="594"/>
      <c r="AL90" s="594"/>
      <c r="AM90" s="594"/>
      <c r="AN90" s="594"/>
      <c r="AO90" s="594"/>
      <c r="AP90" s="594"/>
      <c r="AQ90" s="594"/>
      <c r="AR90" s="594"/>
      <c r="AS90" s="594"/>
      <c r="AT90" s="594"/>
      <c r="AU90" s="594"/>
      <c r="AV90" s="594"/>
      <c r="AW90" s="594"/>
      <c r="AX90" s="594"/>
      <c r="AY90" s="594"/>
      <c r="AZ90" s="594"/>
      <c r="BA90" s="594"/>
      <c r="BB90" s="594"/>
      <c r="BC90" s="594"/>
      <c r="BD90" s="594"/>
      <c r="BE90" s="594"/>
      <c r="BF90" s="594"/>
      <c r="BG90" s="594"/>
      <c r="BH90" s="594"/>
      <c r="BI90" s="594"/>
      <c r="BJ90" s="594"/>
      <c r="BK90" s="594"/>
      <c r="BL90" s="57"/>
      <c r="BM90" s="594"/>
      <c r="BN90" s="594"/>
      <c r="BO90" s="594"/>
      <c r="BP90" s="594"/>
      <c r="BQ90" s="594"/>
      <c r="BR90" s="594"/>
      <c r="BS90" s="594"/>
      <c r="BT90" s="594"/>
      <c r="BU90" s="594"/>
      <c r="BV90" s="594"/>
      <c r="BW90" s="594"/>
      <c r="BX90" s="594"/>
      <c r="BY90" s="594"/>
      <c r="BZ90" s="594"/>
      <c r="CA90" s="594"/>
      <c r="CB90" s="594"/>
      <c r="CC90" s="594"/>
      <c r="CD90" s="594"/>
      <c r="CE90" s="594"/>
      <c r="CF90" s="594"/>
      <c r="CG90" s="594"/>
      <c r="CH90" s="594"/>
      <c r="CI90" s="594"/>
      <c r="CJ90" s="594"/>
      <c r="CK90" s="594"/>
      <c r="CL90" s="594"/>
      <c r="CM90" s="594"/>
      <c r="CN90" s="594"/>
      <c r="CO90" s="594"/>
      <c r="CP90" s="594"/>
      <c r="CQ90" s="594"/>
    </row>
    <row r="91" spans="1:95" ht="19.5" hidden="1" customHeight="1" outlineLevel="2">
      <c r="A91" s="709" t="s">
        <v>354</v>
      </c>
      <c r="B91" s="710">
        <f>-SUMIFS('D2 - Capex uso'!BS$6:BS$176,'D2 - Capex uso'!$C$6:$C$176,$A80,'D2 - Capex uso'!$AK$6:$AK$176,$A91)</f>
        <v>-78295.47</v>
      </c>
      <c r="C91" s="710">
        <f>-SUMIFS('D2 - Capex uso'!BT$6:BT$176,'D2 - Capex uso'!$C$6:$C$176,$A80,'D2 - Capex uso'!$AK$6:$AK$176,$A91)</f>
        <v>0</v>
      </c>
      <c r="D91" s="710">
        <f>-SUMIFS('D2 - Capex uso'!BU$6:BU$176,'D2 - Capex uso'!$C$6:$C$176,$A80,'D2 - Capex uso'!$AK$6:$AK$176,$A91)</f>
        <v>0</v>
      </c>
      <c r="E91" s="710">
        <f>-SUMIFS('D2 - Capex uso'!BV$6:BV$176,'D2 - Capex uso'!$C$6:$C$176,$A80,'D2 - Capex uso'!$AK$6:$AK$176,$A91)</f>
        <v>0</v>
      </c>
      <c r="F91" s="710">
        <f>-SUMIFS('D2 - Capex uso'!BW$6:BW$176,'D2 - Capex uso'!$C$6:$C$176,$A80,'D2 - Capex uso'!$AK$6:$AK$176,$A91)</f>
        <v>0</v>
      </c>
      <c r="G91" s="710">
        <f>-SUMIFS('D2 - Capex uso'!BX$6:BX$176,'D2 - Capex uso'!$C$6:$C$176,$A80,'D2 - Capex uso'!$AK$6:$AK$176,$A91)</f>
        <v>0</v>
      </c>
      <c r="H91" s="710">
        <f>-SUMIFS('D2 - Capex uso'!BY$6:BY$176,'D2 - Capex uso'!$C$6:$C$176,$A80,'D2 - Capex uso'!$AK$6:$AK$176,$A91)</f>
        <v>0</v>
      </c>
      <c r="I91" s="710">
        <f>-SUMIFS('D2 - Capex uso'!BZ$6:BZ$176,'D2 - Capex uso'!$C$6:$C$176,$A80,'D2 - Capex uso'!$AK$6:$AK$176,$A91)</f>
        <v>0</v>
      </c>
      <c r="J91" s="710">
        <f>-SUMIFS('D2 - Capex uso'!CA$6:CA$176,'D2 - Capex uso'!$C$6:$C$176,$A80,'D2 - Capex uso'!$AK$6:$AK$176,$A91)</f>
        <v>0</v>
      </c>
      <c r="K91" s="710">
        <f>-SUMIFS('D2 - Capex uso'!CB$6:CB$176,'D2 - Capex uso'!$C$6:$C$176,$A80,'D2 - Capex uso'!$AK$6:$AK$176,$A91)</f>
        <v>0</v>
      </c>
      <c r="L91" s="710">
        <f>-SUMIFS('D2 - Capex uso'!CC$6:CC$176,'D2 - Capex uso'!$C$6:$C$176,$A80,'D2 - Capex uso'!$AK$6:$AK$176,$A91)</f>
        <v>0</v>
      </c>
      <c r="M91" s="710">
        <f>-SUMIFS('D2 - Capex uso'!CD$6:CD$176,'D2 - Capex uso'!$C$6:$C$176,$A80,'D2 - Capex uso'!$AK$6:$AK$176,$A91)</f>
        <v>0</v>
      </c>
      <c r="N91" s="710">
        <f>-SUMIFS('D2 - Capex uso'!CE$6:CE$176,'D2 - Capex uso'!$C$6:$C$176,$A80,'D2 - Capex uso'!$AK$6:$AK$176,$A91)</f>
        <v>0</v>
      </c>
      <c r="O91" s="710">
        <f>-SUMIFS('D2 - Capex uso'!CF$6:CF$176,'D2 - Capex uso'!$C$6:$C$176,$A80,'D2 - Capex uso'!$AK$6:$AK$176,$A91)</f>
        <v>0</v>
      </c>
      <c r="P91" s="710">
        <f>-SUMIFS('D2 - Capex uso'!CG$6:CG$176,'D2 - Capex uso'!$C$6:$C$176,$A80,'D2 - Capex uso'!$AK$6:$AK$176,$A91)</f>
        <v>0</v>
      </c>
      <c r="Q91" s="710">
        <f>-SUMIFS('D2 - Capex uso'!CH$6:CH$176,'D2 - Capex uso'!$C$6:$C$176,$A80,'D2 - Capex uso'!$AK$6:$AK$176,$A91)</f>
        <v>0</v>
      </c>
      <c r="R91" s="710">
        <f>-SUMIFS('D2 - Capex uso'!CI$6:CI$176,'D2 - Capex uso'!$C$6:$C$176,$A80,'D2 - Capex uso'!$AK$6:$AK$176,$A91)</f>
        <v>0</v>
      </c>
      <c r="S91" s="710">
        <f>-SUMIFS('D2 - Capex uso'!CJ$6:CJ$176,'D2 - Capex uso'!$C$6:$C$176,$A80,'D2 - Capex uso'!$AK$6:$AK$176,$A91)</f>
        <v>0</v>
      </c>
      <c r="T91" s="710">
        <f>-SUMIFS('D2 - Capex uso'!CK$6:CK$176,'D2 - Capex uso'!$C$6:$C$176,$A80,'D2 - Capex uso'!$AK$6:$AK$176,$A91)</f>
        <v>0</v>
      </c>
      <c r="U91" s="710">
        <f>-SUMIFS('D2 - Capex uso'!CL$6:CL$176,'D2 - Capex uso'!$C$6:$C$176,$A80,'D2 - Capex uso'!$AK$6:$AK$176,$A91)</f>
        <v>0</v>
      </c>
      <c r="V91" s="710">
        <f>-SUMIFS('D2 - Capex uso'!CM$6:CM$176,'D2 - Capex uso'!$C$6:$C$176,$A80,'D2 - Capex uso'!$AK$6:$AK$176,$A91)</f>
        <v>0</v>
      </c>
      <c r="W91" s="710">
        <f>-SUMIFS('D2 - Capex uso'!CN$6:CN$176,'D2 - Capex uso'!$C$6:$C$176,$A80,'D2 - Capex uso'!$AK$6:$AK$176,$A91)</f>
        <v>0</v>
      </c>
      <c r="X91" s="710">
        <f>-SUMIFS('D2 - Capex uso'!CO$6:CO$176,'D2 - Capex uso'!$C$6:$C$176,$A80,'D2 - Capex uso'!$AK$6:$AK$176,$A91)</f>
        <v>0</v>
      </c>
      <c r="Y91" s="710">
        <f>-SUMIFS('D2 - Capex uso'!CP$6:CP$176,'D2 - Capex uso'!$C$6:$C$176,$A80,'D2 - Capex uso'!$AK$6:$AK$176,$A91)</f>
        <v>0</v>
      </c>
      <c r="Z91" s="710">
        <f>-SUMIFS('D2 - Capex uso'!CQ$6:CQ$176,'D2 - Capex uso'!$C$6:$C$176,$A80,'D2 - Capex uso'!$AK$6:$AK$176,$A91)</f>
        <v>0</v>
      </c>
      <c r="AA91" s="710">
        <f>-SUMIFS('D2 - Capex uso'!CR$6:CR$176,'D2 - Capex uso'!$C$6:$C$176,$A80,'D2 - Capex uso'!$AK$6:$AK$176,$A91)</f>
        <v>0</v>
      </c>
      <c r="AB91" s="710">
        <f>-SUMIFS('D2 - Capex uso'!CS$6:CS$176,'D2 - Capex uso'!$C$6:$C$176,$A80,'D2 - Capex uso'!$AK$6:$AK$176,$A91)</f>
        <v>0</v>
      </c>
      <c r="AC91" s="710">
        <f>-SUMIFS('D2 - Capex uso'!CT$6:CT$176,'D2 - Capex uso'!$C$6:$C$176,$A80,'D2 - Capex uso'!$AK$6:$AK$176,$A91)</f>
        <v>0</v>
      </c>
      <c r="AD91" s="710">
        <f>-SUMIFS('D2 - Capex uso'!CU$6:CU$176,'D2 - Capex uso'!$C$6:$C$176,$A80,'D2 - Capex uso'!$AK$6:$AK$176,$A91)</f>
        <v>0</v>
      </c>
      <c r="AE91" s="710">
        <f>-SUMIFS('D2 - Capex uso'!CV$6:CV$176,'D2 - Capex uso'!$C$6:$C$176,$A80,'D2 - Capex uso'!$AK$6:$AK$176,$A91)</f>
        <v>0</v>
      </c>
      <c r="AF91" s="594"/>
      <c r="AG91" s="594"/>
      <c r="AH91" s="594"/>
      <c r="AI91" s="594"/>
      <c r="AJ91" s="594"/>
      <c r="AK91" s="594"/>
      <c r="AL91" s="594"/>
      <c r="AM91" s="594"/>
      <c r="AN91" s="594"/>
      <c r="AO91" s="594"/>
      <c r="AP91" s="594"/>
      <c r="AQ91" s="594"/>
      <c r="AR91" s="594"/>
      <c r="AS91" s="594"/>
      <c r="AT91" s="594"/>
      <c r="AU91" s="594"/>
      <c r="AV91" s="594"/>
      <c r="AW91" s="594"/>
      <c r="AX91" s="594"/>
      <c r="AY91" s="594"/>
      <c r="AZ91" s="594"/>
      <c r="BA91" s="594"/>
      <c r="BB91" s="594"/>
      <c r="BC91" s="594"/>
      <c r="BD91" s="594"/>
      <c r="BE91" s="594"/>
      <c r="BF91" s="594"/>
      <c r="BG91" s="594"/>
      <c r="BH91" s="594"/>
      <c r="BI91" s="594"/>
      <c r="BJ91" s="594"/>
      <c r="BK91" s="594"/>
      <c r="BL91" s="57"/>
      <c r="BM91" s="594"/>
      <c r="BN91" s="594"/>
      <c r="BO91" s="594"/>
      <c r="BP91" s="594"/>
      <c r="BQ91" s="594"/>
      <c r="BR91" s="594"/>
      <c r="BS91" s="594"/>
      <c r="BT91" s="594"/>
      <c r="BU91" s="594"/>
      <c r="BV91" s="594"/>
      <c r="BW91" s="594"/>
      <c r="BX91" s="594"/>
      <c r="BY91" s="594"/>
      <c r="BZ91" s="594"/>
      <c r="CA91" s="594"/>
      <c r="CB91" s="594"/>
      <c r="CC91" s="594"/>
      <c r="CD91" s="594"/>
      <c r="CE91" s="594"/>
      <c r="CF91" s="594"/>
      <c r="CG91" s="594"/>
      <c r="CH91" s="594"/>
      <c r="CI91" s="594"/>
      <c r="CJ91" s="594"/>
      <c r="CK91" s="594"/>
      <c r="CL91" s="594"/>
      <c r="CM91" s="594"/>
      <c r="CN91" s="594"/>
      <c r="CO91" s="594"/>
      <c r="CP91" s="594"/>
      <c r="CQ91" s="594"/>
    </row>
    <row r="92" spans="1:95" ht="19.5" hidden="1" customHeight="1" outlineLevel="2">
      <c r="A92" s="709" t="s">
        <v>689</v>
      </c>
      <c r="B92" s="710">
        <f>-SUMIFS('D2 - Capex uso'!BS$6:BS$176,'D2 - Capex uso'!$C$6:$C$176,$A80,'D2 - Capex uso'!$AK$6:$AK$176,$A92)</f>
        <v>0</v>
      </c>
      <c r="C92" s="710">
        <f>-SUMIFS('D2 - Capex uso'!BT$6:BT$176,'D2 - Capex uso'!$C$6:$C$176,$A80,'D2 - Capex uso'!$AK$6:$AK$176,$A92)</f>
        <v>0</v>
      </c>
      <c r="D92" s="710">
        <f>-SUMIFS('D2 - Capex uso'!BU$6:BU$176,'D2 - Capex uso'!$C$6:$C$176,$A80,'D2 - Capex uso'!$AK$6:$AK$176,$A92)</f>
        <v>0</v>
      </c>
      <c r="E92" s="710">
        <f>-SUMIFS('D2 - Capex uso'!BV$6:BV$176,'D2 - Capex uso'!$C$6:$C$176,$A80,'D2 - Capex uso'!$AK$6:$AK$176,$A92)</f>
        <v>0</v>
      </c>
      <c r="F92" s="710">
        <f>-SUMIFS('D2 - Capex uso'!BW$6:BW$176,'D2 - Capex uso'!$C$6:$C$176,$A80,'D2 - Capex uso'!$AK$6:$AK$176,$A92)</f>
        <v>0</v>
      </c>
      <c r="G92" s="710">
        <f>-SUMIFS('D2 - Capex uso'!BX$6:BX$176,'D2 - Capex uso'!$C$6:$C$176,$A80,'D2 - Capex uso'!$AK$6:$AK$176,$A92)</f>
        <v>0</v>
      </c>
      <c r="H92" s="710">
        <f>-SUMIFS('D2 - Capex uso'!BY$6:BY$176,'D2 - Capex uso'!$C$6:$C$176,$A80,'D2 - Capex uso'!$AK$6:$AK$176,$A92)</f>
        <v>0</v>
      </c>
      <c r="I92" s="710">
        <f>-SUMIFS('D2 - Capex uso'!BZ$6:BZ$176,'D2 - Capex uso'!$C$6:$C$176,$A80,'D2 - Capex uso'!$AK$6:$AK$176,$A92)</f>
        <v>0</v>
      </c>
      <c r="J92" s="710">
        <f>-SUMIFS('D2 - Capex uso'!CA$6:CA$176,'D2 - Capex uso'!$C$6:$C$176,$A80,'D2 - Capex uso'!$AK$6:$AK$176,$A92)</f>
        <v>0</v>
      </c>
      <c r="K92" s="710">
        <f>-SUMIFS('D2 - Capex uso'!CB$6:CB$176,'D2 - Capex uso'!$C$6:$C$176,$A80,'D2 - Capex uso'!$AK$6:$AK$176,$A92)</f>
        <v>0</v>
      </c>
      <c r="L92" s="710">
        <f>-SUMIFS('D2 - Capex uso'!CC$6:CC$176,'D2 - Capex uso'!$C$6:$C$176,$A80,'D2 - Capex uso'!$AK$6:$AK$176,$A92)</f>
        <v>0</v>
      </c>
      <c r="M92" s="710">
        <f>-SUMIFS('D2 - Capex uso'!CD$6:CD$176,'D2 - Capex uso'!$C$6:$C$176,$A80,'D2 - Capex uso'!$AK$6:$AK$176,$A92)</f>
        <v>0</v>
      </c>
      <c r="N92" s="710">
        <f>-SUMIFS('D2 - Capex uso'!CE$6:CE$176,'D2 - Capex uso'!$C$6:$C$176,$A80,'D2 - Capex uso'!$AK$6:$AK$176,$A92)</f>
        <v>0</v>
      </c>
      <c r="O92" s="710">
        <f>-SUMIFS('D2 - Capex uso'!CF$6:CF$176,'D2 - Capex uso'!$C$6:$C$176,$A80,'D2 - Capex uso'!$AK$6:$AK$176,$A92)</f>
        <v>0</v>
      </c>
      <c r="P92" s="710">
        <f>-SUMIFS('D2 - Capex uso'!CG$6:CG$176,'D2 - Capex uso'!$C$6:$C$176,$A80,'D2 - Capex uso'!$AK$6:$AK$176,$A92)</f>
        <v>0</v>
      </c>
      <c r="Q92" s="710">
        <f>-SUMIFS('D2 - Capex uso'!CH$6:CH$176,'D2 - Capex uso'!$C$6:$C$176,$A80,'D2 - Capex uso'!$AK$6:$AK$176,$A92)</f>
        <v>0</v>
      </c>
      <c r="R92" s="710">
        <f>-SUMIFS('D2 - Capex uso'!CI$6:CI$176,'D2 - Capex uso'!$C$6:$C$176,$A80,'D2 - Capex uso'!$AK$6:$AK$176,$A92)</f>
        <v>0</v>
      </c>
      <c r="S92" s="710">
        <f>-SUMIFS('D2 - Capex uso'!CJ$6:CJ$176,'D2 - Capex uso'!$C$6:$C$176,$A80,'D2 - Capex uso'!$AK$6:$AK$176,$A92)</f>
        <v>0</v>
      </c>
      <c r="T92" s="710">
        <f>-SUMIFS('D2 - Capex uso'!CK$6:CK$176,'D2 - Capex uso'!$C$6:$C$176,$A80,'D2 - Capex uso'!$AK$6:$AK$176,$A92)</f>
        <v>0</v>
      </c>
      <c r="U92" s="710">
        <f>-SUMIFS('D2 - Capex uso'!CL$6:CL$176,'D2 - Capex uso'!$C$6:$C$176,$A80,'D2 - Capex uso'!$AK$6:$AK$176,$A92)</f>
        <v>0</v>
      </c>
      <c r="V92" s="710">
        <f>-SUMIFS('D2 - Capex uso'!CM$6:CM$176,'D2 - Capex uso'!$C$6:$C$176,$A80,'D2 - Capex uso'!$AK$6:$AK$176,$A92)</f>
        <v>0</v>
      </c>
      <c r="W92" s="710">
        <f>-SUMIFS('D2 - Capex uso'!CN$6:CN$176,'D2 - Capex uso'!$C$6:$C$176,$A80,'D2 - Capex uso'!$AK$6:$AK$176,$A92)</f>
        <v>0</v>
      </c>
      <c r="X92" s="710">
        <f>-SUMIFS('D2 - Capex uso'!CO$6:CO$176,'D2 - Capex uso'!$C$6:$C$176,$A80,'D2 - Capex uso'!$AK$6:$AK$176,$A92)</f>
        <v>0</v>
      </c>
      <c r="Y92" s="710">
        <f>-SUMIFS('D2 - Capex uso'!CP$6:CP$176,'D2 - Capex uso'!$C$6:$C$176,$A80,'D2 - Capex uso'!$AK$6:$AK$176,$A92)</f>
        <v>0</v>
      </c>
      <c r="Z92" s="710">
        <f>-SUMIFS('D2 - Capex uso'!CQ$6:CQ$176,'D2 - Capex uso'!$C$6:$C$176,$A80,'D2 - Capex uso'!$AK$6:$AK$176,$A92)</f>
        <v>0</v>
      </c>
      <c r="AA92" s="710">
        <f>-SUMIFS('D2 - Capex uso'!CR$6:CR$176,'D2 - Capex uso'!$C$6:$C$176,$A80,'D2 - Capex uso'!$AK$6:$AK$176,$A92)</f>
        <v>0</v>
      </c>
      <c r="AB92" s="710">
        <f>-SUMIFS('D2 - Capex uso'!CS$6:CS$176,'D2 - Capex uso'!$C$6:$C$176,$A80,'D2 - Capex uso'!$AK$6:$AK$176,$A92)</f>
        <v>0</v>
      </c>
      <c r="AC92" s="710">
        <f>-SUMIFS('D2 - Capex uso'!CT$6:CT$176,'D2 - Capex uso'!$C$6:$C$176,$A80,'D2 - Capex uso'!$AK$6:$AK$176,$A92)</f>
        <v>0</v>
      </c>
      <c r="AD92" s="710">
        <f>-SUMIFS('D2 - Capex uso'!CU$6:CU$176,'D2 - Capex uso'!$C$6:$C$176,$A80,'D2 - Capex uso'!$AK$6:$AK$176,$A92)</f>
        <v>0</v>
      </c>
      <c r="AE92" s="710">
        <f>-SUMIFS('D2 - Capex uso'!CV$6:CV$176,'D2 - Capex uso'!$C$6:$C$176,$A80,'D2 - Capex uso'!$AK$6:$AK$176,$A92)</f>
        <v>0</v>
      </c>
      <c r="AF92" s="594"/>
      <c r="AG92" s="594"/>
      <c r="AH92" s="594"/>
      <c r="AI92" s="594"/>
      <c r="AJ92" s="594"/>
      <c r="AK92" s="594"/>
      <c r="AL92" s="594"/>
      <c r="AM92" s="594"/>
      <c r="AN92" s="594"/>
      <c r="AO92" s="594"/>
      <c r="AP92" s="594"/>
      <c r="AQ92" s="594"/>
      <c r="AR92" s="594"/>
      <c r="AS92" s="594"/>
      <c r="AT92" s="594"/>
      <c r="AU92" s="594"/>
      <c r="AV92" s="594"/>
      <c r="AW92" s="594"/>
      <c r="AX92" s="594"/>
      <c r="AY92" s="594"/>
      <c r="AZ92" s="594"/>
      <c r="BA92" s="594"/>
      <c r="BB92" s="594"/>
      <c r="BC92" s="594"/>
      <c r="BD92" s="594"/>
      <c r="BE92" s="594"/>
      <c r="BF92" s="594"/>
      <c r="BG92" s="594"/>
      <c r="BH92" s="594"/>
      <c r="BI92" s="594"/>
      <c r="BJ92" s="594"/>
      <c r="BK92" s="594"/>
      <c r="BL92" s="57"/>
      <c r="BM92" s="594"/>
      <c r="BN92" s="594"/>
      <c r="BO92" s="594"/>
      <c r="BP92" s="594"/>
      <c r="BQ92" s="594"/>
      <c r="BR92" s="594"/>
      <c r="BS92" s="594"/>
      <c r="BT92" s="594"/>
      <c r="BU92" s="594"/>
      <c r="BV92" s="594"/>
      <c r="BW92" s="594"/>
      <c r="BX92" s="594"/>
      <c r="BY92" s="594"/>
      <c r="BZ92" s="594"/>
      <c r="CA92" s="594"/>
      <c r="CB92" s="594"/>
      <c r="CC92" s="594"/>
      <c r="CD92" s="594"/>
      <c r="CE92" s="594"/>
      <c r="CF92" s="594"/>
      <c r="CG92" s="594"/>
      <c r="CH92" s="594"/>
      <c r="CI92" s="594"/>
      <c r="CJ92" s="594"/>
      <c r="CK92" s="594"/>
      <c r="CL92" s="594"/>
      <c r="CM92" s="594"/>
      <c r="CN92" s="594"/>
      <c r="CO92" s="594"/>
      <c r="CP92" s="594"/>
      <c r="CQ92" s="594"/>
    </row>
    <row r="93" spans="1:95" ht="19.5" hidden="1" customHeight="1" outlineLevel="2">
      <c r="A93" s="709" t="s">
        <v>378</v>
      </c>
      <c r="B93" s="710">
        <f>-SUMIFS('D2 - Capex uso'!BS$6:BS$176,'D2 - Capex uso'!$C$6:$C$176,$A80,'D2 - Capex uso'!$AK$6:$AK$176,$A93)</f>
        <v>0</v>
      </c>
      <c r="C93" s="710">
        <f>-SUMIFS('D2 - Capex uso'!BT$6:BT$176,'D2 - Capex uso'!$C$6:$C$176,$A80,'D2 - Capex uso'!$AK$6:$AK$176,$A93)</f>
        <v>0</v>
      </c>
      <c r="D93" s="710">
        <f>-SUMIFS('D2 - Capex uso'!BU$6:BU$176,'D2 - Capex uso'!$C$6:$C$176,$A80,'D2 - Capex uso'!$AK$6:$AK$176,$A93)</f>
        <v>0</v>
      </c>
      <c r="E93" s="710">
        <f>-SUMIFS('D2 - Capex uso'!BV$6:BV$176,'D2 - Capex uso'!$C$6:$C$176,$A80,'D2 - Capex uso'!$AK$6:$AK$176,$A93)</f>
        <v>0</v>
      </c>
      <c r="F93" s="710">
        <f>-SUMIFS('D2 - Capex uso'!BW$6:BW$176,'D2 - Capex uso'!$C$6:$C$176,$A80,'D2 - Capex uso'!$AK$6:$AK$176,$A93)</f>
        <v>0</v>
      </c>
      <c r="G93" s="710">
        <f>-SUMIFS('D2 - Capex uso'!BX$6:BX$176,'D2 - Capex uso'!$C$6:$C$176,$A80,'D2 - Capex uso'!$AK$6:$AK$176,$A93)</f>
        <v>0</v>
      </c>
      <c r="H93" s="710">
        <f>-SUMIFS('D2 - Capex uso'!BY$6:BY$176,'D2 - Capex uso'!$C$6:$C$176,$A80,'D2 - Capex uso'!$AK$6:$AK$176,$A93)</f>
        <v>0</v>
      </c>
      <c r="I93" s="710">
        <f>-SUMIFS('D2 - Capex uso'!BZ$6:BZ$176,'D2 - Capex uso'!$C$6:$C$176,$A80,'D2 - Capex uso'!$AK$6:$AK$176,$A93)</f>
        <v>0</v>
      </c>
      <c r="J93" s="710">
        <f>-SUMIFS('D2 - Capex uso'!CA$6:CA$176,'D2 - Capex uso'!$C$6:$C$176,$A80,'D2 - Capex uso'!$AK$6:$AK$176,$A93)</f>
        <v>0</v>
      </c>
      <c r="K93" s="710">
        <f>-SUMIFS('D2 - Capex uso'!CB$6:CB$176,'D2 - Capex uso'!$C$6:$C$176,$A80,'D2 - Capex uso'!$AK$6:$AK$176,$A93)</f>
        <v>0</v>
      </c>
      <c r="L93" s="710">
        <f>-SUMIFS('D2 - Capex uso'!CC$6:CC$176,'D2 - Capex uso'!$C$6:$C$176,$A80,'D2 - Capex uso'!$AK$6:$AK$176,$A93)</f>
        <v>0</v>
      </c>
      <c r="M93" s="710">
        <f>-SUMIFS('D2 - Capex uso'!CD$6:CD$176,'D2 - Capex uso'!$C$6:$C$176,$A80,'D2 - Capex uso'!$AK$6:$AK$176,$A93)</f>
        <v>0</v>
      </c>
      <c r="N93" s="710">
        <f>-SUMIFS('D2 - Capex uso'!CE$6:CE$176,'D2 - Capex uso'!$C$6:$C$176,$A80,'D2 - Capex uso'!$AK$6:$AK$176,$A93)</f>
        <v>0</v>
      </c>
      <c r="O93" s="710">
        <f>-SUMIFS('D2 - Capex uso'!CF$6:CF$176,'D2 - Capex uso'!$C$6:$C$176,$A80,'D2 - Capex uso'!$AK$6:$AK$176,$A93)</f>
        <v>0</v>
      </c>
      <c r="P93" s="710">
        <f>-SUMIFS('D2 - Capex uso'!CG$6:CG$176,'D2 - Capex uso'!$C$6:$C$176,$A80,'D2 - Capex uso'!$AK$6:$AK$176,$A93)</f>
        <v>0</v>
      </c>
      <c r="Q93" s="710">
        <f>-SUMIFS('D2 - Capex uso'!CH$6:CH$176,'D2 - Capex uso'!$C$6:$C$176,$A80,'D2 - Capex uso'!$AK$6:$AK$176,$A93)</f>
        <v>0</v>
      </c>
      <c r="R93" s="710">
        <f>-SUMIFS('D2 - Capex uso'!CI$6:CI$176,'D2 - Capex uso'!$C$6:$C$176,$A80,'D2 - Capex uso'!$AK$6:$AK$176,$A93)</f>
        <v>0</v>
      </c>
      <c r="S93" s="710">
        <f>-SUMIFS('D2 - Capex uso'!CJ$6:CJ$176,'D2 - Capex uso'!$C$6:$C$176,$A80,'D2 - Capex uso'!$AK$6:$AK$176,$A93)</f>
        <v>0</v>
      </c>
      <c r="T93" s="710">
        <f>-SUMIFS('D2 - Capex uso'!CK$6:CK$176,'D2 - Capex uso'!$C$6:$C$176,$A80,'D2 - Capex uso'!$AK$6:$AK$176,$A93)</f>
        <v>0</v>
      </c>
      <c r="U93" s="710">
        <f>-SUMIFS('D2 - Capex uso'!CL$6:CL$176,'D2 - Capex uso'!$C$6:$C$176,$A80,'D2 - Capex uso'!$AK$6:$AK$176,$A93)</f>
        <v>0</v>
      </c>
      <c r="V93" s="710">
        <f>-SUMIFS('D2 - Capex uso'!CM$6:CM$176,'D2 - Capex uso'!$C$6:$C$176,$A80,'D2 - Capex uso'!$AK$6:$AK$176,$A93)</f>
        <v>0</v>
      </c>
      <c r="W93" s="710">
        <f>-SUMIFS('D2 - Capex uso'!CN$6:CN$176,'D2 - Capex uso'!$C$6:$C$176,$A80,'D2 - Capex uso'!$AK$6:$AK$176,$A93)</f>
        <v>0</v>
      </c>
      <c r="X93" s="710">
        <f>-SUMIFS('D2 - Capex uso'!CO$6:CO$176,'D2 - Capex uso'!$C$6:$C$176,$A80,'D2 - Capex uso'!$AK$6:$AK$176,$A93)</f>
        <v>0</v>
      </c>
      <c r="Y93" s="710">
        <f>-SUMIFS('D2 - Capex uso'!CP$6:CP$176,'D2 - Capex uso'!$C$6:$C$176,$A80,'D2 - Capex uso'!$AK$6:$AK$176,$A93)</f>
        <v>0</v>
      </c>
      <c r="Z93" s="710">
        <f>-SUMIFS('D2 - Capex uso'!CQ$6:CQ$176,'D2 - Capex uso'!$C$6:$C$176,$A80,'D2 - Capex uso'!$AK$6:$AK$176,$A93)</f>
        <v>0</v>
      </c>
      <c r="AA93" s="710">
        <f>-SUMIFS('D2 - Capex uso'!CR$6:CR$176,'D2 - Capex uso'!$C$6:$C$176,$A80,'D2 - Capex uso'!$AK$6:$AK$176,$A93)</f>
        <v>0</v>
      </c>
      <c r="AB93" s="710">
        <f>-SUMIFS('D2 - Capex uso'!CS$6:CS$176,'D2 - Capex uso'!$C$6:$C$176,$A80,'D2 - Capex uso'!$AK$6:$AK$176,$A93)</f>
        <v>0</v>
      </c>
      <c r="AC93" s="710">
        <f>-SUMIFS('D2 - Capex uso'!CT$6:CT$176,'D2 - Capex uso'!$C$6:$C$176,$A80,'D2 - Capex uso'!$AK$6:$AK$176,$A93)</f>
        <v>0</v>
      </c>
      <c r="AD93" s="710">
        <f>-SUMIFS('D2 - Capex uso'!CU$6:CU$176,'D2 - Capex uso'!$C$6:$C$176,$A80,'D2 - Capex uso'!$AK$6:$AK$176,$A93)</f>
        <v>0</v>
      </c>
      <c r="AE93" s="710">
        <f>-SUMIFS('D2 - Capex uso'!CV$6:CV$176,'D2 - Capex uso'!$C$6:$C$176,$A80,'D2 - Capex uso'!$AK$6:$AK$176,$A93)</f>
        <v>0</v>
      </c>
      <c r="AF93" s="594"/>
      <c r="AG93" s="594"/>
      <c r="AH93" s="594"/>
      <c r="AI93" s="594"/>
      <c r="AJ93" s="594"/>
      <c r="AK93" s="594"/>
      <c r="AL93" s="594"/>
      <c r="AM93" s="594"/>
      <c r="AN93" s="594"/>
      <c r="AO93" s="594"/>
      <c r="AP93" s="594"/>
      <c r="AQ93" s="594"/>
      <c r="AR93" s="594"/>
      <c r="AS93" s="594"/>
      <c r="AT93" s="594"/>
      <c r="AU93" s="594"/>
      <c r="AV93" s="594"/>
      <c r="AW93" s="594"/>
      <c r="AX93" s="594"/>
      <c r="AY93" s="594"/>
      <c r="AZ93" s="594"/>
      <c r="BA93" s="594"/>
      <c r="BB93" s="594"/>
      <c r="BC93" s="594"/>
      <c r="BD93" s="594"/>
      <c r="BE93" s="594"/>
      <c r="BF93" s="594"/>
      <c r="BG93" s="594"/>
      <c r="BH93" s="594"/>
      <c r="BI93" s="594"/>
      <c r="BJ93" s="594"/>
      <c r="BK93" s="594"/>
      <c r="BL93" s="57"/>
      <c r="BM93" s="594"/>
      <c r="BN93" s="594"/>
      <c r="BO93" s="594"/>
      <c r="BP93" s="594"/>
      <c r="BQ93" s="594"/>
      <c r="BR93" s="594"/>
      <c r="BS93" s="594"/>
      <c r="BT93" s="594"/>
      <c r="BU93" s="594"/>
      <c r="BV93" s="594"/>
      <c r="BW93" s="594"/>
      <c r="BX93" s="594"/>
      <c r="BY93" s="594"/>
      <c r="BZ93" s="594"/>
      <c r="CA93" s="594"/>
      <c r="CB93" s="594"/>
      <c r="CC93" s="594"/>
      <c r="CD93" s="594"/>
      <c r="CE93" s="594"/>
      <c r="CF93" s="594"/>
      <c r="CG93" s="594"/>
      <c r="CH93" s="594"/>
      <c r="CI93" s="594"/>
      <c r="CJ93" s="594"/>
      <c r="CK93" s="594"/>
      <c r="CL93" s="594"/>
      <c r="CM93" s="594"/>
      <c r="CN93" s="594"/>
      <c r="CO93" s="594"/>
      <c r="CP93" s="594"/>
      <c r="CQ93" s="594"/>
    </row>
    <row r="94" spans="1:95" ht="19.5" hidden="1" customHeight="1" outlineLevel="2">
      <c r="A94" s="709" t="s">
        <v>366</v>
      </c>
      <c r="B94" s="710">
        <f>-SUMIFS('D2 - Capex uso'!BS$6:BS$176,'D2 - Capex uso'!$C$6:$C$176,$A80,'D2 - Capex uso'!$AK$6:$AK$176,$A94)</f>
        <v>-178542.21000000002</v>
      </c>
      <c r="C94" s="710">
        <f>-SUMIFS('D2 - Capex uso'!BT$6:BT$176,'D2 - Capex uso'!$C$6:$C$176,$A80,'D2 - Capex uso'!$AK$6:$AK$176,$A94)</f>
        <v>0</v>
      </c>
      <c r="D94" s="710">
        <f>-SUMIFS('D2 - Capex uso'!BU$6:BU$176,'D2 - Capex uso'!$C$6:$C$176,$A80,'D2 - Capex uso'!$AK$6:$AK$176,$A94)</f>
        <v>0</v>
      </c>
      <c r="E94" s="710">
        <f>-SUMIFS('D2 - Capex uso'!BV$6:BV$176,'D2 - Capex uso'!$C$6:$C$176,$A80,'D2 - Capex uso'!$AK$6:$AK$176,$A94)</f>
        <v>0</v>
      </c>
      <c r="F94" s="710">
        <f>-SUMIFS('D2 - Capex uso'!BW$6:BW$176,'D2 - Capex uso'!$C$6:$C$176,$A80,'D2 - Capex uso'!$AK$6:$AK$176,$A94)</f>
        <v>0</v>
      </c>
      <c r="G94" s="710">
        <f>-SUMIFS('D2 - Capex uso'!BX$6:BX$176,'D2 - Capex uso'!$C$6:$C$176,$A80,'D2 - Capex uso'!$AK$6:$AK$176,$A94)</f>
        <v>0</v>
      </c>
      <c r="H94" s="710">
        <f>-SUMIFS('D2 - Capex uso'!BY$6:BY$176,'D2 - Capex uso'!$C$6:$C$176,$A80,'D2 - Capex uso'!$AK$6:$AK$176,$A94)</f>
        <v>0</v>
      </c>
      <c r="I94" s="710">
        <f>-SUMIFS('D2 - Capex uso'!BZ$6:BZ$176,'D2 - Capex uso'!$C$6:$C$176,$A80,'D2 - Capex uso'!$AK$6:$AK$176,$A94)</f>
        <v>0</v>
      </c>
      <c r="J94" s="710">
        <f>-SUMIFS('D2 - Capex uso'!CA$6:CA$176,'D2 - Capex uso'!$C$6:$C$176,$A80,'D2 - Capex uso'!$AK$6:$AK$176,$A94)</f>
        <v>0</v>
      </c>
      <c r="K94" s="710">
        <f>-SUMIFS('D2 - Capex uso'!CB$6:CB$176,'D2 - Capex uso'!$C$6:$C$176,$A80,'D2 - Capex uso'!$AK$6:$AK$176,$A94)</f>
        <v>0</v>
      </c>
      <c r="L94" s="710">
        <f>-SUMIFS('D2 - Capex uso'!CC$6:CC$176,'D2 - Capex uso'!$C$6:$C$176,$A80,'D2 - Capex uso'!$AK$6:$AK$176,$A94)</f>
        <v>-178542.21000000002</v>
      </c>
      <c r="M94" s="710">
        <f>-SUMIFS('D2 - Capex uso'!CD$6:CD$176,'D2 - Capex uso'!$C$6:$C$176,$A80,'D2 - Capex uso'!$AK$6:$AK$176,$A94)</f>
        <v>0</v>
      </c>
      <c r="N94" s="710">
        <f>-SUMIFS('D2 - Capex uso'!CE$6:CE$176,'D2 - Capex uso'!$C$6:$C$176,$A80,'D2 - Capex uso'!$AK$6:$AK$176,$A94)</f>
        <v>0</v>
      </c>
      <c r="O94" s="710">
        <f>-SUMIFS('D2 - Capex uso'!CF$6:CF$176,'D2 - Capex uso'!$C$6:$C$176,$A80,'D2 - Capex uso'!$AK$6:$AK$176,$A94)</f>
        <v>0</v>
      </c>
      <c r="P94" s="710">
        <f>-SUMIFS('D2 - Capex uso'!CG$6:CG$176,'D2 - Capex uso'!$C$6:$C$176,$A80,'D2 - Capex uso'!$AK$6:$AK$176,$A94)</f>
        <v>0</v>
      </c>
      <c r="Q94" s="710">
        <f>-SUMIFS('D2 - Capex uso'!CH$6:CH$176,'D2 - Capex uso'!$C$6:$C$176,$A80,'D2 - Capex uso'!$AK$6:$AK$176,$A94)</f>
        <v>0</v>
      </c>
      <c r="R94" s="710">
        <f>-SUMIFS('D2 - Capex uso'!CI$6:CI$176,'D2 - Capex uso'!$C$6:$C$176,$A80,'D2 - Capex uso'!$AK$6:$AK$176,$A94)</f>
        <v>0</v>
      </c>
      <c r="S94" s="710">
        <f>-SUMIFS('D2 - Capex uso'!CJ$6:CJ$176,'D2 - Capex uso'!$C$6:$C$176,$A80,'D2 - Capex uso'!$AK$6:$AK$176,$A94)</f>
        <v>0</v>
      </c>
      <c r="T94" s="710">
        <f>-SUMIFS('D2 - Capex uso'!CK$6:CK$176,'D2 - Capex uso'!$C$6:$C$176,$A80,'D2 - Capex uso'!$AK$6:$AK$176,$A94)</f>
        <v>0</v>
      </c>
      <c r="U94" s="710">
        <f>-SUMIFS('D2 - Capex uso'!CL$6:CL$176,'D2 - Capex uso'!$C$6:$C$176,$A80,'D2 - Capex uso'!$AK$6:$AK$176,$A94)</f>
        <v>0</v>
      </c>
      <c r="V94" s="710">
        <f>-SUMIFS('D2 - Capex uso'!CM$6:CM$176,'D2 - Capex uso'!$C$6:$C$176,$A80,'D2 - Capex uso'!$AK$6:$AK$176,$A94)</f>
        <v>-178542.21000000002</v>
      </c>
      <c r="W94" s="710">
        <f>-SUMIFS('D2 - Capex uso'!CN$6:CN$176,'D2 - Capex uso'!$C$6:$C$176,$A80,'D2 - Capex uso'!$AK$6:$AK$176,$A94)</f>
        <v>0</v>
      </c>
      <c r="X94" s="710">
        <f>-SUMIFS('D2 - Capex uso'!CO$6:CO$176,'D2 - Capex uso'!$C$6:$C$176,$A80,'D2 - Capex uso'!$AK$6:$AK$176,$A94)</f>
        <v>0</v>
      </c>
      <c r="Y94" s="710">
        <f>-SUMIFS('D2 - Capex uso'!CP$6:CP$176,'D2 - Capex uso'!$C$6:$C$176,$A80,'D2 - Capex uso'!$AK$6:$AK$176,$A94)</f>
        <v>0</v>
      </c>
      <c r="Z94" s="710">
        <f>-SUMIFS('D2 - Capex uso'!CQ$6:CQ$176,'D2 - Capex uso'!$C$6:$C$176,$A80,'D2 - Capex uso'!$AK$6:$AK$176,$A94)</f>
        <v>0</v>
      </c>
      <c r="AA94" s="710">
        <f>-SUMIFS('D2 - Capex uso'!CR$6:CR$176,'D2 - Capex uso'!$C$6:$C$176,$A80,'D2 - Capex uso'!$AK$6:$AK$176,$A94)</f>
        <v>0</v>
      </c>
      <c r="AB94" s="710">
        <f>-SUMIFS('D2 - Capex uso'!CS$6:CS$176,'D2 - Capex uso'!$C$6:$C$176,$A80,'D2 - Capex uso'!$AK$6:$AK$176,$A94)</f>
        <v>0</v>
      </c>
      <c r="AC94" s="710">
        <f>-SUMIFS('D2 - Capex uso'!CT$6:CT$176,'D2 - Capex uso'!$C$6:$C$176,$A80,'D2 - Capex uso'!$AK$6:$AK$176,$A94)</f>
        <v>0</v>
      </c>
      <c r="AD94" s="710">
        <f>-SUMIFS('D2 - Capex uso'!CU$6:CU$176,'D2 - Capex uso'!$C$6:$C$176,$A80,'D2 - Capex uso'!$AK$6:$AK$176,$A94)</f>
        <v>0</v>
      </c>
      <c r="AE94" s="710">
        <f>-SUMIFS('D2 - Capex uso'!CV$6:CV$176,'D2 - Capex uso'!$C$6:$C$176,$A80,'D2 - Capex uso'!$AK$6:$AK$176,$A94)</f>
        <v>0</v>
      </c>
      <c r="AF94" s="594"/>
      <c r="AG94" s="594"/>
      <c r="AH94" s="594"/>
      <c r="AI94" s="594"/>
      <c r="AJ94" s="594"/>
      <c r="AK94" s="594"/>
      <c r="AL94" s="594"/>
      <c r="AM94" s="594"/>
      <c r="AN94" s="594"/>
      <c r="AO94" s="594"/>
      <c r="AP94" s="594"/>
      <c r="AQ94" s="594"/>
      <c r="AR94" s="594"/>
      <c r="AS94" s="594"/>
      <c r="AT94" s="594"/>
      <c r="AU94" s="594"/>
      <c r="AV94" s="594"/>
      <c r="AW94" s="594"/>
      <c r="AX94" s="594"/>
      <c r="AY94" s="594"/>
      <c r="AZ94" s="594"/>
      <c r="BA94" s="594"/>
      <c r="BB94" s="594"/>
      <c r="BC94" s="594"/>
      <c r="BD94" s="594"/>
      <c r="BE94" s="594"/>
      <c r="BF94" s="594"/>
      <c r="BG94" s="594"/>
      <c r="BH94" s="594"/>
      <c r="BI94" s="594"/>
      <c r="BJ94" s="594"/>
      <c r="BK94" s="594"/>
      <c r="BL94" s="57"/>
      <c r="BM94" s="594"/>
      <c r="BN94" s="594"/>
      <c r="BO94" s="594"/>
      <c r="BP94" s="594"/>
      <c r="BQ94" s="594"/>
      <c r="BR94" s="594"/>
      <c r="BS94" s="594"/>
      <c r="BT94" s="594"/>
      <c r="BU94" s="594"/>
      <c r="BV94" s="594"/>
      <c r="BW94" s="594"/>
      <c r="BX94" s="594"/>
      <c r="BY94" s="594"/>
      <c r="BZ94" s="594"/>
      <c r="CA94" s="594"/>
      <c r="CB94" s="594"/>
      <c r="CC94" s="594"/>
      <c r="CD94" s="594"/>
      <c r="CE94" s="594"/>
      <c r="CF94" s="594"/>
      <c r="CG94" s="594"/>
      <c r="CH94" s="594"/>
      <c r="CI94" s="594"/>
      <c r="CJ94" s="594"/>
      <c r="CK94" s="594"/>
      <c r="CL94" s="594"/>
      <c r="CM94" s="594"/>
      <c r="CN94" s="594"/>
      <c r="CO94" s="594"/>
      <c r="CP94" s="594"/>
      <c r="CQ94" s="594"/>
    </row>
    <row r="95" spans="1:95" ht="19.5" hidden="1" customHeight="1" outlineLevel="2">
      <c r="A95" s="709" t="s">
        <v>371</v>
      </c>
      <c r="B95" s="710">
        <f>-SUMIFS('D2 - Capex uso'!BS$6:BS$176,'D2 - Capex uso'!$C$6:$C$176,$A80,'D2 - Capex uso'!$AK$6:$AK$176,$A95)</f>
        <v>0</v>
      </c>
      <c r="C95" s="710">
        <f>-SUMIFS('D2 - Capex uso'!BT$6:BT$176,'D2 - Capex uso'!$C$6:$C$176,$A80,'D2 - Capex uso'!$AK$6:$AK$176,$A95)</f>
        <v>0</v>
      </c>
      <c r="D95" s="710">
        <f>-SUMIFS('D2 - Capex uso'!BU$6:BU$176,'D2 - Capex uso'!$C$6:$C$176,$A80,'D2 - Capex uso'!$AK$6:$AK$176,$A95)</f>
        <v>0</v>
      </c>
      <c r="E95" s="710">
        <f>-SUMIFS('D2 - Capex uso'!BV$6:BV$176,'D2 - Capex uso'!$C$6:$C$176,$A80,'D2 - Capex uso'!$AK$6:$AK$176,$A95)</f>
        <v>0</v>
      </c>
      <c r="F95" s="710">
        <f>-SUMIFS('D2 - Capex uso'!BW$6:BW$176,'D2 - Capex uso'!$C$6:$C$176,$A80,'D2 - Capex uso'!$AK$6:$AK$176,$A95)</f>
        <v>0</v>
      </c>
      <c r="G95" s="710">
        <f>-SUMIFS('D2 - Capex uso'!BX$6:BX$176,'D2 - Capex uso'!$C$6:$C$176,$A80,'D2 - Capex uso'!$AK$6:$AK$176,$A95)</f>
        <v>0</v>
      </c>
      <c r="H95" s="710">
        <f>-SUMIFS('D2 - Capex uso'!BY$6:BY$176,'D2 - Capex uso'!$C$6:$C$176,$A80,'D2 - Capex uso'!$AK$6:$AK$176,$A95)</f>
        <v>0</v>
      </c>
      <c r="I95" s="710">
        <f>-SUMIFS('D2 - Capex uso'!BZ$6:BZ$176,'D2 - Capex uso'!$C$6:$C$176,$A80,'D2 - Capex uso'!$AK$6:$AK$176,$A95)</f>
        <v>0</v>
      </c>
      <c r="J95" s="710">
        <f>-SUMIFS('D2 - Capex uso'!CA$6:CA$176,'D2 - Capex uso'!$C$6:$C$176,$A80,'D2 - Capex uso'!$AK$6:$AK$176,$A95)</f>
        <v>0</v>
      </c>
      <c r="K95" s="710">
        <f>-SUMIFS('D2 - Capex uso'!CB$6:CB$176,'D2 - Capex uso'!$C$6:$C$176,$A80,'D2 - Capex uso'!$AK$6:$AK$176,$A95)</f>
        <v>0</v>
      </c>
      <c r="L95" s="710">
        <f>-SUMIFS('D2 - Capex uso'!CC$6:CC$176,'D2 - Capex uso'!$C$6:$C$176,$A80,'D2 - Capex uso'!$AK$6:$AK$176,$A95)</f>
        <v>0</v>
      </c>
      <c r="M95" s="710">
        <f>-SUMIFS('D2 - Capex uso'!CD$6:CD$176,'D2 - Capex uso'!$C$6:$C$176,$A80,'D2 - Capex uso'!$AK$6:$AK$176,$A95)</f>
        <v>0</v>
      </c>
      <c r="N95" s="710">
        <f>-SUMIFS('D2 - Capex uso'!CE$6:CE$176,'D2 - Capex uso'!$C$6:$C$176,$A80,'D2 - Capex uso'!$AK$6:$AK$176,$A95)</f>
        <v>0</v>
      </c>
      <c r="O95" s="710">
        <f>-SUMIFS('D2 - Capex uso'!CF$6:CF$176,'D2 - Capex uso'!$C$6:$C$176,$A80,'D2 - Capex uso'!$AK$6:$AK$176,$A95)</f>
        <v>0</v>
      </c>
      <c r="P95" s="710">
        <f>-SUMIFS('D2 - Capex uso'!CG$6:CG$176,'D2 - Capex uso'!$C$6:$C$176,$A80,'D2 - Capex uso'!$AK$6:$AK$176,$A95)</f>
        <v>0</v>
      </c>
      <c r="Q95" s="710">
        <f>-SUMIFS('D2 - Capex uso'!CH$6:CH$176,'D2 - Capex uso'!$C$6:$C$176,$A80,'D2 - Capex uso'!$AK$6:$AK$176,$A95)</f>
        <v>0</v>
      </c>
      <c r="R95" s="710">
        <f>-SUMIFS('D2 - Capex uso'!CI$6:CI$176,'D2 - Capex uso'!$C$6:$C$176,$A80,'D2 - Capex uso'!$AK$6:$AK$176,$A95)</f>
        <v>0</v>
      </c>
      <c r="S95" s="710">
        <f>-SUMIFS('D2 - Capex uso'!CJ$6:CJ$176,'D2 - Capex uso'!$C$6:$C$176,$A80,'D2 - Capex uso'!$AK$6:$AK$176,$A95)</f>
        <v>0</v>
      </c>
      <c r="T95" s="710">
        <f>-SUMIFS('D2 - Capex uso'!CK$6:CK$176,'D2 - Capex uso'!$C$6:$C$176,$A80,'D2 - Capex uso'!$AK$6:$AK$176,$A95)</f>
        <v>0</v>
      </c>
      <c r="U95" s="710">
        <f>-SUMIFS('D2 - Capex uso'!CL$6:CL$176,'D2 - Capex uso'!$C$6:$C$176,$A80,'D2 - Capex uso'!$AK$6:$AK$176,$A95)</f>
        <v>0</v>
      </c>
      <c r="V95" s="710">
        <f>-SUMIFS('D2 - Capex uso'!CM$6:CM$176,'D2 - Capex uso'!$C$6:$C$176,$A80,'D2 - Capex uso'!$AK$6:$AK$176,$A95)</f>
        <v>0</v>
      </c>
      <c r="W95" s="710">
        <f>-SUMIFS('D2 - Capex uso'!CN$6:CN$176,'D2 - Capex uso'!$C$6:$C$176,$A80,'D2 - Capex uso'!$AK$6:$AK$176,$A95)</f>
        <v>0</v>
      </c>
      <c r="X95" s="710">
        <f>-SUMIFS('D2 - Capex uso'!CO$6:CO$176,'D2 - Capex uso'!$C$6:$C$176,$A80,'D2 - Capex uso'!$AK$6:$AK$176,$A95)</f>
        <v>0</v>
      </c>
      <c r="Y95" s="710">
        <f>-SUMIFS('D2 - Capex uso'!CP$6:CP$176,'D2 - Capex uso'!$C$6:$C$176,$A80,'D2 - Capex uso'!$AK$6:$AK$176,$A95)</f>
        <v>0</v>
      </c>
      <c r="Z95" s="710">
        <f>-SUMIFS('D2 - Capex uso'!CQ$6:CQ$176,'D2 - Capex uso'!$C$6:$C$176,$A80,'D2 - Capex uso'!$AK$6:$AK$176,$A95)</f>
        <v>0</v>
      </c>
      <c r="AA95" s="710">
        <f>-SUMIFS('D2 - Capex uso'!CR$6:CR$176,'D2 - Capex uso'!$C$6:$C$176,$A80,'D2 - Capex uso'!$AK$6:$AK$176,$A95)</f>
        <v>0</v>
      </c>
      <c r="AB95" s="710">
        <f>-SUMIFS('D2 - Capex uso'!CS$6:CS$176,'D2 - Capex uso'!$C$6:$C$176,$A80,'D2 - Capex uso'!$AK$6:$AK$176,$A95)</f>
        <v>0</v>
      </c>
      <c r="AC95" s="710">
        <f>-SUMIFS('D2 - Capex uso'!CT$6:CT$176,'D2 - Capex uso'!$C$6:$C$176,$A80,'D2 - Capex uso'!$AK$6:$AK$176,$A95)</f>
        <v>0</v>
      </c>
      <c r="AD95" s="710">
        <f>-SUMIFS('D2 - Capex uso'!CU$6:CU$176,'D2 - Capex uso'!$C$6:$C$176,$A80,'D2 - Capex uso'!$AK$6:$AK$176,$A95)</f>
        <v>0</v>
      </c>
      <c r="AE95" s="710">
        <f>-SUMIFS('D2 - Capex uso'!CV$6:CV$176,'D2 - Capex uso'!$C$6:$C$176,$A80,'D2 - Capex uso'!$AK$6:$AK$176,$A95)</f>
        <v>0</v>
      </c>
      <c r="AF95" s="594"/>
      <c r="AG95" s="594"/>
      <c r="AH95" s="594"/>
      <c r="AI95" s="594"/>
      <c r="AJ95" s="594"/>
      <c r="AK95" s="594"/>
      <c r="AL95" s="594"/>
      <c r="AM95" s="594"/>
      <c r="AN95" s="594"/>
      <c r="AO95" s="594"/>
      <c r="AP95" s="594"/>
      <c r="AQ95" s="594"/>
      <c r="AR95" s="594"/>
      <c r="AS95" s="594"/>
      <c r="AT95" s="594"/>
      <c r="AU95" s="594"/>
      <c r="AV95" s="594"/>
      <c r="AW95" s="594"/>
      <c r="AX95" s="594"/>
      <c r="AY95" s="594"/>
      <c r="AZ95" s="594"/>
      <c r="BA95" s="594"/>
      <c r="BB95" s="594"/>
      <c r="BC95" s="594"/>
      <c r="BD95" s="594"/>
      <c r="BE95" s="594"/>
      <c r="BF95" s="594"/>
      <c r="BG95" s="594"/>
      <c r="BH95" s="594"/>
      <c r="BI95" s="594"/>
      <c r="BJ95" s="594"/>
      <c r="BK95" s="594"/>
      <c r="BL95" s="57"/>
      <c r="BM95" s="594"/>
      <c r="BN95" s="594"/>
      <c r="BO95" s="594"/>
      <c r="BP95" s="594"/>
      <c r="BQ95" s="594"/>
      <c r="BR95" s="594"/>
      <c r="BS95" s="594"/>
      <c r="BT95" s="594"/>
      <c r="BU95" s="594"/>
      <c r="BV95" s="594"/>
      <c r="BW95" s="594"/>
      <c r="BX95" s="594"/>
      <c r="BY95" s="594"/>
      <c r="BZ95" s="594"/>
      <c r="CA95" s="594"/>
      <c r="CB95" s="594"/>
      <c r="CC95" s="594"/>
      <c r="CD95" s="594"/>
      <c r="CE95" s="594"/>
      <c r="CF95" s="594"/>
      <c r="CG95" s="594"/>
      <c r="CH95" s="594"/>
      <c r="CI95" s="594"/>
      <c r="CJ95" s="594"/>
      <c r="CK95" s="594"/>
      <c r="CL95" s="594"/>
      <c r="CM95" s="594"/>
      <c r="CN95" s="594"/>
      <c r="CO95" s="594"/>
      <c r="CP95" s="594"/>
      <c r="CQ95" s="594"/>
    </row>
    <row r="96" spans="1:95" ht="19.5" hidden="1" customHeight="1" outlineLevel="2">
      <c r="A96" s="709" t="s">
        <v>361</v>
      </c>
      <c r="B96" s="710">
        <f>-SUMIFS('D2 - Capex uso'!BS$6:BS$176,'D2 - Capex uso'!$C$6:$C$176,$A80,'D2 - Capex uso'!$AK$6:$AK$176,$A96)</f>
        <v>0</v>
      </c>
      <c r="C96" s="710">
        <f>-SUMIFS('D2 - Capex uso'!BT$6:BT$176,'D2 - Capex uso'!$C$6:$C$176,$A80,'D2 - Capex uso'!$AK$6:$AK$176,$A96)</f>
        <v>0</v>
      </c>
      <c r="D96" s="710">
        <f>-SUMIFS('D2 - Capex uso'!BU$6:BU$176,'D2 - Capex uso'!$C$6:$C$176,$A80,'D2 - Capex uso'!$AK$6:$AK$176,$A96)</f>
        <v>0</v>
      </c>
      <c r="E96" s="710">
        <f>-SUMIFS('D2 - Capex uso'!BV$6:BV$176,'D2 - Capex uso'!$C$6:$C$176,$A80,'D2 - Capex uso'!$AK$6:$AK$176,$A96)</f>
        <v>0</v>
      </c>
      <c r="F96" s="710">
        <f>-SUMIFS('D2 - Capex uso'!BW$6:BW$176,'D2 - Capex uso'!$C$6:$C$176,$A80,'D2 - Capex uso'!$AK$6:$AK$176,$A96)</f>
        <v>0</v>
      </c>
      <c r="G96" s="710">
        <f>-SUMIFS('D2 - Capex uso'!BX$6:BX$176,'D2 - Capex uso'!$C$6:$C$176,$A80,'D2 - Capex uso'!$AK$6:$AK$176,$A96)</f>
        <v>0</v>
      </c>
      <c r="H96" s="710">
        <f>-SUMIFS('D2 - Capex uso'!BY$6:BY$176,'D2 - Capex uso'!$C$6:$C$176,$A80,'D2 - Capex uso'!$AK$6:$AK$176,$A96)</f>
        <v>0</v>
      </c>
      <c r="I96" s="710">
        <f>-SUMIFS('D2 - Capex uso'!BZ$6:BZ$176,'D2 - Capex uso'!$C$6:$C$176,$A80,'D2 - Capex uso'!$AK$6:$AK$176,$A96)</f>
        <v>0</v>
      </c>
      <c r="J96" s="710">
        <f>-SUMIFS('D2 - Capex uso'!CA$6:CA$176,'D2 - Capex uso'!$C$6:$C$176,$A80,'D2 - Capex uso'!$AK$6:$AK$176,$A96)</f>
        <v>0</v>
      </c>
      <c r="K96" s="710">
        <f>-SUMIFS('D2 - Capex uso'!CB$6:CB$176,'D2 - Capex uso'!$C$6:$C$176,$A80,'D2 - Capex uso'!$AK$6:$AK$176,$A96)</f>
        <v>0</v>
      </c>
      <c r="L96" s="710">
        <f>-SUMIFS('D2 - Capex uso'!CC$6:CC$176,'D2 - Capex uso'!$C$6:$C$176,$A80,'D2 - Capex uso'!$AK$6:$AK$176,$A96)</f>
        <v>0</v>
      </c>
      <c r="M96" s="710">
        <f>-SUMIFS('D2 - Capex uso'!CD$6:CD$176,'D2 - Capex uso'!$C$6:$C$176,$A80,'D2 - Capex uso'!$AK$6:$AK$176,$A96)</f>
        <v>0</v>
      </c>
      <c r="N96" s="710">
        <f>-SUMIFS('D2 - Capex uso'!CE$6:CE$176,'D2 - Capex uso'!$C$6:$C$176,$A80,'D2 - Capex uso'!$AK$6:$AK$176,$A96)</f>
        <v>0</v>
      </c>
      <c r="O96" s="710">
        <f>-SUMIFS('D2 - Capex uso'!CF$6:CF$176,'D2 - Capex uso'!$C$6:$C$176,$A80,'D2 - Capex uso'!$AK$6:$AK$176,$A96)</f>
        <v>0</v>
      </c>
      <c r="P96" s="710">
        <f>-SUMIFS('D2 - Capex uso'!CG$6:CG$176,'D2 - Capex uso'!$C$6:$C$176,$A80,'D2 - Capex uso'!$AK$6:$AK$176,$A96)</f>
        <v>0</v>
      </c>
      <c r="Q96" s="710">
        <f>-SUMIFS('D2 - Capex uso'!CH$6:CH$176,'D2 - Capex uso'!$C$6:$C$176,$A80,'D2 - Capex uso'!$AK$6:$AK$176,$A96)</f>
        <v>0</v>
      </c>
      <c r="R96" s="710">
        <f>-SUMIFS('D2 - Capex uso'!CI$6:CI$176,'D2 - Capex uso'!$C$6:$C$176,$A80,'D2 - Capex uso'!$AK$6:$AK$176,$A96)</f>
        <v>0</v>
      </c>
      <c r="S96" s="710">
        <f>-SUMIFS('D2 - Capex uso'!CJ$6:CJ$176,'D2 - Capex uso'!$C$6:$C$176,$A80,'D2 - Capex uso'!$AK$6:$AK$176,$A96)</f>
        <v>0</v>
      </c>
      <c r="T96" s="710">
        <f>-SUMIFS('D2 - Capex uso'!CK$6:CK$176,'D2 - Capex uso'!$C$6:$C$176,$A80,'D2 - Capex uso'!$AK$6:$AK$176,$A96)</f>
        <v>0</v>
      </c>
      <c r="U96" s="710">
        <f>-SUMIFS('D2 - Capex uso'!CL$6:CL$176,'D2 - Capex uso'!$C$6:$C$176,$A80,'D2 - Capex uso'!$AK$6:$AK$176,$A96)</f>
        <v>0</v>
      </c>
      <c r="V96" s="710">
        <f>-SUMIFS('D2 - Capex uso'!CM$6:CM$176,'D2 - Capex uso'!$C$6:$C$176,$A80,'D2 - Capex uso'!$AK$6:$AK$176,$A96)</f>
        <v>0</v>
      </c>
      <c r="W96" s="710">
        <f>-SUMIFS('D2 - Capex uso'!CN$6:CN$176,'D2 - Capex uso'!$C$6:$C$176,$A80,'D2 - Capex uso'!$AK$6:$AK$176,$A96)</f>
        <v>0</v>
      </c>
      <c r="X96" s="710">
        <f>-SUMIFS('D2 - Capex uso'!CO$6:CO$176,'D2 - Capex uso'!$C$6:$C$176,$A80,'D2 - Capex uso'!$AK$6:$AK$176,$A96)</f>
        <v>0</v>
      </c>
      <c r="Y96" s="710">
        <f>-SUMIFS('D2 - Capex uso'!CP$6:CP$176,'D2 - Capex uso'!$C$6:$C$176,$A80,'D2 - Capex uso'!$AK$6:$AK$176,$A96)</f>
        <v>0</v>
      </c>
      <c r="Z96" s="710">
        <f>-SUMIFS('D2 - Capex uso'!CQ$6:CQ$176,'D2 - Capex uso'!$C$6:$C$176,$A80,'D2 - Capex uso'!$AK$6:$AK$176,$A96)</f>
        <v>0</v>
      </c>
      <c r="AA96" s="710">
        <f>-SUMIFS('D2 - Capex uso'!CR$6:CR$176,'D2 - Capex uso'!$C$6:$C$176,$A80,'D2 - Capex uso'!$AK$6:$AK$176,$A96)</f>
        <v>0</v>
      </c>
      <c r="AB96" s="710">
        <f>-SUMIFS('D2 - Capex uso'!CS$6:CS$176,'D2 - Capex uso'!$C$6:$C$176,$A80,'D2 - Capex uso'!$AK$6:$AK$176,$A96)</f>
        <v>0</v>
      </c>
      <c r="AC96" s="710">
        <f>-SUMIFS('D2 - Capex uso'!CT$6:CT$176,'D2 - Capex uso'!$C$6:$C$176,$A80,'D2 - Capex uso'!$AK$6:$AK$176,$A96)</f>
        <v>0</v>
      </c>
      <c r="AD96" s="710">
        <f>-SUMIFS('D2 - Capex uso'!CU$6:CU$176,'D2 - Capex uso'!$C$6:$C$176,$A80,'D2 - Capex uso'!$AK$6:$AK$176,$A96)</f>
        <v>0</v>
      </c>
      <c r="AE96" s="710">
        <f>-SUMIFS('D2 - Capex uso'!CV$6:CV$176,'D2 - Capex uso'!$C$6:$C$176,$A80,'D2 - Capex uso'!$AK$6:$AK$176,$A96)</f>
        <v>0</v>
      </c>
      <c r="AF96" s="594"/>
      <c r="AG96" s="594"/>
      <c r="AH96" s="594"/>
      <c r="AI96" s="594"/>
      <c r="AJ96" s="594"/>
      <c r="AK96" s="594"/>
      <c r="AL96" s="594"/>
      <c r="AM96" s="594"/>
      <c r="AN96" s="594"/>
      <c r="AO96" s="594"/>
      <c r="AP96" s="594"/>
      <c r="AQ96" s="594"/>
      <c r="AR96" s="594"/>
      <c r="AS96" s="594"/>
      <c r="AT96" s="594"/>
      <c r="AU96" s="594"/>
      <c r="AV96" s="594"/>
      <c r="AW96" s="594"/>
      <c r="AX96" s="594"/>
      <c r="AY96" s="594"/>
      <c r="AZ96" s="594"/>
      <c r="BA96" s="594"/>
      <c r="BB96" s="594"/>
      <c r="BC96" s="594"/>
      <c r="BD96" s="594"/>
      <c r="BE96" s="594"/>
      <c r="BF96" s="594"/>
      <c r="BG96" s="594"/>
      <c r="BH96" s="594"/>
      <c r="BI96" s="594"/>
      <c r="BJ96" s="594"/>
      <c r="BK96" s="594"/>
      <c r="BL96" s="57"/>
      <c r="BM96" s="594"/>
      <c r="BN96" s="594"/>
      <c r="BO96" s="594"/>
      <c r="BP96" s="594"/>
      <c r="BQ96" s="594"/>
      <c r="BR96" s="594"/>
      <c r="BS96" s="594"/>
      <c r="BT96" s="594"/>
      <c r="BU96" s="594"/>
      <c r="BV96" s="594"/>
      <c r="BW96" s="594"/>
      <c r="BX96" s="594"/>
      <c r="BY96" s="594"/>
      <c r="BZ96" s="594"/>
      <c r="CA96" s="594"/>
      <c r="CB96" s="594"/>
      <c r="CC96" s="594"/>
      <c r="CD96" s="594"/>
      <c r="CE96" s="594"/>
      <c r="CF96" s="594"/>
      <c r="CG96" s="594"/>
      <c r="CH96" s="594"/>
      <c r="CI96" s="594"/>
      <c r="CJ96" s="594"/>
      <c r="CK96" s="594"/>
      <c r="CL96" s="594"/>
      <c r="CM96" s="594"/>
      <c r="CN96" s="594"/>
      <c r="CO96" s="594"/>
      <c r="CP96" s="594"/>
      <c r="CQ96" s="594"/>
    </row>
    <row r="97" spans="1:95" ht="19.5" hidden="1" customHeight="1" outlineLevel="2">
      <c r="A97" s="709" t="s">
        <v>359</v>
      </c>
      <c r="B97" s="710">
        <f>-SUMIFS('D2 - Capex uso'!BS$6:BS$176,'D2 - Capex uso'!$C$6:$C$176,$A80,'D2 - Capex uso'!$AK$6:$AK$176,$A97)</f>
        <v>-3520.0000000000005</v>
      </c>
      <c r="C97" s="710">
        <f>-SUMIFS('D2 - Capex uso'!BT$6:BT$176,'D2 - Capex uso'!$C$6:$C$176,$A80,'D2 - Capex uso'!$AK$6:$AK$176,$A97)</f>
        <v>0</v>
      </c>
      <c r="D97" s="710">
        <f>-SUMIFS('D2 - Capex uso'!BU$6:BU$176,'D2 - Capex uso'!$C$6:$C$176,$A80,'D2 - Capex uso'!$AK$6:$AK$176,$A97)</f>
        <v>0</v>
      </c>
      <c r="E97" s="710">
        <f>-SUMIFS('D2 - Capex uso'!BV$6:BV$176,'D2 - Capex uso'!$C$6:$C$176,$A80,'D2 - Capex uso'!$AK$6:$AK$176,$A97)</f>
        <v>0</v>
      </c>
      <c r="F97" s="710">
        <f>-SUMIFS('D2 - Capex uso'!BW$6:BW$176,'D2 - Capex uso'!$C$6:$C$176,$A80,'D2 - Capex uso'!$AK$6:$AK$176,$A97)</f>
        <v>0</v>
      </c>
      <c r="G97" s="710">
        <f>-SUMIFS('D2 - Capex uso'!BX$6:BX$176,'D2 - Capex uso'!$C$6:$C$176,$A80,'D2 - Capex uso'!$AK$6:$AK$176,$A97)</f>
        <v>0</v>
      </c>
      <c r="H97" s="710">
        <f>-SUMIFS('D2 - Capex uso'!BY$6:BY$176,'D2 - Capex uso'!$C$6:$C$176,$A80,'D2 - Capex uso'!$AK$6:$AK$176,$A97)</f>
        <v>0</v>
      </c>
      <c r="I97" s="710">
        <f>-SUMIFS('D2 - Capex uso'!BZ$6:BZ$176,'D2 - Capex uso'!$C$6:$C$176,$A80,'D2 - Capex uso'!$AK$6:$AK$176,$A97)</f>
        <v>0</v>
      </c>
      <c r="J97" s="710">
        <f>-SUMIFS('D2 - Capex uso'!CA$6:CA$176,'D2 - Capex uso'!$C$6:$C$176,$A80,'D2 - Capex uso'!$AK$6:$AK$176,$A97)</f>
        <v>0</v>
      </c>
      <c r="K97" s="710">
        <f>-SUMIFS('D2 - Capex uso'!CB$6:CB$176,'D2 - Capex uso'!$C$6:$C$176,$A80,'D2 - Capex uso'!$AK$6:$AK$176,$A97)</f>
        <v>0</v>
      </c>
      <c r="L97" s="710">
        <f>-SUMIFS('D2 - Capex uso'!CC$6:CC$176,'D2 - Capex uso'!$C$6:$C$176,$A80,'D2 - Capex uso'!$AK$6:$AK$176,$A97)</f>
        <v>-3520.0000000000005</v>
      </c>
      <c r="M97" s="710">
        <f>-SUMIFS('D2 - Capex uso'!CD$6:CD$176,'D2 - Capex uso'!$C$6:$C$176,$A80,'D2 - Capex uso'!$AK$6:$AK$176,$A97)</f>
        <v>0</v>
      </c>
      <c r="N97" s="710">
        <f>-SUMIFS('D2 - Capex uso'!CE$6:CE$176,'D2 - Capex uso'!$C$6:$C$176,$A80,'D2 - Capex uso'!$AK$6:$AK$176,$A97)</f>
        <v>0</v>
      </c>
      <c r="O97" s="710">
        <f>-SUMIFS('D2 - Capex uso'!CF$6:CF$176,'D2 - Capex uso'!$C$6:$C$176,$A80,'D2 - Capex uso'!$AK$6:$AK$176,$A97)</f>
        <v>0</v>
      </c>
      <c r="P97" s="710">
        <f>-SUMIFS('D2 - Capex uso'!CG$6:CG$176,'D2 - Capex uso'!$C$6:$C$176,$A80,'D2 - Capex uso'!$AK$6:$AK$176,$A97)</f>
        <v>0</v>
      </c>
      <c r="Q97" s="710">
        <f>-SUMIFS('D2 - Capex uso'!CH$6:CH$176,'D2 - Capex uso'!$C$6:$C$176,$A80,'D2 - Capex uso'!$AK$6:$AK$176,$A97)</f>
        <v>0</v>
      </c>
      <c r="R97" s="710">
        <f>-SUMIFS('D2 - Capex uso'!CI$6:CI$176,'D2 - Capex uso'!$C$6:$C$176,$A80,'D2 - Capex uso'!$AK$6:$AK$176,$A97)</f>
        <v>0</v>
      </c>
      <c r="S97" s="710">
        <f>-SUMIFS('D2 - Capex uso'!CJ$6:CJ$176,'D2 - Capex uso'!$C$6:$C$176,$A80,'D2 - Capex uso'!$AK$6:$AK$176,$A97)</f>
        <v>0</v>
      </c>
      <c r="T97" s="710">
        <f>-SUMIFS('D2 - Capex uso'!CK$6:CK$176,'D2 - Capex uso'!$C$6:$C$176,$A80,'D2 - Capex uso'!$AK$6:$AK$176,$A97)</f>
        <v>0</v>
      </c>
      <c r="U97" s="710">
        <f>-SUMIFS('D2 - Capex uso'!CL$6:CL$176,'D2 - Capex uso'!$C$6:$C$176,$A80,'D2 - Capex uso'!$AK$6:$AK$176,$A97)</f>
        <v>0</v>
      </c>
      <c r="V97" s="710">
        <f>-SUMIFS('D2 - Capex uso'!CM$6:CM$176,'D2 - Capex uso'!$C$6:$C$176,$A80,'D2 - Capex uso'!$AK$6:$AK$176,$A97)</f>
        <v>-3520.0000000000005</v>
      </c>
      <c r="W97" s="710">
        <f>-SUMIFS('D2 - Capex uso'!CN$6:CN$176,'D2 - Capex uso'!$C$6:$C$176,$A80,'D2 - Capex uso'!$AK$6:$AK$176,$A97)</f>
        <v>0</v>
      </c>
      <c r="X97" s="710">
        <f>-SUMIFS('D2 - Capex uso'!CO$6:CO$176,'D2 - Capex uso'!$C$6:$C$176,$A80,'D2 - Capex uso'!$AK$6:$AK$176,$A97)</f>
        <v>0</v>
      </c>
      <c r="Y97" s="710">
        <f>-SUMIFS('D2 - Capex uso'!CP$6:CP$176,'D2 - Capex uso'!$C$6:$C$176,$A80,'D2 - Capex uso'!$AK$6:$AK$176,$A97)</f>
        <v>0</v>
      </c>
      <c r="Z97" s="710">
        <f>-SUMIFS('D2 - Capex uso'!CQ$6:CQ$176,'D2 - Capex uso'!$C$6:$C$176,$A80,'D2 - Capex uso'!$AK$6:$AK$176,$A97)</f>
        <v>0</v>
      </c>
      <c r="AA97" s="710">
        <f>-SUMIFS('D2 - Capex uso'!CR$6:CR$176,'D2 - Capex uso'!$C$6:$C$176,$A80,'D2 - Capex uso'!$AK$6:$AK$176,$A97)</f>
        <v>0</v>
      </c>
      <c r="AB97" s="710">
        <f>-SUMIFS('D2 - Capex uso'!CS$6:CS$176,'D2 - Capex uso'!$C$6:$C$176,$A80,'D2 - Capex uso'!$AK$6:$AK$176,$A97)</f>
        <v>0</v>
      </c>
      <c r="AC97" s="710">
        <f>-SUMIFS('D2 - Capex uso'!CT$6:CT$176,'D2 - Capex uso'!$C$6:$C$176,$A80,'D2 - Capex uso'!$AK$6:$AK$176,$A97)</f>
        <v>0</v>
      </c>
      <c r="AD97" s="710">
        <f>-SUMIFS('D2 - Capex uso'!CU$6:CU$176,'D2 - Capex uso'!$C$6:$C$176,$A80,'D2 - Capex uso'!$AK$6:$AK$176,$A97)</f>
        <v>0</v>
      </c>
      <c r="AE97" s="710">
        <f>-SUMIFS('D2 - Capex uso'!CV$6:CV$176,'D2 - Capex uso'!$C$6:$C$176,$A80,'D2 - Capex uso'!$AK$6:$AK$176,$A97)</f>
        <v>0</v>
      </c>
      <c r="AF97" s="594"/>
      <c r="AG97" s="594"/>
      <c r="AH97" s="594"/>
      <c r="AI97" s="594"/>
      <c r="AJ97" s="594"/>
      <c r="AK97" s="594"/>
      <c r="AL97" s="594"/>
      <c r="AM97" s="594"/>
      <c r="AN97" s="594"/>
      <c r="AO97" s="594"/>
      <c r="AP97" s="594"/>
      <c r="AQ97" s="594"/>
      <c r="AR97" s="594"/>
      <c r="AS97" s="594"/>
      <c r="AT97" s="594"/>
      <c r="AU97" s="594"/>
      <c r="AV97" s="594"/>
      <c r="AW97" s="594"/>
      <c r="AX97" s="594"/>
      <c r="AY97" s="594"/>
      <c r="AZ97" s="594"/>
      <c r="BA97" s="594"/>
      <c r="BB97" s="594"/>
      <c r="BC97" s="594"/>
      <c r="BD97" s="594"/>
      <c r="BE97" s="594"/>
      <c r="BF97" s="594"/>
      <c r="BG97" s="594"/>
      <c r="BH97" s="594"/>
      <c r="BI97" s="594"/>
      <c r="BJ97" s="594"/>
      <c r="BK97" s="594"/>
      <c r="BL97" s="57"/>
      <c r="BM97" s="594"/>
      <c r="BN97" s="594"/>
      <c r="BO97" s="594"/>
      <c r="BP97" s="594"/>
      <c r="BQ97" s="594"/>
      <c r="BR97" s="594"/>
      <c r="BS97" s="594"/>
      <c r="BT97" s="594"/>
      <c r="BU97" s="594"/>
      <c r="BV97" s="594"/>
      <c r="BW97" s="594"/>
      <c r="BX97" s="594"/>
      <c r="BY97" s="594"/>
      <c r="BZ97" s="594"/>
      <c r="CA97" s="594"/>
      <c r="CB97" s="594"/>
      <c r="CC97" s="594"/>
      <c r="CD97" s="594"/>
      <c r="CE97" s="594"/>
      <c r="CF97" s="594"/>
      <c r="CG97" s="594"/>
      <c r="CH97" s="594"/>
      <c r="CI97" s="594"/>
      <c r="CJ97" s="594"/>
      <c r="CK97" s="594"/>
      <c r="CL97" s="594"/>
      <c r="CM97" s="594"/>
      <c r="CN97" s="594"/>
      <c r="CO97" s="594"/>
      <c r="CP97" s="594"/>
      <c r="CQ97" s="594"/>
    </row>
    <row r="98" spans="1:95" ht="19.5" hidden="1" customHeight="1" outlineLevel="2">
      <c r="A98" s="709" t="s">
        <v>171</v>
      </c>
      <c r="B98" s="710">
        <f>-SUMIFS('D2 - Capex uso'!BS$6:BS$176,'D2 - Capex uso'!$C$6:$C$176,$A80,'D2 - Capex uso'!$AK$6:$AK$176,$A98)</f>
        <v>0</v>
      </c>
      <c r="C98" s="710">
        <f>-SUMIFS('D2 - Capex uso'!BT$6:BT$176,'D2 - Capex uso'!$C$6:$C$176,$A80,'D2 - Capex uso'!$AK$6:$AK$176,$A98)</f>
        <v>0</v>
      </c>
      <c r="D98" s="710">
        <f>-SUMIFS('D2 - Capex uso'!BU$6:BU$176,'D2 - Capex uso'!$C$6:$C$176,$A80,'D2 - Capex uso'!$AK$6:$AK$176,$A98)</f>
        <v>0</v>
      </c>
      <c r="E98" s="710">
        <f>-SUMIFS('D2 - Capex uso'!BV$6:BV$176,'D2 - Capex uso'!$C$6:$C$176,$A80,'D2 - Capex uso'!$AK$6:$AK$176,$A98)</f>
        <v>0</v>
      </c>
      <c r="F98" s="710">
        <f>-SUMIFS('D2 - Capex uso'!BW$6:BW$176,'D2 - Capex uso'!$C$6:$C$176,$A80,'D2 - Capex uso'!$AK$6:$AK$176,$A98)</f>
        <v>0</v>
      </c>
      <c r="G98" s="710">
        <f>-SUMIFS('D2 - Capex uso'!BX$6:BX$176,'D2 - Capex uso'!$C$6:$C$176,$A80,'D2 - Capex uso'!$AK$6:$AK$176,$A98)</f>
        <v>0</v>
      </c>
      <c r="H98" s="710">
        <f>-SUMIFS('D2 - Capex uso'!BY$6:BY$176,'D2 - Capex uso'!$C$6:$C$176,$A80,'D2 - Capex uso'!$AK$6:$AK$176,$A98)</f>
        <v>0</v>
      </c>
      <c r="I98" s="710">
        <f>-SUMIFS('D2 - Capex uso'!BZ$6:BZ$176,'D2 - Capex uso'!$C$6:$C$176,$A80,'D2 - Capex uso'!$AK$6:$AK$176,$A98)</f>
        <v>0</v>
      </c>
      <c r="J98" s="710">
        <f>-SUMIFS('D2 - Capex uso'!CA$6:CA$176,'D2 - Capex uso'!$C$6:$C$176,$A80,'D2 - Capex uso'!$AK$6:$AK$176,$A98)</f>
        <v>0</v>
      </c>
      <c r="K98" s="710">
        <f>-SUMIFS('D2 - Capex uso'!CB$6:CB$176,'D2 - Capex uso'!$C$6:$C$176,$A80,'D2 - Capex uso'!$AK$6:$AK$176,$A98)</f>
        <v>0</v>
      </c>
      <c r="L98" s="710">
        <f>-SUMIFS('D2 - Capex uso'!CC$6:CC$176,'D2 - Capex uso'!$C$6:$C$176,$A80,'D2 - Capex uso'!$AK$6:$AK$176,$A98)</f>
        <v>0</v>
      </c>
      <c r="M98" s="710">
        <f>-SUMIFS('D2 - Capex uso'!CD$6:CD$176,'D2 - Capex uso'!$C$6:$C$176,$A80,'D2 - Capex uso'!$AK$6:$AK$176,$A98)</f>
        <v>0</v>
      </c>
      <c r="N98" s="710">
        <f>-SUMIFS('D2 - Capex uso'!CE$6:CE$176,'D2 - Capex uso'!$C$6:$C$176,$A80,'D2 - Capex uso'!$AK$6:$AK$176,$A98)</f>
        <v>0</v>
      </c>
      <c r="O98" s="710">
        <f>-SUMIFS('D2 - Capex uso'!CF$6:CF$176,'D2 - Capex uso'!$C$6:$C$176,$A80,'D2 - Capex uso'!$AK$6:$AK$176,$A98)</f>
        <v>0</v>
      </c>
      <c r="P98" s="710">
        <f>-SUMIFS('D2 - Capex uso'!CG$6:CG$176,'D2 - Capex uso'!$C$6:$C$176,$A80,'D2 - Capex uso'!$AK$6:$AK$176,$A98)</f>
        <v>0</v>
      </c>
      <c r="Q98" s="710">
        <f>-SUMIFS('D2 - Capex uso'!CH$6:CH$176,'D2 - Capex uso'!$C$6:$C$176,$A80,'D2 - Capex uso'!$AK$6:$AK$176,$A98)</f>
        <v>0</v>
      </c>
      <c r="R98" s="710">
        <f>-SUMIFS('D2 - Capex uso'!CI$6:CI$176,'D2 - Capex uso'!$C$6:$C$176,$A80,'D2 - Capex uso'!$AK$6:$AK$176,$A98)</f>
        <v>0</v>
      </c>
      <c r="S98" s="710">
        <f>-SUMIFS('D2 - Capex uso'!CJ$6:CJ$176,'D2 - Capex uso'!$C$6:$C$176,$A80,'D2 - Capex uso'!$AK$6:$AK$176,$A98)</f>
        <v>0</v>
      </c>
      <c r="T98" s="710">
        <f>-SUMIFS('D2 - Capex uso'!CK$6:CK$176,'D2 - Capex uso'!$C$6:$C$176,$A80,'D2 - Capex uso'!$AK$6:$AK$176,$A98)</f>
        <v>0</v>
      </c>
      <c r="U98" s="710">
        <f>-SUMIFS('D2 - Capex uso'!CL$6:CL$176,'D2 - Capex uso'!$C$6:$C$176,$A80,'D2 - Capex uso'!$AK$6:$AK$176,$A98)</f>
        <v>0</v>
      </c>
      <c r="V98" s="710">
        <f>-SUMIFS('D2 - Capex uso'!CM$6:CM$176,'D2 - Capex uso'!$C$6:$C$176,$A80,'D2 - Capex uso'!$AK$6:$AK$176,$A98)</f>
        <v>0</v>
      </c>
      <c r="W98" s="710">
        <f>-SUMIFS('D2 - Capex uso'!CN$6:CN$176,'D2 - Capex uso'!$C$6:$C$176,$A80,'D2 - Capex uso'!$AK$6:$AK$176,$A98)</f>
        <v>0</v>
      </c>
      <c r="X98" s="710">
        <f>-SUMIFS('D2 - Capex uso'!CO$6:CO$176,'D2 - Capex uso'!$C$6:$C$176,$A80,'D2 - Capex uso'!$AK$6:$AK$176,$A98)</f>
        <v>0</v>
      </c>
      <c r="Y98" s="710">
        <f>-SUMIFS('D2 - Capex uso'!CP$6:CP$176,'D2 - Capex uso'!$C$6:$C$176,$A80,'D2 - Capex uso'!$AK$6:$AK$176,$A98)</f>
        <v>0</v>
      </c>
      <c r="Z98" s="710">
        <f>-SUMIFS('D2 - Capex uso'!CQ$6:CQ$176,'D2 - Capex uso'!$C$6:$C$176,$A80,'D2 - Capex uso'!$AK$6:$AK$176,$A98)</f>
        <v>0</v>
      </c>
      <c r="AA98" s="710">
        <f>-SUMIFS('D2 - Capex uso'!CR$6:CR$176,'D2 - Capex uso'!$C$6:$C$176,$A80,'D2 - Capex uso'!$AK$6:$AK$176,$A98)</f>
        <v>0</v>
      </c>
      <c r="AB98" s="710">
        <f>-SUMIFS('D2 - Capex uso'!CS$6:CS$176,'D2 - Capex uso'!$C$6:$C$176,$A80,'D2 - Capex uso'!$AK$6:$AK$176,$A98)</f>
        <v>0</v>
      </c>
      <c r="AC98" s="710">
        <f>-SUMIFS('D2 - Capex uso'!CT$6:CT$176,'D2 - Capex uso'!$C$6:$C$176,$A80,'D2 - Capex uso'!$AK$6:$AK$176,$A98)</f>
        <v>0</v>
      </c>
      <c r="AD98" s="710">
        <f>-SUMIFS('D2 - Capex uso'!CU$6:CU$176,'D2 - Capex uso'!$C$6:$C$176,$A80,'D2 - Capex uso'!$AK$6:$AK$176,$A98)</f>
        <v>0</v>
      </c>
      <c r="AE98" s="710">
        <f>-SUMIFS('D2 - Capex uso'!CV$6:CV$176,'D2 - Capex uso'!$C$6:$C$176,$A80,'D2 - Capex uso'!$AK$6:$AK$176,$A98)</f>
        <v>0</v>
      </c>
      <c r="AF98" s="594"/>
      <c r="AG98" s="594"/>
      <c r="AH98" s="594"/>
      <c r="AI98" s="594"/>
      <c r="AJ98" s="594"/>
      <c r="AK98" s="594"/>
      <c r="AL98" s="594"/>
      <c r="AM98" s="594"/>
      <c r="AN98" s="594"/>
      <c r="AO98" s="594"/>
      <c r="AP98" s="594"/>
      <c r="AQ98" s="594"/>
      <c r="AR98" s="594"/>
      <c r="AS98" s="594"/>
      <c r="AT98" s="594"/>
      <c r="AU98" s="594"/>
      <c r="AV98" s="594"/>
      <c r="AW98" s="594"/>
      <c r="AX98" s="594"/>
      <c r="AY98" s="594"/>
      <c r="AZ98" s="594"/>
      <c r="BA98" s="594"/>
      <c r="BB98" s="594"/>
      <c r="BC98" s="594"/>
      <c r="BD98" s="594"/>
      <c r="BE98" s="594"/>
      <c r="BF98" s="594"/>
      <c r="BG98" s="594"/>
      <c r="BH98" s="594"/>
      <c r="BI98" s="594"/>
      <c r="BJ98" s="594"/>
      <c r="BK98" s="594"/>
      <c r="BL98" s="57"/>
      <c r="BM98" s="594"/>
      <c r="BN98" s="594"/>
      <c r="BO98" s="594"/>
      <c r="BP98" s="594"/>
      <c r="BQ98" s="594"/>
      <c r="BR98" s="594"/>
      <c r="BS98" s="594"/>
      <c r="BT98" s="594"/>
      <c r="BU98" s="594"/>
      <c r="BV98" s="594"/>
      <c r="BW98" s="594"/>
      <c r="BX98" s="594"/>
      <c r="BY98" s="594"/>
      <c r="BZ98" s="594"/>
      <c r="CA98" s="594"/>
      <c r="CB98" s="594"/>
      <c r="CC98" s="594"/>
      <c r="CD98" s="594"/>
      <c r="CE98" s="594"/>
      <c r="CF98" s="594"/>
      <c r="CG98" s="594"/>
      <c r="CH98" s="594"/>
      <c r="CI98" s="594"/>
      <c r="CJ98" s="594"/>
      <c r="CK98" s="594"/>
      <c r="CL98" s="594"/>
      <c r="CM98" s="594"/>
      <c r="CN98" s="594"/>
      <c r="CO98" s="594"/>
      <c r="CP98" s="594"/>
      <c r="CQ98" s="594"/>
    </row>
    <row r="99" spans="1:95" ht="27" customHeight="1" collapsed="1">
      <c r="A99" s="703" t="str">
        <f>IF(ISBLANK('A1 - Serviços e demanda'!A25),,'A1 - Serviços e demanda'!A25)</f>
        <v>Árvore da Preguiça - Comércio</v>
      </c>
      <c r="B99" s="704">
        <f t="shared" ref="B99:AE99" si="30">IF($A99=0,0,SUM(B108:B109))</f>
        <v>-6966.5</v>
      </c>
      <c r="C99" s="704">
        <f t="shared" si="30"/>
        <v>202554.28050589317</v>
      </c>
      <c r="D99" s="704">
        <f t="shared" si="30"/>
        <v>213871.43498223089</v>
      </c>
      <c r="E99" s="704">
        <f t="shared" si="30"/>
        <v>224825.27455691795</v>
      </c>
      <c r="F99" s="704">
        <f t="shared" si="30"/>
        <v>235938.22614801402</v>
      </c>
      <c r="G99" s="704">
        <f t="shared" si="30"/>
        <v>247255.66445980169</v>
      </c>
      <c r="H99" s="704">
        <f t="shared" si="30"/>
        <v>258913.56347277248</v>
      </c>
      <c r="I99" s="704">
        <f t="shared" si="30"/>
        <v>270890.02403548424</v>
      </c>
      <c r="J99" s="704">
        <f t="shared" si="30"/>
        <v>283093.55308707018</v>
      </c>
      <c r="K99" s="704">
        <f t="shared" si="30"/>
        <v>295502.11475917068</v>
      </c>
      <c r="L99" s="704">
        <f t="shared" si="30"/>
        <v>308319.23210767476</v>
      </c>
      <c r="M99" s="704">
        <f t="shared" si="30"/>
        <v>321522.68137916375</v>
      </c>
      <c r="N99" s="704">
        <f t="shared" si="30"/>
        <v>335135.41274355463</v>
      </c>
      <c r="O99" s="704">
        <f t="shared" si="30"/>
        <v>349179.74996978062</v>
      </c>
      <c r="P99" s="704">
        <f t="shared" si="30"/>
        <v>363633.22268933128</v>
      </c>
      <c r="Q99" s="704">
        <f t="shared" si="30"/>
        <v>378473.11341899284</v>
      </c>
      <c r="R99" s="704">
        <f t="shared" si="30"/>
        <v>393699.35784734727</v>
      </c>
      <c r="S99" s="704">
        <f t="shared" si="30"/>
        <v>409266.18780451966</v>
      </c>
      <c r="T99" s="704">
        <f t="shared" si="30"/>
        <v>425105.75441289693</v>
      </c>
      <c r="U99" s="704">
        <f t="shared" si="30"/>
        <v>441150.04676758591</v>
      </c>
      <c r="V99" s="704">
        <f t="shared" si="30"/>
        <v>441150.04676758591</v>
      </c>
      <c r="W99" s="704">
        <f t="shared" si="30"/>
        <v>441150.04676758591</v>
      </c>
      <c r="X99" s="704">
        <f t="shared" si="30"/>
        <v>441150.04676758591</v>
      </c>
      <c r="Y99" s="704">
        <f t="shared" si="30"/>
        <v>441150.04676758591</v>
      </c>
      <c r="Z99" s="704">
        <f t="shared" si="30"/>
        <v>441150.04676758591</v>
      </c>
      <c r="AA99" s="704">
        <f t="shared" si="30"/>
        <v>441150.04676758591</v>
      </c>
      <c r="AB99" s="704">
        <f t="shared" si="30"/>
        <v>441150.04676758591</v>
      </c>
      <c r="AC99" s="704">
        <f t="shared" si="30"/>
        <v>441150.04676758591</v>
      </c>
      <c r="AD99" s="704">
        <f t="shared" si="30"/>
        <v>441150.04676758591</v>
      </c>
      <c r="AE99" s="704">
        <f t="shared" si="30"/>
        <v>441150.04676758591</v>
      </c>
      <c r="AF99" s="594"/>
      <c r="AG99" s="486" t="str">
        <f>A99</f>
        <v>Árvore da Preguiça - Comércio</v>
      </c>
      <c r="AH99" s="705">
        <f t="shared" ref="AH99:BK99" si="31">IFERROR(-B102/B100,0)</f>
        <v>0</v>
      </c>
      <c r="AI99" s="705">
        <f t="shared" si="31"/>
        <v>0.53969338781161791</v>
      </c>
      <c r="AJ99" s="705">
        <f t="shared" si="31"/>
        <v>0.53389740100310912</v>
      </c>
      <c r="AK99" s="705">
        <f t="shared" si="31"/>
        <v>0.52864447699405426</v>
      </c>
      <c r="AL99" s="705">
        <f t="shared" si="31"/>
        <v>0.52364081865809375</v>
      </c>
      <c r="AM99" s="705">
        <f t="shared" si="31"/>
        <v>0.51885187656746179</v>
      </c>
      <c r="AN99" s="705">
        <f t="shared" si="31"/>
        <v>0.51421370002190936</v>
      </c>
      <c r="AO99" s="705">
        <f t="shared" si="31"/>
        <v>0.50973319638446624</v>
      </c>
      <c r="AP99" s="705">
        <f t="shared" si="31"/>
        <v>0.50543799736062323</v>
      </c>
      <c r="AQ99" s="705">
        <f t="shared" si="31"/>
        <v>0.50132624824856342</v>
      </c>
      <c r="AR99" s="705">
        <f t="shared" si="31"/>
        <v>0.49732603839467504</v>
      </c>
      <c r="AS99" s="705">
        <f t="shared" si="31"/>
        <v>0.49344523740249224</v>
      </c>
      <c r="AT99" s="705">
        <f t="shared" si="31"/>
        <v>0.48967723655332679</v>
      </c>
      <c r="AU99" s="705">
        <f t="shared" si="31"/>
        <v>0.48601632400471312</v>
      </c>
      <c r="AV99" s="705">
        <f t="shared" si="31"/>
        <v>0.48246838396255465</v>
      </c>
      <c r="AW99" s="705">
        <f t="shared" si="31"/>
        <v>0.47903743459062575</v>
      </c>
      <c r="AX99" s="705">
        <f t="shared" si="31"/>
        <v>0.47572110227133163</v>
      </c>
      <c r="AY99" s="705">
        <f t="shared" si="31"/>
        <v>0.47252584017389682</v>
      </c>
      <c r="AZ99" s="705">
        <f t="shared" si="31"/>
        <v>0.46946012686611338</v>
      </c>
      <c r="BA99" s="705">
        <f t="shared" si="31"/>
        <v>0.46652962136691684</v>
      </c>
      <c r="BB99" s="705">
        <f t="shared" si="31"/>
        <v>0.46652962136691684</v>
      </c>
      <c r="BC99" s="705">
        <f t="shared" si="31"/>
        <v>0.46652962136691684</v>
      </c>
      <c r="BD99" s="705">
        <f t="shared" si="31"/>
        <v>0.46652962136691684</v>
      </c>
      <c r="BE99" s="705">
        <f t="shared" si="31"/>
        <v>0.46652962136691684</v>
      </c>
      <c r="BF99" s="705">
        <f t="shared" si="31"/>
        <v>0.46652962136691684</v>
      </c>
      <c r="BG99" s="705">
        <f t="shared" si="31"/>
        <v>0.46652962136691684</v>
      </c>
      <c r="BH99" s="705">
        <f t="shared" si="31"/>
        <v>0.46652962136691684</v>
      </c>
      <c r="BI99" s="705">
        <f t="shared" si="31"/>
        <v>0.46652962136691684</v>
      </c>
      <c r="BJ99" s="705">
        <f t="shared" si="31"/>
        <v>0.46652962136691684</v>
      </c>
      <c r="BK99" s="705">
        <f t="shared" si="31"/>
        <v>0.46652962136691684</v>
      </c>
      <c r="BL99" s="57"/>
      <c r="BM99" s="486" t="str">
        <f>AG99</f>
        <v>Árvore da Preguiça - Comércio</v>
      </c>
      <c r="BN99" s="705">
        <f t="shared" ref="BN99:CQ99" si="32">IFERROR(B108/B100,0)</f>
        <v>0</v>
      </c>
      <c r="BO99" s="705">
        <f t="shared" si="32"/>
        <v>0.28081835644793174</v>
      </c>
      <c r="BP99" s="705">
        <f t="shared" si="32"/>
        <v>0.28661409137259569</v>
      </c>
      <c r="BQ99" s="705">
        <f t="shared" si="32"/>
        <v>0.29186716156941184</v>
      </c>
      <c r="BR99" s="705">
        <f t="shared" si="32"/>
        <v>0.29687099861341809</v>
      </c>
      <c r="BS99" s="705">
        <f t="shared" si="32"/>
        <v>0.30166005546245556</v>
      </c>
      <c r="BT99" s="705">
        <f t="shared" si="32"/>
        <v>0.30629783919646575</v>
      </c>
      <c r="BU99" s="705">
        <f t="shared" si="32"/>
        <v>0.3107784363396825</v>
      </c>
      <c r="BV99" s="705">
        <f t="shared" si="32"/>
        <v>0.31507351484370638</v>
      </c>
      <c r="BW99" s="705">
        <f t="shared" si="32"/>
        <v>0.31918569319417872</v>
      </c>
      <c r="BX99" s="705">
        <f t="shared" si="32"/>
        <v>0.3231857778906444</v>
      </c>
      <c r="BY99" s="705">
        <f t="shared" si="32"/>
        <v>0.32706645783954402</v>
      </c>
      <c r="BZ99" s="705">
        <f t="shared" si="32"/>
        <v>0.33083456341910622</v>
      </c>
      <c r="CA99" s="705">
        <f t="shared" si="32"/>
        <v>0.33449540182946702</v>
      </c>
      <c r="CB99" s="705">
        <f t="shared" si="32"/>
        <v>0.33804334172104794</v>
      </c>
      <c r="CC99" s="705">
        <f t="shared" si="32"/>
        <v>0.34147436587629615</v>
      </c>
      <c r="CD99" s="705">
        <f t="shared" si="32"/>
        <v>0.34479078499570631</v>
      </c>
      <c r="CE99" s="705">
        <f t="shared" si="32"/>
        <v>0.34798587518452484</v>
      </c>
      <c r="CF99" s="705">
        <f t="shared" si="32"/>
        <v>0.35105145085502865</v>
      </c>
      <c r="CG99" s="705">
        <f t="shared" si="32"/>
        <v>0.3539819833641612</v>
      </c>
      <c r="CH99" s="705">
        <f t="shared" si="32"/>
        <v>0.3539819833641612</v>
      </c>
      <c r="CI99" s="705">
        <f t="shared" si="32"/>
        <v>0.3539819833641612</v>
      </c>
      <c r="CJ99" s="705">
        <f t="shared" si="32"/>
        <v>0.3539819833641612</v>
      </c>
      <c r="CK99" s="705">
        <f t="shared" si="32"/>
        <v>0.3539819833641612</v>
      </c>
      <c r="CL99" s="705">
        <f t="shared" si="32"/>
        <v>0.3539819833641612</v>
      </c>
      <c r="CM99" s="705">
        <f t="shared" si="32"/>
        <v>0.3539819833641612</v>
      </c>
      <c r="CN99" s="705">
        <f t="shared" si="32"/>
        <v>0.3539819833641612</v>
      </c>
      <c r="CO99" s="705">
        <f t="shared" si="32"/>
        <v>0.3539819833641612</v>
      </c>
      <c r="CP99" s="705">
        <f t="shared" si="32"/>
        <v>0.3539819833641612</v>
      </c>
      <c r="CQ99" s="705">
        <f t="shared" si="32"/>
        <v>0.3539819833641612</v>
      </c>
    </row>
    <row r="100" spans="1:95" ht="33.75" hidden="1" customHeight="1" outlineLevel="1">
      <c r="A100" s="706" t="s">
        <v>680</v>
      </c>
      <c r="B100" s="707">
        <f>IFERROR(VLOOKUP($A99,ReceitaBruta,COLUMN('A4 - Previsão de Receita Bruta'!C102)-1,0),0)</f>
        <v>0</v>
      </c>
      <c r="C100" s="707">
        <f>IFERROR(VLOOKUP($A99,ReceitaBruta,COLUMN('A4 - Previsão de Receita Bruta'!D102)-1,0),0)</f>
        <v>721300</v>
      </c>
      <c r="D100" s="707">
        <f>IFERROR(VLOOKUP($A99,ReceitaBruta,COLUMN('A4 - Previsão de Receita Bruta'!E102)-1,0),0)</f>
        <v>746200</v>
      </c>
      <c r="E100" s="707">
        <f>IFERROR(VLOOKUP($A99,ReceitaBruta,COLUMN('A4 - Previsão de Receita Bruta'!F102)-1,0),0)</f>
        <v>770300</v>
      </c>
      <c r="F100" s="707">
        <f>IFERROR(VLOOKUP($A99,ReceitaBruta,COLUMN('A4 - Previsão de Receita Bruta'!G102)-1,0),0)</f>
        <v>794750</v>
      </c>
      <c r="G100" s="707">
        <f>IFERROR(VLOOKUP($A99,ReceitaBruta,COLUMN('A4 - Previsão de Receita Bruta'!H102)-1,0),0)</f>
        <v>819650</v>
      </c>
      <c r="H100" s="707">
        <f>IFERROR(VLOOKUP($A99,ReceitaBruta,COLUMN('A4 - Previsão de Receita Bruta'!I102)-1,0),0)</f>
        <v>845300</v>
      </c>
      <c r="I100" s="707">
        <f>IFERROR(VLOOKUP($A99,ReceitaBruta,COLUMN('A4 - Previsão de Receita Bruta'!J102)-1,0),0)</f>
        <v>871650</v>
      </c>
      <c r="J100" s="707">
        <f>IFERROR(VLOOKUP($A99,ReceitaBruta,COLUMN('A4 - Previsão de Receita Bruta'!K102)-1,0),0)</f>
        <v>898500</v>
      </c>
      <c r="K100" s="707">
        <f>IFERROR(VLOOKUP($A99,ReceitaBruta,COLUMN('A4 - Previsão de Receita Bruta'!L102)-1,0),0)</f>
        <v>925800</v>
      </c>
      <c r="L100" s="707">
        <f>IFERROR(VLOOKUP($A99,ReceitaBruta,COLUMN('A4 - Previsão de Receita Bruta'!M102)-1,0),0)</f>
        <v>954000</v>
      </c>
      <c r="M100" s="707">
        <f>IFERROR(VLOOKUP($A99,ReceitaBruta,COLUMN('A4 - Previsão de Receita Bruta'!N102)-1,0),0)</f>
        <v>983050</v>
      </c>
      <c r="N100" s="707">
        <f>IFERROR(VLOOKUP($A99,ReceitaBruta,COLUMN('A4 - Previsão de Receita Bruta'!O102)-1,0),0)</f>
        <v>1013000</v>
      </c>
      <c r="O100" s="707">
        <f>IFERROR(VLOOKUP($A99,ReceitaBruta,COLUMN('A4 - Previsão de Receita Bruta'!P102)-1,0),0)</f>
        <v>1043900</v>
      </c>
      <c r="P100" s="707">
        <f>IFERROR(VLOOKUP($A99,ReceitaBruta,COLUMN('A4 - Previsão de Receita Bruta'!Q102)-1,0),0)</f>
        <v>1075700</v>
      </c>
      <c r="Q100" s="707">
        <f>IFERROR(VLOOKUP($A99,ReceitaBruta,COLUMN('A4 - Previsão de Receita Bruta'!R102)-1,0),0)</f>
        <v>1108350</v>
      </c>
      <c r="R100" s="707">
        <f>IFERROR(VLOOKUP($A99,ReceitaBruta,COLUMN('A4 - Previsão de Receita Bruta'!S102)-1,0),0)</f>
        <v>1141850</v>
      </c>
      <c r="S100" s="707">
        <f>IFERROR(VLOOKUP($A99,ReceitaBruta,COLUMN('A4 - Previsão de Receita Bruta'!T102)-1,0),0)</f>
        <v>1176100</v>
      </c>
      <c r="T100" s="707">
        <f>IFERROR(VLOOKUP($A99,ReceitaBruta,COLUMN('A4 - Previsão de Receita Bruta'!U102)-1,0),0)</f>
        <v>1210950</v>
      </c>
      <c r="U100" s="707">
        <f>IFERROR(VLOOKUP($A99,ReceitaBruta,COLUMN('A4 - Previsão de Receita Bruta'!V102)-1,0),0)</f>
        <v>1246250</v>
      </c>
      <c r="V100" s="707">
        <f>IFERROR(VLOOKUP($A99,ReceitaBruta,COLUMN('A4 - Previsão de Receita Bruta'!W102)-1,0),0)</f>
        <v>1246250</v>
      </c>
      <c r="W100" s="707">
        <f>IFERROR(VLOOKUP($A99,ReceitaBruta,COLUMN('A4 - Previsão de Receita Bruta'!X102)-1,0),0)</f>
        <v>1246250</v>
      </c>
      <c r="X100" s="707">
        <f>IFERROR(VLOOKUP($A99,ReceitaBruta,COLUMN('A4 - Previsão de Receita Bruta'!Y102)-1,0),0)</f>
        <v>1246250</v>
      </c>
      <c r="Y100" s="707">
        <f>IFERROR(VLOOKUP($A99,ReceitaBruta,COLUMN('A4 - Previsão de Receita Bruta'!Z102)-1,0),0)</f>
        <v>1246250</v>
      </c>
      <c r="Z100" s="707">
        <f>IFERROR(VLOOKUP($A99,ReceitaBruta,COLUMN('A4 - Previsão de Receita Bruta'!AA102)-1,0),0)</f>
        <v>1246250</v>
      </c>
      <c r="AA100" s="707">
        <f>IFERROR(VLOOKUP($A99,ReceitaBruta,COLUMN('A4 - Previsão de Receita Bruta'!AB102)-1,0),0)</f>
        <v>1246250</v>
      </c>
      <c r="AB100" s="707">
        <f>IFERROR(VLOOKUP($A99,ReceitaBruta,COLUMN('A4 - Previsão de Receita Bruta'!AC102)-1,0),0)</f>
        <v>1246250</v>
      </c>
      <c r="AC100" s="707">
        <f>IFERROR(VLOOKUP($A99,ReceitaBruta,COLUMN('A4 - Previsão de Receita Bruta'!AD102)-1,0),0)</f>
        <v>1246250</v>
      </c>
      <c r="AD100" s="707">
        <f>IFERROR(VLOOKUP($A99,ReceitaBruta,COLUMN('A4 - Previsão de Receita Bruta'!AE102)-1,0),0)</f>
        <v>1246250</v>
      </c>
      <c r="AE100" s="707">
        <f>IFERROR(VLOOKUP($A99,ReceitaBruta,COLUMN('A4 - Previsão de Receita Bruta'!AF102)-1,0),0)</f>
        <v>1246250</v>
      </c>
      <c r="AF100" s="594"/>
      <c r="AG100" s="594"/>
      <c r="AH100" s="594"/>
      <c r="AI100" s="594"/>
      <c r="AJ100" s="594"/>
      <c r="AK100" s="594"/>
      <c r="AL100" s="594"/>
      <c r="AM100" s="594"/>
      <c r="AN100" s="594"/>
      <c r="AO100" s="594"/>
      <c r="AP100" s="594"/>
      <c r="AQ100" s="594"/>
      <c r="AR100" s="594"/>
      <c r="AS100" s="594"/>
      <c r="AT100" s="594"/>
      <c r="AU100" s="594"/>
      <c r="AV100" s="594"/>
      <c r="AW100" s="594"/>
      <c r="AX100" s="594"/>
      <c r="AY100" s="594"/>
      <c r="AZ100" s="594"/>
      <c r="BA100" s="594"/>
      <c r="BB100" s="594"/>
      <c r="BC100" s="594"/>
      <c r="BD100" s="594"/>
      <c r="BE100" s="594"/>
      <c r="BF100" s="594"/>
      <c r="BG100" s="594"/>
      <c r="BH100" s="594"/>
      <c r="BI100" s="594"/>
      <c r="BJ100" s="594"/>
      <c r="BK100" s="594"/>
      <c r="BL100" s="57"/>
      <c r="BM100" s="594"/>
      <c r="BN100" s="594"/>
      <c r="BO100" s="594"/>
      <c r="BP100" s="594"/>
      <c r="BQ100" s="594"/>
      <c r="BR100" s="594"/>
      <c r="BS100" s="594"/>
      <c r="BT100" s="594"/>
      <c r="BU100" s="594"/>
      <c r="BV100" s="594"/>
      <c r="BW100" s="594"/>
      <c r="BX100" s="594"/>
      <c r="BY100" s="594"/>
      <c r="BZ100" s="594"/>
      <c r="CA100" s="594"/>
      <c r="CB100" s="594"/>
      <c r="CC100" s="594"/>
      <c r="CD100" s="594"/>
      <c r="CE100" s="594"/>
      <c r="CF100" s="594"/>
      <c r="CG100" s="594"/>
      <c r="CH100" s="594"/>
      <c r="CI100" s="594"/>
      <c r="CJ100" s="594"/>
      <c r="CK100" s="594"/>
      <c r="CL100" s="594"/>
      <c r="CM100" s="594"/>
      <c r="CN100" s="594"/>
      <c r="CO100" s="594"/>
      <c r="CP100" s="594"/>
      <c r="CQ100" s="594"/>
    </row>
    <row r="101" spans="1:95" ht="21" hidden="1" customHeight="1" outlineLevel="1">
      <c r="A101" s="708" t="s">
        <v>681</v>
      </c>
      <c r="B101" s="707">
        <f>IFERROR(-'E2 - Tributos'!D$19*VLOOKUP('F1 - FCL'!$A99,ReceitaBruta,COLUMN('A4 - Previsão de Receita Bruta'!C$6)-1,0),0)</f>
        <v>0</v>
      </c>
      <c r="C101" s="707">
        <f>IFERROR(-'E2 - Tributos'!E$19*VLOOKUP('F1 - FCL'!$A99,ReceitaBruta,COLUMN('A4 - Previsão de Receita Bruta'!D$6)-1,0),0)</f>
        <v>-129464.87886558683</v>
      </c>
      <c r="D101" s="707">
        <f>IFERROR(-'E2 - Tributos'!F$19*VLOOKUP('F1 - FCL'!$A99,ReceitaBruta,COLUMN('A4 - Previsão de Receita Bruta'!E$6)-1,0),0)</f>
        <v>-133934.32438924914</v>
      </c>
      <c r="E101" s="707">
        <f>IFERROR(-'E2 - Tributos'!G$19*VLOOKUP('F1 - FCL'!$A99,ReceitaBruta,COLUMN('A4 - Previsão de Receita Bruta'!F$6)-1,0),0)</f>
        <v>-138259.88481456201</v>
      </c>
      <c r="F101" s="707">
        <f>IFERROR(-'E2 - Tributos'!H$19*VLOOKUP('F1 - FCL'!$A99,ReceitaBruta,COLUMN('A4 - Previsão de Receita Bruta'!G$6)-1,0),0)</f>
        <v>-142648.23322346591</v>
      </c>
      <c r="G101" s="707">
        <f>IFERROR(-'E2 - Tributos'!I$19*VLOOKUP('F1 - FCL'!$A99,ReceitaBruta,COLUMN('A4 - Previsão de Receita Bruta'!H$6)-1,0),0)</f>
        <v>-147117.3949116783</v>
      </c>
      <c r="H101" s="707">
        <f>IFERROR(-'E2 - Tributos'!J$19*VLOOKUP('F1 - FCL'!$A99,ReceitaBruta,COLUMN('A4 - Previsão de Receita Bruta'!I$6)-1,0),0)</f>
        <v>-151721.59589870748</v>
      </c>
      <c r="I101" s="707">
        <f>IFERROR(-'E2 - Tributos'!K$19*VLOOKUP('F1 - FCL'!$A99,ReceitaBruta,COLUMN('A4 - Previsão de Receita Bruta'!J$6)-1,0),0)</f>
        <v>-156451.03533599569</v>
      </c>
      <c r="J101" s="707">
        <f>IFERROR(-'E2 - Tributos'!L$19*VLOOKUP('F1 - FCL'!$A99,ReceitaBruta,COLUMN('A4 - Previsão de Receita Bruta'!K$6)-1,0),0)</f>
        <v>-161270.40628440987</v>
      </c>
      <c r="K101" s="707">
        <f>IFERROR(-'E2 - Tributos'!M$19*VLOOKUP('F1 - FCL'!$A99,ReceitaBruta,COLUMN('A4 - Previsão de Receita Bruta'!L$6)-1,0),0)</f>
        <v>-166170.04461230934</v>
      </c>
      <c r="L101" s="707">
        <f>IFERROR(-'E2 - Tributos'!N$19*VLOOKUP('F1 - FCL'!$A99,ReceitaBruta,COLUMN('A4 - Previsão de Receita Bruta'!M$6)-1,0),0)</f>
        <v>-171231.72726380519</v>
      </c>
      <c r="M101" s="707">
        <f>IFERROR(-'E2 - Tributos'!O$19*VLOOKUP('F1 - FCL'!$A99,ReceitaBruta,COLUMN('A4 - Previsão de Receita Bruta'!N$6)-1,0),0)</f>
        <v>-176445.97799231627</v>
      </c>
      <c r="N101" s="707">
        <f>IFERROR(-'E2 - Tributos'!P$19*VLOOKUP('F1 - FCL'!$A99,ReceitaBruta,COLUMN('A4 - Previsão de Receita Bruta'!O$6)-1,0),0)</f>
        <v>-181821.54662792536</v>
      </c>
      <c r="O101" s="707">
        <f>IFERROR(-'E2 - Tributos'!Q$19*VLOOKUP('F1 - FCL'!$A99,ReceitaBruta,COLUMN('A4 - Previsão de Receita Bruta'!P$6)-1,0),0)</f>
        <v>-187367.80940169931</v>
      </c>
      <c r="P101" s="707">
        <f>IFERROR(-'E2 - Tributos'!R$19*VLOOKUP('F1 - FCL'!$A99,ReceitaBruta,COLUMN('A4 - Previsão de Receita Bruta'!Q$6)-1,0),0)</f>
        <v>-193075.53668214867</v>
      </c>
      <c r="Q101" s="707">
        <f>IFERROR(-'E2 - Tributos'!S$19*VLOOKUP('F1 - FCL'!$A99,ReceitaBruta,COLUMN('A4 - Previsão de Receita Bruta'!R$6)-1,0),0)</f>
        <v>-198935.74595248711</v>
      </c>
      <c r="R101" s="707">
        <f>IFERROR(-'E2 - Tributos'!T$19*VLOOKUP('F1 - FCL'!$A99,ReceitaBruta,COLUMN('A4 - Previsão de Receita Bruta'!S$6)-1,0),0)</f>
        <v>-204948.50152413262</v>
      </c>
      <c r="S101" s="707">
        <f>IFERROR(-'E2 - Tributos'!U$19*VLOOKUP('F1 - FCL'!$A99,ReceitaBruta,COLUMN('A4 - Previsão de Receita Bruta'!T$6)-1,0),0)</f>
        <v>-211096.17156696026</v>
      </c>
      <c r="T101" s="707">
        <f>IFERROR(-'E2 - Tributos'!V$19*VLOOKUP('F1 - FCL'!$A99,ReceitaBruta,COLUMN('A4 - Previsão de Receita Bruta'!U$6)-1,0),0)</f>
        <v>-217351.50495858298</v>
      </c>
      <c r="U101" s="707">
        <f>IFERROR(-'E2 - Tributos'!W$19*VLOOKUP('F1 - FCL'!$A99,ReceitaBruta,COLUMN('A4 - Previsão de Receita Bruta'!V$6)-1,0),0)</f>
        <v>-223687.41260389404</v>
      </c>
      <c r="V101" s="707">
        <f>IFERROR(-'E2 - Tributos'!X$19*VLOOKUP('F1 - FCL'!$A99,ReceitaBruta,COLUMN('A4 - Previsão de Receita Bruta'!W$6)-1,0),0)</f>
        <v>-223687.41260389404</v>
      </c>
      <c r="W101" s="707">
        <f>IFERROR(-'E2 - Tributos'!Y$19*VLOOKUP('F1 - FCL'!$A99,ReceitaBruta,COLUMN('A4 - Previsão de Receita Bruta'!X$6)-1,0),0)</f>
        <v>-223687.41260389404</v>
      </c>
      <c r="X101" s="707">
        <f>IFERROR(-'E2 - Tributos'!Z$19*VLOOKUP('F1 - FCL'!$A99,ReceitaBruta,COLUMN('A4 - Previsão de Receita Bruta'!Y$6)-1,0),0)</f>
        <v>-223687.41260389404</v>
      </c>
      <c r="Y101" s="707">
        <f>IFERROR(-'E2 - Tributos'!AA$19*VLOOKUP('F1 - FCL'!$A99,ReceitaBruta,COLUMN('A4 - Previsão de Receita Bruta'!Z$6)-1,0),0)</f>
        <v>-223687.41260389404</v>
      </c>
      <c r="Z101" s="707">
        <f>IFERROR(-'E2 - Tributos'!AB$19*VLOOKUP('F1 - FCL'!$A99,ReceitaBruta,COLUMN('A4 - Previsão de Receita Bruta'!AA$6)-1,0),0)</f>
        <v>-223687.41260389404</v>
      </c>
      <c r="AA101" s="707">
        <f>IFERROR(-'E2 - Tributos'!AC$19*VLOOKUP('F1 - FCL'!$A99,ReceitaBruta,COLUMN('A4 - Previsão de Receita Bruta'!AB$6)-1,0),0)</f>
        <v>-223687.41260389404</v>
      </c>
      <c r="AB101" s="707">
        <f>IFERROR(-'E2 - Tributos'!AD$19*VLOOKUP('F1 - FCL'!$A99,ReceitaBruta,COLUMN('A4 - Previsão de Receita Bruta'!AC$6)-1,0),0)</f>
        <v>-223687.41260389404</v>
      </c>
      <c r="AC101" s="707">
        <f>IFERROR(-'E2 - Tributos'!AE$19*VLOOKUP('F1 - FCL'!$A99,ReceitaBruta,COLUMN('A4 - Previsão de Receita Bruta'!AD$6)-1,0),0)</f>
        <v>-223687.41260389404</v>
      </c>
      <c r="AD101" s="707">
        <f>IFERROR(-'E2 - Tributos'!AF$19*VLOOKUP('F1 - FCL'!$A99,ReceitaBruta,COLUMN('A4 - Previsão de Receita Bruta'!AE$6)-1,0),0)</f>
        <v>-223687.41260389404</v>
      </c>
      <c r="AE101" s="707">
        <f>IFERROR(-'E2 - Tributos'!AG$19*VLOOKUP('F1 - FCL'!$A99,ReceitaBruta,COLUMN('A4 - Previsão de Receita Bruta'!AF$6)-1,0),0)</f>
        <v>-223687.41260389404</v>
      </c>
      <c r="AF101" s="594"/>
      <c r="AG101" s="594"/>
      <c r="AH101" s="594"/>
      <c r="AI101" s="594"/>
      <c r="AJ101" s="594"/>
      <c r="AK101" s="594"/>
      <c r="AL101" s="594"/>
      <c r="AM101" s="594"/>
      <c r="AN101" s="594"/>
      <c r="AO101" s="594"/>
      <c r="AP101" s="594"/>
      <c r="AQ101" s="594"/>
      <c r="AR101" s="594"/>
      <c r="AS101" s="594"/>
      <c r="AT101" s="594"/>
      <c r="AU101" s="594"/>
      <c r="AV101" s="594"/>
      <c r="AW101" s="594"/>
      <c r="AX101" s="594"/>
      <c r="AY101" s="594"/>
      <c r="AZ101" s="594"/>
      <c r="BA101" s="594"/>
      <c r="BB101" s="594"/>
      <c r="BC101" s="594"/>
      <c r="BD101" s="594"/>
      <c r="BE101" s="594"/>
      <c r="BF101" s="594"/>
      <c r="BG101" s="594"/>
      <c r="BH101" s="594"/>
      <c r="BI101" s="594"/>
      <c r="BJ101" s="594"/>
      <c r="BK101" s="594"/>
      <c r="BL101" s="57"/>
      <c r="BM101" s="594"/>
      <c r="BN101" s="594"/>
      <c r="BO101" s="594"/>
      <c r="BP101" s="594"/>
      <c r="BQ101" s="594"/>
      <c r="BR101" s="594"/>
      <c r="BS101" s="594"/>
      <c r="BT101" s="594"/>
      <c r="BU101" s="594"/>
      <c r="BV101" s="594"/>
      <c r="BW101" s="594"/>
      <c r="BX101" s="594"/>
      <c r="BY101" s="594"/>
      <c r="BZ101" s="594"/>
      <c r="CA101" s="594"/>
      <c r="CB101" s="594"/>
      <c r="CC101" s="594"/>
      <c r="CD101" s="594"/>
      <c r="CE101" s="594"/>
      <c r="CF101" s="594"/>
      <c r="CG101" s="594"/>
      <c r="CH101" s="594"/>
      <c r="CI101" s="594"/>
      <c r="CJ101" s="594"/>
      <c r="CK101" s="594"/>
      <c r="CL101" s="594"/>
      <c r="CM101" s="594"/>
      <c r="CN101" s="594"/>
      <c r="CO101" s="594"/>
      <c r="CP101" s="594"/>
      <c r="CQ101" s="594"/>
    </row>
    <row r="102" spans="1:95" ht="19.5" hidden="1" customHeight="1" outlineLevel="1">
      <c r="A102" s="708" t="s">
        <v>590</v>
      </c>
      <c r="B102" s="707">
        <f t="shared" ref="B102:AE102" si="33">SUM(B103:B107)</f>
        <v>-6966.5</v>
      </c>
      <c r="C102" s="707">
        <f t="shared" si="33"/>
        <v>-389280.84062852</v>
      </c>
      <c r="D102" s="707">
        <f t="shared" si="33"/>
        <v>-398394.24062852003</v>
      </c>
      <c r="E102" s="707">
        <f t="shared" si="33"/>
        <v>-407214.84062852</v>
      </c>
      <c r="F102" s="707">
        <f t="shared" si="33"/>
        <v>-416163.54062852002</v>
      </c>
      <c r="G102" s="707">
        <f t="shared" si="33"/>
        <v>-425276.94062852004</v>
      </c>
      <c r="H102" s="707">
        <f t="shared" si="33"/>
        <v>-434664.84062852</v>
      </c>
      <c r="I102" s="707">
        <f t="shared" si="33"/>
        <v>-444308.94062852004</v>
      </c>
      <c r="J102" s="707">
        <f t="shared" si="33"/>
        <v>-454136.04062852002</v>
      </c>
      <c r="K102" s="707">
        <f t="shared" si="33"/>
        <v>-464127.84062852</v>
      </c>
      <c r="L102" s="707">
        <f t="shared" si="33"/>
        <v>-474449.04062852002</v>
      </c>
      <c r="M102" s="707">
        <f t="shared" si="33"/>
        <v>-485081.34062852</v>
      </c>
      <c r="N102" s="707">
        <f t="shared" si="33"/>
        <v>-496043.04062852002</v>
      </c>
      <c r="O102" s="707">
        <f t="shared" si="33"/>
        <v>-507352.44062852004</v>
      </c>
      <c r="P102" s="707">
        <f t="shared" si="33"/>
        <v>-518991.24062852003</v>
      </c>
      <c r="Q102" s="707">
        <f t="shared" si="33"/>
        <v>-530941.14062852005</v>
      </c>
      <c r="R102" s="707">
        <f t="shared" si="33"/>
        <v>-543202.14062852005</v>
      </c>
      <c r="S102" s="707">
        <f t="shared" si="33"/>
        <v>-555737.64062852005</v>
      </c>
      <c r="T102" s="707">
        <f t="shared" si="33"/>
        <v>-568492.74062852003</v>
      </c>
      <c r="U102" s="707">
        <f t="shared" si="33"/>
        <v>-581412.54062852007</v>
      </c>
      <c r="V102" s="707">
        <f t="shared" si="33"/>
        <v>-581412.54062852007</v>
      </c>
      <c r="W102" s="707">
        <f t="shared" si="33"/>
        <v>-581412.54062852007</v>
      </c>
      <c r="X102" s="707">
        <f t="shared" si="33"/>
        <v>-581412.54062852007</v>
      </c>
      <c r="Y102" s="707">
        <f t="shared" si="33"/>
        <v>-581412.54062852007</v>
      </c>
      <c r="Z102" s="707">
        <f t="shared" si="33"/>
        <v>-581412.54062852007</v>
      </c>
      <c r="AA102" s="707">
        <f t="shared" si="33"/>
        <v>-581412.54062852007</v>
      </c>
      <c r="AB102" s="707">
        <f t="shared" si="33"/>
        <v>-581412.54062852007</v>
      </c>
      <c r="AC102" s="707">
        <f t="shared" si="33"/>
        <v>-581412.54062852007</v>
      </c>
      <c r="AD102" s="707">
        <f t="shared" si="33"/>
        <v>-581412.54062852007</v>
      </c>
      <c r="AE102" s="707">
        <f t="shared" si="33"/>
        <v>-581412.54062852007</v>
      </c>
      <c r="AF102" s="594"/>
      <c r="AG102" s="594"/>
      <c r="AH102" s="594"/>
      <c r="AI102" s="594"/>
      <c r="AJ102" s="594"/>
      <c r="AK102" s="594"/>
      <c r="AL102" s="594"/>
      <c r="AM102" s="594"/>
      <c r="AN102" s="594"/>
      <c r="AO102" s="594"/>
      <c r="AP102" s="594"/>
      <c r="AQ102" s="594"/>
      <c r="AR102" s="594"/>
      <c r="AS102" s="594"/>
      <c r="AT102" s="594"/>
      <c r="AU102" s="594"/>
      <c r="AV102" s="594"/>
      <c r="AW102" s="594"/>
      <c r="AX102" s="594"/>
      <c r="AY102" s="594"/>
      <c r="AZ102" s="594"/>
      <c r="BA102" s="594"/>
      <c r="BB102" s="594"/>
      <c r="BC102" s="594"/>
      <c r="BD102" s="594"/>
      <c r="BE102" s="594"/>
      <c r="BF102" s="594"/>
      <c r="BG102" s="594"/>
      <c r="BH102" s="594"/>
      <c r="BI102" s="594"/>
      <c r="BJ102" s="594"/>
      <c r="BK102" s="594"/>
      <c r="BL102" s="57"/>
      <c r="BM102" s="594"/>
      <c r="BN102" s="594"/>
      <c r="BO102" s="594"/>
      <c r="BP102" s="594"/>
      <c r="BQ102" s="594"/>
      <c r="BR102" s="594"/>
      <c r="BS102" s="594"/>
      <c r="BT102" s="594"/>
      <c r="BU102" s="594"/>
      <c r="BV102" s="594"/>
      <c r="BW102" s="594"/>
      <c r="BX102" s="594"/>
      <c r="BY102" s="594"/>
      <c r="BZ102" s="594"/>
      <c r="CA102" s="594"/>
      <c r="CB102" s="594"/>
      <c r="CC102" s="594"/>
      <c r="CD102" s="594"/>
      <c r="CE102" s="594"/>
      <c r="CF102" s="594"/>
      <c r="CG102" s="594"/>
      <c r="CH102" s="594"/>
      <c r="CI102" s="594"/>
      <c r="CJ102" s="594"/>
      <c r="CK102" s="594"/>
      <c r="CL102" s="594"/>
      <c r="CM102" s="594"/>
      <c r="CN102" s="594"/>
      <c r="CO102" s="594"/>
      <c r="CP102" s="594"/>
      <c r="CQ102" s="594"/>
    </row>
    <row r="103" spans="1:95" ht="21" hidden="1" customHeight="1" outlineLevel="2">
      <c r="A103" s="709" t="s">
        <v>682</v>
      </c>
      <c r="B103" s="710">
        <f>IF($A99="",0,-SUMIF('C3 - Funcionários $'!$D$7:$D$121,$A99,'C3 - Funcionários $'!G$7:G$121))</f>
        <v>0</v>
      </c>
      <c r="C103" s="710">
        <f>IF($A99="",0,-SUMIF('C3 - Funcionários $'!$D$7:$D$121,$A99,'C3 - Funcionários $'!H$7:H$121))</f>
        <v>-118318.54062852003</v>
      </c>
      <c r="D103" s="710">
        <f>IF($A99="",0,-SUMIF('C3 - Funcionários $'!$D$7:$D$121,$A99,'C3 - Funcionários $'!I$7:I$121))</f>
        <v>-118318.54062852003</v>
      </c>
      <c r="E103" s="710">
        <f>IF($A99="",0,-SUMIF('C3 - Funcionários $'!$D$7:$D$121,$A99,'C3 - Funcionários $'!J$7:J$121))</f>
        <v>-118318.54062852003</v>
      </c>
      <c r="F103" s="710">
        <f>IF($A99="",0,-SUMIF('C3 - Funcionários $'!$D$7:$D$121,$A99,'C3 - Funcionários $'!K$7:K$121))</f>
        <v>-118318.54062852003</v>
      </c>
      <c r="G103" s="710">
        <f>IF($A99="",0,-SUMIF('C3 - Funcionários $'!$D$7:$D$121,$A99,'C3 - Funcionários $'!L$7:L$121))</f>
        <v>-118318.54062852003</v>
      </c>
      <c r="H103" s="710">
        <f>IF($A99="",0,-SUMIF('C3 - Funcionários $'!$D$7:$D$121,$A99,'C3 - Funcionários $'!M$7:M$121))</f>
        <v>-118318.54062852003</v>
      </c>
      <c r="I103" s="710">
        <f>IF($A99="",0,-SUMIF('C3 - Funcionários $'!$D$7:$D$121,$A99,'C3 - Funcionários $'!N$7:N$121))</f>
        <v>-118318.54062852003</v>
      </c>
      <c r="J103" s="710">
        <f>IF($A99="",0,-SUMIF('C3 - Funcionários $'!$D$7:$D$121,$A99,'C3 - Funcionários $'!O$7:O$121))</f>
        <v>-118318.54062852003</v>
      </c>
      <c r="K103" s="710">
        <f>IF($A99="",0,-SUMIF('C3 - Funcionários $'!$D$7:$D$121,$A99,'C3 - Funcionários $'!P$7:P$121))</f>
        <v>-118318.54062852003</v>
      </c>
      <c r="L103" s="710">
        <f>IF($A99="",0,-SUMIF('C3 - Funcionários $'!$D$7:$D$121,$A99,'C3 - Funcionários $'!Q$7:Q$121))</f>
        <v>-118318.54062852003</v>
      </c>
      <c r="M103" s="710">
        <f>IF($A99="",0,-SUMIF('C3 - Funcionários $'!$D$7:$D$121,$A99,'C3 - Funcionários $'!R$7:R$121))</f>
        <v>-118318.54062852003</v>
      </c>
      <c r="N103" s="710">
        <f>IF($A99="",0,-SUMIF('C3 - Funcionários $'!$D$7:$D$121,$A99,'C3 - Funcionários $'!S$7:S$121))</f>
        <v>-118318.54062852003</v>
      </c>
      <c r="O103" s="710">
        <f>IF($A99="",0,-SUMIF('C3 - Funcionários $'!$D$7:$D$121,$A99,'C3 - Funcionários $'!T$7:T$121))</f>
        <v>-118318.54062852003</v>
      </c>
      <c r="P103" s="710">
        <f>IF($A99="",0,-SUMIF('C3 - Funcionários $'!$D$7:$D$121,$A99,'C3 - Funcionários $'!U$7:U$121))</f>
        <v>-118318.54062852003</v>
      </c>
      <c r="Q103" s="710">
        <f>IF($A99="",0,-SUMIF('C3 - Funcionários $'!$D$7:$D$121,$A99,'C3 - Funcionários $'!V$7:V$121))</f>
        <v>-118318.54062852003</v>
      </c>
      <c r="R103" s="710">
        <f>IF($A99="",0,-SUMIF('C3 - Funcionários $'!$D$7:$D$121,$A99,'C3 - Funcionários $'!W$7:W$121))</f>
        <v>-118318.54062852003</v>
      </c>
      <c r="S103" s="710">
        <f>IF($A99="",0,-SUMIF('C3 - Funcionários $'!$D$7:$D$121,$A99,'C3 - Funcionários $'!X$7:X$121))</f>
        <v>-118318.54062852003</v>
      </c>
      <c r="T103" s="710">
        <f>IF($A99="",0,-SUMIF('C3 - Funcionários $'!$D$7:$D$121,$A99,'C3 - Funcionários $'!Y$7:Y$121))</f>
        <v>-118318.54062852003</v>
      </c>
      <c r="U103" s="710">
        <f>IF($A99="",0,-SUMIF('C3 - Funcionários $'!$D$7:$D$121,$A99,'C3 - Funcionários $'!Z$7:Z$121))</f>
        <v>-118318.54062852003</v>
      </c>
      <c r="V103" s="710">
        <f>IF($A99="",0,-SUMIF('C3 - Funcionários $'!$D$7:$D$121,$A99,'C3 - Funcionários $'!AA$7:AA$121))</f>
        <v>-118318.54062852003</v>
      </c>
      <c r="W103" s="710">
        <f>IF($A99="",0,-SUMIF('C3 - Funcionários $'!$D$7:$D$121,$A99,'C3 - Funcionários $'!AB$7:AB$121))</f>
        <v>-118318.54062852003</v>
      </c>
      <c r="X103" s="710">
        <f>IF($A99="",0,-SUMIF('C3 - Funcionários $'!$D$7:$D$121,$A99,'C3 - Funcionários $'!AC$7:AC$121))</f>
        <v>-118318.54062852003</v>
      </c>
      <c r="Y103" s="710">
        <f>IF($A99="",0,-SUMIF('C3 - Funcionários $'!$D$7:$D$121,$A99,'C3 - Funcionários $'!AD$7:AD$121))</f>
        <v>-118318.54062852003</v>
      </c>
      <c r="Z103" s="710">
        <f>IF($A99="",0,-SUMIF('C3 - Funcionários $'!$D$7:$D$121,$A99,'C3 - Funcionários $'!AE$7:AE$121))</f>
        <v>-118318.54062852003</v>
      </c>
      <c r="AA103" s="710">
        <f>IF($A99="",0,-SUMIF('C3 - Funcionários $'!$D$7:$D$121,$A99,'C3 - Funcionários $'!AF$7:AF$121))</f>
        <v>-118318.54062852003</v>
      </c>
      <c r="AB103" s="710">
        <f>IF($A99="",0,-SUMIF('C3 - Funcionários $'!$D$7:$D$121,$A99,'C3 - Funcionários $'!AG$7:AG$121))</f>
        <v>-118318.54062852003</v>
      </c>
      <c r="AC103" s="710">
        <f>IF($A99="",0,-SUMIF('C3 - Funcionários $'!$D$7:$D$121,$A99,'C3 - Funcionários $'!AH$7:AH$121))</f>
        <v>-118318.54062852003</v>
      </c>
      <c r="AD103" s="710">
        <f>IF($A99="",0,-SUMIF('C3 - Funcionários $'!$D$7:$D$121,$A99,'C3 - Funcionários $'!AI$7:AI$121))</f>
        <v>-118318.54062852003</v>
      </c>
      <c r="AE103" s="710">
        <f>IF($A99="",0,-SUMIF('C3 - Funcionários $'!$D$7:$D$121,$A99,'C3 - Funcionários $'!AJ$7:AJ$121))</f>
        <v>-118318.54062852003</v>
      </c>
      <c r="AF103" s="594"/>
      <c r="AG103" s="594"/>
      <c r="AH103" s="594"/>
      <c r="AI103" s="594"/>
      <c r="AJ103" s="594"/>
      <c r="AK103" s="594"/>
      <c r="AL103" s="594"/>
      <c r="AM103" s="594"/>
      <c r="AN103" s="594"/>
      <c r="AO103" s="594"/>
      <c r="AP103" s="594"/>
      <c r="AQ103" s="594"/>
      <c r="AR103" s="594"/>
      <c r="AS103" s="594"/>
      <c r="AT103" s="594"/>
      <c r="AU103" s="594"/>
      <c r="AV103" s="594"/>
      <c r="AW103" s="594"/>
      <c r="AX103" s="594"/>
      <c r="AY103" s="594"/>
      <c r="AZ103" s="594"/>
      <c r="BA103" s="594"/>
      <c r="BB103" s="594"/>
      <c r="BC103" s="594"/>
      <c r="BD103" s="594"/>
      <c r="BE103" s="594"/>
      <c r="BF103" s="594"/>
      <c r="BG103" s="594"/>
      <c r="BH103" s="594"/>
      <c r="BI103" s="594"/>
      <c r="BJ103" s="594"/>
      <c r="BK103" s="594"/>
      <c r="BL103" s="57"/>
      <c r="BM103" s="594"/>
      <c r="BN103" s="594"/>
      <c r="BO103" s="594"/>
      <c r="BP103" s="594"/>
      <c r="BQ103" s="594"/>
      <c r="BR103" s="594"/>
      <c r="BS103" s="594"/>
      <c r="BT103" s="594"/>
      <c r="BU103" s="594"/>
      <c r="BV103" s="594"/>
      <c r="BW103" s="594"/>
      <c r="BX103" s="594"/>
      <c r="BY103" s="594"/>
      <c r="BZ103" s="594"/>
      <c r="CA103" s="594"/>
      <c r="CB103" s="594"/>
      <c r="CC103" s="594"/>
      <c r="CD103" s="594"/>
      <c r="CE103" s="594"/>
      <c r="CF103" s="594"/>
      <c r="CG103" s="594"/>
      <c r="CH103" s="594"/>
      <c r="CI103" s="594"/>
      <c r="CJ103" s="594"/>
      <c r="CK103" s="594"/>
      <c r="CL103" s="594"/>
      <c r="CM103" s="594"/>
      <c r="CN103" s="594"/>
      <c r="CO103" s="594"/>
      <c r="CP103" s="594"/>
      <c r="CQ103" s="594"/>
    </row>
    <row r="104" spans="1:95" ht="21" hidden="1" customHeight="1" outlineLevel="2">
      <c r="A104" s="709" t="s">
        <v>683</v>
      </c>
      <c r="B104" s="710">
        <f>IFERROR(-VLOOKUP($A99,CustoDiretoTotal,COLUMN('B2 - Custos diretos totais'!C$3)-1,0),0)</f>
        <v>0</v>
      </c>
      <c r="C104" s="710">
        <f>IFERROR(-VLOOKUP($A99,CustoDiretoTotal,COLUMN('B2 - Custos diretos totais'!D$3)-1,0),0)</f>
        <v>-252455</v>
      </c>
      <c r="D104" s="710">
        <f>IFERROR(-VLOOKUP($A99,CustoDiretoTotal,COLUMN('B2 - Custos diretos totais'!E$3)-1,0),0)</f>
        <v>-261170</v>
      </c>
      <c r="E104" s="710">
        <f>IFERROR(-VLOOKUP($A99,CustoDiretoTotal,COLUMN('B2 - Custos diretos totais'!F$3)-1,0),0)</f>
        <v>-269605</v>
      </c>
      <c r="F104" s="710">
        <f>IFERROR(-VLOOKUP($A99,CustoDiretoTotal,COLUMN('B2 - Custos diretos totais'!G$3)-1,0),0)</f>
        <v>-278162.5</v>
      </c>
      <c r="G104" s="710">
        <f>IFERROR(-VLOOKUP($A99,CustoDiretoTotal,COLUMN('B2 - Custos diretos totais'!H$3)-1,0),0)</f>
        <v>-286877.5</v>
      </c>
      <c r="H104" s="710">
        <f>IFERROR(-VLOOKUP($A99,CustoDiretoTotal,COLUMN('B2 - Custos diretos totais'!I$3)-1,0),0)</f>
        <v>-295855</v>
      </c>
      <c r="I104" s="710">
        <f>IFERROR(-VLOOKUP($A99,CustoDiretoTotal,COLUMN('B2 - Custos diretos totais'!J$3)-1,0),0)</f>
        <v>-305077.5</v>
      </c>
      <c r="J104" s="710">
        <f>IFERROR(-VLOOKUP($A99,CustoDiretoTotal,COLUMN('B2 - Custos diretos totais'!K$3)-1,0),0)</f>
        <v>-314475</v>
      </c>
      <c r="K104" s="710">
        <f>IFERROR(-VLOOKUP($A99,CustoDiretoTotal,COLUMN('B2 - Custos diretos totais'!L$3)-1,0),0)</f>
        <v>-324030</v>
      </c>
      <c r="L104" s="710">
        <f>IFERROR(-VLOOKUP($A99,CustoDiretoTotal,COLUMN('B2 - Custos diretos totais'!M$3)-1,0),0)</f>
        <v>-333900</v>
      </c>
      <c r="M104" s="710">
        <f>IFERROR(-VLOOKUP($A99,CustoDiretoTotal,COLUMN('B2 - Custos diretos totais'!N$3)-1,0),0)</f>
        <v>-344067.5</v>
      </c>
      <c r="N104" s="710">
        <f>IFERROR(-VLOOKUP($A99,CustoDiretoTotal,COLUMN('B2 - Custos diretos totais'!O$3)-1,0),0)</f>
        <v>-354550</v>
      </c>
      <c r="O104" s="710">
        <f>IFERROR(-VLOOKUP($A99,CustoDiretoTotal,COLUMN('B2 - Custos diretos totais'!P$3)-1,0),0)</f>
        <v>-365365</v>
      </c>
      <c r="P104" s="710">
        <f>IFERROR(-VLOOKUP($A99,CustoDiretoTotal,COLUMN('B2 - Custos diretos totais'!Q$3)-1,0),0)</f>
        <v>-376495</v>
      </c>
      <c r="Q104" s="710">
        <f>IFERROR(-VLOOKUP($A99,CustoDiretoTotal,COLUMN('B2 - Custos diretos totais'!R$3)-1,0),0)</f>
        <v>-387922.5</v>
      </c>
      <c r="R104" s="710">
        <f>IFERROR(-VLOOKUP($A99,CustoDiretoTotal,COLUMN('B2 - Custos diretos totais'!S$3)-1,0),0)</f>
        <v>-399647.5</v>
      </c>
      <c r="S104" s="710">
        <f>IFERROR(-VLOOKUP($A99,CustoDiretoTotal,COLUMN('B2 - Custos diretos totais'!T$3)-1,0),0)</f>
        <v>-411635</v>
      </c>
      <c r="T104" s="710">
        <f>IFERROR(-VLOOKUP($A99,CustoDiretoTotal,COLUMN('B2 - Custos diretos totais'!U$3)-1,0),0)</f>
        <v>-423832.5</v>
      </c>
      <c r="U104" s="710">
        <f>IFERROR(-VLOOKUP($A99,CustoDiretoTotal,COLUMN('B2 - Custos diretos totais'!V$3)-1,0),0)</f>
        <v>-436187.5</v>
      </c>
      <c r="V104" s="710">
        <f>IFERROR(-VLOOKUP($A99,CustoDiretoTotal,COLUMN('B2 - Custos diretos totais'!W$3)-1,0),0)</f>
        <v>-436187.5</v>
      </c>
      <c r="W104" s="710">
        <f>IFERROR(-VLOOKUP($A99,CustoDiretoTotal,COLUMN('B2 - Custos diretos totais'!X$3)-1,0),0)</f>
        <v>-436187.5</v>
      </c>
      <c r="X104" s="710">
        <f>IFERROR(-VLOOKUP($A99,CustoDiretoTotal,COLUMN('B2 - Custos diretos totais'!Y$3)-1,0),0)</f>
        <v>-436187.5</v>
      </c>
      <c r="Y104" s="710">
        <f>IFERROR(-VLOOKUP($A99,CustoDiretoTotal,COLUMN('B2 - Custos diretos totais'!Z$3)-1,0),0)</f>
        <v>-436187.5</v>
      </c>
      <c r="Z104" s="710">
        <f>IFERROR(-VLOOKUP($A99,CustoDiretoTotal,COLUMN('B2 - Custos diretos totais'!AA$3)-1,0),0)</f>
        <v>-436187.5</v>
      </c>
      <c r="AA104" s="710">
        <f>IFERROR(-VLOOKUP($A99,CustoDiretoTotal,COLUMN('B2 - Custos diretos totais'!AB$3)-1,0),0)</f>
        <v>-436187.5</v>
      </c>
      <c r="AB104" s="710">
        <f>IFERROR(-VLOOKUP($A99,CustoDiretoTotal,COLUMN('B2 - Custos diretos totais'!AC$3)-1,0),0)</f>
        <v>-436187.5</v>
      </c>
      <c r="AC104" s="710">
        <f>IFERROR(-VLOOKUP($A99,CustoDiretoTotal,COLUMN('B2 - Custos diretos totais'!AD$3)-1,0),0)</f>
        <v>-436187.5</v>
      </c>
      <c r="AD104" s="710">
        <f>IFERROR(-VLOOKUP($A99,CustoDiretoTotal,COLUMN('B2 - Custos diretos totais'!AE$3)-1,0),0)</f>
        <v>-436187.5</v>
      </c>
      <c r="AE104" s="710">
        <f>IFERROR(-VLOOKUP($A99,CustoDiretoTotal,COLUMN('B2 - Custos diretos totais'!AF$3)-1,0),0)</f>
        <v>-436187.5</v>
      </c>
      <c r="AF104" s="594"/>
      <c r="AG104" s="594"/>
      <c r="AH104" s="594"/>
      <c r="AI104" s="594"/>
      <c r="AJ104" s="594"/>
      <c r="AK104" s="594"/>
      <c r="AL104" s="594"/>
      <c r="AM104" s="594"/>
      <c r="AN104" s="594"/>
      <c r="AO104" s="594"/>
      <c r="AP104" s="594"/>
      <c r="AQ104" s="594"/>
      <c r="AR104" s="594"/>
      <c r="AS104" s="594"/>
      <c r="AT104" s="594"/>
      <c r="AU104" s="594"/>
      <c r="AV104" s="594"/>
      <c r="AW104" s="594"/>
      <c r="AX104" s="594"/>
      <c r="AY104" s="594"/>
      <c r="AZ104" s="594"/>
      <c r="BA104" s="594"/>
      <c r="BB104" s="594"/>
      <c r="BC104" s="594"/>
      <c r="BD104" s="594"/>
      <c r="BE104" s="594"/>
      <c r="BF104" s="594"/>
      <c r="BG104" s="594"/>
      <c r="BH104" s="594"/>
      <c r="BI104" s="594"/>
      <c r="BJ104" s="594"/>
      <c r="BK104" s="594"/>
      <c r="BL104" s="57"/>
      <c r="BM104" s="594"/>
      <c r="BN104" s="594"/>
      <c r="BO104" s="594"/>
      <c r="BP104" s="594"/>
      <c r="BQ104" s="594"/>
      <c r="BR104" s="594"/>
      <c r="BS104" s="594"/>
      <c r="BT104" s="594"/>
      <c r="BU104" s="594"/>
      <c r="BV104" s="594"/>
      <c r="BW104" s="594"/>
      <c r="BX104" s="594"/>
      <c r="BY104" s="594"/>
      <c r="BZ104" s="594"/>
      <c r="CA104" s="594"/>
      <c r="CB104" s="594"/>
      <c r="CC104" s="594"/>
      <c r="CD104" s="594"/>
      <c r="CE104" s="594"/>
      <c r="CF104" s="594"/>
      <c r="CG104" s="594"/>
      <c r="CH104" s="594"/>
      <c r="CI104" s="594"/>
      <c r="CJ104" s="594"/>
      <c r="CK104" s="594"/>
      <c r="CL104" s="594"/>
      <c r="CM104" s="594"/>
      <c r="CN104" s="594"/>
      <c r="CO104" s="594"/>
      <c r="CP104" s="594"/>
      <c r="CQ104" s="594"/>
    </row>
    <row r="105" spans="1:95" ht="21" hidden="1" customHeight="1" outlineLevel="2">
      <c r="A105" s="709" t="s">
        <v>684</v>
      </c>
      <c r="B105" s="710">
        <f>-SUMIFS('B3 - Custos despesas indiretos'!AK$5:AK$148,'B3 - Custos despesas indiretos'!$B$5:$B$148,"Custos",'B3 - Custos despesas indiretos'!$D$5:$D$148,$A99)</f>
        <v>-6966.5</v>
      </c>
      <c r="C105" s="710">
        <f>-SUMIFS('B3 - Custos despesas indiretos'!AL$5:AL$148,'B3 - Custos despesas indiretos'!$B$5:$B$148,"Custos",'B3 - Custos despesas indiretos'!$D$5:$D$148,$A99)</f>
        <v>-6966.5</v>
      </c>
      <c r="D105" s="710">
        <f>-SUMIFS('B3 - Custos despesas indiretos'!AM$5:AM$148,'B3 - Custos despesas indiretos'!$B$5:$B$148,"Custos",'B3 - Custos despesas indiretos'!$D$5:$D$148,$A99)</f>
        <v>-6966.5</v>
      </c>
      <c r="E105" s="710">
        <f>-SUMIFS('B3 - Custos despesas indiretos'!AN$5:AN$148,'B3 - Custos despesas indiretos'!$B$5:$B$148,"Custos",'B3 - Custos despesas indiretos'!$D$5:$D$148,$A99)</f>
        <v>-6966.5</v>
      </c>
      <c r="F105" s="710">
        <f>-SUMIFS('B3 - Custos despesas indiretos'!AO$5:AO$148,'B3 - Custos despesas indiretos'!$B$5:$B$148,"Custos",'B3 - Custos despesas indiretos'!$D$5:$D$148,$A99)</f>
        <v>-6966.5</v>
      </c>
      <c r="G105" s="710">
        <f>-SUMIFS('B3 - Custos despesas indiretos'!AP$5:AP$148,'B3 - Custos despesas indiretos'!$B$5:$B$148,"Custos",'B3 - Custos despesas indiretos'!$D$5:$D$148,$A99)</f>
        <v>-6966.5</v>
      </c>
      <c r="H105" s="710">
        <f>-SUMIFS('B3 - Custos despesas indiretos'!AQ$5:AQ$148,'B3 - Custos despesas indiretos'!$B$5:$B$148,"Custos",'B3 - Custos despesas indiretos'!$D$5:$D$148,$A99)</f>
        <v>-6966.5</v>
      </c>
      <c r="I105" s="710">
        <f>-SUMIFS('B3 - Custos despesas indiretos'!AR$5:AR$148,'B3 - Custos despesas indiretos'!$B$5:$B$148,"Custos",'B3 - Custos despesas indiretos'!$D$5:$D$148,$A99)</f>
        <v>-6966.5</v>
      </c>
      <c r="J105" s="710">
        <f>-SUMIFS('B3 - Custos despesas indiretos'!AS$5:AS$148,'B3 - Custos despesas indiretos'!$B$5:$B$148,"Custos",'B3 - Custos despesas indiretos'!$D$5:$D$148,$A99)</f>
        <v>-6966.5</v>
      </c>
      <c r="K105" s="710">
        <f>-SUMIFS('B3 - Custos despesas indiretos'!AT$5:AT$148,'B3 - Custos despesas indiretos'!$B$5:$B$148,"Custos",'B3 - Custos despesas indiretos'!$D$5:$D$148,$A99)</f>
        <v>-6966.5</v>
      </c>
      <c r="L105" s="710">
        <f>-SUMIFS('B3 - Custos despesas indiretos'!AU$5:AU$148,'B3 - Custos despesas indiretos'!$B$5:$B$148,"Custos",'B3 - Custos despesas indiretos'!$D$5:$D$148,$A99)</f>
        <v>-6966.5</v>
      </c>
      <c r="M105" s="710">
        <f>-SUMIFS('B3 - Custos despesas indiretos'!AV$5:AV$148,'B3 - Custos despesas indiretos'!$B$5:$B$148,"Custos",'B3 - Custos despesas indiretos'!$D$5:$D$148,$A99)</f>
        <v>-6966.5</v>
      </c>
      <c r="N105" s="710">
        <f>-SUMIFS('B3 - Custos despesas indiretos'!AW$5:AW$148,'B3 - Custos despesas indiretos'!$B$5:$B$148,"Custos",'B3 - Custos despesas indiretos'!$D$5:$D$148,$A99)</f>
        <v>-6966.5</v>
      </c>
      <c r="O105" s="710">
        <f>-SUMIFS('B3 - Custos despesas indiretos'!AX$5:AX$148,'B3 - Custos despesas indiretos'!$B$5:$B$148,"Custos",'B3 - Custos despesas indiretos'!$D$5:$D$148,$A99)</f>
        <v>-6966.5</v>
      </c>
      <c r="P105" s="710">
        <f>-SUMIFS('B3 - Custos despesas indiretos'!AY$5:AY$148,'B3 - Custos despesas indiretos'!$B$5:$B$148,"Custos",'B3 - Custos despesas indiretos'!$D$5:$D$148,$A99)</f>
        <v>-6966.5</v>
      </c>
      <c r="Q105" s="710">
        <f>-SUMIFS('B3 - Custos despesas indiretos'!AZ$5:AZ$148,'B3 - Custos despesas indiretos'!$B$5:$B$148,"Custos",'B3 - Custos despesas indiretos'!$D$5:$D$148,$A99)</f>
        <v>-6966.5</v>
      </c>
      <c r="R105" s="710">
        <f>-SUMIFS('B3 - Custos despesas indiretos'!BA$5:BA$148,'B3 - Custos despesas indiretos'!$B$5:$B$148,"Custos",'B3 - Custos despesas indiretos'!$D$5:$D$148,$A99)</f>
        <v>-6966.5</v>
      </c>
      <c r="S105" s="710">
        <f>-SUMIFS('B3 - Custos despesas indiretos'!BB$5:BB$148,'B3 - Custos despesas indiretos'!$B$5:$B$148,"Custos",'B3 - Custos despesas indiretos'!$D$5:$D$148,$A99)</f>
        <v>-6966.5</v>
      </c>
      <c r="T105" s="710">
        <f>-SUMIFS('B3 - Custos despesas indiretos'!BC$5:BC$148,'B3 - Custos despesas indiretos'!$B$5:$B$148,"Custos",'B3 - Custos despesas indiretos'!$D$5:$D$148,$A99)</f>
        <v>-6966.5</v>
      </c>
      <c r="U105" s="710">
        <f>-SUMIFS('B3 - Custos despesas indiretos'!BD$5:BD$148,'B3 - Custos despesas indiretos'!$B$5:$B$148,"Custos",'B3 - Custos despesas indiretos'!$D$5:$D$148,$A99)</f>
        <v>-6966.5</v>
      </c>
      <c r="V105" s="710">
        <f>-SUMIFS('B3 - Custos despesas indiretos'!BE$5:BE$148,'B3 - Custos despesas indiretos'!$B$5:$B$148,"Custos",'B3 - Custos despesas indiretos'!$D$5:$D$148,$A99)</f>
        <v>-6966.5</v>
      </c>
      <c r="W105" s="710">
        <f>-SUMIFS('B3 - Custos despesas indiretos'!BF$5:BF$148,'B3 - Custos despesas indiretos'!$B$5:$B$148,"Custos",'B3 - Custos despesas indiretos'!$D$5:$D$148,$A99)</f>
        <v>-6966.5</v>
      </c>
      <c r="X105" s="710">
        <f>-SUMIFS('B3 - Custos despesas indiretos'!BG$5:BG$148,'B3 - Custos despesas indiretos'!$B$5:$B$148,"Custos",'B3 - Custos despesas indiretos'!$D$5:$D$148,$A99)</f>
        <v>-6966.5</v>
      </c>
      <c r="Y105" s="710">
        <f>-SUMIFS('B3 - Custos despesas indiretos'!BH$5:BH$148,'B3 - Custos despesas indiretos'!$B$5:$B$148,"Custos",'B3 - Custos despesas indiretos'!$D$5:$D$148,$A99)</f>
        <v>-6966.5</v>
      </c>
      <c r="Z105" s="710">
        <f>-SUMIFS('B3 - Custos despesas indiretos'!BI$5:BI$148,'B3 - Custos despesas indiretos'!$B$5:$B$148,"Custos",'B3 - Custos despesas indiretos'!$D$5:$D$148,$A99)</f>
        <v>-6966.5</v>
      </c>
      <c r="AA105" s="710">
        <f>-SUMIFS('B3 - Custos despesas indiretos'!BJ$5:BJ$148,'B3 - Custos despesas indiretos'!$B$5:$B$148,"Custos",'B3 - Custos despesas indiretos'!$D$5:$D$148,$A99)</f>
        <v>-6966.5</v>
      </c>
      <c r="AB105" s="710">
        <f>-SUMIFS('B3 - Custos despesas indiretos'!BK$5:BK$148,'B3 - Custos despesas indiretos'!$B$5:$B$148,"Custos",'B3 - Custos despesas indiretos'!$D$5:$D$148,$A99)</f>
        <v>-6966.5</v>
      </c>
      <c r="AC105" s="710">
        <f>-SUMIFS('B3 - Custos despesas indiretos'!BL$5:BL$148,'B3 - Custos despesas indiretos'!$B$5:$B$148,"Custos",'B3 - Custos despesas indiretos'!$D$5:$D$148,$A99)</f>
        <v>-6966.5</v>
      </c>
      <c r="AD105" s="710">
        <f>-SUMIFS('B3 - Custos despesas indiretos'!BM$5:BM$148,'B3 - Custos despesas indiretos'!$B$5:$B$148,"Custos",'B3 - Custos despesas indiretos'!$D$5:$D$148,$A99)</f>
        <v>-6966.5</v>
      </c>
      <c r="AE105" s="710">
        <f>-SUMIFS('B3 - Custos despesas indiretos'!BN$5:BN$148,'B3 - Custos despesas indiretos'!$B$5:$B$148,"Custos",'B3 - Custos despesas indiretos'!$D$5:$D$148,$A99)</f>
        <v>-6966.5</v>
      </c>
      <c r="AF105" s="594"/>
      <c r="AG105" s="594"/>
      <c r="AH105" s="594"/>
      <c r="AI105" s="594"/>
      <c r="AJ105" s="594"/>
      <c r="AK105" s="594"/>
      <c r="AL105" s="594"/>
      <c r="AM105" s="594"/>
      <c r="AN105" s="594"/>
      <c r="AO105" s="594"/>
      <c r="AP105" s="594"/>
      <c r="AQ105" s="594"/>
      <c r="AR105" s="594"/>
      <c r="AS105" s="594"/>
      <c r="AT105" s="594"/>
      <c r="AU105" s="594"/>
      <c r="AV105" s="594"/>
      <c r="AW105" s="594"/>
      <c r="AX105" s="594"/>
      <c r="AY105" s="594"/>
      <c r="AZ105" s="594"/>
      <c r="BA105" s="594"/>
      <c r="BB105" s="594"/>
      <c r="BC105" s="594"/>
      <c r="BD105" s="594"/>
      <c r="BE105" s="594"/>
      <c r="BF105" s="594"/>
      <c r="BG105" s="594"/>
      <c r="BH105" s="594"/>
      <c r="BI105" s="594"/>
      <c r="BJ105" s="594"/>
      <c r="BK105" s="594"/>
      <c r="BL105" s="57"/>
      <c r="BM105" s="594"/>
      <c r="BN105" s="594"/>
      <c r="BO105" s="594"/>
      <c r="BP105" s="594"/>
      <c r="BQ105" s="594"/>
      <c r="BR105" s="594"/>
      <c r="BS105" s="594"/>
      <c r="BT105" s="594"/>
      <c r="BU105" s="594"/>
      <c r="BV105" s="594"/>
      <c r="BW105" s="594"/>
      <c r="BX105" s="594"/>
      <c r="BY105" s="594"/>
      <c r="BZ105" s="594"/>
      <c r="CA105" s="594"/>
      <c r="CB105" s="594"/>
      <c r="CC105" s="594"/>
      <c r="CD105" s="594"/>
      <c r="CE105" s="594"/>
      <c r="CF105" s="594"/>
      <c r="CG105" s="594"/>
      <c r="CH105" s="594"/>
      <c r="CI105" s="594"/>
      <c r="CJ105" s="594"/>
      <c r="CK105" s="594"/>
      <c r="CL105" s="594"/>
      <c r="CM105" s="594"/>
      <c r="CN105" s="594"/>
      <c r="CO105" s="594"/>
      <c r="CP105" s="594"/>
      <c r="CQ105" s="594"/>
    </row>
    <row r="106" spans="1:95" ht="21" hidden="1" customHeight="1" outlineLevel="2">
      <c r="A106" s="709" t="s">
        <v>685</v>
      </c>
      <c r="B106" s="710">
        <f>-SUMIFS('B3 - Custos despesas indiretos'!AK$5:AK$148,'B3 - Custos despesas indiretos'!$B$5:$B$148,"Despesas",'B3 - Custos despesas indiretos'!$D$5:$D$148,$A99)</f>
        <v>0</v>
      </c>
      <c r="C106" s="710">
        <f>-SUMIFS('B3 - Custos despesas indiretos'!AL$5:AL$148,'B3 - Custos despesas indiretos'!$B$5:$B$148,"Despesas",'B3 - Custos despesas indiretos'!$D$5:$D$148,$A99)</f>
        <v>-11540.800000000001</v>
      </c>
      <c r="D106" s="710">
        <f>-SUMIFS('B3 - Custos despesas indiretos'!AM$5:AM$148,'B3 - Custos despesas indiretos'!$B$5:$B$148,"Despesas",'B3 - Custos despesas indiretos'!$D$5:$D$148,$A99)</f>
        <v>-11939.2</v>
      </c>
      <c r="E106" s="710">
        <f>-SUMIFS('B3 - Custos despesas indiretos'!AN$5:AN$148,'B3 - Custos despesas indiretos'!$B$5:$B$148,"Despesas",'B3 - Custos despesas indiretos'!$D$5:$D$148,$A99)</f>
        <v>-12324.800000000001</v>
      </c>
      <c r="F106" s="710">
        <f>-SUMIFS('B3 - Custos despesas indiretos'!AO$5:AO$148,'B3 - Custos despesas indiretos'!$B$5:$B$148,"Despesas",'B3 - Custos despesas indiretos'!$D$5:$D$148,$A99)</f>
        <v>-12716</v>
      </c>
      <c r="G106" s="710">
        <f>-SUMIFS('B3 - Custos despesas indiretos'!AP$5:AP$148,'B3 - Custos despesas indiretos'!$B$5:$B$148,"Despesas",'B3 - Custos despesas indiretos'!$D$5:$D$148,$A99)</f>
        <v>-13114.4</v>
      </c>
      <c r="H106" s="710">
        <f>-SUMIFS('B3 - Custos despesas indiretos'!AQ$5:AQ$148,'B3 - Custos despesas indiretos'!$B$5:$B$148,"Despesas",'B3 - Custos despesas indiretos'!$D$5:$D$148,$A99)</f>
        <v>-13524.800000000001</v>
      </c>
      <c r="I106" s="710">
        <f>-SUMIFS('B3 - Custos despesas indiretos'!AR$5:AR$148,'B3 - Custos despesas indiretos'!$B$5:$B$148,"Despesas",'B3 - Custos despesas indiretos'!$D$5:$D$148,$A99)</f>
        <v>-13946.4</v>
      </c>
      <c r="J106" s="710">
        <f>-SUMIFS('B3 - Custos despesas indiretos'!AS$5:AS$148,'B3 - Custos despesas indiretos'!$B$5:$B$148,"Despesas",'B3 - Custos despesas indiretos'!$D$5:$D$148,$A99)</f>
        <v>-14376</v>
      </c>
      <c r="K106" s="710">
        <f>-SUMIFS('B3 - Custos despesas indiretos'!AT$5:AT$148,'B3 - Custos despesas indiretos'!$B$5:$B$148,"Despesas",'B3 - Custos despesas indiretos'!$D$5:$D$148,$A99)</f>
        <v>-14812.800000000001</v>
      </c>
      <c r="L106" s="710">
        <f>-SUMIFS('B3 - Custos despesas indiretos'!AU$5:AU$148,'B3 - Custos despesas indiretos'!$B$5:$B$148,"Despesas",'B3 - Custos despesas indiretos'!$D$5:$D$148,$A99)</f>
        <v>-15264</v>
      </c>
      <c r="M106" s="710">
        <f>-SUMIFS('B3 - Custos despesas indiretos'!AV$5:AV$148,'B3 - Custos despesas indiretos'!$B$5:$B$148,"Despesas",'B3 - Custos despesas indiretos'!$D$5:$D$148,$A99)</f>
        <v>-15728.800000000001</v>
      </c>
      <c r="N106" s="710">
        <f>-SUMIFS('B3 - Custos despesas indiretos'!AW$5:AW$148,'B3 - Custos despesas indiretos'!$B$5:$B$148,"Despesas",'B3 - Custos despesas indiretos'!$D$5:$D$148,$A99)</f>
        <v>-16208</v>
      </c>
      <c r="O106" s="710">
        <f>-SUMIFS('B3 - Custos despesas indiretos'!AX$5:AX$148,'B3 - Custos despesas indiretos'!$B$5:$B$148,"Despesas",'B3 - Custos despesas indiretos'!$D$5:$D$148,$A99)</f>
        <v>-16702.400000000001</v>
      </c>
      <c r="P106" s="710">
        <f>-SUMIFS('B3 - Custos despesas indiretos'!AY$5:AY$148,'B3 - Custos despesas indiretos'!$B$5:$B$148,"Despesas",'B3 - Custos despesas indiretos'!$D$5:$D$148,$A99)</f>
        <v>-17211.2</v>
      </c>
      <c r="Q106" s="710">
        <f>-SUMIFS('B3 - Custos despesas indiretos'!AZ$5:AZ$148,'B3 - Custos despesas indiretos'!$B$5:$B$148,"Despesas",'B3 - Custos despesas indiretos'!$D$5:$D$148,$A99)</f>
        <v>-17733.600000000002</v>
      </c>
      <c r="R106" s="710">
        <f>-SUMIFS('B3 - Custos despesas indiretos'!BA$5:BA$148,'B3 - Custos despesas indiretos'!$B$5:$B$148,"Despesas",'B3 - Custos despesas indiretos'!$D$5:$D$148,$A99)</f>
        <v>-18269.600000000002</v>
      </c>
      <c r="S106" s="710">
        <f>-SUMIFS('B3 - Custos despesas indiretos'!BB$5:BB$148,'B3 - Custos despesas indiretos'!$B$5:$B$148,"Despesas",'B3 - Custos despesas indiretos'!$D$5:$D$148,$A99)</f>
        <v>-18817.600000000002</v>
      </c>
      <c r="T106" s="710">
        <f>-SUMIFS('B3 - Custos despesas indiretos'!BC$5:BC$148,'B3 - Custos despesas indiretos'!$B$5:$B$148,"Despesas",'B3 - Custos despesas indiretos'!$D$5:$D$148,$A99)</f>
        <v>-19375.2</v>
      </c>
      <c r="U106" s="710">
        <f>-SUMIFS('B3 - Custos despesas indiretos'!BD$5:BD$148,'B3 - Custos despesas indiretos'!$B$5:$B$148,"Despesas",'B3 - Custos despesas indiretos'!$D$5:$D$148,$A99)</f>
        <v>-19940</v>
      </c>
      <c r="V106" s="710">
        <f>-SUMIFS('B3 - Custos despesas indiretos'!BE$5:BE$148,'B3 - Custos despesas indiretos'!$B$5:$B$148,"Despesas",'B3 - Custos despesas indiretos'!$D$5:$D$148,$A99)</f>
        <v>-19940</v>
      </c>
      <c r="W106" s="710">
        <f>-SUMIFS('B3 - Custos despesas indiretos'!BF$5:BF$148,'B3 - Custos despesas indiretos'!$B$5:$B$148,"Despesas",'B3 - Custos despesas indiretos'!$D$5:$D$148,$A99)</f>
        <v>-19940</v>
      </c>
      <c r="X106" s="710">
        <f>-SUMIFS('B3 - Custos despesas indiretos'!BG$5:BG$148,'B3 - Custos despesas indiretos'!$B$5:$B$148,"Despesas",'B3 - Custos despesas indiretos'!$D$5:$D$148,$A99)</f>
        <v>-19940</v>
      </c>
      <c r="Y106" s="710">
        <f>-SUMIFS('B3 - Custos despesas indiretos'!BH$5:BH$148,'B3 - Custos despesas indiretos'!$B$5:$B$148,"Despesas",'B3 - Custos despesas indiretos'!$D$5:$D$148,$A99)</f>
        <v>-19940</v>
      </c>
      <c r="Z106" s="710">
        <f>-SUMIFS('B3 - Custos despesas indiretos'!BI$5:BI$148,'B3 - Custos despesas indiretos'!$B$5:$B$148,"Despesas",'B3 - Custos despesas indiretos'!$D$5:$D$148,$A99)</f>
        <v>-19940</v>
      </c>
      <c r="AA106" s="710">
        <f>-SUMIFS('B3 - Custos despesas indiretos'!BJ$5:BJ$148,'B3 - Custos despesas indiretos'!$B$5:$B$148,"Despesas",'B3 - Custos despesas indiretos'!$D$5:$D$148,$A99)</f>
        <v>-19940</v>
      </c>
      <c r="AB106" s="710">
        <f>-SUMIFS('B3 - Custos despesas indiretos'!BK$5:BK$148,'B3 - Custos despesas indiretos'!$B$5:$B$148,"Despesas",'B3 - Custos despesas indiretos'!$D$5:$D$148,$A99)</f>
        <v>-19940</v>
      </c>
      <c r="AC106" s="710">
        <f>-SUMIFS('B3 - Custos despesas indiretos'!BL$5:BL$148,'B3 - Custos despesas indiretos'!$B$5:$B$148,"Despesas",'B3 - Custos despesas indiretos'!$D$5:$D$148,$A99)</f>
        <v>-19940</v>
      </c>
      <c r="AD106" s="710">
        <f>-SUMIFS('B3 - Custos despesas indiretos'!BM$5:BM$148,'B3 - Custos despesas indiretos'!$B$5:$B$148,"Despesas",'B3 - Custos despesas indiretos'!$D$5:$D$148,$A99)</f>
        <v>-19940</v>
      </c>
      <c r="AE106" s="710">
        <f>-SUMIFS('B3 - Custos despesas indiretos'!BN$5:BN$148,'B3 - Custos despesas indiretos'!$B$5:$B$148,"Despesas",'B3 - Custos despesas indiretos'!$D$5:$D$148,$A99)</f>
        <v>-19940</v>
      </c>
      <c r="AF106" s="594"/>
      <c r="AG106" s="594"/>
      <c r="AH106" s="594"/>
      <c r="AI106" s="594"/>
      <c r="AJ106" s="594"/>
      <c r="AK106" s="594"/>
      <c r="AL106" s="594"/>
      <c r="AM106" s="594"/>
      <c r="AN106" s="594"/>
      <c r="AO106" s="594"/>
      <c r="AP106" s="594"/>
      <c r="AQ106" s="594"/>
      <c r="AR106" s="594"/>
      <c r="AS106" s="594"/>
      <c r="AT106" s="594"/>
      <c r="AU106" s="594"/>
      <c r="AV106" s="594"/>
      <c r="AW106" s="594"/>
      <c r="AX106" s="594"/>
      <c r="AY106" s="594"/>
      <c r="AZ106" s="594"/>
      <c r="BA106" s="594"/>
      <c r="BB106" s="594"/>
      <c r="BC106" s="594"/>
      <c r="BD106" s="594"/>
      <c r="BE106" s="594"/>
      <c r="BF106" s="594"/>
      <c r="BG106" s="594"/>
      <c r="BH106" s="594"/>
      <c r="BI106" s="594"/>
      <c r="BJ106" s="594"/>
      <c r="BK106" s="594"/>
      <c r="BL106" s="57"/>
      <c r="BM106" s="594"/>
      <c r="BN106" s="594"/>
      <c r="BO106" s="594"/>
      <c r="BP106" s="594"/>
      <c r="BQ106" s="594"/>
      <c r="BR106" s="594"/>
      <c r="BS106" s="594"/>
      <c r="BT106" s="594"/>
      <c r="BU106" s="594"/>
      <c r="BV106" s="594"/>
      <c r="BW106" s="594"/>
      <c r="BX106" s="594"/>
      <c r="BY106" s="594"/>
      <c r="BZ106" s="594"/>
      <c r="CA106" s="594"/>
      <c r="CB106" s="594"/>
      <c r="CC106" s="594"/>
      <c r="CD106" s="594"/>
      <c r="CE106" s="594"/>
      <c r="CF106" s="594"/>
      <c r="CG106" s="594"/>
      <c r="CH106" s="594"/>
      <c r="CI106" s="594"/>
      <c r="CJ106" s="594"/>
      <c r="CK106" s="594"/>
      <c r="CL106" s="594"/>
      <c r="CM106" s="594"/>
      <c r="CN106" s="594"/>
      <c r="CO106" s="594"/>
      <c r="CP106" s="594"/>
      <c r="CQ106" s="594"/>
    </row>
    <row r="107" spans="1:95" ht="21" hidden="1" customHeight="1" outlineLevel="2">
      <c r="A107" s="709" t="s">
        <v>686</v>
      </c>
      <c r="B107" s="710">
        <f>-SUMIF('D2 - Capex uso'!$C$6:$C$176,$A99,'D2 - Capex uso'!GI$6:GI$176)</f>
        <v>0</v>
      </c>
      <c r="C107" s="710">
        <f>-SUMIF('D2 - Capex uso'!$C$6:$C$176,$A99,'D2 - Capex uso'!GJ$6:GJ$176)</f>
        <v>0</v>
      </c>
      <c r="D107" s="710">
        <f>-SUMIF('D2 - Capex uso'!$C$6:$C$176,$A99,'D2 - Capex uso'!GK$6:GK$176)</f>
        <v>0</v>
      </c>
      <c r="E107" s="710">
        <f>-SUMIF('D2 - Capex uso'!$C$6:$C$176,$A99,'D2 - Capex uso'!GL$6:GL$176)</f>
        <v>0</v>
      </c>
      <c r="F107" s="710">
        <f>-SUMIF('D2 - Capex uso'!$C$6:$C$176,$A99,'D2 - Capex uso'!GM$6:GM$176)</f>
        <v>0</v>
      </c>
      <c r="G107" s="710">
        <f>-SUMIF('D2 - Capex uso'!$C$6:$C$176,$A99,'D2 - Capex uso'!GN$6:GN$176)</f>
        <v>0</v>
      </c>
      <c r="H107" s="710">
        <f>-SUMIF('D2 - Capex uso'!$C$6:$C$176,$A99,'D2 - Capex uso'!GO$6:GO$176)</f>
        <v>0</v>
      </c>
      <c r="I107" s="710">
        <f>-SUMIF('D2 - Capex uso'!$C$6:$C$176,$A99,'D2 - Capex uso'!GP$6:GP$176)</f>
        <v>0</v>
      </c>
      <c r="J107" s="710">
        <f>-SUMIF('D2 - Capex uso'!$C$6:$C$176,$A99,'D2 - Capex uso'!GQ$6:GQ$176)</f>
        <v>0</v>
      </c>
      <c r="K107" s="710">
        <f>-SUMIF('D2 - Capex uso'!$C$6:$C$176,$A99,'D2 - Capex uso'!GR$6:GR$176)</f>
        <v>0</v>
      </c>
      <c r="L107" s="710">
        <f>-SUMIF('D2 - Capex uso'!$C$6:$C$176,$A99,'D2 - Capex uso'!GS$6:GS$176)</f>
        <v>0</v>
      </c>
      <c r="M107" s="710">
        <f>-SUMIF('D2 - Capex uso'!$C$6:$C$176,$A99,'D2 - Capex uso'!GT$6:GT$176)</f>
        <v>0</v>
      </c>
      <c r="N107" s="710">
        <f>-SUMIF('D2 - Capex uso'!$C$6:$C$176,$A99,'D2 - Capex uso'!GU$6:GU$176)</f>
        <v>0</v>
      </c>
      <c r="O107" s="710">
        <f>-SUMIF('D2 - Capex uso'!$C$6:$C$176,$A99,'D2 - Capex uso'!GV$6:GV$176)</f>
        <v>0</v>
      </c>
      <c r="P107" s="710">
        <f>-SUMIF('D2 - Capex uso'!$C$6:$C$176,$A99,'D2 - Capex uso'!GW$6:GW$176)</f>
        <v>0</v>
      </c>
      <c r="Q107" s="710">
        <f>-SUMIF('D2 - Capex uso'!$C$6:$C$176,$A99,'D2 - Capex uso'!GX$6:GX$176)</f>
        <v>0</v>
      </c>
      <c r="R107" s="710">
        <f>-SUMIF('D2 - Capex uso'!$C$6:$C$176,$A99,'D2 - Capex uso'!GY$6:GY$176)</f>
        <v>0</v>
      </c>
      <c r="S107" s="710">
        <f>-SUMIF('D2 - Capex uso'!$C$6:$C$176,$A99,'D2 - Capex uso'!GZ$6:GZ$176)</f>
        <v>0</v>
      </c>
      <c r="T107" s="710">
        <f>-SUMIF('D2 - Capex uso'!$C$6:$C$176,$A99,'D2 - Capex uso'!HA$6:HA$176)</f>
        <v>0</v>
      </c>
      <c r="U107" s="710">
        <f>-SUMIF('D2 - Capex uso'!$C$6:$C$176,$A99,'D2 - Capex uso'!HB$6:HB$176)</f>
        <v>0</v>
      </c>
      <c r="V107" s="710">
        <f>-SUMIF('D2 - Capex uso'!$C$6:$C$176,$A99,'D2 - Capex uso'!HC$6:HC$176)</f>
        <v>0</v>
      </c>
      <c r="W107" s="710">
        <f>-SUMIF('D2 - Capex uso'!$C$6:$C$176,$A99,'D2 - Capex uso'!HD$6:HD$176)</f>
        <v>0</v>
      </c>
      <c r="X107" s="710">
        <f>-SUMIF('D2 - Capex uso'!$C$6:$C$176,$A99,'D2 - Capex uso'!HE$6:HE$176)</f>
        <v>0</v>
      </c>
      <c r="Y107" s="710">
        <f>-SUMIF('D2 - Capex uso'!$C$6:$C$176,$A99,'D2 - Capex uso'!HF$6:HF$176)</f>
        <v>0</v>
      </c>
      <c r="Z107" s="710">
        <f>-SUMIF('D2 - Capex uso'!$C$6:$C$176,$A99,'D2 - Capex uso'!HG$6:HG$176)</f>
        <v>0</v>
      </c>
      <c r="AA107" s="710">
        <f>-SUMIF('D2 - Capex uso'!$C$6:$C$176,$A99,'D2 - Capex uso'!HH$6:HH$176)</f>
        <v>0</v>
      </c>
      <c r="AB107" s="710">
        <f>-SUMIF('D2 - Capex uso'!$C$6:$C$176,$A99,'D2 - Capex uso'!HI$6:HI$176)</f>
        <v>0</v>
      </c>
      <c r="AC107" s="710">
        <f>-SUMIF('D2 - Capex uso'!$C$6:$C$176,$A99,'D2 - Capex uso'!HJ$6:HJ$176)</f>
        <v>0</v>
      </c>
      <c r="AD107" s="710">
        <f>-SUMIF('D2 - Capex uso'!$C$6:$C$176,$A99,'D2 - Capex uso'!HK$6:HK$176)</f>
        <v>0</v>
      </c>
      <c r="AE107" s="710">
        <f>-SUMIF('D2 - Capex uso'!$C$6:$C$176,$A99,'D2 - Capex uso'!HL$6:HL$176)</f>
        <v>0</v>
      </c>
      <c r="AF107" s="594"/>
      <c r="AG107" s="594"/>
      <c r="AH107" s="594"/>
      <c r="AI107" s="594"/>
      <c r="AJ107" s="594"/>
      <c r="AK107" s="594"/>
      <c r="AL107" s="594"/>
      <c r="AM107" s="594"/>
      <c r="AN107" s="594"/>
      <c r="AO107" s="594"/>
      <c r="AP107" s="594"/>
      <c r="AQ107" s="594"/>
      <c r="AR107" s="594"/>
      <c r="AS107" s="594"/>
      <c r="AT107" s="594"/>
      <c r="AU107" s="594"/>
      <c r="AV107" s="594"/>
      <c r="AW107" s="594"/>
      <c r="AX107" s="594"/>
      <c r="AY107" s="594"/>
      <c r="AZ107" s="594"/>
      <c r="BA107" s="594"/>
      <c r="BB107" s="594"/>
      <c r="BC107" s="594"/>
      <c r="BD107" s="594"/>
      <c r="BE107" s="594"/>
      <c r="BF107" s="594"/>
      <c r="BG107" s="594"/>
      <c r="BH107" s="594"/>
      <c r="BI107" s="594"/>
      <c r="BJ107" s="594"/>
      <c r="BK107" s="594"/>
      <c r="BL107" s="57"/>
      <c r="BM107" s="594"/>
      <c r="BN107" s="594"/>
      <c r="BO107" s="594"/>
      <c r="BP107" s="594"/>
      <c r="BQ107" s="594"/>
      <c r="BR107" s="594"/>
      <c r="BS107" s="594"/>
      <c r="BT107" s="594"/>
      <c r="BU107" s="594"/>
      <c r="BV107" s="594"/>
      <c r="BW107" s="594"/>
      <c r="BX107" s="594"/>
      <c r="BY107" s="594"/>
      <c r="BZ107" s="594"/>
      <c r="CA107" s="594"/>
      <c r="CB107" s="594"/>
      <c r="CC107" s="594"/>
      <c r="CD107" s="594"/>
      <c r="CE107" s="594"/>
      <c r="CF107" s="594"/>
      <c r="CG107" s="594"/>
      <c r="CH107" s="594"/>
      <c r="CI107" s="594"/>
      <c r="CJ107" s="594"/>
      <c r="CK107" s="594"/>
      <c r="CL107" s="594"/>
      <c r="CM107" s="594"/>
      <c r="CN107" s="594"/>
      <c r="CO107" s="594"/>
      <c r="CP107" s="594"/>
      <c r="CQ107" s="594"/>
    </row>
    <row r="108" spans="1:95" ht="21" hidden="1" customHeight="1" outlineLevel="1">
      <c r="A108" s="708" t="s">
        <v>687</v>
      </c>
      <c r="B108" s="707">
        <f t="shared" ref="B108:AE108" si="34">SUM(B100:B102)</f>
        <v>-6966.5</v>
      </c>
      <c r="C108" s="707">
        <f t="shared" si="34"/>
        <v>202554.28050589317</v>
      </c>
      <c r="D108" s="707">
        <f t="shared" si="34"/>
        <v>213871.43498223089</v>
      </c>
      <c r="E108" s="707">
        <f t="shared" si="34"/>
        <v>224825.27455691795</v>
      </c>
      <c r="F108" s="707">
        <f t="shared" si="34"/>
        <v>235938.22614801402</v>
      </c>
      <c r="G108" s="707">
        <f t="shared" si="34"/>
        <v>247255.66445980169</v>
      </c>
      <c r="H108" s="707">
        <f t="shared" si="34"/>
        <v>258913.56347277248</v>
      </c>
      <c r="I108" s="707">
        <f t="shared" si="34"/>
        <v>270890.02403548424</v>
      </c>
      <c r="J108" s="707">
        <f t="shared" si="34"/>
        <v>283093.55308707018</v>
      </c>
      <c r="K108" s="707">
        <f t="shared" si="34"/>
        <v>295502.11475917068</v>
      </c>
      <c r="L108" s="707">
        <f t="shared" si="34"/>
        <v>308319.23210767476</v>
      </c>
      <c r="M108" s="707">
        <f t="shared" si="34"/>
        <v>321522.68137916375</v>
      </c>
      <c r="N108" s="707">
        <f t="shared" si="34"/>
        <v>335135.41274355463</v>
      </c>
      <c r="O108" s="707">
        <f t="shared" si="34"/>
        <v>349179.74996978062</v>
      </c>
      <c r="P108" s="707">
        <f t="shared" si="34"/>
        <v>363633.22268933128</v>
      </c>
      <c r="Q108" s="707">
        <f t="shared" si="34"/>
        <v>378473.11341899284</v>
      </c>
      <c r="R108" s="707">
        <f t="shared" si="34"/>
        <v>393699.35784734727</v>
      </c>
      <c r="S108" s="707">
        <f t="shared" si="34"/>
        <v>409266.18780451966</v>
      </c>
      <c r="T108" s="707">
        <f t="shared" si="34"/>
        <v>425105.75441289693</v>
      </c>
      <c r="U108" s="707">
        <f t="shared" si="34"/>
        <v>441150.04676758591</v>
      </c>
      <c r="V108" s="707">
        <f t="shared" si="34"/>
        <v>441150.04676758591</v>
      </c>
      <c r="W108" s="707">
        <f t="shared" si="34"/>
        <v>441150.04676758591</v>
      </c>
      <c r="X108" s="707">
        <f t="shared" si="34"/>
        <v>441150.04676758591</v>
      </c>
      <c r="Y108" s="707">
        <f t="shared" si="34"/>
        <v>441150.04676758591</v>
      </c>
      <c r="Z108" s="707">
        <f t="shared" si="34"/>
        <v>441150.04676758591</v>
      </c>
      <c r="AA108" s="707">
        <f t="shared" si="34"/>
        <v>441150.04676758591</v>
      </c>
      <c r="AB108" s="707">
        <f t="shared" si="34"/>
        <v>441150.04676758591</v>
      </c>
      <c r="AC108" s="707">
        <f t="shared" si="34"/>
        <v>441150.04676758591</v>
      </c>
      <c r="AD108" s="707">
        <f t="shared" si="34"/>
        <v>441150.04676758591</v>
      </c>
      <c r="AE108" s="707">
        <f t="shared" si="34"/>
        <v>441150.04676758591</v>
      </c>
      <c r="AF108" s="594"/>
      <c r="AG108" s="594"/>
      <c r="AH108" s="594"/>
      <c r="AI108" s="594"/>
      <c r="AJ108" s="594"/>
      <c r="AK108" s="594"/>
      <c r="AL108" s="594"/>
      <c r="AM108" s="594"/>
      <c r="AN108" s="594"/>
      <c r="AO108" s="594"/>
      <c r="AP108" s="594"/>
      <c r="AQ108" s="594"/>
      <c r="AR108" s="594"/>
      <c r="AS108" s="594"/>
      <c r="AT108" s="594"/>
      <c r="AU108" s="594"/>
      <c r="AV108" s="594"/>
      <c r="AW108" s="594"/>
      <c r="AX108" s="594"/>
      <c r="AY108" s="594"/>
      <c r="AZ108" s="594"/>
      <c r="BA108" s="594"/>
      <c r="BB108" s="594"/>
      <c r="BC108" s="594"/>
      <c r="BD108" s="594"/>
      <c r="BE108" s="594"/>
      <c r="BF108" s="594"/>
      <c r="BG108" s="594"/>
      <c r="BH108" s="594"/>
      <c r="BI108" s="594"/>
      <c r="BJ108" s="594"/>
      <c r="BK108" s="594"/>
      <c r="BL108" s="57"/>
      <c r="BM108" s="594"/>
      <c r="BN108" s="594"/>
      <c r="BO108" s="594"/>
      <c r="BP108" s="594"/>
      <c r="BQ108" s="594"/>
      <c r="BR108" s="594"/>
      <c r="BS108" s="594"/>
      <c r="BT108" s="594"/>
      <c r="BU108" s="594"/>
      <c r="BV108" s="594"/>
      <c r="BW108" s="594"/>
      <c r="BX108" s="594"/>
      <c r="BY108" s="594"/>
      <c r="BZ108" s="594"/>
      <c r="CA108" s="594"/>
      <c r="CB108" s="594"/>
      <c r="CC108" s="594"/>
      <c r="CD108" s="594"/>
      <c r="CE108" s="594"/>
      <c r="CF108" s="594"/>
      <c r="CG108" s="594"/>
      <c r="CH108" s="594"/>
      <c r="CI108" s="594"/>
      <c r="CJ108" s="594"/>
      <c r="CK108" s="594"/>
      <c r="CL108" s="594"/>
      <c r="CM108" s="594"/>
      <c r="CN108" s="594"/>
      <c r="CO108" s="594"/>
      <c r="CP108" s="594"/>
      <c r="CQ108" s="594"/>
    </row>
    <row r="109" spans="1:95" ht="19.5" hidden="1" customHeight="1" outlineLevel="1">
      <c r="A109" s="708" t="s">
        <v>688</v>
      </c>
      <c r="B109" s="707">
        <f t="shared" ref="B109:AE109" si="35">SUM(B110:B117)</f>
        <v>0</v>
      </c>
      <c r="C109" s="707">
        <f t="shared" si="35"/>
        <v>0</v>
      </c>
      <c r="D109" s="707">
        <f t="shared" si="35"/>
        <v>0</v>
      </c>
      <c r="E109" s="707">
        <f t="shared" si="35"/>
        <v>0</v>
      </c>
      <c r="F109" s="707">
        <f t="shared" si="35"/>
        <v>0</v>
      </c>
      <c r="G109" s="707">
        <f t="shared" si="35"/>
        <v>0</v>
      </c>
      <c r="H109" s="707">
        <f t="shared" si="35"/>
        <v>0</v>
      </c>
      <c r="I109" s="707">
        <f t="shared" si="35"/>
        <v>0</v>
      </c>
      <c r="J109" s="707">
        <f t="shared" si="35"/>
        <v>0</v>
      </c>
      <c r="K109" s="707">
        <f t="shared" si="35"/>
        <v>0</v>
      </c>
      <c r="L109" s="707">
        <f t="shared" si="35"/>
        <v>0</v>
      </c>
      <c r="M109" s="707">
        <f t="shared" si="35"/>
        <v>0</v>
      </c>
      <c r="N109" s="707">
        <f t="shared" si="35"/>
        <v>0</v>
      </c>
      <c r="O109" s="707">
        <f t="shared" si="35"/>
        <v>0</v>
      </c>
      <c r="P109" s="707">
        <f t="shared" si="35"/>
        <v>0</v>
      </c>
      <c r="Q109" s="707">
        <f t="shared" si="35"/>
        <v>0</v>
      </c>
      <c r="R109" s="707">
        <f t="shared" si="35"/>
        <v>0</v>
      </c>
      <c r="S109" s="707">
        <f t="shared" si="35"/>
        <v>0</v>
      </c>
      <c r="T109" s="707">
        <f t="shared" si="35"/>
        <v>0</v>
      </c>
      <c r="U109" s="707">
        <f t="shared" si="35"/>
        <v>0</v>
      </c>
      <c r="V109" s="707">
        <f t="shared" si="35"/>
        <v>0</v>
      </c>
      <c r="W109" s="707">
        <f t="shared" si="35"/>
        <v>0</v>
      </c>
      <c r="X109" s="707">
        <f t="shared" si="35"/>
        <v>0</v>
      </c>
      <c r="Y109" s="707">
        <f t="shared" si="35"/>
        <v>0</v>
      </c>
      <c r="Z109" s="707">
        <f t="shared" si="35"/>
        <v>0</v>
      </c>
      <c r="AA109" s="707">
        <f t="shared" si="35"/>
        <v>0</v>
      </c>
      <c r="AB109" s="707">
        <f t="shared" si="35"/>
        <v>0</v>
      </c>
      <c r="AC109" s="707">
        <f t="shared" si="35"/>
        <v>0</v>
      </c>
      <c r="AD109" s="707">
        <f t="shared" si="35"/>
        <v>0</v>
      </c>
      <c r="AE109" s="707">
        <f t="shared" si="35"/>
        <v>0</v>
      </c>
      <c r="AF109" s="594"/>
      <c r="AG109" s="594"/>
      <c r="AH109" s="594"/>
      <c r="AI109" s="594"/>
      <c r="AJ109" s="594"/>
      <c r="AK109" s="594"/>
      <c r="AL109" s="594"/>
      <c r="AM109" s="594"/>
      <c r="AN109" s="594"/>
      <c r="AO109" s="594"/>
      <c r="AP109" s="594"/>
      <c r="AQ109" s="594"/>
      <c r="AR109" s="594"/>
      <c r="AS109" s="594"/>
      <c r="AT109" s="594"/>
      <c r="AU109" s="594"/>
      <c r="AV109" s="594"/>
      <c r="AW109" s="594"/>
      <c r="AX109" s="594"/>
      <c r="AY109" s="594"/>
      <c r="AZ109" s="594"/>
      <c r="BA109" s="594"/>
      <c r="BB109" s="594"/>
      <c r="BC109" s="594"/>
      <c r="BD109" s="594"/>
      <c r="BE109" s="594"/>
      <c r="BF109" s="594"/>
      <c r="BG109" s="594"/>
      <c r="BH109" s="594"/>
      <c r="BI109" s="594"/>
      <c r="BJ109" s="594"/>
      <c r="BK109" s="594"/>
      <c r="BL109" s="57"/>
      <c r="BM109" s="594"/>
      <c r="BN109" s="594"/>
      <c r="BO109" s="594"/>
      <c r="BP109" s="594"/>
      <c r="BQ109" s="594"/>
      <c r="BR109" s="594"/>
      <c r="BS109" s="594"/>
      <c r="BT109" s="594"/>
      <c r="BU109" s="594"/>
      <c r="BV109" s="594"/>
      <c r="BW109" s="594"/>
      <c r="BX109" s="594"/>
      <c r="BY109" s="594"/>
      <c r="BZ109" s="594"/>
      <c r="CA109" s="594"/>
      <c r="CB109" s="594"/>
      <c r="CC109" s="594"/>
      <c r="CD109" s="594"/>
      <c r="CE109" s="594"/>
      <c r="CF109" s="594"/>
      <c r="CG109" s="594"/>
      <c r="CH109" s="594"/>
      <c r="CI109" s="594"/>
      <c r="CJ109" s="594"/>
      <c r="CK109" s="594"/>
      <c r="CL109" s="594"/>
      <c r="CM109" s="594"/>
      <c r="CN109" s="594"/>
      <c r="CO109" s="594"/>
      <c r="CP109" s="594"/>
      <c r="CQ109" s="594"/>
    </row>
    <row r="110" spans="1:95" ht="19.5" hidden="1" customHeight="1" outlineLevel="2">
      <c r="A110" s="709" t="s">
        <v>354</v>
      </c>
      <c r="B110" s="710">
        <f>-SUMIFS('D2 - Capex uso'!BS$6:BS$176,'D2 - Capex uso'!$C$6:$C$176,$A99,'D2 - Capex uso'!$AK$6:$AK$176,$A110)</f>
        <v>0</v>
      </c>
      <c r="C110" s="710">
        <f>-SUMIFS('D2 - Capex uso'!BT$6:BT$176,'D2 - Capex uso'!$C$6:$C$176,$A99,'D2 - Capex uso'!$AK$6:$AK$176,$A110)</f>
        <v>0</v>
      </c>
      <c r="D110" s="710">
        <f>-SUMIFS('D2 - Capex uso'!BU$6:BU$176,'D2 - Capex uso'!$C$6:$C$176,$A99,'D2 - Capex uso'!$AK$6:$AK$176,$A110)</f>
        <v>0</v>
      </c>
      <c r="E110" s="710">
        <f>-SUMIFS('D2 - Capex uso'!BV$6:BV$176,'D2 - Capex uso'!$C$6:$C$176,$A99,'D2 - Capex uso'!$AK$6:$AK$176,$A110)</f>
        <v>0</v>
      </c>
      <c r="F110" s="710">
        <f>-SUMIFS('D2 - Capex uso'!BW$6:BW$176,'D2 - Capex uso'!$C$6:$C$176,$A99,'D2 - Capex uso'!$AK$6:$AK$176,$A110)</f>
        <v>0</v>
      </c>
      <c r="G110" s="710">
        <f>-SUMIFS('D2 - Capex uso'!BX$6:BX$176,'D2 - Capex uso'!$C$6:$C$176,$A99,'D2 - Capex uso'!$AK$6:$AK$176,$A110)</f>
        <v>0</v>
      </c>
      <c r="H110" s="710">
        <f>-SUMIFS('D2 - Capex uso'!BY$6:BY$176,'D2 - Capex uso'!$C$6:$C$176,$A99,'D2 - Capex uso'!$AK$6:$AK$176,$A110)</f>
        <v>0</v>
      </c>
      <c r="I110" s="710">
        <f>-SUMIFS('D2 - Capex uso'!BZ$6:BZ$176,'D2 - Capex uso'!$C$6:$C$176,$A99,'D2 - Capex uso'!$AK$6:$AK$176,$A110)</f>
        <v>0</v>
      </c>
      <c r="J110" s="710">
        <f>-SUMIFS('D2 - Capex uso'!CA$6:CA$176,'D2 - Capex uso'!$C$6:$C$176,$A99,'D2 - Capex uso'!$AK$6:$AK$176,$A110)</f>
        <v>0</v>
      </c>
      <c r="K110" s="710">
        <f>-SUMIFS('D2 - Capex uso'!CB$6:CB$176,'D2 - Capex uso'!$C$6:$C$176,$A99,'D2 - Capex uso'!$AK$6:$AK$176,$A110)</f>
        <v>0</v>
      </c>
      <c r="L110" s="710">
        <f>-SUMIFS('D2 - Capex uso'!CC$6:CC$176,'D2 - Capex uso'!$C$6:$C$176,$A99,'D2 - Capex uso'!$AK$6:$AK$176,$A110)</f>
        <v>0</v>
      </c>
      <c r="M110" s="710">
        <f>-SUMIFS('D2 - Capex uso'!CD$6:CD$176,'D2 - Capex uso'!$C$6:$C$176,$A99,'D2 - Capex uso'!$AK$6:$AK$176,$A110)</f>
        <v>0</v>
      </c>
      <c r="N110" s="710">
        <f>-SUMIFS('D2 - Capex uso'!CE$6:CE$176,'D2 - Capex uso'!$C$6:$C$176,$A99,'D2 - Capex uso'!$AK$6:$AK$176,$A110)</f>
        <v>0</v>
      </c>
      <c r="O110" s="710">
        <f>-SUMIFS('D2 - Capex uso'!CF$6:CF$176,'D2 - Capex uso'!$C$6:$C$176,$A99,'D2 - Capex uso'!$AK$6:$AK$176,$A110)</f>
        <v>0</v>
      </c>
      <c r="P110" s="710">
        <f>-SUMIFS('D2 - Capex uso'!CG$6:CG$176,'D2 - Capex uso'!$C$6:$C$176,$A99,'D2 - Capex uso'!$AK$6:$AK$176,$A110)</f>
        <v>0</v>
      </c>
      <c r="Q110" s="710">
        <f>-SUMIFS('D2 - Capex uso'!CH$6:CH$176,'D2 - Capex uso'!$C$6:$C$176,$A99,'D2 - Capex uso'!$AK$6:$AK$176,$A110)</f>
        <v>0</v>
      </c>
      <c r="R110" s="710">
        <f>-SUMIFS('D2 - Capex uso'!CI$6:CI$176,'D2 - Capex uso'!$C$6:$C$176,$A99,'D2 - Capex uso'!$AK$6:$AK$176,$A110)</f>
        <v>0</v>
      </c>
      <c r="S110" s="710">
        <f>-SUMIFS('D2 - Capex uso'!CJ$6:CJ$176,'D2 - Capex uso'!$C$6:$C$176,$A99,'D2 - Capex uso'!$AK$6:$AK$176,$A110)</f>
        <v>0</v>
      </c>
      <c r="T110" s="710">
        <f>-SUMIFS('D2 - Capex uso'!CK$6:CK$176,'D2 - Capex uso'!$C$6:$C$176,$A99,'D2 - Capex uso'!$AK$6:$AK$176,$A110)</f>
        <v>0</v>
      </c>
      <c r="U110" s="710">
        <f>-SUMIFS('D2 - Capex uso'!CL$6:CL$176,'D2 - Capex uso'!$C$6:$C$176,$A99,'D2 - Capex uso'!$AK$6:$AK$176,$A110)</f>
        <v>0</v>
      </c>
      <c r="V110" s="710">
        <f>-SUMIFS('D2 - Capex uso'!CM$6:CM$176,'D2 - Capex uso'!$C$6:$C$176,$A99,'D2 - Capex uso'!$AK$6:$AK$176,$A110)</f>
        <v>0</v>
      </c>
      <c r="W110" s="710">
        <f>-SUMIFS('D2 - Capex uso'!CN$6:CN$176,'D2 - Capex uso'!$C$6:$C$176,$A99,'D2 - Capex uso'!$AK$6:$AK$176,$A110)</f>
        <v>0</v>
      </c>
      <c r="X110" s="710">
        <f>-SUMIFS('D2 - Capex uso'!CO$6:CO$176,'D2 - Capex uso'!$C$6:$C$176,$A99,'D2 - Capex uso'!$AK$6:$AK$176,$A110)</f>
        <v>0</v>
      </c>
      <c r="Y110" s="710">
        <f>-SUMIFS('D2 - Capex uso'!CP$6:CP$176,'D2 - Capex uso'!$C$6:$C$176,$A99,'D2 - Capex uso'!$AK$6:$AK$176,$A110)</f>
        <v>0</v>
      </c>
      <c r="Z110" s="710">
        <f>-SUMIFS('D2 - Capex uso'!CQ$6:CQ$176,'D2 - Capex uso'!$C$6:$C$176,$A99,'D2 - Capex uso'!$AK$6:$AK$176,$A110)</f>
        <v>0</v>
      </c>
      <c r="AA110" s="710">
        <f>-SUMIFS('D2 - Capex uso'!CR$6:CR$176,'D2 - Capex uso'!$C$6:$C$176,$A99,'D2 - Capex uso'!$AK$6:$AK$176,$A110)</f>
        <v>0</v>
      </c>
      <c r="AB110" s="710">
        <f>-SUMIFS('D2 - Capex uso'!CS$6:CS$176,'D2 - Capex uso'!$C$6:$C$176,$A99,'D2 - Capex uso'!$AK$6:$AK$176,$A110)</f>
        <v>0</v>
      </c>
      <c r="AC110" s="710">
        <f>-SUMIFS('D2 - Capex uso'!CT$6:CT$176,'D2 - Capex uso'!$C$6:$C$176,$A99,'D2 - Capex uso'!$AK$6:$AK$176,$A110)</f>
        <v>0</v>
      </c>
      <c r="AD110" s="710">
        <f>-SUMIFS('D2 - Capex uso'!CU$6:CU$176,'D2 - Capex uso'!$C$6:$C$176,$A99,'D2 - Capex uso'!$AK$6:$AK$176,$A110)</f>
        <v>0</v>
      </c>
      <c r="AE110" s="710">
        <f>-SUMIFS('D2 - Capex uso'!CV$6:CV$176,'D2 - Capex uso'!$C$6:$C$176,$A99,'D2 - Capex uso'!$AK$6:$AK$176,$A110)</f>
        <v>0</v>
      </c>
      <c r="AF110" s="594"/>
      <c r="AG110" s="594"/>
      <c r="AH110" s="594"/>
      <c r="AI110" s="594"/>
      <c r="AJ110" s="594"/>
      <c r="AK110" s="594"/>
      <c r="AL110" s="594"/>
      <c r="AM110" s="594"/>
      <c r="AN110" s="594"/>
      <c r="AO110" s="594"/>
      <c r="AP110" s="594"/>
      <c r="AQ110" s="594"/>
      <c r="AR110" s="594"/>
      <c r="AS110" s="594"/>
      <c r="AT110" s="594"/>
      <c r="AU110" s="594"/>
      <c r="AV110" s="594"/>
      <c r="AW110" s="594"/>
      <c r="AX110" s="594"/>
      <c r="AY110" s="594"/>
      <c r="AZ110" s="594"/>
      <c r="BA110" s="594"/>
      <c r="BB110" s="594"/>
      <c r="BC110" s="594"/>
      <c r="BD110" s="594"/>
      <c r="BE110" s="594"/>
      <c r="BF110" s="594"/>
      <c r="BG110" s="594"/>
      <c r="BH110" s="594"/>
      <c r="BI110" s="594"/>
      <c r="BJ110" s="594"/>
      <c r="BK110" s="594"/>
      <c r="BL110" s="57"/>
      <c r="BM110" s="594"/>
      <c r="BN110" s="594"/>
      <c r="BO110" s="594"/>
      <c r="BP110" s="594"/>
      <c r="BQ110" s="594"/>
      <c r="BR110" s="594"/>
      <c r="BS110" s="594"/>
      <c r="BT110" s="594"/>
      <c r="BU110" s="594"/>
      <c r="BV110" s="594"/>
      <c r="BW110" s="594"/>
      <c r="BX110" s="594"/>
      <c r="BY110" s="594"/>
      <c r="BZ110" s="594"/>
      <c r="CA110" s="594"/>
      <c r="CB110" s="594"/>
      <c r="CC110" s="594"/>
      <c r="CD110" s="594"/>
      <c r="CE110" s="594"/>
      <c r="CF110" s="594"/>
      <c r="CG110" s="594"/>
      <c r="CH110" s="594"/>
      <c r="CI110" s="594"/>
      <c r="CJ110" s="594"/>
      <c r="CK110" s="594"/>
      <c r="CL110" s="594"/>
      <c r="CM110" s="594"/>
      <c r="CN110" s="594"/>
      <c r="CO110" s="594"/>
      <c r="CP110" s="594"/>
      <c r="CQ110" s="594"/>
    </row>
    <row r="111" spans="1:95" ht="19.5" hidden="1" customHeight="1" outlineLevel="2">
      <c r="A111" s="709" t="s">
        <v>689</v>
      </c>
      <c r="B111" s="710">
        <f>-SUMIFS('D2 - Capex uso'!BS$6:BS$176,'D2 - Capex uso'!$C$6:$C$176,$A99,'D2 - Capex uso'!$AK$6:$AK$176,$A111)</f>
        <v>0</v>
      </c>
      <c r="C111" s="710">
        <f>-SUMIFS('D2 - Capex uso'!BT$6:BT$176,'D2 - Capex uso'!$C$6:$C$176,$A99,'D2 - Capex uso'!$AK$6:$AK$176,$A111)</f>
        <v>0</v>
      </c>
      <c r="D111" s="710">
        <f>-SUMIFS('D2 - Capex uso'!BU$6:BU$176,'D2 - Capex uso'!$C$6:$C$176,$A99,'D2 - Capex uso'!$AK$6:$AK$176,$A111)</f>
        <v>0</v>
      </c>
      <c r="E111" s="710">
        <f>-SUMIFS('D2 - Capex uso'!BV$6:BV$176,'D2 - Capex uso'!$C$6:$C$176,$A99,'D2 - Capex uso'!$AK$6:$AK$176,$A111)</f>
        <v>0</v>
      </c>
      <c r="F111" s="710">
        <f>-SUMIFS('D2 - Capex uso'!BW$6:BW$176,'D2 - Capex uso'!$C$6:$C$176,$A99,'D2 - Capex uso'!$AK$6:$AK$176,$A111)</f>
        <v>0</v>
      </c>
      <c r="G111" s="710">
        <f>-SUMIFS('D2 - Capex uso'!BX$6:BX$176,'D2 - Capex uso'!$C$6:$C$176,$A99,'D2 - Capex uso'!$AK$6:$AK$176,$A111)</f>
        <v>0</v>
      </c>
      <c r="H111" s="710">
        <f>-SUMIFS('D2 - Capex uso'!BY$6:BY$176,'D2 - Capex uso'!$C$6:$C$176,$A99,'D2 - Capex uso'!$AK$6:$AK$176,$A111)</f>
        <v>0</v>
      </c>
      <c r="I111" s="710">
        <f>-SUMIFS('D2 - Capex uso'!BZ$6:BZ$176,'D2 - Capex uso'!$C$6:$C$176,$A99,'D2 - Capex uso'!$AK$6:$AK$176,$A111)</f>
        <v>0</v>
      </c>
      <c r="J111" s="710">
        <f>-SUMIFS('D2 - Capex uso'!CA$6:CA$176,'D2 - Capex uso'!$C$6:$C$176,$A99,'D2 - Capex uso'!$AK$6:$AK$176,$A111)</f>
        <v>0</v>
      </c>
      <c r="K111" s="710">
        <f>-SUMIFS('D2 - Capex uso'!CB$6:CB$176,'D2 - Capex uso'!$C$6:$C$176,$A99,'D2 - Capex uso'!$AK$6:$AK$176,$A111)</f>
        <v>0</v>
      </c>
      <c r="L111" s="710">
        <f>-SUMIFS('D2 - Capex uso'!CC$6:CC$176,'D2 - Capex uso'!$C$6:$C$176,$A99,'D2 - Capex uso'!$AK$6:$AK$176,$A111)</f>
        <v>0</v>
      </c>
      <c r="M111" s="710">
        <f>-SUMIFS('D2 - Capex uso'!CD$6:CD$176,'D2 - Capex uso'!$C$6:$C$176,$A99,'D2 - Capex uso'!$AK$6:$AK$176,$A111)</f>
        <v>0</v>
      </c>
      <c r="N111" s="710">
        <f>-SUMIFS('D2 - Capex uso'!CE$6:CE$176,'D2 - Capex uso'!$C$6:$C$176,$A99,'D2 - Capex uso'!$AK$6:$AK$176,$A111)</f>
        <v>0</v>
      </c>
      <c r="O111" s="710">
        <f>-SUMIFS('D2 - Capex uso'!CF$6:CF$176,'D2 - Capex uso'!$C$6:$C$176,$A99,'D2 - Capex uso'!$AK$6:$AK$176,$A111)</f>
        <v>0</v>
      </c>
      <c r="P111" s="710">
        <f>-SUMIFS('D2 - Capex uso'!CG$6:CG$176,'D2 - Capex uso'!$C$6:$C$176,$A99,'D2 - Capex uso'!$AK$6:$AK$176,$A111)</f>
        <v>0</v>
      </c>
      <c r="Q111" s="710">
        <f>-SUMIFS('D2 - Capex uso'!CH$6:CH$176,'D2 - Capex uso'!$C$6:$C$176,$A99,'D2 - Capex uso'!$AK$6:$AK$176,$A111)</f>
        <v>0</v>
      </c>
      <c r="R111" s="710">
        <f>-SUMIFS('D2 - Capex uso'!CI$6:CI$176,'D2 - Capex uso'!$C$6:$C$176,$A99,'D2 - Capex uso'!$AK$6:$AK$176,$A111)</f>
        <v>0</v>
      </c>
      <c r="S111" s="710">
        <f>-SUMIFS('D2 - Capex uso'!CJ$6:CJ$176,'D2 - Capex uso'!$C$6:$C$176,$A99,'D2 - Capex uso'!$AK$6:$AK$176,$A111)</f>
        <v>0</v>
      </c>
      <c r="T111" s="710">
        <f>-SUMIFS('D2 - Capex uso'!CK$6:CK$176,'D2 - Capex uso'!$C$6:$C$176,$A99,'D2 - Capex uso'!$AK$6:$AK$176,$A111)</f>
        <v>0</v>
      </c>
      <c r="U111" s="710">
        <f>-SUMIFS('D2 - Capex uso'!CL$6:CL$176,'D2 - Capex uso'!$C$6:$C$176,$A99,'D2 - Capex uso'!$AK$6:$AK$176,$A111)</f>
        <v>0</v>
      </c>
      <c r="V111" s="710">
        <f>-SUMIFS('D2 - Capex uso'!CM$6:CM$176,'D2 - Capex uso'!$C$6:$C$176,$A99,'D2 - Capex uso'!$AK$6:$AK$176,$A111)</f>
        <v>0</v>
      </c>
      <c r="W111" s="710">
        <f>-SUMIFS('D2 - Capex uso'!CN$6:CN$176,'D2 - Capex uso'!$C$6:$C$176,$A99,'D2 - Capex uso'!$AK$6:$AK$176,$A111)</f>
        <v>0</v>
      </c>
      <c r="X111" s="710">
        <f>-SUMIFS('D2 - Capex uso'!CO$6:CO$176,'D2 - Capex uso'!$C$6:$C$176,$A99,'D2 - Capex uso'!$AK$6:$AK$176,$A111)</f>
        <v>0</v>
      </c>
      <c r="Y111" s="710">
        <f>-SUMIFS('D2 - Capex uso'!CP$6:CP$176,'D2 - Capex uso'!$C$6:$C$176,$A99,'D2 - Capex uso'!$AK$6:$AK$176,$A111)</f>
        <v>0</v>
      </c>
      <c r="Z111" s="710">
        <f>-SUMIFS('D2 - Capex uso'!CQ$6:CQ$176,'D2 - Capex uso'!$C$6:$C$176,$A99,'D2 - Capex uso'!$AK$6:$AK$176,$A111)</f>
        <v>0</v>
      </c>
      <c r="AA111" s="710">
        <f>-SUMIFS('D2 - Capex uso'!CR$6:CR$176,'D2 - Capex uso'!$C$6:$C$176,$A99,'D2 - Capex uso'!$AK$6:$AK$176,$A111)</f>
        <v>0</v>
      </c>
      <c r="AB111" s="710">
        <f>-SUMIFS('D2 - Capex uso'!CS$6:CS$176,'D2 - Capex uso'!$C$6:$C$176,$A99,'D2 - Capex uso'!$AK$6:$AK$176,$A111)</f>
        <v>0</v>
      </c>
      <c r="AC111" s="710">
        <f>-SUMIFS('D2 - Capex uso'!CT$6:CT$176,'D2 - Capex uso'!$C$6:$C$176,$A99,'D2 - Capex uso'!$AK$6:$AK$176,$A111)</f>
        <v>0</v>
      </c>
      <c r="AD111" s="710">
        <f>-SUMIFS('D2 - Capex uso'!CU$6:CU$176,'D2 - Capex uso'!$C$6:$C$176,$A99,'D2 - Capex uso'!$AK$6:$AK$176,$A111)</f>
        <v>0</v>
      </c>
      <c r="AE111" s="710">
        <f>-SUMIFS('D2 - Capex uso'!CV$6:CV$176,'D2 - Capex uso'!$C$6:$C$176,$A99,'D2 - Capex uso'!$AK$6:$AK$176,$A111)</f>
        <v>0</v>
      </c>
      <c r="AF111" s="594"/>
      <c r="AG111" s="594"/>
      <c r="AH111" s="594"/>
      <c r="AI111" s="594"/>
      <c r="AJ111" s="594"/>
      <c r="AK111" s="594"/>
      <c r="AL111" s="594"/>
      <c r="AM111" s="594"/>
      <c r="AN111" s="594"/>
      <c r="AO111" s="594"/>
      <c r="AP111" s="594"/>
      <c r="AQ111" s="594"/>
      <c r="AR111" s="594"/>
      <c r="AS111" s="594"/>
      <c r="AT111" s="594"/>
      <c r="AU111" s="594"/>
      <c r="AV111" s="594"/>
      <c r="AW111" s="594"/>
      <c r="AX111" s="594"/>
      <c r="AY111" s="594"/>
      <c r="AZ111" s="594"/>
      <c r="BA111" s="594"/>
      <c r="BB111" s="594"/>
      <c r="BC111" s="594"/>
      <c r="BD111" s="594"/>
      <c r="BE111" s="594"/>
      <c r="BF111" s="594"/>
      <c r="BG111" s="594"/>
      <c r="BH111" s="594"/>
      <c r="BI111" s="594"/>
      <c r="BJ111" s="594"/>
      <c r="BK111" s="594"/>
      <c r="BL111" s="57"/>
      <c r="BM111" s="594"/>
      <c r="BN111" s="594"/>
      <c r="BO111" s="594"/>
      <c r="BP111" s="594"/>
      <c r="BQ111" s="594"/>
      <c r="BR111" s="594"/>
      <c r="BS111" s="594"/>
      <c r="BT111" s="594"/>
      <c r="BU111" s="594"/>
      <c r="BV111" s="594"/>
      <c r="BW111" s="594"/>
      <c r="BX111" s="594"/>
      <c r="BY111" s="594"/>
      <c r="BZ111" s="594"/>
      <c r="CA111" s="594"/>
      <c r="CB111" s="594"/>
      <c r="CC111" s="594"/>
      <c r="CD111" s="594"/>
      <c r="CE111" s="594"/>
      <c r="CF111" s="594"/>
      <c r="CG111" s="594"/>
      <c r="CH111" s="594"/>
      <c r="CI111" s="594"/>
      <c r="CJ111" s="594"/>
      <c r="CK111" s="594"/>
      <c r="CL111" s="594"/>
      <c r="CM111" s="594"/>
      <c r="CN111" s="594"/>
      <c r="CO111" s="594"/>
      <c r="CP111" s="594"/>
      <c r="CQ111" s="594"/>
    </row>
    <row r="112" spans="1:95" ht="19.5" hidden="1" customHeight="1" outlineLevel="2">
      <c r="A112" s="709" t="s">
        <v>378</v>
      </c>
      <c r="B112" s="710">
        <f>-SUMIFS('D2 - Capex uso'!BS$6:BS$176,'D2 - Capex uso'!$C$6:$C$176,$A99,'D2 - Capex uso'!$AK$6:$AK$176,$A112)</f>
        <v>0</v>
      </c>
      <c r="C112" s="710">
        <f>-SUMIFS('D2 - Capex uso'!BT$6:BT$176,'D2 - Capex uso'!$C$6:$C$176,$A99,'D2 - Capex uso'!$AK$6:$AK$176,$A112)</f>
        <v>0</v>
      </c>
      <c r="D112" s="710">
        <f>-SUMIFS('D2 - Capex uso'!BU$6:BU$176,'D2 - Capex uso'!$C$6:$C$176,$A99,'D2 - Capex uso'!$AK$6:$AK$176,$A112)</f>
        <v>0</v>
      </c>
      <c r="E112" s="710">
        <f>-SUMIFS('D2 - Capex uso'!BV$6:BV$176,'D2 - Capex uso'!$C$6:$C$176,$A99,'D2 - Capex uso'!$AK$6:$AK$176,$A112)</f>
        <v>0</v>
      </c>
      <c r="F112" s="710">
        <f>-SUMIFS('D2 - Capex uso'!BW$6:BW$176,'D2 - Capex uso'!$C$6:$C$176,$A99,'D2 - Capex uso'!$AK$6:$AK$176,$A112)</f>
        <v>0</v>
      </c>
      <c r="G112" s="710">
        <f>-SUMIFS('D2 - Capex uso'!BX$6:BX$176,'D2 - Capex uso'!$C$6:$C$176,$A99,'D2 - Capex uso'!$AK$6:$AK$176,$A112)</f>
        <v>0</v>
      </c>
      <c r="H112" s="710">
        <f>-SUMIFS('D2 - Capex uso'!BY$6:BY$176,'D2 - Capex uso'!$C$6:$C$176,$A99,'D2 - Capex uso'!$AK$6:$AK$176,$A112)</f>
        <v>0</v>
      </c>
      <c r="I112" s="710">
        <f>-SUMIFS('D2 - Capex uso'!BZ$6:BZ$176,'D2 - Capex uso'!$C$6:$C$176,$A99,'D2 - Capex uso'!$AK$6:$AK$176,$A112)</f>
        <v>0</v>
      </c>
      <c r="J112" s="710">
        <f>-SUMIFS('D2 - Capex uso'!CA$6:CA$176,'D2 - Capex uso'!$C$6:$C$176,$A99,'D2 - Capex uso'!$AK$6:$AK$176,$A112)</f>
        <v>0</v>
      </c>
      <c r="K112" s="710">
        <f>-SUMIFS('D2 - Capex uso'!CB$6:CB$176,'D2 - Capex uso'!$C$6:$C$176,$A99,'D2 - Capex uso'!$AK$6:$AK$176,$A112)</f>
        <v>0</v>
      </c>
      <c r="L112" s="710">
        <f>-SUMIFS('D2 - Capex uso'!CC$6:CC$176,'D2 - Capex uso'!$C$6:$C$176,$A99,'D2 - Capex uso'!$AK$6:$AK$176,$A112)</f>
        <v>0</v>
      </c>
      <c r="M112" s="710">
        <f>-SUMIFS('D2 - Capex uso'!CD$6:CD$176,'D2 - Capex uso'!$C$6:$C$176,$A99,'D2 - Capex uso'!$AK$6:$AK$176,$A112)</f>
        <v>0</v>
      </c>
      <c r="N112" s="710">
        <f>-SUMIFS('D2 - Capex uso'!CE$6:CE$176,'D2 - Capex uso'!$C$6:$C$176,$A99,'D2 - Capex uso'!$AK$6:$AK$176,$A112)</f>
        <v>0</v>
      </c>
      <c r="O112" s="710">
        <f>-SUMIFS('D2 - Capex uso'!CF$6:CF$176,'D2 - Capex uso'!$C$6:$C$176,$A99,'D2 - Capex uso'!$AK$6:$AK$176,$A112)</f>
        <v>0</v>
      </c>
      <c r="P112" s="710">
        <f>-SUMIFS('D2 - Capex uso'!CG$6:CG$176,'D2 - Capex uso'!$C$6:$C$176,$A99,'D2 - Capex uso'!$AK$6:$AK$176,$A112)</f>
        <v>0</v>
      </c>
      <c r="Q112" s="710">
        <f>-SUMIFS('D2 - Capex uso'!CH$6:CH$176,'D2 - Capex uso'!$C$6:$C$176,$A99,'D2 - Capex uso'!$AK$6:$AK$176,$A112)</f>
        <v>0</v>
      </c>
      <c r="R112" s="710">
        <f>-SUMIFS('D2 - Capex uso'!CI$6:CI$176,'D2 - Capex uso'!$C$6:$C$176,$A99,'D2 - Capex uso'!$AK$6:$AK$176,$A112)</f>
        <v>0</v>
      </c>
      <c r="S112" s="710">
        <f>-SUMIFS('D2 - Capex uso'!CJ$6:CJ$176,'D2 - Capex uso'!$C$6:$C$176,$A99,'D2 - Capex uso'!$AK$6:$AK$176,$A112)</f>
        <v>0</v>
      </c>
      <c r="T112" s="710">
        <f>-SUMIFS('D2 - Capex uso'!CK$6:CK$176,'D2 - Capex uso'!$C$6:$C$176,$A99,'D2 - Capex uso'!$AK$6:$AK$176,$A112)</f>
        <v>0</v>
      </c>
      <c r="U112" s="710">
        <f>-SUMIFS('D2 - Capex uso'!CL$6:CL$176,'D2 - Capex uso'!$C$6:$C$176,$A99,'D2 - Capex uso'!$AK$6:$AK$176,$A112)</f>
        <v>0</v>
      </c>
      <c r="V112" s="710">
        <f>-SUMIFS('D2 - Capex uso'!CM$6:CM$176,'D2 - Capex uso'!$C$6:$C$176,$A99,'D2 - Capex uso'!$AK$6:$AK$176,$A112)</f>
        <v>0</v>
      </c>
      <c r="W112" s="710">
        <f>-SUMIFS('D2 - Capex uso'!CN$6:CN$176,'D2 - Capex uso'!$C$6:$C$176,$A99,'D2 - Capex uso'!$AK$6:$AK$176,$A112)</f>
        <v>0</v>
      </c>
      <c r="X112" s="710">
        <f>-SUMIFS('D2 - Capex uso'!CO$6:CO$176,'D2 - Capex uso'!$C$6:$C$176,$A99,'D2 - Capex uso'!$AK$6:$AK$176,$A112)</f>
        <v>0</v>
      </c>
      <c r="Y112" s="710">
        <f>-SUMIFS('D2 - Capex uso'!CP$6:CP$176,'D2 - Capex uso'!$C$6:$C$176,$A99,'D2 - Capex uso'!$AK$6:$AK$176,$A112)</f>
        <v>0</v>
      </c>
      <c r="Z112" s="710">
        <f>-SUMIFS('D2 - Capex uso'!CQ$6:CQ$176,'D2 - Capex uso'!$C$6:$C$176,$A99,'D2 - Capex uso'!$AK$6:$AK$176,$A112)</f>
        <v>0</v>
      </c>
      <c r="AA112" s="710">
        <f>-SUMIFS('D2 - Capex uso'!CR$6:CR$176,'D2 - Capex uso'!$C$6:$C$176,$A99,'D2 - Capex uso'!$AK$6:$AK$176,$A112)</f>
        <v>0</v>
      </c>
      <c r="AB112" s="710">
        <f>-SUMIFS('D2 - Capex uso'!CS$6:CS$176,'D2 - Capex uso'!$C$6:$C$176,$A99,'D2 - Capex uso'!$AK$6:$AK$176,$A112)</f>
        <v>0</v>
      </c>
      <c r="AC112" s="710">
        <f>-SUMIFS('D2 - Capex uso'!CT$6:CT$176,'D2 - Capex uso'!$C$6:$C$176,$A99,'D2 - Capex uso'!$AK$6:$AK$176,$A112)</f>
        <v>0</v>
      </c>
      <c r="AD112" s="710">
        <f>-SUMIFS('D2 - Capex uso'!CU$6:CU$176,'D2 - Capex uso'!$C$6:$C$176,$A99,'D2 - Capex uso'!$AK$6:$AK$176,$A112)</f>
        <v>0</v>
      </c>
      <c r="AE112" s="710">
        <f>-SUMIFS('D2 - Capex uso'!CV$6:CV$176,'D2 - Capex uso'!$C$6:$C$176,$A99,'D2 - Capex uso'!$AK$6:$AK$176,$A112)</f>
        <v>0</v>
      </c>
      <c r="AF112" s="594"/>
      <c r="AG112" s="594"/>
      <c r="AH112" s="594"/>
      <c r="AI112" s="594"/>
      <c r="AJ112" s="594"/>
      <c r="AK112" s="594"/>
      <c r="AL112" s="594"/>
      <c r="AM112" s="594"/>
      <c r="AN112" s="594"/>
      <c r="AO112" s="594"/>
      <c r="AP112" s="594"/>
      <c r="AQ112" s="594"/>
      <c r="AR112" s="594"/>
      <c r="AS112" s="594"/>
      <c r="AT112" s="594"/>
      <c r="AU112" s="594"/>
      <c r="AV112" s="594"/>
      <c r="AW112" s="594"/>
      <c r="AX112" s="594"/>
      <c r="AY112" s="594"/>
      <c r="AZ112" s="594"/>
      <c r="BA112" s="594"/>
      <c r="BB112" s="594"/>
      <c r="BC112" s="594"/>
      <c r="BD112" s="594"/>
      <c r="BE112" s="594"/>
      <c r="BF112" s="594"/>
      <c r="BG112" s="594"/>
      <c r="BH112" s="594"/>
      <c r="BI112" s="594"/>
      <c r="BJ112" s="594"/>
      <c r="BK112" s="594"/>
      <c r="BL112" s="57"/>
      <c r="BM112" s="594"/>
      <c r="BN112" s="594"/>
      <c r="BO112" s="594"/>
      <c r="BP112" s="594"/>
      <c r="BQ112" s="594"/>
      <c r="BR112" s="594"/>
      <c r="BS112" s="594"/>
      <c r="BT112" s="594"/>
      <c r="BU112" s="594"/>
      <c r="BV112" s="594"/>
      <c r="BW112" s="594"/>
      <c r="BX112" s="594"/>
      <c r="BY112" s="594"/>
      <c r="BZ112" s="594"/>
      <c r="CA112" s="594"/>
      <c r="CB112" s="594"/>
      <c r="CC112" s="594"/>
      <c r="CD112" s="594"/>
      <c r="CE112" s="594"/>
      <c r="CF112" s="594"/>
      <c r="CG112" s="594"/>
      <c r="CH112" s="594"/>
      <c r="CI112" s="594"/>
      <c r="CJ112" s="594"/>
      <c r="CK112" s="594"/>
      <c r="CL112" s="594"/>
      <c r="CM112" s="594"/>
      <c r="CN112" s="594"/>
      <c r="CO112" s="594"/>
      <c r="CP112" s="594"/>
      <c r="CQ112" s="594"/>
    </row>
    <row r="113" spans="1:95" ht="19.5" hidden="1" customHeight="1" outlineLevel="2">
      <c r="A113" s="709" t="s">
        <v>366</v>
      </c>
      <c r="B113" s="710">
        <f>-SUMIFS('D2 - Capex uso'!BS$6:BS$176,'D2 - Capex uso'!$C$6:$C$176,$A99,'D2 - Capex uso'!$AK$6:$AK$176,$A113)</f>
        <v>0</v>
      </c>
      <c r="C113" s="710">
        <f>-SUMIFS('D2 - Capex uso'!BT$6:BT$176,'D2 - Capex uso'!$C$6:$C$176,$A99,'D2 - Capex uso'!$AK$6:$AK$176,$A113)</f>
        <v>0</v>
      </c>
      <c r="D113" s="710">
        <f>-SUMIFS('D2 - Capex uso'!BU$6:BU$176,'D2 - Capex uso'!$C$6:$C$176,$A99,'D2 - Capex uso'!$AK$6:$AK$176,$A113)</f>
        <v>0</v>
      </c>
      <c r="E113" s="710">
        <f>-SUMIFS('D2 - Capex uso'!BV$6:BV$176,'D2 - Capex uso'!$C$6:$C$176,$A99,'D2 - Capex uso'!$AK$6:$AK$176,$A113)</f>
        <v>0</v>
      </c>
      <c r="F113" s="710">
        <f>-SUMIFS('D2 - Capex uso'!BW$6:BW$176,'D2 - Capex uso'!$C$6:$C$176,$A99,'D2 - Capex uso'!$AK$6:$AK$176,$A113)</f>
        <v>0</v>
      </c>
      <c r="G113" s="710">
        <f>-SUMIFS('D2 - Capex uso'!BX$6:BX$176,'D2 - Capex uso'!$C$6:$C$176,$A99,'D2 - Capex uso'!$AK$6:$AK$176,$A113)</f>
        <v>0</v>
      </c>
      <c r="H113" s="710">
        <f>-SUMIFS('D2 - Capex uso'!BY$6:BY$176,'D2 - Capex uso'!$C$6:$C$176,$A99,'D2 - Capex uso'!$AK$6:$AK$176,$A113)</f>
        <v>0</v>
      </c>
      <c r="I113" s="710">
        <f>-SUMIFS('D2 - Capex uso'!BZ$6:BZ$176,'D2 - Capex uso'!$C$6:$C$176,$A99,'D2 - Capex uso'!$AK$6:$AK$176,$A113)</f>
        <v>0</v>
      </c>
      <c r="J113" s="710">
        <f>-SUMIFS('D2 - Capex uso'!CA$6:CA$176,'D2 - Capex uso'!$C$6:$C$176,$A99,'D2 - Capex uso'!$AK$6:$AK$176,$A113)</f>
        <v>0</v>
      </c>
      <c r="K113" s="710">
        <f>-SUMIFS('D2 - Capex uso'!CB$6:CB$176,'D2 - Capex uso'!$C$6:$C$176,$A99,'D2 - Capex uso'!$AK$6:$AK$176,$A113)</f>
        <v>0</v>
      </c>
      <c r="L113" s="710">
        <f>-SUMIFS('D2 - Capex uso'!CC$6:CC$176,'D2 - Capex uso'!$C$6:$C$176,$A99,'D2 - Capex uso'!$AK$6:$AK$176,$A113)</f>
        <v>0</v>
      </c>
      <c r="M113" s="710">
        <f>-SUMIFS('D2 - Capex uso'!CD$6:CD$176,'D2 - Capex uso'!$C$6:$C$176,$A99,'D2 - Capex uso'!$AK$6:$AK$176,$A113)</f>
        <v>0</v>
      </c>
      <c r="N113" s="710">
        <f>-SUMIFS('D2 - Capex uso'!CE$6:CE$176,'D2 - Capex uso'!$C$6:$C$176,$A99,'D2 - Capex uso'!$AK$6:$AK$176,$A113)</f>
        <v>0</v>
      </c>
      <c r="O113" s="710">
        <f>-SUMIFS('D2 - Capex uso'!CF$6:CF$176,'D2 - Capex uso'!$C$6:$C$176,$A99,'D2 - Capex uso'!$AK$6:$AK$176,$A113)</f>
        <v>0</v>
      </c>
      <c r="P113" s="710">
        <f>-SUMIFS('D2 - Capex uso'!CG$6:CG$176,'D2 - Capex uso'!$C$6:$C$176,$A99,'D2 - Capex uso'!$AK$6:$AK$176,$A113)</f>
        <v>0</v>
      </c>
      <c r="Q113" s="710">
        <f>-SUMIFS('D2 - Capex uso'!CH$6:CH$176,'D2 - Capex uso'!$C$6:$C$176,$A99,'D2 - Capex uso'!$AK$6:$AK$176,$A113)</f>
        <v>0</v>
      </c>
      <c r="R113" s="710">
        <f>-SUMIFS('D2 - Capex uso'!CI$6:CI$176,'D2 - Capex uso'!$C$6:$C$176,$A99,'D2 - Capex uso'!$AK$6:$AK$176,$A113)</f>
        <v>0</v>
      </c>
      <c r="S113" s="710">
        <f>-SUMIFS('D2 - Capex uso'!CJ$6:CJ$176,'D2 - Capex uso'!$C$6:$C$176,$A99,'D2 - Capex uso'!$AK$6:$AK$176,$A113)</f>
        <v>0</v>
      </c>
      <c r="T113" s="710">
        <f>-SUMIFS('D2 - Capex uso'!CK$6:CK$176,'D2 - Capex uso'!$C$6:$C$176,$A99,'D2 - Capex uso'!$AK$6:$AK$176,$A113)</f>
        <v>0</v>
      </c>
      <c r="U113" s="710">
        <f>-SUMIFS('D2 - Capex uso'!CL$6:CL$176,'D2 - Capex uso'!$C$6:$C$176,$A99,'D2 - Capex uso'!$AK$6:$AK$176,$A113)</f>
        <v>0</v>
      </c>
      <c r="V113" s="710">
        <f>-SUMIFS('D2 - Capex uso'!CM$6:CM$176,'D2 - Capex uso'!$C$6:$C$176,$A99,'D2 - Capex uso'!$AK$6:$AK$176,$A113)</f>
        <v>0</v>
      </c>
      <c r="W113" s="710">
        <f>-SUMIFS('D2 - Capex uso'!CN$6:CN$176,'D2 - Capex uso'!$C$6:$C$176,$A99,'D2 - Capex uso'!$AK$6:$AK$176,$A113)</f>
        <v>0</v>
      </c>
      <c r="X113" s="710">
        <f>-SUMIFS('D2 - Capex uso'!CO$6:CO$176,'D2 - Capex uso'!$C$6:$C$176,$A99,'D2 - Capex uso'!$AK$6:$AK$176,$A113)</f>
        <v>0</v>
      </c>
      <c r="Y113" s="710">
        <f>-SUMIFS('D2 - Capex uso'!CP$6:CP$176,'D2 - Capex uso'!$C$6:$C$176,$A99,'D2 - Capex uso'!$AK$6:$AK$176,$A113)</f>
        <v>0</v>
      </c>
      <c r="Z113" s="710">
        <f>-SUMIFS('D2 - Capex uso'!CQ$6:CQ$176,'D2 - Capex uso'!$C$6:$C$176,$A99,'D2 - Capex uso'!$AK$6:$AK$176,$A113)</f>
        <v>0</v>
      </c>
      <c r="AA113" s="710">
        <f>-SUMIFS('D2 - Capex uso'!CR$6:CR$176,'D2 - Capex uso'!$C$6:$C$176,$A99,'D2 - Capex uso'!$AK$6:$AK$176,$A113)</f>
        <v>0</v>
      </c>
      <c r="AB113" s="710">
        <f>-SUMIFS('D2 - Capex uso'!CS$6:CS$176,'D2 - Capex uso'!$C$6:$C$176,$A99,'D2 - Capex uso'!$AK$6:$AK$176,$A113)</f>
        <v>0</v>
      </c>
      <c r="AC113" s="710">
        <f>-SUMIFS('D2 - Capex uso'!CT$6:CT$176,'D2 - Capex uso'!$C$6:$C$176,$A99,'D2 - Capex uso'!$AK$6:$AK$176,$A113)</f>
        <v>0</v>
      </c>
      <c r="AD113" s="710">
        <f>-SUMIFS('D2 - Capex uso'!CU$6:CU$176,'D2 - Capex uso'!$C$6:$C$176,$A99,'D2 - Capex uso'!$AK$6:$AK$176,$A113)</f>
        <v>0</v>
      </c>
      <c r="AE113" s="710">
        <f>-SUMIFS('D2 - Capex uso'!CV$6:CV$176,'D2 - Capex uso'!$C$6:$C$176,$A99,'D2 - Capex uso'!$AK$6:$AK$176,$A113)</f>
        <v>0</v>
      </c>
      <c r="AF113" s="594"/>
      <c r="AG113" s="594"/>
      <c r="AH113" s="594"/>
      <c r="AI113" s="594"/>
      <c r="AJ113" s="594"/>
      <c r="AK113" s="594"/>
      <c r="AL113" s="594"/>
      <c r="AM113" s="594"/>
      <c r="AN113" s="594"/>
      <c r="AO113" s="594"/>
      <c r="AP113" s="594"/>
      <c r="AQ113" s="594"/>
      <c r="AR113" s="594"/>
      <c r="AS113" s="594"/>
      <c r="AT113" s="594"/>
      <c r="AU113" s="594"/>
      <c r="AV113" s="594"/>
      <c r="AW113" s="594"/>
      <c r="AX113" s="594"/>
      <c r="AY113" s="594"/>
      <c r="AZ113" s="594"/>
      <c r="BA113" s="594"/>
      <c r="BB113" s="594"/>
      <c r="BC113" s="594"/>
      <c r="BD113" s="594"/>
      <c r="BE113" s="594"/>
      <c r="BF113" s="594"/>
      <c r="BG113" s="594"/>
      <c r="BH113" s="594"/>
      <c r="BI113" s="594"/>
      <c r="BJ113" s="594"/>
      <c r="BK113" s="594"/>
      <c r="BL113" s="57"/>
      <c r="BM113" s="594"/>
      <c r="BN113" s="594"/>
      <c r="BO113" s="594"/>
      <c r="BP113" s="594"/>
      <c r="BQ113" s="594"/>
      <c r="BR113" s="594"/>
      <c r="BS113" s="594"/>
      <c r="BT113" s="594"/>
      <c r="BU113" s="594"/>
      <c r="BV113" s="594"/>
      <c r="BW113" s="594"/>
      <c r="BX113" s="594"/>
      <c r="BY113" s="594"/>
      <c r="BZ113" s="594"/>
      <c r="CA113" s="594"/>
      <c r="CB113" s="594"/>
      <c r="CC113" s="594"/>
      <c r="CD113" s="594"/>
      <c r="CE113" s="594"/>
      <c r="CF113" s="594"/>
      <c r="CG113" s="594"/>
      <c r="CH113" s="594"/>
      <c r="CI113" s="594"/>
      <c r="CJ113" s="594"/>
      <c r="CK113" s="594"/>
      <c r="CL113" s="594"/>
      <c r="CM113" s="594"/>
      <c r="CN113" s="594"/>
      <c r="CO113" s="594"/>
      <c r="CP113" s="594"/>
      <c r="CQ113" s="594"/>
    </row>
    <row r="114" spans="1:95" ht="19.5" hidden="1" customHeight="1" outlineLevel="2">
      <c r="A114" s="709" t="s">
        <v>371</v>
      </c>
      <c r="B114" s="710">
        <f>-SUMIFS('D2 - Capex uso'!BS$6:BS$176,'D2 - Capex uso'!$C$6:$C$176,$A99,'D2 - Capex uso'!$AK$6:$AK$176,$A114)</f>
        <v>0</v>
      </c>
      <c r="C114" s="710">
        <f>-SUMIFS('D2 - Capex uso'!BT$6:BT$176,'D2 - Capex uso'!$C$6:$C$176,$A99,'D2 - Capex uso'!$AK$6:$AK$176,$A114)</f>
        <v>0</v>
      </c>
      <c r="D114" s="710">
        <f>-SUMIFS('D2 - Capex uso'!BU$6:BU$176,'D2 - Capex uso'!$C$6:$C$176,$A99,'D2 - Capex uso'!$AK$6:$AK$176,$A114)</f>
        <v>0</v>
      </c>
      <c r="E114" s="710">
        <f>-SUMIFS('D2 - Capex uso'!BV$6:BV$176,'D2 - Capex uso'!$C$6:$C$176,$A99,'D2 - Capex uso'!$AK$6:$AK$176,$A114)</f>
        <v>0</v>
      </c>
      <c r="F114" s="710">
        <f>-SUMIFS('D2 - Capex uso'!BW$6:BW$176,'D2 - Capex uso'!$C$6:$C$176,$A99,'D2 - Capex uso'!$AK$6:$AK$176,$A114)</f>
        <v>0</v>
      </c>
      <c r="G114" s="710">
        <f>-SUMIFS('D2 - Capex uso'!BX$6:BX$176,'D2 - Capex uso'!$C$6:$C$176,$A99,'D2 - Capex uso'!$AK$6:$AK$176,$A114)</f>
        <v>0</v>
      </c>
      <c r="H114" s="710">
        <f>-SUMIFS('D2 - Capex uso'!BY$6:BY$176,'D2 - Capex uso'!$C$6:$C$176,$A99,'D2 - Capex uso'!$AK$6:$AK$176,$A114)</f>
        <v>0</v>
      </c>
      <c r="I114" s="710">
        <f>-SUMIFS('D2 - Capex uso'!BZ$6:BZ$176,'D2 - Capex uso'!$C$6:$C$176,$A99,'D2 - Capex uso'!$AK$6:$AK$176,$A114)</f>
        <v>0</v>
      </c>
      <c r="J114" s="710">
        <f>-SUMIFS('D2 - Capex uso'!CA$6:CA$176,'D2 - Capex uso'!$C$6:$C$176,$A99,'D2 - Capex uso'!$AK$6:$AK$176,$A114)</f>
        <v>0</v>
      </c>
      <c r="K114" s="710">
        <f>-SUMIFS('D2 - Capex uso'!CB$6:CB$176,'D2 - Capex uso'!$C$6:$C$176,$A99,'D2 - Capex uso'!$AK$6:$AK$176,$A114)</f>
        <v>0</v>
      </c>
      <c r="L114" s="710">
        <f>-SUMIFS('D2 - Capex uso'!CC$6:CC$176,'D2 - Capex uso'!$C$6:$C$176,$A99,'D2 - Capex uso'!$AK$6:$AK$176,$A114)</f>
        <v>0</v>
      </c>
      <c r="M114" s="710">
        <f>-SUMIFS('D2 - Capex uso'!CD$6:CD$176,'D2 - Capex uso'!$C$6:$C$176,$A99,'D2 - Capex uso'!$AK$6:$AK$176,$A114)</f>
        <v>0</v>
      </c>
      <c r="N114" s="710">
        <f>-SUMIFS('D2 - Capex uso'!CE$6:CE$176,'D2 - Capex uso'!$C$6:$C$176,$A99,'D2 - Capex uso'!$AK$6:$AK$176,$A114)</f>
        <v>0</v>
      </c>
      <c r="O114" s="710">
        <f>-SUMIFS('D2 - Capex uso'!CF$6:CF$176,'D2 - Capex uso'!$C$6:$C$176,$A99,'D2 - Capex uso'!$AK$6:$AK$176,$A114)</f>
        <v>0</v>
      </c>
      <c r="P114" s="710">
        <f>-SUMIFS('D2 - Capex uso'!CG$6:CG$176,'D2 - Capex uso'!$C$6:$C$176,$A99,'D2 - Capex uso'!$AK$6:$AK$176,$A114)</f>
        <v>0</v>
      </c>
      <c r="Q114" s="710">
        <f>-SUMIFS('D2 - Capex uso'!CH$6:CH$176,'D2 - Capex uso'!$C$6:$C$176,$A99,'D2 - Capex uso'!$AK$6:$AK$176,$A114)</f>
        <v>0</v>
      </c>
      <c r="R114" s="710">
        <f>-SUMIFS('D2 - Capex uso'!CI$6:CI$176,'D2 - Capex uso'!$C$6:$C$176,$A99,'D2 - Capex uso'!$AK$6:$AK$176,$A114)</f>
        <v>0</v>
      </c>
      <c r="S114" s="710">
        <f>-SUMIFS('D2 - Capex uso'!CJ$6:CJ$176,'D2 - Capex uso'!$C$6:$C$176,$A99,'D2 - Capex uso'!$AK$6:$AK$176,$A114)</f>
        <v>0</v>
      </c>
      <c r="T114" s="710">
        <f>-SUMIFS('D2 - Capex uso'!CK$6:CK$176,'D2 - Capex uso'!$C$6:$C$176,$A99,'D2 - Capex uso'!$AK$6:$AK$176,$A114)</f>
        <v>0</v>
      </c>
      <c r="U114" s="710">
        <f>-SUMIFS('D2 - Capex uso'!CL$6:CL$176,'D2 - Capex uso'!$C$6:$C$176,$A99,'D2 - Capex uso'!$AK$6:$AK$176,$A114)</f>
        <v>0</v>
      </c>
      <c r="V114" s="710">
        <f>-SUMIFS('D2 - Capex uso'!CM$6:CM$176,'D2 - Capex uso'!$C$6:$C$176,$A99,'D2 - Capex uso'!$AK$6:$AK$176,$A114)</f>
        <v>0</v>
      </c>
      <c r="W114" s="710">
        <f>-SUMIFS('D2 - Capex uso'!CN$6:CN$176,'D2 - Capex uso'!$C$6:$C$176,$A99,'D2 - Capex uso'!$AK$6:$AK$176,$A114)</f>
        <v>0</v>
      </c>
      <c r="X114" s="710">
        <f>-SUMIFS('D2 - Capex uso'!CO$6:CO$176,'D2 - Capex uso'!$C$6:$C$176,$A99,'D2 - Capex uso'!$AK$6:$AK$176,$A114)</f>
        <v>0</v>
      </c>
      <c r="Y114" s="710">
        <f>-SUMIFS('D2 - Capex uso'!CP$6:CP$176,'D2 - Capex uso'!$C$6:$C$176,$A99,'D2 - Capex uso'!$AK$6:$AK$176,$A114)</f>
        <v>0</v>
      </c>
      <c r="Z114" s="710">
        <f>-SUMIFS('D2 - Capex uso'!CQ$6:CQ$176,'D2 - Capex uso'!$C$6:$C$176,$A99,'D2 - Capex uso'!$AK$6:$AK$176,$A114)</f>
        <v>0</v>
      </c>
      <c r="AA114" s="710">
        <f>-SUMIFS('D2 - Capex uso'!CR$6:CR$176,'D2 - Capex uso'!$C$6:$C$176,$A99,'D2 - Capex uso'!$AK$6:$AK$176,$A114)</f>
        <v>0</v>
      </c>
      <c r="AB114" s="710">
        <f>-SUMIFS('D2 - Capex uso'!CS$6:CS$176,'D2 - Capex uso'!$C$6:$C$176,$A99,'D2 - Capex uso'!$AK$6:$AK$176,$A114)</f>
        <v>0</v>
      </c>
      <c r="AC114" s="710">
        <f>-SUMIFS('D2 - Capex uso'!CT$6:CT$176,'D2 - Capex uso'!$C$6:$C$176,$A99,'D2 - Capex uso'!$AK$6:$AK$176,$A114)</f>
        <v>0</v>
      </c>
      <c r="AD114" s="710">
        <f>-SUMIFS('D2 - Capex uso'!CU$6:CU$176,'D2 - Capex uso'!$C$6:$C$176,$A99,'D2 - Capex uso'!$AK$6:$AK$176,$A114)</f>
        <v>0</v>
      </c>
      <c r="AE114" s="710">
        <f>-SUMIFS('D2 - Capex uso'!CV$6:CV$176,'D2 - Capex uso'!$C$6:$C$176,$A99,'D2 - Capex uso'!$AK$6:$AK$176,$A114)</f>
        <v>0</v>
      </c>
      <c r="AF114" s="594"/>
      <c r="AG114" s="594"/>
      <c r="AH114" s="594"/>
      <c r="AI114" s="594"/>
      <c r="AJ114" s="594"/>
      <c r="AK114" s="594"/>
      <c r="AL114" s="594"/>
      <c r="AM114" s="594"/>
      <c r="AN114" s="594"/>
      <c r="AO114" s="594"/>
      <c r="AP114" s="594"/>
      <c r="AQ114" s="594"/>
      <c r="AR114" s="594"/>
      <c r="AS114" s="594"/>
      <c r="AT114" s="594"/>
      <c r="AU114" s="594"/>
      <c r="AV114" s="594"/>
      <c r="AW114" s="594"/>
      <c r="AX114" s="594"/>
      <c r="AY114" s="594"/>
      <c r="AZ114" s="594"/>
      <c r="BA114" s="594"/>
      <c r="BB114" s="594"/>
      <c r="BC114" s="594"/>
      <c r="BD114" s="594"/>
      <c r="BE114" s="594"/>
      <c r="BF114" s="594"/>
      <c r="BG114" s="594"/>
      <c r="BH114" s="594"/>
      <c r="BI114" s="594"/>
      <c r="BJ114" s="594"/>
      <c r="BK114" s="594"/>
      <c r="BL114" s="57"/>
      <c r="BM114" s="594"/>
      <c r="BN114" s="594"/>
      <c r="BO114" s="594"/>
      <c r="BP114" s="594"/>
      <c r="BQ114" s="594"/>
      <c r="BR114" s="594"/>
      <c r="BS114" s="594"/>
      <c r="BT114" s="594"/>
      <c r="BU114" s="594"/>
      <c r="BV114" s="594"/>
      <c r="BW114" s="594"/>
      <c r="BX114" s="594"/>
      <c r="BY114" s="594"/>
      <c r="BZ114" s="594"/>
      <c r="CA114" s="594"/>
      <c r="CB114" s="594"/>
      <c r="CC114" s="594"/>
      <c r="CD114" s="594"/>
      <c r="CE114" s="594"/>
      <c r="CF114" s="594"/>
      <c r="CG114" s="594"/>
      <c r="CH114" s="594"/>
      <c r="CI114" s="594"/>
      <c r="CJ114" s="594"/>
      <c r="CK114" s="594"/>
      <c r="CL114" s="594"/>
      <c r="CM114" s="594"/>
      <c r="CN114" s="594"/>
      <c r="CO114" s="594"/>
      <c r="CP114" s="594"/>
      <c r="CQ114" s="594"/>
    </row>
    <row r="115" spans="1:95" ht="19.5" hidden="1" customHeight="1" outlineLevel="2">
      <c r="A115" s="709" t="s">
        <v>361</v>
      </c>
      <c r="B115" s="710">
        <f>-SUMIFS('D2 - Capex uso'!BS$6:BS$176,'D2 - Capex uso'!$C$6:$C$176,$A99,'D2 - Capex uso'!$AK$6:$AK$176,$A115)</f>
        <v>0</v>
      </c>
      <c r="C115" s="710">
        <f>-SUMIFS('D2 - Capex uso'!BT$6:BT$176,'D2 - Capex uso'!$C$6:$C$176,$A99,'D2 - Capex uso'!$AK$6:$AK$176,$A115)</f>
        <v>0</v>
      </c>
      <c r="D115" s="710">
        <f>-SUMIFS('D2 - Capex uso'!BU$6:BU$176,'D2 - Capex uso'!$C$6:$C$176,$A99,'D2 - Capex uso'!$AK$6:$AK$176,$A115)</f>
        <v>0</v>
      </c>
      <c r="E115" s="710">
        <f>-SUMIFS('D2 - Capex uso'!BV$6:BV$176,'D2 - Capex uso'!$C$6:$C$176,$A99,'D2 - Capex uso'!$AK$6:$AK$176,$A115)</f>
        <v>0</v>
      </c>
      <c r="F115" s="710">
        <f>-SUMIFS('D2 - Capex uso'!BW$6:BW$176,'D2 - Capex uso'!$C$6:$C$176,$A99,'D2 - Capex uso'!$AK$6:$AK$176,$A115)</f>
        <v>0</v>
      </c>
      <c r="G115" s="710">
        <f>-SUMIFS('D2 - Capex uso'!BX$6:BX$176,'D2 - Capex uso'!$C$6:$C$176,$A99,'D2 - Capex uso'!$AK$6:$AK$176,$A115)</f>
        <v>0</v>
      </c>
      <c r="H115" s="710">
        <f>-SUMIFS('D2 - Capex uso'!BY$6:BY$176,'D2 - Capex uso'!$C$6:$C$176,$A99,'D2 - Capex uso'!$AK$6:$AK$176,$A115)</f>
        <v>0</v>
      </c>
      <c r="I115" s="710">
        <f>-SUMIFS('D2 - Capex uso'!BZ$6:BZ$176,'D2 - Capex uso'!$C$6:$C$176,$A99,'D2 - Capex uso'!$AK$6:$AK$176,$A115)</f>
        <v>0</v>
      </c>
      <c r="J115" s="710">
        <f>-SUMIFS('D2 - Capex uso'!CA$6:CA$176,'D2 - Capex uso'!$C$6:$C$176,$A99,'D2 - Capex uso'!$AK$6:$AK$176,$A115)</f>
        <v>0</v>
      </c>
      <c r="K115" s="710">
        <f>-SUMIFS('D2 - Capex uso'!CB$6:CB$176,'D2 - Capex uso'!$C$6:$C$176,$A99,'D2 - Capex uso'!$AK$6:$AK$176,$A115)</f>
        <v>0</v>
      </c>
      <c r="L115" s="710">
        <f>-SUMIFS('D2 - Capex uso'!CC$6:CC$176,'D2 - Capex uso'!$C$6:$C$176,$A99,'D2 - Capex uso'!$AK$6:$AK$176,$A115)</f>
        <v>0</v>
      </c>
      <c r="M115" s="710">
        <f>-SUMIFS('D2 - Capex uso'!CD$6:CD$176,'D2 - Capex uso'!$C$6:$C$176,$A99,'D2 - Capex uso'!$AK$6:$AK$176,$A115)</f>
        <v>0</v>
      </c>
      <c r="N115" s="710">
        <f>-SUMIFS('D2 - Capex uso'!CE$6:CE$176,'D2 - Capex uso'!$C$6:$C$176,$A99,'D2 - Capex uso'!$AK$6:$AK$176,$A115)</f>
        <v>0</v>
      </c>
      <c r="O115" s="710">
        <f>-SUMIFS('D2 - Capex uso'!CF$6:CF$176,'D2 - Capex uso'!$C$6:$C$176,$A99,'D2 - Capex uso'!$AK$6:$AK$176,$A115)</f>
        <v>0</v>
      </c>
      <c r="P115" s="710">
        <f>-SUMIFS('D2 - Capex uso'!CG$6:CG$176,'D2 - Capex uso'!$C$6:$C$176,$A99,'D2 - Capex uso'!$AK$6:$AK$176,$A115)</f>
        <v>0</v>
      </c>
      <c r="Q115" s="710">
        <f>-SUMIFS('D2 - Capex uso'!CH$6:CH$176,'D2 - Capex uso'!$C$6:$C$176,$A99,'D2 - Capex uso'!$AK$6:$AK$176,$A115)</f>
        <v>0</v>
      </c>
      <c r="R115" s="710">
        <f>-SUMIFS('D2 - Capex uso'!CI$6:CI$176,'D2 - Capex uso'!$C$6:$C$176,$A99,'D2 - Capex uso'!$AK$6:$AK$176,$A115)</f>
        <v>0</v>
      </c>
      <c r="S115" s="710">
        <f>-SUMIFS('D2 - Capex uso'!CJ$6:CJ$176,'D2 - Capex uso'!$C$6:$C$176,$A99,'D2 - Capex uso'!$AK$6:$AK$176,$A115)</f>
        <v>0</v>
      </c>
      <c r="T115" s="710">
        <f>-SUMIFS('D2 - Capex uso'!CK$6:CK$176,'D2 - Capex uso'!$C$6:$C$176,$A99,'D2 - Capex uso'!$AK$6:$AK$176,$A115)</f>
        <v>0</v>
      </c>
      <c r="U115" s="710">
        <f>-SUMIFS('D2 - Capex uso'!CL$6:CL$176,'D2 - Capex uso'!$C$6:$C$176,$A99,'D2 - Capex uso'!$AK$6:$AK$176,$A115)</f>
        <v>0</v>
      </c>
      <c r="V115" s="710">
        <f>-SUMIFS('D2 - Capex uso'!CM$6:CM$176,'D2 - Capex uso'!$C$6:$C$176,$A99,'D2 - Capex uso'!$AK$6:$AK$176,$A115)</f>
        <v>0</v>
      </c>
      <c r="W115" s="710">
        <f>-SUMIFS('D2 - Capex uso'!CN$6:CN$176,'D2 - Capex uso'!$C$6:$C$176,$A99,'D2 - Capex uso'!$AK$6:$AK$176,$A115)</f>
        <v>0</v>
      </c>
      <c r="X115" s="710">
        <f>-SUMIFS('D2 - Capex uso'!CO$6:CO$176,'D2 - Capex uso'!$C$6:$C$176,$A99,'D2 - Capex uso'!$AK$6:$AK$176,$A115)</f>
        <v>0</v>
      </c>
      <c r="Y115" s="710">
        <f>-SUMIFS('D2 - Capex uso'!CP$6:CP$176,'D2 - Capex uso'!$C$6:$C$176,$A99,'D2 - Capex uso'!$AK$6:$AK$176,$A115)</f>
        <v>0</v>
      </c>
      <c r="Z115" s="710">
        <f>-SUMIFS('D2 - Capex uso'!CQ$6:CQ$176,'D2 - Capex uso'!$C$6:$C$176,$A99,'D2 - Capex uso'!$AK$6:$AK$176,$A115)</f>
        <v>0</v>
      </c>
      <c r="AA115" s="710">
        <f>-SUMIFS('D2 - Capex uso'!CR$6:CR$176,'D2 - Capex uso'!$C$6:$C$176,$A99,'D2 - Capex uso'!$AK$6:$AK$176,$A115)</f>
        <v>0</v>
      </c>
      <c r="AB115" s="710">
        <f>-SUMIFS('D2 - Capex uso'!CS$6:CS$176,'D2 - Capex uso'!$C$6:$C$176,$A99,'D2 - Capex uso'!$AK$6:$AK$176,$A115)</f>
        <v>0</v>
      </c>
      <c r="AC115" s="710">
        <f>-SUMIFS('D2 - Capex uso'!CT$6:CT$176,'D2 - Capex uso'!$C$6:$C$176,$A99,'D2 - Capex uso'!$AK$6:$AK$176,$A115)</f>
        <v>0</v>
      </c>
      <c r="AD115" s="710">
        <f>-SUMIFS('D2 - Capex uso'!CU$6:CU$176,'D2 - Capex uso'!$C$6:$C$176,$A99,'D2 - Capex uso'!$AK$6:$AK$176,$A115)</f>
        <v>0</v>
      </c>
      <c r="AE115" s="710">
        <f>-SUMIFS('D2 - Capex uso'!CV$6:CV$176,'D2 - Capex uso'!$C$6:$C$176,$A99,'D2 - Capex uso'!$AK$6:$AK$176,$A115)</f>
        <v>0</v>
      </c>
      <c r="AF115" s="594"/>
      <c r="AG115" s="594"/>
      <c r="AH115" s="594"/>
      <c r="AI115" s="594"/>
      <c r="AJ115" s="594"/>
      <c r="AK115" s="594"/>
      <c r="AL115" s="594"/>
      <c r="AM115" s="594"/>
      <c r="AN115" s="594"/>
      <c r="AO115" s="594"/>
      <c r="AP115" s="594"/>
      <c r="AQ115" s="594"/>
      <c r="AR115" s="594"/>
      <c r="AS115" s="594"/>
      <c r="AT115" s="594"/>
      <c r="AU115" s="594"/>
      <c r="AV115" s="594"/>
      <c r="AW115" s="594"/>
      <c r="AX115" s="594"/>
      <c r="AY115" s="594"/>
      <c r="AZ115" s="594"/>
      <c r="BA115" s="594"/>
      <c r="BB115" s="594"/>
      <c r="BC115" s="594"/>
      <c r="BD115" s="594"/>
      <c r="BE115" s="594"/>
      <c r="BF115" s="594"/>
      <c r="BG115" s="594"/>
      <c r="BH115" s="594"/>
      <c r="BI115" s="594"/>
      <c r="BJ115" s="594"/>
      <c r="BK115" s="594"/>
      <c r="BL115" s="57"/>
      <c r="BM115" s="594"/>
      <c r="BN115" s="594"/>
      <c r="BO115" s="594"/>
      <c r="BP115" s="594"/>
      <c r="BQ115" s="594"/>
      <c r="BR115" s="594"/>
      <c r="BS115" s="594"/>
      <c r="BT115" s="594"/>
      <c r="BU115" s="594"/>
      <c r="BV115" s="594"/>
      <c r="BW115" s="594"/>
      <c r="BX115" s="594"/>
      <c r="BY115" s="594"/>
      <c r="BZ115" s="594"/>
      <c r="CA115" s="594"/>
      <c r="CB115" s="594"/>
      <c r="CC115" s="594"/>
      <c r="CD115" s="594"/>
      <c r="CE115" s="594"/>
      <c r="CF115" s="594"/>
      <c r="CG115" s="594"/>
      <c r="CH115" s="594"/>
      <c r="CI115" s="594"/>
      <c r="CJ115" s="594"/>
      <c r="CK115" s="594"/>
      <c r="CL115" s="594"/>
      <c r="CM115" s="594"/>
      <c r="CN115" s="594"/>
      <c r="CO115" s="594"/>
      <c r="CP115" s="594"/>
      <c r="CQ115" s="594"/>
    </row>
    <row r="116" spans="1:95" ht="19.5" hidden="1" customHeight="1" outlineLevel="2">
      <c r="A116" s="709" t="s">
        <v>359</v>
      </c>
      <c r="B116" s="710">
        <f>-SUMIFS('D2 - Capex uso'!BS$6:BS$176,'D2 - Capex uso'!$C$6:$C$176,$A99,'D2 - Capex uso'!$AK$6:$AK$176,$A116)</f>
        <v>0</v>
      </c>
      <c r="C116" s="710">
        <f>-SUMIFS('D2 - Capex uso'!BT$6:BT$176,'D2 - Capex uso'!$C$6:$C$176,$A99,'D2 - Capex uso'!$AK$6:$AK$176,$A116)</f>
        <v>0</v>
      </c>
      <c r="D116" s="710">
        <f>-SUMIFS('D2 - Capex uso'!BU$6:BU$176,'D2 - Capex uso'!$C$6:$C$176,$A99,'D2 - Capex uso'!$AK$6:$AK$176,$A116)</f>
        <v>0</v>
      </c>
      <c r="E116" s="710">
        <f>-SUMIFS('D2 - Capex uso'!BV$6:BV$176,'D2 - Capex uso'!$C$6:$C$176,$A99,'D2 - Capex uso'!$AK$6:$AK$176,$A116)</f>
        <v>0</v>
      </c>
      <c r="F116" s="710">
        <f>-SUMIFS('D2 - Capex uso'!BW$6:BW$176,'D2 - Capex uso'!$C$6:$C$176,$A99,'D2 - Capex uso'!$AK$6:$AK$176,$A116)</f>
        <v>0</v>
      </c>
      <c r="G116" s="710">
        <f>-SUMIFS('D2 - Capex uso'!BX$6:BX$176,'D2 - Capex uso'!$C$6:$C$176,$A99,'D2 - Capex uso'!$AK$6:$AK$176,$A116)</f>
        <v>0</v>
      </c>
      <c r="H116" s="710">
        <f>-SUMIFS('D2 - Capex uso'!BY$6:BY$176,'D2 - Capex uso'!$C$6:$C$176,$A99,'D2 - Capex uso'!$AK$6:$AK$176,$A116)</f>
        <v>0</v>
      </c>
      <c r="I116" s="710">
        <f>-SUMIFS('D2 - Capex uso'!BZ$6:BZ$176,'D2 - Capex uso'!$C$6:$C$176,$A99,'D2 - Capex uso'!$AK$6:$AK$176,$A116)</f>
        <v>0</v>
      </c>
      <c r="J116" s="710">
        <f>-SUMIFS('D2 - Capex uso'!CA$6:CA$176,'D2 - Capex uso'!$C$6:$C$176,$A99,'D2 - Capex uso'!$AK$6:$AK$176,$A116)</f>
        <v>0</v>
      </c>
      <c r="K116" s="710">
        <f>-SUMIFS('D2 - Capex uso'!CB$6:CB$176,'D2 - Capex uso'!$C$6:$C$176,$A99,'D2 - Capex uso'!$AK$6:$AK$176,$A116)</f>
        <v>0</v>
      </c>
      <c r="L116" s="710">
        <f>-SUMIFS('D2 - Capex uso'!CC$6:CC$176,'D2 - Capex uso'!$C$6:$C$176,$A99,'D2 - Capex uso'!$AK$6:$AK$176,$A116)</f>
        <v>0</v>
      </c>
      <c r="M116" s="710">
        <f>-SUMIFS('D2 - Capex uso'!CD$6:CD$176,'D2 - Capex uso'!$C$6:$C$176,$A99,'D2 - Capex uso'!$AK$6:$AK$176,$A116)</f>
        <v>0</v>
      </c>
      <c r="N116" s="710">
        <f>-SUMIFS('D2 - Capex uso'!CE$6:CE$176,'D2 - Capex uso'!$C$6:$C$176,$A99,'D2 - Capex uso'!$AK$6:$AK$176,$A116)</f>
        <v>0</v>
      </c>
      <c r="O116" s="710">
        <f>-SUMIFS('D2 - Capex uso'!CF$6:CF$176,'D2 - Capex uso'!$C$6:$C$176,$A99,'D2 - Capex uso'!$AK$6:$AK$176,$A116)</f>
        <v>0</v>
      </c>
      <c r="P116" s="710">
        <f>-SUMIFS('D2 - Capex uso'!CG$6:CG$176,'D2 - Capex uso'!$C$6:$C$176,$A99,'D2 - Capex uso'!$AK$6:$AK$176,$A116)</f>
        <v>0</v>
      </c>
      <c r="Q116" s="710">
        <f>-SUMIFS('D2 - Capex uso'!CH$6:CH$176,'D2 - Capex uso'!$C$6:$C$176,$A99,'D2 - Capex uso'!$AK$6:$AK$176,$A116)</f>
        <v>0</v>
      </c>
      <c r="R116" s="710">
        <f>-SUMIFS('D2 - Capex uso'!CI$6:CI$176,'D2 - Capex uso'!$C$6:$C$176,$A99,'D2 - Capex uso'!$AK$6:$AK$176,$A116)</f>
        <v>0</v>
      </c>
      <c r="S116" s="710">
        <f>-SUMIFS('D2 - Capex uso'!CJ$6:CJ$176,'D2 - Capex uso'!$C$6:$C$176,$A99,'D2 - Capex uso'!$AK$6:$AK$176,$A116)</f>
        <v>0</v>
      </c>
      <c r="T116" s="710">
        <f>-SUMIFS('D2 - Capex uso'!CK$6:CK$176,'D2 - Capex uso'!$C$6:$C$176,$A99,'D2 - Capex uso'!$AK$6:$AK$176,$A116)</f>
        <v>0</v>
      </c>
      <c r="U116" s="710">
        <f>-SUMIFS('D2 - Capex uso'!CL$6:CL$176,'D2 - Capex uso'!$C$6:$C$176,$A99,'D2 - Capex uso'!$AK$6:$AK$176,$A116)</f>
        <v>0</v>
      </c>
      <c r="V116" s="710">
        <f>-SUMIFS('D2 - Capex uso'!CM$6:CM$176,'D2 - Capex uso'!$C$6:$C$176,$A99,'D2 - Capex uso'!$AK$6:$AK$176,$A116)</f>
        <v>0</v>
      </c>
      <c r="W116" s="710">
        <f>-SUMIFS('D2 - Capex uso'!CN$6:CN$176,'D2 - Capex uso'!$C$6:$C$176,$A99,'D2 - Capex uso'!$AK$6:$AK$176,$A116)</f>
        <v>0</v>
      </c>
      <c r="X116" s="710">
        <f>-SUMIFS('D2 - Capex uso'!CO$6:CO$176,'D2 - Capex uso'!$C$6:$C$176,$A99,'D2 - Capex uso'!$AK$6:$AK$176,$A116)</f>
        <v>0</v>
      </c>
      <c r="Y116" s="710">
        <f>-SUMIFS('D2 - Capex uso'!CP$6:CP$176,'D2 - Capex uso'!$C$6:$C$176,$A99,'D2 - Capex uso'!$AK$6:$AK$176,$A116)</f>
        <v>0</v>
      </c>
      <c r="Z116" s="710">
        <f>-SUMIFS('D2 - Capex uso'!CQ$6:CQ$176,'D2 - Capex uso'!$C$6:$C$176,$A99,'D2 - Capex uso'!$AK$6:$AK$176,$A116)</f>
        <v>0</v>
      </c>
      <c r="AA116" s="710">
        <f>-SUMIFS('D2 - Capex uso'!CR$6:CR$176,'D2 - Capex uso'!$C$6:$C$176,$A99,'D2 - Capex uso'!$AK$6:$AK$176,$A116)</f>
        <v>0</v>
      </c>
      <c r="AB116" s="710">
        <f>-SUMIFS('D2 - Capex uso'!CS$6:CS$176,'D2 - Capex uso'!$C$6:$C$176,$A99,'D2 - Capex uso'!$AK$6:$AK$176,$A116)</f>
        <v>0</v>
      </c>
      <c r="AC116" s="710">
        <f>-SUMIFS('D2 - Capex uso'!CT$6:CT$176,'D2 - Capex uso'!$C$6:$C$176,$A99,'D2 - Capex uso'!$AK$6:$AK$176,$A116)</f>
        <v>0</v>
      </c>
      <c r="AD116" s="710">
        <f>-SUMIFS('D2 - Capex uso'!CU$6:CU$176,'D2 - Capex uso'!$C$6:$C$176,$A99,'D2 - Capex uso'!$AK$6:$AK$176,$A116)</f>
        <v>0</v>
      </c>
      <c r="AE116" s="710">
        <f>-SUMIFS('D2 - Capex uso'!CV$6:CV$176,'D2 - Capex uso'!$C$6:$C$176,$A99,'D2 - Capex uso'!$AK$6:$AK$176,$A116)</f>
        <v>0</v>
      </c>
      <c r="AF116" s="594"/>
      <c r="AG116" s="594"/>
      <c r="AH116" s="594"/>
      <c r="AI116" s="594"/>
      <c r="AJ116" s="594"/>
      <c r="AK116" s="594"/>
      <c r="AL116" s="594"/>
      <c r="AM116" s="594"/>
      <c r="AN116" s="594"/>
      <c r="AO116" s="594"/>
      <c r="AP116" s="594"/>
      <c r="AQ116" s="594"/>
      <c r="AR116" s="594"/>
      <c r="AS116" s="594"/>
      <c r="AT116" s="594"/>
      <c r="AU116" s="594"/>
      <c r="AV116" s="594"/>
      <c r="AW116" s="594"/>
      <c r="AX116" s="594"/>
      <c r="AY116" s="594"/>
      <c r="AZ116" s="594"/>
      <c r="BA116" s="594"/>
      <c r="BB116" s="594"/>
      <c r="BC116" s="594"/>
      <c r="BD116" s="594"/>
      <c r="BE116" s="594"/>
      <c r="BF116" s="594"/>
      <c r="BG116" s="594"/>
      <c r="BH116" s="594"/>
      <c r="BI116" s="594"/>
      <c r="BJ116" s="594"/>
      <c r="BK116" s="594"/>
      <c r="BL116" s="57"/>
      <c r="BM116" s="594"/>
      <c r="BN116" s="594"/>
      <c r="BO116" s="594"/>
      <c r="BP116" s="594"/>
      <c r="BQ116" s="594"/>
      <c r="BR116" s="594"/>
      <c r="BS116" s="594"/>
      <c r="BT116" s="594"/>
      <c r="BU116" s="594"/>
      <c r="BV116" s="594"/>
      <c r="BW116" s="594"/>
      <c r="BX116" s="594"/>
      <c r="BY116" s="594"/>
      <c r="BZ116" s="594"/>
      <c r="CA116" s="594"/>
      <c r="CB116" s="594"/>
      <c r="CC116" s="594"/>
      <c r="CD116" s="594"/>
      <c r="CE116" s="594"/>
      <c r="CF116" s="594"/>
      <c r="CG116" s="594"/>
      <c r="CH116" s="594"/>
      <c r="CI116" s="594"/>
      <c r="CJ116" s="594"/>
      <c r="CK116" s="594"/>
      <c r="CL116" s="594"/>
      <c r="CM116" s="594"/>
      <c r="CN116" s="594"/>
      <c r="CO116" s="594"/>
      <c r="CP116" s="594"/>
      <c r="CQ116" s="594"/>
    </row>
    <row r="117" spans="1:95" ht="19.5" hidden="1" customHeight="1" outlineLevel="2">
      <c r="A117" s="709" t="s">
        <v>171</v>
      </c>
      <c r="B117" s="710">
        <f>-SUMIFS('D2 - Capex uso'!BS$6:BS$176,'D2 - Capex uso'!$C$6:$C$176,$A99,'D2 - Capex uso'!$AK$6:$AK$176,$A117)</f>
        <v>0</v>
      </c>
      <c r="C117" s="710">
        <f>-SUMIFS('D2 - Capex uso'!BT$6:BT$176,'D2 - Capex uso'!$C$6:$C$176,$A99,'D2 - Capex uso'!$AK$6:$AK$176,$A117)</f>
        <v>0</v>
      </c>
      <c r="D117" s="710">
        <f>-SUMIFS('D2 - Capex uso'!BU$6:BU$176,'D2 - Capex uso'!$C$6:$C$176,$A99,'D2 - Capex uso'!$AK$6:$AK$176,$A117)</f>
        <v>0</v>
      </c>
      <c r="E117" s="710">
        <f>-SUMIFS('D2 - Capex uso'!BV$6:BV$176,'D2 - Capex uso'!$C$6:$C$176,$A99,'D2 - Capex uso'!$AK$6:$AK$176,$A117)</f>
        <v>0</v>
      </c>
      <c r="F117" s="710">
        <f>-SUMIFS('D2 - Capex uso'!BW$6:BW$176,'D2 - Capex uso'!$C$6:$C$176,$A99,'D2 - Capex uso'!$AK$6:$AK$176,$A117)</f>
        <v>0</v>
      </c>
      <c r="G117" s="710">
        <f>-SUMIFS('D2 - Capex uso'!BX$6:BX$176,'D2 - Capex uso'!$C$6:$C$176,$A99,'D2 - Capex uso'!$AK$6:$AK$176,$A117)</f>
        <v>0</v>
      </c>
      <c r="H117" s="710">
        <f>-SUMIFS('D2 - Capex uso'!BY$6:BY$176,'D2 - Capex uso'!$C$6:$C$176,$A99,'D2 - Capex uso'!$AK$6:$AK$176,$A117)</f>
        <v>0</v>
      </c>
      <c r="I117" s="710">
        <f>-SUMIFS('D2 - Capex uso'!BZ$6:BZ$176,'D2 - Capex uso'!$C$6:$C$176,$A99,'D2 - Capex uso'!$AK$6:$AK$176,$A117)</f>
        <v>0</v>
      </c>
      <c r="J117" s="710">
        <f>-SUMIFS('D2 - Capex uso'!CA$6:CA$176,'D2 - Capex uso'!$C$6:$C$176,$A99,'D2 - Capex uso'!$AK$6:$AK$176,$A117)</f>
        <v>0</v>
      </c>
      <c r="K117" s="710">
        <f>-SUMIFS('D2 - Capex uso'!CB$6:CB$176,'D2 - Capex uso'!$C$6:$C$176,$A99,'D2 - Capex uso'!$AK$6:$AK$176,$A117)</f>
        <v>0</v>
      </c>
      <c r="L117" s="710">
        <f>-SUMIFS('D2 - Capex uso'!CC$6:CC$176,'D2 - Capex uso'!$C$6:$C$176,$A99,'D2 - Capex uso'!$AK$6:$AK$176,$A117)</f>
        <v>0</v>
      </c>
      <c r="M117" s="710">
        <f>-SUMIFS('D2 - Capex uso'!CD$6:CD$176,'D2 - Capex uso'!$C$6:$C$176,$A99,'D2 - Capex uso'!$AK$6:$AK$176,$A117)</f>
        <v>0</v>
      </c>
      <c r="N117" s="710">
        <f>-SUMIFS('D2 - Capex uso'!CE$6:CE$176,'D2 - Capex uso'!$C$6:$C$176,$A99,'D2 - Capex uso'!$AK$6:$AK$176,$A117)</f>
        <v>0</v>
      </c>
      <c r="O117" s="710">
        <f>-SUMIFS('D2 - Capex uso'!CF$6:CF$176,'D2 - Capex uso'!$C$6:$C$176,$A99,'D2 - Capex uso'!$AK$6:$AK$176,$A117)</f>
        <v>0</v>
      </c>
      <c r="P117" s="710">
        <f>-SUMIFS('D2 - Capex uso'!CG$6:CG$176,'D2 - Capex uso'!$C$6:$C$176,$A99,'D2 - Capex uso'!$AK$6:$AK$176,$A117)</f>
        <v>0</v>
      </c>
      <c r="Q117" s="710">
        <f>-SUMIFS('D2 - Capex uso'!CH$6:CH$176,'D2 - Capex uso'!$C$6:$C$176,$A99,'D2 - Capex uso'!$AK$6:$AK$176,$A117)</f>
        <v>0</v>
      </c>
      <c r="R117" s="710">
        <f>-SUMIFS('D2 - Capex uso'!CI$6:CI$176,'D2 - Capex uso'!$C$6:$C$176,$A99,'D2 - Capex uso'!$AK$6:$AK$176,$A117)</f>
        <v>0</v>
      </c>
      <c r="S117" s="710">
        <f>-SUMIFS('D2 - Capex uso'!CJ$6:CJ$176,'D2 - Capex uso'!$C$6:$C$176,$A99,'D2 - Capex uso'!$AK$6:$AK$176,$A117)</f>
        <v>0</v>
      </c>
      <c r="T117" s="710">
        <f>-SUMIFS('D2 - Capex uso'!CK$6:CK$176,'D2 - Capex uso'!$C$6:$C$176,$A99,'D2 - Capex uso'!$AK$6:$AK$176,$A117)</f>
        <v>0</v>
      </c>
      <c r="U117" s="710">
        <f>-SUMIFS('D2 - Capex uso'!CL$6:CL$176,'D2 - Capex uso'!$C$6:$C$176,$A99,'D2 - Capex uso'!$AK$6:$AK$176,$A117)</f>
        <v>0</v>
      </c>
      <c r="V117" s="710">
        <f>-SUMIFS('D2 - Capex uso'!CM$6:CM$176,'D2 - Capex uso'!$C$6:$C$176,$A99,'D2 - Capex uso'!$AK$6:$AK$176,$A117)</f>
        <v>0</v>
      </c>
      <c r="W117" s="710">
        <f>-SUMIFS('D2 - Capex uso'!CN$6:CN$176,'D2 - Capex uso'!$C$6:$C$176,$A99,'D2 - Capex uso'!$AK$6:$AK$176,$A117)</f>
        <v>0</v>
      </c>
      <c r="X117" s="710">
        <f>-SUMIFS('D2 - Capex uso'!CO$6:CO$176,'D2 - Capex uso'!$C$6:$C$176,$A99,'D2 - Capex uso'!$AK$6:$AK$176,$A117)</f>
        <v>0</v>
      </c>
      <c r="Y117" s="710">
        <f>-SUMIFS('D2 - Capex uso'!CP$6:CP$176,'D2 - Capex uso'!$C$6:$C$176,$A99,'D2 - Capex uso'!$AK$6:$AK$176,$A117)</f>
        <v>0</v>
      </c>
      <c r="Z117" s="710">
        <f>-SUMIFS('D2 - Capex uso'!CQ$6:CQ$176,'D2 - Capex uso'!$C$6:$C$176,$A99,'D2 - Capex uso'!$AK$6:$AK$176,$A117)</f>
        <v>0</v>
      </c>
      <c r="AA117" s="710">
        <f>-SUMIFS('D2 - Capex uso'!CR$6:CR$176,'D2 - Capex uso'!$C$6:$C$176,$A99,'D2 - Capex uso'!$AK$6:$AK$176,$A117)</f>
        <v>0</v>
      </c>
      <c r="AB117" s="710">
        <f>-SUMIFS('D2 - Capex uso'!CS$6:CS$176,'D2 - Capex uso'!$C$6:$C$176,$A99,'D2 - Capex uso'!$AK$6:$AK$176,$A117)</f>
        <v>0</v>
      </c>
      <c r="AC117" s="710">
        <f>-SUMIFS('D2 - Capex uso'!CT$6:CT$176,'D2 - Capex uso'!$C$6:$C$176,$A99,'D2 - Capex uso'!$AK$6:$AK$176,$A117)</f>
        <v>0</v>
      </c>
      <c r="AD117" s="710">
        <f>-SUMIFS('D2 - Capex uso'!CU$6:CU$176,'D2 - Capex uso'!$C$6:$C$176,$A99,'D2 - Capex uso'!$AK$6:$AK$176,$A117)</f>
        <v>0</v>
      </c>
      <c r="AE117" s="710">
        <f>-SUMIFS('D2 - Capex uso'!CV$6:CV$176,'D2 - Capex uso'!$C$6:$C$176,$A99,'D2 - Capex uso'!$AK$6:$AK$176,$A117)</f>
        <v>0</v>
      </c>
      <c r="AF117" s="594"/>
      <c r="AG117" s="594"/>
      <c r="AH117" s="594"/>
      <c r="AI117" s="594"/>
      <c r="AJ117" s="594"/>
      <c r="AK117" s="594"/>
      <c r="AL117" s="594"/>
      <c r="AM117" s="594"/>
      <c r="AN117" s="594"/>
      <c r="AO117" s="594"/>
      <c r="AP117" s="594"/>
      <c r="AQ117" s="594"/>
      <c r="AR117" s="594"/>
      <c r="AS117" s="594"/>
      <c r="AT117" s="594"/>
      <c r="AU117" s="594"/>
      <c r="AV117" s="594"/>
      <c r="AW117" s="594"/>
      <c r="AX117" s="594"/>
      <c r="AY117" s="594"/>
      <c r="AZ117" s="594"/>
      <c r="BA117" s="594"/>
      <c r="BB117" s="594"/>
      <c r="BC117" s="594"/>
      <c r="BD117" s="594"/>
      <c r="BE117" s="594"/>
      <c r="BF117" s="594"/>
      <c r="BG117" s="594"/>
      <c r="BH117" s="594"/>
      <c r="BI117" s="594"/>
      <c r="BJ117" s="594"/>
      <c r="BK117" s="594"/>
      <c r="BL117" s="57"/>
      <c r="BM117" s="594"/>
      <c r="BN117" s="594"/>
      <c r="BO117" s="594"/>
      <c r="BP117" s="594"/>
      <c r="BQ117" s="594"/>
      <c r="BR117" s="594"/>
      <c r="BS117" s="594"/>
      <c r="BT117" s="594"/>
      <c r="BU117" s="594"/>
      <c r="BV117" s="594"/>
      <c r="BW117" s="594"/>
      <c r="BX117" s="594"/>
      <c r="BY117" s="594"/>
      <c r="BZ117" s="594"/>
      <c r="CA117" s="594"/>
      <c r="CB117" s="594"/>
      <c r="CC117" s="594"/>
      <c r="CD117" s="594"/>
      <c r="CE117" s="594"/>
      <c r="CF117" s="594"/>
      <c r="CG117" s="594"/>
      <c r="CH117" s="594"/>
      <c r="CI117" s="594"/>
      <c r="CJ117" s="594"/>
      <c r="CK117" s="594"/>
      <c r="CL117" s="594"/>
      <c r="CM117" s="594"/>
      <c r="CN117" s="594"/>
      <c r="CO117" s="594"/>
      <c r="CP117" s="594"/>
      <c r="CQ117" s="594"/>
    </row>
    <row r="118" spans="1:95" ht="27" customHeight="1" collapsed="1">
      <c r="A118" s="703" t="str">
        <f>IF(ISBLANK('A1 - Serviços e demanda'!A26),,'A1 - Serviços e demanda'!A26)</f>
        <v>Silveira - Alimentação</v>
      </c>
      <c r="B118" s="704">
        <f t="shared" ref="B118:AE118" si="36">IF($A118=0,0,SUM(B127:B128))</f>
        <v>0</v>
      </c>
      <c r="C118" s="704">
        <f t="shared" si="36"/>
        <v>0</v>
      </c>
      <c r="D118" s="704">
        <f t="shared" si="36"/>
        <v>0</v>
      </c>
      <c r="E118" s="704">
        <f t="shared" si="36"/>
        <v>0</v>
      </c>
      <c r="F118" s="704">
        <f t="shared" si="36"/>
        <v>0</v>
      </c>
      <c r="G118" s="704">
        <f t="shared" si="36"/>
        <v>0</v>
      </c>
      <c r="H118" s="704">
        <f t="shared" si="36"/>
        <v>0</v>
      </c>
      <c r="I118" s="704">
        <f t="shared" si="36"/>
        <v>0</v>
      </c>
      <c r="J118" s="704">
        <f t="shared" si="36"/>
        <v>0</v>
      </c>
      <c r="K118" s="704">
        <f t="shared" si="36"/>
        <v>0</v>
      </c>
      <c r="L118" s="704">
        <f t="shared" si="36"/>
        <v>0</v>
      </c>
      <c r="M118" s="704">
        <f t="shared" si="36"/>
        <v>0</v>
      </c>
      <c r="N118" s="704">
        <f t="shared" si="36"/>
        <v>0</v>
      </c>
      <c r="O118" s="704">
        <f t="shared" si="36"/>
        <v>0</v>
      </c>
      <c r="P118" s="704">
        <f t="shared" si="36"/>
        <v>0</v>
      </c>
      <c r="Q118" s="704">
        <f t="shared" si="36"/>
        <v>0</v>
      </c>
      <c r="R118" s="704">
        <f t="shared" si="36"/>
        <v>0</v>
      </c>
      <c r="S118" s="704">
        <f t="shared" si="36"/>
        <v>0</v>
      </c>
      <c r="T118" s="704">
        <f t="shared" si="36"/>
        <v>0</v>
      </c>
      <c r="U118" s="704">
        <f t="shared" si="36"/>
        <v>0</v>
      </c>
      <c r="V118" s="704">
        <f t="shared" si="36"/>
        <v>0</v>
      </c>
      <c r="W118" s="704">
        <f t="shared" si="36"/>
        <v>0</v>
      </c>
      <c r="X118" s="704">
        <f t="shared" si="36"/>
        <v>0</v>
      </c>
      <c r="Y118" s="704">
        <f t="shared" si="36"/>
        <v>0</v>
      </c>
      <c r="Z118" s="704">
        <f t="shared" si="36"/>
        <v>0</v>
      </c>
      <c r="AA118" s="704">
        <f t="shared" si="36"/>
        <v>0</v>
      </c>
      <c r="AB118" s="704">
        <f t="shared" si="36"/>
        <v>0</v>
      </c>
      <c r="AC118" s="704">
        <f t="shared" si="36"/>
        <v>0</v>
      </c>
      <c r="AD118" s="704">
        <f t="shared" si="36"/>
        <v>0</v>
      </c>
      <c r="AE118" s="704">
        <f t="shared" si="36"/>
        <v>0</v>
      </c>
      <c r="AF118" s="594"/>
      <c r="AG118" s="486" t="str">
        <f>A118</f>
        <v>Silveira - Alimentação</v>
      </c>
      <c r="AH118" s="705">
        <f t="shared" ref="AH118:BK118" si="37">IFERROR(-B121/B119,0)</f>
        <v>0</v>
      </c>
      <c r="AI118" s="705">
        <f t="shared" si="37"/>
        <v>0</v>
      </c>
      <c r="AJ118" s="705">
        <f t="shared" si="37"/>
        <v>0</v>
      </c>
      <c r="AK118" s="705">
        <f t="shared" si="37"/>
        <v>0</v>
      </c>
      <c r="AL118" s="705">
        <f t="shared" si="37"/>
        <v>0</v>
      </c>
      <c r="AM118" s="705">
        <f t="shared" si="37"/>
        <v>0</v>
      </c>
      <c r="AN118" s="705">
        <f t="shared" si="37"/>
        <v>0</v>
      </c>
      <c r="AO118" s="705">
        <f t="shared" si="37"/>
        <v>0</v>
      </c>
      <c r="AP118" s="705">
        <f t="shared" si="37"/>
        <v>0</v>
      </c>
      <c r="AQ118" s="705">
        <f t="shared" si="37"/>
        <v>0</v>
      </c>
      <c r="AR118" s="705">
        <f t="shared" si="37"/>
        <v>0</v>
      </c>
      <c r="AS118" s="705">
        <f t="shared" si="37"/>
        <v>0</v>
      </c>
      <c r="AT118" s="705">
        <f t="shared" si="37"/>
        <v>0</v>
      </c>
      <c r="AU118" s="705">
        <f t="shared" si="37"/>
        <v>0</v>
      </c>
      <c r="AV118" s="705">
        <f t="shared" si="37"/>
        <v>0</v>
      </c>
      <c r="AW118" s="705">
        <f t="shared" si="37"/>
        <v>0</v>
      </c>
      <c r="AX118" s="705">
        <f t="shared" si="37"/>
        <v>0</v>
      </c>
      <c r="AY118" s="705">
        <f t="shared" si="37"/>
        <v>0</v>
      </c>
      <c r="AZ118" s="705">
        <f t="shared" si="37"/>
        <v>0</v>
      </c>
      <c r="BA118" s="705">
        <f t="shared" si="37"/>
        <v>0</v>
      </c>
      <c r="BB118" s="705">
        <f t="shared" si="37"/>
        <v>0</v>
      </c>
      <c r="BC118" s="705">
        <f t="shared" si="37"/>
        <v>0</v>
      </c>
      <c r="BD118" s="705">
        <f t="shared" si="37"/>
        <v>0</v>
      </c>
      <c r="BE118" s="705">
        <f t="shared" si="37"/>
        <v>0</v>
      </c>
      <c r="BF118" s="705">
        <f t="shared" si="37"/>
        <v>0</v>
      </c>
      <c r="BG118" s="705">
        <f t="shared" si="37"/>
        <v>0</v>
      </c>
      <c r="BH118" s="705">
        <f t="shared" si="37"/>
        <v>0</v>
      </c>
      <c r="BI118" s="705">
        <f t="shared" si="37"/>
        <v>0</v>
      </c>
      <c r="BJ118" s="705">
        <f t="shared" si="37"/>
        <v>0</v>
      </c>
      <c r="BK118" s="705">
        <f t="shared" si="37"/>
        <v>0</v>
      </c>
      <c r="BL118" s="57"/>
      <c r="BM118" s="486" t="str">
        <f>AG118</f>
        <v>Silveira - Alimentação</v>
      </c>
      <c r="BN118" s="705">
        <f t="shared" ref="BN118:CQ118" si="38">IFERROR(B127/B119,0)</f>
        <v>0</v>
      </c>
      <c r="BO118" s="705">
        <f t="shared" si="38"/>
        <v>0</v>
      </c>
      <c r="BP118" s="705">
        <f t="shared" si="38"/>
        <v>0</v>
      </c>
      <c r="BQ118" s="705">
        <f t="shared" si="38"/>
        <v>0</v>
      </c>
      <c r="BR118" s="705">
        <f t="shared" si="38"/>
        <v>0</v>
      </c>
      <c r="BS118" s="705">
        <f t="shared" si="38"/>
        <v>0</v>
      </c>
      <c r="BT118" s="705">
        <f t="shared" si="38"/>
        <v>0</v>
      </c>
      <c r="BU118" s="705">
        <f t="shared" si="38"/>
        <v>0</v>
      </c>
      <c r="BV118" s="705">
        <f t="shared" si="38"/>
        <v>0</v>
      </c>
      <c r="BW118" s="705">
        <f t="shared" si="38"/>
        <v>0</v>
      </c>
      <c r="BX118" s="705">
        <f t="shared" si="38"/>
        <v>0</v>
      </c>
      <c r="BY118" s="705">
        <f t="shared" si="38"/>
        <v>0</v>
      </c>
      <c r="BZ118" s="705">
        <f t="shared" si="38"/>
        <v>0</v>
      </c>
      <c r="CA118" s="705">
        <f t="shared" si="38"/>
        <v>0</v>
      </c>
      <c r="CB118" s="705">
        <f t="shared" si="38"/>
        <v>0</v>
      </c>
      <c r="CC118" s="705">
        <f t="shared" si="38"/>
        <v>0</v>
      </c>
      <c r="CD118" s="705">
        <f t="shared" si="38"/>
        <v>0</v>
      </c>
      <c r="CE118" s="705">
        <f t="shared" si="38"/>
        <v>0</v>
      </c>
      <c r="CF118" s="705">
        <f t="shared" si="38"/>
        <v>0</v>
      </c>
      <c r="CG118" s="705">
        <f t="shared" si="38"/>
        <v>0</v>
      </c>
      <c r="CH118" s="705">
        <f t="shared" si="38"/>
        <v>0</v>
      </c>
      <c r="CI118" s="705">
        <f t="shared" si="38"/>
        <v>0</v>
      </c>
      <c r="CJ118" s="705">
        <f t="shared" si="38"/>
        <v>0</v>
      </c>
      <c r="CK118" s="705">
        <f t="shared" si="38"/>
        <v>0</v>
      </c>
      <c r="CL118" s="705">
        <f t="shared" si="38"/>
        <v>0</v>
      </c>
      <c r="CM118" s="705">
        <f t="shared" si="38"/>
        <v>0</v>
      </c>
      <c r="CN118" s="705">
        <f t="shared" si="38"/>
        <v>0</v>
      </c>
      <c r="CO118" s="705">
        <f t="shared" si="38"/>
        <v>0</v>
      </c>
      <c r="CP118" s="705">
        <f t="shared" si="38"/>
        <v>0</v>
      </c>
      <c r="CQ118" s="705">
        <f t="shared" si="38"/>
        <v>0</v>
      </c>
    </row>
    <row r="119" spans="1:95" ht="33.75" hidden="1" customHeight="1" outlineLevel="1">
      <c r="A119" s="706" t="s">
        <v>680</v>
      </c>
      <c r="B119" s="707">
        <f>IFERROR(VLOOKUP($A118,ReceitaBruta,COLUMN('A4 - Previsão de Receita Bruta'!C121)-1,0),0)</f>
        <v>0</v>
      </c>
      <c r="C119" s="707">
        <f>IFERROR(VLOOKUP($A118,ReceitaBruta,COLUMN('A4 - Previsão de Receita Bruta'!D121)-1,0),0)</f>
        <v>0</v>
      </c>
      <c r="D119" s="707">
        <f>IFERROR(VLOOKUP($A118,ReceitaBruta,COLUMN('A4 - Previsão de Receita Bruta'!E121)-1,0),0)</f>
        <v>0</v>
      </c>
      <c r="E119" s="707">
        <f>IFERROR(VLOOKUP($A118,ReceitaBruta,COLUMN('A4 - Previsão de Receita Bruta'!F121)-1,0),0)</f>
        <v>0</v>
      </c>
      <c r="F119" s="707">
        <f>IFERROR(VLOOKUP($A118,ReceitaBruta,COLUMN('A4 - Previsão de Receita Bruta'!G121)-1,0),0)</f>
        <v>0</v>
      </c>
      <c r="G119" s="707">
        <f>IFERROR(VLOOKUP($A118,ReceitaBruta,COLUMN('A4 - Previsão de Receita Bruta'!H121)-1,0),0)</f>
        <v>0</v>
      </c>
      <c r="H119" s="707">
        <f>IFERROR(VLOOKUP($A118,ReceitaBruta,COLUMN('A4 - Previsão de Receita Bruta'!I121)-1,0),0)</f>
        <v>0</v>
      </c>
      <c r="I119" s="707">
        <f>IFERROR(VLOOKUP($A118,ReceitaBruta,COLUMN('A4 - Previsão de Receita Bruta'!J121)-1,0),0)</f>
        <v>0</v>
      </c>
      <c r="J119" s="707">
        <f>IFERROR(VLOOKUP($A118,ReceitaBruta,COLUMN('A4 - Previsão de Receita Bruta'!K121)-1,0),0)</f>
        <v>0</v>
      </c>
      <c r="K119" s="707">
        <f>IFERROR(VLOOKUP($A118,ReceitaBruta,COLUMN('A4 - Previsão de Receita Bruta'!L121)-1,0),0)</f>
        <v>0</v>
      </c>
      <c r="L119" s="707">
        <f>IFERROR(VLOOKUP($A118,ReceitaBruta,COLUMN('A4 - Previsão de Receita Bruta'!M121)-1,0),0)</f>
        <v>0</v>
      </c>
      <c r="M119" s="707">
        <f>IFERROR(VLOOKUP($A118,ReceitaBruta,COLUMN('A4 - Previsão de Receita Bruta'!N121)-1,0),0)</f>
        <v>0</v>
      </c>
      <c r="N119" s="707">
        <f>IFERROR(VLOOKUP($A118,ReceitaBruta,COLUMN('A4 - Previsão de Receita Bruta'!O121)-1,0),0)</f>
        <v>0</v>
      </c>
      <c r="O119" s="707">
        <f>IFERROR(VLOOKUP($A118,ReceitaBruta,COLUMN('A4 - Previsão de Receita Bruta'!P121)-1,0),0)</f>
        <v>0</v>
      </c>
      <c r="P119" s="707">
        <f>IFERROR(VLOOKUP($A118,ReceitaBruta,COLUMN('A4 - Previsão de Receita Bruta'!Q121)-1,0),0)</f>
        <v>0</v>
      </c>
      <c r="Q119" s="707">
        <f>IFERROR(VLOOKUP($A118,ReceitaBruta,COLUMN('A4 - Previsão de Receita Bruta'!R121)-1,0),0)</f>
        <v>0</v>
      </c>
      <c r="R119" s="707">
        <f>IFERROR(VLOOKUP($A118,ReceitaBruta,COLUMN('A4 - Previsão de Receita Bruta'!S121)-1,0),0)</f>
        <v>0</v>
      </c>
      <c r="S119" s="707">
        <f>IFERROR(VLOOKUP($A118,ReceitaBruta,COLUMN('A4 - Previsão de Receita Bruta'!T121)-1,0),0)</f>
        <v>0</v>
      </c>
      <c r="T119" s="707">
        <f>IFERROR(VLOOKUP($A118,ReceitaBruta,COLUMN('A4 - Previsão de Receita Bruta'!U121)-1,0),0)</f>
        <v>0</v>
      </c>
      <c r="U119" s="707">
        <f>IFERROR(VLOOKUP($A118,ReceitaBruta,COLUMN('A4 - Previsão de Receita Bruta'!V121)-1,0),0)</f>
        <v>0</v>
      </c>
      <c r="V119" s="707">
        <f>IFERROR(VLOOKUP($A118,ReceitaBruta,COLUMN('A4 - Previsão de Receita Bruta'!W121)-1,0),0)</f>
        <v>0</v>
      </c>
      <c r="W119" s="707">
        <f>IFERROR(VLOOKUP($A118,ReceitaBruta,COLUMN('A4 - Previsão de Receita Bruta'!X121)-1,0),0)</f>
        <v>0</v>
      </c>
      <c r="X119" s="707">
        <f>IFERROR(VLOOKUP($A118,ReceitaBruta,COLUMN('A4 - Previsão de Receita Bruta'!Y121)-1,0),0)</f>
        <v>0</v>
      </c>
      <c r="Y119" s="707">
        <f>IFERROR(VLOOKUP($A118,ReceitaBruta,COLUMN('A4 - Previsão de Receita Bruta'!Z121)-1,0),0)</f>
        <v>0</v>
      </c>
      <c r="Z119" s="707">
        <f>IFERROR(VLOOKUP($A118,ReceitaBruta,COLUMN('A4 - Previsão de Receita Bruta'!AA121)-1,0),0)</f>
        <v>0</v>
      </c>
      <c r="AA119" s="707">
        <f>IFERROR(VLOOKUP($A118,ReceitaBruta,COLUMN('A4 - Previsão de Receita Bruta'!AB121)-1,0),0)</f>
        <v>0</v>
      </c>
      <c r="AB119" s="707">
        <f>IFERROR(VLOOKUP($A118,ReceitaBruta,COLUMN('A4 - Previsão de Receita Bruta'!AC121)-1,0),0)</f>
        <v>0</v>
      </c>
      <c r="AC119" s="707">
        <f>IFERROR(VLOOKUP($A118,ReceitaBruta,COLUMN('A4 - Previsão de Receita Bruta'!AD121)-1,0),0)</f>
        <v>0</v>
      </c>
      <c r="AD119" s="707">
        <f>IFERROR(VLOOKUP($A118,ReceitaBruta,COLUMN('A4 - Previsão de Receita Bruta'!AE121)-1,0),0)</f>
        <v>0</v>
      </c>
      <c r="AE119" s="707">
        <f>IFERROR(VLOOKUP($A118,ReceitaBruta,COLUMN('A4 - Previsão de Receita Bruta'!AF121)-1,0),0)</f>
        <v>0</v>
      </c>
      <c r="AF119" s="594"/>
      <c r="AG119" s="594"/>
      <c r="AH119" s="594"/>
      <c r="AI119" s="594"/>
      <c r="AJ119" s="594"/>
      <c r="AK119" s="594"/>
      <c r="AL119" s="594"/>
      <c r="AM119" s="594"/>
      <c r="AN119" s="594"/>
      <c r="AO119" s="594"/>
      <c r="AP119" s="594"/>
      <c r="AQ119" s="594"/>
      <c r="AR119" s="594"/>
      <c r="AS119" s="594"/>
      <c r="AT119" s="594"/>
      <c r="AU119" s="594"/>
      <c r="AV119" s="594"/>
      <c r="AW119" s="594"/>
      <c r="AX119" s="594"/>
      <c r="AY119" s="594"/>
      <c r="AZ119" s="594"/>
      <c r="BA119" s="594"/>
      <c r="BB119" s="594"/>
      <c r="BC119" s="594"/>
      <c r="BD119" s="594"/>
      <c r="BE119" s="594"/>
      <c r="BF119" s="594"/>
      <c r="BG119" s="594"/>
      <c r="BH119" s="594"/>
      <c r="BI119" s="594"/>
      <c r="BJ119" s="594"/>
      <c r="BK119" s="594"/>
      <c r="BL119" s="57"/>
      <c r="BM119" s="594"/>
      <c r="BN119" s="594"/>
      <c r="BO119" s="594"/>
      <c r="BP119" s="594"/>
      <c r="BQ119" s="594"/>
      <c r="BR119" s="594"/>
      <c r="BS119" s="594"/>
      <c r="BT119" s="594"/>
      <c r="BU119" s="594"/>
      <c r="BV119" s="594"/>
      <c r="BW119" s="594"/>
      <c r="BX119" s="594"/>
      <c r="BY119" s="594"/>
      <c r="BZ119" s="594"/>
      <c r="CA119" s="594"/>
      <c r="CB119" s="594"/>
      <c r="CC119" s="594"/>
      <c r="CD119" s="594"/>
      <c r="CE119" s="594"/>
      <c r="CF119" s="594"/>
      <c r="CG119" s="594"/>
      <c r="CH119" s="594"/>
      <c r="CI119" s="594"/>
      <c r="CJ119" s="594"/>
      <c r="CK119" s="594"/>
      <c r="CL119" s="594"/>
      <c r="CM119" s="594"/>
      <c r="CN119" s="594"/>
      <c r="CO119" s="594"/>
      <c r="CP119" s="594"/>
      <c r="CQ119" s="594"/>
    </row>
    <row r="120" spans="1:95" ht="21" hidden="1" customHeight="1" outlineLevel="1">
      <c r="A120" s="708" t="s">
        <v>681</v>
      </c>
      <c r="B120" s="707">
        <f>IFERROR(-'E2 - Tributos'!D$19*VLOOKUP('F1 - FCL'!$A118,ReceitaBruta,COLUMN('A4 - Previsão de Receita Bruta'!C$6)-1,0),0)</f>
        <v>0</v>
      </c>
      <c r="C120" s="707">
        <f>IFERROR(-'E2 - Tributos'!E$19*VLOOKUP('F1 - FCL'!$A118,ReceitaBruta,COLUMN('A4 - Previsão de Receita Bruta'!D$6)-1,0),0)</f>
        <v>0</v>
      </c>
      <c r="D120" s="707">
        <f>IFERROR(-'E2 - Tributos'!F$19*VLOOKUP('F1 - FCL'!$A118,ReceitaBruta,COLUMN('A4 - Previsão de Receita Bruta'!E$6)-1,0),0)</f>
        <v>0</v>
      </c>
      <c r="E120" s="707">
        <f>IFERROR(-'E2 - Tributos'!G$19*VLOOKUP('F1 - FCL'!$A118,ReceitaBruta,COLUMN('A4 - Previsão de Receita Bruta'!F$6)-1,0),0)</f>
        <v>0</v>
      </c>
      <c r="F120" s="707">
        <f>IFERROR(-'E2 - Tributos'!H$19*VLOOKUP('F1 - FCL'!$A118,ReceitaBruta,COLUMN('A4 - Previsão de Receita Bruta'!G$6)-1,0),0)</f>
        <v>0</v>
      </c>
      <c r="G120" s="707">
        <f>IFERROR(-'E2 - Tributos'!I$19*VLOOKUP('F1 - FCL'!$A118,ReceitaBruta,COLUMN('A4 - Previsão de Receita Bruta'!H$6)-1,0),0)</f>
        <v>0</v>
      </c>
      <c r="H120" s="707">
        <f>IFERROR(-'E2 - Tributos'!J$19*VLOOKUP('F1 - FCL'!$A118,ReceitaBruta,COLUMN('A4 - Previsão de Receita Bruta'!I$6)-1,0),0)</f>
        <v>0</v>
      </c>
      <c r="I120" s="707">
        <f>IFERROR(-'E2 - Tributos'!K$19*VLOOKUP('F1 - FCL'!$A118,ReceitaBruta,COLUMN('A4 - Previsão de Receita Bruta'!J$6)-1,0),0)</f>
        <v>0</v>
      </c>
      <c r="J120" s="707">
        <f>IFERROR(-'E2 - Tributos'!L$19*VLOOKUP('F1 - FCL'!$A118,ReceitaBruta,COLUMN('A4 - Previsão de Receita Bruta'!K$6)-1,0),0)</f>
        <v>0</v>
      </c>
      <c r="K120" s="707">
        <f>IFERROR(-'E2 - Tributos'!M$19*VLOOKUP('F1 - FCL'!$A118,ReceitaBruta,COLUMN('A4 - Previsão de Receita Bruta'!L$6)-1,0),0)</f>
        <v>0</v>
      </c>
      <c r="L120" s="707">
        <f>IFERROR(-'E2 - Tributos'!N$19*VLOOKUP('F1 - FCL'!$A118,ReceitaBruta,COLUMN('A4 - Previsão de Receita Bruta'!M$6)-1,0),0)</f>
        <v>0</v>
      </c>
      <c r="M120" s="707">
        <f>IFERROR(-'E2 - Tributos'!O$19*VLOOKUP('F1 - FCL'!$A118,ReceitaBruta,COLUMN('A4 - Previsão de Receita Bruta'!N$6)-1,0),0)</f>
        <v>0</v>
      </c>
      <c r="N120" s="707">
        <f>IFERROR(-'E2 - Tributos'!P$19*VLOOKUP('F1 - FCL'!$A118,ReceitaBruta,COLUMN('A4 - Previsão de Receita Bruta'!O$6)-1,0),0)</f>
        <v>0</v>
      </c>
      <c r="O120" s="707">
        <f>IFERROR(-'E2 - Tributos'!Q$19*VLOOKUP('F1 - FCL'!$A118,ReceitaBruta,COLUMN('A4 - Previsão de Receita Bruta'!P$6)-1,0),0)</f>
        <v>0</v>
      </c>
      <c r="P120" s="707">
        <f>IFERROR(-'E2 - Tributos'!R$19*VLOOKUP('F1 - FCL'!$A118,ReceitaBruta,COLUMN('A4 - Previsão de Receita Bruta'!Q$6)-1,0),0)</f>
        <v>0</v>
      </c>
      <c r="Q120" s="707">
        <f>IFERROR(-'E2 - Tributos'!S$19*VLOOKUP('F1 - FCL'!$A118,ReceitaBruta,COLUMN('A4 - Previsão de Receita Bruta'!R$6)-1,0),0)</f>
        <v>0</v>
      </c>
      <c r="R120" s="707">
        <f>IFERROR(-'E2 - Tributos'!T$19*VLOOKUP('F1 - FCL'!$A118,ReceitaBruta,COLUMN('A4 - Previsão de Receita Bruta'!S$6)-1,0),0)</f>
        <v>0</v>
      </c>
      <c r="S120" s="707">
        <f>IFERROR(-'E2 - Tributos'!U$19*VLOOKUP('F1 - FCL'!$A118,ReceitaBruta,COLUMN('A4 - Previsão de Receita Bruta'!T$6)-1,0),0)</f>
        <v>0</v>
      </c>
      <c r="T120" s="707">
        <f>IFERROR(-'E2 - Tributos'!V$19*VLOOKUP('F1 - FCL'!$A118,ReceitaBruta,COLUMN('A4 - Previsão de Receita Bruta'!U$6)-1,0),0)</f>
        <v>0</v>
      </c>
      <c r="U120" s="707">
        <f>IFERROR(-'E2 - Tributos'!W$19*VLOOKUP('F1 - FCL'!$A118,ReceitaBruta,COLUMN('A4 - Previsão de Receita Bruta'!V$6)-1,0),0)</f>
        <v>0</v>
      </c>
      <c r="V120" s="707">
        <f>IFERROR(-'E2 - Tributos'!X$19*VLOOKUP('F1 - FCL'!$A118,ReceitaBruta,COLUMN('A4 - Previsão de Receita Bruta'!W$6)-1,0),0)</f>
        <v>0</v>
      </c>
      <c r="W120" s="707">
        <f>IFERROR(-'E2 - Tributos'!Y$19*VLOOKUP('F1 - FCL'!$A118,ReceitaBruta,COLUMN('A4 - Previsão de Receita Bruta'!X$6)-1,0),0)</f>
        <v>0</v>
      </c>
      <c r="X120" s="707">
        <f>IFERROR(-'E2 - Tributos'!Z$19*VLOOKUP('F1 - FCL'!$A118,ReceitaBruta,COLUMN('A4 - Previsão de Receita Bruta'!Y$6)-1,0),0)</f>
        <v>0</v>
      </c>
      <c r="Y120" s="707">
        <f>IFERROR(-'E2 - Tributos'!AA$19*VLOOKUP('F1 - FCL'!$A118,ReceitaBruta,COLUMN('A4 - Previsão de Receita Bruta'!Z$6)-1,0),0)</f>
        <v>0</v>
      </c>
      <c r="Z120" s="707">
        <f>IFERROR(-'E2 - Tributos'!AB$19*VLOOKUP('F1 - FCL'!$A118,ReceitaBruta,COLUMN('A4 - Previsão de Receita Bruta'!AA$6)-1,0),0)</f>
        <v>0</v>
      </c>
      <c r="AA120" s="707">
        <f>IFERROR(-'E2 - Tributos'!AC$19*VLOOKUP('F1 - FCL'!$A118,ReceitaBruta,COLUMN('A4 - Previsão de Receita Bruta'!AB$6)-1,0),0)</f>
        <v>0</v>
      </c>
      <c r="AB120" s="707">
        <f>IFERROR(-'E2 - Tributos'!AD$19*VLOOKUP('F1 - FCL'!$A118,ReceitaBruta,COLUMN('A4 - Previsão de Receita Bruta'!AC$6)-1,0),0)</f>
        <v>0</v>
      </c>
      <c r="AC120" s="707">
        <f>IFERROR(-'E2 - Tributos'!AE$19*VLOOKUP('F1 - FCL'!$A118,ReceitaBruta,COLUMN('A4 - Previsão de Receita Bruta'!AD$6)-1,0),0)</f>
        <v>0</v>
      </c>
      <c r="AD120" s="707">
        <f>IFERROR(-'E2 - Tributos'!AF$19*VLOOKUP('F1 - FCL'!$A118,ReceitaBruta,COLUMN('A4 - Previsão de Receita Bruta'!AE$6)-1,0),0)</f>
        <v>0</v>
      </c>
      <c r="AE120" s="707">
        <f>IFERROR(-'E2 - Tributos'!AG$19*VLOOKUP('F1 - FCL'!$A118,ReceitaBruta,COLUMN('A4 - Previsão de Receita Bruta'!AF$6)-1,0),0)</f>
        <v>0</v>
      </c>
      <c r="AF120" s="594"/>
      <c r="AG120" s="594"/>
      <c r="AH120" s="594"/>
      <c r="AI120" s="594"/>
      <c r="AJ120" s="594"/>
      <c r="AK120" s="594"/>
      <c r="AL120" s="594"/>
      <c r="AM120" s="594"/>
      <c r="AN120" s="594"/>
      <c r="AO120" s="594"/>
      <c r="AP120" s="594"/>
      <c r="AQ120" s="594"/>
      <c r="AR120" s="594"/>
      <c r="AS120" s="594"/>
      <c r="AT120" s="594"/>
      <c r="AU120" s="594"/>
      <c r="AV120" s="594"/>
      <c r="AW120" s="594"/>
      <c r="AX120" s="594"/>
      <c r="AY120" s="594"/>
      <c r="AZ120" s="594"/>
      <c r="BA120" s="594"/>
      <c r="BB120" s="594"/>
      <c r="BC120" s="594"/>
      <c r="BD120" s="594"/>
      <c r="BE120" s="594"/>
      <c r="BF120" s="594"/>
      <c r="BG120" s="594"/>
      <c r="BH120" s="594"/>
      <c r="BI120" s="594"/>
      <c r="BJ120" s="594"/>
      <c r="BK120" s="594"/>
      <c r="BL120" s="57"/>
      <c r="BM120" s="594"/>
      <c r="BN120" s="594"/>
      <c r="BO120" s="594"/>
      <c r="BP120" s="594"/>
      <c r="BQ120" s="594"/>
      <c r="BR120" s="594"/>
      <c r="BS120" s="594"/>
      <c r="BT120" s="594"/>
      <c r="BU120" s="594"/>
      <c r="BV120" s="594"/>
      <c r="BW120" s="594"/>
      <c r="BX120" s="594"/>
      <c r="BY120" s="594"/>
      <c r="BZ120" s="594"/>
      <c r="CA120" s="594"/>
      <c r="CB120" s="594"/>
      <c r="CC120" s="594"/>
      <c r="CD120" s="594"/>
      <c r="CE120" s="594"/>
      <c r="CF120" s="594"/>
      <c r="CG120" s="594"/>
      <c r="CH120" s="594"/>
      <c r="CI120" s="594"/>
      <c r="CJ120" s="594"/>
      <c r="CK120" s="594"/>
      <c r="CL120" s="594"/>
      <c r="CM120" s="594"/>
      <c r="CN120" s="594"/>
      <c r="CO120" s="594"/>
      <c r="CP120" s="594"/>
      <c r="CQ120" s="594"/>
    </row>
    <row r="121" spans="1:95" ht="19.5" hidden="1" customHeight="1" outlineLevel="1">
      <c r="A121" s="708" t="s">
        <v>590</v>
      </c>
      <c r="B121" s="707">
        <f t="shared" ref="B121:AE121" si="39">SUM(B122:B126)</f>
        <v>0</v>
      </c>
      <c r="C121" s="707">
        <f t="shared" si="39"/>
        <v>0</v>
      </c>
      <c r="D121" s="707">
        <f t="shared" si="39"/>
        <v>0</v>
      </c>
      <c r="E121" s="707">
        <f t="shared" si="39"/>
        <v>0</v>
      </c>
      <c r="F121" s="707">
        <f t="shared" si="39"/>
        <v>0</v>
      </c>
      <c r="G121" s="707">
        <f t="shared" si="39"/>
        <v>0</v>
      </c>
      <c r="H121" s="707">
        <f t="shared" si="39"/>
        <v>0</v>
      </c>
      <c r="I121" s="707">
        <f t="shared" si="39"/>
        <v>0</v>
      </c>
      <c r="J121" s="707">
        <f t="shared" si="39"/>
        <v>0</v>
      </c>
      <c r="K121" s="707">
        <f t="shared" si="39"/>
        <v>0</v>
      </c>
      <c r="L121" s="707">
        <f t="shared" si="39"/>
        <v>0</v>
      </c>
      <c r="M121" s="707">
        <f t="shared" si="39"/>
        <v>0</v>
      </c>
      <c r="N121" s="707">
        <f t="shared" si="39"/>
        <v>0</v>
      </c>
      <c r="O121" s="707">
        <f t="shared" si="39"/>
        <v>0</v>
      </c>
      <c r="P121" s="707">
        <f t="shared" si="39"/>
        <v>0</v>
      </c>
      <c r="Q121" s="707">
        <f t="shared" si="39"/>
        <v>0</v>
      </c>
      <c r="R121" s="707">
        <f t="shared" si="39"/>
        <v>0</v>
      </c>
      <c r="S121" s="707">
        <f t="shared" si="39"/>
        <v>0</v>
      </c>
      <c r="T121" s="707">
        <f t="shared" si="39"/>
        <v>0</v>
      </c>
      <c r="U121" s="707">
        <f t="shared" si="39"/>
        <v>0</v>
      </c>
      <c r="V121" s="707">
        <f t="shared" si="39"/>
        <v>0</v>
      </c>
      <c r="W121" s="707">
        <f t="shared" si="39"/>
        <v>0</v>
      </c>
      <c r="X121" s="707">
        <f t="shared" si="39"/>
        <v>0</v>
      </c>
      <c r="Y121" s="707">
        <f t="shared" si="39"/>
        <v>0</v>
      </c>
      <c r="Z121" s="707">
        <f t="shared" si="39"/>
        <v>0</v>
      </c>
      <c r="AA121" s="707">
        <f t="shared" si="39"/>
        <v>0</v>
      </c>
      <c r="AB121" s="707">
        <f t="shared" si="39"/>
        <v>0</v>
      </c>
      <c r="AC121" s="707">
        <f t="shared" si="39"/>
        <v>0</v>
      </c>
      <c r="AD121" s="707">
        <f t="shared" si="39"/>
        <v>0</v>
      </c>
      <c r="AE121" s="707">
        <f t="shared" si="39"/>
        <v>0</v>
      </c>
      <c r="AF121" s="594"/>
      <c r="AG121" s="594"/>
      <c r="AH121" s="594"/>
      <c r="AI121" s="594"/>
      <c r="AJ121" s="594"/>
      <c r="AK121" s="594"/>
      <c r="AL121" s="594"/>
      <c r="AM121" s="594"/>
      <c r="AN121" s="594"/>
      <c r="AO121" s="594"/>
      <c r="AP121" s="594"/>
      <c r="AQ121" s="594"/>
      <c r="AR121" s="594"/>
      <c r="AS121" s="594"/>
      <c r="AT121" s="594"/>
      <c r="AU121" s="594"/>
      <c r="AV121" s="594"/>
      <c r="AW121" s="594"/>
      <c r="AX121" s="594"/>
      <c r="AY121" s="594"/>
      <c r="AZ121" s="594"/>
      <c r="BA121" s="594"/>
      <c r="BB121" s="594"/>
      <c r="BC121" s="594"/>
      <c r="BD121" s="594"/>
      <c r="BE121" s="594"/>
      <c r="BF121" s="594"/>
      <c r="BG121" s="594"/>
      <c r="BH121" s="594"/>
      <c r="BI121" s="594"/>
      <c r="BJ121" s="594"/>
      <c r="BK121" s="594"/>
      <c r="BL121" s="57"/>
      <c r="BM121" s="594"/>
      <c r="BN121" s="594"/>
      <c r="BO121" s="594"/>
      <c r="BP121" s="594"/>
      <c r="BQ121" s="594"/>
      <c r="BR121" s="594"/>
      <c r="BS121" s="594"/>
      <c r="BT121" s="594"/>
      <c r="BU121" s="594"/>
      <c r="BV121" s="594"/>
      <c r="BW121" s="594"/>
      <c r="BX121" s="594"/>
      <c r="BY121" s="594"/>
      <c r="BZ121" s="594"/>
      <c r="CA121" s="594"/>
      <c r="CB121" s="594"/>
      <c r="CC121" s="594"/>
      <c r="CD121" s="594"/>
      <c r="CE121" s="594"/>
      <c r="CF121" s="594"/>
      <c r="CG121" s="594"/>
      <c r="CH121" s="594"/>
      <c r="CI121" s="594"/>
      <c r="CJ121" s="594"/>
      <c r="CK121" s="594"/>
      <c r="CL121" s="594"/>
      <c r="CM121" s="594"/>
      <c r="CN121" s="594"/>
      <c r="CO121" s="594"/>
      <c r="CP121" s="594"/>
      <c r="CQ121" s="594"/>
    </row>
    <row r="122" spans="1:95" ht="21" hidden="1" customHeight="1" outlineLevel="2">
      <c r="A122" s="709" t="s">
        <v>682</v>
      </c>
      <c r="B122" s="710">
        <f>IF($A118="",0,-SUMIF('C3 - Funcionários $'!$D$7:$D$121,$A118,'C3 - Funcionários $'!G$7:G$121))</f>
        <v>0</v>
      </c>
      <c r="C122" s="710">
        <f>IF($A118="",0,-SUMIF('C3 - Funcionários $'!$D$7:$D$121,$A118,'C3 - Funcionários $'!H$7:H$121))</f>
        <v>0</v>
      </c>
      <c r="D122" s="710">
        <f>IF($A118="",0,-SUMIF('C3 - Funcionários $'!$D$7:$D$121,$A118,'C3 - Funcionários $'!I$7:I$121))</f>
        <v>0</v>
      </c>
      <c r="E122" s="710">
        <f>IF($A118="",0,-SUMIF('C3 - Funcionários $'!$D$7:$D$121,$A118,'C3 - Funcionários $'!J$7:J$121))</f>
        <v>0</v>
      </c>
      <c r="F122" s="710">
        <f>IF($A118="",0,-SUMIF('C3 - Funcionários $'!$D$7:$D$121,$A118,'C3 - Funcionários $'!K$7:K$121))</f>
        <v>0</v>
      </c>
      <c r="G122" s="710">
        <f>IF($A118="",0,-SUMIF('C3 - Funcionários $'!$D$7:$D$121,$A118,'C3 - Funcionários $'!L$7:L$121))</f>
        <v>0</v>
      </c>
      <c r="H122" s="710">
        <f>IF($A118="",0,-SUMIF('C3 - Funcionários $'!$D$7:$D$121,$A118,'C3 - Funcionários $'!M$7:M$121))</f>
        <v>0</v>
      </c>
      <c r="I122" s="710">
        <f>IF($A118="",0,-SUMIF('C3 - Funcionários $'!$D$7:$D$121,$A118,'C3 - Funcionários $'!N$7:N$121))</f>
        <v>0</v>
      </c>
      <c r="J122" s="710">
        <f>IF($A118="",0,-SUMIF('C3 - Funcionários $'!$D$7:$D$121,$A118,'C3 - Funcionários $'!O$7:O$121))</f>
        <v>0</v>
      </c>
      <c r="K122" s="710">
        <f>IF($A118="",0,-SUMIF('C3 - Funcionários $'!$D$7:$D$121,$A118,'C3 - Funcionários $'!P$7:P$121))</f>
        <v>0</v>
      </c>
      <c r="L122" s="710">
        <f>IF($A118="",0,-SUMIF('C3 - Funcionários $'!$D$7:$D$121,$A118,'C3 - Funcionários $'!Q$7:Q$121))</f>
        <v>0</v>
      </c>
      <c r="M122" s="710">
        <f>IF($A118="",0,-SUMIF('C3 - Funcionários $'!$D$7:$D$121,$A118,'C3 - Funcionários $'!R$7:R$121))</f>
        <v>0</v>
      </c>
      <c r="N122" s="710">
        <f>IF($A118="",0,-SUMIF('C3 - Funcionários $'!$D$7:$D$121,$A118,'C3 - Funcionários $'!S$7:S$121))</f>
        <v>0</v>
      </c>
      <c r="O122" s="710">
        <f>IF($A118="",0,-SUMIF('C3 - Funcionários $'!$D$7:$D$121,$A118,'C3 - Funcionários $'!T$7:T$121))</f>
        <v>0</v>
      </c>
      <c r="P122" s="710">
        <f>IF($A118="",0,-SUMIF('C3 - Funcionários $'!$D$7:$D$121,$A118,'C3 - Funcionários $'!U$7:U$121))</f>
        <v>0</v>
      </c>
      <c r="Q122" s="710">
        <f>IF($A118="",0,-SUMIF('C3 - Funcionários $'!$D$7:$D$121,$A118,'C3 - Funcionários $'!V$7:V$121))</f>
        <v>0</v>
      </c>
      <c r="R122" s="710">
        <f>IF($A118="",0,-SUMIF('C3 - Funcionários $'!$D$7:$D$121,$A118,'C3 - Funcionários $'!W$7:W$121))</f>
        <v>0</v>
      </c>
      <c r="S122" s="710">
        <f>IF($A118="",0,-SUMIF('C3 - Funcionários $'!$D$7:$D$121,$A118,'C3 - Funcionários $'!X$7:X$121))</f>
        <v>0</v>
      </c>
      <c r="T122" s="710">
        <f>IF($A118="",0,-SUMIF('C3 - Funcionários $'!$D$7:$D$121,$A118,'C3 - Funcionários $'!Y$7:Y$121))</f>
        <v>0</v>
      </c>
      <c r="U122" s="710">
        <f>IF($A118="",0,-SUMIF('C3 - Funcionários $'!$D$7:$D$121,$A118,'C3 - Funcionários $'!Z$7:Z$121))</f>
        <v>0</v>
      </c>
      <c r="V122" s="710">
        <f>IF($A118="",0,-SUMIF('C3 - Funcionários $'!$D$7:$D$121,$A118,'C3 - Funcionários $'!AA$7:AA$121))</f>
        <v>0</v>
      </c>
      <c r="W122" s="710">
        <f>IF($A118="",0,-SUMIF('C3 - Funcionários $'!$D$7:$D$121,$A118,'C3 - Funcionários $'!AB$7:AB$121))</f>
        <v>0</v>
      </c>
      <c r="X122" s="710">
        <f>IF($A118="",0,-SUMIF('C3 - Funcionários $'!$D$7:$D$121,$A118,'C3 - Funcionários $'!AC$7:AC$121))</f>
        <v>0</v>
      </c>
      <c r="Y122" s="710">
        <f>IF($A118="",0,-SUMIF('C3 - Funcionários $'!$D$7:$D$121,$A118,'C3 - Funcionários $'!AD$7:AD$121))</f>
        <v>0</v>
      </c>
      <c r="Z122" s="710">
        <f>IF($A118="",0,-SUMIF('C3 - Funcionários $'!$D$7:$D$121,$A118,'C3 - Funcionários $'!AE$7:AE$121))</f>
        <v>0</v>
      </c>
      <c r="AA122" s="710">
        <f>IF($A118="",0,-SUMIF('C3 - Funcionários $'!$D$7:$D$121,$A118,'C3 - Funcionários $'!AF$7:AF$121))</f>
        <v>0</v>
      </c>
      <c r="AB122" s="710">
        <f>IF($A118="",0,-SUMIF('C3 - Funcionários $'!$D$7:$D$121,$A118,'C3 - Funcionários $'!AG$7:AG$121))</f>
        <v>0</v>
      </c>
      <c r="AC122" s="710">
        <f>IF($A118="",0,-SUMIF('C3 - Funcionários $'!$D$7:$D$121,$A118,'C3 - Funcionários $'!AH$7:AH$121))</f>
        <v>0</v>
      </c>
      <c r="AD122" s="710">
        <f>IF($A118="",0,-SUMIF('C3 - Funcionários $'!$D$7:$D$121,$A118,'C3 - Funcionários $'!AI$7:AI$121))</f>
        <v>0</v>
      </c>
      <c r="AE122" s="710">
        <f>IF($A118="",0,-SUMIF('C3 - Funcionários $'!$D$7:$D$121,$A118,'C3 - Funcionários $'!AJ$7:AJ$121))</f>
        <v>0</v>
      </c>
      <c r="AF122" s="594"/>
      <c r="AG122" s="594"/>
      <c r="AH122" s="594"/>
      <c r="AI122" s="594"/>
      <c r="AJ122" s="594"/>
      <c r="AK122" s="594"/>
      <c r="AL122" s="594"/>
      <c r="AM122" s="594"/>
      <c r="AN122" s="594"/>
      <c r="AO122" s="594"/>
      <c r="AP122" s="594"/>
      <c r="AQ122" s="594"/>
      <c r="AR122" s="594"/>
      <c r="AS122" s="594"/>
      <c r="AT122" s="594"/>
      <c r="AU122" s="594"/>
      <c r="AV122" s="594"/>
      <c r="AW122" s="594"/>
      <c r="AX122" s="594"/>
      <c r="AY122" s="594"/>
      <c r="AZ122" s="594"/>
      <c r="BA122" s="594"/>
      <c r="BB122" s="594"/>
      <c r="BC122" s="594"/>
      <c r="BD122" s="594"/>
      <c r="BE122" s="594"/>
      <c r="BF122" s="594"/>
      <c r="BG122" s="594"/>
      <c r="BH122" s="594"/>
      <c r="BI122" s="594"/>
      <c r="BJ122" s="594"/>
      <c r="BK122" s="594"/>
      <c r="BL122" s="57"/>
      <c r="BM122" s="594"/>
      <c r="BN122" s="594"/>
      <c r="BO122" s="594"/>
      <c r="BP122" s="594"/>
      <c r="BQ122" s="594"/>
      <c r="BR122" s="594"/>
      <c r="BS122" s="594"/>
      <c r="BT122" s="594"/>
      <c r="BU122" s="594"/>
      <c r="BV122" s="594"/>
      <c r="BW122" s="594"/>
      <c r="BX122" s="594"/>
      <c r="BY122" s="594"/>
      <c r="BZ122" s="594"/>
      <c r="CA122" s="594"/>
      <c r="CB122" s="594"/>
      <c r="CC122" s="594"/>
      <c r="CD122" s="594"/>
      <c r="CE122" s="594"/>
      <c r="CF122" s="594"/>
      <c r="CG122" s="594"/>
      <c r="CH122" s="594"/>
      <c r="CI122" s="594"/>
      <c r="CJ122" s="594"/>
      <c r="CK122" s="594"/>
      <c r="CL122" s="594"/>
      <c r="CM122" s="594"/>
      <c r="CN122" s="594"/>
      <c r="CO122" s="594"/>
      <c r="CP122" s="594"/>
      <c r="CQ122" s="594"/>
    </row>
    <row r="123" spans="1:95" ht="21" hidden="1" customHeight="1" outlineLevel="2">
      <c r="A123" s="709" t="s">
        <v>683</v>
      </c>
      <c r="B123" s="710">
        <f>IFERROR(-VLOOKUP($A118,CustoDiretoTotal,COLUMN('B2 - Custos diretos totais'!C$3)-1,0),0)</f>
        <v>0</v>
      </c>
      <c r="C123" s="710">
        <f>IFERROR(-VLOOKUP($A118,CustoDiretoTotal,COLUMN('B2 - Custos diretos totais'!D$3)-1,0),0)</f>
        <v>0</v>
      </c>
      <c r="D123" s="710">
        <f>IFERROR(-VLOOKUP($A118,CustoDiretoTotal,COLUMN('B2 - Custos diretos totais'!E$3)-1,0),0)</f>
        <v>0</v>
      </c>
      <c r="E123" s="710">
        <f>IFERROR(-VLOOKUP($A118,CustoDiretoTotal,COLUMN('B2 - Custos diretos totais'!F$3)-1,0),0)</f>
        <v>0</v>
      </c>
      <c r="F123" s="710">
        <f>IFERROR(-VLOOKUP($A118,CustoDiretoTotal,COLUMN('B2 - Custos diretos totais'!G$3)-1,0),0)</f>
        <v>0</v>
      </c>
      <c r="G123" s="710">
        <f>IFERROR(-VLOOKUP($A118,CustoDiretoTotal,COLUMN('B2 - Custos diretos totais'!H$3)-1,0),0)</f>
        <v>0</v>
      </c>
      <c r="H123" s="710">
        <f>IFERROR(-VLOOKUP($A118,CustoDiretoTotal,COLUMN('B2 - Custos diretos totais'!I$3)-1,0),0)</f>
        <v>0</v>
      </c>
      <c r="I123" s="710">
        <f>IFERROR(-VLOOKUP($A118,CustoDiretoTotal,COLUMN('B2 - Custos diretos totais'!J$3)-1,0),0)</f>
        <v>0</v>
      </c>
      <c r="J123" s="710">
        <f>IFERROR(-VLOOKUP($A118,CustoDiretoTotal,COLUMN('B2 - Custos diretos totais'!K$3)-1,0),0)</f>
        <v>0</v>
      </c>
      <c r="K123" s="710">
        <f>IFERROR(-VLOOKUP($A118,CustoDiretoTotal,COLUMN('B2 - Custos diretos totais'!L$3)-1,0),0)</f>
        <v>0</v>
      </c>
      <c r="L123" s="710">
        <f>IFERROR(-VLOOKUP($A118,CustoDiretoTotal,COLUMN('B2 - Custos diretos totais'!M$3)-1,0),0)</f>
        <v>0</v>
      </c>
      <c r="M123" s="710">
        <f>IFERROR(-VLOOKUP($A118,CustoDiretoTotal,COLUMN('B2 - Custos diretos totais'!N$3)-1,0),0)</f>
        <v>0</v>
      </c>
      <c r="N123" s="710">
        <f>IFERROR(-VLOOKUP($A118,CustoDiretoTotal,COLUMN('B2 - Custos diretos totais'!O$3)-1,0),0)</f>
        <v>0</v>
      </c>
      <c r="O123" s="710">
        <f>IFERROR(-VLOOKUP($A118,CustoDiretoTotal,COLUMN('B2 - Custos diretos totais'!P$3)-1,0),0)</f>
        <v>0</v>
      </c>
      <c r="P123" s="710">
        <f>IFERROR(-VLOOKUP($A118,CustoDiretoTotal,COLUMN('B2 - Custos diretos totais'!Q$3)-1,0),0)</f>
        <v>0</v>
      </c>
      <c r="Q123" s="710">
        <f>IFERROR(-VLOOKUP($A118,CustoDiretoTotal,COLUMN('B2 - Custos diretos totais'!R$3)-1,0),0)</f>
        <v>0</v>
      </c>
      <c r="R123" s="710">
        <f>IFERROR(-VLOOKUP($A118,CustoDiretoTotal,COLUMN('B2 - Custos diretos totais'!S$3)-1,0),0)</f>
        <v>0</v>
      </c>
      <c r="S123" s="710">
        <f>IFERROR(-VLOOKUP($A118,CustoDiretoTotal,COLUMN('B2 - Custos diretos totais'!T$3)-1,0),0)</f>
        <v>0</v>
      </c>
      <c r="T123" s="710">
        <f>IFERROR(-VLOOKUP($A118,CustoDiretoTotal,COLUMN('B2 - Custos diretos totais'!U$3)-1,0),0)</f>
        <v>0</v>
      </c>
      <c r="U123" s="710">
        <f>IFERROR(-VLOOKUP($A118,CustoDiretoTotal,COLUMN('B2 - Custos diretos totais'!V$3)-1,0),0)</f>
        <v>0</v>
      </c>
      <c r="V123" s="710">
        <f>IFERROR(-VLOOKUP($A118,CustoDiretoTotal,COLUMN('B2 - Custos diretos totais'!W$3)-1,0),0)</f>
        <v>0</v>
      </c>
      <c r="W123" s="710">
        <f>IFERROR(-VLOOKUP($A118,CustoDiretoTotal,COLUMN('B2 - Custos diretos totais'!X$3)-1,0),0)</f>
        <v>0</v>
      </c>
      <c r="X123" s="710">
        <f>IFERROR(-VLOOKUP($A118,CustoDiretoTotal,COLUMN('B2 - Custos diretos totais'!Y$3)-1,0),0)</f>
        <v>0</v>
      </c>
      <c r="Y123" s="710">
        <f>IFERROR(-VLOOKUP($A118,CustoDiretoTotal,COLUMN('B2 - Custos diretos totais'!Z$3)-1,0),0)</f>
        <v>0</v>
      </c>
      <c r="Z123" s="710">
        <f>IFERROR(-VLOOKUP($A118,CustoDiretoTotal,COLUMN('B2 - Custos diretos totais'!AA$3)-1,0),0)</f>
        <v>0</v>
      </c>
      <c r="AA123" s="710">
        <f>IFERROR(-VLOOKUP($A118,CustoDiretoTotal,COLUMN('B2 - Custos diretos totais'!AB$3)-1,0),0)</f>
        <v>0</v>
      </c>
      <c r="AB123" s="710">
        <f>IFERROR(-VLOOKUP($A118,CustoDiretoTotal,COLUMN('B2 - Custos diretos totais'!AC$3)-1,0),0)</f>
        <v>0</v>
      </c>
      <c r="AC123" s="710">
        <f>IFERROR(-VLOOKUP($A118,CustoDiretoTotal,COLUMN('B2 - Custos diretos totais'!AD$3)-1,0),0)</f>
        <v>0</v>
      </c>
      <c r="AD123" s="710">
        <f>IFERROR(-VLOOKUP($A118,CustoDiretoTotal,COLUMN('B2 - Custos diretos totais'!AE$3)-1,0),0)</f>
        <v>0</v>
      </c>
      <c r="AE123" s="710">
        <f>IFERROR(-VLOOKUP($A118,CustoDiretoTotal,COLUMN('B2 - Custos diretos totais'!AF$3)-1,0),0)</f>
        <v>0</v>
      </c>
      <c r="AF123" s="594"/>
      <c r="AG123" s="594"/>
      <c r="AH123" s="594"/>
      <c r="AI123" s="594"/>
      <c r="AJ123" s="594"/>
      <c r="AK123" s="594"/>
      <c r="AL123" s="594"/>
      <c r="AM123" s="594"/>
      <c r="AN123" s="594"/>
      <c r="AO123" s="594"/>
      <c r="AP123" s="594"/>
      <c r="AQ123" s="594"/>
      <c r="AR123" s="594"/>
      <c r="AS123" s="594"/>
      <c r="AT123" s="594"/>
      <c r="AU123" s="594"/>
      <c r="AV123" s="594"/>
      <c r="AW123" s="594"/>
      <c r="AX123" s="594"/>
      <c r="AY123" s="594"/>
      <c r="AZ123" s="594"/>
      <c r="BA123" s="594"/>
      <c r="BB123" s="594"/>
      <c r="BC123" s="594"/>
      <c r="BD123" s="594"/>
      <c r="BE123" s="594"/>
      <c r="BF123" s="594"/>
      <c r="BG123" s="594"/>
      <c r="BH123" s="594"/>
      <c r="BI123" s="594"/>
      <c r="BJ123" s="594"/>
      <c r="BK123" s="594"/>
      <c r="BL123" s="57"/>
      <c r="BM123" s="594"/>
      <c r="BN123" s="594"/>
      <c r="BO123" s="594"/>
      <c r="BP123" s="594"/>
      <c r="BQ123" s="594"/>
      <c r="BR123" s="594"/>
      <c r="BS123" s="594"/>
      <c r="BT123" s="594"/>
      <c r="BU123" s="594"/>
      <c r="BV123" s="594"/>
      <c r="BW123" s="594"/>
      <c r="BX123" s="594"/>
      <c r="BY123" s="594"/>
      <c r="BZ123" s="594"/>
      <c r="CA123" s="594"/>
      <c r="CB123" s="594"/>
      <c r="CC123" s="594"/>
      <c r="CD123" s="594"/>
      <c r="CE123" s="594"/>
      <c r="CF123" s="594"/>
      <c r="CG123" s="594"/>
      <c r="CH123" s="594"/>
      <c r="CI123" s="594"/>
      <c r="CJ123" s="594"/>
      <c r="CK123" s="594"/>
      <c r="CL123" s="594"/>
      <c r="CM123" s="594"/>
      <c r="CN123" s="594"/>
      <c r="CO123" s="594"/>
      <c r="CP123" s="594"/>
      <c r="CQ123" s="594"/>
    </row>
    <row r="124" spans="1:95" ht="21" hidden="1" customHeight="1" outlineLevel="2">
      <c r="A124" s="709" t="s">
        <v>684</v>
      </c>
      <c r="B124" s="710">
        <f>-SUMIFS('B3 - Custos despesas indiretos'!AK$5:AK$148,'B3 - Custos despesas indiretos'!$B$5:$B$148,"Custos",'B3 - Custos despesas indiretos'!$D$5:$D$148,$A118)</f>
        <v>0</v>
      </c>
      <c r="C124" s="710">
        <f>-SUMIFS('B3 - Custos despesas indiretos'!AL$5:AL$148,'B3 - Custos despesas indiretos'!$B$5:$B$148,"Custos",'B3 - Custos despesas indiretos'!$D$5:$D$148,$A118)</f>
        <v>0</v>
      </c>
      <c r="D124" s="710">
        <f>-SUMIFS('B3 - Custos despesas indiretos'!AM$5:AM$148,'B3 - Custos despesas indiretos'!$B$5:$B$148,"Custos",'B3 - Custos despesas indiretos'!$D$5:$D$148,$A118)</f>
        <v>0</v>
      </c>
      <c r="E124" s="710">
        <f>-SUMIFS('B3 - Custos despesas indiretos'!AN$5:AN$148,'B3 - Custos despesas indiretos'!$B$5:$B$148,"Custos",'B3 - Custos despesas indiretos'!$D$5:$D$148,$A118)</f>
        <v>0</v>
      </c>
      <c r="F124" s="710">
        <f>-SUMIFS('B3 - Custos despesas indiretos'!AO$5:AO$148,'B3 - Custos despesas indiretos'!$B$5:$B$148,"Custos",'B3 - Custos despesas indiretos'!$D$5:$D$148,$A118)</f>
        <v>0</v>
      </c>
      <c r="G124" s="710">
        <f>-SUMIFS('B3 - Custos despesas indiretos'!AP$5:AP$148,'B3 - Custos despesas indiretos'!$B$5:$B$148,"Custos",'B3 - Custos despesas indiretos'!$D$5:$D$148,$A118)</f>
        <v>0</v>
      </c>
      <c r="H124" s="710">
        <f>-SUMIFS('B3 - Custos despesas indiretos'!AQ$5:AQ$148,'B3 - Custos despesas indiretos'!$B$5:$B$148,"Custos",'B3 - Custos despesas indiretos'!$D$5:$D$148,$A118)</f>
        <v>0</v>
      </c>
      <c r="I124" s="710">
        <f>-SUMIFS('B3 - Custos despesas indiretos'!AR$5:AR$148,'B3 - Custos despesas indiretos'!$B$5:$B$148,"Custos",'B3 - Custos despesas indiretos'!$D$5:$D$148,$A118)</f>
        <v>0</v>
      </c>
      <c r="J124" s="710">
        <f>-SUMIFS('B3 - Custos despesas indiretos'!AS$5:AS$148,'B3 - Custos despesas indiretos'!$B$5:$B$148,"Custos",'B3 - Custos despesas indiretos'!$D$5:$D$148,$A118)</f>
        <v>0</v>
      </c>
      <c r="K124" s="710">
        <f>-SUMIFS('B3 - Custos despesas indiretos'!AT$5:AT$148,'B3 - Custos despesas indiretos'!$B$5:$B$148,"Custos",'B3 - Custos despesas indiretos'!$D$5:$D$148,$A118)</f>
        <v>0</v>
      </c>
      <c r="L124" s="710">
        <f>-SUMIFS('B3 - Custos despesas indiretos'!AU$5:AU$148,'B3 - Custos despesas indiretos'!$B$5:$B$148,"Custos",'B3 - Custos despesas indiretos'!$D$5:$D$148,$A118)</f>
        <v>0</v>
      </c>
      <c r="M124" s="710">
        <f>-SUMIFS('B3 - Custos despesas indiretos'!AV$5:AV$148,'B3 - Custos despesas indiretos'!$B$5:$B$148,"Custos",'B3 - Custos despesas indiretos'!$D$5:$D$148,$A118)</f>
        <v>0</v>
      </c>
      <c r="N124" s="710">
        <f>-SUMIFS('B3 - Custos despesas indiretos'!AW$5:AW$148,'B3 - Custos despesas indiretos'!$B$5:$B$148,"Custos",'B3 - Custos despesas indiretos'!$D$5:$D$148,$A118)</f>
        <v>0</v>
      </c>
      <c r="O124" s="710">
        <f>-SUMIFS('B3 - Custos despesas indiretos'!AX$5:AX$148,'B3 - Custos despesas indiretos'!$B$5:$B$148,"Custos",'B3 - Custos despesas indiretos'!$D$5:$D$148,$A118)</f>
        <v>0</v>
      </c>
      <c r="P124" s="710">
        <f>-SUMIFS('B3 - Custos despesas indiretos'!AY$5:AY$148,'B3 - Custos despesas indiretos'!$B$5:$B$148,"Custos",'B3 - Custos despesas indiretos'!$D$5:$D$148,$A118)</f>
        <v>0</v>
      </c>
      <c r="Q124" s="710">
        <f>-SUMIFS('B3 - Custos despesas indiretos'!AZ$5:AZ$148,'B3 - Custos despesas indiretos'!$B$5:$B$148,"Custos",'B3 - Custos despesas indiretos'!$D$5:$D$148,$A118)</f>
        <v>0</v>
      </c>
      <c r="R124" s="710">
        <f>-SUMIFS('B3 - Custos despesas indiretos'!BA$5:BA$148,'B3 - Custos despesas indiretos'!$B$5:$B$148,"Custos",'B3 - Custos despesas indiretos'!$D$5:$D$148,$A118)</f>
        <v>0</v>
      </c>
      <c r="S124" s="710">
        <f>-SUMIFS('B3 - Custos despesas indiretos'!BB$5:BB$148,'B3 - Custos despesas indiretos'!$B$5:$B$148,"Custos",'B3 - Custos despesas indiretos'!$D$5:$D$148,$A118)</f>
        <v>0</v>
      </c>
      <c r="T124" s="710">
        <f>-SUMIFS('B3 - Custos despesas indiretos'!BC$5:BC$148,'B3 - Custos despesas indiretos'!$B$5:$B$148,"Custos",'B3 - Custos despesas indiretos'!$D$5:$D$148,$A118)</f>
        <v>0</v>
      </c>
      <c r="U124" s="710">
        <f>-SUMIFS('B3 - Custos despesas indiretos'!BD$5:BD$148,'B3 - Custos despesas indiretos'!$B$5:$B$148,"Custos",'B3 - Custos despesas indiretos'!$D$5:$D$148,$A118)</f>
        <v>0</v>
      </c>
      <c r="V124" s="710">
        <f>-SUMIFS('B3 - Custos despesas indiretos'!BE$5:BE$148,'B3 - Custos despesas indiretos'!$B$5:$B$148,"Custos",'B3 - Custos despesas indiretos'!$D$5:$D$148,$A118)</f>
        <v>0</v>
      </c>
      <c r="W124" s="710">
        <f>-SUMIFS('B3 - Custos despesas indiretos'!BF$5:BF$148,'B3 - Custos despesas indiretos'!$B$5:$B$148,"Custos",'B3 - Custos despesas indiretos'!$D$5:$D$148,$A118)</f>
        <v>0</v>
      </c>
      <c r="X124" s="710">
        <f>-SUMIFS('B3 - Custos despesas indiretos'!BG$5:BG$148,'B3 - Custos despesas indiretos'!$B$5:$B$148,"Custos",'B3 - Custos despesas indiretos'!$D$5:$D$148,$A118)</f>
        <v>0</v>
      </c>
      <c r="Y124" s="710">
        <f>-SUMIFS('B3 - Custos despesas indiretos'!BH$5:BH$148,'B3 - Custos despesas indiretos'!$B$5:$B$148,"Custos",'B3 - Custos despesas indiretos'!$D$5:$D$148,$A118)</f>
        <v>0</v>
      </c>
      <c r="Z124" s="710">
        <f>-SUMIFS('B3 - Custos despesas indiretos'!BI$5:BI$148,'B3 - Custos despesas indiretos'!$B$5:$B$148,"Custos",'B3 - Custos despesas indiretos'!$D$5:$D$148,$A118)</f>
        <v>0</v>
      </c>
      <c r="AA124" s="710">
        <f>-SUMIFS('B3 - Custos despesas indiretos'!BJ$5:BJ$148,'B3 - Custos despesas indiretos'!$B$5:$B$148,"Custos",'B3 - Custos despesas indiretos'!$D$5:$D$148,$A118)</f>
        <v>0</v>
      </c>
      <c r="AB124" s="710">
        <f>-SUMIFS('B3 - Custos despesas indiretos'!BK$5:BK$148,'B3 - Custos despesas indiretos'!$B$5:$B$148,"Custos",'B3 - Custos despesas indiretos'!$D$5:$D$148,$A118)</f>
        <v>0</v>
      </c>
      <c r="AC124" s="710">
        <f>-SUMIFS('B3 - Custos despesas indiretos'!BL$5:BL$148,'B3 - Custos despesas indiretos'!$B$5:$B$148,"Custos",'B3 - Custos despesas indiretos'!$D$5:$D$148,$A118)</f>
        <v>0</v>
      </c>
      <c r="AD124" s="710">
        <f>-SUMIFS('B3 - Custos despesas indiretos'!BM$5:BM$148,'B3 - Custos despesas indiretos'!$B$5:$B$148,"Custos",'B3 - Custos despesas indiretos'!$D$5:$D$148,$A118)</f>
        <v>0</v>
      </c>
      <c r="AE124" s="710">
        <f>-SUMIFS('B3 - Custos despesas indiretos'!BN$5:BN$148,'B3 - Custos despesas indiretos'!$B$5:$B$148,"Custos",'B3 - Custos despesas indiretos'!$D$5:$D$148,$A118)</f>
        <v>0</v>
      </c>
      <c r="AF124" s="594"/>
      <c r="AG124" s="594"/>
      <c r="AH124" s="594"/>
      <c r="AI124" s="594"/>
      <c r="AJ124" s="594"/>
      <c r="AK124" s="594"/>
      <c r="AL124" s="594"/>
      <c r="AM124" s="594"/>
      <c r="AN124" s="594"/>
      <c r="AO124" s="594"/>
      <c r="AP124" s="594"/>
      <c r="AQ124" s="594"/>
      <c r="AR124" s="594"/>
      <c r="AS124" s="594"/>
      <c r="AT124" s="594"/>
      <c r="AU124" s="594"/>
      <c r="AV124" s="594"/>
      <c r="AW124" s="594"/>
      <c r="AX124" s="594"/>
      <c r="AY124" s="594"/>
      <c r="AZ124" s="594"/>
      <c r="BA124" s="594"/>
      <c r="BB124" s="594"/>
      <c r="BC124" s="594"/>
      <c r="BD124" s="594"/>
      <c r="BE124" s="594"/>
      <c r="BF124" s="594"/>
      <c r="BG124" s="594"/>
      <c r="BH124" s="594"/>
      <c r="BI124" s="594"/>
      <c r="BJ124" s="594"/>
      <c r="BK124" s="594"/>
      <c r="BL124" s="57"/>
      <c r="BM124" s="594"/>
      <c r="BN124" s="594"/>
      <c r="BO124" s="594"/>
      <c r="BP124" s="594"/>
      <c r="BQ124" s="594"/>
      <c r="BR124" s="594"/>
      <c r="BS124" s="594"/>
      <c r="BT124" s="594"/>
      <c r="BU124" s="594"/>
      <c r="BV124" s="594"/>
      <c r="BW124" s="594"/>
      <c r="BX124" s="594"/>
      <c r="BY124" s="594"/>
      <c r="BZ124" s="594"/>
      <c r="CA124" s="594"/>
      <c r="CB124" s="594"/>
      <c r="CC124" s="594"/>
      <c r="CD124" s="594"/>
      <c r="CE124" s="594"/>
      <c r="CF124" s="594"/>
      <c r="CG124" s="594"/>
      <c r="CH124" s="594"/>
      <c r="CI124" s="594"/>
      <c r="CJ124" s="594"/>
      <c r="CK124" s="594"/>
      <c r="CL124" s="594"/>
      <c r="CM124" s="594"/>
      <c r="CN124" s="594"/>
      <c r="CO124" s="594"/>
      <c r="CP124" s="594"/>
      <c r="CQ124" s="594"/>
    </row>
    <row r="125" spans="1:95" ht="21" hidden="1" customHeight="1" outlineLevel="2">
      <c r="A125" s="709" t="s">
        <v>685</v>
      </c>
      <c r="B125" s="710">
        <f>-SUMIFS('B3 - Custos despesas indiretos'!AK$5:AK$148,'B3 - Custos despesas indiretos'!$B$5:$B$148,"Despesas",'B3 - Custos despesas indiretos'!$D$5:$D$148,$A118)</f>
        <v>0</v>
      </c>
      <c r="C125" s="710">
        <f>-SUMIFS('B3 - Custos despesas indiretos'!AL$5:AL$148,'B3 - Custos despesas indiretos'!$B$5:$B$148,"Despesas",'B3 - Custos despesas indiretos'!$D$5:$D$148,$A118)</f>
        <v>0</v>
      </c>
      <c r="D125" s="710">
        <f>-SUMIFS('B3 - Custos despesas indiretos'!AM$5:AM$148,'B3 - Custos despesas indiretos'!$B$5:$B$148,"Despesas",'B3 - Custos despesas indiretos'!$D$5:$D$148,$A118)</f>
        <v>0</v>
      </c>
      <c r="E125" s="710">
        <f>-SUMIFS('B3 - Custos despesas indiretos'!AN$5:AN$148,'B3 - Custos despesas indiretos'!$B$5:$B$148,"Despesas",'B3 - Custos despesas indiretos'!$D$5:$D$148,$A118)</f>
        <v>0</v>
      </c>
      <c r="F125" s="710">
        <f>-SUMIFS('B3 - Custos despesas indiretos'!AO$5:AO$148,'B3 - Custos despesas indiretos'!$B$5:$B$148,"Despesas",'B3 - Custos despesas indiretos'!$D$5:$D$148,$A118)</f>
        <v>0</v>
      </c>
      <c r="G125" s="710">
        <f>-SUMIFS('B3 - Custos despesas indiretos'!AP$5:AP$148,'B3 - Custos despesas indiretos'!$B$5:$B$148,"Despesas",'B3 - Custos despesas indiretos'!$D$5:$D$148,$A118)</f>
        <v>0</v>
      </c>
      <c r="H125" s="710">
        <f>-SUMIFS('B3 - Custos despesas indiretos'!AQ$5:AQ$148,'B3 - Custos despesas indiretos'!$B$5:$B$148,"Despesas",'B3 - Custos despesas indiretos'!$D$5:$D$148,$A118)</f>
        <v>0</v>
      </c>
      <c r="I125" s="710">
        <f>-SUMIFS('B3 - Custos despesas indiretos'!AR$5:AR$148,'B3 - Custos despesas indiretos'!$B$5:$B$148,"Despesas",'B3 - Custos despesas indiretos'!$D$5:$D$148,$A118)</f>
        <v>0</v>
      </c>
      <c r="J125" s="710">
        <f>-SUMIFS('B3 - Custos despesas indiretos'!AS$5:AS$148,'B3 - Custos despesas indiretos'!$B$5:$B$148,"Despesas",'B3 - Custos despesas indiretos'!$D$5:$D$148,$A118)</f>
        <v>0</v>
      </c>
      <c r="K125" s="710">
        <f>-SUMIFS('B3 - Custos despesas indiretos'!AT$5:AT$148,'B3 - Custos despesas indiretos'!$B$5:$B$148,"Despesas",'B3 - Custos despesas indiretos'!$D$5:$D$148,$A118)</f>
        <v>0</v>
      </c>
      <c r="L125" s="710">
        <f>-SUMIFS('B3 - Custos despesas indiretos'!AU$5:AU$148,'B3 - Custos despesas indiretos'!$B$5:$B$148,"Despesas",'B3 - Custos despesas indiretos'!$D$5:$D$148,$A118)</f>
        <v>0</v>
      </c>
      <c r="M125" s="710">
        <f>-SUMIFS('B3 - Custos despesas indiretos'!AV$5:AV$148,'B3 - Custos despesas indiretos'!$B$5:$B$148,"Despesas",'B3 - Custos despesas indiretos'!$D$5:$D$148,$A118)</f>
        <v>0</v>
      </c>
      <c r="N125" s="710">
        <f>-SUMIFS('B3 - Custos despesas indiretos'!AW$5:AW$148,'B3 - Custos despesas indiretos'!$B$5:$B$148,"Despesas",'B3 - Custos despesas indiretos'!$D$5:$D$148,$A118)</f>
        <v>0</v>
      </c>
      <c r="O125" s="710">
        <f>-SUMIFS('B3 - Custos despesas indiretos'!AX$5:AX$148,'B3 - Custos despesas indiretos'!$B$5:$B$148,"Despesas",'B3 - Custos despesas indiretos'!$D$5:$D$148,$A118)</f>
        <v>0</v>
      </c>
      <c r="P125" s="710">
        <f>-SUMIFS('B3 - Custos despesas indiretos'!AY$5:AY$148,'B3 - Custos despesas indiretos'!$B$5:$B$148,"Despesas",'B3 - Custos despesas indiretos'!$D$5:$D$148,$A118)</f>
        <v>0</v>
      </c>
      <c r="Q125" s="710">
        <f>-SUMIFS('B3 - Custos despesas indiretos'!AZ$5:AZ$148,'B3 - Custos despesas indiretos'!$B$5:$B$148,"Despesas",'B3 - Custos despesas indiretos'!$D$5:$D$148,$A118)</f>
        <v>0</v>
      </c>
      <c r="R125" s="710">
        <f>-SUMIFS('B3 - Custos despesas indiretos'!BA$5:BA$148,'B3 - Custos despesas indiretos'!$B$5:$B$148,"Despesas",'B3 - Custos despesas indiretos'!$D$5:$D$148,$A118)</f>
        <v>0</v>
      </c>
      <c r="S125" s="710">
        <f>-SUMIFS('B3 - Custos despesas indiretos'!BB$5:BB$148,'B3 - Custos despesas indiretos'!$B$5:$B$148,"Despesas",'B3 - Custos despesas indiretos'!$D$5:$D$148,$A118)</f>
        <v>0</v>
      </c>
      <c r="T125" s="710">
        <f>-SUMIFS('B3 - Custos despesas indiretos'!BC$5:BC$148,'B3 - Custos despesas indiretos'!$B$5:$B$148,"Despesas",'B3 - Custos despesas indiretos'!$D$5:$D$148,$A118)</f>
        <v>0</v>
      </c>
      <c r="U125" s="710">
        <f>-SUMIFS('B3 - Custos despesas indiretos'!BD$5:BD$148,'B3 - Custos despesas indiretos'!$B$5:$B$148,"Despesas",'B3 - Custos despesas indiretos'!$D$5:$D$148,$A118)</f>
        <v>0</v>
      </c>
      <c r="V125" s="710">
        <f>-SUMIFS('B3 - Custos despesas indiretos'!BE$5:BE$148,'B3 - Custos despesas indiretos'!$B$5:$B$148,"Despesas",'B3 - Custos despesas indiretos'!$D$5:$D$148,$A118)</f>
        <v>0</v>
      </c>
      <c r="W125" s="710">
        <f>-SUMIFS('B3 - Custos despesas indiretos'!BF$5:BF$148,'B3 - Custos despesas indiretos'!$B$5:$B$148,"Despesas",'B3 - Custos despesas indiretos'!$D$5:$D$148,$A118)</f>
        <v>0</v>
      </c>
      <c r="X125" s="710">
        <f>-SUMIFS('B3 - Custos despesas indiretos'!BG$5:BG$148,'B3 - Custos despesas indiretos'!$B$5:$B$148,"Despesas",'B3 - Custos despesas indiretos'!$D$5:$D$148,$A118)</f>
        <v>0</v>
      </c>
      <c r="Y125" s="710">
        <f>-SUMIFS('B3 - Custos despesas indiretos'!BH$5:BH$148,'B3 - Custos despesas indiretos'!$B$5:$B$148,"Despesas",'B3 - Custos despesas indiretos'!$D$5:$D$148,$A118)</f>
        <v>0</v>
      </c>
      <c r="Z125" s="710">
        <f>-SUMIFS('B3 - Custos despesas indiretos'!BI$5:BI$148,'B3 - Custos despesas indiretos'!$B$5:$B$148,"Despesas",'B3 - Custos despesas indiretos'!$D$5:$D$148,$A118)</f>
        <v>0</v>
      </c>
      <c r="AA125" s="710">
        <f>-SUMIFS('B3 - Custos despesas indiretos'!BJ$5:BJ$148,'B3 - Custos despesas indiretos'!$B$5:$B$148,"Despesas",'B3 - Custos despesas indiretos'!$D$5:$D$148,$A118)</f>
        <v>0</v>
      </c>
      <c r="AB125" s="710">
        <f>-SUMIFS('B3 - Custos despesas indiretos'!BK$5:BK$148,'B3 - Custos despesas indiretos'!$B$5:$B$148,"Despesas",'B3 - Custos despesas indiretos'!$D$5:$D$148,$A118)</f>
        <v>0</v>
      </c>
      <c r="AC125" s="710">
        <f>-SUMIFS('B3 - Custos despesas indiretos'!BL$5:BL$148,'B3 - Custos despesas indiretos'!$B$5:$B$148,"Despesas",'B3 - Custos despesas indiretos'!$D$5:$D$148,$A118)</f>
        <v>0</v>
      </c>
      <c r="AD125" s="710">
        <f>-SUMIFS('B3 - Custos despesas indiretos'!BM$5:BM$148,'B3 - Custos despesas indiretos'!$B$5:$B$148,"Despesas",'B3 - Custos despesas indiretos'!$D$5:$D$148,$A118)</f>
        <v>0</v>
      </c>
      <c r="AE125" s="710">
        <f>-SUMIFS('B3 - Custos despesas indiretos'!BN$5:BN$148,'B3 - Custos despesas indiretos'!$B$5:$B$148,"Despesas",'B3 - Custos despesas indiretos'!$D$5:$D$148,$A118)</f>
        <v>0</v>
      </c>
      <c r="AF125" s="594"/>
      <c r="AG125" s="594"/>
      <c r="AH125" s="594"/>
      <c r="AI125" s="594"/>
      <c r="AJ125" s="594"/>
      <c r="AK125" s="594"/>
      <c r="AL125" s="594"/>
      <c r="AM125" s="594"/>
      <c r="AN125" s="594"/>
      <c r="AO125" s="594"/>
      <c r="AP125" s="594"/>
      <c r="AQ125" s="594"/>
      <c r="AR125" s="594"/>
      <c r="AS125" s="594"/>
      <c r="AT125" s="594"/>
      <c r="AU125" s="594"/>
      <c r="AV125" s="594"/>
      <c r="AW125" s="594"/>
      <c r="AX125" s="594"/>
      <c r="AY125" s="594"/>
      <c r="AZ125" s="594"/>
      <c r="BA125" s="594"/>
      <c r="BB125" s="594"/>
      <c r="BC125" s="594"/>
      <c r="BD125" s="594"/>
      <c r="BE125" s="594"/>
      <c r="BF125" s="594"/>
      <c r="BG125" s="594"/>
      <c r="BH125" s="594"/>
      <c r="BI125" s="594"/>
      <c r="BJ125" s="594"/>
      <c r="BK125" s="594"/>
      <c r="BL125" s="57"/>
      <c r="BM125" s="594"/>
      <c r="BN125" s="594"/>
      <c r="BO125" s="594"/>
      <c r="BP125" s="594"/>
      <c r="BQ125" s="594"/>
      <c r="BR125" s="594"/>
      <c r="BS125" s="594"/>
      <c r="BT125" s="594"/>
      <c r="BU125" s="594"/>
      <c r="BV125" s="594"/>
      <c r="BW125" s="594"/>
      <c r="BX125" s="594"/>
      <c r="BY125" s="594"/>
      <c r="BZ125" s="594"/>
      <c r="CA125" s="594"/>
      <c r="CB125" s="594"/>
      <c r="CC125" s="594"/>
      <c r="CD125" s="594"/>
      <c r="CE125" s="594"/>
      <c r="CF125" s="594"/>
      <c r="CG125" s="594"/>
      <c r="CH125" s="594"/>
      <c r="CI125" s="594"/>
      <c r="CJ125" s="594"/>
      <c r="CK125" s="594"/>
      <c r="CL125" s="594"/>
      <c r="CM125" s="594"/>
      <c r="CN125" s="594"/>
      <c r="CO125" s="594"/>
      <c r="CP125" s="594"/>
      <c r="CQ125" s="594"/>
    </row>
    <row r="126" spans="1:95" ht="21" hidden="1" customHeight="1" outlineLevel="2">
      <c r="A126" s="709" t="s">
        <v>686</v>
      </c>
      <c r="B126" s="710">
        <f>-SUMIF('D2 - Capex uso'!$C$6:$C$176,$A118,'D2 - Capex uso'!GI$6:GI$176)</f>
        <v>0</v>
      </c>
      <c r="C126" s="710">
        <f>-SUMIF('D2 - Capex uso'!$C$6:$C$176,$A118,'D2 - Capex uso'!GJ$6:GJ$176)</f>
        <v>0</v>
      </c>
      <c r="D126" s="710">
        <f>-SUMIF('D2 - Capex uso'!$C$6:$C$176,$A118,'D2 - Capex uso'!GK$6:GK$176)</f>
        <v>0</v>
      </c>
      <c r="E126" s="710">
        <f>-SUMIF('D2 - Capex uso'!$C$6:$C$176,$A118,'D2 - Capex uso'!GL$6:GL$176)</f>
        <v>0</v>
      </c>
      <c r="F126" s="710">
        <f>-SUMIF('D2 - Capex uso'!$C$6:$C$176,$A118,'D2 - Capex uso'!GM$6:GM$176)</f>
        <v>0</v>
      </c>
      <c r="G126" s="710">
        <f>-SUMIF('D2 - Capex uso'!$C$6:$C$176,$A118,'D2 - Capex uso'!GN$6:GN$176)</f>
        <v>0</v>
      </c>
      <c r="H126" s="710">
        <f>-SUMIF('D2 - Capex uso'!$C$6:$C$176,$A118,'D2 - Capex uso'!GO$6:GO$176)</f>
        <v>0</v>
      </c>
      <c r="I126" s="710">
        <f>-SUMIF('D2 - Capex uso'!$C$6:$C$176,$A118,'D2 - Capex uso'!GP$6:GP$176)</f>
        <v>0</v>
      </c>
      <c r="J126" s="710">
        <f>-SUMIF('D2 - Capex uso'!$C$6:$C$176,$A118,'D2 - Capex uso'!GQ$6:GQ$176)</f>
        <v>0</v>
      </c>
      <c r="K126" s="710">
        <f>-SUMIF('D2 - Capex uso'!$C$6:$C$176,$A118,'D2 - Capex uso'!GR$6:GR$176)</f>
        <v>0</v>
      </c>
      <c r="L126" s="710">
        <f>-SUMIF('D2 - Capex uso'!$C$6:$C$176,$A118,'D2 - Capex uso'!GS$6:GS$176)</f>
        <v>0</v>
      </c>
      <c r="M126" s="710">
        <f>-SUMIF('D2 - Capex uso'!$C$6:$C$176,$A118,'D2 - Capex uso'!GT$6:GT$176)</f>
        <v>0</v>
      </c>
      <c r="N126" s="710">
        <f>-SUMIF('D2 - Capex uso'!$C$6:$C$176,$A118,'D2 - Capex uso'!GU$6:GU$176)</f>
        <v>0</v>
      </c>
      <c r="O126" s="710">
        <f>-SUMIF('D2 - Capex uso'!$C$6:$C$176,$A118,'D2 - Capex uso'!GV$6:GV$176)</f>
        <v>0</v>
      </c>
      <c r="P126" s="710">
        <f>-SUMIF('D2 - Capex uso'!$C$6:$C$176,$A118,'D2 - Capex uso'!GW$6:GW$176)</f>
        <v>0</v>
      </c>
      <c r="Q126" s="710">
        <f>-SUMIF('D2 - Capex uso'!$C$6:$C$176,$A118,'D2 - Capex uso'!GX$6:GX$176)</f>
        <v>0</v>
      </c>
      <c r="R126" s="710">
        <f>-SUMIF('D2 - Capex uso'!$C$6:$C$176,$A118,'D2 - Capex uso'!GY$6:GY$176)</f>
        <v>0</v>
      </c>
      <c r="S126" s="710">
        <f>-SUMIF('D2 - Capex uso'!$C$6:$C$176,$A118,'D2 - Capex uso'!GZ$6:GZ$176)</f>
        <v>0</v>
      </c>
      <c r="T126" s="710">
        <f>-SUMIF('D2 - Capex uso'!$C$6:$C$176,$A118,'D2 - Capex uso'!HA$6:HA$176)</f>
        <v>0</v>
      </c>
      <c r="U126" s="710">
        <f>-SUMIF('D2 - Capex uso'!$C$6:$C$176,$A118,'D2 - Capex uso'!HB$6:HB$176)</f>
        <v>0</v>
      </c>
      <c r="V126" s="710">
        <f>-SUMIF('D2 - Capex uso'!$C$6:$C$176,$A118,'D2 - Capex uso'!HC$6:HC$176)</f>
        <v>0</v>
      </c>
      <c r="W126" s="710">
        <f>-SUMIF('D2 - Capex uso'!$C$6:$C$176,$A118,'D2 - Capex uso'!HD$6:HD$176)</f>
        <v>0</v>
      </c>
      <c r="X126" s="710">
        <f>-SUMIF('D2 - Capex uso'!$C$6:$C$176,$A118,'D2 - Capex uso'!HE$6:HE$176)</f>
        <v>0</v>
      </c>
      <c r="Y126" s="710">
        <f>-SUMIF('D2 - Capex uso'!$C$6:$C$176,$A118,'D2 - Capex uso'!HF$6:HF$176)</f>
        <v>0</v>
      </c>
      <c r="Z126" s="710">
        <f>-SUMIF('D2 - Capex uso'!$C$6:$C$176,$A118,'D2 - Capex uso'!HG$6:HG$176)</f>
        <v>0</v>
      </c>
      <c r="AA126" s="710">
        <f>-SUMIF('D2 - Capex uso'!$C$6:$C$176,$A118,'D2 - Capex uso'!HH$6:HH$176)</f>
        <v>0</v>
      </c>
      <c r="AB126" s="710">
        <f>-SUMIF('D2 - Capex uso'!$C$6:$C$176,$A118,'D2 - Capex uso'!HI$6:HI$176)</f>
        <v>0</v>
      </c>
      <c r="AC126" s="710">
        <f>-SUMIF('D2 - Capex uso'!$C$6:$C$176,$A118,'D2 - Capex uso'!HJ$6:HJ$176)</f>
        <v>0</v>
      </c>
      <c r="AD126" s="710">
        <f>-SUMIF('D2 - Capex uso'!$C$6:$C$176,$A118,'D2 - Capex uso'!HK$6:HK$176)</f>
        <v>0</v>
      </c>
      <c r="AE126" s="710">
        <f>-SUMIF('D2 - Capex uso'!$C$6:$C$176,$A118,'D2 - Capex uso'!HL$6:HL$176)</f>
        <v>0</v>
      </c>
      <c r="AF126" s="594"/>
      <c r="AG126" s="594"/>
      <c r="AH126" s="594"/>
      <c r="AI126" s="594"/>
      <c r="AJ126" s="594"/>
      <c r="AK126" s="594"/>
      <c r="AL126" s="594"/>
      <c r="AM126" s="594"/>
      <c r="AN126" s="594"/>
      <c r="AO126" s="594"/>
      <c r="AP126" s="594"/>
      <c r="AQ126" s="594"/>
      <c r="AR126" s="594"/>
      <c r="AS126" s="594"/>
      <c r="AT126" s="594"/>
      <c r="AU126" s="594"/>
      <c r="AV126" s="594"/>
      <c r="AW126" s="594"/>
      <c r="AX126" s="594"/>
      <c r="AY126" s="594"/>
      <c r="AZ126" s="594"/>
      <c r="BA126" s="594"/>
      <c r="BB126" s="594"/>
      <c r="BC126" s="594"/>
      <c r="BD126" s="594"/>
      <c r="BE126" s="594"/>
      <c r="BF126" s="594"/>
      <c r="BG126" s="594"/>
      <c r="BH126" s="594"/>
      <c r="BI126" s="594"/>
      <c r="BJ126" s="594"/>
      <c r="BK126" s="594"/>
      <c r="BL126" s="57"/>
      <c r="BM126" s="594"/>
      <c r="BN126" s="594"/>
      <c r="BO126" s="594"/>
      <c r="BP126" s="594"/>
      <c r="BQ126" s="594"/>
      <c r="BR126" s="594"/>
      <c r="BS126" s="594"/>
      <c r="BT126" s="594"/>
      <c r="BU126" s="594"/>
      <c r="BV126" s="594"/>
      <c r="BW126" s="594"/>
      <c r="BX126" s="594"/>
      <c r="BY126" s="594"/>
      <c r="BZ126" s="594"/>
      <c r="CA126" s="594"/>
      <c r="CB126" s="594"/>
      <c r="CC126" s="594"/>
      <c r="CD126" s="594"/>
      <c r="CE126" s="594"/>
      <c r="CF126" s="594"/>
      <c r="CG126" s="594"/>
      <c r="CH126" s="594"/>
      <c r="CI126" s="594"/>
      <c r="CJ126" s="594"/>
      <c r="CK126" s="594"/>
      <c r="CL126" s="594"/>
      <c r="CM126" s="594"/>
      <c r="CN126" s="594"/>
      <c r="CO126" s="594"/>
      <c r="CP126" s="594"/>
      <c r="CQ126" s="594"/>
    </row>
    <row r="127" spans="1:95" ht="21" hidden="1" customHeight="1" outlineLevel="1">
      <c r="A127" s="708" t="s">
        <v>687</v>
      </c>
      <c r="B127" s="707">
        <f t="shared" ref="B127:AE127" si="40">SUM(B119:B121)</f>
        <v>0</v>
      </c>
      <c r="C127" s="707">
        <f t="shared" si="40"/>
        <v>0</v>
      </c>
      <c r="D127" s="707">
        <f t="shared" si="40"/>
        <v>0</v>
      </c>
      <c r="E127" s="707">
        <f t="shared" si="40"/>
        <v>0</v>
      </c>
      <c r="F127" s="707">
        <f t="shared" si="40"/>
        <v>0</v>
      </c>
      <c r="G127" s="707">
        <f t="shared" si="40"/>
        <v>0</v>
      </c>
      <c r="H127" s="707">
        <f t="shared" si="40"/>
        <v>0</v>
      </c>
      <c r="I127" s="707">
        <f t="shared" si="40"/>
        <v>0</v>
      </c>
      <c r="J127" s="707">
        <f t="shared" si="40"/>
        <v>0</v>
      </c>
      <c r="K127" s="707">
        <f t="shared" si="40"/>
        <v>0</v>
      </c>
      <c r="L127" s="707">
        <f t="shared" si="40"/>
        <v>0</v>
      </c>
      <c r="M127" s="707">
        <f t="shared" si="40"/>
        <v>0</v>
      </c>
      <c r="N127" s="707">
        <f t="shared" si="40"/>
        <v>0</v>
      </c>
      <c r="O127" s="707">
        <f t="shared" si="40"/>
        <v>0</v>
      </c>
      <c r="P127" s="707">
        <f t="shared" si="40"/>
        <v>0</v>
      </c>
      <c r="Q127" s="707">
        <f t="shared" si="40"/>
        <v>0</v>
      </c>
      <c r="R127" s="707">
        <f t="shared" si="40"/>
        <v>0</v>
      </c>
      <c r="S127" s="707">
        <f t="shared" si="40"/>
        <v>0</v>
      </c>
      <c r="T127" s="707">
        <f t="shared" si="40"/>
        <v>0</v>
      </c>
      <c r="U127" s="707">
        <f t="shared" si="40"/>
        <v>0</v>
      </c>
      <c r="V127" s="707">
        <f t="shared" si="40"/>
        <v>0</v>
      </c>
      <c r="W127" s="707">
        <f t="shared" si="40"/>
        <v>0</v>
      </c>
      <c r="X127" s="707">
        <f t="shared" si="40"/>
        <v>0</v>
      </c>
      <c r="Y127" s="707">
        <f t="shared" si="40"/>
        <v>0</v>
      </c>
      <c r="Z127" s="707">
        <f t="shared" si="40"/>
        <v>0</v>
      </c>
      <c r="AA127" s="707">
        <f t="shared" si="40"/>
        <v>0</v>
      </c>
      <c r="AB127" s="707">
        <f t="shared" si="40"/>
        <v>0</v>
      </c>
      <c r="AC127" s="707">
        <f t="shared" si="40"/>
        <v>0</v>
      </c>
      <c r="AD127" s="707">
        <f t="shared" si="40"/>
        <v>0</v>
      </c>
      <c r="AE127" s="707">
        <f t="shared" si="40"/>
        <v>0</v>
      </c>
      <c r="AF127" s="594"/>
      <c r="AG127" s="594"/>
      <c r="AH127" s="594"/>
      <c r="AI127" s="594"/>
      <c r="AJ127" s="594"/>
      <c r="AK127" s="594"/>
      <c r="AL127" s="594"/>
      <c r="AM127" s="594"/>
      <c r="AN127" s="594"/>
      <c r="AO127" s="594"/>
      <c r="AP127" s="594"/>
      <c r="AQ127" s="594"/>
      <c r="AR127" s="594"/>
      <c r="AS127" s="594"/>
      <c r="AT127" s="594"/>
      <c r="AU127" s="594"/>
      <c r="AV127" s="594"/>
      <c r="AW127" s="594"/>
      <c r="AX127" s="594"/>
      <c r="AY127" s="594"/>
      <c r="AZ127" s="594"/>
      <c r="BA127" s="594"/>
      <c r="BB127" s="594"/>
      <c r="BC127" s="594"/>
      <c r="BD127" s="594"/>
      <c r="BE127" s="594"/>
      <c r="BF127" s="594"/>
      <c r="BG127" s="594"/>
      <c r="BH127" s="594"/>
      <c r="BI127" s="594"/>
      <c r="BJ127" s="594"/>
      <c r="BK127" s="594"/>
      <c r="BL127" s="57"/>
      <c r="BM127" s="594"/>
      <c r="BN127" s="594"/>
      <c r="BO127" s="594"/>
      <c r="BP127" s="594"/>
      <c r="BQ127" s="594"/>
      <c r="BR127" s="594"/>
      <c r="BS127" s="594"/>
      <c r="BT127" s="594"/>
      <c r="BU127" s="594"/>
      <c r="BV127" s="594"/>
      <c r="BW127" s="594"/>
      <c r="BX127" s="594"/>
      <c r="BY127" s="594"/>
      <c r="BZ127" s="594"/>
      <c r="CA127" s="594"/>
      <c r="CB127" s="594"/>
      <c r="CC127" s="594"/>
      <c r="CD127" s="594"/>
      <c r="CE127" s="594"/>
      <c r="CF127" s="594"/>
      <c r="CG127" s="594"/>
      <c r="CH127" s="594"/>
      <c r="CI127" s="594"/>
      <c r="CJ127" s="594"/>
      <c r="CK127" s="594"/>
      <c r="CL127" s="594"/>
      <c r="CM127" s="594"/>
      <c r="CN127" s="594"/>
      <c r="CO127" s="594"/>
      <c r="CP127" s="594"/>
      <c r="CQ127" s="594"/>
    </row>
    <row r="128" spans="1:95" ht="19.5" hidden="1" customHeight="1" outlineLevel="1">
      <c r="A128" s="708" t="s">
        <v>688</v>
      </c>
      <c r="B128" s="707">
        <f t="shared" ref="B128:AE128" si="41">SUM(B129:B136)</f>
        <v>0</v>
      </c>
      <c r="C128" s="707">
        <f t="shared" si="41"/>
        <v>0</v>
      </c>
      <c r="D128" s="707">
        <f t="shared" si="41"/>
        <v>0</v>
      </c>
      <c r="E128" s="707">
        <f t="shared" si="41"/>
        <v>0</v>
      </c>
      <c r="F128" s="707">
        <f t="shared" si="41"/>
        <v>0</v>
      </c>
      <c r="G128" s="707">
        <f t="shared" si="41"/>
        <v>0</v>
      </c>
      <c r="H128" s="707">
        <f t="shared" si="41"/>
        <v>0</v>
      </c>
      <c r="I128" s="707">
        <f t="shared" si="41"/>
        <v>0</v>
      </c>
      <c r="J128" s="707">
        <f t="shared" si="41"/>
        <v>0</v>
      </c>
      <c r="K128" s="707">
        <f t="shared" si="41"/>
        <v>0</v>
      </c>
      <c r="L128" s="707">
        <f t="shared" si="41"/>
        <v>0</v>
      </c>
      <c r="M128" s="707">
        <f t="shared" si="41"/>
        <v>0</v>
      </c>
      <c r="N128" s="707">
        <f t="shared" si="41"/>
        <v>0</v>
      </c>
      <c r="O128" s="707">
        <f t="shared" si="41"/>
        <v>0</v>
      </c>
      <c r="P128" s="707">
        <f t="shared" si="41"/>
        <v>0</v>
      </c>
      <c r="Q128" s="707">
        <f t="shared" si="41"/>
        <v>0</v>
      </c>
      <c r="R128" s="707">
        <f t="shared" si="41"/>
        <v>0</v>
      </c>
      <c r="S128" s="707">
        <f t="shared" si="41"/>
        <v>0</v>
      </c>
      <c r="T128" s="707">
        <f t="shared" si="41"/>
        <v>0</v>
      </c>
      <c r="U128" s="707">
        <f t="shared" si="41"/>
        <v>0</v>
      </c>
      <c r="V128" s="707">
        <f t="shared" si="41"/>
        <v>0</v>
      </c>
      <c r="W128" s="707">
        <f t="shared" si="41"/>
        <v>0</v>
      </c>
      <c r="X128" s="707">
        <f t="shared" si="41"/>
        <v>0</v>
      </c>
      <c r="Y128" s="707">
        <f t="shared" si="41"/>
        <v>0</v>
      </c>
      <c r="Z128" s="707">
        <f t="shared" si="41"/>
        <v>0</v>
      </c>
      <c r="AA128" s="707">
        <f t="shared" si="41"/>
        <v>0</v>
      </c>
      <c r="AB128" s="707">
        <f t="shared" si="41"/>
        <v>0</v>
      </c>
      <c r="AC128" s="707">
        <f t="shared" si="41"/>
        <v>0</v>
      </c>
      <c r="AD128" s="707">
        <f t="shared" si="41"/>
        <v>0</v>
      </c>
      <c r="AE128" s="707">
        <f t="shared" si="41"/>
        <v>0</v>
      </c>
      <c r="AF128" s="594"/>
      <c r="AG128" s="594"/>
      <c r="AH128" s="594"/>
      <c r="AI128" s="594"/>
      <c r="AJ128" s="594"/>
      <c r="AK128" s="594"/>
      <c r="AL128" s="594"/>
      <c r="AM128" s="594"/>
      <c r="AN128" s="594"/>
      <c r="AO128" s="594"/>
      <c r="AP128" s="594"/>
      <c r="AQ128" s="594"/>
      <c r="AR128" s="594"/>
      <c r="AS128" s="594"/>
      <c r="AT128" s="594"/>
      <c r="AU128" s="594"/>
      <c r="AV128" s="594"/>
      <c r="AW128" s="594"/>
      <c r="AX128" s="594"/>
      <c r="AY128" s="594"/>
      <c r="AZ128" s="594"/>
      <c r="BA128" s="594"/>
      <c r="BB128" s="594"/>
      <c r="BC128" s="594"/>
      <c r="BD128" s="594"/>
      <c r="BE128" s="594"/>
      <c r="BF128" s="594"/>
      <c r="BG128" s="594"/>
      <c r="BH128" s="594"/>
      <c r="BI128" s="594"/>
      <c r="BJ128" s="594"/>
      <c r="BK128" s="594"/>
      <c r="BL128" s="57"/>
      <c r="BM128" s="594"/>
      <c r="BN128" s="594"/>
      <c r="BO128" s="594"/>
      <c r="BP128" s="594"/>
      <c r="BQ128" s="594"/>
      <c r="BR128" s="594"/>
      <c r="BS128" s="594"/>
      <c r="BT128" s="594"/>
      <c r="BU128" s="594"/>
      <c r="BV128" s="594"/>
      <c r="BW128" s="594"/>
      <c r="BX128" s="594"/>
      <c r="BY128" s="594"/>
      <c r="BZ128" s="594"/>
      <c r="CA128" s="594"/>
      <c r="CB128" s="594"/>
      <c r="CC128" s="594"/>
      <c r="CD128" s="594"/>
      <c r="CE128" s="594"/>
      <c r="CF128" s="594"/>
      <c r="CG128" s="594"/>
      <c r="CH128" s="594"/>
      <c r="CI128" s="594"/>
      <c r="CJ128" s="594"/>
      <c r="CK128" s="594"/>
      <c r="CL128" s="594"/>
      <c r="CM128" s="594"/>
      <c r="CN128" s="594"/>
      <c r="CO128" s="594"/>
      <c r="CP128" s="594"/>
      <c r="CQ128" s="594"/>
    </row>
    <row r="129" spans="1:95" ht="19.5" hidden="1" customHeight="1" outlineLevel="2">
      <c r="A129" s="709" t="s">
        <v>354</v>
      </c>
      <c r="B129" s="710">
        <f>-SUMIFS('D2 - Capex uso'!BS$6:BS$176,'D2 - Capex uso'!$C$6:$C$176,$A118,'D2 - Capex uso'!$AK$6:$AK$176,$A129)</f>
        <v>0</v>
      </c>
      <c r="C129" s="710">
        <f>-SUMIFS('D2 - Capex uso'!BT$6:BT$176,'D2 - Capex uso'!$C$6:$C$176,$A118,'D2 - Capex uso'!$AK$6:$AK$176,$A129)</f>
        <v>0</v>
      </c>
      <c r="D129" s="710">
        <f>-SUMIFS('D2 - Capex uso'!BU$6:BU$176,'D2 - Capex uso'!$C$6:$C$176,$A118,'D2 - Capex uso'!$AK$6:$AK$176,$A129)</f>
        <v>0</v>
      </c>
      <c r="E129" s="710">
        <f>-SUMIFS('D2 - Capex uso'!BV$6:BV$176,'D2 - Capex uso'!$C$6:$C$176,$A118,'D2 - Capex uso'!$AK$6:$AK$176,$A129)</f>
        <v>0</v>
      </c>
      <c r="F129" s="710">
        <f>-SUMIFS('D2 - Capex uso'!BW$6:BW$176,'D2 - Capex uso'!$C$6:$C$176,$A118,'D2 - Capex uso'!$AK$6:$AK$176,$A129)</f>
        <v>0</v>
      </c>
      <c r="G129" s="710">
        <f>-SUMIFS('D2 - Capex uso'!BX$6:BX$176,'D2 - Capex uso'!$C$6:$C$176,$A118,'D2 - Capex uso'!$AK$6:$AK$176,$A129)</f>
        <v>0</v>
      </c>
      <c r="H129" s="710">
        <f>-SUMIFS('D2 - Capex uso'!BY$6:BY$176,'D2 - Capex uso'!$C$6:$C$176,$A118,'D2 - Capex uso'!$AK$6:$AK$176,$A129)</f>
        <v>0</v>
      </c>
      <c r="I129" s="710">
        <f>-SUMIFS('D2 - Capex uso'!BZ$6:BZ$176,'D2 - Capex uso'!$C$6:$C$176,$A118,'D2 - Capex uso'!$AK$6:$AK$176,$A129)</f>
        <v>0</v>
      </c>
      <c r="J129" s="710">
        <f>-SUMIFS('D2 - Capex uso'!CA$6:CA$176,'D2 - Capex uso'!$C$6:$C$176,$A118,'D2 - Capex uso'!$AK$6:$AK$176,$A129)</f>
        <v>0</v>
      </c>
      <c r="K129" s="710">
        <f>-SUMIFS('D2 - Capex uso'!CB$6:CB$176,'D2 - Capex uso'!$C$6:$C$176,$A118,'D2 - Capex uso'!$AK$6:$AK$176,$A129)</f>
        <v>0</v>
      </c>
      <c r="L129" s="710">
        <f>-SUMIFS('D2 - Capex uso'!CC$6:CC$176,'D2 - Capex uso'!$C$6:$C$176,$A118,'D2 - Capex uso'!$AK$6:$AK$176,$A129)</f>
        <v>0</v>
      </c>
      <c r="M129" s="710">
        <f>-SUMIFS('D2 - Capex uso'!CD$6:CD$176,'D2 - Capex uso'!$C$6:$C$176,$A118,'D2 - Capex uso'!$AK$6:$AK$176,$A129)</f>
        <v>0</v>
      </c>
      <c r="N129" s="710">
        <f>-SUMIFS('D2 - Capex uso'!CE$6:CE$176,'D2 - Capex uso'!$C$6:$C$176,$A118,'D2 - Capex uso'!$AK$6:$AK$176,$A129)</f>
        <v>0</v>
      </c>
      <c r="O129" s="710">
        <f>-SUMIFS('D2 - Capex uso'!CF$6:CF$176,'D2 - Capex uso'!$C$6:$C$176,$A118,'D2 - Capex uso'!$AK$6:$AK$176,$A129)</f>
        <v>0</v>
      </c>
      <c r="P129" s="710">
        <f>-SUMIFS('D2 - Capex uso'!CG$6:CG$176,'D2 - Capex uso'!$C$6:$C$176,$A118,'D2 - Capex uso'!$AK$6:$AK$176,$A129)</f>
        <v>0</v>
      </c>
      <c r="Q129" s="710">
        <f>-SUMIFS('D2 - Capex uso'!CH$6:CH$176,'D2 - Capex uso'!$C$6:$C$176,$A118,'D2 - Capex uso'!$AK$6:$AK$176,$A129)</f>
        <v>0</v>
      </c>
      <c r="R129" s="710">
        <f>-SUMIFS('D2 - Capex uso'!CI$6:CI$176,'D2 - Capex uso'!$C$6:$C$176,$A118,'D2 - Capex uso'!$AK$6:$AK$176,$A129)</f>
        <v>0</v>
      </c>
      <c r="S129" s="710">
        <f>-SUMIFS('D2 - Capex uso'!CJ$6:CJ$176,'D2 - Capex uso'!$C$6:$C$176,$A118,'D2 - Capex uso'!$AK$6:$AK$176,$A129)</f>
        <v>0</v>
      </c>
      <c r="T129" s="710">
        <f>-SUMIFS('D2 - Capex uso'!CK$6:CK$176,'D2 - Capex uso'!$C$6:$C$176,$A118,'D2 - Capex uso'!$AK$6:$AK$176,$A129)</f>
        <v>0</v>
      </c>
      <c r="U129" s="710">
        <f>-SUMIFS('D2 - Capex uso'!CL$6:CL$176,'D2 - Capex uso'!$C$6:$C$176,$A118,'D2 - Capex uso'!$AK$6:$AK$176,$A129)</f>
        <v>0</v>
      </c>
      <c r="V129" s="710">
        <f>-SUMIFS('D2 - Capex uso'!CM$6:CM$176,'D2 - Capex uso'!$C$6:$C$176,$A118,'D2 - Capex uso'!$AK$6:$AK$176,$A129)</f>
        <v>0</v>
      </c>
      <c r="W129" s="710">
        <f>-SUMIFS('D2 - Capex uso'!CN$6:CN$176,'D2 - Capex uso'!$C$6:$C$176,$A118,'D2 - Capex uso'!$AK$6:$AK$176,$A129)</f>
        <v>0</v>
      </c>
      <c r="X129" s="710">
        <f>-SUMIFS('D2 - Capex uso'!CO$6:CO$176,'D2 - Capex uso'!$C$6:$C$176,$A118,'D2 - Capex uso'!$AK$6:$AK$176,$A129)</f>
        <v>0</v>
      </c>
      <c r="Y129" s="710">
        <f>-SUMIFS('D2 - Capex uso'!CP$6:CP$176,'D2 - Capex uso'!$C$6:$C$176,$A118,'D2 - Capex uso'!$AK$6:$AK$176,$A129)</f>
        <v>0</v>
      </c>
      <c r="Z129" s="710">
        <f>-SUMIFS('D2 - Capex uso'!CQ$6:CQ$176,'D2 - Capex uso'!$C$6:$C$176,$A118,'D2 - Capex uso'!$AK$6:$AK$176,$A129)</f>
        <v>0</v>
      </c>
      <c r="AA129" s="710">
        <f>-SUMIFS('D2 - Capex uso'!CR$6:CR$176,'D2 - Capex uso'!$C$6:$C$176,$A118,'D2 - Capex uso'!$AK$6:$AK$176,$A129)</f>
        <v>0</v>
      </c>
      <c r="AB129" s="710">
        <f>-SUMIFS('D2 - Capex uso'!CS$6:CS$176,'D2 - Capex uso'!$C$6:$C$176,$A118,'D2 - Capex uso'!$AK$6:$AK$176,$A129)</f>
        <v>0</v>
      </c>
      <c r="AC129" s="710">
        <f>-SUMIFS('D2 - Capex uso'!CT$6:CT$176,'D2 - Capex uso'!$C$6:$C$176,$A118,'D2 - Capex uso'!$AK$6:$AK$176,$A129)</f>
        <v>0</v>
      </c>
      <c r="AD129" s="710">
        <f>-SUMIFS('D2 - Capex uso'!CU$6:CU$176,'D2 - Capex uso'!$C$6:$C$176,$A118,'D2 - Capex uso'!$AK$6:$AK$176,$A129)</f>
        <v>0</v>
      </c>
      <c r="AE129" s="710">
        <f>-SUMIFS('D2 - Capex uso'!CV$6:CV$176,'D2 - Capex uso'!$C$6:$C$176,$A118,'D2 - Capex uso'!$AK$6:$AK$176,$A129)</f>
        <v>0</v>
      </c>
      <c r="AF129" s="594"/>
      <c r="AG129" s="594"/>
      <c r="AH129" s="594"/>
      <c r="AI129" s="594"/>
      <c r="AJ129" s="594"/>
      <c r="AK129" s="594"/>
      <c r="AL129" s="594"/>
      <c r="AM129" s="594"/>
      <c r="AN129" s="594"/>
      <c r="AO129" s="594"/>
      <c r="AP129" s="594"/>
      <c r="AQ129" s="594"/>
      <c r="AR129" s="594"/>
      <c r="AS129" s="594"/>
      <c r="AT129" s="594"/>
      <c r="AU129" s="594"/>
      <c r="AV129" s="594"/>
      <c r="AW129" s="594"/>
      <c r="AX129" s="594"/>
      <c r="AY129" s="594"/>
      <c r="AZ129" s="594"/>
      <c r="BA129" s="594"/>
      <c r="BB129" s="594"/>
      <c r="BC129" s="594"/>
      <c r="BD129" s="594"/>
      <c r="BE129" s="594"/>
      <c r="BF129" s="594"/>
      <c r="BG129" s="594"/>
      <c r="BH129" s="594"/>
      <c r="BI129" s="594"/>
      <c r="BJ129" s="594"/>
      <c r="BK129" s="594"/>
      <c r="BL129" s="57"/>
      <c r="BM129" s="594"/>
      <c r="BN129" s="594"/>
      <c r="BO129" s="594"/>
      <c r="BP129" s="594"/>
      <c r="BQ129" s="594"/>
      <c r="BR129" s="594"/>
      <c r="BS129" s="594"/>
      <c r="BT129" s="594"/>
      <c r="BU129" s="594"/>
      <c r="BV129" s="594"/>
      <c r="BW129" s="594"/>
      <c r="BX129" s="594"/>
      <c r="BY129" s="594"/>
      <c r="BZ129" s="594"/>
      <c r="CA129" s="594"/>
      <c r="CB129" s="594"/>
      <c r="CC129" s="594"/>
      <c r="CD129" s="594"/>
      <c r="CE129" s="594"/>
      <c r="CF129" s="594"/>
      <c r="CG129" s="594"/>
      <c r="CH129" s="594"/>
      <c r="CI129" s="594"/>
      <c r="CJ129" s="594"/>
      <c r="CK129" s="594"/>
      <c r="CL129" s="594"/>
      <c r="CM129" s="594"/>
      <c r="CN129" s="594"/>
      <c r="CO129" s="594"/>
      <c r="CP129" s="594"/>
      <c r="CQ129" s="594"/>
    </row>
    <row r="130" spans="1:95" ht="19.5" hidden="1" customHeight="1" outlineLevel="2">
      <c r="A130" s="709" t="s">
        <v>689</v>
      </c>
      <c r="B130" s="710">
        <f>-SUMIFS('D2 - Capex uso'!BS$6:BS$176,'D2 - Capex uso'!$C$6:$C$176,$A118,'D2 - Capex uso'!$AK$6:$AK$176,$A130)</f>
        <v>0</v>
      </c>
      <c r="C130" s="710">
        <f>-SUMIFS('D2 - Capex uso'!BT$6:BT$176,'D2 - Capex uso'!$C$6:$C$176,$A118,'D2 - Capex uso'!$AK$6:$AK$176,$A130)</f>
        <v>0</v>
      </c>
      <c r="D130" s="710">
        <f>-SUMIFS('D2 - Capex uso'!BU$6:BU$176,'D2 - Capex uso'!$C$6:$C$176,$A118,'D2 - Capex uso'!$AK$6:$AK$176,$A130)</f>
        <v>0</v>
      </c>
      <c r="E130" s="710">
        <f>-SUMIFS('D2 - Capex uso'!BV$6:BV$176,'D2 - Capex uso'!$C$6:$C$176,$A118,'D2 - Capex uso'!$AK$6:$AK$176,$A130)</f>
        <v>0</v>
      </c>
      <c r="F130" s="710">
        <f>-SUMIFS('D2 - Capex uso'!BW$6:BW$176,'D2 - Capex uso'!$C$6:$C$176,$A118,'D2 - Capex uso'!$AK$6:$AK$176,$A130)</f>
        <v>0</v>
      </c>
      <c r="G130" s="710">
        <f>-SUMIFS('D2 - Capex uso'!BX$6:BX$176,'D2 - Capex uso'!$C$6:$C$176,$A118,'D2 - Capex uso'!$AK$6:$AK$176,$A130)</f>
        <v>0</v>
      </c>
      <c r="H130" s="710">
        <f>-SUMIFS('D2 - Capex uso'!BY$6:BY$176,'D2 - Capex uso'!$C$6:$C$176,$A118,'D2 - Capex uso'!$AK$6:$AK$176,$A130)</f>
        <v>0</v>
      </c>
      <c r="I130" s="710">
        <f>-SUMIFS('D2 - Capex uso'!BZ$6:BZ$176,'D2 - Capex uso'!$C$6:$C$176,$A118,'D2 - Capex uso'!$AK$6:$AK$176,$A130)</f>
        <v>0</v>
      </c>
      <c r="J130" s="710">
        <f>-SUMIFS('D2 - Capex uso'!CA$6:CA$176,'D2 - Capex uso'!$C$6:$C$176,$A118,'D2 - Capex uso'!$AK$6:$AK$176,$A130)</f>
        <v>0</v>
      </c>
      <c r="K130" s="710">
        <f>-SUMIFS('D2 - Capex uso'!CB$6:CB$176,'D2 - Capex uso'!$C$6:$C$176,$A118,'D2 - Capex uso'!$AK$6:$AK$176,$A130)</f>
        <v>0</v>
      </c>
      <c r="L130" s="710">
        <f>-SUMIFS('D2 - Capex uso'!CC$6:CC$176,'D2 - Capex uso'!$C$6:$C$176,$A118,'D2 - Capex uso'!$AK$6:$AK$176,$A130)</f>
        <v>0</v>
      </c>
      <c r="M130" s="710">
        <f>-SUMIFS('D2 - Capex uso'!CD$6:CD$176,'D2 - Capex uso'!$C$6:$C$176,$A118,'D2 - Capex uso'!$AK$6:$AK$176,$A130)</f>
        <v>0</v>
      </c>
      <c r="N130" s="710">
        <f>-SUMIFS('D2 - Capex uso'!CE$6:CE$176,'D2 - Capex uso'!$C$6:$C$176,$A118,'D2 - Capex uso'!$AK$6:$AK$176,$A130)</f>
        <v>0</v>
      </c>
      <c r="O130" s="710">
        <f>-SUMIFS('D2 - Capex uso'!CF$6:CF$176,'D2 - Capex uso'!$C$6:$C$176,$A118,'D2 - Capex uso'!$AK$6:$AK$176,$A130)</f>
        <v>0</v>
      </c>
      <c r="P130" s="710">
        <f>-SUMIFS('D2 - Capex uso'!CG$6:CG$176,'D2 - Capex uso'!$C$6:$C$176,$A118,'D2 - Capex uso'!$AK$6:$AK$176,$A130)</f>
        <v>0</v>
      </c>
      <c r="Q130" s="710">
        <f>-SUMIFS('D2 - Capex uso'!CH$6:CH$176,'D2 - Capex uso'!$C$6:$C$176,$A118,'D2 - Capex uso'!$AK$6:$AK$176,$A130)</f>
        <v>0</v>
      </c>
      <c r="R130" s="710">
        <f>-SUMIFS('D2 - Capex uso'!CI$6:CI$176,'D2 - Capex uso'!$C$6:$C$176,$A118,'D2 - Capex uso'!$AK$6:$AK$176,$A130)</f>
        <v>0</v>
      </c>
      <c r="S130" s="710">
        <f>-SUMIFS('D2 - Capex uso'!CJ$6:CJ$176,'D2 - Capex uso'!$C$6:$C$176,$A118,'D2 - Capex uso'!$AK$6:$AK$176,$A130)</f>
        <v>0</v>
      </c>
      <c r="T130" s="710">
        <f>-SUMIFS('D2 - Capex uso'!CK$6:CK$176,'D2 - Capex uso'!$C$6:$C$176,$A118,'D2 - Capex uso'!$AK$6:$AK$176,$A130)</f>
        <v>0</v>
      </c>
      <c r="U130" s="710">
        <f>-SUMIFS('D2 - Capex uso'!CL$6:CL$176,'D2 - Capex uso'!$C$6:$C$176,$A118,'D2 - Capex uso'!$AK$6:$AK$176,$A130)</f>
        <v>0</v>
      </c>
      <c r="V130" s="710">
        <f>-SUMIFS('D2 - Capex uso'!CM$6:CM$176,'D2 - Capex uso'!$C$6:$C$176,$A118,'D2 - Capex uso'!$AK$6:$AK$176,$A130)</f>
        <v>0</v>
      </c>
      <c r="W130" s="710">
        <f>-SUMIFS('D2 - Capex uso'!CN$6:CN$176,'D2 - Capex uso'!$C$6:$C$176,$A118,'D2 - Capex uso'!$AK$6:$AK$176,$A130)</f>
        <v>0</v>
      </c>
      <c r="X130" s="710">
        <f>-SUMIFS('D2 - Capex uso'!CO$6:CO$176,'D2 - Capex uso'!$C$6:$C$176,$A118,'D2 - Capex uso'!$AK$6:$AK$176,$A130)</f>
        <v>0</v>
      </c>
      <c r="Y130" s="710">
        <f>-SUMIFS('D2 - Capex uso'!CP$6:CP$176,'D2 - Capex uso'!$C$6:$C$176,$A118,'D2 - Capex uso'!$AK$6:$AK$176,$A130)</f>
        <v>0</v>
      </c>
      <c r="Z130" s="710">
        <f>-SUMIFS('D2 - Capex uso'!CQ$6:CQ$176,'D2 - Capex uso'!$C$6:$C$176,$A118,'D2 - Capex uso'!$AK$6:$AK$176,$A130)</f>
        <v>0</v>
      </c>
      <c r="AA130" s="710">
        <f>-SUMIFS('D2 - Capex uso'!CR$6:CR$176,'D2 - Capex uso'!$C$6:$C$176,$A118,'D2 - Capex uso'!$AK$6:$AK$176,$A130)</f>
        <v>0</v>
      </c>
      <c r="AB130" s="710">
        <f>-SUMIFS('D2 - Capex uso'!CS$6:CS$176,'D2 - Capex uso'!$C$6:$C$176,$A118,'D2 - Capex uso'!$AK$6:$AK$176,$A130)</f>
        <v>0</v>
      </c>
      <c r="AC130" s="710">
        <f>-SUMIFS('D2 - Capex uso'!CT$6:CT$176,'D2 - Capex uso'!$C$6:$C$176,$A118,'D2 - Capex uso'!$AK$6:$AK$176,$A130)</f>
        <v>0</v>
      </c>
      <c r="AD130" s="710">
        <f>-SUMIFS('D2 - Capex uso'!CU$6:CU$176,'D2 - Capex uso'!$C$6:$C$176,$A118,'D2 - Capex uso'!$AK$6:$AK$176,$A130)</f>
        <v>0</v>
      </c>
      <c r="AE130" s="710">
        <f>-SUMIFS('D2 - Capex uso'!CV$6:CV$176,'D2 - Capex uso'!$C$6:$C$176,$A118,'D2 - Capex uso'!$AK$6:$AK$176,$A130)</f>
        <v>0</v>
      </c>
      <c r="AF130" s="594"/>
      <c r="AG130" s="594"/>
      <c r="AH130" s="594"/>
      <c r="AI130" s="594"/>
      <c r="AJ130" s="594"/>
      <c r="AK130" s="594"/>
      <c r="AL130" s="594"/>
      <c r="AM130" s="594"/>
      <c r="AN130" s="594"/>
      <c r="AO130" s="594"/>
      <c r="AP130" s="594"/>
      <c r="AQ130" s="594"/>
      <c r="AR130" s="594"/>
      <c r="AS130" s="594"/>
      <c r="AT130" s="594"/>
      <c r="AU130" s="594"/>
      <c r="AV130" s="594"/>
      <c r="AW130" s="594"/>
      <c r="AX130" s="594"/>
      <c r="AY130" s="594"/>
      <c r="AZ130" s="594"/>
      <c r="BA130" s="594"/>
      <c r="BB130" s="594"/>
      <c r="BC130" s="594"/>
      <c r="BD130" s="594"/>
      <c r="BE130" s="594"/>
      <c r="BF130" s="594"/>
      <c r="BG130" s="594"/>
      <c r="BH130" s="594"/>
      <c r="BI130" s="594"/>
      <c r="BJ130" s="594"/>
      <c r="BK130" s="594"/>
      <c r="BL130" s="57"/>
      <c r="BM130" s="594"/>
      <c r="BN130" s="594"/>
      <c r="BO130" s="594"/>
      <c r="BP130" s="594"/>
      <c r="BQ130" s="594"/>
      <c r="BR130" s="594"/>
      <c r="BS130" s="594"/>
      <c r="BT130" s="594"/>
      <c r="BU130" s="594"/>
      <c r="BV130" s="594"/>
      <c r="BW130" s="594"/>
      <c r="BX130" s="594"/>
      <c r="BY130" s="594"/>
      <c r="BZ130" s="594"/>
      <c r="CA130" s="594"/>
      <c r="CB130" s="594"/>
      <c r="CC130" s="594"/>
      <c r="CD130" s="594"/>
      <c r="CE130" s="594"/>
      <c r="CF130" s="594"/>
      <c r="CG130" s="594"/>
      <c r="CH130" s="594"/>
      <c r="CI130" s="594"/>
      <c r="CJ130" s="594"/>
      <c r="CK130" s="594"/>
      <c r="CL130" s="594"/>
      <c r="CM130" s="594"/>
      <c r="CN130" s="594"/>
      <c r="CO130" s="594"/>
      <c r="CP130" s="594"/>
      <c r="CQ130" s="594"/>
    </row>
    <row r="131" spans="1:95" ht="19.5" hidden="1" customHeight="1" outlineLevel="2">
      <c r="A131" s="709" t="s">
        <v>378</v>
      </c>
      <c r="B131" s="710">
        <f>-SUMIFS('D2 - Capex uso'!BS$6:BS$176,'D2 - Capex uso'!$C$6:$C$176,$A118,'D2 - Capex uso'!$AK$6:$AK$176,$A131)</f>
        <v>0</v>
      </c>
      <c r="C131" s="710">
        <f>-SUMIFS('D2 - Capex uso'!BT$6:BT$176,'D2 - Capex uso'!$C$6:$C$176,$A118,'D2 - Capex uso'!$AK$6:$AK$176,$A131)</f>
        <v>0</v>
      </c>
      <c r="D131" s="710">
        <f>-SUMIFS('D2 - Capex uso'!BU$6:BU$176,'D2 - Capex uso'!$C$6:$C$176,$A118,'D2 - Capex uso'!$AK$6:$AK$176,$A131)</f>
        <v>0</v>
      </c>
      <c r="E131" s="710">
        <f>-SUMIFS('D2 - Capex uso'!BV$6:BV$176,'D2 - Capex uso'!$C$6:$C$176,$A118,'D2 - Capex uso'!$AK$6:$AK$176,$A131)</f>
        <v>0</v>
      </c>
      <c r="F131" s="710">
        <f>-SUMIFS('D2 - Capex uso'!BW$6:BW$176,'D2 - Capex uso'!$C$6:$C$176,$A118,'D2 - Capex uso'!$AK$6:$AK$176,$A131)</f>
        <v>0</v>
      </c>
      <c r="G131" s="710">
        <f>-SUMIFS('D2 - Capex uso'!BX$6:BX$176,'D2 - Capex uso'!$C$6:$C$176,$A118,'D2 - Capex uso'!$AK$6:$AK$176,$A131)</f>
        <v>0</v>
      </c>
      <c r="H131" s="710">
        <f>-SUMIFS('D2 - Capex uso'!BY$6:BY$176,'D2 - Capex uso'!$C$6:$C$176,$A118,'D2 - Capex uso'!$AK$6:$AK$176,$A131)</f>
        <v>0</v>
      </c>
      <c r="I131" s="710">
        <f>-SUMIFS('D2 - Capex uso'!BZ$6:BZ$176,'D2 - Capex uso'!$C$6:$C$176,$A118,'D2 - Capex uso'!$AK$6:$AK$176,$A131)</f>
        <v>0</v>
      </c>
      <c r="J131" s="710">
        <f>-SUMIFS('D2 - Capex uso'!CA$6:CA$176,'D2 - Capex uso'!$C$6:$C$176,$A118,'D2 - Capex uso'!$AK$6:$AK$176,$A131)</f>
        <v>0</v>
      </c>
      <c r="K131" s="710">
        <f>-SUMIFS('D2 - Capex uso'!CB$6:CB$176,'D2 - Capex uso'!$C$6:$C$176,$A118,'D2 - Capex uso'!$AK$6:$AK$176,$A131)</f>
        <v>0</v>
      </c>
      <c r="L131" s="710">
        <f>-SUMIFS('D2 - Capex uso'!CC$6:CC$176,'D2 - Capex uso'!$C$6:$C$176,$A118,'D2 - Capex uso'!$AK$6:$AK$176,$A131)</f>
        <v>0</v>
      </c>
      <c r="M131" s="710">
        <f>-SUMIFS('D2 - Capex uso'!CD$6:CD$176,'D2 - Capex uso'!$C$6:$C$176,$A118,'D2 - Capex uso'!$AK$6:$AK$176,$A131)</f>
        <v>0</v>
      </c>
      <c r="N131" s="710">
        <f>-SUMIFS('D2 - Capex uso'!CE$6:CE$176,'D2 - Capex uso'!$C$6:$C$176,$A118,'D2 - Capex uso'!$AK$6:$AK$176,$A131)</f>
        <v>0</v>
      </c>
      <c r="O131" s="710">
        <f>-SUMIFS('D2 - Capex uso'!CF$6:CF$176,'D2 - Capex uso'!$C$6:$C$176,$A118,'D2 - Capex uso'!$AK$6:$AK$176,$A131)</f>
        <v>0</v>
      </c>
      <c r="P131" s="710">
        <f>-SUMIFS('D2 - Capex uso'!CG$6:CG$176,'D2 - Capex uso'!$C$6:$C$176,$A118,'D2 - Capex uso'!$AK$6:$AK$176,$A131)</f>
        <v>0</v>
      </c>
      <c r="Q131" s="710">
        <f>-SUMIFS('D2 - Capex uso'!CH$6:CH$176,'D2 - Capex uso'!$C$6:$C$176,$A118,'D2 - Capex uso'!$AK$6:$AK$176,$A131)</f>
        <v>0</v>
      </c>
      <c r="R131" s="710">
        <f>-SUMIFS('D2 - Capex uso'!CI$6:CI$176,'D2 - Capex uso'!$C$6:$C$176,$A118,'D2 - Capex uso'!$AK$6:$AK$176,$A131)</f>
        <v>0</v>
      </c>
      <c r="S131" s="710">
        <f>-SUMIFS('D2 - Capex uso'!CJ$6:CJ$176,'D2 - Capex uso'!$C$6:$C$176,$A118,'D2 - Capex uso'!$AK$6:$AK$176,$A131)</f>
        <v>0</v>
      </c>
      <c r="T131" s="710">
        <f>-SUMIFS('D2 - Capex uso'!CK$6:CK$176,'D2 - Capex uso'!$C$6:$C$176,$A118,'D2 - Capex uso'!$AK$6:$AK$176,$A131)</f>
        <v>0</v>
      </c>
      <c r="U131" s="710">
        <f>-SUMIFS('D2 - Capex uso'!CL$6:CL$176,'D2 - Capex uso'!$C$6:$C$176,$A118,'D2 - Capex uso'!$AK$6:$AK$176,$A131)</f>
        <v>0</v>
      </c>
      <c r="V131" s="710">
        <f>-SUMIFS('D2 - Capex uso'!CM$6:CM$176,'D2 - Capex uso'!$C$6:$C$176,$A118,'D2 - Capex uso'!$AK$6:$AK$176,$A131)</f>
        <v>0</v>
      </c>
      <c r="W131" s="710">
        <f>-SUMIFS('D2 - Capex uso'!CN$6:CN$176,'D2 - Capex uso'!$C$6:$C$176,$A118,'D2 - Capex uso'!$AK$6:$AK$176,$A131)</f>
        <v>0</v>
      </c>
      <c r="X131" s="710">
        <f>-SUMIFS('D2 - Capex uso'!CO$6:CO$176,'D2 - Capex uso'!$C$6:$C$176,$A118,'D2 - Capex uso'!$AK$6:$AK$176,$A131)</f>
        <v>0</v>
      </c>
      <c r="Y131" s="710">
        <f>-SUMIFS('D2 - Capex uso'!CP$6:CP$176,'D2 - Capex uso'!$C$6:$C$176,$A118,'D2 - Capex uso'!$AK$6:$AK$176,$A131)</f>
        <v>0</v>
      </c>
      <c r="Z131" s="710">
        <f>-SUMIFS('D2 - Capex uso'!CQ$6:CQ$176,'D2 - Capex uso'!$C$6:$C$176,$A118,'D2 - Capex uso'!$AK$6:$AK$176,$A131)</f>
        <v>0</v>
      </c>
      <c r="AA131" s="710">
        <f>-SUMIFS('D2 - Capex uso'!CR$6:CR$176,'D2 - Capex uso'!$C$6:$C$176,$A118,'D2 - Capex uso'!$AK$6:$AK$176,$A131)</f>
        <v>0</v>
      </c>
      <c r="AB131" s="710">
        <f>-SUMIFS('D2 - Capex uso'!CS$6:CS$176,'D2 - Capex uso'!$C$6:$C$176,$A118,'D2 - Capex uso'!$AK$6:$AK$176,$A131)</f>
        <v>0</v>
      </c>
      <c r="AC131" s="710">
        <f>-SUMIFS('D2 - Capex uso'!CT$6:CT$176,'D2 - Capex uso'!$C$6:$C$176,$A118,'D2 - Capex uso'!$AK$6:$AK$176,$A131)</f>
        <v>0</v>
      </c>
      <c r="AD131" s="710">
        <f>-SUMIFS('D2 - Capex uso'!CU$6:CU$176,'D2 - Capex uso'!$C$6:$C$176,$A118,'D2 - Capex uso'!$AK$6:$AK$176,$A131)</f>
        <v>0</v>
      </c>
      <c r="AE131" s="710">
        <f>-SUMIFS('D2 - Capex uso'!CV$6:CV$176,'D2 - Capex uso'!$C$6:$C$176,$A118,'D2 - Capex uso'!$AK$6:$AK$176,$A131)</f>
        <v>0</v>
      </c>
      <c r="AF131" s="594"/>
      <c r="AG131" s="594"/>
      <c r="AH131" s="594"/>
      <c r="AI131" s="594"/>
      <c r="AJ131" s="594"/>
      <c r="AK131" s="594"/>
      <c r="AL131" s="594"/>
      <c r="AM131" s="594"/>
      <c r="AN131" s="594"/>
      <c r="AO131" s="594"/>
      <c r="AP131" s="594"/>
      <c r="AQ131" s="594"/>
      <c r="AR131" s="594"/>
      <c r="AS131" s="594"/>
      <c r="AT131" s="594"/>
      <c r="AU131" s="594"/>
      <c r="AV131" s="594"/>
      <c r="AW131" s="594"/>
      <c r="AX131" s="594"/>
      <c r="AY131" s="594"/>
      <c r="AZ131" s="594"/>
      <c r="BA131" s="594"/>
      <c r="BB131" s="594"/>
      <c r="BC131" s="594"/>
      <c r="BD131" s="594"/>
      <c r="BE131" s="594"/>
      <c r="BF131" s="594"/>
      <c r="BG131" s="594"/>
      <c r="BH131" s="594"/>
      <c r="BI131" s="594"/>
      <c r="BJ131" s="594"/>
      <c r="BK131" s="594"/>
      <c r="BL131" s="57"/>
      <c r="BM131" s="594"/>
      <c r="BN131" s="594"/>
      <c r="BO131" s="594"/>
      <c r="BP131" s="594"/>
      <c r="BQ131" s="594"/>
      <c r="BR131" s="594"/>
      <c r="BS131" s="594"/>
      <c r="BT131" s="594"/>
      <c r="BU131" s="594"/>
      <c r="BV131" s="594"/>
      <c r="BW131" s="594"/>
      <c r="BX131" s="594"/>
      <c r="BY131" s="594"/>
      <c r="BZ131" s="594"/>
      <c r="CA131" s="594"/>
      <c r="CB131" s="594"/>
      <c r="CC131" s="594"/>
      <c r="CD131" s="594"/>
      <c r="CE131" s="594"/>
      <c r="CF131" s="594"/>
      <c r="CG131" s="594"/>
      <c r="CH131" s="594"/>
      <c r="CI131" s="594"/>
      <c r="CJ131" s="594"/>
      <c r="CK131" s="594"/>
      <c r="CL131" s="594"/>
      <c r="CM131" s="594"/>
      <c r="CN131" s="594"/>
      <c r="CO131" s="594"/>
      <c r="CP131" s="594"/>
      <c r="CQ131" s="594"/>
    </row>
    <row r="132" spans="1:95" ht="19.5" hidden="1" customHeight="1" outlineLevel="2">
      <c r="A132" s="709" t="s">
        <v>366</v>
      </c>
      <c r="B132" s="710">
        <f>-SUMIFS('D2 - Capex uso'!BS$6:BS$176,'D2 - Capex uso'!$C$6:$C$176,$A118,'D2 - Capex uso'!$AK$6:$AK$176,$A132)</f>
        <v>0</v>
      </c>
      <c r="C132" s="710">
        <f>-SUMIFS('D2 - Capex uso'!BT$6:BT$176,'D2 - Capex uso'!$C$6:$C$176,$A118,'D2 - Capex uso'!$AK$6:$AK$176,$A132)</f>
        <v>0</v>
      </c>
      <c r="D132" s="710">
        <f>-SUMIFS('D2 - Capex uso'!BU$6:BU$176,'D2 - Capex uso'!$C$6:$C$176,$A118,'D2 - Capex uso'!$AK$6:$AK$176,$A132)</f>
        <v>0</v>
      </c>
      <c r="E132" s="710">
        <f>-SUMIFS('D2 - Capex uso'!BV$6:BV$176,'D2 - Capex uso'!$C$6:$C$176,$A118,'D2 - Capex uso'!$AK$6:$AK$176,$A132)</f>
        <v>0</v>
      </c>
      <c r="F132" s="710">
        <f>-SUMIFS('D2 - Capex uso'!BW$6:BW$176,'D2 - Capex uso'!$C$6:$C$176,$A118,'D2 - Capex uso'!$AK$6:$AK$176,$A132)</f>
        <v>0</v>
      </c>
      <c r="G132" s="710">
        <f>-SUMIFS('D2 - Capex uso'!BX$6:BX$176,'D2 - Capex uso'!$C$6:$C$176,$A118,'D2 - Capex uso'!$AK$6:$AK$176,$A132)</f>
        <v>0</v>
      </c>
      <c r="H132" s="710">
        <f>-SUMIFS('D2 - Capex uso'!BY$6:BY$176,'D2 - Capex uso'!$C$6:$C$176,$A118,'D2 - Capex uso'!$AK$6:$AK$176,$A132)</f>
        <v>0</v>
      </c>
      <c r="I132" s="710">
        <f>-SUMIFS('D2 - Capex uso'!BZ$6:BZ$176,'D2 - Capex uso'!$C$6:$C$176,$A118,'D2 - Capex uso'!$AK$6:$AK$176,$A132)</f>
        <v>0</v>
      </c>
      <c r="J132" s="710">
        <f>-SUMIFS('D2 - Capex uso'!CA$6:CA$176,'D2 - Capex uso'!$C$6:$C$176,$A118,'D2 - Capex uso'!$AK$6:$AK$176,$A132)</f>
        <v>0</v>
      </c>
      <c r="K132" s="710">
        <f>-SUMIFS('D2 - Capex uso'!CB$6:CB$176,'D2 - Capex uso'!$C$6:$C$176,$A118,'D2 - Capex uso'!$AK$6:$AK$176,$A132)</f>
        <v>0</v>
      </c>
      <c r="L132" s="710">
        <f>-SUMIFS('D2 - Capex uso'!CC$6:CC$176,'D2 - Capex uso'!$C$6:$C$176,$A118,'D2 - Capex uso'!$AK$6:$AK$176,$A132)</f>
        <v>0</v>
      </c>
      <c r="M132" s="710">
        <f>-SUMIFS('D2 - Capex uso'!CD$6:CD$176,'D2 - Capex uso'!$C$6:$C$176,$A118,'D2 - Capex uso'!$AK$6:$AK$176,$A132)</f>
        <v>0</v>
      </c>
      <c r="N132" s="710">
        <f>-SUMIFS('D2 - Capex uso'!CE$6:CE$176,'D2 - Capex uso'!$C$6:$C$176,$A118,'D2 - Capex uso'!$AK$6:$AK$176,$A132)</f>
        <v>0</v>
      </c>
      <c r="O132" s="710">
        <f>-SUMIFS('D2 - Capex uso'!CF$6:CF$176,'D2 - Capex uso'!$C$6:$C$176,$A118,'D2 - Capex uso'!$AK$6:$AK$176,$A132)</f>
        <v>0</v>
      </c>
      <c r="P132" s="710">
        <f>-SUMIFS('D2 - Capex uso'!CG$6:CG$176,'D2 - Capex uso'!$C$6:$C$176,$A118,'D2 - Capex uso'!$AK$6:$AK$176,$A132)</f>
        <v>0</v>
      </c>
      <c r="Q132" s="710">
        <f>-SUMIFS('D2 - Capex uso'!CH$6:CH$176,'D2 - Capex uso'!$C$6:$C$176,$A118,'D2 - Capex uso'!$AK$6:$AK$176,$A132)</f>
        <v>0</v>
      </c>
      <c r="R132" s="710">
        <f>-SUMIFS('D2 - Capex uso'!CI$6:CI$176,'D2 - Capex uso'!$C$6:$C$176,$A118,'D2 - Capex uso'!$AK$6:$AK$176,$A132)</f>
        <v>0</v>
      </c>
      <c r="S132" s="710">
        <f>-SUMIFS('D2 - Capex uso'!CJ$6:CJ$176,'D2 - Capex uso'!$C$6:$C$176,$A118,'D2 - Capex uso'!$AK$6:$AK$176,$A132)</f>
        <v>0</v>
      </c>
      <c r="T132" s="710">
        <f>-SUMIFS('D2 - Capex uso'!CK$6:CK$176,'D2 - Capex uso'!$C$6:$C$176,$A118,'D2 - Capex uso'!$AK$6:$AK$176,$A132)</f>
        <v>0</v>
      </c>
      <c r="U132" s="710">
        <f>-SUMIFS('D2 - Capex uso'!CL$6:CL$176,'D2 - Capex uso'!$C$6:$C$176,$A118,'D2 - Capex uso'!$AK$6:$AK$176,$A132)</f>
        <v>0</v>
      </c>
      <c r="V132" s="710">
        <f>-SUMIFS('D2 - Capex uso'!CM$6:CM$176,'D2 - Capex uso'!$C$6:$C$176,$A118,'D2 - Capex uso'!$AK$6:$AK$176,$A132)</f>
        <v>0</v>
      </c>
      <c r="W132" s="710">
        <f>-SUMIFS('D2 - Capex uso'!CN$6:CN$176,'D2 - Capex uso'!$C$6:$C$176,$A118,'D2 - Capex uso'!$AK$6:$AK$176,$A132)</f>
        <v>0</v>
      </c>
      <c r="X132" s="710">
        <f>-SUMIFS('D2 - Capex uso'!CO$6:CO$176,'D2 - Capex uso'!$C$6:$C$176,$A118,'D2 - Capex uso'!$AK$6:$AK$176,$A132)</f>
        <v>0</v>
      </c>
      <c r="Y132" s="710">
        <f>-SUMIFS('D2 - Capex uso'!CP$6:CP$176,'D2 - Capex uso'!$C$6:$C$176,$A118,'D2 - Capex uso'!$AK$6:$AK$176,$A132)</f>
        <v>0</v>
      </c>
      <c r="Z132" s="710">
        <f>-SUMIFS('D2 - Capex uso'!CQ$6:CQ$176,'D2 - Capex uso'!$C$6:$C$176,$A118,'D2 - Capex uso'!$AK$6:$AK$176,$A132)</f>
        <v>0</v>
      </c>
      <c r="AA132" s="710">
        <f>-SUMIFS('D2 - Capex uso'!CR$6:CR$176,'D2 - Capex uso'!$C$6:$C$176,$A118,'D2 - Capex uso'!$AK$6:$AK$176,$A132)</f>
        <v>0</v>
      </c>
      <c r="AB132" s="710">
        <f>-SUMIFS('D2 - Capex uso'!CS$6:CS$176,'D2 - Capex uso'!$C$6:$C$176,$A118,'D2 - Capex uso'!$AK$6:$AK$176,$A132)</f>
        <v>0</v>
      </c>
      <c r="AC132" s="710">
        <f>-SUMIFS('D2 - Capex uso'!CT$6:CT$176,'D2 - Capex uso'!$C$6:$C$176,$A118,'D2 - Capex uso'!$AK$6:$AK$176,$A132)</f>
        <v>0</v>
      </c>
      <c r="AD132" s="710">
        <f>-SUMIFS('D2 - Capex uso'!CU$6:CU$176,'D2 - Capex uso'!$C$6:$C$176,$A118,'D2 - Capex uso'!$AK$6:$AK$176,$A132)</f>
        <v>0</v>
      </c>
      <c r="AE132" s="710">
        <f>-SUMIFS('D2 - Capex uso'!CV$6:CV$176,'D2 - Capex uso'!$C$6:$C$176,$A118,'D2 - Capex uso'!$AK$6:$AK$176,$A132)</f>
        <v>0</v>
      </c>
      <c r="AF132" s="594"/>
      <c r="AG132" s="594"/>
      <c r="AH132" s="594"/>
      <c r="AI132" s="594"/>
      <c r="AJ132" s="594"/>
      <c r="AK132" s="594"/>
      <c r="AL132" s="594"/>
      <c r="AM132" s="594"/>
      <c r="AN132" s="594"/>
      <c r="AO132" s="594"/>
      <c r="AP132" s="594"/>
      <c r="AQ132" s="594"/>
      <c r="AR132" s="594"/>
      <c r="AS132" s="594"/>
      <c r="AT132" s="594"/>
      <c r="AU132" s="594"/>
      <c r="AV132" s="594"/>
      <c r="AW132" s="594"/>
      <c r="AX132" s="594"/>
      <c r="AY132" s="594"/>
      <c r="AZ132" s="594"/>
      <c r="BA132" s="594"/>
      <c r="BB132" s="594"/>
      <c r="BC132" s="594"/>
      <c r="BD132" s="594"/>
      <c r="BE132" s="594"/>
      <c r="BF132" s="594"/>
      <c r="BG132" s="594"/>
      <c r="BH132" s="594"/>
      <c r="BI132" s="594"/>
      <c r="BJ132" s="594"/>
      <c r="BK132" s="594"/>
      <c r="BL132" s="57"/>
      <c r="BM132" s="594"/>
      <c r="BN132" s="594"/>
      <c r="BO132" s="594"/>
      <c r="BP132" s="594"/>
      <c r="BQ132" s="594"/>
      <c r="BR132" s="594"/>
      <c r="BS132" s="594"/>
      <c r="BT132" s="594"/>
      <c r="BU132" s="594"/>
      <c r="BV132" s="594"/>
      <c r="BW132" s="594"/>
      <c r="BX132" s="594"/>
      <c r="BY132" s="594"/>
      <c r="BZ132" s="594"/>
      <c r="CA132" s="594"/>
      <c r="CB132" s="594"/>
      <c r="CC132" s="594"/>
      <c r="CD132" s="594"/>
      <c r="CE132" s="594"/>
      <c r="CF132" s="594"/>
      <c r="CG132" s="594"/>
      <c r="CH132" s="594"/>
      <c r="CI132" s="594"/>
      <c r="CJ132" s="594"/>
      <c r="CK132" s="594"/>
      <c r="CL132" s="594"/>
      <c r="CM132" s="594"/>
      <c r="CN132" s="594"/>
      <c r="CO132" s="594"/>
      <c r="CP132" s="594"/>
      <c r="CQ132" s="594"/>
    </row>
    <row r="133" spans="1:95" ht="19.5" hidden="1" customHeight="1" outlineLevel="2">
      <c r="A133" s="709" t="s">
        <v>371</v>
      </c>
      <c r="B133" s="710">
        <f>-SUMIFS('D2 - Capex uso'!BS$6:BS$176,'D2 - Capex uso'!$C$6:$C$176,$A118,'D2 - Capex uso'!$AK$6:$AK$176,$A133)</f>
        <v>0</v>
      </c>
      <c r="C133" s="710">
        <f>-SUMIFS('D2 - Capex uso'!BT$6:BT$176,'D2 - Capex uso'!$C$6:$C$176,$A118,'D2 - Capex uso'!$AK$6:$AK$176,$A133)</f>
        <v>0</v>
      </c>
      <c r="D133" s="710">
        <f>-SUMIFS('D2 - Capex uso'!BU$6:BU$176,'D2 - Capex uso'!$C$6:$C$176,$A118,'D2 - Capex uso'!$AK$6:$AK$176,$A133)</f>
        <v>0</v>
      </c>
      <c r="E133" s="710">
        <f>-SUMIFS('D2 - Capex uso'!BV$6:BV$176,'D2 - Capex uso'!$C$6:$C$176,$A118,'D2 - Capex uso'!$AK$6:$AK$176,$A133)</f>
        <v>0</v>
      </c>
      <c r="F133" s="710">
        <f>-SUMIFS('D2 - Capex uso'!BW$6:BW$176,'D2 - Capex uso'!$C$6:$C$176,$A118,'D2 - Capex uso'!$AK$6:$AK$176,$A133)</f>
        <v>0</v>
      </c>
      <c r="G133" s="710">
        <f>-SUMIFS('D2 - Capex uso'!BX$6:BX$176,'D2 - Capex uso'!$C$6:$C$176,$A118,'D2 - Capex uso'!$AK$6:$AK$176,$A133)</f>
        <v>0</v>
      </c>
      <c r="H133" s="710">
        <f>-SUMIFS('D2 - Capex uso'!BY$6:BY$176,'D2 - Capex uso'!$C$6:$C$176,$A118,'D2 - Capex uso'!$AK$6:$AK$176,$A133)</f>
        <v>0</v>
      </c>
      <c r="I133" s="710">
        <f>-SUMIFS('D2 - Capex uso'!BZ$6:BZ$176,'D2 - Capex uso'!$C$6:$C$176,$A118,'D2 - Capex uso'!$AK$6:$AK$176,$A133)</f>
        <v>0</v>
      </c>
      <c r="J133" s="710">
        <f>-SUMIFS('D2 - Capex uso'!CA$6:CA$176,'D2 - Capex uso'!$C$6:$C$176,$A118,'D2 - Capex uso'!$AK$6:$AK$176,$A133)</f>
        <v>0</v>
      </c>
      <c r="K133" s="710">
        <f>-SUMIFS('D2 - Capex uso'!CB$6:CB$176,'D2 - Capex uso'!$C$6:$C$176,$A118,'D2 - Capex uso'!$AK$6:$AK$176,$A133)</f>
        <v>0</v>
      </c>
      <c r="L133" s="710">
        <f>-SUMIFS('D2 - Capex uso'!CC$6:CC$176,'D2 - Capex uso'!$C$6:$C$176,$A118,'D2 - Capex uso'!$AK$6:$AK$176,$A133)</f>
        <v>0</v>
      </c>
      <c r="M133" s="710">
        <f>-SUMIFS('D2 - Capex uso'!CD$6:CD$176,'D2 - Capex uso'!$C$6:$C$176,$A118,'D2 - Capex uso'!$AK$6:$AK$176,$A133)</f>
        <v>0</v>
      </c>
      <c r="N133" s="710">
        <f>-SUMIFS('D2 - Capex uso'!CE$6:CE$176,'D2 - Capex uso'!$C$6:$C$176,$A118,'D2 - Capex uso'!$AK$6:$AK$176,$A133)</f>
        <v>0</v>
      </c>
      <c r="O133" s="710">
        <f>-SUMIFS('D2 - Capex uso'!CF$6:CF$176,'D2 - Capex uso'!$C$6:$C$176,$A118,'D2 - Capex uso'!$AK$6:$AK$176,$A133)</f>
        <v>0</v>
      </c>
      <c r="P133" s="710">
        <f>-SUMIFS('D2 - Capex uso'!CG$6:CG$176,'D2 - Capex uso'!$C$6:$C$176,$A118,'D2 - Capex uso'!$AK$6:$AK$176,$A133)</f>
        <v>0</v>
      </c>
      <c r="Q133" s="710">
        <f>-SUMIFS('D2 - Capex uso'!CH$6:CH$176,'D2 - Capex uso'!$C$6:$C$176,$A118,'D2 - Capex uso'!$AK$6:$AK$176,$A133)</f>
        <v>0</v>
      </c>
      <c r="R133" s="710">
        <f>-SUMIFS('D2 - Capex uso'!CI$6:CI$176,'D2 - Capex uso'!$C$6:$C$176,$A118,'D2 - Capex uso'!$AK$6:$AK$176,$A133)</f>
        <v>0</v>
      </c>
      <c r="S133" s="710">
        <f>-SUMIFS('D2 - Capex uso'!CJ$6:CJ$176,'D2 - Capex uso'!$C$6:$C$176,$A118,'D2 - Capex uso'!$AK$6:$AK$176,$A133)</f>
        <v>0</v>
      </c>
      <c r="T133" s="710">
        <f>-SUMIFS('D2 - Capex uso'!CK$6:CK$176,'D2 - Capex uso'!$C$6:$C$176,$A118,'D2 - Capex uso'!$AK$6:$AK$176,$A133)</f>
        <v>0</v>
      </c>
      <c r="U133" s="710">
        <f>-SUMIFS('D2 - Capex uso'!CL$6:CL$176,'D2 - Capex uso'!$C$6:$C$176,$A118,'D2 - Capex uso'!$AK$6:$AK$176,$A133)</f>
        <v>0</v>
      </c>
      <c r="V133" s="710">
        <f>-SUMIFS('D2 - Capex uso'!CM$6:CM$176,'D2 - Capex uso'!$C$6:$C$176,$A118,'D2 - Capex uso'!$AK$6:$AK$176,$A133)</f>
        <v>0</v>
      </c>
      <c r="W133" s="710">
        <f>-SUMIFS('D2 - Capex uso'!CN$6:CN$176,'D2 - Capex uso'!$C$6:$C$176,$A118,'D2 - Capex uso'!$AK$6:$AK$176,$A133)</f>
        <v>0</v>
      </c>
      <c r="X133" s="710">
        <f>-SUMIFS('D2 - Capex uso'!CO$6:CO$176,'D2 - Capex uso'!$C$6:$C$176,$A118,'D2 - Capex uso'!$AK$6:$AK$176,$A133)</f>
        <v>0</v>
      </c>
      <c r="Y133" s="710">
        <f>-SUMIFS('D2 - Capex uso'!CP$6:CP$176,'D2 - Capex uso'!$C$6:$C$176,$A118,'D2 - Capex uso'!$AK$6:$AK$176,$A133)</f>
        <v>0</v>
      </c>
      <c r="Z133" s="710">
        <f>-SUMIFS('D2 - Capex uso'!CQ$6:CQ$176,'D2 - Capex uso'!$C$6:$C$176,$A118,'D2 - Capex uso'!$AK$6:$AK$176,$A133)</f>
        <v>0</v>
      </c>
      <c r="AA133" s="710">
        <f>-SUMIFS('D2 - Capex uso'!CR$6:CR$176,'D2 - Capex uso'!$C$6:$C$176,$A118,'D2 - Capex uso'!$AK$6:$AK$176,$A133)</f>
        <v>0</v>
      </c>
      <c r="AB133" s="710">
        <f>-SUMIFS('D2 - Capex uso'!CS$6:CS$176,'D2 - Capex uso'!$C$6:$C$176,$A118,'D2 - Capex uso'!$AK$6:$AK$176,$A133)</f>
        <v>0</v>
      </c>
      <c r="AC133" s="710">
        <f>-SUMIFS('D2 - Capex uso'!CT$6:CT$176,'D2 - Capex uso'!$C$6:$C$176,$A118,'D2 - Capex uso'!$AK$6:$AK$176,$A133)</f>
        <v>0</v>
      </c>
      <c r="AD133" s="710">
        <f>-SUMIFS('D2 - Capex uso'!CU$6:CU$176,'D2 - Capex uso'!$C$6:$C$176,$A118,'D2 - Capex uso'!$AK$6:$AK$176,$A133)</f>
        <v>0</v>
      </c>
      <c r="AE133" s="710">
        <f>-SUMIFS('D2 - Capex uso'!CV$6:CV$176,'D2 - Capex uso'!$C$6:$C$176,$A118,'D2 - Capex uso'!$AK$6:$AK$176,$A133)</f>
        <v>0</v>
      </c>
      <c r="AF133" s="594"/>
      <c r="AG133" s="594"/>
      <c r="AH133" s="594"/>
      <c r="AI133" s="594"/>
      <c r="AJ133" s="594"/>
      <c r="AK133" s="594"/>
      <c r="AL133" s="594"/>
      <c r="AM133" s="594"/>
      <c r="AN133" s="594"/>
      <c r="AO133" s="594"/>
      <c r="AP133" s="594"/>
      <c r="AQ133" s="594"/>
      <c r="AR133" s="594"/>
      <c r="AS133" s="594"/>
      <c r="AT133" s="594"/>
      <c r="AU133" s="594"/>
      <c r="AV133" s="594"/>
      <c r="AW133" s="594"/>
      <c r="AX133" s="594"/>
      <c r="AY133" s="594"/>
      <c r="AZ133" s="594"/>
      <c r="BA133" s="594"/>
      <c r="BB133" s="594"/>
      <c r="BC133" s="594"/>
      <c r="BD133" s="594"/>
      <c r="BE133" s="594"/>
      <c r="BF133" s="594"/>
      <c r="BG133" s="594"/>
      <c r="BH133" s="594"/>
      <c r="BI133" s="594"/>
      <c r="BJ133" s="594"/>
      <c r="BK133" s="594"/>
      <c r="BL133" s="57"/>
      <c r="BM133" s="594"/>
      <c r="BN133" s="594"/>
      <c r="BO133" s="594"/>
      <c r="BP133" s="594"/>
      <c r="BQ133" s="594"/>
      <c r="BR133" s="594"/>
      <c r="BS133" s="594"/>
      <c r="BT133" s="594"/>
      <c r="BU133" s="594"/>
      <c r="BV133" s="594"/>
      <c r="BW133" s="594"/>
      <c r="BX133" s="594"/>
      <c r="BY133" s="594"/>
      <c r="BZ133" s="594"/>
      <c r="CA133" s="594"/>
      <c r="CB133" s="594"/>
      <c r="CC133" s="594"/>
      <c r="CD133" s="594"/>
      <c r="CE133" s="594"/>
      <c r="CF133" s="594"/>
      <c r="CG133" s="594"/>
      <c r="CH133" s="594"/>
      <c r="CI133" s="594"/>
      <c r="CJ133" s="594"/>
      <c r="CK133" s="594"/>
      <c r="CL133" s="594"/>
      <c r="CM133" s="594"/>
      <c r="CN133" s="594"/>
      <c r="CO133" s="594"/>
      <c r="CP133" s="594"/>
      <c r="CQ133" s="594"/>
    </row>
    <row r="134" spans="1:95" ht="19.5" hidden="1" customHeight="1" outlineLevel="2">
      <c r="A134" s="709" t="s">
        <v>361</v>
      </c>
      <c r="B134" s="710">
        <f>-SUMIFS('D2 - Capex uso'!BS$6:BS$176,'D2 - Capex uso'!$C$6:$C$176,$A118,'D2 - Capex uso'!$AK$6:$AK$176,$A134)</f>
        <v>0</v>
      </c>
      <c r="C134" s="710">
        <f>-SUMIFS('D2 - Capex uso'!BT$6:BT$176,'D2 - Capex uso'!$C$6:$C$176,$A118,'D2 - Capex uso'!$AK$6:$AK$176,$A134)</f>
        <v>0</v>
      </c>
      <c r="D134" s="710">
        <f>-SUMIFS('D2 - Capex uso'!BU$6:BU$176,'D2 - Capex uso'!$C$6:$C$176,$A118,'D2 - Capex uso'!$AK$6:$AK$176,$A134)</f>
        <v>0</v>
      </c>
      <c r="E134" s="710">
        <f>-SUMIFS('D2 - Capex uso'!BV$6:BV$176,'D2 - Capex uso'!$C$6:$C$176,$A118,'D2 - Capex uso'!$AK$6:$AK$176,$A134)</f>
        <v>0</v>
      </c>
      <c r="F134" s="710">
        <f>-SUMIFS('D2 - Capex uso'!BW$6:BW$176,'D2 - Capex uso'!$C$6:$C$176,$A118,'D2 - Capex uso'!$AK$6:$AK$176,$A134)</f>
        <v>0</v>
      </c>
      <c r="G134" s="710">
        <f>-SUMIFS('D2 - Capex uso'!BX$6:BX$176,'D2 - Capex uso'!$C$6:$C$176,$A118,'D2 - Capex uso'!$AK$6:$AK$176,$A134)</f>
        <v>0</v>
      </c>
      <c r="H134" s="710">
        <f>-SUMIFS('D2 - Capex uso'!BY$6:BY$176,'D2 - Capex uso'!$C$6:$C$176,$A118,'D2 - Capex uso'!$AK$6:$AK$176,$A134)</f>
        <v>0</v>
      </c>
      <c r="I134" s="710">
        <f>-SUMIFS('D2 - Capex uso'!BZ$6:BZ$176,'D2 - Capex uso'!$C$6:$C$176,$A118,'D2 - Capex uso'!$AK$6:$AK$176,$A134)</f>
        <v>0</v>
      </c>
      <c r="J134" s="710">
        <f>-SUMIFS('D2 - Capex uso'!CA$6:CA$176,'D2 - Capex uso'!$C$6:$C$176,$A118,'D2 - Capex uso'!$AK$6:$AK$176,$A134)</f>
        <v>0</v>
      </c>
      <c r="K134" s="710">
        <f>-SUMIFS('D2 - Capex uso'!CB$6:CB$176,'D2 - Capex uso'!$C$6:$C$176,$A118,'D2 - Capex uso'!$AK$6:$AK$176,$A134)</f>
        <v>0</v>
      </c>
      <c r="L134" s="710">
        <f>-SUMIFS('D2 - Capex uso'!CC$6:CC$176,'D2 - Capex uso'!$C$6:$C$176,$A118,'D2 - Capex uso'!$AK$6:$AK$176,$A134)</f>
        <v>0</v>
      </c>
      <c r="M134" s="710">
        <f>-SUMIFS('D2 - Capex uso'!CD$6:CD$176,'D2 - Capex uso'!$C$6:$C$176,$A118,'D2 - Capex uso'!$AK$6:$AK$176,$A134)</f>
        <v>0</v>
      </c>
      <c r="N134" s="710">
        <f>-SUMIFS('D2 - Capex uso'!CE$6:CE$176,'D2 - Capex uso'!$C$6:$C$176,$A118,'D2 - Capex uso'!$AK$6:$AK$176,$A134)</f>
        <v>0</v>
      </c>
      <c r="O134" s="710">
        <f>-SUMIFS('D2 - Capex uso'!CF$6:CF$176,'D2 - Capex uso'!$C$6:$C$176,$A118,'D2 - Capex uso'!$AK$6:$AK$176,$A134)</f>
        <v>0</v>
      </c>
      <c r="P134" s="710">
        <f>-SUMIFS('D2 - Capex uso'!CG$6:CG$176,'D2 - Capex uso'!$C$6:$C$176,$A118,'D2 - Capex uso'!$AK$6:$AK$176,$A134)</f>
        <v>0</v>
      </c>
      <c r="Q134" s="710">
        <f>-SUMIFS('D2 - Capex uso'!CH$6:CH$176,'D2 - Capex uso'!$C$6:$C$176,$A118,'D2 - Capex uso'!$AK$6:$AK$176,$A134)</f>
        <v>0</v>
      </c>
      <c r="R134" s="710">
        <f>-SUMIFS('D2 - Capex uso'!CI$6:CI$176,'D2 - Capex uso'!$C$6:$C$176,$A118,'D2 - Capex uso'!$AK$6:$AK$176,$A134)</f>
        <v>0</v>
      </c>
      <c r="S134" s="710">
        <f>-SUMIFS('D2 - Capex uso'!CJ$6:CJ$176,'D2 - Capex uso'!$C$6:$C$176,$A118,'D2 - Capex uso'!$AK$6:$AK$176,$A134)</f>
        <v>0</v>
      </c>
      <c r="T134" s="710">
        <f>-SUMIFS('D2 - Capex uso'!CK$6:CK$176,'D2 - Capex uso'!$C$6:$C$176,$A118,'D2 - Capex uso'!$AK$6:$AK$176,$A134)</f>
        <v>0</v>
      </c>
      <c r="U134" s="710">
        <f>-SUMIFS('D2 - Capex uso'!CL$6:CL$176,'D2 - Capex uso'!$C$6:$C$176,$A118,'D2 - Capex uso'!$AK$6:$AK$176,$A134)</f>
        <v>0</v>
      </c>
      <c r="V134" s="710">
        <f>-SUMIFS('D2 - Capex uso'!CM$6:CM$176,'D2 - Capex uso'!$C$6:$C$176,$A118,'D2 - Capex uso'!$AK$6:$AK$176,$A134)</f>
        <v>0</v>
      </c>
      <c r="W134" s="710">
        <f>-SUMIFS('D2 - Capex uso'!CN$6:CN$176,'D2 - Capex uso'!$C$6:$C$176,$A118,'D2 - Capex uso'!$AK$6:$AK$176,$A134)</f>
        <v>0</v>
      </c>
      <c r="X134" s="710">
        <f>-SUMIFS('D2 - Capex uso'!CO$6:CO$176,'D2 - Capex uso'!$C$6:$C$176,$A118,'D2 - Capex uso'!$AK$6:$AK$176,$A134)</f>
        <v>0</v>
      </c>
      <c r="Y134" s="710">
        <f>-SUMIFS('D2 - Capex uso'!CP$6:CP$176,'D2 - Capex uso'!$C$6:$C$176,$A118,'D2 - Capex uso'!$AK$6:$AK$176,$A134)</f>
        <v>0</v>
      </c>
      <c r="Z134" s="710">
        <f>-SUMIFS('D2 - Capex uso'!CQ$6:CQ$176,'D2 - Capex uso'!$C$6:$C$176,$A118,'D2 - Capex uso'!$AK$6:$AK$176,$A134)</f>
        <v>0</v>
      </c>
      <c r="AA134" s="710">
        <f>-SUMIFS('D2 - Capex uso'!CR$6:CR$176,'D2 - Capex uso'!$C$6:$C$176,$A118,'D2 - Capex uso'!$AK$6:$AK$176,$A134)</f>
        <v>0</v>
      </c>
      <c r="AB134" s="710">
        <f>-SUMIFS('D2 - Capex uso'!CS$6:CS$176,'D2 - Capex uso'!$C$6:$C$176,$A118,'D2 - Capex uso'!$AK$6:$AK$176,$A134)</f>
        <v>0</v>
      </c>
      <c r="AC134" s="710">
        <f>-SUMIFS('D2 - Capex uso'!CT$6:CT$176,'D2 - Capex uso'!$C$6:$C$176,$A118,'D2 - Capex uso'!$AK$6:$AK$176,$A134)</f>
        <v>0</v>
      </c>
      <c r="AD134" s="710">
        <f>-SUMIFS('D2 - Capex uso'!CU$6:CU$176,'D2 - Capex uso'!$C$6:$C$176,$A118,'D2 - Capex uso'!$AK$6:$AK$176,$A134)</f>
        <v>0</v>
      </c>
      <c r="AE134" s="710">
        <f>-SUMIFS('D2 - Capex uso'!CV$6:CV$176,'D2 - Capex uso'!$C$6:$C$176,$A118,'D2 - Capex uso'!$AK$6:$AK$176,$A134)</f>
        <v>0</v>
      </c>
      <c r="AF134" s="594"/>
      <c r="AG134" s="594"/>
      <c r="AH134" s="594"/>
      <c r="AI134" s="594"/>
      <c r="AJ134" s="594"/>
      <c r="AK134" s="594"/>
      <c r="AL134" s="594"/>
      <c r="AM134" s="594"/>
      <c r="AN134" s="594"/>
      <c r="AO134" s="594"/>
      <c r="AP134" s="594"/>
      <c r="AQ134" s="594"/>
      <c r="AR134" s="594"/>
      <c r="AS134" s="594"/>
      <c r="AT134" s="594"/>
      <c r="AU134" s="594"/>
      <c r="AV134" s="594"/>
      <c r="AW134" s="594"/>
      <c r="AX134" s="594"/>
      <c r="AY134" s="594"/>
      <c r="AZ134" s="594"/>
      <c r="BA134" s="594"/>
      <c r="BB134" s="594"/>
      <c r="BC134" s="594"/>
      <c r="BD134" s="594"/>
      <c r="BE134" s="594"/>
      <c r="BF134" s="594"/>
      <c r="BG134" s="594"/>
      <c r="BH134" s="594"/>
      <c r="BI134" s="594"/>
      <c r="BJ134" s="594"/>
      <c r="BK134" s="594"/>
      <c r="BL134" s="57"/>
      <c r="BM134" s="594"/>
      <c r="BN134" s="594"/>
      <c r="BO134" s="594"/>
      <c r="BP134" s="594"/>
      <c r="BQ134" s="594"/>
      <c r="BR134" s="594"/>
      <c r="BS134" s="594"/>
      <c r="BT134" s="594"/>
      <c r="BU134" s="594"/>
      <c r="BV134" s="594"/>
      <c r="BW134" s="594"/>
      <c r="BX134" s="594"/>
      <c r="BY134" s="594"/>
      <c r="BZ134" s="594"/>
      <c r="CA134" s="594"/>
      <c r="CB134" s="594"/>
      <c r="CC134" s="594"/>
      <c r="CD134" s="594"/>
      <c r="CE134" s="594"/>
      <c r="CF134" s="594"/>
      <c r="CG134" s="594"/>
      <c r="CH134" s="594"/>
      <c r="CI134" s="594"/>
      <c r="CJ134" s="594"/>
      <c r="CK134" s="594"/>
      <c r="CL134" s="594"/>
      <c r="CM134" s="594"/>
      <c r="CN134" s="594"/>
      <c r="CO134" s="594"/>
      <c r="CP134" s="594"/>
      <c r="CQ134" s="594"/>
    </row>
    <row r="135" spans="1:95" ht="19.5" hidden="1" customHeight="1" outlineLevel="2">
      <c r="A135" s="709" t="s">
        <v>359</v>
      </c>
      <c r="B135" s="710">
        <f>-SUMIFS('D2 - Capex uso'!BS$6:BS$176,'D2 - Capex uso'!$C$6:$C$176,$A118,'D2 - Capex uso'!$AK$6:$AK$176,$A135)</f>
        <v>0</v>
      </c>
      <c r="C135" s="710">
        <f>-SUMIFS('D2 - Capex uso'!BT$6:BT$176,'D2 - Capex uso'!$C$6:$C$176,$A118,'D2 - Capex uso'!$AK$6:$AK$176,$A135)</f>
        <v>0</v>
      </c>
      <c r="D135" s="710">
        <f>-SUMIFS('D2 - Capex uso'!BU$6:BU$176,'D2 - Capex uso'!$C$6:$C$176,$A118,'D2 - Capex uso'!$AK$6:$AK$176,$A135)</f>
        <v>0</v>
      </c>
      <c r="E135" s="710">
        <f>-SUMIFS('D2 - Capex uso'!BV$6:BV$176,'D2 - Capex uso'!$C$6:$C$176,$A118,'D2 - Capex uso'!$AK$6:$AK$176,$A135)</f>
        <v>0</v>
      </c>
      <c r="F135" s="710">
        <f>-SUMIFS('D2 - Capex uso'!BW$6:BW$176,'D2 - Capex uso'!$C$6:$C$176,$A118,'D2 - Capex uso'!$AK$6:$AK$176,$A135)</f>
        <v>0</v>
      </c>
      <c r="G135" s="710">
        <f>-SUMIFS('D2 - Capex uso'!BX$6:BX$176,'D2 - Capex uso'!$C$6:$C$176,$A118,'D2 - Capex uso'!$AK$6:$AK$176,$A135)</f>
        <v>0</v>
      </c>
      <c r="H135" s="710">
        <f>-SUMIFS('D2 - Capex uso'!BY$6:BY$176,'D2 - Capex uso'!$C$6:$C$176,$A118,'D2 - Capex uso'!$AK$6:$AK$176,$A135)</f>
        <v>0</v>
      </c>
      <c r="I135" s="710">
        <f>-SUMIFS('D2 - Capex uso'!BZ$6:BZ$176,'D2 - Capex uso'!$C$6:$C$176,$A118,'D2 - Capex uso'!$AK$6:$AK$176,$A135)</f>
        <v>0</v>
      </c>
      <c r="J135" s="710">
        <f>-SUMIFS('D2 - Capex uso'!CA$6:CA$176,'D2 - Capex uso'!$C$6:$C$176,$A118,'D2 - Capex uso'!$AK$6:$AK$176,$A135)</f>
        <v>0</v>
      </c>
      <c r="K135" s="710">
        <f>-SUMIFS('D2 - Capex uso'!CB$6:CB$176,'D2 - Capex uso'!$C$6:$C$176,$A118,'D2 - Capex uso'!$AK$6:$AK$176,$A135)</f>
        <v>0</v>
      </c>
      <c r="L135" s="710">
        <f>-SUMIFS('D2 - Capex uso'!CC$6:CC$176,'D2 - Capex uso'!$C$6:$C$176,$A118,'D2 - Capex uso'!$AK$6:$AK$176,$A135)</f>
        <v>0</v>
      </c>
      <c r="M135" s="710">
        <f>-SUMIFS('D2 - Capex uso'!CD$6:CD$176,'D2 - Capex uso'!$C$6:$C$176,$A118,'D2 - Capex uso'!$AK$6:$AK$176,$A135)</f>
        <v>0</v>
      </c>
      <c r="N135" s="710">
        <f>-SUMIFS('D2 - Capex uso'!CE$6:CE$176,'D2 - Capex uso'!$C$6:$C$176,$A118,'D2 - Capex uso'!$AK$6:$AK$176,$A135)</f>
        <v>0</v>
      </c>
      <c r="O135" s="710">
        <f>-SUMIFS('D2 - Capex uso'!CF$6:CF$176,'D2 - Capex uso'!$C$6:$C$176,$A118,'D2 - Capex uso'!$AK$6:$AK$176,$A135)</f>
        <v>0</v>
      </c>
      <c r="P135" s="710">
        <f>-SUMIFS('D2 - Capex uso'!CG$6:CG$176,'D2 - Capex uso'!$C$6:$C$176,$A118,'D2 - Capex uso'!$AK$6:$AK$176,$A135)</f>
        <v>0</v>
      </c>
      <c r="Q135" s="710">
        <f>-SUMIFS('D2 - Capex uso'!CH$6:CH$176,'D2 - Capex uso'!$C$6:$C$176,$A118,'D2 - Capex uso'!$AK$6:$AK$176,$A135)</f>
        <v>0</v>
      </c>
      <c r="R135" s="710">
        <f>-SUMIFS('D2 - Capex uso'!CI$6:CI$176,'D2 - Capex uso'!$C$6:$C$176,$A118,'D2 - Capex uso'!$AK$6:$AK$176,$A135)</f>
        <v>0</v>
      </c>
      <c r="S135" s="710">
        <f>-SUMIFS('D2 - Capex uso'!CJ$6:CJ$176,'D2 - Capex uso'!$C$6:$C$176,$A118,'D2 - Capex uso'!$AK$6:$AK$176,$A135)</f>
        <v>0</v>
      </c>
      <c r="T135" s="710">
        <f>-SUMIFS('D2 - Capex uso'!CK$6:CK$176,'D2 - Capex uso'!$C$6:$C$176,$A118,'D2 - Capex uso'!$AK$6:$AK$176,$A135)</f>
        <v>0</v>
      </c>
      <c r="U135" s="710">
        <f>-SUMIFS('D2 - Capex uso'!CL$6:CL$176,'D2 - Capex uso'!$C$6:$C$176,$A118,'D2 - Capex uso'!$AK$6:$AK$176,$A135)</f>
        <v>0</v>
      </c>
      <c r="V135" s="710">
        <f>-SUMIFS('D2 - Capex uso'!CM$6:CM$176,'D2 - Capex uso'!$C$6:$C$176,$A118,'D2 - Capex uso'!$AK$6:$AK$176,$A135)</f>
        <v>0</v>
      </c>
      <c r="W135" s="710">
        <f>-SUMIFS('D2 - Capex uso'!CN$6:CN$176,'D2 - Capex uso'!$C$6:$C$176,$A118,'D2 - Capex uso'!$AK$6:$AK$176,$A135)</f>
        <v>0</v>
      </c>
      <c r="X135" s="710">
        <f>-SUMIFS('D2 - Capex uso'!CO$6:CO$176,'D2 - Capex uso'!$C$6:$C$176,$A118,'D2 - Capex uso'!$AK$6:$AK$176,$A135)</f>
        <v>0</v>
      </c>
      <c r="Y135" s="710">
        <f>-SUMIFS('D2 - Capex uso'!CP$6:CP$176,'D2 - Capex uso'!$C$6:$C$176,$A118,'D2 - Capex uso'!$AK$6:$AK$176,$A135)</f>
        <v>0</v>
      </c>
      <c r="Z135" s="710">
        <f>-SUMIFS('D2 - Capex uso'!CQ$6:CQ$176,'D2 - Capex uso'!$C$6:$C$176,$A118,'D2 - Capex uso'!$AK$6:$AK$176,$A135)</f>
        <v>0</v>
      </c>
      <c r="AA135" s="710">
        <f>-SUMIFS('D2 - Capex uso'!CR$6:CR$176,'D2 - Capex uso'!$C$6:$C$176,$A118,'D2 - Capex uso'!$AK$6:$AK$176,$A135)</f>
        <v>0</v>
      </c>
      <c r="AB135" s="710">
        <f>-SUMIFS('D2 - Capex uso'!CS$6:CS$176,'D2 - Capex uso'!$C$6:$C$176,$A118,'D2 - Capex uso'!$AK$6:$AK$176,$A135)</f>
        <v>0</v>
      </c>
      <c r="AC135" s="710">
        <f>-SUMIFS('D2 - Capex uso'!CT$6:CT$176,'D2 - Capex uso'!$C$6:$C$176,$A118,'D2 - Capex uso'!$AK$6:$AK$176,$A135)</f>
        <v>0</v>
      </c>
      <c r="AD135" s="710">
        <f>-SUMIFS('D2 - Capex uso'!CU$6:CU$176,'D2 - Capex uso'!$C$6:$C$176,$A118,'D2 - Capex uso'!$AK$6:$AK$176,$A135)</f>
        <v>0</v>
      </c>
      <c r="AE135" s="710">
        <f>-SUMIFS('D2 - Capex uso'!CV$6:CV$176,'D2 - Capex uso'!$C$6:$C$176,$A118,'D2 - Capex uso'!$AK$6:$AK$176,$A135)</f>
        <v>0</v>
      </c>
      <c r="AF135" s="594"/>
      <c r="AG135" s="594"/>
      <c r="AH135" s="594"/>
      <c r="AI135" s="594"/>
      <c r="AJ135" s="594"/>
      <c r="AK135" s="594"/>
      <c r="AL135" s="594"/>
      <c r="AM135" s="594"/>
      <c r="AN135" s="594"/>
      <c r="AO135" s="594"/>
      <c r="AP135" s="594"/>
      <c r="AQ135" s="594"/>
      <c r="AR135" s="594"/>
      <c r="AS135" s="594"/>
      <c r="AT135" s="594"/>
      <c r="AU135" s="594"/>
      <c r="AV135" s="594"/>
      <c r="AW135" s="594"/>
      <c r="AX135" s="594"/>
      <c r="AY135" s="594"/>
      <c r="AZ135" s="594"/>
      <c r="BA135" s="594"/>
      <c r="BB135" s="594"/>
      <c r="BC135" s="594"/>
      <c r="BD135" s="594"/>
      <c r="BE135" s="594"/>
      <c r="BF135" s="594"/>
      <c r="BG135" s="594"/>
      <c r="BH135" s="594"/>
      <c r="BI135" s="594"/>
      <c r="BJ135" s="594"/>
      <c r="BK135" s="594"/>
      <c r="BL135" s="57"/>
      <c r="BM135" s="594"/>
      <c r="BN135" s="594"/>
      <c r="BO135" s="594"/>
      <c r="BP135" s="594"/>
      <c r="BQ135" s="594"/>
      <c r="BR135" s="594"/>
      <c r="BS135" s="594"/>
      <c r="BT135" s="594"/>
      <c r="BU135" s="594"/>
      <c r="BV135" s="594"/>
      <c r="BW135" s="594"/>
      <c r="BX135" s="594"/>
      <c r="BY135" s="594"/>
      <c r="BZ135" s="594"/>
      <c r="CA135" s="594"/>
      <c r="CB135" s="594"/>
      <c r="CC135" s="594"/>
      <c r="CD135" s="594"/>
      <c r="CE135" s="594"/>
      <c r="CF135" s="594"/>
      <c r="CG135" s="594"/>
      <c r="CH135" s="594"/>
      <c r="CI135" s="594"/>
      <c r="CJ135" s="594"/>
      <c r="CK135" s="594"/>
      <c r="CL135" s="594"/>
      <c r="CM135" s="594"/>
      <c r="CN135" s="594"/>
      <c r="CO135" s="594"/>
      <c r="CP135" s="594"/>
      <c r="CQ135" s="594"/>
    </row>
    <row r="136" spans="1:95" ht="19.5" hidden="1" customHeight="1" outlineLevel="2">
      <c r="A136" s="709" t="s">
        <v>171</v>
      </c>
      <c r="B136" s="710">
        <f>-SUMIFS('D2 - Capex uso'!BS$6:BS$176,'D2 - Capex uso'!$C$6:$C$176,$A118,'D2 - Capex uso'!$AK$6:$AK$176,$A136)</f>
        <v>0</v>
      </c>
      <c r="C136" s="710">
        <f>-SUMIFS('D2 - Capex uso'!BT$6:BT$176,'D2 - Capex uso'!$C$6:$C$176,$A118,'D2 - Capex uso'!$AK$6:$AK$176,$A136)</f>
        <v>0</v>
      </c>
      <c r="D136" s="710">
        <f>-SUMIFS('D2 - Capex uso'!BU$6:BU$176,'D2 - Capex uso'!$C$6:$C$176,$A118,'D2 - Capex uso'!$AK$6:$AK$176,$A136)</f>
        <v>0</v>
      </c>
      <c r="E136" s="710">
        <f>-SUMIFS('D2 - Capex uso'!BV$6:BV$176,'D2 - Capex uso'!$C$6:$C$176,$A118,'D2 - Capex uso'!$AK$6:$AK$176,$A136)</f>
        <v>0</v>
      </c>
      <c r="F136" s="710">
        <f>-SUMIFS('D2 - Capex uso'!BW$6:BW$176,'D2 - Capex uso'!$C$6:$C$176,$A118,'D2 - Capex uso'!$AK$6:$AK$176,$A136)</f>
        <v>0</v>
      </c>
      <c r="G136" s="710">
        <f>-SUMIFS('D2 - Capex uso'!BX$6:BX$176,'D2 - Capex uso'!$C$6:$C$176,$A118,'D2 - Capex uso'!$AK$6:$AK$176,$A136)</f>
        <v>0</v>
      </c>
      <c r="H136" s="710">
        <f>-SUMIFS('D2 - Capex uso'!BY$6:BY$176,'D2 - Capex uso'!$C$6:$C$176,$A118,'D2 - Capex uso'!$AK$6:$AK$176,$A136)</f>
        <v>0</v>
      </c>
      <c r="I136" s="710">
        <f>-SUMIFS('D2 - Capex uso'!BZ$6:BZ$176,'D2 - Capex uso'!$C$6:$C$176,$A118,'D2 - Capex uso'!$AK$6:$AK$176,$A136)</f>
        <v>0</v>
      </c>
      <c r="J136" s="710">
        <f>-SUMIFS('D2 - Capex uso'!CA$6:CA$176,'D2 - Capex uso'!$C$6:$C$176,$A118,'D2 - Capex uso'!$AK$6:$AK$176,$A136)</f>
        <v>0</v>
      </c>
      <c r="K136" s="710">
        <f>-SUMIFS('D2 - Capex uso'!CB$6:CB$176,'D2 - Capex uso'!$C$6:$C$176,$A118,'D2 - Capex uso'!$AK$6:$AK$176,$A136)</f>
        <v>0</v>
      </c>
      <c r="L136" s="710">
        <f>-SUMIFS('D2 - Capex uso'!CC$6:CC$176,'D2 - Capex uso'!$C$6:$C$176,$A118,'D2 - Capex uso'!$AK$6:$AK$176,$A136)</f>
        <v>0</v>
      </c>
      <c r="M136" s="710">
        <f>-SUMIFS('D2 - Capex uso'!CD$6:CD$176,'D2 - Capex uso'!$C$6:$C$176,$A118,'D2 - Capex uso'!$AK$6:$AK$176,$A136)</f>
        <v>0</v>
      </c>
      <c r="N136" s="710">
        <f>-SUMIFS('D2 - Capex uso'!CE$6:CE$176,'D2 - Capex uso'!$C$6:$C$176,$A118,'D2 - Capex uso'!$AK$6:$AK$176,$A136)</f>
        <v>0</v>
      </c>
      <c r="O136" s="710">
        <f>-SUMIFS('D2 - Capex uso'!CF$6:CF$176,'D2 - Capex uso'!$C$6:$C$176,$A118,'D2 - Capex uso'!$AK$6:$AK$176,$A136)</f>
        <v>0</v>
      </c>
      <c r="P136" s="710">
        <f>-SUMIFS('D2 - Capex uso'!CG$6:CG$176,'D2 - Capex uso'!$C$6:$C$176,$A118,'D2 - Capex uso'!$AK$6:$AK$176,$A136)</f>
        <v>0</v>
      </c>
      <c r="Q136" s="710">
        <f>-SUMIFS('D2 - Capex uso'!CH$6:CH$176,'D2 - Capex uso'!$C$6:$C$176,$A118,'D2 - Capex uso'!$AK$6:$AK$176,$A136)</f>
        <v>0</v>
      </c>
      <c r="R136" s="710">
        <f>-SUMIFS('D2 - Capex uso'!CI$6:CI$176,'D2 - Capex uso'!$C$6:$C$176,$A118,'D2 - Capex uso'!$AK$6:$AK$176,$A136)</f>
        <v>0</v>
      </c>
      <c r="S136" s="710">
        <f>-SUMIFS('D2 - Capex uso'!CJ$6:CJ$176,'D2 - Capex uso'!$C$6:$C$176,$A118,'D2 - Capex uso'!$AK$6:$AK$176,$A136)</f>
        <v>0</v>
      </c>
      <c r="T136" s="710">
        <f>-SUMIFS('D2 - Capex uso'!CK$6:CK$176,'D2 - Capex uso'!$C$6:$C$176,$A118,'D2 - Capex uso'!$AK$6:$AK$176,$A136)</f>
        <v>0</v>
      </c>
      <c r="U136" s="710">
        <f>-SUMIFS('D2 - Capex uso'!CL$6:CL$176,'D2 - Capex uso'!$C$6:$C$176,$A118,'D2 - Capex uso'!$AK$6:$AK$176,$A136)</f>
        <v>0</v>
      </c>
      <c r="V136" s="710">
        <f>-SUMIFS('D2 - Capex uso'!CM$6:CM$176,'D2 - Capex uso'!$C$6:$C$176,$A118,'D2 - Capex uso'!$AK$6:$AK$176,$A136)</f>
        <v>0</v>
      </c>
      <c r="W136" s="710">
        <f>-SUMIFS('D2 - Capex uso'!CN$6:CN$176,'D2 - Capex uso'!$C$6:$C$176,$A118,'D2 - Capex uso'!$AK$6:$AK$176,$A136)</f>
        <v>0</v>
      </c>
      <c r="X136" s="710">
        <f>-SUMIFS('D2 - Capex uso'!CO$6:CO$176,'D2 - Capex uso'!$C$6:$C$176,$A118,'D2 - Capex uso'!$AK$6:$AK$176,$A136)</f>
        <v>0</v>
      </c>
      <c r="Y136" s="710">
        <f>-SUMIFS('D2 - Capex uso'!CP$6:CP$176,'D2 - Capex uso'!$C$6:$C$176,$A118,'D2 - Capex uso'!$AK$6:$AK$176,$A136)</f>
        <v>0</v>
      </c>
      <c r="Z136" s="710">
        <f>-SUMIFS('D2 - Capex uso'!CQ$6:CQ$176,'D2 - Capex uso'!$C$6:$C$176,$A118,'D2 - Capex uso'!$AK$6:$AK$176,$A136)</f>
        <v>0</v>
      </c>
      <c r="AA136" s="710">
        <f>-SUMIFS('D2 - Capex uso'!CR$6:CR$176,'D2 - Capex uso'!$C$6:$C$176,$A118,'D2 - Capex uso'!$AK$6:$AK$176,$A136)</f>
        <v>0</v>
      </c>
      <c r="AB136" s="710">
        <f>-SUMIFS('D2 - Capex uso'!CS$6:CS$176,'D2 - Capex uso'!$C$6:$C$176,$A118,'D2 - Capex uso'!$AK$6:$AK$176,$A136)</f>
        <v>0</v>
      </c>
      <c r="AC136" s="710">
        <f>-SUMIFS('D2 - Capex uso'!CT$6:CT$176,'D2 - Capex uso'!$C$6:$C$176,$A118,'D2 - Capex uso'!$AK$6:$AK$176,$A136)</f>
        <v>0</v>
      </c>
      <c r="AD136" s="710">
        <f>-SUMIFS('D2 - Capex uso'!CU$6:CU$176,'D2 - Capex uso'!$C$6:$C$176,$A118,'D2 - Capex uso'!$AK$6:$AK$176,$A136)</f>
        <v>0</v>
      </c>
      <c r="AE136" s="710">
        <f>-SUMIFS('D2 - Capex uso'!CV$6:CV$176,'D2 - Capex uso'!$C$6:$C$176,$A118,'D2 - Capex uso'!$AK$6:$AK$176,$A136)</f>
        <v>0</v>
      </c>
      <c r="AF136" s="594"/>
      <c r="AG136" s="594"/>
      <c r="AH136" s="594"/>
      <c r="AI136" s="594"/>
      <c r="AJ136" s="594"/>
      <c r="AK136" s="594"/>
      <c r="AL136" s="594"/>
      <c r="AM136" s="594"/>
      <c r="AN136" s="594"/>
      <c r="AO136" s="594"/>
      <c r="AP136" s="594"/>
      <c r="AQ136" s="594"/>
      <c r="AR136" s="594"/>
      <c r="AS136" s="594"/>
      <c r="AT136" s="594"/>
      <c r="AU136" s="594"/>
      <c r="AV136" s="594"/>
      <c r="AW136" s="594"/>
      <c r="AX136" s="594"/>
      <c r="AY136" s="594"/>
      <c r="AZ136" s="594"/>
      <c r="BA136" s="594"/>
      <c r="BB136" s="594"/>
      <c r="BC136" s="594"/>
      <c r="BD136" s="594"/>
      <c r="BE136" s="594"/>
      <c r="BF136" s="594"/>
      <c r="BG136" s="594"/>
      <c r="BH136" s="594"/>
      <c r="BI136" s="594"/>
      <c r="BJ136" s="594"/>
      <c r="BK136" s="594"/>
      <c r="BL136" s="57"/>
      <c r="BM136" s="594"/>
      <c r="BN136" s="594"/>
      <c r="BO136" s="594"/>
      <c r="BP136" s="594"/>
      <c r="BQ136" s="594"/>
      <c r="BR136" s="594"/>
      <c r="BS136" s="594"/>
      <c r="BT136" s="594"/>
      <c r="BU136" s="594"/>
      <c r="BV136" s="594"/>
      <c r="BW136" s="594"/>
      <c r="BX136" s="594"/>
      <c r="BY136" s="594"/>
      <c r="BZ136" s="594"/>
      <c r="CA136" s="594"/>
      <c r="CB136" s="594"/>
      <c r="CC136" s="594"/>
      <c r="CD136" s="594"/>
      <c r="CE136" s="594"/>
      <c r="CF136" s="594"/>
      <c r="CG136" s="594"/>
      <c r="CH136" s="594"/>
      <c r="CI136" s="594"/>
      <c r="CJ136" s="594"/>
      <c r="CK136" s="594"/>
      <c r="CL136" s="594"/>
      <c r="CM136" s="594"/>
      <c r="CN136" s="594"/>
      <c r="CO136" s="594"/>
      <c r="CP136" s="594"/>
      <c r="CQ136" s="594"/>
    </row>
    <row r="137" spans="1:95" ht="27" customHeight="1" collapsed="1">
      <c r="A137" s="703" t="str">
        <f>IF(ISBLANK('A1 - Serviços e demanda'!A28),,'A1 - Serviços e demanda'!A27)</f>
        <v>Silveira - Comércio + Locação + Atividades</v>
      </c>
      <c r="B137" s="704">
        <f t="shared" ref="B137:AE137" si="42">IF($A137=0,0,SUM(B146:B147))</f>
        <v>0</v>
      </c>
      <c r="C137" s="704">
        <f t="shared" si="42"/>
        <v>0</v>
      </c>
      <c r="D137" s="704">
        <f t="shared" si="42"/>
        <v>0</v>
      </c>
      <c r="E137" s="704">
        <f t="shared" si="42"/>
        <v>0</v>
      </c>
      <c r="F137" s="704">
        <f t="shared" si="42"/>
        <v>0</v>
      </c>
      <c r="G137" s="704">
        <f t="shared" si="42"/>
        <v>0</v>
      </c>
      <c r="H137" s="704">
        <f t="shared" si="42"/>
        <v>0</v>
      </c>
      <c r="I137" s="704">
        <f t="shared" si="42"/>
        <v>0</v>
      </c>
      <c r="J137" s="704">
        <f t="shared" si="42"/>
        <v>0</v>
      </c>
      <c r="K137" s="704">
        <f t="shared" si="42"/>
        <v>0</v>
      </c>
      <c r="L137" s="704">
        <f t="shared" si="42"/>
        <v>0</v>
      </c>
      <c r="M137" s="704">
        <f t="shared" si="42"/>
        <v>0</v>
      </c>
      <c r="N137" s="704">
        <f t="shared" si="42"/>
        <v>0</v>
      </c>
      <c r="O137" s="704">
        <f t="shared" si="42"/>
        <v>0</v>
      </c>
      <c r="P137" s="704">
        <f t="shared" si="42"/>
        <v>0</v>
      </c>
      <c r="Q137" s="704">
        <f t="shared" si="42"/>
        <v>0</v>
      </c>
      <c r="R137" s="704">
        <f t="shared" si="42"/>
        <v>0</v>
      </c>
      <c r="S137" s="704">
        <f t="shared" si="42"/>
        <v>0</v>
      </c>
      <c r="T137" s="704">
        <f t="shared" si="42"/>
        <v>0</v>
      </c>
      <c r="U137" s="704">
        <f t="shared" si="42"/>
        <v>0</v>
      </c>
      <c r="V137" s="704">
        <f t="shared" si="42"/>
        <v>0</v>
      </c>
      <c r="W137" s="704">
        <f t="shared" si="42"/>
        <v>0</v>
      </c>
      <c r="X137" s="704">
        <f t="shared" si="42"/>
        <v>0</v>
      </c>
      <c r="Y137" s="704">
        <f t="shared" si="42"/>
        <v>0</v>
      </c>
      <c r="Z137" s="704">
        <f t="shared" si="42"/>
        <v>0</v>
      </c>
      <c r="AA137" s="704">
        <f t="shared" si="42"/>
        <v>0</v>
      </c>
      <c r="AB137" s="704">
        <f t="shared" si="42"/>
        <v>0</v>
      </c>
      <c r="AC137" s="704">
        <f t="shared" si="42"/>
        <v>0</v>
      </c>
      <c r="AD137" s="704">
        <f t="shared" si="42"/>
        <v>0</v>
      </c>
      <c r="AE137" s="704">
        <f t="shared" si="42"/>
        <v>0</v>
      </c>
      <c r="AF137" s="594"/>
      <c r="AG137" s="486" t="str">
        <f>A137</f>
        <v>Silveira - Comércio + Locação + Atividades</v>
      </c>
      <c r="AH137" s="705">
        <f t="shared" ref="AH137:BK137" si="43">IFERROR(-B140/B138,0)</f>
        <v>0</v>
      </c>
      <c r="AI137" s="705">
        <f t="shared" si="43"/>
        <v>0</v>
      </c>
      <c r="AJ137" s="705">
        <f t="shared" si="43"/>
        <v>0</v>
      </c>
      <c r="AK137" s="705">
        <f t="shared" si="43"/>
        <v>0</v>
      </c>
      <c r="AL137" s="705">
        <f t="shared" si="43"/>
        <v>0</v>
      </c>
      <c r="AM137" s="705">
        <f t="shared" si="43"/>
        <v>0</v>
      </c>
      <c r="AN137" s="705">
        <f t="shared" si="43"/>
        <v>0</v>
      </c>
      <c r="AO137" s="705">
        <f t="shared" si="43"/>
        <v>0</v>
      </c>
      <c r="AP137" s="705">
        <f t="shared" si="43"/>
        <v>0</v>
      </c>
      <c r="AQ137" s="705">
        <f t="shared" si="43"/>
        <v>0</v>
      </c>
      <c r="AR137" s="705">
        <f t="shared" si="43"/>
        <v>0</v>
      </c>
      <c r="AS137" s="705">
        <f t="shared" si="43"/>
        <v>0</v>
      </c>
      <c r="AT137" s="705">
        <f t="shared" si="43"/>
        <v>0</v>
      </c>
      <c r="AU137" s="705">
        <f t="shared" si="43"/>
        <v>0</v>
      </c>
      <c r="AV137" s="705">
        <f t="shared" si="43"/>
        <v>0</v>
      </c>
      <c r="AW137" s="705">
        <f t="shared" si="43"/>
        <v>0</v>
      </c>
      <c r="AX137" s="705">
        <f t="shared" si="43"/>
        <v>0</v>
      </c>
      <c r="AY137" s="705">
        <f t="shared" si="43"/>
        <v>0</v>
      </c>
      <c r="AZ137" s="705">
        <f t="shared" si="43"/>
        <v>0</v>
      </c>
      <c r="BA137" s="705">
        <f t="shared" si="43"/>
        <v>0</v>
      </c>
      <c r="BB137" s="705">
        <f t="shared" si="43"/>
        <v>0</v>
      </c>
      <c r="BC137" s="705">
        <f t="shared" si="43"/>
        <v>0</v>
      </c>
      <c r="BD137" s="705">
        <f t="shared" si="43"/>
        <v>0</v>
      </c>
      <c r="BE137" s="705">
        <f t="shared" si="43"/>
        <v>0</v>
      </c>
      <c r="BF137" s="705">
        <f t="shared" si="43"/>
        <v>0</v>
      </c>
      <c r="BG137" s="705">
        <f t="shared" si="43"/>
        <v>0</v>
      </c>
      <c r="BH137" s="705">
        <f t="shared" si="43"/>
        <v>0</v>
      </c>
      <c r="BI137" s="705">
        <f t="shared" si="43"/>
        <v>0</v>
      </c>
      <c r="BJ137" s="705">
        <f t="shared" si="43"/>
        <v>0</v>
      </c>
      <c r="BK137" s="705">
        <f t="shared" si="43"/>
        <v>0</v>
      </c>
      <c r="BL137" s="57"/>
      <c r="BM137" s="486" t="str">
        <f>AG137</f>
        <v>Silveira - Comércio + Locação + Atividades</v>
      </c>
      <c r="BN137" s="705">
        <f t="shared" ref="BN137:CQ137" si="44">IFERROR(B146/B138,0)</f>
        <v>0</v>
      </c>
      <c r="BO137" s="705">
        <f t="shared" si="44"/>
        <v>0</v>
      </c>
      <c r="BP137" s="705">
        <f t="shared" si="44"/>
        <v>0</v>
      </c>
      <c r="BQ137" s="705">
        <f t="shared" si="44"/>
        <v>0</v>
      </c>
      <c r="BR137" s="705">
        <f t="shared" si="44"/>
        <v>0</v>
      </c>
      <c r="BS137" s="705">
        <f t="shared" si="44"/>
        <v>0</v>
      </c>
      <c r="BT137" s="705">
        <f t="shared" si="44"/>
        <v>0</v>
      </c>
      <c r="BU137" s="705">
        <f t="shared" si="44"/>
        <v>0</v>
      </c>
      <c r="BV137" s="705">
        <f t="shared" si="44"/>
        <v>0</v>
      </c>
      <c r="BW137" s="705">
        <f t="shared" si="44"/>
        <v>0</v>
      </c>
      <c r="BX137" s="705">
        <f t="shared" si="44"/>
        <v>0</v>
      </c>
      <c r="BY137" s="705">
        <f t="shared" si="44"/>
        <v>0</v>
      </c>
      <c r="BZ137" s="705">
        <f t="shared" si="44"/>
        <v>0</v>
      </c>
      <c r="CA137" s="705">
        <f t="shared" si="44"/>
        <v>0</v>
      </c>
      <c r="CB137" s="705">
        <f t="shared" si="44"/>
        <v>0</v>
      </c>
      <c r="CC137" s="705">
        <f t="shared" si="44"/>
        <v>0</v>
      </c>
      <c r="CD137" s="705">
        <f t="shared" si="44"/>
        <v>0</v>
      </c>
      <c r="CE137" s="705">
        <f t="shared" si="44"/>
        <v>0</v>
      </c>
      <c r="CF137" s="705">
        <f t="shared" si="44"/>
        <v>0</v>
      </c>
      <c r="CG137" s="705">
        <f t="shared" si="44"/>
        <v>0</v>
      </c>
      <c r="CH137" s="705">
        <f t="shared" si="44"/>
        <v>0</v>
      </c>
      <c r="CI137" s="705">
        <f t="shared" si="44"/>
        <v>0</v>
      </c>
      <c r="CJ137" s="705">
        <f t="shared" si="44"/>
        <v>0</v>
      </c>
      <c r="CK137" s="705">
        <f t="shared" si="44"/>
        <v>0</v>
      </c>
      <c r="CL137" s="705">
        <f t="shared" si="44"/>
        <v>0</v>
      </c>
      <c r="CM137" s="705">
        <f t="shared" si="44"/>
        <v>0</v>
      </c>
      <c r="CN137" s="705">
        <f t="shared" si="44"/>
        <v>0</v>
      </c>
      <c r="CO137" s="705">
        <f t="shared" si="44"/>
        <v>0</v>
      </c>
      <c r="CP137" s="705">
        <f t="shared" si="44"/>
        <v>0</v>
      </c>
      <c r="CQ137" s="705">
        <f t="shared" si="44"/>
        <v>0</v>
      </c>
    </row>
    <row r="138" spans="1:95" ht="33.75" hidden="1" customHeight="1" outlineLevel="1">
      <c r="A138" s="706" t="s">
        <v>680</v>
      </c>
      <c r="B138" s="707">
        <f>IFERROR(VLOOKUP($A137,ReceitaBruta,COLUMN('A4 - Previsão de Receita Bruta'!C140)-1,0),0)</f>
        <v>0</v>
      </c>
      <c r="C138" s="707">
        <f>IFERROR(VLOOKUP($A137,ReceitaBruta,COLUMN('A4 - Previsão de Receita Bruta'!D140)-1,0),0)</f>
        <v>0</v>
      </c>
      <c r="D138" s="707">
        <f>IFERROR(VLOOKUP($A137,ReceitaBruta,COLUMN('A4 - Previsão de Receita Bruta'!E140)-1,0),0)</f>
        <v>0</v>
      </c>
      <c r="E138" s="707">
        <f>IFERROR(VLOOKUP($A137,ReceitaBruta,COLUMN('A4 - Previsão de Receita Bruta'!F140)-1,0),0)</f>
        <v>0</v>
      </c>
      <c r="F138" s="707">
        <f>IFERROR(VLOOKUP($A137,ReceitaBruta,COLUMN('A4 - Previsão de Receita Bruta'!G140)-1,0),0)</f>
        <v>0</v>
      </c>
      <c r="G138" s="707">
        <f>IFERROR(VLOOKUP($A137,ReceitaBruta,COLUMN('A4 - Previsão de Receita Bruta'!H140)-1,0),0)</f>
        <v>0</v>
      </c>
      <c r="H138" s="707">
        <f>IFERROR(VLOOKUP($A137,ReceitaBruta,COLUMN('A4 - Previsão de Receita Bruta'!I140)-1,0),0)</f>
        <v>0</v>
      </c>
      <c r="I138" s="707">
        <f>IFERROR(VLOOKUP($A137,ReceitaBruta,COLUMN('A4 - Previsão de Receita Bruta'!J140)-1,0),0)</f>
        <v>0</v>
      </c>
      <c r="J138" s="707">
        <f>IFERROR(VLOOKUP($A137,ReceitaBruta,COLUMN('A4 - Previsão de Receita Bruta'!K140)-1,0),0)</f>
        <v>0</v>
      </c>
      <c r="K138" s="707">
        <f>IFERROR(VLOOKUP($A137,ReceitaBruta,COLUMN('A4 - Previsão de Receita Bruta'!L140)-1,0),0)</f>
        <v>0</v>
      </c>
      <c r="L138" s="707">
        <f>IFERROR(VLOOKUP($A137,ReceitaBruta,COLUMN('A4 - Previsão de Receita Bruta'!M140)-1,0),0)</f>
        <v>0</v>
      </c>
      <c r="M138" s="707">
        <f>IFERROR(VLOOKUP($A137,ReceitaBruta,COLUMN('A4 - Previsão de Receita Bruta'!N140)-1,0),0)</f>
        <v>0</v>
      </c>
      <c r="N138" s="707">
        <f>IFERROR(VLOOKUP($A137,ReceitaBruta,COLUMN('A4 - Previsão de Receita Bruta'!O140)-1,0),0)</f>
        <v>0</v>
      </c>
      <c r="O138" s="707">
        <f>IFERROR(VLOOKUP($A137,ReceitaBruta,COLUMN('A4 - Previsão de Receita Bruta'!P140)-1,0),0)</f>
        <v>0</v>
      </c>
      <c r="P138" s="707">
        <f>IFERROR(VLOOKUP($A137,ReceitaBruta,COLUMN('A4 - Previsão de Receita Bruta'!Q140)-1,0),0)</f>
        <v>0</v>
      </c>
      <c r="Q138" s="707">
        <f>IFERROR(VLOOKUP($A137,ReceitaBruta,COLUMN('A4 - Previsão de Receita Bruta'!R140)-1,0),0)</f>
        <v>0</v>
      </c>
      <c r="R138" s="707">
        <f>IFERROR(VLOOKUP($A137,ReceitaBruta,COLUMN('A4 - Previsão de Receita Bruta'!S140)-1,0),0)</f>
        <v>0</v>
      </c>
      <c r="S138" s="707">
        <f>IFERROR(VLOOKUP($A137,ReceitaBruta,COLUMN('A4 - Previsão de Receita Bruta'!T140)-1,0),0)</f>
        <v>0</v>
      </c>
      <c r="T138" s="707">
        <f>IFERROR(VLOOKUP($A137,ReceitaBruta,COLUMN('A4 - Previsão de Receita Bruta'!U140)-1,0),0)</f>
        <v>0</v>
      </c>
      <c r="U138" s="707">
        <f>IFERROR(VLOOKUP($A137,ReceitaBruta,COLUMN('A4 - Previsão de Receita Bruta'!V140)-1,0),0)</f>
        <v>0</v>
      </c>
      <c r="V138" s="707">
        <f>IFERROR(VLOOKUP($A137,ReceitaBruta,COLUMN('A4 - Previsão de Receita Bruta'!W140)-1,0),0)</f>
        <v>0</v>
      </c>
      <c r="W138" s="707">
        <f>IFERROR(VLOOKUP($A137,ReceitaBruta,COLUMN('A4 - Previsão de Receita Bruta'!X140)-1,0),0)</f>
        <v>0</v>
      </c>
      <c r="X138" s="707">
        <f>IFERROR(VLOOKUP($A137,ReceitaBruta,COLUMN('A4 - Previsão de Receita Bruta'!Y140)-1,0),0)</f>
        <v>0</v>
      </c>
      <c r="Y138" s="707">
        <f>IFERROR(VLOOKUP($A137,ReceitaBruta,COLUMN('A4 - Previsão de Receita Bruta'!Z140)-1,0),0)</f>
        <v>0</v>
      </c>
      <c r="Z138" s="707">
        <f>IFERROR(VLOOKUP($A137,ReceitaBruta,COLUMN('A4 - Previsão de Receita Bruta'!AA140)-1,0),0)</f>
        <v>0</v>
      </c>
      <c r="AA138" s="707">
        <f>IFERROR(VLOOKUP($A137,ReceitaBruta,COLUMN('A4 - Previsão de Receita Bruta'!AB140)-1,0),0)</f>
        <v>0</v>
      </c>
      <c r="AB138" s="707">
        <f>IFERROR(VLOOKUP($A137,ReceitaBruta,COLUMN('A4 - Previsão de Receita Bruta'!AC140)-1,0),0)</f>
        <v>0</v>
      </c>
      <c r="AC138" s="707">
        <f>IFERROR(VLOOKUP($A137,ReceitaBruta,COLUMN('A4 - Previsão de Receita Bruta'!AD140)-1,0),0)</f>
        <v>0</v>
      </c>
      <c r="AD138" s="707">
        <f>IFERROR(VLOOKUP($A137,ReceitaBruta,COLUMN('A4 - Previsão de Receita Bruta'!AE140)-1,0),0)</f>
        <v>0</v>
      </c>
      <c r="AE138" s="707">
        <f>IFERROR(VLOOKUP($A137,ReceitaBruta,COLUMN('A4 - Previsão de Receita Bruta'!AF140)-1,0),0)</f>
        <v>0</v>
      </c>
      <c r="AF138" s="594"/>
      <c r="AG138" s="594"/>
      <c r="AH138" s="594"/>
      <c r="AI138" s="594"/>
      <c r="AJ138" s="594"/>
      <c r="AK138" s="594"/>
      <c r="AL138" s="594"/>
      <c r="AM138" s="594"/>
      <c r="AN138" s="594"/>
      <c r="AO138" s="594"/>
      <c r="AP138" s="594"/>
      <c r="AQ138" s="594"/>
      <c r="AR138" s="594"/>
      <c r="AS138" s="594"/>
      <c r="AT138" s="594"/>
      <c r="AU138" s="594"/>
      <c r="AV138" s="594"/>
      <c r="AW138" s="594"/>
      <c r="AX138" s="594"/>
      <c r="AY138" s="594"/>
      <c r="AZ138" s="594"/>
      <c r="BA138" s="594"/>
      <c r="BB138" s="594"/>
      <c r="BC138" s="594"/>
      <c r="BD138" s="594"/>
      <c r="BE138" s="594"/>
      <c r="BF138" s="594"/>
      <c r="BG138" s="594"/>
      <c r="BH138" s="594"/>
      <c r="BI138" s="594"/>
      <c r="BJ138" s="594"/>
      <c r="BK138" s="594"/>
      <c r="BL138" s="57"/>
      <c r="BM138" s="594"/>
      <c r="BN138" s="594"/>
      <c r="BO138" s="594"/>
      <c r="BP138" s="594"/>
      <c r="BQ138" s="594"/>
      <c r="BR138" s="594"/>
      <c r="BS138" s="594"/>
      <c r="BT138" s="594"/>
      <c r="BU138" s="594"/>
      <c r="BV138" s="594"/>
      <c r="BW138" s="594"/>
      <c r="BX138" s="594"/>
      <c r="BY138" s="594"/>
      <c r="BZ138" s="594"/>
      <c r="CA138" s="594"/>
      <c r="CB138" s="594"/>
      <c r="CC138" s="594"/>
      <c r="CD138" s="594"/>
      <c r="CE138" s="594"/>
      <c r="CF138" s="594"/>
      <c r="CG138" s="594"/>
      <c r="CH138" s="594"/>
      <c r="CI138" s="594"/>
      <c r="CJ138" s="594"/>
      <c r="CK138" s="594"/>
      <c r="CL138" s="594"/>
      <c r="CM138" s="594"/>
      <c r="CN138" s="594"/>
      <c r="CO138" s="594"/>
      <c r="CP138" s="594"/>
      <c r="CQ138" s="594"/>
    </row>
    <row r="139" spans="1:95" ht="21" hidden="1" customHeight="1" outlineLevel="1">
      <c r="A139" s="708" t="s">
        <v>681</v>
      </c>
      <c r="B139" s="707">
        <f>IFERROR(-'E2 - Tributos'!D$19*VLOOKUP('F1 - FCL'!$A137,ReceitaBruta,COLUMN('A4 - Previsão de Receita Bruta'!C$6)-1,0),0)</f>
        <v>0</v>
      </c>
      <c r="C139" s="707">
        <f>IFERROR(-'E2 - Tributos'!E$19*VLOOKUP('F1 - FCL'!$A137,ReceitaBruta,COLUMN('A4 - Previsão de Receita Bruta'!D$6)-1,0),0)</f>
        <v>0</v>
      </c>
      <c r="D139" s="707">
        <f>IFERROR(-'E2 - Tributos'!F$19*VLOOKUP('F1 - FCL'!$A137,ReceitaBruta,COLUMN('A4 - Previsão de Receita Bruta'!E$6)-1,0),0)</f>
        <v>0</v>
      </c>
      <c r="E139" s="707">
        <f>IFERROR(-'E2 - Tributos'!G$19*VLOOKUP('F1 - FCL'!$A137,ReceitaBruta,COLUMN('A4 - Previsão de Receita Bruta'!F$6)-1,0),0)</f>
        <v>0</v>
      </c>
      <c r="F139" s="707">
        <f>IFERROR(-'E2 - Tributos'!H$19*VLOOKUP('F1 - FCL'!$A137,ReceitaBruta,COLUMN('A4 - Previsão de Receita Bruta'!G$6)-1,0),0)</f>
        <v>0</v>
      </c>
      <c r="G139" s="707">
        <f>IFERROR(-'E2 - Tributos'!I$19*VLOOKUP('F1 - FCL'!$A137,ReceitaBruta,COLUMN('A4 - Previsão de Receita Bruta'!H$6)-1,0),0)</f>
        <v>0</v>
      </c>
      <c r="H139" s="707">
        <f>IFERROR(-'E2 - Tributos'!J$19*VLOOKUP('F1 - FCL'!$A137,ReceitaBruta,COLUMN('A4 - Previsão de Receita Bruta'!I$6)-1,0),0)</f>
        <v>0</v>
      </c>
      <c r="I139" s="707">
        <f>IFERROR(-'E2 - Tributos'!K$19*VLOOKUP('F1 - FCL'!$A137,ReceitaBruta,COLUMN('A4 - Previsão de Receita Bruta'!J$6)-1,0),0)</f>
        <v>0</v>
      </c>
      <c r="J139" s="707">
        <f>IFERROR(-'E2 - Tributos'!L$19*VLOOKUP('F1 - FCL'!$A137,ReceitaBruta,COLUMN('A4 - Previsão de Receita Bruta'!K$6)-1,0),0)</f>
        <v>0</v>
      </c>
      <c r="K139" s="707">
        <f>IFERROR(-'E2 - Tributos'!M$19*VLOOKUP('F1 - FCL'!$A137,ReceitaBruta,COLUMN('A4 - Previsão de Receita Bruta'!L$6)-1,0),0)</f>
        <v>0</v>
      </c>
      <c r="L139" s="707">
        <f>IFERROR(-'E2 - Tributos'!N$19*VLOOKUP('F1 - FCL'!$A137,ReceitaBruta,COLUMN('A4 - Previsão de Receita Bruta'!M$6)-1,0),0)</f>
        <v>0</v>
      </c>
      <c r="M139" s="707">
        <f>IFERROR(-'E2 - Tributos'!O$19*VLOOKUP('F1 - FCL'!$A137,ReceitaBruta,COLUMN('A4 - Previsão de Receita Bruta'!N$6)-1,0),0)</f>
        <v>0</v>
      </c>
      <c r="N139" s="707">
        <f>IFERROR(-'E2 - Tributos'!P$19*VLOOKUP('F1 - FCL'!$A137,ReceitaBruta,COLUMN('A4 - Previsão de Receita Bruta'!O$6)-1,0),0)</f>
        <v>0</v>
      </c>
      <c r="O139" s="707">
        <f>IFERROR(-'E2 - Tributos'!Q$19*VLOOKUP('F1 - FCL'!$A137,ReceitaBruta,COLUMN('A4 - Previsão de Receita Bruta'!P$6)-1,0),0)</f>
        <v>0</v>
      </c>
      <c r="P139" s="707">
        <f>IFERROR(-'E2 - Tributos'!R$19*VLOOKUP('F1 - FCL'!$A137,ReceitaBruta,COLUMN('A4 - Previsão de Receita Bruta'!Q$6)-1,0),0)</f>
        <v>0</v>
      </c>
      <c r="Q139" s="707">
        <f>IFERROR(-'E2 - Tributos'!S$19*VLOOKUP('F1 - FCL'!$A137,ReceitaBruta,COLUMN('A4 - Previsão de Receita Bruta'!R$6)-1,0),0)</f>
        <v>0</v>
      </c>
      <c r="R139" s="707">
        <f>IFERROR(-'E2 - Tributos'!T$19*VLOOKUP('F1 - FCL'!$A137,ReceitaBruta,COLUMN('A4 - Previsão de Receita Bruta'!S$6)-1,0),0)</f>
        <v>0</v>
      </c>
      <c r="S139" s="707">
        <f>IFERROR(-'E2 - Tributos'!U$19*VLOOKUP('F1 - FCL'!$A137,ReceitaBruta,COLUMN('A4 - Previsão de Receita Bruta'!T$6)-1,0),0)</f>
        <v>0</v>
      </c>
      <c r="T139" s="707">
        <f>IFERROR(-'E2 - Tributos'!V$19*VLOOKUP('F1 - FCL'!$A137,ReceitaBruta,COLUMN('A4 - Previsão de Receita Bruta'!U$6)-1,0),0)</f>
        <v>0</v>
      </c>
      <c r="U139" s="707">
        <f>IFERROR(-'E2 - Tributos'!W$19*VLOOKUP('F1 - FCL'!$A137,ReceitaBruta,COLUMN('A4 - Previsão de Receita Bruta'!V$6)-1,0),0)</f>
        <v>0</v>
      </c>
      <c r="V139" s="707">
        <f>IFERROR(-'E2 - Tributos'!X$19*VLOOKUP('F1 - FCL'!$A137,ReceitaBruta,COLUMN('A4 - Previsão de Receita Bruta'!W$6)-1,0),0)</f>
        <v>0</v>
      </c>
      <c r="W139" s="707">
        <f>IFERROR(-'E2 - Tributos'!Y$19*VLOOKUP('F1 - FCL'!$A137,ReceitaBruta,COLUMN('A4 - Previsão de Receita Bruta'!X$6)-1,0),0)</f>
        <v>0</v>
      </c>
      <c r="X139" s="707">
        <f>IFERROR(-'E2 - Tributos'!Z$19*VLOOKUP('F1 - FCL'!$A137,ReceitaBruta,COLUMN('A4 - Previsão de Receita Bruta'!Y$6)-1,0),0)</f>
        <v>0</v>
      </c>
      <c r="Y139" s="707">
        <f>IFERROR(-'E2 - Tributos'!AA$19*VLOOKUP('F1 - FCL'!$A137,ReceitaBruta,COLUMN('A4 - Previsão de Receita Bruta'!Z$6)-1,0),0)</f>
        <v>0</v>
      </c>
      <c r="Z139" s="707">
        <f>IFERROR(-'E2 - Tributos'!AB$19*VLOOKUP('F1 - FCL'!$A137,ReceitaBruta,COLUMN('A4 - Previsão de Receita Bruta'!AA$6)-1,0),0)</f>
        <v>0</v>
      </c>
      <c r="AA139" s="707">
        <f>IFERROR(-'E2 - Tributos'!AC$19*VLOOKUP('F1 - FCL'!$A137,ReceitaBruta,COLUMN('A4 - Previsão de Receita Bruta'!AB$6)-1,0),0)</f>
        <v>0</v>
      </c>
      <c r="AB139" s="707">
        <f>IFERROR(-'E2 - Tributos'!AD$19*VLOOKUP('F1 - FCL'!$A137,ReceitaBruta,COLUMN('A4 - Previsão de Receita Bruta'!AC$6)-1,0),0)</f>
        <v>0</v>
      </c>
      <c r="AC139" s="707">
        <f>IFERROR(-'E2 - Tributos'!AE$19*VLOOKUP('F1 - FCL'!$A137,ReceitaBruta,COLUMN('A4 - Previsão de Receita Bruta'!AD$6)-1,0),0)</f>
        <v>0</v>
      </c>
      <c r="AD139" s="707">
        <f>IFERROR(-'E2 - Tributos'!AF$19*VLOOKUP('F1 - FCL'!$A137,ReceitaBruta,COLUMN('A4 - Previsão de Receita Bruta'!AE$6)-1,0),0)</f>
        <v>0</v>
      </c>
      <c r="AE139" s="707">
        <f>IFERROR(-'E2 - Tributos'!AG$19*VLOOKUP('F1 - FCL'!$A137,ReceitaBruta,COLUMN('A4 - Previsão de Receita Bruta'!AF$6)-1,0),0)</f>
        <v>0</v>
      </c>
      <c r="AF139" s="594"/>
      <c r="AG139" s="594"/>
      <c r="AH139" s="594"/>
      <c r="AI139" s="594"/>
      <c r="AJ139" s="594"/>
      <c r="AK139" s="594"/>
      <c r="AL139" s="594"/>
      <c r="AM139" s="594"/>
      <c r="AN139" s="594"/>
      <c r="AO139" s="594"/>
      <c r="AP139" s="594"/>
      <c r="AQ139" s="594"/>
      <c r="AR139" s="594"/>
      <c r="AS139" s="594"/>
      <c r="AT139" s="594"/>
      <c r="AU139" s="594"/>
      <c r="AV139" s="594"/>
      <c r="AW139" s="594"/>
      <c r="AX139" s="594"/>
      <c r="AY139" s="594"/>
      <c r="AZ139" s="594"/>
      <c r="BA139" s="594"/>
      <c r="BB139" s="594"/>
      <c r="BC139" s="594"/>
      <c r="BD139" s="594"/>
      <c r="BE139" s="594"/>
      <c r="BF139" s="594"/>
      <c r="BG139" s="594"/>
      <c r="BH139" s="594"/>
      <c r="BI139" s="594"/>
      <c r="BJ139" s="594"/>
      <c r="BK139" s="594"/>
      <c r="BL139" s="57"/>
      <c r="BM139" s="594"/>
      <c r="BN139" s="594"/>
      <c r="BO139" s="594"/>
      <c r="BP139" s="594"/>
      <c r="BQ139" s="594"/>
      <c r="BR139" s="594"/>
      <c r="BS139" s="594"/>
      <c r="BT139" s="594"/>
      <c r="BU139" s="594"/>
      <c r="BV139" s="594"/>
      <c r="BW139" s="594"/>
      <c r="BX139" s="594"/>
      <c r="BY139" s="594"/>
      <c r="BZ139" s="594"/>
      <c r="CA139" s="594"/>
      <c r="CB139" s="594"/>
      <c r="CC139" s="594"/>
      <c r="CD139" s="594"/>
      <c r="CE139" s="594"/>
      <c r="CF139" s="594"/>
      <c r="CG139" s="594"/>
      <c r="CH139" s="594"/>
      <c r="CI139" s="594"/>
      <c r="CJ139" s="594"/>
      <c r="CK139" s="594"/>
      <c r="CL139" s="594"/>
      <c r="CM139" s="594"/>
      <c r="CN139" s="594"/>
      <c r="CO139" s="594"/>
      <c r="CP139" s="594"/>
      <c r="CQ139" s="594"/>
    </row>
    <row r="140" spans="1:95" ht="19.5" hidden="1" customHeight="1" outlineLevel="1">
      <c r="A140" s="708" t="s">
        <v>590</v>
      </c>
      <c r="B140" s="707">
        <f t="shared" ref="B140:AE140" si="45">SUM(B141:B145)</f>
        <v>0</v>
      </c>
      <c r="C140" s="707">
        <f t="shared" si="45"/>
        <v>0</v>
      </c>
      <c r="D140" s="707">
        <f t="shared" si="45"/>
        <v>0</v>
      </c>
      <c r="E140" s="707">
        <f t="shared" si="45"/>
        <v>0</v>
      </c>
      <c r="F140" s="707">
        <f t="shared" si="45"/>
        <v>0</v>
      </c>
      <c r="G140" s="707">
        <f t="shared" si="45"/>
        <v>0</v>
      </c>
      <c r="H140" s="707">
        <f t="shared" si="45"/>
        <v>0</v>
      </c>
      <c r="I140" s="707">
        <f t="shared" si="45"/>
        <v>0</v>
      </c>
      <c r="J140" s="707">
        <f t="shared" si="45"/>
        <v>0</v>
      </c>
      <c r="K140" s="707">
        <f t="shared" si="45"/>
        <v>0</v>
      </c>
      <c r="L140" s="707">
        <f t="shared" si="45"/>
        <v>0</v>
      </c>
      <c r="M140" s="707">
        <f t="shared" si="45"/>
        <v>0</v>
      </c>
      <c r="N140" s="707">
        <f t="shared" si="45"/>
        <v>0</v>
      </c>
      <c r="O140" s="707">
        <f t="shared" si="45"/>
        <v>0</v>
      </c>
      <c r="P140" s="707">
        <f t="shared" si="45"/>
        <v>0</v>
      </c>
      <c r="Q140" s="707">
        <f t="shared" si="45"/>
        <v>0</v>
      </c>
      <c r="R140" s="707">
        <f t="shared" si="45"/>
        <v>0</v>
      </c>
      <c r="S140" s="707">
        <f t="shared" si="45"/>
        <v>0</v>
      </c>
      <c r="T140" s="707">
        <f t="shared" si="45"/>
        <v>0</v>
      </c>
      <c r="U140" s="707">
        <f t="shared" si="45"/>
        <v>0</v>
      </c>
      <c r="V140" s="707">
        <f t="shared" si="45"/>
        <v>0</v>
      </c>
      <c r="W140" s="707">
        <f t="shared" si="45"/>
        <v>0</v>
      </c>
      <c r="X140" s="707">
        <f t="shared" si="45"/>
        <v>0</v>
      </c>
      <c r="Y140" s="707">
        <f t="shared" si="45"/>
        <v>0</v>
      </c>
      <c r="Z140" s="707">
        <f t="shared" si="45"/>
        <v>0</v>
      </c>
      <c r="AA140" s="707">
        <f t="shared" si="45"/>
        <v>0</v>
      </c>
      <c r="AB140" s="707">
        <f t="shared" si="45"/>
        <v>0</v>
      </c>
      <c r="AC140" s="707">
        <f t="shared" si="45"/>
        <v>0</v>
      </c>
      <c r="AD140" s="707">
        <f t="shared" si="45"/>
        <v>0</v>
      </c>
      <c r="AE140" s="707">
        <f t="shared" si="45"/>
        <v>0</v>
      </c>
      <c r="AF140" s="594"/>
      <c r="AG140" s="594"/>
      <c r="AH140" s="594"/>
      <c r="AI140" s="594"/>
      <c r="AJ140" s="594"/>
      <c r="AK140" s="594"/>
      <c r="AL140" s="594"/>
      <c r="AM140" s="594"/>
      <c r="AN140" s="594"/>
      <c r="AO140" s="594"/>
      <c r="AP140" s="594"/>
      <c r="AQ140" s="594"/>
      <c r="AR140" s="594"/>
      <c r="AS140" s="594"/>
      <c r="AT140" s="594"/>
      <c r="AU140" s="594"/>
      <c r="AV140" s="594"/>
      <c r="AW140" s="594"/>
      <c r="AX140" s="594"/>
      <c r="AY140" s="594"/>
      <c r="AZ140" s="594"/>
      <c r="BA140" s="594"/>
      <c r="BB140" s="594"/>
      <c r="BC140" s="594"/>
      <c r="BD140" s="594"/>
      <c r="BE140" s="594"/>
      <c r="BF140" s="594"/>
      <c r="BG140" s="594"/>
      <c r="BH140" s="594"/>
      <c r="BI140" s="594"/>
      <c r="BJ140" s="594"/>
      <c r="BK140" s="594"/>
      <c r="BL140" s="57"/>
      <c r="BM140" s="594"/>
      <c r="BN140" s="594"/>
      <c r="BO140" s="594"/>
      <c r="BP140" s="594"/>
      <c r="BQ140" s="594"/>
      <c r="BR140" s="594"/>
      <c r="BS140" s="594"/>
      <c r="BT140" s="594"/>
      <c r="BU140" s="594"/>
      <c r="BV140" s="594"/>
      <c r="BW140" s="594"/>
      <c r="BX140" s="594"/>
      <c r="BY140" s="594"/>
      <c r="BZ140" s="594"/>
      <c r="CA140" s="594"/>
      <c r="CB140" s="594"/>
      <c r="CC140" s="594"/>
      <c r="CD140" s="594"/>
      <c r="CE140" s="594"/>
      <c r="CF140" s="594"/>
      <c r="CG140" s="594"/>
      <c r="CH140" s="594"/>
      <c r="CI140" s="594"/>
      <c r="CJ140" s="594"/>
      <c r="CK140" s="594"/>
      <c r="CL140" s="594"/>
      <c r="CM140" s="594"/>
      <c r="CN140" s="594"/>
      <c r="CO140" s="594"/>
      <c r="CP140" s="594"/>
      <c r="CQ140" s="594"/>
    </row>
    <row r="141" spans="1:95" ht="21" hidden="1" customHeight="1" outlineLevel="2">
      <c r="A141" s="709" t="s">
        <v>682</v>
      </c>
      <c r="B141" s="710">
        <f>IF($A137="",0,-SUMIF('C3 - Funcionários $'!$D$7:$D$121,$A137,'C3 - Funcionários $'!G$7:G$121))</f>
        <v>0</v>
      </c>
      <c r="C141" s="710">
        <f>IF($A137="",0,-SUMIF('C3 - Funcionários $'!$D$7:$D$121,$A137,'C3 - Funcionários $'!H$7:H$121))</f>
        <v>0</v>
      </c>
      <c r="D141" s="710">
        <f>IF($A137="",0,-SUMIF('C3 - Funcionários $'!$D$7:$D$121,$A137,'C3 - Funcionários $'!I$7:I$121))</f>
        <v>0</v>
      </c>
      <c r="E141" s="710">
        <f>IF($A137="",0,-SUMIF('C3 - Funcionários $'!$D$7:$D$121,$A137,'C3 - Funcionários $'!J$7:J$121))</f>
        <v>0</v>
      </c>
      <c r="F141" s="710">
        <f>IF($A137="",0,-SUMIF('C3 - Funcionários $'!$D$7:$D$121,$A137,'C3 - Funcionários $'!K$7:K$121))</f>
        <v>0</v>
      </c>
      <c r="G141" s="710">
        <f>IF($A137="",0,-SUMIF('C3 - Funcionários $'!$D$7:$D$121,$A137,'C3 - Funcionários $'!L$7:L$121))</f>
        <v>0</v>
      </c>
      <c r="H141" s="710">
        <f>IF($A137="",0,-SUMIF('C3 - Funcionários $'!$D$7:$D$121,$A137,'C3 - Funcionários $'!M$7:M$121))</f>
        <v>0</v>
      </c>
      <c r="I141" s="710">
        <f>IF($A137="",0,-SUMIF('C3 - Funcionários $'!$D$7:$D$121,$A137,'C3 - Funcionários $'!N$7:N$121))</f>
        <v>0</v>
      </c>
      <c r="J141" s="710">
        <f>IF($A137="",0,-SUMIF('C3 - Funcionários $'!$D$7:$D$121,$A137,'C3 - Funcionários $'!O$7:O$121))</f>
        <v>0</v>
      </c>
      <c r="K141" s="710">
        <f>IF($A137="",0,-SUMIF('C3 - Funcionários $'!$D$7:$D$121,$A137,'C3 - Funcionários $'!P$7:P$121))</f>
        <v>0</v>
      </c>
      <c r="L141" s="710">
        <f>IF($A137="",0,-SUMIF('C3 - Funcionários $'!$D$7:$D$121,$A137,'C3 - Funcionários $'!Q$7:Q$121))</f>
        <v>0</v>
      </c>
      <c r="M141" s="710">
        <f>IF($A137="",0,-SUMIF('C3 - Funcionários $'!$D$7:$D$121,$A137,'C3 - Funcionários $'!R$7:R$121))</f>
        <v>0</v>
      </c>
      <c r="N141" s="710">
        <f>IF($A137="",0,-SUMIF('C3 - Funcionários $'!$D$7:$D$121,$A137,'C3 - Funcionários $'!S$7:S$121))</f>
        <v>0</v>
      </c>
      <c r="O141" s="710">
        <f>IF($A137="",0,-SUMIF('C3 - Funcionários $'!$D$7:$D$121,$A137,'C3 - Funcionários $'!T$7:T$121))</f>
        <v>0</v>
      </c>
      <c r="P141" s="710">
        <f>IF($A137="",0,-SUMIF('C3 - Funcionários $'!$D$7:$D$121,$A137,'C3 - Funcionários $'!U$7:U$121))</f>
        <v>0</v>
      </c>
      <c r="Q141" s="710">
        <f>IF($A137="",0,-SUMIF('C3 - Funcionários $'!$D$7:$D$121,$A137,'C3 - Funcionários $'!V$7:V$121))</f>
        <v>0</v>
      </c>
      <c r="R141" s="710">
        <f>IF($A137="",0,-SUMIF('C3 - Funcionários $'!$D$7:$D$121,$A137,'C3 - Funcionários $'!W$7:W$121))</f>
        <v>0</v>
      </c>
      <c r="S141" s="710">
        <f>IF($A137="",0,-SUMIF('C3 - Funcionários $'!$D$7:$D$121,$A137,'C3 - Funcionários $'!X$7:X$121))</f>
        <v>0</v>
      </c>
      <c r="T141" s="710">
        <f>IF($A137="",0,-SUMIF('C3 - Funcionários $'!$D$7:$D$121,$A137,'C3 - Funcionários $'!Y$7:Y$121))</f>
        <v>0</v>
      </c>
      <c r="U141" s="710">
        <f>IF($A137="",0,-SUMIF('C3 - Funcionários $'!$D$7:$D$121,$A137,'C3 - Funcionários $'!Z$7:Z$121))</f>
        <v>0</v>
      </c>
      <c r="V141" s="710">
        <f>IF($A137="",0,-SUMIF('C3 - Funcionários $'!$D$7:$D$121,$A137,'C3 - Funcionários $'!AA$7:AA$121))</f>
        <v>0</v>
      </c>
      <c r="W141" s="710">
        <f>IF($A137="",0,-SUMIF('C3 - Funcionários $'!$D$7:$D$121,$A137,'C3 - Funcionários $'!AB$7:AB$121))</f>
        <v>0</v>
      </c>
      <c r="X141" s="710">
        <f>IF($A137="",0,-SUMIF('C3 - Funcionários $'!$D$7:$D$121,$A137,'C3 - Funcionários $'!AC$7:AC$121))</f>
        <v>0</v>
      </c>
      <c r="Y141" s="710">
        <f>IF($A137="",0,-SUMIF('C3 - Funcionários $'!$D$7:$D$121,$A137,'C3 - Funcionários $'!AD$7:AD$121))</f>
        <v>0</v>
      </c>
      <c r="Z141" s="710">
        <f>IF($A137="",0,-SUMIF('C3 - Funcionários $'!$D$7:$D$121,$A137,'C3 - Funcionários $'!AE$7:AE$121))</f>
        <v>0</v>
      </c>
      <c r="AA141" s="710">
        <f>IF($A137="",0,-SUMIF('C3 - Funcionários $'!$D$7:$D$121,$A137,'C3 - Funcionários $'!AF$7:AF$121))</f>
        <v>0</v>
      </c>
      <c r="AB141" s="710">
        <f>IF($A137="",0,-SUMIF('C3 - Funcionários $'!$D$7:$D$121,$A137,'C3 - Funcionários $'!AG$7:AG$121))</f>
        <v>0</v>
      </c>
      <c r="AC141" s="710">
        <f>IF($A137="",0,-SUMIF('C3 - Funcionários $'!$D$7:$D$121,$A137,'C3 - Funcionários $'!AH$7:AH$121))</f>
        <v>0</v>
      </c>
      <c r="AD141" s="710">
        <f>IF($A137="",0,-SUMIF('C3 - Funcionários $'!$D$7:$D$121,$A137,'C3 - Funcionários $'!AI$7:AI$121))</f>
        <v>0</v>
      </c>
      <c r="AE141" s="710">
        <f>IF($A137="",0,-SUMIF('C3 - Funcionários $'!$D$7:$D$121,$A137,'C3 - Funcionários $'!AJ$7:AJ$121))</f>
        <v>0</v>
      </c>
      <c r="AF141" s="594"/>
      <c r="AG141" s="594"/>
      <c r="AH141" s="594"/>
      <c r="AI141" s="594"/>
      <c r="AJ141" s="594"/>
      <c r="AK141" s="594"/>
      <c r="AL141" s="594"/>
      <c r="AM141" s="594"/>
      <c r="AN141" s="594"/>
      <c r="AO141" s="594"/>
      <c r="AP141" s="594"/>
      <c r="AQ141" s="594"/>
      <c r="AR141" s="594"/>
      <c r="AS141" s="594"/>
      <c r="AT141" s="594"/>
      <c r="AU141" s="594"/>
      <c r="AV141" s="594"/>
      <c r="AW141" s="594"/>
      <c r="AX141" s="594"/>
      <c r="AY141" s="594"/>
      <c r="AZ141" s="594"/>
      <c r="BA141" s="594"/>
      <c r="BB141" s="594"/>
      <c r="BC141" s="594"/>
      <c r="BD141" s="594"/>
      <c r="BE141" s="594"/>
      <c r="BF141" s="594"/>
      <c r="BG141" s="594"/>
      <c r="BH141" s="594"/>
      <c r="BI141" s="594"/>
      <c r="BJ141" s="594"/>
      <c r="BK141" s="594"/>
      <c r="BL141" s="57"/>
      <c r="BM141" s="594"/>
      <c r="BN141" s="594"/>
      <c r="BO141" s="594"/>
      <c r="BP141" s="594"/>
      <c r="BQ141" s="594"/>
      <c r="BR141" s="594"/>
      <c r="BS141" s="594"/>
      <c r="BT141" s="594"/>
      <c r="BU141" s="594"/>
      <c r="BV141" s="594"/>
      <c r="BW141" s="594"/>
      <c r="BX141" s="594"/>
      <c r="BY141" s="594"/>
      <c r="BZ141" s="594"/>
      <c r="CA141" s="594"/>
      <c r="CB141" s="594"/>
      <c r="CC141" s="594"/>
      <c r="CD141" s="594"/>
      <c r="CE141" s="594"/>
      <c r="CF141" s="594"/>
      <c r="CG141" s="594"/>
      <c r="CH141" s="594"/>
      <c r="CI141" s="594"/>
      <c r="CJ141" s="594"/>
      <c r="CK141" s="594"/>
      <c r="CL141" s="594"/>
      <c r="CM141" s="594"/>
      <c r="CN141" s="594"/>
      <c r="CO141" s="594"/>
      <c r="CP141" s="594"/>
      <c r="CQ141" s="594"/>
    </row>
    <row r="142" spans="1:95" ht="21" hidden="1" customHeight="1" outlineLevel="2">
      <c r="A142" s="709" t="s">
        <v>683</v>
      </c>
      <c r="B142" s="710">
        <f>IFERROR(-VLOOKUP($A137,CustoDiretoTotal,COLUMN('B2 - Custos diretos totais'!C$3)-1,0),0)</f>
        <v>0</v>
      </c>
      <c r="C142" s="710">
        <f>IFERROR(-VLOOKUP($A137,CustoDiretoTotal,COLUMN('B2 - Custos diretos totais'!D$3)-1,0),0)</f>
        <v>0</v>
      </c>
      <c r="D142" s="710">
        <f>IFERROR(-VLOOKUP($A137,CustoDiretoTotal,COLUMN('B2 - Custos diretos totais'!E$3)-1,0),0)</f>
        <v>0</v>
      </c>
      <c r="E142" s="710">
        <f>IFERROR(-VLOOKUP($A137,CustoDiretoTotal,COLUMN('B2 - Custos diretos totais'!F$3)-1,0),0)</f>
        <v>0</v>
      </c>
      <c r="F142" s="710">
        <f>IFERROR(-VLOOKUP($A137,CustoDiretoTotal,COLUMN('B2 - Custos diretos totais'!G$3)-1,0),0)</f>
        <v>0</v>
      </c>
      <c r="G142" s="710">
        <f>IFERROR(-VLOOKUP($A137,CustoDiretoTotal,COLUMN('B2 - Custos diretos totais'!H$3)-1,0),0)</f>
        <v>0</v>
      </c>
      <c r="H142" s="710">
        <f>IFERROR(-VLOOKUP($A137,CustoDiretoTotal,COLUMN('B2 - Custos diretos totais'!I$3)-1,0),0)</f>
        <v>0</v>
      </c>
      <c r="I142" s="710">
        <f>IFERROR(-VLOOKUP($A137,CustoDiretoTotal,COLUMN('B2 - Custos diretos totais'!J$3)-1,0),0)</f>
        <v>0</v>
      </c>
      <c r="J142" s="710">
        <f>IFERROR(-VLOOKUP($A137,CustoDiretoTotal,COLUMN('B2 - Custos diretos totais'!K$3)-1,0),0)</f>
        <v>0</v>
      </c>
      <c r="K142" s="710">
        <f>IFERROR(-VLOOKUP($A137,CustoDiretoTotal,COLUMN('B2 - Custos diretos totais'!L$3)-1,0),0)</f>
        <v>0</v>
      </c>
      <c r="L142" s="710">
        <f>IFERROR(-VLOOKUP($A137,CustoDiretoTotal,COLUMN('B2 - Custos diretos totais'!M$3)-1,0),0)</f>
        <v>0</v>
      </c>
      <c r="M142" s="710">
        <f>IFERROR(-VLOOKUP($A137,CustoDiretoTotal,COLUMN('B2 - Custos diretos totais'!N$3)-1,0),0)</f>
        <v>0</v>
      </c>
      <c r="N142" s="710">
        <f>IFERROR(-VLOOKUP($A137,CustoDiretoTotal,COLUMN('B2 - Custos diretos totais'!O$3)-1,0),0)</f>
        <v>0</v>
      </c>
      <c r="O142" s="710">
        <f>IFERROR(-VLOOKUP($A137,CustoDiretoTotal,COLUMN('B2 - Custos diretos totais'!P$3)-1,0),0)</f>
        <v>0</v>
      </c>
      <c r="P142" s="710">
        <f>IFERROR(-VLOOKUP($A137,CustoDiretoTotal,COLUMN('B2 - Custos diretos totais'!Q$3)-1,0),0)</f>
        <v>0</v>
      </c>
      <c r="Q142" s="710">
        <f>IFERROR(-VLOOKUP($A137,CustoDiretoTotal,COLUMN('B2 - Custos diretos totais'!R$3)-1,0),0)</f>
        <v>0</v>
      </c>
      <c r="R142" s="710">
        <f>IFERROR(-VLOOKUP($A137,CustoDiretoTotal,COLUMN('B2 - Custos diretos totais'!S$3)-1,0),0)</f>
        <v>0</v>
      </c>
      <c r="S142" s="710">
        <f>IFERROR(-VLOOKUP($A137,CustoDiretoTotal,COLUMN('B2 - Custos diretos totais'!T$3)-1,0),0)</f>
        <v>0</v>
      </c>
      <c r="T142" s="710">
        <f>IFERROR(-VLOOKUP($A137,CustoDiretoTotal,COLUMN('B2 - Custos diretos totais'!U$3)-1,0),0)</f>
        <v>0</v>
      </c>
      <c r="U142" s="710">
        <f>IFERROR(-VLOOKUP($A137,CustoDiretoTotal,COLUMN('B2 - Custos diretos totais'!V$3)-1,0),0)</f>
        <v>0</v>
      </c>
      <c r="V142" s="710">
        <f>IFERROR(-VLOOKUP($A137,CustoDiretoTotal,COLUMN('B2 - Custos diretos totais'!W$3)-1,0),0)</f>
        <v>0</v>
      </c>
      <c r="W142" s="710">
        <f>IFERROR(-VLOOKUP($A137,CustoDiretoTotal,COLUMN('B2 - Custos diretos totais'!X$3)-1,0),0)</f>
        <v>0</v>
      </c>
      <c r="X142" s="710">
        <f>IFERROR(-VLOOKUP($A137,CustoDiretoTotal,COLUMN('B2 - Custos diretos totais'!Y$3)-1,0),0)</f>
        <v>0</v>
      </c>
      <c r="Y142" s="710">
        <f>IFERROR(-VLOOKUP($A137,CustoDiretoTotal,COLUMN('B2 - Custos diretos totais'!Z$3)-1,0),0)</f>
        <v>0</v>
      </c>
      <c r="Z142" s="710">
        <f>IFERROR(-VLOOKUP($A137,CustoDiretoTotal,COLUMN('B2 - Custos diretos totais'!AA$3)-1,0),0)</f>
        <v>0</v>
      </c>
      <c r="AA142" s="710">
        <f>IFERROR(-VLOOKUP($A137,CustoDiretoTotal,COLUMN('B2 - Custos diretos totais'!AB$3)-1,0),0)</f>
        <v>0</v>
      </c>
      <c r="AB142" s="710">
        <f>IFERROR(-VLOOKUP($A137,CustoDiretoTotal,COLUMN('B2 - Custos diretos totais'!AC$3)-1,0),0)</f>
        <v>0</v>
      </c>
      <c r="AC142" s="710">
        <f>IFERROR(-VLOOKUP($A137,CustoDiretoTotal,COLUMN('B2 - Custos diretos totais'!AD$3)-1,0),0)</f>
        <v>0</v>
      </c>
      <c r="AD142" s="710">
        <f>IFERROR(-VLOOKUP($A137,CustoDiretoTotal,COLUMN('B2 - Custos diretos totais'!AE$3)-1,0),0)</f>
        <v>0</v>
      </c>
      <c r="AE142" s="710">
        <f>IFERROR(-VLOOKUP($A137,CustoDiretoTotal,COLUMN('B2 - Custos diretos totais'!AF$3)-1,0),0)</f>
        <v>0</v>
      </c>
      <c r="AF142" s="594"/>
      <c r="AG142" s="594"/>
      <c r="AH142" s="594"/>
      <c r="AI142" s="594"/>
      <c r="AJ142" s="594"/>
      <c r="AK142" s="594"/>
      <c r="AL142" s="594"/>
      <c r="AM142" s="594"/>
      <c r="AN142" s="594"/>
      <c r="AO142" s="594"/>
      <c r="AP142" s="594"/>
      <c r="AQ142" s="594"/>
      <c r="AR142" s="594"/>
      <c r="AS142" s="594"/>
      <c r="AT142" s="594"/>
      <c r="AU142" s="594"/>
      <c r="AV142" s="594"/>
      <c r="AW142" s="594"/>
      <c r="AX142" s="594"/>
      <c r="AY142" s="594"/>
      <c r="AZ142" s="594"/>
      <c r="BA142" s="594"/>
      <c r="BB142" s="594"/>
      <c r="BC142" s="594"/>
      <c r="BD142" s="594"/>
      <c r="BE142" s="594"/>
      <c r="BF142" s="594"/>
      <c r="BG142" s="594"/>
      <c r="BH142" s="594"/>
      <c r="BI142" s="594"/>
      <c r="BJ142" s="594"/>
      <c r="BK142" s="594"/>
      <c r="BL142" s="57"/>
      <c r="BM142" s="594"/>
      <c r="BN142" s="594"/>
      <c r="BO142" s="594"/>
      <c r="BP142" s="594"/>
      <c r="BQ142" s="594"/>
      <c r="BR142" s="594"/>
      <c r="BS142" s="594"/>
      <c r="BT142" s="594"/>
      <c r="BU142" s="594"/>
      <c r="BV142" s="594"/>
      <c r="BW142" s="594"/>
      <c r="BX142" s="594"/>
      <c r="BY142" s="594"/>
      <c r="BZ142" s="594"/>
      <c r="CA142" s="594"/>
      <c r="CB142" s="594"/>
      <c r="CC142" s="594"/>
      <c r="CD142" s="594"/>
      <c r="CE142" s="594"/>
      <c r="CF142" s="594"/>
      <c r="CG142" s="594"/>
      <c r="CH142" s="594"/>
      <c r="CI142" s="594"/>
      <c r="CJ142" s="594"/>
      <c r="CK142" s="594"/>
      <c r="CL142" s="594"/>
      <c r="CM142" s="594"/>
      <c r="CN142" s="594"/>
      <c r="CO142" s="594"/>
      <c r="CP142" s="594"/>
      <c r="CQ142" s="594"/>
    </row>
    <row r="143" spans="1:95" ht="21" hidden="1" customHeight="1" outlineLevel="2">
      <c r="A143" s="709" t="s">
        <v>684</v>
      </c>
      <c r="B143" s="710">
        <f>-SUMIFS('B3 - Custos despesas indiretos'!AK$5:AK$148,'B3 - Custos despesas indiretos'!$B$5:$B$148,"Custos",'B3 - Custos despesas indiretos'!$D$5:$D$148,$A137)</f>
        <v>0</v>
      </c>
      <c r="C143" s="710">
        <f>-SUMIFS('B3 - Custos despesas indiretos'!AL$5:AL$148,'B3 - Custos despesas indiretos'!$B$5:$B$148,"Custos",'B3 - Custos despesas indiretos'!$D$5:$D$148,$A137)</f>
        <v>0</v>
      </c>
      <c r="D143" s="710">
        <f>-SUMIFS('B3 - Custos despesas indiretos'!AM$5:AM$148,'B3 - Custos despesas indiretos'!$B$5:$B$148,"Custos",'B3 - Custos despesas indiretos'!$D$5:$D$148,$A137)</f>
        <v>0</v>
      </c>
      <c r="E143" s="710">
        <f>-SUMIFS('B3 - Custos despesas indiretos'!AN$5:AN$148,'B3 - Custos despesas indiretos'!$B$5:$B$148,"Custos",'B3 - Custos despesas indiretos'!$D$5:$D$148,$A137)</f>
        <v>0</v>
      </c>
      <c r="F143" s="710">
        <f>-SUMIFS('B3 - Custos despesas indiretos'!AO$5:AO$148,'B3 - Custos despesas indiretos'!$B$5:$B$148,"Custos",'B3 - Custos despesas indiretos'!$D$5:$D$148,$A137)</f>
        <v>0</v>
      </c>
      <c r="G143" s="710">
        <f>-SUMIFS('B3 - Custos despesas indiretos'!AP$5:AP$148,'B3 - Custos despesas indiretos'!$B$5:$B$148,"Custos",'B3 - Custos despesas indiretos'!$D$5:$D$148,$A137)</f>
        <v>0</v>
      </c>
      <c r="H143" s="710">
        <f>-SUMIFS('B3 - Custos despesas indiretos'!AQ$5:AQ$148,'B3 - Custos despesas indiretos'!$B$5:$B$148,"Custos",'B3 - Custos despesas indiretos'!$D$5:$D$148,$A137)</f>
        <v>0</v>
      </c>
      <c r="I143" s="710">
        <f>-SUMIFS('B3 - Custos despesas indiretos'!AR$5:AR$148,'B3 - Custos despesas indiretos'!$B$5:$B$148,"Custos",'B3 - Custos despesas indiretos'!$D$5:$D$148,$A137)</f>
        <v>0</v>
      </c>
      <c r="J143" s="710">
        <f>-SUMIFS('B3 - Custos despesas indiretos'!AS$5:AS$148,'B3 - Custos despesas indiretos'!$B$5:$B$148,"Custos",'B3 - Custos despesas indiretos'!$D$5:$D$148,$A137)</f>
        <v>0</v>
      </c>
      <c r="K143" s="710">
        <f>-SUMIFS('B3 - Custos despesas indiretos'!AT$5:AT$148,'B3 - Custos despesas indiretos'!$B$5:$B$148,"Custos",'B3 - Custos despesas indiretos'!$D$5:$D$148,$A137)</f>
        <v>0</v>
      </c>
      <c r="L143" s="710">
        <f>-SUMIFS('B3 - Custos despesas indiretos'!AU$5:AU$148,'B3 - Custos despesas indiretos'!$B$5:$B$148,"Custos",'B3 - Custos despesas indiretos'!$D$5:$D$148,$A137)</f>
        <v>0</v>
      </c>
      <c r="M143" s="710">
        <f>-SUMIFS('B3 - Custos despesas indiretos'!AV$5:AV$148,'B3 - Custos despesas indiretos'!$B$5:$B$148,"Custos",'B3 - Custos despesas indiretos'!$D$5:$D$148,$A137)</f>
        <v>0</v>
      </c>
      <c r="N143" s="710">
        <f>-SUMIFS('B3 - Custos despesas indiretos'!AW$5:AW$148,'B3 - Custos despesas indiretos'!$B$5:$B$148,"Custos",'B3 - Custos despesas indiretos'!$D$5:$D$148,$A137)</f>
        <v>0</v>
      </c>
      <c r="O143" s="710">
        <f>-SUMIFS('B3 - Custos despesas indiretos'!AX$5:AX$148,'B3 - Custos despesas indiretos'!$B$5:$B$148,"Custos",'B3 - Custos despesas indiretos'!$D$5:$D$148,$A137)</f>
        <v>0</v>
      </c>
      <c r="P143" s="710">
        <f>-SUMIFS('B3 - Custos despesas indiretos'!AY$5:AY$148,'B3 - Custos despesas indiretos'!$B$5:$B$148,"Custos",'B3 - Custos despesas indiretos'!$D$5:$D$148,$A137)</f>
        <v>0</v>
      </c>
      <c r="Q143" s="710">
        <f>-SUMIFS('B3 - Custos despesas indiretos'!AZ$5:AZ$148,'B3 - Custos despesas indiretos'!$B$5:$B$148,"Custos",'B3 - Custos despesas indiretos'!$D$5:$D$148,$A137)</f>
        <v>0</v>
      </c>
      <c r="R143" s="710">
        <f>-SUMIFS('B3 - Custos despesas indiretos'!BA$5:BA$148,'B3 - Custos despesas indiretos'!$B$5:$B$148,"Custos",'B3 - Custos despesas indiretos'!$D$5:$D$148,$A137)</f>
        <v>0</v>
      </c>
      <c r="S143" s="710">
        <f>-SUMIFS('B3 - Custos despesas indiretos'!BB$5:BB$148,'B3 - Custos despesas indiretos'!$B$5:$B$148,"Custos",'B3 - Custos despesas indiretos'!$D$5:$D$148,$A137)</f>
        <v>0</v>
      </c>
      <c r="T143" s="710">
        <f>-SUMIFS('B3 - Custos despesas indiretos'!BC$5:BC$148,'B3 - Custos despesas indiretos'!$B$5:$B$148,"Custos",'B3 - Custos despesas indiretos'!$D$5:$D$148,$A137)</f>
        <v>0</v>
      </c>
      <c r="U143" s="710">
        <f>-SUMIFS('B3 - Custos despesas indiretos'!BD$5:BD$148,'B3 - Custos despesas indiretos'!$B$5:$B$148,"Custos",'B3 - Custos despesas indiretos'!$D$5:$D$148,$A137)</f>
        <v>0</v>
      </c>
      <c r="V143" s="710">
        <f>-SUMIFS('B3 - Custos despesas indiretos'!BE$5:BE$148,'B3 - Custos despesas indiretos'!$B$5:$B$148,"Custos",'B3 - Custos despesas indiretos'!$D$5:$D$148,$A137)</f>
        <v>0</v>
      </c>
      <c r="W143" s="710">
        <f>-SUMIFS('B3 - Custos despesas indiretos'!BF$5:BF$148,'B3 - Custos despesas indiretos'!$B$5:$B$148,"Custos",'B3 - Custos despesas indiretos'!$D$5:$D$148,$A137)</f>
        <v>0</v>
      </c>
      <c r="X143" s="710">
        <f>-SUMIFS('B3 - Custos despesas indiretos'!BG$5:BG$148,'B3 - Custos despesas indiretos'!$B$5:$B$148,"Custos",'B3 - Custos despesas indiretos'!$D$5:$D$148,$A137)</f>
        <v>0</v>
      </c>
      <c r="Y143" s="710">
        <f>-SUMIFS('B3 - Custos despesas indiretos'!BH$5:BH$148,'B3 - Custos despesas indiretos'!$B$5:$B$148,"Custos",'B3 - Custos despesas indiretos'!$D$5:$D$148,$A137)</f>
        <v>0</v>
      </c>
      <c r="Z143" s="710">
        <f>-SUMIFS('B3 - Custos despesas indiretos'!BI$5:BI$148,'B3 - Custos despesas indiretos'!$B$5:$B$148,"Custos",'B3 - Custos despesas indiretos'!$D$5:$D$148,$A137)</f>
        <v>0</v>
      </c>
      <c r="AA143" s="710">
        <f>-SUMIFS('B3 - Custos despesas indiretos'!BJ$5:BJ$148,'B3 - Custos despesas indiretos'!$B$5:$B$148,"Custos",'B3 - Custos despesas indiretos'!$D$5:$D$148,$A137)</f>
        <v>0</v>
      </c>
      <c r="AB143" s="710">
        <f>-SUMIFS('B3 - Custos despesas indiretos'!BK$5:BK$148,'B3 - Custos despesas indiretos'!$B$5:$B$148,"Custos",'B3 - Custos despesas indiretos'!$D$5:$D$148,$A137)</f>
        <v>0</v>
      </c>
      <c r="AC143" s="710">
        <f>-SUMIFS('B3 - Custos despesas indiretos'!BL$5:BL$148,'B3 - Custos despesas indiretos'!$B$5:$B$148,"Custos",'B3 - Custos despesas indiretos'!$D$5:$D$148,$A137)</f>
        <v>0</v>
      </c>
      <c r="AD143" s="710">
        <f>-SUMIFS('B3 - Custos despesas indiretos'!BM$5:BM$148,'B3 - Custos despesas indiretos'!$B$5:$B$148,"Custos",'B3 - Custos despesas indiretos'!$D$5:$D$148,$A137)</f>
        <v>0</v>
      </c>
      <c r="AE143" s="710">
        <f>-SUMIFS('B3 - Custos despesas indiretos'!BN$5:BN$148,'B3 - Custos despesas indiretos'!$B$5:$B$148,"Custos",'B3 - Custos despesas indiretos'!$D$5:$D$148,$A137)</f>
        <v>0</v>
      </c>
      <c r="AF143" s="594"/>
      <c r="AG143" s="594"/>
      <c r="AH143" s="594"/>
      <c r="AI143" s="594"/>
      <c r="AJ143" s="594"/>
      <c r="AK143" s="594"/>
      <c r="AL143" s="594"/>
      <c r="AM143" s="594"/>
      <c r="AN143" s="594"/>
      <c r="AO143" s="594"/>
      <c r="AP143" s="594"/>
      <c r="AQ143" s="594"/>
      <c r="AR143" s="594"/>
      <c r="AS143" s="594"/>
      <c r="AT143" s="594"/>
      <c r="AU143" s="594"/>
      <c r="AV143" s="594"/>
      <c r="AW143" s="594"/>
      <c r="AX143" s="594"/>
      <c r="AY143" s="594"/>
      <c r="AZ143" s="594"/>
      <c r="BA143" s="594"/>
      <c r="BB143" s="594"/>
      <c r="BC143" s="594"/>
      <c r="BD143" s="594"/>
      <c r="BE143" s="594"/>
      <c r="BF143" s="594"/>
      <c r="BG143" s="594"/>
      <c r="BH143" s="594"/>
      <c r="BI143" s="594"/>
      <c r="BJ143" s="594"/>
      <c r="BK143" s="594"/>
      <c r="BL143" s="57"/>
      <c r="BM143" s="594"/>
      <c r="BN143" s="594"/>
      <c r="BO143" s="594"/>
      <c r="BP143" s="594"/>
      <c r="BQ143" s="594"/>
      <c r="BR143" s="594"/>
      <c r="BS143" s="594"/>
      <c r="BT143" s="594"/>
      <c r="BU143" s="594"/>
      <c r="BV143" s="594"/>
      <c r="BW143" s="594"/>
      <c r="BX143" s="594"/>
      <c r="BY143" s="594"/>
      <c r="BZ143" s="594"/>
      <c r="CA143" s="594"/>
      <c r="CB143" s="594"/>
      <c r="CC143" s="594"/>
      <c r="CD143" s="594"/>
      <c r="CE143" s="594"/>
      <c r="CF143" s="594"/>
      <c r="CG143" s="594"/>
      <c r="CH143" s="594"/>
      <c r="CI143" s="594"/>
      <c r="CJ143" s="594"/>
      <c r="CK143" s="594"/>
      <c r="CL143" s="594"/>
      <c r="CM143" s="594"/>
      <c r="CN143" s="594"/>
      <c r="CO143" s="594"/>
      <c r="CP143" s="594"/>
      <c r="CQ143" s="594"/>
    </row>
    <row r="144" spans="1:95" ht="21" hidden="1" customHeight="1" outlineLevel="2">
      <c r="A144" s="709" t="s">
        <v>685</v>
      </c>
      <c r="B144" s="710">
        <f>-SUMIFS('B3 - Custos despesas indiretos'!AK$5:AK$148,'B3 - Custos despesas indiretos'!$B$5:$B$148,"Despesas",'B3 - Custos despesas indiretos'!$D$5:$D$148,$A137)</f>
        <v>0</v>
      </c>
      <c r="C144" s="710">
        <f>-SUMIFS('B3 - Custos despesas indiretos'!AL$5:AL$148,'B3 - Custos despesas indiretos'!$B$5:$B$148,"Despesas",'B3 - Custos despesas indiretos'!$D$5:$D$148,$A137)</f>
        <v>0</v>
      </c>
      <c r="D144" s="710">
        <f>-SUMIFS('B3 - Custos despesas indiretos'!AM$5:AM$148,'B3 - Custos despesas indiretos'!$B$5:$B$148,"Despesas",'B3 - Custos despesas indiretos'!$D$5:$D$148,$A137)</f>
        <v>0</v>
      </c>
      <c r="E144" s="710">
        <f>-SUMIFS('B3 - Custos despesas indiretos'!AN$5:AN$148,'B3 - Custos despesas indiretos'!$B$5:$B$148,"Despesas",'B3 - Custos despesas indiretos'!$D$5:$D$148,$A137)</f>
        <v>0</v>
      </c>
      <c r="F144" s="710">
        <f>-SUMIFS('B3 - Custos despesas indiretos'!AO$5:AO$148,'B3 - Custos despesas indiretos'!$B$5:$B$148,"Despesas",'B3 - Custos despesas indiretos'!$D$5:$D$148,$A137)</f>
        <v>0</v>
      </c>
      <c r="G144" s="710">
        <f>-SUMIFS('B3 - Custos despesas indiretos'!AP$5:AP$148,'B3 - Custos despesas indiretos'!$B$5:$B$148,"Despesas",'B3 - Custos despesas indiretos'!$D$5:$D$148,$A137)</f>
        <v>0</v>
      </c>
      <c r="H144" s="710">
        <f>-SUMIFS('B3 - Custos despesas indiretos'!AQ$5:AQ$148,'B3 - Custos despesas indiretos'!$B$5:$B$148,"Despesas",'B3 - Custos despesas indiretos'!$D$5:$D$148,$A137)</f>
        <v>0</v>
      </c>
      <c r="I144" s="710">
        <f>-SUMIFS('B3 - Custos despesas indiretos'!AR$5:AR$148,'B3 - Custos despesas indiretos'!$B$5:$B$148,"Despesas",'B3 - Custos despesas indiretos'!$D$5:$D$148,$A137)</f>
        <v>0</v>
      </c>
      <c r="J144" s="710">
        <f>-SUMIFS('B3 - Custos despesas indiretos'!AS$5:AS$148,'B3 - Custos despesas indiretos'!$B$5:$B$148,"Despesas",'B3 - Custos despesas indiretos'!$D$5:$D$148,$A137)</f>
        <v>0</v>
      </c>
      <c r="K144" s="710">
        <f>-SUMIFS('B3 - Custos despesas indiretos'!AT$5:AT$148,'B3 - Custos despesas indiretos'!$B$5:$B$148,"Despesas",'B3 - Custos despesas indiretos'!$D$5:$D$148,$A137)</f>
        <v>0</v>
      </c>
      <c r="L144" s="710">
        <f>-SUMIFS('B3 - Custos despesas indiretos'!AU$5:AU$148,'B3 - Custos despesas indiretos'!$B$5:$B$148,"Despesas",'B3 - Custos despesas indiretos'!$D$5:$D$148,$A137)</f>
        <v>0</v>
      </c>
      <c r="M144" s="710">
        <f>-SUMIFS('B3 - Custos despesas indiretos'!AV$5:AV$148,'B3 - Custos despesas indiretos'!$B$5:$B$148,"Despesas",'B3 - Custos despesas indiretos'!$D$5:$D$148,$A137)</f>
        <v>0</v>
      </c>
      <c r="N144" s="710">
        <f>-SUMIFS('B3 - Custos despesas indiretos'!AW$5:AW$148,'B3 - Custos despesas indiretos'!$B$5:$B$148,"Despesas",'B3 - Custos despesas indiretos'!$D$5:$D$148,$A137)</f>
        <v>0</v>
      </c>
      <c r="O144" s="710">
        <f>-SUMIFS('B3 - Custos despesas indiretos'!AX$5:AX$148,'B3 - Custos despesas indiretos'!$B$5:$B$148,"Despesas",'B3 - Custos despesas indiretos'!$D$5:$D$148,$A137)</f>
        <v>0</v>
      </c>
      <c r="P144" s="710">
        <f>-SUMIFS('B3 - Custos despesas indiretos'!AY$5:AY$148,'B3 - Custos despesas indiretos'!$B$5:$B$148,"Despesas",'B3 - Custos despesas indiretos'!$D$5:$D$148,$A137)</f>
        <v>0</v>
      </c>
      <c r="Q144" s="710">
        <f>-SUMIFS('B3 - Custos despesas indiretos'!AZ$5:AZ$148,'B3 - Custos despesas indiretos'!$B$5:$B$148,"Despesas",'B3 - Custos despesas indiretos'!$D$5:$D$148,$A137)</f>
        <v>0</v>
      </c>
      <c r="R144" s="710">
        <f>-SUMIFS('B3 - Custos despesas indiretos'!BA$5:BA$148,'B3 - Custos despesas indiretos'!$B$5:$B$148,"Despesas",'B3 - Custos despesas indiretos'!$D$5:$D$148,$A137)</f>
        <v>0</v>
      </c>
      <c r="S144" s="710">
        <f>-SUMIFS('B3 - Custos despesas indiretos'!BB$5:BB$148,'B3 - Custos despesas indiretos'!$B$5:$B$148,"Despesas",'B3 - Custos despesas indiretos'!$D$5:$D$148,$A137)</f>
        <v>0</v>
      </c>
      <c r="T144" s="710">
        <f>-SUMIFS('B3 - Custos despesas indiretos'!BC$5:BC$148,'B3 - Custos despesas indiretos'!$B$5:$B$148,"Despesas",'B3 - Custos despesas indiretos'!$D$5:$D$148,$A137)</f>
        <v>0</v>
      </c>
      <c r="U144" s="710">
        <f>-SUMIFS('B3 - Custos despesas indiretos'!BD$5:BD$148,'B3 - Custos despesas indiretos'!$B$5:$B$148,"Despesas",'B3 - Custos despesas indiretos'!$D$5:$D$148,$A137)</f>
        <v>0</v>
      </c>
      <c r="V144" s="710">
        <f>-SUMIFS('B3 - Custos despesas indiretos'!BE$5:BE$148,'B3 - Custos despesas indiretos'!$B$5:$B$148,"Despesas",'B3 - Custos despesas indiretos'!$D$5:$D$148,$A137)</f>
        <v>0</v>
      </c>
      <c r="W144" s="710">
        <f>-SUMIFS('B3 - Custos despesas indiretos'!BF$5:BF$148,'B3 - Custos despesas indiretos'!$B$5:$B$148,"Despesas",'B3 - Custos despesas indiretos'!$D$5:$D$148,$A137)</f>
        <v>0</v>
      </c>
      <c r="X144" s="710">
        <f>-SUMIFS('B3 - Custos despesas indiretos'!BG$5:BG$148,'B3 - Custos despesas indiretos'!$B$5:$B$148,"Despesas",'B3 - Custos despesas indiretos'!$D$5:$D$148,$A137)</f>
        <v>0</v>
      </c>
      <c r="Y144" s="710">
        <f>-SUMIFS('B3 - Custos despesas indiretos'!BH$5:BH$148,'B3 - Custos despesas indiretos'!$B$5:$B$148,"Despesas",'B3 - Custos despesas indiretos'!$D$5:$D$148,$A137)</f>
        <v>0</v>
      </c>
      <c r="Z144" s="710">
        <f>-SUMIFS('B3 - Custos despesas indiretos'!BI$5:BI$148,'B3 - Custos despesas indiretos'!$B$5:$B$148,"Despesas",'B3 - Custos despesas indiretos'!$D$5:$D$148,$A137)</f>
        <v>0</v>
      </c>
      <c r="AA144" s="710">
        <f>-SUMIFS('B3 - Custos despesas indiretos'!BJ$5:BJ$148,'B3 - Custos despesas indiretos'!$B$5:$B$148,"Despesas",'B3 - Custos despesas indiretos'!$D$5:$D$148,$A137)</f>
        <v>0</v>
      </c>
      <c r="AB144" s="710">
        <f>-SUMIFS('B3 - Custos despesas indiretos'!BK$5:BK$148,'B3 - Custos despesas indiretos'!$B$5:$B$148,"Despesas",'B3 - Custos despesas indiretos'!$D$5:$D$148,$A137)</f>
        <v>0</v>
      </c>
      <c r="AC144" s="710">
        <f>-SUMIFS('B3 - Custos despesas indiretos'!BL$5:BL$148,'B3 - Custos despesas indiretos'!$B$5:$B$148,"Despesas",'B3 - Custos despesas indiretos'!$D$5:$D$148,$A137)</f>
        <v>0</v>
      </c>
      <c r="AD144" s="710">
        <f>-SUMIFS('B3 - Custos despesas indiretos'!BM$5:BM$148,'B3 - Custos despesas indiretos'!$B$5:$B$148,"Despesas",'B3 - Custos despesas indiretos'!$D$5:$D$148,$A137)</f>
        <v>0</v>
      </c>
      <c r="AE144" s="710">
        <f>-SUMIFS('B3 - Custos despesas indiretos'!BN$5:BN$148,'B3 - Custos despesas indiretos'!$B$5:$B$148,"Despesas",'B3 - Custos despesas indiretos'!$D$5:$D$148,$A137)</f>
        <v>0</v>
      </c>
      <c r="AF144" s="594"/>
      <c r="AG144" s="594"/>
      <c r="AH144" s="594"/>
      <c r="AI144" s="594"/>
      <c r="AJ144" s="594"/>
      <c r="AK144" s="594"/>
      <c r="AL144" s="594"/>
      <c r="AM144" s="594"/>
      <c r="AN144" s="594"/>
      <c r="AO144" s="594"/>
      <c r="AP144" s="594"/>
      <c r="AQ144" s="594"/>
      <c r="AR144" s="594"/>
      <c r="AS144" s="594"/>
      <c r="AT144" s="594"/>
      <c r="AU144" s="594"/>
      <c r="AV144" s="594"/>
      <c r="AW144" s="594"/>
      <c r="AX144" s="594"/>
      <c r="AY144" s="594"/>
      <c r="AZ144" s="594"/>
      <c r="BA144" s="594"/>
      <c r="BB144" s="594"/>
      <c r="BC144" s="594"/>
      <c r="BD144" s="594"/>
      <c r="BE144" s="594"/>
      <c r="BF144" s="594"/>
      <c r="BG144" s="594"/>
      <c r="BH144" s="594"/>
      <c r="BI144" s="594"/>
      <c r="BJ144" s="594"/>
      <c r="BK144" s="594"/>
      <c r="BL144" s="57"/>
      <c r="BM144" s="594"/>
      <c r="BN144" s="594"/>
      <c r="BO144" s="594"/>
      <c r="BP144" s="594"/>
      <c r="BQ144" s="594"/>
      <c r="BR144" s="594"/>
      <c r="BS144" s="594"/>
      <c r="BT144" s="594"/>
      <c r="BU144" s="594"/>
      <c r="BV144" s="594"/>
      <c r="BW144" s="594"/>
      <c r="BX144" s="594"/>
      <c r="BY144" s="594"/>
      <c r="BZ144" s="594"/>
      <c r="CA144" s="594"/>
      <c r="CB144" s="594"/>
      <c r="CC144" s="594"/>
      <c r="CD144" s="594"/>
      <c r="CE144" s="594"/>
      <c r="CF144" s="594"/>
      <c r="CG144" s="594"/>
      <c r="CH144" s="594"/>
      <c r="CI144" s="594"/>
      <c r="CJ144" s="594"/>
      <c r="CK144" s="594"/>
      <c r="CL144" s="594"/>
      <c r="CM144" s="594"/>
      <c r="CN144" s="594"/>
      <c r="CO144" s="594"/>
      <c r="CP144" s="594"/>
      <c r="CQ144" s="594"/>
    </row>
    <row r="145" spans="1:95" ht="21" hidden="1" customHeight="1" outlineLevel="2">
      <c r="A145" s="709" t="s">
        <v>686</v>
      </c>
      <c r="B145" s="710">
        <f>-SUMIF('D2 - Capex uso'!$C$6:$C$176,$A137,'D2 - Capex uso'!GI$6:GI$176)</f>
        <v>0</v>
      </c>
      <c r="C145" s="710">
        <f>-SUMIF('D2 - Capex uso'!$C$6:$C$176,$A137,'D2 - Capex uso'!GJ$6:GJ$176)</f>
        <v>0</v>
      </c>
      <c r="D145" s="710">
        <f>-SUMIF('D2 - Capex uso'!$C$6:$C$176,$A137,'D2 - Capex uso'!GK$6:GK$176)</f>
        <v>0</v>
      </c>
      <c r="E145" s="710">
        <f>-SUMIF('D2 - Capex uso'!$C$6:$C$176,$A137,'D2 - Capex uso'!GL$6:GL$176)</f>
        <v>0</v>
      </c>
      <c r="F145" s="710">
        <f>-SUMIF('D2 - Capex uso'!$C$6:$C$176,$A137,'D2 - Capex uso'!GM$6:GM$176)</f>
        <v>0</v>
      </c>
      <c r="G145" s="710">
        <f>-SUMIF('D2 - Capex uso'!$C$6:$C$176,$A137,'D2 - Capex uso'!GN$6:GN$176)</f>
        <v>0</v>
      </c>
      <c r="H145" s="710">
        <f>-SUMIF('D2 - Capex uso'!$C$6:$C$176,$A137,'D2 - Capex uso'!GO$6:GO$176)</f>
        <v>0</v>
      </c>
      <c r="I145" s="710">
        <f>-SUMIF('D2 - Capex uso'!$C$6:$C$176,$A137,'D2 - Capex uso'!GP$6:GP$176)</f>
        <v>0</v>
      </c>
      <c r="J145" s="710">
        <f>-SUMIF('D2 - Capex uso'!$C$6:$C$176,$A137,'D2 - Capex uso'!GQ$6:GQ$176)</f>
        <v>0</v>
      </c>
      <c r="K145" s="710">
        <f>-SUMIF('D2 - Capex uso'!$C$6:$C$176,$A137,'D2 - Capex uso'!GR$6:GR$176)</f>
        <v>0</v>
      </c>
      <c r="L145" s="710">
        <f>-SUMIF('D2 - Capex uso'!$C$6:$C$176,$A137,'D2 - Capex uso'!GS$6:GS$176)</f>
        <v>0</v>
      </c>
      <c r="M145" s="710">
        <f>-SUMIF('D2 - Capex uso'!$C$6:$C$176,$A137,'D2 - Capex uso'!GT$6:GT$176)</f>
        <v>0</v>
      </c>
      <c r="N145" s="710">
        <f>-SUMIF('D2 - Capex uso'!$C$6:$C$176,$A137,'D2 - Capex uso'!GU$6:GU$176)</f>
        <v>0</v>
      </c>
      <c r="O145" s="710">
        <f>-SUMIF('D2 - Capex uso'!$C$6:$C$176,$A137,'D2 - Capex uso'!GV$6:GV$176)</f>
        <v>0</v>
      </c>
      <c r="P145" s="710">
        <f>-SUMIF('D2 - Capex uso'!$C$6:$C$176,$A137,'D2 - Capex uso'!GW$6:GW$176)</f>
        <v>0</v>
      </c>
      <c r="Q145" s="710">
        <f>-SUMIF('D2 - Capex uso'!$C$6:$C$176,$A137,'D2 - Capex uso'!GX$6:GX$176)</f>
        <v>0</v>
      </c>
      <c r="R145" s="710">
        <f>-SUMIF('D2 - Capex uso'!$C$6:$C$176,$A137,'D2 - Capex uso'!GY$6:GY$176)</f>
        <v>0</v>
      </c>
      <c r="S145" s="710">
        <f>-SUMIF('D2 - Capex uso'!$C$6:$C$176,$A137,'D2 - Capex uso'!GZ$6:GZ$176)</f>
        <v>0</v>
      </c>
      <c r="T145" s="710">
        <f>-SUMIF('D2 - Capex uso'!$C$6:$C$176,$A137,'D2 - Capex uso'!HA$6:HA$176)</f>
        <v>0</v>
      </c>
      <c r="U145" s="710">
        <f>-SUMIF('D2 - Capex uso'!$C$6:$C$176,$A137,'D2 - Capex uso'!HB$6:HB$176)</f>
        <v>0</v>
      </c>
      <c r="V145" s="710">
        <f>-SUMIF('D2 - Capex uso'!$C$6:$C$176,$A137,'D2 - Capex uso'!HC$6:HC$176)</f>
        <v>0</v>
      </c>
      <c r="W145" s="710">
        <f>-SUMIF('D2 - Capex uso'!$C$6:$C$176,$A137,'D2 - Capex uso'!HD$6:HD$176)</f>
        <v>0</v>
      </c>
      <c r="X145" s="710">
        <f>-SUMIF('D2 - Capex uso'!$C$6:$C$176,$A137,'D2 - Capex uso'!HE$6:HE$176)</f>
        <v>0</v>
      </c>
      <c r="Y145" s="710">
        <f>-SUMIF('D2 - Capex uso'!$C$6:$C$176,$A137,'D2 - Capex uso'!HF$6:HF$176)</f>
        <v>0</v>
      </c>
      <c r="Z145" s="710">
        <f>-SUMIF('D2 - Capex uso'!$C$6:$C$176,$A137,'D2 - Capex uso'!HG$6:HG$176)</f>
        <v>0</v>
      </c>
      <c r="AA145" s="710">
        <f>-SUMIF('D2 - Capex uso'!$C$6:$C$176,$A137,'D2 - Capex uso'!HH$6:HH$176)</f>
        <v>0</v>
      </c>
      <c r="AB145" s="710">
        <f>-SUMIF('D2 - Capex uso'!$C$6:$C$176,$A137,'D2 - Capex uso'!HI$6:HI$176)</f>
        <v>0</v>
      </c>
      <c r="AC145" s="710">
        <f>-SUMIF('D2 - Capex uso'!$C$6:$C$176,$A137,'D2 - Capex uso'!HJ$6:HJ$176)</f>
        <v>0</v>
      </c>
      <c r="AD145" s="710">
        <f>-SUMIF('D2 - Capex uso'!$C$6:$C$176,$A137,'D2 - Capex uso'!HK$6:HK$176)</f>
        <v>0</v>
      </c>
      <c r="AE145" s="710">
        <f>-SUMIF('D2 - Capex uso'!$C$6:$C$176,$A137,'D2 - Capex uso'!HL$6:HL$176)</f>
        <v>0</v>
      </c>
      <c r="AF145" s="594"/>
      <c r="AG145" s="594"/>
      <c r="AH145" s="594"/>
      <c r="AI145" s="594"/>
      <c r="AJ145" s="594"/>
      <c r="AK145" s="594"/>
      <c r="AL145" s="594"/>
      <c r="AM145" s="594"/>
      <c r="AN145" s="594"/>
      <c r="AO145" s="594"/>
      <c r="AP145" s="594"/>
      <c r="AQ145" s="594"/>
      <c r="AR145" s="594"/>
      <c r="AS145" s="594"/>
      <c r="AT145" s="594"/>
      <c r="AU145" s="594"/>
      <c r="AV145" s="594"/>
      <c r="AW145" s="594"/>
      <c r="AX145" s="594"/>
      <c r="AY145" s="594"/>
      <c r="AZ145" s="594"/>
      <c r="BA145" s="594"/>
      <c r="BB145" s="594"/>
      <c r="BC145" s="594"/>
      <c r="BD145" s="594"/>
      <c r="BE145" s="594"/>
      <c r="BF145" s="594"/>
      <c r="BG145" s="594"/>
      <c r="BH145" s="594"/>
      <c r="BI145" s="594"/>
      <c r="BJ145" s="594"/>
      <c r="BK145" s="594"/>
      <c r="BL145" s="57"/>
      <c r="BM145" s="594"/>
      <c r="BN145" s="594"/>
      <c r="BO145" s="594"/>
      <c r="BP145" s="594"/>
      <c r="BQ145" s="594"/>
      <c r="BR145" s="594"/>
      <c r="BS145" s="594"/>
      <c r="BT145" s="594"/>
      <c r="BU145" s="594"/>
      <c r="BV145" s="594"/>
      <c r="BW145" s="594"/>
      <c r="BX145" s="594"/>
      <c r="BY145" s="594"/>
      <c r="BZ145" s="594"/>
      <c r="CA145" s="594"/>
      <c r="CB145" s="594"/>
      <c r="CC145" s="594"/>
      <c r="CD145" s="594"/>
      <c r="CE145" s="594"/>
      <c r="CF145" s="594"/>
      <c r="CG145" s="594"/>
      <c r="CH145" s="594"/>
      <c r="CI145" s="594"/>
      <c r="CJ145" s="594"/>
      <c r="CK145" s="594"/>
      <c r="CL145" s="594"/>
      <c r="CM145" s="594"/>
      <c r="CN145" s="594"/>
      <c r="CO145" s="594"/>
      <c r="CP145" s="594"/>
      <c r="CQ145" s="594"/>
    </row>
    <row r="146" spans="1:95" ht="21" hidden="1" customHeight="1" outlineLevel="1">
      <c r="A146" s="708" t="s">
        <v>687</v>
      </c>
      <c r="B146" s="707">
        <f t="shared" ref="B146:AE146" si="46">SUM(B138:B140)</f>
        <v>0</v>
      </c>
      <c r="C146" s="707">
        <f t="shared" si="46"/>
        <v>0</v>
      </c>
      <c r="D146" s="707">
        <f t="shared" si="46"/>
        <v>0</v>
      </c>
      <c r="E146" s="707">
        <f t="shared" si="46"/>
        <v>0</v>
      </c>
      <c r="F146" s="707">
        <f t="shared" si="46"/>
        <v>0</v>
      </c>
      <c r="G146" s="707">
        <f t="shared" si="46"/>
        <v>0</v>
      </c>
      <c r="H146" s="707">
        <f t="shared" si="46"/>
        <v>0</v>
      </c>
      <c r="I146" s="707">
        <f t="shared" si="46"/>
        <v>0</v>
      </c>
      <c r="J146" s="707">
        <f t="shared" si="46"/>
        <v>0</v>
      </c>
      <c r="K146" s="707">
        <f t="shared" si="46"/>
        <v>0</v>
      </c>
      <c r="L146" s="707">
        <f t="shared" si="46"/>
        <v>0</v>
      </c>
      <c r="M146" s="707">
        <f t="shared" si="46"/>
        <v>0</v>
      </c>
      <c r="N146" s="707">
        <f t="shared" si="46"/>
        <v>0</v>
      </c>
      <c r="O146" s="707">
        <f t="shared" si="46"/>
        <v>0</v>
      </c>
      <c r="P146" s="707">
        <f t="shared" si="46"/>
        <v>0</v>
      </c>
      <c r="Q146" s="707">
        <f t="shared" si="46"/>
        <v>0</v>
      </c>
      <c r="R146" s="707">
        <f t="shared" si="46"/>
        <v>0</v>
      </c>
      <c r="S146" s="707">
        <f t="shared" si="46"/>
        <v>0</v>
      </c>
      <c r="T146" s="707">
        <f t="shared" si="46"/>
        <v>0</v>
      </c>
      <c r="U146" s="707">
        <f t="shared" si="46"/>
        <v>0</v>
      </c>
      <c r="V146" s="707">
        <f t="shared" si="46"/>
        <v>0</v>
      </c>
      <c r="W146" s="707">
        <f t="shared" si="46"/>
        <v>0</v>
      </c>
      <c r="X146" s="707">
        <f t="shared" si="46"/>
        <v>0</v>
      </c>
      <c r="Y146" s="707">
        <f t="shared" si="46"/>
        <v>0</v>
      </c>
      <c r="Z146" s="707">
        <f t="shared" si="46"/>
        <v>0</v>
      </c>
      <c r="AA146" s="707">
        <f t="shared" si="46"/>
        <v>0</v>
      </c>
      <c r="AB146" s="707">
        <f t="shared" si="46"/>
        <v>0</v>
      </c>
      <c r="AC146" s="707">
        <f t="shared" si="46"/>
        <v>0</v>
      </c>
      <c r="AD146" s="707">
        <f t="shared" si="46"/>
        <v>0</v>
      </c>
      <c r="AE146" s="707">
        <f t="shared" si="46"/>
        <v>0</v>
      </c>
      <c r="AF146" s="594"/>
      <c r="AG146" s="594"/>
      <c r="AH146" s="594"/>
      <c r="AI146" s="594"/>
      <c r="AJ146" s="594"/>
      <c r="AK146" s="594"/>
      <c r="AL146" s="594"/>
      <c r="AM146" s="594"/>
      <c r="AN146" s="594"/>
      <c r="AO146" s="594"/>
      <c r="AP146" s="594"/>
      <c r="AQ146" s="594"/>
      <c r="AR146" s="594"/>
      <c r="AS146" s="594"/>
      <c r="AT146" s="594"/>
      <c r="AU146" s="594"/>
      <c r="AV146" s="594"/>
      <c r="AW146" s="594"/>
      <c r="AX146" s="594"/>
      <c r="AY146" s="594"/>
      <c r="AZ146" s="594"/>
      <c r="BA146" s="594"/>
      <c r="BB146" s="594"/>
      <c r="BC146" s="594"/>
      <c r="BD146" s="594"/>
      <c r="BE146" s="594"/>
      <c r="BF146" s="594"/>
      <c r="BG146" s="594"/>
      <c r="BH146" s="594"/>
      <c r="BI146" s="594"/>
      <c r="BJ146" s="594"/>
      <c r="BK146" s="594"/>
      <c r="BL146" s="57"/>
      <c r="BM146" s="594"/>
      <c r="BN146" s="594"/>
      <c r="BO146" s="594"/>
      <c r="BP146" s="594"/>
      <c r="BQ146" s="594"/>
      <c r="BR146" s="594"/>
      <c r="BS146" s="594"/>
      <c r="BT146" s="594"/>
      <c r="BU146" s="594"/>
      <c r="BV146" s="594"/>
      <c r="BW146" s="594"/>
      <c r="BX146" s="594"/>
      <c r="BY146" s="594"/>
      <c r="BZ146" s="594"/>
      <c r="CA146" s="594"/>
      <c r="CB146" s="594"/>
      <c r="CC146" s="594"/>
      <c r="CD146" s="594"/>
      <c r="CE146" s="594"/>
      <c r="CF146" s="594"/>
      <c r="CG146" s="594"/>
      <c r="CH146" s="594"/>
      <c r="CI146" s="594"/>
      <c r="CJ146" s="594"/>
      <c r="CK146" s="594"/>
      <c r="CL146" s="594"/>
      <c r="CM146" s="594"/>
      <c r="CN146" s="594"/>
      <c r="CO146" s="594"/>
      <c r="CP146" s="594"/>
      <c r="CQ146" s="594"/>
    </row>
    <row r="147" spans="1:95" ht="19.5" hidden="1" customHeight="1" outlineLevel="1">
      <c r="A147" s="708" t="s">
        <v>688</v>
      </c>
      <c r="B147" s="707">
        <f t="shared" ref="B147:AE147" si="47">SUM(B148:B155)</f>
        <v>0</v>
      </c>
      <c r="C147" s="707">
        <f t="shared" si="47"/>
        <v>0</v>
      </c>
      <c r="D147" s="707">
        <f t="shared" si="47"/>
        <v>0</v>
      </c>
      <c r="E147" s="707">
        <f t="shared" si="47"/>
        <v>0</v>
      </c>
      <c r="F147" s="707">
        <f t="shared" si="47"/>
        <v>0</v>
      </c>
      <c r="G147" s="707">
        <f t="shared" si="47"/>
        <v>0</v>
      </c>
      <c r="H147" s="707">
        <f t="shared" si="47"/>
        <v>0</v>
      </c>
      <c r="I147" s="707">
        <f t="shared" si="47"/>
        <v>0</v>
      </c>
      <c r="J147" s="707">
        <f t="shared" si="47"/>
        <v>0</v>
      </c>
      <c r="K147" s="707">
        <f t="shared" si="47"/>
        <v>0</v>
      </c>
      <c r="L147" s="707">
        <f t="shared" si="47"/>
        <v>0</v>
      </c>
      <c r="M147" s="707">
        <f t="shared" si="47"/>
        <v>0</v>
      </c>
      <c r="N147" s="707">
        <f t="shared" si="47"/>
        <v>0</v>
      </c>
      <c r="O147" s="707">
        <f t="shared" si="47"/>
        <v>0</v>
      </c>
      <c r="P147" s="707">
        <f t="shared" si="47"/>
        <v>0</v>
      </c>
      <c r="Q147" s="707">
        <f t="shared" si="47"/>
        <v>0</v>
      </c>
      <c r="R147" s="707">
        <f t="shared" si="47"/>
        <v>0</v>
      </c>
      <c r="S147" s="707">
        <f t="shared" si="47"/>
        <v>0</v>
      </c>
      <c r="T147" s="707">
        <f t="shared" si="47"/>
        <v>0</v>
      </c>
      <c r="U147" s="707">
        <f t="shared" si="47"/>
        <v>0</v>
      </c>
      <c r="V147" s="707">
        <f t="shared" si="47"/>
        <v>0</v>
      </c>
      <c r="W147" s="707">
        <f t="shared" si="47"/>
        <v>0</v>
      </c>
      <c r="X147" s="707">
        <f t="shared" si="47"/>
        <v>0</v>
      </c>
      <c r="Y147" s="707">
        <f t="shared" si="47"/>
        <v>0</v>
      </c>
      <c r="Z147" s="707">
        <f t="shared" si="47"/>
        <v>0</v>
      </c>
      <c r="AA147" s="707">
        <f t="shared" si="47"/>
        <v>0</v>
      </c>
      <c r="AB147" s="707">
        <f t="shared" si="47"/>
        <v>0</v>
      </c>
      <c r="AC147" s="707">
        <f t="shared" si="47"/>
        <v>0</v>
      </c>
      <c r="AD147" s="707">
        <f t="shared" si="47"/>
        <v>0</v>
      </c>
      <c r="AE147" s="707">
        <f t="shared" si="47"/>
        <v>0</v>
      </c>
      <c r="AF147" s="594"/>
      <c r="AG147" s="594"/>
      <c r="AH147" s="594"/>
      <c r="AI147" s="594"/>
      <c r="AJ147" s="594"/>
      <c r="AK147" s="594"/>
      <c r="AL147" s="594"/>
      <c r="AM147" s="594"/>
      <c r="AN147" s="594"/>
      <c r="AO147" s="594"/>
      <c r="AP147" s="594"/>
      <c r="AQ147" s="594"/>
      <c r="AR147" s="594"/>
      <c r="AS147" s="594"/>
      <c r="AT147" s="594"/>
      <c r="AU147" s="594"/>
      <c r="AV147" s="594"/>
      <c r="AW147" s="594"/>
      <c r="AX147" s="594"/>
      <c r="AY147" s="594"/>
      <c r="AZ147" s="594"/>
      <c r="BA147" s="594"/>
      <c r="BB147" s="594"/>
      <c r="BC147" s="594"/>
      <c r="BD147" s="594"/>
      <c r="BE147" s="594"/>
      <c r="BF147" s="594"/>
      <c r="BG147" s="594"/>
      <c r="BH147" s="594"/>
      <c r="BI147" s="594"/>
      <c r="BJ147" s="594"/>
      <c r="BK147" s="594"/>
      <c r="BL147" s="57"/>
      <c r="BM147" s="594"/>
      <c r="BN147" s="594"/>
      <c r="BO147" s="594"/>
      <c r="BP147" s="594"/>
      <c r="BQ147" s="594"/>
      <c r="BR147" s="594"/>
      <c r="BS147" s="594"/>
      <c r="BT147" s="594"/>
      <c r="BU147" s="594"/>
      <c r="BV147" s="594"/>
      <c r="BW147" s="594"/>
      <c r="BX147" s="594"/>
      <c r="BY147" s="594"/>
      <c r="BZ147" s="594"/>
      <c r="CA147" s="594"/>
      <c r="CB147" s="594"/>
      <c r="CC147" s="594"/>
      <c r="CD147" s="594"/>
      <c r="CE147" s="594"/>
      <c r="CF147" s="594"/>
      <c r="CG147" s="594"/>
      <c r="CH147" s="594"/>
      <c r="CI147" s="594"/>
      <c r="CJ147" s="594"/>
      <c r="CK147" s="594"/>
      <c r="CL147" s="594"/>
      <c r="CM147" s="594"/>
      <c r="CN147" s="594"/>
      <c r="CO147" s="594"/>
      <c r="CP147" s="594"/>
      <c r="CQ147" s="594"/>
    </row>
    <row r="148" spans="1:95" ht="19.5" hidden="1" customHeight="1" outlineLevel="2">
      <c r="A148" s="709" t="s">
        <v>354</v>
      </c>
      <c r="B148" s="710">
        <f>-SUMIFS('D2 - Capex uso'!BS$6:BS$176,'D2 - Capex uso'!$C$6:$C$176,$A137,'D2 - Capex uso'!$AK$6:$AK$176,$A148)</f>
        <v>0</v>
      </c>
      <c r="C148" s="710">
        <f>-SUMIFS('D2 - Capex uso'!BT$6:BT$176,'D2 - Capex uso'!$C$6:$C$176,$A137,'D2 - Capex uso'!$AK$6:$AK$176,$A148)</f>
        <v>0</v>
      </c>
      <c r="D148" s="710">
        <f>-SUMIFS('D2 - Capex uso'!BU$6:BU$176,'D2 - Capex uso'!$C$6:$C$176,$A137,'D2 - Capex uso'!$AK$6:$AK$176,$A148)</f>
        <v>0</v>
      </c>
      <c r="E148" s="710">
        <f>-SUMIFS('D2 - Capex uso'!BV$6:BV$176,'D2 - Capex uso'!$C$6:$C$176,$A137,'D2 - Capex uso'!$AK$6:$AK$176,$A148)</f>
        <v>0</v>
      </c>
      <c r="F148" s="710">
        <f>-SUMIFS('D2 - Capex uso'!BW$6:BW$176,'D2 - Capex uso'!$C$6:$C$176,$A137,'D2 - Capex uso'!$AK$6:$AK$176,$A148)</f>
        <v>0</v>
      </c>
      <c r="G148" s="710">
        <f>-SUMIFS('D2 - Capex uso'!BX$6:BX$176,'D2 - Capex uso'!$C$6:$C$176,$A137,'D2 - Capex uso'!$AK$6:$AK$176,$A148)</f>
        <v>0</v>
      </c>
      <c r="H148" s="710">
        <f>-SUMIFS('D2 - Capex uso'!BY$6:BY$176,'D2 - Capex uso'!$C$6:$C$176,$A137,'D2 - Capex uso'!$AK$6:$AK$176,$A148)</f>
        <v>0</v>
      </c>
      <c r="I148" s="710">
        <f>-SUMIFS('D2 - Capex uso'!BZ$6:BZ$176,'D2 - Capex uso'!$C$6:$C$176,$A137,'D2 - Capex uso'!$AK$6:$AK$176,$A148)</f>
        <v>0</v>
      </c>
      <c r="J148" s="710">
        <f>-SUMIFS('D2 - Capex uso'!CA$6:CA$176,'D2 - Capex uso'!$C$6:$C$176,$A137,'D2 - Capex uso'!$AK$6:$AK$176,$A148)</f>
        <v>0</v>
      </c>
      <c r="K148" s="710">
        <f>-SUMIFS('D2 - Capex uso'!CB$6:CB$176,'D2 - Capex uso'!$C$6:$C$176,$A137,'D2 - Capex uso'!$AK$6:$AK$176,$A148)</f>
        <v>0</v>
      </c>
      <c r="L148" s="710">
        <f>-SUMIFS('D2 - Capex uso'!CC$6:CC$176,'D2 - Capex uso'!$C$6:$C$176,$A137,'D2 - Capex uso'!$AK$6:$AK$176,$A148)</f>
        <v>0</v>
      </c>
      <c r="M148" s="710">
        <f>-SUMIFS('D2 - Capex uso'!CD$6:CD$176,'D2 - Capex uso'!$C$6:$C$176,$A137,'D2 - Capex uso'!$AK$6:$AK$176,$A148)</f>
        <v>0</v>
      </c>
      <c r="N148" s="710">
        <f>-SUMIFS('D2 - Capex uso'!CE$6:CE$176,'D2 - Capex uso'!$C$6:$C$176,$A137,'D2 - Capex uso'!$AK$6:$AK$176,$A148)</f>
        <v>0</v>
      </c>
      <c r="O148" s="710">
        <f>-SUMIFS('D2 - Capex uso'!CF$6:CF$176,'D2 - Capex uso'!$C$6:$C$176,$A137,'D2 - Capex uso'!$AK$6:$AK$176,$A148)</f>
        <v>0</v>
      </c>
      <c r="P148" s="710">
        <f>-SUMIFS('D2 - Capex uso'!CG$6:CG$176,'D2 - Capex uso'!$C$6:$C$176,$A137,'D2 - Capex uso'!$AK$6:$AK$176,$A148)</f>
        <v>0</v>
      </c>
      <c r="Q148" s="710">
        <f>-SUMIFS('D2 - Capex uso'!CH$6:CH$176,'D2 - Capex uso'!$C$6:$C$176,$A137,'D2 - Capex uso'!$AK$6:$AK$176,$A148)</f>
        <v>0</v>
      </c>
      <c r="R148" s="710">
        <f>-SUMIFS('D2 - Capex uso'!CI$6:CI$176,'D2 - Capex uso'!$C$6:$C$176,$A137,'D2 - Capex uso'!$AK$6:$AK$176,$A148)</f>
        <v>0</v>
      </c>
      <c r="S148" s="710">
        <f>-SUMIFS('D2 - Capex uso'!CJ$6:CJ$176,'D2 - Capex uso'!$C$6:$C$176,$A137,'D2 - Capex uso'!$AK$6:$AK$176,$A148)</f>
        <v>0</v>
      </c>
      <c r="T148" s="710">
        <f>-SUMIFS('D2 - Capex uso'!CK$6:CK$176,'D2 - Capex uso'!$C$6:$C$176,$A137,'D2 - Capex uso'!$AK$6:$AK$176,$A148)</f>
        <v>0</v>
      </c>
      <c r="U148" s="710">
        <f>-SUMIFS('D2 - Capex uso'!CL$6:CL$176,'D2 - Capex uso'!$C$6:$C$176,$A137,'D2 - Capex uso'!$AK$6:$AK$176,$A148)</f>
        <v>0</v>
      </c>
      <c r="V148" s="710">
        <f>-SUMIFS('D2 - Capex uso'!CM$6:CM$176,'D2 - Capex uso'!$C$6:$C$176,$A137,'D2 - Capex uso'!$AK$6:$AK$176,$A148)</f>
        <v>0</v>
      </c>
      <c r="W148" s="710">
        <f>-SUMIFS('D2 - Capex uso'!CN$6:CN$176,'D2 - Capex uso'!$C$6:$C$176,$A137,'D2 - Capex uso'!$AK$6:$AK$176,$A148)</f>
        <v>0</v>
      </c>
      <c r="X148" s="710">
        <f>-SUMIFS('D2 - Capex uso'!CO$6:CO$176,'D2 - Capex uso'!$C$6:$C$176,$A137,'D2 - Capex uso'!$AK$6:$AK$176,$A148)</f>
        <v>0</v>
      </c>
      <c r="Y148" s="710">
        <f>-SUMIFS('D2 - Capex uso'!CP$6:CP$176,'D2 - Capex uso'!$C$6:$C$176,$A137,'D2 - Capex uso'!$AK$6:$AK$176,$A148)</f>
        <v>0</v>
      </c>
      <c r="Z148" s="710">
        <f>-SUMIFS('D2 - Capex uso'!CQ$6:CQ$176,'D2 - Capex uso'!$C$6:$C$176,$A137,'D2 - Capex uso'!$AK$6:$AK$176,$A148)</f>
        <v>0</v>
      </c>
      <c r="AA148" s="710">
        <f>-SUMIFS('D2 - Capex uso'!CR$6:CR$176,'D2 - Capex uso'!$C$6:$C$176,$A137,'D2 - Capex uso'!$AK$6:$AK$176,$A148)</f>
        <v>0</v>
      </c>
      <c r="AB148" s="710">
        <f>-SUMIFS('D2 - Capex uso'!CS$6:CS$176,'D2 - Capex uso'!$C$6:$C$176,$A137,'D2 - Capex uso'!$AK$6:$AK$176,$A148)</f>
        <v>0</v>
      </c>
      <c r="AC148" s="710">
        <f>-SUMIFS('D2 - Capex uso'!CT$6:CT$176,'D2 - Capex uso'!$C$6:$C$176,$A137,'D2 - Capex uso'!$AK$6:$AK$176,$A148)</f>
        <v>0</v>
      </c>
      <c r="AD148" s="710">
        <f>-SUMIFS('D2 - Capex uso'!CU$6:CU$176,'D2 - Capex uso'!$C$6:$C$176,$A137,'D2 - Capex uso'!$AK$6:$AK$176,$A148)</f>
        <v>0</v>
      </c>
      <c r="AE148" s="710">
        <f>-SUMIFS('D2 - Capex uso'!CV$6:CV$176,'D2 - Capex uso'!$C$6:$C$176,$A137,'D2 - Capex uso'!$AK$6:$AK$176,$A148)</f>
        <v>0</v>
      </c>
      <c r="AF148" s="594"/>
      <c r="AG148" s="594"/>
      <c r="AH148" s="594"/>
      <c r="AI148" s="594"/>
      <c r="AJ148" s="594"/>
      <c r="AK148" s="594"/>
      <c r="AL148" s="594"/>
      <c r="AM148" s="594"/>
      <c r="AN148" s="594"/>
      <c r="AO148" s="594"/>
      <c r="AP148" s="594"/>
      <c r="AQ148" s="594"/>
      <c r="AR148" s="594"/>
      <c r="AS148" s="594"/>
      <c r="AT148" s="594"/>
      <c r="AU148" s="594"/>
      <c r="AV148" s="594"/>
      <c r="AW148" s="594"/>
      <c r="AX148" s="594"/>
      <c r="AY148" s="594"/>
      <c r="AZ148" s="594"/>
      <c r="BA148" s="594"/>
      <c r="BB148" s="594"/>
      <c r="BC148" s="594"/>
      <c r="BD148" s="594"/>
      <c r="BE148" s="594"/>
      <c r="BF148" s="594"/>
      <c r="BG148" s="594"/>
      <c r="BH148" s="594"/>
      <c r="BI148" s="594"/>
      <c r="BJ148" s="594"/>
      <c r="BK148" s="594"/>
      <c r="BL148" s="57"/>
      <c r="BM148" s="594"/>
      <c r="BN148" s="594"/>
      <c r="BO148" s="594"/>
      <c r="BP148" s="594"/>
      <c r="BQ148" s="594"/>
      <c r="BR148" s="594"/>
      <c r="BS148" s="594"/>
      <c r="BT148" s="594"/>
      <c r="BU148" s="594"/>
      <c r="BV148" s="594"/>
      <c r="BW148" s="594"/>
      <c r="BX148" s="594"/>
      <c r="BY148" s="594"/>
      <c r="BZ148" s="594"/>
      <c r="CA148" s="594"/>
      <c r="CB148" s="594"/>
      <c r="CC148" s="594"/>
      <c r="CD148" s="594"/>
      <c r="CE148" s="594"/>
      <c r="CF148" s="594"/>
      <c r="CG148" s="594"/>
      <c r="CH148" s="594"/>
      <c r="CI148" s="594"/>
      <c r="CJ148" s="594"/>
      <c r="CK148" s="594"/>
      <c r="CL148" s="594"/>
      <c r="CM148" s="594"/>
      <c r="CN148" s="594"/>
      <c r="CO148" s="594"/>
      <c r="CP148" s="594"/>
      <c r="CQ148" s="594"/>
    </row>
    <row r="149" spans="1:95" ht="19.5" hidden="1" customHeight="1" outlineLevel="2">
      <c r="A149" s="709" t="s">
        <v>689</v>
      </c>
      <c r="B149" s="710">
        <f>-SUMIFS('D2 - Capex uso'!BS$6:BS$176,'D2 - Capex uso'!$C$6:$C$176,$A137,'D2 - Capex uso'!$AK$6:$AK$176,$A149)</f>
        <v>0</v>
      </c>
      <c r="C149" s="710">
        <f>-SUMIFS('D2 - Capex uso'!BT$6:BT$176,'D2 - Capex uso'!$C$6:$C$176,$A137,'D2 - Capex uso'!$AK$6:$AK$176,$A149)</f>
        <v>0</v>
      </c>
      <c r="D149" s="710">
        <f>-SUMIFS('D2 - Capex uso'!BU$6:BU$176,'D2 - Capex uso'!$C$6:$C$176,$A137,'D2 - Capex uso'!$AK$6:$AK$176,$A149)</f>
        <v>0</v>
      </c>
      <c r="E149" s="710">
        <f>-SUMIFS('D2 - Capex uso'!BV$6:BV$176,'D2 - Capex uso'!$C$6:$C$176,$A137,'D2 - Capex uso'!$AK$6:$AK$176,$A149)</f>
        <v>0</v>
      </c>
      <c r="F149" s="710">
        <f>-SUMIFS('D2 - Capex uso'!BW$6:BW$176,'D2 - Capex uso'!$C$6:$C$176,$A137,'D2 - Capex uso'!$AK$6:$AK$176,$A149)</f>
        <v>0</v>
      </c>
      <c r="G149" s="710">
        <f>-SUMIFS('D2 - Capex uso'!BX$6:BX$176,'D2 - Capex uso'!$C$6:$C$176,$A137,'D2 - Capex uso'!$AK$6:$AK$176,$A149)</f>
        <v>0</v>
      </c>
      <c r="H149" s="710">
        <f>-SUMIFS('D2 - Capex uso'!BY$6:BY$176,'D2 - Capex uso'!$C$6:$C$176,$A137,'D2 - Capex uso'!$AK$6:$AK$176,$A149)</f>
        <v>0</v>
      </c>
      <c r="I149" s="710">
        <f>-SUMIFS('D2 - Capex uso'!BZ$6:BZ$176,'D2 - Capex uso'!$C$6:$C$176,$A137,'D2 - Capex uso'!$AK$6:$AK$176,$A149)</f>
        <v>0</v>
      </c>
      <c r="J149" s="710">
        <f>-SUMIFS('D2 - Capex uso'!CA$6:CA$176,'D2 - Capex uso'!$C$6:$C$176,$A137,'D2 - Capex uso'!$AK$6:$AK$176,$A149)</f>
        <v>0</v>
      </c>
      <c r="K149" s="710">
        <f>-SUMIFS('D2 - Capex uso'!CB$6:CB$176,'D2 - Capex uso'!$C$6:$C$176,$A137,'D2 - Capex uso'!$AK$6:$AK$176,$A149)</f>
        <v>0</v>
      </c>
      <c r="L149" s="710">
        <f>-SUMIFS('D2 - Capex uso'!CC$6:CC$176,'D2 - Capex uso'!$C$6:$C$176,$A137,'D2 - Capex uso'!$AK$6:$AK$176,$A149)</f>
        <v>0</v>
      </c>
      <c r="M149" s="710">
        <f>-SUMIFS('D2 - Capex uso'!CD$6:CD$176,'D2 - Capex uso'!$C$6:$C$176,$A137,'D2 - Capex uso'!$AK$6:$AK$176,$A149)</f>
        <v>0</v>
      </c>
      <c r="N149" s="710">
        <f>-SUMIFS('D2 - Capex uso'!CE$6:CE$176,'D2 - Capex uso'!$C$6:$C$176,$A137,'D2 - Capex uso'!$AK$6:$AK$176,$A149)</f>
        <v>0</v>
      </c>
      <c r="O149" s="710">
        <f>-SUMIFS('D2 - Capex uso'!CF$6:CF$176,'D2 - Capex uso'!$C$6:$C$176,$A137,'D2 - Capex uso'!$AK$6:$AK$176,$A149)</f>
        <v>0</v>
      </c>
      <c r="P149" s="710">
        <f>-SUMIFS('D2 - Capex uso'!CG$6:CG$176,'D2 - Capex uso'!$C$6:$C$176,$A137,'D2 - Capex uso'!$AK$6:$AK$176,$A149)</f>
        <v>0</v>
      </c>
      <c r="Q149" s="710">
        <f>-SUMIFS('D2 - Capex uso'!CH$6:CH$176,'D2 - Capex uso'!$C$6:$C$176,$A137,'D2 - Capex uso'!$AK$6:$AK$176,$A149)</f>
        <v>0</v>
      </c>
      <c r="R149" s="710">
        <f>-SUMIFS('D2 - Capex uso'!CI$6:CI$176,'D2 - Capex uso'!$C$6:$C$176,$A137,'D2 - Capex uso'!$AK$6:$AK$176,$A149)</f>
        <v>0</v>
      </c>
      <c r="S149" s="710">
        <f>-SUMIFS('D2 - Capex uso'!CJ$6:CJ$176,'D2 - Capex uso'!$C$6:$C$176,$A137,'D2 - Capex uso'!$AK$6:$AK$176,$A149)</f>
        <v>0</v>
      </c>
      <c r="T149" s="710">
        <f>-SUMIFS('D2 - Capex uso'!CK$6:CK$176,'D2 - Capex uso'!$C$6:$C$176,$A137,'D2 - Capex uso'!$AK$6:$AK$176,$A149)</f>
        <v>0</v>
      </c>
      <c r="U149" s="710">
        <f>-SUMIFS('D2 - Capex uso'!CL$6:CL$176,'D2 - Capex uso'!$C$6:$C$176,$A137,'D2 - Capex uso'!$AK$6:$AK$176,$A149)</f>
        <v>0</v>
      </c>
      <c r="V149" s="710">
        <f>-SUMIFS('D2 - Capex uso'!CM$6:CM$176,'D2 - Capex uso'!$C$6:$C$176,$A137,'D2 - Capex uso'!$AK$6:$AK$176,$A149)</f>
        <v>0</v>
      </c>
      <c r="W149" s="710">
        <f>-SUMIFS('D2 - Capex uso'!CN$6:CN$176,'D2 - Capex uso'!$C$6:$C$176,$A137,'D2 - Capex uso'!$AK$6:$AK$176,$A149)</f>
        <v>0</v>
      </c>
      <c r="X149" s="710">
        <f>-SUMIFS('D2 - Capex uso'!CO$6:CO$176,'D2 - Capex uso'!$C$6:$C$176,$A137,'D2 - Capex uso'!$AK$6:$AK$176,$A149)</f>
        <v>0</v>
      </c>
      <c r="Y149" s="710">
        <f>-SUMIFS('D2 - Capex uso'!CP$6:CP$176,'D2 - Capex uso'!$C$6:$C$176,$A137,'D2 - Capex uso'!$AK$6:$AK$176,$A149)</f>
        <v>0</v>
      </c>
      <c r="Z149" s="710">
        <f>-SUMIFS('D2 - Capex uso'!CQ$6:CQ$176,'D2 - Capex uso'!$C$6:$C$176,$A137,'D2 - Capex uso'!$AK$6:$AK$176,$A149)</f>
        <v>0</v>
      </c>
      <c r="AA149" s="710">
        <f>-SUMIFS('D2 - Capex uso'!CR$6:CR$176,'D2 - Capex uso'!$C$6:$C$176,$A137,'D2 - Capex uso'!$AK$6:$AK$176,$A149)</f>
        <v>0</v>
      </c>
      <c r="AB149" s="710">
        <f>-SUMIFS('D2 - Capex uso'!CS$6:CS$176,'D2 - Capex uso'!$C$6:$C$176,$A137,'D2 - Capex uso'!$AK$6:$AK$176,$A149)</f>
        <v>0</v>
      </c>
      <c r="AC149" s="710">
        <f>-SUMIFS('D2 - Capex uso'!CT$6:CT$176,'D2 - Capex uso'!$C$6:$C$176,$A137,'D2 - Capex uso'!$AK$6:$AK$176,$A149)</f>
        <v>0</v>
      </c>
      <c r="AD149" s="710">
        <f>-SUMIFS('D2 - Capex uso'!CU$6:CU$176,'D2 - Capex uso'!$C$6:$C$176,$A137,'D2 - Capex uso'!$AK$6:$AK$176,$A149)</f>
        <v>0</v>
      </c>
      <c r="AE149" s="710">
        <f>-SUMIFS('D2 - Capex uso'!CV$6:CV$176,'D2 - Capex uso'!$C$6:$C$176,$A137,'D2 - Capex uso'!$AK$6:$AK$176,$A149)</f>
        <v>0</v>
      </c>
      <c r="AF149" s="594"/>
      <c r="AG149" s="594"/>
      <c r="AH149" s="594"/>
      <c r="AI149" s="594"/>
      <c r="AJ149" s="594"/>
      <c r="AK149" s="594"/>
      <c r="AL149" s="594"/>
      <c r="AM149" s="594"/>
      <c r="AN149" s="594"/>
      <c r="AO149" s="594"/>
      <c r="AP149" s="594"/>
      <c r="AQ149" s="594"/>
      <c r="AR149" s="594"/>
      <c r="AS149" s="594"/>
      <c r="AT149" s="594"/>
      <c r="AU149" s="594"/>
      <c r="AV149" s="594"/>
      <c r="AW149" s="594"/>
      <c r="AX149" s="594"/>
      <c r="AY149" s="594"/>
      <c r="AZ149" s="594"/>
      <c r="BA149" s="594"/>
      <c r="BB149" s="594"/>
      <c r="BC149" s="594"/>
      <c r="BD149" s="594"/>
      <c r="BE149" s="594"/>
      <c r="BF149" s="594"/>
      <c r="BG149" s="594"/>
      <c r="BH149" s="594"/>
      <c r="BI149" s="594"/>
      <c r="BJ149" s="594"/>
      <c r="BK149" s="594"/>
      <c r="BL149" s="57"/>
      <c r="BM149" s="594"/>
      <c r="BN149" s="594"/>
      <c r="BO149" s="594"/>
      <c r="BP149" s="594"/>
      <c r="BQ149" s="594"/>
      <c r="BR149" s="594"/>
      <c r="BS149" s="594"/>
      <c r="BT149" s="594"/>
      <c r="BU149" s="594"/>
      <c r="BV149" s="594"/>
      <c r="BW149" s="594"/>
      <c r="BX149" s="594"/>
      <c r="BY149" s="594"/>
      <c r="BZ149" s="594"/>
      <c r="CA149" s="594"/>
      <c r="CB149" s="594"/>
      <c r="CC149" s="594"/>
      <c r="CD149" s="594"/>
      <c r="CE149" s="594"/>
      <c r="CF149" s="594"/>
      <c r="CG149" s="594"/>
      <c r="CH149" s="594"/>
      <c r="CI149" s="594"/>
      <c r="CJ149" s="594"/>
      <c r="CK149" s="594"/>
      <c r="CL149" s="594"/>
      <c r="CM149" s="594"/>
      <c r="CN149" s="594"/>
      <c r="CO149" s="594"/>
      <c r="CP149" s="594"/>
      <c r="CQ149" s="594"/>
    </row>
    <row r="150" spans="1:95" ht="19.5" hidden="1" customHeight="1" outlineLevel="2">
      <c r="A150" s="709" t="s">
        <v>378</v>
      </c>
      <c r="B150" s="710">
        <f>-SUMIFS('D2 - Capex uso'!BS$6:BS$176,'D2 - Capex uso'!$C$6:$C$176,$A137,'D2 - Capex uso'!$AK$6:$AK$176,$A150)</f>
        <v>0</v>
      </c>
      <c r="C150" s="710">
        <f>-SUMIFS('D2 - Capex uso'!BT$6:BT$176,'D2 - Capex uso'!$C$6:$C$176,$A137,'D2 - Capex uso'!$AK$6:$AK$176,$A150)</f>
        <v>0</v>
      </c>
      <c r="D150" s="710">
        <f>-SUMIFS('D2 - Capex uso'!BU$6:BU$176,'D2 - Capex uso'!$C$6:$C$176,$A137,'D2 - Capex uso'!$AK$6:$AK$176,$A150)</f>
        <v>0</v>
      </c>
      <c r="E150" s="710">
        <f>-SUMIFS('D2 - Capex uso'!BV$6:BV$176,'D2 - Capex uso'!$C$6:$C$176,$A137,'D2 - Capex uso'!$AK$6:$AK$176,$A150)</f>
        <v>0</v>
      </c>
      <c r="F150" s="710">
        <f>-SUMIFS('D2 - Capex uso'!BW$6:BW$176,'D2 - Capex uso'!$C$6:$C$176,$A137,'D2 - Capex uso'!$AK$6:$AK$176,$A150)</f>
        <v>0</v>
      </c>
      <c r="G150" s="710">
        <f>-SUMIFS('D2 - Capex uso'!BX$6:BX$176,'D2 - Capex uso'!$C$6:$C$176,$A137,'D2 - Capex uso'!$AK$6:$AK$176,$A150)</f>
        <v>0</v>
      </c>
      <c r="H150" s="710">
        <f>-SUMIFS('D2 - Capex uso'!BY$6:BY$176,'D2 - Capex uso'!$C$6:$C$176,$A137,'D2 - Capex uso'!$AK$6:$AK$176,$A150)</f>
        <v>0</v>
      </c>
      <c r="I150" s="710">
        <f>-SUMIFS('D2 - Capex uso'!BZ$6:BZ$176,'D2 - Capex uso'!$C$6:$C$176,$A137,'D2 - Capex uso'!$AK$6:$AK$176,$A150)</f>
        <v>0</v>
      </c>
      <c r="J150" s="710">
        <f>-SUMIFS('D2 - Capex uso'!CA$6:CA$176,'D2 - Capex uso'!$C$6:$C$176,$A137,'D2 - Capex uso'!$AK$6:$AK$176,$A150)</f>
        <v>0</v>
      </c>
      <c r="K150" s="710">
        <f>-SUMIFS('D2 - Capex uso'!CB$6:CB$176,'D2 - Capex uso'!$C$6:$C$176,$A137,'D2 - Capex uso'!$AK$6:$AK$176,$A150)</f>
        <v>0</v>
      </c>
      <c r="L150" s="710">
        <f>-SUMIFS('D2 - Capex uso'!CC$6:CC$176,'D2 - Capex uso'!$C$6:$C$176,$A137,'D2 - Capex uso'!$AK$6:$AK$176,$A150)</f>
        <v>0</v>
      </c>
      <c r="M150" s="710">
        <f>-SUMIFS('D2 - Capex uso'!CD$6:CD$176,'D2 - Capex uso'!$C$6:$C$176,$A137,'D2 - Capex uso'!$AK$6:$AK$176,$A150)</f>
        <v>0</v>
      </c>
      <c r="N150" s="710">
        <f>-SUMIFS('D2 - Capex uso'!CE$6:CE$176,'D2 - Capex uso'!$C$6:$C$176,$A137,'D2 - Capex uso'!$AK$6:$AK$176,$A150)</f>
        <v>0</v>
      </c>
      <c r="O150" s="710">
        <f>-SUMIFS('D2 - Capex uso'!CF$6:CF$176,'D2 - Capex uso'!$C$6:$C$176,$A137,'D2 - Capex uso'!$AK$6:$AK$176,$A150)</f>
        <v>0</v>
      </c>
      <c r="P150" s="710">
        <f>-SUMIFS('D2 - Capex uso'!CG$6:CG$176,'D2 - Capex uso'!$C$6:$C$176,$A137,'D2 - Capex uso'!$AK$6:$AK$176,$A150)</f>
        <v>0</v>
      </c>
      <c r="Q150" s="710">
        <f>-SUMIFS('D2 - Capex uso'!CH$6:CH$176,'D2 - Capex uso'!$C$6:$C$176,$A137,'D2 - Capex uso'!$AK$6:$AK$176,$A150)</f>
        <v>0</v>
      </c>
      <c r="R150" s="710">
        <f>-SUMIFS('D2 - Capex uso'!CI$6:CI$176,'D2 - Capex uso'!$C$6:$C$176,$A137,'D2 - Capex uso'!$AK$6:$AK$176,$A150)</f>
        <v>0</v>
      </c>
      <c r="S150" s="710">
        <f>-SUMIFS('D2 - Capex uso'!CJ$6:CJ$176,'D2 - Capex uso'!$C$6:$C$176,$A137,'D2 - Capex uso'!$AK$6:$AK$176,$A150)</f>
        <v>0</v>
      </c>
      <c r="T150" s="710">
        <f>-SUMIFS('D2 - Capex uso'!CK$6:CK$176,'D2 - Capex uso'!$C$6:$C$176,$A137,'D2 - Capex uso'!$AK$6:$AK$176,$A150)</f>
        <v>0</v>
      </c>
      <c r="U150" s="710">
        <f>-SUMIFS('D2 - Capex uso'!CL$6:CL$176,'D2 - Capex uso'!$C$6:$C$176,$A137,'D2 - Capex uso'!$AK$6:$AK$176,$A150)</f>
        <v>0</v>
      </c>
      <c r="V150" s="710">
        <f>-SUMIFS('D2 - Capex uso'!CM$6:CM$176,'D2 - Capex uso'!$C$6:$C$176,$A137,'D2 - Capex uso'!$AK$6:$AK$176,$A150)</f>
        <v>0</v>
      </c>
      <c r="W150" s="710">
        <f>-SUMIFS('D2 - Capex uso'!CN$6:CN$176,'D2 - Capex uso'!$C$6:$C$176,$A137,'D2 - Capex uso'!$AK$6:$AK$176,$A150)</f>
        <v>0</v>
      </c>
      <c r="X150" s="710">
        <f>-SUMIFS('D2 - Capex uso'!CO$6:CO$176,'D2 - Capex uso'!$C$6:$C$176,$A137,'D2 - Capex uso'!$AK$6:$AK$176,$A150)</f>
        <v>0</v>
      </c>
      <c r="Y150" s="710">
        <f>-SUMIFS('D2 - Capex uso'!CP$6:CP$176,'D2 - Capex uso'!$C$6:$C$176,$A137,'D2 - Capex uso'!$AK$6:$AK$176,$A150)</f>
        <v>0</v>
      </c>
      <c r="Z150" s="710">
        <f>-SUMIFS('D2 - Capex uso'!CQ$6:CQ$176,'D2 - Capex uso'!$C$6:$C$176,$A137,'D2 - Capex uso'!$AK$6:$AK$176,$A150)</f>
        <v>0</v>
      </c>
      <c r="AA150" s="710">
        <f>-SUMIFS('D2 - Capex uso'!CR$6:CR$176,'D2 - Capex uso'!$C$6:$C$176,$A137,'D2 - Capex uso'!$AK$6:$AK$176,$A150)</f>
        <v>0</v>
      </c>
      <c r="AB150" s="710">
        <f>-SUMIFS('D2 - Capex uso'!CS$6:CS$176,'D2 - Capex uso'!$C$6:$C$176,$A137,'D2 - Capex uso'!$AK$6:$AK$176,$A150)</f>
        <v>0</v>
      </c>
      <c r="AC150" s="710">
        <f>-SUMIFS('D2 - Capex uso'!CT$6:CT$176,'D2 - Capex uso'!$C$6:$C$176,$A137,'D2 - Capex uso'!$AK$6:$AK$176,$A150)</f>
        <v>0</v>
      </c>
      <c r="AD150" s="710">
        <f>-SUMIFS('D2 - Capex uso'!CU$6:CU$176,'D2 - Capex uso'!$C$6:$C$176,$A137,'D2 - Capex uso'!$AK$6:$AK$176,$A150)</f>
        <v>0</v>
      </c>
      <c r="AE150" s="710">
        <f>-SUMIFS('D2 - Capex uso'!CV$6:CV$176,'D2 - Capex uso'!$C$6:$C$176,$A137,'D2 - Capex uso'!$AK$6:$AK$176,$A150)</f>
        <v>0</v>
      </c>
      <c r="AF150" s="594"/>
      <c r="AG150" s="594"/>
      <c r="AH150" s="594"/>
      <c r="AI150" s="594"/>
      <c r="AJ150" s="594"/>
      <c r="AK150" s="594"/>
      <c r="AL150" s="594"/>
      <c r="AM150" s="594"/>
      <c r="AN150" s="594"/>
      <c r="AO150" s="594"/>
      <c r="AP150" s="594"/>
      <c r="AQ150" s="594"/>
      <c r="AR150" s="594"/>
      <c r="AS150" s="594"/>
      <c r="AT150" s="594"/>
      <c r="AU150" s="594"/>
      <c r="AV150" s="594"/>
      <c r="AW150" s="594"/>
      <c r="AX150" s="594"/>
      <c r="AY150" s="594"/>
      <c r="AZ150" s="594"/>
      <c r="BA150" s="594"/>
      <c r="BB150" s="594"/>
      <c r="BC150" s="594"/>
      <c r="BD150" s="594"/>
      <c r="BE150" s="594"/>
      <c r="BF150" s="594"/>
      <c r="BG150" s="594"/>
      <c r="BH150" s="594"/>
      <c r="BI150" s="594"/>
      <c r="BJ150" s="594"/>
      <c r="BK150" s="594"/>
      <c r="BL150" s="57"/>
      <c r="BM150" s="594"/>
      <c r="BN150" s="594"/>
      <c r="BO150" s="594"/>
      <c r="BP150" s="594"/>
      <c r="BQ150" s="594"/>
      <c r="BR150" s="594"/>
      <c r="BS150" s="594"/>
      <c r="BT150" s="594"/>
      <c r="BU150" s="594"/>
      <c r="BV150" s="594"/>
      <c r="BW150" s="594"/>
      <c r="BX150" s="594"/>
      <c r="BY150" s="594"/>
      <c r="BZ150" s="594"/>
      <c r="CA150" s="594"/>
      <c r="CB150" s="594"/>
      <c r="CC150" s="594"/>
      <c r="CD150" s="594"/>
      <c r="CE150" s="594"/>
      <c r="CF150" s="594"/>
      <c r="CG150" s="594"/>
      <c r="CH150" s="594"/>
      <c r="CI150" s="594"/>
      <c r="CJ150" s="594"/>
      <c r="CK150" s="594"/>
      <c r="CL150" s="594"/>
      <c r="CM150" s="594"/>
      <c r="CN150" s="594"/>
      <c r="CO150" s="594"/>
      <c r="CP150" s="594"/>
      <c r="CQ150" s="594"/>
    </row>
    <row r="151" spans="1:95" ht="19.5" hidden="1" customHeight="1" outlineLevel="2">
      <c r="A151" s="709" t="s">
        <v>366</v>
      </c>
      <c r="B151" s="710">
        <f>-SUMIFS('D2 - Capex uso'!BS$6:BS$176,'D2 - Capex uso'!$C$6:$C$176,$A137,'D2 - Capex uso'!$AK$6:$AK$176,$A151)</f>
        <v>0</v>
      </c>
      <c r="C151" s="710">
        <f>-SUMIFS('D2 - Capex uso'!BT$6:BT$176,'D2 - Capex uso'!$C$6:$C$176,$A137,'D2 - Capex uso'!$AK$6:$AK$176,$A151)</f>
        <v>0</v>
      </c>
      <c r="D151" s="710">
        <f>-SUMIFS('D2 - Capex uso'!BU$6:BU$176,'D2 - Capex uso'!$C$6:$C$176,$A137,'D2 - Capex uso'!$AK$6:$AK$176,$A151)</f>
        <v>0</v>
      </c>
      <c r="E151" s="710">
        <f>-SUMIFS('D2 - Capex uso'!BV$6:BV$176,'D2 - Capex uso'!$C$6:$C$176,$A137,'D2 - Capex uso'!$AK$6:$AK$176,$A151)</f>
        <v>0</v>
      </c>
      <c r="F151" s="710">
        <f>-SUMIFS('D2 - Capex uso'!BW$6:BW$176,'D2 - Capex uso'!$C$6:$C$176,$A137,'D2 - Capex uso'!$AK$6:$AK$176,$A151)</f>
        <v>0</v>
      </c>
      <c r="G151" s="710">
        <f>-SUMIFS('D2 - Capex uso'!BX$6:BX$176,'D2 - Capex uso'!$C$6:$C$176,$A137,'D2 - Capex uso'!$AK$6:$AK$176,$A151)</f>
        <v>0</v>
      </c>
      <c r="H151" s="710">
        <f>-SUMIFS('D2 - Capex uso'!BY$6:BY$176,'D2 - Capex uso'!$C$6:$C$176,$A137,'D2 - Capex uso'!$AK$6:$AK$176,$A151)</f>
        <v>0</v>
      </c>
      <c r="I151" s="710">
        <f>-SUMIFS('D2 - Capex uso'!BZ$6:BZ$176,'D2 - Capex uso'!$C$6:$C$176,$A137,'D2 - Capex uso'!$AK$6:$AK$176,$A151)</f>
        <v>0</v>
      </c>
      <c r="J151" s="710">
        <f>-SUMIFS('D2 - Capex uso'!CA$6:CA$176,'D2 - Capex uso'!$C$6:$C$176,$A137,'D2 - Capex uso'!$AK$6:$AK$176,$A151)</f>
        <v>0</v>
      </c>
      <c r="K151" s="710">
        <f>-SUMIFS('D2 - Capex uso'!CB$6:CB$176,'D2 - Capex uso'!$C$6:$C$176,$A137,'D2 - Capex uso'!$AK$6:$AK$176,$A151)</f>
        <v>0</v>
      </c>
      <c r="L151" s="710">
        <f>-SUMIFS('D2 - Capex uso'!CC$6:CC$176,'D2 - Capex uso'!$C$6:$C$176,$A137,'D2 - Capex uso'!$AK$6:$AK$176,$A151)</f>
        <v>0</v>
      </c>
      <c r="M151" s="710">
        <f>-SUMIFS('D2 - Capex uso'!CD$6:CD$176,'D2 - Capex uso'!$C$6:$C$176,$A137,'D2 - Capex uso'!$AK$6:$AK$176,$A151)</f>
        <v>0</v>
      </c>
      <c r="N151" s="710">
        <f>-SUMIFS('D2 - Capex uso'!CE$6:CE$176,'D2 - Capex uso'!$C$6:$C$176,$A137,'D2 - Capex uso'!$AK$6:$AK$176,$A151)</f>
        <v>0</v>
      </c>
      <c r="O151" s="710">
        <f>-SUMIFS('D2 - Capex uso'!CF$6:CF$176,'D2 - Capex uso'!$C$6:$C$176,$A137,'D2 - Capex uso'!$AK$6:$AK$176,$A151)</f>
        <v>0</v>
      </c>
      <c r="P151" s="710">
        <f>-SUMIFS('D2 - Capex uso'!CG$6:CG$176,'D2 - Capex uso'!$C$6:$C$176,$A137,'D2 - Capex uso'!$AK$6:$AK$176,$A151)</f>
        <v>0</v>
      </c>
      <c r="Q151" s="710">
        <f>-SUMIFS('D2 - Capex uso'!CH$6:CH$176,'D2 - Capex uso'!$C$6:$C$176,$A137,'D2 - Capex uso'!$AK$6:$AK$176,$A151)</f>
        <v>0</v>
      </c>
      <c r="R151" s="710">
        <f>-SUMIFS('D2 - Capex uso'!CI$6:CI$176,'D2 - Capex uso'!$C$6:$C$176,$A137,'D2 - Capex uso'!$AK$6:$AK$176,$A151)</f>
        <v>0</v>
      </c>
      <c r="S151" s="710">
        <f>-SUMIFS('D2 - Capex uso'!CJ$6:CJ$176,'D2 - Capex uso'!$C$6:$C$176,$A137,'D2 - Capex uso'!$AK$6:$AK$176,$A151)</f>
        <v>0</v>
      </c>
      <c r="T151" s="710">
        <f>-SUMIFS('D2 - Capex uso'!CK$6:CK$176,'D2 - Capex uso'!$C$6:$C$176,$A137,'D2 - Capex uso'!$AK$6:$AK$176,$A151)</f>
        <v>0</v>
      </c>
      <c r="U151" s="710">
        <f>-SUMIFS('D2 - Capex uso'!CL$6:CL$176,'D2 - Capex uso'!$C$6:$C$176,$A137,'D2 - Capex uso'!$AK$6:$AK$176,$A151)</f>
        <v>0</v>
      </c>
      <c r="V151" s="710">
        <f>-SUMIFS('D2 - Capex uso'!CM$6:CM$176,'D2 - Capex uso'!$C$6:$C$176,$A137,'D2 - Capex uso'!$AK$6:$AK$176,$A151)</f>
        <v>0</v>
      </c>
      <c r="W151" s="710">
        <f>-SUMIFS('D2 - Capex uso'!CN$6:CN$176,'D2 - Capex uso'!$C$6:$C$176,$A137,'D2 - Capex uso'!$AK$6:$AK$176,$A151)</f>
        <v>0</v>
      </c>
      <c r="X151" s="710">
        <f>-SUMIFS('D2 - Capex uso'!CO$6:CO$176,'D2 - Capex uso'!$C$6:$C$176,$A137,'D2 - Capex uso'!$AK$6:$AK$176,$A151)</f>
        <v>0</v>
      </c>
      <c r="Y151" s="710">
        <f>-SUMIFS('D2 - Capex uso'!CP$6:CP$176,'D2 - Capex uso'!$C$6:$C$176,$A137,'D2 - Capex uso'!$AK$6:$AK$176,$A151)</f>
        <v>0</v>
      </c>
      <c r="Z151" s="710">
        <f>-SUMIFS('D2 - Capex uso'!CQ$6:CQ$176,'D2 - Capex uso'!$C$6:$C$176,$A137,'D2 - Capex uso'!$AK$6:$AK$176,$A151)</f>
        <v>0</v>
      </c>
      <c r="AA151" s="710">
        <f>-SUMIFS('D2 - Capex uso'!CR$6:CR$176,'D2 - Capex uso'!$C$6:$C$176,$A137,'D2 - Capex uso'!$AK$6:$AK$176,$A151)</f>
        <v>0</v>
      </c>
      <c r="AB151" s="710">
        <f>-SUMIFS('D2 - Capex uso'!CS$6:CS$176,'D2 - Capex uso'!$C$6:$C$176,$A137,'D2 - Capex uso'!$AK$6:$AK$176,$A151)</f>
        <v>0</v>
      </c>
      <c r="AC151" s="710">
        <f>-SUMIFS('D2 - Capex uso'!CT$6:CT$176,'D2 - Capex uso'!$C$6:$C$176,$A137,'D2 - Capex uso'!$AK$6:$AK$176,$A151)</f>
        <v>0</v>
      </c>
      <c r="AD151" s="710">
        <f>-SUMIFS('D2 - Capex uso'!CU$6:CU$176,'D2 - Capex uso'!$C$6:$C$176,$A137,'D2 - Capex uso'!$AK$6:$AK$176,$A151)</f>
        <v>0</v>
      </c>
      <c r="AE151" s="710">
        <f>-SUMIFS('D2 - Capex uso'!CV$6:CV$176,'D2 - Capex uso'!$C$6:$C$176,$A137,'D2 - Capex uso'!$AK$6:$AK$176,$A151)</f>
        <v>0</v>
      </c>
      <c r="AF151" s="594"/>
      <c r="AG151" s="594"/>
      <c r="AH151" s="594"/>
      <c r="AI151" s="594"/>
      <c r="AJ151" s="594"/>
      <c r="AK151" s="594"/>
      <c r="AL151" s="594"/>
      <c r="AM151" s="594"/>
      <c r="AN151" s="594"/>
      <c r="AO151" s="594"/>
      <c r="AP151" s="594"/>
      <c r="AQ151" s="594"/>
      <c r="AR151" s="594"/>
      <c r="AS151" s="594"/>
      <c r="AT151" s="594"/>
      <c r="AU151" s="594"/>
      <c r="AV151" s="594"/>
      <c r="AW151" s="594"/>
      <c r="AX151" s="594"/>
      <c r="AY151" s="594"/>
      <c r="AZ151" s="594"/>
      <c r="BA151" s="594"/>
      <c r="BB151" s="594"/>
      <c r="BC151" s="594"/>
      <c r="BD151" s="594"/>
      <c r="BE151" s="594"/>
      <c r="BF151" s="594"/>
      <c r="BG151" s="594"/>
      <c r="BH151" s="594"/>
      <c r="BI151" s="594"/>
      <c r="BJ151" s="594"/>
      <c r="BK151" s="594"/>
      <c r="BL151" s="57"/>
      <c r="BM151" s="594"/>
      <c r="BN151" s="594"/>
      <c r="BO151" s="594"/>
      <c r="BP151" s="594"/>
      <c r="BQ151" s="594"/>
      <c r="BR151" s="594"/>
      <c r="BS151" s="594"/>
      <c r="BT151" s="594"/>
      <c r="BU151" s="594"/>
      <c r="BV151" s="594"/>
      <c r="BW151" s="594"/>
      <c r="BX151" s="594"/>
      <c r="BY151" s="594"/>
      <c r="BZ151" s="594"/>
      <c r="CA151" s="594"/>
      <c r="CB151" s="594"/>
      <c r="CC151" s="594"/>
      <c r="CD151" s="594"/>
      <c r="CE151" s="594"/>
      <c r="CF151" s="594"/>
      <c r="CG151" s="594"/>
      <c r="CH151" s="594"/>
      <c r="CI151" s="594"/>
      <c r="CJ151" s="594"/>
      <c r="CK151" s="594"/>
      <c r="CL151" s="594"/>
      <c r="CM151" s="594"/>
      <c r="CN151" s="594"/>
      <c r="CO151" s="594"/>
      <c r="CP151" s="594"/>
      <c r="CQ151" s="594"/>
    </row>
    <row r="152" spans="1:95" ht="19.5" hidden="1" customHeight="1" outlineLevel="2">
      <c r="A152" s="709" t="s">
        <v>371</v>
      </c>
      <c r="B152" s="710">
        <f>-SUMIFS('D2 - Capex uso'!BS$6:BS$176,'D2 - Capex uso'!$C$6:$C$176,$A137,'D2 - Capex uso'!$AK$6:$AK$176,$A152)</f>
        <v>0</v>
      </c>
      <c r="C152" s="710">
        <f>-SUMIFS('D2 - Capex uso'!BT$6:BT$176,'D2 - Capex uso'!$C$6:$C$176,$A137,'D2 - Capex uso'!$AK$6:$AK$176,$A152)</f>
        <v>0</v>
      </c>
      <c r="D152" s="710">
        <f>-SUMIFS('D2 - Capex uso'!BU$6:BU$176,'D2 - Capex uso'!$C$6:$C$176,$A137,'D2 - Capex uso'!$AK$6:$AK$176,$A152)</f>
        <v>0</v>
      </c>
      <c r="E152" s="710">
        <f>-SUMIFS('D2 - Capex uso'!BV$6:BV$176,'D2 - Capex uso'!$C$6:$C$176,$A137,'D2 - Capex uso'!$AK$6:$AK$176,$A152)</f>
        <v>0</v>
      </c>
      <c r="F152" s="710">
        <f>-SUMIFS('D2 - Capex uso'!BW$6:BW$176,'D2 - Capex uso'!$C$6:$C$176,$A137,'D2 - Capex uso'!$AK$6:$AK$176,$A152)</f>
        <v>0</v>
      </c>
      <c r="G152" s="710">
        <f>-SUMIFS('D2 - Capex uso'!BX$6:BX$176,'D2 - Capex uso'!$C$6:$C$176,$A137,'D2 - Capex uso'!$AK$6:$AK$176,$A152)</f>
        <v>0</v>
      </c>
      <c r="H152" s="710">
        <f>-SUMIFS('D2 - Capex uso'!BY$6:BY$176,'D2 - Capex uso'!$C$6:$C$176,$A137,'D2 - Capex uso'!$AK$6:$AK$176,$A152)</f>
        <v>0</v>
      </c>
      <c r="I152" s="710">
        <f>-SUMIFS('D2 - Capex uso'!BZ$6:BZ$176,'D2 - Capex uso'!$C$6:$C$176,$A137,'D2 - Capex uso'!$AK$6:$AK$176,$A152)</f>
        <v>0</v>
      </c>
      <c r="J152" s="710">
        <f>-SUMIFS('D2 - Capex uso'!CA$6:CA$176,'D2 - Capex uso'!$C$6:$C$176,$A137,'D2 - Capex uso'!$AK$6:$AK$176,$A152)</f>
        <v>0</v>
      </c>
      <c r="K152" s="710">
        <f>-SUMIFS('D2 - Capex uso'!CB$6:CB$176,'D2 - Capex uso'!$C$6:$C$176,$A137,'D2 - Capex uso'!$AK$6:$AK$176,$A152)</f>
        <v>0</v>
      </c>
      <c r="L152" s="710">
        <f>-SUMIFS('D2 - Capex uso'!CC$6:CC$176,'D2 - Capex uso'!$C$6:$C$176,$A137,'D2 - Capex uso'!$AK$6:$AK$176,$A152)</f>
        <v>0</v>
      </c>
      <c r="M152" s="710">
        <f>-SUMIFS('D2 - Capex uso'!CD$6:CD$176,'D2 - Capex uso'!$C$6:$C$176,$A137,'D2 - Capex uso'!$AK$6:$AK$176,$A152)</f>
        <v>0</v>
      </c>
      <c r="N152" s="710">
        <f>-SUMIFS('D2 - Capex uso'!CE$6:CE$176,'D2 - Capex uso'!$C$6:$C$176,$A137,'D2 - Capex uso'!$AK$6:$AK$176,$A152)</f>
        <v>0</v>
      </c>
      <c r="O152" s="710">
        <f>-SUMIFS('D2 - Capex uso'!CF$6:CF$176,'D2 - Capex uso'!$C$6:$C$176,$A137,'D2 - Capex uso'!$AK$6:$AK$176,$A152)</f>
        <v>0</v>
      </c>
      <c r="P152" s="710">
        <f>-SUMIFS('D2 - Capex uso'!CG$6:CG$176,'D2 - Capex uso'!$C$6:$C$176,$A137,'D2 - Capex uso'!$AK$6:$AK$176,$A152)</f>
        <v>0</v>
      </c>
      <c r="Q152" s="710">
        <f>-SUMIFS('D2 - Capex uso'!CH$6:CH$176,'D2 - Capex uso'!$C$6:$C$176,$A137,'D2 - Capex uso'!$AK$6:$AK$176,$A152)</f>
        <v>0</v>
      </c>
      <c r="R152" s="710">
        <f>-SUMIFS('D2 - Capex uso'!CI$6:CI$176,'D2 - Capex uso'!$C$6:$C$176,$A137,'D2 - Capex uso'!$AK$6:$AK$176,$A152)</f>
        <v>0</v>
      </c>
      <c r="S152" s="710">
        <f>-SUMIFS('D2 - Capex uso'!CJ$6:CJ$176,'D2 - Capex uso'!$C$6:$C$176,$A137,'D2 - Capex uso'!$AK$6:$AK$176,$A152)</f>
        <v>0</v>
      </c>
      <c r="T152" s="710">
        <f>-SUMIFS('D2 - Capex uso'!CK$6:CK$176,'D2 - Capex uso'!$C$6:$C$176,$A137,'D2 - Capex uso'!$AK$6:$AK$176,$A152)</f>
        <v>0</v>
      </c>
      <c r="U152" s="710">
        <f>-SUMIFS('D2 - Capex uso'!CL$6:CL$176,'D2 - Capex uso'!$C$6:$C$176,$A137,'D2 - Capex uso'!$AK$6:$AK$176,$A152)</f>
        <v>0</v>
      </c>
      <c r="V152" s="710">
        <f>-SUMIFS('D2 - Capex uso'!CM$6:CM$176,'D2 - Capex uso'!$C$6:$C$176,$A137,'D2 - Capex uso'!$AK$6:$AK$176,$A152)</f>
        <v>0</v>
      </c>
      <c r="W152" s="710">
        <f>-SUMIFS('D2 - Capex uso'!CN$6:CN$176,'D2 - Capex uso'!$C$6:$C$176,$A137,'D2 - Capex uso'!$AK$6:$AK$176,$A152)</f>
        <v>0</v>
      </c>
      <c r="X152" s="710">
        <f>-SUMIFS('D2 - Capex uso'!CO$6:CO$176,'D2 - Capex uso'!$C$6:$C$176,$A137,'D2 - Capex uso'!$AK$6:$AK$176,$A152)</f>
        <v>0</v>
      </c>
      <c r="Y152" s="710">
        <f>-SUMIFS('D2 - Capex uso'!CP$6:CP$176,'D2 - Capex uso'!$C$6:$C$176,$A137,'D2 - Capex uso'!$AK$6:$AK$176,$A152)</f>
        <v>0</v>
      </c>
      <c r="Z152" s="710">
        <f>-SUMIFS('D2 - Capex uso'!CQ$6:CQ$176,'D2 - Capex uso'!$C$6:$C$176,$A137,'D2 - Capex uso'!$AK$6:$AK$176,$A152)</f>
        <v>0</v>
      </c>
      <c r="AA152" s="710">
        <f>-SUMIFS('D2 - Capex uso'!CR$6:CR$176,'D2 - Capex uso'!$C$6:$C$176,$A137,'D2 - Capex uso'!$AK$6:$AK$176,$A152)</f>
        <v>0</v>
      </c>
      <c r="AB152" s="710">
        <f>-SUMIFS('D2 - Capex uso'!CS$6:CS$176,'D2 - Capex uso'!$C$6:$C$176,$A137,'D2 - Capex uso'!$AK$6:$AK$176,$A152)</f>
        <v>0</v>
      </c>
      <c r="AC152" s="710">
        <f>-SUMIFS('D2 - Capex uso'!CT$6:CT$176,'D2 - Capex uso'!$C$6:$C$176,$A137,'D2 - Capex uso'!$AK$6:$AK$176,$A152)</f>
        <v>0</v>
      </c>
      <c r="AD152" s="710">
        <f>-SUMIFS('D2 - Capex uso'!CU$6:CU$176,'D2 - Capex uso'!$C$6:$C$176,$A137,'D2 - Capex uso'!$AK$6:$AK$176,$A152)</f>
        <v>0</v>
      </c>
      <c r="AE152" s="710">
        <f>-SUMIFS('D2 - Capex uso'!CV$6:CV$176,'D2 - Capex uso'!$C$6:$C$176,$A137,'D2 - Capex uso'!$AK$6:$AK$176,$A152)</f>
        <v>0</v>
      </c>
      <c r="AF152" s="594"/>
      <c r="AG152" s="594"/>
      <c r="AH152" s="594"/>
      <c r="AI152" s="594"/>
      <c r="AJ152" s="594"/>
      <c r="AK152" s="594"/>
      <c r="AL152" s="594"/>
      <c r="AM152" s="594"/>
      <c r="AN152" s="594"/>
      <c r="AO152" s="594"/>
      <c r="AP152" s="594"/>
      <c r="AQ152" s="594"/>
      <c r="AR152" s="594"/>
      <c r="AS152" s="594"/>
      <c r="AT152" s="594"/>
      <c r="AU152" s="594"/>
      <c r="AV152" s="594"/>
      <c r="AW152" s="594"/>
      <c r="AX152" s="594"/>
      <c r="AY152" s="594"/>
      <c r="AZ152" s="594"/>
      <c r="BA152" s="594"/>
      <c r="BB152" s="594"/>
      <c r="BC152" s="594"/>
      <c r="BD152" s="594"/>
      <c r="BE152" s="594"/>
      <c r="BF152" s="594"/>
      <c r="BG152" s="594"/>
      <c r="BH152" s="594"/>
      <c r="BI152" s="594"/>
      <c r="BJ152" s="594"/>
      <c r="BK152" s="594"/>
      <c r="BL152" s="57"/>
      <c r="BM152" s="594"/>
      <c r="BN152" s="594"/>
      <c r="BO152" s="594"/>
      <c r="BP152" s="594"/>
      <c r="BQ152" s="594"/>
      <c r="BR152" s="594"/>
      <c r="BS152" s="594"/>
      <c r="BT152" s="594"/>
      <c r="BU152" s="594"/>
      <c r="BV152" s="594"/>
      <c r="BW152" s="594"/>
      <c r="BX152" s="594"/>
      <c r="BY152" s="594"/>
      <c r="BZ152" s="594"/>
      <c r="CA152" s="594"/>
      <c r="CB152" s="594"/>
      <c r="CC152" s="594"/>
      <c r="CD152" s="594"/>
      <c r="CE152" s="594"/>
      <c r="CF152" s="594"/>
      <c r="CG152" s="594"/>
      <c r="CH152" s="594"/>
      <c r="CI152" s="594"/>
      <c r="CJ152" s="594"/>
      <c r="CK152" s="594"/>
      <c r="CL152" s="594"/>
      <c r="CM152" s="594"/>
      <c r="CN152" s="594"/>
      <c r="CO152" s="594"/>
      <c r="CP152" s="594"/>
      <c r="CQ152" s="594"/>
    </row>
    <row r="153" spans="1:95" ht="19.5" hidden="1" customHeight="1" outlineLevel="2">
      <c r="A153" s="709" t="s">
        <v>361</v>
      </c>
      <c r="B153" s="710">
        <f>-SUMIFS('D2 - Capex uso'!BS$6:BS$176,'D2 - Capex uso'!$C$6:$C$176,$A137,'D2 - Capex uso'!$AK$6:$AK$176,$A153)</f>
        <v>0</v>
      </c>
      <c r="C153" s="710">
        <f>-SUMIFS('D2 - Capex uso'!BT$6:BT$176,'D2 - Capex uso'!$C$6:$C$176,$A137,'D2 - Capex uso'!$AK$6:$AK$176,$A153)</f>
        <v>0</v>
      </c>
      <c r="D153" s="710">
        <f>-SUMIFS('D2 - Capex uso'!BU$6:BU$176,'D2 - Capex uso'!$C$6:$C$176,$A137,'D2 - Capex uso'!$AK$6:$AK$176,$A153)</f>
        <v>0</v>
      </c>
      <c r="E153" s="710">
        <f>-SUMIFS('D2 - Capex uso'!BV$6:BV$176,'D2 - Capex uso'!$C$6:$C$176,$A137,'D2 - Capex uso'!$AK$6:$AK$176,$A153)</f>
        <v>0</v>
      </c>
      <c r="F153" s="710">
        <f>-SUMIFS('D2 - Capex uso'!BW$6:BW$176,'D2 - Capex uso'!$C$6:$C$176,$A137,'D2 - Capex uso'!$AK$6:$AK$176,$A153)</f>
        <v>0</v>
      </c>
      <c r="G153" s="710">
        <f>-SUMIFS('D2 - Capex uso'!BX$6:BX$176,'D2 - Capex uso'!$C$6:$C$176,$A137,'D2 - Capex uso'!$AK$6:$AK$176,$A153)</f>
        <v>0</v>
      </c>
      <c r="H153" s="710">
        <f>-SUMIFS('D2 - Capex uso'!BY$6:BY$176,'D2 - Capex uso'!$C$6:$C$176,$A137,'D2 - Capex uso'!$AK$6:$AK$176,$A153)</f>
        <v>0</v>
      </c>
      <c r="I153" s="710">
        <f>-SUMIFS('D2 - Capex uso'!BZ$6:BZ$176,'D2 - Capex uso'!$C$6:$C$176,$A137,'D2 - Capex uso'!$AK$6:$AK$176,$A153)</f>
        <v>0</v>
      </c>
      <c r="J153" s="710">
        <f>-SUMIFS('D2 - Capex uso'!CA$6:CA$176,'D2 - Capex uso'!$C$6:$C$176,$A137,'D2 - Capex uso'!$AK$6:$AK$176,$A153)</f>
        <v>0</v>
      </c>
      <c r="K153" s="710">
        <f>-SUMIFS('D2 - Capex uso'!CB$6:CB$176,'D2 - Capex uso'!$C$6:$C$176,$A137,'D2 - Capex uso'!$AK$6:$AK$176,$A153)</f>
        <v>0</v>
      </c>
      <c r="L153" s="710">
        <f>-SUMIFS('D2 - Capex uso'!CC$6:CC$176,'D2 - Capex uso'!$C$6:$C$176,$A137,'D2 - Capex uso'!$AK$6:$AK$176,$A153)</f>
        <v>0</v>
      </c>
      <c r="M153" s="710">
        <f>-SUMIFS('D2 - Capex uso'!CD$6:CD$176,'D2 - Capex uso'!$C$6:$C$176,$A137,'D2 - Capex uso'!$AK$6:$AK$176,$A153)</f>
        <v>0</v>
      </c>
      <c r="N153" s="710">
        <f>-SUMIFS('D2 - Capex uso'!CE$6:CE$176,'D2 - Capex uso'!$C$6:$C$176,$A137,'D2 - Capex uso'!$AK$6:$AK$176,$A153)</f>
        <v>0</v>
      </c>
      <c r="O153" s="710">
        <f>-SUMIFS('D2 - Capex uso'!CF$6:CF$176,'D2 - Capex uso'!$C$6:$C$176,$A137,'D2 - Capex uso'!$AK$6:$AK$176,$A153)</f>
        <v>0</v>
      </c>
      <c r="P153" s="710">
        <f>-SUMIFS('D2 - Capex uso'!CG$6:CG$176,'D2 - Capex uso'!$C$6:$C$176,$A137,'D2 - Capex uso'!$AK$6:$AK$176,$A153)</f>
        <v>0</v>
      </c>
      <c r="Q153" s="710">
        <f>-SUMIFS('D2 - Capex uso'!CH$6:CH$176,'D2 - Capex uso'!$C$6:$C$176,$A137,'D2 - Capex uso'!$AK$6:$AK$176,$A153)</f>
        <v>0</v>
      </c>
      <c r="R153" s="710">
        <f>-SUMIFS('D2 - Capex uso'!CI$6:CI$176,'D2 - Capex uso'!$C$6:$C$176,$A137,'D2 - Capex uso'!$AK$6:$AK$176,$A153)</f>
        <v>0</v>
      </c>
      <c r="S153" s="710">
        <f>-SUMIFS('D2 - Capex uso'!CJ$6:CJ$176,'D2 - Capex uso'!$C$6:$C$176,$A137,'D2 - Capex uso'!$AK$6:$AK$176,$A153)</f>
        <v>0</v>
      </c>
      <c r="T153" s="710">
        <f>-SUMIFS('D2 - Capex uso'!CK$6:CK$176,'D2 - Capex uso'!$C$6:$C$176,$A137,'D2 - Capex uso'!$AK$6:$AK$176,$A153)</f>
        <v>0</v>
      </c>
      <c r="U153" s="710">
        <f>-SUMIFS('D2 - Capex uso'!CL$6:CL$176,'D2 - Capex uso'!$C$6:$C$176,$A137,'D2 - Capex uso'!$AK$6:$AK$176,$A153)</f>
        <v>0</v>
      </c>
      <c r="V153" s="710">
        <f>-SUMIFS('D2 - Capex uso'!CM$6:CM$176,'D2 - Capex uso'!$C$6:$C$176,$A137,'D2 - Capex uso'!$AK$6:$AK$176,$A153)</f>
        <v>0</v>
      </c>
      <c r="W153" s="710">
        <f>-SUMIFS('D2 - Capex uso'!CN$6:CN$176,'D2 - Capex uso'!$C$6:$C$176,$A137,'D2 - Capex uso'!$AK$6:$AK$176,$A153)</f>
        <v>0</v>
      </c>
      <c r="X153" s="710">
        <f>-SUMIFS('D2 - Capex uso'!CO$6:CO$176,'D2 - Capex uso'!$C$6:$C$176,$A137,'D2 - Capex uso'!$AK$6:$AK$176,$A153)</f>
        <v>0</v>
      </c>
      <c r="Y153" s="710">
        <f>-SUMIFS('D2 - Capex uso'!CP$6:CP$176,'D2 - Capex uso'!$C$6:$C$176,$A137,'D2 - Capex uso'!$AK$6:$AK$176,$A153)</f>
        <v>0</v>
      </c>
      <c r="Z153" s="710">
        <f>-SUMIFS('D2 - Capex uso'!CQ$6:CQ$176,'D2 - Capex uso'!$C$6:$C$176,$A137,'D2 - Capex uso'!$AK$6:$AK$176,$A153)</f>
        <v>0</v>
      </c>
      <c r="AA153" s="710">
        <f>-SUMIFS('D2 - Capex uso'!CR$6:CR$176,'D2 - Capex uso'!$C$6:$C$176,$A137,'D2 - Capex uso'!$AK$6:$AK$176,$A153)</f>
        <v>0</v>
      </c>
      <c r="AB153" s="710">
        <f>-SUMIFS('D2 - Capex uso'!CS$6:CS$176,'D2 - Capex uso'!$C$6:$C$176,$A137,'D2 - Capex uso'!$AK$6:$AK$176,$A153)</f>
        <v>0</v>
      </c>
      <c r="AC153" s="710">
        <f>-SUMIFS('D2 - Capex uso'!CT$6:CT$176,'D2 - Capex uso'!$C$6:$C$176,$A137,'D2 - Capex uso'!$AK$6:$AK$176,$A153)</f>
        <v>0</v>
      </c>
      <c r="AD153" s="710">
        <f>-SUMIFS('D2 - Capex uso'!CU$6:CU$176,'D2 - Capex uso'!$C$6:$C$176,$A137,'D2 - Capex uso'!$AK$6:$AK$176,$A153)</f>
        <v>0</v>
      </c>
      <c r="AE153" s="710">
        <f>-SUMIFS('D2 - Capex uso'!CV$6:CV$176,'D2 - Capex uso'!$C$6:$C$176,$A137,'D2 - Capex uso'!$AK$6:$AK$176,$A153)</f>
        <v>0</v>
      </c>
      <c r="AF153" s="594"/>
      <c r="AG153" s="594"/>
      <c r="AH153" s="594"/>
      <c r="AI153" s="594"/>
      <c r="AJ153" s="594"/>
      <c r="AK153" s="594"/>
      <c r="AL153" s="594"/>
      <c r="AM153" s="594"/>
      <c r="AN153" s="594"/>
      <c r="AO153" s="594"/>
      <c r="AP153" s="594"/>
      <c r="AQ153" s="594"/>
      <c r="AR153" s="594"/>
      <c r="AS153" s="594"/>
      <c r="AT153" s="594"/>
      <c r="AU153" s="594"/>
      <c r="AV153" s="594"/>
      <c r="AW153" s="594"/>
      <c r="AX153" s="594"/>
      <c r="AY153" s="594"/>
      <c r="AZ153" s="594"/>
      <c r="BA153" s="594"/>
      <c r="BB153" s="594"/>
      <c r="BC153" s="594"/>
      <c r="BD153" s="594"/>
      <c r="BE153" s="594"/>
      <c r="BF153" s="594"/>
      <c r="BG153" s="594"/>
      <c r="BH153" s="594"/>
      <c r="BI153" s="594"/>
      <c r="BJ153" s="594"/>
      <c r="BK153" s="594"/>
      <c r="BL153" s="57"/>
      <c r="BM153" s="594"/>
      <c r="BN153" s="594"/>
      <c r="BO153" s="594"/>
      <c r="BP153" s="594"/>
      <c r="BQ153" s="594"/>
      <c r="BR153" s="594"/>
      <c r="BS153" s="594"/>
      <c r="BT153" s="594"/>
      <c r="BU153" s="594"/>
      <c r="BV153" s="594"/>
      <c r="BW153" s="594"/>
      <c r="BX153" s="594"/>
      <c r="BY153" s="594"/>
      <c r="BZ153" s="594"/>
      <c r="CA153" s="594"/>
      <c r="CB153" s="594"/>
      <c r="CC153" s="594"/>
      <c r="CD153" s="594"/>
      <c r="CE153" s="594"/>
      <c r="CF153" s="594"/>
      <c r="CG153" s="594"/>
      <c r="CH153" s="594"/>
      <c r="CI153" s="594"/>
      <c r="CJ153" s="594"/>
      <c r="CK153" s="594"/>
      <c r="CL153" s="594"/>
      <c r="CM153" s="594"/>
      <c r="CN153" s="594"/>
      <c r="CO153" s="594"/>
      <c r="CP153" s="594"/>
      <c r="CQ153" s="594"/>
    </row>
    <row r="154" spans="1:95" ht="19.5" hidden="1" customHeight="1" outlineLevel="2">
      <c r="A154" s="709" t="s">
        <v>359</v>
      </c>
      <c r="B154" s="710">
        <f>-SUMIFS('D2 - Capex uso'!BS$6:BS$176,'D2 - Capex uso'!$C$6:$C$176,$A137,'D2 - Capex uso'!$AK$6:$AK$176,$A154)</f>
        <v>0</v>
      </c>
      <c r="C154" s="710">
        <f>-SUMIFS('D2 - Capex uso'!BT$6:BT$176,'D2 - Capex uso'!$C$6:$C$176,$A137,'D2 - Capex uso'!$AK$6:$AK$176,$A154)</f>
        <v>0</v>
      </c>
      <c r="D154" s="710">
        <f>-SUMIFS('D2 - Capex uso'!BU$6:BU$176,'D2 - Capex uso'!$C$6:$C$176,$A137,'D2 - Capex uso'!$AK$6:$AK$176,$A154)</f>
        <v>0</v>
      </c>
      <c r="E154" s="710">
        <f>-SUMIFS('D2 - Capex uso'!BV$6:BV$176,'D2 - Capex uso'!$C$6:$C$176,$A137,'D2 - Capex uso'!$AK$6:$AK$176,$A154)</f>
        <v>0</v>
      </c>
      <c r="F154" s="710">
        <f>-SUMIFS('D2 - Capex uso'!BW$6:BW$176,'D2 - Capex uso'!$C$6:$C$176,$A137,'D2 - Capex uso'!$AK$6:$AK$176,$A154)</f>
        <v>0</v>
      </c>
      <c r="G154" s="710">
        <f>-SUMIFS('D2 - Capex uso'!BX$6:BX$176,'D2 - Capex uso'!$C$6:$C$176,$A137,'D2 - Capex uso'!$AK$6:$AK$176,$A154)</f>
        <v>0</v>
      </c>
      <c r="H154" s="710">
        <f>-SUMIFS('D2 - Capex uso'!BY$6:BY$176,'D2 - Capex uso'!$C$6:$C$176,$A137,'D2 - Capex uso'!$AK$6:$AK$176,$A154)</f>
        <v>0</v>
      </c>
      <c r="I154" s="710">
        <f>-SUMIFS('D2 - Capex uso'!BZ$6:BZ$176,'D2 - Capex uso'!$C$6:$C$176,$A137,'D2 - Capex uso'!$AK$6:$AK$176,$A154)</f>
        <v>0</v>
      </c>
      <c r="J154" s="710">
        <f>-SUMIFS('D2 - Capex uso'!CA$6:CA$176,'D2 - Capex uso'!$C$6:$C$176,$A137,'D2 - Capex uso'!$AK$6:$AK$176,$A154)</f>
        <v>0</v>
      </c>
      <c r="K154" s="710">
        <f>-SUMIFS('D2 - Capex uso'!CB$6:CB$176,'D2 - Capex uso'!$C$6:$C$176,$A137,'D2 - Capex uso'!$AK$6:$AK$176,$A154)</f>
        <v>0</v>
      </c>
      <c r="L154" s="710">
        <f>-SUMIFS('D2 - Capex uso'!CC$6:CC$176,'D2 - Capex uso'!$C$6:$C$176,$A137,'D2 - Capex uso'!$AK$6:$AK$176,$A154)</f>
        <v>0</v>
      </c>
      <c r="M154" s="710">
        <f>-SUMIFS('D2 - Capex uso'!CD$6:CD$176,'D2 - Capex uso'!$C$6:$C$176,$A137,'D2 - Capex uso'!$AK$6:$AK$176,$A154)</f>
        <v>0</v>
      </c>
      <c r="N154" s="710">
        <f>-SUMIFS('D2 - Capex uso'!CE$6:CE$176,'D2 - Capex uso'!$C$6:$C$176,$A137,'D2 - Capex uso'!$AK$6:$AK$176,$A154)</f>
        <v>0</v>
      </c>
      <c r="O154" s="710">
        <f>-SUMIFS('D2 - Capex uso'!CF$6:CF$176,'D2 - Capex uso'!$C$6:$C$176,$A137,'D2 - Capex uso'!$AK$6:$AK$176,$A154)</f>
        <v>0</v>
      </c>
      <c r="P154" s="710">
        <f>-SUMIFS('D2 - Capex uso'!CG$6:CG$176,'D2 - Capex uso'!$C$6:$C$176,$A137,'D2 - Capex uso'!$AK$6:$AK$176,$A154)</f>
        <v>0</v>
      </c>
      <c r="Q154" s="710">
        <f>-SUMIFS('D2 - Capex uso'!CH$6:CH$176,'D2 - Capex uso'!$C$6:$C$176,$A137,'D2 - Capex uso'!$AK$6:$AK$176,$A154)</f>
        <v>0</v>
      </c>
      <c r="R154" s="710">
        <f>-SUMIFS('D2 - Capex uso'!CI$6:CI$176,'D2 - Capex uso'!$C$6:$C$176,$A137,'D2 - Capex uso'!$AK$6:$AK$176,$A154)</f>
        <v>0</v>
      </c>
      <c r="S154" s="710">
        <f>-SUMIFS('D2 - Capex uso'!CJ$6:CJ$176,'D2 - Capex uso'!$C$6:$C$176,$A137,'D2 - Capex uso'!$AK$6:$AK$176,$A154)</f>
        <v>0</v>
      </c>
      <c r="T154" s="710">
        <f>-SUMIFS('D2 - Capex uso'!CK$6:CK$176,'D2 - Capex uso'!$C$6:$C$176,$A137,'D2 - Capex uso'!$AK$6:$AK$176,$A154)</f>
        <v>0</v>
      </c>
      <c r="U154" s="710">
        <f>-SUMIFS('D2 - Capex uso'!CL$6:CL$176,'D2 - Capex uso'!$C$6:$C$176,$A137,'D2 - Capex uso'!$AK$6:$AK$176,$A154)</f>
        <v>0</v>
      </c>
      <c r="V154" s="710">
        <f>-SUMIFS('D2 - Capex uso'!CM$6:CM$176,'D2 - Capex uso'!$C$6:$C$176,$A137,'D2 - Capex uso'!$AK$6:$AK$176,$A154)</f>
        <v>0</v>
      </c>
      <c r="W154" s="710">
        <f>-SUMIFS('D2 - Capex uso'!CN$6:CN$176,'D2 - Capex uso'!$C$6:$C$176,$A137,'D2 - Capex uso'!$AK$6:$AK$176,$A154)</f>
        <v>0</v>
      </c>
      <c r="X154" s="710">
        <f>-SUMIFS('D2 - Capex uso'!CO$6:CO$176,'D2 - Capex uso'!$C$6:$C$176,$A137,'D2 - Capex uso'!$AK$6:$AK$176,$A154)</f>
        <v>0</v>
      </c>
      <c r="Y154" s="710">
        <f>-SUMIFS('D2 - Capex uso'!CP$6:CP$176,'D2 - Capex uso'!$C$6:$C$176,$A137,'D2 - Capex uso'!$AK$6:$AK$176,$A154)</f>
        <v>0</v>
      </c>
      <c r="Z154" s="710">
        <f>-SUMIFS('D2 - Capex uso'!CQ$6:CQ$176,'D2 - Capex uso'!$C$6:$C$176,$A137,'D2 - Capex uso'!$AK$6:$AK$176,$A154)</f>
        <v>0</v>
      </c>
      <c r="AA154" s="710">
        <f>-SUMIFS('D2 - Capex uso'!CR$6:CR$176,'D2 - Capex uso'!$C$6:$C$176,$A137,'D2 - Capex uso'!$AK$6:$AK$176,$A154)</f>
        <v>0</v>
      </c>
      <c r="AB154" s="710">
        <f>-SUMIFS('D2 - Capex uso'!CS$6:CS$176,'D2 - Capex uso'!$C$6:$C$176,$A137,'D2 - Capex uso'!$AK$6:$AK$176,$A154)</f>
        <v>0</v>
      </c>
      <c r="AC154" s="710">
        <f>-SUMIFS('D2 - Capex uso'!CT$6:CT$176,'D2 - Capex uso'!$C$6:$C$176,$A137,'D2 - Capex uso'!$AK$6:$AK$176,$A154)</f>
        <v>0</v>
      </c>
      <c r="AD154" s="710">
        <f>-SUMIFS('D2 - Capex uso'!CU$6:CU$176,'D2 - Capex uso'!$C$6:$C$176,$A137,'D2 - Capex uso'!$AK$6:$AK$176,$A154)</f>
        <v>0</v>
      </c>
      <c r="AE154" s="710">
        <f>-SUMIFS('D2 - Capex uso'!CV$6:CV$176,'D2 - Capex uso'!$C$6:$C$176,$A137,'D2 - Capex uso'!$AK$6:$AK$176,$A154)</f>
        <v>0</v>
      </c>
      <c r="AF154" s="594"/>
      <c r="AG154" s="594"/>
      <c r="AH154" s="594"/>
      <c r="AI154" s="594"/>
      <c r="AJ154" s="594"/>
      <c r="AK154" s="594"/>
      <c r="AL154" s="594"/>
      <c r="AM154" s="594"/>
      <c r="AN154" s="594"/>
      <c r="AO154" s="594"/>
      <c r="AP154" s="594"/>
      <c r="AQ154" s="594"/>
      <c r="AR154" s="594"/>
      <c r="AS154" s="594"/>
      <c r="AT154" s="594"/>
      <c r="AU154" s="594"/>
      <c r="AV154" s="594"/>
      <c r="AW154" s="594"/>
      <c r="AX154" s="594"/>
      <c r="AY154" s="594"/>
      <c r="AZ154" s="594"/>
      <c r="BA154" s="594"/>
      <c r="BB154" s="594"/>
      <c r="BC154" s="594"/>
      <c r="BD154" s="594"/>
      <c r="BE154" s="594"/>
      <c r="BF154" s="594"/>
      <c r="BG154" s="594"/>
      <c r="BH154" s="594"/>
      <c r="BI154" s="594"/>
      <c r="BJ154" s="594"/>
      <c r="BK154" s="594"/>
      <c r="BL154" s="57"/>
      <c r="BM154" s="594"/>
      <c r="BN154" s="594"/>
      <c r="BO154" s="594"/>
      <c r="BP154" s="594"/>
      <c r="BQ154" s="594"/>
      <c r="BR154" s="594"/>
      <c r="BS154" s="594"/>
      <c r="BT154" s="594"/>
      <c r="BU154" s="594"/>
      <c r="BV154" s="594"/>
      <c r="BW154" s="594"/>
      <c r="BX154" s="594"/>
      <c r="BY154" s="594"/>
      <c r="BZ154" s="594"/>
      <c r="CA154" s="594"/>
      <c r="CB154" s="594"/>
      <c r="CC154" s="594"/>
      <c r="CD154" s="594"/>
      <c r="CE154" s="594"/>
      <c r="CF154" s="594"/>
      <c r="CG154" s="594"/>
      <c r="CH154" s="594"/>
      <c r="CI154" s="594"/>
      <c r="CJ154" s="594"/>
      <c r="CK154" s="594"/>
      <c r="CL154" s="594"/>
      <c r="CM154" s="594"/>
      <c r="CN154" s="594"/>
      <c r="CO154" s="594"/>
      <c r="CP154" s="594"/>
      <c r="CQ154" s="594"/>
    </row>
    <row r="155" spans="1:95" ht="19.5" hidden="1" customHeight="1" outlineLevel="2">
      <c r="A155" s="709" t="s">
        <v>171</v>
      </c>
      <c r="B155" s="710">
        <f>-SUMIFS('D2 - Capex uso'!BS$6:BS$176,'D2 - Capex uso'!$C$6:$C$176,$A137,'D2 - Capex uso'!$AK$6:$AK$176,$A155)</f>
        <v>0</v>
      </c>
      <c r="C155" s="710">
        <f>-SUMIFS('D2 - Capex uso'!BT$6:BT$176,'D2 - Capex uso'!$C$6:$C$176,$A137,'D2 - Capex uso'!$AK$6:$AK$176,$A155)</f>
        <v>0</v>
      </c>
      <c r="D155" s="710">
        <f>-SUMIFS('D2 - Capex uso'!BU$6:BU$176,'D2 - Capex uso'!$C$6:$C$176,$A137,'D2 - Capex uso'!$AK$6:$AK$176,$A155)</f>
        <v>0</v>
      </c>
      <c r="E155" s="710">
        <f>-SUMIFS('D2 - Capex uso'!BV$6:BV$176,'D2 - Capex uso'!$C$6:$C$176,$A137,'D2 - Capex uso'!$AK$6:$AK$176,$A155)</f>
        <v>0</v>
      </c>
      <c r="F155" s="710">
        <f>-SUMIFS('D2 - Capex uso'!BW$6:BW$176,'D2 - Capex uso'!$C$6:$C$176,$A137,'D2 - Capex uso'!$AK$6:$AK$176,$A155)</f>
        <v>0</v>
      </c>
      <c r="G155" s="710">
        <f>-SUMIFS('D2 - Capex uso'!BX$6:BX$176,'D2 - Capex uso'!$C$6:$C$176,$A137,'D2 - Capex uso'!$AK$6:$AK$176,$A155)</f>
        <v>0</v>
      </c>
      <c r="H155" s="710">
        <f>-SUMIFS('D2 - Capex uso'!BY$6:BY$176,'D2 - Capex uso'!$C$6:$C$176,$A137,'D2 - Capex uso'!$AK$6:$AK$176,$A155)</f>
        <v>0</v>
      </c>
      <c r="I155" s="710">
        <f>-SUMIFS('D2 - Capex uso'!BZ$6:BZ$176,'D2 - Capex uso'!$C$6:$C$176,$A137,'D2 - Capex uso'!$AK$6:$AK$176,$A155)</f>
        <v>0</v>
      </c>
      <c r="J155" s="710">
        <f>-SUMIFS('D2 - Capex uso'!CA$6:CA$176,'D2 - Capex uso'!$C$6:$C$176,$A137,'D2 - Capex uso'!$AK$6:$AK$176,$A155)</f>
        <v>0</v>
      </c>
      <c r="K155" s="710">
        <f>-SUMIFS('D2 - Capex uso'!CB$6:CB$176,'D2 - Capex uso'!$C$6:$C$176,$A137,'D2 - Capex uso'!$AK$6:$AK$176,$A155)</f>
        <v>0</v>
      </c>
      <c r="L155" s="710">
        <f>-SUMIFS('D2 - Capex uso'!CC$6:CC$176,'D2 - Capex uso'!$C$6:$C$176,$A137,'D2 - Capex uso'!$AK$6:$AK$176,$A155)</f>
        <v>0</v>
      </c>
      <c r="M155" s="710">
        <f>-SUMIFS('D2 - Capex uso'!CD$6:CD$176,'D2 - Capex uso'!$C$6:$C$176,$A137,'D2 - Capex uso'!$AK$6:$AK$176,$A155)</f>
        <v>0</v>
      </c>
      <c r="N155" s="710">
        <f>-SUMIFS('D2 - Capex uso'!CE$6:CE$176,'D2 - Capex uso'!$C$6:$C$176,$A137,'D2 - Capex uso'!$AK$6:$AK$176,$A155)</f>
        <v>0</v>
      </c>
      <c r="O155" s="710">
        <f>-SUMIFS('D2 - Capex uso'!CF$6:CF$176,'D2 - Capex uso'!$C$6:$C$176,$A137,'D2 - Capex uso'!$AK$6:$AK$176,$A155)</f>
        <v>0</v>
      </c>
      <c r="P155" s="710">
        <f>-SUMIFS('D2 - Capex uso'!CG$6:CG$176,'D2 - Capex uso'!$C$6:$C$176,$A137,'D2 - Capex uso'!$AK$6:$AK$176,$A155)</f>
        <v>0</v>
      </c>
      <c r="Q155" s="710">
        <f>-SUMIFS('D2 - Capex uso'!CH$6:CH$176,'D2 - Capex uso'!$C$6:$C$176,$A137,'D2 - Capex uso'!$AK$6:$AK$176,$A155)</f>
        <v>0</v>
      </c>
      <c r="R155" s="710">
        <f>-SUMIFS('D2 - Capex uso'!CI$6:CI$176,'D2 - Capex uso'!$C$6:$C$176,$A137,'D2 - Capex uso'!$AK$6:$AK$176,$A155)</f>
        <v>0</v>
      </c>
      <c r="S155" s="710">
        <f>-SUMIFS('D2 - Capex uso'!CJ$6:CJ$176,'D2 - Capex uso'!$C$6:$C$176,$A137,'D2 - Capex uso'!$AK$6:$AK$176,$A155)</f>
        <v>0</v>
      </c>
      <c r="T155" s="710">
        <f>-SUMIFS('D2 - Capex uso'!CK$6:CK$176,'D2 - Capex uso'!$C$6:$C$176,$A137,'D2 - Capex uso'!$AK$6:$AK$176,$A155)</f>
        <v>0</v>
      </c>
      <c r="U155" s="710">
        <f>-SUMIFS('D2 - Capex uso'!CL$6:CL$176,'D2 - Capex uso'!$C$6:$C$176,$A137,'D2 - Capex uso'!$AK$6:$AK$176,$A155)</f>
        <v>0</v>
      </c>
      <c r="V155" s="710">
        <f>-SUMIFS('D2 - Capex uso'!CM$6:CM$176,'D2 - Capex uso'!$C$6:$C$176,$A137,'D2 - Capex uso'!$AK$6:$AK$176,$A155)</f>
        <v>0</v>
      </c>
      <c r="W155" s="710">
        <f>-SUMIFS('D2 - Capex uso'!CN$6:CN$176,'D2 - Capex uso'!$C$6:$C$176,$A137,'D2 - Capex uso'!$AK$6:$AK$176,$A155)</f>
        <v>0</v>
      </c>
      <c r="X155" s="710">
        <f>-SUMIFS('D2 - Capex uso'!CO$6:CO$176,'D2 - Capex uso'!$C$6:$C$176,$A137,'D2 - Capex uso'!$AK$6:$AK$176,$A155)</f>
        <v>0</v>
      </c>
      <c r="Y155" s="710">
        <f>-SUMIFS('D2 - Capex uso'!CP$6:CP$176,'D2 - Capex uso'!$C$6:$C$176,$A137,'D2 - Capex uso'!$AK$6:$AK$176,$A155)</f>
        <v>0</v>
      </c>
      <c r="Z155" s="710">
        <f>-SUMIFS('D2 - Capex uso'!CQ$6:CQ$176,'D2 - Capex uso'!$C$6:$C$176,$A137,'D2 - Capex uso'!$AK$6:$AK$176,$A155)</f>
        <v>0</v>
      </c>
      <c r="AA155" s="710">
        <f>-SUMIFS('D2 - Capex uso'!CR$6:CR$176,'D2 - Capex uso'!$C$6:$C$176,$A137,'D2 - Capex uso'!$AK$6:$AK$176,$A155)</f>
        <v>0</v>
      </c>
      <c r="AB155" s="710">
        <f>-SUMIFS('D2 - Capex uso'!CS$6:CS$176,'D2 - Capex uso'!$C$6:$C$176,$A137,'D2 - Capex uso'!$AK$6:$AK$176,$A155)</f>
        <v>0</v>
      </c>
      <c r="AC155" s="710">
        <f>-SUMIFS('D2 - Capex uso'!CT$6:CT$176,'D2 - Capex uso'!$C$6:$C$176,$A137,'D2 - Capex uso'!$AK$6:$AK$176,$A155)</f>
        <v>0</v>
      </c>
      <c r="AD155" s="710">
        <f>-SUMIFS('D2 - Capex uso'!CU$6:CU$176,'D2 - Capex uso'!$C$6:$C$176,$A137,'D2 - Capex uso'!$AK$6:$AK$176,$A155)</f>
        <v>0</v>
      </c>
      <c r="AE155" s="710">
        <f>-SUMIFS('D2 - Capex uso'!CV$6:CV$176,'D2 - Capex uso'!$C$6:$C$176,$A137,'D2 - Capex uso'!$AK$6:$AK$176,$A155)</f>
        <v>0</v>
      </c>
      <c r="AF155" s="594"/>
      <c r="AG155" s="594"/>
      <c r="AH155" s="594"/>
      <c r="AI155" s="594"/>
      <c r="AJ155" s="594"/>
      <c r="AK155" s="594"/>
      <c r="AL155" s="594"/>
      <c r="AM155" s="594"/>
      <c r="AN155" s="594"/>
      <c r="AO155" s="594"/>
      <c r="AP155" s="594"/>
      <c r="AQ155" s="594"/>
      <c r="AR155" s="594"/>
      <c r="AS155" s="594"/>
      <c r="AT155" s="594"/>
      <c r="AU155" s="594"/>
      <c r="AV155" s="594"/>
      <c r="AW155" s="594"/>
      <c r="AX155" s="594"/>
      <c r="AY155" s="594"/>
      <c r="AZ155" s="594"/>
      <c r="BA155" s="594"/>
      <c r="BB155" s="594"/>
      <c r="BC155" s="594"/>
      <c r="BD155" s="594"/>
      <c r="BE155" s="594"/>
      <c r="BF155" s="594"/>
      <c r="BG155" s="594"/>
      <c r="BH155" s="594"/>
      <c r="BI155" s="594"/>
      <c r="BJ155" s="594"/>
      <c r="BK155" s="594"/>
      <c r="BL155" s="57"/>
      <c r="BM155" s="594"/>
      <c r="BN155" s="594"/>
      <c r="BO155" s="594"/>
      <c r="BP155" s="594"/>
      <c r="BQ155" s="594"/>
      <c r="BR155" s="594"/>
      <c r="BS155" s="594"/>
      <c r="BT155" s="594"/>
      <c r="BU155" s="594"/>
      <c r="BV155" s="594"/>
      <c r="BW155" s="594"/>
      <c r="BX155" s="594"/>
      <c r="BY155" s="594"/>
      <c r="BZ155" s="594"/>
      <c r="CA155" s="594"/>
      <c r="CB155" s="594"/>
      <c r="CC155" s="594"/>
      <c r="CD155" s="594"/>
      <c r="CE155" s="594"/>
      <c r="CF155" s="594"/>
      <c r="CG155" s="594"/>
      <c r="CH155" s="594"/>
      <c r="CI155" s="594"/>
      <c r="CJ155" s="594"/>
      <c r="CK155" s="594"/>
      <c r="CL155" s="594"/>
      <c r="CM155" s="594"/>
      <c r="CN155" s="594"/>
      <c r="CO155" s="594"/>
      <c r="CP155" s="594"/>
      <c r="CQ155" s="594"/>
    </row>
    <row r="156" spans="1:95" ht="27" customHeight="1" collapsed="1">
      <c r="A156" s="703" t="str">
        <f>IF(ISBLANK('A1 - Serviços e demanda'!A28),,'A1 - Serviços e demanda'!A28)</f>
        <v>Silveira - Hospedagem</v>
      </c>
      <c r="B156" s="704">
        <f t="shared" ref="B156:AE156" si="48">IF($A156=0,0,SUM(B165:B166))</f>
        <v>0</v>
      </c>
      <c r="C156" s="704">
        <f t="shared" si="48"/>
        <v>0</v>
      </c>
      <c r="D156" s="704">
        <f t="shared" si="48"/>
        <v>0</v>
      </c>
      <c r="E156" s="704">
        <f t="shared" si="48"/>
        <v>0</v>
      </c>
      <c r="F156" s="704">
        <f t="shared" si="48"/>
        <v>0</v>
      </c>
      <c r="G156" s="704">
        <f t="shared" si="48"/>
        <v>0</v>
      </c>
      <c r="H156" s="704">
        <f t="shared" si="48"/>
        <v>0</v>
      </c>
      <c r="I156" s="704">
        <f t="shared" si="48"/>
        <v>0</v>
      </c>
      <c r="J156" s="704">
        <f t="shared" si="48"/>
        <v>0</v>
      </c>
      <c r="K156" s="704">
        <f t="shared" si="48"/>
        <v>0</v>
      </c>
      <c r="L156" s="704">
        <f t="shared" si="48"/>
        <v>0</v>
      </c>
      <c r="M156" s="704">
        <f t="shared" si="48"/>
        <v>0</v>
      </c>
      <c r="N156" s="704">
        <f t="shared" si="48"/>
        <v>0</v>
      </c>
      <c r="O156" s="704">
        <f t="shared" si="48"/>
        <v>0</v>
      </c>
      <c r="P156" s="704">
        <f t="shared" si="48"/>
        <v>0</v>
      </c>
      <c r="Q156" s="704">
        <f t="shared" si="48"/>
        <v>0</v>
      </c>
      <c r="R156" s="704">
        <f t="shared" si="48"/>
        <v>0</v>
      </c>
      <c r="S156" s="704">
        <f t="shared" si="48"/>
        <v>0</v>
      </c>
      <c r="T156" s="704">
        <f t="shared" si="48"/>
        <v>0</v>
      </c>
      <c r="U156" s="704">
        <f t="shared" si="48"/>
        <v>0</v>
      </c>
      <c r="V156" s="704">
        <f t="shared" si="48"/>
        <v>0</v>
      </c>
      <c r="W156" s="704">
        <f t="shared" si="48"/>
        <v>0</v>
      </c>
      <c r="X156" s="704">
        <f t="shared" si="48"/>
        <v>0</v>
      </c>
      <c r="Y156" s="704">
        <f t="shared" si="48"/>
        <v>0</v>
      </c>
      <c r="Z156" s="704">
        <f t="shared" si="48"/>
        <v>0</v>
      </c>
      <c r="AA156" s="704">
        <f t="shared" si="48"/>
        <v>0</v>
      </c>
      <c r="AB156" s="704">
        <f t="shared" si="48"/>
        <v>0</v>
      </c>
      <c r="AC156" s="704">
        <f t="shared" si="48"/>
        <v>0</v>
      </c>
      <c r="AD156" s="704">
        <f t="shared" si="48"/>
        <v>0</v>
      </c>
      <c r="AE156" s="704">
        <f t="shared" si="48"/>
        <v>0</v>
      </c>
      <c r="AF156" s="594"/>
      <c r="AG156" s="486" t="str">
        <f>A156</f>
        <v>Silveira - Hospedagem</v>
      </c>
      <c r="AH156" s="705">
        <f t="shared" ref="AH156:BK156" si="49">IFERROR(-B159/B157,0)</f>
        <v>0</v>
      </c>
      <c r="AI156" s="705">
        <f t="shared" si="49"/>
        <v>0</v>
      </c>
      <c r="AJ156" s="705">
        <f t="shared" si="49"/>
        <v>0</v>
      </c>
      <c r="AK156" s="705">
        <f t="shared" si="49"/>
        <v>0</v>
      </c>
      <c r="AL156" s="705">
        <f t="shared" si="49"/>
        <v>0</v>
      </c>
      <c r="AM156" s="705">
        <f t="shared" si="49"/>
        <v>0</v>
      </c>
      <c r="AN156" s="705">
        <f t="shared" si="49"/>
        <v>0</v>
      </c>
      <c r="AO156" s="705">
        <f t="shared" si="49"/>
        <v>0</v>
      </c>
      <c r="AP156" s="705">
        <f t="shared" si="49"/>
        <v>0</v>
      </c>
      <c r="AQ156" s="705">
        <f t="shared" si="49"/>
        <v>0</v>
      </c>
      <c r="AR156" s="705">
        <f t="shared" si="49"/>
        <v>0</v>
      </c>
      <c r="AS156" s="705">
        <f t="shared" si="49"/>
        <v>0</v>
      </c>
      <c r="AT156" s="705">
        <f t="shared" si="49"/>
        <v>0</v>
      </c>
      <c r="AU156" s="705">
        <f t="shared" si="49"/>
        <v>0</v>
      </c>
      <c r="AV156" s="705">
        <f t="shared" si="49"/>
        <v>0</v>
      </c>
      <c r="AW156" s="705">
        <f t="shared" si="49"/>
        <v>0</v>
      </c>
      <c r="AX156" s="705">
        <f t="shared" si="49"/>
        <v>0</v>
      </c>
      <c r="AY156" s="705">
        <f t="shared" si="49"/>
        <v>0</v>
      </c>
      <c r="AZ156" s="705">
        <f t="shared" si="49"/>
        <v>0</v>
      </c>
      <c r="BA156" s="705">
        <f t="shared" si="49"/>
        <v>0</v>
      </c>
      <c r="BB156" s="705">
        <f t="shared" si="49"/>
        <v>0</v>
      </c>
      <c r="BC156" s="705">
        <f t="shared" si="49"/>
        <v>0</v>
      </c>
      <c r="BD156" s="705">
        <f t="shared" si="49"/>
        <v>0</v>
      </c>
      <c r="BE156" s="705">
        <f t="shared" si="49"/>
        <v>0</v>
      </c>
      <c r="BF156" s="705">
        <f t="shared" si="49"/>
        <v>0</v>
      </c>
      <c r="BG156" s="705">
        <f t="shared" si="49"/>
        <v>0</v>
      </c>
      <c r="BH156" s="705">
        <f t="shared" si="49"/>
        <v>0</v>
      </c>
      <c r="BI156" s="705">
        <f t="shared" si="49"/>
        <v>0</v>
      </c>
      <c r="BJ156" s="705">
        <f t="shared" si="49"/>
        <v>0</v>
      </c>
      <c r="BK156" s="705">
        <f t="shared" si="49"/>
        <v>0</v>
      </c>
      <c r="BL156" s="57"/>
      <c r="BM156" s="486" t="str">
        <f>AG156</f>
        <v>Silveira - Hospedagem</v>
      </c>
      <c r="BN156" s="705">
        <f t="shared" ref="BN156:CQ156" si="50">IFERROR(B165/B157,0)</f>
        <v>0</v>
      </c>
      <c r="BO156" s="705">
        <f t="shared" si="50"/>
        <v>0</v>
      </c>
      <c r="BP156" s="705">
        <f t="shared" si="50"/>
        <v>0</v>
      </c>
      <c r="BQ156" s="705">
        <f t="shared" si="50"/>
        <v>0</v>
      </c>
      <c r="BR156" s="705">
        <f t="shared" si="50"/>
        <v>0</v>
      </c>
      <c r="BS156" s="705">
        <f t="shared" si="50"/>
        <v>0</v>
      </c>
      <c r="BT156" s="705">
        <f t="shared" si="50"/>
        <v>0</v>
      </c>
      <c r="BU156" s="705">
        <f t="shared" si="50"/>
        <v>0</v>
      </c>
      <c r="BV156" s="705">
        <f t="shared" si="50"/>
        <v>0</v>
      </c>
      <c r="BW156" s="705">
        <f t="shared" si="50"/>
        <v>0</v>
      </c>
      <c r="BX156" s="705">
        <f t="shared" si="50"/>
        <v>0</v>
      </c>
      <c r="BY156" s="705">
        <f t="shared" si="50"/>
        <v>0</v>
      </c>
      <c r="BZ156" s="705">
        <f t="shared" si="50"/>
        <v>0</v>
      </c>
      <c r="CA156" s="705">
        <f t="shared" si="50"/>
        <v>0</v>
      </c>
      <c r="CB156" s="705">
        <f t="shared" si="50"/>
        <v>0</v>
      </c>
      <c r="CC156" s="705">
        <f t="shared" si="50"/>
        <v>0</v>
      </c>
      <c r="CD156" s="705">
        <f t="shared" si="50"/>
        <v>0</v>
      </c>
      <c r="CE156" s="705">
        <f t="shared" si="50"/>
        <v>0</v>
      </c>
      <c r="CF156" s="705">
        <f t="shared" si="50"/>
        <v>0</v>
      </c>
      <c r="CG156" s="705">
        <f t="shared" si="50"/>
        <v>0</v>
      </c>
      <c r="CH156" s="705">
        <f t="shared" si="50"/>
        <v>0</v>
      </c>
      <c r="CI156" s="705">
        <f t="shared" si="50"/>
        <v>0</v>
      </c>
      <c r="CJ156" s="705">
        <f t="shared" si="50"/>
        <v>0</v>
      </c>
      <c r="CK156" s="705">
        <f t="shared" si="50"/>
        <v>0</v>
      </c>
      <c r="CL156" s="705">
        <f t="shared" si="50"/>
        <v>0</v>
      </c>
      <c r="CM156" s="705">
        <f t="shared" si="50"/>
        <v>0</v>
      </c>
      <c r="CN156" s="705">
        <f t="shared" si="50"/>
        <v>0</v>
      </c>
      <c r="CO156" s="705">
        <f t="shared" si="50"/>
        <v>0</v>
      </c>
      <c r="CP156" s="705">
        <f t="shared" si="50"/>
        <v>0</v>
      </c>
      <c r="CQ156" s="705">
        <f t="shared" si="50"/>
        <v>0</v>
      </c>
    </row>
    <row r="157" spans="1:95" ht="33.75" hidden="1" customHeight="1" outlineLevel="1">
      <c r="A157" s="706" t="s">
        <v>680</v>
      </c>
      <c r="B157" s="707">
        <f>IFERROR(VLOOKUP($A156,ReceitaBruta,COLUMN('A4 - Previsão de Receita Bruta'!C159)-1,0),0)</f>
        <v>0</v>
      </c>
      <c r="C157" s="707">
        <f>IFERROR(VLOOKUP($A156,ReceitaBruta,COLUMN('A4 - Previsão de Receita Bruta'!D159)-1,0),0)</f>
        <v>0</v>
      </c>
      <c r="D157" s="707">
        <f>IFERROR(VLOOKUP($A156,ReceitaBruta,COLUMN('A4 - Previsão de Receita Bruta'!E159)-1,0),0)</f>
        <v>0</v>
      </c>
      <c r="E157" s="707">
        <f>IFERROR(VLOOKUP($A156,ReceitaBruta,COLUMN('A4 - Previsão de Receita Bruta'!F159)-1,0),0)</f>
        <v>0</v>
      </c>
      <c r="F157" s="707">
        <f>IFERROR(VLOOKUP($A156,ReceitaBruta,COLUMN('A4 - Previsão de Receita Bruta'!G159)-1,0),0)</f>
        <v>0</v>
      </c>
      <c r="G157" s="707">
        <f>IFERROR(VLOOKUP($A156,ReceitaBruta,COLUMN('A4 - Previsão de Receita Bruta'!H159)-1,0),0)</f>
        <v>0</v>
      </c>
      <c r="H157" s="707">
        <f>IFERROR(VLOOKUP($A156,ReceitaBruta,COLUMN('A4 - Previsão de Receita Bruta'!I159)-1,0),0)</f>
        <v>0</v>
      </c>
      <c r="I157" s="707">
        <f>IFERROR(VLOOKUP($A156,ReceitaBruta,COLUMN('A4 - Previsão de Receita Bruta'!J159)-1,0),0)</f>
        <v>0</v>
      </c>
      <c r="J157" s="707">
        <f>IFERROR(VLOOKUP($A156,ReceitaBruta,COLUMN('A4 - Previsão de Receita Bruta'!K159)-1,0),0)</f>
        <v>0</v>
      </c>
      <c r="K157" s="707">
        <f>IFERROR(VLOOKUP($A156,ReceitaBruta,COLUMN('A4 - Previsão de Receita Bruta'!L159)-1,0),0)</f>
        <v>0</v>
      </c>
      <c r="L157" s="707">
        <f>IFERROR(VLOOKUP($A156,ReceitaBruta,COLUMN('A4 - Previsão de Receita Bruta'!M159)-1,0),0)</f>
        <v>0</v>
      </c>
      <c r="M157" s="707">
        <f>IFERROR(VLOOKUP($A156,ReceitaBruta,COLUMN('A4 - Previsão de Receita Bruta'!N159)-1,0),0)</f>
        <v>0</v>
      </c>
      <c r="N157" s="707">
        <f>IFERROR(VLOOKUP($A156,ReceitaBruta,COLUMN('A4 - Previsão de Receita Bruta'!O159)-1,0),0)</f>
        <v>0</v>
      </c>
      <c r="O157" s="707">
        <f>IFERROR(VLOOKUP($A156,ReceitaBruta,COLUMN('A4 - Previsão de Receita Bruta'!P159)-1,0),0)</f>
        <v>0</v>
      </c>
      <c r="P157" s="707">
        <f>IFERROR(VLOOKUP($A156,ReceitaBruta,COLUMN('A4 - Previsão de Receita Bruta'!Q159)-1,0),0)</f>
        <v>0</v>
      </c>
      <c r="Q157" s="707">
        <f>IFERROR(VLOOKUP($A156,ReceitaBruta,COLUMN('A4 - Previsão de Receita Bruta'!R159)-1,0),0)</f>
        <v>0</v>
      </c>
      <c r="R157" s="707">
        <f>IFERROR(VLOOKUP($A156,ReceitaBruta,COLUMN('A4 - Previsão de Receita Bruta'!S159)-1,0),0)</f>
        <v>0</v>
      </c>
      <c r="S157" s="707">
        <f>IFERROR(VLOOKUP($A156,ReceitaBruta,COLUMN('A4 - Previsão de Receita Bruta'!T159)-1,0),0)</f>
        <v>0</v>
      </c>
      <c r="T157" s="707">
        <f>IFERROR(VLOOKUP($A156,ReceitaBruta,COLUMN('A4 - Previsão de Receita Bruta'!U159)-1,0),0)</f>
        <v>0</v>
      </c>
      <c r="U157" s="707">
        <f>IFERROR(VLOOKUP($A156,ReceitaBruta,COLUMN('A4 - Previsão de Receita Bruta'!V159)-1,0),0)</f>
        <v>0</v>
      </c>
      <c r="V157" s="707">
        <f>IFERROR(VLOOKUP($A156,ReceitaBruta,COLUMN('A4 - Previsão de Receita Bruta'!W159)-1,0),0)</f>
        <v>0</v>
      </c>
      <c r="W157" s="707">
        <f>IFERROR(VLOOKUP($A156,ReceitaBruta,COLUMN('A4 - Previsão de Receita Bruta'!X159)-1,0),0)</f>
        <v>0</v>
      </c>
      <c r="X157" s="707">
        <f>IFERROR(VLOOKUP($A156,ReceitaBruta,COLUMN('A4 - Previsão de Receita Bruta'!Y159)-1,0),0)</f>
        <v>0</v>
      </c>
      <c r="Y157" s="707">
        <f>IFERROR(VLOOKUP($A156,ReceitaBruta,COLUMN('A4 - Previsão de Receita Bruta'!Z159)-1,0),0)</f>
        <v>0</v>
      </c>
      <c r="Z157" s="707">
        <f>IFERROR(VLOOKUP($A156,ReceitaBruta,COLUMN('A4 - Previsão de Receita Bruta'!AA159)-1,0),0)</f>
        <v>0</v>
      </c>
      <c r="AA157" s="707">
        <f>IFERROR(VLOOKUP($A156,ReceitaBruta,COLUMN('A4 - Previsão de Receita Bruta'!AB159)-1,0),0)</f>
        <v>0</v>
      </c>
      <c r="AB157" s="707">
        <f>IFERROR(VLOOKUP($A156,ReceitaBruta,COLUMN('A4 - Previsão de Receita Bruta'!AC159)-1,0),0)</f>
        <v>0</v>
      </c>
      <c r="AC157" s="707">
        <f>IFERROR(VLOOKUP($A156,ReceitaBruta,COLUMN('A4 - Previsão de Receita Bruta'!AD159)-1,0),0)</f>
        <v>0</v>
      </c>
      <c r="AD157" s="707">
        <f>IFERROR(VLOOKUP($A156,ReceitaBruta,COLUMN('A4 - Previsão de Receita Bruta'!AE159)-1,0),0)</f>
        <v>0</v>
      </c>
      <c r="AE157" s="707">
        <f>IFERROR(VLOOKUP($A156,ReceitaBruta,COLUMN('A4 - Previsão de Receita Bruta'!AF159)-1,0),0)</f>
        <v>0</v>
      </c>
      <c r="AF157" s="594"/>
      <c r="AG157" s="594"/>
      <c r="AH157" s="594"/>
      <c r="AI157" s="594"/>
      <c r="AJ157" s="594"/>
      <c r="AK157" s="594"/>
      <c r="AL157" s="594"/>
      <c r="AM157" s="594"/>
      <c r="AN157" s="594"/>
      <c r="AO157" s="594"/>
      <c r="AP157" s="594"/>
      <c r="AQ157" s="594"/>
      <c r="AR157" s="594"/>
      <c r="AS157" s="594"/>
      <c r="AT157" s="594"/>
      <c r="AU157" s="594"/>
      <c r="AV157" s="594"/>
      <c r="AW157" s="594"/>
      <c r="AX157" s="594"/>
      <c r="AY157" s="594"/>
      <c r="AZ157" s="594"/>
      <c r="BA157" s="594"/>
      <c r="BB157" s="594"/>
      <c r="BC157" s="594"/>
      <c r="BD157" s="594"/>
      <c r="BE157" s="594"/>
      <c r="BF157" s="594"/>
      <c r="BG157" s="594"/>
      <c r="BH157" s="594"/>
      <c r="BI157" s="594"/>
      <c r="BJ157" s="594"/>
      <c r="BK157" s="594"/>
      <c r="BL157" s="57"/>
      <c r="BM157" s="594"/>
      <c r="BN157" s="594"/>
      <c r="BO157" s="594"/>
      <c r="BP157" s="594"/>
      <c r="BQ157" s="594"/>
      <c r="BR157" s="594"/>
      <c r="BS157" s="594"/>
      <c r="BT157" s="594"/>
      <c r="BU157" s="594"/>
      <c r="BV157" s="594"/>
      <c r="BW157" s="594"/>
      <c r="BX157" s="594"/>
      <c r="BY157" s="594"/>
      <c r="BZ157" s="594"/>
      <c r="CA157" s="594"/>
      <c r="CB157" s="594"/>
      <c r="CC157" s="594"/>
      <c r="CD157" s="594"/>
      <c r="CE157" s="594"/>
      <c r="CF157" s="594"/>
      <c r="CG157" s="594"/>
      <c r="CH157" s="594"/>
      <c r="CI157" s="594"/>
      <c r="CJ157" s="594"/>
      <c r="CK157" s="594"/>
      <c r="CL157" s="594"/>
      <c r="CM157" s="594"/>
      <c r="CN157" s="594"/>
      <c r="CO157" s="594"/>
      <c r="CP157" s="594"/>
      <c r="CQ157" s="594"/>
    </row>
    <row r="158" spans="1:95" ht="21" hidden="1" customHeight="1" outlineLevel="1">
      <c r="A158" s="708" t="s">
        <v>681</v>
      </c>
      <c r="B158" s="707">
        <f>IFERROR(-'E2 - Tributos'!D$19*VLOOKUP('F1 - FCL'!$A156,ReceitaBruta,COLUMN('A4 - Previsão de Receita Bruta'!C$6)-1,0),0)</f>
        <v>0</v>
      </c>
      <c r="C158" s="707">
        <f>IFERROR(-'E2 - Tributos'!E$19*VLOOKUP('F1 - FCL'!$A156,ReceitaBruta,COLUMN('A4 - Previsão de Receita Bruta'!D$6)-1,0),0)</f>
        <v>0</v>
      </c>
      <c r="D158" s="707">
        <f>IFERROR(-'E2 - Tributos'!F$19*VLOOKUP('F1 - FCL'!$A156,ReceitaBruta,COLUMN('A4 - Previsão de Receita Bruta'!E$6)-1,0),0)</f>
        <v>0</v>
      </c>
      <c r="E158" s="707">
        <f>IFERROR(-'E2 - Tributos'!G$19*VLOOKUP('F1 - FCL'!$A156,ReceitaBruta,COLUMN('A4 - Previsão de Receita Bruta'!F$6)-1,0),0)</f>
        <v>0</v>
      </c>
      <c r="F158" s="707">
        <f>IFERROR(-'E2 - Tributos'!H$19*VLOOKUP('F1 - FCL'!$A156,ReceitaBruta,COLUMN('A4 - Previsão de Receita Bruta'!G$6)-1,0),0)</f>
        <v>0</v>
      </c>
      <c r="G158" s="707">
        <f>IFERROR(-'E2 - Tributos'!I$19*VLOOKUP('F1 - FCL'!$A156,ReceitaBruta,COLUMN('A4 - Previsão de Receita Bruta'!H$6)-1,0),0)</f>
        <v>0</v>
      </c>
      <c r="H158" s="707">
        <f>IFERROR(-'E2 - Tributos'!J$19*VLOOKUP('F1 - FCL'!$A156,ReceitaBruta,COLUMN('A4 - Previsão de Receita Bruta'!I$6)-1,0),0)</f>
        <v>0</v>
      </c>
      <c r="I158" s="707">
        <f>IFERROR(-'E2 - Tributos'!K$19*VLOOKUP('F1 - FCL'!$A156,ReceitaBruta,COLUMN('A4 - Previsão de Receita Bruta'!J$6)-1,0),0)</f>
        <v>0</v>
      </c>
      <c r="J158" s="707">
        <f>IFERROR(-'E2 - Tributos'!L$19*VLOOKUP('F1 - FCL'!$A156,ReceitaBruta,COLUMN('A4 - Previsão de Receita Bruta'!K$6)-1,0),0)</f>
        <v>0</v>
      </c>
      <c r="K158" s="707">
        <f>IFERROR(-'E2 - Tributos'!M$19*VLOOKUP('F1 - FCL'!$A156,ReceitaBruta,COLUMN('A4 - Previsão de Receita Bruta'!L$6)-1,0),0)</f>
        <v>0</v>
      </c>
      <c r="L158" s="707">
        <f>IFERROR(-'E2 - Tributos'!N$19*VLOOKUP('F1 - FCL'!$A156,ReceitaBruta,COLUMN('A4 - Previsão de Receita Bruta'!M$6)-1,0),0)</f>
        <v>0</v>
      </c>
      <c r="M158" s="707">
        <f>IFERROR(-'E2 - Tributos'!O$19*VLOOKUP('F1 - FCL'!$A156,ReceitaBruta,COLUMN('A4 - Previsão de Receita Bruta'!N$6)-1,0),0)</f>
        <v>0</v>
      </c>
      <c r="N158" s="707">
        <f>IFERROR(-'E2 - Tributos'!P$19*VLOOKUP('F1 - FCL'!$A156,ReceitaBruta,COLUMN('A4 - Previsão de Receita Bruta'!O$6)-1,0),0)</f>
        <v>0</v>
      </c>
      <c r="O158" s="707">
        <f>IFERROR(-'E2 - Tributos'!Q$19*VLOOKUP('F1 - FCL'!$A156,ReceitaBruta,COLUMN('A4 - Previsão de Receita Bruta'!P$6)-1,0),0)</f>
        <v>0</v>
      </c>
      <c r="P158" s="707">
        <f>IFERROR(-'E2 - Tributos'!R$19*VLOOKUP('F1 - FCL'!$A156,ReceitaBruta,COLUMN('A4 - Previsão de Receita Bruta'!Q$6)-1,0),0)</f>
        <v>0</v>
      </c>
      <c r="Q158" s="707">
        <f>IFERROR(-'E2 - Tributos'!S$19*VLOOKUP('F1 - FCL'!$A156,ReceitaBruta,COLUMN('A4 - Previsão de Receita Bruta'!R$6)-1,0),0)</f>
        <v>0</v>
      </c>
      <c r="R158" s="707">
        <f>IFERROR(-'E2 - Tributos'!T$19*VLOOKUP('F1 - FCL'!$A156,ReceitaBruta,COLUMN('A4 - Previsão de Receita Bruta'!S$6)-1,0),0)</f>
        <v>0</v>
      </c>
      <c r="S158" s="707">
        <f>IFERROR(-'E2 - Tributos'!U$19*VLOOKUP('F1 - FCL'!$A156,ReceitaBruta,COLUMN('A4 - Previsão de Receita Bruta'!T$6)-1,0),0)</f>
        <v>0</v>
      </c>
      <c r="T158" s="707">
        <f>IFERROR(-'E2 - Tributos'!V$19*VLOOKUP('F1 - FCL'!$A156,ReceitaBruta,COLUMN('A4 - Previsão de Receita Bruta'!U$6)-1,0),0)</f>
        <v>0</v>
      </c>
      <c r="U158" s="707">
        <f>IFERROR(-'E2 - Tributos'!W$19*VLOOKUP('F1 - FCL'!$A156,ReceitaBruta,COLUMN('A4 - Previsão de Receita Bruta'!V$6)-1,0),0)</f>
        <v>0</v>
      </c>
      <c r="V158" s="707">
        <f>IFERROR(-'E2 - Tributos'!X$19*VLOOKUP('F1 - FCL'!$A156,ReceitaBruta,COLUMN('A4 - Previsão de Receita Bruta'!W$6)-1,0),0)</f>
        <v>0</v>
      </c>
      <c r="W158" s="707">
        <f>IFERROR(-'E2 - Tributos'!Y$19*VLOOKUP('F1 - FCL'!$A156,ReceitaBruta,COLUMN('A4 - Previsão de Receita Bruta'!X$6)-1,0),0)</f>
        <v>0</v>
      </c>
      <c r="X158" s="707">
        <f>IFERROR(-'E2 - Tributos'!Z$19*VLOOKUP('F1 - FCL'!$A156,ReceitaBruta,COLUMN('A4 - Previsão de Receita Bruta'!Y$6)-1,0),0)</f>
        <v>0</v>
      </c>
      <c r="Y158" s="707">
        <f>IFERROR(-'E2 - Tributos'!AA$19*VLOOKUP('F1 - FCL'!$A156,ReceitaBruta,COLUMN('A4 - Previsão de Receita Bruta'!Z$6)-1,0),0)</f>
        <v>0</v>
      </c>
      <c r="Z158" s="707">
        <f>IFERROR(-'E2 - Tributos'!AB$19*VLOOKUP('F1 - FCL'!$A156,ReceitaBruta,COLUMN('A4 - Previsão de Receita Bruta'!AA$6)-1,0),0)</f>
        <v>0</v>
      </c>
      <c r="AA158" s="707">
        <f>IFERROR(-'E2 - Tributos'!AC$19*VLOOKUP('F1 - FCL'!$A156,ReceitaBruta,COLUMN('A4 - Previsão de Receita Bruta'!AB$6)-1,0),0)</f>
        <v>0</v>
      </c>
      <c r="AB158" s="707">
        <f>IFERROR(-'E2 - Tributos'!AD$19*VLOOKUP('F1 - FCL'!$A156,ReceitaBruta,COLUMN('A4 - Previsão de Receita Bruta'!AC$6)-1,0),0)</f>
        <v>0</v>
      </c>
      <c r="AC158" s="707">
        <f>IFERROR(-'E2 - Tributos'!AE$19*VLOOKUP('F1 - FCL'!$A156,ReceitaBruta,COLUMN('A4 - Previsão de Receita Bruta'!AD$6)-1,0),0)</f>
        <v>0</v>
      </c>
      <c r="AD158" s="707">
        <f>IFERROR(-'E2 - Tributos'!AF$19*VLOOKUP('F1 - FCL'!$A156,ReceitaBruta,COLUMN('A4 - Previsão de Receita Bruta'!AE$6)-1,0),0)</f>
        <v>0</v>
      </c>
      <c r="AE158" s="707">
        <f>IFERROR(-'E2 - Tributos'!AG$19*VLOOKUP('F1 - FCL'!$A156,ReceitaBruta,COLUMN('A4 - Previsão de Receita Bruta'!AF$6)-1,0),0)</f>
        <v>0</v>
      </c>
      <c r="AF158" s="594"/>
      <c r="AG158" s="594"/>
      <c r="AH158" s="594"/>
      <c r="AI158" s="594"/>
      <c r="AJ158" s="594"/>
      <c r="AK158" s="594"/>
      <c r="AL158" s="594"/>
      <c r="AM158" s="594"/>
      <c r="AN158" s="594"/>
      <c r="AO158" s="594"/>
      <c r="AP158" s="594"/>
      <c r="AQ158" s="594"/>
      <c r="AR158" s="594"/>
      <c r="AS158" s="594"/>
      <c r="AT158" s="594"/>
      <c r="AU158" s="594"/>
      <c r="AV158" s="594"/>
      <c r="AW158" s="594"/>
      <c r="AX158" s="594"/>
      <c r="AY158" s="594"/>
      <c r="AZ158" s="594"/>
      <c r="BA158" s="594"/>
      <c r="BB158" s="594"/>
      <c r="BC158" s="594"/>
      <c r="BD158" s="594"/>
      <c r="BE158" s="594"/>
      <c r="BF158" s="594"/>
      <c r="BG158" s="594"/>
      <c r="BH158" s="594"/>
      <c r="BI158" s="594"/>
      <c r="BJ158" s="594"/>
      <c r="BK158" s="594"/>
      <c r="BL158" s="57"/>
      <c r="BM158" s="594"/>
      <c r="BN158" s="594"/>
      <c r="BO158" s="594"/>
      <c r="BP158" s="594"/>
      <c r="BQ158" s="594"/>
      <c r="BR158" s="594"/>
      <c r="BS158" s="594"/>
      <c r="BT158" s="594"/>
      <c r="BU158" s="594"/>
      <c r="BV158" s="594"/>
      <c r="BW158" s="594"/>
      <c r="BX158" s="594"/>
      <c r="BY158" s="594"/>
      <c r="BZ158" s="594"/>
      <c r="CA158" s="594"/>
      <c r="CB158" s="594"/>
      <c r="CC158" s="594"/>
      <c r="CD158" s="594"/>
      <c r="CE158" s="594"/>
      <c r="CF158" s="594"/>
      <c r="CG158" s="594"/>
      <c r="CH158" s="594"/>
      <c r="CI158" s="594"/>
      <c r="CJ158" s="594"/>
      <c r="CK158" s="594"/>
      <c r="CL158" s="594"/>
      <c r="CM158" s="594"/>
      <c r="CN158" s="594"/>
      <c r="CO158" s="594"/>
      <c r="CP158" s="594"/>
      <c r="CQ158" s="594"/>
    </row>
    <row r="159" spans="1:95" ht="19.5" hidden="1" customHeight="1" outlineLevel="1">
      <c r="A159" s="708" t="s">
        <v>590</v>
      </c>
      <c r="B159" s="707">
        <f t="shared" ref="B159:AE159" si="51">SUM(B160:B164)</f>
        <v>0</v>
      </c>
      <c r="C159" s="707">
        <f t="shared" si="51"/>
        <v>0</v>
      </c>
      <c r="D159" s="707">
        <f t="shared" si="51"/>
        <v>0</v>
      </c>
      <c r="E159" s="707">
        <f t="shared" si="51"/>
        <v>0</v>
      </c>
      <c r="F159" s="707">
        <f t="shared" si="51"/>
        <v>0</v>
      </c>
      <c r="G159" s="707">
        <f t="shared" si="51"/>
        <v>0</v>
      </c>
      <c r="H159" s="707">
        <f t="shared" si="51"/>
        <v>0</v>
      </c>
      <c r="I159" s="707">
        <f t="shared" si="51"/>
        <v>0</v>
      </c>
      <c r="J159" s="707">
        <f t="shared" si="51"/>
        <v>0</v>
      </c>
      <c r="K159" s="707">
        <f t="shared" si="51"/>
        <v>0</v>
      </c>
      <c r="L159" s="707">
        <f t="shared" si="51"/>
        <v>0</v>
      </c>
      <c r="M159" s="707">
        <f t="shared" si="51"/>
        <v>0</v>
      </c>
      <c r="N159" s="707">
        <f t="shared" si="51"/>
        <v>0</v>
      </c>
      <c r="O159" s="707">
        <f t="shared" si="51"/>
        <v>0</v>
      </c>
      <c r="P159" s="707">
        <f t="shared" si="51"/>
        <v>0</v>
      </c>
      <c r="Q159" s="707">
        <f t="shared" si="51"/>
        <v>0</v>
      </c>
      <c r="R159" s="707">
        <f t="shared" si="51"/>
        <v>0</v>
      </c>
      <c r="S159" s="707">
        <f t="shared" si="51"/>
        <v>0</v>
      </c>
      <c r="T159" s="707">
        <f t="shared" si="51"/>
        <v>0</v>
      </c>
      <c r="U159" s="707">
        <f t="shared" si="51"/>
        <v>0</v>
      </c>
      <c r="V159" s="707">
        <f t="shared" si="51"/>
        <v>0</v>
      </c>
      <c r="W159" s="707">
        <f t="shared" si="51"/>
        <v>0</v>
      </c>
      <c r="X159" s="707">
        <f t="shared" si="51"/>
        <v>0</v>
      </c>
      <c r="Y159" s="707">
        <f t="shared" si="51"/>
        <v>0</v>
      </c>
      <c r="Z159" s="707">
        <f t="shared" si="51"/>
        <v>0</v>
      </c>
      <c r="AA159" s="707">
        <f t="shared" si="51"/>
        <v>0</v>
      </c>
      <c r="AB159" s="707">
        <f t="shared" si="51"/>
        <v>0</v>
      </c>
      <c r="AC159" s="707">
        <f t="shared" si="51"/>
        <v>0</v>
      </c>
      <c r="AD159" s="707">
        <f t="shared" si="51"/>
        <v>0</v>
      </c>
      <c r="AE159" s="707">
        <f t="shared" si="51"/>
        <v>0</v>
      </c>
      <c r="AF159" s="594"/>
      <c r="AG159" s="594"/>
      <c r="AH159" s="594"/>
      <c r="AI159" s="594"/>
      <c r="AJ159" s="594"/>
      <c r="AK159" s="594"/>
      <c r="AL159" s="594"/>
      <c r="AM159" s="594"/>
      <c r="AN159" s="594"/>
      <c r="AO159" s="594"/>
      <c r="AP159" s="594"/>
      <c r="AQ159" s="594"/>
      <c r="AR159" s="594"/>
      <c r="AS159" s="594"/>
      <c r="AT159" s="594"/>
      <c r="AU159" s="594"/>
      <c r="AV159" s="594"/>
      <c r="AW159" s="594"/>
      <c r="AX159" s="594"/>
      <c r="AY159" s="594"/>
      <c r="AZ159" s="594"/>
      <c r="BA159" s="594"/>
      <c r="BB159" s="594"/>
      <c r="BC159" s="594"/>
      <c r="BD159" s="594"/>
      <c r="BE159" s="594"/>
      <c r="BF159" s="594"/>
      <c r="BG159" s="594"/>
      <c r="BH159" s="594"/>
      <c r="BI159" s="594"/>
      <c r="BJ159" s="594"/>
      <c r="BK159" s="594"/>
      <c r="BL159" s="57"/>
      <c r="BM159" s="594"/>
      <c r="BN159" s="594"/>
      <c r="BO159" s="594"/>
      <c r="BP159" s="594"/>
      <c r="BQ159" s="594"/>
      <c r="BR159" s="594"/>
      <c r="BS159" s="594"/>
      <c r="BT159" s="594"/>
      <c r="BU159" s="594"/>
      <c r="BV159" s="594"/>
      <c r="BW159" s="594"/>
      <c r="BX159" s="594"/>
      <c r="BY159" s="594"/>
      <c r="BZ159" s="594"/>
      <c r="CA159" s="594"/>
      <c r="CB159" s="594"/>
      <c r="CC159" s="594"/>
      <c r="CD159" s="594"/>
      <c r="CE159" s="594"/>
      <c r="CF159" s="594"/>
      <c r="CG159" s="594"/>
      <c r="CH159" s="594"/>
      <c r="CI159" s="594"/>
      <c r="CJ159" s="594"/>
      <c r="CK159" s="594"/>
      <c r="CL159" s="594"/>
      <c r="CM159" s="594"/>
      <c r="CN159" s="594"/>
      <c r="CO159" s="594"/>
      <c r="CP159" s="594"/>
      <c r="CQ159" s="594"/>
    </row>
    <row r="160" spans="1:95" ht="21" hidden="1" customHeight="1" outlineLevel="2">
      <c r="A160" s="709" t="s">
        <v>682</v>
      </c>
      <c r="B160" s="710">
        <f>IF($A156="",0,-SUMIF('C3 - Funcionários $'!$D$7:$D$121,$A156,'C3 - Funcionários $'!G$7:G$121))</f>
        <v>0</v>
      </c>
      <c r="C160" s="710">
        <f>IF($A156="",0,-SUMIF('C3 - Funcionários $'!$D$7:$D$121,$A156,'C3 - Funcionários $'!H$7:H$121))</f>
        <v>0</v>
      </c>
      <c r="D160" s="710">
        <f>IF($A156="",0,-SUMIF('C3 - Funcionários $'!$D$7:$D$121,$A156,'C3 - Funcionários $'!I$7:I$121))</f>
        <v>0</v>
      </c>
      <c r="E160" s="710">
        <f>IF($A156="",0,-SUMIF('C3 - Funcionários $'!$D$7:$D$121,$A156,'C3 - Funcionários $'!J$7:J$121))</f>
        <v>0</v>
      </c>
      <c r="F160" s="710">
        <f>IF($A156="",0,-SUMIF('C3 - Funcionários $'!$D$7:$D$121,$A156,'C3 - Funcionários $'!K$7:K$121))</f>
        <v>0</v>
      </c>
      <c r="G160" s="710">
        <f>IF($A156="",0,-SUMIF('C3 - Funcionários $'!$D$7:$D$121,$A156,'C3 - Funcionários $'!L$7:L$121))</f>
        <v>0</v>
      </c>
      <c r="H160" s="710">
        <f>IF($A156="",0,-SUMIF('C3 - Funcionários $'!$D$7:$D$121,$A156,'C3 - Funcionários $'!M$7:M$121))</f>
        <v>0</v>
      </c>
      <c r="I160" s="710">
        <f>IF($A156="",0,-SUMIF('C3 - Funcionários $'!$D$7:$D$121,$A156,'C3 - Funcionários $'!N$7:N$121))</f>
        <v>0</v>
      </c>
      <c r="J160" s="710">
        <f>IF($A156="",0,-SUMIF('C3 - Funcionários $'!$D$7:$D$121,$A156,'C3 - Funcionários $'!O$7:O$121))</f>
        <v>0</v>
      </c>
      <c r="K160" s="710">
        <f>IF($A156="",0,-SUMIF('C3 - Funcionários $'!$D$7:$D$121,$A156,'C3 - Funcionários $'!P$7:P$121))</f>
        <v>0</v>
      </c>
      <c r="L160" s="710">
        <f>IF($A156="",0,-SUMIF('C3 - Funcionários $'!$D$7:$D$121,$A156,'C3 - Funcionários $'!Q$7:Q$121))</f>
        <v>0</v>
      </c>
      <c r="M160" s="710">
        <f>IF($A156="",0,-SUMIF('C3 - Funcionários $'!$D$7:$D$121,$A156,'C3 - Funcionários $'!R$7:R$121))</f>
        <v>0</v>
      </c>
      <c r="N160" s="710">
        <f>IF($A156="",0,-SUMIF('C3 - Funcionários $'!$D$7:$D$121,$A156,'C3 - Funcionários $'!S$7:S$121))</f>
        <v>0</v>
      </c>
      <c r="O160" s="710">
        <f>IF($A156="",0,-SUMIF('C3 - Funcionários $'!$D$7:$D$121,$A156,'C3 - Funcionários $'!T$7:T$121))</f>
        <v>0</v>
      </c>
      <c r="P160" s="710">
        <f>IF($A156="",0,-SUMIF('C3 - Funcionários $'!$D$7:$D$121,$A156,'C3 - Funcionários $'!U$7:U$121))</f>
        <v>0</v>
      </c>
      <c r="Q160" s="710">
        <f>IF($A156="",0,-SUMIF('C3 - Funcionários $'!$D$7:$D$121,$A156,'C3 - Funcionários $'!V$7:V$121))</f>
        <v>0</v>
      </c>
      <c r="R160" s="710">
        <f>IF($A156="",0,-SUMIF('C3 - Funcionários $'!$D$7:$D$121,$A156,'C3 - Funcionários $'!W$7:W$121))</f>
        <v>0</v>
      </c>
      <c r="S160" s="710">
        <f>IF($A156="",0,-SUMIF('C3 - Funcionários $'!$D$7:$D$121,$A156,'C3 - Funcionários $'!X$7:X$121))</f>
        <v>0</v>
      </c>
      <c r="T160" s="710">
        <f>IF($A156="",0,-SUMIF('C3 - Funcionários $'!$D$7:$D$121,$A156,'C3 - Funcionários $'!Y$7:Y$121))</f>
        <v>0</v>
      </c>
      <c r="U160" s="710">
        <f>IF($A156="",0,-SUMIF('C3 - Funcionários $'!$D$7:$D$121,$A156,'C3 - Funcionários $'!Z$7:Z$121))</f>
        <v>0</v>
      </c>
      <c r="V160" s="710">
        <f>IF($A156="",0,-SUMIF('C3 - Funcionários $'!$D$7:$D$121,$A156,'C3 - Funcionários $'!AA$7:AA$121))</f>
        <v>0</v>
      </c>
      <c r="W160" s="710">
        <f>IF($A156="",0,-SUMIF('C3 - Funcionários $'!$D$7:$D$121,$A156,'C3 - Funcionários $'!AB$7:AB$121))</f>
        <v>0</v>
      </c>
      <c r="X160" s="710">
        <f>IF($A156="",0,-SUMIF('C3 - Funcionários $'!$D$7:$D$121,$A156,'C3 - Funcionários $'!AC$7:AC$121))</f>
        <v>0</v>
      </c>
      <c r="Y160" s="710">
        <f>IF($A156="",0,-SUMIF('C3 - Funcionários $'!$D$7:$D$121,$A156,'C3 - Funcionários $'!AD$7:AD$121))</f>
        <v>0</v>
      </c>
      <c r="Z160" s="710">
        <f>IF($A156="",0,-SUMIF('C3 - Funcionários $'!$D$7:$D$121,$A156,'C3 - Funcionários $'!AE$7:AE$121))</f>
        <v>0</v>
      </c>
      <c r="AA160" s="710">
        <f>IF($A156="",0,-SUMIF('C3 - Funcionários $'!$D$7:$D$121,$A156,'C3 - Funcionários $'!AF$7:AF$121))</f>
        <v>0</v>
      </c>
      <c r="AB160" s="710">
        <f>IF($A156="",0,-SUMIF('C3 - Funcionários $'!$D$7:$D$121,$A156,'C3 - Funcionários $'!AG$7:AG$121))</f>
        <v>0</v>
      </c>
      <c r="AC160" s="710">
        <f>IF($A156="",0,-SUMIF('C3 - Funcionários $'!$D$7:$D$121,$A156,'C3 - Funcionários $'!AH$7:AH$121))</f>
        <v>0</v>
      </c>
      <c r="AD160" s="710">
        <f>IF($A156="",0,-SUMIF('C3 - Funcionários $'!$D$7:$D$121,$A156,'C3 - Funcionários $'!AI$7:AI$121))</f>
        <v>0</v>
      </c>
      <c r="AE160" s="710">
        <f>IF($A156="",0,-SUMIF('C3 - Funcionários $'!$D$7:$D$121,$A156,'C3 - Funcionários $'!AJ$7:AJ$121))</f>
        <v>0</v>
      </c>
      <c r="AF160" s="594"/>
      <c r="AG160" s="594"/>
      <c r="AH160" s="594"/>
      <c r="AI160" s="594"/>
      <c r="AJ160" s="594"/>
      <c r="AK160" s="594"/>
      <c r="AL160" s="594"/>
      <c r="AM160" s="594"/>
      <c r="AN160" s="594"/>
      <c r="AO160" s="594"/>
      <c r="AP160" s="594"/>
      <c r="AQ160" s="594"/>
      <c r="AR160" s="594"/>
      <c r="AS160" s="594"/>
      <c r="AT160" s="594"/>
      <c r="AU160" s="594"/>
      <c r="AV160" s="594"/>
      <c r="AW160" s="594"/>
      <c r="AX160" s="594"/>
      <c r="AY160" s="594"/>
      <c r="AZ160" s="594"/>
      <c r="BA160" s="594"/>
      <c r="BB160" s="594"/>
      <c r="BC160" s="594"/>
      <c r="BD160" s="594"/>
      <c r="BE160" s="594"/>
      <c r="BF160" s="594"/>
      <c r="BG160" s="594"/>
      <c r="BH160" s="594"/>
      <c r="BI160" s="594"/>
      <c r="BJ160" s="594"/>
      <c r="BK160" s="594"/>
      <c r="BL160" s="57"/>
      <c r="BM160" s="594"/>
      <c r="BN160" s="594"/>
      <c r="BO160" s="594"/>
      <c r="BP160" s="594"/>
      <c r="BQ160" s="594"/>
      <c r="BR160" s="594"/>
      <c r="BS160" s="594"/>
      <c r="BT160" s="594"/>
      <c r="BU160" s="594"/>
      <c r="BV160" s="594"/>
      <c r="BW160" s="594"/>
      <c r="BX160" s="594"/>
      <c r="BY160" s="594"/>
      <c r="BZ160" s="594"/>
      <c r="CA160" s="594"/>
      <c r="CB160" s="594"/>
      <c r="CC160" s="594"/>
      <c r="CD160" s="594"/>
      <c r="CE160" s="594"/>
      <c r="CF160" s="594"/>
      <c r="CG160" s="594"/>
      <c r="CH160" s="594"/>
      <c r="CI160" s="594"/>
      <c r="CJ160" s="594"/>
      <c r="CK160" s="594"/>
      <c r="CL160" s="594"/>
      <c r="CM160" s="594"/>
      <c r="CN160" s="594"/>
      <c r="CO160" s="594"/>
      <c r="CP160" s="594"/>
      <c r="CQ160" s="594"/>
    </row>
    <row r="161" spans="1:95" ht="21" hidden="1" customHeight="1" outlineLevel="2">
      <c r="A161" s="709" t="s">
        <v>683</v>
      </c>
      <c r="B161" s="710">
        <f>IFERROR(-VLOOKUP($A156,CustoDiretoTotal,COLUMN('B2 - Custos diretos totais'!C$3)-1,0),0)</f>
        <v>0</v>
      </c>
      <c r="C161" s="710">
        <f>IFERROR(-VLOOKUP($A156,CustoDiretoTotal,COLUMN('B2 - Custos diretos totais'!D$3)-1,0),0)</f>
        <v>0</v>
      </c>
      <c r="D161" s="710">
        <f>IFERROR(-VLOOKUP($A156,CustoDiretoTotal,COLUMN('B2 - Custos diretos totais'!E$3)-1,0),0)</f>
        <v>0</v>
      </c>
      <c r="E161" s="710">
        <f>IFERROR(-VLOOKUP($A156,CustoDiretoTotal,COLUMN('B2 - Custos diretos totais'!F$3)-1,0),0)</f>
        <v>0</v>
      </c>
      <c r="F161" s="710">
        <f>IFERROR(-VLOOKUP($A156,CustoDiretoTotal,COLUMN('B2 - Custos diretos totais'!G$3)-1,0),0)</f>
        <v>0</v>
      </c>
      <c r="G161" s="710">
        <f>IFERROR(-VLOOKUP($A156,CustoDiretoTotal,COLUMN('B2 - Custos diretos totais'!H$3)-1,0),0)</f>
        <v>0</v>
      </c>
      <c r="H161" s="710">
        <f>IFERROR(-VLOOKUP($A156,CustoDiretoTotal,COLUMN('B2 - Custos diretos totais'!I$3)-1,0),0)</f>
        <v>0</v>
      </c>
      <c r="I161" s="710">
        <f>IFERROR(-VLOOKUP($A156,CustoDiretoTotal,COLUMN('B2 - Custos diretos totais'!J$3)-1,0),0)</f>
        <v>0</v>
      </c>
      <c r="J161" s="710">
        <f>IFERROR(-VLOOKUP($A156,CustoDiretoTotal,COLUMN('B2 - Custos diretos totais'!K$3)-1,0),0)</f>
        <v>0</v>
      </c>
      <c r="K161" s="710">
        <f>IFERROR(-VLOOKUP($A156,CustoDiretoTotal,COLUMN('B2 - Custos diretos totais'!L$3)-1,0),0)</f>
        <v>0</v>
      </c>
      <c r="L161" s="710">
        <f>IFERROR(-VLOOKUP($A156,CustoDiretoTotal,COLUMN('B2 - Custos diretos totais'!M$3)-1,0),0)</f>
        <v>0</v>
      </c>
      <c r="M161" s="710">
        <f>IFERROR(-VLOOKUP($A156,CustoDiretoTotal,COLUMN('B2 - Custos diretos totais'!N$3)-1,0),0)</f>
        <v>0</v>
      </c>
      <c r="N161" s="710">
        <f>IFERROR(-VLOOKUP($A156,CustoDiretoTotal,COLUMN('B2 - Custos diretos totais'!O$3)-1,0),0)</f>
        <v>0</v>
      </c>
      <c r="O161" s="710">
        <f>IFERROR(-VLOOKUP($A156,CustoDiretoTotal,COLUMN('B2 - Custos diretos totais'!P$3)-1,0),0)</f>
        <v>0</v>
      </c>
      <c r="P161" s="710">
        <f>IFERROR(-VLOOKUP($A156,CustoDiretoTotal,COLUMN('B2 - Custos diretos totais'!Q$3)-1,0),0)</f>
        <v>0</v>
      </c>
      <c r="Q161" s="710">
        <f>IFERROR(-VLOOKUP($A156,CustoDiretoTotal,COLUMN('B2 - Custos diretos totais'!R$3)-1,0),0)</f>
        <v>0</v>
      </c>
      <c r="R161" s="710">
        <f>IFERROR(-VLOOKUP($A156,CustoDiretoTotal,COLUMN('B2 - Custos diretos totais'!S$3)-1,0),0)</f>
        <v>0</v>
      </c>
      <c r="S161" s="710">
        <f>IFERROR(-VLOOKUP($A156,CustoDiretoTotal,COLUMN('B2 - Custos diretos totais'!T$3)-1,0),0)</f>
        <v>0</v>
      </c>
      <c r="T161" s="710">
        <f>IFERROR(-VLOOKUP($A156,CustoDiretoTotal,COLUMN('B2 - Custos diretos totais'!U$3)-1,0),0)</f>
        <v>0</v>
      </c>
      <c r="U161" s="710">
        <f>IFERROR(-VLOOKUP($A156,CustoDiretoTotal,COLUMN('B2 - Custos diretos totais'!V$3)-1,0),0)</f>
        <v>0</v>
      </c>
      <c r="V161" s="710">
        <f>IFERROR(-VLOOKUP($A156,CustoDiretoTotal,COLUMN('B2 - Custos diretos totais'!W$3)-1,0),0)</f>
        <v>0</v>
      </c>
      <c r="W161" s="710">
        <f>IFERROR(-VLOOKUP($A156,CustoDiretoTotal,COLUMN('B2 - Custos diretos totais'!X$3)-1,0),0)</f>
        <v>0</v>
      </c>
      <c r="X161" s="710">
        <f>IFERROR(-VLOOKUP($A156,CustoDiretoTotal,COLUMN('B2 - Custos diretos totais'!Y$3)-1,0),0)</f>
        <v>0</v>
      </c>
      <c r="Y161" s="710">
        <f>IFERROR(-VLOOKUP($A156,CustoDiretoTotal,COLUMN('B2 - Custos diretos totais'!Z$3)-1,0),0)</f>
        <v>0</v>
      </c>
      <c r="Z161" s="710">
        <f>IFERROR(-VLOOKUP($A156,CustoDiretoTotal,COLUMN('B2 - Custos diretos totais'!AA$3)-1,0),0)</f>
        <v>0</v>
      </c>
      <c r="AA161" s="710">
        <f>IFERROR(-VLOOKUP($A156,CustoDiretoTotal,COLUMN('B2 - Custos diretos totais'!AB$3)-1,0),0)</f>
        <v>0</v>
      </c>
      <c r="AB161" s="710">
        <f>IFERROR(-VLOOKUP($A156,CustoDiretoTotal,COLUMN('B2 - Custos diretos totais'!AC$3)-1,0),0)</f>
        <v>0</v>
      </c>
      <c r="AC161" s="710">
        <f>IFERROR(-VLOOKUP($A156,CustoDiretoTotal,COLUMN('B2 - Custos diretos totais'!AD$3)-1,0),0)</f>
        <v>0</v>
      </c>
      <c r="AD161" s="710">
        <f>IFERROR(-VLOOKUP($A156,CustoDiretoTotal,COLUMN('B2 - Custos diretos totais'!AE$3)-1,0),0)</f>
        <v>0</v>
      </c>
      <c r="AE161" s="710">
        <f>IFERROR(-VLOOKUP($A156,CustoDiretoTotal,COLUMN('B2 - Custos diretos totais'!AF$3)-1,0),0)</f>
        <v>0</v>
      </c>
      <c r="AF161" s="594"/>
      <c r="AG161" s="594"/>
      <c r="AH161" s="594"/>
      <c r="AI161" s="594"/>
      <c r="AJ161" s="594"/>
      <c r="AK161" s="594"/>
      <c r="AL161" s="594"/>
      <c r="AM161" s="594"/>
      <c r="AN161" s="594"/>
      <c r="AO161" s="594"/>
      <c r="AP161" s="594"/>
      <c r="AQ161" s="594"/>
      <c r="AR161" s="594"/>
      <c r="AS161" s="594"/>
      <c r="AT161" s="594"/>
      <c r="AU161" s="594"/>
      <c r="AV161" s="594"/>
      <c r="AW161" s="594"/>
      <c r="AX161" s="594"/>
      <c r="AY161" s="594"/>
      <c r="AZ161" s="594"/>
      <c r="BA161" s="594"/>
      <c r="BB161" s="594"/>
      <c r="BC161" s="594"/>
      <c r="BD161" s="594"/>
      <c r="BE161" s="594"/>
      <c r="BF161" s="594"/>
      <c r="BG161" s="594"/>
      <c r="BH161" s="594"/>
      <c r="BI161" s="594"/>
      <c r="BJ161" s="594"/>
      <c r="BK161" s="594"/>
      <c r="BL161" s="57"/>
      <c r="BM161" s="594"/>
      <c r="BN161" s="594"/>
      <c r="BO161" s="594"/>
      <c r="BP161" s="594"/>
      <c r="BQ161" s="594"/>
      <c r="BR161" s="594"/>
      <c r="BS161" s="594"/>
      <c r="BT161" s="594"/>
      <c r="BU161" s="594"/>
      <c r="BV161" s="594"/>
      <c r="BW161" s="594"/>
      <c r="BX161" s="594"/>
      <c r="BY161" s="594"/>
      <c r="BZ161" s="594"/>
      <c r="CA161" s="594"/>
      <c r="CB161" s="594"/>
      <c r="CC161" s="594"/>
      <c r="CD161" s="594"/>
      <c r="CE161" s="594"/>
      <c r="CF161" s="594"/>
      <c r="CG161" s="594"/>
      <c r="CH161" s="594"/>
      <c r="CI161" s="594"/>
      <c r="CJ161" s="594"/>
      <c r="CK161" s="594"/>
      <c r="CL161" s="594"/>
      <c r="CM161" s="594"/>
      <c r="CN161" s="594"/>
      <c r="CO161" s="594"/>
      <c r="CP161" s="594"/>
      <c r="CQ161" s="594"/>
    </row>
    <row r="162" spans="1:95" ht="21" hidden="1" customHeight="1" outlineLevel="2">
      <c r="A162" s="709" t="s">
        <v>684</v>
      </c>
      <c r="B162" s="710">
        <f>-SUMIFS('B3 - Custos despesas indiretos'!AK$5:AK$148,'B3 - Custos despesas indiretos'!$B$5:$B$148,"Custos",'B3 - Custos despesas indiretos'!$D$5:$D$148,$A156)</f>
        <v>0</v>
      </c>
      <c r="C162" s="710">
        <f>-SUMIFS('B3 - Custos despesas indiretos'!AL$5:AL$148,'B3 - Custos despesas indiretos'!$B$5:$B$148,"Custos",'B3 - Custos despesas indiretos'!$D$5:$D$148,$A156)</f>
        <v>0</v>
      </c>
      <c r="D162" s="710">
        <f>-SUMIFS('B3 - Custos despesas indiretos'!AM$5:AM$148,'B3 - Custos despesas indiretos'!$B$5:$B$148,"Custos",'B3 - Custos despesas indiretos'!$D$5:$D$148,$A156)</f>
        <v>0</v>
      </c>
      <c r="E162" s="710">
        <f>-SUMIFS('B3 - Custos despesas indiretos'!AN$5:AN$148,'B3 - Custos despesas indiretos'!$B$5:$B$148,"Custos",'B3 - Custos despesas indiretos'!$D$5:$D$148,$A156)</f>
        <v>0</v>
      </c>
      <c r="F162" s="710">
        <f>-SUMIFS('B3 - Custos despesas indiretos'!AO$5:AO$148,'B3 - Custos despesas indiretos'!$B$5:$B$148,"Custos",'B3 - Custos despesas indiretos'!$D$5:$D$148,$A156)</f>
        <v>0</v>
      </c>
      <c r="G162" s="710">
        <f>-SUMIFS('B3 - Custos despesas indiretos'!AP$5:AP$148,'B3 - Custos despesas indiretos'!$B$5:$B$148,"Custos",'B3 - Custos despesas indiretos'!$D$5:$D$148,$A156)</f>
        <v>0</v>
      </c>
      <c r="H162" s="710">
        <f>-SUMIFS('B3 - Custos despesas indiretos'!AQ$5:AQ$148,'B3 - Custos despesas indiretos'!$B$5:$B$148,"Custos",'B3 - Custos despesas indiretos'!$D$5:$D$148,$A156)</f>
        <v>0</v>
      </c>
      <c r="I162" s="710">
        <f>-SUMIFS('B3 - Custos despesas indiretos'!AR$5:AR$148,'B3 - Custos despesas indiretos'!$B$5:$B$148,"Custos",'B3 - Custos despesas indiretos'!$D$5:$D$148,$A156)</f>
        <v>0</v>
      </c>
      <c r="J162" s="710">
        <f>-SUMIFS('B3 - Custos despesas indiretos'!AS$5:AS$148,'B3 - Custos despesas indiretos'!$B$5:$B$148,"Custos",'B3 - Custos despesas indiretos'!$D$5:$D$148,$A156)</f>
        <v>0</v>
      </c>
      <c r="K162" s="710">
        <f>-SUMIFS('B3 - Custos despesas indiretos'!AT$5:AT$148,'B3 - Custos despesas indiretos'!$B$5:$B$148,"Custos",'B3 - Custos despesas indiretos'!$D$5:$D$148,$A156)</f>
        <v>0</v>
      </c>
      <c r="L162" s="710">
        <f>-SUMIFS('B3 - Custos despesas indiretos'!AU$5:AU$148,'B3 - Custos despesas indiretos'!$B$5:$B$148,"Custos",'B3 - Custos despesas indiretos'!$D$5:$D$148,$A156)</f>
        <v>0</v>
      </c>
      <c r="M162" s="710">
        <f>-SUMIFS('B3 - Custos despesas indiretos'!AV$5:AV$148,'B3 - Custos despesas indiretos'!$B$5:$B$148,"Custos",'B3 - Custos despesas indiretos'!$D$5:$D$148,$A156)</f>
        <v>0</v>
      </c>
      <c r="N162" s="710">
        <f>-SUMIFS('B3 - Custos despesas indiretos'!AW$5:AW$148,'B3 - Custos despesas indiretos'!$B$5:$B$148,"Custos",'B3 - Custos despesas indiretos'!$D$5:$D$148,$A156)</f>
        <v>0</v>
      </c>
      <c r="O162" s="710">
        <f>-SUMIFS('B3 - Custos despesas indiretos'!AX$5:AX$148,'B3 - Custos despesas indiretos'!$B$5:$B$148,"Custos",'B3 - Custos despesas indiretos'!$D$5:$D$148,$A156)</f>
        <v>0</v>
      </c>
      <c r="P162" s="710">
        <f>-SUMIFS('B3 - Custos despesas indiretos'!AY$5:AY$148,'B3 - Custos despesas indiretos'!$B$5:$B$148,"Custos",'B3 - Custos despesas indiretos'!$D$5:$D$148,$A156)</f>
        <v>0</v>
      </c>
      <c r="Q162" s="710">
        <f>-SUMIFS('B3 - Custos despesas indiretos'!AZ$5:AZ$148,'B3 - Custos despesas indiretos'!$B$5:$B$148,"Custos",'B3 - Custos despesas indiretos'!$D$5:$D$148,$A156)</f>
        <v>0</v>
      </c>
      <c r="R162" s="710">
        <f>-SUMIFS('B3 - Custos despesas indiretos'!BA$5:BA$148,'B3 - Custos despesas indiretos'!$B$5:$B$148,"Custos",'B3 - Custos despesas indiretos'!$D$5:$D$148,$A156)</f>
        <v>0</v>
      </c>
      <c r="S162" s="710">
        <f>-SUMIFS('B3 - Custos despesas indiretos'!BB$5:BB$148,'B3 - Custos despesas indiretos'!$B$5:$B$148,"Custos",'B3 - Custos despesas indiretos'!$D$5:$D$148,$A156)</f>
        <v>0</v>
      </c>
      <c r="T162" s="710">
        <f>-SUMIFS('B3 - Custos despesas indiretos'!BC$5:BC$148,'B3 - Custos despesas indiretos'!$B$5:$B$148,"Custos",'B3 - Custos despesas indiretos'!$D$5:$D$148,$A156)</f>
        <v>0</v>
      </c>
      <c r="U162" s="710">
        <f>-SUMIFS('B3 - Custos despesas indiretos'!BD$5:BD$148,'B3 - Custos despesas indiretos'!$B$5:$B$148,"Custos",'B3 - Custos despesas indiretos'!$D$5:$D$148,$A156)</f>
        <v>0</v>
      </c>
      <c r="V162" s="710">
        <f>-SUMIFS('B3 - Custos despesas indiretos'!BE$5:BE$148,'B3 - Custos despesas indiretos'!$B$5:$B$148,"Custos",'B3 - Custos despesas indiretos'!$D$5:$D$148,$A156)</f>
        <v>0</v>
      </c>
      <c r="W162" s="710">
        <f>-SUMIFS('B3 - Custos despesas indiretos'!BF$5:BF$148,'B3 - Custos despesas indiretos'!$B$5:$B$148,"Custos",'B3 - Custos despesas indiretos'!$D$5:$D$148,$A156)</f>
        <v>0</v>
      </c>
      <c r="X162" s="710">
        <f>-SUMIFS('B3 - Custos despesas indiretos'!BG$5:BG$148,'B3 - Custos despesas indiretos'!$B$5:$B$148,"Custos",'B3 - Custos despesas indiretos'!$D$5:$D$148,$A156)</f>
        <v>0</v>
      </c>
      <c r="Y162" s="710">
        <f>-SUMIFS('B3 - Custos despesas indiretos'!BH$5:BH$148,'B3 - Custos despesas indiretos'!$B$5:$B$148,"Custos",'B3 - Custos despesas indiretos'!$D$5:$D$148,$A156)</f>
        <v>0</v>
      </c>
      <c r="Z162" s="710">
        <f>-SUMIFS('B3 - Custos despesas indiretos'!BI$5:BI$148,'B3 - Custos despesas indiretos'!$B$5:$B$148,"Custos",'B3 - Custos despesas indiretos'!$D$5:$D$148,$A156)</f>
        <v>0</v>
      </c>
      <c r="AA162" s="710">
        <f>-SUMIFS('B3 - Custos despesas indiretos'!BJ$5:BJ$148,'B3 - Custos despesas indiretos'!$B$5:$B$148,"Custos",'B3 - Custos despesas indiretos'!$D$5:$D$148,$A156)</f>
        <v>0</v>
      </c>
      <c r="AB162" s="710">
        <f>-SUMIFS('B3 - Custos despesas indiretos'!BK$5:BK$148,'B3 - Custos despesas indiretos'!$B$5:$B$148,"Custos",'B3 - Custos despesas indiretos'!$D$5:$D$148,$A156)</f>
        <v>0</v>
      </c>
      <c r="AC162" s="710">
        <f>-SUMIFS('B3 - Custos despesas indiretos'!BL$5:BL$148,'B3 - Custos despesas indiretos'!$B$5:$B$148,"Custos",'B3 - Custos despesas indiretos'!$D$5:$D$148,$A156)</f>
        <v>0</v>
      </c>
      <c r="AD162" s="710">
        <f>-SUMIFS('B3 - Custos despesas indiretos'!BM$5:BM$148,'B3 - Custos despesas indiretos'!$B$5:$B$148,"Custos",'B3 - Custos despesas indiretos'!$D$5:$D$148,$A156)</f>
        <v>0</v>
      </c>
      <c r="AE162" s="710">
        <f>-SUMIFS('B3 - Custos despesas indiretos'!BN$5:BN$148,'B3 - Custos despesas indiretos'!$B$5:$B$148,"Custos",'B3 - Custos despesas indiretos'!$D$5:$D$148,$A156)</f>
        <v>0</v>
      </c>
      <c r="AF162" s="594"/>
      <c r="AG162" s="594"/>
      <c r="AH162" s="594"/>
      <c r="AI162" s="594"/>
      <c r="AJ162" s="594"/>
      <c r="AK162" s="594"/>
      <c r="AL162" s="594"/>
      <c r="AM162" s="594"/>
      <c r="AN162" s="594"/>
      <c r="AO162" s="594"/>
      <c r="AP162" s="594"/>
      <c r="AQ162" s="594"/>
      <c r="AR162" s="594"/>
      <c r="AS162" s="594"/>
      <c r="AT162" s="594"/>
      <c r="AU162" s="594"/>
      <c r="AV162" s="594"/>
      <c r="AW162" s="594"/>
      <c r="AX162" s="594"/>
      <c r="AY162" s="594"/>
      <c r="AZ162" s="594"/>
      <c r="BA162" s="594"/>
      <c r="BB162" s="594"/>
      <c r="BC162" s="594"/>
      <c r="BD162" s="594"/>
      <c r="BE162" s="594"/>
      <c r="BF162" s="594"/>
      <c r="BG162" s="594"/>
      <c r="BH162" s="594"/>
      <c r="BI162" s="594"/>
      <c r="BJ162" s="594"/>
      <c r="BK162" s="594"/>
      <c r="BL162" s="57"/>
      <c r="BM162" s="594"/>
      <c r="BN162" s="594"/>
      <c r="BO162" s="594"/>
      <c r="BP162" s="594"/>
      <c r="BQ162" s="594"/>
      <c r="BR162" s="594"/>
      <c r="BS162" s="594"/>
      <c r="BT162" s="594"/>
      <c r="BU162" s="594"/>
      <c r="BV162" s="594"/>
      <c r="BW162" s="594"/>
      <c r="BX162" s="594"/>
      <c r="BY162" s="594"/>
      <c r="BZ162" s="594"/>
      <c r="CA162" s="594"/>
      <c r="CB162" s="594"/>
      <c r="CC162" s="594"/>
      <c r="CD162" s="594"/>
      <c r="CE162" s="594"/>
      <c r="CF162" s="594"/>
      <c r="CG162" s="594"/>
      <c r="CH162" s="594"/>
      <c r="CI162" s="594"/>
      <c r="CJ162" s="594"/>
      <c r="CK162" s="594"/>
      <c r="CL162" s="594"/>
      <c r="CM162" s="594"/>
      <c r="CN162" s="594"/>
      <c r="CO162" s="594"/>
      <c r="CP162" s="594"/>
      <c r="CQ162" s="594"/>
    </row>
    <row r="163" spans="1:95" ht="21" hidden="1" customHeight="1" outlineLevel="2">
      <c r="A163" s="709" t="s">
        <v>685</v>
      </c>
      <c r="B163" s="710">
        <f>-SUMIFS('B3 - Custos despesas indiretos'!AK$5:AK$148,'B3 - Custos despesas indiretos'!$B$5:$B$148,"Despesas",'B3 - Custos despesas indiretos'!$D$5:$D$148,$A156)</f>
        <v>0</v>
      </c>
      <c r="C163" s="710">
        <f>-SUMIFS('B3 - Custos despesas indiretos'!AL$5:AL$148,'B3 - Custos despesas indiretos'!$B$5:$B$148,"Despesas",'B3 - Custos despesas indiretos'!$D$5:$D$148,$A156)</f>
        <v>0</v>
      </c>
      <c r="D163" s="710">
        <f>-SUMIFS('B3 - Custos despesas indiretos'!AM$5:AM$148,'B3 - Custos despesas indiretos'!$B$5:$B$148,"Despesas",'B3 - Custos despesas indiretos'!$D$5:$D$148,$A156)</f>
        <v>0</v>
      </c>
      <c r="E163" s="710">
        <f>-SUMIFS('B3 - Custos despesas indiretos'!AN$5:AN$148,'B3 - Custos despesas indiretos'!$B$5:$B$148,"Despesas",'B3 - Custos despesas indiretos'!$D$5:$D$148,$A156)</f>
        <v>0</v>
      </c>
      <c r="F163" s="710">
        <f>-SUMIFS('B3 - Custos despesas indiretos'!AO$5:AO$148,'B3 - Custos despesas indiretos'!$B$5:$B$148,"Despesas",'B3 - Custos despesas indiretos'!$D$5:$D$148,$A156)</f>
        <v>0</v>
      </c>
      <c r="G163" s="710">
        <f>-SUMIFS('B3 - Custos despesas indiretos'!AP$5:AP$148,'B3 - Custos despesas indiretos'!$B$5:$B$148,"Despesas",'B3 - Custos despesas indiretos'!$D$5:$D$148,$A156)</f>
        <v>0</v>
      </c>
      <c r="H163" s="710">
        <f>-SUMIFS('B3 - Custos despesas indiretos'!AQ$5:AQ$148,'B3 - Custos despesas indiretos'!$B$5:$B$148,"Despesas",'B3 - Custos despesas indiretos'!$D$5:$D$148,$A156)</f>
        <v>0</v>
      </c>
      <c r="I163" s="710">
        <f>-SUMIFS('B3 - Custos despesas indiretos'!AR$5:AR$148,'B3 - Custos despesas indiretos'!$B$5:$B$148,"Despesas",'B3 - Custos despesas indiretos'!$D$5:$D$148,$A156)</f>
        <v>0</v>
      </c>
      <c r="J163" s="710">
        <f>-SUMIFS('B3 - Custos despesas indiretos'!AS$5:AS$148,'B3 - Custos despesas indiretos'!$B$5:$B$148,"Despesas",'B3 - Custos despesas indiretos'!$D$5:$D$148,$A156)</f>
        <v>0</v>
      </c>
      <c r="K163" s="710">
        <f>-SUMIFS('B3 - Custos despesas indiretos'!AT$5:AT$148,'B3 - Custos despesas indiretos'!$B$5:$B$148,"Despesas",'B3 - Custos despesas indiretos'!$D$5:$D$148,$A156)</f>
        <v>0</v>
      </c>
      <c r="L163" s="710">
        <f>-SUMIFS('B3 - Custos despesas indiretos'!AU$5:AU$148,'B3 - Custos despesas indiretos'!$B$5:$B$148,"Despesas",'B3 - Custos despesas indiretos'!$D$5:$D$148,$A156)</f>
        <v>0</v>
      </c>
      <c r="M163" s="710">
        <f>-SUMIFS('B3 - Custos despesas indiretos'!AV$5:AV$148,'B3 - Custos despesas indiretos'!$B$5:$B$148,"Despesas",'B3 - Custos despesas indiretos'!$D$5:$D$148,$A156)</f>
        <v>0</v>
      </c>
      <c r="N163" s="710">
        <f>-SUMIFS('B3 - Custos despesas indiretos'!AW$5:AW$148,'B3 - Custos despesas indiretos'!$B$5:$B$148,"Despesas",'B3 - Custos despesas indiretos'!$D$5:$D$148,$A156)</f>
        <v>0</v>
      </c>
      <c r="O163" s="710">
        <f>-SUMIFS('B3 - Custos despesas indiretos'!AX$5:AX$148,'B3 - Custos despesas indiretos'!$B$5:$B$148,"Despesas",'B3 - Custos despesas indiretos'!$D$5:$D$148,$A156)</f>
        <v>0</v>
      </c>
      <c r="P163" s="710">
        <f>-SUMIFS('B3 - Custos despesas indiretos'!AY$5:AY$148,'B3 - Custos despesas indiretos'!$B$5:$B$148,"Despesas",'B3 - Custos despesas indiretos'!$D$5:$D$148,$A156)</f>
        <v>0</v>
      </c>
      <c r="Q163" s="710">
        <f>-SUMIFS('B3 - Custos despesas indiretos'!AZ$5:AZ$148,'B3 - Custos despesas indiretos'!$B$5:$B$148,"Despesas",'B3 - Custos despesas indiretos'!$D$5:$D$148,$A156)</f>
        <v>0</v>
      </c>
      <c r="R163" s="710">
        <f>-SUMIFS('B3 - Custos despesas indiretos'!BA$5:BA$148,'B3 - Custos despesas indiretos'!$B$5:$B$148,"Despesas",'B3 - Custos despesas indiretos'!$D$5:$D$148,$A156)</f>
        <v>0</v>
      </c>
      <c r="S163" s="710">
        <f>-SUMIFS('B3 - Custos despesas indiretos'!BB$5:BB$148,'B3 - Custos despesas indiretos'!$B$5:$B$148,"Despesas",'B3 - Custos despesas indiretos'!$D$5:$D$148,$A156)</f>
        <v>0</v>
      </c>
      <c r="T163" s="710">
        <f>-SUMIFS('B3 - Custos despesas indiretos'!BC$5:BC$148,'B3 - Custos despesas indiretos'!$B$5:$B$148,"Despesas",'B3 - Custos despesas indiretos'!$D$5:$D$148,$A156)</f>
        <v>0</v>
      </c>
      <c r="U163" s="710">
        <f>-SUMIFS('B3 - Custos despesas indiretos'!BD$5:BD$148,'B3 - Custos despesas indiretos'!$B$5:$B$148,"Despesas",'B3 - Custos despesas indiretos'!$D$5:$D$148,$A156)</f>
        <v>0</v>
      </c>
      <c r="V163" s="710">
        <f>-SUMIFS('B3 - Custos despesas indiretos'!BE$5:BE$148,'B3 - Custos despesas indiretos'!$B$5:$B$148,"Despesas",'B3 - Custos despesas indiretos'!$D$5:$D$148,$A156)</f>
        <v>0</v>
      </c>
      <c r="W163" s="710">
        <f>-SUMIFS('B3 - Custos despesas indiretos'!BF$5:BF$148,'B3 - Custos despesas indiretos'!$B$5:$B$148,"Despesas",'B3 - Custos despesas indiretos'!$D$5:$D$148,$A156)</f>
        <v>0</v>
      </c>
      <c r="X163" s="710">
        <f>-SUMIFS('B3 - Custos despesas indiretos'!BG$5:BG$148,'B3 - Custos despesas indiretos'!$B$5:$B$148,"Despesas",'B3 - Custos despesas indiretos'!$D$5:$D$148,$A156)</f>
        <v>0</v>
      </c>
      <c r="Y163" s="710">
        <f>-SUMIFS('B3 - Custos despesas indiretos'!BH$5:BH$148,'B3 - Custos despesas indiretos'!$B$5:$B$148,"Despesas",'B3 - Custos despesas indiretos'!$D$5:$D$148,$A156)</f>
        <v>0</v>
      </c>
      <c r="Z163" s="710">
        <f>-SUMIFS('B3 - Custos despesas indiretos'!BI$5:BI$148,'B3 - Custos despesas indiretos'!$B$5:$B$148,"Despesas",'B3 - Custos despesas indiretos'!$D$5:$D$148,$A156)</f>
        <v>0</v>
      </c>
      <c r="AA163" s="710">
        <f>-SUMIFS('B3 - Custos despesas indiretos'!BJ$5:BJ$148,'B3 - Custos despesas indiretos'!$B$5:$B$148,"Despesas",'B3 - Custos despesas indiretos'!$D$5:$D$148,$A156)</f>
        <v>0</v>
      </c>
      <c r="AB163" s="710">
        <f>-SUMIFS('B3 - Custos despesas indiretos'!BK$5:BK$148,'B3 - Custos despesas indiretos'!$B$5:$B$148,"Despesas",'B3 - Custos despesas indiretos'!$D$5:$D$148,$A156)</f>
        <v>0</v>
      </c>
      <c r="AC163" s="710">
        <f>-SUMIFS('B3 - Custos despesas indiretos'!BL$5:BL$148,'B3 - Custos despesas indiretos'!$B$5:$B$148,"Despesas",'B3 - Custos despesas indiretos'!$D$5:$D$148,$A156)</f>
        <v>0</v>
      </c>
      <c r="AD163" s="710">
        <f>-SUMIFS('B3 - Custos despesas indiretos'!BM$5:BM$148,'B3 - Custos despesas indiretos'!$B$5:$B$148,"Despesas",'B3 - Custos despesas indiretos'!$D$5:$D$148,$A156)</f>
        <v>0</v>
      </c>
      <c r="AE163" s="710">
        <f>-SUMIFS('B3 - Custos despesas indiretos'!BN$5:BN$148,'B3 - Custos despesas indiretos'!$B$5:$B$148,"Despesas",'B3 - Custos despesas indiretos'!$D$5:$D$148,$A156)</f>
        <v>0</v>
      </c>
      <c r="AF163" s="594"/>
      <c r="AG163" s="594"/>
      <c r="AH163" s="594"/>
      <c r="AI163" s="594"/>
      <c r="AJ163" s="594"/>
      <c r="AK163" s="594"/>
      <c r="AL163" s="594"/>
      <c r="AM163" s="594"/>
      <c r="AN163" s="594"/>
      <c r="AO163" s="594"/>
      <c r="AP163" s="594"/>
      <c r="AQ163" s="594"/>
      <c r="AR163" s="594"/>
      <c r="AS163" s="594"/>
      <c r="AT163" s="594"/>
      <c r="AU163" s="594"/>
      <c r="AV163" s="594"/>
      <c r="AW163" s="594"/>
      <c r="AX163" s="594"/>
      <c r="AY163" s="594"/>
      <c r="AZ163" s="594"/>
      <c r="BA163" s="594"/>
      <c r="BB163" s="594"/>
      <c r="BC163" s="594"/>
      <c r="BD163" s="594"/>
      <c r="BE163" s="594"/>
      <c r="BF163" s="594"/>
      <c r="BG163" s="594"/>
      <c r="BH163" s="594"/>
      <c r="BI163" s="594"/>
      <c r="BJ163" s="594"/>
      <c r="BK163" s="594"/>
      <c r="BL163" s="57"/>
      <c r="BM163" s="594"/>
      <c r="BN163" s="594"/>
      <c r="BO163" s="594"/>
      <c r="BP163" s="594"/>
      <c r="BQ163" s="594"/>
      <c r="BR163" s="594"/>
      <c r="BS163" s="594"/>
      <c r="BT163" s="594"/>
      <c r="BU163" s="594"/>
      <c r="BV163" s="594"/>
      <c r="BW163" s="594"/>
      <c r="BX163" s="594"/>
      <c r="BY163" s="594"/>
      <c r="BZ163" s="594"/>
      <c r="CA163" s="594"/>
      <c r="CB163" s="594"/>
      <c r="CC163" s="594"/>
      <c r="CD163" s="594"/>
      <c r="CE163" s="594"/>
      <c r="CF163" s="594"/>
      <c r="CG163" s="594"/>
      <c r="CH163" s="594"/>
      <c r="CI163" s="594"/>
      <c r="CJ163" s="594"/>
      <c r="CK163" s="594"/>
      <c r="CL163" s="594"/>
      <c r="CM163" s="594"/>
      <c r="CN163" s="594"/>
      <c r="CO163" s="594"/>
      <c r="CP163" s="594"/>
      <c r="CQ163" s="594"/>
    </row>
    <row r="164" spans="1:95" ht="21" hidden="1" customHeight="1" outlineLevel="2">
      <c r="A164" s="709" t="s">
        <v>686</v>
      </c>
      <c r="B164" s="710">
        <f>-SUMIF('D2 - Capex uso'!$C$6:$C$176,$A156,'D2 - Capex uso'!GI$6:GI$176)</f>
        <v>0</v>
      </c>
      <c r="C164" s="710">
        <f>-SUMIF('D2 - Capex uso'!$C$6:$C$176,$A156,'D2 - Capex uso'!GJ$6:GJ$176)</f>
        <v>0</v>
      </c>
      <c r="D164" s="710">
        <f>-SUMIF('D2 - Capex uso'!$C$6:$C$176,$A156,'D2 - Capex uso'!GK$6:GK$176)</f>
        <v>0</v>
      </c>
      <c r="E164" s="710">
        <f>-SUMIF('D2 - Capex uso'!$C$6:$C$176,$A156,'D2 - Capex uso'!GL$6:GL$176)</f>
        <v>0</v>
      </c>
      <c r="F164" s="710">
        <f>-SUMIF('D2 - Capex uso'!$C$6:$C$176,$A156,'D2 - Capex uso'!GM$6:GM$176)</f>
        <v>0</v>
      </c>
      <c r="G164" s="710">
        <f>-SUMIF('D2 - Capex uso'!$C$6:$C$176,$A156,'D2 - Capex uso'!GN$6:GN$176)</f>
        <v>0</v>
      </c>
      <c r="H164" s="710">
        <f>-SUMIF('D2 - Capex uso'!$C$6:$C$176,$A156,'D2 - Capex uso'!GO$6:GO$176)</f>
        <v>0</v>
      </c>
      <c r="I164" s="710">
        <f>-SUMIF('D2 - Capex uso'!$C$6:$C$176,$A156,'D2 - Capex uso'!GP$6:GP$176)</f>
        <v>0</v>
      </c>
      <c r="J164" s="710">
        <f>-SUMIF('D2 - Capex uso'!$C$6:$C$176,$A156,'D2 - Capex uso'!GQ$6:GQ$176)</f>
        <v>0</v>
      </c>
      <c r="K164" s="710">
        <f>-SUMIF('D2 - Capex uso'!$C$6:$C$176,$A156,'D2 - Capex uso'!GR$6:GR$176)</f>
        <v>0</v>
      </c>
      <c r="L164" s="710">
        <f>-SUMIF('D2 - Capex uso'!$C$6:$C$176,$A156,'D2 - Capex uso'!GS$6:GS$176)</f>
        <v>0</v>
      </c>
      <c r="M164" s="710">
        <f>-SUMIF('D2 - Capex uso'!$C$6:$C$176,$A156,'D2 - Capex uso'!GT$6:GT$176)</f>
        <v>0</v>
      </c>
      <c r="N164" s="710">
        <f>-SUMIF('D2 - Capex uso'!$C$6:$C$176,$A156,'D2 - Capex uso'!GU$6:GU$176)</f>
        <v>0</v>
      </c>
      <c r="O164" s="710">
        <f>-SUMIF('D2 - Capex uso'!$C$6:$C$176,$A156,'D2 - Capex uso'!GV$6:GV$176)</f>
        <v>0</v>
      </c>
      <c r="P164" s="710">
        <f>-SUMIF('D2 - Capex uso'!$C$6:$C$176,$A156,'D2 - Capex uso'!GW$6:GW$176)</f>
        <v>0</v>
      </c>
      <c r="Q164" s="710">
        <f>-SUMIF('D2 - Capex uso'!$C$6:$C$176,$A156,'D2 - Capex uso'!GX$6:GX$176)</f>
        <v>0</v>
      </c>
      <c r="R164" s="710">
        <f>-SUMIF('D2 - Capex uso'!$C$6:$C$176,$A156,'D2 - Capex uso'!GY$6:GY$176)</f>
        <v>0</v>
      </c>
      <c r="S164" s="710">
        <f>-SUMIF('D2 - Capex uso'!$C$6:$C$176,$A156,'D2 - Capex uso'!GZ$6:GZ$176)</f>
        <v>0</v>
      </c>
      <c r="T164" s="710">
        <f>-SUMIF('D2 - Capex uso'!$C$6:$C$176,$A156,'D2 - Capex uso'!HA$6:HA$176)</f>
        <v>0</v>
      </c>
      <c r="U164" s="710">
        <f>-SUMIF('D2 - Capex uso'!$C$6:$C$176,$A156,'D2 - Capex uso'!HB$6:HB$176)</f>
        <v>0</v>
      </c>
      <c r="V164" s="710">
        <f>-SUMIF('D2 - Capex uso'!$C$6:$C$176,$A156,'D2 - Capex uso'!HC$6:HC$176)</f>
        <v>0</v>
      </c>
      <c r="W164" s="710">
        <f>-SUMIF('D2 - Capex uso'!$C$6:$C$176,$A156,'D2 - Capex uso'!HD$6:HD$176)</f>
        <v>0</v>
      </c>
      <c r="X164" s="710">
        <f>-SUMIF('D2 - Capex uso'!$C$6:$C$176,$A156,'D2 - Capex uso'!HE$6:HE$176)</f>
        <v>0</v>
      </c>
      <c r="Y164" s="710">
        <f>-SUMIF('D2 - Capex uso'!$C$6:$C$176,$A156,'D2 - Capex uso'!HF$6:HF$176)</f>
        <v>0</v>
      </c>
      <c r="Z164" s="710">
        <f>-SUMIF('D2 - Capex uso'!$C$6:$C$176,$A156,'D2 - Capex uso'!HG$6:HG$176)</f>
        <v>0</v>
      </c>
      <c r="AA164" s="710">
        <f>-SUMIF('D2 - Capex uso'!$C$6:$C$176,$A156,'D2 - Capex uso'!HH$6:HH$176)</f>
        <v>0</v>
      </c>
      <c r="AB164" s="710">
        <f>-SUMIF('D2 - Capex uso'!$C$6:$C$176,$A156,'D2 - Capex uso'!HI$6:HI$176)</f>
        <v>0</v>
      </c>
      <c r="AC164" s="710">
        <f>-SUMIF('D2 - Capex uso'!$C$6:$C$176,$A156,'D2 - Capex uso'!HJ$6:HJ$176)</f>
        <v>0</v>
      </c>
      <c r="AD164" s="710">
        <f>-SUMIF('D2 - Capex uso'!$C$6:$C$176,$A156,'D2 - Capex uso'!HK$6:HK$176)</f>
        <v>0</v>
      </c>
      <c r="AE164" s="710">
        <f>-SUMIF('D2 - Capex uso'!$C$6:$C$176,$A156,'D2 - Capex uso'!HL$6:HL$176)</f>
        <v>0</v>
      </c>
      <c r="AF164" s="594"/>
      <c r="AG164" s="594"/>
      <c r="AH164" s="594"/>
      <c r="AI164" s="594"/>
      <c r="AJ164" s="594"/>
      <c r="AK164" s="594"/>
      <c r="AL164" s="594"/>
      <c r="AM164" s="594"/>
      <c r="AN164" s="594"/>
      <c r="AO164" s="594"/>
      <c r="AP164" s="594"/>
      <c r="AQ164" s="594"/>
      <c r="AR164" s="594"/>
      <c r="AS164" s="594"/>
      <c r="AT164" s="594"/>
      <c r="AU164" s="594"/>
      <c r="AV164" s="594"/>
      <c r="AW164" s="594"/>
      <c r="AX164" s="594"/>
      <c r="AY164" s="594"/>
      <c r="AZ164" s="594"/>
      <c r="BA164" s="594"/>
      <c r="BB164" s="594"/>
      <c r="BC164" s="594"/>
      <c r="BD164" s="594"/>
      <c r="BE164" s="594"/>
      <c r="BF164" s="594"/>
      <c r="BG164" s="594"/>
      <c r="BH164" s="594"/>
      <c r="BI164" s="594"/>
      <c r="BJ164" s="594"/>
      <c r="BK164" s="594"/>
      <c r="BL164" s="57"/>
      <c r="BM164" s="594"/>
      <c r="BN164" s="594"/>
      <c r="BO164" s="594"/>
      <c r="BP164" s="594"/>
      <c r="BQ164" s="594"/>
      <c r="BR164" s="594"/>
      <c r="BS164" s="594"/>
      <c r="BT164" s="594"/>
      <c r="BU164" s="594"/>
      <c r="BV164" s="594"/>
      <c r="BW164" s="594"/>
      <c r="BX164" s="594"/>
      <c r="BY164" s="594"/>
      <c r="BZ164" s="594"/>
      <c r="CA164" s="594"/>
      <c r="CB164" s="594"/>
      <c r="CC164" s="594"/>
      <c r="CD164" s="594"/>
      <c r="CE164" s="594"/>
      <c r="CF164" s="594"/>
      <c r="CG164" s="594"/>
      <c r="CH164" s="594"/>
      <c r="CI164" s="594"/>
      <c r="CJ164" s="594"/>
      <c r="CK164" s="594"/>
      <c r="CL164" s="594"/>
      <c r="CM164" s="594"/>
      <c r="CN164" s="594"/>
      <c r="CO164" s="594"/>
      <c r="CP164" s="594"/>
      <c r="CQ164" s="594"/>
    </row>
    <row r="165" spans="1:95" ht="21" hidden="1" customHeight="1" outlineLevel="1">
      <c r="A165" s="708" t="s">
        <v>687</v>
      </c>
      <c r="B165" s="707">
        <f t="shared" ref="B165:AE165" si="52">SUM(B157:B159)</f>
        <v>0</v>
      </c>
      <c r="C165" s="707">
        <f t="shared" si="52"/>
        <v>0</v>
      </c>
      <c r="D165" s="707">
        <f t="shared" si="52"/>
        <v>0</v>
      </c>
      <c r="E165" s="707">
        <f t="shared" si="52"/>
        <v>0</v>
      </c>
      <c r="F165" s="707">
        <f t="shared" si="52"/>
        <v>0</v>
      </c>
      <c r="G165" s="707">
        <f t="shared" si="52"/>
        <v>0</v>
      </c>
      <c r="H165" s="707">
        <f t="shared" si="52"/>
        <v>0</v>
      </c>
      <c r="I165" s="707">
        <f t="shared" si="52"/>
        <v>0</v>
      </c>
      <c r="J165" s="707">
        <f t="shared" si="52"/>
        <v>0</v>
      </c>
      <c r="K165" s="707">
        <f t="shared" si="52"/>
        <v>0</v>
      </c>
      <c r="L165" s="707">
        <f t="shared" si="52"/>
        <v>0</v>
      </c>
      <c r="M165" s="707">
        <f t="shared" si="52"/>
        <v>0</v>
      </c>
      <c r="N165" s="707">
        <f t="shared" si="52"/>
        <v>0</v>
      </c>
      <c r="O165" s="707">
        <f t="shared" si="52"/>
        <v>0</v>
      </c>
      <c r="P165" s="707">
        <f t="shared" si="52"/>
        <v>0</v>
      </c>
      <c r="Q165" s="707">
        <f t="shared" si="52"/>
        <v>0</v>
      </c>
      <c r="R165" s="707">
        <f t="shared" si="52"/>
        <v>0</v>
      </c>
      <c r="S165" s="707">
        <f t="shared" si="52"/>
        <v>0</v>
      </c>
      <c r="T165" s="707">
        <f t="shared" si="52"/>
        <v>0</v>
      </c>
      <c r="U165" s="707">
        <f t="shared" si="52"/>
        <v>0</v>
      </c>
      <c r="V165" s="707">
        <f t="shared" si="52"/>
        <v>0</v>
      </c>
      <c r="W165" s="707">
        <f t="shared" si="52"/>
        <v>0</v>
      </c>
      <c r="X165" s="707">
        <f t="shared" si="52"/>
        <v>0</v>
      </c>
      <c r="Y165" s="707">
        <f t="shared" si="52"/>
        <v>0</v>
      </c>
      <c r="Z165" s="707">
        <f t="shared" si="52"/>
        <v>0</v>
      </c>
      <c r="AA165" s="707">
        <f t="shared" si="52"/>
        <v>0</v>
      </c>
      <c r="AB165" s="707">
        <f t="shared" si="52"/>
        <v>0</v>
      </c>
      <c r="AC165" s="707">
        <f t="shared" si="52"/>
        <v>0</v>
      </c>
      <c r="AD165" s="707">
        <f t="shared" si="52"/>
        <v>0</v>
      </c>
      <c r="AE165" s="707">
        <f t="shared" si="52"/>
        <v>0</v>
      </c>
      <c r="AF165" s="594"/>
      <c r="AG165" s="594"/>
      <c r="AH165" s="594"/>
      <c r="AI165" s="594"/>
      <c r="AJ165" s="594"/>
      <c r="AK165" s="594"/>
      <c r="AL165" s="594"/>
      <c r="AM165" s="594"/>
      <c r="AN165" s="594"/>
      <c r="AO165" s="594"/>
      <c r="AP165" s="594"/>
      <c r="AQ165" s="594"/>
      <c r="AR165" s="594"/>
      <c r="AS165" s="594"/>
      <c r="AT165" s="594"/>
      <c r="AU165" s="594"/>
      <c r="AV165" s="594"/>
      <c r="AW165" s="594"/>
      <c r="AX165" s="594"/>
      <c r="AY165" s="594"/>
      <c r="AZ165" s="594"/>
      <c r="BA165" s="594"/>
      <c r="BB165" s="594"/>
      <c r="BC165" s="594"/>
      <c r="BD165" s="594"/>
      <c r="BE165" s="594"/>
      <c r="BF165" s="594"/>
      <c r="BG165" s="594"/>
      <c r="BH165" s="594"/>
      <c r="BI165" s="594"/>
      <c r="BJ165" s="594"/>
      <c r="BK165" s="594"/>
      <c r="BL165" s="57"/>
      <c r="BM165" s="594"/>
      <c r="BN165" s="594"/>
      <c r="BO165" s="594"/>
      <c r="BP165" s="594"/>
      <c r="BQ165" s="594"/>
      <c r="BR165" s="594"/>
      <c r="BS165" s="594"/>
      <c r="BT165" s="594"/>
      <c r="BU165" s="594"/>
      <c r="BV165" s="594"/>
      <c r="BW165" s="594"/>
      <c r="BX165" s="594"/>
      <c r="BY165" s="594"/>
      <c r="BZ165" s="594"/>
      <c r="CA165" s="594"/>
      <c r="CB165" s="594"/>
      <c r="CC165" s="594"/>
      <c r="CD165" s="594"/>
      <c r="CE165" s="594"/>
      <c r="CF165" s="594"/>
      <c r="CG165" s="594"/>
      <c r="CH165" s="594"/>
      <c r="CI165" s="594"/>
      <c r="CJ165" s="594"/>
      <c r="CK165" s="594"/>
      <c r="CL165" s="594"/>
      <c r="CM165" s="594"/>
      <c r="CN165" s="594"/>
      <c r="CO165" s="594"/>
      <c r="CP165" s="594"/>
      <c r="CQ165" s="594"/>
    </row>
    <row r="166" spans="1:95" ht="19.5" hidden="1" customHeight="1" outlineLevel="1">
      <c r="A166" s="708" t="s">
        <v>688</v>
      </c>
      <c r="B166" s="707">
        <f t="shared" ref="B166:AE166" si="53">SUM(B167:B174)</f>
        <v>0</v>
      </c>
      <c r="C166" s="707">
        <f t="shared" si="53"/>
        <v>0</v>
      </c>
      <c r="D166" s="707">
        <f t="shared" si="53"/>
        <v>0</v>
      </c>
      <c r="E166" s="707">
        <f t="shared" si="53"/>
        <v>0</v>
      </c>
      <c r="F166" s="707">
        <f t="shared" si="53"/>
        <v>0</v>
      </c>
      <c r="G166" s="707">
        <f t="shared" si="53"/>
        <v>0</v>
      </c>
      <c r="H166" s="707">
        <f t="shared" si="53"/>
        <v>0</v>
      </c>
      <c r="I166" s="707">
        <f t="shared" si="53"/>
        <v>0</v>
      </c>
      <c r="J166" s="707">
        <f t="shared" si="53"/>
        <v>0</v>
      </c>
      <c r="K166" s="707">
        <f t="shared" si="53"/>
        <v>0</v>
      </c>
      <c r="L166" s="707">
        <f t="shared" si="53"/>
        <v>0</v>
      </c>
      <c r="M166" s="707">
        <f t="shared" si="53"/>
        <v>0</v>
      </c>
      <c r="N166" s="707">
        <f t="shared" si="53"/>
        <v>0</v>
      </c>
      <c r="O166" s="707">
        <f t="shared" si="53"/>
        <v>0</v>
      </c>
      <c r="P166" s="707">
        <f t="shared" si="53"/>
        <v>0</v>
      </c>
      <c r="Q166" s="707">
        <f t="shared" si="53"/>
        <v>0</v>
      </c>
      <c r="R166" s="707">
        <f t="shared" si="53"/>
        <v>0</v>
      </c>
      <c r="S166" s="707">
        <f t="shared" si="53"/>
        <v>0</v>
      </c>
      <c r="T166" s="707">
        <f t="shared" si="53"/>
        <v>0</v>
      </c>
      <c r="U166" s="707">
        <f t="shared" si="53"/>
        <v>0</v>
      </c>
      <c r="V166" s="707">
        <f t="shared" si="53"/>
        <v>0</v>
      </c>
      <c r="W166" s="707">
        <f t="shared" si="53"/>
        <v>0</v>
      </c>
      <c r="X166" s="707">
        <f t="shared" si="53"/>
        <v>0</v>
      </c>
      <c r="Y166" s="707">
        <f t="shared" si="53"/>
        <v>0</v>
      </c>
      <c r="Z166" s="707">
        <f t="shared" si="53"/>
        <v>0</v>
      </c>
      <c r="AA166" s="707">
        <f t="shared" si="53"/>
        <v>0</v>
      </c>
      <c r="AB166" s="707">
        <f t="shared" si="53"/>
        <v>0</v>
      </c>
      <c r="AC166" s="707">
        <f t="shared" si="53"/>
        <v>0</v>
      </c>
      <c r="AD166" s="707">
        <f t="shared" si="53"/>
        <v>0</v>
      </c>
      <c r="AE166" s="707">
        <f t="shared" si="53"/>
        <v>0</v>
      </c>
      <c r="AF166" s="594"/>
      <c r="AG166" s="594"/>
      <c r="AH166" s="594"/>
      <c r="AI166" s="594"/>
      <c r="AJ166" s="594"/>
      <c r="AK166" s="594"/>
      <c r="AL166" s="594"/>
      <c r="AM166" s="594"/>
      <c r="AN166" s="594"/>
      <c r="AO166" s="594"/>
      <c r="AP166" s="594"/>
      <c r="AQ166" s="594"/>
      <c r="AR166" s="594"/>
      <c r="AS166" s="594"/>
      <c r="AT166" s="594"/>
      <c r="AU166" s="594"/>
      <c r="AV166" s="594"/>
      <c r="AW166" s="594"/>
      <c r="AX166" s="594"/>
      <c r="AY166" s="594"/>
      <c r="AZ166" s="594"/>
      <c r="BA166" s="594"/>
      <c r="BB166" s="594"/>
      <c r="BC166" s="594"/>
      <c r="BD166" s="594"/>
      <c r="BE166" s="594"/>
      <c r="BF166" s="594"/>
      <c r="BG166" s="594"/>
      <c r="BH166" s="594"/>
      <c r="BI166" s="594"/>
      <c r="BJ166" s="594"/>
      <c r="BK166" s="594"/>
      <c r="BL166" s="57"/>
      <c r="BM166" s="594"/>
      <c r="BN166" s="594"/>
      <c r="BO166" s="594"/>
      <c r="BP166" s="594"/>
      <c r="BQ166" s="594"/>
      <c r="BR166" s="594"/>
      <c r="BS166" s="594"/>
      <c r="BT166" s="594"/>
      <c r="BU166" s="594"/>
      <c r="BV166" s="594"/>
      <c r="BW166" s="594"/>
      <c r="BX166" s="594"/>
      <c r="BY166" s="594"/>
      <c r="BZ166" s="594"/>
      <c r="CA166" s="594"/>
      <c r="CB166" s="594"/>
      <c r="CC166" s="594"/>
      <c r="CD166" s="594"/>
      <c r="CE166" s="594"/>
      <c r="CF166" s="594"/>
      <c r="CG166" s="594"/>
      <c r="CH166" s="594"/>
      <c r="CI166" s="594"/>
      <c r="CJ166" s="594"/>
      <c r="CK166" s="594"/>
      <c r="CL166" s="594"/>
      <c r="CM166" s="594"/>
      <c r="CN166" s="594"/>
      <c r="CO166" s="594"/>
      <c r="CP166" s="594"/>
      <c r="CQ166" s="594"/>
    </row>
    <row r="167" spans="1:95" ht="19.5" hidden="1" customHeight="1" outlineLevel="2">
      <c r="A167" s="709" t="s">
        <v>354</v>
      </c>
      <c r="B167" s="710">
        <f>-SUMIFS('D2 - Capex uso'!BS$6:BS$176,'D2 - Capex uso'!$C$6:$C$176,$A156,'D2 - Capex uso'!$AK$6:$AK$176,$A167)</f>
        <v>0</v>
      </c>
      <c r="C167" s="710">
        <f>-SUMIFS('D2 - Capex uso'!BT$6:BT$176,'D2 - Capex uso'!$C$6:$C$176,$A156,'D2 - Capex uso'!$AK$6:$AK$176,$A167)</f>
        <v>0</v>
      </c>
      <c r="D167" s="710">
        <f>-SUMIFS('D2 - Capex uso'!BU$6:BU$176,'D2 - Capex uso'!$C$6:$C$176,$A156,'D2 - Capex uso'!$AK$6:$AK$176,$A167)</f>
        <v>0</v>
      </c>
      <c r="E167" s="710">
        <f>-SUMIFS('D2 - Capex uso'!BV$6:BV$176,'D2 - Capex uso'!$C$6:$C$176,$A156,'D2 - Capex uso'!$AK$6:$AK$176,$A167)</f>
        <v>0</v>
      </c>
      <c r="F167" s="710">
        <f>-SUMIFS('D2 - Capex uso'!BW$6:BW$176,'D2 - Capex uso'!$C$6:$C$176,$A156,'D2 - Capex uso'!$AK$6:$AK$176,$A167)</f>
        <v>0</v>
      </c>
      <c r="G167" s="710">
        <f>-SUMIFS('D2 - Capex uso'!BX$6:BX$176,'D2 - Capex uso'!$C$6:$C$176,$A156,'D2 - Capex uso'!$AK$6:$AK$176,$A167)</f>
        <v>0</v>
      </c>
      <c r="H167" s="710">
        <f>-SUMIFS('D2 - Capex uso'!BY$6:BY$176,'D2 - Capex uso'!$C$6:$C$176,$A156,'D2 - Capex uso'!$AK$6:$AK$176,$A167)</f>
        <v>0</v>
      </c>
      <c r="I167" s="710">
        <f>-SUMIFS('D2 - Capex uso'!BZ$6:BZ$176,'D2 - Capex uso'!$C$6:$C$176,$A156,'D2 - Capex uso'!$AK$6:$AK$176,$A167)</f>
        <v>0</v>
      </c>
      <c r="J167" s="710">
        <f>-SUMIFS('D2 - Capex uso'!CA$6:CA$176,'D2 - Capex uso'!$C$6:$C$176,$A156,'D2 - Capex uso'!$AK$6:$AK$176,$A167)</f>
        <v>0</v>
      </c>
      <c r="K167" s="710">
        <f>-SUMIFS('D2 - Capex uso'!CB$6:CB$176,'D2 - Capex uso'!$C$6:$C$176,$A156,'D2 - Capex uso'!$AK$6:$AK$176,$A167)</f>
        <v>0</v>
      </c>
      <c r="L167" s="710">
        <f>-SUMIFS('D2 - Capex uso'!CC$6:CC$176,'D2 - Capex uso'!$C$6:$C$176,$A156,'D2 - Capex uso'!$AK$6:$AK$176,$A167)</f>
        <v>0</v>
      </c>
      <c r="M167" s="710">
        <f>-SUMIFS('D2 - Capex uso'!CD$6:CD$176,'D2 - Capex uso'!$C$6:$C$176,$A156,'D2 - Capex uso'!$AK$6:$AK$176,$A167)</f>
        <v>0</v>
      </c>
      <c r="N167" s="710">
        <f>-SUMIFS('D2 - Capex uso'!CE$6:CE$176,'D2 - Capex uso'!$C$6:$C$176,$A156,'D2 - Capex uso'!$AK$6:$AK$176,$A167)</f>
        <v>0</v>
      </c>
      <c r="O167" s="710">
        <f>-SUMIFS('D2 - Capex uso'!CF$6:CF$176,'D2 - Capex uso'!$C$6:$C$176,$A156,'D2 - Capex uso'!$AK$6:$AK$176,$A167)</f>
        <v>0</v>
      </c>
      <c r="P167" s="710">
        <f>-SUMIFS('D2 - Capex uso'!CG$6:CG$176,'D2 - Capex uso'!$C$6:$C$176,$A156,'D2 - Capex uso'!$AK$6:$AK$176,$A167)</f>
        <v>0</v>
      </c>
      <c r="Q167" s="710">
        <f>-SUMIFS('D2 - Capex uso'!CH$6:CH$176,'D2 - Capex uso'!$C$6:$C$176,$A156,'D2 - Capex uso'!$AK$6:$AK$176,$A167)</f>
        <v>0</v>
      </c>
      <c r="R167" s="710">
        <f>-SUMIFS('D2 - Capex uso'!CI$6:CI$176,'D2 - Capex uso'!$C$6:$C$176,$A156,'D2 - Capex uso'!$AK$6:$AK$176,$A167)</f>
        <v>0</v>
      </c>
      <c r="S167" s="710">
        <f>-SUMIFS('D2 - Capex uso'!CJ$6:CJ$176,'D2 - Capex uso'!$C$6:$C$176,$A156,'D2 - Capex uso'!$AK$6:$AK$176,$A167)</f>
        <v>0</v>
      </c>
      <c r="T167" s="710">
        <f>-SUMIFS('D2 - Capex uso'!CK$6:CK$176,'D2 - Capex uso'!$C$6:$C$176,$A156,'D2 - Capex uso'!$AK$6:$AK$176,$A167)</f>
        <v>0</v>
      </c>
      <c r="U167" s="710">
        <f>-SUMIFS('D2 - Capex uso'!CL$6:CL$176,'D2 - Capex uso'!$C$6:$C$176,$A156,'D2 - Capex uso'!$AK$6:$AK$176,$A167)</f>
        <v>0</v>
      </c>
      <c r="V167" s="710">
        <f>-SUMIFS('D2 - Capex uso'!CM$6:CM$176,'D2 - Capex uso'!$C$6:$C$176,$A156,'D2 - Capex uso'!$AK$6:$AK$176,$A167)</f>
        <v>0</v>
      </c>
      <c r="W167" s="710">
        <f>-SUMIFS('D2 - Capex uso'!CN$6:CN$176,'D2 - Capex uso'!$C$6:$C$176,$A156,'D2 - Capex uso'!$AK$6:$AK$176,$A167)</f>
        <v>0</v>
      </c>
      <c r="X167" s="710">
        <f>-SUMIFS('D2 - Capex uso'!CO$6:CO$176,'D2 - Capex uso'!$C$6:$C$176,$A156,'D2 - Capex uso'!$AK$6:$AK$176,$A167)</f>
        <v>0</v>
      </c>
      <c r="Y167" s="710">
        <f>-SUMIFS('D2 - Capex uso'!CP$6:CP$176,'D2 - Capex uso'!$C$6:$C$176,$A156,'D2 - Capex uso'!$AK$6:$AK$176,$A167)</f>
        <v>0</v>
      </c>
      <c r="Z167" s="710">
        <f>-SUMIFS('D2 - Capex uso'!CQ$6:CQ$176,'D2 - Capex uso'!$C$6:$C$176,$A156,'D2 - Capex uso'!$AK$6:$AK$176,$A167)</f>
        <v>0</v>
      </c>
      <c r="AA167" s="710">
        <f>-SUMIFS('D2 - Capex uso'!CR$6:CR$176,'D2 - Capex uso'!$C$6:$C$176,$A156,'D2 - Capex uso'!$AK$6:$AK$176,$A167)</f>
        <v>0</v>
      </c>
      <c r="AB167" s="710">
        <f>-SUMIFS('D2 - Capex uso'!CS$6:CS$176,'D2 - Capex uso'!$C$6:$C$176,$A156,'D2 - Capex uso'!$AK$6:$AK$176,$A167)</f>
        <v>0</v>
      </c>
      <c r="AC167" s="710">
        <f>-SUMIFS('D2 - Capex uso'!CT$6:CT$176,'D2 - Capex uso'!$C$6:$C$176,$A156,'D2 - Capex uso'!$AK$6:$AK$176,$A167)</f>
        <v>0</v>
      </c>
      <c r="AD167" s="710">
        <f>-SUMIFS('D2 - Capex uso'!CU$6:CU$176,'D2 - Capex uso'!$C$6:$C$176,$A156,'D2 - Capex uso'!$AK$6:$AK$176,$A167)</f>
        <v>0</v>
      </c>
      <c r="AE167" s="710">
        <f>-SUMIFS('D2 - Capex uso'!CV$6:CV$176,'D2 - Capex uso'!$C$6:$C$176,$A156,'D2 - Capex uso'!$AK$6:$AK$176,$A167)</f>
        <v>0</v>
      </c>
      <c r="AF167" s="594"/>
      <c r="AG167" s="594"/>
      <c r="AH167" s="594"/>
      <c r="AI167" s="594"/>
      <c r="AJ167" s="594"/>
      <c r="AK167" s="594"/>
      <c r="AL167" s="594"/>
      <c r="AM167" s="594"/>
      <c r="AN167" s="594"/>
      <c r="AO167" s="594"/>
      <c r="AP167" s="594"/>
      <c r="AQ167" s="594"/>
      <c r="AR167" s="594"/>
      <c r="AS167" s="594"/>
      <c r="AT167" s="594"/>
      <c r="AU167" s="594"/>
      <c r="AV167" s="594"/>
      <c r="AW167" s="594"/>
      <c r="AX167" s="594"/>
      <c r="AY167" s="594"/>
      <c r="AZ167" s="594"/>
      <c r="BA167" s="594"/>
      <c r="BB167" s="594"/>
      <c r="BC167" s="594"/>
      <c r="BD167" s="594"/>
      <c r="BE167" s="594"/>
      <c r="BF167" s="594"/>
      <c r="BG167" s="594"/>
      <c r="BH167" s="594"/>
      <c r="BI167" s="594"/>
      <c r="BJ167" s="594"/>
      <c r="BK167" s="594"/>
      <c r="BL167" s="57"/>
      <c r="BM167" s="594"/>
      <c r="BN167" s="594"/>
      <c r="BO167" s="594"/>
      <c r="BP167" s="594"/>
      <c r="BQ167" s="594"/>
      <c r="BR167" s="594"/>
      <c r="BS167" s="594"/>
      <c r="BT167" s="594"/>
      <c r="BU167" s="594"/>
      <c r="BV167" s="594"/>
      <c r="BW167" s="594"/>
      <c r="BX167" s="594"/>
      <c r="BY167" s="594"/>
      <c r="BZ167" s="594"/>
      <c r="CA167" s="594"/>
      <c r="CB167" s="594"/>
      <c r="CC167" s="594"/>
      <c r="CD167" s="594"/>
      <c r="CE167" s="594"/>
      <c r="CF167" s="594"/>
      <c r="CG167" s="594"/>
      <c r="CH167" s="594"/>
      <c r="CI167" s="594"/>
      <c r="CJ167" s="594"/>
      <c r="CK167" s="594"/>
      <c r="CL167" s="594"/>
      <c r="CM167" s="594"/>
      <c r="CN167" s="594"/>
      <c r="CO167" s="594"/>
      <c r="CP167" s="594"/>
      <c r="CQ167" s="594"/>
    </row>
    <row r="168" spans="1:95" ht="19.5" hidden="1" customHeight="1" outlineLevel="2">
      <c r="A168" s="709" t="s">
        <v>689</v>
      </c>
      <c r="B168" s="710">
        <f>-SUMIFS('D2 - Capex uso'!BS$6:BS$176,'D2 - Capex uso'!$C$6:$C$176,$A156,'D2 - Capex uso'!$AK$6:$AK$176,$A168)</f>
        <v>0</v>
      </c>
      <c r="C168" s="710">
        <f>-SUMIFS('D2 - Capex uso'!BT$6:BT$176,'D2 - Capex uso'!$C$6:$C$176,$A156,'D2 - Capex uso'!$AK$6:$AK$176,$A168)</f>
        <v>0</v>
      </c>
      <c r="D168" s="710">
        <f>-SUMIFS('D2 - Capex uso'!BU$6:BU$176,'D2 - Capex uso'!$C$6:$C$176,$A156,'D2 - Capex uso'!$AK$6:$AK$176,$A168)</f>
        <v>0</v>
      </c>
      <c r="E168" s="710">
        <f>-SUMIFS('D2 - Capex uso'!BV$6:BV$176,'D2 - Capex uso'!$C$6:$C$176,$A156,'D2 - Capex uso'!$AK$6:$AK$176,$A168)</f>
        <v>0</v>
      </c>
      <c r="F168" s="710">
        <f>-SUMIFS('D2 - Capex uso'!BW$6:BW$176,'D2 - Capex uso'!$C$6:$C$176,$A156,'D2 - Capex uso'!$AK$6:$AK$176,$A168)</f>
        <v>0</v>
      </c>
      <c r="G168" s="710">
        <f>-SUMIFS('D2 - Capex uso'!BX$6:BX$176,'D2 - Capex uso'!$C$6:$C$176,$A156,'D2 - Capex uso'!$AK$6:$AK$176,$A168)</f>
        <v>0</v>
      </c>
      <c r="H168" s="710">
        <f>-SUMIFS('D2 - Capex uso'!BY$6:BY$176,'D2 - Capex uso'!$C$6:$C$176,$A156,'D2 - Capex uso'!$AK$6:$AK$176,$A168)</f>
        <v>0</v>
      </c>
      <c r="I168" s="710">
        <f>-SUMIFS('D2 - Capex uso'!BZ$6:BZ$176,'D2 - Capex uso'!$C$6:$C$176,$A156,'D2 - Capex uso'!$AK$6:$AK$176,$A168)</f>
        <v>0</v>
      </c>
      <c r="J168" s="710">
        <f>-SUMIFS('D2 - Capex uso'!CA$6:CA$176,'D2 - Capex uso'!$C$6:$C$176,$A156,'D2 - Capex uso'!$AK$6:$AK$176,$A168)</f>
        <v>0</v>
      </c>
      <c r="K168" s="710">
        <f>-SUMIFS('D2 - Capex uso'!CB$6:CB$176,'D2 - Capex uso'!$C$6:$C$176,$A156,'D2 - Capex uso'!$AK$6:$AK$176,$A168)</f>
        <v>0</v>
      </c>
      <c r="L168" s="710">
        <f>-SUMIFS('D2 - Capex uso'!CC$6:CC$176,'D2 - Capex uso'!$C$6:$C$176,$A156,'D2 - Capex uso'!$AK$6:$AK$176,$A168)</f>
        <v>0</v>
      </c>
      <c r="M168" s="710">
        <f>-SUMIFS('D2 - Capex uso'!CD$6:CD$176,'D2 - Capex uso'!$C$6:$C$176,$A156,'D2 - Capex uso'!$AK$6:$AK$176,$A168)</f>
        <v>0</v>
      </c>
      <c r="N168" s="710">
        <f>-SUMIFS('D2 - Capex uso'!CE$6:CE$176,'D2 - Capex uso'!$C$6:$C$176,$A156,'D2 - Capex uso'!$AK$6:$AK$176,$A168)</f>
        <v>0</v>
      </c>
      <c r="O168" s="710">
        <f>-SUMIFS('D2 - Capex uso'!CF$6:CF$176,'D2 - Capex uso'!$C$6:$C$176,$A156,'D2 - Capex uso'!$AK$6:$AK$176,$A168)</f>
        <v>0</v>
      </c>
      <c r="P168" s="710">
        <f>-SUMIFS('D2 - Capex uso'!CG$6:CG$176,'D2 - Capex uso'!$C$6:$C$176,$A156,'D2 - Capex uso'!$AK$6:$AK$176,$A168)</f>
        <v>0</v>
      </c>
      <c r="Q168" s="710">
        <f>-SUMIFS('D2 - Capex uso'!CH$6:CH$176,'D2 - Capex uso'!$C$6:$C$176,$A156,'D2 - Capex uso'!$AK$6:$AK$176,$A168)</f>
        <v>0</v>
      </c>
      <c r="R168" s="710">
        <f>-SUMIFS('D2 - Capex uso'!CI$6:CI$176,'D2 - Capex uso'!$C$6:$C$176,$A156,'D2 - Capex uso'!$AK$6:$AK$176,$A168)</f>
        <v>0</v>
      </c>
      <c r="S168" s="710">
        <f>-SUMIFS('D2 - Capex uso'!CJ$6:CJ$176,'D2 - Capex uso'!$C$6:$C$176,$A156,'D2 - Capex uso'!$AK$6:$AK$176,$A168)</f>
        <v>0</v>
      </c>
      <c r="T168" s="710">
        <f>-SUMIFS('D2 - Capex uso'!CK$6:CK$176,'D2 - Capex uso'!$C$6:$C$176,$A156,'D2 - Capex uso'!$AK$6:$AK$176,$A168)</f>
        <v>0</v>
      </c>
      <c r="U168" s="710">
        <f>-SUMIFS('D2 - Capex uso'!CL$6:CL$176,'D2 - Capex uso'!$C$6:$C$176,$A156,'D2 - Capex uso'!$AK$6:$AK$176,$A168)</f>
        <v>0</v>
      </c>
      <c r="V168" s="710">
        <f>-SUMIFS('D2 - Capex uso'!CM$6:CM$176,'D2 - Capex uso'!$C$6:$C$176,$A156,'D2 - Capex uso'!$AK$6:$AK$176,$A168)</f>
        <v>0</v>
      </c>
      <c r="W168" s="710">
        <f>-SUMIFS('D2 - Capex uso'!CN$6:CN$176,'D2 - Capex uso'!$C$6:$C$176,$A156,'D2 - Capex uso'!$AK$6:$AK$176,$A168)</f>
        <v>0</v>
      </c>
      <c r="X168" s="710">
        <f>-SUMIFS('D2 - Capex uso'!CO$6:CO$176,'D2 - Capex uso'!$C$6:$C$176,$A156,'D2 - Capex uso'!$AK$6:$AK$176,$A168)</f>
        <v>0</v>
      </c>
      <c r="Y168" s="710">
        <f>-SUMIFS('D2 - Capex uso'!CP$6:CP$176,'D2 - Capex uso'!$C$6:$C$176,$A156,'D2 - Capex uso'!$AK$6:$AK$176,$A168)</f>
        <v>0</v>
      </c>
      <c r="Z168" s="710">
        <f>-SUMIFS('D2 - Capex uso'!CQ$6:CQ$176,'D2 - Capex uso'!$C$6:$C$176,$A156,'D2 - Capex uso'!$AK$6:$AK$176,$A168)</f>
        <v>0</v>
      </c>
      <c r="AA168" s="710">
        <f>-SUMIFS('D2 - Capex uso'!CR$6:CR$176,'D2 - Capex uso'!$C$6:$C$176,$A156,'D2 - Capex uso'!$AK$6:$AK$176,$A168)</f>
        <v>0</v>
      </c>
      <c r="AB168" s="710">
        <f>-SUMIFS('D2 - Capex uso'!CS$6:CS$176,'D2 - Capex uso'!$C$6:$C$176,$A156,'D2 - Capex uso'!$AK$6:$AK$176,$A168)</f>
        <v>0</v>
      </c>
      <c r="AC168" s="710">
        <f>-SUMIFS('D2 - Capex uso'!CT$6:CT$176,'D2 - Capex uso'!$C$6:$C$176,$A156,'D2 - Capex uso'!$AK$6:$AK$176,$A168)</f>
        <v>0</v>
      </c>
      <c r="AD168" s="710">
        <f>-SUMIFS('D2 - Capex uso'!CU$6:CU$176,'D2 - Capex uso'!$C$6:$C$176,$A156,'D2 - Capex uso'!$AK$6:$AK$176,$A168)</f>
        <v>0</v>
      </c>
      <c r="AE168" s="710">
        <f>-SUMIFS('D2 - Capex uso'!CV$6:CV$176,'D2 - Capex uso'!$C$6:$C$176,$A156,'D2 - Capex uso'!$AK$6:$AK$176,$A168)</f>
        <v>0</v>
      </c>
      <c r="AF168" s="594"/>
      <c r="AG168" s="594"/>
      <c r="AH168" s="594"/>
      <c r="AI168" s="594"/>
      <c r="AJ168" s="594"/>
      <c r="AK168" s="594"/>
      <c r="AL168" s="594"/>
      <c r="AM168" s="594"/>
      <c r="AN168" s="594"/>
      <c r="AO168" s="594"/>
      <c r="AP168" s="594"/>
      <c r="AQ168" s="594"/>
      <c r="AR168" s="594"/>
      <c r="AS168" s="594"/>
      <c r="AT168" s="594"/>
      <c r="AU168" s="594"/>
      <c r="AV168" s="594"/>
      <c r="AW168" s="594"/>
      <c r="AX168" s="594"/>
      <c r="AY168" s="594"/>
      <c r="AZ168" s="594"/>
      <c r="BA168" s="594"/>
      <c r="BB168" s="594"/>
      <c r="BC168" s="594"/>
      <c r="BD168" s="594"/>
      <c r="BE168" s="594"/>
      <c r="BF168" s="594"/>
      <c r="BG168" s="594"/>
      <c r="BH168" s="594"/>
      <c r="BI168" s="594"/>
      <c r="BJ168" s="594"/>
      <c r="BK168" s="594"/>
      <c r="BL168" s="57"/>
      <c r="BM168" s="594"/>
      <c r="BN168" s="594"/>
      <c r="BO168" s="594"/>
      <c r="BP168" s="594"/>
      <c r="BQ168" s="594"/>
      <c r="BR168" s="594"/>
      <c r="BS168" s="594"/>
      <c r="BT168" s="594"/>
      <c r="BU168" s="594"/>
      <c r="BV168" s="594"/>
      <c r="BW168" s="594"/>
      <c r="BX168" s="594"/>
      <c r="BY168" s="594"/>
      <c r="BZ168" s="594"/>
      <c r="CA168" s="594"/>
      <c r="CB168" s="594"/>
      <c r="CC168" s="594"/>
      <c r="CD168" s="594"/>
      <c r="CE168" s="594"/>
      <c r="CF168" s="594"/>
      <c r="CG168" s="594"/>
      <c r="CH168" s="594"/>
      <c r="CI168" s="594"/>
      <c r="CJ168" s="594"/>
      <c r="CK168" s="594"/>
      <c r="CL168" s="594"/>
      <c r="CM168" s="594"/>
      <c r="CN168" s="594"/>
      <c r="CO168" s="594"/>
      <c r="CP168" s="594"/>
      <c r="CQ168" s="594"/>
    </row>
    <row r="169" spans="1:95" ht="19.5" hidden="1" customHeight="1" outlineLevel="2">
      <c r="A169" s="709" t="s">
        <v>378</v>
      </c>
      <c r="B169" s="710">
        <f>-SUMIFS('D2 - Capex uso'!BS$6:BS$176,'D2 - Capex uso'!$C$6:$C$176,$A156,'D2 - Capex uso'!$AK$6:$AK$176,$A169)</f>
        <v>0</v>
      </c>
      <c r="C169" s="710">
        <f>-SUMIFS('D2 - Capex uso'!BT$6:BT$176,'D2 - Capex uso'!$C$6:$C$176,$A156,'D2 - Capex uso'!$AK$6:$AK$176,$A169)</f>
        <v>0</v>
      </c>
      <c r="D169" s="710">
        <f>-SUMIFS('D2 - Capex uso'!BU$6:BU$176,'D2 - Capex uso'!$C$6:$C$176,$A156,'D2 - Capex uso'!$AK$6:$AK$176,$A169)</f>
        <v>0</v>
      </c>
      <c r="E169" s="710">
        <f>-SUMIFS('D2 - Capex uso'!BV$6:BV$176,'D2 - Capex uso'!$C$6:$C$176,$A156,'D2 - Capex uso'!$AK$6:$AK$176,$A169)</f>
        <v>0</v>
      </c>
      <c r="F169" s="710">
        <f>-SUMIFS('D2 - Capex uso'!BW$6:BW$176,'D2 - Capex uso'!$C$6:$C$176,$A156,'D2 - Capex uso'!$AK$6:$AK$176,$A169)</f>
        <v>0</v>
      </c>
      <c r="G169" s="710">
        <f>-SUMIFS('D2 - Capex uso'!BX$6:BX$176,'D2 - Capex uso'!$C$6:$C$176,$A156,'D2 - Capex uso'!$AK$6:$AK$176,$A169)</f>
        <v>0</v>
      </c>
      <c r="H169" s="710">
        <f>-SUMIFS('D2 - Capex uso'!BY$6:BY$176,'D2 - Capex uso'!$C$6:$C$176,$A156,'D2 - Capex uso'!$AK$6:$AK$176,$A169)</f>
        <v>0</v>
      </c>
      <c r="I169" s="710">
        <f>-SUMIFS('D2 - Capex uso'!BZ$6:BZ$176,'D2 - Capex uso'!$C$6:$C$176,$A156,'D2 - Capex uso'!$AK$6:$AK$176,$A169)</f>
        <v>0</v>
      </c>
      <c r="J169" s="710">
        <f>-SUMIFS('D2 - Capex uso'!CA$6:CA$176,'D2 - Capex uso'!$C$6:$C$176,$A156,'D2 - Capex uso'!$AK$6:$AK$176,$A169)</f>
        <v>0</v>
      </c>
      <c r="K169" s="710">
        <f>-SUMIFS('D2 - Capex uso'!CB$6:CB$176,'D2 - Capex uso'!$C$6:$C$176,$A156,'D2 - Capex uso'!$AK$6:$AK$176,$A169)</f>
        <v>0</v>
      </c>
      <c r="L169" s="710">
        <f>-SUMIFS('D2 - Capex uso'!CC$6:CC$176,'D2 - Capex uso'!$C$6:$C$176,$A156,'D2 - Capex uso'!$AK$6:$AK$176,$A169)</f>
        <v>0</v>
      </c>
      <c r="M169" s="710">
        <f>-SUMIFS('D2 - Capex uso'!CD$6:CD$176,'D2 - Capex uso'!$C$6:$C$176,$A156,'D2 - Capex uso'!$AK$6:$AK$176,$A169)</f>
        <v>0</v>
      </c>
      <c r="N169" s="710">
        <f>-SUMIFS('D2 - Capex uso'!CE$6:CE$176,'D2 - Capex uso'!$C$6:$C$176,$A156,'D2 - Capex uso'!$AK$6:$AK$176,$A169)</f>
        <v>0</v>
      </c>
      <c r="O169" s="710">
        <f>-SUMIFS('D2 - Capex uso'!CF$6:CF$176,'D2 - Capex uso'!$C$6:$C$176,$A156,'D2 - Capex uso'!$AK$6:$AK$176,$A169)</f>
        <v>0</v>
      </c>
      <c r="P169" s="710">
        <f>-SUMIFS('D2 - Capex uso'!CG$6:CG$176,'D2 - Capex uso'!$C$6:$C$176,$A156,'D2 - Capex uso'!$AK$6:$AK$176,$A169)</f>
        <v>0</v>
      </c>
      <c r="Q169" s="710">
        <f>-SUMIFS('D2 - Capex uso'!CH$6:CH$176,'D2 - Capex uso'!$C$6:$C$176,$A156,'D2 - Capex uso'!$AK$6:$AK$176,$A169)</f>
        <v>0</v>
      </c>
      <c r="R169" s="710">
        <f>-SUMIFS('D2 - Capex uso'!CI$6:CI$176,'D2 - Capex uso'!$C$6:$C$176,$A156,'D2 - Capex uso'!$AK$6:$AK$176,$A169)</f>
        <v>0</v>
      </c>
      <c r="S169" s="710">
        <f>-SUMIFS('D2 - Capex uso'!CJ$6:CJ$176,'D2 - Capex uso'!$C$6:$C$176,$A156,'D2 - Capex uso'!$AK$6:$AK$176,$A169)</f>
        <v>0</v>
      </c>
      <c r="T169" s="710">
        <f>-SUMIFS('D2 - Capex uso'!CK$6:CK$176,'D2 - Capex uso'!$C$6:$C$176,$A156,'D2 - Capex uso'!$AK$6:$AK$176,$A169)</f>
        <v>0</v>
      </c>
      <c r="U169" s="710">
        <f>-SUMIFS('D2 - Capex uso'!CL$6:CL$176,'D2 - Capex uso'!$C$6:$C$176,$A156,'D2 - Capex uso'!$AK$6:$AK$176,$A169)</f>
        <v>0</v>
      </c>
      <c r="V169" s="710">
        <f>-SUMIFS('D2 - Capex uso'!CM$6:CM$176,'D2 - Capex uso'!$C$6:$C$176,$A156,'D2 - Capex uso'!$AK$6:$AK$176,$A169)</f>
        <v>0</v>
      </c>
      <c r="W169" s="710">
        <f>-SUMIFS('D2 - Capex uso'!CN$6:CN$176,'D2 - Capex uso'!$C$6:$C$176,$A156,'D2 - Capex uso'!$AK$6:$AK$176,$A169)</f>
        <v>0</v>
      </c>
      <c r="X169" s="710">
        <f>-SUMIFS('D2 - Capex uso'!CO$6:CO$176,'D2 - Capex uso'!$C$6:$C$176,$A156,'D2 - Capex uso'!$AK$6:$AK$176,$A169)</f>
        <v>0</v>
      </c>
      <c r="Y169" s="710">
        <f>-SUMIFS('D2 - Capex uso'!CP$6:CP$176,'D2 - Capex uso'!$C$6:$C$176,$A156,'D2 - Capex uso'!$AK$6:$AK$176,$A169)</f>
        <v>0</v>
      </c>
      <c r="Z169" s="710">
        <f>-SUMIFS('D2 - Capex uso'!CQ$6:CQ$176,'D2 - Capex uso'!$C$6:$C$176,$A156,'D2 - Capex uso'!$AK$6:$AK$176,$A169)</f>
        <v>0</v>
      </c>
      <c r="AA169" s="710">
        <f>-SUMIFS('D2 - Capex uso'!CR$6:CR$176,'D2 - Capex uso'!$C$6:$C$176,$A156,'D2 - Capex uso'!$AK$6:$AK$176,$A169)</f>
        <v>0</v>
      </c>
      <c r="AB169" s="710">
        <f>-SUMIFS('D2 - Capex uso'!CS$6:CS$176,'D2 - Capex uso'!$C$6:$C$176,$A156,'D2 - Capex uso'!$AK$6:$AK$176,$A169)</f>
        <v>0</v>
      </c>
      <c r="AC169" s="710">
        <f>-SUMIFS('D2 - Capex uso'!CT$6:CT$176,'D2 - Capex uso'!$C$6:$C$176,$A156,'D2 - Capex uso'!$AK$6:$AK$176,$A169)</f>
        <v>0</v>
      </c>
      <c r="AD169" s="710">
        <f>-SUMIFS('D2 - Capex uso'!CU$6:CU$176,'D2 - Capex uso'!$C$6:$C$176,$A156,'D2 - Capex uso'!$AK$6:$AK$176,$A169)</f>
        <v>0</v>
      </c>
      <c r="AE169" s="710">
        <f>-SUMIFS('D2 - Capex uso'!CV$6:CV$176,'D2 - Capex uso'!$C$6:$C$176,$A156,'D2 - Capex uso'!$AK$6:$AK$176,$A169)</f>
        <v>0</v>
      </c>
      <c r="AF169" s="594"/>
      <c r="AG169" s="594"/>
      <c r="AH169" s="594"/>
      <c r="AI169" s="594"/>
      <c r="AJ169" s="594"/>
      <c r="AK169" s="594"/>
      <c r="AL169" s="594"/>
      <c r="AM169" s="594"/>
      <c r="AN169" s="594"/>
      <c r="AO169" s="594"/>
      <c r="AP169" s="594"/>
      <c r="AQ169" s="594"/>
      <c r="AR169" s="594"/>
      <c r="AS169" s="594"/>
      <c r="AT169" s="594"/>
      <c r="AU169" s="594"/>
      <c r="AV169" s="594"/>
      <c r="AW169" s="594"/>
      <c r="AX169" s="594"/>
      <c r="AY169" s="594"/>
      <c r="AZ169" s="594"/>
      <c r="BA169" s="594"/>
      <c r="BB169" s="594"/>
      <c r="BC169" s="594"/>
      <c r="BD169" s="594"/>
      <c r="BE169" s="594"/>
      <c r="BF169" s="594"/>
      <c r="BG169" s="594"/>
      <c r="BH169" s="594"/>
      <c r="BI169" s="594"/>
      <c r="BJ169" s="594"/>
      <c r="BK169" s="594"/>
      <c r="BL169" s="57"/>
      <c r="BM169" s="594"/>
      <c r="BN169" s="594"/>
      <c r="BO169" s="594"/>
      <c r="BP169" s="594"/>
      <c r="BQ169" s="594"/>
      <c r="BR169" s="594"/>
      <c r="BS169" s="594"/>
      <c r="BT169" s="594"/>
      <c r="BU169" s="594"/>
      <c r="BV169" s="594"/>
      <c r="BW169" s="594"/>
      <c r="BX169" s="594"/>
      <c r="BY169" s="594"/>
      <c r="BZ169" s="594"/>
      <c r="CA169" s="594"/>
      <c r="CB169" s="594"/>
      <c r="CC169" s="594"/>
      <c r="CD169" s="594"/>
      <c r="CE169" s="594"/>
      <c r="CF169" s="594"/>
      <c r="CG169" s="594"/>
      <c r="CH169" s="594"/>
      <c r="CI169" s="594"/>
      <c r="CJ169" s="594"/>
      <c r="CK169" s="594"/>
      <c r="CL169" s="594"/>
      <c r="CM169" s="594"/>
      <c r="CN169" s="594"/>
      <c r="CO169" s="594"/>
      <c r="CP169" s="594"/>
      <c r="CQ169" s="594"/>
    </row>
    <row r="170" spans="1:95" ht="19.5" hidden="1" customHeight="1" outlineLevel="2">
      <c r="A170" s="709" t="s">
        <v>366</v>
      </c>
      <c r="B170" s="710">
        <f>-SUMIFS('D2 - Capex uso'!BS$6:BS$176,'D2 - Capex uso'!$C$6:$C$176,$A156,'D2 - Capex uso'!$AK$6:$AK$176,$A170)</f>
        <v>0</v>
      </c>
      <c r="C170" s="710">
        <f>-SUMIFS('D2 - Capex uso'!BT$6:BT$176,'D2 - Capex uso'!$C$6:$C$176,$A156,'D2 - Capex uso'!$AK$6:$AK$176,$A170)</f>
        <v>0</v>
      </c>
      <c r="D170" s="710">
        <f>-SUMIFS('D2 - Capex uso'!BU$6:BU$176,'D2 - Capex uso'!$C$6:$C$176,$A156,'D2 - Capex uso'!$AK$6:$AK$176,$A170)</f>
        <v>0</v>
      </c>
      <c r="E170" s="710">
        <f>-SUMIFS('D2 - Capex uso'!BV$6:BV$176,'D2 - Capex uso'!$C$6:$C$176,$A156,'D2 - Capex uso'!$AK$6:$AK$176,$A170)</f>
        <v>0</v>
      </c>
      <c r="F170" s="710">
        <f>-SUMIFS('D2 - Capex uso'!BW$6:BW$176,'D2 - Capex uso'!$C$6:$C$176,$A156,'D2 - Capex uso'!$AK$6:$AK$176,$A170)</f>
        <v>0</v>
      </c>
      <c r="G170" s="710">
        <f>-SUMIFS('D2 - Capex uso'!BX$6:BX$176,'D2 - Capex uso'!$C$6:$C$176,$A156,'D2 - Capex uso'!$AK$6:$AK$176,$A170)</f>
        <v>0</v>
      </c>
      <c r="H170" s="710">
        <f>-SUMIFS('D2 - Capex uso'!BY$6:BY$176,'D2 - Capex uso'!$C$6:$C$176,$A156,'D2 - Capex uso'!$AK$6:$AK$176,$A170)</f>
        <v>0</v>
      </c>
      <c r="I170" s="710">
        <f>-SUMIFS('D2 - Capex uso'!BZ$6:BZ$176,'D2 - Capex uso'!$C$6:$C$176,$A156,'D2 - Capex uso'!$AK$6:$AK$176,$A170)</f>
        <v>0</v>
      </c>
      <c r="J170" s="710">
        <f>-SUMIFS('D2 - Capex uso'!CA$6:CA$176,'D2 - Capex uso'!$C$6:$C$176,$A156,'D2 - Capex uso'!$AK$6:$AK$176,$A170)</f>
        <v>0</v>
      </c>
      <c r="K170" s="710">
        <f>-SUMIFS('D2 - Capex uso'!CB$6:CB$176,'D2 - Capex uso'!$C$6:$C$176,$A156,'D2 - Capex uso'!$AK$6:$AK$176,$A170)</f>
        <v>0</v>
      </c>
      <c r="L170" s="710">
        <f>-SUMIFS('D2 - Capex uso'!CC$6:CC$176,'D2 - Capex uso'!$C$6:$C$176,$A156,'D2 - Capex uso'!$AK$6:$AK$176,$A170)</f>
        <v>0</v>
      </c>
      <c r="M170" s="710">
        <f>-SUMIFS('D2 - Capex uso'!CD$6:CD$176,'D2 - Capex uso'!$C$6:$C$176,$A156,'D2 - Capex uso'!$AK$6:$AK$176,$A170)</f>
        <v>0</v>
      </c>
      <c r="N170" s="710">
        <f>-SUMIFS('D2 - Capex uso'!CE$6:CE$176,'D2 - Capex uso'!$C$6:$C$176,$A156,'D2 - Capex uso'!$AK$6:$AK$176,$A170)</f>
        <v>0</v>
      </c>
      <c r="O170" s="710">
        <f>-SUMIFS('D2 - Capex uso'!CF$6:CF$176,'D2 - Capex uso'!$C$6:$C$176,$A156,'D2 - Capex uso'!$AK$6:$AK$176,$A170)</f>
        <v>0</v>
      </c>
      <c r="P170" s="710">
        <f>-SUMIFS('D2 - Capex uso'!CG$6:CG$176,'D2 - Capex uso'!$C$6:$C$176,$A156,'D2 - Capex uso'!$AK$6:$AK$176,$A170)</f>
        <v>0</v>
      </c>
      <c r="Q170" s="710">
        <f>-SUMIFS('D2 - Capex uso'!CH$6:CH$176,'D2 - Capex uso'!$C$6:$C$176,$A156,'D2 - Capex uso'!$AK$6:$AK$176,$A170)</f>
        <v>0</v>
      </c>
      <c r="R170" s="710">
        <f>-SUMIFS('D2 - Capex uso'!CI$6:CI$176,'D2 - Capex uso'!$C$6:$C$176,$A156,'D2 - Capex uso'!$AK$6:$AK$176,$A170)</f>
        <v>0</v>
      </c>
      <c r="S170" s="710">
        <f>-SUMIFS('D2 - Capex uso'!CJ$6:CJ$176,'D2 - Capex uso'!$C$6:$C$176,$A156,'D2 - Capex uso'!$AK$6:$AK$176,$A170)</f>
        <v>0</v>
      </c>
      <c r="T170" s="710">
        <f>-SUMIFS('D2 - Capex uso'!CK$6:CK$176,'D2 - Capex uso'!$C$6:$C$176,$A156,'D2 - Capex uso'!$AK$6:$AK$176,$A170)</f>
        <v>0</v>
      </c>
      <c r="U170" s="710">
        <f>-SUMIFS('D2 - Capex uso'!CL$6:CL$176,'D2 - Capex uso'!$C$6:$C$176,$A156,'D2 - Capex uso'!$AK$6:$AK$176,$A170)</f>
        <v>0</v>
      </c>
      <c r="V170" s="710">
        <f>-SUMIFS('D2 - Capex uso'!CM$6:CM$176,'D2 - Capex uso'!$C$6:$C$176,$A156,'D2 - Capex uso'!$AK$6:$AK$176,$A170)</f>
        <v>0</v>
      </c>
      <c r="W170" s="710">
        <f>-SUMIFS('D2 - Capex uso'!CN$6:CN$176,'D2 - Capex uso'!$C$6:$C$176,$A156,'D2 - Capex uso'!$AK$6:$AK$176,$A170)</f>
        <v>0</v>
      </c>
      <c r="X170" s="710">
        <f>-SUMIFS('D2 - Capex uso'!CO$6:CO$176,'D2 - Capex uso'!$C$6:$C$176,$A156,'D2 - Capex uso'!$AK$6:$AK$176,$A170)</f>
        <v>0</v>
      </c>
      <c r="Y170" s="710">
        <f>-SUMIFS('D2 - Capex uso'!CP$6:CP$176,'D2 - Capex uso'!$C$6:$C$176,$A156,'D2 - Capex uso'!$AK$6:$AK$176,$A170)</f>
        <v>0</v>
      </c>
      <c r="Z170" s="710">
        <f>-SUMIFS('D2 - Capex uso'!CQ$6:CQ$176,'D2 - Capex uso'!$C$6:$C$176,$A156,'D2 - Capex uso'!$AK$6:$AK$176,$A170)</f>
        <v>0</v>
      </c>
      <c r="AA170" s="710">
        <f>-SUMIFS('D2 - Capex uso'!CR$6:CR$176,'D2 - Capex uso'!$C$6:$C$176,$A156,'D2 - Capex uso'!$AK$6:$AK$176,$A170)</f>
        <v>0</v>
      </c>
      <c r="AB170" s="710">
        <f>-SUMIFS('D2 - Capex uso'!CS$6:CS$176,'D2 - Capex uso'!$C$6:$C$176,$A156,'D2 - Capex uso'!$AK$6:$AK$176,$A170)</f>
        <v>0</v>
      </c>
      <c r="AC170" s="710">
        <f>-SUMIFS('D2 - Capex uso'!CT$6:CT$176,'D2 - Capex uso'!$C$6:$C$176,$A156,'D2 - Capex uso'!$AK$6:$AK$176,$A170)</f>
        <v>0</v>
      </c>
      <c r="AD170" s="710">
        <f>-SUMIFS('D2 - Capex uso'!CU$6:CU$176,'D2 - Capex uso'!$C$6:$C$176,$A156,'D2 - Capex uso'!$AK$6:$AK$176,$A170)</f>
        <v>0</v>
      </c>
      <c r="AE170" s="710">
        <f>-SUMIFS('D2 - Capex uso'!CV$6:CV$176,'D2 - Capex uso'!$C$6:$C$176,$A156,'D2 - Capex uso'!$AK$6:$AK$176,$A170)</f>
        <v>0</v>
      </c>
      <c r="AF170" s="594"/>
      <c r="AG170" s="594"/>
      <c r="AH170" s="594"/>
      <c r="AI170" s="594"/>
      <c r="AJ170" s="594"/>
      <c r="AK170" s="594"/>
      <c r="AL170" s="594"/>
      <c r="AM170" s="594"/>
      <c r="AN170" s="594"/>
      <c r="AO170" s="594"/>
      <c r="AP170" s="594"/>
      <c r="AQ170" s="594"/>
      <c r="AR170" s="594"/>
      <c r="AS170" s="594"/>
      <c r="AT170" s="594"/>
      <c r="AU170" s="594"/>
      <c r="AV170" s="594"/>
      <c r="AW170" s="594"/>
      <c r="AX170" s="594"/>
      <c r="AY170" s="594"/>
      <c r="AZ170" s="594"/>
      <c r="BA170" s="594"/>
      <c r="BB170" s="594"/>
      <c r="BC170" s="594"/>
      <c r="BD170" s="594"/>
      <c r="BE170" s="594"/>
      <c r="BF170" s="594"/>
      <c r="BG170" s="594"/>
      <c r="BH170" s="594"/>
      <c r="BI170" s="594"/>
      <c r="BJ170" s="594"/>
      <c r="BK170" s="594"/>
      <c r="BL170" s="57"/>
      <c r="BM170" s="594"/>
      <c r="BN170" s="594"/>
      <c r="BO170" s="594"/>
      <c r="BP170" s="594"/>
      <c r="BQ170" s="594"/>
      <c r="BR170" s="594"/>
      <c r="BS170" s="594"/>
      <c r="BT170" s="594"/>
      <c r="BU170" s="594"/>
      <c r="BV170" s="594"/>
      <c r="BW170" s="594"/>
      <c r="BX170" s="594"/>
      <c r="BY170" s="594"/>
      <c r="BZ170" s="594"/>
      <c r="CA170" s="594"/>
      <c r="CB170" s="594"/>
      <c r="CC170" s="594"/>
      <c r="CD170" s="594"/>
      <c r="CE170" s="594"/>
      <c r="CF170" s="594"/>
      <c r="CG170" s="594"/>
      <c r="CH170" s="594"/>
      <c r="CI170" s="594"/>
      <c r="CJ170" s="594"/>
      <c r="CK170" s="594"/>
      <c r="CL170" s="594"/>
      <c r="CM170" s="594"/>
      <c r="CN170" s="594"/>
      <c r="CO170" s="594"/>
      <c r="CP170" s="594"/>
      <c r="CQ170" s="594"/>
    </row>
    <row r="171" spans="1:95" ht="19.5" hidden="1" customHeight="1" outlineLevel="2">
      <c r="A171" s="709" t="s">
        <v>371</v>
      </c>
      <c r="B171" s="710">
        <f>-SUMIFS('D2 - Capex uso'!BS$6:BS$176,'D2 - Capex uso'!$C$6:$C$176,$A156,'D2 - Capex uso'!$AK$6:$AK$176,$A171)</f>
        <v>0</v>
      </c>
      <c r="C171" s="710">
        <f>-SUMIFS('D2 - Capex uso'!BT$6:BT$176,'D2 - Capex uso'!$C$6:$C$176,$A156,'D2 - Capex uso'!$AK$6:$AK$176,$A171)</f>
        <v>0</v>
      </c>
      <c r="D171" s="710">
        <f>-SUMIFS('D2 - Capex uso'!BU$6:BU$176,'D2 - Capex uso'!$C$6:$C$176,$A156,'D2 - Capex uso'!$AK$6:$AK$176,$A171)</f>
        <v>0</v>
      </c>
      <c r="E171" s="710">
        <f>-SUMIFS('D2 - Capex uso'!BV$6:BV$176,'D2 - Capex uso'!$C$6:$C$176,$A156,'D2 - Capex uso'!$AK$6:$AK$176,$A171)</f>
        <v>0</v>
      </c>
      <c r="F171" s="710">
        <f>-SUMIFS('D2 - Capex uso'!BW$6:BW$176,'D2 - Capex uso'!$C$6:$C$176,$A156,'D2 - Capex uso'!$AK$6:$AK$176,$A171)</f>
        <v>0</v>
      </c>
      <c r="G171" s="710">
        <f>-SUMIFS('D2 - Capex uso'!BX$6:BX$176,'D2 - Capex uso'!$C$6:$C$176,$A156,'D2 - Capex uso'!$AK$6:$AK$176,$A171)</f>
        <v>0</v>
      </c>
      <c r="H171" s="710">
        <f>-SUMIFS('D2 - Capex uso'!BY$6:BY$176,'D2 - Capex uso'!$C$6:$C$176,$A156,'D2 - Capex uso'!$AK$6:$AK$176,$A171)</f>
        <v>0</v>
      </c>
      <c r="I171" s="710">
        <f>-SUMIFS('D2 - Capex uso'!BZ$6:BZ$176,'D2 - Capex uso'!$C$6:$C$176,$A156,'D2 - Capex uso'!$AK$6:$AK$176,$A171)</f>
        <v>0</v>
      </c>
      <c r="J171" s="710">
        <f>-SUMIFS('D2 - Capex uso'!CA$6:CA$176,'D2 - Capex uso'!$C$6:$C$176,$A156,'D2 - Capex uso'!$AK$6:$AK$176,$A171)</f>
        <v>0</v>
      </c>
      <c r="K171" s="710">
        <f>-SUMIFS('D2 - Capex uso'!CB$6:CB$176,'D2 - Capex uso'!$C$6:$C$176,$A156,'D2 - Capex uso'!$AK$6:$AK$176,$A171)</f>
        <v>0</v>
      </c>
      <c r="L171" s="710">
        <f>-SUMIFS('D2 - Capex uso'!CC$6:CC$176,'D2 - Capex uso'!$C$6:$C$176,$A156,'D2 - Capex uso'!$AK$6:$AK$176,$A171)</f>
        <v>0</v>
      </c>
      <c r="M171" s="710">
        <f>-SUMIFS('D2 - Capex uso'!CD$6:CD$176,'D2 - Capex uso'!$C$6:$C$176,$A156,'D2 - Capex uso'!$AK$6:$AK$176,$A171)</f>
        <v>0</v>
      </c>
      <c r="N171" s="710">
        <f>-SUMIFS('D2 - Capex uso'!CE$6:CE$176,'D2 - Capex uso'!$C$6:$C$176,$A156,'D2 - Capex uso'!$AK$6:$AK$176,$A171)</f>
        <v>0</v>
      </c>
      <c r="O171" s="710">
        <f>-SUMIFS('D2 - Capex uso'!CF$6:CF$176,'D2 - Capex uso'!$C$6:$C$176,$A156,'D2 - Capex uso'!$AK$6:$AK$176,$A171)</f>
        <v>0</v>
      </c>
      <c r="P171" s="710">
        <f>-SUMIFS('D2 - Capex uso'!CG$6:CG$176,'D2 - Capex uso'!$C$6:$C$176,$A156,'D2 - Capex uso'!$AK$6:$AK$176,$A171)</f>
        <v>0</v>
      </c>
      <c r="Q171" s="710">
        <f>-SUMIFS('D2 - Capex uso'!CH$6:CH$176,'D2 - Capex uso'!$C$6:$C$176,$A156,'D2 - Capex uso'!$AK$6:$AK$176,$A171)</f>
        <v>0</v>
      </c>
      <c r="R171" s="710">
        <f>-SUMIFS('D2 - Capex uso'!CI$6:CI$176,'D2 - Capex uso'!$C$6:$C$176,$A156,'D2 - Capex uso'!$AK$6:$AK$176,$A171)</f>
        <v>0</v>
      </c>
      <c r="S171" s="710">
        <f>-SUMIFS('D2 - Capex uso'!CJ$6:CJ$176,'D2 - Capex uso'!$C$6:$C$176,$A156,'D2 - Capex uso'!$AK$6:$AK$176,$A171)</f>
        <v>0</v>
      </c>
      <c r="T171" s="710">
        <f>-SUMIFS('D2 - Capex uso'!CK$6:CK$176,'D2 - Capex uso'!$C$6:$C$176,$A156,'D2 - Capex uso'!$AK$6:$AK$176,$A171)</f>
        <v>0</v>
      </c>
      <c r="U171" s="710">
        <f>-SUMIFS('D2 - Capex uso'!CL$6:CL$176,'D2 - Capex uso'!$C$6:$C$176,$A156,'D2 - Capex uso'!$AK$6:$AK$176,$A171)</f>
        <v>0</v>
      </c>
      <c r="V171" s="710">
        <f>-SUMIFS('D2 - Capex uso'!CM$6:CM$176,'D2 - Capex uso'!$C$6:$C$176,$A156,'D2 - Capex uso'!$AK$6:$AK$176,$A171)</f>
        <v>0</v>
      </c>
      <c r="W171" s="710">
        <f>-SUMIFS('D2 - Capex uso'!CN$6:CN$176,'D2 - Capex uso'!$C$6:$C$176,$A156,'D2 - Capex uso'!$AK$6:$AK$176,$A171)</f>
        <v>0</v>
      </c>
      <c r="X171" s="710">
        <f>-SUMIFS('D2 - Capex uso'!CO$6:CO$176,'D2 - Capex uso'!$C$6:$C$176,$A156,'D2 - Capex uso'!$AK$6:$AK$176,$A171)</f>
        <v>0</v>
      </c>
      <c r="Y171" s="710">
        <f>-SUMIFS('D2 - Capex uso'!CP$6:CP$176,'D2 - Capex uso'!$C$6:$C$176,$A156,'D2 - Capex uso'!$AK$6:$AK$176,$A171)</f>
        <v>0</v>
      </c>
      <c r="Z171" s="710">
        <f>-SUMIFS('D2 - Capex uso'!CQ$6:CQ$176,'D2 - Capex uso'!$C$6:$C$176,$A156,'D2 - Capex uso'!$AK$6:$AK$176,$A171)</f>
        <v>0</v>
      </c>
      <c r="AA171" s="710">
        <f>-SUMIFS('D2 - Capex uso'!CR$6:CR$176,'D2 - Capex uso'!$C$6:$C$176,$A156,'D2 - Capex uso'!$AK$6:$AK$176,$A171)</f>
        <v>0</v>
      </c>
      <c r="AB171" s="710">
        <f>-SUMIFS('D2 - Capex uso'!CS$6:CS$176,'D2 - Capex uso'!$C$6:$C$176,$A156,'D2 - Capex uso'!$AK$6:$AK$176,$A171)</f>
        <v>0</v>
      </c>
      <c r="AC171" s="710">
        <f>-SUMIFS('D2 - Capex uso'!CT$6:CT$176,'D2 - Capex uso'!$C$6:$C$176,$A156,'D2 - Capex uso'!$AK$6:$AK$176,$A171)</f>
        <v>0</v>
      </c>
      <c r="AD171" s="710">
        <f>-SUMIFS('D2 - Capex uso'!CU$6:CU$176,'D2 - Capex uso'!$C$6:$C$176,$A156,'D2 - Capex uso'!$AK$6:$AK$176,$A171)</f>
        <v>0</v>
      </c>
      <c r="AE171" s="710">
        <f>-SUMIFS('D2 - Capex uso'!CV$6:CV$176,'D2 - Capex uso'!$C$6:$C$176,$A156,'D2 - Capex uso'!$AK$6:$AK$176,$A171)</f>
        <v>0</v>
      </c>
      <c r="AF171" s="594"/>
      <c r="AG171" s="594"/>
      <c r="AH171" s="594"/>
      <c r="AI171" s="594"/>
      <c r="AJ171" s="594"/>
      <c r="AK171" s="594"/>
      <c r="AL171" s="594"/>
      <c r="AM171" s="594"/>
      <c r="AN171" s="594"/>
      <c r="AO171" s="594"/>
      <c r="AP171" s="594"/>
      <c r="AQ171" s="594"/>
      <c r="AR171" s="594"/>
      <c r="AS171" s="594"/>
      <c r="AT171" s="594"/>
      <c r="AU171" s="594"/>
      <c r="AV171" s="594"/>
      <c r="AW171" s="594"/>
      <c r="AX171" s="594"/>
      <c r="AY171" s="594"/>
      <c r="AZ171" s="594"/>
      <c r="BA171" s="594"/>
      <c r="BB171" s="594"/>
      <c r="BC171" s="594"/>
      <c r="BD171" s="594"/>
      <c r="BE171" s="594"/>
      <c r="BF171" s="594"/>
      <c r="BG171" s="594"/>
      <c r="BH171" s="594"/>
      <c r="BI171" s="594"/>
      <c r="BJ171" s="594"/>
      <c r="BK171" s="594"/>
      <c r="BL171" s="57"/>
      <c r="BM171" s="594"/>
      <c r="BN171" s="594"/>
      <c r="BO171" s="594"/>
      <c r="BP171" s="594"/>
      <c r="BQ171" s="594"/>
      <c r="BR171" s="594"/>
      <c r="BS171" s="594"/>
      <c r="BT171" s="594"/>
      <c r="BU171" s="594"/>
      <c r="BV171" s="594"/>
      <c r="BW171" s="594"/>
      <c r="BX171" s="594"/>
      <c r="BY171" s="594"/>
      <c r="BZ171" s="594"/>
      <c r="CA171" s="594"/>
      <c r="CB171" s="594"/>
      <c r="CC171" s="594"/>
      <c r="CD171" s="594"/>
      <c r="CE171" s="594"/>
      <c r="CF171" s="594"/>
      <c r="CG171" s="594"/>
      <c r="CH171" s="594"/>
      <c r="CI171" s="594"/>
      <c r="CJ171" s="594"/>
      <c r="CK171" s="594"/>
      <c r="CL171" s="594"/>
      <c r="CM171" s="594"/>
      <c r="CN171" s="594"/>
      <c r="CO171" s="594"/>
      <c r="CP171" s="594"/>
      <c r="CQ171" s="594"/>
    </row>
    <row r="172" spans="1:95" ht="19.5" hidden="1" customHeight="1" outlineLevel="2">
      <c r="A172" s="709" t="s">
        <v>361</v>
      </c>
      <c r="B172" s="710">
        <f>-SUMIFS('D2 - Capex uso'!BS$6:BS$176,'D2 - Capex uso'!$C$6:$C$176,$A156,'D2 - Capex uso'!$AK$6:$AK$176,$A172)</f>
        <v>0</v>
      </c>
      <c r="C172" s="710">
        <f>-SUMIFS('D2 - Capex uso'!BT$6:BT$176,'D2 - Capex uso'!$C$6:$C$176,$A156,'D2 - Capex uso'!$AK$6:$AK$176,$A172)</f>
        <v>0</v>
      </c>
      <c r="D172" s="710">
        <f>-SUMIFS('D2 - Capex uso'!BU$6:BU$176,'D2 - Capex uso'!$C$6:$C$176,$A156,'D2 - Capex uso'!$AK$6:$AK$176,$A172)</f>
        <v>0</v>
      </c>
      <c r="E172" s="710">
        <f>-SUMIFS('D2 - Capex uso'!BV$6:BV$176,'D2 - Capex uso'!$C$6:$C$176,$A156,'D2 - Capex uso'!$AK$6:$AK$176,$A172)</f>
        <v>0</v>
      </c>
      <c r="F172" s="710">
        <f>-SUMIFS('D2 - Capex uso'!BW$6:BW$176,'D2 - Capex uso'!$C$6:$C$176,$A156,'D2 - Capex uso'!$AK$6:$AK$176,$A172)</f>
        <v>0</v>
      </c>
      <c r="G172" s="710">
        <f>-SUMIFS('D2 - Capex uso'!BX$6:BX$176,'D2 - Capex uso'!$C$6:$C$176,$A156,'D2 - Capex uso'!$AK$6:$AK$176,$A172)</f>
        <v>0</v>
      </c>
      <c r="H172" s="710">
        <f>-SUMIFS('D2 - Capex uso'!BY$6:BY$176,'D2 - Capex uso'!$C$6:$C$176,$A156,'D2 - Capex uso'!$AK$6:$AK$176,$A172)</f>
        <v>0</v>
      </c>
      <c r="I172" s="710">
        <f>-SUMIFS('D2 - Capex uso'!BZ$6:BZ$176,'D2 - Capex uso'!$C$6:$C$176,$A156,'D2 - Capex uso'!$AK$6:$AK$176,$A172)</f>
        <v>0</v>
      </c>
      <c r="J172" s="710">
        <f>-SUMIFS('D2 - Capex uso'!CA$6:CA$176,'D2 - Capex uso'!$C$6:$C$176,$A156,'D2 - Capex uso'!$AK$6:$AK$176,$A172)</f>
        <v>0</v>
      </c>
      <c r="K172" s="710">
        <f>-SUMIFS('D2 - Capex uso'!CB$6:CB$176,'D2 - Capex uso'!$C$6:$C$176,$A156,'D2 - Capex uso'!$AK$6:$AK$176,$A172)</f>
        <v>0</v>
      </c>
      <c r="L172" s="710">
        <f>-SUMIFS('D2 - Capex uso'!CC$6:CC$176,'D2 - Capex uso'!$C$6:$C$176,$A156,'D2 - Capex uso'!$AK$6:$AK$176,$A172)</f>
        <v>0</v>
      </c>
      <c r="M172" s="710">
        <f>-SUMIFS('D2 - Capex uso'!CD$6:CD$176,'D2 - Capex uso'!$C$6:$C$176,$A156,'D2 - Capex uso'!$AK$6:$AK$176,$A172)</f>
        <v>0</v>
      </c>
      <c r="N172" s="710">
        <f>-SUMIFS('D2 - Capex uso'!CE$6:CE$176,'D2 - Capex uso'!$C$6:$C$176,$A156,'D2 - Capex uso'!$AK$6:$AK$176,$A172)</f>
        <v>0</v>
      </c>
      <c r="O172" s="710">
        <f>-SUMIFS('D2 - Capex uso'!CF$6:CF$176,'D2 - Capex uso'!$C$6:$C$176,$A156,'D2 - Capex uso'!$AK$6:$AK$176,$A172)</f>
        <v>0</v>
      </c>
      <c r="P172" s="710">
        <f>-SUMIFS('D2 - Capex uso'!CG$6:CG$176,'D2 - Capex uso'!$C$6:$C$176,$A156,'D2 - Capex uso'!$AK$6:$AK$176,$A172)</f>
        <v>0</v>
      </c>
      <c r="Q172" s="710">
        <f>-SUMIFS('D2 - Capex uso'!CH$6:CH$176,'D2 - Capex uso'!$C$6:$C$176,$A156,'D2 - Capex uso'!$AK$6:$AK$176,$A172)</f>
        <v>0</v>
      </c>
      <c r="R172" s="710">
        <f>-SUMIFS('D2 - Capex uso'!CI$6:CI$176,'D2 - Capex uso'!$C$6:$C$176,$A156,'D2 - Capex uso'!$AK$6:$AK$176,$A172)</f>
        <v>0</v>
      </c>
      <c r="S172" s="710">
        <f>-SUMIFS('D2 - Capex uso'!CJ$6:CJ$176,'D2 - Capex uso'!$C$6:$C$176,$A156,'D2 - Capex uso'!$AK$6:$AK$176,$A172)</f>
        <v>0</v>
      </c>
      <c r="T172" s="710">
        <f>-SUMIFS('D2 - Capex uso'!CK$6:CK$176,'D2 - Capex uso'!$C$6:$C$176,$A156,'D2 - Capex uso'!$AK$6:$AK$176,$A172)</f>
        <v>0</v>
      </c>
      <c r="U172" s="710">
        <f>-SUMIFS('D2 - Capex uso'!CL$6:CL$176,'D2 - Capex uso'!$C$6:$C$176,$A156,'D2 - Capex uso'!$AK$6:$AK$176,$A172)</f>
        <v>0</v>
      </c>
      <c r="V172" s="710">
        <f>-SUMIFS('D2 - Capex uso'!CM$6:CM$176,'D2 - Capex uso'!$C$6:$C$176,$A156,'D2 - Capex uso'!$AK$6:$AK$176,$A172)</f>
        <v>0</v>
      </c>
      <c r="W172" s="710">
        <f>-SUMIFS('D2 - Capex uso'!CN$6:CN$176,'D2 - Capex uso'!$C$6:$C$176,$A156,'D2 - Capex uso'!$AK$6:$AK$176,$A172)</f>
        <v>0</v>
      </c>
      <c r="X172" s="710">
        <f>-SUMIFS('D2 - Capex uso'!CO$6:CO$176,'D2 - Capex uso'!$C$6:$C$176,$A156,'D2 - Capex uso'!$AK$6:$AK$176,$A172)</f>
        <v>0</v>
      </c>
      <c r="Y172" s="710">
        <f>-SUMIFS('D2 - Capex uso'!CP$6:CP$176,'D2 - Capex uso'!$C$6:$C$176,$A156,'D2 - Capex uso'!$AK$6:$AK$176,$A172)</f>
        <v>0</v>
      </c>
      <c r="Z172" s="710">
        <f>-SUMIFS('D2 - Capex uso'!CQ$6:CQ$176,'D2 - Capex uso'!$C$6:$C$176,$A156,'D2 - Capex uso'!$AK$6:$AK$176,$A172)</f>
        <v>0</v>
      </c>
      <c r="AA172" s="710">
        <f>-SUMIFS('D2 - Capex uso'!CR$6:CR$176,'D2 - Capex uso'!$C$6:$C$176,$A156,'D2 - Capex uso'!$AK$6:$AK$176,$A172)</f>
        <v>0</v>
      </c>
      <c r="AB172" s="710">
        <f>-SUMIFS('D2 - Capex uso'!CS$6:CS$176,'D2 - Capex uso'!$C$6:$C$176,$A156,'D2 - Capex uso'!$AK$6:$AK$176,$A172)</f>
        <v>0</v>
      </c>
      <c r="AC172" s="710">
        <f>-SUMIFS('D2 - Capex uso'!CT$6:CT$176,'D2 - Capex uso'!$C$6:$C$176,$A156,'D2 - Capex uso'!$AK$6:$AK$176,$A172)</f>
        <v>0</v>
      </c>
      <c r="AD172" s="710">
        <f>-SUMIFS('D2 - Capex uso'!CU$6:CU$176,'D2 - Capex uso'!$C$6:$C$176,$A156,'D2 - Capex uso'!$AK$6:$AK$176,$A172)</f>
        <v>0</v>
      </c>
      <c r="AE172" s="710">
        <f>-SUMIFS('D2 - Capex uso'!CV$6:CV$176,'D2 - Capex uso'!$C$6:$C$176,$A156,'D2 - Capex uso'!$AK$6:$AK$176,$A172)</f>
        <v>0</v>
      </c>
      <c r="AF172" s="594"/>
      <c r="AG172" s="594"/>
      <c r="AH172" s="594"/>
      <c r="AI172" s="594"/>
      <c r="AJ172" s="594"/>
      <c r="AK172" s="594"/>
      <c r="AL172" s="594"/>
      <c r="AM172" s="594"/>
      <c r="AN172" s="594"/>
      <c r="AO172" s="594"/>
      <c r="AP172" s="594"/>
      <c r="AQ172" s="594"/>
      <c r="AR172" s="594"/>
      <c r="AS172" s="594"/>
      <c r="AT172" s="594"/>
      <c r="AU172" s="594"/>
      <c r="AV172" s="594"/>
      <c r="AW172" s="594"/>
      <c r="AX172" s="594"/>
      <c r="AY172" s="594"/>
      <c r="AZ172" s="594"/>
      <c r="BA172" s="594"/>
      <c r="BB172" s="594"/>
      <c r="BC172" s="594"/>
      <c r="BD172" s="594"/>
      <c r="BE172" s="594"/>
      <c r="BF172" s="594"/>
      <c r="BG172" s="594"/>
      <c r="BH172" s="594"/>
      <c r="BI172" s="594"/>
      <c r="BJ172" s="594"/>
      <c r="BK172" s="594"/>
      <c r="BL172" s="57"/>
      <c r="BM172" s="594"/>
      <c r="BN172" s="594"/>
      <c r="BO172" s="594"/>
      <c r="BP172" s="594"/>
      <c r="BQ172" s="594"/>
      <c r="BR172" s="594"/>
      <c r="BS172" s="594"/>
      <c r="BT172" s="594"/>
      <c r="BU172" s="594"/>
      <c r="BV172" s="594"/>
      <c r="BW172" s="594"/>
      <c r="BX172" s="594"/>
      <c r="BY172" s="594"/>
      <c r="BZ172" s="594"/>
      <c r="CA172" s="594"/>
      <c r="CB172" s="594"/>
      <c r="CC172" s="594"/>
      <c r="CD172" s="594"/>
      <c r="CE172" s="594"/>
      <c r="CF172" s="594"/>
      <c r="CG172" s="594"/>
      <c r="CH172" s="594"/>
      <c r="CI172" s="594"/>
      <c r="CJ172" s="594"/>
      <c r="CK172" s="594"/>
      <c r="CL172" s="594"/>
      <c r="CM172" s="594"/>
      <c r="CN172" s="594"/>
      <c r="CO172" s="594"/>
      <c r="CP172" s="594"/>
      <c r="CQ172" s="594"/>
    </row>
    <row r="173" spans="1:95" ht="19.5" hidden="1" customHeight="1" outlineLevel="2">
      <c r="A173" s="709" t="s">
        <v>359</v>
      </c>
      <c r="B173" s="710">
        <f>-SUMIFS('D2 - Capex uso'!BS$6:BS$176,'D2 - Capex uso'!$C$6:$C$176,$A156,'D2 - Capex uso'!$AK$6:$AK$176,$A173)</f>
        <v>0</v>
      </c>
      <c r="C173" s="710">
        <f>-SUMIFS('D2 - Capex uso'!BT$6:BT$176,'D2 - Capex uso'!$C$6:$C$176,$A156,'D2 - Capex uso'!$AK$6:$AK$176,$A173)</f>
        <v>0</v>
      </c>
      <c r="D173" s="710">
        <f>-SUMIFS('D2 - Capex uso'!BU$6:BU$176,'D2 - Capex uso'!$C$6:$C$176,$A156,'D2 - Capex uso'!$AK$6:$AK$176,$A173)</f>
        <v>0</v>
      </c>
      <c r="E173" s="710">
        <f>-SUMIFS('D2 - Capex uso'!BV$6:BV$176,'D2 - Capex uso'!$C$6:$C$176,$A156,'D2 - Capex uso'!$AK$6:$AK$176,$A173)</f>
        <v>0</v>
      </c>
      <c r="F173" s="710">
        <f>-SUMIFS('D2 - Capex uso'!BW$6:BW$176,'D2 - Capex uso'!$C$6:$C$176,$A156,'D2 - Capex uso'!$AK$6:$AK$176,$A173)</f>
        <v>0</v>
      </c>
      <c r="G173" s="710">
        <f>-SUMIFS('D2 - Capex uso'!BX$6:BX$176,'D2 - Capex uso'!$C$6:$C$176,$A156,'D2 - Capex uso'!$AK$6:$AK$176,$A173)</f>
        <v>0</v>
      </c>
      <c r="H173" s="710">
        <f>-SUMIFS('D2 - Capex uso'!BY$6:BY$176,'D2 - Capex uso'!$C$6:$C$176,$A156,'D2 - Capex uso'!$AK$6:$AK$176,$A173)</f>
        <v>0</v>
      </c>
      <c r="I173" s="710">
        <f>-SUMIFS('D2 - Capex uso'!BZ$6:BZ$176,'D2 - Capex uso'!$C$6:$C$176,$A156,'D2 - Capex uso'!$AK$6:$AK$176,$A173)</f>
        <v>0</v>
      </c>
      <c r="J173" s="710">
        <f>-SUMIFS('D2 - Capex uso'!CA$6:CA$176,'D2 - Capex uso'!$C$6:$C$176,$A156,'D2 - Capex uso'!$AK$6:$AK$176,$A173)</f>
        <v>0</v>
      </c>
      <c r="K173" s="710">
        <f>-SUMIFS('D2 - Capex uso'!CB$6:CB$176,'D2 - Capex uso'!$C$6:$C$176,$A156,'D2 - Capex uso'!$AK$6:$AK$176,$A173)</f>
        <v>0</v>
      </c>
      <c r="L173" s="710">
        <f>-SUMIFS('D2 - Capex uso'!CC$6:CC$176,'D2 - Capex uso'!$C$6:$C$176,$A156,'D2 - Capex uso'!$AK$6:$AK$176,$A173)</f>
        <v>0</v>
      </c>
      <c r="M173" s="710">
        <f>-SUMIFS('D2 - Capex uso'!CD$6:CD$176,'D2 - Capex uso'!$C$6:$C$176,$A156,'D2 - Capex uso'!$AK$6:$AK$176,$A173)</f>
        <v>0</v>
      </c>
      <c r="N173" s="710">
        <f>-SUMIFS('D2 - Capex uso'!CE$6:CE$176,'D2 - Capex uso'!$C$6:$C$176,$A156,'D2 - Capex uso'!$AK$6:$AK$176,$A173)</f>
        <v>0</v>
      </c>
      <c r="O173" s="710">
        <f>-SUMIFS('D2 - Capex uso'!CF$6:CF$176,'D2 - Capex uso'!$C$6:$C$176,$A156,'D2 - Capex uso'!$AK$6:$AK$176,$A173)</f>
        <v>0</v>
      </c>
      <c r="P173" s="710">
        <f>-SUMIFS('D2 - Capex uso'!CG$6:CG$176,'D2 - Capex uso'!$C$6:$C$176,$A156,'D2 - Capex uso'!$AK$6:$AK$176,$A173)</f>
        <v>0</v>
      </c>
      <c r="Q173" s="710">
        <f>-SUMIFS('D2 - Capex uso'!CH$6:CH$176,'D2 - Capex uso'!$C$6:$C$176,$A156,'D2 - Capex uso'!$AK$6:$AK$176,$A173)</f>
        <v>0</v>
      </c>
      <c r="R173" s="710">
        <f>-SUMIFS('D2 - Capex uso'!CI$6:CI$176,'D2 - Capex uso'!$C$6:$C$176,$A156,'D2 - Capex uso'!$AK$6:$AK$176,$A173)</f>
        <v>0</v>
      </c>
      <c r="S173" s="710">
        <f>-SUMIFS('D2 - Capex uso'!CJ$6:CJ$176,'D2 - Capex uso'!$C$6:$C$176,$A156,'D2 - Capex uso'!$AK$6:$AK$176,$A173)</f>
        <v>0</v>
      </c>
      <c r="T173" s="710">
        <f>-SUMIFS('D2 - Capex uso'!CK$6:CK$176,'D2 - Capex uso'!$C$6:$C$176,$A156,'D2 - Capex uso'!$AK$6:$AK$176,$A173)</f>
        <v>0</v>
      </c>
      <c r="U173" s="710">
        <f>-SUMIFS('D2 - Capex uso'!CL$6:CL$176,'D2 - Capex uso'!$C$6:$C$176,$A156,'D2 - Capex uso'!$AK$6:$AK$176,$A173)</f>
        <v>0</v>
      </c>
      <c r="V173" s="710">
        <f>-SUMIFS('D2 - Capex uso'!CM$6:CM$176,'D2 - Capex uso'!$C$6:$C$176,$A156,'D2 - Capex uso'!$AK$6:$AK$176,$A173)</f>
        <v>0</v>
      </c>
      <c r="W173" s="710">
        <f>-SUMIFS('D2 - Capex uso'!CN$6:CN$176,'D2 - Capex uso'!$C$6:$C$176,$A156,'D2 - Capex uso'!$AK$6:$AK$176,$A173)</f>
        <v>0</v>
      </c>
      <c r="X173" s="710">
        <f>-SUMIFS('D2 - Capex uso'!CO$6:CO$176,'D2 - Capex uso'!$C$6:$C$176,$A156,'D2 - Capex uso'!$AK$6:$AK$176,$A173)</f>
        <v>0</v>
      </c>
      <c r="Y173" s="710">
        <f>-SUMIFS('D2 - Capex uso'!CP$6:CP$176,'D2 - Capex uso'!$C$6:$C$176,$A156,'D2 - Capex uso'!$AK$6:$AK$176,$A173)</f>
        <v>0</v>
      </c>
      <c r="Z173" s="710">
        <f>-SUMIFS('D2 - Capex uso'!CQ$6:CQ$176,'D2 - Capex uso'!$C$6:$C$176,$A156,'D2 - Capex uso'!$AK$6:$AK$176,$A173)</f>
        <v>0</v>
      </c>
      <c r="AA173" s="710">
        <f>-SUMIFS('D2 - Capex uso'!CR$6:CR$176,'D2 - Capex uso'!$C$6:$C$176,$A156,'D2 - Capex uso'!$AK$6:$AK$176,$A173)</f>
        <v>0</v>
      </c>
      <c r="AB173" s="710">
        <f>-SUMIFS('D2 - Capex uso'!CS$6:CS$176,'D2 - Capex uso'!$C$6:$C$176,$A156,'D2 - Capex uso'!$AK$6:$AK$176,$A173)</f>
        <v>0</v>
      </c>
      <c r="AC173" s="710">
        <f>-SUMIFS('D2 - Capex uso'!CT$6:CT$176,'D2 - Capex uso'!$C$6:$C$176,$A156,'D2 - Capex uso'!$AK$6:$AK$176,$A173)</f>
        <v>0</v>
      </c>
      <c r="AD173" s="710">
        <f>-SUMIFS('D2 - Capex uso'!CU$6:CU$176,'D2 - Capex uso'!$C$6:$C$176,$A156,'D2 - Capex uso'!$AK$6:$AK$176,$A173)</f>
        <v>0</v>
      </c>
      <c r="AE173" s="710">
        <f>-SUMIFS('D2 - Capex uso'!CV$6:CV$176,'D2 - Capex uso'!$C$6:$C$176,$A156,'D2 - Capex uso'!$AK$6:$AK$176,$A173)</f>
        <v>0</v>
      </c>
      <c r="AF173" s="594"/>
      <c r="AG173" s="594"/>
      <c r="AH173" s="594"/>
      <c r="AI173" s="594"/>
      <c r="AJ173" s="594"/>
      <c r="AK173" s="594"/>
      <c r="AL173" s="594"/>
      <c r="AM173" s="594"/>
      <c r="AN173" s="594"/>
      <c r="AO173" s="594"/>
      <c r="AP173" s="594"/>
      <c r="AQ173" s="594"/>
      <c r="AR173" s="594"/>
      <c r="AS173" s="594"/>
      <c r="AT173" s="594"/>
      <c r="AU173" s="594"/>
      <c r="AV173" s="594"/>
      <c r="AW173" s="594"/>
      <c r="AX173" s="594"/>
      <c r="AY173" s="594"/>
      <c r="AZ173" s="594"/>
      <c r="BA173" s="594"/>
      <c r="BB173" s="594"/>
      <c r="BC173" s="594"/>
      <c r="BD173" s="594"/>
      <c r="BE173" s="594"/>
      <c r="BF173" s="594"/>
      <c r="BG173" s="594"/>
      <c r="BH173" s="594"/>
      <c r="BI173" s="594"/>
      <c r="BJ173" s="594"/>
      <c r="BK173" s="594"/>
      <c r="BL173" s="57"/>
      <c r="BM173" s="594"/>
      <c r="BN173" s="594"/>
      <c r="BO173" s="594"/>
      <c r="BP173" s="594"/>
      <c r="BQ173" s="594"/>
      <c r="BR173" s="594"/>
      <c r="BS173" s="594"/>
      <c r="BT173" s="594"/>
      <c r="BU173" s="594"/>
      <c r="BV173" s="594"/>
      <c r="BW173" s="594"/>
      <c r="BX173" s="594"/>
      <c r="BY173" s="594"/>
      <c r="BZ173" s="594"/>
      <c r="CA173" s="594"/>
      <c r="CB173" s="594"/>
      <c r="CC173" s="594"/>
      <c r="CD173" s="594"/>
      <c r="CE173" s="594"/>
      <c r="CF173" s="594"/>
      <c r="CG173" s="594"/>
      <c r="CH173" s="594"/>
      <c r="CI173" s="594"/>
      <c r="CJ173" s="594"/>
      <c r="CK173" s="594"/>
      <c r="CL173" s="594"/>
      <c r="CM173" s="594"/>
      <c r="CN173" s="594"/>
      <c r="CO173" s="594"/>
      <c r="CP173" s="594"/>
      <c r="CQ173" s="594"/>
    </row>
    <row r="174" spans="1:95" ht="19.5" hidden="1" customHeight="1" outlineLevel="2">
      <c r="A174" s="709" t="s">
        <v>171</v>
      </c>
      <c r="B174" s="710">
        <f>-SUMIFS('D2 - Capex uso'!BS$6:BS$176,'D2 - Capex uso'!$C$6:$C$176,$A156,'D2 - Capex uso'!$AK$6:$AK$176,$A174)</f>
        <v>0</v>
      </c>
      <c r="C174" s="710">
        <f>-SUMIFS('D2 - Capex uso'!BT$6:BT$176,'D2 - Capex uso'!$C$6:$C$176,$A156,'D2 - Capex uso'!$AK$6:$AK$176,$A174)</f>
        <v>0</v>
      </c>
      <c r="D174" s="710">
        <f>-SUMIFS('D2 - Capex uso'!BU$6:BU$176,'D2 - Capex uso'!$C$6:$C$176,$A156,'D2 - Capex uso'!$AK$6:$AK$176,$A174)</f>
        <v>0</v>
      </c>
      <c r="E174" s="710">
        <f>-SUMIFS('D2 - Capex uso'!BV$6:BV$176,'D2 - Capex uso'!$C$6:$C$176,$A156,'D2 - Capex uso'!$AK$6:$AK$176,$A174)</f>
        <v>0</v>
      </c>
      <c r="F174" s="710">
        <f>-SUMIFS('D2 - Capex uso'!BW$6:BW$176,'D2 - Capex uso'!$C$6:$C$176,$A156,'D2 - Capex uso'!$AK$6:$AK$176,$A174)</f>
        <v>0</v>
      </c>
      <c r="G174" s="710">
        <f>-SUMIFS('D2 - Capex uso'!BX$6:BX$176,'D2 - Capex uso'!$C$6:$C$176,$A156,'D2 - Capex uso'!$AK$6:$AK$176,$A174)</f>
        <v>0</v>
      </c>
      <c r="H174" s="710">
        <f>-SUMIFS('D2 - Capex uso'!BY$6:BY$176,'D2 - Capex uso'!$C$6:$C$176,$A156,'D2 - Capex uso'!$AK$6:$AK$176,$A174)</f>
        <v>0</v>
      </c>
      <c r="I174" s="710">
        <f>-SUMIFS('D2 - Capex uso'!BZ$6:BZ$176,'D2 - Capex uso'!$C$6:$C$176,$A156,'D2 - Capex uso'!$AK$6:$AK$176,$A174)</f>
        <v>0</v>
      </c>
      <c r="J174" s="710">
        <f>-SUMIFS('D2 - Capex uso'!CA$6:CA$176,'D2 - Capex uso'!$C$6:$C$176,$A156,'D2 - Capex uso'!$AK$6:$AK$176,$A174)</f>
        <v>0</v>
      </c>
      <c r="K174" s="710">
        <f>-SUMIFS('D2 - Capex uso'!CB$6:CB$176,'D2 - Capex uso'!$C$6:$C$176,$A156,'D2 - Capex uso'!$AK$6:$AK$176,$A174)</f>
        <v>0</v>
      </c>
      <c r="L174" s="710">
        <f>-SUMIFS('D2 - Capex uso'!CC$6:CC$176,'D2 - Capex uso'!$C$6:$C$176,$A156,'D2 - Capex uso'!$AK$6:$AK$176,$A174)</f>
        <v>0</v>
      </c>
      <c r="M174" s="710">
        <f>-SUMIFS('D2 - Capex uso'!CD$6:CD$176,'D2 - Capex uso'!$C$6:$C$176,$A156,'D2 - Capex uso'!$AK$6:$AK$176,$A174)</f>
        <v>0</v>
      </c>
      <c r="N174" s="710">
        <f>-SUMIFS('D2 - Capex uso'!CE$6:CE$176,'D2 - Capex uso'!$C$6:$C$176,$A156,'D2 - Capex uso'!$AK$6:$AK$176,$A174)</f>
        <v>0</v>
      </c>
      <c r="O174" s="710">
        <f>-SUMIFS('D2 - Capex uso'!CF$6:CF$176,'D2 - Capex uso'!$C$6:$C$176,$A156,'D2 - Capex uso'!$AK$6:$AK$176,$A174)</f>
        <v>0</v>
      </c>
      <c r="P174" s="710">
        <f>-SUMIFS('D2 - Capex uso'!CG$6:CG$176,'D2 - Capex uso'!$C$6:$C$176,$A156,'D2 - Capex uso'!$AK$6:$AK$176,$A174)</f>
        <v>0</v>
      </c>
      <c r="Q174" s="710">
        <f>-SUMIFS('D2 - Capex uso'!CH$6:CH$176,'D2 - Capex uso'!$C$6:$C$176,$A156,'D2 - Capex uso'!$AK$6:$AK$176,$A174)</f>
        <v>0</v>
      </c>
      <c r="R174" s="710">
        <f>-SUMIFS('D2 - Capex uso'!CI$6:CI$176,'D2 - Capex uso'!$C$6:$C$176,$A156,'D2 - Capex uso'!$AK$6:$AK$176,$A174)</f>
        <v>0</v>
      </c>
      <c r="S174" s="710">
        <f>-SUMIFS('D2 - Capex uso'!CJ$6:CJ$176,'D2 - Capex uso'!$C$6:$C$176,$A156,'D2 - Capex uso'!$AK$6:$AK$176,$A174)</f>
        <v>0</v>
      </c>
      <c r="T174" s="710">
        <f>-SUMIFS('D2 - Capex uso'!CK$6:CK$176,'D2 - Capex uso'!$C$6:$C$176,$A156,'D2 - Capex uso'!$AK$6:$AK$176,$A174)</f>
        <v>0</v>
      </c>
      <c r="U174" s="710">
        <f>-SUMIFS('D2 - Capex uso'!CL$6:CL$176,'D2 - Capex uso'!$C$6:$C$176,$A156,'D2 - Capex uso'!$AK$6:$AK$176,$A174)</f>
        <v>0</v>
      </c>
      <c r="V174" s="710">
        <f>-SUMIFS('D2 - Capex uso'!CM$6:CM$176,'D2 - Capex uso'!$C$6:$C$176,$A156,'D2 - Capex uso'!$AK$6:$AK$176,$A174)</f>
        <v>0</v>
      </c>
      <c r="W174" s="710">
        <f>-SUMIFS('D2 - Capex uso'!CN$6:CN$176,'D2 - Capex uso'!$C$6:$C$176,$A156,'D2 - Capex uso'!$AK$6:$AK$176,$A174)</f>
        <v>0</v>
      </c>
      <c r="X174" s="710">
        <f>-SUMIFS('D2 - Capex uso'!CO$6:CO$176,'D2 - Capex uso'!$C$6:$C$176,$A156,'D2 - Capex uso'!$AK$6:$AK$176,$A174)</f>
        <v>0</v>
      </c>
      <c r="Y174" s="710">
        <f>-SUMIFS('D2 - Capex uso'!CP$6:CP$176,'D2 - Capex uso'!$C$6:$C$176,$A156,'D2 - Capex uso'!$AK$6:$AK$176,$A174)</f>
        <v>0</v>
      </c>
      <c r="Z174" s="710">
        <f>-SUMIFS('D2 - Capex uso'!CQ$6:CQ$176,'D2 - Capex uso'!$C$6:$C$176,$A156,'D2 - Capex uso'!$AK$6:$AK$176,$A174)</f>
        <v>0</v>
      </c>
      <c r="AA174" s="710">
        <f>-SUMIFS('D2 - Capex uso'!CR$6:CR$176,'D2 - Capex uso'!$C$6:$C$176,$A156,'D2 - Capex uso'!$AK$6:$AK$176,$A174)</f>
        <v>0</v>
      </c>
      <c r="AB174" s="710">
        <f>-SUMIFS('D2 - Capex uso'!CS$6:CS$176,'D2 - Capex uso'!$C$6:$C$176,$A156,'D2 - Capex uso'!$AK$6:$AK$176,$A174)</f>
        <v>0</v>
      </c>
      <c r="AC174" s="710">
        <f>-SUMIFS('D2 - Capex uso'!CT$6:CT$176,'D2 - Capex uso'!$C$6:$C$176,$A156,'D2 - Capex uso'!$AK$6:$AK$176,$A174)</f>
        <v>0</v>
      </c>
      <c r="AD174" s="710">
        <f>-SUMIFS('D2 - Capex uso'!CU$6:CU$176,'D2 - Capex uso'!$C$6:$C$176,$A156,'D2 - Capex uso'!$AK$6:$AK$176,$A174)</f>
        <v>0</v>
      </c>
      <c r="AE174" s="710">
        <f>-SUMIFS('D2 - Capex uso'!CV$6:CV$176,'D2 - Capex uso'!$C$6:$C$176,$A156,'D2 - Capex uso'!$AK$6:$AK$176,$A174)</f>
        <v>0</v>
      </c>
      <c r="AF174" s="594"/>
      <c r="AG174" s="594"/>
      <c r="AH174" s="594"/>
      <c r="AI174" s="594"/>
      <c r="AJ174" s="594"/>
      <c r="AK174" s="594"/>
      <c r="AL174" s="594"/>
      <c r="AM174" s="594"/>
      <c r="AN174" s="594"/>
      <c r="AO174" s="594"/>
      <c r="AP174" s="594"/>
      <c r="AQ174" s="594"/>
      <c r="AR174" s="594"/>
      <c r="AS174" s="594"/>
      <c r="AT174" s="594"/>
      <c r="AU174" s="594"/>
      <c r="AV174" s="594"/>
      <c r="AW174" s="594"/>
      <c r="AX174" s="594"/>
      <c r="AY174" s="594"/>
      <c r="AZ174" s="594"/>
      <c r="BA174" s="594"/>
      <c r="BB174" s="594"/>
      <c r="BC174" s="594"/>
      <c r="BD174" s="594"/>
      <c r="BE174" s="594"/>
      <c r="BF174" s="594"/>
      <c r="BG174" s="594"/>
      <c r="BH174" s="594"/>
      <c r="BI174" s="594"/>
      <c r="BJ174" s="594"/>
      <c r="BK174" s="594"/>
      <c r="BL174" s="57"/>
      <c r="BM174" s="594"/>
      <c r="BN174" s="594"/>
      <c r="BO174" s="594"/>
      <c r="BP174" s="594"/>
      <c r="BQ174" s="594"/>
      <c r="BR174" s="594"/>
      <c r="BS174" s="594"/>
      <c r="BT174" s="594"/>
      <c r="BU174" s="594"/>
      <c r="BV174" s="594"/>
      <c r="BW174" s="594"/>
      <c r="BX174" s="594"/>
      <c r="BY174" s="594"/>
      <c r="BZ174" s="594"/>
      <c r="CA174" s="594"/>
      <c r="CB174" s="594"/>
      <c r="CC174" s="594"/>
      <c r="CD174" s="594"/>
      <c r="CE174" s="594"/>
      <c r="CF174" s="594"/>
      <c r="CG174" s="594"/>
      <c r="CH174" s="594"/>
      <c r="CI174" s="594"/>
      <c r="CJ174" s="594"/>
      <c r="CK174" s="594"/>
      <c r="CL174" s="594"/>
      <c r="CM174" s="594"/>
      <c r="CN174" s="594"/>
      <c r="CO174" s="594"/>
      <c r="CP174" s="594"/>
      <c r="CQ174" s="594"/>
    </row>
    <row r="175" spans="1:95" ht="27" customHeight="1" collapsed="1">
      <c r="A175" s="703" t="str">
        <f>IF(ISBLANK('A1 - Serviços e demanda'!A29),,'A1 - Serviços e demanda'!A29)</f>
        <v>Pedra Furada - Alimentação</v>
      </c>
      <c r="B175" s="704">
        <f t="shared" ref="B175:AE175" si="54">IF($A175=0,0,SUM(B184:B185))</f>
        <v>-169834.04329999999</v>
      </c>
      <c r="C175" s="704">
        <f t="shared" si="54"/>
        <v>863592.09319855948</v>
      </c>
      <c r="D175" s="704">
        <f t="shared" si="54"/>
        <v>903492.83105295373</v>
      </c>
      <c r="E175" s="704">
        <f t="shared" si="54"/>
        <v>942124.98697874171</v>
      </c>
      <c r="F175" s="704">
        <f t="shared" si="54"/>
        <v>981385.29292035406</v>
      </c>
      <c r="G175" s="704">
        <f t="shared" si="54"/>
        <v>1021326.9706568866</v>
      </c>
      <c r="H175" s="704">
        <f t="shared" si="54"/>
        <v>1062403.2165222366</v>
      </c>
      <c r="I175" s="704">
        <f t="shared" si="54"/>
        <v>1104669.9609965147</v>
      </c>
      <c r="J175" s="704">
        <f t="shared" si="54"/>
        <v>1147711.1853664799</v>
      </c>
      <c r="K175" s="704">
        <f t="shared" si="54"/>
        <v>1191542.3215554638</v>
      </c>
      <c r="L175" s="704">
        <f t="shared" si="54"/>
        <v>1124356.3475947184</v>
      </c>
      <c r="M175" s="704">
        <f t="shared" si="54"/>
        <v>1283330.6586107521</v>
      </c>
      <c r="N175" s="704">
        <f t="shared" si="54"/>
        <v>1331383.5782965419</v>
      </c>
      <c r="O175" s="704">
        <f t="shared" si="54"/>
        <v>1380879.1387970757</v>
      </c>
      <c r="P175" s="704">
        <f t="shared" si="54"/>
        <v>1431871.5569557317</v>
      </c>
      <c r="Q175" s="704">
        <f t="shared" si="54"/>
        <v>1484267.3175278818</v>
      </c>
      <c r="R175" s="704">
        <f t="shared" si="54"/>
        <v>1537986.0508172852</v>
      </c>
      <c r="S175" s="704">
        <f t="shared" si="54"/>
        <v>1592853.0895086713</v>
      </c>
      <c r="T175" s="704">
        <f t="shared" si="54"/>
        <v>1648735.7893406849</v>
      </c>
      <c r="U175" s="704">
        <f t="shared" si="54"/>
        <v>1705354.0291935196</v>
      </c>
      <c r="V175" s="704">
        <f t="shared" si="54"/>
        <v>1592948.7031935197</v>
      </c>
      <c r="W175" s="704">
        <f t="shared" si="54"/>
        <v>1705354.0291935196</v>
      </c>
      <c r="X175" s="704">
        <f t="shared" si="54"/>
        <v>1705354.0291935196</v>
      </c>
      <c r="Y175" s="704">
        <f t="shared" si="54"/>
        <v>1705354.0291935196</v>
      </c>
      <c r="Z175" s="704">
        <f t="shared" si="54"/>
        <v>1705354.0291935196</v>
      </c>
      <c r="AA175" s="704">
        <f t="shared" si="54"/>
        <v>1705354.0291935196</v>
      </c>
      <c r="AB175" s="704">
        <f t="shared" si="54"/>
        <v>1705354.0291935196</v>
      </c>
      <c r="AC175" s="704">
        <f t="shared" si="54"/>
        <v>1705354.0291935196</v>
      </c>
      <c r="AD175" s="704">
        <f t="shared" si="54"/>
        <v>1705354.0291935196</v>
      </c>
      <c r="AE175" s="704">
        <f t="shared" si="54"/>
        <v>1705354.0291935196</v>
      </c>
      <c r="AF175" s="594"/>
      <c r="AG175" s="486" t="str">
        <f>A175</f>
        <v>Pedra Furada - Alimentação</v>
      </c>
      <c r="AH175" s="705">
        <f t="shared" ref="AH175:BK175" si="55">IFERROR(-B178/B176,0)</f>
        <v>0</v>
      </c>
      <c r="AI175" s="705">
        <f t="shared" si="55"/>
        <v>0.42142117020411296</v>
      </c>
      <c r="AJ175" s="705">
        <f t="shared" si="55"/>
        <v>0.41690521552106502</v>
      </c>
      <c r="AK175" s="705">
        <f t="shared" si="55"/>
        <v>0.41281093124952345</v>
      </c>
      <c r="AL175" s="705">
        <f t="shared" si="55"/>
        <v>0.40890439240636256</v>
      </c>
      <c r="AM175" s="705">
        <f t="shared" si="55"/>
        <v>0.40516952834675884</v>
      </c>
      <c r="AN175" s="705">
        <f t="shared" si="55"/>
        <v>0.4015580457064416</v>
      </c>
      <c r="AO175" s="705">
        <f t="shared" si="55"/>
        <v>0.39806358507593148</v>
      </c>
      <c r="AP175" s="705">
        <f t="shared" si="55"/>
        <v>0.39471575069271553</v>
      </c>
      <c r="AQ175" s="705">
        <f t="shared" si="55"/>
        <v>0.39150608299147782</v>
      </c>
      <c r="AR175" s="705">
        <f t="shared" si="55"/>
        <v>0.38838740420491613</v>
      </c>
      <c r="AS175" s="705">
        <f t="shared" si="55"/>
        <v>0.38536265911811951</v>
      </c>
      <c r="AT175" s="705">
        <f t="shared" si="55"/>
        <v>0.38242337560102335</v>
      </c>
      <c r="AU175" s="705">
        <f t="shared" si="55"/>
        <v>0.37957224814346324</v>
      </c>
      <c r="AV175" s="705">
        <f t="shared" si="55"/>
        <v>0.37680603029203846</v>
      </c>
      <c r="AW175" s="705">
        <f t="shared" si="55"/>
        <v>0.37412903978968459</v>
      </c>
      <c r="AX175" s="705">
        <f t="shared" si="55"/>
        <v>0.37154351652401924</v>
      </c>
      <c r="AY175" s="705">
        <f t="shared" si="55"/>
        <v>0.36905473540839795</v>
      </c>
      <c r="AZ175" s="705">
        <f t="shared" si="55"/>
        <v>0.36666446548245984</v>
      </c>
      <c r="BA175" s="705">
        <f t="shared" si="55"/>
        <v>0.36437909185743272</v>
      </c>
      <c r="BB175" s="705">
        <f t="shared" si="55"/>
        <v>0.36437909185743272</v>
      </c>
      <c r="BC175" s="705">
        <f t="shared" si="55"/>
        <v>0.36437909185743272</v>
      </c>
      <c r="BD175" s="705">
        <f t="shared" si="55"/>
        <v>0.36437909185743272</v>
      </c>
      <c r="BE175" s="705">
        <f t="shared" si="55"/>
        <v>0.36437909185743272</v>
      </c>
      <c r="BF175" s="705">
        <f t="shared" si="55"/>
        <v>0.36437909185743272</v>
      </c>
      <c r="BG175" s="705">
        <f t="shared" si="55"/>
        <v>0.36437909185743272</v>
      </c>
      <c r="BH175" s="705">
        <f t="shared" si="55"/>
        <v>0.36437909185743272</v>
      </c>
      <c r="BI175" s="705">
        <f t="shared" si="55"/>
        <v>0.36437909185743272</v>
      </c>
      <c r="BJ175" s="705">
        <f t="shared" si="55"/>
        <v>0.36437909185743272</v>
      </c>
      <c r="BK175" s="705">
        <f t="shared" si="55"/>
        <v>0.36437909185743272</v>
      </c>
      <c r="BL175" s="57"/>
      <c r="BM175" s="486" t="str">
        <f>AG175</f>
        <v>Pedra Furada - Alimentação</v>
      </c>
      <c r="BN175" s="705">
        <f t="shared" ref="BN175:CQ175" si="56">IFERROR(B184/B176,0)</f>
        <v>0</v>
      </c>
      <c r="BO175" s="705">
        <f t="shared" si="56"/>
        <v>0.39909057405543669</v>
      </c>
      <c r="BP175" s="705">
        <f t="shared" si="56"/>
        <v>0.40360627685463973</v>
      </c>
      <c r="BQ175" s="705">
        <f t="shared" si="56"/>
        <v>0.40770070731394276</v>
      </c>
      <c r="BR175" s="705">
        <f t="shared" si="56"/>
        <v>0.4116074248651494</v>
      </c>
      <c r="BS175" s="705">
        <f t="shared" si="56"/>
        <v>0.41534240368315845</v>
      </c>
      <c r="BT175" s="705">
        <f t="shared" si="56"/>
        <v>0.41895349351193351</v>
      </c>
      <c r="BU175" s="705">
        <f t="shared" si="56"/>
        <v>0.42244804764821731</v>
      </c>
      <c r="BV175" s="705">
        <f t="shared" si="56"/>
        <v>0.42579576151161397</v>
      </c>
      <c r="BW175" s="705">
        <f t="shared" si="56"/>
        <v>0.42900585845126421</v>
      </c>
      <c r="BX175" s="705">
        <f t="shared" si="56"/>
        <v>0.43212441208040342</v>
      </c>
      <c r="BY175" s="705">
        <f t="shared" si="56"/>
        <v>0.4351490361239167</v>
      </c>
      <c r="BZ175" s="705">
        <f t="shared" si="56"/>
        <v>0.43808842437140971</v>
      </c>
      <c r="CA175" s="705">
        <f t="shared" si="56"/>
        <v>0.44093947769071684</v>
      </c>
      <c r="CB175" s="705">
        <f t="shared" si="56"/>
        <v>0.44370569539156407</v>
      </c>
      <c r="CC175" s="705">
        <f t="shared" si="56"/>
        <v>0.44638276067723731</v>
      </c>
      <c r="CD175" s="705">
        <f t="shared" si="56"/>
        <v>0.44896837074301882</v>
      </c>
      <c r="CE175" s="705">
        <f t="shared" si="56"/>
        <v>0.45145697995002376</v>
      </c>
      <c r="CF175" s="705">
        <f t="shared" si="56"/>
        <v>0.45384711223868224</v>
      </c>
      <c r="CG175" s="705">
        <f t="shared" si="56"/>
        <v>0.45613251287364531</v>
      </c>
      <c r="CH175" s="705">
        <f t="shared" si="56"/>
        <v>0.45613251287364531</v>
      </c>
      <c r="CI175" s="705">
        <f t="shared" si="56"/>
        <v>0.45613251287364531</v>
      </c>
      <c r="CJ175" s="705">
        <f t="shared" si="56"/>
        <v>0.45613251287364531</v>
      </c>
      <c r="CK175" s="705">
        <f t="shared" si="56"/>
        <v>0.45613251287364531</v>
      </c>
      <c r="CL175" s="705">
        <f t="shared" si="56"/>
        <v>0.45613251287364531</v>
      </c>
      <c r="CM175" s="705">
        <f t="shared" si="56"/>
        <v>0.45613251287364531</v>
      </c>
      <c r="CN175" s="705">
        <f t="shared" si="56"/>
        <v>0.45613251287364531</v>
      </c>
      <c r="CO175" s="705">
        <f t="shared" si="56"/>
        <v>0.45613251287364531</v>
      </c>
      <c r="CP175" s="705">
        <f t="shared" si="56"/>
        <v>0.45613251287364531</v>
      </c>
      <c r="CQ175" s="705">
        <f t="shared" si="56"/>
        <v>0.45613251287364531</v>
      </c>
    </row>
    <row r="176" spans="1:95" ht="33.75" hidden="1" customHeight="1" outlineLevel="1">
      <c r="A176" s="706" t="s">
        <v>680</v>
      </c>
      <c r="B176" s="707">
        <f>IFERROR(VLOOKUP($A175,ReceitaBruta,COLUMN('A4 - Previsão de Receita Bruta'!C178)-1,0),0)</f>
        <v>0</v>
      </c>
      <c r="C176" s="707">
        <f>IFERROR(VLOOKUP($A175,ReceitaBruta,COLUMN('A4 - Previsão de Receita Bruta'!D178)-1,0),0)</f>
        <v>2163900</v>
      </c>
      <c r="D176" s="707">
        <f>IFERROR(VLOOKUP($A175,ReceitaBruta,COLUMN('A4 - Previsão de Receita Bruta'!E178)-1,0),0)</f>
        <v>2238550</v>
      </c>
      <c r="E176" s="707">
        <f>IFERROR(VLOOKUP($A175,ReceitaBruta,COLUMN('A4 - Previsão de Receita Bruta'!F178)-1,0),0)</f>
        <v>2310825</v>
      </c>
      <c r="F176" s="707">
        <f>IFERROR(VLOOKUP($A175,ReceitaBruta,COLUMN('A4 - Previsão de Receita Bruta'!G178)-1,0),0)</f>
        <v>2384275</v>
      </c>
      <c r="G176" s="707">
        <f>IFERROR(VLOOKUP($A175,ReceitaBruta,COLUMN('A4 - Previsão de Receita Bruta'!H178)-1,0),0)</f>
        <v>2459000</v>
      </c>
      <c r="H176" s="707">
        <f>IFERROR(VLOOKUP($A175,ReceitaBruta,COLUMN('A4 - Previsão de Receita Bruta'!I178)-1,0),0)</f>
        <v>2535850</v>
      </c>
      <c r="I176" s="707">
        <f>IFERROR(VLOOKUP($A175,ReceitaBruta,COLUMN('A4 - Previsão de Receita Bruta'!J178)-1,0),0)</f>
        <v>2614925</v>
      </c>
      <c r="J176" s="707">
        <f>IFERROR(VLOOKUP($A175,ReceitaBruta,COLUMN('A4 - Previsão de Receita Bruta'!K178)-1,0),0)</f>
        <v>2695450</v>
      </c>
      <c r="K176" s="707">
        <f>IFERROR(VLOOKUP($A175,ReceitaBruta,COLUMN('A4 - Previsão de Receita Bruta'!L178)-1,0),0)</f>
        <v>2777450</v>
      </c>
      <c r="L176" s="707">
        <f>IFERROR(VLOOKUP($A175,ReceitaBruta,COLUMN('A4 - Previsão de Receita Bruta'!M178)-1,0),0)</f>
        <v>2862050</v>
      </c>
      <c r="M176" s="707">
        <f>IFERROR(VLOOKUP($A175,ReceitaBruta,COLUMN('A4 - Previsão de Receita Bruta'!N178)-1,0),0)</f>
        <v>2949175</v>
      </c>
      <c r="N176" s="707">
        <f>IFERROR(VLOOKUP($A175,ReceitaBruta,COLUMN('A4 - Previsão de Receita Bruta'!O178)-1,0),0)</f>
        <v>3039075</v>
      </c>
      <c r="O176" s="707">
        <f>IFERROR(VLOOKUP($A175,ReceitaBruta,COLUMN('A4 - Previsão de Receita Bruta'!P178)-1,0),0)</f>
        <v>3131675</v>
      </c>
      <c r="P176" s="707">
        <f>IFERROR(VLOOKUP($A175,ReceitaBruta,COLUMN('A4 - Previsão de Receita Bruta'!Q178)-1,0),0)</f>
        <v>3227075</v>
      </c>
      <c r="Q176" s="707">
        <f>IFERROR(VLOOKUP($A175,ReceitaBruta,COLUMN('A4 - Previsão de Receita Bruta'!R178)-1,0),0)</f>
        <v>3325100</v>
      </c>
      <c r="R176" s="707">
        <f>IFERROR(VLOOKUP($A175,ReceitaBruta,COLUMN('A4 - Previsão de Receita Bruta'!S178)-1,0),0)</f>
        <v>3425600</v>
      </c>
      <c r="S176" s="707">
        <f>IFERROR(VLOOKUP($A175,ReceitaBruta,COLUMN('A4 - Previsão de Receita Bruta'!T178)-1,0),0)</f>
        <v>3528250</v>
      </c>
      <c r="T176" s="707">
        <f>IFERROR(VLOOKUP($A175,ReceitaBruta,COLUMN('A4 - Previsão de Receita Bruta'!U178)-1,0),0)</f>
        <v>3632800</v>
      </c>
      <c r="U176" s="707">
        <f>IFERROR(VLOOKUP($A175,ReceitaBruta,COLUMN('A4 - Previsão de Receita Bruta'!V178)-1,0),0)</f>
        <v>3738725</v>
      </c>
      <c r="V176" s="707">
        <f>IFERROR(VLOOKUP($A175,ReceitaBruta,COLUMN('A4 - Previsão de Receita Bruta'!W178)-1,0),0)</f>
        <v>3738725</v>
      </c>
      <c r="W176" s="707">
        <f>IFERROR(VLOOKUP($A175,ReceitaBruta,COLUMN('A4 - Previsão de Receita Bruta'!X178)-1,0),0)</f>
        <v>3738725</v>
      </c>
      <c r="X176" s="707">
        <f>IFERROR(VLOOKUP($A175,ReceitaBruta,COLUMN('A4 - Previsão de Receita Bruta'!Y178)-1,0),0)</f>
        <v>3738725</v>
      </c>
      <c r="Y176" s="707">
        <f>IFERROR(VLOOKUP($A175,ReceitaBruta,COLUMN('A4 - Previsão de Receita Bruta'!Z178)-1,0),0)</f>
        <v>3738725</v>
      </c>
      <c r="Z176" s="707">
        <f>IFERROR(VLOOKUP($A175,ReceitaBruta,COLUMN('A4 - Previsão de Receita Bruta'!AA178)-1,0),0)</f>
        <v>3738725</v>
      </c>
      <c r="AA176" s="707">
        <f>IFERROR(VLOOKUP($A175,ReceitaBruta,COLUMN('A4 - Previsão de Receita Bruta'!AB178)-1,0),0)</f>
        <v>3738725</v>
      </c>
      <c r="AB176" s="707">
        <f>IFERROR(VLOOKUP($A175,ReceitaBruta,COLUMN('A4 - Previsão de Receita Bruta'!AC178)-1,0),0)</f>
        <v>3738725</v>
      </c>
      <c r="AC176" s="707">
        <f>IFERROR(VLOOKUP($A175,ReceitaBruta,COLUMN('A4 - Previsão de Receita Bruta'!AD178)-1,0),0)</f>
        <v>3738725</v>
      </c>
      <c r="AD176" s="707">
        <f>IFERROR(VLOOKUP($A175,ReceitaBruta,COLUMN('A4 - Previsão de Receita Bruta'!AE178)-1,0),0)</f>
        <v>3738725</v>
      </c>
      <c r="AE176" s="707">
        <f>IFERROR(VLOOKUP($A175,ReceitaBruta,COLUMN('A4 - Previsão de Receita Bruta'!AF178)-1,0),0)</f>
        <v>3738725</v>
      </c>
      <c r="AF176" s="594"/>
      <c r="AG176" s="594"/>
      <c r="AH176" s="594"/>
      <c r="AI176" s="594"/>
      <c r="AJ176" s="594"/>
      <c r="AK176" s="594"/>
      <c r="AL176" s="594"/>
      <c r="AM176" s="594"/>
      <c r="AN176" s="594"/>
      <c r="AO176" s="594"/>
      <c r="AP176" s="594"/>
      <c r="AQ176" s="594"/>
      <c r="AR176" s="594"/>
      <c r="AS176" s="594"/>
      <c r="AT176" s="594"/>
      <c r="AU176" s="594"/>
      <c r="AV176" s="594"/>
      <c r="AW176" s="594"/>
      <c r="AX176" s="594"/>
      <c r="AY176" s="594"/>
      <c r="AZ176" s="594"/>
      <c r="BA176" s="594"/>
      <c r="BB176" s="594"/>
      <c r="BC176" s="594"/>
      <c r="BD176" s="594"/>
      <c r="BE176" s="594"/>
      <c r="BF176" s="594"/>
      <c r="BG176" s="594"/>
      <c r="BH176" s="594"/>
      <c r="BI176" s="594"/>
      <c r="BJ176" s="594"/>
      <c r="BK176" s="594"/>
      <c r="BL176" s="57"/>
      <c r="BM176" s="594"/>
      <c r="BN176" s="594"/>
      <c r="BO176" s="594"/>
      <c r="BP176" s="594"/>
      <c r="BQ176" s="594"/>
      <c r="BR176" s="594"/>
      <c r="BS176" s="594"/>
      <c r="BT176" s="594"/>
      <c r="BU176" s="594"/>
      <c r="BV176" s="594"/>
      <c r="BW176" s="594"/>
      <c r="BX176" s="594"/>
      <c r="BY176" s="594"/>
      <c r="BZ176" s="594"/>
      <c r="CA176" s="594"/>
      <c r="CB176" s="594"/>
      <c r="CC176" s="594"/>
      <c r="CD176" s="594"/>
      <c r="CE176" s="594"/>
      <c r="CF176" s="594"/>
      <c r="CG176" s="594"/>
      <c r="CH176" s="594"/>
      <c r="CI176" s="594"/>
      <c r="CJ176" s="594"/>
      <c r="CK176" s="594"/>
      <c r="CL176" s="594"/>
      <c r="CM176" s="594"/>
      <c r="CN176" s="594"/>
      <c r="CO176" s="594"/>
      <c r="CP176" s="594"/>
      <c r="CQ176" s="594"/>
    </row>
    <row r="177" spans="1:95" ht="21" hidden="1" customHeight="1" outlineLevel="1">
      <c r="A177" s="708" t="s">
        <v>681</v>
      </c>
      <c r="B177" s="707">
        <f>IFERROR(-'E2 - Tributos'!D$19*VLOOKUP('F1 - FCL'!$A175,ReceitaBruta,COLUMN('A4 - Previsão de Receita Bruta'!C$6)-1,0),0)</f>
        <v>0</v>
      </c>
      <c r="C177" s="707">
        <f>IFERROR(-'E2 - Tributos'!E$19*VLOOKUP('F1 - FCL'!$A175,ReceitaBruta,COLUMN('A4 - Previsão de Receita Bruta'!D$6)-1,0),0)</f>
        <v>-388394.63659676048</v>
      </c>
      <c r="D177" s="707">
        <f>IFERROR(-'E2 - Tributos'!F$19*VLOOKUP('F1 - FCL'!$A175,ReceitaBruta,COLUMN('A4 - Previsão de Receita Bruta'!E$6)-1,0),0)</f>
        <v>-401793.99874236627</v>
      </c>
      <c r="E177" s="707">
        <f>IFERROR(-'E2 - Tributos'!G$19*VLOOKUP('F1 - FCL'!$A175,ReceitaBruta,COLUMN('A4 - Previsão de Receita Bruta'!F$6)-1,0),0)</f>
        <v>-414766.19281657832</v>
      </c>
      <c r="F177" s="707">
        <f>IFERROR(-'E2 - Tributos'!H$19*VLOOKUP('F1 - FCL'!$A175,ReceitaBruta,COLUMN('A4 - Previsão de Receita Bruta'!G$6)-1,0),0)</f>
        <v>-427949.18687496596</v>
      </c>
      <c r="G177" s="707">
        <f>IFERROR(-'E2 - Tributos'!I$19*VLOOKUP('F1 - FCL'!$A175,ReceitaBruta,COLUMN('A4 - Previsão de Receita Bruta'!H$6)-1,0),0)</f>
        <v>-441361.15913843346</v>
      </c>
      <c r="H177" s="707">
        <f>IFERROR(-'E2 - Tributos'!J$19*VLOOKUP('F1 - FCL'!$A175,ReceitaBruta,COLUMN('A4 - Previsão de Receita Bruta'!I$6)-1,0),0)</f>
        <v>-455155.81327308336</v>
      </c>
      <c r="I177" s="707">
        <f>IFERROR(-'E2 - Tributos'!K$19*VLOOKUP('F1 - FCL'!$A175,ReceitaBruta,COLUMN('A4 - Previsão de Receita Bruta'!J$6)-1,0),0)</f>
        <v>-469348.61879880517</v>
      </c>
      <c r="J177" s="707">
        <f>IFERROR(-'E2 - Tributos'!L$19*VLOOKUP('F1 - FCL'!$A175,ReceitaBruta,COLUMN('A4 - Previsão de Receita Bruta'!K$6)-1,0),0)</f>
        <v>-483802.24442883983</v>
      </c>
      <c r="K177" s="707">
        <f>IFERROR(-'E2 - Tributos'!M$19*VLOOKUP('F1 - FCL'!$A175,ReceitaBruta,COLUMN('A4 - Previsão de Receita Bruta'!L$6)-1,0),0)</f>
        <v>-498519.10823985591</v>
      </c>
      <c r="L177" s="707">
        <f>IFERROR(-'E2 - Tributos'!N$19*VLOOKUP('F1 - FCL'!$A175,ReceitaBruta,COLUMN('A4 - Previsão de Receita Bruta'!M$6)-1,0),0)</f>
        <v>-513704.15620060131</v>
      </c>
      <c r="M177" s="707">
        <f>IFERROR(-'E2 - Tributos'!O$19*VLOOKUP('F1 - FCL'!$A175,ReceitaBruta,COLUMN('A4 - Previsão de Receita Bruta'!N$6)-1,0),0)</f>
        <v>-529342.42118456773</v>
      </c>
      <c r="N177" s="707">
        <f>IFERROR(-'E2 - Tributos'!P$19*VLOOKUP('F1 - FCL'!$A175,ReceitaBruta,COLUMN('A4 - Previsão de Receita Bruta'!O$6)-1,0),0)</f>
        <v>-545478.10149877821</v>
      </c>
      <c r="O177" s="707">
        <f>IFERROR(-'E2 - Tributos'!Q$19*VLOOKUP('F1 - FCL'!$A175,ReceitaBruta,COLUMN('A4 - Previsão de Receita Bruta'!P$6)-1,0),0)</f>
        <v>-562098.94099824387</v>
      </c>
      <c r="P177" s="707">
        <f>IFERROR(-'E2 - Tributos'!R$19*VLOOKUP('F1 - FCL'!$A175,ReceitaBruta,COLUMN('A4 - Previsão de Receita Bruta'!Q$6)-1,0),0)</f>
        <v>-579222.12283958809</v>
      </c>
      <c r="Q177" s="707">
        <f>IFERROR(-'E2 - Tributos'!S$19*VLOOKUP('F1 - FCL'!$A175,ReceitaBruta,COLUMN('A4 - Previsão de Receita Bruta'!R$6)-1,0),0)</f>
        <v>-596816.21226743795</v>
      </c>
      <c r="R177" s="707">
        <f>IFERROR(-'E2 - Tributos'!T$19*VLOOKUP('F1 - FCL'!$A175,ReceitaBruta,COLUMN('A4 - Previsão de Receita Bruta'!S$6)-1,0),0)</f>
        <v>-614854.47897803457</v>
      </c>
      <c r="S177" s="707">
        <f>IFERROR(-'E2 - Tributos'!U$19*VLOOKUP('F1 - FCL'!$A175,ReceitaBruta,COLUMN('A4 - Previsão de Receita Bruta'!T$6)-1,0),0)</f>
        <v>-633279.54028664867</v>
      </c>
      <c r="T177" s="707">
        <f>IFERROR(-'E2 - Tributos'!V$19*VLOOKUP('F1 - FCL'!$A175,ReceitaBruta,COLUMN('A4 - Previsão de Receita Bruta'!U$6)-1,0),0)</f>
        <v>-652045.54045463505</v>
      </c>
      <c r="U177" s="707">
        <f>IFERROR(-'E2 - Tributos'!W$19*VLOOKUP('F1 - FCL'!$A175,ReceitaBruta,COLUMN('A4 - Previsão de Receita Bruta'!V$6)-1,0),0)</f>
        <v>-671057.75060180039</v>
      </c>
      <c r="V177" s="707">
        <f>IFERROR(-'E2 - Tributos'!X$19*VLOOKUP('F1 - FCL'!$A175,ReceitaBruta,COLUMN('A4 - Previsão de Receita Bruta'!W$6)-1,0),0)</f>
        <v>-671057.75060180039</v>
      </c>
      <c r="W177" s="707">
        <f>IFERROR(-'E2 - Tributos'!Y$19*VLOOKUP('F1 - FCL'!$A175,ReceitaBruta,COLUMN('A4 - Previsão de Receita Bruta'!X$6)-1,0),0)</f>
        <v>-671057.75060180039</v>
      </c>
      <c r="X177" s="707">
        <f>IFERROR(-'E2 - Tributos'!Z$19*VLOOKUP('F1 - FCL'!$A175,ReceitaBruta,COLUMN('A4 - Previsão de Receita Bruta'!Y$6)-1,0),0)</f>
        <v>-671057.75060180039</v>
      </c>
      <c r="Y177" s="707">
        <f>IFERROR(-'E2 - Tributos'!AA$19*VLOOKUP('F1 - FCL'!$A175,ReceitaBruta,COLUMN('A4 - Previsão de Receita Bruta'!Z$6)-1,0),0)</f>
        <v>-671057.75060180039</v>
      </c>
      <c r="Z177" s="707">
        <f>IFERROR(-'E2 - Tributos'!AB$19*VLOOKUP('F1 - FCL'!$A175,ReceitaBruta,COLUMN('A4 - Previsão de Receita Bruta'!AA$6)-1,0),0)</f>
        <v>-671057.75060180039</v>
      </c>
      <c r="AA177" s="707">
        <f>IFERROR(-'E2 - Tributos'!AC$19*VLOOKUP('F1 - FCL'!$A175,ReceitaBruta,COLUMN('A4 - Previsão de Receita Bruta'!AB$6)-1,0),0)</f>
        <v>-671057.75060180039</v>
      </c>
      <c r="AB177" s="707">
        <f>IFERROR(-'E2 - Tributos'!AD$19*VLOOKUP('F1 - FCL'!$A175,ReceitaBruta,COLUMN('A4 - Previsão de Receita Bruta'!AC$6)-1,0),0)</f>
        <v>-671057.75060180039</v>
      </c>
      <c r="AC177" s="707">
        <f>IFERROR(-'E2 - Tributos'!AE$19*VLOOKUP('F1 - FCL'!$A175,ReceitaBruta,COLUMN('A4 - Previsão de Receita Bruta'!AD$6)-1,0),0)</f>
        <v>-671057.75060180039</v>
      </c>
      <c r="AD177" s="707">
        <f>IFERROR(-'E2 - Tributos'!AF$19*VLOOKUP('F1 - FCL'!$A175,ReceitaBruta,COLUMN('A4 - Previsão de Receita Bruta'!AE$6)-1,0),0)</f>
        <v>-671057.75060180039</v>
      </c>
      <c r="AE177" s="707">
        <f>IFERROR(-'E2 - Tributos'!AG$19*VLOOKUP('F1 - FCL'!$A175,ReceitaBruta,COLUMN('A4 - Previsão de Receita Bruta'!AF$6)-1,0),0)</f>
        <v>-671057.75060180039</v>
      </c>
      <c r="AF177" s="594"/>
      <c r="AG177" s="594"/>
      <c r="AH177" s="594"/>
      <c r="AI177" s="594"/>
      <c r="AJ177" s="594"/>
      <c r="AK177" s="594"/>
      <c r="AL177" s="594"/>
      <c r="AM177" s="594"/>
      <c r="AN177" s="594"/>
      <c r="AO177" s="594"/>
      <c r="AP177" s="594"/>
      <c r="AQ177" s="594"/>
      <c r="AR177" s="594"/>
      <c r="AS177" s="594"/>
      <c r="AT177" s="594"/>
      <c r="AU177" s="594"/>
      <c r="AV177" s="594"/>
      <c r="AW177" s="594"/>
      <c r="AX177" s="594"/>
      <c r="AY177" s="594"/>
      <c r="AZ177" s="594"/>
      <c r="BA177" s="594"/>
      <c r="BB177" s="594"/>
      <c r="BC177" s="594"/>
      <c r="BD177" s="594"/>
      <c r="BE177" s="594"/>
      <c r="BF177" s="594"/>
      <c r="BG177" s="594"/>
      <c r="BH177" s="594"/>
      <c r="BI177" s="594"/>
      <c r="BJ177" s="594"/>
      <c r="BK177" s="594"/>
      <c r="BL177" s="57"/>
      <c r="BM177" s="594"/>
      <c r="BN177" s="594"/>
      <c r="BO177" s="594"/>
      <c r="BP177" s="594"/>
      <c r="BQ177" s="594"/>
      <c r="BR177" s="594"/>
      <c r="BS177" s="594"/>
      <c r="BT177" s="594"/>
      <c r="BU177" s="594"/>
      <c r="BV177" s="594"/>
      <c r="BW177" s="594"/>
      <c r="BX177" s="594"/>
      <c r="BY177" s="594"/>
      <c r="BZ177" s="594"/>
      <c r="CA177" s="594"/>
      <c r="CB177" s="594"/>
      <c r="CC177" s="594"/>
      <c r="CD177" s="594"/>
      <c r="CE177" s="594"/>
      <c r="CF177" s="594"/>
      <c r="CG177" s="594"/>
      <c r="CH177" s="594"/>
      <c r="CI177" s="594"/>
      <c r="CJ177" s="594"/>
      <c r="CK177" s="594"/>
      <c r="CL177" s="594"/>
      <c r="CM177" s="594"/>
      <c r="CN177" s="594"/>
      <c r="CO177" s="594"/>
      <c r="CP177" s="594"/>
      <c r="CQ177" s="594"/>
    </row>
    <row r="178" spans="1:95" ht="19.5" hidden="1" customHeight="1" outlineLevel="1">
      <c r="A178" s="708" t="s">
        <v>590</v>
      </c>
      <c r="B178" s="707">
        <f t="shared" ref="B178:AE178" si="57">SUM(B179:B183)</f>
        <v>-14722.097300000001</v>
      </c>
      <c r="C178" s="707">
        <f t="shared" si="57"/>
        <v>-911913.27020468004</v>
      </c>
      <c r="D178" s="707">
        <f t="shared" si="57"/>
        <v>-933263.17020468006</v>
      </c>
      <c r="E178" s="707">
        <f t="shared" si="57"/>
        <v>-953933.82020467997</v>
      </c>
      <c r="F178" s="707">
        <f t="shared" si="57"/>
        <v>-974940.52020468004</v>
      </c>
      <c r="G178" s="707">
        <f t="shared" si="57"/>
        <v>-996311.87020468002</v>
      </c>
      <c r="H178" s="707">
        <f t="shared" si="57"/>
        <v>-1018290.97020468</v>
      </c>
      <c r="I178" s="707">
        <f t="shared" si="57"/>
        <v>-1040906.4202046801</v>
      </c>
      <c r="J178" s="707">
        <f t="shared" si="57"/>
        <v>-1063936.5702046801</v>
      </c>
      <c r="K178" s="707">
        <f t="shared" si="57"/>
        <v>-1087388.5702046801</v>
      </c>
      <c r="L178" s="707">
        <f t="shared" si="57"/>
        <v>-1111584.1702046802</v>
      </c>
      <c r="M178" s="707">
        <f t="shared" si="57"/>
        <v>-1136501.9202046802</v>
      </c>
      <c r="N178" s="707">
        <f t="shared" si="57"/>
        <v>-1162213.3202046801</v>
      </c>
      <c r="O178" s="707">
        <f t="shared" si="57"/>
        <v>-1188696.9202046802</v>
      </c>
      <c r="P178" s="707">
        <f t="shared" si="57"/>
        <v>-1215981.3202046801</v>
      </c>
      <c r="Q178" s="707">
        <f t="shared" si="57"/>
        <v>-1244016.4702046802</v>
      </c>
      <c r="R178" s="707">
        <f t="shared" si="57"/>
        <v>-1272759.4702046802</v>
      </c>
      <c r="S178" s="707">
        <f t="shared" si="57"/>
        <v>-1302117.3702046801</v>
      </c>
      <c r="T178" s="707">
        <f t="shared" si="57"/>
        <v>-1332018.6702046802</v>
      </c>
      <c r="U178" s="707">
        <f t="shared" si="57"/>
        <v>-1362313.2202046802</v>
      </c>
      <c r="V178" s="707">
        <f t="shared" si="57"/>
        <v>-1362313.2202046802</v>
      </c>
      <c r="W178" s="707">
        <f t="shared" si="57"/>
        <v>-1362313.2202046802</v>
      </c>
      <c r="X178" s="707">
        <f t="shared" si="57"/>
        <v>-1362313.2202046802</v>
      </c>
      <c r="Y178" s="707">
        <f t="shared" si="57"/>
        <v>-1362313.2202046802</v>
      </c>
      <c r="Z178" s="707">
        <f t="shared" si="57"/>
        <v>-1362313.2202046802</v>
      </c>
      <c r="AA178" s="707">
        <f t="shared" si="57"/>
        <v>-1362313.2202046802</v>
      </c>
      <c r="AB178" s="707">
        <f t="shared" si="57"/>
        <v>-1362313.2202046802</v>
      </c>
      <c r="AC178" s="707">
        <f t="shared" si="57"/>
        <v>-1362313.2202046802</v>
      </c>
      <c r="AD178" s="707">
        <f t="shared" si="57"/>
        <v>-1362313.2202046802</v>
      </c>
      <c r="AE178" s="707">
        <f t="shared" si="57"/>
        <v>-1362313.2202046802</v>
      </c>
      <c r="AF178" s="594"/>
      <c r="AG178" s="594"/>
      <c r="AH178" s="594"/>
      <c r="AI178" s="594"/>
      <c r="AJ178" s="594"/>
      <c r="AK178" s="594"/>
      <c r="AL178" s="594"/>
      <c r="AM178" s="594"/>
      <c r="AN178" s="594"/>
      <c r="AO178" s="594"/>
      <c r="AP178" s="594"/>
      <c r="AQ178" s="594"/>
      <c r="AR178" s="594"/>
      <c r="AS178" s="594"/>
      <c r="AT178" s="594"/>
      <c r="AU178" s="594"/>
      <c r="AV178" s="594"/>
      <c r="AW178" s="594"/>
      <c r="AX178" s="594"/>
      <c r="AY178" s="594"/>
      <c r="AZ178" s="594"/>
      <c r="BA178" s="594"/>
      <c r="BB178" s="594"/>
      <c r="BC178" s="594"/>
      <c r="BD178" s="594"/>
      <c r="BE178" s="594"/>
      <c r="BF178" s="594"/>
      <c r="BG178" s="594"/>
      <c r="BH178" s="594"/>
      <c r="BI178" s="594"/>
      <c r="BJ178" s="594"/>
      <c r="BK178" s="594"/>
      <c r="BL178" s="57"/>
      <c r="BM178" s="594"/>
      <c r="BN178" s="594"/>
      <c r="BO178" s="594"/>
      <c r="BP178" s="594"/>
      <c r="BQ178" s="594"/>
      <c r="BR178" s="594"/>
      <c r="BS178" s="594"/>
      <c r="BT178" s="594"/>
      <c r="BU178" s="594"/>
      <c r="BV178" s="594"/>
      <c r="BW178" s="594"/>
      <c r="BX178" s="594"/>
      <c r="BY178" s="594"/>
      <c r="BZ178" s="594"/>
      <c r="CA178" s="594"/>
      <c r="CB178" s="594"/>
      <c r="CC178" s="594"/>
      <c r="CD178" s="594"/>
      <c r="CE178" s="594"/>
      <c r="CF178" s="594"/>
      <c r="CG178" s="594"/>
      <c r="CH178" s="594"/>
      <c r="CI178" s="594"/>
      <c r="CJ178" s="594"/>
      <c r="CK178" s="594"/>
      <c r="CL178" s="594"/>
      <c r="CM178" s="594"/>
      <c r="CN178" s="594"/>
      <c r="CO178" s="594"/>
      <c r="CP178" s="594"/>
      <c r="CQ178" s="594"/>
    </row>
    <row r="179" spans="1:95" ht="21" hidden="1" customHeight="1" outlineLevel="2">
      <c r="A179" s="709" t="s">
        <v>682</v>
      </c>
      <c r="B179" s="710">
        <f>IF($A175="",0,-SUMIF('C3 - Funcionários $'!$D$7:$D$121,$A175,'C3 - Funcionários $'!G$7:G$121))</f>
        <v>0</v>
      </c>
      <c r="C179" s="710">
        <f>IF($A175="",0,-SUMIF('C3 - Funcionários $'!$D$7:$D$121,$A175,'C3 - Funcionários $'!H$7:H$121))</f>
        <v>-278315.77290467999</v>
      </c>
      <c r="D179" s="710">
        <f>IF($A175="",0,-SUMIF('C3 - Funcionários $'!$D$7:$D$121,$A175,'C3 - Funcionários $'!I$7:I$121))</f>
        <v>-278315.77290467999</v>
      </c>
      <c r="E179" s="710">
        <f>IF($A175="",0,-SUMIF('C3 - Funcionários $'!$D$7:$D$121,$A175,'C3 - Funcionários $'!J$7:J$121))</f>
        <v>-278315.77290467999</v>
      </c>
      <c r="F179" s="710">
        <f>IF($A175="",0,-SUMIF('C3 - Funcionários $'!$D$7:$D$121,$A175,'C3 - Funcionários $'!K$7:K$121))</f>
        <v>-278315.77290467999</v>
      </c>
      <c r="G179" s="710">
        <f>IF($A175="",0,-SUMIF('C3 - Funcionários $'!$D$7:$D$121,$A175,'C3 - Funcionários $'!L$7:L$121))</f>
        <v>-278315.77290467999</v>
      </c>
      <c r="H179" s="710">
        <f>IF($A175="",0,-SUMIF('C3 - Funcionários $'!$D$7:$D$121,$A175,'C3 - Funcionários $'!M$7:M$121))</f>
        <v>-278315.77290467999</v>
      </c>
      <c r="I179" s="710">
        <f>IF($A175="",0,-SUMIF('C3 - Funcionários $'!$D$7:$D$121,$A175,'C3 - Funcionários $'!N$7:N$121))</f>
        <v>-278315.77290467999</v>
      </c>
      <c r="J179" s="710">
        <f>IF($A175="",0,-SUMIF('C3 - Funcionários $'!$D$7:$D$121,$A175,'C3 - Funcionários $'!O$7:O$121))</f>
        <v>-278315.77290467999</v>
      </c>
      <c r="K179" s="710">
        <f>IF($A175="",0,-SUMIF('C3 - Funcionários $'!$D$7:$D$121,$A175,'C3 - Funcionários $'!P$7:P$121))</f>
        <v>-278315.77290467999</v>
      </c>
      <c r="L179" s="710">
        <f>IF($A175="",0,-SUMIF('C3 - Funcionários $'!$D$7:$D$121,$A175,'C3 - Funcionários $'!Q$7:Q$121))</f>
        <v>-278315.77290467999</v>
      </c>
      <c r="M179" s="710">
        <f>IF($A175="",0,-SUMIF('C3 - Funcionários $'!$D$7:$D$121,$A175,'C3 - Funcionários $'!R$7:R$121))</f>
        <v>-278315.77290467999</v>
      </c>
      <c r="N179" s="710">
        <f>IF($A175="",0,-SUMIF('C3 - Funcionários $'!$D$7:$D$121,$A175,'C3 - Funcionários $'!S$7:S$121))</f>
        <v>-278315.77290467999</v>
      </c>
      <c r="O179" s="710">
        <f>IF($A175="",0,-SUMIF('C3 - Funcionários $'!$D$7:$D$121,$A175,'C3 - Funcionários $'!T$7:T$121))</f>
        <v>-278315.77290467999</v>
      </c>
      <c r="P179" s="710">
        <f>IF($A175="",0,-SUMIF('C3 - Funcionários $'!$D$7:$D$121,$A175,'C3 - Funcionários $'!U$7:U$121))</f>
        <v>-278315.77290467999</v>
      </c>
      <c r="Q179" s="710">
        <f>IF($A175="",0,-SUMIF('C3 - Funcionários $'!$D$7:$D$121,$A175,'C3 - Funcionários $'!V$7:V$121))</f>
        <v>-278315.77290467999</v>
      </c>
      <c r="R179" s="710">
        <f>IF($A175="",0,-SUMIF('C3 - Funcionários $'!$D$7:$D$121,$A175,'C3 - Funcionários $'!W$7:W$121))</f>
        <v>-278315.77290467999</v>
      </c>
      <c r="S179" s="710">
        <f>IF($A175="",0,-SUMIF('C3 - Funcionários $'!$D$7:$D$121,$A175,'C3 - Funcionários $'!X$7:X$121))</f>
        <v>-278315.77290467999</v>
      </c>
      <c r="T179" s="710">
        <f>IF($A175="",0,-SUMIF('C3 - Funcionários $'!$D$7:$D$121,$A175,'C3 - Funcionários $'!Y$7:Y$121))</f>
        <v>-278315.77290467999</v>
      </c>
      <c r="U179" s="710">
        <f>IF($A175="",0,-SUMIF('C3 - Funcionários $'!$D$7:$D$121,$A175,'C3 - Funcionários $'!Z$7:Z$121))</f>
        <v>-278315.77290467999</v>
      </c>
      <c r="V179" s="710">
        <f>IF($A175="",0,-SUMIF('C3 - Funcionários $'!$D$7:$D$121,$A175,'C3 - Funcionários $'!AA$7:AA$121))</f>
        <v>-278315.77290467999</v>
      </c>
      <c r="W179" s="710">
        <f>IF($A175="",0,-SUMIF('C3 - Funcionários $'!$D$7:$D$121,$A175,'C3 - Funcionários $'!AB$7:AB$121))</f>
        <v>-278315.77290467999</v>
      </c>
      <c r="X179" s="710">
        <f>IF($A175="",0,-SUMIF('C3 - Funcionários $'!$D$7:$D$121,$A175,'C3 - Funcionários $'!AC$7:AC$121))</f>
        <v>-278315.77290467999</v>
      </c>
      <c r="Y179" s="710">
        <f>IF($A175="",0,-SUMIF('C3 - Funcionários $'!$D$7:$D$121,$A175,'C3 - Funcionários $'!AD$7:AD$121))</f>
        <v>-278315.77290467999</v>
      </c>
      <c r="Z179" s="710">
        <f>IF($A175="",0,-SUMIF('C3 - Funcionários $'!$D$7:$D$121,$A175,'C3 - Funcionários $'!AE$7:AE$121))</f>
        <v>-278315.77290467999</v>
      </c>
      <c r="AA179" s="710">
        <f>IF($A175="",0,-SUMIF('C3 - Funcionários $'!$D$7:$D$121,$A175,'C3 - Funcionários $'!AF$7:AF$121))</f>
        <v>-278315.77290467999</v>
      </c>
      <c r="AB179" s="710">
        <f>IF($A175="",0,-SUMIF('C3 - Funcionários $'!$D$7:$D$121,$A175,'C3 - Funcionários $'!AG$7:AG$121))</f>
        <v>-278315.77290467999</v>
      </c>
      <c r="AC179" s="710">
        <f>IF($A175="",0,-SUMIF('C3 - Funcionários $'!$D$7:$D$121,$A175,'C3 - Funcionários $'!AH$7:AH$121))</f>
        <v>-278315.77290467999</v>
      </c>
      <c r="AD179" s="710">
        <f>IF($A175="",0,-SUMIF('C3 - Funcionários $'!$D$7:$D$121,$A175,'C3 - Funcionários $'!AI$7:AI$121))</f>
        <v>-278315.77290467999</v>
      </c>
      <c r="AE179" s="710">
        <f>IF($A175="",0,-SUMIF('C3 - Funcionários $'!$D$7:$D$121,$A175,'C3 - Funcionários $'!AJ$7:AJ$121))</f>
        <v>-278315.77290467999</v>
      </c>
      <c r="AF179" s="594"/>
      <c r="AG179" s="594"/>
      <c r="AH179" s="594"/>
      <c r="AI179" s="594"/>
      <c r="AJ179" s="594"/>
      <c r="AK179" s="594"/>
      <c r="AL179" s="594"/>
      <c r="AM179" s="594"/>
      <c r="AN179" s="594"/>
      <c r="AO179" s="594"/>
      <c r="AP179" s="594"/>
      <c r="AQ179" s="594"/>
      <c r="AR179" s="594"/>
      <c r="AS179" s="594"/>
      <c r="AT179" s="594"/>
      <c r="AU179" s="594"/>
      <c r="AV179" s="594"/>
      <c r="AW179" s="594"/>
      <c r="AX179" s="594"/>
      <c r="AY179" s="594"/>
      <c r="AZ179" s="594"/>
      <c r="BA179" s="594"/>
      <c r="BB179" s="594"/>
      <c r="BC179" s="594"/>
      <c r="BD179" s="594"/>
      <c r="BE179" s="594"/>
      <c r="BF179" s="594"/>
      <c r="BG179" s="594"/>
      <c r="BH179" s="594"/>
      <c r="BI179" s="594"/>
      <c r="BJ179" s="594"/>
      <c r="BK179" s="594"/>
      <c r="BL179" s="57"/>
      <c r="BM179" s="594"/>
      <c r="BN179" s="594"/>
      <c r="BO179" s="594"/>
      <c r="BP179" s="594"/>
      <c r="BQ179" s="594"/>
      <c r="BR179" s="594"/>
      <c r="BS179" s="594"/>
      <c r="BT179" s="594"/>
      <c r="BU179" s="594"/>
      <c r="BV179" s="594"/>
      <c r="BW179" s="594"/>
      <c r="BX179" s="594"/>
      <c r="BY179" s="594"/>
      <c r="BZ179" s="594"/>
      <c r="CA179" s="594"/>
      <c r="CB179" s="594"/>
      <c r="CC179" s="594"/>
      <c r="CD179" s="594"/>
      <c r="CE179" s="594"/>
      <c r="CF179" s="594"/>
      <c r="CG179" s="594"/>
      <c r="CH179" s="594"/>
      <c r="CI179" s="594"/>
      <c r="CJ179" s="594"/>
      <c r="CK179" s="594"/>
      <c r="CL179" s="594"/>
      <c r="CM179" s="594"/>
      <c r="CN179" s="594"/>
      <c r="CO179" s="594"/>
      <c r="CP179" s="594"/>
      <c r="CQ179" s="594"/>
    </row>
    <row r="180" spans="1:95" ht="21" hidden="1" customHeight="1" outlineLevel="2">
      <c r="A180" s="709" t="s">
        <v>683</v>
      </c>
      <c r="B180" s="710">
        <f>IFERROR(-VLOOKUP($A175,CustoDiretoTotal,COLUMN('B2 - Custos diretos totais'!C$3)-1,0),0)</f>
        <v>0</v>
      </c>
      <c r="C180" s="710">
        <f>IFERROR(-VLOOKUP($A175,CustoDiretoTotal,COLUMN('B2 - Custos diretos totais'!D$3)-1,0),0)</f>
        <v>-584253</v>
      </c>
      <c r="D180" s="710">
        <f>IFERROR(-VLOOKUP($A175,CustoDiretoTotal,COLUMN('B2 - Custos diretos totais'!E$3)-1,0),0)</f>
        <v>-604408.5</v>
      </c>
      <c r="E180" s="710">
        <f>IFERROR(-VLOOKUP($A175,CustoDiretoTotal,COLUMN('B2 - Custos diretos totais'!F$3)-1,0),0)</f>
        <v>-623922.75</v>
      </c>
      <c r="F180" s="710">
        <f>IFERROR(-VLOOKUP($A175,CustoDiretoTotal,COLUMN('B2 - Custos diretos totais'!G$3)-1,0),0)</f>
        <v>-643754.25</v>
      </c>
      <c r="G180" s="710">
        <f>IFERROR(-VLOOKUP($A175,CustoDiretoTotal,COLUMN('B2 - Custos diretos totais'!H$3)-1,0),0)</f>
        <v>-663930</v>
      </c>
      <c r="H180" s="710">
        <f>IFERROR(-VLOOKUP($A175,CustoDiretoTotal,COLUMN('B2 - Custos diretos totais'!I$3)-1,0),0)</f>
        <v>-684679.5</v>
      </c>
      <c r="I180" s="710">
        <f>IFERROR(-VLOOKUP($A175,CustoDiretoTotal,COLUMN('B2 - Custos diretos totais'!J$3)-1,0),0)</f>
        <v>-706029.75</v>
      </c>
      <c r="J180" s="710">
        <f>IFERROR(-VLOOKUP($A175,CustoDiretoTotal,COLUMN('B2 - Custos diretos totais'!K$3)-1,0),0)</f>
        <v>-727771.5</v>
      </c>
      <c r="K180" s="710">
        <f>IFERROR(-VLOOKUP($A175,CustoDiretoTotal,COLUMN('B2 - Custos diretos totais'!L$3)-1,0),0)</f>
        <v>-749911.5</v>
      </c>
      <c r="L180" s="710">
        <f>IFERROR(-VLOOKUP($A175,CustoDiretoTotal,COLUMN('B2 - Custos diretos totais'!M$3)-1,0),0)</f>
        <v>-772753.5</v>
      </c>
      <c r="M180" s="710">
        <f>IFERROR(-VLOOKUP($A175,CustoDiretoTotal,COLUMN('B2 - Custos diretos totais'!N$3)-1,0),0)</f>
        <v>-796277.25</v>
      </c>
      <c r="N180" s="710">
        <f>IFERROR(-VLOOKUP($A175,CustoDiretoTotal,COLUMN('B2 - Custos diretos totais'!O$3)-1,0),0)</f>
        <v>-820550.25</v>
      </c>
      <c r="O180" s="710">
        <f>IFERROR(-VLOOKUP($A175,CustoDiretoTotal,COLUMN('B2 - Custos diretos totais'!P$3)-1,0),0)</f>
        <v>-845552.25</v>
      </c>
      <c r="P180" s="710">
        <f>IFERROR(-VLOOKUP($A175,CustoDiretoTotal,COLUMN('B2 - Custos diretos totais'!Q$3)-1,0),0)</f>
        <v>-871310.25</v>
      </c>
      <c r="Q180" s="710">
        <f>IFERROR(-VLOOKUP($A175,CustoDiretoTotal,COLUMN('B2 - Custos diretos totais'!R$3)-1,0),0)</f>
        <v>-897777</v>
      </c>
      <c r="R180" s="710">
        <f>IFERROR(-VLOOKUP($A175,CustoDiretoTotal,COLUMN('B2 - Custos diretos totais'!S$3)-1,0),0)</f>
        <v>-924912</v>
      </c>
      <c r="S180" s="710">
        <f>IFERROR(-VLOOKUP($A175,CustoDiretoTotal,COLUMN('B2 - Custos diretos totais'!T$3)-1,0),0)</f>
        <v>-952627.5</v>
      </c>
      <c r="T180" s="710">
        <f>IFERROR(-VLOOKUP($A175,CustoDiretoTotal,COLUMN('B2 - Custos diretos totais'!U$3)-1,0),0)</f>
        <v>-980856</v>
      </c>
      <c r="U180" s="710">
        <f>IFERROR(-VLOOKUP($A175,CustoDiretoTotal,COLUMN('B2 - Custos diretos totais'!V$3)-1,0),0)</f>
        <v>-1009455.75</v>
      </c>
      <c r="V180" s="710">
        <f>IFERROR(-VLOOKUP($A175,CustoDiretoTotal,COLUMN('B2 - Custos diretos totais'!W$3)-1,0),0)</f>
        <v>-1009455.75</v>
      </c>
      <c r="W180" s="710">
        <f>IFERROR(-VLOOKUP($A175,CustoDiretoTotal,COLUMN('B2 - Custos diretos totais'!X$3)-1,0),0)</f>
        <v>-1009455.75</v>
      </c>
      <c r="X180" s="710">
        <f>IFERROR(-VLOOKUP($A175,CustoDiretoTotal,COLUMN('B2 - Custos diretos totais'!Y$3)-1,0),0)</f>
        <v>-1009455.75</v>
      </c>
      <c r="Y180" s="710">
        <f>IFERROR(-VLOOKUP($A175,CustoDiretoTotal,COLUMN('B2 - Custos diretos totais'!Z$3)-1,0),0)</f>
        <v>-1009455.75</v>
      </c>
      <c r="Z180" s="710">
        <f>IFERROR(-VLOOKUP($A175,CustoDiretoTotal,COLUMN('B2 - Custos diretos totais'!AA$3)-1,0),0)</f>
        <v>-1009455.75</v>
      </c>
      <c r="AA180" s="710">
        <f>IFERROR(-VLOOKUP($A175,CustoDiretoTotal,COLUMN('B2 - Custos diretos totais'!AB$3)-1,0),0)</f>
        <v>-1009455.75</v>
      </c>
      <c r="AB180" s="710">
        <f>IFERROR(-VLOOKUP($A175,CustoDiretoTotal,COLUMN('B2 - Custos diretos totais'!AC$3)-1,0),0)</f>
        <v>-1009455.75</v>
      </c>
      <c r="AC180" s="710">
        <f>IFERROR(-VLOOKUP($A175,CustoDiretoTotal,COLUMN('B2 - Custos diretos totais'!AD$3)-1,0),0)</f>
        <v>-1009455.75</v>
      </c>
      <c r="AD180" s="710">
        <f>IFERROR(-VLOOKUP($A175,CustoDiretoTotal,COLUMN('B2 - Custos diretos totais'!AE$3)-1,0),0)</f>
        <v>-1009455.75</v>
      </c>
      <c r="AE180" s="710">
        <f>IFERROR(-VLOOKUP($A175,CustoDiretoTotal,COLUMN('B2 - Custos diretos totais'!AF$3)-1,0),0)</f>
        <v>-1009455.75</v>
      </c>
      <c r="AF180" s="594"/>
      <c r="AG180" s="594"/>
      <c r="AH180" s="594"/>
      <c r="AI180" s="594"/>
      <c r="AJ180" s="594"/>
      <c r="AK180" s="594"/>
      <c r="AL180" s="594"/>
      <c r="AM180" s="594"/>
      <c r="AN180" s="594"/>
      <c r="AO180" s="594"/>
      <c r="AP180" s="594"/>
      <c r="AQ180" s="594"/>
      <c r="AR180" s="594"/>
      <c r="AS180" s="594"/>
      <c r="AT180" s="594"/>
      <c r="AU180" s="594"/>
      <c r="AV180" s="594"/>
      <c r="AW180" s="594"/>
      <c r="AX180" s="594"/>
      <c r="AY180" s="594"/>
      <c r="AZ180" s="594"/>
      <c r="BA180" s="594"/>
      <c r="BB180" s="594"/>
      <c r="BC180" s="594"/>
      <c r="BD180" s="594"/>
      <c r="BE180" s="594"/>
      <c r="BF180" s="594"/>
      <c r="BG180" s="594"/>
      <c r="BH180" s="594"/>
      <c r="BI180" s="594"/>
      <c r="BJ180" s="594"/>
      <c r="BK180" s="594"/>
      <c r="BL180" s="57"/>
      <c r="BM180" s="594"/>
      <c r="BN180" s="594"/>
      <c r="BO180" s="594"/>
      <c r="BP180" s="594"/>
      <c r="BQ180" s="594"/>
      <c r="BR180" s="594"/>
      <c r="BS180" s="594"/>
      <c r="BT180" s="594"/>
      <c r="BU180" s="594"/>
      <c r="BV180" s="594"/>
      <c r="BW180" s="594"/>
      <c r="BX180" s="594"/>
      <c r="BY180" s="594"/>
      <c r="BZ180" s="594"/>
      <c r="CA180" s="594"/>
      <c r="CB180" s="594"/>
      <c r="CC180" s="594"/>
      <c r="CD180" s="594"/>
      <c r="CE180" s="594"/>
      <c r="CF180" s="594"/>
      <c r="CG180" s="594"/>
      <c r="CH180" s="594"/>
      <c r="CI180" s="594"/>
      <c r="CJ180" s="594"/>
      <c r="CK180" s="594"/>
      <c r="CL180" s="594"/>
      <c r="CM180" s="594"/>
      <c r="CN180" s="594"/>
      <c r="CO180" s="594"/>
      <c r="CP180" s="594"/>
      <c r="CQ180" s="594"/>
    </row>
    <row r="181" spans="1:95" ht="21" hidden="1" customHeight="1" outlineLevel="2">
      <c r="A181" s="709" t="s">
        <v>684</v>
      </c>
      <c r="B181" s="710">
        <f>-SUMIFS('B3 - Custos despesas indiretos'!AK$5:AK$148,'B3 - Custos despesas indiretos'!$B$5:$B$148,"Custos",'B3 - Custos despesas indiretos'!$D$5:$D$148,$A175)</f>
        <v>-6966.5</v>
      </c>
      <c r="C181" s="710">
        <f>-SUMIFS('B3 - Custos despesas indiretos'!AL$5:AL$148,'B3 - Custos despesas indiretos'!$B$5:$B$148,"Custos",'B3 - Custos despesas indiretos'!$D$5:$D$148,$A175)</f>
        <v>-6966.5</v>
      </c>
      <c r="D181" s="710">
        <f>-SUMIFS('B3 - Custos despesas indiretos'!AM$5:AM$148,'B3 - Custos despesas indiretos'!$B$5:$B$148,"Custos",'B3 - Custos despesas indiretos'!$D$5:$D$148,$A175)</f>
        <v>-6966.5</v>
      </c>
      <c r="E181" s="710">
        <f>-SUMIFS('B3 - Custos despesas indiretos'!AN$5:AN$148,'B3 - Custos despesas indiretos'!$B$5:$B$148,"Custos",'B3 - Custos despesas indiretos'!$D$5:$D$148,$A175)</f>
        <v>-6966.5</v>
      </c>
      <c r="F181" s="710">
        <f>-SUMIFS('B3 - Custos despesas indiretos'!AO$5:AO$148,'B3 - Custos despesas indiretos'!$B$5:$B$148,"Custos",'B3 - Custos despesas indiretos'!$D$5:$D$148,$A175)</f>
        <v>-6966.5</v>
      </c>
      <c r="G181" s="710">
        <f>-SUMIFS('B3 - Custos despesas indiretos'!AP$5:AP$148,'B3 - Custos despesas indiretos'!$B$5:$B$148,"Custos",'B3 - Custos despesas indiretos'!$D$5:$D$148,$A175)</f>
        <v>-6966.5</v>
      </c>
      <c r="H181" s="710">
        <f>-SUMIFS('B3 - Custos despesas indiretos'!AQ$5:AQ$148,'B3 - Custos despesas indiretos'!$B$5:$B$148,"Custos",'B3 - Custos despesas indiretos'!$D$5:$D$148,$A175)</f>
        <v>-6966.5</v>
      </c>
      <c r="I181" s="710">
        <f>-SUMIFS('B3 - Custos despesas indiretos'!AR$5:AR$148,'B3 - Custos despesas indiretos'!$B$5:$B$148,"Custos",'B3 - Custos despesas indiretos'!$D$5:$D$148,$A175)</f>
        <v>-6966.5</v>
      </c>
      <c r="J181" s="710">
        <f>-SUMIFS('B3 - Custos despesas indiretos'!AS$5:AS$148,'B3 - Custos despesas indiretos'!$B$5:$B$148,"Custos",'B3 - Custos despesas indiretos'!$D$5:$D$148,$A175)</f>
        <v>-6966.5</v>
      </c>
      <c r="K181" s="710">
        <f>-SUMIFS('B3 - Custos despesas indiretos'!AT$5:AT$148,'B3 - Custos despesas indiretos'!$B$5:$B$148,"Custos",'B3 - Custos despesas indiretos'!$D$5:$D$148,$A175)</f>
        <v>-6966.5</v>
      </c>
      <c r="L181" s="710">
        <f>-SUMIFS('B3 - Custos despesas indiretos'!AU$5:AU$148,'B3 - Custos despesas indiretos'!$B$5:$B$148,"Custos",'B3 - Custos despesas indiretos'!$D$5:$D$148,$A175)</f>
        <v>-6966.5</v>
      </c>
      <c r="M181" s="710">
        <f>-SUMIFS('B3 - Custos despesas indiretos'!AV$5:AV$148,'B3 - Custos despesas indiretos'!$B$5:$B$148,"Custos",'B3 - Custos despesas indiretos'!$D$5:$D$148,$A175)</f>
        <v>-6966.5</v>
      </c>
      <c r="N181" s="710">
        <f>-SUMIFS('B3 - Custos despesas indiretos'!AW$5:AW$148,'B3 - Custos despesas indiretos'!$B$5:$B$148,"Custos",'B3 - Custos despesas indiretos'!$D$5:$D$148,$A175)</f>
        <v>-6966.5</v>
      </c>
      <c r="O181" s="710">
        <f>-SUMIFS('B3 - Custos despesas indiretos'!AX$5:AX$148,'B3 - Custos despesas indiretos'!$B$5:$B$148,"Custos",'B3 - Custos despesas indiretos'!$D$5:$D$148,$A175)</f>
        <v>-6966.5</v>
      </c>
      <c r="P181" s="710">
        <f>-SUMIFS('B3 - Custos despesas indiretos'!AY$5:AY$148,'B3 - Custos despesas indiretos'!$B$5:$B$148,"Custos",'B3 - Custos despesas indiretos'!$D$5:$D$148,$A175)</f>
        <v>-6966.5</v>
      </c>
      <c r="Q181" s="710">
        <f>-SUMIFS('B3 - Custos despesas indiretos'!AZ$5:AZ$148,'B3 - Custos despesas indiretos'!$B$5:$B$148,"Custos",'B3 - Custos despesas indiretos'!$D$5:$D$148,$A175)</f>
        <v>-6966.5</v>
      </c>
      <c r="R181" s="710">
        <f>-SUMIFS('B3 - Custos despesas indiretos'!BA$5:BA$148,'B3 - Custos despesas indiretos'!$B$5:$B$148,"Custos",'B3 - Custos despesas indiretos'!$D$5:$D$148,$A175)</f>
        <v>-6966.5</v>
      </c>
      <c r="S181" s="710">
        <f>-SUMIFS('B3 - Custos despesas indiretos'!BB$5:BB$148,'B3 - Custos despesas indiretos'!$B$5:$B$148,"Custos",'B3 - Custos despesas indiretos'!$D$5:$D$148,$A175)</f>
        <v>-6966.5</v>
      </c>
      <c r="T181" s="710">
        <f>-SUMIFS('B3 - Custos despesas indiretos'!BC$5:BC$148,'B3 - Custos despesas indiretos'!$B$5:$B$148,"Custos",'B3 - Custos despesas indiretos'!$D$5:$D$148,$A175)</f>
        <v>-6966.5</v>
      </c>
      <c r="U181" s="710">
        <f>-SUMIFS('B3 - Custos despesas indiretos'!BD$5:BD$148,'B3 - Custos despesas indiretos'!$B$5:$B$148,"Custos",'B3 - Custos despesas indiretos'!$D$5:$D$148,$A175)</f>
        <v>-6966.5</v>
      </c>
      <c r="V181" s="710">
        <f>-SUMIFS('B3 - Custos despesas indiretos'!BE$5:BE$148,'B3 - Custos despesas indiretos'!$B$5:$B$148,"Custos",'B3 - Custos despesas indiretos'!$D$5:$D$148,$A175)</f>
        <v>-6966.5</v>
      </c>
      <c r="W181" s="710">
        <f>-SUMIFS('B3 - Custos despesas indiretos'!BF$5:BF$148,'B3 - Custos despesas indiretos'!$B$5:$B$148,"Custos",'B3 - Custos despesas indiretos'!$D$5:$D$148,$A175)</f>
        <v>-6966.5</v>
      </c>
      <c r="X181" s="710">
        <f>-SUMIFS('B3 - Custos despesas indiretos'!BG$5:BG$148,'B3 - Custos despesas indiretos'!$B$5:$B$148,"Custos",'B3 - Custos despesas indiretos'!$D$5:$D$148,$A175)</f>
        <v>-6966.5</v>
      </c>
      <c r="Y181" s="710">
        <f>-SUMIFS('B3 - Custos despesas indiretos'!BH$5:BH$148,'B3 - Custos despesas indiretos'!$B$5:$B$148,"Custos",'B3 - Custos despesas indiretos'!$D$5:$D$148,$A175)</f>
        <v>-6966.5</v>
      </c>
      <c r="Z181" s="710">
        <f>-SUMIFS('B3 - Custos despesas indiretos'!BI$5:BI$148,'B3 - Custos despesas indiretos'!$B$5:$B$148,"Custos",'B3 - Custos despesas indiretos'!$D$5:$D$148,$A175)</f>
        <v>-6966.5</v>
      </c>
      <c r="AA181" s="710">
        <f>-SUMIFS('B3 - Custos despesas indiretos'!BJ$5:BJ$148,'B3 - Custos despesas indiretos'!$B$5:$B$148,"Custos",'B3 - Custos despesas indiretos'!$D$5:$D$148,$A175)</f>
        <v>-6966.5</v>
      </c>
      <c r="AB181" s="710">
        <f>-SUMIFS('B3 - Custos despesas indiretos'!BK$5:BK$148,'B3 - Custos despesas indiretos'!$B$5:$B$148,"Custos",'B3 - Custos despesas indiretos'!$D$5:$D$148,$A175)</f>
        <v>-6966.5</v>
      </c>
      <c r="AC181" s="710">
        <f>-SUMIFS('B3 - Custos despesas indiretos'!BL$5:BL$148,'B3 - Custos despesas indiretos'!$B$5:$B$148,"Custos",'B3 - Custos despesas indiretos'!$D$5:$D$148,$A175)</f>
        <v>-6966.5</v>
      </c>
      <c r="AD181" s="710">
        <f>-SUMIFS('B3 - Custos despesas indiretos'!BM$5:BM$148,'B3 - Custos despesas indiretos'!$B$5:$B$148,"Custos",'B3 - Custos despesas indiretos'!$D$5:$D$148,$A175)</f>
        <v>-6966.5</v>
      </c>
      <c r="AE181" s="710">
        <f>-SUMIFS('B3 - Custos despesas indiretos'!BN$5:BN$148,'B3 - Custos despesas indiretos'!$B$5:$B$148,"Custos",'B3 - Custos despesas indiretos'!$D$5:$D$148,$A175)</f>
        <v>-6966.5</v>
      </c>
      <c r="AF181" s="594"/>
      <c r="AG181" s="594"/>
      <c r="AH181" s="594"/>
      <c r="AI181" s="594"/>
      <c r="AJ181" s="594"/>
      <c r="AK181" s="594"/>
      <c r="AL181" s="594"/>
      <c r="AM181" s="594"/>
      <c r="AN181" s="594"/>
      <c r="AO181" s="594"/>
      <c r="AP181" s="594"/>
      <c r="AQ181" s="594"/>
      <c r="AR181" s="594"/>
      <c r="AS181" s="594"/>
      <c r="AT181" s="594"/>
      <c r="AU181" s="594"/>
      <c r="AV181" s="594"/>
      <c r="AW181" s="594"/>
      <c r="AX181" s="594"/>
      <c r="AY181" s="594"/>
      <c r="AZ181" s="594"/>
      <c r="BA181" s="594"/>
      <c r="BB181" s="594"/>
      <c r="BC181" s="594"/>
      <c r="BD181" s="594"/>
      <c r="BE181" s="594"/>
      <c r="BF181" s="594"/>
      <c r="BG181" s="594"/>
      <c r="BH181" s="594"/>
      <c r="BI181" s="594"/>
      <c r="BJ181" s="594"/>
      <c r="BK181" s="594"/>
      <c r="BL181" s="57"/>
      <c r="BM181" s="594"/>
      <c r="BN181" s="594"/>
      <c r="BO181" s="594"/>
      <c r="BP181" s="594"/>
      <c r="BQ181" s="594"/>
      <c r="BR181" s="594"/>
      <c r="BS181" s="594"/>
      <c r="BT181" s="594"/>
      <c r="BU181" s="594"/>
      <c r="BV181" s="594"/>
      <c r="BW181" s="594"/>
      <c r="BX181" s="594"/>
      <c r="BY181" s="594"/>
      <c r="BZ181" s="594"/>
      <c r="CA181" s="594"/>
      <c r="CB181" s="594"/>
      <c r="CC181" s="594"/>
      <c r="CD181" s="594"/>
      <c r="CE181" s="594"/>
      <c r="CF181" s="594"/>
      <c r="CG181" s="594"/>
      <c r="CH181" s="594"/>
      <c r="CI181" s="594"/>
      <c r="CJ181" s="594"/>
      <c r="CK181" s="594"/>
      <c r="CL181" s="594"/>
      <c r="CM181" s="594"/>
      <c r="CN181" s="594"/>
      <c r="CO181" s="594"/>
      <c r="CP181" s="594"/>
      <c r="CQ181" s="594"/>
    </row>
    <row r="182" spans="1:95" ht="21" hidden="1" customHeight="1" outlineLevel="2">
      <c r="A182" s="709" t="s">
        <v>685</v>
      </c>
      <c r="B182" s="710">
        <f>-SUMIFS('B3 - Custos despesas indiretos'!AK$5:AK$148,'B3 - Custos despesas indiretos'!$B$5:$B$148,"Despesas",'B3 - Custos despesas indiretos'!$D$5:$D$148,$A175)</f>
        <v>0</v>
      </c>
      <c r="C182" s="710">
        <f>-SUMIFS('B3 - Custos despesas indiretos'!AL$5:AL$148,'B3 - Custos despesas indiretos'!$B$5:$B$148,"Despesas",'B3 - Custos despesas indiretos'!$D$5:$D$148,$A175)</f>
        <v>-34622.400000000001</v>
      </c>
      <c r="D182" s="710">
        <f>-SUMIFS('B3 - Custos despesas indiretos'!AM$5:AM$148,'B3 - Custos despesas indiretos'!$B$5:$B$148,"Despesas",'B3 - Custos despesas indiretos'!$D$5:$D$148,$A175)</f>
        <v>-35816.800000000003</v>
      </c>
      <c r="E182" s="710">
        <f>-SUMIFS('B3 - Custos despesas indiretos'!AN$5:AN$148,'B3 - Custos despesas indiretos'!$B$5:$B$148,"Despesas",'B3 - Custos despesas indiretos'!$D$5:$D$148,$A175)</f>
        <v>-36973.200000000004</v>
      </c>
      <c r="F182" s="710">
        <f>-SUMIFS('B3 - Custos despesas indiretos'!AO$5:AO$148,'B3 - Custos despesas indiretos'!$B$5:$B$148,"Despesas",'B3 - Custos despesas indiretos'!$D$5:$D$148,$A175)</f>
        <v>-38148.400000000001</v>
      </c>
      <c r="G182" s="710">
        <f>-SUMIFS('B3 - Custos despesas indiretos'!AP$5:AP$148,'B3 - Custos despesas indiretos'!$B$5:$B$148,"Despesas",'B3 - Custos despesas indiretos'!$D$5:$D$148,$A175)</f>
        <v>-39344</v>
      </c>
      <c r="H182" s="710">
        <f>-SUMIFS('B3 - Custos despesas indiretos'!AQ$5:AQ$148,'B3 - Custos despesas indiretos'!$B$5:$B$148,"Despesas",'B3 - Custos despesas indiretos'!$D$5:$D$148,$A175)</f>
        <v>-40573.599999999999</v>
      </c>
      <c r="I182" s="710">
        <f>-SUMIFS('B3 - Custos despesas indiretos'!AR$5:AR$148,'B3 - Custos despesas indiretos'!$B$5:$B$148,"Despesas",'B3 - Custos despesas indiretos'!$D$5:$D$148,$A175)</f>
        <v>-41838.800000000003</v>
      </c>
      <c r="J182" s="710">
        <f>-SUMIFS('B3 - Custos despesas indiretos'!AS$5:AS$148,'B3 - Custos despesas indiretos'!$B$5:$B$148,"Despesas",'B3 - Custos despesas indiretos'!$D$5:$D$148,$A175)</f>
        <v>-43127.200000000004</v>
      </c>
      <c r="K182" s="710">
        <f>-SUMIFS('B3 - Custos despesas indiretos'!AT$5:AT$148,'B3 - Custos despesas indiretos'!$B$5:$B$148,"Despesas",'B3 - Custos despesas indiretos'!$D$5:$D$148,$A175)</f>
        <v>-44439.200000000004</v>
      </c>
      <c r="L182" s="710">
        <f>-SUMIFS('B3 - Custos despesas indiretos'!AU$5:AU$148,'B3 - Custos despesas indiretos'!$B$5:$B$148,"Despesas",'B3 - Custos despesas indiretos'!$D$5:$D$148,$A175)</f>
        <v>-45792.800000000003</v>
      </c>
      <c r="M182" s="710">
        <f>-SUMIFS('B3 - Custos despesas indiretos'!AV$5:AV$148,'B3 - Custos despesas indiretos'!$B$5:$B$148,"Despesas",'B3 - Custos despesas indiretos'!$D$5:$D$148,$A175)</f>
        <v>-47186.8</v>
      </c>
      <c r="N182" s="710">
        <f>-SUMIFS('B3 - Custos despesas indiretos'!AW$5:AW$148,'B3 - Custos despesas indiretos'!$B$5:$B$148,"Despesas",'B3 - Custos despesas indiretos'!$D$5:$D$148,$A175)</f>
        <v>-48625.200000000004</v>
      </c>
      <c r="O182" s="710">
        <f>-SUMIFS('B3 - Custos despesas indiretos'!AX$5:AX$148,'B3 - Custos despesas indiretos'!$B$5:$B$148,"Despesas",'B3 - Custos despesas indiretos'!$D$5:$D$148,$A175)</f>
        <v>-50106.8</v>
      </c>
      <c r="P182" s="710">
        <f>-SUMIFS('B3 - Custos despesas indiretos'!AY$5:AY$148,'B3 - Custos despesas indiretos'!$B$5:$B$148,"Despesas",'B3 - Custos despesas indiretos'!$D$5:$D$148,$A175)</f>
        <v>-51633.200000000004</v>
      </c>
      <c r="Q182" s="710">
        <f>-SUMIFS('B3 - Custos despesas indiretos'!AZ$5:AZ$148,'B3 - Custos despesas indiretos'!$B$5:$B$148,"Despesas",'B3 - Custos despesas indiretos'!$D$5:$D$148,$A175)</f>
        <v>-53201.599999999999</v>
      </c>
      <c r="R182" s="710">
        <f>-SUMIFS('B3 - Custos despesas indiretos'!BA$5:BA$148,'B3 - Custos despesas indiretos'!$B$5:$B$148,"Despesas",'B3 - Custos despesas indiretos'!$D$5:$D$148,$A175)</f>
        <v>-54809.599999999999</v>
      </c>
      <c r="S182" s="710">
        <f>-SUMIFS('B3 - Custos despesas indiretos'!BB$5:BB$148,'B3 - Custos despesas indiretos'!$B$5:$B$148,"Despesas",'B3 - Custos despesas indiretos'!$D$5:$D$148,$A175)</f>
        <v>-56452</v>
      </c>
      <c r="T182" s="710">
        <f>-SUMIFS('B3 - Custos despesas indiretos'!BC$5:BC$148,'B3 - Custos despesas indiretos'!$B$5:$B$148,"Despesas",'B3 - Custos despesas indiretos'!$D$5:$D$148,$A175)</f>
        <v>-58124.800000000003</v>
      </c>
      <c r="U182" s="710">
        <f>-SUMIFS('B3 - Custos despesas indiretos'!BD$5:BD$148,'B3 - Custos despesas indiretos'!$B$5:$B$148,"Despesas",'B3 - Custos despesas indiretos'!$D$5:$D$148,$A175)</f>
        <v>-59819.6</v>
      </c>
      <c r="V182" s="710">
        <f>-SUMIFS('B3 - Custos despesas indiretos'!BE$5:BE$148,'B3 - Custos despesas indiretos'!$B$5:$B$148,"Despesas",'B3 - Custos despesas indiretos'!$D$5:$D$148,$A175)</f>
        <v>-59819.6</v>
      </c>
      <c r="W182" s="710">
        <f>-SUMIFS('B3 - Custos despesas indiretos'!BF$5:BF$148,'B3 - Custos despesas indiretos'!$B$5:$B$148,"Despesas",'B3 - Custos despesas indiretos'!$D$5:$D$148,$A175)</f>
        <v>-59819.6</v>
      </c>
      <c r="X182" s="710">
        <f>-SUMIFS('B3 - Custos despesas indiretos'!BG$5:BG$148,'B3 - Custos despesas indiretos'!$B$5:$B$148,"Despesas",'B3 - Custos despesas indiretos'!$D$5:$D$148,$A175)</f>
        <v>-59819.6</v>
      </c>
      <c r="Y182" s="710">
        <f>-SUMIFS('B3 - Custos despesas indiretos'!BH$5:BH$148,'B3 - Custos despesas indiretos'!$B$5:$B$148,"Despesas",'B3 - Custos despesas indiretos'!$D$5:$D$148,$A175)</f>
        <v>-59819.6</v>
      </c>
      <c r="Z182" s="710">
        <f>-SUMIFS('B3 - Custos despesas indiretos'!BI$5:BI$148,'B3 - Custos despesas indiretos'!$B$5:$B$148,"Despesas",'B3 - Custos despesas indiretos'!$D$5:$D$148,$A175)</f>
        <v>-59819.6</v>
      </c>
      <c r="AA182" s="710">
        <f>-SUMIFS('B3 - Custos despesas indiretos'!BJ$5:BJ$148,'B3 - Custos despesas indiretos'!$B$5:$B$148,"Despesas",'B3 - Custos despesas indiretos'!$D$5:$D$148,$A175)</f>
        <v>-59819.6</v>
      </c>
      <c r="AB182" s="710">
        <f>-SUMIFS('B3 - Custos despesas indiretos'!BK$5:BK$148,'B3 - Custos despesas indiretos'!$B$5:$B$148,"Despesas",'B3 - Custos despesas indiretos'!$D$5:$D$148,$A175)</f>
        <v>-59819.6</v>
      </c>
      <c r="AC182" s="710">
        <f>-SUMIFS('B3 - Custos despesas indiretos'!BL$5:BL$148,'B3 - Custos despesas indiretos'!$B$5:$B$148,"Despesas",'B3 - Custos despesas indiretos'!$D$5:$D$148,$A175)</f>
        <v>-59819.6</v>
      </c>
      <c r="AD182" s="710">
        <f>-SUMIFS('B3 - Custos despesas indiretos'!BM$5:BM$148,'B3 - Custos despesas indiretos'!$B$5:$B$148,"Despesas",'B3 - Custos despesas indiretos'!$D$5:$D$148,$A175)</f>
        <v>-59819.6</v>
      </c>
      <c r="AE182" s="710">
        <f>-SUMIFS('B3 - Custos despesas indiretos'!BN$5:BN$148,'B3 - Custos despesas indiretos'!$B$5:$B$148,"Despesas",'B3 - Custos despesas indiretos'!$D$5:$D$148,$A175)</f>
        <v>-59819.6</v>
      </c>
      <c r="AF182" s="594"/>
      <c r="AG182" s="594"/>
      <c r="AH182" s="594"/>
      <c r="AI182" s="594"/>
      <c r="AJ182" s="594"/>
      <c r="AK182" s="594"/>
      <c r="AL182" s="594"/>
      <c r="AM182" s="594"/>
      <c r="AN182" s="594"/>
      <c r="AO182" s="594"/>
      <c r="AP182" s="594"/>
      <c r="AQ182" s="594"/>
      <c r="AR182" s="594"/>
      <c r="AS182" s="594"/>
      <c r="AT182" s="594"/>
      <c r="AU182" s="594"/>
      <c r="AV182" s="594"/>
      <c r="AW182" s="594"/>
      <c r="AX182" s="594"/>
      <c r="AY182" s="594"/>
      <c r="AZ182" s="594"/>
      <c r="BA182" s="594"/>
      <c r="BB182" s="594"/>
      <c r="BC182" s="594"/>
      <c r="BD182" s="594"/>
      <c r="BE182" s="594"/>
      <c r="BF182" s="594"/>
      <c r="BG182" s="594"/>
      <c r="BH182" s="594"/>
      <c r="BI182" s="594"/>
      <c r="BJ182" s="594"/>
      <c r="BK182" s="594"/>
      <c r="BL182" s="57"/>
      <c r="BM182" s="594"/>
      <c r="BN182" s="594"/>
      <c r="BO182" s="594"/>
      <c r="BP182" s="594"/>
      <c r="BQ182" s="594"/>
      <c r="BR182" s="594"/>
      <c r="BS182" s="594"/>
      <c r="BT182" s="594"/>
      <c r="BU182" s="594"/>
      <c r="BV182" s="594"/>
      <c r="BW182" s="594"/>
      <c r="BX182" s="594"/>
      <c r="BY182" s="594"/>
      <c r="BZ182" s="594"/>
      <c r="CA182" s="594"/>
      <c r="CB182" s="594"/>
      <c r="CC182" s="594"/>
      <c r="CD182" s="594"/>
      <c r="CE182" s="594"/>
      <c r="CF182" s="594"/>
      <c r="CG182" s="594"/>
      <c r="CH182" s="594"/>
      <c r="CI182" s="594"/>
      <c r="CJ182" s="594"/>
      <c r="CK182" s="594"/>
      <c r="CL182" s="594"/>
      <c r="CM182" s="594"/>
      <c r="CN182" s="594"/>
      <c r="CO182" s="594"/>
      <c r="CP182" s="594"/>
      <c r="CQ182" s="594"/>
    </row>
    <row r="183" spans="1:95" ht="21" hidden="1" customHeight="1" outlineLevel="2">
      <c r="A183" s="709" t="s">
        <v>686</v>
      </c>
      <c r="B183" s="710">
        <f>-SUMIF('D2 - Capex uso'!$C$6:$C$176,$A175,'D2 - Capex uso'!GI$6:GI$176)</f>
        <v>-7755.5973000000004</v>
      </c>
      <c r="C183" s="710">
        <f>-SUMIF('D2 - Capex uso'!$C$6:$C$176,$A175,'D2 - Capex uso'!GJ$6:GJ$176)</f>
        <v>-7755.5973000000004</v>
      </c>
      <c r="D183" s="710">
        <f>-SUMIF('D2 - Capex uso'!$C$6:$C$176,$A175,'D2 - Capex uso'!GK$6:GK$176)</f>
        <v>-7755.5973000000004</v>
      </c>
      <c r="E183" s="710">
        <f>-SUMIF('D2 - Capex uso'!$C$6:$C$176,$A175,'D2 - Capex uso'!GL$6:GL$176)</f>
        <v>-7755.5973000000004</v>
      </c>
      <c r="F183" s="710">
        <f>-SUMIF('D2 - Capex uso'!$C$6:$C$176,$A175,'D2 - Capex uso'!GM$6:GM$176)</f>
        <v>-7755.5973000000004</v>
      </c>
      <c r="G183" s="710">
        <f>-SUMIF('D2 - Capex uso'!$C$6:$C$176,$A175,'D2 - Capex uso'!GN$6:GN$176)</f>
        <v>-7755.5973000000004</v>
      </c>
      <c r="H183" s="710">
        <f>-SUMIF('D2 - Capex uso'!$C$6:$C$176,$A175,'D2 - Capex uso'!GO$6:GO$176)</f>
        <v>-7755.5973000000004</v>
      </c>
      <c r="I183" s="710">
        <f>-SUMIF('D2 - Capex uso'!$C$6:$C$176,$A175,'D2 - Capex uso'!GP$6:GP$176)</f>
        <v>-7755.5973000000004</v>
      </c>
      <c r="J183" s="710">
        <f>-SUMIF('D2 - Capex uso'!$C$6:$C$176,$A175,'D2 - Capex uso'!GQ$6:GQ$176)</f>
        <v>-7755.5973000000004</v>
      </c>
      <c r="K183" s="710">
        <f>-SUMIF('D2 - Capex uso'!$C$6:$C$176,$A175,'D2 - Capex uso'!GR$6:GR$176)</f>
        <v>-7755.5973000000004</v>
      </c>
      <c r="L183" s="710">
        <f>-SUMIF('D2 - Capex uso'!$C$6:$C$176,$A175,'D2 - Capex uso'!GS$6:GS$176)</f>
        <v>-7755.5973000000004</v>
      </c>
      <c r="M183" s="710">
        <f>-SUMIF('D2 - Capex uso'!$C$6:$C$176,$A175,'D2 - Capex uso'!GT$6:GT$176)</f>
        <v>-7755.5973000000004</v>
      </c>
      <c r="N183" s="710">
        <f>-SUMIF('D2 - Capex uso'!$C$6:$C$176,$A175,'D2 - Capex uso'!GU$6:GU$176)</f>
        <v>-7755.5973000000004</v>
      </c>
      <c r="O183" s="710">
        <f>-SUMIF('D2 - Capex uso'!$C$6:$C$176,$A175,'D2 - Capex uso'!GV$6:GV$176)</f>
        <v>-7755.5973000000004</v>
      </c>
      <c r="P183" s="710">
        <f>-SUMIF('D2 - Capex uso'!$C$6:$C$176,$A175,'D2 - Capex uso'!GW$6:GW$176)</f>
        <v>-7755.5973000000004</v>
      </c>
      <c r="Q183" s="710">
        <f>-SUMIF('D2 - Capex uso'!$C$6:$C$176,$A175,'D2 - Capex uso'!GX$6:GX$176)</f>
        <v>-7755.5973000000004</v>
      </c>
      <c r="R183" s="710">
        <f>-SUMIF('D2 - Capex uso'!$C$6:$C$176,$A175,'D2 - Capex uso'!GY$6:GY$176)</f>
        <v>-7755.5973000000004</v>
      </c>
      <c r="S183" s="710">
        <f>-SUMIF('D2 - Capex uso'!$C$6:$C$176,$A175,'D2 - Capex uso'!GZ$6:GZ$176)</f>
        <v>-7755.5973000000004</v>
      </c>
      <c r="T183" s="710">
        <f>-SUMIF('D2 - Capex uso'!$C$6:$C$176,$A175,'D2 - Capex uso'!HA$6:HA$176)</f>
        <v>-7755.5973000000004</v>
      </c>
      <c r="U183" s="710">
        <f>-SUMIF('D2 - Capex uso'!$C$6:$C$176,$A175,'D2 - Capex uso'!HB$6:HB$176)</f>
        <v>-7755.5973000000004</v>
      </c>
      <c r="V183" s="710">
        <f>-SUMIF('D2 - Capex uso'!$C$6:$C$176,$A175,'D2 - Capex uso'!HC$6:HC$176)</f>
        <v>-7755.5973000000004</v>
      </c>
      <c r="W183" s="710">
        <f>-SUMIF('D2 - Capex uso'!$C$6:$C$176,$A175,'D2 - Capex uso'!HD$6:HD$176)</f>
        <v>-7755.5973000000004</v>
      </c>
      <c r="X183" s="710">
        <f>-SUMIF('D2 - Capex uso'!$C$6:$C$176,$A175,'D2 - Capex uso'!HE$6:HE$176)</f>
        <v>-7755.5973000000004</v>
      </c>
      <c r="Y183" s="710">
        <f>-SUMIF('D2 - Capex uso'!$C$6:$C$176,$A175,'D2 - Capex uso'!HF$6:HF$176)</f>
        <v>-7755.5973000000004</v>
      </c>
      <c r="Z183" s="710">
        <f>-SUMIF('D2 - Capex uso'!$C$6:$C$176,$A175,'D2 - Capex uso'!HG$6:HG$176)</f>
        <v>-7755.5973000000004</v>
      </c>
      <c r="AA183" s="710">
        <f>-SUMIF('D2 - Capex uso'!$C$6:$C$176,$A175,'D2 - Capex uso'!HH$6:HH$176)</f>
        <v>-7755.5973000000004</v>
      </c>
      <c r="AB183" s="710">
        <f>-SUMIF('D2 - Capex uso'!$C$6:$C$176,$A175,'D2 - Capex uso'!HI$6:HI$176)</f>
        <v>-7755.5973000000004</v>
      </c>
      <c r="AC183" s="710">
        <f>-SUMIF('D2 - Capex uso'!$C$6:$C$176,$A175,'D2 - Capex uso'!HJ$6:HJ$176)</f>
        <v>-7755.5973000000004</v>
      </c>
      <c r="AD183" s="710">
        <f>-SUMIF('D2 - Capex uso'!$C$6:$C$176,$A175,'D2 - Capex uso'!HK$6:HK$176)</f>
        <v>-7755.5973000000004</v>
      </c>
      <c r="AE183" s="710">
        <f>-SUMIF('D2 - Capex uso'!$C$6:$C$176,$A175,'D2 - Capex uso'!HL$6:HL$176)</f>
        <v>-7755.5973000000004</v>
      </c>
      <c r="AF183" s="594"/>
      <c r="AG183" s="594"/>
      <c r="AH183" s="594"/>
      <c r="AI183" s="594"/>
      <c r="AJ183" s="594"/>
      <c r="AK183" s="594"/>
      <c r="AL183" s="594"/>
      <c r="AM183" s="594"/>
      <c r="AN183" s="594"/>
      <c r="AO183" s="594"/>
      <c r="AP183" s="594"/>
      <c r="AQ183" s="594"/>
      <c r="AR183" s="594"/>
      <c r="AS183" s="594"/>
      <c r="AT183" s="594"/>
      <c r="AU183" s="594"/>
      <c r="AV183" s="594"/>
      <c r="AW183" s="594"/>
      <c r="AX183" s="594"/>
      <c r="AY183" s="594"/>
      <c r="AZ183" s="594"/>
      <c r="BA183" s="594"/>
      <c r="BB183" s="594"/>
      <c r="BC183" s="594"/>
      <c r="BD183" s="594"/>
      <c r="BE183" s="594"/>
      <c r="BF183" s="594"/>
      <c r="BG183" s="594"/>
      <c r="BH183" s="594"/>
      <c r="BI183" s="594"/>
      <c r="BJ183" s="594"/>
      <c r="BK183" s="594"/>
      <c r="BL183" s="57"/>
      <c r="BM183" s="594"/>
      <c r="BN183" s="594"/>
      <c r="BO183" s="594"/>
      <c r="BP183" s="594"/>
      <c r="BQ183" s="594"/>
      <c r="BR183" s="594"/>
      <c r="BS183" s="594"/>
      <c r="BT183" s="594"/>
      <c r="BU183" s="594"/>
      <c r="BV183" s="594"/>
      <c r="BW183" s="594"/>
      <c r="BX183" s="594"/>
      <c r="BY183" s="594"/>
      <c r="BZ183" s="594"/>
      <c r="CA183" s="594"/>
      <c r="CB183" s="594"/>
      <c r="CC183" s="594"/>
      <c r="CD183" s="594"/>
      <c r="CE183" s="594"/>
      <c r="CF183" s="594"/>
      <c r="CG183" s="594"/>
      <c r="CH183" s="594"/>
      <c r="CI183" s="594"/>
      <c r="CJ183" s="594"/>
      <c r="CK183" s="594"/>
      <c r="CL183" s="594"/>
      <c r="CM183" s="594"/>
      <c r="CN183" s="594"/>
      <c r="CO183" s="594"/>
      <c r="CP183" s="594"/>
      <c r="CQ183" s="594"/>
    </row>
    <row r="184" spans="1:95" ht="21" hidden="1" customHeight="1" outlineLevel="1">
      <c r="A184" s="708" t="s">
        <v>687</v>
      </c>
      <c r="B184" s="707">
        <f t="shared" ref="B184:AE184" si="58">SUM(B176:B178)</f>
        <v>-14722.097300000001</v>
      </c>
      <c r="C184" s="707">
        <f t="shared" si="58"/>
        <v>863592.09319855948</v>
      </c>
      <c r="D184" s="707">
        <f t="shared" si="58"/>
        <v>903492.83105295373</v>
      </c>
      <c r="E184" s="707">
        <f t="shared" si="58"/>
        <v>942124.98697874171</v>
      </c>
      <c r="F184" s="707">
        <f t="shared" si="58"/>
        <v>981385.29292035406</v>
      </c>
      <c r="G184" s="707">
        <f t="shared" si="58"/>
        <v>1021326.9706568866</v>
      </c>
      <c r="H184" s="707">
        <f t="shared" si="58"/>
        <v>1062403.2165222366</v>
      </c>
      <c r="I184" s="707">
        <f t="shared" si="58"/>
        <v>1104669.9609965147</v>
      </c>
      <c r="J184" s="707">
        <f t="shared" si="58"/>
        <v>1147711.1853664799</v>
      </c>
      <c r="K184" s="707">
        <f t="shared" si="58"/>
        <v>1191542.3215554638</v>
      </c>
      <c r="L184" s="707">
        <f t="shared" si="58"/>
        <v>1236761.6735947186</v>
      </c>
      <c r="M184" s="707">
        <f t="shared" si="58"/>
        <v>1283330.6586107521</v>
      </c>
      <c r="N184" s="707">
        <f t="shared" si="58"/>
        <v>1331383.5782965419</v>
      </c>
      <c r="O184" s="707">
        <f t="shared" si="58"/>
        <v>1380879.1387970757</v>
      </c>
      <c r="P184" s="707">
        <f t="shared" si="58"/>
        <v>1431871.5569557317</v>
      </c>
      <c r="Q184" s="707">
        <f t="shared" si="58"/>
        <v>1484267.3175278818</v>
      </c>
      <c r="R184" s="707">
        <f t="shared" si="58"/>
        <v>1537986.0508172852</v>
      </c>
      <c r="S184" s="707">
        <f t="shared" si="58"/>
        <v>1592853.0895086713</v>
      </c>
      <c r="T184" s="707">
        <f t="shared" si="58"/>
        <v>1648735.7893406849</v>
      </c>
      <c r="U184" s="707">
        <f t="shared" si="58"/>
        <v>1705354.0291935196</v>
      </c>
      <c r="V184" s="707">
        <f t="shared" si="58"/>
        <v>1705354.0291935196</v>
      </c>
      <c r="W184" s="707">
        <f t="shared" si="58"/>
        <v>1705354.0291935196</v>
      </c>
      <c r="X184" s="707">
        <f t="shared" si="58"/>
        <v>1705354.0291935196</v>
      </c>
      <c r="Y184" s="707">
        <f t="shared" si="58"/>
        <v>1705354.0291935196</v>
      </c>
      <c r="Z184" s="707">
        <f t="shared" si="58"/>
        <v>1705354.0291935196</v>
      </c>
      <c r="AA184" s="707">
        <f t="shared" si="58"/>
        <v>1705354.0291935196</v>
      </c>
      <c r="AB184" s="707">
        <f t="shared" si="58"/>
        <v>1705354.0291935196</v>
      </c>
      <c r="AC184" s="707">
        <f t="shared" si="58"/>
        <v>1705354.0291935196</v>
      </c>
      <c r="AD184" s="707">
        <f t="shared" si="58"/>
        <v>1705354.0291935196</v>
      </c>
      <c r="AE184" s="707">
        <f t="shared" si="58"/>
        <v>1705354.0291935196</v>
      </c>
      <c r="AF184" s="594"/>
      <c r="AG184" s="594"/>
      <c r="AH184" s="594"/>
      <c r="AI184" s="594"/>
      <c r="AJ184" s="594"/>
      <c r="AK184" s="594"/>
      <c r="AL184" s="594"/>
      <c r="AM184" s="594"/>
      <c r="AN184" s="594"/>
      <c r="AO184" s="594"/>
      <c r="AP184" s="594"/>
      <c r="AQ184" s="594"/>
      <c r="AR184" s="594"/>
      <c r="AS184" s="594"/>
      <c r="AT184" s="594"/>
      <c r="AU184" s="594"/>
      <c r="AV184" s="594"/>
      <c r="AW184" s="594"/>
      <c r="AX184" s="594"/>
      <c r="AY184" s="594"/>
      <c r="AZ184" s="594"/>
      <c r="BA184" s="594"/>
      <c r="BB184" s="594"/>
      <c r="BC184" s="594"/>
      <c r="BD184" s="594"/>
      <c r="BE184" s="594"/>
      <c r="BF184" s="594"/>
      <c r="BG184" s="594"/>
      <c r="BH184" s="594"/>
      <c r="BI184" s="594"/>
      <c r="BJ184" s="594"/>
      <c r="BK184" s="594"/>
      <c r="BL184" s="57"/>
      <c r="BM184" s="594"/>
      <c r="BN184" s="594"/>
      <c r="BO184" s="594"/>
      <c r="BP184" s="594"/>
      <c r="BQ184" s="594"/>
      <c r="BR184" s="594"/>
      <c r="BS184" s="594"/>
      <c r="BT184" s="594"/>
      <c r="BU184" s="594"/>
      <c r="BV184" s="594"/>
      <c r="BW184" s="594"/>
      <c r="BX184" s="594"/>
      <c r="BY184" s="594"/>
      <c r="BZ184" s="594"/>
      <c r="CA184" s="594"/>
      <c r="CB184" s="594"/>
      <c r="CC184" s="594"/>
      <c r="CD184" s="594"/>
      <c r="CE184" s="594"/>
      <c r="CF184" s="594"/>
      <c r="CG184" s="594"/>
      <c r="CH184" s="594"/>
      <c r="CI184" s="594"/>
      <c r="CJ184" s="594"/>
      <c r="CK184" s="594"/>
      <c r="CL184" s="594"/>
      <c r="CM184" s="594"/>
      <c r="CN184" s="594"/>
      <c r="CO184" s="594"/>
      <c r="CP184" s="594"/>
      <c r="CQ184" s="594"/>
    </row>
    <row r="185" spans="1:95" ht="19.5" hidden="1" customHeight="1" outlineLevel="1">
      <c r="A185" s="708" t="s">
        <v>688</v>
      </c>
      <c r="B185" s="707">
        <f t="shared" ref="B185:AE185" si="59">SUM(B186:B193)</f>
        <v>-155111.946</v>
      </c>
      <c r="C185" s="707">
        <f t="shared" si="59"/>
        <v>0</v>
      </c>
      <c r="D185" s="707">
        <f t="shared" si="59"/>
        <v>0</v>
      </c>
      <c r="E185" s="707">
        <f t="shared" si="59"/>
        <v>0</v>
      </c>
      <c r="F185" s="707">
        <f t="shared" si="59"/>
        <v>0</v>
      </c>
      <c r="G185" s="707">
        <f t="shared" si="59"/>
        <v>0</v>
      </c>
      <c r="H185" s="707">
        <f t="shared" si="59"/>
        <v>0</v>
      </c>
      <c r="I185" s="707">
        <f t="shared" si="59"/>
        <v>0</v>
      </c>
      <c r="J185" s="707">
        <f t="shared" si="59"/>
        <v>0</v>
      </c>
      <c r="K185" s="707">
        <f t="shared" si="59"/>
        <v>0</v>
      </c>
      <c r="L185" s="707">
        <f t="shared" si="59"/>
        <v>-112405.326</v>
      </c>
      <c r="M185" s="707">
        <f t="shared" si="59"/>
        <v>0</v>
      </c>
      <c r="N185" s="707">
        <f t="shared" si="59"/>
        <v>0</v>
      </c>
      <c r="O185" s="707">
        <f t="shared" si="59"/>
        <v>0</v>
      </c>
      <c r="P185" s="707">
        <f t="shared" si="59"/>
        <v>0</v>
      </c>
      <c r="Q185" s="707">
        <f t="shared" si="59"/>
        <v>0</v>
      </c>
      <c r="R185" s="707">
        <f t="shared" si="59"/>
        <v>0</v>
      </c>
      <c r="S185" s="707">
        <f t="shared" si="59"/>
        <v>0</v>
      </c>
      <c r="T185" s="707">
        <f t="shared" si="59"/>
        <v>0</v>
      </c>
      <c r="U185" s="707">
        <f t="shared" si="59"/>
        <v>0</v>
      </c>
      <c r="V185" s="707">
        <f t="shared" si="59"/>
        <v>-112405.326</v>
      </c>
      <c r="W185" s="707">
        <f t="shared" si="59"/>
        <v>0</v>
      </c>
      <c r="X185" s="707">
        <f t="shared" si="59"/>
        <v>0</v>
      </c>
      <c r="Y185" s="707">
        <f t="shared" si="59"/>
        <v>0</v>
      </c>
      <c r="Z185" s="707">
        <f t="shared" si="59"/>
        <v>0</v>
      </c>
      <c r="AA185" s="707">
        <f t="shared" si="59"/>
        <v>0</v>
      </c>
      <c r="AB185" s="707">
        <f t="shared" si="59"/>
        <v>0</v>
      </c>
      <c r="AC185" s="707">
        <f t="shared" si="59"/>
        <v>0</v>
      </c>
      <c r="AD185" s="707">
        <f t="shared" si="59"/>
        <v>0</v>
      </c>
      <c r="AE185" s="707">
        <f t="shared" si="59"/>
        <v>0</v>
      </c>
      <c r="AF185" s="594"/>
      <c r="AG185" s="594"/>
      <c r="AH185" s="594"/>
      <c r="AI185" s="594"/>
      <c r="AJ185" s="594"/>
      <c r="AK185" s="594"/>
      <c r="AL185" s="594"/>
      <c r="AM185" s="594"/>
      <c r="AN185" s="594"/>
      <c r="AO185" s="594"/>
      <c r="AP185" s="594"/>
      <c r="AQ185" s="594"/>
      <c r="AR185" s="594"/>
      <c r="AS185" s="594"/>
      <c r="AT185" s="594"/>
      <c r="AU185" s="594"/>
      <c r="AV185" s="594"/>
      <c r="AW185" s="594"/>
      <c r="AX185" s="594"/>
      <c r="AY185" s="594"/>
      <c r="AZ185" s="594"/>
      <c r="BA185" s="594"/>
      <c r="BB185" s="594"/>
      <c r="BC185" s="594"/>
      <c r="BD185" s="594"/>
      <c r="BE185" s="594"/>
      <c r="BF185" s="594"/>
      <c r="BG185" s="594"/>
      <c r="BH185" s="594"/>
      <c r="BI185" s="594"/>
      <c r="BJ185" s="594"/>
      <c r="BK185" s="594"/>
      <c r="BL185" s="57"/>
      <c r="BM185" s="594"/>
      <c r="BN185" s="594"/>
      <c r="BO185" s="594"/>
      <c r="BP185" s="594"/>
      <c r="BQ185" s="594"/>
      <c r="BR185" s="594"/>
      <c r="BS185" s="594"/>
      <c r="BT185" s="594"/>
      <c r="BU185" s="594"/>
      <c r="BV185" s="594"/>
      <c r="BW185" s="594"/>
      <c r="BX185" s="594"/>
      <c r="BY185" s="594"/>
      <c r="BZ185" s="594"/>
      <c r="CA185" s="594"/>
      <c r="CB185" s="594"/>
      <c r="CC185" s="594"/>
      <c r="CD185" s="594"/>
      <c r="CE185" s="594"/>
      <c r="CF185" s="594"/>
      <c r="CG185" s="594"/>
      <c r="CH185" s="594"/>
      <c r="CI185" s="594"/>
      <c r="CJ185" s="594"/>
      <c r="CK185" s="594"/>
      <c r="CL185" s="594"/>
      <c r="CM185" s="594"/>
      <c r="CN185" s="594"/>
      <c r="CO185" s="594"/>
      <c r="CP185" s="594"/>
      <c r="CQ185" s="594"/>
    </row>
    <row r="186" spans="1:95" ht="19.5" hidden="1" customHeight="1" outlineLevel="2">
      <c r="A186" s="709" t="s">
        <v>354</v>
      </c>
      <c r="B186" s="710">
        <f>-SUMIFS('D2 - Capex uso'!BS$6:BS$176,'D2 - Capex uso'!$C$6:$C$176,$A175,'D2 - Capex uso'!$AK$6:$AK$176,$A186)</f>
        <v>-42706.62</v>
      </c>
      <c r="C186" s="710">
        <f>-SUMIFS('D2 - Capex uso'!BT$6:BT$176,'D2 - Capex uso'!$C$6:$C$176,$A175,'D2 - Capex uso'!$AK$6:$AK$176,$A186)</f>
        <v>0</v>
      </c>
      <c r="D186" s="710">
        <f>-SUMIFS('D2 - Capex uso'!BU$6:BU$176,'D2 - Capex uso'!$C$6:$C$176,$A175,'D2 - Capex uso'!$AK$6:$AK$176,$A186)</f>
        <v>0</v>
      </c>
      <c r="E186" s="710">
        <f>-SUMIFS('D2 - Capex uso'!BV$6:BV$176,'D2 - Capex uso'!$C$6:$C$176,$A175,'D2 - Capex uso'!$AK$6:$AK$176,$A186)</f>
        <v>0</v>
      </c>
      <c r="F186" s="710">
        <f>-SUMIFS('D2 - Capex uso'!BW$6:BW$176,'D2 - Capex uso'!$C$6:$C$176,$A175,'D2 - Capex uso'!$AK$6:$AK$176,$A186)</f>
        <v>0</v>
      </c>
      <c r="G186" s="710">
        <f>-SUMIFS('D2 - Capex uso'!BX$6:BX$176,'D2 - Capex uso'!$C$6:$C$176,$A175,'D2 - Capex uso'!$AK$6:$AK$176,$A186)</f>
        <v>0</v>
      </c>
      <c r="H186" s="710">
        <f>-SUMIFS('D2 - Capex uso'!BY$6:BY$176,'D2 - Capex uso'!$C$6:$C$176,$A175,'D2 - Capex uso'!$AK$6:$AK$176,$A186)</f>
        <v>0</v>
      </c>
      <c r="I186" s="710">
        <f>-SUMIFS('D2 - Capex uso'!BZ$6:BZ$176,'D2 - Capex uso'!$C$6:$C$176,$A175,'D2 - Capex uso'!$AK$6:$AK$176,$A186)</f>
        <v>0</v>
      </c>
      <c r="J186" s="710">
        <f>-SUMIFS('D2 - Capex uso'!CA$6:CA$176,'D2 - Capex uso'!$C$6:$C$176,$A175,'D2 - Capex uso'!$AK$6:$AK$176,$A186)</f>
        <v>0</v>
      </c>
      <c r="K186" s="710">
        <f>-SUMIFS('D2 - Capex uso'!CB$6:CB$176,'D2 - Capex uso'!$C$6:$C$176,$A175,'D2 - Capex uso'!$AK$6:$AK$176,$A186)</f>
        <v>0</v>
      </c>
      <c r="L186" s="710">
        <f>-SUMIFS('D2 - Capex uso'!CC$6:CC$176,'D2 - Capex uso'!$C$6:$C$176,$A175,'D2 - Capex uso'!$AK$6:$AK$176,$A186)</f>
        <v>0</v>
      </c>
      <c r="M186" s="710">
        <f>-SUMIFS('D2 - Capex uso'!CD$6:CD$176,'D2 - Capex uso'!$C$6:$C$176,$A175,'D2 - Capex uso'!$AK$6:$AK$176,$A186)</f>
        <v>0</v>
      </c>
      <c r="N186" s="710">
        <f>-SUMIFS('D2 - Capex uso'!CE$6:CE$176,'D2 - Capex uso'!$C$6:$C$176,$A175,'D2 - Capex uso'!$AK$6:$AK$176,$A186)</f>
        <v>0</v>
      </c>
      <c r="O186" s="710">
        <f>-SUMIFS('D2 - Capex uso'!CF$6:CF$176,'D2 - Capex uso'!$C$6:$C$176,$A175,'D2 - Capex uso'!$AK$6:$AK$176,$A186)</f>
        <v>0</v>
      </c>
      <c r="P186" s="710">
        <f>-SUMIFS('D2 - Capex uso'!CG$6:CG$176,'D2 - Capex uso'!$C$6:$C$176,$A175,'D2 - Capex uso'!$AK$6:$AK$176,$A186)</f>
        <v>0</v>
      </c>
      <c r="Q186" s="710">
        <f>-SUMIFS('D2 - Capex uso'!CH$6:CH$176,'D2 - Capex uso'!$C$6:$C$176,$A175,'D2 - Capex uso'!$AK$6:$AK$176,$A186)</f>
        <v>0</v>
      </c>
      <c r="R186" s="710">
        <f>-SUMIFS('D2 - Capex uso'!CI$6:CI$176,'D2 - Capex uso'!$C$6:$C$176,$A175,'D2 - Capex uso'!$AK$6:$AK$176,$A186)</f>
        <v>0</v>
      </c>
      <c r="S186" s="710">
        <f>-SUMIFS('D2 - Capex uso'!CJ$6:CJ$176,'D2 - Capex uso'!$C$6:$C$176,$A175,'D2 - Capex uso'!$AK$6:$AK$176,$A186)</f>
        <v>0</v>
      </c>
      <c r="T186" s="710">
        <f>-SUMIFS('D2 - Capex uso'!CK$6:CK$176,'D2 - Capex uso'!$C$6:$C$176,$A175,'D2 - Capex uso'!$AK$6:$AK$176,$A186)</f>
        <v>0</v>
      </c>
      <c r="U186" s="710">
        <f>-SUMIFS('D2 - Capex uso'!CL$6:CL$176,'D2 - Capex uso'!$C$6:$C$176,$A175,'D2 - Capex uso'!$AK$6:$AK$176,$A186)</f>
        <v>0</v>
      </c>
      <c r="V186" s="710">
        <f>-SUMIFS('D2 - Capex uso'!CM$6:CM$176,'D2 - Capex uso'!$C$6:$C$176,$A175,'D2 - Capex uso'!$AK$6:$AK$176,$A186)</f>
        <v>0</v>
      </c>
      <c r="W186" s="710">
        <f>-SUMIFS('D2 - Capex uso'!CN$6:CN$176,'D2 - Capex uso'!$C$6:$C$176,$A175,'D2 - Capex uso'!$AK$6:$AK$176,$A186)</f>
        <v>0</v>
      </c>
      <c r="X186" s="710">
        <f>-SUMIFS('D2 - Capex uso'!CO$6:CO$176,'D2 - Capex uso'!$C$6:$C$176,$A175,'D2 - Capex uso'!$AK$6:$AK$176,$A186)</f>
        <v>0</v>
      </c>
      <c r="Y186" s="710">
        <f>-SUMIFS('D2 - Capex uso'!CP$6:CP$176,'D2 - Capex uso'!$C$6:$C$176,$A175,'D2 - Capex uso'!$AK$6:$AK$176,$A186)</f>
        <v>0</v>
      </c>
      <c r="Z186" s="710">
        <f>-SUMIFS('D2 - Capex uso'!CQ$6:CQ$176,'D2 - Capex uso'!$C$6:$C$176,$A175,'D2 - Capex uso'!$AK$6:$AK$176,$A186)</f>
        <v>0</v>
      </c>
      <c r="AA186" s="710">
        <f>-SUMIFS('D2 - Capex uso'!CR$6:CR$176,'D2 - Capex uso'!$C$6:$C$176,$A175,'D2 - Capex uso'!$AK$6:$AK$176,$A186)</f>
        <v>0</v>
      </c>
      <c r="AB186" s="710">
        <f>-SUMIFS('D2 - Capex uso'!CS$6:CS$176,'D2 - Capex uso'!$C$6:$C$176,$A175,'D2 - Capex uso'!$AK$6:$AK$176,$A186)</f>
        <v>0</v>
      </c>
      <c r="AC186" s="710">
        <f>-SUMIFS('D2 - Capex uso'!CT$6:CT$176,'D2 - Capex uso'!$C$6:$C$176,$A175,'D2 - Capex uso'!$AK$6:$AK$176,$A186)</f>
        <v>0</v>
      </c>
      <c r="AD186" s="710">
        <f>-SUMIFS('D2 - Capex uso'!CU$6:CU$176,'D2 - Capex uso'!$C$6:$C$176,$A175,'D2 - Capex uso'!$AK$6:$AK$176,$A186)</f>
        <v>0</v>
      </c>
      <c r="AE186" s="710">
        <f>-SUMIFS('D2 - Capex uso'!CV$6:CV$176,'D2 - Capex uso'!$C$6:$C$176,$A175,'D2 - Capex uso'!$AK$6:$AK$176,$A186)</f>
        <v>0</v>
      </c>
      <c r="AF186" s="594"/>
      <c r="AG186" s="594"/>
      <c r="AH186" s="594"/>
      <c r="AI186" s="594"/>
      <c r="AJ186" s="594"/>
      <c r="AK186" s="594"/>
      <c r="AL186" s="594"/>
      <c r="AM186" s="594"/>
      <c r="AN186" s="594"/>
      <c r="AO186" s="594"/>
      <c r="AP186" s="594"/>
      <c r="AQ186" s="594"/>
      <c r="AR186" s="594"/>
      <c r="AS186" s="594"/>
      <c r="AT186" s="594"/>
      <c r="AU186" s="594"/>
      <c r="AV186" s="594"/>
      <c r="AW186" s="594"/>
      <c r="AX186" s="594"/>
      <c r="AY186" s="594"/>
      <c r="AZ186" s="594"/>
      <c r="BA186" s="594"/>
      <c r="BB186" s="594"/>
      <c r="BC186" s="594"/>
      <c r="BD186" s="594"/>
      <c r="BE186" s="594"/>
      <c r="BF186" s="594"/>
      <c r="BG186" s="594"/>
      <c r="BH186" s="594"/>
      <c r="BI186" s="594"/>
      <c r="BJ186" s="594"/>
      <c r="BK186" s="594"/>
      <c r="BL186" s="57"/>
      <c r="BM186" s="594"/>
      <c r="BN186" s="594"/>
      <c r="BO186" s="594"/>
      <c r="BP186" s="594"/>
      <c r="BQ186" s="594"/>
      <c r="BR186" s="594"/>
      <c r="BS186" s="594"/>
      <c r="BT186" s="594"/>
      <c r="BU186" s="594"/>
      <c r="BV186" s="594"/>
      <c r="BW186" s="594"/>
      <c r="BX186" s="594"/>
      <c r="BY186" s="594"/>
      <c r="BZ186" s="594"/>
      <c r="CA186" s="594"/>
      <c r="CB186" s="594"/>
      <c r="CC186" s="594"/>
      <c r="CD186" s="594"/>
      <c r="CE186" s="594"/>
      <c r="CF186" s="594"/>
      <c r="CG186" s="594"/>
      <c r="CH186" s="594"/>
      <c r="CI186" s="594"/>
      <c r="CJ186" s="594"/>
      <c r="CK186" s="594"/>
      <c r="CL186" s="594"/>
      <c r="CM186" s="594"/>
      <c r="CN186" s="594"/>
      <c r="CO186" s="594"/>
      <c r="CP186" s="594"/>
      <c r="CQ186" s="594"/>
    </row>
    <row r="187" spans="1:95" ht="19.5" hidden="1" customHeight="1" outlineLevel="2">
      <c r="A187" s="709" t="s">
        <v>689</v>
      </c>
      <c r="B187" s="710">
        <f>-SUMIFS('D2 - Capex uso'!BS$6:BS$176,'D2 - Capex uso'!$C$6:$C$176,$A175,'D2 - Capex uso'!$AK$6:$AK$176,$A187)</f>
        <v>0</v>
      </c>
      <c r="C187" s="710">
        <f>-SUMIFS('D2 - Capex uso'!BT$6:BT$176,'D2 - Capex uso'!$C$6:$C$176,$A175,'D2 - Capex uso'!$AK$6:$AK$176,$A187)</f>
        <v>0</v>
      </c>
      <c r="D187" s="710">
        <f>-SUMIFS('D2 - Capex uso'!BU$6:BU$176,'D2 - Capex uso'!$C$6:$C$176,$A175,'D2 - Capex uso'!$AK$6:$AK$176,$A187)</f>
        <v>0</v>
      </c>
      <c r="E187" s="710">
        <f>-SUMIFS('D2 - Capex uso'!BV$6:BV$176,'D2 - Capex uso'!$C$6:$C$176,$A175,'D2 - Capex uso'!$AK$6:$AK$176,$A187)</f>
        <v>0</v>
      </c>
      <c r="F187" s="710">
        <f>-SUMIFS('D2 - Capex uso'!BW$6:BW$176,'D2 - Capex uso'!$C$6:$C$176,$A175,'D2 - Capex uso'!$AK$6:$AK$176,$A187)</f>
        <v>0</v>
      </c>
      <c r="G187" s="710">
        <f>-SUMIFS('D2 - Capex uso'!BX$6:BX$176,'D2 - Capex uso'!$C$6:$C$176,$A175,'D2 - Capex uso'!$AK$6:$AK$176,$A187)</f>
        <v>0</v>
      </c>
      <c r="H187" s="710">
        <f>-SUMIFS('D2 - Capex uso'!BY$6:BY$176,'D2 - Capex uso'!$C$6:$C$176,$A175,'D2 - Capex uso'!$AK$6:$AK$176,$A187)</f>
        <v>0</v>
      </c>
      <c r="I187" s="710">
        <f>-SUMIFS('D2 - Capex uso'!BZ$6:BZ$176,'D2 - Capex uso'!$C$6:$C$176,$A175,'D2 - Capex uso'!$AK$6:$AK$176,$A187)</f>
        <v>0</v>
      </c>
      <c r="J187" s="710">
        <f>-SUMIFS('D2 - Capex uso'!CA$6:CA$176,'D2 - Capex uso'!$C$6:$C$176,$A175,'D2 - Capex uso'!$AK$6:$AK$176,$A187)</f>
        <v>0</v>
      </c>
      <c r="K187" s="710">
        <f>-SUMIFS('D2 - Capex uso'!CB$6:CB$176,'D2 - Capex uso'!$C$6:$C$176,$A175,'D2 - Capex uso'!$AK$6:$AK$176,$A187)</f>
        <v>0</v>
      </c>
      <c r="L187" s="710">
        <f>-SUMIFS('D2 - Capex uso'!CC$6:CC$176,'D2 - Capex uso'!$C$6:$C$176,$A175,'D2 - Capex uso'!$AK$6:$AK$176,$A187)</f>
        <v>0</v>
      </c>
      <c r="M187" s="710">
        <f>-SUMIFS('D2 - Capex uso'!CD$6:CD$176,'D2 - Capex uso'!$C$6:$C$176,$A175,'D2 - Capex uso'!$AK$6:$AK$176,$A187)</f>
        <v>0</v>
      </c>
      <c r="N187" s="710">
        <f>-SUMIFS('D2 - Capex uso'!CE$6:CE$176,'D2 - Capex uso'!$C$6:$C$176,$A175,'D2 - Capex uso'!$AK$6:$AK$176,$A187)</f>
        <v>0</v>
      </c>
      <c r="O187" s="710">
        <f>-SUMIFS('D2 - Capex uso'!CF$6:CF$176,'D2 - Capex uso'!$C$6:$C$176,$A175,'D2 - Capex uso'!$AK$6:$AK$176,$A187)</f>
        <v>0</v>
      </c>
      <c r="P187" s="710">
        <f>-SUMIFS('D2 - Capex uso'!CG$6:CG$176,'D2 - Capex uso'!$C$6:$C$176,$A175,'D2 - Capex uso'!$AK$6:$AK$176,$A187)</f>
        <v>0</v>
      </c>
      <c r="Q187" s="710">
        <f>-SUMIFS('D2 - Capex uso'!CH$6:CH$176,'D2 - Capex uso'!$C$6:$C$176,$A175,'D2 - Capex uso'!$AK$6:$AK$176,$A187)</f>
        <v>0</v>
      </c>
      <c r="R187" s="710">
        <f>-SUMIFS('D2 - Capex uso'!CI$6:CI$176,'D2 - Capex uso'!$C$6:$C$176,$A175,'D2 - Capex uso'!$AK$6:$AK$176,$A187)</f>
        <v>0</v>
      </c>
      <c r="S187" s="710">
        <f>-SUMIFS('D2 - Capex uso'!CJ$6:CJ$176,'D2 - Capex uso'!$C$6:$C$176,$A175,'D2 - Capex uso'!$AK$6:$AK$176,$A187)</f>
        <v>0</v>
      </c>
      <c r="T187" s="710">
        <f>-SUMIFS('D2 - Capex uso'!CK$6:CK$176,'D2 - Capex uso'!$C$6:$C$176,$A175,'D2 - Capex uso'!$AK$6:$AK$176,$A187)</f>
        <v>0</v>
      </c>
      <c r="U187" s="710">
        <f>-SUMIFS('D2 - Capex uso'!CL$6:CL$176,'D2 - Capex uso'!$C$6:$C$176,$A175,'D2 - Capex uso'!$AK$6:$AK$176,$A187)</f>
        <v>0</v>
      </c>
      <c r="V187" s="710">
        <f>-SUMIFS('D2 - Capex uso'!CM$6:CM$176,'D2 - Capex uso'!$C$6:$C$176,$A175,'D2 - Capex uso'!$AK$6:$AK$176,$A187)</f>
        <v>0</v>
      </c>
      <c r="W187" s="710">
        <f>-SUMIFS('D2 - Capex uso'!CN$6:CN$176,'D2 - Capex uso'!$C$6:$C$176,$A175,'D2 - Capex uso'!$AK$6:$AK$176,$A187)</f>
        <v>0</v>
      </c>
      <c r="X187" s="710">
        <f>-SUMIFS('D2 - Capex uso'!CO$6:CO$176,'D2 - Capex uso'!$C$6:$C$176,$A175,'D2 - Capex uso'!$AK$6:$AK$176,$A187)</f>
        <v>0</v>
      </c>
      <c r="Y187" s="710">
        <f>-SUMIFS('D2 - Capex uso'!CP$6:CP$176,'D2 - Capex uso'!$C$6:$C$176,$A175,'D2 - Capex uso'!$AK$6:$AK$176,$A187)</f>
        <v>0</v>
      </c>
      <c r="Z187" s="710">
        <f>-SUMIFS('D2 - Capex uso'!CQ$6:CQ$176,'D2 - Capex uso'!$C$6:$C$176,$A175,'D2 - Capex uso'!$AK$6:$AK$176,$A187)</f>
        <v>0</v>
      </c>
      <c r="AA187" s="710">
        <f>-SUMIFS('D2 - Capex uso'!CR$6:CR$176,'D2 - Capex uso'!$C$6:$C$176,$A175,'D2 - Capex uso'!$AK$6:$AK$176,$A187)</f>
        <v>0</v>
      </c>
      <c r="AB187" s="710">
        <f>-SUMIFS('D2 - Capex uso'!CS$6:CS$176,'D2 - Capex uso'!$C$6:$C$176,$A175,'D2 - Capex uso'!$AK$6:$AK$176,$A187)</f>
        <v>0</v>
      </c>
      <c r="AC187" s="710">
        <f>-SUMIFS('D2 - Capex uso'!CT$6:CT$176,'D2 - Capex uso'!$C$6:$C$176,$A175,'D2 - Capex uso'!$AK$6:$AK$176,$A187)</f>
        <v>0</v>
      </c>
      <c r="AD187" s="710">
        <f>-SUMIFS('D2 - Capex uso'!CU$6:CU$176,'D2 - Capex uso'!$C$6:$C$176,$A175,'D2 - Capex uso'!$AK$6:$AK$176,$A187)</f>
        <v>0</v>
      </c>
      <c r="AE187" s="710">
        <f>-SUMIFS('D2 - Capex uso'!CV$6:CV$176,'D2 - Capex uso'!$C$6:$C$176,$A175,'D2 - Capex uso'!$AK$6:$AK$176,$A187)</f>
        <v>0</v>
      </c>
      <c r="AF187" s="594"/>
      <c r="AG187" s="594"/>
      <c r="AH187" s="594"/>
      <c r="AI187" s="594"/>
      <c r="AJ187" s="594"/>
      <c r="AK187" s="594"/>
      <c r="AL187" s="594"/>
      <c r="AM187" s="594"/>
      <c r="AN187" s="594"/>
      <c r="AO187" s="594"/>
      <c r="AP187" s="594"/>
      <c r="AQ187" s="594"/>
      <c r="AR187" s="594"/>
      <c r="AS187" s="594"/>
      <c r="AT187" s="594"/>
      <c r="AU187" s="594"/>
      <c r="AV187" s="594"/>
      <c r="AW187" s="594"/>
      <c r="AX187" s="594"/>
      <c r="AY187" s="594"/>
      <c r="AZ187" s="594"/>
      <c r="BA187" s="594"/>
      <c r="BB187" s="594"/>
      <c r="BC187" s="594"/>
      <c r="BD187" s="594"/>
      <c r="BE187" s="594"/>
      <c r="BF187" s="594"/>
      <c r="BG187" s="594"/>
      <c r="BH187" s="594"/>
      <c r="BI187" s="594"/>
      <c r="BJ187" s="594"/>
      <c r="BK187" s="594"/>
      <c r="BL187" s="57"/>
      <c r="BM187" s="594"/>
      <c r="BN187" s="594"/>
      <c r="BO187" s="594"/>
      <c r="BP187" s="594"/>
      <c r="BQ187" s="594"/>
      <c r="BR187" s="594"/>
      <c r="BS187" s="594"/>
      <c r="BT187" s="594"/>
      <c r="BU187" s="594"/>
      <c r="BV187" s="594"/>
      <c r="BW187" s="594"/>
      <c r="BX187" s="594"/>
      <c r="BY187" s="594"/>
      <c r="BZ187" s="594"/>
      <c r="CA187" s="594"/>
      <c r="CB187" s="594"/>
      <c r="CC187" s="594"/>
      <c r="CD187" s="594"/>
      <c r="CE187" s="594"/>
      <c r="CF187" s="594"/>
      <c r="CG187" s="594"/>
      <c r="CH187" s="594"/>
      <c r="CI187" s="594"/>
      <c r="CJ187" s="594"/>
      <c r="CK187" s="594"/>
      <c r="CL187" s="594"/>
      <c r="CM187" s="594"/>
      <c r="CN187" s="594"/>
      <c r="CO187" s="594"/>
      <c r="CP187" s="594"/>
      <c r="CQ187" s="594"/>
    </row>
    <row r="188" spans="1:95" ht="19.5" hidden="1" customHeight="1" outlineLevel="2">
      <c r="A188" s="709" t="s">
        <v>378</v>
      </c>
      <c r="B188" s="710">
        <f>-SUMIFS('D2 - Capex uso'!BS$6:BS$176,'D2 - Capex uso'!$C$6:$C$176,$A175,'D2 - Capex uso'!$AK$6:$AK$176,$A188)</f>
        <v>0</v>
      </c>
      <c r="C188" s="710">
        <f>-SUMIFS('D2 - Capex uso'!BT$6:BT$176,'D2 - Capex uso'!$C$6:$C$176,$A175,'D2 - Capex uso'!$AK$6:$AK$176,$A188)</f>
        <v>0</v>
      </c>
      <c r="D188" s="710">
        <f>-SUMIFS('D2 - Capex uso'!BU$6:BU$176,'D2 - Capex uso'!$C$6:$C$176,$A175,'D2 - Capex uso'!$AK$6:$AK$176,$A188)</f>
        <v>0</v>
      </c>
      <c r="E188" s="710">
        <f>-SUMIFS('D2 - Capex uso'!BV$6:BV$176,'D2 - Capex uso'!$C$6:$C$176,$A175,'D2 - Capex uso'!$AK$6:$AK$176,$A188)</f>
        <v>0</v>
      </c>
      <c r="F188" s="710">
        <f>-SUMIFS('D2 - Capex uso'!BW$6:BW$176,'D2 - Capex uso'!$C$6:$C$176,$A175,'D2 - Capex uso'!$AK$6:$AK$176,$A188)</f>
        <v>0</v>
      </c>
      <c r="G188" s="710">
        <f>-SUMIFS('D2 - Capex uso'!BX$6:BX$176,'D2 - Capex uso'!$C$6:$C$176,$A175,'D2 - Capex uso'!$AK$6:$AK$176,$A188)</f>
        <v>0</v>
      </c>
      <c r="H188" s="710">
        <f>-SUMIFS('D2 - Capex uso'!BY$6:BY$176,'D2 - Capex uso'!$C$6:$C$176,$A175,'D2 - Capex uso'!$AK$6:$AK$176,$A188)</f>
        <v>0</v>
      </c>
      <c r="I188" s="710">
        <f>-SUMIFS('D2 - Capex uso'!BZ$6:BZ$176,'D2 - Capex uso'!$C$6:$C$176,$A175,'D2 - Capex uso'!$AK$6:$AK$176,$A188)</f>
        <v>0</v>
      </c>
      <c r="J188" s="710">
        <f>-SUMIFS('D2 - Capex uso'!CA$6:CA$176,'D2 - Capex uso'!$C$6:$C$176,$A175,'D2 - Capex uso'!$AK$6:$AK$176,$A188)</f>
        <v>0</v>
      </c>
      <c r="K188" s="710">
        <f>-SUMIFS('D2 - Capex uso'!CB$6:CB$176,'D2 - Capex uso'!$C$6:$C$176,$A175,'D2 - Capex uso'!$AK$6:$AK$176,$A188)</f>
        <v>0</v>
      </c>
      <c r="L188" s="710">
        <f>-SUMIFS('D2 - Capex uso'!CC$6:CC$176,'D2 - Capex uso'!$C$6:$C$176,$A175,'D2 - Capex uso'!$AK$6:$AK$176,$A188)</f>
        <v>0</v>
      </c>
      <c r="M188" s="710">
        <f>-SUMIFS('D2 - Capex uso'!CD$6:CD$176,'D2 - Capex uso'!$C$6:$C$176,$A175,'D2 - Capex uso'!$AK$6:$AK$176,$A188)</f>
        <v>0</v>
      </c>
      <c r="N188" s="710">
        <f>-SUMIFS('D2 - Capex uso'!CE$6:CE$176,'D2 - Capex uso'!$C$6:$C$176,$A175,'D2 - Capex uso'!$AK$6:$AK$176,$A188)</f>
        <v>0</v>
      </c>
      <c r="O188" s="710">
        <f>-SUMIFS('D2 - Capex uso'!CF$6:CF$176,'D2 - Capex uso'!$C$6:$C$176,$A175,'D2 - Capex uso'!$AK$6:$AK$176,$A188)</f>
        <v>0</v>
      </c>
      <c r="P188" s="710">
        <f>-SUMIFS('D2 - Capex uso'!CG$6:CG$176,'D2 - Capex uso'!$C$6:$C$176,$A175,'D2 - Capex uso'!$AK$6:$AK$176,$A188)</f>
        <v>0</v>
      </c>
      <c r="Q188" s="710">
        <f>-SUMIFS('D2 - Capex uso'!CH$6:CH$176,'D2 - Capex uso'!$C$6:$C$176,$A175,'D2 - Capex uso'!$AK$6:$AK$176,$A188)</f>
        <v>0</v>
      </c>
      <c r="R188" s="710">
        <f>-SUMIFS('D2 - Capex uso'!CI$6:CI$176,'D2 - Capex uso'!$C$6:$C$176,$A175,'D2 - Capex uso'!$AK$6:$AK$176,$A188)</f>
        <v>0</v>
      </c>
      <c r="S188" s="710">
        <f>-SUMIFS('D2 - Capex uso'!CJ$6:CJ$176,'D2 - Capex uso'!$C$6:$C$176,$A175,'D2 - Capex uso'!$AK$6:$AK$176,$A188)</f>
        <v>0</v>
      </c>
      <c r="T188" s="710">
        <f>-SUMIFS('D2 - Capex uso'!CK$6:CK$176,'D2 - Capex uso'!$C$6:$C$176,$A175,'D2 - Capex uso'!$AK$6:$AK$176,$A188)</f>
        <v>0</v>
      </c>
      <c r="U188" s="710">
        <f>-SUMIFS('D2 - Capex uso'!CL$6:CL$176,'D2 - Capex uso'!$C$6:$C$176,$A175,'D2 - Capex uso'!$AK$6:$AK$176,$A188)</f>
        <v>0</v>
      </c>
      <c r="V188" s="710">
        <f>-SUMIFS('D2 - Capex uso'!CM$6:CM$176,'D2 - Capex uso'!$C$6:$C$176,$A175,'D2 - Capex uso'!$AK$6:$AK$176,$A188)</f>
        <v>0</v>
      </c>
      <c r="W188" s="710">
        <f>-SUMIFS('D2 - Capex uso'!CN$6:CN$176,'D2 - Capex uso'!$C$6:$C$176,$A175,'D2 - Capex uso'!$AK$6:$AK$176,$A188)</f>
        <v>0</v>
      </c>
      <c r="X188" s="710">
        <f>-SUMIFS('D2 - Capex uso'!CO$6:CO$176,'D2 - Capex uso'!$C$6:$C$176,$A175,'D2 - Capex uso'!$AK$6:$AK$176,$A188)</f>
        <v>0</v>
      </c>
      <c r="Y188" s="710">
        <f>-SUMIFS('D2 - Capex uso'!CP$6:CP$176,'D2 - Capex uso'!$C$6:$C$176,$A175,'D2 - Capex uso'!$AK$6:$AK$176,$A188)</f>
        <v>0</v>
      </c>
      <c r="Z188" s="710">
        <f>-SUMIFS('D2 - Capex uso'!CQ$6:CQ$176,'D2 - Capex uso'!$C$6:$C$176,$A175,'D2 - Capex uso'!$AK$6:$AK$176,$A188)</f>
        <v>0</v>
      </c>
      <c r="AA188" s="710">
        <f>-SUMIFS('D2 - Capex uso'!CR$6:CR$176,'D2 - Capex uso'!$C$6:$C$176,$A175,'D2 - Capex uso'!$AK$6:$AK$176,$A188)</f>
        <v>0</v>
      </c>
      <c r="AB188" s="710">
        <f>-SUMIFS('D2 - Capex uso'!CS$6:CS$176,'D2 - Capex uso'!$C$6:$C$176,$A175,'D2 - Capex uso'!$AK$6:$AK$176,$A188)</f>
        <v>0</v>
      </c>
      <c r="AC188" s="710">
        <f>-SUMIFS('D2 - Capex uso'!CT$6:CT$176,'D2 - Capex uso'!$C$6:$C$176,$A175,'D2 - Capex uso'!$AK$6:$AK$176,$A188)</f>
        <v>0</v>
      </c>
      <c r="AD188" s="710">
        <f>-SUMIFS('D2 - Capex uso'!CU$6:CU$176,'D2 - Capex uso'!$C$6:$C$176,$A175,'D2 - Capex uso'!$AK$6:$AK$176,$A188)</f>
        <v>0</v>
      </c>
      <c r="AE188" s="710">
        <f>-SUMIFS('D2 - Capex uso'!CV$6:CV$176,'D2 - Capex uso'!$C$6:$C$176,$A175,'D2 - Capex uso'!$AK$6:$AK$176,$A188)</f>
        <v>0</v>
      </c>
      <c r="AF188" s="594"/>
      <c r="AG188" s="594"/>
      <c r="AH188" s="594"/>
      <c r="AI188" s="594"/>
      <c r="AJ188" s="594"/>
      <c r="AK188" s="594"/>
      <c r="AL188" s="594"/>
      <c r="AM188" s="594"/>
      <c r="AN188" s="594"/>
      <c r="AO188" s="594"/>
      <c r="AP188" s="594"/>
      <c r="AQ188" s="594"/>
      <c r="AR188" s="594"/>
      <c r="AS188" s="594"/>
      <c r="AT188" s="594"/>
      <c r="AU188" s="594"/>
      <c r="AV188" s="594"/>
      <c r="AW188" s="594"/>
      <c r="AX188" s="594"/>
      <c r="AY188" s="594"/>
      <c r="AZ188" s="594"/>
      <c r="BA188" s="594"/>
      <c r="BB188" s="594"/>
      <c r="BC188" s="594"/>
      <c r="BD188" s="594"/>
      <c r="BE188" s="594"/>
      <c r="BF188" s="594"/>
      <c r="BG188" s="594"/>
      <c r="BH188" s="594"/>
      <c r="BI188" s="594"/>
      <c r="BJ188" s="594"/>
      <c r="BK188" s="594"/>
      <c r="BL188" s="57"/>
      <c r="BM188" s="594"/>
      <c r="BN188" s="594"/>
      <c r="BO188" s="594"/>
      <c r="BP188" s="594"/>
      <c r="BQ188" s="594"/>
      <c r="BR188" s="594"/>
      <c r="BS188" s="594"/>
      <c r="BT188" s="594"/>
      <c r="BU188" s="594"/>
      <c r="BV188" s="594"/>
      <c r="BW188" s="594"/>
      <c r="BX188" s="594"/>
      <c r="BY188" s="594"/>
      <c r="BZ188" s="594"/>
      <c r="CA188" s="594"/>
      <c r="CB188" s="594"/>
      <c r="CC188" s="594"/>
      <c r="CD188" s="594"/>
      <c r="CE188" s="594"/>
      <c r="CF188" s="594"/>
      <c r="CG188" s="594"/>
      <c r="CH188" s="594"/>
      <c r="CI188" s="594"/>
      <c r="CJ188" s="594"/>
      <c r="CK188" s="594"/>
      <c r="CL188" s="594"/>
      <c r="CM188" s="594"/>
      <c r="CN188" s="594"/>
      <c r="CO188" s="594"/>
      <c r="CP188" s="594"/>
      <c r="CQ188" s="594"/>
    </row>
    <row r="189" spans="1:95" ht="19.5" hidden="1" customHeight="1" outlineLevel="2">
      <c r="A189" s="709" t="s">
        <v>366</v>
      </c>
      <c r="B189" s="710">
        <f>-SUMIFS('D2 - Capex uso'!BS$6:BS$176,'D2 - Capex uso'!$C$6:$C$176,$A175,'D2 - Capex uso'!$AK$6:$AK$176,$A189)</f>
        <v>-107125.326</v>
      </c>
      <c r="C189" s="710">
        <f>-SUMIFS('D2 - Capex uso'!BT$6:BT$176,'D2 - Capex uso'!$C$6:$C$176,$A175,'D2 - Capex uso'!$AK$6:$AK$176,$A189)</f>
        <v>0</v>
      </c>
      <c r="D189" s="710">
        <f>-SUMIFS('D2 - Capex uso'!BU$6:BU$176,'D2 - Capex uso'!$C$6:$C$176,$A175,'D2 - Capex uso'!$AK$6:$AK$176,$A189)</f>
        <v>0</v>
      </c>
      <c r="E189" s="710">
        <f>-SUMIFS('D2 - Capex uso'!BV$6:BV$176,'D2 - Capex uso'!$C$6:$C$176,$A175,'D2 - Capex uso'!$AK$6:$AK$176,$A189)</f>
        <v>0</v>
      </c>
      <c r="F189" s="710">
        <f>-SUMIFS('D2 - Capex uso'!BW$6:BW$176,'D2 - Capex uso'!$C$6:$C$176,$A175,'D2 - Capex uso'!$AK$6:$AK$176,$A189)</f>
        <v>0</v>
      </c>
      <c r="G189" s="710">
        <f>-SUMIFS('D2 - Capex uso'!BX$6:BX$176,'D2 - Capex uso'!$C$6:$C$176,$A175,'D2 - Capex uso'!$AK$6:$AK$176,$A189)</f>
        <v>0</v>
      </c>
      <c r="H189" s="710">
        <f>-SUMIFS('D2 - Capex uso'!BY$6:BY$176,'D2 - Capex uso'!$C$6:$C$176,$A175,'D2 - Capex uso'!$AK$6:$AK$176,$A189)</f>
        <v>0</v>
      </c>
      <c r="I189" s="710">
        <f>-SUMIFS('D2 - Capex uso'!BZ$6:BZ$176,'D2 - Capex uso'!$C$6:$C$176,$A175,'D2 - Capex uso'!$AK$6:$AK$176,$A189)</f>
        <v>0</v>
      </c>
      <c r="J189" s="710">
        <f>-SUMIFS('D2 - Capex uso'!CA$6:CA$176,'D2 - Capex uso'!$C$6:$C$176,$A175,'D2 - Capex uso'!$AK$6:$AK$176,$A189)</f>
        <v>0</v>
      </c>
      <c r="K189" s="710">
        <f>-SUMIFS('D2 - Capex uso'!CB$6:CB$176,'D2 - Capex uso'!$C$6:$C$176,$A175,'D2 - Capex uso'!$AK$6:$AK$176,$A189)</f>
        <v>0</v>
      </c>
      <c r="L189" s="710">
        <f>-SUMIFS('D2 - Capex uso'!CC$6:CC$176,'D2 - Capex uso'!$C$6:$C$176,$A175,'D2 - Capex uso'!$AK$6:$AK$176,$A189)</f>
        <v>-107125.326</v>
      </c>
      <c r="M189" s="710">
        <f>-SUMIFS('D2 - Capex uso'!CD$6:CD$176,'D2 - Capex uso'!$C$6:$C$176,$A175,'D2 - Capex uso'!$AK$6:$AK$176,$A189)</f>
        <v>0</v>
      </c>
      <c r="N189" s="710">
        <f>-SUMIFS('D2 - Capex uso'!CE$6:CE$176,'D2 - Capex uso'!$C$6:$C$176,$A175,'D2 - Capex uso'!$AK$6:$AK$176,$A189)</f>
        <v>0</v>
      </c>
      <c r="O189" s="710">
        <f>-SUMIFS('D2 - Capex uso'!CF$6:CF$176,'D2 - Capex uso'!$C$6:$C$176,$A175,'D2 - Capex uso'!$AK$6:$AK$176,$A189)</f>
        <v>0</v>
      </c>
      <c r="P189" s="710">
        <f>-SUMIFS('D2 - Capex uso'!CG$6:CG$176,'D2 - Capex uso'!$C$6:$C$176,$A175,'D2 - Capex uso'!$AK$6:$AK$176,$A189)</f>
        <v>0</v>
      </c>
      <c r="Q189" s="710">
        <f>-SUMIFS('D2 - Capex uso'!CH$6:CH$176,'D2 - Capex uso'!$C$6:$C$176,$A175,'D2 - Capex uso'!$AK$6:$AK$176,$A189)</f>
        <v>0</v>
      </c>
      <c r="R189" s="710">
        <f>-SUMIFS('D2 - Capex uso'!CI$6:CI$176,'D2 - Capex uso'!$C$6:$C$176,$A175,'D2 - Capex uso'!$AK$6:$AK$176,$A189)</f>
        <v>0</v>
      </c>
      <c r="S189" s="710">
        <f>-SUMIFS('D2 - Capex uso'!CJ$6:CJ$176,'D2 - Capex uso'!$C$6:$C$176,$A175,'D2 - Capex uso'!$AK$6:$AK$176,$A189)</f>
        <v>0</v>
      </c>
      <c r="T189" s="710">
        <f>-SUMIFS('D2 - Capex uso'!CK$6:CK$176,'D2 - Capex uso'!$C$6:$C$176,$A175,'D2 - Capex uso'!$AK$6:$AK$176,$A189)</f>
        <v>0</v>
      </c>
      <c r="U189" s="710">
        <f>-SUMIFS('D2 - Capex uso'!CL$6:CL$176,'D2 - Capex uso'!$C$6:$C$176,$A175,'D2 - Capex uso'!$AK$6:$AK$176,$A189)</f>
        <v>0</v>
      </c>
      <c r="V189" s="710">
        <f>-SUMIFS('D2 - Capex uso'!CM$6:CM$176,'D2 - Capex uso'!$C$6:$C$176,$A175,'D2 - Capex uso'!$AK$6:$AK$176,$A189)</f>
        <v>-107125.326</v>
      </c>
      <c r="W189" s="710">
        <f>-SUMIFS('D2 - Capex uso'!CN$6:CN$176,'D2 - Capex uso'!$C$6:$C$176,$A175,'D2 - Capex uso'!$AK$6:$AK$176,$A189)</f>
        <v>0</v>
      </c>
      <c r="X189" s="710">
        <f>-SUMIFS('D2 - Capex uso'!CO$6:CO$176,'D2 - Capex uso'!$C$6:$C$176,$A175,'D2 - Capex uso'!$AK$6:$AK$176,$A189)</f>
        <v>0</v>
      </c>
      <c r="Y189" s="710">
        <f>-SUMIFS('D2 - Capex uso'!CP$6:CP$176,'D2 - Capex uso'!$C$6:$C$176,$A175,'D2 - Capex uso'!$AK$6:$AK$176,$A189)</f>
        <v>0</v>
      </c>
      <c r="Z189" s="710">
        <f>-SUMIFS('D2 - Capex uso'!CQ$6:CQ$176,'D2 - Capex uso'!$C$6:$C$176,$A175,'D2 - Capex uso'!$AK$6:$AK$176,$A189)</f>
        <v>0</v>
      </c>
      <c r="AA189" s="710">
        <f>-SUMIFS('D2 - Capex uso'!CR$6:CR$176,'D2 - Capex uso'!$C$6:$C$176,$A175,'D2 - Capex uso'!$AK$6:$AK$176,$A189)</f>
        <v>0</v>
      </c>
      <c r="AB189" s="710">
        <f>-SUMIFS('D2 - Capex uso'!CS$6:CS$176,'D2 - Capex uso'!$C$6:$C$176,$A175,'D2 - Capex uso'!$AK$6:$AK$176,$A189)</f>
        <v>0</v>
      </c>
      <c r="AC189" s="710">
        <f>-SUMIFS('D2 - Capex uso'!CT$6:CT$176,'D2 - Capex uso'!$C$6:$C$176,$A175,'D2 - Capex uso'!$AK$6:$AK$176,$A189)</f>
        <v>0</v>
      </c>
      <c r="AD189" s="710">
        <f>-SUMIFS('D2 - Capex uso'!CU$6:CU$176,'D2 - Capex uso'!$C$6:$C$176,$A175,'D2 - Capex uso'!$AK$6:$AK$176,$A189)</f>
        <v>0</v>
      </c>
      <c r="AE189" s="710">
        <f>-SUMIFS('D2 - Capex uso'!CV$6:CV$176,'D2 - Capex uso'!$C$6:$C$176,$A175,'D2 - Capex uso'!$AK$6:$AK$176,$A189)</f>
        <v>0</v>
      </c>
      <c r="AF189" s="594"/>
      <c r="AG189" s="594"/>
      <c r="AH189" s="594"/>
      <c r="AI189" s="594"/>
      <c r="AJ189" s="594"/>
      <c r="AK189" s="594"/>
      <c r="AL189" s="594"/>
      <c r="AM189" s="594"/>
      <c r="AN189" s="594"/>
      <c r="AO189" s="594"/>
      <c r="AP189" s="594"/>
      <c r="AQ189" s="594"/>
      <c r="AR189" s="594"/>
      <c r="AS189" s="594"/>
      <c r="AT189" s="594"/>
      <c r="AU189" s="594"/>
      <c r="AV189" s="594"/>
      <c r="AW189" s="594"/>
      <c r="AX189" s="594"/>
      <c r="AY189" s="594"/>
      <c r="AZ189" s="594"/>
      <c r="BA189" s="594"/>
      <c r="BB189" s="594"/>
      <c r="BC189" s="594"/>
      <c r="BD189" s="594"/>
      <c r="BE189" s="594"/>
      <c r="BF189" s="594"/>
      <c r="BG189" s="594"/>
      <c r="BH189" s="594"/>
      <c r="BI189" s="594"/>
      <c r="BJ189" s="594"/>
      <c r="BK189" s="594"/>
      <c r="BL189" s="57"/>
      <c r="BM189" s="594"/>
      <c r="BN189" s="594"/>
      <c r="BO189" s="594"/>
      <c r="BP189" s="594"/>
      <c r="BQ189" s="594"/>
      <c r="BR189" s="594"/>
      <c r="BS189" s="594"/>
      <c r="BT189" s="594"/>
      <c r="BU189" s="594"/>
      <c r="BV189" s="594"/>
      <c r="BW189" s="594"/>
      <c r="BX189" s="594"/>
      <c r="BY189" s="594"/>
      <c r="BZ189" s="594"/>
      <c r="CA189" s="594"/>
      <c r="CB189" s="594"/>
      <c r="CC189" s="594"/>
      <c r="CD189" s="594"/>
      <c r="CE189" s="594"/>
      <c r="CF189" s="594"/>
      <c r="CG189" s="594"/>
      <c r="CH189" s="594"/>
      <c r="CI189" s="594"/>
      <c r="CJ189" s="594"/>
      <c r="CK189" s="594"/>
      <c r="CL189" s="594"/>
      <c r="CM189" s="594"/>
      <c r="CN189" s="594"/>
      <c r="CO189" s="594"/>
      <c r="CP189" s="594"/>
      <c r="CQ189" s="594"/>
    </row>
    <row r="190" spans="1:95" ht="19.5" hidden="1" customHeight="1" outlineLevel="2">
      <c r="A190" s="709" t="s">
        <v>371</v>
      </c>
      <c r="B190" s="710">
        <f>-SUMIFS('D2 - Capex uso'!BS$6:BS$176,'D2 - Capex uso'!$C$6:$C$176,$A175,'D2 - Capex uso'!$AK$6:$AK$176,$A190)</f>
        <v>0</v>
      </c>
      <c r="C190" s="710">
        <f>-SUMIFS('D2 - Capex uso'!BT$6:BT$176,'D2 - Capex uso'!$C$6:$C$176,$A175,'D2 - Capex uso'!$AK$6:$AK$176,$A190)</f>
        <v>0</v>
      </c>
      <c r="D190" s="710">
        <f>-SUMIFS('D2 - Capex uso'!BU$6:BU$176,'D2 - Capex uso'!$C$6:$C$176,$A175,'D2 - Capex uso'!$AK$6:$AK$176,$A190)</f>
        <v>0</v>
      </c>
      <c r="E190" s="710">
        <f>-SUMIFS('D2 - Capex uso'!BV$6:BV$176,'D2 - Capex uso'!$C$6:$C$176,$A175,'D2 - Capex uso'!$AK$6:$AK$176,$A190)</f>
        <v>0</v>
      </c>
      <c r="F190" s="710">
        <f>-SUMIFS('D2 - Capex uso'!BW$6:BW$176,'D2 - Capex uso'!$C$6:$C$176,$A175,'D2 - Capex uso'!$AK$6:$AK$176,$A190)</f>
        <v>0</v>
      </c>
      <c r="G190" s="710">
        <f>-SUMIFS('D2 - Capex uso'!BX$6:BX$176,'D2 - Capex uso'!$C$6:$C$176,$A175,'D2 - Capex uso'!$AK$6:$AK$176,$A190)</f>
        <v>0</v>
      </c>
      <c r="H190" s="710">
        <f>-SUMIFS('D2 - Capex uso'!BY$6:BY$176,'D2 - Capex uso'!$C$6:$C$176,$A175,'D2 - Capex uso'!$AK$6:$AK$176,$A190)</f>
        <v>0</v>
      </c>
      <c r="I190" s="710">
        <f>-SUMIFS('D2 - Capex uso'!BZ$6:BZ$176,'D2 - Capex uso'!$C$6:$C$176,$A175,'D2 - Capex uso'!$AK$6:$AK$176,$A190)</f>
        <v>0</v>
      </c>
      <c r="J190" s="710">
        <f>-SUMIFS('D2 - Capex uso'!CA$6:CA$176,'D2 - Capex uso'!$C$6:$C$176,$A175,'D2 - Capex uso'!$AK$6:$AK$176,$A190)</f>
        <v>0</v>
      </c>
      <c r="K190" s="710">
        <f>-SUMIFS('D2 - Capex uso'!CB$6:CB$176,'D2 - Capex uso'!$C$6:$C$176,$A175,'D2 - Capex uso'!$AK$6:$AK$176,$A190)</f>
        <v>0</v>
      </c>
      <c r="L190" s="710">
        <f>-SUMIFS('D2 - Capex uso'!CC$6:CC$176,'D2 - Capex uso'!$C$6:$C$176,$A175,'D2 - Capex uso'!$AK$6:$AK$176,$A190)</f>
        <v>0</v>
      </c>
      <c r="M190" s="710">
        <f>-SUMIFS('D2 - Capex uso'!CD$6:CD$176,'D2 - Capex uso'!$C$6:$C$176,$A175,'D2 - Capex uso'!$AK$6:$AK$176,$A190)</f>
        <v>0</v>
      </c>
      <c r="N190" s="710">
        <f>-SUMIFS('D2 - Capex uso'!CE$6:CE$176,'D2 - Capex uso'!$C$6:$C$176,$A175,'D2 - Capex uso'!$AK$6:$AK$176,$A190)</f>
        <v>0</v>
      </c>
      <c r="O190" s="710">
        <f>-SUMIFS('D2 - Capex uso'!CF$6:CF$176,'D2 - Capex uso'!$C$6:$C$176,$A175,'D2 - Capex uso'!$AK$6:$AK$176,$A190)</f>
        <v>0</v>
      </c>
      <c r="P190" s="710">
        <f>-SUMIFS('D2 - Capex uso'!CG$6:CG$176,'D2 - Capex uso'!$C$6:$C$176,$A175,'D2 - Capex uso'!$AK$6:$AK$176,$A190)</f>
        <v>0</v>
      </c>
      <c r="Q190" s="710">
        <f>-SUMIFS('D2 - Capex uso'!CH$6:CH$176,'D2 - Capex uso'!$C$6:$C$176,$A175,'D2 - Capex uso'!$AK$6:$AK$176,$A190)</f>
        <v>0</v>
      </c>
      <c r="R190" s="710">
        <f>-SUMIFS('D2 - Capex uso'!CI$6:CI$176,'D2 - Capex uso'!$C$6:$C$176,$A175,'D2 - Capex uso'!$AK$6:$AK$176,$A190)</f>
        <v>0</v>
      </c>
      <c r="S190" s="710">
        <f>-SUMIFS('D2 - Capex uso'!CJ$6:CJ$176,'D2 - Capex uso'!$C$6:$C$176,$A175,'D2 - Capex uso'!$AK$6:$AK$176,$A190)</f>
        <v>0</v>
      </c>
      <c r="T190" s="710">
        <f>-SUMIFS('D2 - Capex uso'!CK$6:CK$176,'D2 - Capex uso'!$C$6:$C$176,$A175,'D2 - Capex uso'!$AK$6:$AK$176,$A190)</f>
        <v>0</v>
      </c>
      <c r="U190" s="710">
        <f>-SUMIFS('D2 - Capex uso'!CL$6:CL$176,'D2 - Capex uso'!$C$6:$C$176,$A175,'D2 - Capex uso'!$AK$6:$AK$176,$A190)</f>
        <v>0</v>
      </c>
      <c r="V190" s="710">
        <f>-SUMIFS('D2 - Capex uso'!CM$6:CM$176,'D2 - Capex uso'!$C$6:$C$176,$A175,'D2 - Capex uso'!$AK$6:$AK$176,$A190)</f>
        <v>0</v>
      </c>
      <c r="W190" s="710">
        <f>-SUMIFS('D2 - Capex uso'!CN$6:CN$176,'D2 - Capex uso'!$C$6:$C$176,$A175,'D2 - Capex uso'!$AK$6:$AK$176,$A190)</f>
        <v>0</v>
      </c>
      <c r="X190" s="710">
        <f>-SUMIFS('D2 - Capex uso'!CO$6:CO$176,'D2 - Capex uso'!$C$6:$C$176,$A175,'D2 - Capex uso'!$AK$6:$AK$176,$A190)</f>
        <v>0</v>
      </c>
      <c r="Y190" s="710">
        <f>-SUMIFS('D2 - Capex uso'!CP$6:CP$176,'D2 - Capex uso'!$C$6:$C$176,$A175,'D2 - Capex uso'!$AK$6:$AK$176,$A190)</f>
        <v>0</v>
      </c>
      <c r="Z190" s="710">
        <f>-SUMIFS('D2 - Capex uso'!CQ$6:CQ$176,'D2 - Capex uso'!$C$6:$C$176,$A175,'D2 - Capex uso'!$AK$6:$AK$176,$A190)</f>
        <v>0</v>
      </c>
      <c r="AA190" s="710">
        <f>-SUMIFS('D2 - Capex uso'!CR$6:CR$176,'D2 - Capex uso'!$C$6:$C$176,$A175,'D2 - Capex uso'!$AK$6:$AK$176,$A190)</f>
        <v>0</v>
      </c>
      <c r="AB190" s="710">
        <f>-SUMIFS('D2 - Capex uso'!CS$6:CS$176,'D2 - Capex uso'!$C$6:$C$176,$A175,'D2 - Capex uso'!$AK$6:$AK$176,$A190)</f>
        <v>0</v>
      </c>
      <c r="AC190" s="710">
        <f>-SUMIFS('D2 - Capex uso'!CT$6:CT$176,'D2 - Capex uso'!$C$6:$C$176,$A175,'D2 - Capex uso'!$AK$6:$AK$176,$A190)</f>
        <v>0</v>
      </c>
      <c r="AD190" s="710">
        <f>-SUMIFS('D2 - Capex uso'!CU$6:CU$176,'D2 - Capex uso'!$C$6:$C$176,$A175,'D2 - Capex uso'!$AK$6:$AK$176,$A190)</f>
        <v>0</v>
      </c>
      <c r="AE190" s="710">
        <f>-SUMIFS('D2 - Capex uso'!CV$6:CV$176,'D2 - Capex uso'!$C$6:$C$176,$A175,'D2 - Capex uso'!$AK$6:$AK$176,$A190)</f>
        <v>0</v>
      </c>
      <c r="AF190" s="594"/>
      <c r="AG190" s="594"/>
      <c r="AH190" s="594"/>
      <c r="AI190" s="594"/>
      <c r="AJ190" s="594"/>
      <c r="AK190" s="594"/>
      <c r="AL190" s="594"/>
      <c r="AM190" s="594"/>
      <c r="AN190" s="594"/>
      <c r="AO190" s="594"/>
      <c r="AP190" s="594"/>
      <c r="AQ190" s="594"/>
      <c r="AR190" s="594"/>
      <c r="AS190" s="594"/>
      <c r="AT190" s="594"/>
      <c r="AU190" s="594"/>
      <c r="AV190" s="594"/>
      <c r="AW190" s="594"/>
      <c r="AX190" s="594"/>
      <c r="AY190" s="594"/>
      <c r="AZ190" s="594"/>
      <c r="BA190" s="594"/>
      <c r="BB190" s="594"/>
      <c r="BC190" s="594"/>
      <c r="BD190" s="594"/>
      <c r="BE190" s="594"/>
      <c r="BF190" s="594"/>
      <c r="BG190" s="594"/>
      <c r="BH190" s="594"/>
      <c r="BI190" s="594"/>
      <c r="BJ190" s="594"/>
      <c r="BK190" s="594"/>
      <c r="BL190" s="57"/>
      <c r="BM190" s="594"/>
      <c r="BN190" s="594"/>
      <c r="BO190" s="594"/>
      <c r="BP190" s="594"/>
      <c r="BQ190" s="594"/>
      <c r="BR190" s="594"/>
      <c r="BS190" s="594"/>
      <c r="BT190" s="594"/>
      <c r="BU190" s="594"/>
      <c r="BV190" s="594"/>
      <c r="BW190" s="594"/>
      <c r="BX190" s="594"/>
      <c r="BY190" s="594"/>
      <c r="BZ190" s="594"/>
      <c r="CA190" s="594"/>
      <c r="CB190" s="594"/>
      <c r="CC190" s="594"/>
      <c r="CD190" s="594"/>
      <c r="CE190" s="594"/>
      <c r="CF190" s="594"/>
      <c r="CG190" s="594"/>
      <c r="CH190" s="594"/>
      <c r="CI190" s="594"/>
      <c r="CJ190" s="594"/>
      <c r="CK190" s="594"/>
      <c r="CL190" s="594"/>
      <c r="CM190" s="594"/>
      <c r="CN190" s="594"/>
      <c r="CO190" s="594"/>
      <c r="CP190" s="594"/>
      <c r="CQ190" s="594"/>
    </row>
    <row r="191" spans="1:95" ht="19.5" hidden="1" customHeight="1" outlineLevel="2">
      <c r="A191" s="709" t="s">
        <v>361</v>
      </c>
      <c r="B191" s="710">
        <f>-SUMIFS('D2 - Capex uso'!BS$6:BS$176,'D2 - Capex uso'!$C$6:$C$176,$A175,'D2 - Capex uso'!$AK$6:$AK$176,$A191)</f>
        <v>0</v>
      </c>
      <c r="C191" s="710">
        <f>-SUMIFS('D2 - Capex uso'!BT$6:BT$176,'D2 - Capex uso'!$C$6:$C$176,$A175,'D2 - Capex uso'!$AK$6:$AK$176,$A191)</f>
        <v>0</v>
      </c>
      <c r="D191" s="710">
        <f>-SUMIFS('D2 - Capex uso'!BU$6:BU$176,'D2 - Capex uso'!$C$6:$C$176,$A175,'D2 - Capex uso'!$AK$6:$AK$176,$A191)</f>
        <v>0</v>
      </c>
      <c r="E191" s="710">
        <f>-SUMIFS('D2 - Capex uso'!BV$6:BV$176,'D2 - Capex uso'!$C$6:$C$176,$A175,'D2 - Capex uso'!$AK$6:$AK$176,$A191)</f>
        <v>0</v>
      </c>
      <c r="F191" s="710">
        <f>-SUMIFS('D2 - Capex uso'!BW$6:BW$176,'D2 - Capex uso'!$C$6:$C$176,$A175,'D2 - Capex uso'!$AK$6:$AK$176,$A191)</f>
        <v>0</v>
      </c>
      <c r="G191" s="710">
        <f>-SUMIFS('D2 - Capex uso'!BX$6:BX$176,'D2 - Capex uso'!$C$6:$C$176,$A175,'D2 - Capex uso'!$AK$6:$AK$176,$A191)</f>
        <v>0</v>
      </c>
      <c r="H191" s="710">
        <f>-SUMIFS('D2 - Capex uso'!BY$6:BY$176,'D2 - Capex uso'!$C$6:$C$176,$A175,'D2 - Capex uso'!$AK$6:$AK$176,$A191)</f>
        <v>0</v>
      </c>
      <c r="I191" s="710">
        <f>-SUMIFS('D2 - Capex uso'!BZ$6:BZ$176,'D2 - Capex uso'!$C$6:$C$176,$A175,'D2 - Capex uso'!$AK$6:$AK$176,$A191)</f>
        <v>0</v>
      </c>
      <c r="J191" s="710">
        <f>-SUMIFS('D2 - Capex uso'!CA$6:CA$176,'D2 - Capex uso'!$C$6:$C$176,$A175,'D2 - Capex uso'!$AK$6:$AK$176,$A191)</f>
        <v>0</v>
      </c>
      <c r="K191" s="710">
        <f>-SUMIFS('D2 - Capex uso'!CB$6:CB$176,'D2 - Capex uso'!$C$6:$C$176,$A175,'D2 - Capex uso'!$AK$6:$AK$176,$A191)</f>
        <v>0</v>
      </c>
      <c r="L191" s="710">
        <f>-SUMIFS('D2 - Capex uso'!CC$6:CC$176,'D2 - Capex uso'!$C$6:$C$176,$A175,'D2 - Capex uso'!$AK$6:$AK$176,$A191)</f>
        <v>0</v>
      </c>
      <c r="M191" s="710">
        <f>-SUMIFS('D2 - Capex uso'!CD$6:CD$176,'D2 - Capex uso'!$C$6:$C$176,$A175,'D2 - Capex uso'!$AK$6:$AK$176,$A191)</f>
        <v>0</v>
      </c>
      <c r="N191" s="710">
        <f>-SUMIFS('D2 - Capex uso'!CE$6:CE$176,'D2 - Capex uso'!$C$6:$C$176,$A175,'D2 - Capex uso'!$AK$6:$AK$176,$A191)</f>
        <v>0</v>
      </c>
      <c r="O191" s="710">
        <f>-SUMIFS('D2 - Capex uso'!CF$6:CF$176,'D2 - Capex uso'!$C$6:$C$176,$A175,'D2 - Capex uso'!$AK$6:$AK$176,$A191)</f>
        <v>0</v>
      </c>
      <c r="P191" s="710">
        <f>-SUMIFS('D2 - Capex uso'!CG$6:CG$176,'D2 - Capex uso'!$C$6:$C$176,$A175,'D2 - Capex uso'!$AK$6:$AK$176,$A191)</f>
        <v>0</v>
      </c>
      <c r="Q191" s="710">
        <f>-SUMIFS('D2 - Capex uso'!CH$6:CH$176,'D2 - Capex uso'!$C$6:$C$176,$A175,'D2 - Capex uso'!$AK$6:$AK$176,$A191)</f>
        <v>0</v>
      </c>
      <c r="R191" s="710">
        <f>-SUMIFS('D2 - Capex uso'!CI$6:CI$176,'D2 - Capex uso'!$C$6:$C$176,$A175,'D2 - Capex uso'!$AK$6:$AK$176,$A191)</f>
        <v>0</v>
      </c>
      <c r="S191" s="710">
        <f>-SUMIFS('D2 - Capex uso'!CJ$6:CJ$176,'D2 - Capex uso'!$C$6:$C$176,$A175,'D2 - Capex uso'!$AK$6:$AK$176,$A191)</f>
        <v>0</v>
      </c>
      <c r="T191" s="710">
        <f>-SUMIFS('D2 - Capex uso'!CK$6:CK$176,'D2 - Capex uso'!$C$6:$C$176,$A175,'D2 - Capex uso'!$AK$6:$AK$176,$A191)</f>
        <v>0</v>
      </c>
      <c r="U191" s="710">
        <f>-SUMIFS('D2 - Capex uso'!CL$6:CL$176,'D2 - Capex uso'!$C$6:$C$176,$A175,'D2 - Capex uso'!$AK$6:$AK$176,$A191)</f>
        <v>0</v>
      </c>
      <c r="V191" s="710">
        <f>-SUMIFS('D2 - Capex uso'!CM$6:CM$176,'D2 - Capex uso'!$C$6:$C$176,$A175,'D2 - Capex uso'!$AK$6:$AK$176,$A191)</f>
        <v>0</v>
      </c>
      <c r="W191" s="710">
        <f>-SUMIFS('D2 - Capex uso'!CN$6:CN$176,'D2 - Capex uso'!$C$6:$C$176,$A175,'D2 - Capex uso'!$AK$6:$AK$176,$A191)</f>
        <v>0</v>
      </c>
      <c r="X191" s="710">
        <f>-SUMIFS('D2 - Capex uso'!CO$6:CO$176,'D2 - Capex uso'!$C$6:$C$176,$A175,'D2 - Capex uso'!$AK$6:$AK$176,$A191)</f>
        <v>0</v>
      </c>
      <c r="Y191" s="710">
        <f>-SUMIFS('D2 - Capex uso'!CP$6:CP$176,'D2 - Capex uso'!$C$6:$C$176,$A175,'D2 - Capex uso'!$AK$6:$AK$176,$A191)</f>
        <v>0</v>
      </c>
      <c r="Z191" s="710">
        <f>-SUMIFS('D2 - Capex uso'!CQ$6:CQ$176,'D2 - Capex uso'!$C$6:$C$176,$A175,'D2 - Capex uso'!$AK$6:$AK$176,$A191)</f>
        <v>0</v>
      </c>
      <c r="AA191" s="710">
        <f>-SUMIFS('D2 - Capex uso'!CR$6:CR$176,'D2 - Capex uso'!$C$6:$C$176,$A175,'D2 - Capex uso'!$AK$6:$AK$176,$A191)</f>
        <v>0</v>
      </c>
      <c r="AB191" s="710">
        <f>-SUMIFS('D2 - Capex uso'!CS$6:CS$176,'D2 - Capex uso'!$C$6:$C$176,$A175,'D2 - Capex uso'!$AK$6:$AK$176,$A191)</f>
        <v>0</v>
      </c>
      <c r="AC191" s="710">
        <f>-SUMIFS('D2 - Capex uso'!CT$6:CT$176,'D2 - Capex uso'!$C$6:$C$176,$A175,'D2 - Capex uso'!$AK$6:$AK$176,$A191)</f>
        <v>0</v>
      </c>
      <c r="AD191" s="710">
        <f>-SUMIFS('D2 - Capex uso'!CU$6:CU$176,'D2 - Capex uso'!$C$6:$C$176,$A175,'D2 - Capex uso'!$AK$6:$AK$176,$A191)</f>
        <v>0</v>
      </c>
      <c r="AE191" s="710">
        <f>-SUMIFS('D2 - Capex uso'!CV$6:CV$176,'D2 - Capex uso'!$C$6:$C$176,$A175,'D2 - Capex uso'!$AK$6:$AK$176,$A191)</f>
        <v>0</v>
      </c>
      <c r="AF191" s="594"/>
      <c r="AG191" s="594"/>
      <c r="AH191" s="594"/>
      <c r="AI191" s="594"/>
      <c r="AJ191" s="594"/>
      <c r="AK191" s="594"/>
      <c r="AL191" s="594"/>
      <c r="AM191" s="594"/>
      <c r="AN191" s="594"/>
      <c r="AO191" s="594"/>
      <c r="AP191" s="594"/>
      <c r="AQ191" s="594"/>
      <c r="AR191" s="594"/>
      <c r="AS191" s="594"/>
      <c r="AT191" s="594"/>
      <c r="AU191" s="594"/>
      <c r="AV191" s="594"/>
      <c r="AW191" s="594"/>
      <c r="AX191" s="594"/>
      <c r="AY191" s="594"/>
      <c r="AZ191" s="594"/>
      <c r="BA191" s="594"/>
      <c r="BB191" s="594"/>
      <c r="BC191" s="594"/>
      <c r="BD191" s="594"/>
      <c r="BE191" s="594"/>
      <c r="BF191" s="594"/>
      <c r="BG191" s="594"/>
      <c r="BH191" s="594"/>
      <c r="BI191" s="594"/>
      <c r="BJ191" s="594"/>
      <c r="BK191" s="594"/>
      <c r="BL191" s="57"/>
      <c r="BM191" s="594"/>
      <c r="BN191" s="594"/>
      <c r="BO191" s="594"/>
      <c r="BP191" s="594"/>
      <c r="BQ191" s="594"/>
      <c r="BR191" s="594"/>
      <c r="BS191" s="594"/>
      <c r="BT191" s="594"/>
      <c r="BU191" s="594"/>
      <c r="BV191" s="594"/>
      <c r="BW191" s="594"/>
      <c r="BX191" s="594"/>
      <c r="BY191" s="594"/>
      <c r="BZ191" s="594"/>
      <c r="CA191" s="594"/>
      <c r="CB191" s="594"/>
      <c r="CC191" s="594"/>
      <c r="CD191" s="594"/>
      <c r="CE191" s="594"/>
      <c r="CF191" s="594"/>
      <c r="CG191" s="594"/>
      <c r="CH191" s="594"/>
      <c r="CI191" s="594"/>
      <c r="CJ191" s="594"/>
      <c r="CK191" s="594"/>
      <c r="CL191" s="594"/>
      <c r="CM191" s="594"/>
      <c r="CN191" s="594"/>
      <c r="CO191" s="594"/>
      <c r="CP191" s="594"/>
      <c r="CQ191" s="594"/>
    </row>
    <row r="192" spans="1:95" ht="19.5" hidden="1" customHeight="1" outlineLevel="2">
      <c r="A192" s="709" t="s">
        <v>359</v>
      </c>
      <c r="B192" s="710">
        <f>-SUMIFS('D2 - Capex uso'!BS$6:BS$176,'D2 - Capex uso'!$C$6:$C$176,$A175,'D2 - Capex uso'!$AK$6:$AK$176,$A192)</f>
        <v>-5280.0000000000009</v>
      </c>
      <c r="C192" s="710">
        <f>-SUMIFS('D2 - Capex uso'!BT$6:BT$176,'D2 - Capex uso'!$C$6:$C$176,$A175,'D2 - Capex uso'!$AK$6:$AK$176,$A192)</f>
        <v>0</v>
      </c>
      <c r="D192" s="710">
        <f>-SUMIFS('D2 - Capex uso'!BU$6:BU$176,'D2 - Capex uso'!$C$6:$C$176,$A175,'D2 - Capex uso'!$AK$6:$AK$176,$A192)</f>
        <v>0</v>
      </c>
      <c r="E192" s="710">
        <f>-SUMIFS('D2 - Capex uso'!BV$6:BV$176,'D2 - Capex uso'!$C$6:$C$176,$A175,'D2 - Capex uso'!$AK$6:$AK$176,$A192)</f>
        <v>0</v>
      </c>
      <c r="F192" s="710">
        <f>-SUMIFS('D2 - Capex uso'!BW$6:BW$176,'D2 - Capex uso'!$C$6:$C$176,$A175,'D2 - Capex uso'!$AK$6:$AK$176,$A192)</f>
        <v>0</v>
      </c>
      <c r="G192" s="710">
        <f>-SUMIFS('D2 - Capex uso'!BX$6:BX$176,'D2 - Capex uso'!$C$6:$C$176,$A175,'D2 - Capex uso'!$AK$6:$AK$176,$A192)</f>
        <v>0</v>
      </c>
      <c r="H192" s="710">
        <f>-SUMIFS('D2 - Capex uso'!BY$6:BY$176,'D2 - Capex uso'!$C$6:$C$176,$A175,'D2 - Capex uso'!$AK$6:$AK$176,$A192)</f>
        <v>0</v>
      </c>
      <c r="I192" s="710">
        <f>-SUMIFS('D2 - Capex uso'!BZ$6:BZ$176,'D2 - Capex uso'!$C$6:$C$176,$A175,'D2 - Capex uso'!$AK$6:$AK$176,$A192)</f>
        <v>0</v>
      </c>
      <c r="J192" s="710">
        <f>-SUMIFS('D2 - Capex uso'!CA$6:CA$176,'D2 - Capex uso'!$C$6:$C$176,$A175,'D2 - Capex uso'!$AK$6:$AK$176,$A192)</f>
        <v>0</v>
      </c>
      <c r="K192" s="710">
        <f>-SUMIFS('D2 - Capex uso'!CB$6:CB$176,'D2 - Capex uso'!$C$6:$C$176,$A175,'D2 - Capex uso'!$AK$6:$AK$176,$A192)</f>
        <v>0</v>
      </c>
      <c r="L192" s="710">
        <f>-SUMIFS('D2 - Capex uso'!CC$6:CC$176,'D2 - Capex uso'!$C$6:$C$176,$A175,'D2 - Capex uso'!$AK$6:$AK$176,$A192)</f>
        <v>-5280.0000000000009</v>
      </c>
      <c r="M192" s="710">
        <f>-SUMIFS('D2 - Capex uso'!CD$6:CD$176,'D2 - Capex uso'!$C$6:$C$176,$A175,'D2 - Capex uso'!$AK$6:$AK$176,$A192)</f>
        <v>0</v>
      </c>
      <c r="N192" s="710">
        <f>-SUMIFS('D2 - Capex uso'!CE$6:CE$176,'D2 - Capex uso'!$C$6:$C$176,$A175,'D2 - Capex uso'!$AK$6:$AK$176,$A192)</f>
        <v>0</v>
      </c>
      <c r="O192" s="710">
        <f>-SUMIFS('D2 - Capex uso'!CF$6:CF$176,'D2 - Capex uso'!$C$6:$C$176,$A175,'D2 - Capex uso'!$AK$6:$AK$176,$A192)</f>
        <v>0</v>
      </c>
      <c r="P192" s="710">
        <f>-SUMIFS('D2 - Capex uso'!CG$6:CG$176,'D2 - Capex uso'!$C$6:$C$176,$A175,'D2 - Capex uso'!$AK$6:$AK$176,$A192)</f>
        <v>0</v>
      </c>
      <c r="Q192" s="710">
        <f>-SUMIFS('D2 - Capex uso'!CH$6:CH$176,'D2 - Capex uso'!$C$6:$C$176,$A175,'D2 - Capex uso'!$AK$6:$AK$176,$A192)</f>
        <v>0</v>
      </c>
      <c r="R192" s="710">
        <f>-SUMIFS('D2 - Capex uso'!CI$6:CI$176,'D2 - Capex uso'!$C$6:$C$176,$A175,'D2 - Capex uso'!$AK$6:$AK$176,$A192)</f>
        <v>0</v>
      </c>
      <c r="S192" s="710">
        <f>-SUMIFS('D2 - Capex uso'!CJ$6:CJ$176,'D2 - Capex uso'!$C$6:$C$176,$A175,'D2 - Capex uso'!$AK$6:$AK$176,$A192)</f>
        <v>0</v>
      </c>
      <c r="T192" s="710">
        <f>-SUMIFS('D2 - Capex uso'!CK$6:CK$176,'D2 - Capex uso'!$C$6:$C$176,$A175,'D2 - Capex uso'!$AK$6:$AK$176,$A192)</f>
        <v>0</v>
      </c>
      <c r="U192" s="710">
        <f>-SUMIFS('D2 - Capex uso'!CL$6:CL$176,'D2 - Capex uso'!$C$6:$C$176,$A175,'D2 - Capex uso'!$AK$6:$AK$176,$A192)</f>
        <v>0</v>
      </c>
      <c r="V192" s="710">
        <f>-SUMIFS('D2 - Capex uso'!CM$6:CM$176,'D2 - Capex uso'!$C$6:$C$176,$A175,'D2 - Capex uso'!$AK$6:$AK$176,$A192)</f>
        <v>-5280.0000000000009</v>
      </c>
      <c r="W192" s="710">
        <f>-SUMIFS('D2 - Capex uso'!CN$6:CN$176,'D2 - Capex uso'!$C$6:$C$176,$A175,'D2 - Capex uso'!$AK$6:$AK$176,$A192)</f>
        <v>0</v>
      </c>
      <c r="X192" s="710">
        <f>-SUMIFS('D2 - Capex uso'!CO$6:CO$176,'D2 - Capex uso'!$C$6:$C$176,$A175,'D2 - Capex uso'!$AK$6:$AK$176,$A192)</f>
        <v>0</v>
      </c>
      <c r="Y192" s="710">
        <f>-SUMIFS('D2 - Capex uso'!CP$6:CP$176,'D2 - Capex uso'!$C$6:$C$176,$A175,'D2 - Capex uso'!$AK$6:$AK$176,$A192)</f>
        <v>0</v>
      </c>
      <c r="Z192" s="710">
        <f>-SUMIFS('D2 - Capex uso'!CQ$6:CQ$176,'D2 - Capex uso'!$C$6:$C$176,$A175,'D2 - Capex uso'!$AK$6:$AK$176,$A192)</f>
        <v>0</v>
      </c>
      <c r="AA192" s="710">
        <f>-SUMIFS('D2 - Capex uso'!CR$6:CR$176,'D2 - Capex uso'!$C$6:$C$176,$A175,'D2 - Capex uso'!$AK$6:$AK$176,$A192)</f>
        <v>0</v>
      </c>
      <c r="AB192" s="710">
        <f>-SUMIFS('D2 - Capex uso'!CS$6:CS$176,'D2 - Capex uso'!$C$6:$C$176,$A175,'D2 - Capex uso'!$AK$6:$AK$176,$A192)</f>
        <v>0</v>
      </c>
      <c r="AC192" s="710">
        <f>-SUMIFS('D2 - Capex uso'!CT$6:CT$176,'D2 - Capex uso'!$C$6:$C$176,$A175,'D2 - Capex uso'!$AK$6:$AK$176,$A192)</f>
        <v>0</v>
      </c>
      <c r="AD192" s="710">
        <f>-SUMIFS('D2 - Capex uso'!CU$6:CU$176,'D2 - Capex uso'!$C$6:$C$176,$A175,'D2 - Capex uso'!$AK$6:$AK$176,$A192)</f>
        <v>0</v>
      </c>
      <c r="AE192" s="710">
        <f>-SUMIFS('D2 - Capex uso'!CV$6:CV$176,'D2 - Capex uso'!$C$6:$C$176,$A175,'D2 - Capex uso'!$AK$6:$AK$176,$A192)</f>
        <v>0</v>
      </c>
      <c r="AF192" s="594"/>
      <c r="AG192" s="594"/>
      <c r="AH192" s="594"/>
      <c r="AI192" s="594"/>
      <c r="AJ192" s="594"/>
      <c r="AK192" s="594"/>
      <c r="AL192" s="594"/>
      <c r="AM192" s="594"/>
      <c r="AN192" s="594"/>
      <c r="AO192" s="594"/>
      <c r="AP192" s="594"/>
      <c r="AQ192" s="594"/>
      <c r="AR192" s="594"/>
      <c r="AS192" s="594"/>
      <c r="AT192" s="594"/>
      <c r="AU192" s="594"/>
      <c r="AV192" s="594"/>
      <c r="AW192" s="594"/>
      <c r="AX192" s="594"/>
      <c r="AY192" s="594"/>
      <c r="AZ192" s="594"/>
      <c r="BA192" s="594"/>
      <c r="BB192" s="594"/>
      <c r="BC192" s="594"/>
      <c r="BD192" s="594"/>
      <c r="BE192" s="594"/>
      <c r="BF192" s="594"/>
      <c r="BG192" s="594"/>
      <c r="BH192" s="594"/>
      <c r="BI192" s="594"/>
      <c r="BJ192" s="594"/>
      <c r="BK192" s="594"/>
      <c r="BL192" s="57"/>
      <c r="BM192" s="594"/>
      <c r="BN192" s="594"/>
      <c r="BO192" s="594"/>
      <c r="BP192" s="594"/>
      <c r="BQ192" s="594"/>
      <c r="BR192" s="594"/>
      <c r="BS192" s="594"/>
      <c r="BT192" s="594"/>
      <c r="BU192" s="594"/>
      <c r="BV192" s="594"/>
      <c r="BW192" s="594"/>
      <c r="BX192" s="594"/>
      <c r="BY192" s="594"/>
      <c r="BZ192" s="594"/>
      <c r="CA192" s="594"/>
      <c r="CB192" s="594"/>
      <c r="CC192" s="594"/>
      <c r="CD192" s="594"/>
      <c r="CE192" s="594"/>
      <c r="CF192" s="594"/>
      <c r="CG192" s="594"/>
      <c r="CH192" s="594"/>
      <c r="CI192" s="594"/>
      <c r="CJ192" s="594"/>
      <c r="CK192" s="594"/>
      <c r="CL192" s="594"/>
      <c r="CM192" s="594"/>
      <c r="CN192" s="594"/>
      <c r="CO192" s="594"/>
      <c r="CP192" s="594"/>
      <c r="CQ192" s="594"/>
    </row>
    <row r="193" spans="1:95" ht="19.5" hidden="1" customHeight="1" outlineLevel="2">
      <c r="A193" s="709" t="s">
        <v>171</v>
      </c>
      <c r="B193" s="710">
        <f>-SUMIFS('D2 - Capex uso'!BS$6:BS$176,'D2 - Capex uso'!$C$6:$C$176,$A175,'D2 - Capex uso'!$AK$6:$AK$176,$A193)</f>
        <v>0</v>
      </c>
      <c r="C193" s="710">
        <f>-SUMIFS('D2 - Capex uso'!BT$6:BT$176,'D2 - Capex uso'!$C$6:$C$176,$A175,'D2 - Capex uso'!$AK$6:$AK$176,$A193)</f>
        <v>0</v>
      </c>
      <c r="D193" s="710">
        <f>-SUMIFS('D2 - Capex uso'!BU$6:BU$176,'D2 - Capex uso'!$C$6:$C$176,$A175,'D2 - Capex uso'!$AK$6:$AK$176,$A193)</f>
        <v>0</v>
      </c>
      <c r="E193" s="710">
        <f>-SUMIFS('D2 - Capex uso'!BV$6:BV$176,'D2 - Capex uso'!$C$6:$C$176,$A175,'D2 - Capex uso'!$AK$6:$AK$176,$A193)</f>
        <v>0</v>
      </c>
      <c r="F193" s="710">
        <f>-SUMIFS('D2 - Capex uso'!BW$6:BW$176,'D2 - Capex uso'!$C$6:$C$176,$A175,'D2 - Capex uso'!$AK$6:$AK$176,$A193)</f>
        <v>0</v>
      </c>
      <c r="G193" s="710">
        <f>-SUMIFS('D2 - Capex uso'!BX$6:BX$176,'D2 - Capex uso'!$C$6:$C$176,$A175,'D2 - Capex uso'!$AK$6:$AK$176,$A193)</f>
        <v>0</v>
      </c>
      <c r="H193" s="710">
        <f>-SUMIFS('D2 - Capex uso'!BY$6:BY$176,'D2 - Capex uso'!$C$6:$C$176,$A175,'D2 - Capex uso'!$AK$6:$AK$176,$A193)</f>
        <v>0</v>
      </c>
      <c r="I193" s="710">
        <f>-SUMIFS('D2 - Capex uso'!BZ$6:BZ$176,'D2 - Capex uso'!$C$6:$C$176,$A175,'D2 - Capex uso'!$AK$6:$AK$176,$A193)</f>
        <v>0</v>
      </c>
      <c r="J193" s="710">
        <f>-SUMIFS('D2 - Capex uso'!CA$6:CA$176,'D2 - Capex uso'!$C$6:$C$176,$A175,'D2 - Capex uso'!$AK$6:$AK$176,$A193)</f>
        <v>0</v>
      </c>
      <c r="K193" s="710">
        <f>-SUMIFS('D2 - Capex uso'!CB$6:CB$176,'D2 - Capex uso'!$C$6:$C$176,$A175,'D2 - Capex uso'!$AK$6:$AK$176,$A193)</f>
        <v>0</v>
      </c>
      <c r="L193" s="710">
        <f>-SUMIFS('D2 - Capex uso'!CC$6:CC$176,'D2 - Capex uso'!$C$6:$C$176,$A175,'D2 - Capex uso'!$AK$6:$AK$176,$A193)</f>
        <v>0</v>
      </c>
      <c r="M193" s="710">
        <f>-SUMIFS('D2 - Capex uso'!CD$6:CD$176,'D2 - Capex uso'!$C$6:$C$176,$A175,'D2 - Capex uso'!$AK$6:$AK$176,$A193)</f>
        <v>0</v>
      </c>
      <c r="N193" s="710">
        <f>-SUMIFS('D2 - Capex uso'!CE$6:CE$176,'D2 - Capex uso'!$C$6:$C$176,$A175,'D2 - Capex uso'!$AK$6:$AK$176,$A193)</f>
        <v>0</v>
      </c>
      <c r="O193" s="710">
        <f>-SUMIFS('D2 - Capex uso'!CF$6:CF$176,'D2 - Capex uso'!$C$6:$C$176,$A175,'D2 - Capex uso'!$AK$6:$AK$176,$A193)</f>
        <v>0</v>
      </c>
      <c r="P193" s="710">
        <f>-SUMIFS('D2 - Capex uso'!CG$6:CG$176,'D2 - Capex uso'!$C$6:$C$176,$A175,'D2 - Capex uso'!$AK$6:$AK$176,$A193)</f>
        <v>0</v>
      </c>
      <c r="Q193" s="710">
        <f>-SUMIFS('D2 - Capex uso'!CH$6:CH$176,'D2 - Capex uso'!$C$6:$C$176,$A175,'D2 - Capex uso'!$AK$6:$AK$176,$A193)</f>
        <v>0</v>
      </c>
      <c r="R193" s="710">
        <f>-SUMIFS('D2 - Capex uso'!CI$6:CI$176,'D2 - Capex uso'!$C$6:$C$176,$A175,'D2 - Capex uso'!$AK$6:$AK$176,$A193)</f>
        <v>0</v>
      </c>
      <c r="S193" s="710">
        <f>-SUMIFS('D2 - Capex uso'!CJ$6:CJ$176,'D2 - Capex uso'!$C$6:$C$176,$A175,'D2 - Capex uso'!$AK$6:$AK$176,$A193)</f>
        <v>0</v>
      </c>
      <c r="T193" s="710">
        <f>-SUMIFS('D2 - Capex uso'!CK$6:CK$176,'D2 - Capex uso'!$C$6:$C$176,$A175,'D2 - Capex uso'!$AK$6:$AK$176,$A193)</f>
        <v>0</v>
      </c>
      <c r="U193" s="710">
        <f>-SUMIFS('D2 - Capex uso'!CL$6:CL$176,'D2 - Capex uso'!$C$6:$C$176,$A175,'D2 - Capex uso'!$AK$6:$AK$176,$A193)</f>
        <v>0</v>
      </c>
      <c r="V193" s="710">
        <f>-SUMIFS('D2 - Capex uso'!CM$6:CM$176,'D2 - Capex uso'!$C$6:$C$176,$A175,'D2 - Capex uso'!$AK$6:$AK$176,$A193)</f>
        <v>0</v>
      </c>
      <c r="W193" s="710">
        <f>-SUMIFS('D2 - Capex uso'!CN$6:CN$176,'D2 - Capex uso'!$C$6:$C$176,$A175,'D2 - Capex uso'!$AK$6:$AK$176,$A193)</f>
        <v>0</v>
      </c>
      <c r="X193" s="710">
        <f>-SUMIFS('D2 - Capex uso'!CO$6:CO$176,'D2 - Capex uso'!$C$6:$C$176,$A175,'D2 - Capex uso'!$AK$6:$AK$176,$A193)</f>
        <v>0</v>
      </c>
      <c r="Y193" s="710">
        <f>-SUMIFS('D2 - Capex uso'!CP$6:CP$176,'D2 - Capex uso'!$C$6:$C$176,$A175,'D2 - Capex uso'!$AK$6:$AK$176,$A193)</f>
        <v>0</v>
      </c>
      <c r="Z193" s="710">
        <f>-SUMIFS('D2 - Capex uso'!CQ$6:CQ$176,'D2 - Capex uso'!$C$6:$C$176,$A175,'D2 - Capex uso'!$AK$6:$AK$176,$A193)</f>
        <v>0</v>
      </c>
      <c r="AA193" s="710">
        <f>-SUMIFS('D2 - Capex uso'!CR$6:CR$176,'D2 - Capex uso'!$C$6:$C$176,$A175,'D2 - Capex uso'!$AK$6:$AK$176,$A193)</f>
        <v>0</v>
      </c>
      <c r="AB193" s="710">
        <f>-SUMIFS('D2 - Capex uso'!CS$6:CS$176,'D2 - Capex uso'!$C$6:$C$176,$A175,'D2 - Capex uso'!$AK$6:$AK$176,$A193)</f>
        <v>0</v>
      </c>
      <c r="AC193" s="710">
        <f>-SUMIFS('D2 - Capex uso'!CT$6:CT$176,'D2 - Capex uso'!$C$6:$C$176,$A175,'D2 - Capex uso'!$AK$6:$AK$176,$A193)</f>
        <v>0</v>
      </c>
      <c r="AD193" s="710">
        <f>-SUMIFS('D2 - Capex uso'!CU$6:CU$176,'D2 - Capex uso'!$C$6:$C$176,$A175,'D2 - Capex uso'!$AK$6:$AK$176,$A193)</f>
        <v>0</v>
      </c>
      <c r="AE193" s="710">
        <f>-SUMIFS('D2 - Capex uso'!CV$6:CV$176,'D2 - Capex uso'!$C$6:$C$176,$A175,'D2 - Capex uso'!$AK$6:$AK$176,$A193)</f>
        <v>0</v>
      </c>
      <c r="AF193" s="594"/>
      <c r="AG193" s="594"/>
      <c r="AH193" s="594"/>
      <c r="AI193" s="594"/>
      <c r="AJ193" s="594"/>
      <c r="AK193" s="594"/>
      <c r="AL193" s="594"/>
      <c r="AM193" s="594"/>
      <c r="AN193" s="594"/>
      <c r="AO193" s="594"/>
      <c r="AP193" s="594"/>
      <c r="AQ193" s="594"/>
      <c r="AR193" s="594"/>
      <c r="AS193" s="594"/>
      <c r="AT193" s="594"/>
      <c r="AU193" s="594"/>
      <c r="AV193" s="594"/>
      <c r="AW193" s="594"/>
      <c r="AX193" s="594"/>
      <c r="AY193" s="594"/>
      <c r="AZ193" s="594"/>
      <c r="BA193" s="594"/>
      <c r="BB193" s="594"/>
      <c r="BC193" s="594"/>
      <c r="BD193" s="594"/>
      <c r="BE193" s="594"/>
      <c r="BF193" s="594"/>
      <c r="BG193" s="594"/>
      <c r="BH193" s="594"/>
      <c r="BI193" s="594"/>
      <c r="BJ193" s="594"/>
      <c r="BK193" s="594"/>
      <c r="BL193" s="57"/>
      <c r="BM193" s="594"/>
      <c r="BN193" s="594"/>
      <c r="BO193" s="594"/>
      <c r="BP193" s="594"/>
      <c r="BQ193" s="594"/>
      <c r="BR193" s="594"/>
      <c r="BS193" s="594"/>
      <c r="BT193" s="594"/>
      <c r="BU193" s="594"/>
      <c r="BV193" s="594"/>
      <c r="BW193" s="594"/>
      <c r="BX193" s="594"/>
      <c r="BY193" s="594"/>
      <c r="BZ193" s="594"/>
      <c r="CA193" s="594"/>
      <c r="CB193" s="594"/>
      <c r="CC193" s="594"/>
      <c r="CD193" s="594"/>
      <c r="CE193" s="594"/>
      <c r="CF193" s="594"/>
      <c r="CG193" s="594"/>
      <c r="CH193" s="594"/>
      <c r="CI193" s="594"/>
      <c r="CJ193" s="594"/>
      <c r="CK193" s="594"/>
      <c r="CL193" s="594"/>
      <c r="CM193" s="594"/>
      <c r="CN193" s="594"/>
      <c r="CO193" s="594"/>
      <c r="CP193" s="594"/>
      <c r="CQ193" s="594"/>
    </row>
    <row r="194" spans="1:95" ht="27" customHeight="1" collapsed="1">
      <c r="A194" s="703" t="str">
        <f>IF(ISBLANK('A1 - Serviços e demanda'!A30),,'A1 - Serviços e demanda'!A30)</f>
        <v>Pedra Furada - Comércio</v>
      </c>
      <c r="B194" s="704">
        <f t="shared" ref="B194:AE194" si="60">IF($A194=0,0,SUM(B203:B204))</f>
        <v>-6966.5</v>
      </c>
      <c r="C194" s="704">
        <f t="shared" si="60"/>
        <v>202554.28050589317</v>
      </c>
      <c r="D194" s="704">
        <f t="shared" si="60"/>
        <v>213871.43498223089</v>
      </c>
      <c r="E194" s="704">
        <f t="shared" si="60"/>
        <v>224825.27455691795</v>
      </c>
      <c r="F194" s="704">
        <f t="shared" si="60"/>
        <v>235938.22614801402</v>
      </c>
      <c r="G194" s="704">
        <f t="shared" si="60"/>
        <v>247255.66445980169</v>
      </c>
      <c r="H194" s="704">
        <f t="shared" si="60"/>
        <v>258913.56347277248</v>
      </c>
      <c r="I194" s="704">
        <f t="shared" si="60"/>
        <v>270890.02403548424</v>
      </c>
      <c r="J194" s="704">
        <f t="shared" si="60"/>
        <v>283093.55308707018</v>
      </c>
      <c r="K194" s="704">
        <f t="shared" si="60"/>
        <v>295502.11475917068</v>
      </c>
      <c r="L194" s="704">
        <f t="shared" si="60"/>
        <v>308319.23210767476</v>
      </c>
      <c r="M194" s="704">
        <f t="shared" si="60"/>
        <v>321522.68137916375</v>
      </c>
      <c r="N194" s="704">
        <f t="shared" si="60"/>
        <v>335135.41274355463</v>
      </c>
      <c r="O194" s="704">
        <f t="shared" si="60"/>
        <v>349179.74996978062</v>
      </c>
      <c r="P194" s="704">
        <f t="shared" si="60"/>
        <v>363633.22268933128</v>
      </c>
      <c r="Q194" s="704">
        <f t="shared" si="60"/>
        <v>378473.11341899284</v>
      </c>
      <c r="R194" s="704">
        <f t="shared" si="60"/>
        <v>393699.35784734727</v>
      </c>
      <c r="S194" s="704">
        <f t="shared" si="60"/>
        <v>409266.18780451966</v>
      </c>
      <c r="T194" s="704">
        <f t="shared" si="60"/>
        <v>425105.75441289693</v>
      </c>
      <c r="U194" s="704">
        <f t="shared" si="60"/>
        <v>441150.04676758591</v>
      </c>
      <c r="V194" s="704">
        <f t="shared" si="60"/>
        <v>441150.04676758591</v>
      </c>
      <c r="W194" s="704">
        <f t="shared" si="60"/>
        <v>441150.04676758591</v>
      </c>
      <c r="X194" s="704">
        <f t="shared" si="60"/>
        <v>441150.04676758591</v>
      </c>
      <c r="Y194" s="704">
        <f t="shared" si="60"/>
        <v>441150.04676758591</v>
      </c>
      <c r="Z194" s="704">
        <f t="shared" si="60"/>
        <v>441150.04676758591</v>
      </c>
      <c r="AA194" s="704">
        <f t="shared" si="60"/>
        <v>441150.04676758591</v>
      </c>
      <c r="AB194" s="704">
        <f t="shared" si="60"/>
        <v>441150.04676758591</v>
      </c>
      <c r="AC194" s="704">
        <f t="shared" si="60"/>
        <v>441150.04676758591</v>
      </c>
      <c r="AD194" s="704">
        <f t="shared" si="60"/>
        <v>441150.04676758591</v>
      </c>
      <c r="AE194" s="704">
        <f t="shared" si="60"/>
        <v>441150.04676758591</v>
      </c>
      <c r="AF194" s="594"/>
      <c r="AG194" s="486" t="str">
        <f>A194</f>
        <v>Pedra Furada - Comércio</v>
      </c>
      <c r="AH194" s="705">
        <f t="shared" ref="AH194:BK194" si="61">IFERROR(-B197/B195,0)</f>
        <v>0</v>
      </c>
      <c r="AI194" s="705">
        <f t="shared" si="61"/>
        <v>0.53969338781161791</v>
      </c>
      <c r="AJ194" s="705">
        <f t="shared" si="61"/>
        <v>0.53389740100310912</v>
      </c>
      <c r="AK194" s="705">
        <f t="shared" si="61"/>
        <v>0.52864447699405426</v>
      </c>
      <c r="AL194" s="705">
        <f t="shared" si="61"/>
        <v>0.52364081865809375</v>
      </c>
      <c r="AM194" s="705">
        <f t="shared" si="61"/>
        <v>0.51885187656746179</v>
      </c>
      <c r="AN194" s="705">
        <f t="shared" si="61"/>
        <v>0.51421370002190936</v>
      </c>
      <c r="AO194" s="705">
        <f t="shared" si="61"/>
        <v>0.50973319638446624</v>
      </c>
      <c r="AP194" s="705">
        <f t="shared" si="61"/>
        <v>0.50543799736062323</v>
      </c>
      <c r="AQ194" s="705">
        <f t="shared" si="61"/>
        <v>0.50132624824856342</v>
      </c>
      <c r="AR194" s="705">
        <f t="shared" si="61"/>
        <v>0.49732603839467504</v>
      </c>
      <c r="AS194" s="705">
        <f t="shared" si="61"/>
        <v>0.49344523740249224</v>
      </c>
      <c r="AT194" s="705">
        <f t="shared" si="61"/>
        <v>0.48967723655332679</v>
      </c>
      <c r="AU194" s="705">
        <f t="shared" si="61"/>
        <v>0.48601632400471312</v>
      </c>
      <c r="AV194" s="705">
        <f t="shared" si="61"/>
        <v>0.48246838396255465</v>
      </c>
      <c r="AW194" s="705">
        <f t="shared" si="61"/>
        <v>0.47903743459062575</v>
      </c>
      <c r="AX194" s="705">
        <f t="shared" si="61"/>
        <v>0.47572110227133163</v>
      </c>
      <c r="AY194" s="705">
        <f t="shared" si="61"/>
        <v>0.47252584017389682</v>
      </c>
      <c r="AZ194" s="705">
        <f t="shared" si="61"/>
        <v>0.46946012686611338</v>
      </c>
      <c r="BA194" s="705">
        <f t="shared" si="61"/>
        <v>0.46652962136691684</v>
      </c>
      <c r="BB194" s="705">
        <f t="shared" si="61"/>
        <v>0.46652962136691684</v>
      </c>
      <c r="BC194" s="705">
        <f t="shared" si="61"/>
        <v>0.46652962136691684</v>
      </c>
      <c r="BD194" s="705">
        <f t="shared" si="61"/>
        <v>0.46652962136691684</v>
      </c>
      <c r="BE194" s="705">
        <f t="shared" si="61"/>
        <v>0.46652962136691684</v>
      </c>
      <c r="BF194" s="705">
        <f t="shared" si="61"/>
        <v>0.46652962136691684</v>
      </c>
      <c r="BG194" s="705">
        <f t="shared" si="61"/>
        <v>0.46652962136691684</v>
      </c>
      <c r="BH194" s="705">
        <f t="shared" si="61"/>
        <v>0.46652962136691684</v>
      </c>
      <c r="BI194" s="705">
        <f t="shared" si="61"/>
        <v>0.46652962136691684</v>
      </c>
      <c r="BJ194" s="705">
        <f t="shared" si="61"/>
        <v>0.46652962136691684</v>
      </c>
      <c r="BK194" s="705">
        <f t="shared" si="61"/>
        <v>0.46652962136691684</v>
      </c>
      <c r="BL194" s="57"/>
      <c r="BM194" s="486" t="str">
        <f>AG194</f>
        <v>Pedra Furada - Comércio</v>
      </c>
      <c r="BN194" s="705">
        <f t="shared" ref="BN194:CQ194" si="62">IFERROR(B203/B195,0)</f>
        <v>0</v>
      </c>
      <c r="BO194" s="705">
        <f t="shared" si="62"/>
        <v>0.28081835644793174</v>
      </c>
      <c r="BP194" s="705">
        <f t="shared" si="62"/>
        <v>0.28661409137259569</v>
      </c>
      <c r="BQ194" s="705">
        <f t="shared" si="62"/>
        <v>0.29186716156941184</v>
      </c>
      <c r="BR194" s="705">
        <f t="shared" si="62"/>
        <v>0.29687099861341809</v>
      </c>
      <c r="BS194" s="705">
        <f t="shared" si="62"/>
        <v>0.30166005546245556</v>
      </c>
      <c r="BT194" s="705">
        <f t="shared" si="62"/>
        <v>0.30629783919646575</v>
      </c>
      <c r="BU194" s="705">
        <f t="shared" si="62"/>
        <v>0.3107784363396825</v>
      </c>
      <c r="BV194" s="705">
        <f t="shared" si="62"/>
        <v>0.31507351484370638</v>
      </c>
      <c r="BW194" s="705">
        <f t="shared" si="62"/>
        <v>0.31918569319417872</v>
      </c>
      <c r="BX194" s="705">
        <f t="shared" si="62"/>
        <v>0.3231857778906444</v>
      </c>
      <c r="BY194" s="705">
        <f t="shared" si="62"/>
        <v>0.32706645783954402</v>
      </c>
      <c r="BZ194" s="705">
        <f t="shared" si="62"/>
        <v>0.33083456341910622</v>
      </c>
      <c r="CA194" s="705">
        <f t="shared" si="62"/>
        <v>0.33449540182946702</v>
      </c>
      <c r="CB194" s="705">
        <f t="shared" si="62"/>
        <v>0.33804334172104794</v>
      </c>
      <c r="CC194" s="705">
        <f t="shared" si="62"/>
        <v>0.34147436587629615</v>
      </c>
      <c r="CD194" s="705">
        <f t="shared" si="62"/>
        <v>0.34479078499570631</v>
      </c>
      <c r="CE194" s="705">
        <f t="shared" si="62"/>
        <v>0.34798587518452484</v>
      </c>
      <c r="CF194" s="705">
        <f t="shared" si="62"/>
        <v>0.35105145085502865</v>
      </c>
      <c r="CG194" s="705">
        <f t="shared" si="62"/>
        <v>0.3539819833641612</v>
      </c>
      <c r="CH194" s="705">
        <f t="shared" si="62"/>
        <v>0.3539819833641612</v>
      </c>
      <c r="CI194" s="705">
        <f t="shared" si="62"/>
        <v>0.3539819833641612</v>
      </c>
      <c r="CJ194" s="705">
        <f t="shared" si="62"/>
        <v>0.3539819833641612</v>
      </c>
      <c r="CK194" s="705">
        <f t="shared" si="62"/>
        <v>0.3539819833641612</v>
      </c>
      <c r="CL194" s="705">
        <f t="shared" si="62"/>
        <v>0.3539819833641612</v>
      </c>
      <c r="CM194" s="705">
        <f t="shared" si="62"/>
        <v>0.3539819833641612</v>
      </c>
      <c r="CN194" s="705">
        <f t="shared" si="62"/>
        <v>0.3539819833641612</v>
      </c>
      <c r="CO194" s="705">
        <f t="shared" si="62"/>
        <v>0.3539819833641612</v>
      </c>
      <c r="CP194" s="705">
        <f t="shared" si="62"/>
        <v>0.3539819833641612</v>
      </c>
      <c r="CQ194" s="705">
        <f t="shared" si="62"/>
        <v>0.3539819833641612</v>
      </c>
    </row>
    <row r="195" spans="1:95" ht="33.75" hidden="1" customHeight="1" outlineLevel="1">
      <c r="A195" s="706" t="s">
        <v>680</v>
      </c>
      <c r="B195" s="707">
        <f>IFERROR(VLOOKUP($A194,ReceitaBruta,COLUMN('A4 - Previsão de Receita Bruta'!C197)-1,0),0)</f>
        <v>0</v>
      </c>
      <c r="C195" s="707">
        <f>IFERROR(VLOOKUP($A194,ReceitaBruta,COLUMN('A4 - Previsão de Receita Bruta'!D197)-1,0),0)</f>
        <v>721300</v>
      </c>
      <c r="D195" s="707">
        <f>IFERROR(VLOOKUP($A194,ReceitaBruta,COLUMN('A4 - Previsão de Receita Bruta'!E197)-1,0),0)</f>
        <v>746200</v>
      </c>
      <c r="E195" s="707">
        <f>IFERROR(VLOOKUP($A194,ReceitaBruta,COLUMN('A4 - Previsão de Receita Bruta'!F197)-1,0),0)</f>
        <v>770300</v>
      </c>
      <c r="F195" s="707">
        <f>IFERROR(VLOOKUP($A194,ReceitaBruta,COLUMN('A4 - Previsão de Receita Bruta'!G197)-1,0),0)</f>
        <v>794750</v>
      </c>
      <c r="G195" s="707">
        <f>IFERROR(VLOOKUP($A194,ReceitaBruta,COLUMN('A4 - Previsão de Receita Bruta'!H197)-1,0),0)</f>
        <v>819650</v>
      </c>
      <c r="H195" s="707">
        <f>IFERROR(VLOOKUP($A194,ReceitaBruta,COLUMN('A4 - Previsão de Receita Bruta'!I197)-1,0),0)</f>
        <v>845300</v>
      </c>
      <c r="I195" s="707">
        <f>IFERROR(VLOOKUP($A194,ReceitaBruta,COLUMN('A4 - Previsão de Receita Bruta'!J197)-1,0),0)</f>
        <v>871650</v>
      </c>
      <c r="J195" s="707">
        <f>IFERROR(VLOOKUP($A194,ReceitaBruta,COLUMN('A4 - Previsão de Receita Bruta'!K197)-1,0),0)</f>
        <v>898500</v>
      </c>
      <c r="K195" s="707">
        <f>IFERROR(VLOOKUP($A194,ReceitaBruta,COLUMN('A4 - Previsão de Receita Bruta'!L197)-1,0),0)</f>
        <v>925800</v>
      </c>
      <c r="L195" s="707">
        <f>IFERROR(VLOOKUP($A194,ReceitaBruta,COLUMN('A4 - Previsão de Receita Bruta'!M197)-1,0),0)</f>
        <v>954000</v>
      </c>
      <c r="M195" s="707">
        <f>IFERROR(VLOOKUP($A194,ReceitaBruta,COLUMN('A4 - Previsão de Receita Bruta'!N197)-1,0),0)</f>
        <v>983050</v>
      </c>
      <c r="N195" s="707">
        <f>IFERROR(VLOOKUP($A194,ReceitaBruta,COLUMN('A4 - Previsão de Receita Bruta'!O197)-1,0),0)</f>
        <v>1013000</v>
      </c>
      <c r="O195" s="707">
        <f>IFERROR(VLOOKUP($A194,ReceitaBruta,COLUMN('A4 - Previsão de Receita Bruta'!P197)-1,0),0)</f>
        <v>1043900</v>
      </c>
      <c r="P195" s="707">
        <f>IFERROR(VLOOKUP($A194,ReceitaBruta,COLUMN('A4 - Previsão de Receita Bruta'!Q197)-1,0),0)</f>
        <v>1075700</v>
      </c>
      <c r="Q195" s="707">
        <f>IFERROR(VLOOKUP($A194,ReceitaBruta,COLUMN('A4 - Previsão de Receita Bruta'!R197)-1,0),0)</f>
        <v>1108350</v>
      </c>
      <c r="R195" s="707">
        <f>IFERROR(VLOOKUP($A194,ReceitaBruta,COLUMN('A4 - Previsão de Receita Bruta'!S197)-1,0),0)</f>
        <v>1141850</v>
      </c>
      <c r="S195" s="707">
        <f>IFERROR(VLOOKUP($A194,ReceitaBruta,COLUMN('A4 - Previsão de Receita Bruta'!T197)-1,0),0)</f>
        <v>1176100</v>
      </c>
      <c r="T195" s="707">
        <f>IFERROR(VLOOKUP($A194,ReceitaBruta,COLUMN('A4 - Previsão de Receita Bruta'!U197)-1,0),0)</f>
        <v>1210950</v>
      </c>
      <c r="U195" s="707">
        <f>IFERROR(VLOOKUP($A194,ReceitaBruta,COLUMN('A4 - Previsão de Receita Bruta'!V197)-1,0),0)</f>
        <v>1246250</v>
      </c>
      <c r="V195" s="707">
        <f>IFERROR(VLOOKUP($A194,ReceitaBruta,COLUMN('A4 - Previsão de Receita Bruta'!W197)-1,0),0)</f>
        <v>1246250</v>
      </c>
      <c r="W195" s="707">
        <f>IFERROR(VLOOKUP($A194,ReceitaBruta,COLUMN('A4 - Previsão de Receita Bruta'!X197)-1,0),0)</f>
        <v>1246250</v>
      </c>
      <c r="X195" s="707">
        <f>IFERROR(VLOOKUP($A194,ReceitaBruta,COLUMN('A4 - Previsão de Receita Bruta'!Y197)-1,0),0)</f>
        <v>1246250</v>
      </c>
      <c r="Y195" s="707">
        <f>IFERROR(VLOOKUP($A194,ReceitaBruta,COLUMN('A4 - Previsão de Receita Bruta'!Z197)-1,0),0)</f>
        <v>1246250</v>
      </c>
      <c r="Z195" s="707">
        <f>IFERROR(VLOOKUP($A194,ReceitaBruta,COLUMN('A4 - Previsão de Receita Bruta'!AA197)-1,0),0)</f>
        <v>1246250</v>
      </c>
      <c r="AA195" s="707">
        <f>IFERROR(VLOOKUP($A194,ReceitaBruta,COLUMN('A4 - Previsão de Receita Bruta'!AB197)-1,0),0)</f>
        <v>1246250</v>
      </c>
      <c r="AB195" s="707">
        <f>IFERROR(VLOOKUP($A194,ReceitaBruta,COLUMN('A4 - Previsão de Receita Bruta'!AC197)-1,0),0)</f>
        <v>1246250</v>
      </c>
      <c r="AC195" s="707">
        <f>IFERROR(VLOOKUP($A194,ReceitaBruta,COLUMN('A4 - Previsão de Receita Bruta'!AD197)-1,0),0)</f>
        <v>1246250</v>
      </c>
      <c r="AD195" s="707">
        <f>IFERROR(VLOOKUP($A194,ReceitaBruta,COLUMN('A4 - Previsão de Receita Bruta'!AE197)-1,0),0)</f>
        <v>1246250</v>
      </c>
      <c r="AE195" s="707">
        <f>IFERROR(VLOOKUP($A194,ReceitaBruta,COLUMN('A4 - Previsão de Receita Bruta'!AF197)-1,0),0)</f>
        <v>1246250</v>
      </c>
      <c r="AF195" s="594"/>
      <c r="AG195" s="594"/>
      <c r="AH195" s="594"/>
      <c r="AI195" s="594"/>
      <c r="AJ195" s="594"/>
      <c r="AK195" s="594"/>
      <c r="AL195" s="594"/>
      <c r="AM195" s="594"/>
      <c r="AN195" s="594"/>
      <c r="AO195" s="594"/>
      <c r="AP195" s="594"/>
      <c r="AQ195" s="594"/>
      <c r="AR195" s="594"/>
      <c r="AS195" s="594"/>
      <c r="AT195" s="594"/>
      <c r="AU195" s="594"/>
      <c r="AV195" s="594"/>
      <c r="AW195" s="594"/>
      <c r="AX195" s="594"/>
      <c r="AY195" s="594"/>
      <c r="AZ195" s="594"/>
      <c r="BA195" s="594"/>
      <c r="BB195" s="594"/>
      <c r="BC195" s="594"/>
      <c r="BD195" s="594"/>
      <c r="BE195" s="594"/>
      <c r="BF195" s="594"/>
      <c r="BG195" s="594"/>
      <c r="BH195" s="594"/>
      <c r="BI195" s="594"/>
      <c r="BJ195" s="594"/>
      <c r="BK195" s="594"/>
      <c r="BL195" s="57"/>
      <c r="BM195" s="594"/>
      <c r="BN195" s="594"/>
      <c r="BO195" s="594"/>
      <c r="BP195" s="594"/>
      <c r="BQ195" s="594"/>
      <c r="BR195" s="594"/>
      <c r="BS195" s="594"/>
      <c r="BT195" s="594"/>
      <c r="BU195" s="594"/>
      <c r="BV195" s="594"/>
      <c r="BW195" s="594"/>
      <c r="BX195" s="594"/>
      <c r="BY195" s="594"/>
      <c r="BZ195" s="594"/>
      <c r="CA195" s="594"/>
      <c r="CB195" s="594"/>
      <c r="CC195" s="594"/>
      <c r="CD195" s="594"/>
      <c r="CE195" s="594"/>
      <c r="CF195" s="594"/>
      <c r="CG195" s="594"/>
      <c r="CH195" s="594"/>
      <c r="CI195" s="594"/>
      <c r="CJ195" s="594"/>
      <c r="CK195" s="594"/>
      <c r="CL195" s="594"/>
      <c r="CM195" s="594"/>
      <c r="CN195" s="594"/>
      <c r="CO195" s="594"/>
      <c r="CP195" s="594"/>
      <c r="CQ195" s="594"/>
    </row>
    <row r="196" spans="1:95" ht="21" hidden="1" customHeight="1" outlineLevel="1">
      <c r="A196" s="708" t="s">
        <v>681</v>
      </c>
      <c r="B196" s="707">
        <f>IFERROR(-'E2 - Tributos'!D$19*VLOOKUP('F1 - FCL'!$A194,ReceitaBruta,COLUMN('A4 - Previsão de Receita Bruta'!C$6)-1,0),0)</f>
        <v>0</v>
      </c>
      <c r="C196" s="707">
        <f>IFERROR(-'E2 - Tributos'!E$19*VLOOKUP('F1 - FCL'!$A194,ReceitaBruta,COLUMN('A4 - Previsão de Receita Bruta'!D$6)-1,0),0)</f>
        <v>-129464.87886558683</v>
      </c>
      <c r="D196" s="707">
        <f>IFERROR(-'E2 - Tributos'!F$19*VLOOKUP('F1 - FCL'!$A194,ReceitaBruta,COLUMN('A4 - Previsão de Receita Bruta'!E$6)-1,0),0)</f>
        <v>-133934.32438924914</v>
      </c>
      <c r="E196" s="707">
        <f>IFERROR(-'E2 - Tributos'!G$19*VLOOKUP('F1 - FCL'!$A194,ReceitaBruta,COLUMN('A4 - Previsão de Receita Bruta'!F$6)-1,0),0)</f>
        <v>-138259.88481456201</v>
      </c>
      <c r="F196" s="707">
        <f>IFERROR(-'E2 - Tributos'!H$19*VLOOKUP('F1 - FCL'!$A194,ReceitaBruta,COLUMN('A4 - Previsão de Receita Bruta'!G$6)-1,0),0)</f>
        <v>-142648.23322346591</v>
      </c>
      <c r="G196" s="707">
        <f>IFERROR(-'E2 - Tributos'!I$19*VLOOKUP('F1 - FCL'!$A194,ReceitaBruta,COLUMN('A4 - Previsão de Receita Bruta'!H$6)-1,0),0)</f>
        <v>-147117.3949116783</v>
      </c>
      <c r="H196" s="707">
        <f>IFERROR(-'E2 - Tributos'!J$19*VLOOKUP('F1 - FCL'!$A194,ReceitaBruta,COLUMN('A4 - Previsão de Receita Bruta'!I$6)-1,0),0)</f>
        <v>-151721.59589870748</v>
      </c>
      <c r="I196" s="707">
        <f>IFERROR(-'E2 - Tributos'!K$19*VLOOKUP('F1 - FCL'!$A194,ReceitaBruta,COLUMN('A4 - Previsão de Receita Bruta'!J$6)-1,0),0)</f>
        <v>-156451.03533599569</v>
      </c>
      <c r="J196" s="707">
        <f>IFERROR(-'E2 - Tributos'!L$19*VLOOKUP('F1 - FCL'!$A194,ReceitaBruta,COLUMN('A4 - Previsão de Receita Bruta'!K$6)-1,0),0)</f>
        <v>-161270.40628440987</v>
      </c>
      <c r="K196" s="707">
        <f>IFERROR(-'E2 - Tributos'!M$19*VLOOKUP('F1 - FCL'!$A194,ReceitaBruta,COLUMN('A4 - Previsão de Receita Bruta'!L$6)-1,0),0)</f>
        <v>-166170.04461230934</v>
      </c>
      <c r="L196" s="707">
        <f>IFERROR(-'E2 - Tributos'!N$19*VLOOKUP('F1 - FCL'!$A194,ReceitaBruta,COLUMN('A4 - Previsão de Receita Bruta'!M$6)-1,0),0)</f>
        <v>-171231.72726380519</v>
      </c>
      <c r="M196" s="707">
        <f>IFERROR(-'E2 - Tributos'!O$19*VLOOKUP('F1 - FCL'!$A194,ReceitaBruta,COLUMN('A4 - Previsão de Receita Bruta'!N$6)-1,0),0)</f>
        <v>-176445.97799231627</v>
      </c>
      <c r="N196" s="707">
        <f>IFERROR(-'E2 - Tributos'!P$19*VLOOKUP('F1 - FCL'!$A194,ReceitaBruta,COLUMN('A4 - Previsão de Receita Bruta'!O$6)-1,0),0)</f>
        <v>-181821.54662792536</v>
      </c>
      <c r="O196" s="707">
        <f>IFERROR(-'E2 - Tributos'!Q$19*VLOOKUP('F1 - FCL'!$A194,ReceitaBruta,COLUMN('A4 - Previsão de Receita Bruta'!P$6)-1,0),0)</f>
        <v>-187367.80940169931</v>
      </c>
      <c r="P196" s="707">
        <f>IFERROR(-'E2 - Tributos'!R$19*VLOOKUP('F1 - FCL'!$A194,ReceitaBruta,COLUMN('A4 - Previsão de Receita Bruta'!Q$6)-1,0),0)</f>
        <v>-193075.53668214867</v>
      </c>
      <c r="Q196" s="707">
        <f>IFERROR(-'E2 - Tributos'!S$19*VLOOKUP('F1 - FCL'!$A194,ReceitaBruta,COLUMN('A4 - Previsão de Receita Bruta'!R$6)-1,0),0)</f>
        <v>-198935.74595248711</v>
      </c>
      <c r="R196" s="707">
        <f>IFERROR(-'E2 - Tributos'!T$19*VLOOKUP('F1 - FCL'!$A194,ReceitaBruta,COLUMN('A4 - Previsão de Receita Bruta'!S$6)-1,0),0)</f>
        <v>-204948.50152413262</v>
      </c>
      <c r="S196" s="707">
        <f>IFERROR(-'E2 - Tributos'!U$19*VLOOKUP('F1 - FCL'!$A194,ReceitaBruta,COLUMN('A4 - Previsão de Receita Bruta'!T$6)-1,0),0)</f>
        <v>-211096.17156696026</v>
      </c>
      <c r="T196" s="707">
        <f>IFERROR(-'E2 - Tributos'!V$19*VLOOKUP('F1 - FCL'!$A194,ReceitaBruta,COLUMN('A4 - Previsão de Receita Bruta'!U$6)-1,0),0)</f>
        <v>-217351.50495858298</v>
      </c>
      <c r="U196" s="707">
        <f>IFERROR(-'E2 - Tributos'!W$19*VLOOKUP('F1 - FCL'!$A194,ReceitaBruta,COLUMN('A4 - Previsão de Receita Bruta'!V$6)-1,0),0)</f>
        <v>-223687.41260389404</v>
      </c>
      <c r="V196" s="707">
        <f>IFERROR(-'E2 - Tributos'!X$19*VLOOKUP('F1 - FCL'!$A194,ReceitaBruta,COLUMN('A4 - Previsão de Receita Bruta'!W$6)-1,0),0)</f>
        <v>-223687.41260389404</v>
      </c>
      <c r="W196" s="707">
        <f>IFERROR(-'E2 - Tributos'!Y$19*VLOOKUP('F1 - FCL'!$A194,ReceitaBruta,COLUMN('A4 - Previsão de Receita Bruta'!X$6)-1,0),0)</f>
        <v>-223687.41260389404</v>
      </c>
      <c r="X196" s="707">
        <f>IFERROR(-'E2 - Tributos'!Z$19*VLOOKUP('F1 - FCL'!$A194,ReceitaBruta,COLUMN('A4 - Previsão de Receita Bruta'!Y$6)-1,0),0)</f>
        <v>-223687.41260389404</v>
      </c>
      <c r="Y196" s="707">
        <f>IFERROR(-'E2 - Tributos'!AA$19*VLOOKUP('F1 - FCL'!$A194,ReceitaBruta,COLUMN('A4 - Previsão de Receita Bruta'!Z$6)-1,0),0)</f>
        <v>-223687.41260389404</v>
      </c>
      <c r="Z196" s="707">
        <f>IFERROR(-'E2 - Tributos'!AB$19*VLOOKUP('F1 - FCL'!$A194,ReceitaBruta,COLUMN('A4 - Previsão de Receita Bruta'!AA$6)-1,0),0)</f>
        <v>-223687.41260389404</v>
      </c>
      <c r="AA196" s="707">
        <f>IFERROR(-'E2 - Tributos'!AC$19*VLOOKUP('F1 - FCL'!$A194,ReceitaBruta,COLUMN('A4 - Previsão de Receita Bruta'!AB$6)-1,0),0)</f>
        <v>-223687.41260389404</v>
      </c>
      <c r="AB196" s="707">
        <f>IFERROR(-'E2 - Tributos'!AD$19*VLOOKUP('F1 - FCL'!$A194,ReceitaBruta,COLUMN('A4 - Previsão de Receita Bruta'!AC$6)-1,0),0)</f>
        <v>-223687.41260389404</v>
      </c>
      <c r="AC196" s="707">
        <f>IFERROR(-'E2 - Tributos'!AE$19*VLOOKUP('F1 - FCL'!$A194,ReceitaBruta,COLUMN('A4 - Previsão de Receita Bruta'!AD$6)-1,0),0)</f>
        <v>-223687.41260389404</v>
      </c>
      <c r="AD196" s="707">
        <f>IFERROR(-'E2 - Tributos'!AF$19*VLOOKUP('F1 - FCL'!$A194,ReceitaBruta,COLUMN('A4 - Previsão de Receita Bruta'!AE$6)-1,0),0)</f>
        <v>-223687.41260389404</v>
      </c>
      <c r="AE196" s="707">
        <f>IFERROR(-'E2 - Tributos'!AG$19*VLOOKUP('F1 - FCL'!$A194,ReceitaBruta,COLUMN('A4 - Previsão de Receita Bruta'!AF$6)-1,0),0)</f>
        <v>-223687.41260389404</v>
      </c>
      <c r="AF196" s="594"/>
      <c r="AG196" s="594"/>
      <c r="AH196" s="594"/>
      <c r="AI196" s="594"/>
      <c r="AJ196" s="594"/>
      <c r="AK196" s="594"/>
      <c r="AL196" s="594"/>
      <c r="AM196" s="594"/>
      <c r="AN196" s="594"/>
      <c r="AO196" s="594"/>
      <c r="AP196" s="594"/>
      <c r="AQ196" s="594"/>
      <c r="AR196" s="594"/>
      <c r="AS196" s="594"/>
      <c r="AT196" s="594"/>
      <c r="AU196" s="594"/>
      <c r="AV196" s="594"/>
      <c r="AW196" s="594"/>
      <c r="AX196" s="594"/>
      <c r="AY196" s="594"/>
      <c r="AZ196" s="594"/>
      <c r="BA196" s="594"/>
      <c r="BB196" s="594"/>
      <c r="BC196" s="594"/>
      <c r="BD196" s="594"/>
      <c r="BE196" s="594"/>
      <c r="BF196" s="594"/>
      <c r="BG196" s="594"/>
      <c r="BH196" s="594"/>
      <c r="BI196" s="594"/>
      <c r="BJ196" s="594"/>
      <c r="BK196" s="594"/>
      <c r="BL196" s="57"/>
      <c r="BM196" s="594"/>
      <c r="BN196" s="594"/>
      <c r="BO196" s="594"/>
      <c r="BP196" s="594"/>
      <c r="BQ196" s="594"/>
      <c r="BR196" s="594"/>
      <c r="BS196" s="594"/>
      <c r="BT196" s="594"/>
      <c r="BU196" s="594"/>
      <c r="BV196" s="594"/>
      <c r="BW196" s="594"/>
      <c r="BX196" s="594"/>
      <c r="BY196" s="594"/>
      <c r="BZ196" s="594"/>
      <c r="CA196" s="594"/>
      <c r="CB196" s="594"/>
      <c r="CC196" s="594"/>
      <c r="CD196" s="594"/>
      <c r="CE196" s="594"/>
      <c r="CF196" s="594"/>
      <c r="CG196" s="594"/>
      <c r="CH196" s="594"/>
      <c r="CI196" s="594"/>
      <c r="CJ196" s="594"/>
      <c r="CK196" s="594"/>
      <c r="CL196" s="594"/>
      <c r="CM196" s="594"/>
      <c r="CN196" s="594"/>
      <c r="CO196" s="594"/>
      <c r="CP196" s="594"/>
      <c r="CQ196" s="594"/>
    </row>
    <row r="197" spans="1:95" ht="19.5" hidden="1" customHeight="1" outlineLevel="1">
      <c r="A197" s="708" t="s">
        <v>590</v>
      </c>
      <c r="B197" s="707">
        <f t="shared" ref="B197:AE197" si="63">SUM(B198:B202)</f>
        <v>-6966.5</v>
      </c>
      <c r="C197" s="707">
        <f t="shared" si="63"/>
        <v>-389280.84062852</v>
      </c>
      <c r="D197" s="707">
        <f t="shared" si="63"/>
        <v>-398394.24062852003</v>
      </c>
      <c r="E197" s="707">
        <f t="shared" si="63"/>
        <v>-407214.84062852</v>
      </c>
      <c r="F197" s="707">
        <f t="shared" si="63"/>
        <v>-416163.54062852002</v>
      </c>
      <c r="G197" s="707">
        <f t="shared" si="63"/>
        <v>-425276.94062852004</v>
      </c>
      <c r="H197" s="707">
        <f t="shared" si="63"/>
        <v>-434664.84062852</v>
      </c>
      <c r="I197" s="707">
        <f t="shared" si="63"/>
        <v>-444308.94062852004</v>
      </c>
      <c r="J197" s="707">
        <f t="shared" si="63"/>
        <v>-454136.04062852002</v>
      </c>
      <c r="K197" s="707">
        <f t="shared" si="63"/>
        <v>-464127.84062852</v>
      </c>
      <c r="L197" s="707">
        <f t="shared" si="63"/>
        <v>-474449.04062852002</v>
      </c>
      <c r="M197" s="707">
        <f t="shared" si="63"/>
        <v>-485081.34062852</v>
      </c>
      <c r="N197" s="707">
        <f t="shared" si="63"/>
        <v>-496043.04062852002</v>
      </c>
      <c r="O197" s="707">
        <f t="shared" si="63"/>
        <v>-507352.44062852004</v>
      </c>
      <c r="P197" s="707">
        <f t="shared" si="63"/>
        <v>-518991.24062852003</v>
      </c>
      <c r="Q197" s="707">
        <f t="shared" si="63"/>
        <v>-530941.14062852005</v>
      </c>
      <c r="R197" s="707">
        <f t="shared" si="63"/>
        <v>-543202.14062852005</v>
      </c>
      <c r="S197" s="707">
        <f t="shared" si="63"/>
        <v>-555737.64062852005</v>
      </c>
      <c r="T197" s="707">
        <f t="shared" si="63"/>
        <v>-568492.74062852003</v>
      </c>
      <c r="U197" s="707">
        <f t="shared" si="63"/>
        <v>-581412.54062852007</v>
      </c>
      <c r="V197" s="707">
        <f t="shared" si="63"/>
        <v>-581412.54062852007</v>
      </c>
      <c r="W197" s="707">
        <f t="shared" si="63"/>
        <v>-581412.54062852007</v>
      </c>
      <c r="X197" s="707">
        <f t="shared" si="63"/>
        <v>-581412.54062852007</v>
      </c>
      <c r="Y197" s="707">
        <f t="shared" si="63"/>
        <v>-581412.54062852007</v>
      </c>
      <c r="Z197" s="707">
        <f t="shared" si="63"/>
        <v>-581412.54062852007</v>
      </c>
      <c r="AA197" s="707">
        <f t="shared" si="63"/>
        <v>-581412.54062852007</v>
      </c>
      <c r="AB197" s="707">
        <f t="shared" si="63"/>
        <v>-581412.54062852007</v>
      </c>
      <c r="AC197" s="707">
        <f t="shared" si="63"/>
        <v>-581412.54062852007</v>
      </c>
      <c r="AD197" s="707">
        <f t="shared" si="63"/>
        <v>-581412.54062852007</v>
      </c>
      <c r="AE197" s="707">
        <f t="shared" si="63"/>
        <v>-581412.54062852007</v>
      </c>
      <c r="AF197" s="594"/>
      <c r="AG197" s="594"/>
      <c r="AH197" s="594"/>
      <c r="AI197" s="594"/>
      <c r="AJ197" s="594"/>
      <c r="AK197" s="594"/>
      <c r="AL197" s="594"/>
      <c r="AM197" s="594"/>
      <c r="AN197" s="594"/>
      <c r="AO197" s="594"/>
      <c r="AP197" s="594"/>
      <c r="AQ197" s="594"/>
      <c r="AR197" s="594"/>
      <c r="AS197" s="594"/>
      <c r="AT197" s="594"/>
      <c r="AU197" s="594"/>
      <c r="AV197" s="594"/>
      <c r="AW197" s="594"/>
      <c r="AX197" s="594"/>
      <c r="AY197" s="594"/>
      <c r="AZ197" s="594"/>
      <c r="BA197" s="594"/>
      <c r="BB197" s="594"/>
      <c r="BC197" s="594"/>
      <c r="BD197" s="594"/>
      <c r="BE197" s="594"/>
      <c r="BF197" s="594"/>
      <c r="BG197" s="594"/>
      <c r="BH197" s="594"/>
      <c r="BI197" s="594"/>
      <c r="BJ197" s="594"/>
      <c r="BK197" s="594"/>
      <c r="BL197" s="57"/>
      <c r="BM197" s="594"/>
      <c r="BN197" s="594"/>
      <c r="BO197" s="594"/>
      <c r="BP197" s="594"/>
      <c r="BQ197" s="594"/>
      <c r="BR197" s="594"/>
      <c r="BS197" s="594"/>
      <c r="BT197" s="594"/>
      <c r="BU197" s="594"/>
      <c r="BV197" s="594"/>
      <c r="BW197" s="594"/>
      <c r="BX197" s="594"/>
      <c r="BY197" s="594"/>
      <c r="BZ197" s="594"/>
      <c r="CA197" s="594"/>
      <c r="CB197" s="594"/>
      <c r="CC197" s="594"/>
      <c r="CD197" s="594"/>
      <c r="CE197" s="594"/>
      <c r="CF197" s="594"/>
      <c r="CG197" s="594"/>
      <c r="CH197" s="594"/>
      <c r="CI197" s="594"/>
      <c r="CJ197" s="594"/>
      <c r="CK197" s="594"/>
      <c r="CL197" s="594"/>
      <c r="CM197" s="594"/>
      <c r="CN197" s="594"/>
      <c r="CO197" s="594"/>
      <c r="CP197" s="594"/>
      <c r="CQ197" s="594"/>
    </row>
    <row r="198" spans="1:95" ht="21" hidden="1" customHeight="1" outlineLevel="2">
      <c r="A198" s="709" t="s">
        <v>682</v>
      </c>
      <c r="B198" s="710">
        <f>IF($A194="",0,-SUMIF('C3 - Funcionários $'!$D$7:$D$121,$A194,'C3 - Funcionários $'!G$7:G$121))</f>
        <v>0</v>
      </c>
      <c r="C198" s="710">
        <f>IF($A194="",0,-SUMIF('C3 - Funcionários $'!$D$7:$D$121,$A194,'C3 - Funcionários $'!H$7:H$121))</f>
        <v>-118318.54062852003</v>
      </c>
      <c r="D198" s="710">
        <f>IF($A194="",0,-SUMIF('C3 - Funcionários $'!$D$7:$D$121,$A194,'C3 - Funcionários $'!I$7:I$121))</f>
        <v>-118318.54062852003</v>
      </c>
      <c r="E198" s="710">
        <f>IF($A194="",0,-SUMIF('C3 - Funcionários $'!$D$7:$D$121,$A194,'C3 - Funcionários $'!J$7:J$121))</f>
        <v>-118318.54062852003</v>
      </c>
      <c r="F198" s="710">
        <f>IF($A194="",0,-SUMIF('C3 - Funcionários $'!$D$7:$D$121,$A194,'C3 - Funcionários $'!K$7:K$121))</f>
        <v>-118318.54062852003</v>
      </c>
      <c r="G198" s="710">
        <f>IF($A194="",0,-SUMIF('C3 - Funcionários $'!$D$7:$D$121,$A194,'C3 - Funcionários $'!L$7:L$121))</f>
        <v>-118318.54062852003</v>
      </c>
      <c r="H198" s="710">
        <f>IF($A194="",0,-SUMIF('C3 - Funcionários $'!$D$7:$D$121,$A194,'C3 - Funcionários $'!M$7:M$121))</f>
        <v>-118318.54062852003</v>
      </c>
      <c r="I198" s="710">
        <f>IF($A194="",0,-SUMIF('C3 - Funcionários $'!$D$7:$D$121,$A194,'C3 - Funcionários $'!N$7:N$121))</f>
        <v>-118318.54062852003</v>
      </c>
      <c r="J198" s="710">
        <f>IF($A194="",0,-SUMIF('C3 - Funcionários $'!$D$7:$D$121,$A194,'C3 - Funcionários $'!O$7:O$121))</f>
        <v>-118318.54062852003</v>
      </c>
      <c r="K198" s="710">
        <f>IF($A194="",0,-SUMIF('C3 - Funcionários $'!$D$7:$D$121,$A194,'C3 - Funcionários $'!P$7:P$121))</f>
        <v>-118318.54062852003</v>
      </c>
      <c r="L198" s="710">
        <f>IF($A194="",0,-SUMIF('C3 - Funcionários $'!$D$7:$D$121,$A194,'C3 - Funcionários $'!Q$7:Q$121))</f>
        <v>-118318.54062852003</v>
      </c>
      <c r="M198" s="710">
        <f>IF($A194="",0,-SUMIF('C3 - Funcionários $'!$D$7:$D$121,$A194,'C3 - Funcionários $'!R$7:R$121))</f>
        <v>-118318.54062852003</v>
      </c>
      <c r="N198" s="710">
        <f>IF($A194="",0,-SUMIF('C3 - Funcionários $'!$D$7:$D$121,$A194,'C3 - Funcionários $'!S$7:S$121))</f>
        <v>-118318.54062852003</v>
      </c>
      <c r="O198" s="710">
        <f>IF($A194="",0,-SUMIF('C3 - Funcionários $'!$D$7:$D$121,$A194,'C3 - Funcionários $'!T$7:T$121))</f>
        <v>-118318.54062852003</v>
      </c>
      <c r="P198" s="710">
        <f>IF($A194="",0,-SUMIF('C3 - Funcionários $'!$D$7:$D$121,$A194,'C3 - Funcionários $'!U$7:U$121))</f>
        <v>-118318.54062852003</v>
      </c>
      <c r="Q198" s="710">
        <f>IF($A194="",0,-SUMIF('C3 - Funcionários $'!$D$7:$D$121,$A194,'C3 - Funcionários $'!V$7:V$121))</f>
        <v>-118318.54062852003</v>
      </c>
      <c r="R198" s="710">
        <f>IF($A194="",0,-SUMIF('C3 - Funcionários $'!$D$7:$D$121,$A194,'C3 - Funcionários $'!W$7:W$121))</f>
        <v>-118318.54062852003</v>
      </c>
      <c r="S198" s="710">
        <f>IF($A194="",0,-SUMIF('C3 - Funcionários $'!$D$7:$D$121,$A194,'C3 - Funcionários $'!X$7:X$121))</f>
        <v>-118318.54062852003</v>
      </c>
      <c r="T198" s="710">
        <f>IF($A194="",0,-SUMIF('C3 - Funcionários $'!$D$7:$D$121,$A194,'C3 - Funcionários $'!Y$7:Y$121))</f>
        <v>-118318.54062852003</v>
      </c>
      <c r="U198" s="710">
        <f>IF($A194="",0,-SUMIF('C3 - Funcionários $'!$D$7:$D$121,$A194,'C3 - Funcionários $'!Z$7:Z$121))</f>
        <v>-118318.54062852003</v>
      </c>
      <c r="V198" s="710">
        <f>IF($A194="",0,-SUMIF('C3 - Funcionários $'!$D$7:$D$121,$A194,'C3 - Funcionários $'!AA$7:AA$121))</f>
        <v>-118318.54062852003</v>
      </c>
      <c r="W198" s="710">
        <f>IF($A194="",0,-SUMIF('C3 - Funcionários $'!$D$7:$D$121,$A194,'C3 - Funcionários $'!AB$7:AB$121))</f>
        <v>-118318.54062852003</v>
      </c>
      <c r="X198" s="710">
        <f>IF($A194="",0,-SUMIF('C3 - Funcionários $'!$D$7:$D$121,$A194,'C3 - Funcionários $'!AC$7:AC$121))</f>
        <v>-118318.54062852003</v>
      </c>
      <c r="Y198" s="710">
        <f>IF($A194="",0,-SUMIF('C3 - Funcionários $'!$D$7:$D$121,$A194,'C3 - Funcionários $'!AD$7:AD$121))</f>
        <v>-118318.54062852003</v>
      </c>
      <c r="Z198" s="710">
        <f>IF($A194="",0,-SUMIF('C3 - Funcionários $'!$D$7:$D$121,$A194,'C3 - Funcionários $'!AE$7:AE$121))</f>
        <v>-118318.54062852003</v>
      </c>
      <c r="AA198" s="710">
        <f>IF($A194="",0,-SUMIF('C3 - Funcionários $'!$D$7:$D$121,$A194,'C3 - Funcionários $'!AF$7:AF$121))</f>
        <v>-118318.54062852003</v>
      </c>
      <c r="AB198" s="710">
        <f>IF($A194="",0,-SUMIF('C3 - Funcionários $'!$D$7:$D$121,$A194,'C3 - Funcionários $'!AG$7:AG$121))</f>
        <v>-118318.54062852003</v>
      </c>
      <c r="AC198" s="710">
        <f>IF($A194="",0,-SUMIF('C3 - Funcionários $'!$D$7:$D$121,$A194,'C3 - Funcionários $'!AH$7:AH$121))</f>
        <v>-118318.54062852003</v>
      </c>
      <c r="AD198" s="710">
        <f>IF($A194="",0,-SUMIF('C3 - Funcionários $'!$D$7:$D$121,$A194,'C3 - Funcionários $'!AI$7:AI$121))</f>
        <v>-118318.54062852003</v>
      </c>
      <c r="AE198" s="710">
        <f>IF($A194="",0,-SUMIF('C3 - Funcionários $'!$D$7:$D$121,$A194,'C3 - Funcionários $'!AJ$7:AJ$121))</f>
        <v>-118318.54062852003</v>
      </c>
      <c r="AF198" s="594"/>
      <c r="AG198" s="594"/>
      <c r="AH198" s="594"/>
      <c r="AI198" s="594"/>
      <c r="AJ198" s="594"/>
      <c r="AK198" s="594"/>
      <c r="AL198" s="594"/>
      <c r="AM198" s="594"/>
      <c r="AN198" s="594"/>
      <c r="AO198" s="594"/>
      <c r="AP198" s="594"/>
      <c r="AQ198" s="594"/>
      <c r="AR198" s="594"/>
      <c r="AS198" s="594"/>
      <c r="AT198" s="594"/>
      <c r="AU198" s="594"/>
      <c r="AV198" s="594"/>
      <c r="AW198" s="594"/>
      <c r="AX198" s="594"/>
      <c r="AY198" s="594"/>
      <c r="AZ198" s="594"/>
      <c r="BA198" s="594"/>
      <c r="BB198" s="594"/>
      <c r="BC198" s="594"/>
      <c r="BD198" s="594"/>
      <c r="BE198" s="594"/>
      <c r="BF198" s="594"/>
      <c r="BG198" s="594"/>
      <c r="BH198" s="594"/>
      <c r="BI198" s="594"/>
      <c r="BJ198" s="594"/>
      <c r="BK198" s="594"/>
      <c r="BL198" s="57"/>
      <c r="BM198" s="594"/>
      <c r="BN198" s="594"/>
      <c r="BO198" s="594"/>
      <c r="BP198" s="594"/>
      <c r="BQ198" s="594"/>
      <c r="BR198" s="594"/>
      <c r="BS198" s="594"/>
      <c r="BT198" s="594"/>
      <c r="BU198" s="594"/>
      <c r="BV198" s="594"/>
      <c r="BW198" s="594"/>
      <c r="BX198" s="594"/>
      <c r="BY198" s="594"/>
      <c r="BZ198" s="594"/>
      <c r="CA198" s="594"/>
      <c r="CB198" s="594"/>
      <c r="CC198" s="594"/>
      <c r="CD198" s="594"/>
      <c r="CE198" s="594"/>
      <c r="CF198" s="594"/>
      <c r="CG198" s="594"/>
      <c r="CH198" s="594"/>
      <c r="CI198" s="594"/>
      <c r="CJ198" s="594"/>
      <c r="CK198" s="594"/>
      <c r="CL198" s="594"/>
      <c r="CM198" s="594"/>
      <c r="CN198" s="594"/>
      <c r="CO198" s="594"/>
      <c r="CP198" s="594"/>
      <c r="CQ198" s="594"/>
    </row>
    <row r="199" spans="1:95" ht="21" hidden="1" customHeight="1" outlineLevel="2">
      <c r="A199" s="709" t="s">
        <v>683</v>
      </c>
      <c r="B199" s="710">
        <f>IFERROR(-VLOOKUP($A194,CustoDiretoTotal,COLUMN('B2 - Custos diretos totais'!C$3)-1,0),0)</f>
        <v>0</v>
      </c>
      <c r="C199" s="710">
        <f>IFERROR(-VLOOKUP($A194,CustoDiretoTotal,COLUMN('B2 - Custos diretos totais'!D$3)-1,0),0)</f>
        <v>-252455</v>
      </c>
      <c r="D199" s="710">
        <f>IFERROR(-VLOOKUP($A194,CustoDiretoTotal,COLUMN('B2 - Custos diretos totais'!E$3)-1,0),0)</f>
        <v>-261170</v>
      </c>
      <c r="E199" s="710">
        <f>IFERROR(-VLOOKUP($A194,CustoDiretoTotal,COLUMN('B2 - Custos diretos totais'!F$3)-1,0),0)</f>
        <v>-269605</v>
      </c>
      <c r="F199" s="710">
        <f>IFERROR(-VLOOKUP($A194,CustoDiretoTotal,COLUMN('B2 - Custos diretos totais'!G$3)-1,0),0)</f>
        <v>-278162.5</v>
      </c>
      <c r="G199" s="710">
        <f>IFERROR(-VLOOKUP($A194,CustoDiretoTotal,COLUMN('B2 - Custos diretos totais'!H$3)-1,0),0)</f>
        <v>-286877.5</v>
      </c>
      <c r="H199" s="710">
        <f>IFERROR(-VLOOKUP($A194,CustoDiretoTotal,COLUMN('B2 - Custos diretos totais'!I$3)-1,0),0)</f>
        <v>-295855</v>
      </c>
      <c r="I199" s="710">
        <f>IFERROR(-VLOOKUP($A194,CustoDiretoTotal,COLUMN('B2 - Custos diretos totais'!J$3)-1,0),0)</f>
        <v>-305077.5</v>
      </c>
      <c r="J199" s="710">
        <f>IFERROR(-VLOOKUP($A194,CustoDiretoTotal,COLUMN('B2 - Custos diretos totais'!K$3)-1,0),0)</f>
        <v>-314475</v>
      </c>
      <c r="K199" s="710">
        <f>IFERROR(-VLOOKUP($A194,CustoDiretoTotal,COLUMN('B2 - Custos diretos totais'!L$3)-1,0),0)</f>
        <v>-324030</v>
      </c>
      <c r="L199" s="710">
        <f>IFERROR(-VLOOKUP($A194,CustoDiretoTotal,COLUMN('B2 - Custos diretos totais'!M$3)-1,0),0)</f>
        <v>-333900</v>
      </c>
      <c r="M199" s="710">
        <f>IFERROR(-VLOOKUP($A194,CustoDiretoTotal,COLUMN('B2 - Custos diretos totais'!N$3)-1,0),0)</f>
        <v>-344067.5</v>
      </c>
      <c r="N199" s="710">
        <f>IFERROR(-VLOOKUP($A194,CustoDiretoTotal,COLUMN('B2 - Custos diretos totais'!O$3)-1,0),0)</f>
        <v>-354550</v>
      </c>
      <c r="O199" s="710">
        <f>IFERROR(-VLOOKUP($A194,CustoDiretoTotal,COLUMN('B2 - Custos diretos totais'!P$3)-1,0),0)</f>
        <v>-365365</v>
      </c>
      <c r="P199" s="710">
        <f>IFERROR(-VLOOKUP($A194,CustoDiretoTotal,COLUMN('B2 - Custos diretos totais'!Q$3)-1,0),0)</f>
        <v>-376495</v>
      </c>
      <c r="Q199" s="710">
        <f>IFERROR(-VLOOKUP($A194,CustoDiretoTotal,COLUMN('B2 - Custos diretos totais'!R$3)-1,0),0)</f>
        <v>-387922.5</v>
      </c>
      <c r="R199" s="710">
        <f>IFERROR(-VLOOKUP($A194,CustoDiretoTotal,COLUMN('B2 - Custos diretos totais'!S$3)-1,0),0)</f>
        <v>-399647.5</v>
      </c>
      <c r="S199" s="710">
        <f>IFERROR(-VLOOKUP($A194,CustoDiretoTotal,COLUMN('B2 - Custos diretos totais'!T$3)-1,0),0)</f>
        <v>-411635</v>
      </c>
      <c r="T199" s="710">
        <f>IFERROR(-VLOOKUP($A194,CustoDiretoTotal,COLUMN('B2 - Custos diretos totais'!U$3)-1,0),0)</f>
        <v>-423832.5</v>
      </c>
      <c r="U199" s="710">
        <f>IFERROR(-VLOOKUP($A194,CustoDiretoTotal,COLUMN('B2 - Custos diretos totais'!V$3)-1,0),0)</f>
        <v>-436187.5</v>
      </c>
      <c r="V199" s="710">
        <f>IFERROR(-VLOOKUP($A194,CustoDiretoTotal,COLUMN('B2 - Custos diretos totais'!W$3)-1,0),0)</f>
        <v>-436187.5</v>
      </c>
      <c r="W199" s="710">
        <f>IFERROR(-VLOOKUP($A194,CustoDiretoTotal,COLUMN('B2 - Custos diretos totais'!X$3)-1,0),0)</f>
        <v>-436187.5</v>
      </c>
      <c r="X199" s="710">
        <f>IFERROR(-VLOOKUP($A194,CustoDiretoTotal,COLUMN('B2 - Custos diretos totais'!Y$3)-1,0),0)</f>
        <v>-436187.5</v>
      </c>
      <c r="Y199" s="710">
        <f>IFERROR(-VLOOKUP($A194,CustoDiretoTotal,COLUMN('B2 - Custos diretos totais'!Z$3)-1,0),0)</f>
        <v>-436187.5</v>
      </c>
      <c r="Z199" s="710">
        <f>IFERROR(-VLOOKUP($A194,CustoDiretoTotal,COLUMN('B2 - Custos diretos totais'!AA$3)-1,0),0)</f>
        <v>-436187.5</v>
      </c>
      <c r="AA199" s="710">
        <f>IFERROR(-VLOOKUP($A194,CustoDiretoTotal,COLUMN('B2 - Custos diretos totais'!AB$3)-1,0),0)</f>
        <v>-436187.5</v>
      </c>
      <c r="AB199" s="710">
        <f>IFERROR(-VLOOKUP($A194,CustoDiretoTotal,COLUMN('B2 - Custos diretos totais'!AC$3)-1,0),0)</f>
        <v>-436187.5</v>
      </c>
      <c r="AC199" s="710">
        <f>IFERROR(-VLOOKUP($A194,CustoDiretoTotal,COLUMN('B2 - Custos diretos totais'!AD$3)-1,0),0)</f>
        <v>-436187.5</v>
      </c>
      <c r="AD199" s="710">
        <f>IFERROR(-VLOOKUP($A194,CustoDiretoTotal,COLUMN('B2 - Custos diretos totais'!AE$3)-1,0),0)</f>
        <v>-436187.5</v>
      </c>
      <c r="AE199" s="710">
        <f>IFERROR(-VLOOKUP($A194,CustoDiretoTotal,COLUMN('B2 - Custos diretos totais'!AF$3)-1,0),0)</f>
        <v>-436187.5</v>
      </c>
      <c r="AF199" s="594"/>
      <c r="AG199" s="594"/>
      <c r="AH199" s="594"/>
      <c r="AI199" s="594"/>
      <c r="AJ199" s="594"/>
      <c r="AK199" s="594"/>
      <c r="AL199" s="594"/>
      <c r="AM199" s="594"/>
      <c r="AN199" s="594"/>
      <c r="AO199" s="594"/>
      <c r="AP199" s="594"/>
      <c r="AQ199" s="594"/>
      <c r="AR199" s="594"/>
      <c r="AS199" s="594"/>
      <c r="AT199" s="594"/>
      <c r="AU199" s="594"/>
      <c r="AV199" s="594"/>
      <c r="AW199" s="594"/>
      <c r="AX199" s="594"/>
      <c r="AY199" s="594"/>
      <c r="AZ199" s="594"/>
      <c r="BA199" s="594"/>
      <c r="BB199" s="594"/>
      <c r="BC199" s="594"/>
      <c r="BD199" s="594"/>
      <c r="BE199" s="594"/>
      <c r="BF199" s="594"/>
      <c r="BG199" s="594"/>
      <c r="BH199" s="594"/>
      <c r="BI199" s="594"/>
      <c r="BJ199" s="594"/>
      <c r="BK199" s="594"/>
      <c r="BL199" s="57"/>
      <c r="BM199" s="594"/>
      <c r="BN199" s="594"/>
      <c r="BO199" s="594"/>
      <c r="BP199" s="594"/>
      <c r="BQ199" s="594"/>
      <c r="BR199" s="594"/>
      <c r="BS199" s="594"/>
      <c r="BT199" s="594"/>
      <c r="BU199" s="594"/>
      <c r="BV199" s="594"/>
      <c r="BW199" s="594"/>
      <c r="BX199" s="594"/>
      <c r="BY199" s="594"/>
      <c r="BZ199" s="594"/>
      <c r="CA199" s="594"/>
      <c r="CB199" s="594"/>
      <c r="CC199" s="594"/>
      <c r="CD199" s="594"/>
      <c r="CE199" s="594"/>
      <c r="CF199" s="594"/>
      <c r="CG199" s="594"/>
      <c r="CH199" s="594"/>
      <c r="CI199" s="594"/>
      <c r="CJ199" s="594"/>
      <c r="CK199" s="594"/>
      <c r="CL199" s="594"/>
      <c r="CM199" s="594"/>
      <c r="CN199" s="594"/>
      <c r="CO199" s="594"/>
      <c r="CP199" s="594"/>
      <c r="CQ199" s="594"/>
    </row>
    <row r="200" spans="1:95" ht="21" hidden="1" customHeight="1" outlineLevel="2">
      <c r="A200" s="709" t="s">
        <v>684</v>
      </c>
      <c r="B200" s="710">
        <f>-SUMIFS('B3 - Custos despesas indiretos'!AK$5:AK$148,'B3 - Custos despesas indiretos'!$B$5:$B$148,"Custos",'B3 - Custos despesas indiretos'!$D$5:$D$148,$A194)</f>
        <v>-6966.5</v>
      </c>
      <c r="C200" s="710">
        <f>-SUMIFS('B3 - Custos despesas indiretos'!AL$5:AL$148,'B3 - Custos despesas indiretos'!$B$5:$B$148,"Custos",'B3 - Custos despesas indiretos'!$D$5:$D$148,$A194)</f>
        <v>-6966.5</v>
      </c>
      <c r="D200" s="710">
        <f>-SUMIFS('B3 - Custos despesas indiretos'!AM$5:AM$148,'B3 - Custos despesas indiretos'!$B$5:$B$148,"Custos",'B3 - Custos despesas indiretos'!$D$5:$D$148,$A194)</f>
        <v>-6966.5</v>
      </c>
      <c r="E200" s="710">
        <f>-SUMIFS('B3 - Custos despesas indiretos'!AN$5:AN$148,'B3 - Custos despesas indiretos'!$B$5:$B$148,"Custos",'B3 - Custos despesas indiretos'!$D$5:$D$148,$A194)</f>
        <v>-6966.5</v>
      </c>
      <c r="F200" s="710">
        <f>-SUMIFS('B3 - Custos despesas indiretos'!AO$5:AO$148,'B3 - Custos despesas indiretos'!$B$5:$B$148,"Custos",'B3 - Custos despesas indiretos'!$D$5:$D$148,$A194)</f>
        <v>-6966.5</v>
      </c>
      <c r="G200" s="710">
        <f>-SUMIFS('B3 - Custos despesas indiretos'!AP$5:AP$148,'B3 - Custos despesas indiretos'!$B$5:$B$148,"Custos",'B3 - Custos despesas indiretos'!$D$5:$D$148,$A194)</f>
        <v>-6966.5</v>
      </c>
      <c r="H200" s="710">
        <f>-SUMIFS('B3 - Custos despesas indiretos'!AQ$5:AQ$148,'B3 - Custos despesas indiretos'!$B$5:$B$148,"Custos",'B3 - Custos despesas indiretos'!$D$5:$D$148,$A194)</f>
        <v>-6966.5</v>
      </c>
      <c r="I200" s="710">
        <f>-SUMIFS('B3 - Custos despesas indiretos'!AR$5:AR$148,'B3 - Custos despesas indiretos'!$B$5:$B$148,"Custos",'B3 - Custos despesas indiretos'!$D$5:$D$148,$A194)</f>
        <v>-6966.5</v>
      </c>
      <c r="J200" s="710">
        <f>-SUMIFS('B3 - Custos despesas indiretos'!AS$5:AS$148,'B3 - Custos despesas indiretos'!$B$5:$B$148,"Custos",'B3 - Custos despesas indiretos'!$D$5:$D$148,$A194)</f>
        <v>-6966.5</v>
      </c>
      <c r="K200" s="710">
        <f>-SUMIFS('B3 - Custos despesas indiretos'!AT$5:AT$148,'B3 - Custos despesas indiretos'!$B$5:$B$148,"Custos",'B3 - Custos despesas indiretos'!$D$5:$D$148,$A194)</f>
        <v>-6966.5</v>
      </c>
      <c r="L200" s="710">
        <f>-SUMIFS('B3 - Custos despesas indiretos'!AU$5:AU$148,'B3 - Custos despesas indiretos'!$B$5:$B$148,"Custos",'B3 - Custos despesas indiretos'!$D$5:$D$148,$A194)</f>
        <v>-6966.5</v>
      </c>
      <c r="M200" s="710">
        <f>-SUMIFS('B3 - Custos despesas indiretos'!AV$5:AV$148,'B3 - Custos despesas indiretos'!$B$5:$B$148,"Custos",'B3 - Custos despesas indiretos'!$D$5:$D$148,$A194)</f>
        <v>-6966.5</v>
      </c>
      <c r="N200" s="710">
        <f>-SUMIFS('B3 - Custos despesas indiretos'!AW$5:AW$148,'B3 - Custos despesas indiretos'!$B$5:$B$148,"Custos",'B3 - Custos despesas indiretos'!$D$5:$D$148,$A194)</f>
        <v>-6966.5</v>
      </c>
      <c r="O200" s="710">
        <f>-SUMIFS('B3 - Custos despesas indiretos'!AX$5:AX$148,'B3 - Custos despesas indiretos'!$B$5:$B$148,"Custos",'B3 - Custos despesas indiretos'!$D$5:$D$148,$A194)</f>
        <v>-6966.5</v>
      </c>
      <c r="P200" s="710">
        <f>-SUMIFS('B3 - Custos despesas indiretos'!AY$5:AY$148,'B3 - Custos despesas indiretos'!$B$5:$B$148,"Custos",'B3 - Custos despesas indiretos'!$D$5:$D$148,$A194)</f>
        <v>-6966.5</v>
      </c>
      <c r="Q200" s="710">
        <f>-SUMIFS('B3 - Custos despesas indiretos'!AZ$5:AZ$148,'B3 - Custos despesas indiretos'!$B$5:$B$148,"Custos",'B3 - Custos despesas indiretos'!$D$5:$D$148,$A194)</f>
        <v>-6966.5</v>
      </c>
      <c r="R200" s="710">
        <f>-SUMIFS('B3 - Custos despesas indiretos'!BA$5:BA$148,'B3 - Custos despesas indiretos'!$B$5:$B$148,"Custos",'B3 - Custos despesas indiretos'!$D$5:$D$148,$A194)</f>
        <v>-6966.5</v>
      </c>
      <c r="S200" s="710">
        <f>-SUMIFS('B3 - Custos despesas indiretos'!BB$5:BB$148,'B3 - Custos despesas indiretos'!$B$5:$B$148,"Custos",'B3 - Custos despesas indiretos'!$D$5:$D$148,$A194)</f>
        <v>-6966.5</v>
      </c>
      <c r="T200" s="710">
        <f>-SUMIFS('B3 - Custos despesas indiretos'!BC$5:BC$148,'B3 - Custos despesas indiretos'!$B$5:$B$148,"Custos",'B3 - Custos despesas indiretos'!$D$5:$D$148,$A194)</f>
        <v>-6966.5</v>
      </c>
      <c r="U200" s="710">
        <f>-SUMIFS('B3 - Custos despesas indiretos'!BD$5:BD$148,'B3 - Custos despesas indiretos'!$B$5:$B$148,"Custos",'B3 - Custos despesas indiretos'!$D$5:$D$148,$A194)</f>
        <v>-6966.5</v>
      </c>
      <c r="V200" s="710">
        <f>-SUMIFS('B3 - Custos despesas indiretos'!BE$5:BE$148,'B3 - Custos despesas indiretos'!$B$5:$B$148,"Custos",'B3 - Custos despesas indiretos'!$D$5:$D$148,$A194)</f>
        <v>-6966.5</v>
      </c>
      <c r="W200" s="710">
        <f>-SUMIFS('B3 - Custos despesas indiretos'!BF$5:BF$148,'B3 - Custos despesas indiretos'!$B$5:$B$148,"Custos",'B3 - Custos despesas indiretos'!$D$5:$D$148,$A194)</f>
        <v>-6966.5</v>
      </c>
      <c r="X200" s="710">
        <f>-SUMIFS('B3 - Custos despesas indiretos'!BG$5:BG$148,'B3 - Custos despesas indiretos'!$B$5:$B$148,"Custos",'B3 - Custos despesas indiretos'!$D$5:$D$148,$A194)</f>
        <v>-6966.5</v>
      </c>
      <c r="Y200" s="710">
        <f>-SUMIFS('B3 - Custos despesas indiretos'!BH$5:BH$148,'B3 - Custos despesas indiretos'!$B$5:$B$148,"Custos",'B3 - Custos despesas indiretos'!$D$5:$D$148,$A194)</f>
        <v>-6966.5</v>
      </c>
      <c r="Z200" s="710">
        <f>-SUMIFS('B3 - Custos despesas indiretos'!BI$5:BI$148,'B3 - Custos despesas indiretos'!$B$5:$B$148,"Custos",'B3 - Custos despesas indiretos'!$D$5:$D$148,$A194)</f>
        <v>-6966.5</v>
      </c>
      <c r="AA200" s="710">
        <f>-SUMIFS('B3 - Custos despesas indiretos'!BJ$5:BJ$148,'B3 - Custos despesas indiretos'!$B$5:$B$148,"Custos",'B3 - Custos despesas indiretos'!$D$5:$D$148,$A194)</f>
        <v>-6966.5</v>
      </c>
      <c r="AB200" s="710">
        <f>-SUMIFS('B3 - Custos despesas indiretos'!BK$5:BK$148,'B3 - Custos despesas indiretos'!$B$5:$B$148,"Custos",'B3 - Custos despesas indiretos'!$D$5:$D$148,$A194)</f>
        <v>-6966.5</v>
      </c>
      <c r="AC200" s="710">
        <f>-SUMIFS('B3 - Custos despesas indiretos'!BL$5:BL$148,'B3 - Custos despesas indiretos'!$B$5:$B$148,"Custos",'B3 - Custos despesas indiretos'!$D$5:$D$148,$A194)</f>
        <v>-6966.5</v>
      </c>
      <c r="AD200" s="710">
        <f>-SUMIFS('B3 - Custos despesas indiretos'!BM$5:BM$148,'B3 - Custos despesas indiretos'!$B$5:$B$148,"Custos",'B3 - Custos despesas indiretos'!$D$5:$D$148,$A194)</f>
        <v>-6966.5</v>
      </c>
      <c r="AE200" s="710">
        <f>-SUMIFS('B3 - Custos despesas indiretos'!BN$5:BN$148,'B3 - Custos despesas indiretos'!$B$5:$B$148,"Custos",'B3 - Custos despesas indiretos'!$D$5:$D$148,$A194)</f>
        <v>-6966.5</v>
      </c>
      <c r="AF200" s="594"/>
      <c r="AG200" s="594"/>
      <c r="AH200" s="594"/>
      <c r="AI200" s="594"/>
      <c r="AJ200" s="594"/>
      <c r="AK200" s="594"/>
      <c r="AL200" s="594"/>
      <c r="AM200" s="594"/>
      <c r="AN200" s="594"/>
      <c r="AO200" s="594"/>
      <c r="AP200" s="594"/>
      <c r="AQ200" s="594"/>
      <c r="AR200" s="594"/>
      <c r="AS200" s="594"/>
      <c r="AT200" s="594"/>
      <c r="AU200" s="594"/>
      <c r="AV200" s="594"/>
      <c r="AW200" s="594"/>
      <c r="AX200" s="594"/>
      <c r="AY200" s="594"/>
      <c r="AZ200" s="594"/>
      <c r="BA200" s="594"/>
      <c r="BB200" s="594"/>
      <c r="BC200" s="594"/>
      <c r="BD200" s="594"/>
      <c r="BE200" s="594"/>
      <c r="BF200" s="594"/>
      <c r="BG200" s="594"/>
      <c r="BH200" s="594"/>
      <c r="BI200" s="594"/>
      <c r="BJ200" s="594"/>
      <c r="BK200" s="594"/>
      <c r="BL200" s="57"/>
      <c r="BM200" s="594"/>
      <c r="BN200" s="594"/>
      <c r="BO200" s="594"/>
      <c r="BP200" s="594"/>
      <c r="BQ200" s="594"/>
      <c r="BR200" s="594"/>
      <c r="BS200" s="594"/>
      <c r="BT200" s="594"/>
      <c r="BU200" s="594"/>
      <c r="BV200" s="594"/>
      <c r="BW200" s="594"/>
      <c r="BX200" s="594"/>
      <c r="BY200" s="594"/>
      <c r="BZ200" s="594"/>
      <c r="CA200" s="594"/>
      <c r="CB200" s="594"/>
      <c r="CC200" s="594"/>
      <c r="CD200" s="594"/>
      <c r="CE200" s="594"/>
      <c r="CF200" s="594"/>
      <c r="CG200" s="594"/>
      <c r="CH200" s="594"/>
      <c r="CI200" s="594"/>
      <c r="CJ200" s="594"/>
      <c r="CK200" s="594"/>
      <c r="CL200" s="594"/>
      <c r="CM200" s="594"/>
      <c r="CN200" s="594"/>
      <c r="CO200" s="594"/>
      <c r="CP200" s="594"/>
      <c r="CQ200" s="594"/>
    </row>
    <row r="201" spans="1:95" ht="21" hidden="1" customHeight="1" outlineLevel="2">
      <c r="A201" s="709" t="s">
        <v>685</v>
      </c>
      <c r="B201" s="710">
        <f>-SUMIFS('B3 - Custos despesas indiretos'!AK$5:AK$148,'B3 - Custos despesas indiretos'!$B$5:$B$148,"Despesas",'B3 - Custos despesas indiretos'!$D$5:$D$148,$A194)</f>
        <v>0</v>
      </c>
      <c r="C201" s="710">
        <f>-SUMIFS('B3 - Custos despesas indiretos'!AL$5:AL$148,'B3 - Custos despesas indiretos'!$B$5:$B$148,"Despesas",'B3 - Custos despesas indiretos'!$D$5:$D$148,$A194)</f>
        <v>-11540.800000000001</v>
      </c>
      <c r="D201" s="710">
        <f>-SUMIFS('B3 - Custos despesas indiretos'!AM$5:AM$148,'B3 - Custos despesas indiretos'!$B$5:$B$148,"Despesas",'B3 - Custos despesas indiretos'!$D$5:$D$148,$A194)</f>
        <v>-11939.2</v>
      </c>
      <c r="E201" s="710">
        <f>-SUMIFS('B3 - Custos despesas indiretos'!AN$5:AN$148,'B3 - Custos despesas indiretos'!$B$5:$B$148,"Despesas",'B3 - Custos despesas indiretos'!$D$5:$D$148,$A194)</f>
        <v>-12324.800000000001</v>
      </c>
      <c r="F201" s="710">
        <f>-SUMIFS('B3 - Custos despesas indiretos'!AO$5:AO$148,'B3 - Custos despesas indiretos'!$B$5:$B$148,"Despesas",'B3 - Custos despesas indiretos'!$D$5:$D$148,$A194)</f>
        <v>-12716</v>
      </c>
      <c r="G201" s="710">
        <f>-SUMIFS('B3 - Custos despesas indiretos'!AP$5:AP$148,'B3 - Custos despesas indiretos'!$B$5:$B$148,"Despesas",'B3 - Custos despesas indiretos'!$D$5:$D$148,$A194)</f>
        <v>-13114.4</v>
      </c>
      <c r="H201" s="710">
        <f>-SUMIFS('B3 - Custos despesas indiretos'!AQ$5:AQ$148,'B3 - Custos despesas indiretos'!$B$5:$B$148,"Despesas",'B3 - Custos despesas indiretos'!$D$5:$D$148,$A194)</f>
        <v>-13524.800000000001</v>
      </c>
      <c r="I201" s="710">
        <f>-SUMIFS('B3 - Custos despesas indiretos'!AR$5:AR$148,'B3 - Custos despesas indiretos'!$B$5:$B$148,"Despesas",'B3 - Custos despesas indiretos'!$D$5:$D$148,$A194)</f>
        <v>-13946.4</v>
      </c>
      <c r="J201" s="710">
        <f>-SUMIFS('B3 - Custos despesas indiretos'!AS$5:AS$148,'B3 - Custos despesas indiretos'!$B$5:$B$148,"Despesas",'B3 - Custos despesas indiretos'!$D$5:$D$148,$A194)</f>
        <v>-14376</v>
      </c>
      <c r="K201" s="710">
        <f>-SUMIFS('B3 - Custos despesas indiretos'!AT$5:AT$148,'B3 - Custos despesas indiretos'!$B$5:$B$148,"Despesas",'B3 - Custos despesas indiretos'!$D$5:$D$148,$A194)</f>
        <v>-14812.800000000001</v>
      </c>
      <c r="L201" s="710">
        <f>-SUMIFS('B3 - Custos despesas indiretos'!AU$5:AU$148,'B3 - Custos despesas indiretos'!$B$5:$B$148,"Despesas",'B3 - Custos despesas indiretos'!$D$5:$D$148,$A194)</f>
        <v>-15264</v>
      </c>
      <c r="M201" s="710">
        <f>-SUMIFS('B3 - Custos despesas indiretos'!AV$5:AV$148,'B3 - Custos despesas indiretos'!$B$5:$B$148,"Despesas",'B3 - Custos despesas indiretos'!$D$5:$D$148,$A194)</f>
        <v>-15728.800000000001</v>
      </c>
      <c r="N201" s="710">
        <f>-SUMIFS('B3 - Custos despesas indiretos'!AW$5:AW$148,'B3 - Custos despesas indiretos'!$B$5:$B$148,"Despesas",'B3 - Custos despesas indiretos'!$D$5:$D$148,$A194)</f>
        <v>-16208</v>
      </c>
      <c r="O201" s="710">
        <f>-SUMIFS('B3 - Custos despesas indiretos'!AX$5:AX$148,'B3 - Custos despesas indiretos'!$B$5:$B$148,"Despesas",'B3 - Custos despesas indiretos'!$D$5:$D$148,$A194)</f>
        <v>-16702.400000000001</v>
      </c>
      <c r="P201" s="710">
        <f>-SUMIFS('B3 - Custos despesas indiretos'!AY$5:AY$148,'B3 - Custos despesas indiretos'!$B$5:$B$148,"Despesas",'B3 - Custos despesas indiretos'!$D$5:$D$148,$A194)</f>
        <v>-17211.2</v>
      </c>
      <c r="Q201" s="710">
        <f>-SUMIFS('B3 - Custos despesas indiretos'!AZ$5:AZ$148,'B3 - Custos despesas indiretos'!$B$5:$B$148,"Despesas",'B3 - Custos despesas indiretos'!$D$5:$D$148,$A194)</f>
        <v>-17733.600000000002</v>
      </c>
      <c r="R201" s="710">
        <f>-SUMIFS('B3 - Custos despesas indiretos'!BA$5:BA$148,'B3 - Custos despesas indiretos'!$B$5:$B$148,"Despesas",'B3 - Custos despesas indiretos'!$D$5:$D$148,$A194)</f>
        <v>-18269.600000000002</v>
      </c>
      <c r="S201" s="710">
        <f>-SUMIFS('B3 - Custos despesas indiretos'!BB$5:BB$148,'B3 - Custos despesas indiretos'!$B$5:$B$148,"Despesas",'B3 - Custos despesas indiretos'!$D$5:$D$148,$A194)</f>
        <v>-18817.600000000002</v>
      </c>
      <c r="T201" s="710">
        <f>-SUMIFS('B3 - Custos despesas indiretos'!BC$5:BC$148,'B3 - Custos despesas indiretos'!$B$5:$B$148,"Despesas",'B3 - Custos despesas indiretos'!$D$5:$D$148,$A194)</f>
        <v>-19375.2</v>
      </c>
      <c r="U201" s="710">
        <f>-SUMIFS('B3 - Custos despesas indiretos'!BD$5:BD$148,'B3 - Custos despesas indiretos'!$B$5:$B$148,"Despesas",'B3 - Custos despesas indiretos'!$D$5:$D$148,$A194)</f>
        <v>-19940</v>
      </c>
      <c r="V201" s="710">
        <f>-SUMIFS('B3 - Custos despesas indiretos'!BE$5:BE$148,'B3 - Custos despesas indiretos'!$B$5:$B$148,"Despesas",'B3 - Custos despesas indiretos'!$D$5:$D$148,$A194)</f>
        <v>-19940</v>
      </c>
      <c r="W201" s="710">
        <f>-SUMIFS('B3 - Custos despesas indiretos'!BF$5:BF$148,'B3 - Custos despesas indiretos'!$B$5:$B$148,"Despesas",'B3 - Custos despesas indiretos'!$D$5:$D$148,$A194)</f>
        <v>-19940</v>
      </c>
      <c r="X201" s="710">
        <f>-SUMIFS('B3 - Custos despesas indiretos'!BG$5:BG$148,'B3 - Custos despesas indiretos'!$B$5:$B$148,"Despesas",'B3 - Custos despesas indiretos'!$D$5:$D$148,$A194)</f>
        <v>-19940</v>
      </c>
      <c r="Y201" s="710">
        <f>-SUMIFS('B3 - Custos despesas indiretos'!BH$5:BH$148,'B3 - Custos despesas indiretos'!$B$5:$B$148,"Despesas",'B3 - Custos despesas indiretos'!$D$5:$D$148,$A194)</f>
        <v>-19940</v>
      </c>
      <c r="Z201" s="710">
        <f>-SUMIFS('B3 - Custos despesas indiretos'!BI$5:BI$148,'B3 - Custos despesas indiretos'!$B$5:$B$148,"Despesas",'B3 - Custos despesas indiretos'!$D$5:$D$148,$A194)</f>
        <v>-19940</v>
      </c>
      <c r="AA201" s="710">
        <f>-SUMIFS('B3 - Custos despesas indiretos'!BJ$5:BJ$148,'B3 - Custos despesas indiretos'!$B$5:$B$148,"Despesas",'B3 - Custos despesas indiretos'!$D$5:$D$148,$A194)</f>
        <v>-19940</v>
      </c>
      <c r="AB201" s="710">
        <f>-SUMIFS('B3 - Custos despesas indiretos'!BK$5:BK$148,'B3 - Custos despesas indiretos'!$B$5:$B$148,"Despesas",'B3 - Custos despesas indiretos'!$D$5:$D$148,$A194)</f>
        <v>-19940</v>
      </c>
      <c r="AC201" s="710">
        <f>-SUMIFS('B3 - Custos despesas indiretos'!BL$5:BL$148,'B3 - Custos despesas indiretos'!$B$5:$B$148,"Despesas",'B3 - Custos despesas indiretos'!$D$5:$D$148,$A194)</f>
        <v>-19940</v>
      </c>
      <c r="AD201" s="710">
        <f>-SUMIFS('B3 - Custos despesas indiretos'!BM$5:BM$148,'B3 - Custos despesas indiretos'!$B$5:$B$148,"Despesas",'B3 - Custos despesas indiretos'!$D$5:$D$148,$A194)</f>
        <v>-19940</v>
      </c>
      <c r="AE201" s="710">
        <f>-SUMIFS('B3 - Custos despesas indiretos'!BN$5:BN$148,'B3 - Custos despesas indiretos'!$B$5:$B$148,"Despesas",'B3 - Custos despesas indiretos'!$D$5:$D$148,$A194)</f>
        <v>-19940</v>
      </c>
      <c r="AF201" s="594"/>
      <c r="AG201" s="594"/>
      <c r="AH201" s="594"/>
      <c r="AI201" s="594"/>
      <c r="AJ201" s="594"/>
      <c r="AK201" s="594"/>
      <c r="AL201" s="594"/>
      <c r="AM201" s="594"/>
      <c r="AN201" s="594"/>
      <c r="AO201" s="594"/>
      <c r="AP201" s="594"/>
      <c r="AQ201" s="594"/>
      <c r="AR201" s="594"/>
      <c r="AS201" s="594"/>
      <c r="AT201" s="594"/>
      <c r="AU201" s="594"/>
      <c r="AV201" s="594"/>
      <c r="AW201" s="594"/>
      <c r="AX201" s="594"/>
      <c r="AY201" s="594"/>
      <c r="AZ201" s="594"/>
      <c r="BA201" s="594"/>
      <c r="BB201" s="594"/>
      <c r="BC201" s="594"/>
      <c r="BD201" s="594"/>
      <c r="BE201" s="594"/>
      <c r="BF201" s="594"/>
      <c r="BG201" s="594"/>
      <c r="BH201" s="594"/>
      <c r="BI201" s="594"/>
      <c r="BJ201" s="594"/>
      <c r="BK201" s="594"/>
      <c r="BL201" s="57"/>
      <c r="BM201" s="594"/>
      <c r="BN201" s="594"/>
      <c r="BO201" s="594"/>
      <c r="BP201" s="594"/>
      <c r="BQ201" s="594"/>
      <c r="BR201" s="594"/>
      <c r="BS201" s="594"/>
      <c r="BT201" s="594"/>
      <c r="BU201" s="594"/>
      <c r="BV201" s="594"/>
      <c r="BW201" s="594"/>
      <c r="BX201" s="594"/>
      <c r="BY201" s="594"/>
      <c r="BZ201" s="594"/>
      <c r="CA201" s="594"/>
      <c r="CB201" s="594"/>
      <c r="CC201" s="594"/>
      <c r="CD201" s="594"/>
      <c r="CE201" s="594"/>
      <c r="CF201" s="594"/>
      <c r="CG201" s="594"/>
      <c r="CH201" s="594"/>
      <c r="CI201" s="594"/>
      <c r="CJ201" s="594"/>
      <c r="CK201" s="594"/>
      <c r="CL201" s="594"/>
      <c r="CM201" s="594"/>
      <c r="CN201" s="594"/>
      <c r="CO201" s="594"/>
      <c r="CP201" s="594"/>
      <c r="CQ201" s="594"/>
    </row>
    <row r="202" spans="1:95" ht="21" hidden="1" customHeight="1" outlineLevel="2">
      <c r="A202" s="709" t="s">
        <v>686</v>
      </c>
      <c r="B202" s="710">
        <f>-SUMIF('D2 - Capex uso'!$C$6:$C$176,$A194,'D2 - Capex uso'!GI$6:GI$176)</f>
        <v>0</v>
      </c>
      <c r="C202" s="710">
        <f>-SUMIF('D2 - Capex uso'!$C$6:$C$176,$A194,'D2 - Capex uso'!GJ$6:GJ$176)</f>
        <v>0</v>
      </c>
      <c r="D202" s="710">
        <f>-SUMIF('D2 - Capex uso'!$C$6:$C$176,$A194,'D2 - Capex uso'!GK$6:GK$176)</f>
        <v>0</v>
      </c>
      <c r="E202" s="710">
        <f>-SUMIF('D2 - Capex uso'!$C$6:$C$176,$A194,'D2 - Capex uso'!GL$6:GL$176)</f>
        <v>0</v>
      </c>
      <c r="F202" s="710">
        <f>-SUMIF('D2 - Capex uso'!$C$6:$C$176,$A194,'D2 - Capex uso'!GM$6:GM$176)</f>
        <v>0</v>
      </c>
      <c r="G202" s="710">
        <f>-SUMIF('D2 - Capex uso'!$C$6:$C$176,$A194,'D2 - Capex uso'!GN$6:GN$176)</f>
        <v>0</v>
      </c>
      <c r="H202" s="710">
        <f>-SUMIF('D2 - Capex uso'!$C$6:$C$176,$A194,'D2 - Capex uso'!GO$6:GO$176)</f>
        <v>0</v>
      </c>
      <c r="I202" s="710">
        <f>-SUMIF('D2 - Capex uso'!$C$6:$C$176,$A194,'D2 - Capex uso'!GP$6:GP$176)</f>
        <v>0</v>
      </c>
      <c r="J202" s="710">
        <f>-SUMIF('D2 - Capex uso'!$C$6:$C$176,$A194,'D2 - Capex uso'!GQ$6:GQ$176)</f>
        <v>0</v>
      </c>
      <c r="K202" s="710">
        <f>-SUMIF('D2 - Capex uso'!$C$6:$C$176,$A194,'D2 - Capex uso'!GR$6:GR$176)</f>
        <v>0</v>
      </c>
      <c r="L202" s="710">
        <f>-SUMIF('D2 - Capex uso'!$C$6:$C$176,$A194,'D2 - Capex uso'!GS$6:GS$176)</f>
        <v>0</v>
      </c>
      <c r="M202" s="710">
        <f>-SUMIF('D2 - Capex uso'!$C$6:$C$176,$A194,'D2 - Capex uso'!GT$6:GT$176)</f>
        <v>0</v>
      </c>
      <c r="N202" s="710">
        <f>-SUMIF('D2 - Capex uso'!$C$6:$C$176,$A194,'D2 - Capex uso'!GU$6:GU$176)</f>
        <v>0</v>
      </c>
      <c r="O202" s="710">
        <f>-SUMIF('D2 - Capex uso'!$C$6:$C$176,$A194,'D2 - Capex uso'!GV$6:GV$176)</f>
        <v>0</v>
      </c>
      <c r="P202" s="710">
        <f>-SUMIF('D2 - Capex uso'!$C$6:$C$176,$A194,'D2 - Capex uso'!GW$6:GW$176)</f>
        <v>0</v>
      </c>
      <c r="Q202" s="710">
        <f>-SUMIF('D2 - Capex uso'!$C$6:$C$176,$A194,'D2 - Capex uso'!GX$6:GX$176)</f>
        <v>0</v>
      </c>
      <c r="R202" s="710">
        <f>-SUMIF('D2 - Capex uso'!$C$6:$C$176,$A194,'D2 - Capex uso'!GY$6:GY$176)</f>
        <v>0</v>
      </c>
      <c r="S202" s="710">
        <f>-SUMIF('D2 - Capex uso'!$C$6:$C$176,$A194,'D2 - Capex uso'!GZ$6:GZ$176)</f>
        <v>0</v>
      </c>
      <c r="T202" s="710">
        <f>-SUMIF('D2 - Capex uso'!$C$6:$C$176,$A194,'D2 - Capex uso'!HA$6:HA$176)</f>
        <v>0</v>
      </c>
      <c r="U202" s="710">
        <f>-SUMIF('D2 - Capex uso'!$C$6:$C$176,$A194,'D2 - Capex uso'!HB$6:HB$176)</f>
        <v>0</v>
      </c>
      <c r="V202" s="710">
        <f>-SUMIF('D2 - Capex uso'!$C$6:$C$176,$A194,'D2 - Capex uso'!HC$6:HC$176)</f>
        <v>0</v>
      </c>
      <c r="W202" s="710">
        <f>-SUMIF('D2 - Capex uso'!$C$6:$C$176,$A194,'D2 - Capex uso'!HD$6:HD$176)</f>
        <v>0</v>
      </c>
      <c r="X202" s="710">
        <f>-SUMIF('D2 - Capex uso'!$C$6:$C$176,$A194,'D2 - Capex uso'!HE$6:HE$176)</f>
        <v>0</v>
      </c>
      <c r="Y202" s="710">
        <f>-SUMIF('D2 - Capex uso'!$C$6:$C$176,$A194,'D2 - Capex uso'!HF$6:HF$176)</f>
        <v>0</v>
      </c>
      <c r="Z202" s="710">
        <f>-SUMIF('D2 - Capex uso'!$C$6:$C$176,$A194,'D2 - Capex uso'!HG$6:HG$176)</f>
        <v>0</v>
      </c>
      <c r="AA202" s="710">
        <f>-SUMIF('D2 - Capex uso'!$C$6:$C$176,$A194,'D2 - Capex uso'!HH$6:HH$176)</f>
        <v>0</v>
      </c>
      <c r="AB202" s="710">
        <f>-SUMIF('D2 - Capex uso'!$C$6:$C$176,$A194,'D2 - Capex uso'!HI$6:HI$176)</f>
        <v>0</v>
      </c>
      <c r="AC202" s="710">
        <f>-SUMIF('D2 - Capex uso'!$C$6:$C$176,$A194,'D2 - Capex uso'!HJ$6:HJ$176)</f>
        <v>0</v>
      </c>
      <c r="AD202" s="710">
        <f>-SUMIF('D2 - Capex uso'!$C$6:$C$176,$A194,'D2 - Capex uso'!HK$6:HK$176)</f>
        <v>0</v>
      </c>
      <c r="AE202" s="710">
        <f>-SUMIF('D2 - Capex uso'!$C$6:$C$176,$A194,'D2 - Capex uso'!HL$6:HL$176)</f>
        <v>0</v>
      </c>
      <c r="AF202" s="594"/>
      <c r="AG202" s="594"/>
      <c r="AH202" s="594"/>
      <c r="AI202" s="594"/>
      <c r="AJ202" s="594"/>
      <c r="AK202" s="594"/>
      <c r="AL202" s="594"/>
      <c r="AM202" s="594"/>
      <c r="AN202" s="594"/>
      <c r="AO202" s="594"/>
      <c r="AP202" s="594"/>
      <c r="AQ202" s="594"/>
      <c r="AR202" s="594"/>
      <c r="AS202" s="594"/>
      <c r="AT202" s="594"/>
      <c r="AU202" s="594"/>
      <c r="AV202" s="594"/>
      <c r="AW202" s="594"/>
      <c r="AX202" s="594"/>
      <c r="AY202" s="594"/>
      <c r="AZ202" s="594"/>
      <c r="BA202" s="594"/>
      <c r="BB202" s="594"/>
      <c r="BC202" s="594"/>
      <c r="BD202" s="594"/>
      <c r="BE202" s="594"/>
      <c r="BF202" s="594"/>
      <c r="BG202" s="594"/>
      <c r="BH202" s="594"/>
      <c r="BI202" s="594"/>
      <c r="BJ202" s="594"/>
      <c r="BK202" s="594"/>
      <c r="BL202" s="57"/>
      <c r="BM202" s="594"/>
      <c r="BN202" s="594"/>
      <c r="BO202" s="594"/>
      <c r="BP202" s="594"/>
      <c r="BQ202" s="594"/>
      <c r="BR202" s="594"/>
      <c r="BS202" s="594"/>
      <c r="BT202" s="594"/>
      <c r="BU202" s="594"/>
      <c r="BV202" s="594"/>
      <c r="BW202" s="594"/>
      <c r="BX202" s="594"/>
      <c r="BY202" s="594"/>
      <c r="BZ202" s="594"/>
      <c r="CA202" s="594"/>
      <c r="CB202" s="594"/>
      <c r="CC202" s="594"/>
      <c r="CD202" s="594"/>
      <c r="CE202" s="594"/>
      <c r="CF202" s="594"/>
      <c r="CG202" s="594"/>
      <c r="CH202" s="594"/>
      <c r="CI202" s="594"/>
      <c r="CJ202" s="594"/>
      <c r="CK202" s="594"/>
      <c r="CL202" s="594"/>
      <c r="CM202" s="594"/>
      <c r="CN202" s="594"/>
      <c r="CO202" s="594"/>
      <c r="CP202" s="594"/>
      <c r="CQ202" s="594"/>
    </row>
    <row r="203" spans="1:95" ht="21" hidden="1" customHeight="1" outlineLevel="1">
      <c r="A203" s="708" t="s">
        <v>687</v>
      </c>
      <c r="B203" s="707">
        <f t="shared" ref="B203:AE203" si="64">SUM(B195:B197)</f>
        <v>-6966.5</v>
      </c>
      <c r="C203" s="707">
        <f t="shared" si="64"/>
        <v>202554.28050589317</v>
      </c>
      <c r="D203" s="707">
        <f t="shared" si="64"/>
        <v>213871.43498223089</v>
      </c>
      <c r="E203" s="707">
        <f t="shared" si="64"/>
        <v>224825.27455691795</v>
      </c>
      <c r="F203" s="707">
        <f t="shared" si="64"/>
        <v>235938.22614801402</v>
      </c>
      <c r="G203" s="707">
        <f t="shared" si="64"/>
        <v>247255.66445980169</v>
      </c>
      <c r="H203" s="707">
        <f t="shared" si="64"/>
        <v>258913.56347277248</v>
      </c>
      <c r="I203" s="707">
        <f t="shared" si="64"/>
        <v>270890.02403548424</v>
      </c>
      <c r="J203" s="707">
        <f t="shared" si="64"/>
        <v>283093.55308707018</v>
      </c>
      <c r="K203" s="707">
        <f t="shared" si="64"/>
        <v>295502.11475917068</v>
      </c>
      <c r="L203" s="707">
        <f t="shared" si="64"/>
        <v>308319.23210767476</v>
      </c>
      <c r="M203" s="707">
        <f t="shared" si="64"/>
        <v>321522.68137916375</v>
      </c>
      <c r="N203" s="707">
        <f t="shared" si="64"/>
        <v>335135.41274355463</v>
      </c>
      <c r="O203" s="707">
        <f t="shared" si="64"/>
        <v>349179.74996978062</v>
      </c>
      <c r="P203" s="707">
        <f t="shared" si="64"/>
        <v>363633.22268933128</v>
      </c>
      <c r="Q203" s="707">
        <f t="shared" si="64"/>
        <v>378473.11341899284</v>
      </c>
      <c r="R203" s="707">
        <f t="shared" si="64"/>
        <v>393699.35784734727</v>
      </c>
      <c r="S203" s="707">
        <f t="shared" si="64"/>
        <v>409266.18780451966</v>
      </c>
      <c r="T203" s="707">
        <f t="shared" si="64"/>
        <v>425105.75441289693</v>
      </c>
      <c r="U203" s="707">
        <f t="shared" si="64"/>
        <v>441150.04676758591</v>
      </c>
      <c r="V203" s="707">
        <f t="shared" si="64"/>
        <v>441150.04676758591</v>
      </c>
      <c r="W203" s="707">
        <f t="shared" si="64"/>
        <v>441150.04676758591</v>
      </c>
      <c r="X203" s="707">
        <f t="shared" si="64"/>
        <v>441150.04676758591</v>
      </c>
      <c r="Y203" s="707">
        <f t="shared" si="64"/>
        <v>441150.04676758591</v>
      </c>
      <c r="Z203" s="707">
        <f t="shared" si="64"/>
        <v>441150.04676758591</v>
      </c>
      <c r="AA203" s="707">
        <f t="shared" si="64"/>
        <v>441150.04676758591</v>
      </c>
      <c r="AB203" s="707">
        <f t="shared" si="64"/>
        <v>441150.04676758591</v>
      </c>
      <c r="AC203" s="707">
        <f t="shared" si="64"/>
        <v>441150.04676758591</v>
      </c>
      <c r="AD203" s="707">
        <f t="shared" si="64"/>
        <v>441150.04676758591</v>
      </c>
      <c r="AE203" s="707">
        <f t="shared" si="64"/>
        <v>441150.04676758591</v>
      </c>
      <c r="AF203" s="594"/>
      <c r="AG203" s="594"/>
      <c r="AH203" s="594"/>
      <c r="AI203" s="594"/>
      <c r="AJ203" s="594"/>
      <c r="AK203" s="594"/>
      <c r="AL203" s="594"/>
      <c r="AM203" s="594"/>
      <c r="AN203" s="594"/>
      <c r="AO203" s="594"/>
      <c r="AP203" s="594"/>
      <c r="AQ203" s="594"/>
      <c r="AR203" s="594"/>
      <c r="AS203" s="594"/>
      <c r="AT203" s="594"/>
      <c r="AU203" s="594"/>
      <c r="AV203" s="594"/>
      <c r="AW203" s="594"/>
      <c r="AX203" s="594"/>
      <c r="AY203" s="594"/>
      <c r="AZ203" s="594"/>
      <c r="BA203" s="594"/>
      <c r="BB203" s="594"/>
      <c r="BC203" s="594"/>
      <c r="BD203" s="594"/>
      <c r="BE203" s="594"/>
      <c r="BF203" s="594"/>
      <c r="BG203" s="594"/>
      <c r="BH203" s="594"/>
      <c r="BI203" s="594"/>
      <c r="BJ203" s="594"/>
      <c r="BK203" s="594"/>
      <c r="BL203" s="57"/>
      <c r="BM203" s="594"/>
      <c r="BN203" s="594"/>
      <c r="BO203" s="594"/>
      <c r="BP203" s="594"/>
      <c r="BQ203" s="594"/>
      <c r="BR203" s="594"/>
      <c r="BS203" s="594"/>
      <c r="BT203" s="594"/>
      <c r="BU203" s="594"/>
      <c r="BV203" s="594"/>
      <c r="BW203" s="594"/>
      <c r="BX203" s="594"/>
      <c r="BY203" s="594"/>
      <c r="BZ203" s="594"/>
      <c r="CA203" s="594"/>
      <c r="CB203" s="594"/>
      <c r="CC203" s="594"/>
      <c r="CD203" s="594"/>
      <c r="CE203" s="594"/>
      <c r="CF203" s="594"/>
      <c r="CG203" s="594"/>
      <c r="CH203" s="594"/>
      <c r="CI203" s="594"/>
      <c r="CJ203" s="594"/>
      <c r="CK203" s="594"/>
      <c r="CL203" s="594"/>
      <c r="CM203" s="594"/>
      <c r="CN203" s="594"/>
      <c r="CO203" s="594"/>
      <c r="CP203" s="594"/>
      <c r="CQ203" s="594"/>
    </row>
    <row r="204" spans="1:95" ht="19.5" hidden="1" customHeight="1" outlineLevel="1">
      <c r="A204" s="708" t="s">
        <v>688</v>
      </c>
      <c r="B204" s="707">
        <f t="shared" ref="B204:AE204" si="65">SUM(B205:B212)</f>
        <v>0</v>
      </c>
      <c r="C204" s="707">
        <f t="shared" si="65"/>
        <v>0</v>
      </c>
      <c r="D204" s="707">
        <f t="shared" si="65"/>
        <v>0</v>
      </c>
      <c r="E204" s="707">
        <f t="shared" si="65"/>
        <v>0</v>
      </c>
      <c r="F204" s="707">
        <f t="shared" si="65"/>
        <v>0</v>
      </c>
      <c r="G204" s="707">
        <f t="shared" si="65"/>
        <v>0</v>
      </c>
      <c r="H204" s="707">
        <f t="shared" si="65"/>
        <v>0</v>
      </c>
      <c r="I204" s="707">
        <f t="shared" si="65"/>
        <v>0</v>
      </c>
      <c r="J204" s="707">
        <f t="shared" si="65"/>
        <v>0</v>
      </c>
      <c r="K204" s="707">
        <f t="shared" si="65"/>
        <v>0</v>
      </c>
      <c r="L204" s="707">
        <f t="shared" si="65"/>
        <v>0</v>
      </c>
      <c r="M204" s="707">
        <f t="shared" si="65"/>
        <v>0</v>
      </c>
      <c r="N204" s="707">
        <f t="shared" si="65"/>
        <v>0</v>
      </c>
      <c r="O204" s="707">
        <f t="shared" si="65"/>
        <v>0</v>
      </c>
      <c r="P204" s="707">
        <f t="shared" si="65"/>
        <v>0</v>
      </c>
      <c r="Q204" s="707">
        <f t="shared" si="65"/>
        <v>0</v>
      </c>
      <c r="R204" s="707">
        <f t="shared" si="65"/>
        <v>0</v>
      </c>
      <c r="S204" s="707">
        <f t="shared" si="65"/>
        <v>0</v>
      </c>
      <c r="T204" s="707">
        <f t="shared" si="65"/>
        <v>0</v>
      </c>
      <c r="U204" s="707">
        <f t="shared" si="65"/>
        <v>0</v>
      </c>
      <c r="V204" s="707">
        <f t="shared" si="65"/>
        <v>0</v>
      </c>
      <c r="W204" s="707">
        <f t="shared" si="65"/>
        <v>0</v>
      </c>
      <c r="X204" s="707">
        <f t="shared" si="65"/>
        <v>0</v>
      </c>
      <c r="Y204" s="707">
        <f t="shared" si="65"/>
        <v>0</v>
      </c>
      <c r="Z204" s="707">
        <f t="shared" si="65"/>
        <v>0</v>
      </c>
      <c r="AA204" s="707">
        <f t="shared" si="65"/>
        <v>0</v>
      </c>
      <c r="AB204" s="707">
        <f t="shared" si="65"/>
        <v>0</v>
      </c>
      <c r="AC204" s="707">
        <f t="shared" si="65"/>
        <v>0</v>
      </c>
      <c r="AD204" s="707">
        <f t="shared" si="65"/>
        <v>0</v>
      </c>
      <c r="AE204" s="707">
        <f t="shared" si="65"/>
        <v>0</v>
      </c>
      <c r="AF204" s="594"/>
      <c r="AG204" s="594"/>
      <c r="AH204" s="594"/>
      <c r="AI204" s="594"/>
      <c r="AJ204" s="594"/>
      <c r="AK204" s="594"/>
      <c r="AL204" s="594"/>
      <c r="AM204" s="594"/>
      <c r="AN204" s="594"/>
      <c r="AO204" s="594"/>
      <c r="AP204" s="594"/>
      <c r="AQ204" s="594"/>
      <c r="AR204" s="594"/>
      <c r="AS204" s="594"/>
      <c r="AT204" s="594"/>
      <c r="AU204" s="594"/>
      <c r="AV204" s="594"/>
      <c r="AW204" s="594"/>
      <c r="AX204" s="594"/>
      <c r="AY204" s="594"/>
      <c r="AZ204" s="594"/>
      <c r="BA204" s="594"/>
      <c r="BB204" s="594"/>
      <c r="BC204" s="594"/>
      <c r="BD204" s="594"/>
      <c r="BE204" s="594"/>
      <c r="BF204" s="594"/>
      <c r="BG204" s="594"/>
      <c r="BH204" s="594"/>
      <c r="BI204" s="594"/>
      <c r="BJ204" s="594"/>
      <c r="BK204" s="594"/>
      <c r="BL204" s="57"/>
      <c r="BM204" s="594"/>
      <c r="BN204" s="594"/>
      <c r="BO204" s="594"/>
      <c r="BP204" s="594"/>
      <c r="BQ204" s="594"/>
      <c r="BR204" s="594"/>
      <c r="BS204" s="594"/>
      <c r="BT204" s="594"/>
      <c r="BU204" s="594"/>
      <c r="BV204" s="594"/>
      <c r="BW204" s="594"/>
      <c r="BX204" s="594"/>
      <c r="BY204" s="594"/>
      <c r="BZ204" s="594"/>
      <c r="CA204" s="594"/>
      <c r="CB204" s="594"/>
      <c r="CC204" s="594"/>
      <c r="CD204" s="594"/>
      <c r="CE204" s="594"/>
      <c r="CF204" s="594"/>
      <c r="CG204" s="594"/>
      <c r="CH204" s="594"/>
      <c r="CI204" s="594"/>
      <c r="CJ204" s="594"/>
      <c r="CK204" s="594"/>
      <c r="CL204" s="594"/>
      <c r="CM204" s="594"/>
      <c r="CN204" s="594"/>
      <c r="CO204" s="594"/>
      <c r="CP204" s="594"/>
      <c r="CQ204" s="594"/>
    </row>
    <row r="205" spans="1:95" ht="19.5" hidden="1" customHeight="1" outlineLevel="2">
      <c r="A205" s="709" t="s">
        <v>354</v>
      </c>
      <c r="B205" s="710">
        <f>-SUMIFS('D2 - Capex uso'!BS$6:BS$176,'D2 - Capex uso'!$C$6:$C$176,$A194,'D2 - Capex uso'!$AK$6:$AK$176,$A205)</f>
        <v>0</v>
      </c>
      <c r="C205" s="710">
        <f>-SUMIFS('D2 - Capex uso'!BT$6:BT$176,'D2 - Capex uso'!$C$6:$C$176,$A194,'D2 - Capex uso'!$AK$6:$AK$176,$A205)</f>
        <v>0</v>
      </c>
      <c r="D205" s="710">
        <f>-SUMIFS('D2 - Capex uso'!BU$6:BU$176,'D2 - Capex uso'!$C$6:$C$176,$A194,'D2 - Capex uso'!$AK$6:$AK$176,$A205)</f>
        <v>0</v>
      </c>
      <c r="E205" s="710">
        <f>-SUMIFS('D2 - Capex uso'!BV$6:BV$176,'D2 - Capex uso'!$C$6:$C$176,$A194,'D2 - Capex uso'!$AK$6:$AK$176,$A205)</f>
        <v>0</v>
      </c>
      <c r="F205" s="710">
        <f>-SUMIFS('D2 - Capex uso'!BW$6:BW$176,'D2 - Capex uso'!$C$6:$C$176,$A194,'D2 - Capex uso'!$AK$6:$AK$176,$A205)</f>
        <v>0</v>
      </c>
      <c r="G205" s="710">
        <f>-SUMIFS('D2 - Capex uso'!BX$6:BX$176,'D2 - Capex uso'!$C$6:$C$176,$A194,'D2 - Capex uso'!$AK$6:$AK$176,$A205)</f>
        <v>0</v>
      </c>
      <c r="H205" s="710">
        <f>-SUMIFS('D2 - Capex uso'!BY$6:BY$176,'D2 - Capex uso'!$C$6:$C$176,$A194,'D2 - Capex uso'!$AK$6:$AK$176,$A205)</f>
        <v>0</v>
      </c>
      <c r="I205" s="710">
        <f>-SUMIFS('D2 - Capex uso'!BZ$6:BZ$176,'D2 - Capex uso'!$C$6:$C$176,$A194,'D2 - Capex uso'!$AK$6:$AK$176,$A205)</f>
        <v>0</v>
      </c>
      <c r="J205" s="710">
        <f>-SUMIFS('D2 - Capex uso'!CA$6:CA$176,'D2 - Capex uso'!$C$6:$C$176,$A194,'D2 - Capex uso'!$AK$6:$AK$176,$A205)</f>
        <v>0</v>
      </c>
      <c r="K205" s="710">
        <f>-SUMIFS('D2 - Capex uso'!CB$6:CB$176,'D2 - Capex uso'!$C$6:$C$176,$A194,'D2 - Capex uso'!$AK$6:$AK$176,$A205)</f>
        <v>0</v>
      </c>
      <c r="L205" s="710">
        <f>-SUMIFS('D2 - Capex uso'!CC$6:CC$176,'D2 - Capex uso'!$C$6:$C$176,$A194,'D2 - Capex uso'!$AK$6:$AK$176,$A205)</f>
        <v>0</v>
      </c>
      <c r="M205" s="710">
        <f>-SUMIFS('D2 - Capex uso'!CD$6:CD$176,'D2 - Capex uso'!$C$6:$C$176,$A194,'D2 - Capex uso'!$AK$6:$AK$176,$A205)</f>
        <v>0</v>
      </c>
      <c r="N205" s="710">
        <f>-SUMIFS('D2 - Capex uso'!CE$6:CE$176,'D2 - Capex uso'!$C$6:$C$176,$A194,'D2 - Capex uso'!$AK$6:$AK$176,$A205)</f>
        <v>0</v>
      </c>
      <c r="O205" s="710">
        <f>-SUMIFS('D2 - Capex uso'!CF$6:CF$176,'D2 - Capex uso'!$C$6:$C$176,$A194,'D2 - Capex uso'!$AK$6:$AK$176,$A205)</f>
        <v>0</v>
      </c>
      <c r="P205" s="710">
        <f>-SUMIFS('D2 - Capex uso'!CG$6:CG$176,'D2 - Capex uso'!$C$6:$C$176,$A194,'D2 - Capex uso'!$AK$6:$AK$176,$A205)</f>
        <v>0</v>
      </c>
      <c r="Q205" s="710">
        <f>-SUMIFS('D2 - Capex uso'!CH$6:CH$176,'D2 - Capex uso'!$C$6:$C$176,$A194,'D2 - Capex uso'!$AK$6:$AK$176,$A205)</f>
        <v>0</v>
      </c>
      <c r="R205" s="710">
        <f>-SUMIFS('D2 - Capex uso'!CI$6:CI$176,'D2 - Capex uso'!$C$6:$C$176,$A194,'D2 - Capex uso'!$AK$6:$AK$176,$A205)</f>
        <v>0</v>
      </c>
      <c r="S205" s="710">
        <f>-SUMIFS('D2 - Capex uso'!CJ$6:CJ$176,'D2 - Capex uso'!$C$6:$C$176,$A194,'D2 - Capex uso'!$AK$6:$AK$176,$A205)</f>
        <v>0</v>
      </c>
      <c r="T205" s="710">
        <f>-SUMIFS('D2 - Capex uso'!CK$6:CK$176,'D2 - Capex uso'!$C$6:$C$176,$A194,'D2 - Capex uso'!$AK$6:$AK$176,$A205)</f>
        <v>0</v>
      </c>
      <c r="U205" s="710">
        <f>-SUMIFS('D2 - Capex uso'!CL$6:CL$176,'D2 - Capex uso'!$C$6:$C$176,$A194,'D2 - Capex uso'!$AK$6:$AK$176,$A205)</f>
        <v>0</v>
      </c>
      <c r="V205" s="710">
        <f>-SUMIFS('D2 - Capex uso'!CM$6:CM$176,'D2 - Capex uso'!$C$6:$C$176,$A194,'D2 - Capex uso'!$AK$6:$AK$176,$A205)</f>
        <v>0</v>
      </c>
      <c r="W205" s="710">
        <f>-SUMIFS('D2 - Capex uso'!CN$6:CN$176,'D2 - Capex uso'!$C$6:$C$176,$A194,'D2 - Capex uso'!$AK$6:$AK$176,$A205)</f>
        <v>0</v>
      </c>
      <c r="X205" s="710">
        <f>-SUMIFS('D2 - Capex uso'!CO$6:CO$176,'D2 - Capex uso'!$C$6:$C$176,$A194,'D2 - Capex uso'!$AK$6:$AK$176,$A205)</f>
        <v>0</v>
      </c>
      <c r="Y205" s="710">
        <f>-SUMIFS('D2 - Capex uso'!CP$6:CP$176,'D2 - Capex uso'!$C$6:$C$176,$A194,'D2 - Capex uso'!$AK$6:$AK$176,$A205)</f>
        <v>0</v>
      </c>
      <c r="Z205" s="710">
        <f>-SUMIFS('D2 - Capex uso'!CQ$6:CQ$176,'D2 - Capex uso'!$C$6:$C$176,$A194,'D2 - Capex uso'!$AK$6:$AK$176,$A205)</f>
        <v>0</v>
      </c>
      <c r="AA205" s="710">
        <f>-SUMIFS('D2 - Capex uso'!CR$6:CR$176,'D2 - Capex uso'!$C$6:$C$176,$A194,'D2 - Capex uso'!$AK$6:$AK$176,$A205)</f>
        <v>0</v>
      </c>
      <c r="AB205" s="710">
        <f>-SUMIFS('D2 - Capex uso'!CS$6:CS$176,'D2 - Capex uso'!$C$6:$C$176,$A194,'D2 - Capex uso'!$AK$6:$AK$176,$A205)</f>
        <v>0</v>
      </c>
      <c r="AC205" s="710">
        <f>-SUMIFS('D2 - Capex uso'!CT$6:CT$176,'D2 - Capex uso'!$C$6:$C$176,$A194,'D2 - Capex uso'!$AK$6:$AK$176,$A205)</f>
        <v>0</v>
      </c>
      <c r="AD205" s="710">
        <f>-SUMIFS('D2 - Capex uso'!CU$6:CU$176,'D2 - Capex uso'!$C$6:$C$176,$A194,'D2 - Capex uso'!$AK$6:$AK$176,$A205)</f>
        <v>0</v>
      </c>
      <c r="AE205" s="710">
        <f>-SUMIFS('D2 - Capex uso'!CV$6:CV$176,'D2 - Capex uso'!$C$6:$C$176,$A194,'D2 - Capex uso'!$AK$6:$AK$176,$A205)</f>
        <v>0</v>
      </c>
      <c r="AF205" s="594"/>
      <c r="AG205" s="594"/>
      <c r="AH205" s="594"/>
      <c r="AI205" s="594"/>
      <c r="AJ205" s="594"/>
      <c r="AK205" s="594"/>
      <c r="AL205" s="594"/>
      <c r="AM205" s="594"/>
      <c r="AN205" s="594"/>
      <c r="AO205" s="594"/>
      <c r="AP205" s="594"/>
      <c r="AQ205" s="594"/>
      <c r="AR205" s="594"/>
      <c r="AS205" s="594"/>
      <c r="AT205" s="594"/>
      <c r="AU205" s="594"/>
      <c r="AV205" s="594"/>
      <c r="AW205" s="594"/>
      <c r="AX205" s="594"/>
      <c r="AY205" s="594"/>
      <c r="AZ205" s="594"/>
      <c r="BA205" s="594"/>
      <c r="BB205" s="594"/>
      <c r="BC205" s="594"/>
      <c r="BD205" s="594"/>
      <c r="BE205" s="594"/>
      <c r="BF205" s="594"/>
      <c r="BG205" s="594"/>
      <c r="BH205" s="594"/>
      <c r="BI205" s="594"/>
      <c r="BJ205" s="594"/>
      <c r="BK205" s="594"/>
      <c r="BL205" s="57"/>
      <c r="BM205" s="594"/>
      <c r="BN205" s="594"/>
      <c r="BO205" s="594"/>
      <c r="BP205" s="594"/>
      <c r="BQ205" s="594"/>
      <c r="BR205" s="594"/>
      <c r="BS205" s="594"/>
      <c r="BT205" s="594"/>
      <c r="BU205" s="594"/>
      <c r="BV205" s="594"/>
      <c r="BW205" s="594"/>
      <c r="BX205" s="594"/>
      <c r="BY205" s="594"/>
      <c r="BZ205" s="594"/>
      <c r="CA205" s="594"/>
      <c r="CB205" s="594"/>
      <c r="CC205" s="594"/>
      <c r="CD205" s="594"/>
      <c r="CE205" s="594"/>
      <c r="CF205" s="594"/>
      <c r="CG205" s="594"/>
      <c r="CH205" s="594"/>
      <c r="CI205" s="594"/>
      <c r="CJ205" s="594"/>
      <c r="CK205" s="594"/>
      <c r="CL205" s="594"/>
      <c r="CM205" s="594"/>
      <c r="CN205" s="594"/>
      <c r="CO205" s="594"/>
      <c r="CP205" s="594"/>
      <c r="CQ205" s="594"/>
    </row>
    <row r="206" spans="1:95" ht="19.5" hidden="1" customHeight="1" outlineLevel="2">
      <c r="A206" s="709" t="s">
        <v>689</v>
      </c>
      <c r="B206" s="710">
        <f>-SUMIFS('D2 - Capex uso'!BS$6:BS$176,'D2 - Capex uso'!$C$6:$C$176,$A194,'D2 - Capex uso'!$AK$6:$AK$176,$A206)</f>
        <v>0</v>
      </c>
      <c r="C206" s="710">
        <f>-SUMIFS('D2 - Capex uso'!BT$6:BT$176,'D2 - Capex uso'!$C$6:$C$176,$A194,'D2 - Capex uso'!$AK$6:$AK$176,$A206)</f>
        <v>0</v>
      </c>
      <c r="D206" s="710">
        <f>-SUMIFS('D2 - Capex uso'!BU$6:BU$176,'D2 - Capex uso'!$C$6:$C$176,$A194,'D2 - Capex uso'!$AK$6:$AK$176,$A206)</f>
        <v>0</v>
      </c>
      <c r="E206" s="710">
        <f>-SUMIFS('D2 - Capex uso'!BV$6:BV$176,'D2 - Capex uso'!$C$6:$C$176,$A194,'D2 - Capex uso'!$AK$6:$AK$176,$A206)</f>
        <v>0</v>
      </c>
      <c r="F206" s="710">
        <f>-SUMIFS('D2 - Capex uso'!BW$6:BW$176,'D2 - Capex uso'!$C$6:$C$176,$A194,'D2 - Capex uso'!$AK$6:$AK$176,$A206)</f>
        <v>0</v>
      </c>
      <c r="G206" s="710">
        <f>-SUMIFS('D2 - Capex uso'!BX$6:BX$176,'D2 - Capex uso'!$C$6:$C$176,$A194,'D2 - Capex uso'!$AK$6:$AK$176,$A206)</f>
        <v>0</v>
      </c>
      <c r="H206" s="710">
        <f>-SUMIFS('D2 - Capex uso'!BY$6:BY$176,'D2 - Capex uso'!$C$6:$C$176,$A194,'D2 - Capex uso'!$AK$6:$AK$176,$A206)</f>
        <v>0</v>
      </c>
      <c r="I206" s="710">
        <f>-SUMIFS('D2 - Capex uso'!BZ$6:BZ$176,'D2 - Capex uso'!$C$6:$C$176,$A194,'D2 - Capex uso'!$AK$6:$AK$176,$A206)</f>
        <v>0</v>
      </c>
      <c r="J206" s="710">
        <f>-SUMIFS('D2 - Capex uso'!CA$6:CA$176,'D2 - Capex uso'!$C$6:$C$176,$A194,'D2 - Capex uso'!$AK$6:$AK$176,$A206)</f>
        <v>0</v>
      </c>
      <c r="K206" s="710">
        <f>-SUMIFS('D2 - Capex uso'!CB$6:CB$176,'D2 - Capex uso'!$C$6:$C$176,$A194,'D2 - Capex uso'!$AK$6:$AK$176,$A206)</f>
        <v>0</v>
      </c>
      <c r="L206" s="710">
        <f>-SUMIFS('D2 - Capex uso'!CC$6:CC$176,'D2 - Capex uso'!$C$6:$C$176,$A194,'D2 - Capex uso'!$AK$6:$AK$176,$A206)</f>
        <v>0</v>
      </c>
      <c r="M206" s="710">
        <f>-SUMIFS('D2 - Capex uso'!CD$6:CD$176,'D2 - Capex uso'!$C$6:$C$176,$A194,'D2 - Capex uso'!$AK$6:$AK$176,$A206)</f>
        <v>0</v>
      </c>
      <c r="N206" s="710">
        <f>-SUMIFS('D2 - Capex uso'!CE$6:CE$176,'D2 - Capex uso'!$C$6:$C$176,$A194,'D2 - Capex uso'!$AK$6:$AK$176,$A206)</f>
        <v>0</v>
      </c>
      <c r="O206" s="710">
        <f>-SUMIFS('D2 - Capex uso'!CF$6:CF$176,'D2 - Capex uso'!$C$6:$C$176,$A194,'D2 - Capex uso'!$AK$6:$AK$176,$A206)</f>
        <v>0</v>
      </c>
      <c r="P206" s="710">
        <f>-SUMIFS('D2 - Capex uso'!CG$6:CG$176,'D2 - Capex uso'!$C$6:$C$176,$A194,'D2 - Capex uso'!$AK$6:$AK$176,$A206)</f>
        <v>0</v>
      </c>
      <c r="Q206" s="710">
        <f>-SUMIFS('D2 - Capex uso'!CH$6:CH$176,'D2 - Capex uso'!$C$6:$C$176,$A194,'D2 - Capex uso'!$AK$6:$AK$176,$A206)</f>
        <v>0</v>
      </c>
      <c r="R206" s="710">
        <f>-SUMIFS('D2 - Capex uso'!CI$6:CI$176,'D2 - Capex uso'!$C$6:$C$176,$A194,'D2 - Capex uso'!$AK$6:$AK$176,$A206)</f>
        <v>0</v>
      </c>
      <c r="S206" s="710">
        <f>-SUMIFS('D2 - Capex uso'!CJ$6:CJ$176,'D2 - Capex uso'!$C$6:$C$176,$A194,'D2 - Capex uso'!$AK$6:$AK$176,$A206)</f>
        <v>0</v>
      </c>
      <c r="T206" s="710">
        <f>-SUMIFS('D2 - Capex uso'!CK$6:CK$176,'D2 - Capex uso'!$C$6:$C$176,$A194,'D2 - Capex uso'!$AK$6:$AK$176,$A206)</f>
        <v>0</v>
      </c>
      <c r="U206" s="710">
        <f>-SUMIFS('D2 - Capex uso'!CL$6:CL$176,'D2 - Capex uso'!$C$6:$C$176,$A194,'D2 - Capex uso'!$AK$6:$AK$176,$A206)</f>
        <v>0</v>
      </c>
      <c r="V206" s="710">
        <f>-SUMIFS('D2 - Capex uso'!CM$6:CM$176,'D2 - Capex uso'!$C$6:$C$176,$A194,'D2 - Capex uso'!$AK$6:$AK$176,$A206)</f>
        <v>0</v>
      </c>
      <c r="W206" s="710">
        <f>-SUMIFS('D2 - Capex uso'!CN$6:CN$176,'D2 - Capex uso'!$C$6:$C$176,$A194,'D2 - Capex uso'!$AK$6:$AK$176,$A206)</f>
        <v>0</v>
      </c>
      <c r="X206" s="710">
        <f>-SUMIFS('D2 - Capex uso'!CO$6:CO$176,'D2 - Capex uso'!$C$6:$C$176,$A194,'D2 - Capex uso'!$AK$6:$AK$176,$A206)</f>
        <v>0</v>
      </c>
      <c r="Y206" s="710">
        <f>-SUMIFS('D2 - Capex uso'!CP$6:CP$176,'D2 - Capex uso'!$C$6:$C$176,$A194,'D2 - Capex uso'!$AK$6:$AK$176,$A206)</f>
        <v>0</v>
      </c>
      <c r="Z206" s="710">
        <f>-SUMIFS('D2 - Capex uso'!CQ$6:CQ$176,'D2 - Capex uso'!$C$6:$C$176,$A194,'D2 - Capex uso'!$AK$6:$AK$176,$A206)</f>
        <v>0</v>
      </c>
      <c r="AA206" s="710">
        <f>-SUMIFS('D2 - Capex uso'!CR$6:CR$176,'D2 - Capex uso'!$C$6:$C$176,$A194,'D2 - Capex uso'!$AK$6:$AK$176,$A206)</f>
        <v>0</v>
      </c>
      <c r="AB206" s="710">
        <f>-SUMIFS('D2 - Capex uso'!CS$6:CS$176,'D2 - Capex uso'!$C$6:$C$176,$A194,'D2 - Capex uso'!$AK$6:$AK$176,$A206)</f>
        <v>0</v>
      </c>
      <c r="AC206" s="710">
        <f>-SUMIFS('D2 - Capex uso'!CT$6:CT$176,'D2 - Capex uso'!$C$6:$C$176,$A194,'D2 - Capex uso'!$AK$6:$AK$176,$A206)</f>
        <v>0</v>
      </c>
      <c r="AD206" s="710">
        <f>-SUMIFS('D2 - Capex uso'!CU$6:CU$176,'D2 - Capex uso'!$C$6:$C$176,$A194,'D2 - Capex uso'!$AK$6:$AK$176,$A206)</f>
        <v>0</v>
      </c>
      <c r="AE206" s="710">
        <f>-SUMIFS('D2 - Capex uso'!CV$6:CV$176,'D2 - Capex uso'!$C$6:$C$176,$A194,'D2 - Capex uso'!$AK$6:$AK$176,$A206)</f>
        <v>0</v>
      </c>
      <c r="AF206" s="594"/>
      <c r="AG206" s="594"/>
      <c r="AH206" s="594"/>
      <c r="AI206" s="594"/>
      <c r="AJ206" s="594"/>
      <c r="AK206" s="594"/>
      <c r="AL206" s="594"/>
      <c r="AM206" s="594"/>
      <c r="AN206" s="594"/>
      <c r="AO206" s="594"/>
      <c r="AP206" s="594"/>
      <c r="AQ206" s="594"/>
      <c r="AR206" s="594"/>
      <c r="AS206" s="594"/>
      <c r="AT206" s="594"/>
      <c r="AU206" s="594"/>
      <c r="AV206" s="594"/>
      <c r="AW206" s="594"/>
      <c r="AX206" s="594"/>
      <c r="AY206" s="594"/>
      <c r="AZ206" s="594"/>
      <c r="BA206" s="594"/>
      <c r="BB206" s="594"/>
      <c r="BC206" s="594"/>
      <c r="BD206" s="594"/>
      <c r="BE206" s="594"/>
      <c r="BF206" s="594"/>
      <c r="BG206" s="594"/>
      <c r="BH206" s="594"/>
      <c r="BI206" s="594"/>
      <c r="BJ206" s="594"/>
      <c r="BK206" s="594"/>
      <c r="BL206" s="57"/>
      <c r="BM206" s="594"/>
      <c r="BN206" s="594"/>
      <c r="BO206" s="594"/>
      <c r="BP206" s="594"/>
      <c r="BQ206" s="594"/>
      <c r="BR206" s="594"/>
      <c r="BS206" s="594"/>
      <c r="BT206" s="594"/>
      <c r="BU206" s="594"/>
      <c r="BV206" s="594"/>
      <c r="BW206" s="594"/>
      <c r="BX206" s="594"/>
      <c r="BY206" s="594"/>
      <c r="BZ206" s="594"/>
      <c r="CA206" s="594"/>
      <c r="CB206" s="594"/>
      <c r="CC206" s="594"/>
      <c r="CD206" s="594"/>
      <c r="CE206" s="594"/>
      <c r="CF206" s="594"/>
      <c r="CG206" s="594"/>
      <c r="CH206" s="594"/>
      <c r="CI206" s="594"/>
      <c r="CJ206" s="594"/>
      <c r="CK206" s="594"/>
      <c r="CL206" s="594"/>
      <c r="CM206" s="594"/>
      <c r="CN206" s="594"/>
      <c r="CO206" s="594"/>
      <c r="CP206" s="594"/>
      <c r="CQ206" s="594"/>
    </row>
    <row r="207" spans="1:95" ht="19.5" hidden="1" customHeight="1" outlineLevel="2">
      <c r="A207" s="709" t="s">
        <v>378</v>
      </c>
      <c r="B207" s="710">
        <f>-SUMIFS('D2 - Capex uso'!BS$6:BS$176,'D2 - Capex uso'!$C$6:$C$176,$A194,'D2 - Capex uso'!$AK$6:$AK$176,$A207)</f>
        <v>0</v>
      </c>
      <c r="C207" s="710">
        <f>-SUMIFS('D2 - Capex uso'!BT$6:BT$176,'D2 - Capex uso'!$C$6:$C$176,$A194,'D2 - Capex uso'!$AK$6:$AK$176,$A207)</f>
        <v>0</v>
      </c>
      <c r="D207" s="710">
        <f>-SUMIFS('D2 - Capex uso'!BU$6:BU$176,'D2 - Capex uso'!$C$6:$C$176,$A194,'D2 - Capex uso'!$AK$6:$AK$176,$A207)</f>
        <v>0</v>
      </c>
      <c r="E207" s="710">
        <f>-SUMIFS('D2 - Capex uso'!BV$6:BV$176,'D2 - Capex uso'!$C$6:$C$176,$A194,'D2 - Capex uso'!$AK$6:$AK$176,$A207)</f>
        <v>0</v>
      </c>
      <c r="F207" s="710">
        <f>-SUMIFS('D2 - Capex uso'!BW$6:BW$176,'D2 - Capex uso'!$C$6:$C$176,$A194,'D2 - Capex uso'!$AK$6:$AK$176,$A207)</f>
        <v>0</v>
      </c>
      <c r="G207" s="710">
        <f>-SUMIFS('D2 - Capex uso'!BX$6:BX$176,'D2 - Capex uso'!$C$6:$C$176,$A194,'D2 - Capex uso'!$AK$6:$AK$176,$A207)</f>
        <v>0</v>
      </c>
      <c r="H207" s="710">
        <f>-SUMIFS('D2 - Capex uso'!BY$6:BY$176,'D2 - Capex uso'!$C$6:$C$176,$A194,'D2 - Capex uso'!$AK$6:$AK$176,$A207)</f>
        <v>0</v>
      </c>
      <c r="I207" s="710">
        <f>-SUMIFS('D2 - Capex uso'!BZ$6:BZ$176,'D2 - Capex uso'!$C$6:$C$176,$A194,'D2 - Capex uso'!$AK$6:$AK$176,$A207)</f>
        <v>0</v>
      </c>
      <c r="J207" s="710">
        <f>-SUMIFS('D2 - Capex uso'!CA$6:CA$176,'D2 - Capex uso'!$C$6:$C$176,$A194,'D2 - Capex uso'!$AK$6:$AK$176,$A207)</f>
        <v>0</v>
      </c>
      <c r="K207" s="710">
        <f>-SUMIFS('D2 - Capex uso'!CB$6:CB$176,'D2 - Capex uso'!$C$6:$C$176,$A194,'D2 - Capex uso'!$AK$6:$AK$176,$A207)</f>
        <v>0</v>
      </c>
      <c r="L207" s="710">
        <f>-SUMIFS('D2 - Capex uso'!CC$6:CC$176,'D2 - Capex uso'!$C$6:$C$176,$A194,'D2 - Capex uso'!$AK$6:$AK$176,$A207)</f>
        <v>0</v>
      </c>
      <c r="M207" s="710">
        <f>-SUMIFS('D2 - Capex uso'!CD$6:CD$176,'D2 - Capex uso'!$C$6:$C$176,$A194,'D2 - Capex uso'!$AK$6:$AK$176,$A207)</f>
        <v>0</v>
      </c>
      <c r="N207" s="710">
        <f>-SUMIFS('D2 - Capex uso'!CE$6:CE$176,'D2 - Capex uso'!$C$6:$C$176,$A194,'D2 - Capex uso'!$AK$6:$AK$176,$A207)</f>
        <v>0</v>
      </c>
      <c r="O207" s="710">
        <f>-SUMIFS('D2 - Capex uso'!CF$6:CF$176,'D2 - Capex uso'!$C$6:$C$176,$A194,'D2 - Capex uso'!$AK$6:$AK$176,$A207)</f>
        <v>0</v>
      </c>
      <c r="P207" s="710">
        <f>-SUMIFS('D2 - Capex uso'!CG$6:CG$176,'D2 - Capex uso'!$C$6:$C$176,$A194,'D2 - Capex uso'!$AK$6:$AK$176,$A207)</f>
        <v>0</v>
      </c>
      <c r="Q207" s="710">
        <f>-SUMIFS('D2 - Capex uso'!CH$6:CH$176,'D2 - Capex uso'!$C$6:$C$176,$A194,'D2 - Capex uso'!$AK$6:$AK$176,$A207)</f>
        <v>0</v>
      </c>
      <c r="R207" s="710">
        <f>-SUMIFS('D2 - Capex uso'!CI$6:CI$176,'D2 - Capex uso'!$C$6:$C$176,$A194,'D2 - Capex uso'!$AK$6:$AK$176,$A207)</f>
        <v>0</v>
      </c>
      <c r="S207" s="710">
        <f>-SUMIFS('D2 - Capex uso'!CJ$6:CJ$176,'D2 - Capex uso'!$C$6:$C$176,$A194,'D2 - Capex uso'!$AK$6:$AK$176,$A207)</f>
        <v>0</v>
      </c>
      <c r="T207" s="710">
        <f>-SUMIFS('D2 - Capex uso'!CK$6:CK$176,'D2 - Capex uso'!$C$6:$C$176,$A194,'D2 - Capex uso'!$AK$6:$AK$176,$A207)</f>
        <v>0</v>
      </c>
      <c r="U207" s="710">
        <f>-SUMIFS('D2 - Capex uso'!CL$6:CL$176,'D2 - Capex uso'!$C$6:$C$176,$A194,'D2 - Capex uso'!$AK$6:$AK$176,$A207)</f>
        <v>0</v>
      </c>
      <c r="V207" s="710">
        <f>-SUMIFS('D2 - Capex uso'!CM$6:CM$176,'D2 - Capex uso'!$C$6:$C$176,$A194,'D2 - Capex uso'!$AK$6:$AK$176,$A207)</f>
        <v>0</v>
      </c>
      <c r="W207" s="710">
        <f>-SUMIFS('D2 - Capex uso'!CN$6:CN$176,'D2 - Capex uso'!$C$6:$C$176,$A194,'D2 - Capex uso'!$AK$6:$AK$176,$A207)</f>
        <v>0</v>
      </c>
      <c r="X207" s="710">
        <f>-SUMIFS('D2 - Capex uso'!CO$6:CO$176,'D2 - Capex uso'!$C$6:$C$176,$A194,'D2 - Capex uso'!$AK$6:$AK$176,$A207)</f>
        <v>0</v>
      </c>
      <c r="Y207" s="710">
        <f>-SUMIFS('D2 - Capex uso'!CP$6:CP$176,'D2 - Capex uso'!$C$6:$C$176,$A194,'D2 - Capex uso'!$AK$6:$AK$176,$A207)</f>
        <v>0</v>
      </c>
      <c r="Z207" s="710">
        <f>-SUMIFS('D2 - Capex uso'!CQ$6:CQ$176,'D2 - Capex uso'!$C$6:$C$176,$A194,'D2 - Capex uso'!$AK$6:$AK$176,$A207)</f>
        <v>0</v>
      </c>
      <c r="AA207" s="710">
        <f>-SUMIFS('D2 - Capex uso'!CR$6:CR$176,'D2 - Capex uso'!$C$6:$C$176,$A194,'D2 - Capex uso'!$AK$6:$AK$176,$A207)</f>
        <v>0</v>
      </c>
      <c r="AB207" s="710">
        <f>-SUMIFS('D2 - Capex uso'!CS$6:CS$176,'D2 - Capex uso'!$C$6:$C$176,$A194,'D2 - Capex uso'!$AK$6:$AK$176,$A207)</f>
        <v>0</v>
      </c>
      <c r="AC207" s="710">
        <f>-SUMIFS('D2 - Capex uso'!CT$6:CT$176,'D2 - Capex uso'!$C$6:$C$176,$A194,'D2 - Capex uso'!$AK$6:$AK$176,$A207)</f>
        <v>0</v>
      </c>
      <c r="AD207" s="710">
        <f>-SUMIFS('D2 - Capex uso'!CU$6:CU$176,'D2 - Capex uso'!$C$6:$C$176,$A194,'D2 - Capex uso'!$AK$6:$AK$176,$A207)</f>
        <v>0</v>
      </c>
      <c r="AE207" s="710">
        <f>-SUMIFS('D2 - Capex uso'!CV$6:CV$176,'D2 - Capex uso'!$C$6:$C$176,$A194,'D2 - Capex uso'!$AK$6:$AK$176,$A207)</f>
        <v>0</v>
      </c>
      <c r="AF207" s="594"/>
      <c r="AG207" s="594"/>
      <c r="AH207" s="594"/>
      <c r="AI207" s="594"/>
      <c r="AJ207" s="594"/>
      <c r="AK207" s="594"/>
      <c r="AL207" s="594"/>
      <c r="AM207" s="594"/>
      <c r="AN207" s="594"/>
      <c r="AO207" s="594"/>
      <c r="AP207" s="594"/>
      <c r="AQ207" s="594"/>
      <c r="AR207" s="594"/>
      <c r="AS207" s="594"/>
      <c r="AT207" s="594"/>
      <c r="AU207" s="594"/>
      <c r="AV207" s="594"/>
      <c r="AW207" s="594"/>
      <c r="AX207" s="594"/>
      <c r="AY207" s="594"/>
      <c r="AZ207" s="594"/>
      <c r="BA207" s="594"/>
      <c r="BB207" s="594"/>
      <c r="BC207" s="594"/>
      <c r="BD207" s="594"/>
      <c r="BE207" s="594"/>
      <c r="BF207" s="594"/>
      <c r="BG207" s="594"/>
      <c r="BH207" s="594"/>
      <c r="BI207" s="594"/>
      <c r="BJ207" s="594"/>
      <c r="BK207" s="594"/>
      <c r="BL207" s="57"/>
      <c r="BM207" s="594"/>
      <c r="BN207" s="594"/>
      <c r="BO207" s="594"/>
      <c r="BP207" s="594"/>
      <c r="BQ207" s="594"/>
      <c r="BR207" s="594"/>
      <c r="BS207" s="594"/>
      <c r="BT207" s="594"/>
      <c r="BU207" s="594"/>
      <c r="BV207" s="594"/>
      <c r="BW207" s="594"/>
      <c r="BX207" s="594"/>
      <c r="BY207" s="594"/>
      <c r="BZ207" s="594"/>
      <c r="CA207" s="594"/>
      <c r="CB207" s="594"/>
      <c r="CC207" s="594"/>
      <c r="CD207" s="594"/>
      <c r="CE207" s="594"/>
      <c r="CF207" s="594"/>
      <c r="CG207" s="594"/>
      <c r="CH207" s="594"/>
      <c r="CI207" s="594"/>
      <c r="CJ207" s="594"/>
      <c r="CK207" s="594"/>
      <c r="CL207" s="594"/>
      <c r="CM207" s="594"/>
      <c r="CN207" s="594"/>
      <c r="CO207" s="594"/>
      <c r="CP207" s="594"/>
      <c r="CQ207" s="594"/>
    </row>
    <row r="208" spans="1:95" ht="19.5" hidden="1" customHeight="1" outlineLevel="2">
      <c r="A208" s="709" t="s">
        <v>366</v>
      </c>
      <c r="B208" s="710">
        <f>-SUMIFS('D2 - Capex uso'!BS$6:BS$176,'D2 - Capex uso'!$C$6:$C$176,$A194,'D2 - Capex uso'!$AK$6:$AK$176,$A208)</f>
        <v>0</v>
      </c>
      <c r="C208" s="710">
        <f>-SUMIFS('D2 - Capex uso'!BT$6:BT$176,'D2 - Capex uso'!$C$6:$C$176,$A194,'D2 - Capex uso'!$AK$6:$AK$176,$A208)</f>
        <v>0</v>
      </c>
      <c r="D208" s="710">
        <f>-SUMIFS('D2 - Capex uso'!BU$6:BU$176,'D2 - Capex uso'!$C$6:$C$176,$A194,'D2 - Capex uso'!$AK$6:$AK$176,$A208)</f>
        <v>0</v>
      </c>
      <c r="E208" s="710">
        <f>-SUMIFS('D2 - Capex uso'!BV$6:BV$176,'D2 - Capex uso'!$C$6:$C$176,$A194,'D2 - Capex uso'!$AK$6:$AK$176,$A208)</f>
        <v>0</v>
      </c>
      <c r="F208" s="710">
        <f>-SUMIFS('D2 - Capex uso'!BW$6:BW$176,'D2 - Capex uso'!$C$6:$C$176,$A194,'D2 - Capex uso'!$AK$6:$AK$176,$A208)</f>
        <v>0</v>
      </c>
      <c r="G208" s="710">
        <f>-SUMIFS('D2 - Capex uso'!BX$6:BX$176,'D2 - Capex uso'!$C$6:$C$176,$A194,'D2 - Capex uso'!$AK$6:$AK$176,$A208)</f>
        <v>0</v>
      </c>
      <c r="H208" s="710">
        <f>-SUMIFS('D2 - Capex uso'!BY$6:BY$176,'D2 - Capex uso'!$C$6:$C$176,$A194,'D2 - Capex uso'!$AK$6:$AK$176,$A208)</f>
        <v>0</v>
      </c>
      <c r="I208" s="710">
        <f>-SUMIFS('D2 - Capex uso'!BZ$6:BZ$176,'D2 - Capex uso'!$C$6:$C$176,$A194,'D2 - Capex uso'!$AK$6:$AK$176,$A208)</f>
        <v>0</v>
      </c>
      <c r="J208" s="710">
        <f>-SUMIFS('D2 - Capex uso'!CA$6:CA$176,'D2 - Capex uso'!$C$6:$C$176,$A194,'D2 - Capex uso'!$AK$6:$AK$176,$A208)</f>
        <v>0</v>
      </c>
      <c r="K208" s="710">
        <f>-SUMIFS('D2 - Capex uso'!CB$6:CB$176,'D2 - Capex uso'!$C$6:$C$176,$A194,'D2 - Capex uso'!$AK$6:$AK$176,$A208)</f>
        <v>0</v>
      </c>
      <c r="L208" s="710">
        <f>-SUMIFS('D2 - Capex uso'!CC$6:CC$176,'D2 - Capex uso'!$C$6:$C$176,$A194,'D2 - Capex uso'!$AK$6:$AK$176,$A208)</f>
        <v>0</v>
      </c>
      <c r="M208" s="710">
        <f>-SUMIFS('D2 - Capex uso'!CD$6:CD$176,'D2 - Capex uso'!$C$6:$C$176,$A194,'D2 - Capex uso'!$AK$6:$AK$176,$A208)</f>
        <v>0</v>
      </c>
      <c r="N208" s="710">
        <f>-SUMIFS('D2 - Capex uso'!CE$6:CE$176,'D2 - Capex uso'!$C$6:$C$176,$A194,'D2 - Capex uso'!$AK$6:$AK$176,$A208)</f>
        <v>0</v>
      </c>
      <c r="O208" s="710">
        <f>-SUMIFS('D2 - Capex uso'!CF$6:CF$176,'D2 - Capex uso'!$C$6:$C$176,$A194,'D2 - Capex uso'!$AK$6:$AK$176,$A208)</f>
        <v>0</v>
      </c>
      <c r="P208" s="710">
        <f>-SUMIFS('D2 - Capex uso'!CG$6:CG$176,'D2 - Capex uso'!$C$6:$C$176,$A194,'D2 - Capex uso'!$AK$6:$AK$176,$A208)</f>
        <v>0</v>
      </c>
      <c r="Q208" s="710">
        <f>-SUMIFS('D2 - Capex uso'!CH$6:CH$176,'D2 - Capex uso'!$C$6:$C$176,$A194,'D2 - Capex uso'!$AK$6:$AK$176,$A208)</f>
        <v>0</v>
      </c>
      <c r="R208" s="710">
        <f>-SUMIFS('D2 - Capex uso'!CI$6:CI$176,'D2 - Capex uso'!$C$6:$C$176,$A194,'D2 - Capex uso'!$AK$6:$AK$176,$A208)</f>
        <v>0</v>
      </c>
      <c r="S208" s="710">
        <f>-SUMIFS('D2 - Capex uso'!CJ$6:CJ$176,'D2 - Capex uso'!$C$6:$C$176,$A194,'D2 - Capex uso'!$AK$6:$AK$176,$A208)</f>
        <v>0</v>
      </c>
      <c r="T208" s="710">
        <f>-SUMIFS('D2 - Capex uso'!CK$6:CK$176,'D2 - Capex uso'!$C$6:$C$176,$A194,'D2 - Capex uso'!$AK$6:$AK$176,$A208)</f>
        <v>0</v>
      </c>
      <c r="U208" s="710">
        <f>-SUMIFS('D2 - Capex uso'!CL$6:CL$176,'D2 - Capex uso'!$C$6:$C$176,$A194,'D2 - Capex uso'!$AK$6:$AK$176,$A208)</f>
        <v>0</v>
      </c>
      <c r="V208" s="710">
        <f>-SUMIFS('D2 - Capex uso'!CM$6:CM$176,'D2 - Capex uso'!$C$6:$C$176,$A194,'D2 - Capex uso'!$AK$6:$AK$176,$A208)</f>
        <v>0</v>
      </c>
      <c r="W208" s="710">
        <f>-SUMIFS('D2 - Capex uso'!CN$6:CN$176,'D2 - Capex uso'!$C$6:$C$176,$A194,'D2 - Capex uso'!$AK$6:$AK$176,$A208)</f>
        <v>0</v>
      </c>
      <c r="X208" s="710">
        <f>-SUMIFS('D2 - Capex uso'!CO$6:CO$176,'D2 - Capex uso'!$C$6:$C$176,$A194,'D2 - Capex uso'!$AK$6:$AK$176,$A208)</f>
        <v>0</v>
      </c>
      <c r="Y208" s="710">
        <f>-SUMIFS('D2 - Capex uso'!CP$6:CP$176,'D2 - Capex uso'!$C$6:$C$176,$A194,'D2 - Capex uso'!$AK$6:$AK$176,$A208)</f>
        <v>0</v>
      </c>
      <c r="Z208" s="710">
        <f>-SUMIFS('D2 - Capex uso'!CQ$6:CQ$176,'D2 - Capex uso'!$C$6:$C$176,$A194,'D2 - Capex uso'!$AK$6:$AK$176,$A208)</f>
        <v>0</v>
      </c>
      <c r="AA208" s="710">
        <f>-SUMIFS('D2 - Capex uso'!CR$6:CR$176,'D2 - Capex uso'!$C$6:$C$176,$A194,'D2 - Capex uso'!$AK$6:$AK$176,$A208)</f>
        <v>0</v>
      </c>
      <c r="AB208" s="710">
        <f>-SUMIFS('D2 - Capex uso'!CS$6:CS$176,'D2 - Capex uso'!$C$6:$C$176,$A194,'D2 - Capex uso'!$AK$6:$AK$176,$A208)</f>
        <v>0</v>
      </c>
      <c r="AC208" s="710">
        <f>-SUMIFS('D2 - Capex uso'!CT$6:CT$176,'D2 - Capex uso'!$C$6:$C$176,$A194,'D2 - Capex uso'!$AK$6:$AK$176,$A208)</f>
        <v>0</v>
      </c>
      <c r="AD208" s="710">
        <f>-SUMIFS('D2 - Capex uso'!CU$6:CU$176,'D2 - Capex uso'!$C$6:$C$176,$A194,'D2 - Capex uso'!$AK$6:$AK$176,$A208)</f>
        <v>0</v>
      </c>
      <c r="AE208" s="710">
        <f>-SUMIFS('D2 - Capex uso'!CV$6:CV$176,'D2 - Capex uso'!$C$6:$C$176,$A194,'D2 - Capex uso'!$AK$6:$AK$176,$A208)</f>
        <v>0</v>
      </c>
      <c r="AF208" s="594"/>
      <c r="AG208" s="594"/>
      <c r="AH208" s="594"/>
      <c r="AI208" s="594"/>
      <c r="AJ208" s="594"/>
      <c r="AK208" s="594"/>
      <c r="AL208" s="594"/>
      <c r="AM208" s="594"/>
      <c r="AN208" s="594"/>
      <c r="AO208" s="594"/>
      <c r="AP208" s="594"/>
      <c r="AQ208" s="594"/>
      <c r="AR208" s="594"/>
      <c r="AS208" s="594"/>
      <c r="AT208" s="594"/>
      <c r="AU208" s="594"/>
      <c r="AV208" s="594"/>
      <c r="AW208" s="594"/>
      <c r="AX208" s="594"/>
      <c r="AY208" s="594"/>
      <c r="AZ208" s="594"/>
      <c r="BA208" s="594"/>
      <c r="BB208" s="594"/>
      <c r="BC208" s="594"/>
      <c r="BD208" s="594"/>
      <c r="BE208" s="594"/>
      <c r="BF208" s="594"/>
      <c r="BG208" s="594"/>
      <c r="BH208" s="594"/>
      <c r="BI208" s="594"/>
      <c r="BJ208" s="594"/>
      <c r="BK208" s="594"/>
      <c r="BL208" s="57"/>
      <c r="BM208" s="594"/>
      <c r="BN208" s="594"/>
      <c r="BO208" s="594"/>
      <c r="BP208" s="594"/>
      <c r="BQ208" s="594"/>
      <c r="BR208" s="594"/>
      <c r="BS208" s="594"/>
      <c r="BT208" s="594"/>
      <c r="BU208" s="594"/>
      <c r="BV208" s="594"/>
      <c r="BW208" s="594"/>
      <c r="BX208" s="594"/>
      <c r="BY208" s="594"/>
      <c r="BZ208" s="594"/>
      <c r="CA208" s="594"/>
      <c r="CB208" s="594"/>
      <c r="CC208" s="594"/>
      <c r="CD208" s="594"/>
      <c r="CE208" s="594"/>
      <c r="CF208" s="594"/>
      <c r="CG208" s="594"/>
      <c r="CH208" s="594"/>
      <c r="CI208" s="594"/>
      <c r="CJ208" s="594"/>
      <c r="CK208" s="594"/>
      <c r="CL208" s="594"/>
      <c r="CM208" s="594"/>
      <c r="CN208" s="594"/>
      <c r="CO208" s="594"/>
      <c r="CP208" s="594"/>
      <c r="CQ208" s="594"/>
    </row>
    <row r="209" spans="1:95" ht="19.5" hidden="1" customHeight="1" outlineLevel="2">
      <c r="A209" s="709" t="s">
        <v>371</v>
      </c>
      <c r="B209" s="710">
        <f>-SUMIFS('D2 - Capex uso'!BS$6:BS$176,'D2 - Capex uso'!$C$6:$C$176,$A194,'D2 - Capex uso'!$AK$6:$AK$176,$A209)</f>
        <v>0</v>
      </c>
      <c r="C209" s="710">
        <f>-SUMIFS('D2 - Capex uso'!BT$6:BT$176,'D2 - Capex uso'!$C$6:$C$176,$A194,'D2 - Capex uso'!$AK$6:$AK$176,$A209)</f>
        <v>0</v>
      </c>
      <c r="D209" s="710">
        <f>-SUMIFS('D2 - Capex uso'!BU$6:BU$176,'D2 - Capex uso'!$C$6:$C$176,$A194,'D2 - Capex uso'!$AK$6:$AK$176,$A209)</f>
        <v>0</v>
      </c>
      <c r="E209" s="710">
        <f>-SUMIFS('D2 - Capex uso'!BV$6:BV$176,'D2 - Capex uso'!$C$6:$C$176,$A194,'D2 - Capex uso'!$AK$6:$AK$176,$A209)</f>
        <v>0</v>
      </c>
      <c r="F209" s="710">
        <f>-SUMIFS('D2 - Capex uso'!BW$6:BW$176,'D2 - Capex uso'!$C$6:$C$176,$A194,'D2 - Capex uso'!$AK$6:$AK$176,$A209)</f>
        <v>0</v>
      </c>
      <c r="G209" s="710">
        <f>-SUMIFS('D2 - Capex uso'!BX$6:BX$176,'D2 - Capex uso'!$C$6:$C$176,$A194,'D2 - Capex uso'!$AK$6:$AK$176,$A209)</f>
        <v>0</v>
      </c>
      <c r="H209" s="710">
        <f>-SUMIFS('D2 - Capex uso'!BY$6:BY$176,'D2 - Capex uso'!$C$6:$C$176,$A194,'D2 - Capex uso'!$AK$6:$AK$176,$A209)</f>
        <v>0</v>
      </c>
      <c r="I209" s="710">
        <f>-SUMIFS('D2 - Capex uso'!BZ$6:BZ$176,'D2 - Capex uso'!$C$6:$C$176,$A194,'D2 - Capex uso'!$AK$6:$AK$176,$A209)</f>
        <v>0</v>
      </c>
      <c r="J209" s="710">
        <f>-SUMIFS('D2 - Capex uso'!CA$6:CA$176,'D2 - Capex uso'!$C$6:$C$176,$A194,'D2 - Capex uso'!$AK$6:$AK$176,$A209)</f>
        <v>0</v>
      </c>
      <c r="K209" s="710">
        <f>-SUMIFS('D2 - Capex uso'!CB$6:CB$176,'D2 - Capex uso'!$C$6:$C$176,$A194,'D2 - Capex uso'!$AK$6:$AK$176,$A209)</f>
        <v>0</v>
      </c>
      <c r="L209" s="710">
        <f>-SUMIFS('D2 - Capex uso'!CC$6:CC$176,'D2 - Capex uso'!$C$6:$C$176,$A194,'D2 - Capex uso'!$AK$6:$AK$176,$A209)</f>
        <v>0</v>
      </c>
      <c r="M209" s="710">
        <f>-SUMIFS('D2 - Capex uso'!CD$6:CD$176,'D2 - Capex uso'!$C$6:$C$176,$A194,'D2 - Capex uso'!$AK$6:$AK$176,$A209)</f>
        <v>0</v>
      </c>
      <c r="N209" s="710">
        <f>-SUMIFS('D2 - Capex uso'!CE$6:CE$176,'D2 - Capex uso'!$C$6:$C$176,$A194,'D2 - Capex uso'!$AK$6:$AK$176,$A209)</f>
        <v>0</v>
      </c>
      <c r="O209" s="710">
        <f>-SUMIFS('D2 - Capex uso'!CF$6:CF$176,'D2 - Capex uso'!$C$6:$C$176,$A194,'D2 - Capex uso'!$AK$6:$AK$176,$A209)</f>
        <v>0</v>
      </c>
      <c r="P209" s="710">
        <f>-SUMIFS('D2 - Capex uso'!CG$6:CG$176,'D2 - Capex uso'!$C$6:$C$176,$A194,'D2 - Capex uso'!$AK$6:$AK$176,$A209)</f>
        <v>0</v>
      </c>
      <c r="Q209" s="710">
        <f>-SUMIFS('D2 - Capex uso'!CH$6:CH$176,'D2 - Capex uso'!$C$6:$C$176,$A194,'D2 - Capex uso'!$AK$6:$AK$176,$A209)</f>
        <v>0</v>
      </c>
      <c r="R209" s="710">
        <f>-SUMIFS('D2 - Capex uso'!CI$6:CI$176,'D2 - Capex uso'!$C$6:$C$176,$A194,'D2 - Capex uso'!$AK$6:$AK$176,$A209)</f>
        <v>0</v>
      </c>
      <c r="S209" s="710">
        <f>-SUMIFS('D2 - Capex uso'!CJ$6:CJ$176,'D2 - Capex uso'!$C$6:$C$176,$A194,'D2 - Capex uso'!$AK$6:$AK$176,$A209)</f>
        <v>0</v>
      </c>
      <c r="T209" s="710">
        <f>-SUMIFS('D2 - Capex uso'!CK$6:CK$176,'D2 - Capex uso'!$C$6:$C$176,$A194,'D2 - Capex uso'!$AK$6:$AK$176,$A209)</f>
        <v>0</v>
      </c>
      <c r="U209" s="710">
        <f>-SUMIFS('D2 - Capex uso'!CL$6:CL$176,'D2 - Capex uso'!$C$6:$C$176,$A194,'D2 - Capex uso'!$AK$6:$AK$176,$A209)</f>
        <v>0</v>
      </c>
      <c r="V209" s="710">
        <f>-SUMIFS('D2 - Capex uso'!CM$6:CM$176,'D2 - Capex uso'!$C$6:$C$176,$A194,'D2 - Capex uso'!$AK$6:$AK$176,$A209)</f>
        <v>0</v>
      </c>
      <c r="W209" s="710">
        <f>-SUMIFS('D2 - Capex uso'!CN$6:CN$176,'D2 - Capex uso'!$C$6:$C$176,$A194,'D2 - Capex uso'!$AK$6:$AK$176,$A209)</f>
        <v>0</v>
      </c>
      <c r="X209" s="710">
        <f>-SUMIFS('D2 - Capex uso'!CO$6:CO$176,'D2 - Capex uso'!$C$6:$C$176,$A194,'D2 - Capex uso'!$AK$6:$AK$176,$A209)</f>
        <v>0</v>
      </c>
      <c r="Y209" s="710">
        <f>-SUMIFS('D2 - Capex uso'!CP$6:CP$176,'D2 - Capex uso'!$C$6:$C$176,$A194,'D2 - Capex uso'!$AK$6:$AK$176,$A209)</f>
        <v>0</v>
      </c>
      <c r="Z209" s="710">
        <f>-SUMIFS('D2 - Capex uso'!CQ$6:CQ$176,'D2 - Capex uso'!$C$6:$C$176,$A194,'D2 - Capex uso'!$AK$6:$AK$176,$A209)</f>
        <v>0</v>
      </c>
      <c r="AA209" s="710">
        <f>-SUMIFS('D2 - Capex uso'!CR$6:CR$176,'D2 - Capex uso'!$C$6:$C$176,$A194,'D2 - Capex uso'!$AK$6:$AK$176,$A209)</f>
        <v>0</v>
      </c>
      <c r="AB209" s="710">
        <f>-SUMIFS('D2 - Capex uso'!CS$6:CS$176,'D2 - Capex uso'!$C$6:$C$176,$A194,'D2 - Capex uso'!$AK$6:$AK$176,$A209)</f>
        <v>0</v>
      </c>
      <c r="AC209" s="710">
        <f>-SUMIFS('D2 - Capex uso'!CT$6:CT$176,'D2 - Capex uso'!$C$6:$C$176,$A194,'D2 - Capex uso'!$AK$6:$AK$176,$A209)</f>
        <v>0</v>
      </c>
      <c r="AD209" s="710">
        <f>-SUMIFS('D2 - Capex uso'!CU$6:CU$176,'D2 - Capex uso'!$C$6:$C$176,$A194,'D2 - Capex uso'!$AK$6:$AK$176,$A209)</f>
        <v>0</v>
      </c>
      <c r="AE209" s="710">
        <f>-SUMIFS('D2 - Capex uso'!CV$6:CV$176,'D2 - Capex uso'!$C$6:$C$176,$A194,'D2 - Capex uso'!$AK$6:$AK$176,$A209)</f>
        <v>0</v>
      </c>
      <c r="AF209" s="594"/>
      <c r="AG209" s="594"/>
      <c r="AH209" s="594"/>
      <c r="AI209" s="594"/>
      <c r="AJ209" s="594"/>
      <c r="AK209" s="594"/>
      <c r="AL209" s="594"/>
      <c r="AM209" s="594"/>
      <c r="AN209" s="594"/>
      <c r="AO209" s="594"/>
      <c r="AP209" s="594"/>
      <c r="AQ209" s="594"/>
      <c r="AR209" s="594"/>
      <c r="AS209" s="594"/>
      <c r="AT209" s="594"/>
      <c r="AU209" s="594"/>
      <c r="AV209" s="594"/>
      <c r="AW209" s="594"/>
      <c r="AX209" s="594"/>
      <c r="AY209" s="594"/>
      <c r="AZ209" s="594"/>
      <c r="BA209" s="594"/>
      <c r="BB209" s="594"/>
      <c r="BC209" s="594"/>
      <c r="BD209" s="594"/>
      <c r="BE209" s="594"/>
      <c r="BF209" s="594"/>
      <c r="BG209" s="594"/>
      <c r="BH209" s="594"/>
      <c r="BI209" s="594"/>
      <c r="BJ209" s="594"/>
      <c r="BK209" s="594"/>
      <c r="BL209" s="57"/>
      <c r="BM209" s="594"/>
      <c r="BN209" s="594"/>
      <c r="BO209" s="594"/>
      <c r="BP209" s="594"/>
      <c r="BQ209" s="594"/>
      <c r="BR209" s="594"/>
      <c r="BS209" s="594"/>
      <c r="BT209" s="594"/>
      <c r="BU209" s="594"/>
      <c r="BV209" s="594"/>
      <c r="BW209" s="594"/>
      <c r="BX209" s="594"/>
      <c r="BY209" s="594"/>
      <c r="BZ209" s="594"/>
      <c r="CA209" s="594"/>
      <c r="CB209" s="594"/>
      <c r="CC209" s="594"/>
      <c r="CD209" s="594"/>
      <c r="CE209" s="594"/>
      <c r="CF209" s="594"/>
      <c r="CG209" s="594"/>
      <c r="CH209" s="594"/>
      <c r="CI209" s="594"/>
      <c r="CJ209" s="594"/>
      <c r="CK209" s="594"/>
      <c r="CL209" s="594"/>
      <c r="CM209" s="594"/>
      <c r="CN209" s="594"/>
      <c r="CO209" s="594"/>
      <c r="CP209" s="594"/>
      <c r="CQ209" s="594"/>
    </row>
    <row r="210" spans="1:95" ht="19.5" hidden="1" customHeight="1" outlineLevel="2">
      <c r="A210" s="709" t="s">
        <v>361</v>
      </c>
      <c r="B210" s="710">
        <f>-SUMIFS('D2 - Capex uso'!BS$6:BS$176,'D2 - Capex uso'!$C$6:$C$176,$A194,'D2 - Capex uso'!$AK$6:$AK$176,$A210)</f>
        <v>0</v>
      </c>
      <c r="C210" s="710">
        <f>-SUMIFS('D2 - Capex uso'!BT$6:BT$176,'D2 - Capex uso'!$C$6:$C$176,$A194,'D2 - Capex uso'!$AK$6:$AK$176,$A210)</f>
        <v>0</v>
      </c>
      <c r="D210" s="710">
        <f>-SUMIFS('D2 - Capex uso'!BU$6:BU$176,'D2 - Capex uso'!$C$6:$C$176,$A194,'D2 - Capex uso'!$AK$6:$AK$176,$A210)</f>
        <v>0</v>
      </c>
      <c r="E210" s="710">
        <f>-SUMIFS('D2 - Capex uso'!BV$6:BV$176,'D2 - Capex uso'!$C$6:$C$176,$A194,'D2 - Capex uso'!$AK$6:$AK$176,$A210)</f>
        <v>0</v>
      </c>
      <c r="F210" s="710">
        <f>-SUMIFS('D2 - Capex uso'!BW$6:BW$176,'D2 - Capex uso'!$C$6:$C$176,$A194,'D2 - Capex uso'!$AK$6:$AK$176,$A210)</f>
        <v>0</v>
      </c>
      <c r="G210" s="710">
        <f>-SUMIFS('D2 - Capex uso'!BX$6:BX$176,'D2 - Capex uso'!$C$6:$C$176,$A194,'D2 - Capex uso'!$AK$6:$AK$176,$A210)</f>
        <v>0</v>
      </c>
      <c r="H210" s="710">
        <f>-SUMIFS('D2 - Capex uso'!BY$6:BY$176,'D2 - Capex uso'!$C$6:$C$176,$A194,'D2 - Capex uso'!$AK$6:$AK$176,$A210)</f>
        <v>0</v>
      </c>
      <c r="I210" s="710">
        <f>-SUMIFS('D2 - Capex uso'!BZ$6:BZ$176,'D2 - Capex uso'!$C$6:$C$176,$A194,'D2 - Capex uso'!$AK$6:$AK$176,$A210)</f>
        <v>0</v>
      </c>
      <c r="J210" s="710">
        <f>-SUMIFS('D2 - Capex uso'!CA$6:CA$176,'D2 - Capex uso'!$C$6:$C$176,$A194,'D2 - Capex uso'!$AK$6:$AK$176,$A210)</f>
        <v>0</v>
      </c>
      <c r="K210" s="710">
        <f>-SUMIFS('D2 - Capex uso'!CB$6:CB$176,'D2 - Capex uso'!$C$6:$C$176,$A194,'D2 - Capex uso'!$AK$6:$AK$176,$A210)</f>
        <v>0</v>
      </c>
      <c r="L210" s="710">
        <f>-SUMIFS('D2 - Capex uso'!CC$6:CC$176,'D2 - Capex uso'!$C$6:$C$176,$A194,'D2 - Capex uso'!$AK$6:$AK$176,$A210)</f>
        <v>0</v>
      </c>
      <c r="M210" s="710">
        <f>-SUMIFS('D2 - Capex uso'!CD$6:CD$176,'D2 - Capex uso'!$C$6:$C$176,$A194,'D2 - Capex uso'!$AK$6:$AK$176,$A210)</f>
        <v>0</v>
      </c>
      <c r="N210" s="710">
        <f>-SUMIFS('D2 - Capex uso'!CE$6:CE$176,'D2 - Capex uso'!$C$6:$C$176,$A194,'D2 - Capex uso'!$AK$6:$AK$176,$A210)</f>
        <v>0</v>
      </c>
      <c r="O210" s="710">
        <f>-SUMIFS('D2 - Capex uso'!CF$6:CF$176,'D2 - Capex uso'!$C$6:$C$176,$A194,'D2 - Capex uso'!$AK$6:$AK$176,$A210)</f>
        <v>0</v>
      </c>
      <c r="P210" s="710">
        <f>-SUMIFS('D2 - Capex uso'!CG$6:CG$176,'D2 - Capex uso'!$C$6:$C$176,$A194,'D2 - Capex uso'!$AK$6:$AK$176,$A210)</f>
        <v>0</v>
      </c>
      <c r="Q210" s="710">
        <f>-SUMIFS('D2 - Capex uso'!CH$6:CH$176,'D2 - Capex uso'!$C$6:$C$176,$A194,'D2 - Capex uso'!$AK$6:$AK$176,$A210)</f>
        <v>0</v>
      </c>
      <c r="R210" s="710">
        <f>-SUMIFS('D2 - Capex uso'!CI$6:CI$176,'D2 - Capex uso'!$C$6:$C$176,$A194,'D2 - Capex uso'!$AK$6:$AK$176,$A210)</f>
        <v>0</v>
      </c>
      <c r="S210" s="710">
        <f>-SUMIFS('D2 - Capex uso'!CJ$6:CJ$176,'D2 - Capex uso'!$C$6:$C$176,$A194,'D2 - Capex uso'!$AK$6:$AK$176,$A210)</f>
        <v>0</v>
      </c>
      <c r="T210" s="710">
        <f>-SUMIFS('D2 - Capex uso'!CK$6:CK$176,'D2 - Capex uso'!$C$6:$C$176,$A194,'D2 - Capex uso'!$AK$6:$AK$176,$A210)</f>
        <v>0</v>
      </c>
      <c r="U210" s="710">
        <f>-SUMIFS('D2 - Capex uso'!CL$6:CL$176,'D2 - Capex uso'!$C$6:$C$176,$A194,'D2 - Capex uso'!$AK$6:$AK$176,$A210)</f>
        <v>0</v>
      </c>
      <c r="V210" s="710">
        <f>-SUMIFS('D2 - Capex uso'!CM$6:CM$176,'D2 - Capex uso'!$C$6:$C$176,$A194,'D2 - Capex uso'!$AK$6:$AK$176,$A210)</f>
        <v>0</v>
      </c>
      <c r="W210" s="710">
        <f>-SUMIFS('D2 - Capex uso'!CN$6:CN$176,'D2 - Capex uso'!$C$6:$C$176,$A194,'D2 - Capex uso'!$AK$6:$AK$176,$A210)</f>
        <v>0</v>
      </c>
      <c r="X210" s="710">
        <f>-SUMIFS('D2 - Capex uso'!CO$6:CO$176,'D2 - Capex uso'!$C$6:$C$176,$A194,'D2 - Capex uso'!$AK$6:$AK$176,$A210)</f>
        <v>0</v>
      </c>
      <c r="Y210" s="710">
        <f>-SUMIFS('D2 - Capex uso'!CP$6:CP$176,'D2 - Capex uso'!$C$6:$C$176,$A194,'D2 - Capex uso'!$AK$6:$AK$176,$A210)</f>
        <v>0</v>
      </c>
      <c r="Z210" s="710">
        <f>-SUMIFS('D2 - Capex uso'!CQ$6:CQ$176,'D2 - Capex uso'!$C$6:$C$176,$A194,'D2 - Capex uso'!$AK$6:$AK$176,$A210)</f>
        <v>0</v>
      </c>
      <c r="AA210" s="710">
        <f>-SUMIFS('D2 - Capex uso'!CR$6:CR$176,'D2 - Capex uso'!$C$6:$C$176,$A194,'D2 - Capex uso'!$AK$6:$AK$176,$A210)</f>
        <v>0</v>
      </c>
      <c r="AB210" s="710">
        <f>-SUMIFS('D2 - Capex uso'!CS$6:CS$176,'D2 - Capex uso'!$C$6:$C$176,$A194,'D2 - Capex uso'!$AK$6:$AK$176,$A210)</f>
        <v>0</v>
      </c>
      <c r="AC210" s="710">
        <f>-SUMIFS('D2 - Capex uso'!CT$6:CT$176,'D2 - Capex uso'!$C$6:$C$176,$A194,'D2 - Capex uso'!$AK$6:$AK$176,$A210)</f>
        <v>0</v>
      </c>
      <c r="AD210" s="710">
        <f>-SUMIFS('D2 - Capex uso'!CU$6:CU$176,'D2 - Capex uso'!$C$6:$C$176,$A194,'D2 - Capex uso'!$AK$6:$AK$176,$A210)</f>
        <v>0</v>
      </c>
      <c r="AE210" s="710">
        <f>-SUMIFS('D2 - Capex uso'!CV$6:CV$176,'D2 - Capex uso'!$C$6:$C$176,$A194,'D2 - Capex uso'!$AK$6:$AK$176,$A210)</f>
        <v>0</v>
      </c>
      <c r="AF210" s="594"/>
      <c r="AG210" s="594"/>
      <c r="AH210" s="594"/>
      <c r="AI210" s="594"/>
      <c r="AJ210" s="594"/>
      <c r="AK210" s="594"/>
      <c r="AL210" s="594"/>
      <c r="AM210" s="594"/>
      <c r="AN210" s="594"/>
      <c r="AO210" s="594"/>
      <c r="AP210" s="594"/>
      <c r="AQ210" s="594"/>
      <c r="AR210" s="594"/>
      <c r="AS210" s="594"/>
      <c r="AT210" s="594"/>
      <c r="AU210" s="594"/>
      <c r="AV210" s="594"/>
      <c r="AW210" s="594"/>
      <c r="AX210" s="594"/>
      <c r="AY210" s="594"/>
      <c r="AZ210" s="594"/>
      <c r="BA210" s="594"/>
      <c r="BB210" s="594"/>
      <c r="BC210" s="594"/>
      <c r="BD210" s="594"/>
      <c r="BE210" s="594"/>
      <c r="BF210" s="594"/>
      <c r="BG210" s="594"/>
      <c r="BH210" s="594"/>
      <c r="BI210" s="594"/>
      <c r="BJ210" s="594"/>
      <c r="BK210" s="594"/>
      <c r="BL210" s="57"/>
      <c r="BM210" s="594"/>
      <c r="BN210" s="594"/>
      <c r="BO210" s="594"/>
      <c r="BP210" s="594"/>
      <c r="BQ210" s="594"/>
      <c r="BR210" s="594"/>
      <c r="BS210" s="594"/>
      <c r="BT210" s="594"/>
      <c r="BU210" s="594"/>
      <c r="BV210" s="594"/>
      <c r="BW210" s="594"/>
      <c r="BX210" s="594"/>
      <c r="BY210" s="594"/>
      <c r="BZ210" s="594"/>
      <c r="CA210" s="594"/>
      <c r="CB210" s="594"/>
      <c r="CC210" s="594"/>
      <c r="CD210" s="594"/>
      <c r="CE210" s="594"/>
      <c r="CF210" s="594"/>
      <c r="CG210" s="594"/>
      <c r="CH210" s="594"/>
      <c r="CI210" s="594"/>
      <c r="CJ210" s="594"/>
      <c r="CK210" s="594"/>
      <c r="CL210" s="594"/>
      <c r="CM210" s="594"/>
      <c r="CN210" s="594"/>
      <c r="CO210" s="594"/>
      <c r="CP210" s="594"/>
      <c r="CQ210" s="594"/>
    </row>
    <row r="211" spans="1:95" ht="19.5" hidden="1" customHeight="1" outlineLevel="2">
      <c r="A211" s="709" t="s">
        <v>359</v>
      </c>
      <c r="B211" s="710">
        <f>-SUMIFS('D2 - Capex uso'!BS$6:BS$176,'D2 - Capex uso'!$C$6:$C$176,$A194,'D2 - Capex uso'!$AK$6:$AK$176,$A211)</f>
        <v>0</v>
      </c>
      <c r="C211" s="710">
        <f>-SUMIFS('D2 - Capex uso'!BT$6:BT$176,'D2 - Capex uso'!$C$6:$C$176,$A194,'D2 - Capex uso'!$AK$6:$AK$176,$A211)</f>
        <v>0</v>
      </c>
      <c r="D211" s="710">
        <f>-SUMIFS('D2 - Capex uso'!BU$6:BU$176,'D2 - Capex uso'!$C$6:$C$176,$A194,'D2 - Capex uso'!$AK$6:$AK$176,$A211)</f>
        <v>0</v>
      </c>
      <c r="E211" s="710">
        <f>-SUMIFS('D2 - Capex uso'!BV$6:BV$176,'D2 - Capex uso'!$C$6:$C$176,$A194,'D2 - Capex uso'!$AK$6:$AK$176,$A211)</f>
        <v>0</v>
      </c>
      <c r="F211" s="710">
        <f>-SUMIFS('D2 - Capex uso'!BW$6:BW$176,'D2 - Capex uso'!$C$6:$C$176,$A194,'D2 - Capex uso'!$AK$6:$AK$176,$A211)</f>
        <v>0</v>
      </c>
      <c r="G211" s="710">
        <f>-SUMIFS('D2 - Capex uso'!BX$6:BX$176,'D2 - Capex uso'!$C$6:$C$176,$A194,'D2 - Capex uso'!$AK$6:$AK$176,$A211)</f>
        <v>0</v>
      </c>
      <c r="H211" s="710">
        <f>-SUMIFS('D2 - Capex uso'!BY$6:BY$176,'D2 - Capex uso'!$C$6:$C$176,$A194,'D2 - Capex uso'!$AK$6:$AK$176,$A211)</f>
        <v>0</v>
      </c>
      <c r="I211" s="710">
        <f>-SUMIFS('D2 - Capex uso'!BZ$6:BZ$176,'D2 - Capex uso'!$C$6:$C$176,$A194,'D2 - Capex uso'!$AK$6:$AK$176,$A211)</f>
        <v>0</v>
      </c>
      <c r="J211" s="710">
        <f>-SUMIFS('D2 - Capex uso'!CA$6:CA$176,'D2 - Capex uso'!$C$6:$C$176,$A194,'D2 - Capex uso'!$AK$6:$AK$176,$A211)</f>
        <v>0</v>
      </c>
      <c r="K211" s="710">
        <f>-SUMIFS('D2 - Capex uso'!CB$6:CB$176,'D2 - Capex uso'!$C$6:$C$176,$A194,'D2 - Capex uso'!$AK$6:$AK$176,$A211)</f>
        <v>0</v>
      </c>
      <c r="L211" s="710">
        <f>-SUMIFS('D2 - Capex uso'!CC$6:CC$176,'D2 - Capex uso'!$C$6:$C$176,$A194,'D2 - Capex uso'!$AK$6:$AK$176,$A211)</f>
        <v>0</v>
      </c>
      <c r="M211" s="710">
        <f>-SUMIFS('D2 - Capex uso'!CD$6:CD$176,'D2 - Capex uso'!$C$6:$C$176,$A194,'D2 - Capex uso'!$AK$6:$AK$176,$A211)</f>
        <v>0</v>
      </c>
      <c r="N211" s="710">
        <f>-SUMIFS('D2 - Capex uso'!CE$6:CE$176,'D2 - Capex uso'!$C$6:$C$176,$A194,'D2 - Capex uso'!$AK$6:$AK$176,$A211)</f>
        <v>0</v>
      </c>
      <c r="O211" s="710">
        <f>-SUMIFS('D2 - Capex uso'!CF$6:CF$176,'D2 - Capex uso'!$C$6:$C$176,$A194,'D2 - Capex uso'!$AK$6:$AK$176,$A211)</f>
        <v>0</v>
      </c>
      <c r="P211" s="710">
        <f>-SUMIFS('D2 - Capex uso'!CG$6:CG$176,'D2 - Capex uso'!$C$6:$C$176,$A194,'D2 - Capex uso'!$AK$6:$AK$176,$A211)</f>
        <v>0</v>
      </c>
      <c r="Q211" s="710">
        <f>-SUMIFS('D2 - Capex uso'!CH$6:CH$176,'D2 - Capex uso'!$C$6:$C$176,$A194,'D2 - Capex uso'!$AK$6:$AK$176,$A211)</f>
        <v>0</v>
      </c>
      <c r="R211" s="710">
        <f>-SUMIFS('D2 - Capex uso'!CI$6:CI$176,'D2 - Capex uso'!$C$6:$C$176,$A194,'D2 - Capex uso'!$AK$6:$AK$176,$A211)</f>
        <v>0</v>
      </c>
      <c r="S211" s="710">
        <f>-SUMIFS('D2 - Capex uso'!CJ$6:CJ$176,'D2 - Capex uso'!$C$6:$C$176,$A194,'D2 - Capex uso'!$AK$6:$AK$176,$A211)</f>
        <v>0</v>
      </c>
      <c r="T211" s="710">
        <f>-SUMIFS('D2 - Capex uso'!CK$6:CK$176,'D2 - Capex uso'!$C$6:$C$176,$A194,'D2 - Capex uso'!$AK$6:$AK$176,$A211)</f>
        <v>0</v>
      </c>
      <c r="U211" s="710">
        <f>-SUMIFS('D2 - Capex uso'!CL$6:CL$176,'D2 - Capex uso'!$C$6:$C$176,$A194,'D2 - Capex uso'!$AK$6:$AK$176,$A211)</f>
        <v>0</v>
      </c>
      <c r="V211" s="710">
        <f>-SUMIFS('D2 - Capex uso'!CM$6:CM$176,'D2 - Capex uso'!$C$6:$C$176,$A194,'D2 - Capex uso'!$AK$6:$AK$176,$A211)</f>
        <v>0</v>
      </c>
      <c r="W211" s="710">
        <f>-SUMIFS('D2 - Capex uso'!CN$6:CN$176,'D2 - Capex uso'!$C$6:$C$176,$A194,'D2 - Capex uso'!$AK$6:$AK$176,$A211)</f>
        <v>0</v>
      </c>
      <c r="X211" s="710">
        <f>-SUMIFS('D2 - Capex uso'!CO$6:CO$176,'D2 - Capex uso'!$C$6:$C$176,$A194,'D2 - Capex uso'!$AK$6:$AK$176,$A211)</f>
        <v>0</v>
      </c>
      <c r="Y211" s="710">
        <f>-SUMIFS('D2 - Capex uso'!CP$6:CP$176,'D2 - Capex uso'!$C$6:$C$176,$A194,'D2 - Capex uso'!$AK$6:$AK$176,$A211)</f>
        <v>0</v>
      </c>
      <c r="Z211" s="710">
        <f>-SUMIFS('D2 - Capex uso'!CQ$6:CQ$176,'D2 - Capex uso'!$C$6:$C$176,$A194,'D2 - Capex uso'!$AK$6:$AK$176,$A211)</f>
        <v>0</v>
      </c>
      <c r="AA211" s="710">
        <f>-SUMIFS('D2 - Capex uso'!CR$6:CR$176,'D2 - Capex uso'!$C$6:$C$176,$A194,'D2 - Capex uso'!$AK$6:$AK$176,$A211)</f>
        <v>0</v>
      </c>
      <c r="AB211" s="710">
        <f>-SUMIFS('D2 - Capex uso'!CS$6:CS$176,'D2 - Capex uso'!$C$6:$C$176,$A194,'D2 - Capex uso'!$AK$6:$AK$176,$A211)</f>
        <v>0</v>
      </c>
      <c r="AC211" s="710">
        <f>-SUMIFS('D2 - Capex uso'!CT$6:CT$176,'D2 - Capex uso'!$C$6:$C$176,$A194,'D2 - Capex uso'!$AK$6:$AK$176,$A211)</f>
        <v>0</v>
      </c>
      <c r="AD211" s="710">
        <f>-SUMIFS('D2 - Capex uso'!CU$6:CU$176,'D2 - Capex uso'!$C$6:$C$176,$A194,'D2 - Capex uso'!$AK$6:$AK$176,$A211)</f>
        <v>0</v>
      </c>
      <c r="AE211" s="710">
        <f>-SUMIFS('D2 - Capex uso'!CV$6:CV$176,'D2 - Capex uso'!$C$6:$C$176,$A194,'D2 - Capex uso'!$AK$6:$AK$176,$A211)</f>
        <v>0</v>
      </c>
      <c r="AF211" s="594"/>
      <c r="AG211" s="594"/>
      <c r="AH211" s="594"/>
      <c r="AI211" s="594"/>
      <c r="AJ211" s="594"/>
      <c r="AK211" s="594"/>
      <c r="AL211" s="594"/>
      <c r="AM211" s="594"/>
      <c r="AN211" s="594"/>
      <c r="AO211" s="594"/>
      <c r="AP211" s="594"/>
      <c r="AQ211" s="594"/>
      <c r="AR211" s="594"/>
      <c r="AS211" s="594"/>
      <c r="AT211" s="594"/>
      <c r="AU211" s="594"/>
      <c r="AV211" s="594"/>
      <c r="AW211" s="594"/>
      <c r="AX211" s="594"/>
      <c r="AY211" s="594"/>
      <c r="AZ211" s="594"/>
      <c r="BA211" s="594"/>
      <c r="BB211" s="594"/>
      <c r="BC211" s="594"/>
      <c r="BD211" s="594"/>
      <c r="BE211" s="594"/>
      <c r="BF211" s="594"/>
      <c r="BG211" s="594"/>
      <c r="BH211" s="594"/>
      <c r="BI211" s="594"/>
      <c r="BJ211" s="594"/>
      <c r="BK211" s="594"/>
      <c r="BL211" s="57"/>
      <c r="BM211" s="594"/>
      <c r="BN211" s="594"/>
      <c r="BO211" s="594"/>
      <c r="BP211" s="594"/>
      <c r="BQ211" s="594"/>
      <c r="BR211" s="594"/>
      <c r="BS211" s="594"/>
      <c r="BT211" s="594"/>
      <c r="BU211" s="594"/>
      <c r="BV211" s="594"/>
      <c r="BW211" s="594"/>
      <c r="BX211" s="594"/>
      <c r="BY211" s="594"/>
      <c r="BZ211" s="594"/>
      <c r="CA211" s="594"/>
      <c r="CB211" s="594"/>
      <c r="CC211" s="594"/>
      <c r="CD211" s="594"/>
      <c r="CE211" s="594"/>
      <c r="CF211" s="594"/>
      <c r="CG211" s="594"/>
      <c r="CH211" s="594"/>
      <c r="CI211" s="594"/>
      <c r="CJ211" s="594"/>
      <c r="CK211" s="594"/>
      <c r="CL211" s="594"/>
      <c r="CM211" s="594"/>
      <c r="CN211" s="594"/>
      <c r="CO211" s="594"/>
      <c r="CP211" s="594"/>
      <c r="CQ211" s="594"/>
    </row>
    <row r="212" spans="1:95" ht="19.5" hidden="1" customHeight="1" outlineLevel="2">
      <c r="A212" s="709" t="s">
        <v>171</v>
      </c>
      <c r="B212" s="710">
        <f>-SUMIFS('D2 - Capex uso'!BS$6:BS$176,'D2 - Capex uso'!$C$6:$C$176,$A194,'D2 - Capex uso'!$AK$6:$AK$176,$A212)</f>
        <v>0</v>
      </c>
      <c r="C212" s="710">
        <f>-SUMIFS('D2 - Capex uso'!BT$6:BT$176,'D2 - Capex uso'!$C$6:$C$176,$A194,'D2 - Capex uso'!$AK$6:$AK$176,$A212)</f>
        <v>0</v>
      </c>
      <c r="D212" s="710">
        <f>-SUMIFS('D2 - Capex uso'!BU$6:BU$176,'D2 - Capex uso'!$C$6:$C$176,$A194,'D2 - Capex uso'!$AK$6:$AK$176,$A212)</f>
        <v>0</v>
      </c>
      <c r="E212" s="710">
        <f>-SUMIFS('D2 - Capex uso'!BV$6:BV$176,'D2 - Capex uso'!$C$6:$C$176,$A194,'D2 - Capex uso'!$AK$6:$AK$176,$A212)</f>
        <v>0</v>
      </c>
      <c r="F212" s="710">
        <f>-SUMIFS('D2 - Capex uso'!BW$6:BW$176,'D2 - Capex uso'!$C$6:$C$176,$A194,'D2 - Capex uso'!$AK$6:$AK$176,$A212)</f>
        <v>0</v>
      </c>
      <c r="G212" s="710">
        <f>-SUMIFS('D2 - Capex uso'!BX$6:BX$176,'D2 - Capex uso'!$C$6:$C$176,$A194,'D2 - Capex uso'!$AK$6:$AK$176,$A212)</f>
        <v>0</v>
      </c>
      <c r="H212" s="710">
        <f>-SUMIFS('D2 - Capex uso'!BY$6:BY$176,'D2 - Capex uso'!$C$6:$C$176,$A194,'D2 - Capex uso'!$AK$6:$AK$176,$A212)</f>
        <v>0</v>
      </c>
      <c r="I212" s="710">
        <f>-SUMIFS('D2 - Capex uso'!BZ$6:BZ$176,'D2 - Capex uso'!$C$6:$C$176,$A194,'D2 - Capex uso'!$AK$6:$AK$176,$A212)</f>
        <v>0</v>
      </c>
      <c r="J212" s="710">
        <f>-SUMIFS('D2 - Capex uso'!CA$6:CA$176,'D2 - Capex uso'!$C$6:$C$176,$A194,'D2 - Capex uso'!$AK$6:$AK$176,$A212)</f>
        <v>0</v>
      </c>
      <c r="K212" s="710">
        <f>-SUMIFS('D2 - Capex uso'!CB$6:CB$176,'D2 - Capex uso'!$C$6:$C$176,$A194,'D2 - Capex uso'!$AK$6:$AK$176,$A212)</f>
        <v>0</v>
      </c>
      <c r="L212" s="710">
        <f>-SUMIFS('D2 - Capex uso'!CC$6:CC$176,'D2 - Capex uso'!$C$6:$C$176,$A194,'D2 - Capex uso'!$AK$6:$AK$176,$A212)</f>
        <v>0</v>
      </c>
      <c r="M212" s="710">
        <f>-SUMIFS('D2 - Capex uso'!CD$6:CD$176,'D2 - Capex uso'!$C$6:$C$176,$A194,'D2 - Capex uso'!$AK$6:$AK$176,$A212)</f>
        <v>0</v>
      </c>
      <c r="N212" s="710">
        <f>-SUMIFS('D2 - Capex uso'!CE$6:CE$176,'D2 - Capex uso'!$C$6:$C$176,$A194,'D2 - Capex uso'!$AK$6:$AK$176,$A212)</f>
        <v>0</v>
      </c>
      <c r="O212" s="710">
        <f>-SUMIFS('D2 - Capex uso'!CF$6:CF$176,'D2 - Capex uso'!$C$6:$C$176,$A194,'D2 - Capex uso'!$AK$6:$AK$176,$A212)</f>
        <v>0</v>
      </c>
      <c r="P212" s="710">
        <f>-SUMIFS('D2 - Capex uso'!CG$6:CG$176,'D2 - Capex uso'!$C$6:$C$176,$A194,'D2 - Capex uso'!$AK$6:$AK$176,$A212)</f>
        <v>0</v>
      </c>
      <c r="Q212" s="710">
        <f>-SUMIFS('D2 - Capex uso'!CH$6:CH$176,'D2 - Capex uso'!$C$6:$C$176,$A194,'D2 - Capex uso'!$AK$6:$AK$176,$A212)</f>
        <v>0</v>
      </c>
      <c r="R212" s="710">
        <f>-SUMIFS('D2 - Capex uso'!CI$6:CI$176,'D2 - Capex uso'!$C$6:$C$176,$A194,'D2 - Capex uso'!$AK$6:$AK$176,$A212)</f>
        <v>0</v>
      </c>
      <c r="S212" s="710">
        <f>-SUMIFS('D2 - Capex uso'!CJ$6:CJ$176,'D2 - Capex uso'!$C$6:$C$176,$A194,'D2 - Capex uso'!$AK$6:$AK$176,$A212)</f>
        <v>0</v>
      </c>
      <c r="T212" s="710">
        <f>-SUMIFS('D2 - Capex uso'!CK$6:CK$176,'D2 - Capex uso'!$C$6:$C$176,$A194,'D2 - Capex uso'!$AK$6:$AK$176,$A212)</f>
        <v>0</v>
      </c>
      <c r="U212" s="710">
        <f>-SUMIFS('D2 - Capex uso'!CL$6:CL$176,'D2 - Capex uso'!$C$6:$C$176,$A194,'D2 - Capex uso'!$AK$6:$AK$176,$A212)</f>
        <v>0</v>
      </c>
      <c r="V212" s="710">
        <f>-SUMIFS('D2 - Capex uso'!CM$6:CM$176,'D2 - Capex uso'!$C$6:$C$176,$A194,'D2 - Capex uso'!$AK$6:$AK$176,$A212)</f>
        <v>0</v>
      </c>
      <c r="W212" s="710">
        <f>-SUMIFS('D2 - Capex uso'!CN$6:CN$176,'D2 - Capex uso'!$C$6:$C$176,$A194,'D2 - Capex uso'!$AK$6:$AK$176,$A212)</f>
        <v>0</v>
      </c>
      <c r="X212" s="710">
        <f>-SUMIFS('D2 - Capex uso'!CO$6:CO$176,'D2 - Capex uso'!$C$6:$C$176,$A194,'D2 - Capex uso'!$AK$6:$AK$176,$A212)</f>
        <v>0</v>
      </c>
      <c r="Y212" s="710">
        <f>-SUMIFS('D2 - Capex uso'!CP$6:CP$176,'D2 - Capex uso'!$C$6:$C$176,$A194,'D2 - Capex uso'!$AK$6:$AK$176,$A212)</f>
        <v>0</v>
      </c>
      <c r="Z212" s="710">
        <f>-SUMIFS('D2 - Capex uso'!CQ$6:CQ$176,'D2 - Capex uso'!$C$6:$C$176,$A194,'D2 - Capex uso'!$AK$6:$AK$176,$A212)</f>
        <v>0</v>
      </c>
      <c r="AA212" s="710">
        <f>-SUMIFS('D2 - Capex uso'!CR$6:CR$176,'D2 - Capex uso'!$C$6:$C$176,$A194,'D2 - Capex uso'!$AK$6:$AK$176,$A212)</f>
        <v>0</v>
      </c>
      <c r="AB212" s="710">
        <f>-SUMIFS('D2 - Capex uso'!CS$6:CS$176,'D2 - Capex uso'!$C$6:$C$176,$A194,'D2 - Capex uso'!$AK$6:$AK$176,$A212)</f>
        <v>0</v>
      </c>
      <c r="AC212" s="710">
        <f>-SUMIFS('D2 - Capex uso'!CT$6:CT$176,'D2 - Capex uso'!$C$6:$C$176,$A194,'D2 - Capex uso'!$AK$6:$AK$176,$A212)</f>
        <v>0</v>
      </c>
      <c r="AD212" s="710">
        <f>-SUMIFS('D2 - Capex uso'!CU$6:CU$176,'D2 - Capex uso'!$C$6:$C$176,$A194,'D2 - Capex uso'!$AK$6:$AK$176,$A212)</f>
        <v>0</v>
      </c>
      <c r="AE212" s="710">
        <f>-SUMIFS('D2 - Capex uso'!CV$6:CV$176,'D2 - Capex uso'!$C$6:$C$176,$A194,'D2 - Capex uso'!$AK$6:$AK$176,$A212)</f>
        <v>0</v>
      </c>
      <c r="AF212" s="594"/>
      <c r="AG212" s="594"/>
      <c r="AH212" s="594"/>
      <c r="AI212" s="594"/>
      <c r="AJ212" s="594"/>
      <c r="AK212" s="594"/>
      <c r="AL212" s="594"/>
      <c r="AM212" s="594"/>
      <c r="AN212" s="594"/>
      <c r="AO212" s="594"/>
      <c r="AP212" s="594"/>
      <c r="AQ212" s="594"/>
      <c r="AR212" s="594"/>
      <c r="AS212" s="594"/>
      <c r="AT212" s="594"/>
      <c r="AU212" s="594"/>
      <c r="AV212" s="594"/>
      <c r="AW212" s="594"/>
      <c r="AX212" s="594"/>
      <c r="AY212" s="594"/>
      <c r="AZ212" s="594"/>
      <c r="BA212" s="594"/>
      <c r="BB212" s="594"/>
      <c r="BC212" s="594"/>
      <c r="BD212" s="594"/>
      <c r="BE212" s="594"/>
      <c r="BF212" s="594"/>
      <c r="BG212" s="594"/>
      <c r="BH212" s="594"/>
      <c r="BI212" s="594"/>
      <c r="BJ212" s="594"/>
      <c r="BK212" s="594"/>
      <c r="BL212" s="57"/>
      <c r="BM212" s="594"/>
      <c r="BN212" s="594"/>
      <c r="BO212" s="594"/>
      <c r="BP212" s="594"/>
      <c r="BQ212" s="594"/>
      <c r="BR212" s="594"/>
      <c r="BS212" s="594"/>
      <c r="BT212" s="594"/>
      <c r="BU212" s="594"/>
      <c r="BV212" s="594"/>
      <c r="BW212" s="594"/>
      <c r="BX212" s="594"/>
      <c r="BY212" s="594"/>
      <c r="BZ212" s="594"/>
      <c r="CA212" s="594"/>
      <c r="CB212" s="594"/>
      <c r="CC212" s="594"/>
      <c r="CD212" s="594"/>
      <c r="CE212" s="594"/>
      <c r="CF212" s="594"/>
      <c r="CG212" s="594"/>
      <c r="CH212" s="594"/>
      <c r="CI212" s="594"/>
      <c r="CJ212" s="594"/>
      <c r="CK212" s="594"/>
      <c r="CL212" s="594"/>
      <c r="CM212" s="594"/>
      <c r="CN212" s="594"/>
      <c r="CO212" s="594"/>
      <c r="CP212" s="594"/>
      <c r="CQ212" s="594"/>
    </row>
    <row r="213" spans="1:95" ht="27" customHeight="1" collapsed="1">
      <c r="A213" s="703" t="str">
        <f>IF(ISBLANK('A1 - Serviços e demanda'!A31),,'A1 - Serviços e demanda'!A31)</f>
        <v>Serrote - Alimentação</v>
      </c>
      <c r="B213" s="704">
        <f t="shared" ref="B213:AE213" si="66">IF($A213=0,0,SUM(B222:B223))</f>
        <v>-366664.40780000004</v>
      </c>
      <c r="C213" s="704">
        <f t="shared" si="66"/>
        <v>694340.71087551955</v>
      </c>
      <c r="D213" s="704">
        <f t="shared" si="66"/>
        <v>734241.44872991391</v>
      </c>
      <c r="E213" s="704">
        <f t="shared" si="66"/>
        <v>772873.6046557019</v>
      </c>
      <c r="F213" s="704">
        <f t="shared" si="66"/>
        <v>812133.91059731436</v>
      </c>
      <c r="G213" s="704">
        <f t="shared" si="66"/>
        <v>852075.58833384677</v>
      </c>
      <c r="H213" s="704">
        <f t="shared" si="66"/>
        <v>893151.83419919666</v>
      </c>
      <c r="I213" s="704">
        <f t="shared" si="66"/>
        <v>935418.57867347472</v>
      </c>
      <c r="J213" s="704">
        <f t="shared" si="66"/>
        <v>978459.80304344022</v>
      </c>
      <c r="K213" s="704">
        <f t="shared" si="66"/>
        <v>1022290.9392324241</v>
      </c>
      <c r="L213" s="704">
        <f t="shared" si="66"/>
        <v>829334.81527167885</v>
      </c>
      <c r="M213" s="704">
        <f t="shared" si="66"/>
        <v>1114079.2762877124</v>
      </c>
      <c r="N213" s="704">
        <f t="shared" si="66"/>
        <v>1162132.1959735022</v>
      </c>
      <c r="O213" s="704">
        <f t="shared" si="66"/>
        <v>1211627.756474036</v>
      </c>
      <c r="P213" s="704">
        <f t="shared" si="66"/>
        <v>1262620.174632692</v>
      </c>
      <c r="Q213" s="704">
        <f t="shared" si="66"/>
        <v>1315015.9352048421</v>
      </c>
      <c r="R213" s="704">
        <f t="shared" si="66"/>
        <v>1368734.6684942455</v>
      </c>
      <c r="S213" s="704">
        <f t="shared" si="66"/>
        <v>1423601.7071856316</v>
      </c>
      <c r="T213" s="704">
        <f t="shared" si="66"/>
        <v>1479484.4070176452</v>
      </c>
      <c r="U213" s="704">
        <f t="shared" si="66"/>
        <v>1536102.6468704799</v>
      </c>
      <c r="V213" s="704">
        <f t="shared" si="66"/>
        <v>1297927.1708704799</v>
      </c>
      <c r="W213" s="704">
        <f t="shared" si="66"/>
        <v>1536102.6468704799</v>
      </c>
      <c r="X213" s="704">
        <f t="shared" si="66"/>
        <v>1536102.6468704799</v>
      </c>
      <c r="Y213" s="704">
        <f t="shared" si="66"/>
        <v>1536102.6468704799</v>
      </c>
      <c r="Z213" s="704">
        <f t="shared" si="66"/>
        <v>1536102.6468704799</v>
      </c>
      <c r="AA213" s="704">
        <f t="shared" si="66"/>
        <v>1536102.6468704799</v>
      </c>
      <c r="AB213" s="704">
        <f t="shared" si="66"/>
        <v>1536102.6468704799</v>
      </c>
      <c r="AC213" s="704">
        <f t="shared" si="66"/>
        <v>1536102.6468704799</v>
      </c>
      <c r="AD213" s="704">
        <f t="shared" si="66"/>
        <v>1536102.6468704799</v>
      </c>
      <c r="AE213" s="704">
        <f t="shared" si="66"/>
        <v>1536102.6468704799</v>
      </c>
      <c r="AF213" s="594"/>
      <c r="AG213" s="486" t="str">
        <f>A213</f>
        <v>Serrote - Alimentação</v>
      </c>
      <c r="AH213" s="705">
        <f t="shared" ref="AH213:BK213" si="67">IFERROR(-B216/B214,0)</f>
        <v>0</v>
      </c>
      <c r="AI213" s="705">
        <f t="shared" si="67"/>
        <v>0.4996370685002634</v>
      </c>
      <c r="AJ213" s="705">
        <f t="shared" si="67"/>
        <v>0.49251281076041181</v>
      </c>
      <c r="AK213" s="705">
        <f t="shared" si="67"/>
        <v>0.48605376976954973</v>
      </c>
      <c r="AL213" s="705">
        <f t="shared" si="67"/>
        <v>0.47989091129493022</v>
      </c>
      <c r="AM213" s="705">
        <f t="shared" si="67"/>
        <v>0.47399888268715729</v>
      </c>
      <c r="AN213" s="705">
        <f t="shared" si="67"/>
        <v>0.46830149753641576</v>
      </c>
      <c r="AO213" s="705">
        <f t="shared" si="67"/>
        <v>0.46278872339654858</v>
      </c>
      <c r="AP213" s="705">
        <f t="shared" si="67"/>
        <v>0.45750726317598911</v>
      </c>
      <c r="AQ213" s="705">
        <f t="shared" si="67"/>
        <v>0.45244377127498958</v>
      </c>
      <c r="AR213" s="705">
        <f t="shared" si="67"/>
        <v>0.4475238212217536</v>
      </c>
      <c r="AS213" s="705">
        <f t="shared" si="67"/>
        <v>0.44275205863596423</v>
      </c>
      <c r="AT213" s="705">
        <f t="shared" si="67"/>
        <v>0.43811511809603904</v>
      </c>
      <c r="AU213" s="705">
        <f t="shared" si="67"/>
        <v>0.43361725036209692</v>
      </c>
      <c r="AV213" s="705">
        <f t="shared" si="67"/>
        <v>0.42925333391003301</v>
      </c>
      <c r="AW213" s="705">
        <f t="shared" si="67"/>
        <v>0.42503018030366602</v>
      </c>
      <c r="AX213" s="705">
        <f t="shared" si="67"/>
        <v>0.42095132313396777</v>
      </c>
      <c r="AY213" s="705">
        <f t="shared" si="67"/>
        <v>0.41702508397299504</v>
      </c>
      <c r="AZ213" s="705">
        <f t="shared" si="67"/>
        <v>0.41325425361366436</v>
      </c>
      <c r="BA213" s="705">
        <f t="shared" si="67"/>
        <v>0.40964890504857138</v>
      </c>
      <c r="BB213" s="705">
        <f t="shared" si="67"/>
        <v>0.40964890504857138</v>
      </c>
      <c r="BC213" s="705">
        <f t="shared" si="67"/>
        <v>0.40964890504857138</v>
      </c>
      <c r="BD213" s="705">
        <f t="shared" si="67"/>
        <v>0.40964890504857138</v>
      </c>
      <c r="BE213" s="705">
        <f t="shared" si="67"/>
        <v>0.40964890504857138</v>
      </c>
      <c r="BF213" s="705">
        <f t="shared" si="67"/>
        <v>0.40964890504857138</v>
      </c>
      <c r="BG213" s="705">
        <f t="shared" si="67"/>
        <v>0.40964890504857138</v>
      </c>
      <c r="BH213" s="705">
        <f t="shared" si="67"/>
        <v>0.40964890504857138</v>
      </c>
      <c r="BI213" s="705">
        <f t="shared" si="67"/>
        <v>0.40964890504857138</v>
      </c>
      <c r="BJ213" s="705">
        <f t="shared" si="67"/>
        <v>0.40964890504857138</v>
      </c>
      <c r="BK213" s="705">
        <f t="shared" si="67"/>
        <v>0.40964890504857138</v>
      </c>
      <c r="BL213" s="57"/>
      <c r="BM213" s="486" t="str">
        <f>AG213</f>
        <v>Serrote - Alimentação</v>
      </c>
      <c r="BN213" s="705">
        <f t="shared" ref="BN213:CQ213" si="68">IFERROR(B222/B214,0)</f>
        <v>0</v>
      </c>
      <c r="BO213" s="705">
        <f t="shared" si="68"/>
        <v>0.32087467575928624</v>
      </c>
      <c r="BP213" s="705">
        <f t="shared" si="68"/>
        <v>0.32799868161529289</v>
      </c>
      <c r="BQ213" s="705">
        <f t="shared" si="68"/>
        <v>0.33445786879391642</v>
      </c>
      <c r="BR213" s="705">
        <f t="shared" si="68"/>
        <v>0.34062090597658173</v>
      </c>
      <c r="BS213" s="705">
        <f t="shared" si="68"/>
        <v>0.34651304934275995</v>
      </c>
      <c r="BT213" s="705">
        <f t="shared" si="68"/>
        <v>0.35221004168195935</v>
      </c>
      <c r="BU213" s="705">
        <f t="shared" si="68"/>
        <v>0.35772290932760009</v>
      </c>
      <c r="BV213" s="705">
        <f t="shared" si="68"/>
        <v>0.36300424902834044</v>
      </c>
      <c r="BW213" s="705">
        <f t="shared" si="68"/>
        <v>0.36806817016775251</v>
      </c>
      <c r="BX213" s="705">
        <f t="shared" si="68"/>
        <v>0.37298799506356595</v>
      </c>
      <c r="BY213" s="705">
        <f t="shared" si="68"/>
        <v>0.37775963660607198</v>
      </c>
      <c r="BZ213" s="705">
        <f t="shared" si="68"/>
        <v>0.38239668187639403</v>
      </c>
      <c r="CA213" s="705">
        <f t="shared" si="68"/>
        <v>0.38689447547208317</v>
      </c>
      <c r="CB213" s="705">
        <f t="shared" si="68"/>
        <v>0.39125839177356958</v>
      </c>
      <c r="CC213" s="705">
        <f t="shared" si="68"/>
        <v>0.39548162016325589</v>
      </c>
      <c r="CD213" s="705">
        <f t="shared" si="68"/>
        <v>0.39956056413307028</v>
      </c>
      <c r="CE213" s="705">
        <f t="shared" si="68"/>
        <v>0.40348663138542668</v>
      </c>
      <c r="CF213" s="705">
        <f t="shared" si="68"/>
        <v>0.40725732410747778</v>
      </c>
      <c r="CG213" s="705">
        <f t="shared" si="68"/>
        <v>0.41086269968250672</v>
      </c>
      <c r="CH213" s="705">
        <f t="shared" si="68"/>
        <v>0.41086269968250672</v>
      </c>
      <c r="CI213" s="705">
        <f t="shared" si="68"/>
        <v>0.41086269968250672</v>
      </c>
      <c r="CJ213" s="705">
        <f t="shared" si="68"/>
        <v>0.41086269968250672</v>
      </c>
      <c r="CK213" s="705">
        <f t="shared" si="68"/>
        <v>0.41086269968250672</v>
      </c>
      <c r="CL213" s="705">
        <f t="shared" si="68"/>
        <v>0.41086269968250672</v>
      </c>
      <c r="CM213" s="705">
        <f t="shared" si="68"/>
        <v>0.41086269968250672</v>
      </c>
      <c r="CN213" s="705">
        <f t="shared" si="68"/>
        <v>0.41086269968250672</v>
      </c>
      <c r="CO213" s="705">
        <f t="shared" si="68"/>
        <v>0.41086269968250672</v>
      </c>
      <c r="CP213" s="705">
        <f t="shared" si="68"/>
        <v>0.41086269968250672</v>
      </c>
      <c r="CQ213" s="705">
        <f t="shared" si="68"/>
        <v>0.41086269968250672</v>
      </c>
    </row>
    <row r="214" spans="1:95" ht="33.75" hidden="1" customHeight="1" outlineLevel="1">
      <c r="A214" s="706" t="s">
        <v>680</v>
      </c>
      <c r="B214" s="707">
        <f>IFERROR(VLOOKUP($A213,ReceitaBruta,COLUMN('A4 - Previsão de Receita Bruta'!C216)-1,0),0)</f>
        <v>0</v>
      </c>
      <c r="C214" s="707">
        <f>IFERROR(VLOOKUP($A213,ReceitaBruta,COLUMN('A4 - Previsão de Receita Bruta'!D216)-1,0),0)</f>
        <v>2163900</v>
      </c>
      <c r="D214" s="707">
        <f>IFERROR(VLOOKUP($A213,ReceitaBruta,COLUMN('A4 - Previsão de Receita Bruta'!E216)-1,0),0)</f>
        <v>2238550</v>
      </c>
      <c r="E214" s="707">
        <f>IFERROR(VLOOKUP($A213,ReceitaBruta,COLUMN('A4 - Previsão de Receita Bruta'!F216)-1,0),0)</f>
        <v>2310825</v>
      </c>
      <c r="F214" s="707">
        <f>IFERROR(VLOOKUP($A213,ReceitaBruta,COLUMN('A4 - Previsão de Receita Bruta'!G216)-1,0),0)</f>
        <v>2384275</v>
      </c>
      <c r="G214" s="707">
        <f>IFERROR(VLOOKUP($A213,ReceitaBruta,COLUMN('A4 - Previsão de Receita Bruta'!H216)-1,0),0)</f>
        <v>2459000</v>
      </c>
      <c r="H214" s="707">
        <f>IFERROR(VLOOKUP($A213,ReceitaBruta,COLUMN('A4 - Previsão de Receita Bruta'!I216)-1,0),0)</f>
        <v>2535850</v>
      </c>
      <c r="I214" s="707">
        <f>IFERROR(VLOOKUP($A213,ReceitaBruta,COLUMN('A4 - Previsão de Receita Bruta'!J216)-1,0),0)</f>
        <v>2614925</v>
      </c>
      <c r="J214" s="707">
        <f>IFERROR(VLOOKUP($A213,ReceitaBruta,COLUMN('A4 - Previsão de Receita Bruta'!K216)-1,0),0)</f>
        <v>2695450</v>
      </c>
      <c r="K214" s="707">
        <f>IFERROR(VLOOKUP($A213,ReceitaBruta,COLUMN('A4 - Previsão de Receita Bruta'!L216)-1,0),0)</f>
        <v>2777450</v>
      </c>
      <c r="L214" s="707">
        <f>IFERROR(VLOOKUP($A213,ReceitaBruta,COLUMN('A4 - Previsão de Receita Bruta'!M216)-1,0),0)</f>
        <v>2862050</v>
      </c>
      <c r="M214" s="707">
        <f>IFERROR(VLOOKUP($A213,ReceitaBruta,COLUMN('A4 - Previsão de Receita Bruta'!N216)-1,0),0)</f>
        <v>2949175</v>
      </c>
      <c r="N214" s="707">
        <f>IFERROR(VLOOKUP($A213,ReceitaBruta,COLUMN('A4 - Previsão de Receita Bruta'!O216)-1,0),0)</f>
        <v>3039075</v>
      </c>
      <c r="O214" s="707">
        <f>IFERROR(VLOOKUP($A213,ReceitaBruta,COLUMN('A4 - Previsão de Receita Bruta'!P216)-1,0),0)</f>
        <v>3131675</v>
      </c>
      <c r="P214" s="707">
        <f>IFERROR(VLOOKUP($A213,ReceitaBruta,COLUMN('A4 - Previsão de Receita Bruta'!Q216)-1,0),0)</f>
        <v>3227075</v>
      </c>
      <c r="Q214" s="707">
        <f>IFERROR(VLOOKUP($A213,ReceitaBruta,COLUMN('A4 - Previsão de Receita Bruta'!R216)-1,0),0)</f>
        <v>3325100</v>
      </c>
      <c r="R214" s="707">
        <f>IFERROR(VLOOKUP($A213,ReceitaBruta,COLUMN('A4 - Previsão de Receita Bruta'!S216)-1,0),0)</f>
        <v>3425600</v>
      </c>
      <c r="S214" s="707">
        <f>IFERROR(VLOOKUP($A213,ReceitaBruta,COLUMN('A4 - Previsão de Receita Bruta'!T216)-1,0),0)</f>
        <v>3528250</v>
      </c>
      <c r="T214" s="707">
        <f>IFERROR(VLOOKUP($A213,ReceitaBruta,COLUMN('A4 - Previsão de Receita Bruta'!U216)-1,0),0)</f>
        <v>3632800</v>
      </c>
      <c r="U214" s="707">
        <f>IFERROR(VLOOKUP($A213,ReceitaBruta,COLUMN('A4 - Previsão de Receita Bruta'!V216)-1,0),0)</f>
        <v>3738725</v>
      </c>
      <c r="V214" s="707">
        <f>IFERROR(VLOOKUP($A213,ReceitaBruta,COLUMN('A4 - Previsão de Receita Bruta'!W216)-1,0),0)</f>
        <v>3738725</v>
      </c>
      <c r="W214" s="707">
        <f>IFERROR(VLOOKUP($A213,ReceitaBruta,COLUMN('A4 - Previsão de Receita Bruta'!X216)-1,0),0)</f>
        <v>3738725</v>
      </c>
      <c r="X214" s="707">
        <f>IFERROR(VLOOKUP($A213,ReceitaBruta,COLUMN('A4 - Previsão de Receita Bruta'!Y216)-1,0),0)</f>
        <v>3738725</v>
      </c>
      <c r="Y214" s="707">
        <f>IFERROR(VLOOKUP($A213,ReceitaBruta,COLUMN('A4 - Previsão de Receita Bruta'!Z216)-1,0),0)</f>
        <v>3738725</v>
      </c>
      <c r="Z214" s="707">
        <f>IFERROR(VLOOKUP($A213,ReceitaBruta,COLUMN('A4 - Previsão de Receita Bruta'!AA216)-1,0),0)</f>
        <v>3738725</v>
      </c>
      <c r="AA214" s="707">
        <f>IFERROR(VLOOKUP($A213,ReceitaBruta,COLUMN('A4 - Previsão de Receita Bruta'!AB216)-1,0),0)</f>
        <v>3738725</v>
      </c>
      <c r="AB214" s="707">
        <f>IFERROR(VLOOKUP($A213,ReceitaBruta,COLUMN('A4 - Previsão de Receita Bruta'!AC216)-1,0),0)</f>
        <v>3738725</v>
      </c>
      <c r="AC214" s="707">
        <f>IFERROR(VLOOKUP($A213,ReceitaBruta,COLUMN('A4 - Previsão de Receita Bruta'!AD216)-1,0),0)</f>
        <v>3738725</v>
      </c>
      <c r="AD214" s="707">
        <f>IFERROR(VLOOKUP($A213,ReceitaBruta,COLUMN('A4 - Previsão de Receita Bruta'!AE216)-1,0),0)</f>
        <v>3738725</v>
      </c>
      <c r="AE214" s="707">
        <f>IFERROR(VLOOKUP($A213,ReceitaBruta,COLUMN('A4 - Previsão de Receita Bruta'!AF216)-1,0),0)</f>
        <v>3738725</v>
      </c>
      <c r="AF214" s="594"/>
      <c r="AG214" s="594"/>
      <c r="AH214" s="594"/>
      <c r="AI214" s="594"/>
      <c r="AJ214" s="594"/>
      <c r="AK214" s="594"/>
      <c r="AL214" s="594"/>
      <c r="AM214" s="594"/>
      <c r="AN214" s="594"/>
      <c r="AO214" s="594"/>
      <c r="AP214" s="594"/>
      <c r="AQ214" s="594"/>
      <c r="AR214" s="594"/>
      <c r="AS214" s="594"/>
      <c r="AT214" s="594"/>
      <c r="AU214" s="594"/>
      <c r="AV214" s="594"/>
      <c r="AW214" s="594"/>
      <c r="AX214" s="594"/>
      <c r="AY214" s="594"/>
      <c r="AZ214" s="594"/>
      <c r="BA214" s="594"/>
      <c r="BB214" s="594"/>
      <c r="BC214" s="594"/>
      <c r="BD214" s="594"/>
      <c r="BE214" s="594"/>
      <c r="BF214" s="594"/>
      <c r="BG214" s="594"/>
      <c r="BH214" s="594"/>
      <c r="BI214" s="594"/>
      <c r="BJ214" s="594"/>
      <c r="BK214" s="594"/>
      <c r="BL214" s="57"/>
      <c r="BM214" s="594"/>
      <c r="BN214" s="594"/>
      <c r="BO214" s="594"/>
      <c r="BP214" s="594"/>
      <c r="BQ214" s="594"/>
      <c r="BR214" s="594"/>
      <c r="BS214" s="594"/>
      <c r="BT214" s="594"/>
      <c r="BU214" s="594"/>
      <c r="BV214" s="594"/>
      <c r="BW214" s="594"/>
      <c r="BX214" s="594"/>
      <c r="BY214" s="594"/>
      <c r="BZ214" s="594"/>
      <c r="CA214" s="594"/>
      <c r="CB214" s="594"/>
      <c r="CC214" s="594"/>
      <c r="CD214" s="594"/>
      <c r="CE214" s="594"/>
      <c r="CF214" s="594"/>
      <c r="CG214" s="594"/>
      <c r="CH214" s="594"/>
      <c r="CI214" s="594"/>
      <c r="CJ214" s="594"/>
      <c r="CK214" s="594"/>
      <c r="CL214" s="594"/>
      <c r="CM214" s="594"/>
      <c r="CN214" s="594"/>
      <c r="CO214" s="594"/>
      <c r="CP214" s="594"/>
      <c r="CQ214" s="594"/>
    </row>
    <row r="215" spans="1:95" ht="21" hidden="1" customHeight="1" outlineLevel="1">
      <c r="A215" s="708" t="s">
        <v>681</v>
      </c>
      <c r="B215" s="707">
        <f>IFERROR(-'E2 - Tributos'!D$19*VLOOKUP('F1 - FCL'!$A213,ReceitaBruta,COLUMN('A4 - Previsão de Receita Bruta'!C$6)-1,0),0)</f>
        <v>0</v>
      </c>
      <c r="C215" s="707">
        <f>IFERROR(-'E2 - Tributos'!E$19*VLOOKUP('F1 - FCL'!$A213,ReceitaBruta,COLUMN('A4 - Previsão de Receita Bruta'!D$6)-1,0),0)</f>
        <v>-388394.63659676048</v>
      </c>
      <c r="D215" s="707">
        <f>IFERROR(-'E2 - Tributos'!F$19*VLOOKUP('F1 - FCL'!$A213,ReceitaBruta,COLUMN('A4 - Previsão de Receita Bruta'!E$6)-1,0),0)</f>
        <v>-401793.99874236627</v>
      </c>
      <c r="E215" s="707">
        <f>IFERROR(-'E2 - Tributos'!G$19*VLOOKUP('F1 - FCL'!$A213,ReceitaBruta,COLUMN('A4 - Previsão de Receita Bruta'!F$6)-1,0),0)</f>
        <v>-414766.19281657832</v>
      </c>
      <c r="F215" s="707">
        <f>IFERROR(-'E2 - Tributos'!H$19*VLOOKUP('F1 - FCL'!$A213,ReceitaBruta,COLUMN('A4 - Previsão de Receita Bruta'!G$6)-1,0),0)</f>
        <v>-427949.18687496596</v>
      </c>
      <c r="G215" s="707">
        <f>IFERROR(-'E2 - Tributos'!I$19*VLOOKUP('F1 - FCL'!$A213,ReceitaBruta,COLUMN('A4 - Previsão de Receita Bruta'!H$6)-1,0),0)</f>
        <v>-441361.15913843346</v>
      </c>
      <c r="H215" s="707">
        <f>IFERROR(-'E2 - Tributos'!J$19*VLOOKUP('F1 - FCL'!$A213,ReceitaBruta,COLUMN('A4 - Previsão de Receita Bruta'!I$6)-1,0),0)</f>
        <v>-455155.81327308336</v>
      </c>
      <c r="I215" s="707">
        <f>IFERROR(-'E2 - Tributos'!K$19*VLOOKUP('F1 - FCL'!$A213,ReceitaBruta,COLUMN('A4 - Previsão de Receita Bruta'!J$6)-1,0),0)</f>
        <v>-469348.61879880517</v>
      </c>
      <c r="J215" s="707">
        <f>IFERROR(-'E2 - Tributos'!L$19*VLOOKUP('F1 - FCL'!$A213,ReceitaBruta,COLUMN('A4 - Previsão de Receita Bruta'!K$6)-1,0),0)</f>
        <v>-483802.24442883983</v>
      </c>
      <c r="K215" s="707">
        <f>IFERROR(-'E2 - Tributos'!M$19*VLOOKUP('F1 - FCL'!$A213,ReceitaBruta,COLUMN('A4 - Previsão de Receita Bruta'!L$6)-1,0),0)</f>
        <v>-498519.10823985591</v>
      </c>
      <c r="L215" s="707">
        <f>IFERROR(-'E2 - Tributos'!N$19*VLOOKUP('F1 - FCL'!$A213,ReceitaBruta,COLUMN('A4 - Previsão de Receita Bruta'!M$6)-1,0),0)</f>
        <v>-513704.15620060131</v>
      </c>
      <c r="M215" s="707">
        <f>IFERROR(-'E2 - Tributos'!O$19*VLOOKUP('F1 - FCL'!$A213,ReceitaBruta,COLUMN('A4 - Previsão de Receita Bruta'!N$6)-1,0),0)</f>
        <v>-529342.42118456773</v>
      </c>
      <c r="N215" s="707">
        <f>IFERROR(-'E2 - Tributos'!P$19*VLOOKUP('F1 - FCL'!$A213,ReceitaBruta,COLUMN('A4 - Previsão de Receita Bruta'!O$6)-1,0),0)</f>
        <v>-545478.10149877821</v>
      </c>
      <c r="O215" s="707">
        <f>IFERROR(-'E2 - Tributos'!Q$19*VLOOKUP('F1 - FCL'!$A213,ReceitaBruta,COLUMN('A4 - Previsão de Receita Bruta'!P$6)-1,0),0)</f>
        <v>-562098.94099824387</v>
      </c>
      <c r="P215" s="707">
        <f>IFERROR(-'E2 - Tributos'!R$19*VLOOKUP('F1 - FCL'!$A213,ReceitaBruta,COLUMN('A4 - Previsão de Receita Bruta'!Q$6)-1,0),0)</f>
        <v>-579222.12283958809</v>
      </c>
      <c r="Q215" s="707">
        <f>IFERROR(-'E2 - Tributos'!S$19*VLOOKUP('F1 - FCL'!$A213,ReceitaBruta,COLUMN('A4 - Previsão de Receita Bruta'!R$6)-1,0),0)</f>
        <v>-596816.21226743795</v>
      </c>
      <c r="R215" s="707">
        <f>IFERROR(-'E2 - Tributos'!T$19*VLOOKUP('F1 - FCL'!$A213,ReceitaBruta,COLUMN('A4 - Previsão de Receita Bruta'!S$6)-1,0),0)</f>
        <v>-614854.47897803457</v>
      </c>
      <c r="S215" s="707">
        <f>IFERROR(-'E2 - Tributos'!U$19*VLOOKUP('F1 - FCL'!$A213,ReceitaBruta,COLUMN('A4 - Previsão de Receita Bruta'!T$6)-1,0),0)</f>
        <v>-633279.54028664867</v>
      </c>
      <c r="T215" s="707">
        <f>IFERROR(-'E2 - Tributos'!V$19*VLOOKUP('F1 - FCL'!$A213,ReceitaBruta,COLUMN('A4 - Previsão de Receita Bruta'!U$6)-1,0),0)</f>
        <v>-652045.54045463505</v>
      </c>
      <c r="U215" s="707">
        <f>IFERROR(-'E2 - Tributos'!W$19*VLOOKUP('F1 - FCL'!$A213,ReceitaBruta,COLUMN('A4 - Previsão de Receita Bruta'!V$6)-1,0),0)</f>
        <v>-671057.75060180039</v>
      </c>
      <c r="V215" s="707">
        <f>IFERROR(-'E2 - Tributos'!X$19*VLOOKUP('F1 - FCL'!$A213,ReceitaBruta,COLUMN('A4 - Previsão de Receita Bruta'!W$6)-1,0),0)</f>
        <v>-671057.75060180039</v>
      </c>
      <c r="W215" s="707">
        <f>IFERROR(-'E2 - Tributos'!Y$19*VLOOKUP('F1 - FCL'!$A213,ReceitaBruta,COLUMN('A4 - Previsão de Receita Bruta'!X$6)-1,0),0)</f>
        <v>-671057.75060180039</v>
      </c>
      <c r="X215" s="707">
        <f>IFERROR(-'E2 - Tributos'!Z$19*VLOOKUP('F1 - FCL'!$A213,ReceitaBruta,COLUMN('A4 - Previsão de Receita Bruta'!Y$6)-1,0),0)</f>
        <v>-671057.75060180039</v>
      </c>
      <c r="Y215" s="707">
        <f>IFERROR(-'E2 - Tributos'!AA$19*VLOOKUP('F1 - FCL'!$A213,ReceitaBruta,COLUMN('A4 - Previsão de Receita Bruta'!Z$6)-1,0),0)</f>
        <v>-671057.75060180039</v>
      </c>
      <c r="Z215" s="707">
        <f>IFERROR(-'E2 - Tributos'!AB$19*VLOOKUP('F1 - FCL'!$A213,ReceitaBruta,COLUMN('A4 - Previsão de Receita Bruta'!AA$6)-1,0),0)</f>
        <v>-671057.75060180039</v>
      </c>
      <c r="AA215" s="707">
        <f>IFERROR(-'E2 - Tributos'!AC$19*VLOOKUP('F1 - FCL'!$A213,ReceitaBruta,COLUMN('A4 - Previsão de Receita Bruta'!AB$6)-1,0),0)</f>
        <v>-671057.75060180039</v>
      </c>
      <c r="AB215" s="707">
        <f>IFERROR(-'E2 - Tributos'!AD$19*VLOOKUP('F1 - FCL'!$A213,ReceitaBruta,COLUMN('A4 - Previsão de Receita Bruta'!AC$6)-1,0),0)</f>
        <v>-671057.75060180039</v>
      </c>
      <c r="AC215" s="707">
        <f>IFERROR(-'E2 - Tributos'!AE$19*VLOOKUP('F1 - FCL'!$A213,ReceitaBruta,COLUMN('A4 - Previsão de Receita Bruta'!AD$6)-1,0),0)</f>
        <v>-671057.75060180039</v>
      </c>
      <c r="AD215" s="707">
        <f>IFERROR(-'E2 - Tributos'!AF$19*VLOOKUP('F1 - FCL'!$A213,ReceitaBruta,COLUMN('A4 - Previsão de Receita Bruta'!AE$6)-1,0),0)</f>
        <v>-671057.75060180039</v>
      </c>
      <c r="AE215" s="707">
        <f>IFERROR(-'E2 - Tributos'!AG$19*VLOOKUP('F1 - FCL'!$A213,ReceitaBruta,COLUMN('A4 - Previsão de Receita Bruta'!AF$6)-1,0),0)</f>
        <v>-671057.75060180039</v>
      </c>
      <c r="AF215" s="594"/>
      <c r="AG215" s="594"/>
      <c r="AH215" s="594"/>
      <c r="AI215" s="594"/>
      <c r="AJ215" s="594"/>
      <c r="AK215" s="594"/>
      <c r="AL215" s="594"/>
      <c r="AM215" s="594"/>
      <c r="AN215" s="594"/>
      <c r="AO215" s="594"/>
      <c r="AP215" s="594"/>
      <c r="AQ215" s="594"/>
      <c r="AR215" s="594"/>
      <c r="AS215" s="594"/>
      <c r="AT215" s="594"/>
      <c r="AU215" s="594"/>
      <c r="AV215" s="594"/>
      <c r="AW215" s="594"/>
      <c r="AX215" s="594"/>
      <c r="AY215" s="594"/>
      <c r="AZ215" s="594"/>
      <c r="BA215" s="594"/>
      <c r="BB215" s="594"/>
      <c r="BC215" s="594"/>
      <c r="BD215" s="594"/>
      <c r="BE215" s="594"/>
      <c r="BF215" s="594"/>
      <c r="BG215" s="594"/>
      <c r="BH215" s="594"/>
      <c r="BI215" s="594"/>
      <c r="BJ215" s="594"/>
      <c r="BK215" s="594"/>
      <c r="BL215" s="57"/>
      <c r="BM215" s="594"/>
      <c r="BN215" s="594"/>
      <c r="BO215" s="594"/>
      <c r="BP215" s="594"/>
      <c r="BQ215" s="594"/>
      <c r="BR215" s="594"/>
      <c r="BS215" s="594"/>
      <c r="BT215" s="594"/>
      <c r="BU215" s="594"/>
      <c r="BV215" s="594"/>
      <c r="BW215" s="594"/>
      <c r="BX215" s="594"/>
      <c r="BY215" s="594"/>
      <c r="BZ215" s="594"/>
      <c r="CA215" s="594"/>
      <c r="CB215" s="594"/>
      <c r="CC215" s="594"/>
      <c r="CD215" s="594"/>
      <c r="CE215" s="594"/>
      <c r="CF215" s="594"/>
      <c r="CG215" s="594"/>
      <c r="CH215" s="594"/>
      <c r="CI215" s="594"/>
      <c r="CJ215" s="594"/>
      <c r="CK215" s="594"/>
      <c r="CL215" s="594"/>
      <c r="CM215" s="594"/>
      <c r="CN215" s="594"/>
      <c r="CO215" s="594"/>
      <c r="CP215" s="594"/>
      <c r="CQ215" s="594"/>
    </row>
    <row r="216" spans="1:95" ht="19.5" hidden="1" customHeight="1" outlineLevel="1">
      <c r="A216" s="708" t="s">
        <v>590</v>
      </c>
      <c r="B216" s="707">
        <f t="shared" ref="B216:AE216" si="69">SUM(B217:B221)</f>
        <v>-24094.971799999999</v>
      </c>
      <c r="C216" s="707">
        <f t="shared" si="69"/>
        <v>-1081164.65252772</v>
      </c>
      <c r="D216" s="707">
        <f t="shared" si="69"/>
        <v>-1102514.5525277199</v>
      </c>
      <c r="E216" s="707">
        <f t="shared" si="69"/>
        <v>-1123185.2025277198</v>
      </c>
      <c r="F216" s="707">
        <f t="shared" si="69"/>
        <v>-1144191.9025277197</v>
      </c>
      <c r="G216" s="707">
        <f t="shared" si="69"/>
        <v>-1165563.2525277198</v>
      </c>
      <c r="H216" s="707">
        <f t="shared" si="69"/>
        <v>-1187542.3525277199</v>
      </c>
      <c r="I216" s="707">
        <f t="shared" si="69"/>
        <v>-1210157.8025277199</v>
      </c>
      <c r="J216" s="707">
        <f t="shared" si="69"/>
        <v>-1233187.9525277198</v>
      </c>
      <c r="K216" s="707">
        <f t="shared" si="69"/>
        <v>-1256639.9525277198</v>
      </c>
      <c r="L216" s="707">
        <f t="shared" si="69"/>
        <v>-1280835.5525277199</v>
      </c>
      <c r="M216" s="707">
        <f t="shared" si="69"/>
        <v>-1305753.3025277199</v>
      </c>
      <c r="N216" s="707">
        <f t="shared" si="69"/>
        <v>-1331464.7025277198</v>
      </c>
      <c r="O216" s="707">
        <f t="shared" si="69"/>
        <v>-1357948.3025277199</v>
      </c>
      <c r="P216" s="707">
        <f t="shared" si="69"/>
        <v>-1385232.7025277198</v>
      </c>
      <c r="Q216" s="707">
        <f t="shared" si="69"/>
        <v>-1413267.8525277199</v>
      </c>
      <c r="R216" s="707">
        <f t="shared" si="69"/>
        <v>-1442010.8525277199</v>
      </c>
      <c r="S216" s="707">
        <f t="shared" si="69"/>
        <v>-1471368.7525277198</v>
      </c>
      <c r="T216" s="707">
        <f t="shared" si="69"/>
        <v>-1501270.0525277199</v>
      </c>
      <c r="U216" s="707">
        <f t="shared" si="69"/>
        <v>-1531564.6025277199</v>
      </c>
      <c r="V216" s="707">
        <f t="shared" si="69"/>
        <v>-1531564.6025277199</v>
      </c>
      <c r="W216" s="707">
        <f t="shared" si="69"/>
        <v>-1531564.6025277199</v>
      </c>
      <c r="X216" s="707">
        <f t="shared" si="69"/>
        <v>-1531564.6025277199</v>
      </c>
      <c r="Y216" s="707">
        <f t="shared" si="69"/>
        <v>-1531564.6025277199</v>
      </c>
      <c r="Z216" s="707">
        <f t="shared" si="69"/>
        <v>-1531564.6025277199</v>
      </c>
      <c r="AA216" s="707">
        <f t="shared" si="69"/>
        <v>-1531564.6025277199</v>
      </c>
      <c r="AB216" s="707">
        <f t="shared" si="69"/>
        <v>-1531564.6025277199</v>
      </c>
      <c r="AC216" s="707">
        <f t="shared" si="69"/>
        <v>-1531564.6025277199</v>
      </c>
      <c r="AD216" s="707">
        <f t="shared" si="69"/>
        <v>-1531564.6025277199</v>
      </c>
      <c r="AE216" s="707">
        <f t="shared" si="69"/>
        <v>-1531564.6025277199</v>
      </c>
      <c r="AF216" s="594"/>
      <c r="AG216" s="594"/>
      <c r="AH216" s="594"/>
      <c r="AI216" s="594"/>
      <c r="AJ216" s="594"/>
      <c r="AK216" s="594"/>
      <c r="AL216" s="594"/>
      <c r="AM216" s="594"/>
      <c r="AN216" s="594"/>
      <c r="AO216" s="594"/>
      <c r="AP216" s="594"/>
      <c r="AQ216" s="594"/>
      <c r="AR216" s="594"/>
      <c r="AS216" s="594"/>
      <c r="AT216" s="594"/>
      <c r="AU216" s="594"/>
      <c r="AV216" s="594"/>
      <c r="AW216" s="594"/>
      <c r="AX216" s="594"/>
      <c r="AY216" s="594"/>
      <c r="AZ216" s="594"/>
      <c r="BA216" s="594"/>
      <c r="BB216" s="594"/>
      <c r="BC216" s="594"/>
      <c r="BD216" s="594"/>
      <c r="BE216" s="594"/>
      <c r="BF216" s="594"/>
      <c r="BG216" s="594"/>
      <c r="BH216" s="594"/>
      <c r="BI216" s="594"/>
      <c r="BJ216" s="594"/>
      <c r="BK216" s="594"/>
      <c r="BL216" s="57"/>
      <c r="BM216" s="594"/>
      <c r="BN216" s="594"/>
      <c r="BO216" s="594"/>
      <c r="BP216" s="594"/>
      <c r="BQ216" s="594"/>
      <c r="BR216" s="594"/>
      <c r="BS216" s="594"/>
      <c r="BT216" s="594"/>
      <c r="BU216" s="594"/>
      <c r="BV216" s="594"/>
      <c r="BW216" s="594"/>
      <c r="BX216" s="594"/>
      <c r="BY216" s="594"/>
      <c r="BZ216" s="594"/>
      <c r="CA216" s="594"/>
      <c r="CB216" s="594"/>
      <c r="CC216" s="594"/>
      <c r="CD216" s="594"/>
      <c r="CE216" s="594"/>
      <c r="CF216" s="594"/>
      <c r="CG216" s="594"/>
      <c r="CH216" s="594"/>
      <c r="CI216" s="594"/>
      <c r="CJ216" s="594"/>
      <c r="CK216" s="594"/>
      <c r="CL216" s="594"/>
      <c r="CM216" s="594"/>
      <c r="CN216" s="594"/>
      <c r="CO216" s="594"/>
      <c r="CP216" s="594"/>
      <c r="CQ216" s="594"/>
    </row>
    <row r="217" spans="1:95" ht="21" hidden="1" customHeight="1" outlineLevel="2">
      <c r="A217" s="709" t="s">
        <v>682</v>
      </c>
      <c r="B217" s="710">
        <f>IF($A213="",0,-SUMIF('C3 - Funcionários $'!$D$7:$D$121,$A213,'C3 - Funcionários $'!G$7:G$121))</f>
        <v>0</v>
      </c>
      <c r="C217" s="710">
        <f>IF($A213="",0,-SUMIF('C3 - Funcionários $'!$D$7:$D$121,$A213,'C3 - Funcionários $'!H$7:H$121))</f>
        <v>-438194.28072772</v>
      </c>
      <c r="D217" s="710">
        <f>IF($A213="",0,-SUMIF('C3 - Funcionários $'!$D$7:$D$121,$A213,'C3 - Funcionários $'!I$7:I$121))</f>
        <v>-438194.28072772</v>
      </c>
      <c r="E217" s="710">
        <f>IF($A213="",0,-SUMIF('C3 - Funcionários $'!$D$7:$D$121,$A213,'C3 - Funcionários $'!J$7:J$121))</f>
        <v>-438194.28072772</v>
      </c>
      <c r="F217" s="710">
        <f>IF($A213="",0,-SUMIF('C3 - Funcionários $'!$D$7:$D$121,$A213,'C3 - Funcionários $'!K$7:K$121))</f>
        <v>-438194.28072772</v>
      </c>
      <c r="G217" s="710">
        <f>IF($A213="",0,-SUMIF('C3 - Funcionários $'!$D$7:$D$121,$A213,'C3 - Funcionários $'!L$7:L$121))</f>
        <v>-438194.28072772</v>
      </c>
      <c r="H217" s="710">
        <f>IF($A213="",0,-SUMIF('C3 - Funcionários $'!$D$7:$D$121,$A213,'C3 - Funcionários $'!M$7:M$121))</f>
        <v>-438194.28072772</v>
      </c>
      <c r="I217" s="710">
        <f>IF($A213="",0,-SUMIF('C3 - Funcionários $'!$D$7:$D$121,$A213,'C3 - Funcionários $'!N$7:N$121))</f>
        <v>-438194.28072772</v>
      </c>
      <c r="J217" s="710">
        <f>IF($A213="",0,-SUMIF('C3 - Funcionários $'!$D$7:$D$121,$A213,'C3 - Funcionários $'!O$7:O$121))</f>
        <v>-438194.28072772</v>
      </c>
      <c r="K217" s="710">
        <f>IF($A213="",0,-SUMIF('C3 - Funcionários $'!$D$7:$D$121,$A213,'C3 - Funcionários $'!P$7:P$121))</f>
        <v>-438194.28072772</v>
      </c>
      <c r="L217" s="710">
        <f>IF($A213="",0,-SUMIF('C3 - Funcionários $'!$D$7:$D$121,$A213,'C3 - Funcionários $'!Q$7:Q$121))</f>
        <v>-438194.28072772</v>
      </c>
      <c r="M217" s="710">
        <f>IF($A213="",0,-SUMIF('C3 - Funcionários $'!$D$7:$D$121,$A213,'C3 - Funcionários $'!R$7:R$121))</f>
        <v>-438194.28072772</v>
      </c>
      <c r="N217" s="710">
        <f>IF($A213="",0,-SUMIF('C3 - Funcionários $'!$D$7:$D$121,$A213,'C3 - Funcionários $'!S$7:S$121))</f>
        <v>-438194.28072772</v>
      </c>
      <c r="O217" s="710">
        <f>IF($A213="",0,-SUMIF('C3 - Funcionários $'!$D$7:$D$121,$A213,'C3 - Funcionários $'!T$7:T$121))</f>
        <v>-438194.28072772</v>
      </c>
      <c r="P217" s="710">
        <f>IF($A213="",0,-SUMIF('C3 - Funcionários $'!$D$7:$D$121,$A213,'C3 - Funcionários $'!U$7:U$121))</f>
        <v>-438194.28072772</v>
      </c>
      <c r="Q217" s="710">
        <f>IF($A213="",0,-SUMIF('C3 - Funcionários $'!$D$7:$D$121,$A213,'C3 - Funcionários $'!V$7:V$121))</f>
        <v>-438194.28072772</v>
      </c>
      <c r="R217" s="710">
        <f>IF($A213="",0,-SUMIF('C3 - Funcionários $'!$D$7:$D$121,$A213,'C3 - Funcionários $'!W$7:W$121))</f>
        <v>-438194.28072772</v>
      </c>
      <c r="S217" s="710">
        <f>IF($A213="",0,-SUMIF('C3 - Funcionários $'!$D$7:$D$121,$A213,'C3 - Funcionários $'!X$7:X$121))</f>
        <v>-438194.28072772</v>
      </c>
      <c r="T217" s="710">
        <f>IF($A213="",0,-SUMIF('C3 - Funcionários $'!$D$7:$D$121,$A213,'C3 - Funcionários $'!Y$7:Y$121))</f>
        <v>-438194.28072772</v>
      </c>
      <c r="U217" s="710">
        <f>IF($A213="",0,-SUMIF('C3 - Funcionários $'!$D$7:$D$121,$A213,'C3 - Funcionários $'!Z$7:Z$121))</f>
        <v>-438194.28072772</v>
      </c>
      <c r="V217" s="710">
        <f>IF($A213="",0,-SUMIF('C3 - Funcionários $'!$D$7:$D$121,$A213,'C3 - Funcionários $'!AA$7:AA$121))</f>
        <v>-438194.28072772</v>
      </c>
      <c r="W217" s="710">
        <f>IF($A213="",0,-SUMIF('C3 - Funcionários $'!$D$7:$D$121,$A213,'C3 - Funcionários $'!AB$7:AB$121))</f>
        <v>-438194.28072772</v>
      </c>
      <c r="X217" s="710">
        <f>IF($A213="",0,-SUMIF('C3 - Funcionários $'!$D$7:$D$121,$A213,'C3 - Funcionários $'!AC$7:AC$121))</f>
        <v>-438194.28072772</v>
      </c>
      <c r="Y217" s="710">
        <f>IF($A213="",0,-SUMIF('C3 - Funcionários $'!$D$7:$D$121,$A213,'C3 - Funcionários $'!AD$7:AD$121))</f>
        <v>-438194.28072772</v>
      </c>
      <c r="Z217" s="710">
        <f>IF($A213="",0,-SUMIF('C3 - Funcionários $'!$D$7:$D$121,$A213,'C3 - Funcionários $'!AE$7:AE$121))</f>
        <v>-438194.28072772</v>
      </c>
      <c r="AA217" s="710">
        <f>IF($A213="",0,-SUMIF('C3 - Funcionários $'!$D$7:$D$121,$A213,'C3 - Funcionários $'!AF$7:AF$121))</f>
        <v>-438194.28072772</v>
      </c>
      <c r="AB217" s="710">
        <f>IF($A213="",0,-SUMIF('C3 - Funcionários $'!$D$7:$D$121,$A213,'C3 - Funcionários $'!AG$7:AG$121))</f>
        <v>-438194.28072772</v>
      </c>
      <c r="AC217" s="710">
        <f>IF($A213="",0,-SUMIF('C3 - Funcionários $'!$D$7:$D$121,$A213,'C3 - Funcionários $'!AH$7:AH$121))</f>
        <v>-438194.28072772</v>
      </c>
      <c r="AD217" s="710">
        <f>IF($A213="",0,-SUMIF('C3 - Funcionários $'!$D$7:$D$121,$A213,'C3 - Funcionários $'!AI$7:AI$121))</f>
        <v>-438194.28072772</v>
      </c>
      <c r="AE217" s="710">
        <f>IF($A213="",0,-SUMIF('C3 - Funcionários $'!$D$7:$D$121,$A213,'C3 - Funcionários $'!AJ$7:AJ$121))</f>
        <v>-438194.28072772</v>
      </c>
      <c r="AF217" s="594"/>
      <c r="AG217" s="594"/>
      <c r="AH217" s="594"/>
      <c r="AI217" s="594"/>
      <c r="AJ217" s="594"/>
      <c r="AK217" s="594"/>
      <c r="AL217" s="594"/>
      <c r="AM217" s="594"/>
      <c r="AN217" s="594"/>
      <c r="AO217" s="594"/>
      <c r="AP217" s="594"/>
      <c r="AQ217" s="594"/>
      <c r="AR217" s="594"/>
      <c r="AS217" s="594"/>
      <c r="AT217" s="594"/>
      <c r="AU217" s="594"/>
      <c r="AV217" s="594"/>
      <c r="AW217" s="594"/>
      <c r="AX217" s="594"/>
      <c r="AY217" s="594"/>
      <c r="AZ217" s="594"/>
      <c r="BA217" s="594"/>
      <c r="BB217" s="594"/>
      <c r="BC217" s="594"/>
      <c r="BD217" s="594"/>
      <c r="BE217" s="594"/>
      <c r="BF217" s="594"/>
      <c r="BG217" s="594"/>
      <c r="BH217" s="594"/>
      <c r="BI217" s="594"/>
      <c r="BJ217" s="594"/>
      <c r="BK217" s="594"/>
      <c r="BL217" s="57"/>
      <c r="BM217" s="594"/>
      <c r="BN217" s="594"/>
      <c r="BO217" s="594"/>
      <c r="BP217" s="594"/>
      <c r="BQ217" s="594"/>
      <c r="BR217" s="594"/>
      <c r="BS217" s="594"/>
      <c r="BT217" s="594"/>
      <c r="BU217" s="594"/>
      <c r="BV217" s="594"/>
      <c r="BW217" s="594"/>
      <c r="BX217" s="594"/>
      <c r="BY217" s="594"/>
      <c r="BZ217" s="594"/>
      <c r="CA217" s="594"/>
      <c r="CB217" s="594"/>
      <c r="CC217" s="594"/>
      <c r="CD217" s="594"/>
      <c r="CE217" s="594"/>
      <c r="CF217" s="594"/>
      <c r="CG217" s="594"/>
      <c r="CH217" s="594"/>
      <c r="CI217" s="594"/>
      <c r="CJ217" s="594"/>
      <c r="CK217" s="594"/>
      <c r="CL217" s="594"/>
      <c r="CM217" s="594"/>
      <c r="CN217" s="594"/>
      <c r="CO217" s="594"/>
      <c r="CP217" s="594"/>
      <c r="CQ217" s="594"/>
    </row>
    <row r="218" spans="1:95" ht="21" hidden="1" customHeight="1" outlineLevel="2">
      <c r="A218" s="709" t="s">
        <v>683</v>
      </c>
      <c r="B218" s="710">
        <f>IFERROR(-VLOOKUP($A213,CustoDiretoTotal,COLUMN('B2 - Custos diretos totais'!C$3)-1,0),0)</f>
        <v>0</v>
      </c>
      <c r="C218" s="710">
        <f>IFERROR(-VLOOKUP($A213,CustoDiretoTotal,COLUMN('B2 - Custos diretos totais'!D$3)-1,0),0)</f>
        <v>-584253</v>
      </c>
      <c r="D218" s="710">
        <f>IFERROR(-VLOOKUP($A213,CustoDiretoTotal,COLUMN('B2 - Custos diretos totais'!E$3)-1,0),0)</f>
        <v>-604408.5</v>
      </c>
      <c r="E218" s="710">
        <f>IFERROR(-VLOOKUP($A213,CustoDiretoTotal,COLUMN('B2 - Custos diretos totais'!F$3)-1,0),0)</f>
        <v>-623922.75</v>
      </c>
      <c r="F218" s="710">
        <f>IFERROR(-VLOOKUP($A213,CustoDiretoTotal,COLUMN('B2 - Custos diretos totais'!G$3)-1,0),0)</f>
        <v>-643754.25</v>
      </c>
      <c r="G218" s="710">
        <f>IFERROR(-VLOOKUP($A213,CustoDiretoTotal,COLUMN('B2 - Custos diretos totais'!H$3)-1,0),0)</f>
        <v>-663930</v>
      </c>
      <c r="H218" s="710">
        <f>IFERROR(-VLOOKUP($A213,CustoDiretoTotal,COLUMN('B2 - Custos diretos totais'!I$3)-1,0),0)</f>
        <v>-684679.5</v>
      </c>
      <c r="I218" s="710">
        <f>IFERROR(-VLOOKUP($A213,CustoDiretoTotal,COLUMN('B2 - Custos diretos totais'!J$3)-1,0),0)</f>
        <v>-706029.75</v>
      </c>
      <c r="J218" s="710">
        <f>IFERROR(-VLOOKUP($A213,CustoDiretoTotal,COLUMN('B2 - Custos diretos totais'!K$3)-1,0),0)</f>
        <v>-727771.5</v>
      </c>
      <c r="K218" s="710">
        <f>IFERROR(-VLOOKUP($A213,CustoDiretoTotal,COLUMN('B2 - Custos diretos totais'!L$3)-1,0),0)</f>
        <v>-749911.5</v>
      </c>
      <c r="L218" s="710">
        <f>IFERROR(-VLOOKUP($A213,CustoDiretoTotal,COLUMN('B2 - Custos diretos totais'!M$3)-1,0),0)</f>
        <v>-772753.5</v>
      </c>
      <c r="M218" s="710">
        <f>IFERROR(-VLOOKUP($A213,CustoDiretoTotal,COLUMN('B2 - Custos diretos totais'!N$3)-1,0),0)</f>
        <v>-796277.25</v>
      </c>
      <c r="N218" s="710">
        <f>IFERROR(-VLOOKUP($A213,CustoDiretoTotal,COLUMN('B2 - Custos diretos totais'!O$3)-1,0),0)</f>
        <v>-820550.25</v>
      </c>
      <c r="O218" s="710">
        <f>IFERROR(-VLOOKUP($A213,CustoDiretoTotal,COLUMN('B2 - Custos diretos totais'!P$3)-1,0),0)</f>
        <v>-845552.25</v>
      </c>
      <c r="P218" s="710">
        <f>IFERROR(-VLOOKUP($A213,CustoDiretoTotal,COLUMN('B2 - Custos diretos totais'!Q$3)-1,0),0)</f>
        <v>-871310.25</v>
      </c>
      <c r="Q218" s="710">
        <f>IFERROR(-VLOOKUP($A213,CustoDiretoTotal,COLUMN('B2 - Custos diretos totais'!R$3)-1,0),0)</f>
        <v>-897777</v>
      </c>
      <c r="R218" s="710">
        <f>IFERROR(-VLOOKUP($A213,CustoDiretoTotal,COLUMN('B2 - Custos diretos totais'!S$3)-1,0),0)</f>
        <v>-924912</v>
      </c>
      <c r="S218" s="710">
        <f>IFERROR(-VLOOKUP($A213,CustoDiretoTotal,COLUMN('B2 - Custos diretos totais'!T$3)-1,0),0)</f>
        <v>-952627.5</v>
      </c>
      <c r="T218" s="710">
        <f>IFERROR(-VLOOKUP($A213,CustoDiretoTotal,COLUMN('B2 - Custos diretos totais'!U$3)-1,0),0)</f>
        <v>-980856</v>
      </c>
      <c r="U218" s="710">
        <f>IFERROR(-VLOOKUP($A213,CustoDiretoTotal,COLUMN('B2 - Custos diretos totais'!V$3)-1,0),0)</f>
        <v>-1009455.75</v>
      </c>
      <c r="V218" s="710">
        <f>IFERROR(-VLOOKUP($A213,CustoDiretoTotal,COLUMN('B2 - Custos diretos totais'!W$3)-1,0),0)</f>
        <v>-1009455.75</v>
      </c>
      <c r="W218" s="710">
        <f>IFERROR(-VLOOKUP($A213,CustoDiretoTotal,COLUMN('B2 - Custos diretos totais'!X$3)-1,0),0)</f>
        <v>-1009455.75</v>
      </c>
      <c r="X218" s="710">
        <f>IFERROR(-VLOOKUP($A213,CustoDiretoTotal,COLUMN('B2 - Custos diretos totais'!Y$3)-1,0),0)</f>
        <v>-1009455.75</v>
      </c>
      <c r="Y218" s="710">
        <f>IFERROR(-VLOOKUP($A213,CustoDiretoTotal,COLUMN('B2 - Custos diretos totais'!Z$3)-1,0),0)</f>
        <v>-1009455.75</v>
      </c>
      <c r="Z218" s="710">
        <f>IFERROR(-VLOOKUP($A213,CustoDiretoTotal,COLUMN('B2 - Custos diretos totais'!AA$3)-1,0),0)</f>
        <v>-1009455.75</v>
      </c>
      <c r="AA218" s="710">
        <f>IFERROR(-VLOOKUP($A213,CustoDiretoTotal,COLUMN('B2 - Custos diretos totais'!AB$3)-1,0),0)</f>
        <v>-1009455.75</v>
      </c>
      <c r="AB218" s="710">
        <f>IFERROR(-VLOOKUP($A213,CustoDiretoTotal,COLUMN('B2 - Custos diretos totais'!AC$3)-1,0),0)</f>
        <v>-1009455.75</v>
      </c>
      <c r="AC218" s="710">
        <f>IFERROR(-VLOOKUP($A213,CustoDiretoTotal,COLUMN('B2 - Custos diretos totais'!AD$3)-1,0),0)</f>
        <v>-1009455.75</v>
      </c>
      <c r="AD218" s="710">
        <f>IFERROR(-VLOOKUP($A213,CustoDiretoTotal,COLUMN('B2 - Custos diretos totais'!AE$3)-1,0),0)</f>
        <v>-1009455.75</v>
      </c>
      <c r="AE218" s="710">
        <f>IFERROR(-VLOOKUP($A213,CustoDiretoTotal,COLUMN('B2 - Custos diretos totais'!AF$3)-1,0),0)</f>
        <v>-1009455.75</v>
      </c>
      <c r="AF218" s="594"/>
      <c r="AG218" s="594"/>
      <c r="AH218" s="594"/>
      <c r="AI218" s="594"/>
      <c r="AJ218" s="594"/>
      <c r="AK218" s="594"/>
      <c r="AL218" s="594"/>
      <c r="AM218" s="594"/>
      <c r="AN218" s="594"/>
      <c r="AO218" s="594"/>
      <c r="AP218" s="594"/>
      <c r="AQ218" s="594"/>
      <c r="AR218" s="594"/>
      <c r="AS218" s="594"/>
      <c r="AT218" s="594"/>
      <c r="AU218" s="594"/>
      <c r="AV218" s="594"/>
      <c r="AW218" s="594"/>
      <c r="AX218" s="594"/>
      <c r="AY218" s="594"/>
      <c r="AZ218" s="594"/>
      <c r="BA218" s="594"/>
      <c r="BB218" s="594"/>
      <c r="BC218" s="594"/>
      <c r="BD218" s="594"/>
      <c r="BE218" s="594"/>
      <c r="BF218" s="594"/>
      <c r="BG218" s="594"/>
      <c r="BH218" s="594"/>
      <c r="BI218" s="594"/>
      <c r="BJ218" s="594"/>
      <c r="BK218" s="594"/>
      <c r="BL218" s="57"/>
      <c r="BM218" s="594"/>
      <c r="BN218" s="594"/>
      <c r="BO218" s="594"/>
      <c r="BP218" s="594"/>
      <c r="BQ218" s="594"/>
      <c r="BR218" s="594"/>
      <c r="BS218" s="594"/>
      <c r="BT218" s="594"/>
      <c r="BU218" s="594"/>
      <c r="BV218" s="594"/>
      <c r="BW218" s="594"/>
      <c r="BX218" s="594"/>
      <c r="BY218" s="594"/>
      <c r="BZ218" s="594"/>
      <c r="CA218" s="594"/>
      <c r="CB218" s="594"/>
      <c r="CC218" s="594"/>
      <c r="CD218" s="594"/>
      <c r="CE218" s="594"/>
      <c r="CF218" s="594"/>
      <c r="CG218" s="594"/>
      <c r="CH218" s="594"/>
      <c r="CI218" s="594"/>
      <c r="CJ218" s="594"/>
      <c r="CK218" s="594"/>
      <c r="CL218" s="594"/>
      <c r="CM218" s="594"/>
      <c r="CN218" s="594"/>
      <c r="CO218" s="594"/>
      <c r="CP218" s="594"/>
      <c r="CQ218" s="594"/>
    </row>
    <row r="219" spans="1:95" ht="21" hidden="1" customHeight="1" outlineLevel="2">
      <c r="A219" s="709" t="s">
        <v>684</v>
      </c>
      <c r="B219" s="710">
        <f>-SUMIFS('B3 - Custos despesas indiretos'!AK$5:AK$148,'B3 - Custos despesas indiretos'!$B$5:$B$148,"Custos",'B3 - Custos despesas indiretos'!$D$5:$D$148,$A213)</f>
        <v>-6966.5</v>
      </c>
      <c r="C219" s="710">
        <f>-SUMIFS('B3 - Custos despesas indiretos'!AL$5:AL$148,'B3 - Custos despesas indiretos'!$B$5:$B$148,"Custos",'B3 - Custos despesas indiretos'!$D$5:$D$148,$A213)</f>
        <v>-6966.5</v>
      </c>
      <c r="D219" s="710">
        <f>-SUMIFS('B3 - Custos despesas indiretos'!AM$5:AM$148,'B3 - Custos despesas indiretos'!$B$5:$B$148,"Custos",'B3 - Custos despesas indiretos'!$D$5:$D$148,$A213)</f>
        <v>-6966.5</v>
      </c>
      <c r="E219" s="710">
        <f>-SUMIFS('B3 - Custos despesas indiretos'!AN$5:AN$148,'B3 - Custos despesas indiretos'!$B$5:$B$148,"Custos",'B3 - Custos despesas indiretos'!$D$5:$D$148,$A213)</f>
        <v>-6966.5</v>
      </c>
      <c r="F219" s="710">
        <f>-SUMIFS('B3 - Custos despesas indiretos'!AO$5:AO$148,'B3 - Custos despesas indiretos'!$B$5:$B$148,"Custos",'B3 - Custos despesas indiretos'!$D$5:$D$148,$A213)</f>
        <v>-6966.5</v>
      </c>
      <c r="G219" s="710">
        <f>-SUMIFS('B3 - Custos despesas indiretos'!AP$5:AP$148,'B3 - Custos despesas indiretos'!$B$5:$B$148,"Custos",'B3 - Custos despesas indiretos'!$D$5:$D$148,$A213)</f>
        <v>-6966.5</v>
      </c>
      <c r="H219" s="710">
        <f>-SUMIFS('B3 - Custos despesas indiretos'!AQ$5:AQ$148,'B3 - Custos despesas indiretos'!$B$5:$B$148,"Custos",'B3 - Custos despesas indiretos'!$D$5:$D$148,$A213)</f>
        <v>-6966.5</v>
      </c>
      <c r="I219" s="710">
        <f>-SUMIFS('B3 - Custos despesas indiretos'!AR$5:AR$148,'B3 - Custos despesas indiretos'!$B$5:$B$148,"Custos",'B3 - Custos despesas indiretos'!$D$5:$D$148,$A213)</f>
        <v>-6966.5</v>
      </c>
      <c r="J219" s="710">
        <f>-SUMIFS('B3 - Custos despesas indiretos'!AS$5:AS$148,'B3 - Custos despesas indiretos'!$B$5:$B$148,"Custos",'B3 - Custos despesas indiretos'!$D$5:$D$148,$A213)</f>
        <v>-6966.5</v>
      </c>
      <c r="K219" s="710">
        <f>-SUMIFS('B3 - Custos despesas indiretos'!AT$5:AT$148,'B3 - Custos despesas indiretos'!$B$5:$B$148,"Custos",'B3 - Custos despesas indiretos'!$D$5:$D$148,$A213)</f>
        <v>-6966.5</v>
      </c>
      <c r="L219" s="710">
        <f>-SUMIFS('B3 - Custos despesas indiretos'!AU$5:AU$148,'B3 - Custos despesas indiretos'!$B$5:$B$148,"Custos",'B3 - Custos despesas indiretos'!$D$5:$D$148,$A213)</f>
        <v>-6966.5</v>
      </c>
      <c r="M219" s="710">
        <f>-SUMIFS('B3 - Custos despesas indiretos'!AV$5:AV$148,'B3 - Custos despesas indiretos'!$B$5:$B$148,"Custos",'B3 - Custos despesas indiretos'!$D$5:$D$148,$A213)</f>
        <v>-6966.5</v>
      </c>
      <c r="N219" s="710">
        <f>-SUMIFS('B3 - Custos despesas indiretos'!AW$5:AW$148,'B3 - Custos despesas indiretos'!$B$5:$B$148,"Custos",'B3 - Custos despesas indiretos'!$D$5:$D$148,$A213)</f>
        <v>-6966.5</v>
      </c>
      <c r="O219" s="710">
        <f>-SUMIFS('B3 - Custos despesas indiretos'!AX$5:AX$148,'B3 - Custos despesas indiretos'!$B$5:$B$148,"Custos",'B3 - Custos despesas indiretos'!$D$5:$D$148,$A213)</f>
        <v>-6966.5</v>
      </c>
      <c r="P219" s="710">
        <f>-SUMIFS('B3 - Custos despesas indiretos'!AY$5:AY$148,'B3 - Custos despesas indiretos'!$B$5:$B$148,"Custos",'B3 - Custos despesas indiretos'!$D$5:$D$148,$A213)</f>
        <v>-6966.5</v>
      </c>
      <c r="Q219" s="710">
        <f>-SUMIFS('B3 - Custos despesas indiretos'!AZ$5:AZ$148,'B3 - Custos despesas indiretos'!$B$5:$B$148,"Custos",'B3 - Custos despesas indiretos'!$D$5:$D$148,$A213)</f>
        <v>-6966.5</v>
      </c>
      <c r="R219" s="710">
        <f>-SUMIFS('B3 - Custos despesas indiretos'!BA$5:BA$148,'B3 - Custos despesas indiretos'!$B$5:$B$148,"Custos",'B3 - Custos despesas indiretos'!$D$5:$D$148,$A213)</f>
        <v>-6966.5</v>
      </c>
      <c r="S219" s="710">
        <f>-SUMIFS('B3 - Custos despesas indiretos'!BB$5:BB$148,'B3 - Custos despesas indiretos'!$B$5:$B$148,"Custos",'B3 - Custos despesas indiretos'!$D$5:$D$148,$A213)</f>
        <v>-6966.5</v>
      </c>
      <c r="T219" s="710">
        <f>-SUMIFS('B3 - Custos despesas indiretos'!BC$5:BC$148,'B3 - Custos despesas indiretos'!$B$5:$B$148,"Custos",'B3 - Custos despesas indiretos'!$D$5:$D$148,$A213)</f>
        <v>-6966.5</v>
      </c>
      <c r="U219" s="710">
        <f>-SUMIFS('B3 - Custos despesas indiretos'!BD$5:BD$148,'B3 - Custos despesas indiretos'!$B$5:$B$148,"Custos",'B3 - Custos despesas indiretos'!$D$5:$D$148,$A213)</f>
        <v>-6966.5</v>
      </c>
      <c r="V219" s="710">
        <f>-SUMIFS('B3 - Custos despesas indiretos'!BE$5:BE$148,'B3 - Custos despesas indiretos'!$B$5:$B$148,"Custos",'B3 - Custos despesas indiretos'!$D$5:$D$148,$A213)</f>
        <v>-6966.5</v>
      </c>
      <c r="W219" s="710">
        <f>-SUMIFS('B3 - Custos despesas indiretos'!BF$5:BF$148,'B3 - Custos despesas indiretos'!$B$5:$B$148,"Custos",'B3 - Custos despesas indiretos'!$D$5:$D$148,$A213)</f>
        <v>-6966.5</v>
      </c>
      <c r="X219" s="710">
        <f>-SUMIFS('B3 - Custos despesas indiretos'!BG$5:BG$148,'B3 - Custos despesas indiretos'!$B$5:$B$148,"Custos",'B3 - Custos despesas indiretos'!$D$5:$D$148,$A213)</f>
        <v>-6966.5</v>
      </c>
      <c r="Y219" s="710">
        <f>-SUMIFS('B3 - Custos despesas indiretos'!BH$5:BH$148,'B3 - Custos despesas indiretos'!$B$5:$B$148,"Custos",'B3 - Custos despesas indiretos'!$D$5:$D$148,$A213)</f>
        <v>-6966.5</v>
      </c>
      <c r="Z219" s="710">
        <f>-SUMIFS('B3 - Custos despesas indiretos'!BI$5:BI$148,'B3 - Custos despesas indiretos'!$B$5:$B$148,"Custos",'B3 - Custos despesas indiretos'!$D$5:$D$148,$A213)</f>
        <v>-6966.5</v>
      </c>
      <c r="AA219" s="710">
        <f>-SUMIFS('B3 - Custos despesas indiretos'!BJ$5:BJ$148,'B3 - Custos despesas indiretos'!$B$5:$B$148,"Custos",'B3 - Custos despesas indiretos'!$D$5:$D$148,$A213)</f>
        <v>-6966.5</v>
      </c>
      <c r="AB219" s="710">
        <f>-SUMIFS('B3 - Custos despesas indiretos'!BK$5:BK$148,'B3 - Custos despesas indiretos'!$B$5:$B$148,"Custos",'B3 - Custos despesas indiretos'!$D$5:$D$148,$A213)</f>
        <v>-6966.5</v>
      </c>
      <c r="AC219" s="710">
        <f>-SUMIFS('B3 - Custos despesas indiretos'!BL$5:BL$148,'B3 - Custos despesas indiretos'!$B$5:$B$148,"Custos",'B3 - Custos despesas indiretos'!$D$5:$D$148,$A213)</f>
        <v>-6966.5</v>
      </c>
      <c r="AD219" s="710">
        <f>-SUMIFS('B3 - Custos despesas indiretos'!BM$5:BM$148,'B3 - Custos despesas indiretos'!$B$5:$B$148,"Custos",'B3 - Custos despesas indiretos'!$D$5:$D$148,$A213)</f>
        <v>-6966.5</v>
      </c>
      <c r="AE219" s="710">
        <f>-SUMIFS('B3 - Custos despesas indiretos'!BN$5:BN$148,'B3 - Custos despesas indiretos'!$B$5:$B$148,"Custos",'B3 - Custos despesas indiretos'!$D$5:$D$148,$A213)</f>
        <v>-6966.5</v>
      </c>
      <c r="AF219" s="594"/>
      <c r="AG219" s="594"/>
      <c r="AH219" s="594"/>
      <c r="AI219" s="594"/>
      <c r="AJ219" s="594"/>
      <c r="AK219" s="594"/>
      <c r="AL219" s="594"/>
      <c r="AM219" s="594"/>
      <c r="AN219" s="594"/>
      <c r="AO219" s="594"/>
      <c r="AP219" s="594"/>
      <c r="AQ219" s="594"/>
      <c r="AR219" s="594"/>
      <c r="AS219" s="594"/>
      <c r="AT219" s="594"/>
      <c r="AU219" s="594"/>
      <c r="AV219" s="594"/>
      <c r="AW219" s="594"/>
      <c r="AX219" s="594"/>
      <c r="AY219" s="594"/>
      <c r="AZ219" s="594"/>
      <c r="BA219" s="594"/>
      <c r="BB219" s="594"/>
      <c r="BC219" s="594"/>
      <c r="BD219" s="594"/>
      <c r="BE219" s="594"/>
      <c r="BF219" s="594"/>
      <c r="BG219" s="594"/>
      <c r="BH219" s="594"/>
      <c r="BI219" s="594"/>
      <c r="BJ219" s="594"/>
      <c r="BK219" s="594"/>
      <c r="BL219" s="57"/>
      <c r="BM219" s="594"/>
      <c r="BN219" s="594"/>
      <c r="BO219" s="594"/>
      <c r="BP219" s="594"/>
      <c r="BQ219" s="594"/>
      <c r="BR219" s="594"/>
      <c r="BS219" s="594"/>
      <c r="BT219" s="594"/>
      <c r="BU219" s="594"/>
      <c r="BV219" s="594"/>
      <c r="BW219" s="594"/>
      <c r="BX219" s="594"/>
      <c r="BY219" s="594"/>
      <c r="BZ219" s="594"/>
      <c r="CA219" s="594"/>
      <c r="CB219" s="594"/>
      <c r="CC219" s="594"/>
      <c r="CD219" s="594"/>
      <c r="CE219" s="594"/>
      <c r="CF219" s="594"/>
      <c r="CG219" s="594"/>
      <c r="CH219" s="594"/>
      <c r="CI219" s="594"/>
      <c r="CJ219" s="594"/>
      <c r="CK219" s="594"/>
      <c r="CL219" s="594"/>
      <c r="CM219" s="594"/>
      <c r="CN219" s="594"/>
      <c r="CO219" s="594"/>
      <c r="CP219" s="594"/>
      <c r="CQ219" s="594"/>
    </row>
    <row r="220" spans="1:95" ht="21" hidden="1" customHeight="1" outlineLevel="2">
      <c r="A220" s="709" t="s">
        <v>685</v>
      </c>
      <c r="B220" s="710">
        <f>-SUMIFS('B3 - Custos despesas indiretos'!AK$5:AK$148,'B3 - Custos despesas indiretos'!$B$5:$B$148,"Despesas",'B3 - Custos despesas indiretos'!$D$5:$D$148,$A213)</f>
        <v>0</v>
      </c>
      <c r="C220" s="710">
        <f>-SUMIFS('B3 - Custos despesas indiretos'!AL$5:AL$148,'B3 - Custos despesas indiretos'!$B$5:$B$148,"Despesas",'B3 - Custos despesas indiretos'!$D$5:$D$148,$A213)</f>
        <v>-34622.400000000001</v>
      </c>
      <c r="D220" s="710">
        <f>-SUMIFS('B3 - Custos despesas indiretos'!AM$5:AM$148,'B3 - Custos despesas indiretos'!$B$5:$B$148,"Despesas",'B3 - Custos despesas indiretos'!$D$5:$D$148,$A213)</f>
        <v>-35816.800000000003</v>
      </c>
      <c r="E220" s="710">
        <f>-SUMIFS('B3 - Custos despesas indiretos'!AN$5:AN$148,'B3 - Custos despesas indiretos'!$B$5:$B$148,"Despesas",'B3 - Custos despesas indiretos'!$D$5:$D$148,$A213)</f>
        <v>-36973.200000000004</v>
      </c>
      <c r="F220" s="710">
        <f>-SUMIFS('B3 - Custos despesas indiretos'!AO$5:AO$148,'B3 - Custos despesas indiretos'!$B$5:$B$148,"Despesas",'B3 - Custos despesas indiretos'!$D$5:$D$148,$A213)</f>
        <v>-38148.400000000001</v>
      </c>
      <c r="G220" s="710">
        <f>-SUMIFS('B3 - Custos despesas indiretos'!AP$5:AP$148,'B3 - Custos despesas indiretos'!$B$5:$B$148,"Despesas",'B3 - Custos despesas indiretos'!$D$5:$D$148,$A213)</f>
        <v>-39344</v>
      </c>
      <c r="H220" s="710">
        <f>-SUMIFS('B3 - Custos despesas indiretos'!AQ$5:AQ$148,'B3 - Custos despesas indiretos'!$B$5:$B$148,"Despesas",'B3 - Custos despesas indiretos'!$D$5:$D$148,$A213)</f>
        <v>-40573.599999999999</v>
      </c>
      <c r="I220" s="710">
        <f>-SUMIFS('B3 - Custos despesas indiretos'!AR$5:AR$148,'B3 - Custos despesas indiretos'!$B$5:$B$148,"Despesas",'B3 - Custos despesas indiretos'!$D$5:$D$148,$A213)</f>
        <v>-41838.800000000003</v>
      </c>
      <c r="J220" s="710">
        <f>-SUMIFS('B3 - Custos despesas indiretos'!AS$5:AS$148,'B3 - Custos despesas indiretos'!$B$5:$B$148,"Despesas",'B3 - Custos despesas indiretos'!$D$5:$D$148,$A213)</f>
        <v>-43127.200000000004</v>
      </c>
      <c r="K220" s="710">
        <f>-SUMIFS('B3 - Custos despesas indiretos'!AT$5:AT$148,'B3 - Custos despesas indiretos'!$B$5:$B$148,"Despesas",'B3 - Custos despesas indiretos'!$D$5:$D$148,$A213)</f>
        <v>-44439.200000000004</v>
      </c>
      <c r="L220" s="710">
        <f>-SUMIFS('B3 - Custos despesas indiretos'!AU$5:AU$148,'B3 - Custos despesas indiretos'!$B$5:$B$148,"Despesas",'B3 - Custos despesas indiretos'!$D$5:$D$148,$A213)</f>
        <v>-45792.800000000003</v>
      </c>
      <c r="M220" s="710">
        <f>-SUMIFS('B3 - Custos despesas indiretos'!AV$5:AV$148,'B3 - Custos despesas indiretos'!$B$5:$B$148,"Despesas",'B3 - Custos despesas indiretos'!$D$5:$D$148,$A213)</f>
        <v>-47186.8</v>
      </c>
      <c r="N220" s="710">
        <f>-SUMIFS('B3 - Custos despesas indiretos'!AW$5:AW$148,'B3 - Custos despesas indiretos'!$B$5:$B$148,"Despesas",'B3 - Custos despesas indiretos'!$D$5:$D$148,$A213)</f>
        <v>-48625.200000000004</v>
      </c>
      <c r="O220" s="710">
        <f>-SUMIFS('B3 - Custos despesas indiretos'!AX$5:AX$148,'B3 - Custos despesas indiretos'!$B$5:$B$148,"Despesas",'B3 - Custos despesas indiretos'!$D$5:$D$148,$A213)</f>
        <v>-50106.8</v>
      </c>
      <c r="P220" s="710">
        <f>-SUMIFS('B3 - Custos despesas indiretos'!AY$5:AY$148,'B3 - Custos despesas indiretos'!$B$5:$B$148,"Despesas",'B3 - Custos despesas indiretos'!$D$5:$D$148,$A213)</f>
        <v>-51633.200000000004</v>
      </c>
      <c r="Q220" s="710">
        <f>-SUMIFS('B3 - Custos despesas indiretos'!AZ$5:AZ$148,'B3 - Custos despesas indiretos'!$B$5:$B$148,"Despesas",'B3 - Custos despesas indiretos'!$D$5:$D$148,$A213)</f>
        <v>-53201.599999999999</v>
      </c>
      <c r="R220" s="710">
        <f>-SUMIFS('B3 - Custos despesas indiretos'!BA$5:BA$148,'B3 - Custos despesas indiretos'!$B$5:$B$148,"Despesas",'B3 - Custos despesas indiretos'!$D$5:$D$148,$A213)</f>
        <v>-54809.599999999999</v>
      </c>
      <c r="S220" s="710">
        <f>-SUMIFS('B3 - Custos despesas indiretos'!BB$5:BB$148,'B3 - Custos despesas indiretos'!$B$5:$B$148,"Despesas",'B3 - Custos despesas indiretos'!$D$5:$D$148,$A213)</f>
        <v>-56452</v>
      </c>
      <c r="T220" s="710">
        <f>-SUMIFS('B3 - Custos despesas indiretos'!BC$5:BC$148,'B3 - Custos despesas indiretos'!$B$5:$B$148,"Despesas",'B3 - Custos despesas indiretos'!$D$5:$D$148,$A213)</f>
        <v>-58124.800000000003</v>
      </c>
      <c r="U220" s="710">
        <f>-SUMIFS('B3 - Custos despesas indiretos'!BD$5:BD$148,'B3 - Custos despesas indiretos'!$B$5:$B$148,"Despesas",'B3 - Custos despesas indiretos'!$D$5:$D$148,$A213)</f>
        <v>-59819.6</v>
      </c>
      <c r="V220" s="710">
        <f>-SUMIFS('B3 - Custos despesas indiretos'!BE$5:BE$148,'B3 - Custos despesas indiretos'!$B$5:$B$148,"Despesas",'B3 - Custos despesas indiretos'!$D$5:$D$148,$A213)</f>
        <v>-59819.6</v>
      </c>
      <c r="W220" s="710">
        <f>-SUMIFS('B3 - Custos despesas indiretos'!BF$5:BF$148,'B3 - Custos despesas indiretos'!$B$5:$B$148,"Despesas",'B3 - Custos despesas indiretos'!$D$5:$D$148,$A213)</f>
        <v>-59819.6</v>
      </c>
      <c r="X220" s="710">
        <f>-SUMIFS('B3 - Custos despesas indiretos'!BG$5:BG$148,'B3 - Custos despesas indiretos'!$B$5:$B$148,"Despesas",'B3 - Custos despesas indiretos'!$D$5:$D$148,$A213)</f>
        <v>-59819.6</v>
      </c>
      <c r="Y220" s="710">
        <f>-SUMIFS('B3 - Custos despesas indiretos'!BH$5:BH$148,'B3 - Custos despesas indiretos'!$B$5:$B$148,"Despesas",'B3 - Custos despesas indiretos'!$D$5:$D$148,$A213)</f>
        <v>-59819.6</v>
      </c>
      <c r="Z220" s="710">
        <f>-SUMIFS('B3 - Custos despesas indiretos'!BI$5:BI$148,'B3 - Custos despesas indiretos'!$B$5:$B$148,"Despesas",'B3 - Custos despesas indiretos'!$D$5:$D$148,$A213)</f>
        <v>-59819.6</v>
      </c>
      <c r="AA220" s="710">
        <f>-SUMIFS('B3 - Custos despesas indiretos'!BJ$5:BJ$148,'B3 - Custos despesas indiretos'!$B$5:$B$148,"Despesas",'B3 - Custos despesas indiretos'!$D$5:$D$148,$A213)</f>
        <v>-59819.6</v>
      </c>
      <c r="AB220" s="710">
        <f>-SUMIFS('B3 - Custos despesas indiretos'!BK$5:BK$148,'B3 - Custos despesas indiretos'!$B$5:$B$148,"Despesas",'B3 - Custos despesas indiretos'!$D$5:$D$148,$A213)</f>
        <v>-59819.6</v>
      </c>
      <c r="AC220" s="710">
        <f>-SUMIFS('B3 - Custos despesas indiretos'!BL$5:BL$148,'B3 - Custos despesas indiretos'!$B$5:$B$148,"Despesas",'B3 - Custos despesas indiretos'!$D$5:$D$148,$A213)</f>
        <v>-59819.6</v>
      </c>
      <c r="AD220" s="710">
        <f>-SUMIFS('B3 - Custos despesas indiretos'!BM$5:BM$148,'B3 - Custos despesas indiretos'!$B$5:$B$148,"Despesas",'B3 - Custos despesas indiretos'!$D$5:$D$148,$A213)</f>
        <v>-59819.6</v>
      </c>
      <c r="AE220" s="710">
        <f>-SUMIFS('B3 - Custos despesas indiretos'!BN$5:BN$148,'B3 - Custos despesas indiretos'!$B$5:$B$148,"Despesas",'B3 - Custos despesas indiretos'!$D$5:$D$148,$A213)</f>
        <v>-59819.6</v>
      </c>
      <c r="AF220" s="594"/>
      <c r="AG220" s="594"/>
      <c r="AH220" s="594"/>
      <c r="AI220" s="594"/>
      <c r="AJ220" s="594"/>
      <c r="AK220" s="594"/>
      <c r="AL220" s="594"/>
      <c r="AM220" s="594"/>
      <c r="AN220" s="594"/>
      <c r="AO220" s="594"/>
      <c r="AP220" s="594"/>
      <c r="AQ220" s="594"/>
      <c r="AR220" s="594"/>
      <c r="AS220" s="594"/>
      <c r="AT220" s="594"/>
      <c r="AU220" s="594"/>
      <c r="AV220" s="594"/>
      <c r="AW220" s="594"/>
      <c r="AX220" s="594"/>
      <c r="AY220" s="594"/>
      <c r="AZ220" s="594"/>
      <c r="BA220" s="594"/>
      <c r="BB220" s="594"/>
      <c r="BC220" s="594"/>
      <c r="BD220" s="594"/>
      <c r="BE220" s="594"/>
      <c r="BF220" s="594"/>
      <c r="BG220" s="594"/>
      <c r="BH220" s="594"/>
      <c r="BI220" s="594"/>
      <c r="BJ220" s="594"/>
      <c r="BK220" s="594"/>
      <c r="BL220" s="57"/>
      <c r="BM220" s="594"/>
      <c r="BN220" s="594"/>
      <c r="BO220" s="594"/>
      <c r="BP220" s="594"/>
      <c r="BQ220" s="594"/>
      <c r="BR220" s="594"/>
      <c r="BS220" s="594"/>
      <c r="BT220" s="594"/>
      <c r="BU220" s="594"/>
      <c r="BV220" s="594"/>
      <c r="BW220" s="594"/>
      <c r="BX220" s="594"/>
      <c r="BY220" s="594"/>
      <c r="BZ220" s="594"/>
      <c r="CA220" s="594"/>
      <c r="CB220" s="594"/>
      <c r="CC220" s="594"/>
      <c r="CD220" s="594"/>
      <c r="CE220" s="594"/>
      <c r="CF220" s="594"/>
      <c r="CG220" s="594"/>
      <c r="CH220" s="594"/>
      <c r="CI220" s="594"/>
      <c r="CJ220" s="594"/>
      <c r="CK220" s="594"/>
      <c r="CL220" s="594"/>
      <c r="CM220" s="594"/>
      <c r="CN220" s="594"/>
      <c r="CO220" s="594"/>
      <c r="CP220" s="594"/>
      <c r="CQ220" s="594"/>
    </row>
    <row r="221" spans="1:95" ht="21" hidden="1" customHeight="1" outlineLevel="2">
      <c r="A221" s="709" t="s">
        <v>686</v>
      </c>
      <c r="B221" s="710">
        <f>-SUMIF('D2 - Capex uso'!$C$6:$C$176,$A213,'D2 - Capex uso'!GI$6:GI$176)</f>
        <v>-17128.471799999999</v>
      </c>
      <c r="C221" s="710">
        <f>-SUMIF('D2 - Capex uso'!$C$6:$C$176,$A213,'D2 - Capex uso'!GJ$6:GJ$176)</f>
        <v>-17128.471799999999</v>
      </c>
      <c r="D221" s="710">
        <f>-SUMIF('D2 - Capex uso'!$C$6:$C$176,$A213,'D2 - Capex uso'!GK$6:GK$176)</f>
        <v>-17128.471799999999</v>
      </c>
      <c r="E221" s="710">
        <f>-SUMIF('D2 - Capex uso'!$C$6:$C$176,$A213,'D2 - Capex uso'!GL$6:GL$176)</f>
        <v>-17128.471799999999</v>
      </c>
      <c r="F221" s="710">
        <f>-SUMIF('D2 - Capex uso'!$C$6:$C$176,$A213,'D2 - Capex uso'!GM$6:GM$176)</f>
        <v>-17128.471799999999</v>
      </c>
      <c r="G221" s="710">
        <f>-SUMIF('D2 - Capex uso'!$C$6:$C$176,$A213,'D2 - Capex uso'!GN$6:GN$176)</f>
        <v>-17128.471799999999</v>
      </c>
      <c r="H221" s="710">
        <f>-SUMIF('D2 - Capex uso'!$C$6:$C$176,$A213,'D2 - Capex uso'!GO$6:GO$176)</f>
        <v>-17128.471799999999</v>
      </c>
      <c r="I221" s="710">
        <f>-SUMIF('D2 - Capex uso'!$C$6:$C$176,$A213,'D2 - Capex uso'!GP$6:GP$176)</f>
        <v>-17128.471799999999</v>
      </c>
      <c r="J221" s="710">
        <f>-SUMIF('D2 - Capex uso'!$C$6:$C$176,$A213,'D2 - Capex uso'!GQ$6:GQ$176)</f>
        <v>-17128.471799999999</v>
      </c>
      <c r="K221" s="710">
        <f>-SUMIF('D2 - Capex uso'!$C$6:$C$176,$A213,'D2 - Capex uso'!GR$6:GR$176)</f>
        <v>-17128.471799999999</v>
      </c>
      <c r="L221" s="710">
        <f>-SUMIF('D2 - Capex uso'!$C$6:$C$176,$A213,'D2 - Capex uso'!GS$6:GS$176)</f>
        <v>-17128.471799999999</v>
      </c>
      <c r="M221" s="710">
        <f>-SUMIF('D2 - Capex uso'!$C$6:$C$176,$A213,'D2 - Capex uso'!GT$6:GT$176)</f>
        <v>-17128.471799999999</v>
      </c>
      <c r="N221" s="710">
        <f>-SUMIF('D2 - Capex uso'!$C$6:$C$176,$A213,'D2 - Capex uso'!GU$6:GU$176)</f>
        <v>-17128.471799999999</v>
      </c>
      <c r="O221" s="710">
        <f>-SUMIF('D2 - Capex uso'!$C$6:$C$176,$A213,'D2 - Capex uso'!GV$6:GV$176)</f>
        <v>-17128.471799999999</v>
      </c>
      <c r="P221" s="710">
        <f>-SUMIF('D2 - Capex uso'!$C$6:$C$176,$A213,'D2 - Capex uso'!GW$6:GW$176)</f>
        <v>-17128.471799999999</v>
      </c>
      <c r="Q221" s="710">
        <f>-SUMIF('D2 - Capex uso'!$C$6:$C$176,$A213,'D2 - Capex uso'!GX$6:GX$176)</f>
        <v>-17128.471799999999</v>
      </c>
      <c r="R221" s="710">
        <f>-SUMIF('D2 - Capex uso'!$C$6:$C$176,$A213,'D2 - Capex uso'!GY$6:GY$176)</f>
        <v>-17128.471799999999</v>
      </c>
      <c r="S221" s="710">
        <f>-SUMIF('D2 - Capex uso'!$C$6:$C$176,$A213,'D2 - Capex uso'!GZ$6:GZ$176)</f>
        <v>-17128.471799999999</v>
      </c>
      <c r="T221" s="710">
        <f>-SUMIF('D2 - Capex uso'!$C$6:$C$176,$A213,'D2 - Capex uso'!HA$6:HA$176)</f>
        <v>-17128.471799999999</v>
      </c>
      <c r="U221" s="710">
        <f>-SUMIF('D2 - Capex uso'!$C$6:$C$176,$A213,'D2 - Capex uso'!HB$6:HB$176)</f>
        <v>-17128.471799999999</v>
      </c>
      <c r="V221" s="710">
        <f>-SUMIF('D2 - Capex uso'!$C$6:$C$176,$A213,'D2 - Capex uso'!HC$6:HC$176)</f>
        <v>-17128.471799999999</v>
      </c>
      <c r="W221" s="710">
        <f>-SUMIF('D2 - Capex uso'!$C$6:$C$176,$A213,'D2 - Capex uso'!HD$6:HD$176)</f>
        <v>-17128.471799999999</v>
      </c>
      <c r="X221" s="710">
        <f>-SUMIF('D2 - Capex uso'!$C$6:$C$176,$A213,'D2 - Capex uso'!HE$6:HE$176)</f>
        <v>-17128.471799999999</v>
      </c>
      <c r="Y221" s="710">
        <f>-SUMIF('D2 - Capex uso'!$C$6:$C$176,$A213,'D2 - Capex uso'!HF$6:HF$176)</f>
        <v>-17128.471799999999</v>
      </c>
      <c r="Z221" s="710">
        <f>-SUMIF('D2 - Capex uso'!$C$6:$C$176,$A213,'D2 - Capex uso'!HG$6:HG$176)</f>
        <v>-17128.471799999999</v>
      </c>
      <c r="AA221" s="710">
        <f>-SUMIF('D2 - Capex uso'!$C$6:$C$176,$A213,'D2 - Capex uso'!HH$6:HH$176)</f>
        <v>-17128.471799999999</v>
      </c>
      <c r="AB221" s="710">
        <f>-SUMIF('D2 - Capex uso'!$C$6:$C$176,$A213,'D2 - Capex uso'!HI$6:HI$176)</f>
        <v>-17128.471799999999</v>
      </c>
      <c r="AC221" s="710">
        <f>-SUMIF('D2 - Capex uso'!$C$6:$C$176,$A213,'D2 - Capex uso'!HJ$6:HJ$176)</f>
        <v>-17128.471799999999</v>
      </c>
      <c r="AD221" s="710">
        <f>-SUMIF('D2 - Capex uso'!$C$6:$C$176,$A213,'D2 - Capex uso'!HK$6:HK$176)</f>
        <v>-17128.471799999999</v>
      </c>
      <c r="AE221" s="710">
        <f>-SUMIF('D2 - Capex uso'!$C$6:$C$176,$A213,'D2 - Capex uso'!HL$6:HL$176)</f>
        <v>-17128.471799999999</v>
      </c>
      <c r="AF221" s="594"/>
      <c r="AG221" s="594"/>
      <c r="AH221" s="594"/>
      <c r="AI221" s="594"/>
      <c r="AJ221" s="594"/>
      <c r="AK221" s="594"/>
      <c r="AL221" s="594"/>
      <c r="AM221" s="594"/>
      <c r="AN221" s="594"/>
      <c r="AO221" s="594"/>
      <c r="AP221" s="594"/>
      <c r="AQ221" s="594"/>
      <c r="AR221" s="594"/>
      <c r="AS221" s="594"/>
      <c r="AT221" s="594"/>
      <c r="AU221" s="594"/>
      <c r="AV221" s="594"/>
      <c r="AW221" s="594"/>
      <c r="AX221" s="594"/>
      <c r="AY221" s="594"/>
      <c r="AZ221" s="594"/>
      <c r="BA221" s="594"/>
      <c r="BB221" s="594"/>
      <c r="BC221" s="594"/>
      <c r="BD221" s="594"/>
      <c r="BE221" s="594"/>
      <c r="BF221" s="594"/>
      <c r="BG221" s="594"/>
      <c r="BH221" s="594"/>
      <c r="BI221" s="594"/>
      <c r="BJ221" s="594"/>
      <c r="BK221" s="594"/>
      <c r="BL221" s="57"/>
      <c r="BM221" s="594"/>
      <c r="BN221" s="594"/>
      <c r="BO221" s="594"/>
      <c r="BP221" s="594"/>
      <c r="BQ221" s="594"/>
      <c r="BR221" s="594"/>
      <c r="BS221" s="594"/>
      <c r="BT221" s="594"/>
      <c r="BU221" s="594"/>
      <c r="BV221" s="594"/>
      <c r="BW221" s="594"/>
      <c r="BX221" s="594"/>
      <c r="BY221" s="594"/>
      <c r="BZ221" s="594"/>
      <c r="CA221" s="594"/>
      <c r="CB221" s="594"/>
      <c r="CC221" s="594"/>
      <c r="CD221" s="594"/>
      <c r="CE221" s="594"/>
      <c r="CF221" s="594"/>
      <c r="CG221" s="594"/>
      <c r="CH221" s="594"/>
      <c r="CI221" s="594"/>
      <c r="CJ221" s="594"/>
      <c r="CK221" s="594"/>
      <c r="CL221" s="594"/>
      <c r="CM221" s="594"/>
      <c r="CN221" s="594"/>
      <c r="CO221" s="594"/>
      <c r="CP221" s="594"/>
      <c r="CQ221" s="594"/>
    </row>
    <row r="222" spans="1:95" ht="21" hidden="1" customHeight="1" outlineLevel="1">
      <c r="A222" s="708" t="s">
        <v>687</v>
      </c>
      <c r="B222" s="707">
        <f t="shared" ref="B222:AE222" si="70">SUM(B214:B216)</f>
        <v>-24094.971799999999</v>
      </c>
      <c r="C222" s="707">
        <f t="shared" si="70"/>
        <v>694340.71087551955</v>
      </c>
      <c r="D222" s="707">
        <f t="shared" si="70"/>
        <v>734241.44872991391</v>
      </c>
      <c r="E222" s="707">
        <f t="shared" si="70"/>
        <v>772873.6046557019</v>
      </c>
      <c r="F222" s="707">
        <f t="shared" si="70"/>
        <v>812133.91059731436</v>
      </c>
      <c r="G222" s="707">
        <f t="shared" si="70"/>
        <v>852075.58833384677</v>
      </c>
      <c r="H222" s="707">
        <f t="shared" si="70"/>
        <v>893151.83419919666</v>
      </c>
      <c r="I222" s="707">
        <f t="shared" si="70"/>
        <v>935418.57867347472</v>
      </c>
      <c r="J222" s="707">
        <f t="shared" si="70"/>
        <v>978459.80304344022</v>
      </c>
      <c r="K222" s="707">
        <f t="shared" si="70"/>
        <v>1022290.9392324241</v>
      </c>
      <c r="L222" s="707">
        <f t="shared" si="70"/>
        <v>1067510.2912716789</v>
      </c>
      <c r="M222" s="707">
        <f t="shared" si="70"/>
        <v>1114079.2762877124</v>
      </c>
      <c r="N222" s="707">
        <f t="shared" si="70"/>
        <v>1162132.1959735022</v>
      </c>
      <c r="O222" s="707">
        <f t="shared" si="70"/>
        <v>1211627.756474036</v>
      </c>
      <c r="P222" s="707">
        <f t="shared" si="70"/>
        <v>1262620.174632692</v>
      </c>
      <c r="Q222" s="707">
        <f t="shared" si="70"/>
        <v>1315015.9352048421</v>
      </c>
      <c r="R222" s="707">
        <f t="shared" si="70"/>
        <v>1368734.6684942455</v>
      </c>
      <c r="S222" s="707">
        <f t="shared" si="70"/>
        <v>1423601.7071856316</v>
      </c>
      <c r="T222" s="707">
        <f t="shared" si="70"/>
        <v>1479484.4070176452</v>
      </c>
      <c r="U222" s="707">
        <f t="shared" si="70"/>
        <v>1536102.6468704799</v>
      </c>
      <c r="V222" s="707">
        <f t="shared" si="70"/>
        <v>1536102.6468704799</v>
      </c>
      <c r="W222" s="707">
        <f t="shared" si="70"/>
        <v>1536102.6468704799</v>
      </c>
      <c r="X222" s="707">
        <f t="shared" si="70"/>
        <v>1536102.6468704799</v>
      </c>
      <c r="Y222" s="707">
        <f t="shared" si="70"/>
        <v>1536102.6468704799</v>
      </c>
      <c r="Z222" s="707">
        <f t="shared" si="70"/>
        <v>1536102.6468704799</v>
      </c>
      <c r="AA222" s="707">
        <f t="shared" si="70"/>
        <v>1536102.6468704799</v>
      </c>
      <c r="AB222" s="707">
        <f t="shared" si="70"/>
        <v>1536102.6468704799</v>
      </c>
      <c r="AC222" s="707">
        <f t="shared" si="70"/>
        <v>1536102.6468704799</v>
      </c>
      <c r="AD222" s="707">
        <f t="shared" si="70"/>
        <v>1536102.6468704799</v>
      </c>
      <c r="AE222" s="707">
        <f t="shared" si="70"/>
        <v>1536102.6468704799</v>
      </c>
      <c r="AF222" s="594"/>
      <c r="AG222" s="594"/>
      <c r="AH222" s="594"/>
      <c r="AI222" s="594"/>
      <c r="AJ222" s="594"/>
      <c r="AK222" s="594"/>
      <c r="AL222" s="594"/>
      <c r="AM222" s="594"/>
      <c r="AN222" s="594"/>
      <c r="AO222" s="594"/>
      <c r="AP222" s="594"/>
      <c r="AQ222" s="594"/>
      <c r="AR222" s="594"/>
      <c r="AS222" s="594"/>
      <c r="AT222" s="594"/>
      <c r="AU222" s="594"/>
      <c r="AV222" s="594"/>
      <c r="AW222" s="594"/>
      <c r="AX222" s="594"/>
      <c r="AY222" s="594"/>
      <c r="AZ222" s="594"/>
      <c r="BA222" s="594"/>
      <c r="BB222" s="594"/>
      <c r="BC222" s="594"/>
      <c r="BD222" s="594"/>
      <c r="BE222" s="594"/>
      <c r="BF222" s="594"/>
      <c r="BG222" s="594"/>
      <c r="BH222" s="594"/>
      <c r="BI222" s="594"/>
      <c r="BJ222" s="594"/>
      <c r="BK222" s="594"/>
      <c r="BL222" s="57"/>
      <c r="BM222" s="594"/>
      <c r="BN222" s="594"/>
      <c r="BO222" s="594"/>
      <c r="BP222" s="594"/>
      <c r="BQ222" s="594"/>
      <c r="BR222" s="594"/>
      <c r="BS222" s="594"/>
      <c r="BT222" s="594"/>
      <c r="BU222" s="594"/>
      <c r="BV222" s="594"/>
      <c r="BW222" s="594"/>
      <c r="BX222" s="594"/>
      <c r="BY222" s="594"/>
      <c r="BZ222" s="594"/>
      <c r="CA222" s="594"/>
      <c r="CB222" s="594"/>
      <c r="CC222" s="594"/>
      <c r="CD222" s="594"/>
      <c r="CE222" s="594"/>
      <c r="CF222" s="594"/>
      <c r="CG222" s="594"/>
      <c r="CH222" s="594"/>
      <c r="CI222" s="594"/>
      <c r="CJ222" s="594"/>
      <c r="CK222" s="594"/>
      <c r="CL222" s="594"/>
      <c r="CM222" s="594"/>
      <c r="CN222" s="594"/>
      <c r="CO222" s="594"/>
      <c r="CP222" s="594"/>
      <c r="CQ222" s="594"/>
    </row>
    <row r="223" spans="1:95" ht="19.5" hidden="1" customHeight="1" outlineLevel="1">
      <c r="A223" s="708" t="s">
        <v>688</v>
      </c>
      <c r="B223" s="707">
        <f t="shared" ref="B223:AE223" si="71">SUM(B224:B231)</f>
        <v>-342569.43600000005</v>
      </c>
      <c r="C223" s="707">
        <f t="shared" si="71"/>
        <v>0</v>
      </c>
      <c r="D223" s="707">
        <f t="shared" si="71"/>
        <v>0</v>
      </c>
      <c r="E223" s="707">
        <f t="shared" si="71"/>
        <v>0</v>
      </c>
      <c r="F223" s="707">
        <f t="shared" si="71"/>
        <v>0</v>
      </c>
      <c r="G223" s="707">
        <f t="shared" si="71"/>
        <v>0</v>
      </c>
      <c r="H223" s="707">
        <f t="shared" si="71"/>
        <v>0</v>
      </c>
      <c r="I223" s="707">
        <f t="shared" si="71"/>
        <v>0</v>
      </c>
      <c r="J223" s="707">
        <f t="shared" si="71"/>
        <v>0</v>
      </c>
      <c r="K223" s="707">
        <f t="shared" si="71"/>
        <v>0</v>
      </c>
      <c r="L223" s="707">
        <f t="shared" si="71"/>
        <v>-238175.47600000002</v>
      </c>
      <c r="M223" s="707">
        <f t="shared" si="71"/>
        <v>0</v>
      </c>
      <c r="N223" s="707">
        <f t="shared" si="71"/>
        <v>0</v>
      </c>
      <c r="O223" s="707">
        <f t="shared" si="71"/>
        <v>0</v>
      </c>
      <c r="P223" s="707">
        <f t="shared" si="71"/>
        <v>0</v>
      </c>
      <c r="Q223" s="707">
        <f t="shared" si="71"/>
        <v>0</v>
      </c>
      <c r="R223" s="707">
        <f t="shared" si="71"/>
        <v>0</v>
      </c>
      <c r="S223" s="707">
        <f t="shared" si="71"/>
        <v>0</v>
      </c>
      <c r="T223" s="707">
        <f t="shared" si="71"/>
        <v>0</v>
      </c>
      <c r="U223" s="707">
        <f t="shared" si="71"/>
        <v>0</v>
      </c>
      <c r="V223" s="707">
        <f t="shared" si="71"/>
        <v>-238175.47600000002</v>
      </c>
      <c r="W223" s="707">
        <f t="shared" si="71"/>
        <v>0</v>
      </c>
      <c r="X223" s="707">
        <f t="shared" si="71"/>
        <v>0</v>
      </c>
      <c r="Y223" s="707">
        <f t="shared" si="71"/>
        <v>0</v>
      </c>
      <c r="Z223" s="707">
        <f t="shared" si="71"/>
        <v>0</v>
      </c>
      <c r="AA223" s="707">
        <f t="shared" si="71"/>
        <v>0</v>
      </c>
      <c r="AB223" s="707">
        <f t="shared" si="71"/>
        <v>0</v>
      </c>
      <c r="AC223" s="707">
        <f t="shared" si="71"/>
        <v>0</v>
      </c>
      <c r="AD223" s="707">
        <f t="shared" si="71"/>
        <v>0</v>
      </c>
      <c r="AE223" s="707">
        <f t="shared" si="71"/>
        <v>0</v>
      </c>
      <c r="AF223" s="594"/>
      <c r="AG223" s="594"/>
      <c r="AH223" s="594"/>
      <c r="AI223" s="594"/>
      <c r="AJ223" s="594"/>
      <c r="AK223" s="594"/>
      <c r="AL223" s="594"/>
      <c r="AM223" s="594"/>
      <c r="AN223" s="594"/>
      <c r="AO223" s="594"/>
      <c r="AP223" s="594"/>
      <c r="AQ223" s="594"/>
      <c r="AR223" s="594"/>
      <c r="AS223" s="594"/>
      <c r="AT223" s="594"/>
      <c r="AU223" s="594"/>
      <c r="AV223" s="594"/>
      <c r="AW223" s="594"/>
      <c r="AX223" s="594"/>
      <c r="AY223" s="594"/>
      <c r="AZ223" s="594"/>
      <c r="BA223" s="594"/>
      <c r="BB223" s="594"/>
      <c r="BC223" s="594"/>
      <c r="BD223" s="594"/>
      <c r="BE223" s="594"/>
      <c r="BF223" s="594"/>
      <c r="BG223" s="594"/>
      <c r="BH223" s="594"/>
      <c r="BI223" s="594"/>
      <c r="BJ223" s="594"/>
      <c r="BK223" s="594"/>
      <c r="BL223" s="57"/>
      <c r="BM223" s="594"/>
      <c r="BN223" s="594"/>
      <c r="BO223" s="594"/>
      <c r="BP223" s="594"/>
      <c r="BQ223" s="594"/>
      <c r="BR223" s="594"/>
      <c r="BS223" s="594"/>
      <c r="BT223" s="594"/>
      <c r="BU223" s="594"/>
      <c r="BV223" s="594"/>
      <c r="BW223" s="594"/>
      <c r="BX223" s="594"/>
      <c r="BY223" s="594"/>
      <c r="BZ223" s="594"/>
      <c r="CA223" s="594"/>
      <c r="CB223" s="594"/>
      <c r="CC223" s="594"/>
      <c r="CD223" s="594"/>
      <c r="CE223" s="594"/>
      <c r="CF223" s="594"/>
      <c r="CG223" s="594"/>
      <c r="CH223" s="594"/>
      <c r="CI223" s="594"/>
      <c r="CJ223" s="594"/>
      <c r="CK223" s="594"/>
      <c r="CL223" s="594"/>
      <c r="CM223" s="594"/>
      <c r="CN223" s="594"/>
      <c r="CO223" s="594"/>
      <c r="CP223" s="594"/>
      <c r="CQ223" s="594"/>
    </row>
    <row r="224" spans="1:95" ht="19.5" hidden="1" customHeight="1" outlineLevel="2">
      <c r="A224" s="709" t="s">
        <v>354</v>
      </c>
      <c r="B224" s="710">
        <f>-SUMIFS('D2 - Capex uso'!BS$6:BS$176,'D2 - Capex uso'!$C$6:$C$176,$A213,'D2 - Capex uso'!$AK$6:$AK$176,$A224)</f>
        <v>-104393.96</v>
      </c>
      <c r="C224" s="710">
        <f>-SUMIFS('D2 - Capex uso'!BT$6:BT$176,'D2 - Capex uso'!$C$6:$C$176,$A213,'D2 - Capex uso'!$AK$6:$AK$176,$A224)</f>
        <v>0</v>
      </c>
      <c r="D224" s="710">
        <f>-SUMIFS('D2 - Capex uso'!BU$6:BU$176,'D2 - Capex uso'!$C$6:$C$176,$A213,'D2 - Capex uso'!$AK$6:$AK$176,$A224)</f>
        <v>0</v>
      </c>
      <c r="E224" s="710">
        <f>-SUMIFS('D2 - Capex uso'!BV$6:BV$176,'D2 - Capex uso'!$C$6:$C$176,$A213,'D2 - Capex uso'!$AK$6:$AK$176,$A224)</f>
        <v>0</v>
      </c>
      <c r="F224" s="710">
        <f>-SUMIFS('D2 - Capex uso'!BW$6:BW$176,'D2 - Capex uso'!$C$6:$C$176,$A213,'D2 - Capex uso'!$AK$6:$AK$176,$A224)</f>
        <v>0</v>
      </c>
      <c r="G224" s="710">
        <f>-SUMIFS('D2 - Capex uso'!BX$6:BX$176,'D2 - Capex uso'!$C$6:$C$176,$A213,'D2 - Capex uso'!$AK$6:$AK$176,$A224)</f>
        <v>0</v>
      </c>
      <c r="H224" s="710">
        <f>-SUMIFS('D2 - Capex uso'!BY$6:BY$176,'D2 - Capex uso'!$C$6:$C$176,$A213,'D2 - Capex uso'!$AK$6:$AK$176,$A224)</f>
        <v>0</v>
      </c>
      <c r="I224" s="710">
        <f>-SUMIFS('D2 - Capex uso'!BZ$6:BZ$176,'D2 - Capex uso'!$C$6:$C$176,$A213,'D2 - Capex uso'!$AK$6:$AK$176,$A224)</f>
        <v>0</v>
      </c>
      <c r="J224" s="710">
        <f>-SUMIFS('D2 - Capex uso'!CA$6:CA$176,'D2 - Capex uso'!$C$6:$C$176,$A213,'D2 - Capex uso'!$AK$6:$AK$176,$A224)</f>
        <v>0</v>
      </c>
      <c r="K224" s="710">
        <f>-SUMIFS('D2 - Capex uso'!CB$6:CB$176,'D2 - Capex uso'!$C$6:$C$176,$A213,'D2 - Capex uso'!$AK$6:$AK$176,$A224)</f>
        <v>0</v>
      </c>
      <c r="L224" s="710">
        <f>-SUMIFS('D2 - Capex uso'!CC$6:CC$176,'D2 - Capex uso'!$C$6:$C$176,$A213,'D2 - Capex uso'!$AK$6:$AK$176,$A224)</f>
        <v>0</v>
      </c>
      <c r="M224" s="710">
        <f>-SUMIFS('D2 - Capex uso'!CD$6:CD$176,'D2 - Capex uso'!$C$6:$C$176,$A213,'D2 - Capex uso'!$AK$6:$AK$176,$A224)</f>
        <v>0</v>
      </c>
      <c r="N224" s="710">
        <f>-SUMIFS('D2 - Capex uso'!CE$6:CE$176,'D2 - Capex uso'!$C$6:$C$176,$A213,'D2 - Capex uso'!$AK$6:$AK$176,$A224)</f>
        <v>0</v>
      </c>
      <c r="O224" s="710">
        <f>-SUMIFS('D2 - Capex uso'!CF$6:CF$176,'D2 - Capex uso'!$C$6:$C$176,$A213,'D2 - Capex uso'!$AK$6:$AK$176,$A224)</f>
        <v>0</v>
      </c>
      <c r="P224" s="710">
        <f>-SUMIFS('D2 - Capex uso'!CG$6:CG$176,'D2 - Capex uso'!$C$6:$C$176,$A213,'D2 - Capex uso'!$AK$6:$AK$176,$A224)</f>
        <v>0</v>
      </c>
      <c r="Q224" s="710">
        <f>-SUMIFS('D2 - Capex uso'!CH$6:CH$176,'D2 - Capex uso'!$C$6:$C$176,$A213,'D2 - Capex uso'!$AK$6:$AK$176,$A224)</f>
        <v>0</v>
      </c>
      <c r="R224" s="710">
        <f>-SUMIFS('D2 - Capex uso'!CI$6:CI$176,'D2 - Capex uso'!$C$6:$C$176,$A213,'D2 - Capex uso'!$AK$6:$AK$176,$A224)</f>
        <v>0</v>
      </c>
      <c r="S224" s="710">
        <f>-SUMIFS('D2 - Capex uso'!CJ$6:CJ$176,'D2 - Capex uso'!$C$6:$C$176,$A213,'D2 - Capex uso'!$AK$6:$AK$176,$A224)</f>
        <v>0</v>
      </c>
      <c r="T224" s="710">
        <f>-SUMIFS('D2 - Capex uso'!CK$6:CK$176,'D2 - Capex uso'!$C$6:$C$176,$A213,'D2 - Capex uso'!$AK$6:$AK$176,$A224)</f>
        <v>0</v>
      </c>
      <c r="U224" s="710">
        <f>-SUMIFS('D2 - Capex uso'!CL$6:CL$176,'D2 - Capex uso'!$C$6:$C$176,$A213,'D2 - Capex uso'!$AK$6:$AK$176,$A224)</f>
        <v>0</v>
      </c>
      <c r="V224" s="710">
        <f>-SUMIFS('D2 - Capex uso'!CM$6:CM$176,'D2 - Capex uso'!$C$6:$C$176,$A213,'D2 - Capex uso'!$AK$6:$AK$176,$A224)</f>
        <v>0</v>
      </c>
      <c r="W224" s="710">
        <f>-SUMIFS('D2 - Capex uso'!CN$6:CN$176,'D2 - Capex uso'!$C$6:$C$176,$A213,'D2 - Capex uso'!$AK$6:$AK$176,$A224)</f>
        <v>0</v>
      </c>
      <c r="X224" s="710">
        <f>-SUMIFS('D2 - Capex uso'!CO$6:CO$176,'D2 - Capex uso'!$C$6:$C$176,$A213,'D2 - Capex uso'!$AK$6:$AK$176,$A224)</f>
        <v>0</v>
      </c>
      <c r="Y224" s="710">
        <f>-SUMIFS('D2 - Capex uso'!CP$6:CP$176,'D2 - Capex uso'!$C$6:$C$176,$A213,'D2 - Capex uso'!$AK$6:$AK$176,$A224)</f>
        <v>0</v>
      </c>
      <c r="Z224" s="710">
        <f>-SUMIFS('D2 - Capex uso'!CQ$6:CQ$176,'D2 - Capex uso'!$C$6:$C$176,$A213,'D2 - Capex uso'!$AK$6:$AK$176,$A224)</f>
        <v>0</v>
      </c>
      <c r="AA224" s="710">
        <f>-SUMIFS('D2 - Capex uso'!CR$6:CR$176,'D2 - Capex uso'!$C$6:$C$176,$A213,'D2 - Capex uso'!$AK$6:$AK$176,$A224)</f>
        <v>0</v>
      </c>
      <c r="AB224" s="710">
        <f>-SUMIFS('D2 - Capex uso'!CS$6:CS$176,'D2 - Capex uso'!$C$6:$C$176,$A213,'D2 - Capex uso'!$AK$6:$AK$176,$A224)</f>
        <v>0</v>
      </c>
      <c r="AC224" s="710">
        <f>-SUMIFS('D2 - Capex uso'!CT$6:CT$176,'D2 - Capex uso'!$C$6:$C$176,$A213,'D2 - Capex uso'!$AK$6:$AK$176,$A224)</f>
        <v>0</v>
      </c>
      <c r="AD224" s="710">
        <f>-SUMIFS('D2 - Capex uso'!CU$6:CU$176,'D2 - Capex uso'!$C$6:$C$176,$A213,'D2 - Capex uso'!$AK$6:$AK$176,$A224)</f>
        <v>0</v>
      </c>
      <c r="AE224" s="710">
        <f>-SUMIFS('D2 - Capex uso'!CV$6:CV$176,'D2 - Capex uso'!$C$6:$C$176,$A213,'D2 - Capex uso'!$AK$6:$AK$176,$A224)</f>
        <v>0</v>
      </c>
      <c r="AF224" s="594"/>
      <c r="AG224" s="594"/>
      <c r="AH224" s="594"/>
      <c r="AI224" s="594"/>
      <c r="AJ224" s="594"/>
      <c r="AK224" s="594"/>
      <c r="AL224" s="594"/>
      <c r="AM224" s="594"/>
      <c r="AN224" s="594"/>
      <c r="AO224" s="594"/>
      <c r="AP224" s="594"/>
      <c r="AQ224" s="594"/>
      <c r="AR224" s="594"/>
      <c r="AS224" s="594"/>
      <c r="AT224" s="594"/>
      <c r="AU224" s="594"/>
      <c r="AV224" s="594"/>
      <c r="AW224" s="594"/>
      <c r="AX224" s="594"/>
      <c r="AY224" s="594"/>
      <c r="AZ224" s="594"/>
      <c r="BA224" s="594"/>
      <c r="BB224" s="594"/>
      <c r="BC224" s="594"/>
      <c r="BD224" s="594"/>
      <c r="BE224" s="594"/>
      <c r="BF224" s="594"/>
      <c r="BG224" s="594"/>
      <c r="BH224" s="594"/>
      <c r="BI224" s="594"/>
      <c r="BJ224" s="594"/>
      <c r="BK224" s="594"/>
      <c r="BL224" s="57"/>
      <c r="BM224" s="594"/>
      <c r="BN224" s="594"/>
      <c r="BO224" s="594"/>
      <c r="BP224" s="594"/>
      <c r="BQ224" s="594"/>
      <c r="BR224" s="594"/>
      <c r="BS224" s="594"/>
      <c r="BT224" s="594"/>
      <c r="BU224" s="594"/>
      <c r="BV224" s="594"/>
      <c r="BW224" s="594"/>
      <c r="BX224" s="594"/>
      <c r="BY224" s="594"/>
      <c r="BZ224" s="594"/>
      <c r="CA224" s="594"/>
      <c r="CB224" s="594"/>
      <c r="CC224" s="594"/>
      <c r="CD224" s="594"/>
      <c r="CE224" s="594"/>
      <c r="CF224" s="594"/>
      <c r="CG224" s="594"/>
      <c r="CH224" s="594"/>
      <c r="CI224" s="594"/>
      <c r="CJ224" s="594"/>
      <c r="CK224" s="594"/>
      <c r="CL224" s="594"/>
      <c r="CM224" s="594"/>
      <c r="CN224" s="594"/>
      <c r="CO224" s="594"/>
      <c r="CP224" s="594"/>
      <c r="CQ224" s="594"/>
    </row>
    <row r="225" spans="1:95" ht="19.5" hidden="1" customHeight="1" outlineLevel="2">
      <c r="A225" s="709" t="s">
        <v>689</v>
      </c>
      <c r="B225" s="710">
        <f>-SUMIFS('D2 - Capex uso'!BS$6:BS$176,'D2 - Capex uso'!$C$6:$C$176,$A213,'D2 - Capex uso'!$AK$6:$AK$176,$A225)</f>
        <v>0</v>
      </c>
      <c r="C225" s="710">
        <f>-SUMIFS('D2 - Capex uso'!BT$6:BT$176,'D2 - Capex uso'!$C$6:$C$176,$A213,'D2 - Capex uso'!$AK$6:$AK$176,$A225)</f>
        <v>0</v>
      </c>
      <c r="D225" s="710">
        <f>-SUMIFS('D2 - Capex uso'!BU$6:BU$176,'D2 - Capex uso'!$C$6:$C$176,$A213,'D2 - Capex uso'!$AK$6:$AK$176,$A225)</f>
        <v>0</v>
      </c>
      <c r="E225" s="710">
        <f>-SUMIFS('D2 - Capex uso'!BV$6:BV$176,'D2 - Capex uso'!$C$6:$C$176,$A213,'D2 - Capex uso'!$AK$6:$AK$176,$A225)</f>
        <v>0</v>
      </c>
      <c r="F225" s="710">
        <f>-SUMIFS('D2 - Capex uso'!BW$6:BW$176,'D2 - Capex uso'!$C$6:$C$176,$A213,'D2 - Capex uso'!$AK$6:$AK$176,$A225)</f>
        <v>0</v>
      </c>
      <c r="G225" s="710">
        <f>-SUMIFS('D2 - Capex uso'!BX$6:BX$176,'D2 - Capex uso'!$C$6:$C$176,$A213,'D2 - Capex uso'!$AK$6:$AK$176,$A225)</f>
        <v>0</v>
      </c>
      <c r="H225" s="710">
        <f>-SUMIFS('D2 - Capex uso'!BY$6:BY$176,'D2 - Capex uso'!$C$6:$C$176,$A213,'D2 - Capex uso'!$AK$6:$AK$176,$A225)</f>
        <v>0</v>
      </c>
      <c r="I225" s="710">
        <f>-SUMIFS('D2 - Capex uso'!BZ$6:BZ$176,'D2 - Capex uso'!$C$6:$C$176,$A213,'D2 - Capex uso'!$AK$6:$AK$176,$A225)</f>
        <v>0</v>
      </c>
      <c r="J225" s="710">
        <f>-SUMIFS('D2 - Capex uso'!CA$6:CA$176,'D2 - Capex uso'!$C$6:$C$176,$A213,'D2 - Capex uso'!$AK$6:$AK$176,$A225)</f>
        <v>0</v>
      </c>
      <c r="K225" s="710">
        <f>-SUMIFS('D2 - Capex uso'!CB$6:CB$176,'D2 - Capex uso'!$C$6:$C$176,$A213,'D2 - Capex uso'!$AK$6:$AK$176,$A225)</f>
        <v>0</v>
      </c>
      <c r="L225" s="710">
        <f>-SUMIFS('D2 - Capex uso'!CC$6:CC$176,'D2 - Capex uso'!$C$6:$C$176,$A213,'D2 - Capex uso'!$AK$6:$AK$176,$A225)</f>
        <v>0</v>
      </c>
      <c r="M225" s="710">
        <f>-SUMIFS('D2 - Capex uso'!CD$6:CD$176,'D2 - Capex uso'!$C$6:$C$176,$A213,'D2 - Capex uso'!$AK$6:$AK$176,$A225)</f>
        <v>0</v>
      </c>
      <c r="N225" s="710">
        <f>-SUMIFS('D2 - Capex uso'!CE$6:CE$176,'D2 - Capex uso'!$C$6:$C$176,$A213,'D2 - Capex uso'!$AK$6:$AK$176,$A225)</f>
        <v>0</v>
      </c>
      <c r="O225" s="710">
        <f>-SUMIFS('D2 - Capex uso'!CF$6:CF$176,'D2 - Capex uso'!$C$6:$C$176,$A213,'D2 - Capex uso'!$AK$6:$AK$176,$A225)</f>
        <v>0</v>
      </c>
      <c r="P225" s="710">
        <f>-SUMIFS('D2 - Capex uso'!CG$6:CG$176,'D2 - Capex uso'!$C$6:$C$176,$A213,'D2 - Capex uso'!$AK$6:$AK$176,$A225)</f>
        <v>0</v>
      </c>
      <c r="Q225" s="710">
        <f>-SUMIFS('D2 - Capex uso'!CH$6:CH$176,'D2 - Capex uso'!$C$6:$C$176,$A213,'D2 - Capex uso'!$AK$6:$AK$176,$A225)</f>
        <v>0</v>
      </c>
      <c r="R225" s="710">
        <f>-SUMIFS('D2 - Capex uso'!CI$6:CI$176,'D2 - Capex uso'!$C$6:$C$176,$A213,'D2 - Capex uso'!$AK$6:$AK$176,$A225)</f>
        <v>0</v>
      </c>
      <c r="S225" s="710">
        <f>-SUMIFS('D2 - Capex uso'!CJ$6:CJ$176,'D2 - Capex uso'!$C$6:$C$176,$A213,'D2 - Capex uso'!$AK$6:$AK$176,$A225)</f>
        <v>0</v>
      </c>
      <c r="T225" s="710">
        <f>-SUMIFS('D2 - Capex uso'!CK$6:CK$176,'D2 - Capex uso'!$C$6:$C$176,$A213,'D2 - Capex uso'!$AK$6:$AK$176,$A225)</f>
        <v>0</v>
      </c>
      <c r="U225" s="710">
        <f>-SUMIFS('D2 - Capex uso'!CL$6:CL$176,'D2 - Capex uso'!$C$6:$C$176,$A213,'D2 - Capex uso'!$AK$6:$AK$176,$A225)</f>
        <v>0</v>
      </c>
      <c r="V225" s="710">
        <f>-SUMIFS('D2 - Capex uso'!CM$6:CM$176,'D2 - Capex uso'!$C$6:$C$176,$A213,'D2 - Capex uso'!$AK$6:$AK$176,$A225)</f>
        <v>0</v>
      </c>
      <c r="W225" s="710">
        <f>-SUMIFS('D2 - Capex uso'!CN$6:CN$176,'D2 - Capex uso'!$C$6:$C$176,$A213,'D2 - Capex uso'!$AK$6:$AK$176,$A225)</f>
        <v>0</v>
      </c>
      <c r="X225" s="710">
        <f>-SUMIFS('D2 - Capex uso'!CO$6:CO$176,'D2 - Capex uso'!$C$6:$C$176,$A213,'D2 - Capex uso'!$AK$6:$AK$176,$A225)</f>
        <v>0</v>
      </c>
      <c r="Y225" s="710">
        <f>-SUMIFS('D2 - Capex uso'!CP$6:CP$176,'D2 - Capex uso'!$C$6:$C$176,$A213,'D2 - Capex uso'!$AK$6:$AK$176,$A225)</f>
        <v>0</v>
      </c>
      <c r="Z225" s="710">
        <f>-SUMIFS('D2 - Capex uso'!CQ$6:CQ$176,'D2 - Capex uso'!$C$6:$C$176,$A213,'D2 - Capex uso'!$AK$6:$AK$176,$A225)</f>
        <v>0</v>
      </c>
      <c r="AA225" s="710">
        <f>-SUMIFS('D2 - Capex uso'!CR$6:CR$176,'D2 - Capex uso'!$C$6:$C$176,$A213,'D2 - Capex uso'!$AK$6:$AK$176,$A225)</f>
        <v>0</v>
      </c>
      <c r="AB225" s="710">
        <f>-SUMIFS('D2 - Capex uso'!CS$6:CS$176,'D2 - Capex uso'!$C$6:$C$176,$A213,'D2 - Capex uso'!$AK$6:$AK$176,$A225)</f>
        <v>0</v>
      </c>
      <c r="AC225" s="710">
        <f>-SUMIFS('D2 - Capex uso'!CT$6:CT$176,'D2 - Capex uso'!$C$6:$C$176,$A213,'D2 - Capex uso'!$AK$6:$AK$176,$A225)</f>
        <v>0</v>
      </c>
      <c r="AD225" s="710">
        <f>-SUMIFS('D2 - Capex uso'!CU$6:CU$176,'D2 - Capex uso'!$C$6:$C$176,$A213,'D2 - Capex uso'!$AK$6:$AK$176,$A225)</f>
        <v>0</v>
      </c>
      <c r="AE225" s="710">
        <f>-SUMIFS('D2 - Capex uso'!CV$6:CV$176,'D2 - Capex uso'!$C$6:$C$176,$A213,'D2 - Capex uso'!$AK$6:$AK$176,$A225)</f>
        <v>0</v>
      </c>
      <c r="AF225" s="594"/>
      <c r="AG225" s="594"/>
      <c r="AH225" s="594"/>
      <c r="AI225" s="594"/>
      <c r="AJ225" s="594"/>
      <c r="AK225" s="594"/>
      <c r="AL225" s="594"/>
      <c r="AM225" s="594"/>
      <c r="AN225" s="594"/>
      <c r="AO225" s="594"/>
      <c r="AP225" s="594"/>
      <c r="AQ225" s="594"/>
      <c r="AR225" s="594"/>
      <c r="AS225" s="594"/>
      <c r="AT225" s="594"/>
      <c r="AU225" s="594"/>
      <c r="AV225" s="594"/>
      <c r="AW225" s="594"/>
      <c r="AX225" s="594"/>
      <c r="AY225" s="594"/>
      <c r="AZ225" s="594"/>
      <c r="BA225" s="594"/>
      <c r="BB225" s="594"/>
      <c r="BC225" s="594"/>
      <c r="BD225" s="594"/>
      <c r="BE225" s="594"/>
      <c r="BF225" s="594"/>
      <c r="BG225" s="594"/>
      <c r="BH225" s="594"/>
      <c r="BI225" s="594"/>
      <c r="BJ225" s="594"/>
      <c r="BK225" s="594"/>
      <c r="BL225" s="57"/>
      <c r="BM225" s="594"/>
      <c r="BN225" s="594"/>
      <c r="BO225" s="594"/>
      <c r="BP225" s="594"/>
      <c r="BQ225" s="594"/>
      <c r="BR225" s="594"/>
      <c r="BS225" s="594"/>
      <c r="BT225" s="594"/>
      <c r="BU225" s="594"/>
      <c r="BV225" s="594"/>
      <c r="BW225" s="594"/>
      <c r="BX225" s="594"/>
      <c r="BY225" s="594"/>
      <c r="BZ225" s="594"/>
      <c r="CA225" s="594"/>
      <c r="CB225" s="594"/>
      <c r="CC225" s="594"/>
      <c r="CD225" s="594"/>
      <c r="CE225" s="594"/>
      <c r="CF225" s="594"/>
      <c r="CG225" s="594"/>
      <c r="CH225" s="594"/>
      <c r="CI225" s="594"/>
      <c r="CJ225" s="594"/>
      <c r="CK225" s="594"/>
      <c r="CL225" s="594"/>
      <c r="CM225" s="594"/>
      <c r="CN225" s="594"/>
      <c r="CO225" s="594"/>
      <c r="CP225" s="594"/>
      <c r="CQ225" s="594"/>
    </row>
    <row r="226" spans="1:95" ht="19.5" hidden="1" customHeight="1" outlineLevel="2">
      <c r="A226" s="709" t="s">
        <v>378</v>
      </c>
      <c r="B226" s="710">
        <f>-SUMIFS('D2 - Capex uso'!BS$6:BS$176,'D2 - Capex uso'!$C$6:$C$176,$A213,'D2 - Capex uso'!$AK$6:$AK$176,$A226)</f>
        <v>0</v>
      </c>
      <c r="C226" s="710">
        <f>-SUMIFS('D2 - Capex uso'!BT$6:BT$176,'D2 - Capex uso'!$C$6:$C$176,$A213,'D2 - Capex uso'!$AK$6:$AK$176,$A226)</f>
        <v>0</v>
      </c>
      <c r="D226" s="710">
        <f>-SUMIFS('D2 - Capex uso'!BU$6:BU$176,'D2 - Capex uso'!$C$6:$C$176,$A213,'D2 - Capex uso'!$AK$6:$AK$176,$A226)</f>
        <v>0</v>
      </c>
      <c r="E226" s="710">
        <f>-SUMIFS('D2 - Capex uso'!BV$6:BV$176,'D2 - Capex uso'!$C$6:$C$176,$A213,'D2 - Capex uso'!$AK$6:$AK$176,$A226)</f>
        <v>0</v>
      </c>
      <c r="F226" s="710">
        <f>-SUMIFS('D2 - Capex uso'!BW$6:BW$176,'D2 - Capex uso'!$C$6:$C$176,$A213,'D2 - Capex uso'!$AK$6:$AK$176,$A226)</f>
        <v>0</v>
      </c>
      <c r="G226" s="710">
        <f>-SUMIFS('D2 - Capex uso'!BX$6:BX$176,'D2 - Capex uso'!$C$6:$C$176,$A213,'D2 - Capex uso'!$AK$6:$AK$176,$A226)</f>
        <v>0</v>
      </c>
      <c r="H226" s="710">
        <f>-SUMIFS('D2 - Capex uso'!BY$6:BY$176,'D2 - Capex uso'!$C$6:$C$176,$A213,'D2 - Capex uso'!$AK$6:$AK$176,$A226)</f>
        <v>0</v>
      </c>
      <c r="I226" s="710">
        <f>-SUMIFS('D2 - Capex uso'!BZ$6:BZ$176,'D2 - Capex uso'!$C$6:$C$176,$A213,'D2 - Capex uso'!$AK$6:$AK$176,$A226)</f>
        <v>0</v>
      </c>
      <c r="J226" s="710">
        <f>-SUMIFS('D2 - Capex uso'!CA$6:CA$176,'D2 - Capex uso'!$C$6:$C$176,$A213,'D2 - Capex uso'!$AK$6:$AK$176,$A226)</f>
        <v>0</v>
      </c>
      <c r="K226" s="710">
        <f>-SUMIFS('D2 - Capex uso'!CB$6:CB$176,'D2 - Capex uso'!$C$6:$C$176,$A213,'D2 - Capex uso'!$AK$6:$AK$176,$A226)</f>
        <v>0</v>
      </c>
      <c r="L226" s="710">
        <f>-SUMIFS('D2 - Capex uso'!CC$6:CC$176,'D2 - Capex uso'!$C$6:$C$176,$A213,'D2 - Capex uso'!$AK$6:$AK$176,$A226)</f>
        <v>0</v>
      </c>
      <c r="M226" s="710">
        <f>-SUMIFS('D2 - Capex uso'!CD$6:CD$176,'D2 - Capex uso'!$C$6:$C$176,$A213,'D2 - Capex uso'!$AK$6:$AK$176,$A226)</f>
        <v>0</v>
      </c>
      <c r="N226" s="710">
        <f>-SUMIFS('D2 - Capex uso'!CE$6:CE$176,'D2 - Capex uso'!$C$6:$C$176,$A213,'D2 - Capex uso'!$AK$6:$AK$176,$A226)</f>
        <v>0</v>
      </c>
      <c r="O226" s="710">
        <f>-SUMIFS('D2 - Capex uso'!CF$6:CF$176,'D2 - Capex uso'!$C$6:$C$176,$A213,'D2 - Capex uso'!$AK$6:$AK$176,$A226)</f>
        <v>0</v>
      </c>
      <c r="P226" s="710">
        <f>-SUMIFS('D2 - Capex uso'!CG$6:CG$176,'D2 - Capex uso'!$C$6:$C$176,$A213,'D2 - Capex uso'!$AK$6:$AK$176,$A226)</f>
        <v>0</v>
      </c>
      <c r="Q226" s="710">
        <f>-SUMIFS('D2 - Capex uso'!CH$6:CH$176,'D2 - Capex uso'!$C$6:$C$176,$A213,'D2 - Capex uso'!$AK$6:$AK$176,$A226)</f>
        <v>0</v>
      </c>
      <c r="R226" s="710">
        <f>-SUMIFS('D2 - Capex uso'!CI$6:CI$176,'D2 - Capex uso'!$C$6:$C$176,$A213,'D2 - Capex uso'!$AK$6:$AK$176,$A226)</f>
        <v>0</v>
      </c>
      <c r="S226" s="710">
        <f>-SUMIFS('D2 - Capex uso'!CJ$6:CJ$176,'D2 - Capex uso'!$C$6:$C$176,$A213,'D2 - Capex uso'!$AK$6:$AK$176,$A226)</f>
        <v>0</v>
      </c>
      <c r="T226" s="710">
        <f>-SUMIFS('D2 - Capex uso'!CK$6:CK$176,'D2 - Capex uso'!$C$6:$C$176,$A213,'D2 - Capex uso'!$AK$6:$AK$176,$A226)</f>
        <v>0</v>
      </c>
      <c r="U226" s="710">
        <f>-SUMIFS('D2 - Capex uso'!CL$6:CL$176,'D2 - Capex uso'!$C$6:$C$176,$A213,'D2 - Capex uso'!$AK$6:$AK$176,$A226)</f>
        <v>0</v>
      </c>
      <c r="V226" s="710">
        <f>-SUMIFS('D2 - Capex uso'!CM$6:CM$176,'D2 - Capex uso'!$C$6:$C$176,$A213,'D2 - Capex uso'!$AK$6:$AK$176,$A226)</f>
        <v>0</v>
      </c>
      <c r="W226" s="710">
        <f>-SUMIFS('D2 - Capex uso'!CN$6:CN$176,'D2 - Capex uso'!$C$6:$C$176,$A213,'D2 - Capex uso'!$AK$6:$AK$176,$A226)</f>
        <v>0</v>
      </c>
      <c r="X226" s="710">
        <f>-SUMIFS('D2 - Capex uso'!CO$6:CO$176,'D2 - Capex uso'!$C$6:$C$176,$A213,'D2 - Capex uso'!$AK$6:$AK$176,$A226)</f>
        <v>0</v>
      </c>
      <c r="Y226" s="710">
        <f>-SUMIFS('D2 - Capex uso'!CP$6:CP$176,'D2 - Capex uso'!$C$6:$C$176,$A213,'D2 - Capex uso'!$AK$6:$AK$176,$A226)</f>
        <v>0</v>
      </c>
      <c r="Z226" s="710">
        <f>-SUMIFS('D2 - Capex uso'!CQ$6:CQ$176,'D2 - Capex uso'!$C$6:$C$176,$A213,'D2 - Capex uso'!$AK$6:$AK$176,$A226)</f>
        <v>0</v>
      </c>
      <c r="AA226" s="710">
        <f>-SUMIFS('D2 - Capex uso'!CR$6:CR$176,'D2 - Capex uso'!$C$6:$C$176,$A213,'D2 - Capex uso'!$AK$6:$AK$176,$A226)</f>
        <v>0</v>
      </c>
      <c r="AB226" s="710">
        <f>-SUMIFS('D2 - Capex uso'!CS$6:CS$176,'D2 - Capex uso'!$C$6:$C$176,$A213,'D2 - Capex uso'!$AK$6:$AK$176,$A226)</f>
        <v>0</v>
      </c>
      <c r="AC226" s="710">
        <f>-SUMIFS('D2 - Capex uso'!CT$6:CT$176,'D2 - Capex uso'!$C$6:$C$176,$A213,'D2 - Capex uso'!$AK$6:$AK$176,$A226)</f>
        <v>0</v>
      </c>
      <c r="AD226" s="710">
        <f>-SUMIFS('D2 - Capex uso'!CU$6:CU$176,'D2 - Capex uso'!$C$6:$C$176,$A213,'D2 - Capex uso'!$AK$6:$AK$176,$A226)</f>
        <v>0</v>
      </c>
      <c r="AE226" s="710">
        <f>-SUMIFS('D2 - Capex uso'!CV$6:CV$176,'D2 - Capex uso'!$C$6:$C$176,$A213,'D2 - Capex uso'!$AK$6:$AK$176,$A226)</f>
        <v>0</v>
      </c>
      <c r="AF226" s="594"/>
      <c r="AG226" s="594"/>
      <c r="AH226" s="594"/>
      <c r="AI226" s="594"/>
      <c r="AJ226" s="594"/>
      <c r="AK226" s="594"/>
      <c r="AL226" s="594"/>
      <c r="AM226" s="594"/>
      <c r="AN226" s="594"/>
      <c r="AO226" s="594"/>
      <c r="AP226" s="594"/>
      <c r="AQ226" s="594"/>
      <c r="AR226" s="594"/>
      <c r="AS226" s="594"/>
      <c r="AT226" s="594"/>
      <c r="AU226" s="594"/>
      <c r="AV226" s="594"/>
      <c r="AW226" s="594"/>
      <c r="AX226" s="594"/>
      <c r="AY226" s="594"/>
      <c r="AZ226" s="594"/>
      <c r="BA226" s="594"/>
      <c r="BB226" s="594"/>
      <c r="BC226" s="594"/>
      <c r="BD226" s="594"/>
      <c r="BE226" s="594"/>
      <c r="BF226" s="594"/>
      <c r="BG226" s="594"/>
      <c r="BH226" s="594"/>
      <c r="BI226" s="594"/>
      <c r="BJ226" s="594"/>
      <c r="BK226" s="594"/>
      <c r="BL226" s="57"/>
      <c r="BM226" s="594"/>
      <c r="BN226" s="594"/>
      <c r="BO226" s="594"/>
      <c r="BP226" s="594"/>
      <c r="BQ226" s="594"/>
      <c r="BR226" s="594"/>
      <c r="BS226" s="594"/>
      <c r="BT226" s="594"/>
      <c r="BU226" s="594"/>
      <c r="BV226" s="594"/>
      <c r="BW226" s="594"/>
      <c r="BX226" s="594"/>
      <c r="BY226" s="594"/>
      <c r="BZ226" s="594"/>
      <c r="CA226" s="594"/>
      <c r="CB226" s="594"/>
      <c r="CC226" s="594"/>
      <c r="CD226" s="594"/>
      <c r="CE226" s="594"/>
      <c r="CF226" s="594"/>
      <c r="CG226" s="594"/>
      <c r="CH226" s="594"/>
      <c r="CI226" s="594"/>
      <c r="CJ226" s="594"/>
      <c r="CK226" s="594"/>
      <c r="CL226" s="594"/>
      <c r="CM226" s="594"/>
      <c r="CN226" s="594"/>
      <c r="CO226" s="594"/>
      <c r="CP226" s="594"/>
      <c r="CQ226" s="594"/>
    </row>
    <row r="227" spans="1:95" ht="19.5" hidden="1" customHeight="1" outlineLevel="2">
      <c r="A227" s="709" t="s">
        <v>366</v>
      </c>
      <c r="B227" s="710">
        <f>-SUMIFS('D2 - Capex uso'!BS$6:BS$176,'D2 - Capex uso'!$C$6:$C$176,$A213,'D2 - Capex uso'!$AK$6:$AK$176,$A227)</f>
        <v>-234655.47600000002</v>
      </c>
      <c r="C227" s="710">
        <f>-SUMIFS('D2 - Capex uso'!BT$6:BT$176,'D2 - Capex uso'!$C$6:$C$176,$A213,'D2 - Capex uso'!$AK$6:$AK$176,$A227)</f>
        <v>0</v>
      </c>
      <c r="D227" s="710">
        <f>-SUMIFS('D2 - Capex uso'!BU$6:BU$176,'D2 - Capex uso'!$C$6:$C$176,$A213,'D2 - Capex uso'!$AK$6:$AK$176,$A227)</f>
        <v>0</v>
      </c>
      <c r="E227" s="710">
        <f>-SUMIFS('D2 - Capex uso'!BV$6:BV$176,'D2 - Capex uso'!$C$6:$C$176,$A213,'D2 - Capex uso'!$AK$6:$AK$176,$A227)</f>
        <v>0</v>
      </c>
      <c r="F227" s="710">
        <f>-SUMIFS('D2 - Capex uso'!BW$6:BW$176,'D2 - Capex uso'!$C$6:$C$176,$A213,'D2 - Capex uso'!$AK$6:$AK$176,$A227)</f>
        <v>0</v>
      </c>
      <c r="G227" s="710">
        <f>-SUMIFS('D2 - Capex uso'!BX$6:BX$176,'D2 - Capex uso'!$C$6:$C$176,$A213,'D2 - Capex uso'!$AK$6:$AK$176,$A227)</f>
        <v>0</v>
      </c>
      <c r="H227" s="710">
        <f>-SUMIFS('D2 - Capex uso'!BY$6:BY$176,'D2 - Capex uso'!$C$6:$C$176,$A213,'D2 - Capex uso'!$AK$6:$AK$176,$A227)</f>
        <v>0</v>
      </c>
      <c r="I227" s="710">
        <f>-SUMIFS('D2 - Capex uso'!BZ$6:BZ$176,'D2 - Capex uso'!$C$6:$C$176,$A213,'D2 - Capex uso'!$AK$6:$AK$176,$A227)</f>
        <v>0</v>
      </c>
      <c r="J227" s="710">
        <f>-SUMIFS('D2 - Capex uso'!CA$6:CA$176,'D2 - Capex uso'!$C$6:$C$176,$A213,'D2 - Capex uso'!$AK$6:$AK$176,$A227)</f>
        <v>0</v>
      </c>
      <c r="K227" s="710">
        <f>-SUMIFS('D2 - Capex uso'!CB$6:CB$176,'D2 - Capex uso'!$C$6:$C$176,$A213,'D2 - Capex uso'!$AK$6:$AK$176,$A227)</f>
        <v>0</v>
      </c>
      <c r="L227" s="710">
        <f>-SUMIFS('D2 - Capex uso'!CC$6:CC$176,'D2 - Capex uso'!$C$6:$C$176,$A213,'D2 - Capex uso'!$AK$6:$AK$176,$A227)</f>
        <v>-234655.47600000002</v>
      </c>
      <c r="M227" s="710">
        <f>-SUMIFS('D2 - Capex uso'!CD$6:CD$176,'D2 - Capex uso'!$C$6:$C$176,$A213,'D2 - Capex uso'!$AK$6:$AK$176,$A227)</f>
        <v>0</v>
      </c>
      <c r="N227" s="710">
        <f>-SUMIFS('D2 - Capex uso'!CE$6:CE$176,'D2 - Capex uso'!$C$6:$C$176,$A213,'D2 - Capex uso'!$AK$6:$AK$176,$A227)</f>
        <v>0</v>
      </c>
      <c r="O227" s="710">
        <f>-SUMIFS('D2 - Capex uso'!CF$6:CF$176,'D2 - Capex uso'!$C$6:$C$176,$A213,'D2 - Capex uso'!$AK$6:$AK$176,$A227)</f>
        <v>0</v>
      </c>
      <c r="P227" s="710">
        <f>-SUMIFS('D2 - Capex uso'!CG$6:CG$176,'D2 - Capex uso'!$C$6:$C$176,$A213,'D2 - Capex uso'!$AK$6:$AK$176,$A227)</f>
        <v>0</v>
      </c>
      <c r="Q227" s="710">
        <f>-SUMIFS('D2 - Capex uso'!CH$6:CH$176,'D2 - Capex uso'!$C$6:$C$176,$A213,'D2 - Capex uso'!$AK$6:$AK$176,$A227)</f>
        <v>0</v>
      </c>
      <c r="R227" s="710">
        <f>-SUMIFS('D2 - Capex uso'!CI$6:CI$176,'D2 - Capex uso'!$C$6:$C$176,$A213,'D2 - Capex uso'!$AK$6:$AK$176,$A227)</f>
        <v>0</v>
      </c>
      <c r="S227" s="710">
        <f>-SUMIFS('D2 - Capex uso'!CJ$6:CJ$176,'D2 - Capex uso'!$C$6:$C$176,$A213,'D2 - Capex uso'!$AK$6:$AK$176,$A227)</f>
        <v>0</v>
      </c>
      <c r="T227" s="710">
        <f>-SUMIFS('D2 - Capex uso'!CK$6:CK$176,'D2 - Capex uso'!$C$6:$C$176,$A213,'D2 - Capex uso'!$AK$6:$AK$176,$A227)</f>
        <v>0</v>
      </c>
      <c r="U227" s="710">
        <f>-SUMIFS('D2 - Capex uso'!CL$6:CL$176,'D2 - Capex uso'!$C$6:$C$176,$A213,'D2 - Capex uso'!$AK$6:$AK$176,$A227)</f>
        <v>0</v>
      </c>
      <c r="V227" s="710">
        <f>-SUMIFS('D2 - Capex uso'!CM$6:CM$176,'D2 - Capex uso'!$C$6:$C$176,$A213,'D2 - Capex uso'!$AK$6:$AK$176,$A227)</f>
        <v>-234655.47600000002</v>
      </c>
      <c r="W227" s="710">
        <f>-SUMIFS('D2 - Capex uso'!CN$6:CN$176,'D2 - Capex uso'!$C$6:$C$176,$A213,'D2 - Capex uso'!$AK$6:$AK$176,$A227)</f>
        <v>0</v>
      </c>
      <c r="X227" s="710">
        <f>-SUMIFS('D2 - Capex uso'!CO$6:CO$176,'D2 - Capex uso'!$C$6:$C$176,$A213,'D2 - Capex uso'!$AK$6:$AK$176,$A227)</f>
        <v>0</v>
      </c>
      <c r="Y227" s="710">
        <f>-SUMIFS('D2 - Capex uso'!CP$6:CP$176,'D2 - Capex uso'!$C$6:$C$176,$A213,'D2 - Capex uso'!$AK$6:$AK$176,$A227)</f>
        <v>0</v>
      </c>
      <c r="Z227" s="710">
        <f>-SUMIFS('D2 - Capex uso'!CQ$6:CQ$176,'D2 - Capex uso'!$C$6:$C$176,$A213,'D2 - Capex uso'!$AK$6:$AK$176,$A227)</f>
        <v>0</v>
      </c>
      <c r="AA227" s="710">
        <f>-SUMIFS('D2 - Capex uso'!CR$6:CR$176,'D2 - Capex uso'!$C$6:$C$176,$A213,'D2 - Capex uso'!$AK$6:$AK$176,$A227)</f>
        <v>0</v>
      </c>
      <c r="AB227" s="710">
        <f>-SUMIFS('D2 - Capex uso'!CS$6:CS$176,'D2 - Capex uso'!$C$6:$C$176,$A213,'D2 - Capex uso'!$AK$6:$AK$176,$A227)</f>
        <v>0</v>
      </c>
      <c r="AC227" s="710">
        <f>-SUMIFS('D2 - Capex uso'!CT$6:CT$176,'D2 - Capex uso'!$C$6:$C$176,$A213,'D2 - Capex uso'!$AK$6:$AK$176,$A227)</f>
        <v>0</v>
      </c>
      <c r="AD227" s="710">
        <f>-SUMIFS('D2 - Capex uso'!CU$6:CU$176,'D2 - Capex uso'!$C$6:$C$176,$A213,'D2 - Capex uso'!$AK$6:$AK$176,$A227)</f>
        <v>0</v>
      </c>
      <c r="AE227" s="710">
        <f>-SUMIFS('D2 - Capex uso'!CV$6:CV$176,'D2 - Capex uso'!$C$6:$C$176,$A213,'D2 - Capex uso'!$AK$6:$AK$176,$A227)</f>
        <v>0</v>
      </c>
      <c r="AF227" s="594"/>
      <c r="AG227" s="594"/>
      <c r="AH227" s="594"/>
      <c r="AI227" s="594"/>
      <c r="AJ227" s="594"/>
      <c r="AK227" s="594"/>
      <c r="AL227" s="594"/>
      <c r="AM227" s="594"/>
      <c r="AN227" s="594"/>
      <c r="AO227" s="594"/>
      <c r="AP227" s="594"/>
      <c r="AQ227" s="594"/>
      <c r="AR227" s="594"/>
      <c r="AS227" s="594"/>
      <c r="AT227" s="594"/>
      <c r="AU227" s="594"/>
      <c r="AV227" s="594"/>
      <c r="AW227" s="594"/>
      <c r="AX227" s="594"/>
      <c r="AY227" s="594"/>
      <c r="AZ227" s="594"/>
      <c r="BA227" s="594"/>
      <c r="BB227" s="594"/>
      <c r="BC227" s="594"/>
      <c r="BD227" s="594"/>
      <c r="BE227" s="594"/>
      <c r="BF227" s="594"/>
      <c r="BG227" s="594"/>
      <c r="BH227" s="594"/>
      <c r="BI227" s="594"/>
      <c r="BJ227" s="594"/>
      <c r="BK227" s="594"/>
      <c r="BL227" s="57"/>
      <c r="BM227" s="594"/>
      <c r="BN227" s="594"/>
      <c r="BO227" s="594"/>
      <c r="BP227" s="594"/>
      <c r="BQ227" s="594"/>
      <c r="BR227" s="594"/>
      <c r="BS227" s="594"/>
      <c r="BT227" s="594"/>
      <c r="BU227" s="594"/>
      <c r="BV227" s="594"/>
      <c r="BW227" s="594"/>
      <c r="BX227" s="594"/>
      <c r="BY227" s="594"/>
      <c r="BZ227" s="594"/>
      <c r="CA227" s="594"/>
      <c r="CB227" s="594"/>
      <c r="CC227" s="594"/>
      <c r="CD227" s="594"/>
      <c r="CE227" s="594"/>
      <c r="CF227" s="594"/>
      <c r="CG227" s="594"/>
      <c r="CH227" s="594"/>
      <c r="CI227" s="594"/>
      <c r="CJ227" s="594"/>
      <c r="CK227" s="594"/>
      <c r="CL227" s="594"/>
      <c r="CM227" s="594"/>
      <c r="CN227" s="594"/>
      <c r="CO227" s="594"/>
      <c r="CP227" s="594"/>
      <c r="CQ227" s="594"/>
    </row>
    <row r="228" spans="1:95" ht="19.5" hidden="1" customHeight="1" outlineLevel="2">
      <c r="A228" s="709" t="s">
        <v>371</v>
      </c>
      <c r="B228" s="710">
        <f>-SUMIFS('D2 - Capex uso'!BS$6:BS$176,'D2 - Capex uso'!$C$6:$C$176,$A213,'D2 - Capex uso'!$AK$6:$AK$176,$A228)</f>
        <v>0</v>
      </c>
      <c r="C228" s="710">
        <f>-SUMIFS('D2 - Capex uso'!BT$6:BT$176,'D2 - Capex uso'!$C$6:$C$176,$A213,'D2 - Capex uso'!$AK$6:$AK$176,$A228)</f>
        <v>0</v>
      </c>
      <c r="D228" s="710">
        <f>-SUMIFS('D2 - Capex uso'!BU$6:BU$176,'D2 - Capex uso'!$C$6:$C$176,$A213,'D2 - Capex uso'!$AK$6:$AK$176,$A228)</f>
        <v>0</v>
      </c>
      <c r="E228" s="710">
        <f>-SUMIFS('D2 - Capex uso'!BV$6:BV$176,'D2 - Capex uso'!$C$6:$C$176,$A213,'D2 - Capex uso'!$AK$6:$AK$176,$A228)</f>
        <v>0</v>
      </c>
      <c r="F228" s="710">
        <f>-SUMIFS('D2 - Capex uso'!BW$6:BW$176,'D2 - Capex uso'!$C$6:$C$176,$A213,'D2 - Capex uso'!$AK$6:$AK$176,$A228)</f>
        <v>0</v>
      </c>
      <c r="G228" s="710">
        <f>-SUMIFS('D2 - Capex uso'!BX$6:BX$176,'D2 - Capex uso'!$C$6:$C$176,$A213,'D2 - Capex uso'!$AK$6:$AK$176,$A228)</f>
        <v>0</v>
      </c>
      <c r="H228" s="710">
        <f>-SUMIFS('D2 - Capex uso'!BY$6:BY$176,'D2 - Capex uso'!$C$6:$C$176,$A213,'D2 - Capex uso'!$AK$6:$AK$176,$A228)</f>
        <v>0</v>
      </c>
      <c r="I228" s="710">
        <f>-SUMIFS('D2 - Capex uso'!BZ$6:BZ$176,'D2 - Capex uso'!$C$6:$C$176,$A213,'D2 - Capex uso'!$AK$6:$AK$176,$A228)</f>
        <v>0</v>
      </c>
      <c r="J228" s="710">
        <f>-SUMIFS('D2 - Capex uso'!CA$6:CA$176,'D2 - Capex uso'!$C$6:$C$176,$A213,'D2 - Capex uso'!$AK$6:$AK$176,$A228)</f>
        <v>0</v>
      </c>
      <c r="K228" s="710">
        <f>-SUMIFS('D2 - Capex uso'!CB$6:CB$176,'D2 - Capex uso'!$C$6:$C$176,$A213,'D2 - Capex uso'!$AK$6:$AK$176,$A228)</f>
        <v>0</v>
      </c>
      <c r="L228" s="710">
        <f>-SUMIFS('D2 - Capex uso'!CC$6:CC$176,'D2 - Capex uso'!$C$6:$C$176,$A213,'D2 - Capex uso'!$AK$6:$AK$176,$A228)</f>
        <v>0</v>
      </c>
      <c r="M228" s="710">
        <f>-SUMIFS('D2 - Capex uso'!CD$6:CD$176,'D2 - Capex uso'!$C$6:$C$176,$A213,'D2 - Capex uso'!$AK$6:$AK$176,$A228)</f>
        <v>0</v>
      </c>
      <c r="N228" s="710">
        <f>-SUMIFS('D2 - Capex uso'!CE$6:CE$176,'D2 - Capex uso'!$C$6:$C$176,$A213,'D2 - Capex uso'!$AK$6:$AK$176,$A228)</f>
        <v>0</v>
      </c>
      <c r="O228" s="710">
        <f>-SUMIFS('D2 - Capex uso'!CF$6:CF$176,'D2 - Capex uso'!$C$6:$C$176,$A213,'D2 - Capex uso'!$AK$6:$AK$176,$A228)</f>
        <v>0</v>
      </c>
      <c r="P228" s="710">
        <f>-SUMIFS('D2 - Capex uso'!CG$6:CG$176,'D2 - Capex uso'!$C$6:$C$176,$A213,'D2 - Capex uso'!$AK$6:$AK$176,$A228)</f>
        <v>0</v>
      </c>
      <c r="Q228" s="710">
        <f>-SUMIFS('D2 - Capex uso'!CH$6:CH$176,'D2 - Capex uso'!$C$6:$C$176,$A213,'D2 - Capex uso'!$AK$6:$AK$176,$A228)</f>
        <v>0</v>
      </c>
      <c r="R228" s="710">
        <f>-SUMIFS('D2 - Capex uso'!CI$6:CI$176,'D2 - Capex uso'!$C$6:$C$176,$A213,'D2 - Capex uso'!$AK$6:$AK$176,$A228)</f>
        <v>0</v>
      </c>
      <c r="S228" s="710">
        <f>-SUMIFS('D2 - Capex uso'!CJ$6:CJ$176,'D2 - Capex uso'!$C$6:$C$176,$A213,'D2 - Capex uso'!$AK$6:$AK$176,$A228)</f>
        <v>0</v>
      </c>
      <c r="T228" s="710">
        <f>-SUMIFS('D2 - Capex uso'!CK$6:CK$176,'D2 - Capex uso'!$C$6:$C$176,$A213,'D2 - Capex uso'!$AK$6:$AK$176,$A228)</f>
        <v>0</v>
      </c>
      <c r="U228" s="710">
        <f>-SUMIFS('D2 - Capex uso'!CL$6:CL$176,'D2 - Capex uso'!$C$6:$C$176,$A213,'D2 - Capex uso'!$AK$6:$AK$176,$A228)</f>
        <v>0</v>
      </c>
      <c r="V228" s="710">
        <f>-SUMIFS('D2 - Capex uso'!CM$6:CM$176,'D2 - Capex uso'!$C$6:$C$176,$A213,'D2 - Capex uso'!$AK$6:$AK$176,$A228)</f>
        <v>0</v>
      </c>
      <c r="W228" s="710">
        <f>-SUMIFS('D2 - Capex uso'!CN$6:CN$176,'D2 - Capex uso'!$C$6:$C$176,$A213,'D2 - Capex uso'!$AK$6:$AK$176,$A228)</f>
        <v>0</v>
      </c>
      <c r="X228" s="710">
        <f>-SUMIFS('D2 - Capex uso'!CO$6:CO$176,'D2 - Capex uso'!$C$6:$C$176,$A213,'D2 - Capex uso'!$AK$6:$AK$176,$A228)</f>
        <v>0</v>
      </c>
      <c r="Y228" s="710">
        <f>-SUMIFS('D2 - Capex uso'!CP$6:CP$176,'D2 - Capex uso'!$C$6:$C$176,$A213,'D2 - Capex uso'!$AK$6:$AK$176,$A228)</f>
        <v>0</v>
      </c>
      <c r="Z228" s="710">
        <f>-SUMIFS('D2 - Capex uso'!CQ$6:CQ$176,'D2 - Capex uso'!$C$6:$C$176,$A213,'D2 - Capex uso'!$AK$6:$AK$176,$A228)</f>
        <v>0</v>
      </c>
      <c r="AA228" s="710">
        <f>-SUMIFS('D2 - Capex uso'!CR$6:CR$176,'D2 - Capex uso'!$C$6:$C$176,$A213,'D2 - Capex uso'!$AK$6:$AK$176,$A228)</f>
        <v>0</v>
      </c>
      <c r="AB228" s="710">
        <f>-SUMIFS('D2 - Capex uso'!CS$6:CS$176,'D2 - Capex uso'!$C$6:$C$176,$A213,'D2 - Capex uso'!$AK$6:$AK$176,$A228)</f>
        <v>0</v>
      </c>
      <c r="AC228" s="710">
        <f>-SUMIFS('D2 - Capex uso'!CT$6:CT$176,'D2 - Capex uso'!$C$6:$C$176,$A213,'D2 - Capex uso'!$AK$6:$AK$176,$A228)</f>
        <v>0</v>
      </c>
      <c r="AD228" s="710">
        <f>-SUMIFS('D2 - Capex uso'!CU$6:CU$176,'D2 - Capex uso'!$C$6:$C$176,$A213,'D2 - Capex uso'!$AK$6:$AK$176,$A228)</f>
        <v>0</v>
      </c>
      <c r="AE228" s="710">
        <f>-SUMIFS('D2 - Capex uso'!CV$6:CV$176,'D2 - Capex uso'!$C$6:$C$176,$A213,'D2 - Capex uso'!$AK$6:$AK$176,$A228)</f>
        <v>0</v>
      </c>
      <c r="AF228" s="594"/>
      <c r="AG228" s="594"/>
      <c r="AH228" s="594"/>
      <c r="AI228" s="594"/>
      <c r="AJ228" s="594"/>
      <c r="AK228" s="594"/>
      <c r="AL228" s="594"/>
      <c r="AM228" s="594"/>
      <c r="AN228" s="594"/>
      <c r="AO228" s="594"/>
      <c r="AP228" s="594"/>
      <c r="AQ228" s="594"/>
      <c r="AR228" s="594"/>
      <c r="AS228" s="594"/>
      <c r="AT228" s="594"/>
      <c r="AU228" s="594"/>
      <c r="AV228" s="594"/>
      <c r="AW228" s="594"/>
      <c r="AX228" s="594"/>
      <c r="AY228" s="594"/>
      <c r="AZ228" s="594"/>
      <c r="BA228" s="594"/>
      <c r="BB228" s="594"/>
      <c r="BC228" s="594"/>
      <c r="BD228" s="594"/>
      <c r="BE228" s="594"/>
      <c r="BF228" s="594"/>
      <c r="BG228" s="594"/>
      <c r="BH228" s="594"/>
      <c r="BI228" s="594"/>
      <c r="BJ228" s="594"/>
      <c r="BK228" s="594"/>
      <c r="BL228" s="57"/>
      <c r="BM228" s="594"/>
      <c r="BN228" s="594"/>
      <c r="BO228" s="594"/>
      <c r="BP228" s="594"/>
      <c r="BQ228" s="594"/>
      <c r="BR228" s="594"/>
      <c r="BS228" s="594"/>
      <c r="BT228" s="594"/>
      <c r="BU228" s="594"/>
      <c r="BV228" s="594"/>
      <c r="BW228" s="594"/>
      <c r="BX228" s="594"/>
      <c r="BY228" s="594"/>
      <c r="BZ228" s="594"/>
      <c r="CA228" s="594"/>
      <c r="CB228" s="594"/>
      <c r="CC228" s="594"/>
      <c r="CD228" s="594"/>
      <c r="CE228" s="594"/>
      <c r="CF228" s="594"/>
      <c r="CG228" s="594"/>
      <c r="CH228" s="594"/>
      <c r="CI228" s="594"/>
      <c r="CJ228" s="594"/>
      <c r="CK228" s="594"/>
      <c r="CL228" s="594"/>
      <c r="CM228" s="594"/>
      <c r="CN228" s="594"/>
      <c r="CO228" s="594"/>
      <c r="CP228" s="594"/>
      <c r="CQ228" s="594"/>
    </row>
    <row r="229" spans="1:95" ht="19.5" hidden="1" customHeight="1" outlineLevel="2">
      <c r="A229" s="709" t="s">
        <v>361</v>
      </c>
      <c r="B229" s="710">
        <f>-SUMIFS('D2 - Capex uso'!BS$6:BS$176,'D2 - Capex uso'!$C$6:$C$176,$A213,'D2 - Capex uso'!$AK$6:$AK$176,$A229)</f>
        <v>0</v>
      </c>
      <c r="C229" s="710">
        <f>-SUMIFS('D2 - Capex uso'!BT$6:BT$176,'D2 - Capex uso'!$C$6:$C$176,$A213,'D2 - Capex uso'!$AK$6:$AK$176,$A229)</f>
        <v>0</v>
      </c>
      <c r="D229" s="710">
        <f>-SUMIFS('D2 - Capex uso'!BU$6:BU$176,'D2 - Capex uso'!$C$6:$C$176,$A213,'D2 - Capex uso'!$AK$6:$AK$176,$A229)</f>
        <v>0</v>
      </c>
      <c r="E229" s="710">
        <f>-SUMIFS('D2 - Capex uso'!BV$6:BV$176,'D2 - Capex uso'!$C$6:$C$176,$A213,'D2 - Capex uso'!$AK$6:$AK$176,$A229)</f>
        <v>0</v>
      </c>
      <c r="F229" s="710">
        <f>-SUMIFS('D2 - Capex uso'!BW$6:BW$176,'D2 - Capex uso'!$C$6:$C$176,$A213,'D2 - Capex uso'!$AK$6:$AK$176,$A229)</f>
        <v>0</v>
      </c>
      <c r="G229" s="710">
        <f>-SUMIFS('D2 - Capex uso'!BX$6:BX$176,'D2 - Capex uso'!$C$6:$C$176,$A213,'D2 - Capex uso'!$AK$6:$AK$176,$A229)</f>
        <v>0</v>
      </c>
      <c r="H229" s="710">
        <f>-SUMIFS('D2 - Capex uso'!BY$6:BY$176,'D2 - Capex uso'!$C$6:$C$176,$A213,'D2 - Capex uso'!$AK$6:$AK$176,$A229)</f>
        <v>0</v>
      </c>
      <c r="I229" s="710">
        <f>-SUMIFS('D2 - Capex uso'!BZ$6:BZ$176,'D2 - Capex uso'!$C$6:$C$176,$A213,'D2 - Capex uso'!$AK$6:$AK$176,$A229)</f>
        <v>0</v>
      </c>
      <c r="J229" s="710">
        <f>-SUMIFS('D2 - Capex uso'!CA$6:CA$176,'D2 - Capex uso'!$C$6:$C$176,$A213,'D2 - Capex uso'!$AK$6:$AK$176,$A229)</f>
        <v>0</v>
      </c>
      <c r="K229" s="710">
        <f>-SUMIFS('D2 - Capex uso'!CB$6:CB$176,'D2 - Capex uso'!$C$6:$C$176,$A213,'D2 - Capex uso'!$AK$6:$AK$176,$A229)</f>
        <v>0</v>
      </c>
      <c r="L229" s="710">
        <f>-SUMIFS('D2 - Capex uso'!CC$6:CC$176,'D2 - Capex uso'!$C$6:$C$176,$A213,'D2 - Capex uso'!$AK$6:$AK$176,$A229)</f>
        <v>0</v>
      </c>
      <c r="M229" s="710">
        <f>-SUMIFS('D2 - Capex uso'!CD$6:CD$176,'D2 - Capex uso'!$C$6:$C$176,$A213,'D2 - Capex uso'!$AK$6:$AK$176,$A229)</f>
        <v>0</v>
      </c>
      <c r="N229" s="710">
        <f>-SUMIFS('D2 - Capex uso'!CE$6:CE$176,'D2 - Capex uso'!$C$6:$C$176,$A213,'D2 - Capex uso'!$AK$6:$AK$176,$A229)</f>
        <v>0</v>
      </c>
      <c r="O229" s="710">
        <f>-SUMIFS('D2 - Capex uso'!CF$6:CF$176,'D2 - Capex uso'!$C$6:$C$176,$A213,'D2 - Capex uso'!$AK$6:$AK$176,$A229)</f>
        <v>0</v>
      </c>
      <c r="P229" s="710">
        <f>-SUMIFS('D2 - Capex uso'!CG$6:CG$176,'D2 - Capex uso'!$C$6:$C$176,$A213,'D2 - Capex uso'!$AK$6:$AK$176,$A229)</f>
        <v>0</v>
      </c>
      <c r="Q229" s="710">
        <f>-SUMIFS('D2 - Capex uso'!CH$6:CH$176,'D2 - Capex uso'!$C$6:$C$176,$A213,'D2 - Capex uso'!$AK$6:$AK$176,$A229)</f>
        <v>0</v>
      </c>
      <c r="R229" s="710">
        <f>-SUMIFS('D2 - Capex uso'!CI$6:CI$176,'D2 - Capex uso'!$C$6:$C$176,$A213,'D2 - Capex uso'!$AK$6:$AK$176,$A229)</f>
        <v>0</v>
      </c>
      <c r="S229" s="710">
        <f>-SUMIFS('D2 - Capex uso'!CJ$6:CJ$176,'D2 - Capex uso'!$C$6:$C$176,$A213,'D2 - Capex uso'!$AK$6:$AK$176,$A229)</f>
        <v>0</v>
      </c>
      <c r="T229" s="710">
        <f>-SUMIFS('D2 - Capex uso'!CK$6:CK$176,'D2 - Capex uso'!$C$6:$C$176,$A213,'D2 - Capex uso'!$AK$6:$AK$176,$A229)</f>
        <v>0</v>
      </c>
      <c r="U229" s="710">
        <f>-SUMIFS('D2 - Capex uso'!CL$6:CL$176,'D2 - Capex uso'!$C$6:$C$176,$A213,'D2 - Capex uso'!$AK$6:$AK$176,$A229)</f>
        <v>0</v>
      </c>
      <c r="V229" s="710">
        <f>-SUMIFS('D2 - Capex uso'!CM$6:CM$176,'D2 - Capex uso'!$C$6:$C$176,$A213,'D2 - Capex uso'!$AK$6:$AK$176,$A229)</f>
        <v>0</v>
      </c>
      <c r="W229" s="710">
        <f>-SUMIFS('D2 - Capex uso'!CN$6:CN$176,'D2 - Capex uso'!$C$6:$C$176,$A213,'D2 - Capex uso'!$AK$6:$AK$176,$A229)</f>
        <v>0</v>
      </c>
      <c r="X229" s="710">
        <f>-SUMIFS('D2 - Capex uso'!CO$6:CO$176,'D2 - Capex uso'!$C$6:$C$176,$A213,'D2 - Capex uso'!$AK$6:$AK$176,$A229)</f>
        <v>0</v>
      </c>
      <c r="Y229" s="710">
        <f>-SUMIFS('D2 - Capex uso'!CP$6:CP$176,'D2 - Capex uso'!$C$6:$C$176,$A213,'D2 - Capex uso'!$AK$6:$AK$176,$A229)</f>
        <v>0</v>
      </c>
      <c r="Z229" s="710">
        <f>-SUMIFS('D2 - Capex uso'!CQ$6:CQ$176,'D2 - Capex uso'!$C$6:$C$176,$A213,'D2 - Capex uso'!$AK$6:$AK$176,$A229)</f>
        <v>0</v>
      </c>
      <c r="AA229" s="710">
        <f>-SUMIFS('D2 - Capex uso'!CR$6:CR$176,'D2 - Capex uso'!$C$6:$C$176,$A213,'D2 - Capex uso'!$AK$6:$AK$176,$A229)</f>
        <v>0</v>
      </c>
      <c r="AB229" s="710">
        <f>-SUMIFS('D2 - Capex uso'!CS$6:CS$176,'D2 - Capex uso'!$C$6:$C$176,$A213,'D2 - Capex uso'!$AK$6:$AK$176,$A229)</f>
        <v>0</v>
      </c>
      <c r="AC229" s="710">
        <f>-SUMIFS('D2 - Capex uso'!CT$6:CT$176,'D2 - Capex uso'!$C$6:$C$176,$A213,'D2 - Capex uso'!$AK$6:$AK$176,$A229)</f>
        <v>0</v>
      </c>
      <c r="AD229" s="710">
        <f>-SUMIFS('D2 - Capex uso'!CU$6:CU$176,'D2 - Capex uso'!$C$6:$C$176,$A213,'D2 - Capex uso'!$AK$6:$AK$176,$A229)</f>
        <v>0</v>
      </c>
      <c r="AE229" s="710">
        <f>-SUMIFS('D2 - Capex uso'!CV$6:CV$176,'D2 - Capex uso'!$C$6:$C$176,$A213,'D2 - Capex uso'!$AK$6:$AK$176,$A229)</f>
        <v>0</v>
      </c>
      <c r="AF229" s="594"/>
      <c r="AG229" s="594"/>
      <c r="AH229" s="594"/>
      <c r="AI229" s="594"/>
      <c r="AJ229" s="594"/>
      <c r="AK229" s="594"/>
      <c r="AL229" s="594"/>
      <c r="AM229" s="594"/>
      <c r="AN229" s="594"/>
      <c r="AO229" s="594"/>
      <c r="AP229" s="594"/>
      <c r="AQ229" s="594"/>
      <c r="AR229" s="594"/>
      <c r="AS229" s="594"/>
      <c r="AT229" s="594"/>
      <c r="AU229" s="594"/>
      <c r="AV229" s="594"/>
      <c r="AW229" s="594"/>
      <c r="AX229" s="594"/>
      <c r="AY229" s="594"/>
      <c r="AZ229" s="594"/>
      <c r="BA229" s="594"/>
      <c r="BB229" s="594"/>
      <c r="BC229" s="594"/>
      <c r="BD229" s="594"/>
      <c r="BE229" s="594"/>
      <c r="BF229" s="594"/>
      <c r="BG229" s="594"/>
      <c r="BH229" s="594"/>
      <c r="BI229" s="594"/>
      <c r="BJ229" s="594"/>
      <c r="BK229" s="594"/>
      <c r="BL229" s="57"/>
      <c r="BM229" s="594"/>
      <c r="BN229" s="594"/>
      <c r="BO229" s="594"/>
      <c r="BP229" s="594"/>
      <c r="BQ229" s="594"/>
      <c r="BR229" s="594"/>
      <c r="BS229" s="594"/>
      <c r="BT229" s="594"/>
      <c r="BU229" s="594"/>
      <c r="BV229" s="594"/>
      <c r="BW229" s="594"/>
      <c r="BX229" s="594"/>
      <c r="BY229" s="594"/>
      <c r="BZ229" s="594"/>
      <c r="CA229" s="594"/>
      <c r="CB229" s="594"/>
      <c r="CC229" s="594"/>
      <c r="CD229" s="594"/>
      <c r="CE229" s="594"/>
      <c r="CF229" s="594"/>
      <c r="CG229" s="594"/>
      <c r="CH229" s="594"/>
      <c r="CI229" s="594"/>
      <c r="CJ229" s="594"/>
      <c r="CK229" s="594"/>
      <c r="CL229" s="594"/>
      <c r="CM229" s="594"/>
      <c r="CN229" s="594"/>
      <c r="CO229" s="594"/>
      <c r="CP229" s="594"/>
      <c r="CQ229" s="594"/>
    </row>
    <row r="230" spans="1:95" ht="19.5" hidden="1" customHeight="1" outlineLevel="2">
      <c r="A230" s="709" t="s">
        <v>359</v>
      </c>
      <c r="B230" s="710">
        <f>-SUMIFS('D2 - Capex uso'!BS$6:BS$176,'D2 - Capex uso'!$C$6:$C$176,$A213,'D2 - Capex uso'!$AK$6:$AK$176,$A230)</f>
        <v>-3520.0000000000005</v>
      </c>
      <c r="C230" s="710">
        <f>-SUMIFS('D2 - Capex uso'!BT$6:BT$176,'D2 - Capex uso'!$C$6:$C$176,$A213,'D2 - Capex uso'!$AK$6:$AK$176,$A230)</f>
        <v>0</v>
      </c>
      <c r="D230" s="710">
        <f>-SUMIFS('D2 - Capex uso'!BU$6:BU$176,'D2 - Capex uso'!$C$6:$C$176,$A213,'D2 - Capex uso'!$AK$6:$AK$176,$A230)</f>
        <v>0</v>
      </c>
      <c r="E230" s="710">
        <f>-SUMIFS('D2 - Capex uso'!BV$6:BV$176,'D2 - Capex uso'!$C$6:$C$176,$A213,'D2 - Capex uso'!$AK$6:$AK$176,$A230)</f>
        <v>0</v>
      </c>
      <c r="F230" s="710">
        <f>-SUMIFS('D2 - Capex uso'!BW$6:BW$176,'D2 - Capex uso'!$C$6:$C$176,$A213,'D2 - Capex uso'!$AK$6:$AK$176,$A230)</f>
        <v>0</v>
      </c>
      <c r="G230" s="710">
        <f>-SUMIFS('D2 - Capex uso'!BX$6:BX$176,'D2 - Capex uso'!$C$6:$C$176,$A213,'D2 - Capex uso'!$AK$6:$AK$176,$A230)</f>
        <v>0</v>
      </c>
      <c r="H230" s="710">
        <f>-SUMIFS('D2 - Capex uso'!BY$6:BY$176,'D2 - Capex uso'!$C$6:$C$176,$A213,'D2 - Capex uso'!$AK$6:$AK$176,$A230)</f>
        <v>0</v>
      </c>
      <c r="I230" s="710">
        <f>-SUMIFS('D2 - Capex uso'!BZ$6:BZ$176,'D2 - Capex uso'!$C$6:$C$176,$A213,'D2 - Capex uso'!$AK$6:$AK$176,$A230)</f>
        <v>0</v>
      </c>
      <c r="J230" s="710">
        <f>-SUMIFS('D2 - Capex uso'!CA$6:CA$176,'D2 - Capex uso'!$C$6:$C$176,$A213,'D2 - Capex uso'!$AK$6:$AK$176,$A230)</f>
        <v>0</v>
      </c>
      <c r="K230" s="710">
        <f>-SUMIFS('D2 - Capex uso'!CB$6:CB$176,'D2 - Capex uso'!$C$6:$C$176,$A213,'D2 - Capex uso'!$AK$6:$AK$176,$A230)</f>
        <v>0</v>
      </c>
      <c r="L230" s="710">
        <f>-SUMIFS('D2 - Capex uso'!CC$6:CC$176,'D2 - Capex uso'!$C$6:$C$176,$A213,'D2 - Capex uso'!$AK$6:$AK$176,$A230)</f>
        <v>-3520.0000000000005</v>
      </c>
      <c r="M230" s="710">
        <f>-SUMIFS('D2 - Capex uso'!CD$6:CD$176,'D2 - Capex uso'!$C$6:$C$176,$A213,'D2 - Capex uso'!$AK$6:$AK$176,$A230)</f>
        <v>0</v>
      </c>
      <c r="N230" s="710">
        <f>-SUMIFS('D2 - Capex uso'!CE$6:CE$176,'D2 - Capex uso'!$C$6:$C$176,$A213,'D2 - Capex uso'!$AK$6:$AK$176,$A230)</f>
        <v>0</v>
      </c>
      <c r="O230" s="710">
        <f>-SUMIFS('D2 - Capex uso'!CF$6:CF$176,'D2 - Capex uso'!$C$6:$C$176,$A213,'D2 - Capex uso'!$AK$6:$AK$176,$A230)</f>
        <v>0</v>
      </c>
      <c r="P230" s="710">
        <f>-SUMIFS('D2 - Capex uso'!CG$6:CG$176,'D2 - Capex uso'!$C$6:$C$176,$A213,'D2 - Capex uso'!$AK$6:$AK$176,$A230)</f>
        <v>0</v>
      </c>
      <c r="Q230" s="710">
        <f>-SUMIFS('D2 - Capex uso'!CH$6:CH$176,'D2 - Capex uso'!$C$6:$C$176,$A213,'D2 - Capex uso'!$AK$6:$AK$176,$A230)</f>
        <v>0</v>
      </c>
      <c r="R230" s="710">
        <f>-SUMIFS('D2 - Capex uso'!CI$6:CI$176,'D2 - Capex uso'!$C$6:$C$176,$A213,'D2 - Capex uso'!$AK$6:$AK$176,$A230)</f>
        <v>0</v>
      </c>
      <c r="S230" s="710">
        <f>-SUMIFS('D2 - Capex uso'!CJ$6:CJ$176,'D2 - Capex uso'!$C$6:$C$176,$A213,'D2 - Capex uso'!$AK$6:$AK$176,$A230)</f>
        <v>0</v>
      </c>
      <c r="T230" s="710">
        <f>-SUMIFS('D2 - Capex uso'!CK$6:CK$176,'D2 - Capex uso'!$C$6:$C$176,$A213,'D2 - Capex uso'!$AK$6:$AK$176,$A230)</f>
        <v>0</v>
      </c>
      <c r="U230" s="710">
        <f>-SUMIFS('D2 - Capex uso'!CL$6:CL$176,'D2 - Capex uso'!$C$6:$C$176,$A213,'D2 - Capex uso'!$AK$6:$AK$176,$A230)</f>
        <v>0</v>
      </c>
      <c r="V230" s="710">
        <f>-SUMIFS('D2 - Capex uso'!CM$6:CM$176,'D2 - Capex uso'!$C$6:$C$176,$A213,'D2 - Capex uso'!$AK$6:$AK$176,$A230)</f>
        <v>-3520.0000000000005</v>
      </c>
      <c r="W230" s="710">
        <f>-SUMIFS('D2 - Capex uso'!CN$6:CN$176,'D2 - Capex uso'!$C$6:$C$176,$A213,'D2 - Capex uso'!$AK$6:$AK$176,$A230)</f>
        <v>0</v>
      </c>
      <c r="X230" s="710">
        <f>-SUMIFS('D2 - Capex uso'!CO$6:CO$176,'D2 - Capex uso'!$C$6:$C$176,$A213,'D2 - Capex uso'!$AK$6:$AK$176,$A230)</f>
        <v>0</v>
      </c>
      <c r="Y230" s="710">
        <f>-SUMIFS('D2 - Capex uso'!CP$6:CP$176,'D2 - Capex uso'!$C$6:$C$176,$A213,'D2 - Capex uso'!$AK$6:$AK$176,$A230)</f>
        <v>0</v>
      </c>
      <c r="Z230" s="710">
        <f>-SUMIFS('D2 - Capex uso'!CQ$6:CQ$176,'D2 - Capex uso'!$C$6:$C$176,$A213,'D2 - Capex uso'!$AK$6:$AK$176,$A230)</f>
        <v>0</v>
      </c>
      <c r="AA230" s="710">
        <f>-SUMIFS('D2 - Capex uso'!CR$6:CR$176,'D2 - Capex uso'!$C$6:$C$176,$A213,'D2 - Capex uso'!$AK$6:$AK$176,$A230)</f>
        <v>0</v>
      </c>
      <c r="AB230" s="710">
        <f>-SUMIFS('D2 - Capex uso'!CS$6:CS$176,'D2 - Capex uso'!$C$6:$C$176,$A213,'D2 - Capex uso'!$AK$6:$AK$176,$A230)</f>
        <v>0</v>
      </c>
      <c r="AC230" s="710">
        <f>-SUMIFS('D2 - Capex uso'!CT$6:CT$176,'D2 - Capex uso'!$C$6:$C$176,$A213,'D2 - Capex uso'!$AK$6:$AK$176,$A230)</f>
        <v>0</v>
      </c>
      <c r="AD230" s="710">
        <f>-SUMIFS('D2 - Capex uso'!CU$6:CU$176,'D2 - Capex uso'!$C$6:$C$176,$A213,'D2 - Capex uso'!$AK$6:$AK$176,$A230)</f>
        <v>0</v>
      </c>
      <c r="AE230" s="710">
        <f>-SUMIFS('D2 - Capex uso'!CV$6:CV$176,'D2 - Capex uso'!$C$6:$C$176,$A213,'D2 - Capex uso'!$AK$6:$AK$176,$A230)</f>
        <v>0</v>
      </c>
      <c r="AF230" s="594"/>
      <c r="AG230" s="594"/>
      <c r="AH230" s="594"/>
      <c r="AI230" s="594"/>
      <c r="AJ230" s="594"/>
      <c r="AK230" s="594"/>
      <c r="AL230" s="594"/>
      <c r="AM230" s="594"/>
      <c r="AN230" s="594"/>
      <c r="AO230" s="594"/>
      <c r="AP230" s="594"/>
      <c r="AQ230" s="594"/>
      <c r="AR230" s="594"/>
      <c r="AS230" s="594"/>
      <c r="AT230" s="594"/>
      <c r="AU230" s="594"/>
      <c r="AV230" s="594"/>
      <c r="AW230" s="594"/>
      <c r="AX230" s="594"/>
      <c r="AY230" s="594"/>
      <c r="AZ230" s="594"/>
      <c r="BA230" s="594"/>
      <c r="BB230" s="594"/>
      <c r="BC230" s="594"/>
      <c r="BD230" s="594"/>
      <c r="BE230" s="594"/>
      <c r="BF230" s="594"/>
      <c r="BG230" s="594"/>
      <c r="BH230" s="594"/>
      <c r="BI230" s="594"/>
      <c r="BJ230" s="594"/>
      <c r="BK230" s="594"/>
      <c r="BL230" s="57"/>
      <c r="BM230" s="594"/>
      <c r="BN230" s="594"/>
      <c r="BO230" s="594"/>
      <c r="BP230" s="594"/>
      <c r="BQ230" s="594"/>
      <c r="BR230" s="594"/>
      <c r="BS230" s="594"/>
      <c r="BT230" s="594"/>
      <c r="BU230" s="594"/>
      <c r="BV230" s="594"/>
      <c r="BW230" s="594"/>
      <c r="BX230" s="594"/>
      <c r="BY230" s="594"/>
      <c r="BZ230" s="594"/>
      <c r="CA230" s="594"/>
      <c r="CB230" s="594"/>
      <c r="CC230" s="594"/>
      <c r="CD230" s="594"/>
      <c r="CE230" s="594"/>
      <c r="CF230" s="594"/>
      <c r="CG230" s="594"/>
      <c r="CH230" s="594"/>
      <c r="CI230" s="594"/>
      <c r="CJ230" s="594"/>
      <c r="CK230" s="594"/>
      <c r="CL230" s="594"/>
      <c r="CM230" s="594"/>
      <c r="CN230" s="594"/>
      <c r="CO230" s="594"/>
      <c r="CP230" s="594"/>
      <c r="CQ230" s="594"/>
    </row>
    <row r="231" spans="1:95" ht="19.5" hidden="1" customHeight="1" outlineLevel="2">
      <c r="A231" s="709" t="s">
        <v>171</v>
      </c>
      <c r="B231" s="710">
        <f>-SUMIFS('D2 - Capex uso'!BS$6:BS$176,'D2 - Capex uso'!$C$6:$C$176,$A213,'D2 - Capex uso'!$AK$6:$AK$176,$A231)</f>
        <v>0</v>
      </c>
      <c r="C231" s="710">
        <f>-SUMIFS('D2 - Capex uso'!BT$6:BT$176,'D2 - Capex uso'!$C$6:$C$176,$A213,'D2 - Capex uso'!$AK$6:$AK$176,$A231)</f>
        <v>0</v>
      </c>
      <c r="D231" s="710">
        <f>-SUMIFS('D2 - Capex uso'!BU$6:BU$176,'D2 - Capex uso'!$C$6:$C$176,$A213,'D2 - Capex uso'!$AK$6:$AK$176,$A231)</f>
        <v>0</v>
      </c>
      <c r="E231" s="710">
        <f>-SUMIFS('D2 - Capex uso'!BV$6:BV$176,'D2 - Capex uso'!$C$6:$C$176,$A213,'D2 - Capex uso'!$AK$6:$AK$176,$A231)</f>
        <v>0</v>
      </c>
      <c r="F231" s="710">
        <f>-SUMIFS('D2 - Capex uso'!BW$6:BW$176,'D2 - Capex uso'!$C$6:$C$176,$A213,'D2 - Capex uso'!$AK$6:$AK$176,$A231)</f>
        <v>0</v>
      </c>
      <c r="G231" s="710">
        <f>-SUMIFS('D2 - Capex uso'!BX$6:BX$176,'D2 - Capex uso'!$C$6:$C$176,$A213,'D2 - Capex uso'!$AK$6:$AK$176,$A231)</f>
        <v>0</v>
      </c>
      <c r="H231" s="710">
        <f>-SUMIFS('D2 - Capex uso'!BY$6:BY$176,'D2 - Capex uso'!$C$6:$C$176,$A213,'D2 - Capex uso'!$AK$6:$AK$176,$A231)</f>
        <v>0</v>
      </c>
      <c r="I231" s="710">
        <f>-SUMIFS('D2 - Capex uso'!BZ$6:BZ$176,'D2 - Capex uso'!$C$6:$C$176,$A213,'D2 - Capex uso'!$AK$6:$AK$176,$A231)</f>
        <v>0</v>
      </c>
      <c r="J231" s="710">
        <f>-SUMIFS('D2 - Capex uso'!CA$6:CA$176,'D2 - Capex uso'!$C$6:$C$176,$A213,'D2 - Capex uso'!$AK$6:$AK$176,$A231)</f>
        <v>0</v>
      </c>
      <c r="K231" s="710">
        <f>-SUMIFS('D2 - Capex uso'!CB$6:CB$176,'D2 - Capex uso'!$C$6:$C$176,$A213,'D2 - Capex uso'!$AK$6:$AK$176,$A231)</f>
        <v>0</v>
      </c>
      <c r="L231" s="710">
        <f>-SUMIFS('D2 - Capex uso'!CC$6:CC$176,'D2 - Capex uso'!$C$6:$C$176,$A213,'D2 - Capex uso'!$AK$6:$AK$176,$A231)</f>
        <v>0</v>
      </c>
      <c r="M231" s="710">
        <f>-SUMIFS('D2 - Capex uso'!CD$6:CD$176,'D2 - Capex uso'!$C$6:$C$176,$A213,'D2 - Capex uso'!$AK$6:$AK$176,$A231)</f>
        <v>0</v>
      </c>
      <c r="N231" s="710">
        <f>-SUMIFS('D2 - Capex uso'!CE$6:CE$176,'D2 - Capex uso'!$C$6:$C$176,$A213,'D2 - Capex uso'!$AK$6:$AK$176,$A231)</f>
        <v>0</v>
      </c>
      <c r="O231" s="710">
        <f>-SUMIFS('D2 - Capex uso'!CF$6:CF$176,'D2 - Capex uso'!$C$6:$C$176,$A213,'D2 - Capex uso'!$AK$6:$AK$176,$A231)</f>
        <v>0</v>
      </c>
      <c r="P231" s="710">
        <f>-SUMIFS('D2 - Capex uso'!CG$6:CG$176,'D2 - Capex uso'!$C$6:$C$176,$A213,'D2 - Capex uso'!$AK$6:$AK$176,$A231)</f>
        <v>0</v>
      </c>
      <c r="Q231" s="710">
        <f>-SUMIFS('D2 - Capex uso'!CH$6:CH$176,'D2 - Capex uso'!$C$6:$C$176,$A213,'D2 - Capex uso'!$AK$6:$AK$176,$A231)</f>
        <v>0</v>
      </c>
      <c r="R231" s="710">
        <f>-SUMIFS('D2 - Capex uso'!CI$6:CI$176,'D2 - Capex uso'!$C$6:$C$176,$A213,'D2 - Capex uso'!$AK$6:$AK$176,$A231)</f>
        <v>0</v>
      </c>
      <c r="S231" s="710">
        <f>-SUMIFS('D2 - Capex uso'!CJ$6:CJ$176,'D2 - Capex uso'!$C$6:$C$176,$A213,'D2 - Capex uso'!$AK$6:$AK$176,$A231)</f>
        <v>0</v>
      </c>
      <c r="T231" s="710">
        <f>-SUMIFS('D2 - Capex uso'!CK$6:CK$176,'D2 - Capex uso'!$C$6:$C$176,$A213,'D2 - Capex uso'!$AK$6:$AK$176,$A231)</f>
        <v>0</v>
      </c>
      <c r="U231" s="710">
        <f>-SUMIFS('D2 - Capex uso'!CL$6:CL$176,'D2 - Capex uso'!$C$6:$C$176,$A213,'D2 - Capex uso'!$AK$6:$AK$176,$A231)</f>
        <v>0</v>
      </c>
      <c r="V231" s="710">
        <f>-SUMIFS('D2 - Capex uso'!CM$6:CM$176,'D2 - Capex uso'!$C$6:$C$176,$A213,'D2 - Capex uso'!$AK$6:$AK$176,$A231)</f>
        <v>0</v>
      </c>
      <c r="W231" s="710">
        <f>-SUMIFS('D2 - Capex uso'!CN$6:CN$176,'D2 - Capex uso'!$C$6:$C$176,$A213,'D2 - Capex uso'!$AK$6:$AK$176,$A231)</f>
        <v>0</v>
      </c>
      <c r="X231" s="710">
        <f>-SUMIFS('D2 - Capex uso'!CO$6:CO$176,'D2 - Capex uso'!$C$6:$C$176,$A213,'D2 - Capex uso'!$AK$6:$AK$176,$A231)</f>
        <v>0</v>
      </c>
      <c r="Y231" s="710">
        <f>-SUMIFS('D2 - Capex uso'!CP$6:CP$176,'D2 - Capex uso'!$C$6:$C$176,$A213,'D2 - Capex uso'!$AK$6:$AK$176,$A231)</f>
        <v>0</v>
      </c>
      <c r="Z231" s="710">
        <f>-SUMIFS('D2 - Capex uso'!CQ$6:CQ$176,'D2 - Capex uso'!$C$6:$C$176,$A213,'D2 - Capex uso'!$AK$6:$AK$176,$A231)</f>
        <v>0</v>
      </c>
      <c r="AA231" s="710">
        <f>-SUMIFS('D2 - Capex uso'!CR$6:CR$176,'D2 - Capex uso'!$C$6:$C$176,$A213,'D2 - Capex uso'!$AK$6:$AK$176,$A231)</f>
        <v>0</v>
      </c>
      <c r="AB231" s="710">
        <f>-SUMIFS('D2 - Capex uso'!CS$6:CS$176,'D2 - Capex uso'!$C$6:$C$176,$A213,'D2 - Capex uso'!$AK$6:$AK$176,$A231)</f>
        <v>0</v>
      </c>
      <c r="AC231" s="710">
        <f>-SUMIFS('D2 - Capex uso'!CT$6:CT$176,'D2 - Capex uso'!$C$6:$C$176,$A213,'D2 - Capex uso'!$AK$6:$AK$176,$A231)</f>
        <v>0</v>
      </c>
      <c r="AD231" s="710">
        <f>-SUMIFS('D2 - Capex uso'!CU$6:CU$176,'D2 - Capex uso'!$C$6:$C$176,$A213,'D2 - Capex uso'!$AK$6:$AK$176,$A231)</f>
        <v>0</v>
      </c>
      <c r="AE231" s="710">
        <f>-SUMIFS('D2 - Capex uso'!CV$6:CV$176,'D2 - Capex uso'!$C$6:$C$176,$A213,'D2 - Capex uso'!$AK$6:$AK$176,$A231)</f>
        <v>0</v>
      </c>
      <c r="AF231" s="594"/>
      <c r="AG231" s="594"/>
      <c r="AH231" s="594"/>
      <c r="AI231" s="594"/>
      <c r="AJ231" s="594"/>
      <c r="AK231" s="594"/>
      <c r="AL231" s="594"/>
      <c r="AM231" s="594"/>
      <c r="AN231" s="594"/>
      <c r="AO231" s="594"/>
      <c r="AP231" s="594"/>
      <c r="AQ231" s="594"/>
      <c r="AR231" s="594"/>
      <c r="AS231" s="594"/>
      <c r="AT231" s="594"/>
      <c r="AU231" s="594"/>
      <c r="AV231" s="594"/>
      <c r="AW231" s="594"/>
      <c r="AX231" s="594"/>
      <c r="AY231" s="594"/>
      <c r="AZ231" s="594"/>
      <c r="BA231" s="594"/>
      <c r="BB231" s="594"/>
      <c r="BC231" s="594"/>
      <c r="BD231" s="594"/>
      <c r="BE231" s="594"/>
      <c r="BF231" s="594"/>
      <c r="BG231" s="594"/>
      <c r="BH231" s="594"/>
      <c r="BI231" s="594"/>
      <c r="BJ231" s="594"/>
      <c r="BK231" s="594"/>
      <c r="BL231" s="57"/>
      <c r="BM231" s="594"/>
      <c r="BN231" s="594"/>
      <c r="BO231" s="594"/>
      <c r="BP231" s="594"/>
      <c r="BQ231" s="594"/>
      <c r="BR231" s="594"/>
      <c r="BS231" s="594"/>
      <c r="BT231" s="594"/>
      <c r="BU231" s="594"/>
      <c r="BV231" s="594"/>
      <c r="BW231" s="594"/>
      <c r="BX231" s="594"/>
      <c r="BY231" s="594"/>
      <c r="BZ231" s="594"/>
      <c r="CA231" s="594"/>
      <c r="CB231" s="594"/>
      <c r="CC231" s="594"/>
      <c r="CD231" s="594"/>
      <c r="CE231" s="594"/>
      <c r="CF231" s="594"/>
      <c r="CG231" s="594"/>
      <c r="CH231" s="594"/>
      <c r="CI231" s="594"/>
      <c r="CJ231" s="594"/>
      <c r="CK231" s="594"/>
      <c r="CL231" s="594"/>
      <c r="CM231" s="594"/>
      <c r="CN231" s="594"/>
      <c r="CO231" s="594"/>
      <c r="CP231" s="594"/>
      <c r="CQ231" s="594"/>
    </row>
    <row r="232" spans="1:95" ht="27" customHeight="1" collapsed="1">
      <c r="A232" s="703" t="str">
        <f>IF(ISBLANK('A1 - Serviços e demanda'!A32),,'A1 - Serviços e demanda'!A32)</f>
        <v>Serrote - Comércio</v>
      </c>
      <c r="B232" s="704">
        <f t="shared" ref="B232:AE232" si="72">IF($A232=0,0,SUM(B241:B242))</f>
        <v>-44461.195700000004</v>
      </c>
      <c r="C232" s="704">
        <f t="shared" si="72"/>
        <v>161114.99016569316</v>
      </c>
      <c r="D232" s="704">
        <f t="shared" si="72"/>
        <v>172432.14464203088</v>
      </c>
      <c r="E232" s="704">
        <f t="shared" si="72"/>
        <v>183385.98421671794</v>
      </c>
      <c r="F232" s="704">
        <f t="shared" si="72"/>
        <v>194498.93580781401</v>
      </c>
      <c r="G232" s="704">
        <f t="shared" si="72"/>
        <v>205816.37411960168</v>
      </c>
      <c r="H232" s="704">
        <f t="shared" si="72"/>
        <v>217474.27313257247</v>
      </c>
      <c r="I232" s="704">
        <f t="shared" si="72"/>
        <v>229450.73369528423</v>
      </c>
      <c r="J232" s="704">
        <f t="shared" si="72"/>
        <v>241654.26274687017</v>
      </c>
      <c r="K232" s="704">
        <f t="shared" si="72"/>
        <v>254062.82441897067</v>
      </c>
      <c r="L232" s="704">
        <f t="shared" si="72"/>
        <v>233543.29776747475</v>
      </c>
      <c r="M232" s="704">
        <f t="shared" si="72"/>
        <v>280083.39103896369</v>
      </c>
      <c r="N232" s="704">
        <f t="shared" si="72"/>
        <v>293696.12240335462</v>
      </c>
      <c r="O232" s="704">
        <f t="shared" si="72"/>
        <v>307740.45962958061</v>
      </c>
      <c r="P232" s="704">
        <f t="shared" si="72"/>
        <v>322193.93234913133</v>
      </c>
      <c r="Q232" s="704">
        <f t="shared" si="72"/>
        <v>337033.82307879289</v>
      </c>
      <c r="R232" s="704">
        <f t="shared" si="72"/>
        <v>352260.06750714732</v>
      </c>
      <c r="S232" s="704">
        <f t="shared" si="72"/>
        <v>367826.89746431971</v>
      </c>
      <c r="T232" s="704">
        <f t="shared" si="72"/>
        <v>383666.46407269698</v>
      </c>
      <c r="U232" s="704">
        <f t="shared" si="72"/>
        <v>399710.75642738596</v>
      </c>
      <c r="V232" s="704">
        <f t="shared" si="72"/>
        <v>366374.11242738593</v>
      </c>
      <c r="W232" s="704">
        <f t="shared" si="72"/>
        <v>399710.75642738596</v>
      </c>
      <c r="X232" s="704">
        <f t="shared" si="72"/>
        <v>399710.75642738596</v>
      </c>
      <c r="Y232" s="704">
        <f t="shared" si="72"/>
        <v>399710.75642738596</v>
      </c>
      <c r="Z232" s="704">
        <f t="shared" si="72"/>
        <v>399710.75642738596</v>
      </c>
      <c r="AA232" s="704">
        <f t="shared" si="72"/>
        <v>399710.75642738596</v>
      </c>
      <c r="AB232" s="704">
        <f t="shared" si="72"/>
        <v>399710.75642738596</v>
      </c>
      <c r="AC232" s="704">
        <f t="shared" si="72"/>
        <v>399710.75642738596</v>
      </c>
      <c r="AD232" s="704">
        <f t="shared" si="72"/>
        <v>399710.75642738596</v>
      </c>
      <c r="AE232" s="704">
        <f t="shared" si="72"/>
        <v>399710.75642738596</v>
      </c>
      <c r="AF232" s="594"/>
      <c r="AG232" s="486" t="str">
        <f>A232</f>
        <v>Serrote - Comércio</v>
      </c>
      <c r="AH232" s="705">
        <f t="shared" ref="AH232:BK232" si="73">IFERROR(-B235/B233,0)</f>
        <v>0</v>
      </c>
      <c r="AI232" s="705">
        <f t="shared" si="73"/>
        <v>0.5971442270466103</v>
      </c>
      <c r="AJ232" s="705">
        <f t="shared" si="73"/>
        <v>0.58943115916472799</v>
      </c>
      <c r="AK232" s="705">
        <f t="shared" si="73"/>
        <v>0.58244077757850188</v>
      </c>
      <c r="AL232" s="705">
        <f t="shared" si="73"/>
        <v>0.57578210879989933</v>
      </c>
      <c r="AM232" s="705">
        <f t="shared" si="73"/>
        <v>0.56940917582958583</v>
      </c>
      <c r="AN232" s="705">
        <f t="shared" si="73"/>
        <v>0.5632368756284396</v>
      </c>
      <c r="AO232" s="705">
        <f t="shared" si="73"/>
        <v>0.55727440023945396</v>
      </c>
      <c r="AP232" s="705">
        <f t="shared" si="73"/>
        <v>0.55155852083329993</v>
      </c>
      <c r="AQ232" s="705">
        <f t="shared" si="73"/>
        <v>0.54608676924683519</v>
      </c>
      <c r="AR232" s="705">
        <f t="shared" si="73"/>
        <v>0.54076344965274636</v>
      </c>
      <c r="AS232" s="705">
        <f t="shared" si="73"/>
        <v>0.53559903460527958</v>
      </c>
      <c r="AT232" s="705">
        <f t="shared" si="73"/>
        <v>0.53058472948540969</v>
      </c>
      <c r="AU232" s="705">
        <f t="shared" si="73"/>
        <v>0.52571293320118795</v>
      </c>
      <c r="AV232" s="705">
        <f t="shared" si="73"/>
        <v>0.52099147621894581</v>
      </c>
      <c r="AW232" s="705">
        <f t="shared" si="73"/>
        <v>0.51642570575063829</v>
      </c>
      <c r="AX232" s="705">
        <f t="shared" si="73"/>
        <v>0.5120124630807199</v>
      </c>
      <c r="AY232" s="705">
        <f t="shared" si="73"/>
        <v>0.50776033582919822</v>
      </c>
      <c r="AZ232" s="705">
        <f t="shared" si="73"/>
        <v>0.50368060693564554</v>
      </c>
      <c r="BA232" s="705">
        <f t="shared" si="73"/>
        <v>0.4997808071965657</v>
      </c>
      <c r="BB232" s="705">
        <f t="shared" si="73"/>
        <v>0.4997808071965657</v>
      </c>
      <c r="BC232" s="705">
        <f t="shared" si="73"/>
        <v>0.4997808071965657</v>
      </c>
      <c r="BD232" s="705">
        <f t="shared" si="73"/>
        <v>0.4997808071965657</v>
      </c>
      <c r="BE232" s="705">
        <f t="shared" si="73"/>
        <v>0.4997808071965657</v>
      </c>
      <c r="BF232" s="705">
        <f t="shared" si="73"/>
        <v>0.4997808071965657</v>
      </c>
      <c r="BG232" s="705">
        <f t="shared" si="73"/>
        <v>0.4997808071965657</v>
      </c>
      <c r="BH232" s="705">
        <f t="shared" si="73"/>
        <v>0.4997808071965657</v>
      </c>
      <c r="BI232" s="705">
        <f t="shared" si="73"/>
        <v>0.4997808071965657</v>
      </c>
      <c r="BJ232" s="705">
        <f t="shared" si="73"/>
        <v>0.4997808071965657</v>
      </c>
      <c r="BK232" s="705">
        <f t="shared" si="73"/>
        <v>0.4997808071965657</v>
      </c>
      <c r="BL232" s="57"/>
      <c r="BM232" s="486" t="str">
        <f>AG232</f>
        <v>Serrote - Comércio</v>
      </c>
      <c r="BN232" s="705">
        <f t="shared" ref="BN232:CQ232" si="74">IFERROR(B241/B233,0)</f>
        <v>0</v>
      </c>
      <c r="BO232" s="705">
        <f t="shared" si="74"/>
        <v>0.22336751721293935</v>
      </c>
      <c r="BP232" s="705">
        <f t="shared" si="74"/>
        <v>0.23108033321097679</v>
      </c>
      <c r="BQ232" s="705">
        <f t="shared" si="74"/>
        <v>0.23807086098496422</v>
      </c>
      <c r="BR232" s="705">
        <f t="shared" si="74"/>
        <v>0.24472970847161246</v>
      </c>
      <c r="BS232" s="705">
        <f t="shared" si="74"/>
        <v>0.25110275620033146</v>
      </c>
      <c r="BT232" s="705">
        <f t="shared" si="74"/>
        <v>0.2572746635899355</v>
      </c>
      <c r="BU232" s="705">
        <f t="shared" si="74"/>
        <v>0.26323723248469483</v>
      </c>
      <c r="BV232" s="705">
        <f t="shared" si="74"/>
        <v>0.26895299137102968</v>
      </c>
      <c r="BW232" s="705">
        <f t="shared" si="74"/>
        <v>0.27442517219590695</v>
      </c>
      <c r="BX232" s="705">
        <f t="shared" si="74"/>
        <v>0.27974836663257313</v>
      </c>
      <c r="BY232" s="705">
        <f t="shared" si="74"/>
        <v>0.28491266063675669</v>
      </c>
      <c r="BZ232" s="705">
        <f t="shared" si="74"/>
        <v>0.28992707048702332</v>
      </c>
      <c r="CA232" s="705">
        <f t="shared" si="74"/>
        <v>0.29479879263299225</v>
      </c>
      <c r="CB232" s="705">
        <f t="shared" si="74"/>
        <v>0.29952024946465683</v>
      </c>
      <c r="CC232" s="705">
        <f t="shared" si="74"/>
        <v>0.30408609471628356</v>
      </c>
      <c r="CD232" s="705">
        <f t="shared" si="74"/>
        <v>0.30849942418631809</v>
      </c>
      <c r="CE232" s="705">
        <f t="shared" si="74"/>
        <v>0.31275137952922344</v>
      </c>
      <c r="CF232" s="705">
        <f t="shared" si="74"/>
        <v>0.31683097078549649</v>
      </c>
      <c r="CG232" s="705">
        <f t="shared" si="74"/>
        <v>0.32073079753451228</v>
      </c>
      <c r="CH232" s="705">
        <f t="shared" si="74"/>
        <v>0.32073079753451228</v>
      </c>
      <c r="CI232" s="705">
        <f t="shared" si="74"/>
        <v>0.32073079753451228</v>
      </c>
      <c r="CJ232" s="705">
        <f t="shared" si="74"/>
        <v>0.32073079753451228</v>
      </c>
      <c r="CK232" s="705">
        <f t="shared" si="74"/>
        <v>0.32073079753451228</v>
      </c>
      <c r="CL232" s="705">
        <f t="shared" si="74"/>
        <v>0.32073079753451228</v>
      </c>
      <c r="CM232" s="705">
        <f t="shared" si="74"/>
        <v>0.32073079753451228</v>
      </c>
      <c r="CN232" s="705">
        <f t="shared" si="74"/>
        <v>0.32073079753451228</v>
      </c>
      <c r="CO232" s="705">
        <f t="shared" si="74"/>
        <v>0.32073079753451228</v>
      </c>
      <c r="CP232" s="705">
        <f t="shared" si="74"/>
        <v>0.32073079753451228</v>
      </c>
      <c r="CQ232" s="705">
        <f t="shared" si="74"/>
        <v>0.32073079753451228</v>
      </c>
    </row>
    <row r="233" spans="1:95" ht="33.75" hidden="1" customHeight="1" outlineLevel="1">
      <c r="A233" s="706" t="s">
        <v>680</v>
      </c>
      <c r="B233" s="707">
        <f>IFERROR(VLOOKUP($A232,ReceitaBruta,COLUMN('A4 - Previsão de Receita Bruta'!C235)-1,0),0)</f>
        <v>0</v>
      </c>
      <c r="C233" s="707">
        <f>IFERROR(VLOOKUP($A232,ReceitaBruta,COLUMN('A4 - Previsão de Receita Bruta'!D235)-1,0),0)</f>
        <v>721300</v>
      </c>
      <c r="D233" s="707">
        <f>IFERROR(VLOOKUP($A232,ReceitaBruta,COLUMN('A4 - Previsão de Receita Bruta'!E235)-1,0),0)</f>
        <v>746200</v>
      </c>
      <c r="E233" s="707">
        <f>IFERROR(VLOOKUP($A232,ReceitaBruta,COLUMN('A4 - Previsão de Receita Bruta'!F235)-1,0),0)</f>
        <v>770300</v>
      </c>
      <c r="F233" s="707">
        <f>IFERROR(VLOOKUP($A232,ReceitaBruta,COLUMN('A4 - Previsão de Receita Bruta'!G235)-1,0),0)</f>
        <v>794750</v>
      </c>
      <c r="G233" s="707">
        <f>IFERROR(VLOOKUP($A232,ReceitaBruta,COLUMN('A4 - Previsão de Receita Bruta'!H235)-1,0),0)</f>
        <v>819650</v>
      </c>
      <c r="H233" s="707">
        <f>IFERROR(VLOOKUP($A232,ReceitaBruta,COLUMN('A4 - Previsão de Receita Bruta'!I235)-1,0),0)</f>
        <v>845300</v>
      </c>
      <c r="I233" s="707">
        <f>IFERROR(VLOOKUP($A232,ReceitaBruta,COLUMN('A4 - Previsão de Receita Bruta'!J235)-1,0),0)</f>
        <v>871650</v>
      </c>
      <c r="J233" s="707">
        <f>IFERROR(VLOOKUP($A232,ReceitaBruta,COLUMN('A4 - Previsão de Receita Bruta'!K235)-1,0),0)</f>
        <v>898500</v>
      </c>
      <c r="K233" s="707">
        <f>IFERROR(VLOOKUP($A232,ReceitaBruta,COLUMN('A4 - Previsão de Receita Bruta'!L235)-1,0),0)</f>
        <v>925800</v>
      </c>
      <c r="L233" s="707">
        <f>IFERROR(VLOOKUP($A232,ReceitaBruta,COLUMN('A4 - Previsão de Receita Bruta'!M235)-1,0),0)</f>
        <v>954000</v>
      </c>
      <c r="M233" s="707">
        <f>IFERROR(VLOOKUP($A232,ReceitaBruta,COLUMN('A4 - Previsão de Receita Bruta'!N235)-1,0),0)</f>
        <v>983050</v>
      </c>
      <c r="N233" s="707">
        <f>IFERROR(VLOOKUP($A232,ReceitaBruta,COLUMN('A4 - Previsão de Receita Bruta'!O235)-1,0),0)</f>
        <v>1013000</v>
      </c>
      <c r="O233" s="707">
        <f>IFERROR(VLOOKUP($A232,ReceitaBruta,COLUMN('A4 - Previsão de Receita Bruta'!P235)-1,0),0)</f>
        <v>1043900</v>
      </c>
      <c r="P233" s="707">
        <f>IFERROR(VLOOKUP($A232,ReceitaBruta,COLUMN('A4 - Previsão de Receita Bruta'!Q235)-1,0),0)</f>
        <v>1075700</v>
      </c>
      <c r="Q233" s="707">
        <f>IFERROR(VLOOKUP($A232,ReceitaBruta,COLUMN('A4 - Previsão de Receita Bruta'!R235)-1,0),0)</f>
        <v>1108350</v>
      </c>
      <c r="R233" s="707">
        <f>IFERROR(VLOOKUP($A232,ReceitaBruta,COLUMN('A4 - Previsão de Receita Bruta'!S235)-1,0),0)</f>
        <v>1141850</v>
      </c>
      <c r="S233" s="707">
        <f>IFERROR(VLOOKUP($A232,ReceitaBruta,COLUMN('A4 - Previsão de Receita Bruta'!T235)-1,0),0)</f>
        <v>1176100</v>
      </c>
      <c r="T233" s="707">
        <f>IFERROR(VLOOKUP($A232,ReceitaBruta,COLUMN('A4 - Previsão de Receita Bruta'!U235)-1,0),0)</f>
        <v>1210950</v>
      </c>
      <c r="U233" s="707">
        <f>IFERROR(VLOOKUP($A232,ReceitaBruta,COLUMN('A4 - Previsão de Receita Bruta'!V235)-1,0),0)</f>
        <v>1246250</v>
      </c>
      <c r="V233" s="707">
        <f>IFERROR(VLOOKUP($A232,ReceitaBruta,COLUMN('A4 - Previsão de Receita Bruta'!W235)-1,0),0)</f>
        <v>1246250</v>
      </c>
      <c r="W233" s="707">
        <f>IFERROR(VLOOKUP($A232,ReceitaBruta,COLUMN('A4 - Previsão de Receita Bruta'!X235)-1,0),0)</f>
        <v>1246250</v>
      </c>
      <c r="X233" s="707">
        <f>IFERROR(VLOOKUP($A232,ReceitaBruta,COLUMN('A4 - Previsão de Receita Bruta'!Y235)-1,0),0)</f>
        <v>1246250</v>
      </c>
      <c r="Y233" s="707">
        <f>IFERROR(VLOOKUP($A232,ReceitaBruta,COLUMN('A4 - Previsão de Receita Bruta'!Z235)-1,0),0)</f>
        <v>1246250</v>
      </c>
      <c r="Z233" s="707">
        <f>IFERROR(VLOOKUP($A232,ReceitaBruta,COLUMN('A4 - Previsão de Receita Bruta'!AA235)-1,0),0)</f>
        <v>1246250</v>
      </c>
      <c r="AA233" s="707">
        <f>IFERROR(VLOOKUP($A232,ReceitaBruta,COLUMN('A4 - Previsão de Receita Bruta'!AB235)-1,0),0)</f>
        <v>1246250</v>
      </c>
      <c r="AB233" s="707">
        <f>IFERROR(VLOOKUP($A232,ReceitaBruta,COLUMN('A4 - Previsão de Receita Bruta'!AC235)-1,0),0)</f>
        <v>1246250</v>
      </c>
      <c r="AC233" s="707">
        <f>IFERROR(VLOOKUP($A232,ReceitaBruta,COLUMN('A4 - Previsão de Receita Bruta'!AD235)-1,0),0)</f>
        <v>1246250</v>
      </c>
      <c r="AD233" s="707">
        <f>IFERROR(VLOOKUP($A232,ReceitaBruta,COLUMN('A4 - Previsão de Receita Bruta'!AE235)-1,0),0)</f>
        <v>1246250</v>
      </c>
      <c r="AE233" s="707">
        <f>IFERROR(VLOOKUP($A232,ReceitaBruta,COLUMN('A4 - Previsão de Receita Bruta'!AF235)-1,0),0)</f>
        <v>1246250</v>
      </c>
      <c r="AF233" s="594"/>
      <c r="AG233" s="594"/>
      <c r="AH233" s="594"/>
      <c r="AI233" s="594"/>
      <c r="AJ233" s="594"/>
      <c r="AK233" s="594"/>
      <c r="AL233" s="594"/>
      <c r="AM233" s="594"/>
      <c r="AN233" s="594"/>
      <c r="AO233" s="594"/>
      <c r="AP233" s="594"/>
      <c r="AQ233" s="594"/>
      <c r="AR233" s="594"/>
      <c r="AS233" s="594"/>
      <c r="AT233" s="594"/>
      <c r="AU233" s="594"/>
      <c r="AV233" s="594"/>
      <c r="AW233" s="594"/>
      <c r="AX233" s="594"/>
      <c r="AY233" s="594"/>
      <c r="AZ233" s="594"/>
      <c r="BA233" s="594"/>
      <c r="BB233" s="594"/>
      <c r="BC233" s="594"/>
      <c r="BD233" s="594"/>
      <c r="BE233" s="594"/>
      <c r="BF233" s="594"/>
      <c r="BG233" s="594"/>
      <c r="BH233" s="594"/>
      <c r="BI233" s="594"/>
      <c r="BJ233" s="594"/>
      <c r="BK233" s="594"/>
      <c r="BL233" s="57"/>
      <c r="BM233" s="594"/>
      <c r="BN233" s="594"/>
      <c r="BO233" s="594"/>
      <c r="BP233" s="594"/>
      <c r="BQ233" s="594"/>
      <c r="BR233" s="594"/>
      <c r="BS233" s="594"/>
      <c r="BT233" s="594"/>
      <c r="BU233" s="594"/>
      <c r="BV233" s="594"/>
      <c r="BW233" s="594"/>
      <c r="BX233" s="594"/>
      <c r="BY233" s="594"/>
      <c r="BZ233" s="594"/>
      <c r="CA233" s="594"/>
      <c r="CB233" s="594"/>
      <c r="CC233" s="594"/>
      <c r="CD233" s="594"/>
      <c r="CE233" s="594"/>
      <c r="CF233" s="594"/>
      <c r="CG233" s="594"/>
      <c r="CH233" s="594"/>
      <c r="CI233" s="594"/>
      <c r="CJ233" s="594"/>
      <c r="CK233" s="594"/>
      <c r="CL233" s="594"/>
      <c r="CM233" s="594"/>
      <c r="CN233" s="594"/>
      <c r="CO233" s="594"/>
      <c r="CP233" s="594"/>
      <c r="CQ233" s="594"/>
    </row>
    <row r="234" spans="1:95" ht="21" hidden="1" customHeight="1" outlineLevel="1">
      <c r="A234" s="708" t="s">
        <v>681</v>
      </c>
      <c r="B234" s="707">
        <f>IFERROR(-'E2 - Tributos'!D$19*VLOOKUP('F1 - FCL'!$A232,ReceitaBruta,COLUMN('A4 - Previsão de Receita Bruta'!C$6)-1,0),0)</f>
        <v>0</v>
      </c>
      <c r="C234" s="707">
        <f>IFERROR(-'E2 - Tributos'!E$19*VLOOKUP('F1 - FCL'!$A232,ReceitaBruta,COLUMN('A4 - Previsão de Receita Bruta'!D$6)-1,0),0)</f>
        <v>-129464.87886558683</v>
      </c>
      <c r="D234" s="707">
        <f>IFERROR(-'E2 - Tributos'!F$19*VLOOKUP('F1 - FCL'!$A232,ReceitaBruta,COLUMN('A4 - Previsão de Receita Bruta'!E$6)-1,0),0)</f>
        <v>-133934.32438924914</v>
      </c>
      <c r="E234" s="707">
        <f>IFERROR(-'E2 - Tributos'!G$19*VLOOKUP('F1 - FCL'!$A232,ReceitaBruta,COLUMN('A4 - Previsão de Receita Bruta'!F$6)-1,0),0)</f>
        <v>-138259.88481456201</v>
      </c>
      <c r="F234" s="707">
        <f>IFERROR(-'E2 - Tributos'!H$19*VLOOKUP('F1 - FCL'!$A232,ReceitaBruta,COLUMN('A4 - Previsão de Receita Bruta'!G$6)-1,0),0)</f>
        <v>-142648.23322346591</v>
      </c>
      <c r="G234" s="707">
        <f>IFERROR(-'E2 - Tributos'!I$19*VLOOKUP('F1 - FCL'!$A232,ReceitaBruta,COLUMN('A4 - Previsão de Receita Bruta'!H$6)-1,0),0)</f>
        <v>-147117.3949116783</v>
      </c>
      <c r="H234" s="707">
        <f>IFERROR(-'E2 - Tributos'!J$19*VLOOKUP('F1 - FCL'!$A232,ReceitaBruta,COLUMN('A4 - Previsão de Receita Bruta'!I$6)-1,0),0)</f>
        <v>-151721.59589870748</v>
      </c>
      <c r="I234" s="707">
        <f>IFERROR(-'E2 - Tributos'!K$19*VLOOKUP('F1 - FCL'!$A232,ReceitaBruta,COLUMN('A4 - Previsão de Receita Bruta'!J$6)-1,0),0)</f>
        <v>-156451.03533599569</v>
      </c>
      <c r="J234" s="707">
        <f>IFERROR(-'E2 - Tributos'!L$19*VLOOKUP('F1 - FCL'!$A232,ReceitaBruta,COLUMN('A4 - Previsão de Receita Bruta'!K$6)-1,0),0)</f>
        <v>-161270.40628440987</v>
      </c>
      <c r="K234" s="707">
        <f>IFERROR(-'E2 - Tributos'!M$19*VLOOKUP('F1 - FCL'!$A232,ReceitaBruta,COLUMN('A4 - Previsão de Receita Bruta'!L$6)-1,0),0)</f>
        <v>-166170.04461230934</v>
      </c>
      <c r="L234" s="707">
        <f>IFERROR(-'E2 - Tributos'!N$19*VLOOKUP('F1 - FCL'!$A232,ReceitaBruta,COLUMN('A4 - Previsão de Receita Bruta'!M$6)-1,0),0)</f>
        <v>-171231.72726380519</v>
      </c>
      <c r="M234" s="707">
        <f>IFERROR(-'E2 - Tributos'!O$19*VLOOKUP('F1 - FCL'!$A232,ReceitaBruta,COLUMN('A4 - Previsão de Receita Bruta'!N$6)-1,0),0)</f>
        <v>-176445.97799231627</v>
      </c>
      <c r="N234" s="707">
        <f>IFERROR(-'E2 - Tributos'!P$19*VLOOKUP('F1 - FCL'!$A232,ReceitaBruta,COLUMN('A4 - Previsão de Receita Bruta'!O$6)-1,0),0)</f>
        <v>-181821.54662792536</v>
      </c>
      <c r="O234" s="707">
        <f>IFERROR(-'E2 - Tributos'!Q$19*VLOOKUP('F1 - FCL'!$A232,ReceitaBruta,COLUMN('A4 - Previsão de Receita Bruta'!P$6)-1,0),0)</f>
        <v>-187367.80940169931</v>
      </c>
      <c r="P234" s="707">
        <f>IFERROR(-'E2 - Tributos'!R$19*VLOOKUP('F1 - FCL'!$A232,ReceitaBruta,COLUMN('A4 - Previsão de Receita Bruta'!Q$6)-1,0),0)</f>
        <v>-193075.53668214867</v>
      </c>
      <c r="Q234" s="707">
        <f>IFERROR(-'E2 - Tributos'!S$19*VLOOKUP('F1 - FCL'!$A232,ReceitaBruta,COLUMN('A4 - Previsão de Receita Bruta'!R$6)-1,0),0)</f>
        <v>-198935.74595248711</v>
      </c>
      <c r="R234" s="707">
        <f>IFERROR(-'E2 - Tributos'!T$19*VLOOKUP('F1 - FCL'!$A232,ReceitaBruta,COLUMN('A4 - Previsão de Receita Bruta'!S$6)-1,0),0)</f>
        <v>-204948.50152413262</v>
      </c>
      <c r="S234" s="707">
        <f>IFERROR(-'E2 - Tributos'!U$19*VLOOKUP('F1 - FCL'!$A232,ReceitaBruta,COLUMN('A4 - Previsão de Receita Bruta'!T$6)-1,0),0)</f>
        <v>-211096.17156696026</v>
      </c>
      <c r="T234" s="707">
        <f>IFERROR(-'E2 - Tributos'!V$19*VLOOKUP('F1 - FCL'!$A232,ReceitaBruta,COLUMN('A4 - Previsão de Receita Bruta'!U$6)-1,0),0)</f>
        <v>-217351.50495858298</v>
      </c>
      <c r="U234" s="707">
        <f>IFERROR(-'E2 - Tributos'!W$19*VLOOKUP('F1 - FCL'!$A232,ReceitaBruta,COLUMN('A4 - Previsão de Receita Bruta'!V$6)-1,0),0)</f>
        <v>-223687.41260389404</v>
      </c>
      <c r="V234" s="707">
        <f>IFERROR(-'E2 - Tributos'!X$19*VLOOKUP('F1 - FCL'!$A232,ReceitaBruta,COLUMN('A4 - Previsão de Receita Bruta'!W$6)-1,0),0)</f>
        <v>-223687.41260389404</v>
      </c>
      <c r="W234" s="707">
        <f>IFERROR(-'E2 - Tributos'!Y$19*VLOOKUP('F1 - FCL'!$A232,ReceitaBruta,COLUMN('A4 - Previsão de Receita Bruta'!X$6)-1,0),0)</f>
        <v>-223687.41260389404</v>
      </c>
      <c r="X234" s="707">
        <f>IFERROR(-'E2 - Tributos'!Z$19*VLOOKUP('F1 - FCL'!$A232,ReceitaBruta,COLUMN('A4 - Previsão de Receita Bruta'!Y$6)-1,0),0)</f>
        <v>-223687.41260389404</v>
      </c>
      <c r="Y234" s="707">
        <f>IFERROR(-'E2 - Tributos'!AA$19*VLOOKUP('F1 - FCL'!$A232,ReceitaBruta,COLUMN('A4 - Previsão de Receita Bruta'!Z$6)-1,0),0)</f>
        <v>-223687.41260389404</v>
      </c>
      <c r="Z234" s="707">
        <f>IFERROR(-'E2 - Tributos'!AB$19*VLOOKUP('F1 - FCL'!$A232,ReceitaBruta,COLUMN('A4 - Previsão de Receita Bruta'!AA$6)-1,0),0)</f>
        <v>-223687.41260389404</v>
      </c>
      <c r="AA234" s="707">
        <f>IFERROR(-'E2 - Tributos'!AC$19*VLOOKUP('F1 - FCL'!$A232,ReceitaBruta,COLUMN('A4 - Previsão de Receita Bruta'!AB$6)-1,0),0)</f>
        <v>-223687.41260389404</v>
      </c>
      <c r="AB234" s="707">
        <f>IFERROR(-'E2 - Tributos'!AD$19*VLOOKUP('F1 - FCL'!$A232,ReceitaBruta,COLUMN('A4 - Previsão de Receita Bruta'!AC$6)-1,0),0)</f>
        <v>-223687.41260389404</v>
      </c>
      <c r="AC234" s="707">
        <f>IFERROR(-'E2 - Tributos'!AE$19*VLOOKUP('F1 - FCL'!$A232,ReceitaBruta,COLUMN('A4 - Previsão de Receita Bruta'!AD$6)-1,0),0)</f>
        <v>-223687.41260389404</v>
      </c>
      <c r="AD234" s="707">
        <f>IFERROR(-'E2 - Tributos'!AF$19*VLOOKUP('F1 - FCL'!$A232,ReceitaBruta,COLUMN('A4 - Previsão de Receita Bruta'!AE$6)-1,0),0)</f>
        <v>-223687.41260389404</v>
      </c>
      <c r="AE234" s="707">
        <f>IFERROR(-'E2 - Tributos'!AG$19*VLOOKUP('F1 - FCL'!$A232,ReceitaBruta,COLUMN('A4 - Previsão de Receita Bruta'!AF$6)-1,0),0)</f>
        <v>-223687.41260389404</v>
      </c>
      <c r="AF234" s="594"/>
      <c r="AG234" s="594"/>
      <c r="AH234" s="594"/>
      <c r="AI234" s="594"/>
      <c r="AJ234" s="594"/>
      <c r="AK234" s="594"/>
      <c r="AL234" s="594"/>
      <c r="AM234" s="594"/>
      <c r="AN234" s="594"/>
      <c r="AO234" s="594"/>
      <c r="AP234" s="594"/>
      <c r="AQ234" s="594"/>
      <c r="AR234" s="594"/>
      <c r="AS234" s="594"/>
      <c r="AT234" s="594"/>
      <c r="AU234" s="594"/>
      <c r="AV234" s="594"/>
      <c r="AW234" s="594"/>
      <c r="AX234" s="594"/>
      <c r="AY234" s="594"/>
      <c r="AZ234" s="594"/>
      <c r="BA234" s="594"/>
      <c r="BB234" s="594"/>
      <c r="BC234" s="594"/>
      <c r="BD234" s="594"/>
      <c r="BE234" s="594"/>
      <c r="BF234" s="594"/>
      <c r="BG234" s="594"/>
      <c r="BH234" s="594"/>
      <c r="BI234" s="594"/>
      <c r="BJ234" s="594"/>
      <c r="BK234" s="594"/>
      <c r="BL234" s="57"/>
      <c r="BM234" s="594"/>
      <c r="BN234" s="594"/>
      <c r="BO234" s="594"/>
      <c r="BP234" s="594"/>
      <c r="BQ234" s="594"/>
      <c r="BR234" s="594"/>
      <c r="BS234" s="594"/>
      <c r="BT234" s="594"/>
      <c r="BU234" s="594"/>
      <c r="BV234" s="594"/>
      <c r="BW234" s="594"/>
      <c r="BX234" s="594"/>
      <c r="BY234" s="594"/>
      <c r="BZ234" s="594"/>
      <c r="CA234" s="594"/>
      <c r="CB234" s="594"/>
      <c r="CC234" s="594"/>
      <c r="CD234" s="594"/>
      <c r="CE234" s="594"/>
      <c r="CF234" s="594"/>
      <c r="CG234" s="594"/>
      <c r="CH234" s="594"/>
      <c r="CI234" s="594"/>
      <c r="CJ234" s="594"/>
      <c r="CK234" s="594"/>
      <c r="CL234" s="594"/>
      <c r="CM234" s="594"/>
      <c r="CN234" s="594"/>
      <c r="CO234" s="594"/>
      <c r="CP234" s="594"/>
      <c r="CQ234" s="594"/>
    </row>
    <row r="235" spans="1:95" ht="19.5" hidden="1" customHeight="1" outlineLevel="1">
      <c r="A235" s="708" t="s">
        <v>590</v>
      </c>
      <c r="B235" s="707">
        <f t="shared" ref="B235:AE235" si="75">SUM(B236:B240)</f>
        <v>-8751.9616999999998</v>
      </c>
      <c r="C235" s="707">
        <f t="shared" si="75"/>
        <v>-430720.13096872001</v>
      </c>
      <c r="D235" s="707">
        <f t="shared" si="75"/>
        <v>-439833.53096872004</v>
      </c>
      <c r="E235" s="707">
        <f t="shared" si="75"/>
        <v>-448654.13096872001</v>
      </c>
      <c r="F235" s="707">
        <f t="shared" si="75"/>
        <v>-457602.83096872002</v>
      </c>
      <c r="G235" s="707">
        <f t="shared" si="75"/>
        <v>-466716.23096872005</v>
      </c>
      <c r="H235" s="707">
        <f t="shared" si="75"/>
        <v>-476104.13096872001</v>
      </c>
      <c r="I235" s="707">
        <f t="shared" si="75"/>
        <v>-485748.23096872005</v>
      </c>
      <c r="J235" s="707">
        <f t="shared" si="75"/>
        <v>-495575.33096872002</v>
      </c>
      <c r="K235" s="707">
        <f t="shared" si="75"/>
        <v>-505567.13096872001</v>
      </c>
      <c r="L235" s="707">
        <f t="shared" si="75"/>
        <v>-515888.33096872002</v>
      </c>
      <c r="M235" s="707">
        <f t="shared" si="75"/>
        <v>-526520.63096872007</v>
      </c>
      <c r="N235" s="707">
        <f t="shared" si="75"/>
        <v>-537482.33096872002</v>
      </c>
      <c r="O235" s="707">
        <f t="shared" si="75"/>
        <v>-548791.73096872005</v>
      </c>
      <c r="P235" s="707">
        <f t="shared" si="75"/>
        <v>-560430.53096871998</v>
      </c>
      <c r="Q235" s="707">
        <f t="shared" si="75"/>
        <v>-572380.43096872</v>
      </c>
      <c r="R235" s="707">
        <f t="shared" si="75"/>
        <v>-584641.43096872</v>
      </c>
      <c r="S235" s="707">
        <f t="shared" si="75"/>
        <v>-597176.93096872</v>
      </c>
      <c r="T235" s="707">
        <f t="shared" si="75"/>
        <v>-609932.03096871998</v>
      </c>
      <c r="U235" s="707">
        <f t="shared" si="75"/>
        <v>-622851.83096872002</v>
      </c>
      <c r="V235" s="707">
        <f t="shared" si="75"/>
        <v>-622851.83096872002</v>
      </c>
      <c r="W235" s="707">
        <f t="shared" si="75"/>
        <v>-622851.83096872002</v>
      </c>
      <c r="X235" s="707">
        <f t="shared" si="75"/>
        <v>-622851.83096872002</v>
      </c>
      <c r="Y235" s="707">
        <f t="shared" si="75"/>
        <v>-622851.83096872002</v>
      </c>
      <c r="Z235" s="707">
        <f t="shared" si="75"/>
        <v>-622851.83096872002</v>
      </c>
      <c r="AA235" s="707">
        <f t="shared" si="75"/>
        <v>-622851.83096872002</v>
      </c>
      <c r="AB235" s="707">
        <f t="shared" si="75"/>
        <v>-622851.83096872002</v>
      </c>
      <c r="AC235" s="707">
        <f t="shared" si="75"/>
        <v>-622851.83096872002</v>
      </c>
      <c r="AD235" s="707">
        <f t="shared" si="75"/>
        <v>-622851.83096872002</v>
      </c>
      <c r="AE235" s="707">
        <f t="shared" si="75"/>
        <v>-622851.83096872002</v>
      </c>
      <c r="AF235" s="594"/>
      <c r="AG235" s="594"/>
      <c r="AH235" s="594"/>
      <c r="AI235" s="594"/>
      <c r="AJ235" s="594"/>
      <c r="AK235" s="594"/>
      <c r="AL235" s="594"/>
      <c r="AM235" s="594"/>
      <c r="AN235" s="594"/>
      <c r="AO235" s="594"/>
      <c r="AP235" s="594"/>
      <c r="AQ235" s="594"/>
      <c r="AR235" s="594"/>
      <c r="AS235" s="594"/>
      <c r="AT235" s="594"/>
      <c r="AU235" s="594"/>
      <c r="AV235" s="594"/>
      <c r="AW235" s="594"/>
      <c r="AX235" s="594"/>
      <c r="AY235" s="594"/>
      <c r="AZ235" s="594"/>
      <c r="BA235" s="594"/>
      <c r="BB235" s="594"/>
      <c r="BC235" s="594"/>
      <c r="BD235" s="594"/>
      <c r="BE235" s="594"/>
      <c r="BF235" s="594"/>
      <c r="BG235" s="594"/>
      <c r="BH235" s="594"/>
      <c r="BI235" s="594"/>
      <c r="BJ235" s="594"/>
      <c r="BK235" s="594"/>
      <c r="BL235" s="57"/>
      <c r="BM235" s="594"/>
      <c r="BN235" s="594"/>
      <c r="BO235" s="594"/>
      <c r="BP235" s="594"/>
      <c r="BQ235" s="594"/>
      <c r="BR235" s="594"/>
      <c r="BS235" s="594"/>
      <c r="BT235" s="594"/>
      <c r="BU235" s="594"/>
      <c r="BV235" s="594"/>
      <c r="BW235" s="594"/>
      <c r="BX235" s="594"/>
      <c r="BY235" s="594"/>
      <c r="BZ235" s="594"/>
      <c r="CA235" s="594"/>
      <c r="CB235" s="594"/>
      <c r="CC235" s="594"/>
      <c r="CD235" s="594"/>
      <c r="CE235" s="594"/>
      <c r="CF235" s="594"/>
      <c r="CG235" s="594"/>
      <c r="CH235" s="594"/>
      <c r="CI235" s="594"/>
      <c r="CJ235" s="594"/>
      <c r="CK235" s="594"/>
      <c r="CL235" s="594"/>
      <c r="CM235" s="594"/>
      <c r="CN235" s="594"/>
      <c r="CO235" s="594"/>
      <c r="CP235" s="594"/>
      <c r="CQ235" s="594"/>
    </row>
    <row r="236" spans="1:95" ht="21" hidden="1" customHeight="1" outlineLevel="2">
      <c r="A236" s="709" t="s">
        <v>682</v>
      </c>
      <c r="B236" s="710">
        <f>IF($A232="",0,-SUMIF('C3 - Funcionários $'!$D$7:$D$121,$A232,'C3 - Funcionários $'!G$7:G$121))</f>
        <v>0</v>
      </c>
      <c r="C236" s="710">
        <f>IF($A232="",0,-SUMIF('C3 - Funcionários $'!$D$7:$D$121,$A232,'C3 - Funcionários $'!H$7:H$121))</f>
        <v>-157972.36926872004</v>
      </c>
      <c r="D236" s="710">
        <f>IF($A232="",0,-SUMIF('C3 - Funcionários $'!$D$7:$D$121,$A232,'C3 - Funcionários $'!I$7:I$121))</f>
        <v>-157972.36926872004</v>
      </c>
      <c r="E236" s="710">
        <f>IF($A232="",0,-SUMIF('C3 - Funcionários $'!$D$7:$D$121,$A232,'C3 - Funcionários $'!J$7:J$121))</f>
        <v>-157972.36926872004</v>
      </c>
      <c r="F236" s="710">
        <f>IF($A232="",0,-SUMIF('C3 - Funcionários $'!$D$7:$D$121,$A232,'C3 - Funcionários $'!K$7:K$121))</f>
        <v>-157972.36926872004</v>
      </c>
      <c r="G236" s="710">
        <f>IF($A232="",0,-SUMIF('C3 - Funcionários $'!$D$7:$D$121,$A232,'C3 - Funcionários $'!L$7:L$121))</f>
        <v>-157972.36926872004</v>
      </c>
      <c r="H236" s="710">
        <f>IF($A232="",0,-SUMIF('C3 - Funcionários $'!$D$7:$D$121,$A232,'C3 - Funcionários $'!M$7:M$121))</f>
        <v>-157972.36926872004</v>
      </c>
      <c r="I236" s="710">
        <f>IF($A232="",0,-SUMIF('C3 - Funcionários $'!$D$7:$D$121,$A232,'C3 - Funcionários $'!N$7:N$121))</f>
        <v>-157972.36926872004</v>
      </c>
      <c r="J236" s="710">
        <f>IF($A232="",0,-SUMIF('C3 - Funcionários $'!$D$7:$D$121,$A232,'C3 - Funcionários $'!O$7:O$121))</f>
        <v>-157972.36926872004</v>
      </c>
      <c r="K236" s="710">
        <f>IF($A232="",0,-SUMIF('C3 - Funcionários $'!$D$7:$D$121,$A232,'C3 - Funcionários $'!P$7:P$121))</f>
        <v>-157972.36926872004</v>
      </c>
      <c r="L236" s="710">
        <f>IF($A232="",0,-SUMIF('C3 - Funcionários $'!$D$7:$D$121,$A232,'C3 - Funcionários $'!Q$7:Q$121))</f>
        <v>-157972.36926872004</v>
      </c>
      <c r="M236" s="710">
        <f>IF($A232="",0,-SUMIF('C3 - Funcionários $'!$D$7:$D$121,$A232,'C3 - Funcionários $'!R$7:R$121))</f>
        <v>-157972.36926872004</v>
      </c>
      <c r="N236" s="710">
        <f>IF($A232="",0,-SUMIF('C3 - Funcionários $'!$D$7:$D$121,$A232,'C3 - Funcionários $'!S$7:S$121))</f>
        <v>-157972.36926872004</v>
      </c>
      <c r="O236" s="710">
        <f>IF($A232="",0,-SUMIF('C3 - Funcionários $'!$D$7:$D$121,$A232,'C3 - Funcionários $'!T$7:T$121))</f>
        <v>-157972.36926872004</v>
      </c>
      <c r="P236" s="710">
        <f>IF($A232="",0,-SUMIF('C3 - Funcionários $'!$D$7:$D$121,$A232,'C3 - Funcionários $'!U$7:U$121))</f>
        <v>-157972.36926872004</v>
      </c>
      <c r="Q236" s="710">
        <f>IF($A232="",0,-SUMIF('C3 - Funcionários $'!$D$7:$D$121,$A232,'C3 - Funcionários $'!V$7:V$121))</f>
        <v>-157972.36926872004</v>
      </c>
      <c r="R236" s="710">
        <f>IF($A232="",0,-SUMIF('C3 - Funcionários $'!$D$7:$D$121,$A232,'C3 - Funcionários $'!W$7:W$121))</f>
        <v>-157972.36926872004</v>
      </c>
      <c r="S236" s="710">
        <f>IF($A232="",0,-SUMIF('C3 - Funcionários $'!$D$7:$D$121,$A232,'C3 - Funcionários $'!X$7:X$121))</f>
        <v>-157972.36926872004</v>
      </c>
      <c r="T236" s="710">
        <f>IF($A232="",0,-SUMIF('C3 - Funcionários $'!$D$7:$D$121,$A232,'C3 - Funcionários $'!Y$7:Y$121))</f>
        <v>-157972.36926872004</v>
      </c>
      <c r="U236" s="710">
        <f>IF($A232="",0,-SUMIF('C3 - Funcionários $'!$D$7:$D$121,$A232,'C3 - Funcionários $'!Z$7:Z$121))</f>
        <v>-157972.36926872004</v>
      </c>
      <c r="V236" s="710">
        <f>IF($A232="",0,-SUMIF('C3 - Funcionários $'!$D$7:$D$121,$A232,'C3 - Funcionários $'!AA$7:AA$121))</f>
        <v>-157972.36926872004</v>
      </c>
      <c r="W236" s="710">
        <f>IF($A232="",0,-SUMIF('C3 - Funcionários $'!$D$7:$D$121,$A232,'C3 - Funcionários $'!AB$7:AB$121))</f>
        <v>-157972.36926872004</v>
      </c>
      <c r="X236" s="710">
        <f>IF($A232="",0,-SUMIF('C3 - Funcionários $'!$D$7:$D$121,$A232,'C3 - Funcionários $'!AC$7:AC$121))</f>
        <v>-157972.36926872004</v>
      </c>
      <c r="Y236" s="710">
        <f>IF($A232="",0,-SUMIF('C3 - Funcionários $'!$D$7:$D$121,$A232,'C3 - Funcionários $'!AD$7:AD$121))</f>
        <v>-157972.36926872004</v>
      </c>
      <c r="Z236" s="710">
        <f>IF($A232="",0,-SUMIF('C3 - Funcionários $'!$D$7:$D$121,$A232,'C3 - Funcionários $'!AE$7:AE$121))</f>
        <v>-157972.36926872004</v>
      </c>
      <c r="AA236" s="710">
        <f>IF($A232="",0,-SUMIF('C3 - Funcionários $'!$D$7:$D$121,$A232,'C3 - Funcionários $'!AF$7:AF$121))</f>
        <v>-157972.36926872004</v>
      </c>
      <c r="AB236" s="710">
        <f>IF($A232="",0,-SUMIF('C3 - Funcionários $'!$D$7:$D$121,$A232,'C3 - Funcionários $'!AG$7:AG$121))</f>
        <v>-157972.36926872004</v>
      </c>
      <c r="AC236" s="710">
        <f>IF($A232="",0,-SUMIF('C3 - Funcionários $'!$D$7:$D$121,$A232,'C3 - Funcionários $'!AH$7:AH$121))</f>
        <v>-157972.36926872004</v>
      </c>
      <c r="AD236" s="710">
        <f>IF($A232="",0,-SUMIF('C3 - Funcionários $'!$D$7:$D$121,$A232,'C3 - Funcionários $'!AI$7:AI$121))</f>
        <v>-157972.36926872004</v>
      </c>
      <c r="AE236" s="710">
        <f>IF($A232="",0,-SUMIF('C3 - Funcionários $'!$D$7:$D$121,$A232,'C3 - Funcionários $'!AJ$7:AJ$121))</f>
        <v>-157972.36926872004</v>
      </c>
      <c r="AF236" s="594"/>
      <c r="AG236" s="594"/>
      <c r="AH236" s="594"/>
      <c r="AI236" s="594"/>
      <c r="AJ236" s="594"/>
      <c r="AK236" s="594"/>
      <c r="AL236" s="594"/>
      <c r="AM236" s="594"/>
      <c r="AN236" s="594"/>
      <c r="AO236" s="594"/>
      <c r="AP236" s="594"/>
      <c r="AQ236" s="594"/>
      <c r="AR236" s="594"/>
      <c r="AS236" s="594"/>
      <c r="AT236" s="594"/>
      <c r="AU236" s="594"/>
      <c r="AV236" s="594"/>
      <c r="AW236" s="594"/>
      <c r="AX236" s="594"/>
      <c r="AY236" s="594"/>
      <c r="AZ236" s="594"/>
      <c r="BA236" s="594"/>
      <c r="BB236" s="594"/>
      <c r="BC236" s="594"/>
      <c r="BD236" s="594"/>
      <c r="BE236" s="594"/>
      <c r="BF236" s="594"/>
      <c r="BG236" s="594"/>
      <c r="BH236" s="594"/>
      <c r="BI236" s="594"/>
      <c r="BJ236" s="594"/>
      <c r="BK236" s="594"/>
      <c r="BL236" s="57"/>
      <c r="BM236" s="594"/>
      <c r="BN236" s="594"/>
      <c r="BO236" s="594"/>
      <c r="BP236" s="594"/>
      <c r="BQ236" s="594"/>
      <c r="BR236" s="594"/>
      <c r="BS236" s="594"/>
      <c r="BT236" s="594"/>
      <c r="BU236" s="594"/>
      <c r="BV236" s="594"/>
      <c r="BW236" s="594"/>
      <c r="BX236" s="594"/>
      <c r="BY236" s="594"/>
      <c r="BZ236" s="594"/>
      <c r="CA236" s="594"/>
      <c r="CB236" s="594"/>
      <c r="CC236" s="594"/>
      <c r="CD236" s="594"/>
      <c r="CE236" s="594"/>
      <c r="CF236" s="594"/>
      <c r="CG236" s="594"/>
      <c r="CH236" s="594"/>
      <c r="CI236" s="594"/>
      <c r="CJ236" s="594"/>
      <c r="CK236" s="594"/>
      <c r="CL236" s="594"/>
      <c r="CM236" s="594"/>
      <c r="CN236" s="594"/>
      <c r="CO236" s="594"/>
      <c r="CP236" s="594"/>
      <c r="CQ236" s="594"/>
    </row>
    <row r="237" spans="1:95" ht="21" hidden="1" customHeight="1" outlineLevel="2">
      <c r="A237" s="709" t="s">
        <v>683</v>
      </c>
      <c r="B237" s="710">
        <f>IFERROR(-VLOOKUP($A232,CustoDiretoTotal,COLUMN('B2 - Custos diretos totais'!C$3)-1,0),0)</f>
        <v>0</v>
      </c>
      <c r="C237" s="710">
        <f>IFERROR(-VLOOKUP($A232,CustoDiretoTotal,COLUMN('B2 - Custos diretos totais'!D$3)-1,0),0)</f>
        <v>-252455</v>
      </c>
      <c r="D237" s="710">
        <f>IFERROR(-VLOOKUP($A232,CustoDiretoTotal,COLUMN('B2 - Custos diretos totais'!E$3)-1,0),0)</f>
        <v>-261170</v>
      </c>
      <c r="E237" s="710">
        <f>IFERROR(-VLOOKUP($A232,CustoDiretoTotal,COLUMN('B2 - Custos diretos totais'!F$3)-1,0),0)</f>
        <v>-269605</v>
      </c>
      <c r="F237" s="710">
        <f>IFERROR(-VLOOKUP($A232,CustoDiretoTotal,COLUMN('B2 - Custos diretos totais'!G$3)-1,0),0)</f>
        <v>-278162.5</v>
      </c>
      <c r="G237" s="710">
        <f>IFERROR(-VLOOKUP($A232,CustoDiretoTotal,COLUMN('B2 - Custos diretos totais'!H$3)-1,0),0)</f>
        <v>-286877.5</v>
      </c>
      <c r="H237" s="710">
        <f>IFERROR(-VLOOKUP($A232,CustoDiretoTotal,COLUMN('B2 - Custos diretos totais'!I$3)-1,0),0)</f>
        <v>-295855</v>
      </c>
      <c r="I237" s="710">
        <f>IFERROR(-VLOOKUP($A232,CustoDiretoTotal,COLUMN('B2 - Custos diretos totais'!J$3)-1,0),0)</f>
        <v>-305077.5</v>
      </c>
      <c r="J237" s="710">
        <f>IFERROR(-VLOOKUP($A232,CustoDiretoTotal,COLUMN('B2 - Custos diretos totais'!K$3)-1,0),0)</f>
        <v>-314475</v>
      </c>
      <c r="K237" s="710">
        <f>IFERROR(-VLOOKUP($A232,CustoDiretoTotal,COLUMN('B2 - Custos diretos totais'!L$3)-1,0),0)</f>
        <v>-324030</v>
      </c>
      <c r="L237" s="710">
        <f>IFERROR(-VLOOKUP($A232,CustoDiretoTotal,COLUMN('B2 - Custos diretos totais'!M$3)-1,0),0)</f>
        <v>-333900</v>
      </c>
      <c r="M237" s="710">
        <f>IFERROR(-VLOOKUP($A232,CustoDiretoTotal,COLUMN('B2 - Custos diretos totais'!N$3)-1,0),0)</f>
        <v>-344067.5</v>
      </c>
      <c r="N237" s="710">
        <f>IFERROR(-VLOOKUP($A232,CustoDiretoTotal,COLUMN('B2 - Custos diretos totais'!O$3)-1,0),0)</f>
        <v>-354550</v>
      </c>
      <c r="O237" s="710">
        <f>IFERROR(-VLOOKUP($A232,CustoDiretoTotal,COLUMN('B2 - Custos diretos totais'!P$3)-1,0),0)</f>
        <v>-365365</v>
      </c>
      <c r="P237" s="710">
        <f>IFERROR(-VLOOKUP($A232,CustoDiretoTotal,COLUMN('B2 - Custos diretos totais'!Q$3)-1,0),0)</f>
        <v>-376495</v>
      </c>
      <c r="Q237" s="710">
        <f>IFERROR(-VLOOKUP($A232,CustoDiretoTotal,COLUMN('B2 - Custos diretos totais'!R$3)-1,0),0)</f>
        <v>-387922.5</v>
      </c>
      <c r="R237" s="710">
        <f>IFERROR(-VLOOKUP($A232,CustoDiretoTotal,COLUMN('B2 - Custos diretos totais'!S$3)-1,0),0)</f>
        <v>-399647.5</v>
      </c>
      <c r="S237" s="710">
        <f>IFERROR(-VLOOKUP($A232,CustoDiretoTotal,COLUMN('B2 - Custos diretos totais'!T$3)-1,0),0)</f>
        <v>-411635</v>
      </c>
      <c r="T237" s="710">
        <f>IFERROR(-VLOOKUP($A232,CustoDiretoTotal,COLUMN('B2 - Custos diretos totais'!U$3)-1,0),0)</f>
        <v>-423832.5</v>
      </c>
      <c r="U237" s="710">
        <f>IFERROR(-VLOOKUP($A232,CustoDiretoTotal,COLUMN('B2 - Custos diretos totais'!V$3)-1,0),0)</f>
        <v>-436187.5</v>
      </c>
      <c r="V237" s="710">
        <f>IFERROR(-VLOOKUP($A232,CustoDiretoTotal,COLUMN('B2 - Custos diretos totais'!W$3)-1,0),0)</f>
        <v>-436187.5</v>
      </c>
      <c r="W237" s="710">
        <f>IFERROR(-VLOOKUP($A232,CustoDiretoTotal,COLUMN('B2 - Custos diretos totais'!X$3)-1,0),0)</f>
        <v>-436187.5</v>
      </c>
      <c r="X237" s="710">
        <f>IFERROR(-VLOOKUP($A232,CustoDiretoTotal,COLUMN('B2 - Custos diretos totais'!Y$3)-1,0),0)</f>
        <v>-436187.5</v>
      </c>
      <c r="Y237" s="710">
        <f>IFERROR(-VLOOKUP($A232,CustoDiretoTotal,COLUMN('B2 - Custos diretos totais'!Z$3)-1,0),0)</f>
        <v>-436187.5</v>
      </c>
      <c r="Z237" s="710">
        <f>IFERROR(-VLOOKUP($A232,CustoDiretoTotal,COLUMN('B2 - Custos diretos totais'!AA$3)-1,0),0)</f>
        <v>-436187.5</v>
      </c>
      <c r="AA237" s="710">
        <f>IFERROR(-VLOOKUP($A232,CustoDiretoTotal,COLUMN('B2 - Custos diretos totais'!AB$3)-1,0),0)</f>
        <v>-436187.5</v>
      </c>
      <c r="AB237" s="710">
        <f>IFERROR(-VLOOKUP($A232,CustoDiretoTotal,COLUMN('B2 - Custos diretos totais'!AC$3)-1,0),0)</f>
        <v>-436187.5</v>
      </c>
      <c r="AC237" s="710">
        <f>IFERROR(-VLOOKUP($A232,CustoDiretoTotal,COLUMN('B2 - Custos diretos totais'!AD$3)-1,0),0)</f>
        <v>-436187.5</v>
      </c>
      <c r="AD237" s="710">
        <f>IFERROR(-VLOOKUP($A232,CustoDiretoTotal,COLUMN('B2 - Custos diretos totais'!AE$3)-1,0),0)</f>
        <v>-436187.5</v>
      </c>
      <c r="AE237" s="710">
        <f>IFERROR(-VLOOKUP($A232,CustoDiretoTotal,COLUMN('B2 - Custos diretos totais'!AF$3)-1,0),0)</f>
        <v>-436187.5</v>
      </c>
      <c r="AF237" s="594"/>
      <c r="AG237" s="594"/>
      <c r="AH237" s="594"/>
      <c r="AI237" s="594"/>
      <c r="AJ237" s="594"/>
      <c r="AK237" s="594"/>
      <c r="AL237" s="594"/>
      <c r="AM237" s="594"/>
      <c r="AN237" s="594"/>
      <c r="AO237" s="594"/>
      <c r="AP237" s="594"/>
      <c r="AQ237" s="594"/>
      <c r="AR237" s="594"/>
      <c r="AS237" s="594"/>
      <c r="AT237" s="594"/>
      <c r="AU237" s="594"/>
      <c r="AV237" s="594"/>
      <c r="AW237" s="594"/>
      <c r="AX237" s="594"/>
      <c r="AY237" s="594"/>
      <c r="AZ237" s="594"/>
      <c r="BA237" s="594"/>
      <c r="BB237" s="594"/>
      <c r="BC237" s="594"/>
      <c r="BD237" s="594"/>
      <c r="BE237" s="594"/>
      <c r="BF237" s="594"/>
      <c r="BG237" s="594"/>
      <c r="BH237" s="594"/>
      <c r="BI237" s="594"/>
      <c r="BJ237" s="594"/>
      <c r="BK237" s="594"/>
      <c r="BL237" s="57"/>
      <c r="BM237" s="594"/>
      <c r="BN237" s="594"/>
      <c r="BO237" s="594"/>
      <c r="BP237" s="594"/>
      <c r="BQ237" s="594"/>
      <c r="BR237" s="594"/>
      <c r="BS237" s="594"/>
      <c r="BT237" s="594"/>
      <c r="BU237" s="594"/>
      <c r="BV237" s="594"/>
      <c r="BW237" s="594"/>
      <c r="BX237" s="594"/>
      <c r="BY237" s="594"/>
      <c r="BZ237" s="594"/>
      <c r="CA237" s="594"/>
      <c r="CB237" s="594"/>
      <c r="CC237" s="594"/>
      <c r="CD237" s="594"/>
      <c r="CE237" s="594"/>
      <c r="CF237" s="594"/>
      <c r="CG237" s="594"/>
      <c r="CH237" s="594"/>
      <c r="CI237" s="594"/>
      <c r="CJ237" s="594"/>
      <c r="CK237" s="594"/>
      <c r="CL237" s="594"/>
      <c r="CM237" s="594"/>
      <c r="CN237" s="594"/>
      <c r="CO237" s="594"/>
      <c r="CP237" s="594"/>
      <c r="CQ237" s="594"/>
    </row>
    <row r="238" spans="1:95" ht="21" hidden="1" customHeight="1" outlineLevel="2">
      <c r="A238" s="709" t="s">
        <v>684</v>
      </c>
      <c r="B238" s="710">
        <f>-SUMIFS('B3 - Custos despesas indiretos'!AK$5:AK$148,'B3 - Custos despesas indiretos'!$B$5:$B$148,"Custos",'B3 - Custos despesas indiretos'!$D$5:$D$148,$A232)</f>
        <v>-6966.5</v>
      </c>
      <c r="C238" s="710">
        <f>-SUMIFS('B3 - Custos despesas indiretos'!AL$5:AL$148,'B3 - Custos despesas indiretos'!$B$5:$B$148,"Custos",'B3 - Custos despesas indiretos'!$D$5:$D$148,$A232)</f>
        <v>-6966.5</v>
      </c>
      <c r="D238" s="710">
        <f>-SUMIFS('B3 - Custos despesas indiretos'!AM$5:AM$148,'B3 - Custos despesas indiretos'!$B$5:$B$148,"Custos",'B3 - Custos despesas indiretos'!$D$5:$D$148,$A232)</f>
        <v>-6966.5</v>
      </c>
      <c r="E238" s="710">
        <f>-SUMIFS('B3 - Custos despesas indiretos'!AN$5:AN$148,'B3 - Custos despesas indiretos'!$B$5:$B$148,"Custos",'B3 - Custos despesas indiretos'!$D$5:$D$148,$A232)</f>
        <v>-6966.5</v>
      </c>
      <c r="F238" s="710">
        <f>-SUMIFS('B3 - Custos despesas indiretos'!AO$5:AO$148,'B3 - Custos despesas indiretos'!$B$5:$B$148,"Custos",'B3 - Custos despesas indiretos'!$D$5:$D$148,$A232)</f>
        <v>-6966.5</v>
      </c>
      <c r="G238" s="710">
        <f>-SUMIFS('B3 - Custos despesas indiretos'!AP$5:AP$148,'B3 - Custos despesas indiretos'!$B$5:$B$148,"Custos",'B3 - Custos despesas indiretos'!$D$5:$D$148,$A232)</f>
        <v>-6966.5</v>
      </c>
      <c r="H238" s="710">
        <f>-SUMIFS('B3 - Custos despesas indiretos'!AQ$5:AQ$148,'B3 - Custos despesas indiretos'!$B$5:$B$148,"Custos",'B3 - Custos despesas indiretos'!$D$5:$D$148,$A232)</f>
        <v>-6966.5</v>
      </c>
      <c r="I238" s="710">
        <f>-SUMIFS('B3 - Custos despesas indiretos'!AR$5:AR$148,'B3 - Custos despesas indiretos'!$B$5:$B$148,"Custos",'B3 - Custos despesas indiretos'!$D$5:$D$148,$A232)</f>
        <v>-6966.5</v>
      </c>
      <c r="J238" s="710">
        <f>-SUMIFS('B3 - Custos despesas indiretos'!AS$5:AS$148,'B3 - Custos despesas indiretos'!$B$5:$B$148,"Custos",'B3 - Custos despesas indiretos'!$D$5:$D$148,$A232)</f>
        <v>-6966.5</v>
      </c>
      <c r="K238" s="710">
        <f>-SUMIFS('B3 - Custos despesas indiretos'!AT$5:AT$148,'B3 - Custos despesas indiretos'!$B$5:$B$148,"Custos",'B3 - Custos despesas indiretos'!$D$5:$D$148,$A232)</f>
        <v>-6966.5</v>
      </c>
      <c r="L238" s="710">
        <f>-SUMIFS('B3 - Custos despesas indiretos'!AU$5:AU$148,'B3 - Custos despesas indiretos'!$B$5:$B$148,"Custos",'B3 - Custos despesas indiretos'!$D$5:$D$148,$A232)</f>
        <v>-6966.5</v>
      </c>
      <c r="M238" s="710">
        <f>-SUMIFS('B3 - Custos despesas indiretos'!AV$5:AV$148,'B3 - Custos despesas indiretos'!$B$5:$B$148,"Custos",'B3 - Custos despesas indiretos'!$D$5:$D$148,$A232)</f>
        <v>-6966.5</v>
      </c>
      <c r="N238" s="710">
        <f>-SUMIFS('B3 - Custos despesas indiretos'!AW$5:AW$148,'B3 - Custos despesas indiretos'!$B$5:$B$148,"Custos",'B3 - Custos despesas indiretos'!$D$5:$D$148,$A232)</f>
        <v>-6966.5</v>
      </c>
      <c r="O238" s="710">
        <f>-SUMIFS('B3 - Custos despesas indiretos'!AX$5:AX$148,'B3 - Custos despesas indiretos'!$B$5:$B$148,"Custos",'B3 - Custos despesas indiretos'!$D$5:$D$148,$A232)</f>
        <v>-6966.5</v>
      </c>
      <c r="P238" s="710">
        <f>-SUMIFS('B3 - Custos despesas indiretos'!AY$5:AY$148,'B3 - Custos despesas indiretos'!$B$5:$B$148,"Custos",'B3 - Custos despesas indiretos'!$D$5:$D$148,$A232)</f>
        <v>-6966.5</v>
      </c>
      <c r="Q238" s="710">
        <f>-SUMIFS('B3 - Custos despesas indiretos'!AZ$5:AZ$148,'B3 - Custos despesas indiretos'!$B$5:$B$148,"Custos",'B3 - Custos despesas indiretos'!$D$5:$D$148,$A232)</f>
        <v>-6966.5</v>
      </c>
      <c r="R238" s="710">
        <f>-SUMIFS('B3 - Custos despesas indiretos'!BA$5:BA$148,'B3 - Custos despesas indiretos'!$B$5:$B$148,"Custos",'B3 - Custos despesas indiretos'!$D$5:$D$148,$A232)</f>
        <v>-6966.5</v>
      </c>
      <c r="S238" s="710">
        <f>-SUMIFS('B3 - Custos despesas indiretos'!BB$5:BB$148,'B3 - Custos despesas indiretos'!$B$5:$B$148,"Custos",'B3 - Custos despesas indiretos'!$D$5:$D$148,$A232)</f>
        <v>-6966.5</v>
      </c>
      <c r="T238" s="710">
        <f>-SUMIFS('B3 - Custos despesas indiretos'!BC$5:BC$148,'B3 - Custos despesas indiretos'!$B$5:$B$148,"Custos",'B3 - Custos despesas indiretos'!$D$5:$D$148,$A232)</f>
        <v>-6966.5</v>
      </c>
      <c r="U238" s="710">
        <f>-SUMIFS('B3 - Custos despesas indiretos'!BD$5:BD$148,'B3 - Custos despesas indiretos'!$B$5:$B$148,"Custos",'B3 - Custos despesas indiretos'!$D$5:$D$148,$A232)</f>
        <v>-6966.5</v>
      </c>
      <c r="V238" s="710">
        <f>-SUMIFS('B3 - Custos despesas indiretos'!BE$5:BE$148,'B3 - Custos despesas indiretos'!$B$5:$B$148,"Custos",'B3 - Custos despesas indiretos'!$D$5:$D$148,$A232)</f>
        <v>-6966.5</v>
      </c>
      <c r="W238" s="710">
        <f>-SUMIFS('B3 - Custos despesas indiretos'!BF$5:BF$148,'B3 - Custos despesas indiretos'!$B$5:$B$148,"Custos",'B3 - Custos despesas indiretos'!$D$5:$D$148,$A232)</f>
        <v>-6966.5</v>
      </c>
      <c r="X238" s="710">
        <f>-SUMIFS('B3 - Custos despesas indiretos'!BG$5:BG$148,'B3 - Custos despesas indiretos'!$B$5:$B$148,"Custos",'B3 - Custos despesas indiretos'!$D$5:$D$148,$A232)</f>
        <v>-6966.5</v>
      </c>
      <c r="Y238" s="710">
        <f>-SUMIFS('B3 - Custos despesas indiretos'!BH$5:BH$148,'B3 - Custos despesas indiretos'!$B$5:$B$148,"Custos",'B3 - Custos despesas indiretos'!$D$5:$D$148,$A232)</f>
        <v>-6966.5</v>
      </c>
      <c r="Z238" s="710">
        <f>-SUMIFS('B3 - Custos despesas indiretos'!BI$5:BI$148,'B3 - Custos despesas indiretos'!$B$5:$B$148,"Custos",'B3 - Custos despesas indiretos'!$D$5:$D$148,$A232)</f>
        <v>-6966.5</v>
      </c>
      <c r="AA238" s="710">
        <f>-SUMIFS('B3 - Custos despesas indiretos'!BJ$5:BJ$148,'B3 - Custos despesas indiretos'!$B$5:$B$148,"Custos",'B3 - Custos despesas indiretos'!$D$5:$D$148,$A232)</f>
        <v>-6966.5</v>
      </c>
      <c r="AB238" s="710">
        <f>-SUMIFS('B3 - Custos despesas indiretos'!BK$5:BK$148,'B3 - Custos despesas indiretos'!$B$5:$B$148,"Custos",'B3 - Custos despesas indiretos'!$D$5:$D$148,$A232)</f>
        <v>-6966.5</v>
      </c>
      <c r="AC238" s="710">
        <f>-SUMIFS('B3 - Custos despesas indiretos'!BL$5:BL$148,'B3 - Custos despesas indiretos'!$B$5:$B$148,"Custos",'B3 - Custos despesas indiretos'!$D$5:$D$148,$A232)</f>
        <v>-6966.5</v>
      </c>
      <c r="AD238" s="710">
        <f>-SUMIFS('B3 - Custos despesas indiretos'!BM$5:BM$148,'B3 - Custos despesas indiretos'!$B$5:$B$148,"Custos",'B3 - Custos despesas indiretos'!$D$5:$D$148,$A232)</f>
        <v>-6966.5</v>
      </c>
      <c r="AE238" s="710">
        <f>-SUMIFS('B3 - Custos despesas indiretos'!BN$5:BN$148,'B3 - Custos despesas indiretos'!$B$5:$B$148,"Custos",'B3 - Custos despesas indiretos'!$D$5:$D$148,$A232)</f>
        <v>-6966.5</v>
      </c>
      <c r="AF238" s="594"/>
      <c r="AG238" s="594"/>
      <c r="AH238" s="594"/>
      <c r="AI238" s="594"/>
      <c r="AJ238" s="594"/>
      <c r="AK238" s="594"/>
      <c r="AL238" s="594"/>
      <c r="AM238" s="594"/>
      <c r="AN238" s="594"/>
      <c r="AO238" s="594"/>
      <c r="AP238" s="594"/>
      <c r="AQ238" s="594"/>
      <c r="AR238" s="594"/>
      <c r="AS238" s="594"/>
      <c r="AT238" s="594"/>
      <c r="AU238" s="594"/>
      <c r="AV238" s="594"/>
      <c r="AW238" s="594"/>
      <c r="AX238" s="594"/>
      <c r="AY238" s="594"/>
      <c r="AZ238" s="594"/>
      <c r="BA238" s="594"/>
      <c r="BB238" s="594"/>
      <c r="BC238" s="594"/>
      <c r="BD238" s="594"/>
      <c r="BE238" s="594"/>
      <c r="BF238" s="594"/>
      <c r="BG238" s="594"/>
      <c r="BH238" s="594"/>
      <c r="BI238" s="594"/>
      <c r="BJ238" s="594"/>
      <c r="BK238" s="594"/>
      <c r="BL238" s="57"/>
      <c r="BM238" s="594"/>
      <c r="BN238" s="594"/>
      <c r="BO238" s="594"/>
      <c r="BP238" s="594"/>
      <c r="BQ238" s="594"/>
      <c r="BR238" s="594"/>
      <c r="BS238" s="594"/>
      <c r="BT238" s="594"/>
      <c r="BU238" s="594"/>
      <c r="BV238" s="594"/>
      <c r="BW238" s="594"/>
      <c r="BX238" s="594"/>
      <c r="BY238" s="594"/>
      <c r="BZ238" s="594"/>
      <c r="CA238" s="594"/>
      <c r="CB238" s="594"/>
      <c r="CC238" s="594"/>
      <c r="CD238" s="594"/>
      <c r="CE238" s="594"/>
      <c r="CF238" s="594"/>
      <c r="CG238" s="594"/>
      <c r="CH238" s="594"/>
      <c r="CI238" s="594"/>
      <c r="CJ238" s="594"/>
      <c r="CK238" s="594"/>
      <c r="CL238" s="594"/>
      <c r="CM238" s="594"/>
      <c r="CN238" s="594"/>
      <c r="CO238" s="594"/>
      <c r="CP238" s="594"/>
      <c r="CQ238" s="594"/>
    </row>
    <row r="239" spans="1:95" ht="21" hidden="1" customHeight="1" outlineLevel="2">
      <c r="A239" s="709" t="s">
        <v>685</v>
      </c>
      <c r="B239" s="710">
        <f>-SUMIFS('B3 - Custos despesas indiretos'!AK$5:AK$148,'B3 - Custos despesas indiretos'!$B$5:$B$148,"Despesas",'B3 - Custos despesas indiretos'!$D$5:$D$148,$A232)</f>
        <v>0</v>
      </c>
      <c r="C239" s="710">
        <f>-SUMIFS('B3 - Custos despesas indiretos'!AL$5:AL$148,'B3 - Custos despesas indiretos'!$B$5:$B$148,"Despesas",'B3 - Custos despesas indiretos'!$D$5:$D$148,$A232)</f>
        <v>-11540.800000000001</v>
      </c>
      <c r="D239" s="710">
        <f>-SUMIFS('B3 - Custos despesas indiretos'!AM$5:AM$148,'B3 - Custos despesas indiretos'!$B$5:$B$148,"Despesas",'B3 - Custos despesas indiretos'!$D$5:$D$148,$A232)</f>
        <v>-11939.2</v>
      </c>
      <c r="E239" s="710">
        <f>-SUMIFS('B3 - Custos despesas indiretos'!AN$5:AN$148,'B3 - Custos despesas indiretos'!$B$5:$B$148,"Despesas",'B3 - Custos despesas indiretos'!$D$5:$D$148,$A232)</f>
        <v>-12324.800000000001</v>
      </c>
      <c r="F239" s="710">
        <f>-SUMIFS('B3 - Custos despesas indiretos'!AO$5:AO$148,'B3 - Custos despesas indiretos'!$B$5:$B$148,"Despesas",'B3 - Custos despesas indiretos'!$D$5:$D$148,$A232)</f>
        <v>-12716</v>
      </c>
      <c r="G239" s="710">
        <f>-SUMIFS('B3 - Custos despesas indiretos'!AP$5:AP$148,'B3 - Custos despesas indiretos'!$B$5:$B$148,"Despesas",'B3 - Custos despesas indiretos'!$D$5:$D$148,$A232)</f>
        <v>-13114.4</v>
      </c>
      <c r="H239" s="710">
        <f>-SUMIFS('B3 - Custos despesas indiretos'!AQ$5:AQ$148,'B3 - Custos despesas indiretos'!$B$5:$B$148,"Despesas",'B3 - Custos despesas indiretos'!$D$5:$D$148,$A232)</f>
        <v>-13524.800000000001</v>
      </c>
      <c r="I239" s="710">
        <f>-SUMIFS('B3 - Custos despesas indiretos'!AR$5:AR$148,'B3 - Custos despesas indiretos'!$B$5:$B$148,"Despesas",'B3 - Custos despesas indiretos'!$D$5:$D$148,$A232)</f>
        <v>-13946.4</v>
      </c>
      <c r="J239" s="710">
        <f>-SUMIFS('B3 - Custos despesas indiretos'!AS$5:AS$148,'B3 - Custos despesas indiretos'!$B$5:$B$148,"Despesas",'B3 - Custos despesas indiretos'!$D$5:$D$148,$A232)</f>
        <v>-14376</v>
      </c>
      <c r="K239" s="710">
        <f>-SUMIFS('B3 - Custos despesas indiretos'!AT$5:AT$148,'B3 - Custos despesas indiretos'!$B$5:$B$148,"Despesas",'B3 - Custos despesas indiretos'!$D$5:$D$148,$A232)</f>
        <v>-14812.800000000001</v>
      </c>
      <c r="L239" s="710">
        <f>-SUMIFS('B3 - Custos despesas indiretos'!AU$5:AU$148,'B3 - Custos despesas indiretos'!$B$5:$B$148,"Despesas",'B3 - Custos despesas indiretos'!$D$5:$D$148,$A232)</f>
        <v>-15264</v>
      </c>
      <c r="M239" s="710">
        <f>-SUMIFS('B3 - Custos despesas indiretos'!AV$5:AV$148,'B3 - Custos despesas indiretos'!$B$5:$B$148,"Despesas",'B3 - Custos despesas indiretos'!$D$5:$D$148,$A232)</f>
        <v>-15728.800000000001</v>
      </c>
      <c r="N239" s="710">
        <f>-SUMIFS('B3 - Custos despesas indiretos'!AW$5:AW$148,'B3 - Custos despesas indiretos'!$B$5:$B$148,"Despesas",'B3 - Custos despesas indiretos'!$D$5:$D$148,$A232)</f>
        <v>-16208</v>
      </c>
      <c r="O239" s="710">
        <f>-SUMIFS('B3 - Custos despesas indiretos'!AX$5:AX$148,'B3 - Custos despesas indiretos'!$B$5:$B$148,"Despesas",'B3 - Custos despesas indiretos'!$D$5:$D$148,$A232)</f>
        <v>-16702.400000000001</v>
      </c>
      <c r="P239" s="710">
        <f>-SUMIFS('B3 - Custos despesas indiretos'!AY$5:AY$148,'B3 - Custos despesas indiretos'!$B$5:$B$148,"Despesas",'B3 - Custos despesas indiretos'!$D$5:$D$148,$A232)</f>
        <v>-17211.2</v>
      </c>
      <c r="Q239" s="710">
        <f>-SUMIFS('B3 - Custos despesas indiretos'!AZ$5:AZ$148,'B3 - Custos despesas indiretos'!$B$5:$B$148,"Despesas",'B3 - Custos despesas indiretos'!$D$5:$D$148,$A232)</f>
        <v>-17733.600000000002</v>
      </c>
      <c r="R239" s="710">
        <f>-SUMIFS('B3 - Custos despesas indiretos'!BA$5:BA$148,'B3 - Custos despesas indiretos'!$B$5:$B$148,"Despesas",'B3 - Custos despesas indiretos'!$D$5:$D$148,$A232)</f>
        <v>-18269.600000000002</v>
      </c>
      <c r="S239" s="710">
        <f>-SUMIFS('B3 - Custos despesas indiretos'!BB$5:BB$148,'B3 - Custos despesas indiretos'!$B$5:$B$148,"Despesas",'B3 - Custos despesas indiretos'!$D$5:$D$148,$A232)</f>
        <v>-18817.600000000002</v>
      </c>
      <c r="T239" s="710">
        <f>-SUMIFS('B3 - Custos despesas indiretos'!BC$5:BC$148,'B3 - Custos despesas indiretos'!$B$5:$B$148,"Despesas",'B3 - Custos despesas indiretos'!$D$5:$D$148,$A232)</f>
        <v>-19375.2</v>
      </c>
      <c r="U239" s="710">
        <f>-SUMIFS('B3 - Custos despesas indiretos'!BD$5:BD$148,'B3 - Custos despesas indiretos'!$B$5:$B$148,"Despesas",'B3 - Custos despesas indiretos'!$D$5:$D$148,$A232)</f>
        <v>-19940</v>
      </c>
      <c r="V239" s="710">
        <f>-SUMIFS('B3 - Custos despesas indiretos'!BE$5:BE$148,'B3 - Custos despesas indiretos'!$B$5:$B$148,"Despesas",'B3 - Custos despesas indiretos'!$D$5:$D$148,$A232)</f>
        <v>-19940</v>
      </c>
      <c r="W239" s="710">
        <f>-SUMIFS('B3 - Custos despesas indiretos'!BF$5:BF$148,'B3 - Custos despesas indiretos'!$B$5:$B$148,"Despesas",'B3 - Custos despesas indiretos'!$D$5:$D$148,$A232)</f>
        <v>-19940</v>
      </c>
      <c r="X239" s="710">
        <f>-SUMIFS('B3 - Custos despesas indiretos'!BG$5:BG$148,'B3 - Custos despesas indiretos'!$B$5:$B$148,"Despesas",'B3 - Custos despesas indiretos'!$D$5:$D$148,$A232)</f>
        <v>-19940</v>
      </c>
      <c r="Y239" s="710">
        <f>-SUMIFS('B3 - Custos despesas indiretos'!BH$5:BH$148,'B3 - Custos despesas indiretos'!$B$5:$B$148,"Despesas",'B3 - Custos despesas indiretos'!$D$5:$D$148,$A232)</f>
        <v>-19940</v>
      </c>
      <c r="Z239" s="710">
        <f>-SUMIFS('B3 - Custos despesas indiretos'!BI$5:BI$148,'B3 - Custos despesas indiretos'!$B$5:$B$148,"Despesas",'B3 - Custos despesas indiretos'!$D$5:$D$148,$A232)</f>
        <v>-19940</v>
      </c>
      <c r="AA239" s="710">
        <f>-SUMIFS('B3 - Custos despesas indiretos'!BJ$5:BJ$148,'B3 - Custos despesas indiretos'!$B$5:$B$148,"Despesas",'B3 - Custos despesas indiretos'!$D$5:$D$148,$A232)</f>
        <v>-19940</v>
      </c>
      <c r="AB239" s="710">
        <f>-SUMIFS('B3 - Custos despesas indiretos'!BK$5:BK$148,'B3 - Custos despesas indiretos'!$B$5:$B$148,"Despesas",'B3 - Custos despesas indiretos'!$D$5:$D$148,$A232)</f>
        <v>-19940</v>
      </c>
      <c r="AC239" s="710">
        <f>-SUMIFS('B3 - Custos despesas indiretos'!BL$5:BL$148,'B3 - Custos despesas indiretos'!$B$5:$B$148,"Despesas",'B3 - Custos despesas indiretos'!$D$5:$D$148,$A232)</f>
        <v>-19940</v>
      </c>
      <c r="AD239" s="710">
        <f>-SUMIFS('B3 - Custos despesas indiretos'!BM$5:BM$148,'B3 - Custos despesas indiretos'!$B$5:$B$148,"Despesas",'B3 - Custos despesas indiretos'!$D$5:$D$148,$A232)</f>
        <v>-19940</v>
      </c>
      <c r="AE239" s="710">
        <f>-SUMIFS('B3 - Custos despesas indiretos'!BN$5:BN$148,'B3 - Custos despesas indiretos'!$B$5:$B$148,"Despesas",'B3 - Custos despesas indiretos'!$D$5:$D$148,$A232)</f>
        <v>-19940</v>
      </c>
      <c r="AF239" s="594"/>
      <c r="AG239" s="594"/>
      <c r="AH239" s="594"/>
      <c r="AI239" s="594"/>
      <c r="AJ239" s="594"/>
      <c r="AK239" s="594"/>
      <c r="AL239" s="594"/>
      <c r="AM239" s="594"/>
      <c r="AN239" s="594"/>
      <c r="AO239" s="594"/>
      <c r="AP239" s="594"/>
      <c r="AQ239" s="594"/>
      <c r="AR239" s="594"/>
      <c r="AS239" s="594"/>
      <c r="AT239" s="594"/>
      <c r="AU239" s="594"/>
      <c r="AV239" s="594"/>
      <c r="AW239" s="594"/>
      <c r="AX239" s="594"/>
      <c r="AY239" s="594"/>
      <c r="AZ239" s="594"/>
      <c r="BA239" s="594"/>
      <c r="BB239" s="594"/>
      <c r="BC239" s="594"/>
      <c r="BD239" s="594"/>
      <c r="BE239" s="594"/>
      <c r="BF239" s="594"/>
      <c r="BG239" s="594"/>
      <c r="BH239" s="594"/>
      <c r="BI239" s="594"/>
      <c r="BJ239" s="594"/>
      <c r="BK239" s="594"/>
      <c r="BL239" s="57"/>
      <c r="BM239" s="594"/>
      <c r="BN239" s="594"/>
      <c r="BO239" s="594"/>
      <c r="BP239" s="594"/>
      <c r="BQ239" s="594"/>
      <c r="BR239" s="594"/>
      <c r="BS239" s="594"/>
      <c r="BT239" s="594"/>
      <c r="BU239" s="594"/>
      <c r="BV239" s="594"/>
      <c r="BW239" s="594"/>
      <c r="BX239" s="594"/>
      <c r="BY239" s="594"/>
      <c r="BZ239" s="594"/>
      <c r="CA239" s="594"/>
      <c r="CB239" s="594"/>
      <c r="CC239" s="594"/>
      <c r="CD239" s="594"/>
      <c r="CE239" s="594"/>
      <c r="CF239" s="594"/>
      <c r="CG239" s="594"/>
      <c r="CH239" s="594"/>
      <c r="CI239" s="594"/>
      <c r="CJ239" s="594"/>
      <c r="CK239" s="594"/>
      <c r="CL239" s="594"/>
      <c r="CM239" s="594"/>
      <c r="CN239" s="594"/>
      <c r="CO239" s="594"/>
      <c r="CP239" s="594"/>
      <c r="CQ239" s="594"/>
    </row>
    <row r="240" spans="1:95" ht="21" hidden="1" customHeight="1" outlineLevel="2">
      <c r="A240" s="709" t="s">
        <v>686</v>
      </c>
      <c r="B240" s="710">
        <f>-SUMIF('D2 - Capex uso'!$C$6:$C$176,$A232,'D2 - Capex uso'!GI$6:GI$176)</f>
        <v>-1785.4617000000005</v>
      </c>
      <c r="C240" s="710">
        <f>-SUMIF('D2 - Capex uso'!$C$6:$C$176,$A232,'D2 - Capex uso'!GJ$6:GJ$176)</f>
        <v>-1785.4617000000005</v>
      </c>
      <c r="D240" s="710">
        <f>-SUMIF('D2 - Capex uso'!$C$6:$C$176,$A232,'D2 - Capex uso'!GK$6:GK$176)</f>
        <v>-1785.4617000000005</v>
      </c>
      <c r="E240" s="710">
        <f>-SUMIF('D2 - Capex uso'!$C$6:$C$176,$A232,'D2 - Capex uso'!GL$6:GL$176)</f>
        <v>-1785.4617000000005</v>
      </c>
      <c r="F240" s="710">
        <f>-SUMIF('D2 - Capex uso'!$C$6:$C$176,$A232,'D2 - Capex uso'!GM$6:GM$176)</f>
        <v>-1785.4617000000005</v>
      </c>
      <c r="G240" s="710">
        <f>-SUMIF('D2 - Capex uso'!$C$6:$C$176,$A232,'D2 - Capex uso'!GN$6:GN$176)</f>
        <v>-1785.4617000000005</v>
      </c>
      <c r="H240" s="710">
        <f>-SUMIF('D2 - Capex uso'!$C$6:$C$176,$A232,'D2 - Capex uso'!GO$6:GO$176)</f>
        <v>-1785.4617000000005</v>
      </c>
      <c r="I240" s="710">
        <f>-SUMIF('D2 - Capex uso'!$C$6:$C$176,$A232,'D2 - Capex uso'!GP$6:GP$176)</f>
        <v>-1785.4617000000005</v>
      </c>
      <c r="J240" s="710">
        <f>-SUMIF('D2 - Capex uso'!$C$6:$C$176,$A232,'D2 - Capex uso'!GQ$6:GQ$176)</f>
        <v>-1785.4617000000005</v>
      </c>
      <c r="K240" s="710">
        <f>-SUMIF('D2 - Capex uso'!$C$6:$C$176,$A232,'D2 - Capex uso'!GR$6:GR$176)</f>
        <v>-1785.4617000000005</v>
      </c>
      <c r="L240" s="710">
        <f>-SUMIF('D2 - Capex uso'!$C$6:$C$176,$A232,'D2 - Capex uso'!GS$6:GS$176)</f>
        <v>-1785.4617000000005</v>
      </c>
      <c r="M240" s="710">
        <f>-SUMIF('D2 - Capex uso'!$C$6:$C$176,$A232,'D2 - Capex uso'!GT$6:GT$176)</f>
        <v>-1785.4617000000005</v>
      </c>
      <c r="N240" s="710">
        <f>-SUMIF('D2 - Capex uso'!$C$6:$C$176,$A232,'D2 - Capex uso'!GU$6:GU$176)</f>
        <v>-1785.4617000000005</v>
      </c>
      <c r="O240" s="710">
        <f>-SUMIF('D2 - Capex uso'!$C$6:$C$176,$A232,'D2 - Capex uso'!GV$6:GV$176)</f>
        <v>-1785.4617000000005</v>
      </c>
      <c r="P240" s="710">
        <f>-SUMIF('D2 - Capex uso'!$C$6:$C$176,$A232,'D2 - Capex uso'!GW$6:GW$176)</f>
        <v>-1785.4617000000005</v>
      </c>
      <c r="Q240" s="710">
        <f>-SUMIF('D2 - Capex uso'!$C$6:$C$176,$A232,'D2 - Capex uso'!GX$6:GX$176)</f>
        <v>-1785.4617000000005</v>
      </c>
      <c r="R240" s="710">
        <f>-SUMIF('D2 - Capex uso'!$C$6:$C$176,$A232,'D2 - Capex uso'!GY$6:GY$176)</f>
        <v>-1785.4617000000005</v>
      </c>
      <c r="S240" s="710">
        <f>-SUMIF('D2 - Capex uso'!$C$6:$C$176,$A232,'D2 - Capex uso'!GZ$6:GZ$176)</f>
        <v>-1785.4617000000005</v>
      </c>
      <c r="T240" s="710">
        <f>-SUMIF('D2 - Capex uso'!$C$6:$C$176,$A232,'D2 - Capex uso'!HA$6:HA$176)</f>
        <v>-1785.4617000000005</v>
      </c>
      <c r="U240" s="710">
        <f>-SUMIF('D2 - Capex uso'!$C$6:$C$176,$A232,'D2 - Capex uso'!HB$6:HB$176)</f>
        <v>-1785.4617000000005</v>
      </c>
      <c r="V240" s="710">
        <f>-SUMIF('D2 - Capex uso'!$C$6:$C$176,$A232,'D2 - Capex uso'!HC$6:HC$176)</f>
        <v>-1785.4617000000005</v>
      </c>
      <c r="W240" s="710">
        <f>-SUMIF('D2 - Capex uso'!$C$6:$C$176,$A232,'D2 - Capex uso'!HD$6:HD$176)</f>
        <v>-1785.4617000000005</v>
      </c>
      <c r="X240" s="710">
        <f>-SUMIF('D2 - Capex uso'!$C$6:$C$176,$A232,'D2 - Capex uso'!HE$6:HE$176)</f>
        <v>-1785.4617000000005</v>
      </c>
      <c r="Y240" s="710">
        <f>-SUMIF('D2 - Capex uso'!$C$6:$C$176,$A232,'D2 - Capex uso'!HF$6:HF$176)</f>
        <v>-1785.4617000000005</v>
      </c>
      <c r="Z240" s="710">
        <f>-SUMIF('D2 - Capex uso'!$C$6:$C$176,$A232,'D2 - Capex uso'!HG$6:HG$176)</f>
        <v>-1785.4617000000005</v>
      </c>
      <c r="AA240" s="710">
        <f>-SUMIF('D2 - Capex uso'!$C$6:$C$176,$A232,'D2 - Capex uso'!HH$6:HH$176)</f>
        <v>-1785.4617000000005</v>
      </c>
      <c r="AB240" s="710">
        <f>-SUMIF('D2 - Capex uso'!$C$6:$C$176,$A232,'D2 - Capex uso'!HI$6:HI$176)</f>
        <v>-1785.4617000000005</v>
      </c>
      <c r="AC240" s="710">
        <f>-SUMIF('D2 - Capex uso'!$C$6:$C$176,$A232,'D2 - Capex uso'!HJ$6:HJ$176)</f>
        <v>-1785.4617000000005</v>
      </c>
      <c r="AD240" s="710">
        <f>-SUMIF('D2 - Capex uso'!$C$6:$C$176,$A232,'D2 - Capex uso'!HK$6:HK$176)</f>
        <v>-1785.4617000000005</v>
      </c>
      <c r="AE240" s="710">
        <f>-SUMIF('D2 - Capex uso'!$C$6:$C$176,$A232,'D2 - Capex uso'!HL$6:HL$176)</f>
        <v>-1785.4617000000005</v>
      </c>
      <c r="AF240" s="594"/>
      <c r="AG240" s="594"/>
      <c r="AH240" s="594"/>
      <c r="AI240" s="594"/>
      <c r="AJ240" s="594"/>
      <c r="AK240" s="594"/>
      <c r="AL240" s="594"/>
      <c r="AM240" s="594"/>
      <c r="AN240" s="594"/>
      <c r="AO240" s="594"/>
      <c r="AP240" s="594"/>
      <c r="AQ240" s="594"/>
      <c r="AR240" s="594"/>
      <c r="AS240" s="594"/>
      <c r="AT240" s="594"/>
      <c r="AU240" s="594"/>
      <c r="AV240" s="594"/>
      <c r="AW240" s="594"/>
      <c r="AX240" s="594"/>
      <c r="AY240" s="594"/>
      <c r="AZ240" s="594"/>
      <c r="BA240" s="594"/>
      <c r="BB240" s="594"/>
      <c r="BC240" s="594"/>
      <c r="BD240" s="594"/>
      <c r="BE240" s="594"/>
      <c r="BF240" s="594"/>
      <c r="BG240" s="594"/>
      <c r="BH240" s="594"/>
      <c r="BI240" s="594"/>
      <c r="BJ240" s="594"/>
      <c r="BK240" s="594"/>
      <c r="BL240" s="57"/>
      <c r="BM240" s="594"/>
      <c r="BN240" s="594"/>
      <c r="BO240" s="594"/>
      <c r="BP240" s="594"/>
      <c r="BQ240" s="594"/>
      <c r="BR240" s="594"/>
      <c r="BS240" s="594"/>
      <c r="BT240" s="594"/>
      <c r="BU240" s="594"/>
      <c r="BV240" s="594"/>
      <c r="BW240" s="594"/>
      <c r="BX240" s="594"/>
      <c r="BY240" s="594"/>
      <c r="BZ240" s="594"/>
      <c r="CA240" s="594"/>
      <c r="CB240" s="594"/>
      <c r="CC240" s="594"/>
      <c r="CD240" s="594"/>
      <c r="CE240" s="594"/>
      <c r="CF240" s="594"/>
      <c r="CG240" s="594"/>
      <c r="CH240" s="594"/>
      <c r="CI240" s="594"/>
      <c r="CJ240" s="594"/>
      <c r="CK240" s="594"/>
      <c r="CL240" s="594"/>
      <c r="CM240" s="594"/>
      <c r="CN240" s="594"/>
      <c r="CO240" s="594"/>
      <c r="CP240" s="594"/>
      <c r="CQ240" s="594"/>
    </row>
    <row r="241" spans="1:95" ht="21" hidden="1" customHeight="1" outlineLevel="1">
      <c r="A241" s="708" t="s">
        <v>687</v>
      </c>
      <c r="B241" s="707">
        <f t="shared" ref="B241:AE241" si="76">SUM(B233:B235)</f>
        <v>-8751.9616999999998</v>
      </c>
      <c r="C241" s="707">
        <f t="shared" si="76"/>
        <v>161114.99016569316</v>
      </c>
      <c r="D241" s="707">
        <f t="shared" si="76"/>
        <v>172432.14464203088</v>
      </c>
      <c r="E241" s="707">
        <f t="shared" si="76"/>
        <v>183385.98421671794</v>
      </c>
      <c r="F241" s="707">
        <f t="shared" si="76"/>
        <v>194498.93580781401</v>
      </c>
      <c r="G241" s="707">
        <f t="shared" si="76"/>
        <v>205816.37411960168</v>
      </c>
      <c r="H241" s="707">
        <f t="shared" si="76"/>
        <v>217474.27313257247</v>
      </c>
      <c r="I241" s="707">
        <f t="shared" si="76"/>
        <v>229450.73369528423</v>
      </c>
      <c r="J241" s="707">
        <f t="shared" si="76"/>
        <v>241654.26274687017</v>
      </c>
      <c r="K241" s="707">
        <f t="shared" si="76"/>
        <v>254062.82441897067</v>
      </c>
      <c r="L241" s="707">
        <f t="shared" si="76"/>
        <v>266879.94176747475</v>
      </c>
      <c r="M241" s="707">
        <f t="shared" si="76"/>
        <v>280083.39103896369</v>
      </c>
      <c r="N241" s="707">
        <f t="shared" si="76"/>
        <v>293696.12240335462</v>
      </c>
      <c r="O241" s="707">
        <f t="shared" si="76"/>
        <v>307740.45962958061</v>
      </c>
      <c r="P241" s="707">
        <f t="shared" si="76"/>
        <v>322193.93234913133</v>
      </c>
      <c r="Q241" s="707">
        <f t="shared" si="76"/>
        <v>337033.82307879289</v>
      </c>
      <c r="R241" s="707">
        <f t="shared" si="76"/>
        <v>352260.06750714732</v>
      </c>
      <c r="S241" s="707">
        <f t="shared" si="76"/>
        <v>367826.89746431971</v>
      </c>
      <c r="T241" s="707">
        <f t="shared" si="76"/>
        <v>383666.46407269698</v>
      </c>
      <c r="U241" s="707">
        <f t="shared" si="76"/>
        <v>399710.75642738596</v>
      </c>
      <c r="V241" s="707">
        <f t="shared" si="76"/>
        <v>399710.75642738596</v>
      </c>
      <c r="W241" s="707">
        <f t="shared" si="76"/>
        <v>399710.75642738596</v>
      </c>
      <c r="X241" s="707">
        <f t="shared" si="76"/>
        <v>399710.75642738596</v>
      </c>
      <c r="Y241" s="707">
        <f t="shared" si="76"/>
        <v>399710.75642738596</v>
      </c>
      <c r="Z241" s="707">
        <f t="shared" si="76"/>
        <v>399710.75642738596</v>
      </c>
      <c r="AA241" s="707">
        <f t="shared" si="76"/>
        <v>399710.75642738596</v>
      </c>
      <c r="AB241" s="707">
        <f t="shared" si="76"/>
        <v>399710.75642738596</v>
      </c>
      <c r="AC241" s="707">
        <f t="shared" si="76"/>
        <v>399710.75642738596</v>
      </c>
      <c r="AD241" s="707">
        <f t="shared" si="76"/>
        <v>399710.75642738596</v>
      </c>
      <c r="AE241" s="707">
        <f t="shared" si="76"/>
        <v>399710.75642738596</v>
      </c>
      <c r="AF241" s="594"/>
      <c r="AG241" s="594"/>
      <c r="AH241" s="594"/>
      <c r="AI241" s="594"/>
      <c r="AJ241" s="594"/>
      <c r="AK241" s="594"/>
      <c r="AL241" s="594"/>
      <c r="AM241" s="594"/>
      <c r="AN241" s="594"/>
      <c r="AO241" s="594"/>
      <c r="AP241" s="594"/>
      <c r="AQ241" s="594"/>
      <c r="AR241" s="594"/>
      <c r="AS241" s="594"/>
      <c r="AT241" s="594"/>
      <c r="AU241" s="594"/>
      <c r="AV241" s="594"/>
      <c r="AW241" s="594"/>
      <c r="AX241" s="594"/>
      <c r="AY241" s="594"/>
      <c r="AZ241" s="594"/>
      <c r="BA241" s="594"/>
      <c r="BB241" s="594"/>
      <c r="BC241" s="594"/>
      <c r="BD241" s="594"/>
      <c r="BE241" s="594"/>
      <c r="BF241" s="594"/>
      <c r="BG241" s="594"/>
      <c r="BH241" s="594"/>
      <c r="BI241" s="594"/>
      <c r="BJ241" s="594"/>
      <c r="BK241" s="594"/>
      <c r="BL241" s="57"/>
      <c r="BM241" s="594"/>
      <c r="BN241" s="594"/>
      <c r="BO241" s="594"/>
      <c r="BP241" s="594"/>
      <c r="BQ241" s="594"/>
      <c r="BR241" s="594"/>
      <c r="BS241" s="594"/>
      <c r="BT241" s="594"/>
      <c r="BU241" s="594"/>
      <c r="BV241" s="594"/>
      <c r="BW241" s="594"/>
      <c r="BX241" s="594"/>
      <c r="BY241" s="594"/>
      <c r="BZ241" s="594"/>
      <c r="CA241" s="594"/>
      <c r="CB241" s="594"/>
      <c r="CC241" s="594"/>
      <c r="CD241" s="594"/>
      <c r="CE241" s="594"/>
      <c r="CF241" s="594"/>
      <c r="CG241" s="594"/>
      <c r="CH241" s="594"/>
      <c r="CI241" s="594"/>
      <c r="CJ241" s="594"/>
      <c r="CK241" s="594"/>
      <c r="CL241" s="594"/>
      <c r="CM241" s="594"/>
      <c r="CN241" s="594"/>
      <c r="CO241" s="594"/>
      <c r="CP241" s="594"/>
      <c r="CQ241" s="594"/>
    </row>
    <row r="242" spans="1:95" ht="19.5" hidden="1" customHeight="1" outlineLevel="1">
      <c r="A242" s="708" t="s">
        <v>688</v>
      </c>
      <c r="B242" s="707">
        <f t="shared" ref="B242:AE242" si="77">SUM(B243:B250)</f>
        <v>-35709.234000000004</v>
      </c>
      <c r="C242" s="707">
        <f t="shared" si="77"/>
        <v>0</v>
      </c>
      <c r="D242" s="707">
        <f t="shared" si="77"/>
        <v>0</v>
      </c>
      <c r="E242" s="707">
        <f t="shared" si="77"/>
        <v>0</v>
      </c>
      <c r="F242" s="707">
        <f t="shared" si="77"/>
        <v>0</v>
      </c>
      <c r="G242" s="707">
        <f t="shared" si="77"/>
        <v>0</v>
      </c>
      <c r="H242" s="707">
        <f t="shared" si="77"/>
        <v>0</v>
      </c>
      <c r="I242" s="707">
        <f t="shared" si="77"/>
        <v>0</v>
      </c>
      <c r="J242" s="707">
        <f t="shared" si="77"/>
        <v>0</v>
      </c>
      <c r="K242" s="707">
        <f t="shared" si="77"/>
        <v>0</v>
      </c>
      <c r="L242" s="707">
        <f t="shared" si="77"/>
        <v>-33336.644000000008</v>
      </c>
      <c r="M242" s="707">
        <f t="shared" si="77"/>
        <v>0</v>
      </c>
      <c r="N242" s="707">
        <f t="shared" si="77"/>
        <v>0</v>
      </c>
      <c r="O242" s="707">
        <f t="shared" si="77"/>
        <v>0</v>
      </c>
      <c r="P242" s="707">
        <f t="shared" si="77"/>
        <v>0</v>
      </c>
      <c r="Q242" s="707">
        <f t="shared" si="77"/>
        <v>0</v>
      </c>
      <c r="R242" s="707">
        <f t="shared" si="77"/>
        <v>0</v>
      </c>
      <c r="S242" s="707">
        <f t="shared" si="77"/>
        <v>0</v>
      </c>
      <c r="T242" s="707">
        <f t="shared" si="77"/>
        <v>0</v>
      </c>
      <c r="U242" s="707">
        <f t="shared" si="77"/>
        <v>0</v>
      </c>
      <c r="V242" s="707">
        <f t="shared" si="77"/>
        <v>-33336.644000000008</v>
      </c>
      <c r="W242" s="707">
        <f t="shared" si="77"/>
        <v>0</v>
      </c>
      <c r="X242" s="707">
        <f t="shared" si="77"/>
        <v>0</v>
      </c>
      <c r="Y242" s="707">
        <f t="shared" si="77"/>
        <v>0</v>
      </c>
      <c r="Z242" s="707">
        <f t="shared" si="77"/>
        <v>0</v>
      </c>
      <c r="AA242" s="707">
        <f t="shared" si="77"/>
        <v>0</v>
      </c>
      <c r="AB242" s="707">
        <f t="shared" si="77"/>
        <v>0</v>
      </c>
      <c r="AC242" s="707">
        <f t="shared" si="77"/>
        <v>0</v>
      </c>
      <c r="AD242" s="707">
        <f t="shared" si="77"/>
        <v>0</v>
      </c>
      <c r="AE242" s="707">
        <f t="shared" si="77"/>
        <v>0</v>
      </c>
      <c r="AF242" s="594"/>
      <c r="AG242" s="594"/>
      <c r="AH242" s="594"/>
      <c r="AI242" s="594"/>
      <c r="AJ242" s="594"/>
      <c r="AK242" s="594"/>
      <c r="AL242" s="594"/>
      <c r="AM242" s="594"/>
      <c r="AN242" s="594"/>
      <c r="AO242" s="594"/>
      <c r="AP242" s="594"/>
      <c r="AQ242" s="594"/>
      <c r="AR242" s="594"/>
      <c r="AS242" s="594"/>
      <c r="AT242" s="594"/>
      <c r="AU242" s="594"/>
      <c r="AV242" s="594"/>
      <c r="AW242" s="594"/>
      <c r="AX242" s="594"/>
      <c r="AY242" s="594"/>
      <c r="AZ242" s="594"/>
      <c r="BA242" s="594"/>
      <c r="BB242" s="594"/>
      <c r="BC242" s="594"/>
      <c r="BD242" s="594"/>
      <c r="BE242" s="594"/>
      <c r="BF242" s="594"/>
      <c r="BG242" s="594"/>
      <c r="BH242" s="594"/>
      <c r="BI242" s="594"/>
      <c r="BJ242" s="594"/>
      <c r="BK242" s="594"/>
      <c r="BL242" s="57"/>
      <c r="BM242" s="594"/>
      <c r="BN242" s="594"/>
      <c r="BO242" s="594"/>
      <c r="BP242" s="594"/>
      <c r="BQ242" s="594"/>
      <c r="BR242" s="594"/>
      <c r="BS242" s="594"/>
      <c r="BT242" s="594"/>
      <c r="BU242" s="594"/>
      <c r="BV242" s="594"/>
      <c r="BW242" s="594"/>
      <c r="BX242" s="594"/>
      <c r="BY242" s="594"/>
      <c r="BZ242" s="594"/>
      <c r="CA242" s="594"/>
      <c r="CB242" s="594"/>
      <c r="CC242" s="594"/>
      <c r="CD242" s="594"/>
      <c r="CE242" s="594"/>
      <c r="CF242" s="594"/>
      <c r="CG242" s="594"/>
      <c r="CH242" s="594"/>
      <c r="CI242" s="594"/>
      <c r="CJ242" s="594"/>
      <c r="CK242" s="594"/>
      <c r="CL242" s="594"/>
      <c r="CM242" s="594"/>
      <c r="CN242" s="594"/>
      <c r="CO242" s="594"/>
      <c r="CP242" s="594"/>
      <c r="CQ242" s="594"/>
    </row>
    <row r="243" spans="1:95" ht="19.5" hidden="1" customHeight="1" outlineLevel="2">
      <c r="A243" s="709" t="s">
        <v>354</v>
      </c>
      <c r="B243" s="710">
        <f>-SUMIFS('D2 - Capex uso'!BS$6:BS$176,'D2 - Capex uso'!$C$6:$C$176,$A232,'D2 - Capex uso'!$AK$6:$AK$176,$A243)</f>
        <v>-2372.59</v>
      </c>
      <c r="C243" s="710">
        <f>-SUMIFS('D2 - Capex uso'!BT$6:BT$176,'D2 - Capex uso'!$C$6:$C$176,$A232,'D2 - Capex uso'!$AK$6:$AK$176,$A243)</f>
        <v>0</v>
      </c>
      <c r="D243" s="710">
        <f>-SUMIFS('D2 - Capex uso'!BU$6:BU$176,'D2 - Capex uso'!$C$6:$C$176,$A232,'D2 - Capex uso'!$AK$6:$AK$176,$A243)</f>
        <v>0</v>
      </c>
      <c r="E243" s="710">
        <f>-SUMIFS('D2 - Capex uso'!BV$6:BV$176,'D2 - Capex uso'!$C$6:$C$176,$A232,'D2 - Capex uso'!$AK$6:$AK$176,$A243)</f>
        <v>0</v>
      </c>
      <c r="F243" s="710">
        <f>-SUMIFS('D2 - Capex uso'!BW$6:BW$176,'D2 - Capex uso'!$C$6:$C$176,$A232,'D2 - Capex uso'!$AK$6:$AK$176,$A243)</f>
        <v>0</v>
      </c>
      <c r="G243" s="710">
        <f>-SUMIFS('D2 - Capex uso'!BX$6:BX$176,'D2 - Capex uso'!$C$6:$C$176,$A232,'D2 - Capex uso'!$AK$6:$AK$176,$A243)</f>
        <v>0</v>
      </c>
      <c r="H243" s="710">
        <f>-SUMIFS('D2 - Capex uso'!BY$6:BY$176,'D2 - Capex uso'!$C$6:$C$176,$A232,'D2 - Capex uso'!$AK$6:$AK$176,$A243)</f>
        <v>0</v>
      </c>
      <c r="I243" s="710">
        <f>-SUMIFS('D2 - Capex uso'!BZ$6:BZ$176,'D2 - Capex uso'!$C$6:$C$176,$A232,'D2 - Capex uso'!$AK$6:$AK$176,$A243)</f>
        <v>0</v>
      </c>
      <c r="J243" s="710">
        <f>-SUMIFS('D2 - Capex uso'!CA$6:CA$176,'D2 - Capex uso'!$C$6:$C$176,$A232,'D2 - Capex uso'!$AK$6:$AK$176,$A243)</f>
        <v>0</v>
      </c>
      <c r="K243" s="710">
        <f>-SUMIFS('D2 - Capex uso'!CB$6:CB$176,'D2 - Capex uso'!$C$6:$C$176,$A232,'D2 - Capex uso'!$AK$6:$AK$176,$A243)</f>
        <v>0</v>
      </c>
      <c r="L243" s="710">
        <f>-SUMIFS('D2 - Capex uso'!CC$6:CC$176,'D2 - Capex uso'!$C$6:$C$176,$A232,'D2 - Capex uso'!$AK$6:$AK$176,$A243)</f>
        <v>0</v>
      </c>
      <c r="M243" s="710">
        <f>-SUMIFS('D2 - Capex uso'!CD$6:CD$176,'D2 - Capex uso'!$C$6:$C$176,$A232,'D2 - Capex uso'!$AK$6:$AK$176,$A243)</f>
        <v>0</v>
      </c>
      <c r="N243" s="710">
        <f>-SUMIFS('D2 - Capex uso'!CE$6:CE$176,'D2 - Capex uso'!$C$6:$C$176,$A232,'D2 - Capex uso'!$AK$6:$AK$176,$A243)</f>
        <v>0</v>
      </c>
      <c r="O243" s="710">
        <f>-SUMIFS('D2 - Capex uso'!CF$6:CF$176,'D2 - Capex uso'!$C$6:$C$176,$A232,'D2 - Capex uso'!$AK$6:$AK$176,$A243)</f>
        <v>0</v>
      </c>
      <c r="P243" s="710">
        <f>-SUMIFS('D2 - Capex uso'!CG$6:CG$176,'D2 - Capex uso'!$C$6:$C$176,$A232,'D2 - Capex uso'!$AK$6:$AK$176,$A243)</f>
        <v>0</v>
      </c>
      <c r="Q243" s="710">
        <f>-SUMIFS('D2 - Capex uso'!CH$6:CH$176,'D2 - Capex uso'!$C$6:$C$176,$A232,'D2 - Capex uso'!$AK$6:$AK$176,$A243)</f>
        <v>0</v>
      </c>
      <c r="R243" s="710">
        <f>-SUMIFS('D2 - Capex uso'!CI$6:CI$176,'D2 - Capex uso'!$C$6:$C$176,$A232,'D2 - Capex uso'!$AK$6:$AK$176,$A243)</f>
        <v>0</v>
      </c>
      <c r="S243" s="710">
        <f>-SUMIFS('D2 - Capex uso'!CJ$6:CJ$176,'D2 - Capex uso'!$C$6:$C$176,$A232,'D2 - Capex uso'!$AK$6:$AK$176,$A243)</f>
        <v>0</v>
      </c>
      <c r="T243" s="710">
        <f>-SUMIFS('D2 - Capex uso'!CK$6:CK$176,'D2 - Capex uso'!$C$6:$C$176,$A232,'D2 - Capex uso'!$AK$6:$AK$176,$A243)</f>
        <v>0</v>
      </c>
      <c r="U243" s="710">
        <f>-SUMIFS('D2 - Capex uso'!CL$6:CL$176,'D2 - Capex uso'!$C$6:$C$176,$A232,'D2 - Capex uso'!$AK$6:$AK$176,$A243)</f>
        <v>0</v>
      </c>
      <c r="V243" s="710">
        <f>-SUMIFS('D2 - Capex uso'!CM$6:CM$176,'D2 - Capex uso'!$C$6:$C$176,$A232,'D2 - Capex uso'!$AK$6:$AK$176,$A243)</f>
        <v>0</v>
      </c>
      <c r="W243" s="710">
        <f>-SUMIFS('D2 - Capex uso'!CN$6:CN$176,'D2 - Capex uso'!$C$6:$C$176,$A232,'D2 - Capex uso'!$AK$6:$AK$176,$A243)</f>
        <v>0</v>
      </c>
      <c r="X243" s="710">
        <f>-SUMIFS('D2 - Capex uso'!CO$6:CO$176,'D2 - Capex uso'!$C$6:$C$176,$A232,'D2 - Capex uso'!$AK$6:$AK$176,$A243)</f>
        <v>0</v>
      </c>
      <c r="Y243" s="710">
        <f>-SUMIFS('D2 - Capex uso'!CP$6:CP$176,'D2 - Capex uso'!$C$6:$C$176,$A232,'D2 - Capex uso'!$AK$6:$AK$176,$A243)</f>
        <v>0</v>
      </c>
      <c r="Z243" s="710">
        <f>-SUMIFS('D2 - Capex uso'!CQ$6:CQ$176,'D2 - Capex uso'!$C$6:$C$176,$A232,'D2 - Capex uso'!$AK$6:$AK$176,$A243)</f>
        <v>0</v>
      </c>
      <c r="AA243" s="710">
        <f>-SUMIFS('D2 - Capex uso'!CR$6:CR$176,'D2 - Capex uso'!$C$6:$C$176,$A232,'D2 - Capex uso'!$AK$6:$AK$176,$A243)</f>
        <v>0</v>
      </c>
      <c r="AB243" s="710">
        <f>-SUMIFS('D2 - Capex uso'!CS$6:CS$176,'D2 - Capex uso'!$C$6:$C$176,$A232,'D2 - Capex uso'!$AK$6:$AK$176,$A243)</f>
        <v>0</v>
      </c>
      <c r="AC243" s="710">
        <f>-SUMIFS('D2 - Capex uso'!CT$6:CT$176,'D2 - Capex uso'!$C$6:$C$176,$A232,'D2 - Capex uso'!$AK$6:$AK$176,$A243)</f>
        <v>0</v>
      </c>
      <c r="AD243" s="710">
        <f>-SUMIFS('D2 - Capex uso'!CU$6:CU$176,'D2 - Capex uso'!$C$6:$C$176,$A232,'D2 - Capex uso'!$AK$6:$AK$176,$A243)</f>
        <v>0</v>
      </c>
      <c r="AE243" s="710">
        <f>-SUMIFS('D2 - Capex uso'!CV$6:CV$176,'D2 - Capex uso'!$C$6:$C$176,$A232,'D2 - Capex uso'!$AK$6:$AK$176,$A243)</f>
        <v>0</v>
      </c>
      <c r="AF243" s="594"/>
      <c r="AG243" s="594"/>
      <c r="AH243" s="594"/>
      <c r="AI243" s="594"/>
      <c r="AJ243" s="594"/>
      <c r="AK243" s="594"/>
      <c r="AL243" s="594"/>
      <c r="AM243" s="594"/>
      <c r="AN243" s="594"/>
      <c r="AO243" s="594"/>
      <c r="AP243" s="594"/>
      <c r="AQ243" s="594"/>
      <c r="AR243" s="594"/>
      <c r="AS243" s="594"/>
      <c r="AT243" s="594"/>
      <c r="AU243" s="594"/>
      <c r="AV243" s="594"/>
      <c r="AW243" s="594"/>
      <c r="AX243" s="594"/>
      <c r="AY243" s="594"/>
      <c r="AZ243" s="594"/>
      <c r="BA243" s="594"/>
      <c r="BB243" s="594"/>
      <c r="BC243" s="594"/>
      <c r="BD243" s="594"/>
      <c r="BE243" s="594"/>
      <c r="BF243" s="594"/>
      <c r="BG243" s="594"/>
      <c r="BH243" s="594"/>
      <c r="BI243" s="594"/>
      <c r="BJ243" s="594"/>
      <c r="BK243" s="594"/>
      <c r="BL243" s="57"/>
      <c r="BM243" s="594"/>
      <c r="BN243" s="594"/>
      <c r="BO243" s="594"/>
      <c r="BP243" s="594"/>
      <c r="BQ243" s="594"/>
      <c r="BR243" s="594"/>
      <c r="BS243" s="594"/>
      <c r="BT243" s="594"/>
      <c r="BU243" s="594"/>
      <c r="BV243" s="594"/>
      <c r="BW243" s="594"/>
      <c r="BX243" s="594"/>
      <c r="BY243" s="594"/>
      <c r="BZ243" s="594"/>
      <c r="CA243" s="594"/>
      <c r="CB243" s="594"/>
      <c r="CC243" s="594"/>
      <c r="CD243" s="594"/>
      <c r="CE243" s="594"/>
      <c r="CF243" s="594"/>
      <c r="CG243" s="594"/>
      <c r="CH243" s="594"/>
      <c r="CI243" s="594"/>
      <c r="CJ243" s="594"/>
      <c r="CK243" s="594"/>
      <c r="CL243" s="594"/>
      <c r="CM243" s="594"/>
      <c r="CN243" s="594"/>
      <c r="CO243" s="594"/>
      <c r="CP243" s="594"/>
      <c r="CQ243" s="594"/>
    </row>
    <row r="244" spans="1:95" ht="19.5" hidden="1" customHeight="1" outlineLevel="2">
      <c r="A244" s="709" t="s">
        <v>689</v>
      </c>
      <c r="B244" s="710">
        <f>-SUMIFS('D2 - Capex uso'!BS$6:BS$176,'D2 - Capex uso'!$C$6:$C$176,$A232,'D2 - Capex uso'!$AK$6:$AK$176,$A244)</f>
        <v>0</v>
      </c>
      <c r="C244" s="710">
        <f>-SUMIFS('D2 - Capex uso'!BT$6:BT$176,'D2 - Capex uso'!$C$6:$C$176,$A232,'D2 - Capex uso'!$AK$6:$AK$176,$A244)</f>
        <v>0</v>
      </c>
      <c r="D244" s="710">
        <f>-SUMIFS('D2 - Capex uso'!BU$6:BU$176,'D2 - Capex uso'!$C$6:$C$176,$A232,'D2 - Capex uso'!$AK$6:$AK$176,$A244)</f>
        <v>0</v>
      </c>
      <c r="E244" s="710">
        <f>-SUMIFS('D2 - Capex uso'!BV$6:BV$176,'D2 - Capex uso'!$C$6:$C$176,$A232,'D2 - Capex uso'!$AK$6:$AK$176,$A244)</f>
        <v>0</v>
      </c>
      <c r="F244" s="710">
        <f>-SUMIFS('D2 - Capex uso'!BW$6:BW$176,'D2 - Capex uso'!$C$6:$C$176,$A232,'D2 - Capex uso'!$AK$6:$AK$176,$A244)</f>
        <v>0</v>
      </c>
      <c r="G244" s="710">
        <f>-SUMIFS('D2 - Capex uso'!BX$6:BX$176,'D2 - Capex uso'!$C$6:$C$176,$A232,'D2 - Capex uso'!$AK$6:$AK$176,$A244)</f>
        <v>0</v>
      </c>
      <c r="H244" s="710">
        <f>-SUMIFS('D2 - Capex uso'!BY$6:BY$176,'D2 - Capex uso'!$C$6:$C$176,$A232,'D2 - Capex uso'!$AK$6:$AK$176,$A244)</f>
        <v>0</v>
      </c>
      <c r="I244" s="710">
        <f>-SUMIFS('D2 - Capex uso'!BZ$6:BZ$176,'D2 - Capex uso'!$C$6:$C$176,$A232,'D2 - Capex uso'!$AK$6:$AK$176,$A244)</f>
        <v>0</v>
      </c>
      <c r="J244" s="710">
        <f>-SUMIFS('D2 - Capex uso'!CA$6:CA$176,'D2 - Capex uso'!$C$6:$C$176,$A232,'D2 - Capex uso'!$AK$6:$AK$176,$A244)</f>
        <v>0</v>
      </c>
      <c r="K244" s="710">
        <f>-SUMIFS('D2 - Capex uso'!CB$6:CB$176,'D2 - Capex uso'!$C$6:$C$176,$A232,'D2 - Capex uso'!$AK$6:$AK$176,$A244)</f>
        <v>0</v>
      </c>
      <c r="L244" s="710">
        <f>-SUMIFS('D2 - Capex uso'!CC$6:CC$176,'D2 - Capex uso'!$C$6:$C$176,$A232,'D2 - Capex uso'!$AK$6:$AK$176,$A244)</f>
        <v>0</v>
      </c>
      <c r="M244" s="710">
        <f>-SUMIFS('D2 - Capex uso'!CD$6:CD$176,'D2 - Capex uso'!$C$6:$C$176,$A232,'D2 - Capex uso'!$AK$6:$AK$176,$A244)</f>
        <v>0</v>
      </c>
      <c r="N244" s="710">
        <f>-SUMIFS('D2 - Capex uso'!CE$6:CE$176,'D2 - Capex uso'!$C$6:$C$176,$A232,'D2 - Capex uso'!$AK$6:$AK$176,$A244)</f>
        <v>0</v>
      </c>
      <c r="O244" s="710">
        <f>-SUMIFS('D2 - Capex uso'!CF$6:CF$176,'D2 - Capex uso'!$C$6:$C$176,$A232,'D2 - Capex uso'!$AK$6:$AK$176,$A244)</f>
        <v>0</v>
      </c>
      <c r="P244" s="710">
        <f>-SUMIFS('D2 - Capex uso'!CG$6:CG$176,'D2 - Capex uso'!$C$6:$C$176,$A232,'D2 - Capex uso'!$AK$6:$AK$176,$A244)</f>
        <v>0</v>
      </c>
      <c r="Q244" s="710">
        <f>-SUMIFS('D2 - Capex uso'!CH$6:CH$176,'D2 - Capex uso'!$C$6:$C$176,$A232,'D2 - Capex uso'!$AK$6:$AK$176,$A244)</f>
        <v>0</v>
      </c>
      <c r="R244" s="710">
        <f>-SUMIFS('D2 - Capex uso'!CI$6:CI$176,'D2 - Capex uso'!$C$6:$C$176,$A232,'D2 - Capex uso'!$AK$6:$AK$176,$A244)</f>
        <v>0</v>
      </c>
      <c r="S244" s="710">
        <f>-SUMIFS('D2 - Capex uso'!CJ$6:CJ$176,'D2 - Capex uso'!$C$6:$C$176,$A232,'D2 - Capex uso'!$AK$6:$AK$176,$A244)</f>
        <v>0</v>
      </c>
      <c r="T244" s="710">
        <f>-SUMIFS('D2 - Capex uso'!CK$6:CK$176,'D2 - Capex uso'!$C$6:$C$176,$A232,'D2 - Capex uso'!$AK$6:$AK$176,$A244)</f>
        <v>0</v>
      </c>
      <c r="U244" s="710">
        <f>-SUMIFS('D2 - Capex uso'!CL$6:CL$176,'D2 - Capex uso'!$C$6:$C$176,$A232,'D2 - Capex uso'!$AK$6:$AK$176,$A244)</f>
        <v>0</v>
      </c>
      <c r="V244" s="710">
        <f>-SUMIFS('D2 - Capex uso'!CM$6:CM$176,'D2 - Capex uso'!$C$6:$C$176,$A232,'D2 - Capex uso'!$AK$6:$AK$176,$A244)</f>
        <v>0</v>
      </c>
      <c r="W244" s="710">
        <f>-SUMIFS('D2 - Capex uso'!CN$6:CN$176,'D2 - Capex uso'!$C$6:$C$176,$A232,'D2 - Capex uso'!$AK$6:$AK$176,$A244)</f>
        <v>0</v>
      </c>
      <c r="X244" s="710">
        <f>-SUMIFS('D2 - Capex uso'!CO$6:CO$176,'D2 - Capex uso'!$C$6:$C$176,$A232,'D2 - Capex uso'!$AK$6:$AK$176,$A244)</f>
        <v>0</v>
      </c>
      <c r="Y244" s="710">
        <f>-SUMIFS('D2 - Capex uso'!CP$6:CP$176,'D2 - Capex uso'!$C$6:$C$176,$A232,'D2 - Capex uso'!$AK$6:$AK$176,$A244)</f>
        <v>0</v>
      </c>
      <c r="Z244" s="710">
        <f>-SUMIFS('D2 - Capex uso'!CQ$6:CQ$176,'D2 - Capex uso'!$C$6:$C$176,$A232,'D2 - Capex uso'!$AK$6:$AK$176,$A244)</f>
        <v>0</v>
      </c>
      <c r="AA244" s="710">
        <f>-SUMIFS('D2 - Capex uso'!CR$6:CR$176,'D2 - Capex uso'!$C$6:$C$176,$A232,'D2 - Capex uso'!$AK$6:$AK$176,$A244)</f>
        <v>0</v>
      </c>
      <c r="AB244" s="710">
        <f>-SUMIFS('D2 - Capex uso'!CS$6:CS$176,'D2 - Capex uso'!$C$6:$C$176,$A232,'D2 - Capex uso'!$AK$6:$AK$176,$A244)</f>
        <v>0</v>
      </c>
      <c r="AC244" s="710">
        <f>-SUMIFS('D2 - Capex uso'!CT$6:CT$176,'D2 - Capex uso'!$C$6:$C$176,$A232,'D2 - Capex uso'!$AK$6:$AK$176,$A244)</f>
        <v>0</v>
      </c>
      <c r="AD244" s="710">
        <f>-SUMIFS('D2 - Capex uso'!CU$6:CU$176,'D2 - Capex uso'!$C$6:$C$176,$A232,'D2 - Capex uso'!$AK$6:$AK$176,$A244)</f>
        <v>0</v>
      </c>
      <c r="AE244" s="710">
        <f>-SUMIFS('D2 - Capex uso'!CV$6:CV$176,'D2 - Capex uso'!$C$6:$C$176,$A232,'D2 - Capex uso'!$AK$6:$AK$176,$A244)</f>
        <v>0</v>
      </c>
      <c r="AF244" s="594"/>
      <c r="AG244" s="594"/>
      <c r="AH244" s="594"/>
      <c r="AI244" s="594"/>
      <c r="AJ244" s="594"/>
      <c r="AK244" s="594"/>
      <c r="AL244" s="594"/>
      <c r="AM244" s="594"/>
      <c r="AN244" s="594"/>
      <c r="AO244" s="594"/>
      <c r="AP244" s="594"/>
      <c r="AQ244" s="594"/>
      <c r="AR244" s="594"/>
      <c r="AS244" s="594"/>
      <c r="AT244" s="594"/>
      <c r="AU244" s="594"/>
      <c r="AV244" s="594"/>
      <c r="AW244" s="594"/>
      <c r="AX244" s="594"/>
      <c r="AY244" s="594"/>
      <c r="AZ244" s="594"/>
      <c r="BA244" s="594"/>
      <c r="BB244" s="594"/>
      <c r="BC244" s="594"/>
      <c r="BD244" s="594"/>
      <c r="BE244" s="594"/>
      <c r="BF244" s="594"/>
      <c r="BG244" s="594"/>
      <c r="BH244" s="594"/>
      <c r="BI244" s="594"/>
      <c r="BJ244" s="594"/>
      <c r="BK244" s="594"/>
      <c r="BL244" s="57"/>
      <c r="BM244" s="594"/>
      <c r="BN244" s="594"/>
      <c r="BO244" s="594"/>
      <c r="BP244" s="594"/>
      <c r="BQ244" s="594"/>
      <c r="BR244" s="594"/>
      <c r="BS244" s="594"/>
      <c r="BT244" s="594"/>
      <c r="BU244" s="594"/>
      <c r="BV244" s="594"/>
      <c r="BW244" s="594"/>
      <c r="BX244" s="594"/>
      <c r="BY244" s="594"/>
      <c r="BZ244" s="594"/>
      <c r="CA244" s="594"/>
      <c r="CB244" s="594"/>
      <c r="CC244" s="594"/>
      <c r="CD244" s="594"/>
      <c r="CE244" s="594"/>
      <c r="CF244" s="594"/>
      <c r="CG244" s="594"/>
      <c r="CH244" s="594"/>
      <c r="CI244" s="594"/>
      <c r="CJ244" s="594"/>
      <c r="CK244" s="594"/>
      <c r="CL244" s="594"/>
      <c r="CM244" s="594"/>
      <c r="CN244" s="594"/>
      <c r="CO244" s="594"/>
      <c r="CP244" s="594"/>
      <c r="CQ244" s="594"/>
    </row>
    <row r="245" spans="1:95" ht="19.5" hidden="1" customHeight="1" outlineLevel="2">
      <c r="A245" s="709" t="s">
        <v>378</v>
      </c>
      <c r="B245" s="710">
        <f>-SUMIFS('D2 - Capex uso'!BS$6:BS$176,'D2 - Capex uso'!$C$6:$C$176,$A232,'D2 - Capex uso'!$AK$6:$AK$176,$A245)</f>
        <v>0</v>
      </c>
      <c r="C245" s="710">
        <f>-SUMIFS('D2 - Capex uso'!BT$6:BT$176,'D2 - Capex uso'!$C$6:$C$176,$A232,'D2 - Capex uso'!$AK$6:$AK$176,$A245)</f>
        <v>0</v>
      </c>
      <c r="D245" s="710">
        <f>-SUMIFS('D2 - Capex uso'!BU$6:BU$176,'D2 - Capex uso'!$C$6:$C$176,$A232,'D2 - Capex uso'!$AK$6:$AK$176,$A245)</f>
        <v>0</v>
      </c>
      <c r="E245" s="710">
        <f>-SUMIFS('D2 - Capex uso'!BV$6:BV$176,'D2 - Capex uso'!$C$6:$C$176,$A232,'D2 - Capex uso'!$AK$6:$AK$176,$A245)</f>
        <v>0</v>
      </c>
      <c r="F245" s="710">
        <f>-SUMIFS('D2 - Capex uso'!BW$6:BW$176,'D2 - Capex uso'!$C$6:$C$176,$A232,'D2 - Capex uso'!$AK$6:$AK$176,$A245)</f>
        <v>0</v>
      </c>
      <c r="G245" s="710">
        <f>-SUMIFS('D2 - Capex uso'!BX$6:BX$176,'D2 - Capex uso'!$C$6:$C$176,$A232,'D2 - Capex uso'!$AK$6:$AK$176,$A245)</f>
        <v>0</v>
      </c>
      <c r="H245" s="710">
        <f>-SUMIFS('D2 - Capex uso'!BY$6:BY$176,'D2 - Capex uso'!$C$6:$C$176,$A232,'D2 - Capex uso'!$AK$6:$AK$176,$A245)</f>
        <v>0</v>
      </c>
      <c r="I245" s="710">
        <f>-SUMIFS('D2 - Capex uso'!BZ$6:BZ$176,'D2 - Capex uso'!$C$6:$C$176,$A232,'D2 - Capex uso'!$AK$6:$AK$176,$A245)</f>
        <v>0</v>
      </c>
      <c r="J245" s="710">
        <f>-SUMIFS('D2 - Capex uso'!CA$6:CA$176,'D2 - Capex uso'!$C$6:$C$176,$A232,'D2 - Capex uso'!$AK$6:$AK$176,$A245)</f>
        <v>0</v>
      </c>
      <c r="K245" s="710">
        <f>-SUMIFS('D2 - Capex uso'!CB$6:CB$176,'D2 - Capex uso'!$C$6:$C$176,$A232,'D2 - Capex uso'!$AK$6:$AK$176,$A245)</f>
        <v>0</v>
      </c>
      <c r="L245" s="710">
        <f>-SUMIFS('D2 - Capex uso'!CC$6:CC$176,'D2 - Capex uso'!$C$6:$C$176,$A232,'D2 - Capex uso'!$AK$6:$AK$176,$A245)</f>
        <v>0</v>
      </c>
      <c r="M245" s="710">
        <f>-SUMIFS('D2 - Capex uso'!CD$6:CD$176,'D2 - Capex uso'!$C$6:$C$176,$A232,'D2 - Capex uso'!$AK$6:$AK$176,$A245)</f>
        <v>0</v>
      </c>
      <c r="N245" s="710">
        <f>-SUMIFS('D2 - Capex uso'!CE$6:CE$176,'D2 - Capex uso'!$C$6:$C$176,$A232,'D2 - Capex uso'!$AK$6:$AK$176,$A245)</f>
        <v>0</v>
      </c>
      <c r="O245" s="710">
        <f>-SUMIFS('D2 - Capex uso'!CF$6:CF$176,'D2 - Capex uso'!$C$6:$C$176,$A232,'D2 - Capex uso'!$AK$6:$AK$176,$A245)</f>
        <v>0</v>
      </c>
      <c r="P245" s="710">
        <f>-SUMIFS('D2 - Capex uso'!CG$6:CG$176,'D2 - Capex uso'!$C$6:$C$176,$A232,'D2 - Capex uso'!$AK$6:$AK$176,$A245)</f>
        <v>0</v>
      </c>
      <c r="Q245" s="710">
        <f>-SUMIFS('D2 - Capex uso'!CH$6:CH$176,'D2 - Capex uso'!$C$6:$C$176,$A232,'D2 - Capex uso'!$AK$6:$AK$176,$A245)</f>
        <v>0</v>
      </c>
      <c r="R245" s="710">
        <f>-SUMIFS('D2 - Capex uso'!CI$6:CI$176,'D2 - Capex uso'!$C$6:$C$176,$A232,'D2 - Capex uso'!$AK$6:$AK$176,$A245)</f>
        <v>0</v>
      </c>
      <c r="S245" s="710">
        <f>-SUMIFS('D2 - Capex uso'!CJ$6:CJ$176,'D2 - Capex uso'!$C$6:$C$176,$A232,'D2 - Capex uso'!$AK$6:$AK$176,$A245)</f>
        <v>0</v>
      </c>
      <c r="T245" s="710">
        <f>-SUMIFS('D2 - Capex uso'!CK$6:CK$176,'D2 - Capex uso'!$C$6:$C$176,$A232,'D2 - Capex uso'!$AK$6:$AK$176,$A245)</f>
        <v>0</v>
      </c>
      <c r="U245" s="710">
        <f>-SUMIFS('D2 - Capex uso'!CL$6:CL$176,'D2 - Capex uso'!$C$6:$C$176,$A232,'D2 - Capex uso'!$AK$6:$AK$176,$A245)</f>
        <v>0</v>
      </c>
      <c r="V245" s="710">
        <f>-SUMIFS('D2 - Capex uso'!CM$6:CM$176,'D2 - Capex uso'!$C$6:$C$176,$A232,'D2 - Capex uso'!$AK$6:$AK$176,$A245)</f>
        <v>0</v>
      </c>
      <c r="W245" s="710">
        <f>-SUMIFS('D2 - Capex uso'!CN$6:CN$176,'D2 - Capex uso'!$C$6:$C$176,$A232,'D2 - Capex uso'!$AK$6:$AK$176,$A245)</f>
        <v>0</v>
      </c>
      <c r="X245" s="710">
        <f>-SUMIFS('D2 - Capex uso'!CO$6:CO$176,'D2 - Capex uso'!$C$6:$C$176,$A232,'D2 - Capex uso'!$AK$6:$AK$176,$A245)</f>
        <v>0</v>
      </c>
      <c r="Y245" s="710">
        <f>-SUMIFS('D2 - Capex uso'!CP$6:CP$176,'D2 - Capex uso'!$C$6:$C$176,$A232,'D2 - Capex uso'!$AK$6:$AK$176,$A245)</f>
        <v>0</v>
      </c>
      <c r="Z245" s="710">
        <f>-SUMIFS('D2 - Capex uso'!CQ$6:CQ$176,'D2 - Capex uso'!$C$6:$C$176,$A232,'D2 - Capex uso'!$AK$6:$AK$176,$A245)</f>
        <v>0</v>
      </c>
      <c r="AA245" s="710">
        <f>-SUMIFS('D2 - Capex uso'!CR$6:CR$176,'D2 - Capex uso'!$C$6:$C$176,$A232,'D2 - Capex uso'!$AK$6:$AK$176,$A245)</f>
        <v>0</v>
      </c>
      <c r="AB245" s="710">
        <f>-SUMIFS('D2 - Capex uso'!CS$6:CS$176,'D2 - Capex uso'!$C$6:$C$176,$A232,'D2 - Capex uso'!$AK$6:$AK$176,$A245)</f>
        <v>0</v>
      </c>
      <c r="AC245" s="710">
        <f>-SUMIFS('D2 - Capex uso'!CT$6:CT$176,'D2 - Capex uso'!$C$6:$C$176,$A232,'D2 - Capex uso'!$AK$6:$AK$176,$A245)</f>
        <v>0</v>
      </c>
      <c r="AD245" s="710">
        <f>-SUMIFS('D2 - Capex uso'!CU$6:CU$176,'D2 - Capex uso'!$C$6:$C$176,$A232,'D2 - Capex uso'!$AK$6:$AK$176,$A245)</f>
        <v>0</v>
      </c>
      <c r="AE245" s="710">
        <f>-SUMIFS('D2 - Capex uso'!CV$6:CV$176,'D2 - Capex uso'!$C$6:$C$176,$A232,'D2 - Capex uso'!$AK$6:$AK$176,$A245)</f>
        <v>0</v>
      </c>
      <c r="AF245" s="594"/>
      <c r="AG245" s="594"/>
      <c r="AH245" s="594"/>
      <c r="AI245" s="594"/>
      <c r="AJ245" s="594"/>
      <c r="AK245" s="594"/>
      <c r="AL245" s="594"/>
      <c r="AM245" s="594"/>
      <c r="AN245" s="594"/>
      <c r="AO245" s="594"/>
      <c r="AP245" s="594"/>
      <c r="AQ245" s="594"/>
      <c r="AR245" s="594"/>
      <c r="AS245" s="594"/>
      <c r="AT245" s="594"/>
      <c r="AU245" s="594"/>
      <c r="AV245" s="594"/>
      <c r="AW245" s="594"/>
      <c r="AX245" s="594"/>
      <c r="AY245" s="594"/>
      <c r="AZ245" s="594"/>
      <c r="BA245" s="594"/>
      <c r="BB245" s="594"/>
      <c r="BC245" s="594"/>
      <c r="BD245" s="594"/>
      <c r="BE245" s="594"/>
      <c r="BF245" s="594"/>
      <c r="BG245" s="594"/>
      <c r="BH245" s="594"/>
      <c r="BI245" s="594"/>
      <c r="BJ245" s="594"/>
      <c r="BK245" s="594"/>
      <c r="BL245" s="57"/>
      <c r="BM245" s="594"/>
      <c r="BN245" s="594"/>
      <c r="BO245" s="594"/>
      <c r="BP245" s="594"/>
      <c r="BQ245" s="594"/>
      <c r="BR245" s="594"/>
      <c r="BS245" s="594"/>
      <c r="BT245" s="594"/>
      <c r="BU245" s="594"/>
      <c r="BV245" s="594"/>
      <c r="BW245" s="594"/>
      <c r="BX245" s="594"/>
      <c r="BY245" s="594"/>
      <c r="BZ245" s="594"/>
      <c r="CA245" s="594"/>
      <c r="CB245" s="594"/>
      <c r="CC245" s="594"/>
      <c r="CD245" s="594"/>
      <c r="CE245" s="594"/>
      <c r="CF245" s="594"/>
      <c r="CG245" s="594"/>
      <c r="CH245" s="594"/>
      <c r="CI245" s="594"/>
      <c r="CJ245" s="594"/>
      <c r="CK245" s="594"/>
      <c r="CL245" s="594"/>
      <c r="CM245" s="594"/>
      <c r="CN245" s="594"/>
      <c r="CO245" s="594"/>
      <c r="CP245" s="594"/>
      <c r="CQ245" s="594"/>
    </row>
    <row r="246" spans="1:95" ht="19.5" hidden="1" customHeight="1" outlineLevel="2">
      <c r="A246" s="709" t="s">
        <v>366</v>
      </c>
      <c r="B246" s="710">
        <f>-SUMIFS('D2 - Capex uso'!BS$6:BS$176,'D2 - Capex uso'!$C$6:$C$176,$A232,'D2 - Capex uso'!$AK$6:$AK$176,$A246)</f>
        <v>-28056.644000000004</v>
      </c>
      <c r="C246" s="710">
        <f>-SUMIFS('D2 - Capex uso'!BT$6:BT$176,'D2 - Capex uso'!$C$6:$C$176,$A232,'D2 - Capex uso'!$AK$6:$AK$176,$A246)</f>
        <v>0</v>
      </c>
      <c r="D246" s="710">
        <f>-SUMIFS('D2 - Capex uso'!BU$6:BU$176,'D2 - Capex uso'!$C$6:$C$176,$A232,'D2 - Capex uso'!$AK$6:$AK$176,$A246)</f>
        <v>0</v>
      </c>
      <c r="E246" s="710">
        <f>-SUMIFS('D2 - Capex uso'!BV$6:BV$176,'D2 - Capex uso'!$C$6:$C$176,$A232,'D2 - Capex uso'!$AK$6:$AK$176,$A246)</f>
        <v>0</v>
      </c>
      <c r="F246" s="710">
        <f>-SUMIFS('D2 - Capex uso'!BW$6:BW$176,'D2 - Capex uso'!$C$6:$C$176,$A232,'D2 - Capex uso'!$AK$6:$AK$176,$A246)</f>
        <v>0</v>
      </c>
      <c r="G246" s="710">
        <f>-SUMIFS('D2 - Capex uso'!BX$6:BX$176,'D2 - Capex uso'!$C$6:$C$176,$A232,'D2 - Capex uso'!$AK$6:$AK$176,$A246)</f>
        <v>0</v>
      </c>
      <c r="H246" s="710">
        <f>-SUMIFS('D2 - Capex uso'!BY$6:BY$176,'D2 - Capex uso'!$C$6:$C$176,$A232,'D2 - Capex uso'!$AK$6:$AK$176,$A246)</f>
        <v>0</v>
      </c>
      <c r="I246" s="710">
        <f>-SUMIFS('D2 - Capex uso'!BZ$6:BZ$176,'D2 - Capex uso'!$C$6:$C$176,$A232,'D2 - Capex uso'!$AK$6:$AK$176,$A246)</f>
        <v>0</v>
      </c>
      <c r="J246" s="710">
        <f>-SUMIFS('D2 - Capex uso'!CA$6:CA$176,'D2 - Capex uso'!$C$6:$C$176,$A232,'D2 - Capex uso'!$AK$6:$AK$176,$A246)</f>
        <v>0</v>
      </c>
      <c r="K246" s="710">
        <f>-SUMIFS('D2 - Capex uso'!CB$6:CB$176,'D2 - Capex uso'!$C$6:$C$176,$A232,'D2 - Capex uso'!$AK$6:$AK$176,$A246)</f>
        <v>0</v>
      </c>
      <c r="L246" s="710">
        <f>-SUMIFS('D2 - Capex uso'!CC$6:CC$176,'D2 - Capex uso'!$C$6:$C$176,$A232,'D2 - Capex uso'!$AK$6:$AK$176,$A246)</f>
        <v>-28056.644000000004</v>
      </c>
      <c r="M246" s="710">
        <f>-SUMIFS('D2 - Capex uso'!CD$6:CD$176,'D2 - Capex uso'!$C$6:$C$176,$A232,'D2 - Capex uso'!$AK$6:$AK$176,$A246)</f>
        <v>0</v>
      </c>
      <c r="N246" s="710">
        <f>-SUMIFS('D2 - Capex uso'!CE$6:CE$176,'D2 - Capex uso'!$C$6:$C$176,$A232,'D2 - Capex uso'!$AK$6:$AK$176,$A246)</f>
        <v>0</v>
      </c>
      <c r="O246" s="710">
        <f>-SUMIFS('D2 - Capex uso'!CF$6:CF$176,'D2 - Capex uso'!$C$6:$C$176,$A232,'D2 - Capex uso'!$AK$6:$AK$176,$A246)</f>
        <v>0</v>
      </c>
      <c r="P246" s="710">
        <f>-SUMIFS('D2 - Capex uso'!CG$6:CG$176,'D2 - Capex uso'!$C$6:$C$176,$A232,'D2 - Capex uso'!$AK$6:$AK$176,$A246)</f>
        <v>0</v>
      </c>
      <c r="Q246" s="710">
        <f>-SUMIFS('D2 - Capex uso'!CH$6:CH$176,'D2 - Capex uso'!$C$6:$C$176,$A232,'D2 - Capex uso'!$AK$6:$AK$176,$A246)</f>
        <v>0</v>
      </c>
      <c r="R246" s="710">
        <f>-SUMIFS('D2 - Capex uso'!CI$6:CI$176,'D2 - Capex uso'!$C$6:$C$176,$A232,'D2 - Capex uso'!$AK$6:$AK$176,$A246)</f>
        <v>0</v>
      </c>
      <c r="S246" s="710">
        <f>-SUMIFS('D2 - Capex uso'!CJ$6:CJ$176,'D2 - Capex uso'!$C$6:$C$176,$A232,'D2 - Capex uso'!$AK$6:$AK$176,$A246)</f>
        <v>0</v>
      </c>
      <c r="T246" s="710">
        <f>-SUMIFS('D2 - Capex uso'!CK$6:CK$176,'D2 - Capex uso'!$C$6:$C$176,$A232,'D2 - Capex uso'!$AK$6:$AK$176,$A246)</f>
        <v>0</v>
      </c>
      <c r="U246" s="710">
        <f>-SUMIFS('D2 - Capex uso'!CL$6:CL$176,'D2 - Capex uso'!$C$6:$C$176,$A232,'D2 - Capex uso'!$AK$6:$AK$176,$A246)</f>
        <v>0</v>
      </c>
      <c r="V246" s="710">
        <f>-SUMIFS('D2 - Capex uso'!CM$6:CM$176,'D2 - Capex uso'!$C$6:$C$176,$A232,'D2 - Capex uso'!$AK$6:$AK$176,$A246)</f>
        <v>-28056.644000000004</v>
      </c>
      <c r="W246" s="710">
        <f>-SUMIFS('D2 - Capex uso'!CN$6:CN$176,'D2 - Capex uso'!$C$6:$C$176,$A232,'D2 - Capex uso'!$AK$6:$AK$176,$A246)</f>
        <v>0</v>
      </c>
      <c r="X246" s="710">
        <f>-SUMIFS('D2 - Capex uso'!CO$6:CO$176,'D2 - Capex uso'!$C$6:$C$176,$A232,'D2 - Capex uso'!$AK$6:$AK$176,$A246)</f>
        <v>0</v>
      </c>
      <c r="Y246" s="710">
        <f>-SUMIFS('D2 - Capex uso'!CP$6:CP$176,'D2 - Capex uso'!$C$6:$C$176,$A232,'D2 - Capex uso'!$AK$6:$AK$176,$A246)</f>
        <v>0</v>
      </c>
      <c r="Z246" s="710">
        <f>-SUMIFS('D2 - Capex uso'!CQ$6:CQ$176,'D2 - Capex uso'!$C$6:$C$176,$A232,'D2 - Capex uso'!$AK$6:$AK$176,$A246)</f>
        <v>0</v>
      </c>
      <c r="AA246" s="710">
        <f>-SUMIFS('D2 - Capex uso'!CR$6:CR$176,'D2 - Capex uso'!$C$6:$C$176,$A232,'D2 - Capex uso'!$AK$6:$AK$176,$A246)</f>
        <v>0</v>
      </c>
      <c r="AB246" s="710">
        <f>-SUMIFS('D2 - Capex uso'!CS$6:CS$176,'D2 - Capex uso'!$C$6:$C$176,$A232,'D2 - Capex uso'!$AK$6:$AK$176,$A246)</f>
        <v>0</v>
      </c>
      <c r="AC246" s="710">
        <f>-SUMIFS('D2 - Capex uso'!CT$6:CT$176,'D2 - Capex uso'!$C$6:$C$176,$A232,'D2 - Capex uso'!$AK$6:$AK$176,$A246)</f>
        <v>0</v>
      </c>
      <c r="AD246" s="710">
        <f>-SUMIFS('D2 - Capex uso'!CU$6:CU$176,'D2 - Capex uso'!$C$6:$C$176,$A232,'D2 - Capex uso'!$AK$6:$AK$176,$A246)</f>
        <v>0</v>
      </c>
      <c r="AE246" s="710">
        <f>-SUMIFS('D2 - Capex uso'!CV$6:CV$176,'D2 - Capex uso'!$C$6:$C$176,$A232,'D2 - Capex uso'!$AK$6:$AK$176,$A246)</f>
        <v>0</v>
      </c>
      <c r="AF246" s="594"/>
      <c r="AG246" s="594"/>
      <c r="AH246" s="594"/>
      <c r="AI246" s="594"/>
      <c r="AJ246" s="594"/>
      <c r="AK246" s="594"/>
      <c r="AL246" s="594"/>
      <c r="AM246" s="594"/>
      <c r="AN246" s="594"/>
      <c r="AO246" s="594"/>
      <c r="AP246" s="594"/>
      <c r="AQ246" s="594"/>
      <c r="AR246" s="594"/>
      <c r="AS246" s="594"/>
      <c r="AT246" s="594"/>
      <c r="AU246" s="594"/>
      <c r="AV246" s="594"/>
      <c r="AW246" s="594"/>
      <c r="AX246" s="594"/>
      <c r="AY246" s="594"/>
      <c r="AZ246" s="594"/>
      <c r="BA246" s="594"/>
      <c r="BB246" s="594"/>
      <c r="BC246" s="594"/>
      <c r="BD246" s="594"/>
      <c r="BE246" s="594"/>
      <c r="BF246" s="594"/>
      <c r="BG246" s="594"/>
      <c r="BH246" s="594"/>
      <c r="BI246" s="594"/>
      <c r="BJ246" s="594"/>
      <c r="BK246" s="594"/>
      <c r="BL246" s="57"/>
      <c r="BM246" s="594"/>
      <c r="BN246" s="594"/>
      <c r="BO246" s="594"/>
      <c r="BP246" s="594"/>
      <c r="BQ246" s="594"/>
      <c r="BR246" s="594"/>
      <c r="BS246" s="594"/>
      <c r="BT246" s="594"/>
      <c r="BU246" s="594"/>
      <c r="BV246" s="594"/>
      <c r="BW246" s="594"/>
      <c r="BX246" s="594"/>
      <c r="BY246" s="594"/>
      <c r="BZ246" s="594"/>
      <c r="CA246" s="594"/>
      <c r="CB246" s="594"/>
      <c r="CC246" s="594"/>
      <c r="CD246" s="594"/>
      <c r="CE246" s="594"/>
      <c r="CF246" s="594"/>
      <c r="CG246" s="594"/>
      <c r="CH246" s="594"/>
      <c r="CI246" s="594"/>
      <c r="CJ246" s="594"/>
      <c r="CK246" s="594"/>
      <c r="CL246" s="594"/>
      <c r="CM246" s="594"/>
      <c r="CN246" s="594"/>
      <c r="CO246" s="594"/>
      <c r="CP246" s="594"/>
      <c r="CQ246" s="594"/>
    </row>
    <row r="247" spans="1:95" ht="19.5" hidden="1" customHeight="1" outlineLevel="2">
      <c r="A247" s="709" t="s">
        <v>371</v>
      </c>
      <c r="B247" s="710">
        <f>-SUMIFS('D2 - Capex uso'!BS$6:BS$176,'D2 - Capex uso'!$C$6:$C$176,$A232,'D2 - Capex uso'!$AK$6:$AK$176,$A247)</f>
        <v>0</v>
      </c>
      <c r="C247" s="710">
        <f>-SUMIFS('D2 - Capex uso'!BT$6:BT$176,'D2 - Capex uso'!$C$6:$C$176,$A232,'D2 - Capex uso'!$AK$6:$AK$176,$A247)</f>
        <v>0</v>
      </c>
      <c r="D247" s="710">
        <f>-SUMIFS('D2 - Capex uso'!BU$6:BU$176,'D2 - Capex uso'!$C$6:$C$176,$A232,'D2 - Capex uso'!$AK$6:$AK$176,$A247)</f>
        <v>0</v>
      </c>
      <c r="E247" s="710">
        <f>-SUMIFS('D2 - Capex uso'!BV$6:BV$176,'D2 - Capex uso'!$C$6:$C$176,$A232,'D2 - Capex uso'!$AK$6:$AK$176,$A247)</f>
        <v>0</v>
      </c>
      <c r="F247" s="710">
        <f>-SUMIFS('D2 - Capex uso'!BW$6:BW$176,'D2 - Capex uso'!$C$6:$C$176,$A232,'D2 - Capex uso'!$AK$6:$AK$176,$A247)</f>
        <v>0</v>
      </c>
      <c r="G247" s="710">
        <f>-SUMIFS('D2 - Capex uso'!BX$6:BX$176,'D2 - Capex uso'!$C$6:$C$176,$A232,'D2 - Capex uso'!$AK$6:$AK$176,$A247)</f>
        <v>0</v>
      </c>
      <c r="H247" s="710">
        <f>-SUMIFS('D2 - Capex uso'!BY$6:BY$176,'D2 - Capex uso'!$C$6:$C$176,$A232,'D2 - Capex uso'!$AK$6:$AK$176,$A247)</f>
        <v>0</v>
      </c>
      <c r="I247" s="710">
        <f>-SUMIFS('D2 - Capex uso'!BZ$6:BZ$176,'D2 - Capex uso'!$C$6:$C$176,$A232,'D2 - Capex uso'!$AK$6:$AK$176,$A247)</f>
        <v>0</v>
      </c>
      <c r="J247" s="710">
        <f>-SUMIFS('D2 - Capex uso'!CA$6:CA$176,'D2 - Capex uso'!$C$6:$C$176,$A232,'D2 - Capex uso'!$AK$6:$AK$176,$A247)</f>
        <v>0</v>
      </c>
      <c r="K247" s="710">
        <f>-SUMIFS('D2 - Capex uso'!CB$6:CB$176,'D2 - Capex uso'!$C$6:$C$176,$A232,'D2 - Capex uso'!$AK$6:$AK$176,$A247)</f>
        <v>0</v>
      </c>
      <c r="L247" s="710">
        <f>-SUMIFS('D2 - Capex uso'!CC$6:CC$176,'D2 - Capex uso'!$C$6:$C$176,$A232,'D2 - Capex uso'!$AK$6:$AK$176,$A247)</f>
        <v>0</v>
      </c>
      <c r="M247" s="710">
        <f>-SUMIFS('D2 - Capex uso'!CD$6:CD$176,'D2 - Capex uso'!$C$6:$C$176,$A232,'D2 - Capex uso'!$AK$6:$AK$176,$A247)</f>
        <v>0</v>
      </c>
      <c r="N247" s="710">
        <f>-SUMIFS('D2 - Capex uso'!CE$6:CE$176,'D2 - Capex uso'!$C$6:$C$176,$A232,'D2 - Capex uso'!$AK$6:$AK$176,$A247)</f>
        <v>0</v>
      </c>
      <c r="O247" s="710">
        <f>-SUMIFS('D2 - Capex uso'!CF$6:CF$176,'D2 - Capex uso'!$C$6:$C$176,$A232,'D2 - Capex uso'!$AK$6:$AK$176,$A247)</f>
        <v>0</v>
      </c>
      <c r="P247" s="710">
        <f>-SUMIFS('D2 - Capex uso'!CG$6:CG$176,'D2 - Capex uso'!$C$6:$C$176,$A232,'D2 - Capex uso'!$AK$6:$AK$176,$A247)</f>
        <v>0</v>
      </c>
      <c r="Q247" s="710">
        <f>-SUMIFS('D2 - Capex uso'!CH$6:CH$176,'D2 - Capex uso'!$C$6:$C$176,$A232,'D2 - Capex uso'!$AK$6:$AK$176,$A247)</f>
        <v>0</v>
      </c>
      <c r="R247" s="710">
        <f>-SUMIFS('D2 - Capex uso'!CI$6:CI$176,'D2 - Capex uso'!$C$6:$C$176,$A232,'D2 - Capex uso'!$AK$6:$AK$176,$A247)</f>
        <v>0</v>
      </c>
      <c r="S247" s="710">
        <f>-SUMIFS('D2 - Capex uso'!CJ$6:CJ$176,'D2 - Capex uso'!$C$6:$C$176,$A232,'D2 - Capex uso'!$AK$6:$AK$176,$A247)</f>
        <v>0</v>
      </c>
      <c r="T247" s="710">
        <f>-SUMIFS('D2 - Capex uso'!CK$6:CK$176,'D2 - Capex uso'!$C$6:$C$176,$A232,'D2 - Capex uso'!$AK$6:$AK$176,$A247)</f>
        <v>0</v>
      </c>
      <c r="U247" s="710">
        <f>-SUMIFS('D2 - Capex uso'!CL$6:CL$176,'D2 - Capex uso'!$C$6:$C$176,$A232,'D2 - Capex uso'!$AK$6:$AK$176,$A247)</f>
        <v>0</v>
      </c>
      <c r="V247" s="710">
        <f>-SUMIFS('D2 - Capex uso'!CM$6:CM$176,'D2 - Capex uso'!$C$6:$C$176,$A232,'D2 - Capex uso'!$AK$6:$AK$176,$A247)</f>
        <v>0</v>
      </c>
      <c r="W247" s="710">
        <f>-SUMIFS('D2 - Capex uso'!CN$6:CN$176,'D2 - Capex uso'!$C$6:$C$176,$A232,'D2 - Capex uso'!$AK$6:$AK$176,$A247)</f>
        <v>0</v>
      </c>
      <c r="X247" s="710">
        <f>-SUMIFS('D2 - Capex uso'!CO$6:CO$176,'D2 - Capex uso'!$C$6:$C$176,$A232,'D2 - Capex uso'!$AK$6:$AK$176,$A247)</f>
        <v>0</v>
      </c>
      <c r="Y247" s="710">
        <f>-SUMIFS('D2 - Capex uso'!CP$6:CP$176,'D2 - Capex uso'!$C$6:$C$176,$A232,'D2 - Capex uso'!$AK$6:$AK$176,$A247)</f>
        <v>0</v>
      </c>
      <c r="Z247" s="710">
        <f>-SUMIFS('D2 - Capex uso'!CQ$6:CQ$176,'D2 - Capex uso'!$C$6:$C$176,$A232,'D2 - Capex uso'!$AK$6:$AK$176,$A247)</f>
        <v>0</v>
      </c>
      <c r="AA247" s="710">
        <f>-SUMIFS('D2 - Capex uso'!CR$6:CR$176,'D2 - Capex uso'!$C$6:$C$176,$A232,'D2 - Capex uso'!$AK$6:$AK$176,$A247)</f>
        <v>0</v>
      </c>
      <c r="AB247" s="710">
        <f>-SUMIFS('D2 - Capex uso'!CS$6:CS$176,'D2 - Capex uso'!$C$6:$C$176,$A232,'D2 - Capex uso'!$AK$6:$AK$176,$A247)</f>
        <v>0</v>
      </c>
      <c r="AC247" s="710">
        <f>-SUMIFS('D2 - Capex uso'!CT$6:CT$176,'D2 - Capex uso'!$C$6:$C$176,$A232,'D2 - Capex uso'!$AK$6:$AK$176,$A247)</f>
        <v>0</v>
      </c>
      <c r="AD247" s="710">
        <f>-SUMIFS('D2 - Capex uso'!CU$6:CU$176,'D2 - Capex uso'!$C$6:$C$176,$A232,'D2 - Capex uso'!$AK$6:$AK$176,$A247)</f>
        <v>0</v>
      </c>
      <c r="AE247" s="710">
        <f>-SUMIFS('D2 - Capex uso'!CV$6:CV$176,'D2 - Capex uso'!$C$6:$C$176,$A232,'D2 - Capex uso'!$AK$6:$AK$176,$A247)</f>
        <v>0</v>
      </c>
      <c r="AF247" s="594"/>
      <c r="AG247" s="594"/>
      <c r="AH247" s="594"/>
      <c r="AI247" s="594"/>
      <c r="AJ247" s="594"/>
      <c r="AK247" s="594"/>
      <c r="AL247" s="594"/>
      <c r="AM247" s="594"/>
      <c r="AN247" s="594"/>
      <c r="AO247" s="594"/>
      <c r="AP247" s="594"/>
      <c r="AQ247" s="594"/>
      <c r="AR247" s="594"/>
      <c r="AS247" s="594"/>
      <c r="AT247" s="594"/>
      <c r="AU247" s="594"/>
      <c r="AV247" s="594"/>
      <c r="AW247" s="594"/>
      <c r="AX247" s="594"/>
      <c r="AY247" s="594"/>
      <c r="AZ247" s="594"/>
      <c r="BA247" s="594"/>
      <c r="BB247" s="594"/>
      <c r="BC247" s="594"/>
      <c r="BD247" s="594"/>
      <c r="BE247" s="594"/>
      <c r="BF247" s="594"/>
      <c r="BG247" s="594"/>
      <c r="BH247" s="594"/>
      <c r="BI247" s="594"/>
      <c r="BJ247" s="594"/>
      <c r="BK247" s="594"/>
      <c r="BL247" s="57"/>
      <c r="BM247" s="594"/>
      <c r="BN247" s="594"/>
      <c r="BO247" s="594"/>
      <c r="BP247" s="594"/>
      <c r="BQ247" s="594"/>
      <c r="BR247" s="594"/>
      <c r="BS247" s="594"/>
      <c r="BT247" s="594"/>
      <c r="BU247" s="594"/>
      <c r="BV247" s="594"/>
      <c r="BW247" s="594"/>
      <c r="BX247" s="594"/>
      <c r="BY247" s="594"/>
      <c r="BZ247" s="594"/>
      <c r="CA247" s="594"/>
      <c r="CB247" s="594"/>
      <c r="CC247" s="594"/>
      <c r="CD247" s="594"/>
      <c r="CE247" s="594"/>
      <c r="CF247" s="594"/>
      <c r="CG247" s="594"/>
      <c r="CH247" s="594"/>
      <c r="CI247" s="594"/>
      <c r="CJ247" s="594"/>
      <c r="CK247" s="594"/>
      <c r="CL247" s="594"/>
      <c r="CM247" s="594"/>
      <c r="CN247" s="594"/>
      <c r="CO247" s="594"/>
      <c r="CP247" s="594"/>
      <c r="CQ247" s="594"/>
    </row>
    <row r="248" spans="1:95" ht="19.5" hidden="1" customHeight="1" outlineLevel="2">
      <c r="A248" s="709" t="s">
        <v>361</v>
      </c>
      <c r="B248" s="710">
        <f>-SUMIFS('D2 - Capex uso'!BS$6:BS$176,'D2 - Capex uso'!$C$6:$C$176,$A232,'D2 - Capex uso'!$AK$6:$AK$176,$A248)</f>
        <v>0</v>
      </c>
      <c r="C248" s="710">
        <f>-SUMIFS('D2 - Capex uso'!BT$6:BT$176,'D2 - Capex uso'!$C$6:$C$176,$A232,'D2 - Capex uso'!$AK$6:$AK$176,$A248)</f>
        <v>0</v>
      </c>
      <c r="D248" s="710">
        <f>-SUMIFS('D2 - Capex uso'!BU$6:BU$176,'D2 - Capex uso'!$C$6:$C$176,$A232,'D2 - Capex uso'!$AK$6:$AK$176,$A248)</f>
        <v>0</v>
      </c>
      <c r="E248" s="710">
        <f>-SUMIFS('D2 - Capex uso'!BV$6:BV$176,'D2 - Capex uso'!$C$6:$C$176,$A232,'D2 - Capex uso'!$AK$6:$AK$176,$A248)</f>
        <v>0</v>
      </c>
      <c r="F248" s="710">
        <f>-SUMIFS('D2 - Capex uso'!BW$6:BW$176,'D2 - Capex uso'!$C$6:$C$176,$A232,'D2 - Capex uso'!$AK$6:$AK$176,$A248)</f>
        <v>0</v>
      </c>
      <c r="G248" s="710">
        <f>-SUMIFS('D2 - Capex uso'!BX$6:BX$176,'D2 - Capex uso'!$C$6:$C$176,$A232,'D2 - Capex uso'!$AK$6:$AK$176,$A248)</f>
        <v>0</v>
      </c>
      <c r="H248" s="710">
        <f>-SUMIFS('D2 - Capex uso'!BY$6:BY$176,'D2 - Capex uso'!$C$6:$C$176,$A232,'D2 - Capex uso'!$AK$6:$AK$176,$A248)</f>
        <v>0</v>
      </c>
      <c r="I248" s="710">
        <f>-SUMIFS('D2 - Capex uso'!BZ$6:BZ$176,'D2 - Capex uso'!$C$6:$C$176,$A232,'D2 - Capex uso'!$AK$6:$AK$176,$A248)</f>
        <v>0</v>
      </c>
      <c r="J248" s="710">
        <f>-SUMIFS('D2 - Capex uso'!CA$6:CA$176,'D2 - Capex uso'!$C$6:$C$176,$A232,'D2 - Capex uso'!$AK$6:$AK$176,$A248)</f>
        <v>0</v>
      </c>
      <c r="K248" s="710">
        <f>-SUMIFS('D2 - Capex uso'!CB$6:CB$176,'D2 - Capex uso'!$C$6:$C$176,$A232,'D2 - Capex uso'!$AK$6:$AK$176,$A248)</f>
        <v>0</v>
      </c>
      <c r="L248" s="710">
        <f>-SUMIFS('D2 - Capex uso'!CC$6:CC$176,'D2 - Capex uso'!$C$6:$C$176,$A232,'D2 - Capex uso'!$AK$6:$AK$176,$A248)</f>
        <v>0</v>
      </c>
      <c r="M248" s="710">
        <f>-SUMIFS('D2 - Capex uso'!CD$6:CD$176,'D2 - Capex uso'!$C$6:$C$176,$A232,'D2 - Capex uso'!$AK$6:$AK$176,$A248)</f>
        <v>0</v>
      </c>
      <c r="N248" s="710">
        <f>-SUMIFS('D2 - Capex uso'!CE$6:CE$176,'D2 - Capex uso'!$C$6:$C$176,$A232,'D2 - Capex uso'!$AK$6:$AK$176,$A248)</f>
        <v>0</v>
      </c>
      <c r="O248" s="710">
        <f>-SUMIFS('D2 - Capex uso'!CF$6:CF$176,'D2 - Capex uso'!$C$6:$C$176,$A232,'D2 - Capex uso'!$AK$6:$AK$176,$A248)</f>
        <v>0</v>
      </c>
      <c r="P248" s="710">
        <f>-SUMIFS('D2 - Capex uso'!CG$6:CG$176,'D2 - Capex uso'!$C$6:$C$176,$A232,'D2 - Capex uso'!$AK$6:$AK$176,$A248)</f>
        <v>0</v>
      </c>
      <c r="Q248" s="710">
        <f>-SUMIFS('D2 - Capex uso'!CH$6:CH$176,'D2 - Capex uso'!$C$6:$C$176,$A232,'D2 - Capex uso'!$AK$6:$AK$176,$A248)</f>
        <v>0</v>
      </c>
      <c r="R248" s="710">
        <f>-SUMIFS('D2 - Capex uso'!CI$6:CI$176,'D2 - Capex uso'!$C$6:$C$176,$A232,'D2 - Capex uso'!$AK$6:$AK$176,$A248)</f>
        <v>0</v>
      </c>
      <c r="S248" s="710">
        <f>-SUMIFS('D2 - Capex uso'!CJ$6:CJ$176,'D2 - Capex uso'!$C$6:$C$176,$A232,'D2 - Capex uso'!$AK$6:$AK$176,$A248)</f>
        <v>0</v>
      </c>
      <c r="T248" s="710">
        <f>-SUMIFS('D2 - Capex uso'!CK$6:CK$176,'D2 - Capex uso'!$C$6:$C$176,$A232,'D2 - Capex uso'!$AK$6:$AK$176,$A248)</f>
        <v>0</v>
      </c>
      <c r="U248" s="710">
        <f>-SUMIFS('D2 - Capex uso'!CL$6:CL$176,'D2 - Capex uso'!$C$6:$C$176,$A232,'D2 - Capex uso'!$AK$6:$AK$176,$A248)</f>
        <v>0</v>
      </c>
      <c r="V248" s="710">
        <f>-SUMIFS('D2 - Capex uso'!CM$6:CM$176,'D2 - Capex uso'!$C$6:$C$176,$A232,'D2 - Capex uso'!$AK$6:$AK$176,$A248)</f>
        <v>0</v>
      </c>
      <c r="W248" s="710">
        <f>-SUMIFS('D2 - Capex uso'!CN$6:CN$176,'D2 - Capex uso'!$C$6:$C$176,$A232,'D2 - Capex uso'!$AK$6:$AK$176,$A248)</f>
        <v>0</v>
      </c>
      <c r="X248" s="710">
        <f>-SUMIFS('D2 - Capex uso'!CO$6:CO$176,'D2 - Capex uso'!$C$6:$C$176,$A232,'D2 - Capex uso'!$AK$6:$AK$176,$A248)</f>
        <v>0</v>
      </c>
      <c r="Y248" s="710">
        <f>-SUMIFS('D2 - Capex uso'!CP$6:CP$176,'D2 - Capex uso'!$C$6:$C$176,$A232,'D2 - Capex uso'!$AK$6:$AK$176,$A248)</f>
        <v>0</v>
      </c>
      <c r="Z248" s="710">
        <f>-SUMIFS('D2 - Capex uso'!CQ$6:CQ$176,'D2 - Capex uso'!$C$6:$C$176,$A232,'D2 - Capex uso'!$AK$6:$AK$176,$A248)</f>
        <v>0</v>
      </c>
      <c r="AA248" s="710">
        <f>-SUMIFS('D2 - Capex uso'!CR$6:CR$176,'D2 - Capex uso'!$C$6:$C$176,$A232,'D2 - Capex uso'!$AK$6:$AK$176,$A248)</f>
        <v>0</v>
      </c>
      <c r="AB248" s="710">
        <f>-SUMIFS('D2 - Capex uso'!CS$6:CS$176,'D2 - Capex uso'!$C$6:$C$176,$A232,'D2 - Capex uso'!$AK$6:$AK$176,$A248)</f>
        <v>0</v>
      </c>
      <c r="AC248" s="710">
        <f>-SUMIFS('D2 - Capex uso'!CT$6:CT$176,'D2 - Capex uso'!$C$6:$C$176,$A232,'D2 - Capex uso'!$AK$6:$AK$176,$A248)</f>
        <v>0</v>
      </c>
      <c r="AD248" s="710">
        <f>-SUMIFS('D2 - Capex uso'!CU$6:CU$176,'D2 - Capex uso'!$C$6:$C$176,$A232,'D2 - Capex uso'!$AK$6:$AK$176,$A248)</f>
        <v>0</v>
      </c>
      <c r="AE248" s="710">
        <f>-SUMIFS('D2 - Capex uso'!CV$6:CV$176,'D2 - Capex uso'!$C$6:$C$176,$A232,'D2 - Capex uso'!$AK$6:$AK$176,$A248)</f>
        <v>0</v>
      </c>
      <c r="AF248" s="594"/>
      <c r="AG248" s="594"/>
      <c r="AH248" s="594"/>
      <c r="AI248" s="594"/>
      <c r="AJ248" s="594"/>
      <c r="AK248" s="594"/>
      <c r="AL248" s="594"/>
      <c r="AM248" s="594"/>
      <c r="AN248" s="594"/>
      <c r="AO248" s="594"/>
      <c r="AP248" s="594"/>
      <c r="AQ248" s="594"/>
      <c r="AR248" s="594"/>
      <c r="AS248" s="594"/>
      <c r="AT248" s="594"/>
      <c r="AU248" s="594"/>
      <c r="AV248" s="594"/>
      <c r="AW248" s="594"/>
      <c r="AX248" s="594"/>
      <c r="AY248" s="594"/>
      <c r="AZ248" s="594"/>
      <c r="BA248" s="594"/>
      <c r="BB248" s="594"/>
      <c r="BC248" s="594"/>
      <c r="BD248" s="594"/>
      <c r="BE248" s="594"/>
      <c r="BF248" s="594"/>
      <c r="BG248" s="594"/>
      <c r="BH248" s="594"/>
      <c r="BI248" s="594"/>
      <c r="BJ248" s="594"/>
      <c r="BK248" s="594"/>
      <c r="BL248" s="57"/>
      <c r="BM248" s="594"/>
      <c r="BN248" s="594"/>
      <c r="BO248" s="594"/>
      <c r="BP248" s="594"/>
      <c r="BQ248" s="594"/>
      <c r="BR248" s="594"/>
      <c r="BS248" s="594"/>
      <c r="BT248" s="594"/>
      <c r="BU248" s="594"/>
      <c r="BV248" s="594"/>
      <c r="BW248" s="594"/>
      <c r="BX248" s="594"/>
      <c r="BY248" s="594"/>
      <c r="BZ248" s="594"/>
      <c r="CA248" s="594"/>
      <c r="CB248" s="594"/>
      <c r="CC248" s="594"/>
      <c r="CD248" s="594"/>
      <c r="CE248" s="594"/>
      <c r="CF248" s="594"/>
      <c r="CG248" s="594"/>
      <c r="CH248" s="594"/>
      <c r="CI248" s="594"/>
      <c r="CJ248" s="594"/>
      <c r="CK248" s="594"/>
      <c r="CL248" s="594"/>
      <c r="CM248" s="594"/>
      <c r="CN248" s="594"/>
      <c r="CO248" s="594"/>
      <c r="CP248" s="594"/>
      <c r="CQ248" s="594"/>
    </row>
    <row r="249" spans="1:95" ht="19.5" hidden="1" customHeight="1" outlineLevel="2">
      <c r="A249" s="709" t="s">
        <v>359</v>
      </c>
      <c r="B249" s="710">
        <f>-SUMIFS('D2 - Capex uso'!BS$6:BS$176,'D2 - Capex uso'!$C$6:$C$176,$A232,'D2 - Capex uso'!$AK$6:$AK$176,$A249)</f>
        <v>-5280.0000000000009</v>
      </c>
      <c r="C249" s="710">
        <f>-SUMIFS('D2 - Capex uso'!BT$6:BT$176,'D2 - Capex uso'!$C$6:$C$176,$A232,'D2 - Capex uso'!$AK$6:$AK$176,$A249)</f>
        <v>0</v>
      </c>
      <c r="D249" s="710">
        <f>-SUMIFS('D2 - Capex uso'!BU$6:BU$176,'D2 - Capex uso'!$C$6:$C$176,$A232,'D2 - Capex uso'!$AK$6:$AK$176,$A249)</f>
        <v>0</v>
      </c>
      <c r="E249" s="710">
        <f>-SUMIFS('D2 - Capex uso'!BV$6:BV$176,'D2 - Capex uso'!$C$6:$C$176,$A232,'D2 - Capex uso'!$AK$6:$AK$176,$A249)</f>
        <v>0</v>
      </c>
      <c r="F249" s="710">
        <f>-SUMIFS('D2 - Capex uso'!BW$6:BW$176,'D2 - Capex uso'!$C$6:$C$176,$A232,'D2 - Capex uso'!$AK$6:$AK$176,$A249)</f>
        <v>0</v>
      </c>
      <c r="G249" s="710">
        <f>-SUMIFS('D2 - Capex uso'!BX$6:BX$176,'D2 - Capex uso'!$C$6:$C$176,$A232,'D2 - Capex uso'!$AK$6:$AK$176,$A249)</f>
        <v>0</v>
      </c>
      <c r="H249" s="710">
        <f>-SUMIFS('D2 - Capex uso'!BY$6:BY$176,'D2 - Capex uso'!$C$6:$C$176,$A232,'D2 - Capex uso'!$AK$6:$AK$176,$A249)</f>
        <v>0</v>
      </c>
      <c r="I249" s="710">
        <f>-SUMIFS('D2 - Capex uso'!BZ$6:BZ$176,'D2 - Capex uso'!$C$6:$C$176,$A232,'D2 - Capex uso'!$AK$6:$AK$176,$A249)</f>
        <v>0</v>
      </c>
      <c r="J249" s="710">
        <f>-SUMIFS('D2 - Capex uso'!CA$6:CA$176,'D2 - Capex uso'!$C$6:$C$176,$A232,'D2 - Capex uso'!$AK$6:$AK$176,$A249)</f>
        <v>0</v>
      </c>
      <c r="K249" s="710">
        <f>-SUMIFS('D2 - Capex uso'!CB$6:CB$176,'D2 - Capex uso'!$C$6:$C$176,$A232,'D2 - Capex uso'!$AK$6:$AK$176,$A249)</f>
        <v>0</v>
      </c>
      <c r="L249" s="710">
        <f>-SUMIFS('D2 - Capex uso'!CC$6:CC$176,'D2 - Capex uso'!$C$6:$C$176,$A232,'D2 - Capex uso'!$AK$6:$AK$176,$A249)</f>
        <v>-5280.0000000000009</v>
      </c>
      <c r="M249" s="710">
        <f>-SUMIFS('D2 - Capex uso'!CD$6:CD$176,'D2 - Capex uso'!$C$6:$C$176,$A232,'D2 - Capex uso'!$AK$6:$AK$176,$A249)</f>
        <v>0</v>
      </c>
      <c r="N249" s="710">
        <f>-SUMIFS('D2 - Capex uso'!CE$6:CE$176,'D2 - Capex uso'!$C$6:$C$176,$A232,'D2 - Capex uso'!$AK$6:$AK$176,$A249)</f>
        <v>0</v>
      </c>
      <c r="O249" s="710">
        <f>-SUMIFS('D2 - Capex uso'!CF$6:CF$176,'D2 - Capex uso'!$C$6:$C$176,$A232,'D2 - Capex uso'!$AK$6:$AK$176,$A249)</f>
        <v>0</v>
      </c>
      <c r="P249" s="710">
        <f>-SUMIFS('D2 - Capex uso'!CG$6:CG$176,'D2 - Capex uso'!$C$6:$C$176,$A232,'D2 - Capex uso'!$AK$6:$AK$176,$A249)</f>
        <v>0</v>
      </c>
      <c r="Q249" s="710">
        <f>-SUMIFS('D2 - Capex uso'!CH$6:CH$176,'D2 - Capex uso'!$C$6:$C$176,$A232,'D2 - Capex uso'!$AK$6:$AK$176,$A249)</f>
        <v>0</v>
      </c>
      <c r="R249" s="710">
        <f>-SUMIFS('D2 - Capex uso'!CI$6:CI$176,'D2 - Capex uso'!$C$6:$C$176,$A232,'D2 - Capex uso'!$AK$6:$AK$176,$A249)</f>
        <v>0</v>
      </c>
      <c r="S249" s="710">
        <f>-SUMIFS('D2 - Capex uso'!CJ$6:CJ$176,'D2 - Capex uso'!$C$6:$C$176,$A232,'D2 - Capex uso'!$AK$6:$AK$176,$A249)</f>
        <v>0</v>
      </c>
      <c r="T249" s="710">
        <f>-SUMIFS('D2 - Capex uso'!CK$6:CK$176,'D2 - Capex uso'!$C$6:$C$176,$A232,'D2 - Capex uso'!$AK$6:$AK$176,$A249)</f>
        <v>0</v>
      </c>
      <c r="U249" s="710">
        <f>-SUMIFS('D2 - Capex uso'!CL$6:CL$176,'D2 - Capex uso'!$C$6:$C$176,$A232,'D2 - Capex uso'!$AK$6:$AK$176,$A249)</f>
        <v>0</v>
      </c>
      <c r="V249" s="710">
        <f>-SUMIFS('D2 - Capex uso'!CM$6:CM$176,'D2 - Capex uso'!$C$6:$C$176,$A232,'D2 - Capex uso'!$AK$6:$AK$176,$A249)</f>
        <v>-5280.0000000000009</v>
      </c>
      <c r="W249" s="710">
        <f>-SUMIFS('D2 - Capex uso'!CN$6:CN$176,'D2 - Capex uso'!$C$6:$C$176,$A232,'D2 - Capex uso'!$AK$6:$AK$176,$A249)</f>
        <v>0</v>
      </c>
      <c r="X249" s="710">
        <f>-SUMIFS('D2 - Capex uso'!CO$6:CO$176,'D2 - Capex uso'!$C$6:$C$176,$A232,'D2 - Capex uso'!$AK$6:$AK$176,$A249)</f>
        <v>0</v>
      </c>
      <c r="Y249" s="710">
        <f>-SUMIFS('D2 - Capex uso'!CP$6:CP$176,'D2 - Capex uso'!$C$6:$C$176,$A232,'D2 - Capex uso'!$AK$6:$AK$176,$A249)</f>
        <v>0</v>
      </c>
      <c r="Z249" s="710">
        <f>-SUMIFS('D2 - Capex uso'!CQ$6:CQ$176,'D2 - Capex uso'!$C$6:$C$176,$A232,'D2 - Capex uso'!$AK$6:$AK$176,$A249)</f>
        <v>0</v>
      </c>
      <c r="AA249" s="710">
        <f>-SUMIFS('D2 - Capex uso'!CR$6:CR$176,'D2 - Capex uso'!$C$6:$C$176,$A232,'D2 - Capex uso'!$AK$6:$AK$176,$A249)</f>
        <v>0</v>
      </c>
      <c r="AB249" s="710">
        <f>-SUMIFS('D2 - Capex uso'!CS$6:CS$176,'D2 - Capex uso'!$C$6:$C$176,$A232,'D2 - Capex uso'!$AK$6:$AK$176,$A249)</f>
        <v>0</v>
      </c>
      <c r="AC249" s="710">
        <f>-SUMIFS('D2 - Capex uso'!CT$6:CT$176,'D2 - Capex uso'!$C$6:$C$176,$A232,'D2 - Capex uso'!$AK$6:$AK$176,$A249)</f>
        <v>0</v>
      </c>
      <c r="AD249" s="710">
        <f>-SUMIFS('D2 - Capex uso'!CU$6:CU$176,'D2 - Capex uso'!$C$6:$C$176,$A232,'D2 - Capex uso'!$AK$6:$AK$176,$A249)</f>
        <v>0</v>
      </c>
      <c r="AE249" s="710">
        <f>-SUMIFS('D2 - Capex uso'!CV$6:CV$176,'D2 - Capex uso'!$C$6:$C$176,$A232,'D2 - Capex uso'!$AK$6:$AK$176,$A249)</f>
        <v>0</v>
      </c>
      <c r="AF249" s="594"/>
      <c r="AG249" s="594"/>
      <c r="AH249" s="594"/>
      <c r="AI249" s="594"/>
      <c r="AJ249" s="594"/>
      <c r="AK249" s="594"/>
      <c r="AL249" s="594"/>
      <c r="AM249" s="594"/>
      <c r="AN249" s="594"/>
      <c r="AO249" s="594"/>
      <c r="AP249" s="594"/>
      <c r="AQ249" s="594"/>
      <c r="AR249" s="594"/>
      <c r="AS249" s="594"/>
      <c r="AT249" s="594"/>
      <c r="AU249" s="594"/>
      <c r="AV249" s="594"/>
      <c r="AW249" s="594"/>
      <c r="AX249" s="594"/>
      <c r="AY249" s="594"/>
      <c r="AZ249" s="594"/>
      <c r="BA249" s="594"/>
      <c r="BB249" s="594"/>
      <c r="BC249" s="594"/>
      <c r="BD249" s="594"/>
      <c r="BE249" s="594"/>
      <c r="BF249" s="594"/>
      <c r="BG249" s="594"/>
      <c r="BH249" s="594"/>
      <c r="BI249" s="594"/>
      <c r="BJ249" s="594"/>
      <c r="BK249" s="594"/>
      <c r="BL249" s="57"/>
      <c r="BM249" s="594"/>
      <c r="BN249" s="594"/>
      <c r="BO249" s="594"/>
      <c r="BP249" s="594"/>
      <c r="BQ249" s="594"/>
      <c r="BR249" s="594"/>
      <c r="BS249" s="594"/>
      <c r="BT249" s="594"/>
      <c r="BU249" s="594"/>
      <c r="BV249" s="594"/>
      <c r="BW249" s="594"/>
      <c r="BX249" s="594"/>
      <c r="BY249" s="594"/>
      <c r="BZ249" s="594"/>
      <c r="CA249" s="594"/>
      <c r="CB249" s="594"/>
      <c r="CC249" s="594"/>
      <c r="CD249" s="594"/>
      <c r="CE249" s="594"/>
      <c r="CF249" s="594"/>
      <c r="CG249" s="594"/>
      <c r="CH249" s="594"/>
      <c r="CI249" s="594"/>
      <c r="CJ249" s="594"/>
      <c r="CK249" s="594"/>
      <c r="CL249" s="594"/>
      <c r="CM249" s="594"/>
      <c r="CN249" s="594"/>
      <c r="CO249" s="594"/>
      <c r="CP249" s="594"/>
      <c r="CQ249" s="594"/>
    </row>
    <row r="250" spans="1:95" ht="19.5" hidden="1" customHeight="1" outlineLevel="2">
      <c r="A250" s="709" t="s">
        <v>171</v>
      </c>
      <c r="B250" s="710">
        <f>-SUMIFS('D2 - Capex uso'!BS$6:BS$176,'D2 - Capex uso'!$C$6:$C$176,$A232,'D2 - Capex uso'!$AK$6:$AK$176,$A250)</f>
        <v>0</v>
      </c>
      <c r="C250" s="710">
        <f>-SUMIFS('D2 - Capex uso'!BT$6:BT$176,'D2 - Capex uso'!$C$6:$C$176,$A232,'D2 - Capex uso'!$AK$6:$AK$176,$A250)</f>
        <v>0</v>
      </c>
      <c r="D250" s="710">
        <f>-SUMIFS('D2 - Capex uso'!BU$6:BU$176,'D2 - Capex uso'!$C$6:$C$176,$A232,'D2 - Capex uso'!$AK$6:$AK$176,$A250)</f>
        <v>0</v>
      </c>
      <c r="E250" s="710">
        <f>-SUMIFS('D2 - Capex uso'!BV$6:BV$176,'D2 - Capex uso'!$C$6:$C$176,$A232,'D2 - Capex uso'!$AK$6:$AK$176,$A250)</f>
        <v>0</v>
      </c>
      <c r="F250" s="710">
        <f>-SUMIFS('D2 - Capex uso'!BW$6:BW$176,'D2 - Capex uso'!$C$6:$C$176,$A232,'D2 - Capex uso'!$AK$6:$AK$176,$A250)</f>
        <v>0</v>
      </c>
      <c r="G250" s="710">
        <f>-SUMIFS('D2 - Capex uso'!BX$6:BX$176,'D2 - Capex uso'!$C$6:$C$176,$A232,'D2 - Capex uso'!$AK$6:$AK$176,$A250)</f>
        <v>0</v>
      </c>
      <c r="H250" s="710">
        <f>-SUMIFS('D2 - Capex uso'!BY$6:BY$176,'D2 - Capex uso'!$C$6:$C$176,$A232,'D2 - Capex uso'!$AK$6:$AK$176,$A250)</f>
        <v>0</v>
      </c>
      <c r="I250" s="710">
        <f>-SUMIFS('D2 - Capex uso'!BZ$6:BZ$176,'D2 - Capex uso'!$C$6:$C$176,$A232,'D2 - Capex uso'!$AK$6:$AK$176,$A250)</f>
        <v>0</v>
      </c>
      <c r="J250" s="710">
        <f>-SUMIFS('D2 - Capex uso'!CA$6:CA$176,'D2 - Capex uso'!$C$6:$C$176,$A232,'D2 - Capex uso'!$AK$6:$AK$176,$A250)</f>
        <v>0</v>
      </c>
      <c r="K250" s="710">
        <f>-SUMIFS('D2 - Capex uso'!CB$6:CB$176,'D2 - Capex uso'!$C$6:$C$176,$A232,'D2 - Capex uso'!$AK$6:$AK$176,$A250)</f>
        <v>0</v>
      </c>
      <c r="L250" s="710">
        <f>-SUMIFS('D2 - Capex uso'!CC$6:CC$176,'D2 - Capex uso'!$C$6:$C$176,$A232,'D2 - Capex uso'!$AK$6:$AK$176,$A250)</f>
        <v>0</v>
      </c>
      <c r="M250" s="710">
        <f>-SUMIFS('D2 - Capex uso'!CD$6:CD$176,'D2 - Capex uso'!$C$6:$C$176,$A232,'D2 - Capex uso'!$AK$6:$AK$176,$A250)</f>
        <v>0</v>
      </c>
      <c r="N250" s="710">
        <f>-SUMIFS('D2 - Capex uso'!CE$6:CE$176,'D2 - Capex uso'!$C$6:$C$176,$A232,'D2 - Capex uso'!$AK$6:$AK$176,$A250)</f>
        <v>0</v>
      </c>
      <c r="O250" s="710">
        <f>-SUMIFS('D2 - Capex uso'!CF$6:CF$176,'D2 - Capex uso'!$C$6:$C$176,$A232,'D2 - Capex uso'!$AK$6:$AK$176,$A250)</f>
        <v>0</v>
      </c>
      <c r="P250" s="710">
        <f>-SUMIFS('D2 - Capex uso'!CG$6:CG$176,'D2 - Capex uso'!$C$6:$C$176,$A232,'D2 - Capex uso'!$AK$6:$AK$176,$A250)</f>
        <v>0</v>
      </c>
      <c r="Q250" s="710">
        <f>-SUMIFS('D2 - Capex uso'!CH$6:CH$176,'D2 - Capex uso'!$C$6:$C$176,$A232,'D2 - Capex uso'!$AK$6:$AK$176,$A250)</f>
        <v>0</v>
      </c>
      <c r="R250" s="710">
        <f>-SUMIFS('D2 - Capex uso'!CI$6:CI$176,'D2 - Capex uso'!$C$6:$C$176,$A232,'D2 - Capex uso'!$AK$6:$AK$176,$A250)</f>
        <v>0</v>
      </c>
      <c r="S250" s="710">
        <f>-SUMIFS('D2 - Capex uso'!CJ$6:CJ$176,'D2 - Capex uso'!$C$6:$C$176,$A232,'D2 - Capex uso'!$AK$6:$AK$176,$A250)</f>
        <v>0</v>
      </c>
      <c r="T250" s="710">
        <f>-SUMIFS('D2 - Capex uso'!CK$6:CK$176,'D2 - Capex uso'!$C$6:$C$176,$A232,'D2 - Capex uso'!$AK$6:$AK$176,$A250)</f>
        <v>0</v>
      </c>
      <c r="U250" s="710">
        <f>-SUMIFS('D2 - Capex uso'!CL$6:CL$176,'D2 - Capex uso'!$C$6:$C$176,$A232,'D2 - Capex uso'!$AK$6:$AK$176,$A250)</f>
        <v>0</v>
      </c>
      <c r="V250" s="710">
        <f>-SUMIFS('D2 - Capex uso'!CM$6:CM$176,'D2 - Capex uso'!$C$6:$C$176,$A232,'D2 - Capex uso'!$AK$6:$AK$176,$A250)</f>
        <v>0</v>
      </c>
      <c r="W250" s="710">
        <f>-SUMIFS('D2 - Capex uso'!CN$6:CN$176,'D2 - Capex uso'!$C$6:$C$176,$A232,'D2 - Capex uso'!$AK$6:$AK$176,$A250)</f>
        <v>0</v>
      </c>
      <c r="X250" s="710">
        <f>-SUMIFS('D2 - Capex uso'!CO$6:CO$176,'D2 - Capex uso'!$C$6:$C$176,$A232,'D2 - Capex uso'!$AK$6:$AK$176,$A250)</f>
        <v>0</v>
      </c>
      <c r="Y250" s="710">
        <f>-SUMIFS('D2 - Capex uso'!CP$6:CP$176,'D2 - Capex uso'!$C$6:$C$176,$A232,'D2 - Capex uso'!$AK$6:$AK$176,$A250)</f>
        <v>0</v>
      </c>
      <c r="Z250" s="710">
        <f>-SUMIFS('D2 - Capex uso'!CQ$6:CQ$176,'D2 - Capex uso'!$C$6:$C$176,$A232,'D2 - Capex uso'!$AK$6:$AK$176,$A250)</f>
        <v>0</v>
      </c>
      <c r="AA250" s="710">
        <f>-SUMIFS('D2 - Capex uso'!CR$6:CR$176,'D2 - Capex uso'!$C$6:$C$176,$A232,'D2 - Capex uso'!$AK$6:$AK$176,$A250)</f>
        <v>0</v>
      </c>
      <c r="AB250" s="710">
        <f>-SUMIFS('D2 - Capex uso'!CS$6:CS$176,'D2 - Capex uso'!$C$6:$C$176,$A232,'D2 - Capex uso'!$AK$6:$AK$176,$A250)</f>
        <v>0</v>
      </c>
      <c r="AC250" s="710">
        <f>-SUMIFS('D2 - Capex uso'!CT$6:CT$176,'D2 - Capex uso'!$C$6:$C$176,$A232,'D2 - Capex uso'!$AK$6:$AK$176,$A250)</f>
        <v>0</v>
      </c>
      <c r="AD250" s="710">
        <f>-SUMIFS('D2 - Capex uso'!CU$6:CU$176,'D2 - Capex uso'!$C$6:$C$176,$A232,'D2 - Capex uso'!$AK$6:$AK$176,$A250)</f>
        <v>0</v>
      </c>
      <c r="AE250" s="710">
        <f>-SUMIFS('D2 - Capex uso'!CV$6:CV$176,'D2 - Capex uso'!$C$6:$C$176,$A232,'D2 - Capex uso'!$AK$6:$AK$176,$A250)</f>
        <v>0</v>
      </c>
      <c r="AF250" s="594"/>
      <c r="AG250" s="594"/>
      <c r="AH250" s="594"/>
      <c r="AI250" s="594"/>
      <c r="AJ250" s="594"/>
      <c r="AK250" s="594"/>
      <c r="AL250" s="594"/>
      <c r="AM250" s="594"/>
      <c r="AN250" s="594"/>
      <c r="AO250" s="594"/>
      <c r="AP250" s="594"/>
      <c r="AQ250" s="594"/>
      <c r="AR250" s="594"/>
      <c r="AS250" s="594"/>
      <c r="AT250" s="594"/>
      <c r="AU250" s="594"/>
      <c r="AV250" s="594"/>
      <c r="AW250" s="594"/>
      <c r="AX250" s="594"/>
      <c r="AY250" s="594"/>
      <c r="AZ250" s="594"/>
      <c r="BA250" s="594"/>
      <c r="BB250" s="594"/>
      <c r="BC250" s="594"/>
      <c r="BD250" s="594"/>
      <c r="BE250" s="594"/>
      <c r="BF250" s="594"/>
      <c r="BG250" s="594"/>
      <c r="BH250" s="594"/>
      <c r="BI250" s="594"/>
      <c r="BJ250" s="594"/>
      <c r="BK250" s="594"/>
      <c r="BL250" s="57"/>
      <c r="BM250" s="594"/>
      <c r="BN250" s="594"/>
      <c r="BO250" s="594"/>
      <c r="BP250" s="594"/>
      <c r="BQ250" s="594"/>
      <c r="BR250" s="594"/>
      <c r="BS250" s="594"/>
      <c r="BT250" s="594"/>
      <c r="BU250" s="594"/>
      <c r="BV250" s="594"/>
      <c r="BW250" s="594"/>
      <c r="BX250" s="594"/>
      <c r="BY250" s="594"/>
      <c r="BZ250" s="594"/>
      <c r="CA250" s="594"/>
      <c r="CB250" s="594"/>
      <c r="CC250" s="594"/>
      <c r="CD250" s="594"/>
      <c r="CE250" s="594"/>
      <c r="CF250" s="594"/>
      <c r="CG250" s="594"/>
      <c r="CH250" s="594"/>
      <c r="CI250" s="594"/>
      <c r="CJ250" s="594"/>
      <c r="CK250" s="594"/>
      <c r="CL250" s="594"/>
      <c r="CM250" s="594"/>
      <c r="CN250" s="594"/>
      <c r="CO250" s="594"/>
      <c r="CP250" s="594"/>
      <c r="CQ250" s="594"/>
    </row>
    <row r="251" spans="1:95" ht="27" customHeight="1" collapsed="1">
      <c r="A251" s="703" t="str">
        <f>IF(ISBLANK('A1 - Serviços e demanda'!A33),,'A1 - Serviços e demanda'!A33)</f>
        <v>Paraíso - Alimentação</v>
      </c>
      <c r="B251" s="704">
        <f t="shared" ref="B251:AE251" si="78">IF($A251=0,0,SUM(B260:B261))</f>
        <v>0</v>
      </c>
      <c r="C251" s="704">
        <f t="shared" si="78"/>
        <v>0</v>
      </c>
      <c r="D251" s="704">
        <f t="shared" si="78"/>
        <v>0</v>
      </c>
      <c r="E251" s="704">
        <f t="shared" si="78"/>
        <v>0</v>
      </c>
      <c r="F251" s="704">
        <f t="shared" si="78"/>
        <v>0</v>
      </c>
      <c r="G251" s="704">
        <f t="shared" si="78"/>
        <v>0</v>
      </c>
      <c r="H251" s="704">
        <f t="shared" si="78"/>
        <v>0</v>
      </c>
      <c r="I251" s="704">
        <f t="shared" si="78"/>
        <v>0</v>
      </c>
      <c r="J251" s="704">
        <f t="shared" si="78"/>
        <v>0</v>
      </c>
      <c r="K251" s="704">
        <f t="shared" si="78"/>
        <v>0</v>
      </c>
      <c r="L251" s="704">
        <f t="shared" si="78"/>
        <v>0</v>
      </c>
      <c r="M251" s="704">
        <f t="shared" si="78"/>
        <v>0</v>
      </c>
      <c r="N251" s="704">
        <f t="shared" si="78"/>
        <v>0</v>
      </c>
      <c r="O251" s="704">
        <f t="shared" si="78"/>
        <v>0</v>
      </c>
      <c r="P251" s="704">
        <f t="shared" si="78"/>
        <v>0</v>
      </c>
      <c r="Q251" s="704">
        <f t="shared" si="78"/>
        <v>0</v>
      </c>
      <c r="R251" s="704">
        <f t="shared" si="78"/>
        <v>0</v>
      </c>
      <c r="S251" s="704">
        <f t="shared" si="78"/>
        <v>0</v>
      </c>
      <c r="T251" s="704">
        <f t="shared" si="78"/>
        <v>0</v>
      </c>
      <c r="U251" s="704">
        <f t="shared" si="78"/>
        <v>0</v>
      </c>
      <c r="V251" s="704">
        <f t="shared" si="78"/>
        <v>0</v>
      </c>
      <c r="W251" s="704">
        <f t="shared" si="78"/>
        <v>0</v>
      </c>
      <c r="X251" s="704">
        <f t="shared" si="78"/>
        <v>0</v>
      </c>
      <c r="Y251" s="704">
        <f t="shared" si="78"/>
        <v>0</v>
      </c>
      <c r="Z251" s="704">
        <f t="shared" si="78"/>
        <v>0</v>
      </c>
      <c r="AA251" s="704">
        <f t="shared" si="78"/>
        <v>0</v>
      </c>
      <c r="AB251" s="704">
        <f t="shared" si="78"/>
        <v>0</v>
      </c>
      <c r="AC251" s="704">
        <f t="shared" si="78"/>
        <v>0</v>
      </c>
      <c r="AD251" s="704">
        <f t="shared" si="78"/>
        <v>0</v>
      </c>
      <c r="AE251" s="704">
        <f t="shared" si="78"/>
        <v>0</v>
      </c>
      <c r="AF251" s="594"/>
      <c r="AG251" s="486" t="str">
        <f>A251</f>
        <v>Paraíso - Alimentação</v>
      </c>
      <c r="AH251" s="705">
        <f t="shared" ref="AH251:BK251" si="79">IFERROR(-B254/B252,0)</f>
        <v>0</v>
      </c>
      <c r="AI251" s="705">
        <f t="shared" si="79"/>
        <v>0</v>
      </c>
      <c r="AJ251" s="705">
        <f t="shared" si="79"/>
        <v>0</v>
      </c>
      <c r="AK251" s="705">
        <f t="shared" si="79"/>
        <v>0</v>
      </c>
      <c r="AL251" s="705">
        <f t="shared" si="79"/>
        <v>0</v>
      </c>
      <c r="AM251" s="705">
        <f t="shared" si="79"/>
        <v>0</v>
      </c>
      <c r="AN251" s="705">
        <f t="shared" si="79"/>
        <v>0</v>
      </c>
      <c r="AO251" s="705">
        <f t="shared" si="79"/>
        <v>0</v>
      </c>
      <c r="AP251" s="705">
        <f t="shared" si="79"/>
        <v>0</v>
      </c>
      <c r="AQ251" s="705">
        <f t="shared" si="79"/>
        <v>0</v>
      </c>
      <c r="AR251" s="705">
        <f t="shared" si="79"/>
        <v>0</v>
      </c>
      <c r="AS251" s="705">
        <f t="shared" si="79"/>
        <v>0</v>
      </c>
      <c r="AT251" s="705">
        <f t="shared" si="79"/>
        <v>0</v>
      </c>
      <c r="AU251" s="705">
        <f t="shared" si="79"/>
        <v>0</v>
      </c>
      <c r="AV251" s="705">
        <f t="shared" si="79"/>
        <v>0</v>
      </c>
      <c r="AW251" s="705">
        <f t="shared" si="79"/>
        <v>0</v>
      </c>
      <c r="AX251" s="705">
        <f t="shared" si="79"/>
        <v>0</v>
      </c>
      <c r="AY251" s="705">
        <f t="shared" si="79"/>
        <v>0</v>
      </c>
      <c r="AZ251" s="705">
        <f t="shared" si="79"/>
        <v>0</v>
      </c>
      <c r="BA251" s="705">
        <f t="shared" si="79"/>
        <v>0</v>
      </c>
      <c r="BB251" s="705">
        <f t="shared" si="79"/>
        <v>0</v>
      </c>
      <c r="BC251" s="705">
        <f t="shared" si="79"/>
        <v>0</v>
      </c>
      <c r="BD251" s="705">
        <f t="shared" si="79"/>
        <v>0</v>
      </c>
      <c r="BE251" s="705">
        <f t="shared" si="79"/>
        <v>0</v>
      </c>
      <c r="BF251" s="705">
        <f t="shared" si="79"/>
        <v>0</v>
      </c>
      <c r="BG251" s="705">
        <f t="shared" si="79"/>
        <v>0</v>
      </c>
      <c r="BH251" s="705">
        <f t="shared" si="79"/>
        <v>0</v>
      </c>
      <c r="BI251" s="705">
        <f t="shared" si="79"/>
        <v>0</v>
      </c>
      <c r="BJ251" s="705">
        <f t="shared" si="79"/>
        <v>0</v>
      </c>
      <c r="BK251" s="705">
        <f t="shared" si="79"/>
        <v>0</v>
      </c>
      <c r="BL251" s="57"/>
      <c r="BM251" s="486" t="str">
        <f>AG251</f>
        <v>Paraíso - Alimentação</v>
      </c>
      <c r="BN251" s="705">
        <f t="shared" ref="BN251:CQ251" si="80">IFERROR(B260/B252,0)</f>
        <v>0</v>
      </c>
      <c r="BO251" s="705">
        <f t="shared" si="80"/>
        <v>0</v>
      </c>
      <c r="BP251" s="705">
        <f t="shared" si="80"/>
        <v>0</v>
      </c>
      <c r="BQ251" s="705">
        <f t="shared" si="80"/>
        <v>0</v>
      </c>
      <c r="BR251" s="705">
        <f t="shared" si="80"/>
        <v>0</v>
      </c>
      <c r="BS251" s="705">
        <f t="shared" si="80"/>
        <v>0</v>
      </c>
      <c r="BT251" s="705">
        <f t="shared" si="80"/>
        <v>0</v>
      </c>
      <c r="BU251" s="705">
        <f t="shared" si="80"/>
        <v>0</v>
      </c>
      <c r="BV251" s="705">
        <f t="shared" si="80"/>
        <v>0</v>
      </c>
      <c r="BW251" s="705">
        <f t="shared" si="80"/>
        <v>0</v>
      </c>
      <c r="BX251" s="705">
        <f t="shared" si="80"/>
        <v>0</v>
      </c>
      <c r="BY251" s="705">
        <f t="shared" si="80"/>
        <v>0</v>
      </c>
      <c r="BZ251" s="705">
        <f t="shared" si="80"/>
        <v>0</v>
      </c>
      <c r="CA251" s="705">
        <f t="shared" si="80"/>
        <v>0</v>
      </c>
      <c r="CB251" s="705">
        <f t="shared" si="80"/>
        <v>0</v>
      </c>
      <c r="CC251" s="705">
        <f t="shared" si="80"/>
        <v>0</v>
      </c>
      <c r="CD251" s="705">
        <f t="shared" si="80"/>
        <v>0</v>
      </c>
      <c r="CE251" s="705">
        <f t="shared" si="80"/>
        <v>0</v>
      </c>
      <c r="CF251" s="705">
        <f t="shared" si="80"/>
        <v>0</v>
      </c>
      <c r="CG251" s="705">
        <f t="shared" si="80"/>
        <v>0</v>
      </c>
      <c r="CH251" s="705">
        <f t="shared" si="80"/>
        <v>0</v>
      </c>
      <c r="CI251" s="705">
        <f t="shared" si="80"/>
        <v>0</v>
      </c>
      <c r="CJ251" s="705">
        <f t="shared" si="80"/>
        <v>0</v>
      </c>
      <c r="CK251" s="705">
        <f t="shared" si="80"/>
        <v>0</v>
      </c>
      <c r="CL251" s="705">
        <f t="shared" si="80"/>
        <v>0</v>
      </c>
      <c r="CM251" s="705">
        <f t="shared" si="80"/>
        <v>0</v>
      </c>
      <c r="CN251" s="705">
        <f t="shared" si="80"/>
        <v>0</v>
      </c>
      <c r="CO251" s="705">
        <f t="shared" si="80"/>
        <v>0</v>
      </c>
      <c r="CP251" s="705">
        <f t="shared" si="80"/>
        <v>0</v>
      </c>
      <c r="CQ251" s="705">
        <f t="shared" si="80"/>
        <v>0</v>
      </c>
    </row>
    <row r="252" spans="1:95" ht="33.75" hidden="1" customHeight="1" outlineLevel="1">
      <c r="A252" s="706" t="s">
        <v>680</v>
      </c>
      <c r="B252" s="707">
        <f>IFERROR(VLOOKUP($A251,ReceitaBruta,COLUMN('A4 - Previsão de Receita Bruta'!C254)-1,0),0)</f>
        <v>0</v>
      </c>
      <c r="C252" s="707">
        <f>IFERROR(VLOOKUP($A251,ReceitaBruta,COLUMN('A4 - Previsão de Receita Bruta'!D254)-1,0),0)</f>
        <v>0</v>
      </c>
      <c r="D252" s="707">
        <f>IFERROR(VLOOKUP($A251,ReceitaBruta,COLUMN('A4 - Previsão de Receita Bruta'!E254)-1,0),0)</f>
        <v>0</v>
      </c>
      <c r="E252" s="707">
        <f>IFERROR(VLOOKUP($A251,ReceitaBruta,COLUMN('A4 - Previsão de Receita Bruta'!F254)-1,0),0)</f>
        <v>0</v>
      </c>
      <c r="F252" s="707">
        <f>IFERROR(VLOOKUP($A251,ReceitaBruta,COLUMN('A4 - Previsão de Receita Bruta'!G254)-1,0),0)</f>
        <v>0</v>
      </c>
      <c r="G252" s="707">
        <f>IFERROR(VLOOKUP($A251,ReceitaBruta,COLUMN('A4 - Previsão de Receita Bruta'!H254)-1,0),0)</f>
        <v>0</v>
      </c>
      <c r="H252" s="707">
        <f>IFERROR(VLOOKUP($A251,ReceitaBruta,COLUMN('A4 - Previsão de Receita Bruta'!I254)-1,0),0)</f>
        <v>0</v>
      </c>
      <c r="I252" s="707">
        <f>IFERROR(VLOOKUP($A251,ReceitaBruta,COLUMN('A4 - Previsão de Receita Bruta'!J254)-1,0),0)</f>
        <v>0</v>
      </c>
      <c r="J252" s="707">
        <f>IFERROR(VLOOKUP($A251,ReceitaBruta,COLUMN('A4 - Previsão de Receita Bruta'!K254)-1,0),0)</f>
        <v>0</v>
      </c>
      <c r="K252" s="707">
        <f>IFERROR(VLOOKUP($A251,ReceitaBruta,COLUMN('A4 - Previsão de Receita Bruta'!L254)-1,0),0)</f>
        <v>0</v>
      </c>
      <c r="L252" s="707">
        <f>IFERROR(VLOOKUP($A251,ReceitaBruta,COLUMN('A4 - Previsão de Receita Bruta'!M254)-1,0),0)</f>
        <v>0</v>
      </c>
      <c r="M252" s="707">
        <f>IFERROR(VLOOKUP($A251,ReceitaBruta,COLUMN('A4 - Previsão de Receita Bruta'!N254)-1,0),0)</f>
        <v>0</v>
      </c>
      <c r="N252" s="707">
        <f>IFERROR(VLOOKUP($A251,ReceitaBruta,COLUMN('A4 - Previsão de Receita Bruta'!O254)-1,0),0)</f>
        <v>0</v>
      </c>
      <c r="O252" s="707">
        <f>IFERROR(VLOOKUP($A251,ReceitaBruta,COLUMN('A4 - Previsão de Receita Bruta'!P254)-1,0),0)</f>
        <v>0</v>
      </c>
      <c r="P252" s="707">
        <f>IFERROR(VLOOKUP($A251,ReceitaBruta,COLUMN('A4 - Previsão de Receita Bruta'!Q254)-1,0),0)</f>
        <v>0</v>
      </c>
      <c r="Q252" s="707">
        <f>IFERROR(VLOOKUP($A251,ReceitaBruta,COLUMN('A4 - Previsão de Receita Bruta'!R254)-1,0),0)</f>
        <v>0</v>
      </c>
      <c r="R252" s="707">
        <f>IFERROR(VLOOKUP($A251,ReceitaBruta,COLUMN('A4 - Previsão de Receita Bruta'!S254)-1,0),0)</f>
        <v>0</v>
      </c>
      <c r="S252" s="707">
        <f>IFERROR(VLOOKUP($A251,ReceitaBruta,COLUMN('A4 - Previsão de Receita Bruta'!T254)-1,0),0)</f>
        <v>0</v>
      </c>
      <c r="T252" s="707">
        <f>IFERROR(VLOOKUP($A251,ReceitaBruta,COLUMN('A4 - Previsão de Receita Bruta'!U254)-1,0),0)</f>
        <v>0</v>
      </c>
      <c r="U252" s="707">
        <f>IFERROR(VLOOKUP($A251,ReceitaBruta,COLUMN('A4 - Previsão de Receita Bruta'!V254)-1,0),0)</f>
        <v>0</v>
      </c>
      <c r="V252" s="707">
        <f>IFERROR(VLOOKUP($A251,ReceitaBruta,COLUMN('A4 - Previsão de Receita Bruta'!W254)-1,0),0)</f>
        <v>0</v>
      </c>
      <c r="W252" s="707">
        <f>IFERROR(VLOOKUP($A251,ReceitaBruta,COLUMN('A4 - Previsão de Receita Bruta'!X254)-1,0),0)</f>
        <v>0</v>
      </c>
      <c r="X252" s="707">
        <f>IFERROR(VLOOKUP($A251,ReceitaBruta,COLUMN('A4 - Previsão de Receita Bruta'!Y254)-1,0),0)</f>
        <v>0</v>
      </c>
      <c r="Y252" s="707">
        <f>IFERROR(VLOOKUP($A251,ReceitaBruta,COLUMN('A4 - Previsão de Receita Bruta'!Z254)-1,0),0)</f>
        <v>0</v>
      </c>
      <c r="Z252" s="707">
        <f>IFERROR(VLOOKUP($A251,ReceitaBruta,COLUMN('A4 - Previsão de Receita Bruta'!AA254)-1,0),0)</f>
        <v>0</v>
      </c>
      <c r="AA252" s="707">
        <f>IFERROR(VLOOKUP($A251,ReceitaBruta,COLUMN('A4 - Previsão de Receita Bruta'!AB254)-1,0),0)</f>
        <v>0</v>
      </c>
      <c r="AB252" s="707">
        <f>IFERROR(VLOOKUP($A251,ReceitaBruta,COLUMN('A4 - Previsão de Receita Bruta'!AC254)-1,0),0)</f>
        <v>0</v>
      </c>
      <c r="AC252" s="707">
        <f>IFERROR(VLOOKUP($A251,ReceitaBruta,COLUMN('A4 - Previsão de Receita Bruta'!AD254)-1,0),0)</f>
        <v>0</v>
      </c>
      <c r="AD252" s="707">
        <f>IFERROR(VLOOKUP($A251,ReceitaBruta,COLUMN('A4 - Previsão de Receita Bruta'!AE254)-1,0),0)</f>
        <v>0</v>
      </c>
      <c r="AE252" s="707">
        <f>IFERROR(VLOOKUP($A251,ReceitaBruta,COLUMN('A4 - Previsão de Receita Bruta'!AF254)-1,0),0)</f>
        <v>0</v>
      </c>
      <c r="AF252" s="594"/>
      <c r="AG252" s="594"/>
      <c r="AH252" s="594"/>
      <c r="AI252" s="594"/>
      <c r="AJ252" s="594"/>
      <c r="AK252" s="594"/>
      <c r="AL252" s="594"/>
      <c r="AM252" s="594"/>
      <c r="AN252" s="594"/>
      <c r="AO252" s="594"/>
      <c r="AP252" s="594"/>
      <c r="AQ252" s="594"/>
      <c r="AR252" s="594"/>
      <c r="AS252" s="594"/>
      <c r="AT252" s="594"/>
      <c r="AU252" s="594"/>
      <c r="AV252" s="594"/>
      <c r="AW252" s="594"/>
      <c r="AX252" s="594"/>
      <c r="AY252" s="594"/>
      <c r="AZ252" s="594"/>
      <c r="BA252" s="594"/>
      <c r="BB252" s="594"/>
      <c r="BC252" s="594"/>
      <c r="BD252" s="594"/>
      <c r="BE252" s="594"/>
      <c r="BF252" s="594"/>
      <c r="BG252" s="594"/>
      <c r="BH252" s="594"/>
      <c r="BI252" s="594"/>
      <c r="BJ252" s="594"/>
      <c r="BK252" s="594"/>
      <c r="BL252" s="57"/>
      <c r="BM252" s="594"/>
      <c r="BN252" s="594"/>
      <c r="BO252" s="594"/>
      <c r="BP252" s="594"/>
      <c r="BQ252" s="594"/>
      <c r="BR252" s="594"/>
      <c r="BS252" s="594"/>
      <c r="BT252" s="594"/>
      <c r="BU252" s="594"/>
      <c r="BV252" s="594"/>
      <c r="BW252" s="594"/>
      <c r="BX252" s="594"/>
      <c r="BY252" s="594"/>
      <c r="BZ252" s="594"/>
      <c r="CA252" s="594"/>
      <c r="CB252" s="594"/>
      <c r="CC252" s="594"/>
      <c r="CD252" s="594"/>
      <c r="CE252" s="594"/>
      <c r="CF252" s="594"/>
      <c r="CG252" s="594"/>
      <c r="CH252" s="594"/>
      <c r="CI252" s="594"/>
      <c r="CJ252" s="594"/>
      <c r="CK252" s="594"/>
      <c r="CL252" s="594"/>
      <c r="CM252" s="594"/>
      <c r="CN252" s="594"/>
      <c r="CO252" s="594"/>
      <c r="CP252" s="594"/>
      <c r="CQ252" s="594"/>
    </row>
    <row r="253" spans="1:95" ht="21" hidden="1" customHeight="1" outlineLevel="1">
      <c r="A253" s="708" t="s">
        <v>681</v>
      </c>
      <c r="B253" s="707">
        <f>IFERROR(-'E2 - Tributos'!D$19*VLOOKUP('F1 - FCL'!$A251,ReceitaBruta,COLUMN('A4 - Previsão de Receita Bruta'!C$6)-1,0),0)</f>
        <v>0</v>
      </c>
      <c r="C253" s="707">
        <f>IFERROR(-'E2 - Tributos'!E$19*VLOOKUP('F1 - FCL'!$A251,ReceitaBruta,COLUMN('A4 - Previsão de Receita Bruta'!D$6)-1,0),0)</f>
        <v>0</v>
      </c>
      <c r="D253" s="707">
        <f>IFERROR(-'E2 - Tributos'!F$19*VLOOKUP('F1 - FCL'!$A251,ReceitaBruta,COLUMN('A4 - Previsão de Receita Bruta'!E$6)-1,0),0)</f>
        <v>0</v>
      </c>
      <c r="E253" s="707">
        <f>IFERROR(-'E2 - Tributos'!G$19*VLOOKUP('F1 - FCL'!$A251,ReceitaBruta,COLUMN('A4 - Previsão de Receita Bruta'!F$6)-1,0),0)</f>
        <v>0</v>
      </c>
      <c r="F253" s="707">
        <f>IFERROR(-'E2 - Tributos'!H$19*VLOOKUP('F1 - FCL'!$A251,ReceitaBruta,COLUMN('A4 - Previsão de Receita Bruta'!G$6)-1,0),0)</f>
        <v>0</v>
      </c>
      <c r="G253" s="707">
        <f>IFERROR(-'E2 - Tributos'!I$19*VLOOKUP('F1 - FCL'!$A251,ReceitaBruta,COLUMN('A4 - Previsão de Receita Bruta'!H$6)-1,0),0)</f>
        <v>0</v>
      </c>
      <c r="H253" s="707">
        <f>IFERROR(-'E2 - Tributos'!J$19*VLOOKUP('F1 - FCL'!$A251,ReceitaBruta,COLUMN('A4 - Previsão de Receita Bruta'!I$6)-1,0),0)</f>
        <v>0</v>
      </c>
      <c r="I253" s="707">
        <f>IFERROR(-'E2 - Tributos'!K$19*VLOOKUP('F1 - FCL'!$A251,ReceitaBruta,COLUMN('A4 - Previsão de Receita Bruta'!J$6)-1,0),0)</f>
        <v>0</v>
      </c>
      <c r="J253" s="707">
        <f>IFERROR(-'E2 - Tributos'!L$19*VLOOKUP('F1 - FCL'!$A251,ReceitaBruta,COLUMN('A4 - Previsão de Receita Bruta'!K$6)-1,0),0)</f>
        <v>0</v>
      </c>
      <c r="K253" s="707">
        <f>IFERROR(-'E2 - Tributos'!M$19*VLOOKUP('F1 - FCL'!$A251,ReceitaBruta,COLUMN('A4 - Previsão de Receita Bruta'!L$6)-1,0),0)</f>
        <v>0</v>
      </c>
      <c r="L253" s="707">
        <f>IFERROR(-'E2 - Tributos'!N$19*VLOOKUP('F1 - FCL'!$A251,ReceitaBruta,COLUMN('A4 - Previsão de Receita Bruta'!M$6)-1,0),0)</f>
        <v>0</v>
      </c>
      <c r="M253" s="707">
        <f>IFERROR(-'E2 - Tributos'!O$19*VLOOKUP('F1 - FCL'!$A251,ReceitaBruta,COLUMN('A4 - Previsão de Receita Bruta'!N$6)-1,0),0)</f>
        <v>0</v>
      </c>
      <c r="N253" s="707">
        <f>IFERROR(-'E2 - Tributos'!P$19*VLOOKUP('F1 - FCL'!$A251,ReceitaBruta,COLUMN('A4 - Previsão de Receita Bruta'!O$6)-1,0),0)</f>
        <v>0</v>
      </c>
      <c r="O253" s="707">
        <f>IFERROR(-'E2 - Tributos'!Q$19*VLOOKUP('F1 - FCL'!$A251,ReceitaBruta,COLUMN('A4 - Previsão de Receita Bruta'!P$6)-1,0),0)</f>
        <v>0</v>
      </c>
      <c r="P253" s="707">
        <f>IFERROR(-'E2 - Tributos'!R$19*VLOOKUP('F1 - FCL'!$A251,ReceitaBruta,COLUMN('A4 - Previsão de Receita Bruta'!Q$6)-1,0),0)</f>
        <v>0</v>
      </c>
      <c r="Q253" s="707">
        <f>IFERROR(-'E2 - Tributos'!S$19*VLOOKUP('F1 - FCL'!$A251,ReceitaBruta,COLUMN('A4 - Previsão de Receita Bruta'!R$6)-1,0),0)</f>
        <v>0</v>
      </c>
      <c r="R253" s="707">
        <f>IFERROR(-'E2 - Tributos'!T$19*VLOOKUP('F1 - FCL'!$A251,ReceitaBruta,COLUMN('A4 - Previsão de Receita Bruta'!S$6)-1,0),0)</f>
        <v>0</v>
      </c>
      <c r="S253" s="707">
        <f>IFERROR(-'E2 - Tributos'!U$19*VLOOKUP('F1 - FCL'!$A251,ReceitaBruta,COLUMN('A4 - Previsão de Receita Bruta'!T$6)-1,0),0)</f>
        <v>0</v>
      </c>
      <c r="T253" s="707">
        <f>IFERROR(-'E2 - Tributos'!V$19*VLOOKUP('F1 - FCL'!$A251,ReceitaBruta,COLUMN('A4 - Previsão de Receita Bruta'!U$6)-1,0),0)</f>
        <v>0</v>
      </c>
      <c r="U253" s="707">
        <f>IFERROR(-'E2 - Tributos'!W$19*VLOOKUP('F1 - FCL'!$A251,ReceitaBruta,COLUMN('A4 - Previsão de Receita Bruta'!V$6)-1,0),0)</f>
        <v>0</v>
      </c>
      <c r="V253" s="707">
        <f>IFERROR(-'E2 - Tributos'!X$19*VLOOKUP('F1 - FCL'!$A251,ReceitaBruta,COLUMN('A4 - Previsão de Receita Bruta'!W$6)-1,0),0)</f>
        <v>0</v>
      </c>
      <c r="W253" s="707">
        <f>IFERROR(-'E2 - Tributos'!Y$19*VLOOKUP('F1 - FCL'!$A251,ReceitaBruta,COLUMN('A4 - Previsão de Receita Bruta'!X$6)-1,0),0)</f>
        <v>0</v>
      </c>
      <c r="X253" s="707">
        <f>IFERROR(-'E2 - Tributos'!Z$19*VLOOKUP('F1 - FCL'!$A251,ReceitaBruta,COLUMN('A4 - Previsão de Receita Bruta'!Y$6)-1,0),0)</f>
        <v>0</v>
      </c>
      <c r="Y253" s="707">
        <f>IFERROR(-'E2 - Tributos'!AA$19*VLOOKUP('F1 - FCL'!$A251,ReceitaBruta,COLUMN('A4 - Previsão de Receita Bruta'!Z$6)-1,0),0)</f>
        <v>0</v>
      </c>
      <c r="Z253" s="707">
        <f>IFERROR(-'E2 - Tributos'!AB$19*VLOOKUP('F1 - FCL'!$A251,ReceitaBruta,COLUMN('A4 - Previsão de Receita Bruta'!AA$6)-1,0),0)</f>
        <v>0</v>
      </c>
      <c r="AA253" s="707">
        <f>IFERROR(-'E2 - Tributos'!AC$19*VLOOKUP('F1 - FCL'!$A251,ReceitaBruta,COLUMN('A4 - Previsão de Receita Bruta'!AB$6)-1,0),0)</f>
        <v>0</v>
      </c>
      <c r="AB253" s="707">
        <f>IFERROR(-'E2 - Tributos'!AD$19*VLOOKUP('F1 - FCL'!$A251,ReceitaBruta,COLUMN('A4 - Previsão de Receita Bruta'!AC$6)-1,0),0)</f>
        <v>0</v>
      </c>
      <c r="AC253" s="707">
        <f>IFERROR(-'E2 - Tributos'!AE$19*VLOOKUP('F1 - FCL'!$A251,ReceitaBruta,COLUMN('A4 - Previsão de Receita Bruta'!AD$6)-1,0),0)</f>
        <v>0</v>
      </c>
      <c r="AD253" s="707">
        <f>IFERROR(-'E2 - Tributos'!AF$19*VLOOKUP('F1 - FCL'!$A251,ReceitaBruta,COLUMN('A4 - Previsão de Receita Bruta'!AE$6)-1,0),0)</f>
        <v>0</v>
      </c>
      <c r="AE253" s="707">
        <f>IFERROR(-'E2 - Tributos'!AG$19*VLOOKUP('F1 - FCL'!$A251,ReceitaBruta,COLUMN('A4 - Previsão de Receita Bruta'!AF$6)-1,0),0)</f>
        <v>0</v>
      </c>
      <c r="AF253" s="594"/>
      <c r="AG253" s="594"/>
      <c r="AH253" s="594"/>
      <c r="AI253" s="594"/>
      <c r="AJ253" s="594"/>
      <c r="AK253" s="594"/>
      <c r="AL253" s="594"/>
      <c r="AM253" s="594"/>
      <c r="AN253" s="594"/>
      <c r="AO253" s="594"/>
      <c r="AP253" s="594"/>
      <c r="AQ253" s="594"/>
      <c r="AR253" s="594"/>
      <c r="AS253" s="594"/>
      <c r="AT253" s="594"/>
      <c r="AU253" s="594"/>
      <c r="AV253" s="594"/>
      <c r="AW253" s="594"/>
      <c r="AX253" s="594"/>
      <c r="AY253" s="594"/>
      <c r="AZ253" s="594"/>
      <c r="BA253" s="594"/>
      <c r="BB253" s="594"/>
      <c r="BC253" s="594"/>
      <c r="BD253" s="594"/>
      <c r="BE253" s="594"/>
      <c r="BF253" s="594"/>
      <c r="BG253" s="594"/>
      <c r="BH253" s="594"/>
      <c r="BI253" s="594"/>
      <c r="BJ253" s="594"/>
      <c r="BK253" s="594"/>
      <c r="BL253" s="57"/>
      <c r="BM253" s="594"/>
      <c r="BN253" s="594"/>
      <c r="BO253" s="594"/>
      <c r="BP253" s="594"/>
      <c r="BQ253" s="594"/>
      <c r="BR253" s="594"/>
      <c r="BS253" s="594"/>
      <c r="BT253" s="594"/>
      <c r="BU253" s="594"/>
      <c r="BV253" s="594"/>
      <c r="BW253" s="594"/>
      <c r="BX253" s="594"/>
      <c r="BY253" s="594"/>
      <c r="BZ253" s="594"/>
      <c r="CA253" s="594"/>
      <c r="CB253" s="594"/>
      <c r="CC253" s="594"/>
      <c r="CD253" s="594"/>
      <c r="CE253" s="594"/>
      <c r="CF253" s="594"/>
      <c r="CG253" s="594"/>
      <c r="CH253" s="594"/>
      <c r="CI253" s="594"/>
      <c r="CJ253" s="594"/>
      <c r="CK253" s="594"/>
      <c r="CL253" s="594"/>
      <c r="CM253" s="594"/>
      <c r="CN253" s="594"/>
      <c r="CO253" s="594"/>
      <c r="CP253" s="594"/>
      <c r="CQ253" s="594"/>
    </row>
    <row r="254" spans="1:95" ht="19.5" hidden="1" customHeight="1" outlineLevel="1">
      <c r="A254" s="708" t="s">
        <v>590</v>
      </c>
      <c r="B254" s="707">
        <f t="shared" ref="B254:AE254" si="81">SUM(B255:B259)</f>
        <v>0</v>
      </c>
      <c r="C254" s="707">
        <f t="shared" si="81"/>
        <v>0</v>
      </c>
      <c r="D254" s="707">
        <f t="shared" si="81"/>
        <v>0</v>
      </c>
      <c r="E254" s="707">
        <f t="shared" si="81"/>
        <v>0</v>
      </c>
      <c r="F254" s="707">
        <f t="shared" si="81"/>
        <v>0</v>
      </c>
      <c r="G254" s="707">
        <f t="shared" si="81"/>
        <v>0</v>
      </c>
      <c r="H254" s="707">
        <f t="shared" si="81"/>
        <v>0</v>
      </c>
      <c r="I254" s="707">
        <f t="shared" si="81"/>
        <v>0</v>
      </c>
      <c r="J254" s="707">
        <f t="shared" si="81"/>
        <v>0</v>
      </c>
      <c r="K254" s="707">
        <f t="shared" si="81"/>
        <v>0</v>
      </c>
      <c r="L254" s="707">
        <f t="shared" si="81"/>
        <v>0</v>
      </c>
      <c r="M254" s="707">
        <f t="shared" si="81"/>
        <v>0</v>
      </c>
      <c r="N254" s="707">
        <f t="shared" si="81"/>
        <v>0</v>
      </c>
      <c r="O254" s="707">
        <f t="shared" si="81"/>
        <v>0</v>
      </c>
      <c r="P254" s="707">
        <f t="shared" si="81"/>
        <v>0</v>
      </c>
      <c r="Q254" s="707">
        <f t="shared" si="81"/>
        <v>0</v>
      </c>
      <c r="R254" s="707">
        <f t="shared" si="81"/>
        <v>0</v>
      </c>
      <c r="S254" s="707">
        <f t="shared" si="81"/>
        <v>0</v>
      </c>
      <c r="T254" s="707">
        <f t="shared" si="81"/>
        <v>0</v>
      </c>
      <c r="U254" s="707">
        <f t="shared" si="81"/>
        <v>0</v>
      </c>
      <c r="V254" s="707">
        <f t="shared" si="81"/>
        <v>0</v>
      </c>
      <c r="W254" s="707">
        <f t="shared" si="81"/>
        <v>0</v>
      </c>
      <c r="X254" s="707">
        <f t="shared" si="81"/>
        <v>0</v>
      </c>
      <c r="Y254" s="707">
        <f t="shared" si="81"/>
        <v>0</v>
      </c>
      <c r="Z254" s="707">
        <f t="shared" si="81"/>
        <v>0</v>
      </c>
      <c r="AA254" s="707">
        <f t="shared" si="81"/>
        <v>0</v>
      </c>
      <c r="AB254" s="707">
        <f t="shared" si="81"/>
        <v>0</v>
      </c>
      <c r="AC254" s="707">
        <f t="shared" si="81"/>
        <v>0</v>
      </c>
      <c r="AD254" s="707">
        <f t="shared" si="81"/>
        <v>0</v>
      </c>
      <c r="AE254" s="707">
        <f t="shared" si="81"/>
        <v>0</v>
      </c>
      <c r="AF254" s="594"/>
      <c r="AG254" s="594"/>
      <c r="AH254" s="594"/>
      <c r="AI254" s="594"/>
      <c r="AJ254" s="594"/>
      <c r="AK254" s="594"/>
      <c r="AL254" s="594"/>
      <c r="AM254" s="594"/>
      <c r="AN254" s="594"/>
      <c r="AO254" s="594"/>
      <c r="AP254" s="594"/>
      <c r="AQ254" s="594"/>
      <c r="AR254" s="594"/>
      <c r="AS254" s="594"/>
      <c r="AT254" s="594"/>
      <c r="AU254" s="594"/>
      <c r="AV254" s="594"/>
      <c r="AW254" s="594"/>
      <c r="AX254" s="594"/>
      <c r="AY254" s="594"/>
      <c r="AZ254" s="594"/>
      <c r="BA254" s="594"/>
      <c r="BB254" s="594"/>
      <c r="BC254" s="594"/>
      <c r="BD254" s="594"/>
      <c r="BE254" s="594"/>
      <c r="BF254" s="594"/>
      <c r="BG254" s="594"/>
      <c r="BH254" s="594"/>
      <c r="BI254" s="594"/>
      <c r="BJ254" s="594"/>
      <c r="BK254" s="594"/>
      <c r="BL254" s="57"/>
      <c r="BM254" s="594"/>
      <c r="BN254" s="594"/>
      <c r="BO254" s="594"/>
      <c r="BP254" s="594"/>
      <c r="BQ254" s="594"/>
      <c r="BR254" s="594"/>
      <c r="BS254" s="594"/>
      <c r="BT254" s="594"/>
      <c r="BU254" s="594"/>
      <c r="BV254" s="594"/>
      <c r="BW254" s="594"/>
      <c r="BX254" s="594"/>
      <c r="BY254" s="594"/>
      <c r="BZ254" s="594"/>
      <c r="CA254" s="594"/>
      <c r="CB254" s="594"/>
      <c r="CC254" s="594"/>
      <c r="CD254" s="594"/>
      <c r="CE254" s="594"/>
      <c r="CF254" s="594"/>
      <c r="CG254" s="594"/>
      <c r="CH254" s="594"/>
      <c r="CI254" s="594"/>
      <c r="CJ254" s="594"/>
      <c r="CK254" s="594"/>
      <c r="CL254" s="594"/>
      <c r="CM254" s="594"/>
      <c r="CN254" s="594"/>
      <c r="CO254" s="594"/>
      <c r="CP254" s="594"/>
      <c r="CQ254" s="594"/>
    </row>
    <row r="255" spans="1:95" ht="21" hidden="1" customHeight="1" outlineLevel="2">
      <c r="A255" s="709" t="s">
        <v>682</v>
      </c>
      <c r="B255" s="710">
        <f>IF($A251="",0,-SUMIF('C3 - Funcionários $'!$D$7:$D$121,$A251,'C3 - Funcionários $'!G$7:G$121))</f>
        <v>0</v>
      </c>
      <c r="C255" s="710">
        <f>IF($A251="",0,-SUMIF('C3 - Funcionários $'!$D$7:$D$121,$A251,'C3 - Funcionários $'!H$7:H$121))</f>
        <v>0</v>
      </c>
      <c r="D255" s="710">
        <f>IF($A251="",0,-SUMIF('C3 - Funcionários $'!$D$7:$D$121,$A251,'C3 - Funcionários $'!I$7:I$121))</f>
        <v>0</v>
      </c>
      <c r="E255" s="710">
        <f>IF($A251="",0,-SUMIF('C3 - Funcionários $'!$D$7:$D$121,$A251,'C3 - Funcionários $'!J$7:J$121))</f>
        <v>0</v>
      </c>
      <c r="F255" s="710">
        <f>IF($A251="",0,-SUMIF('C3 - Funcionários $'!$D$7:$D$121,$A251,'C3 - Funcionários $'!K$7:K$121))</f>
        <v>0</v>
      </c>
      <c r="G255" s="710">
        <f>IF($A251="",0,-SUMIF('C3 - Funcionários $'!$D$7:$D$121,$A251,'C3 - Funcionários $'!L$7:L$121))</f>
        <v>0</v>
      </c>
      <c r="H255" s="710">
        <f>IF($A251="",0,-SUMIF('C3 - Funcionários $'!$D$7:$D$121,$A251,'C3 - Funcionários $'!M$7:M$121))</f>
        <v>0</v>
      </c>
      <c r="I255" s="710">
        <f>IF($A251="",0,-SUMIF('C3 - Funcionários $'!$D$7:$D$121,$A251,'C3 - Funcionários $'!N$7:N$121))</f>
        <v>0</v>
      </c>
      <c r="J255" s="710">
        <f>IF($A251="",0,-SUMIF('C3 - Funcionários $'!$D$7:$D$121,$A251,'C3 - Funcionários $'!O$7:O$121))</f>
        <v>0</v>
      </c>
      <c r="K255" s="710">
        <f>IF($A251="",0,-SUMIF('C3 - Funcionários $'!$D$7:$D$121,$A251,'C3 - Funcionários $'!P$7:P$121))</f>
        <v>0</v>
      </c>
      <c r="L255" s="710">
        <f>IF($A251="",0,-SUMIF('C3 - Funcionários $'!$D$7:$D$121,$A251,'C3 - Funcionários $'!Q$7:Q$121))</f>
        <v>0</v>
      </c>
      <c r="M255" s="710">
        <f>IF($A251="",0,-SUMIF('C3 - Funcionários $'!$D$7:$D$121,$A251,'C3 - Funcionários $'!R$7:R$121))</f>
        <v>0</v>
      </c>
      <c r="N255" s="710">
        <f>IF($A251="",0,-SUMIF('C3 - Funcionários $'!$D$7:$D$121,$A251,'C3 - Funcionários $'!S$7:S$121))</f>
        <v>0</v>
      </c>
      <c r="O255" s="710">
        <f>IF($A251="",0,-SUMIF('C3 - Funcionários $'!$D$7:$D$121,$A251,'C3 - Funcionários $'!T$7:T$121))</f>
        <v>0</v>
      </c>
      <c r="P255" s="710">
        <f>IF($A251="",0,-SUMIF('C3 - Funcionários $'!$D$7:$D$121,$A251,'C3 - Funcionários $'!U$7:U$121))</f>
        <v>0</v>
      </c>
      <c r="Q255" s="710">
        <f>IF($A251="",0,-SUMIF('C3 - Funcionários $'!$D$7:$D$121,$A251,'C3 - Funcionários $'!V$7:V$121))</f>
        <v>0</v>
      </c>
      <c r="R255" s="710">
        <f>IF($A251="",0,-SUMIF('C3 - Funcionários $'!$D$7:$D$121,$A251,'C3 - Funcionários $'!W$7:W$121))</f>
        <v>0</v>
      </c>
      <c r="S255" s="710">
        <f>IF($A251="",0,-SUMIF('C3 - Funcionários $'!$D$7:$D$121,$A251,'C3 - Funcionários $'!X$7:X$121))</f>
        <v>0</v>
      </c>
      <c r="T255" s="710">
        <f>IF($A251="",0,-SUMIF('C3 - Funcionários $'!$D$7:$D$121,$A251,'C3 - Funcionários $'!Y$7:Y$121))</f>
        <v>0</v>
      </c>
      <c r="U255" s="710">
        <f>IF($A251="",0,-SUMIF('C3 - Funcionários $'!$D$7:$D$121,$A251,'C3 - Funcionários $'!Z$7:Z$121))</f>
        <v>0</v>
      </c>
      <c r="V255" s="710">
        <f>IF($A251="",0,-SUMIF('C3 - Funcionários $'!$D$7:$D$121,$A251,'C3 - Funcionários $'!AA$7:AA$121))</f>
        <v>0</v>
      </c>
      <c r="W255" s="710">
        <f>IF($A251="",0,-SUMIF('C3 - Funcionários $'!$D$7:$D$121,$A251,'C3 - Funcionários $'!AB$7:AB$121))</f>
        <v>0</v>
      </c>
      <c r="X255" s="710">
        <f>IF($A251="",0,-SUMIF('C3 - Funcionários $'!$D$7:$D$121,$A251,'C3 - Funcionários $'!AC$7:AC$121))</f>
        <v>0</v>
      </c>
      <c r="Y255" s="710">
        <f>IF($A251="",0,-SUMIF('C3 - Funcionários $'!$D$7:$D$121,$A251,'C3 - Funcionários $'!AD$7:AD$121))</f>
        <v>0</v>
      </c>
      <c r="Z255" s="710">
        <f>IF($A251="",0,-SUMIF('C3 - Funcionários $'!$D$7:$D$121,$A251,'C3 - Funcionários $'!AE$7:AE$121))</f>
        <v>0</v>
      </c>
      <c r="AA255" s="710">
        <f>IF($A251="",0,-SUMIF('C3 - Funcionários $'!$D$7:$D$121,$A251,'C3 - Funcionários $'!AF$7:AF$121))</f>
        <v>0</v>
      </c>
      <c r="AB255" s="710">
        <f>IF($A251="",0,-SUMIF('C3 - Funcionários $'!$D$7:$D$121,$A251,'C3 - Funcionários $'!AG$7:AG$121))</f>
        <v>0</v>
      </c>
      <c r="AC255" s="710">
        <f>IF($A251="",0,-SUMIF('C3 - Funcionários $'!$D$7:$D$121,$A251,'C3 - Funcionários $'!AH$7:AH$121))</f>
        <v>0</v>
      </c>
      <c r="AD255" s="710">
        <f>IF($A251="",0,-SUMIF('C3 - Funcionários $'!$D$7:$D$121,$A251,'C3 - Funcionários $'!AI$7:AI$121))</f>
        <v>0</v>
      </c>
      <c r="AE255" s="710">
        <f>IF($A251="",0,-SUMIF('C3 - Funcionários $'!$D$7:$D$121,$A251,'C3 - Funcionários $'!AJ$7:AJ$121))</f>
        <v>0</v>
      </c>
      <c r="AF255" s="594"/>
      <c r="AG255" s="594"/>
      <c r="AH255" s="594"/>
      <c r="AI255" s="594"/>
      <c r="AJ255" s="594"/>
      <c r="AK255" s="594"/>
      <c r="AL255" s="594"/>
      <c r="AM255" s="594"/>
      <c r="AN255" s="594"/>
      <c r="AO255" s="594"/>
      <c r="AP255" s="594"/>
      <c r="AQ255" s="594"/>
      <c r="AR255" s="594"/>
      <c r="AS255" s="594"/>
      <c r="AT255" s="594"/>
      <c r="AU255" s="594"/>
      <c r="AV255" s="594"/>
      <c r="AW255" s="594"/>
      <c r="AX255" s="594"/>
      <c r="AY255" s="594"/>
      <c r="AZ255" s="594"/>
      <c r="BA255" s="594"/>
      <c r="BB255" s="594"/>
      <c r="BC255" s="594"/>
      <c r="BD255" s="594"/>
      <c r="BE255" s="594"/>
      <c r="BF255" s="594"/>
      <c r="BG255" s="594"/>
      <c r="BH255" s="594"/>
      <c r="BI255" s="594"/>
      <c r="BJ255" s="594"/>
      <c r="BK255" s="594"/>
      <c r="BL255" s="57"/>
      <c r="BM255" s="594"/>
      <c r="BN255" s="594"/>
      <c r="BO255" s="594"/>
      <c r="BP255" s="594"/>
      <c r="BQ255" s="594"/>
      <c r="BR255" s="594"/>
      <c r="BS255" s="594"/>
      <c r="BT255" s="594"/>
      <c r="BU255" s="594"/>
      <c r="BV255" s="594"/>
      <c r="BW255" s="594"/>
      <c r="BX255" s="594"/>
      <c r="BY255" s="594"/>
      <c r="BZ255" s="594"/>
      <c r="CA255" s="594"/>
      <c r="CB255" s="594"/>
      <c r="CC255" s="594"/>
      <c r="CD255" s="594"/>
      <c r="CE255" s="594"/>
      <c r="CF255" s="594"/>
      <c r="CG255" s="594"/>
      <c r="CH255" s="594"/>
      <c r="CI255" s="594"/>
      <c r="CJ255" s="594"/>
      <c r="CK255" s="594"/>
      <c r="CL255" s="594"/>
      <c r="CM255" s="594"/>
      <c r="CN255" s="594"/>
      <c r="CO255" s="594"/>
      <c r="CP255" s="594"/>
      <c r="CQ255" s="594"/>
    </row>
    <row r="256" spans="1:95" ht="21" hidden="1" customHeight="1" outlineLevel="2">
      <c r="A256" s="709" t="s">
        <v>683</v>
      </c>
      <c r="B256" s="710">
        <f>IFERROR(-VLOOKUP($A251,CustoDiretoTotal,COLUMN('B2 - Custos diretos totais'!C$3)-1,0),0)</f>
        <v>0</v>
      </c>
      <c r="C256" s="710">
        <f>IFERROR(-VLOOKUP($A251,CustoDiretoTotal,COLUMN('B2 - Custos diretos totais'!D$3)-1,0),0)</f>
        <v>0</v>
      </c>
      <c r="D256" s="710">
        <f>IFERROR(-VLOOKUP($A251,CustoDiretoTotal,COLUMN('B2 - Custos diretos totais'!E$3)-1,0),0)</f>
        <v>0</v>
      </c>
      <c r="E256" s="710">
        <f>IFERROR(-VLOOKUP($A251,CustoDiretoTotal,COLUMN('B2 - Custos diretos totais'!F$3)-1,0),0)</f>
        <v>0</v>
      </c>
      <c r="F256" s="710">
        <f>IFERROR(-VLOOKUP($A251,CustoDiretoTotal,COLUMN('B2 - Custos diretos totais'!G$3)-1,0),0)</f>
        <v>0</v>
      </c>
      <c r="G256" s="710">
        <f>IFERROR(-VLOOKUP($A251,CustoDiretoTotal,COLUMN('B2 - Custos diretos totais'!H$3)-1,0),0)</f>
        <v>0</v>
      </c>
      <c r="H256" s="710">
        <f>IFERROR(-VLOOKUP($A251,CustoDiretoTotal,COLUMN('B2 - Custos diretos totais'!I$3)-1,0),0)</f>
        <v>0</v>
      </c>
      <c r="I256" s="710">
        <f>IFERROR(-VLOOKUP($A251,CustoDiretoTotal,COLUMN('B2 - Custos diretos totais'!J$3)-1,0),0)</f>
        <v>0</v>
      </c>
      <c r="J256" s="710">
        <f>IFERROR(-VLOOKUP($A251,CustoDiretoTotal,COLUMN('B2 - Custos diretos totais'!K$3)-1,0),0)</f>
        <v>0</v>
      </c>
      <c r="K256" s="710">
        <f>IFERROR(-VLOOKUP($A251,CustoDiretoTotal,COLUMN('B2 - Custos diretos totais'!L$3)-1,0),0)</f>
        <v>0</v>
      </c>
      <c r="L256" s="710">
        <f>IFERROR(-VLOOKUP($A251,CustoDiretoTotal,COLUMN('B2 - Custos diretos totais'!M$3)-1,0),0)</f>
        <v>0</v>
      </c>
      <c r="M256" s="710">
        <f>IFERROR(-VLOOKUP($A251,CustoDiretoTotal,COLUMN('B2 - Custos diretos totais'!N$3)-1,0),0)</f>
        <v>0</v>
      </c>
      <c r="N256" s="710">
        <f>IFERROR(-VLOOKUP($A251,CustoDiretoTotal,COLUMN('B2 - Custos diretos totais'!O$3)-1,0),0)</f>
        <v>0</v>
      </c>
      <c r="O256" s="710">
        <f>IFERROR(-VLOOKUP($A251,CustoDiretoTotal,COLUMN('B2 - Custos diretos totais'!P$3)-1,0),0)</f>
        <v>0</v>
      </c>
      <c r="P256" s="710">
        <f>IFERROR(-VLOOKUP($A251,CustoDiretoTotal,COLUMN('B2 - Custos diretos totais'!Q$3)-1,0),0)</f>
        <v>0</v>
      </c>
      <c r="Q256" s="710">
        <f>IFERROR(-VLOOKUP($A251,CustoDiretoTotal,COLUMN('B2 - Custos diretos totais'!R$3)-1,0),0)</f>
        <v>0</v>
      </c>
      <c r="R256" s="710">
        <f>IFERROR(-VLOOKUP($A251,CustoDiretoTotal,COLUMN('B2 - Custos diretos totais'!S$3)-1,0),0)</f>
        <v>0</v>
      </c>
      <c r="S256" s="710">
        <f>IFERROR(-VLOOKUP($A251,CustoDiretoTotal,COLUMN('B2 - Custos diretos totais'!T$3)-1,0),0)</f>
        <v>0</v>
      </c>
      <c r="T256" s="710">
        <f>IFERROR(-VLOOKUP($A251,CustoDiretoTotal,COLUMN('B2 - Custos diretos totais'!U$3)-1,0),0)</f>
        <v>0</v>
      </c>
      <c r="U256" s="710">
        <f>IFERROR(-VLOOKUP($A251,CustoDiretoTotal,COLUMN('B2 - Custos diretos totais'!V$3)-1,0),0)</f>
        <v>0</v>
      </c>
      <c r="V256" s="710">
        <f>IFERROR(-VLOOKUP($A251,CustoDiretoTotal,COLUMN('B2 - Custos diretos totais'!W$3)-1,0),0)</f>
        <v>0</v>
      </c>
      <c r="W256" s="710">
        <f>IFERROR(-VLOOKUP($A251,CustoDiretoTotal,COLUMN('B2 - Custos diretos totais'!X$3)-1,0),0)</f>
        <v>0</v>
      </c>
      <c r="X256" s="710">
        <f>IFERROR(-VLOOKUP($A251,CustoDiretoTotal,COLUMN('B2 - Custos diretos totais'!Y$3)-1,0),0)</f>
        <v>0</v>
      </c>
      <c r="Y256" s="710">
        <f>IFERROR(-VLOOKUP($A251,CustoDiretoTotal,COLUMN('B2 - Custos diretos totais'!Z$3)-1,0),0)</f>
        <v>0</v>
      </c>
      <c r="Z256" s="710">
        <f>IFERROR(-VLOOKUP($A251,CustoDiretoTotal,COLUMN('B2 - Custos diretos totais'!AA$3)-1,0),0)</f>
        <v>0</v>
      </c>
      <c r="AA256" s="710">
        <f>IFERROR(-VLOOKUP($A251,CustoDiretoTotal,COLUMN('B2 - Custos diretos totais'!AB$3)-1,0),0)</f>
        <v>0</v>
      </c>
      <c r="AB256" s="710">
        <f>IFERROR(-VLOOKUP($A251,CustoDiretoTotal,COLUMN('B2 - Custos diretos totais'!AC$3)-1,0),0)</f>
        <v>0</v>
      </c>
      <c r="AC256" s="710">
        <f>IFERROR(-VLOOKUP($A251,CustoDiretoTotal,COLUMN('B2 - Custos diretos totais'!AD$3)-1,0),0)</f>
        <v>0</v>
      </c>
      <c r="AD256" s="710">
        <f>IFERROR(-VLOOKUP($A251,CustoDiretoTotal,COLUMN('B2 - Custos diretos totais'!AE$3)-1,0),0)</f>
        <v>0</v>
      </c>
      <c r="AE256" s="710">
        <f>IFERROR(-VLOOKUP($A251,CustoDiretoTotal,COLUMN('B2 - Custos diretos totais'!AF$3)-1,0),0)</f>
        <v>0</v>
      </c>
      <c r="AF256" s="594"/>
      <c r="AG256" s="594"/>
      <c r="AH256" s="594"/>
      <c r="AI256" s="594"/>
      <c r="AJ256" s="594"/>
      <c r="AK256" s="594"/>
      <c r="AL256" s="594"/>
      <c r="AM256" s="594"/>
      <c r="AN256" s="594"/>
      <c r="AO256" s="594"/>
      <c r="AP256" s="594"/>
      <c r="AQ256" s="594"/>
      <c r="AR256" s="594"/>
      <c r="AS256" s="594"/>
      <c r="AT256" s="594"/>
      <c r="AU256" s="594"/>
      <c r="AV256" s="594"/>
      <c r="AW256" s="594"/>
      <c r="AX256" s="594"/>
      <c r="AY256" s="594"/>
      <c r="AZ256" s="594"/>
      <c r="BA256" s="594"/>
      <c r="BB256" s="594"/>
      <c r="BC256" s="594"/>
      <c r="BD256" s="594"/>
      <c r="BE256" s="594"/>
      <c r="BF256" s="594"/>
      <c r="BG256" s="594"/>
      <c r="BH256" s="594"/>
      <c r="BI256" s="594"/>
      <c r="BJ256" s="594"/>
      <c r="BK256" s="594"/>
      <c r="BL256" s="57"/>
      <c r="BM256" s="594"/>
      <c r="BN256" s="594"/>
      <c r="BO256" s="594"/>
      <c r="BP256" s="594"/>
      <c r="BQ256" s="594"/>
      <c r="BR256" s="594"/>
      <c r="BS256" s="594"/>
      <c r="BT256" s="594"/>
      <c r="BU256" s="594"/>
      <c r="BV256" s="594"/>
      <c r="BW256" s="594"/>
      <c r="BX256" s="594"/>
      <c r="BY256" s="594"/>
      <c r="BZ256" s="594"/>
      <c r="CA256" s="594"/>
      <c r="CB256" s="594"/>
      <c r="CC256" s="594"/>
      <c r="CD256" s="594"/>
      <c r="CE256" s="594"/>
      <c r="CF256" s="594"/>
      <c r="CG256" s="594"/>
      <c r="CH256" s="594"/>
      <c r="CI256" s="594"/>
      <c r="CJ256" s="594"/>
      <c r="CK256" s="594"/>
      <c r="CL256" s="594"/>
      <c r="CM256" s="594"/>
      <c r="CN256" s="594"/>
      <c r="CO256" s="594"/>
      <c r="CP256" s="594"/>
      <c r="CQ256" s="594"/>
    </row>
    <row r="257" spans="1:95" ht="21" hidden="1" customHeight="1" outlineLevel="2">
      <c r="A257" s="709" t="s">
        <v>684</v>
      </c>
      <c r="B257" s="710">
        <f>-SUMIFS('B3 - Custos despesas indiretos'!AK$5:AK$148,'B3 - Custos despesas indiretos'!$B$5:$B$148,"Custos",'B3 - Custos despesas indiretos'!$D$5:$D$148,$A251)</f>
        <v>0</v>
      </c>
      <c r="C257" s="710">
        <f>-SUMIFS('B3 - Custos despesas indiretos'!AL$5:AL$148,'B3 - Custos despesas indiretos'!$B$5:$B$148,"Custos",'B3 - Custos despesas indiretos'!$D$5:$D$148,$A251)</f>
        <v>0</v>
      </c>
      <c r="D257" s="710">
        <f>-SUMIFS('B3 - Custos despesas indiretos'!AM$5:AM$148,'B3 - Custos despesas indiretos'!$B$5:$B$148,"Custos",'B3 - Custos despesas indiretos'!$D$5:$D$148,$A251)</f>
        <v>0</v>
      </c>
      <c r="E257" s="710">
        <f>-SUMIFS('B3 - Custos despesas indiretos'!AN$5:AN$148,'B3 - Custos despesas indiretos'!$B$5:$B$148,"Custos",'B3 - Custos despesas indiretos'!$D$5:$D$148,$A251)</f>
        <v>0</v>
      </c>
      <c r="F257" s="710">
        <f>-SUMIFS('B3 - Custos despesas indiretos'!AO$5:AO$148,'B3 - Custos despesas indiretos'!$B$5:$B$148,"Custos",'B3 - Custos despesas indiretos'!$D$5:$D$148,$A251)</f>
        <v>0</v>
      </c>
      <c r="G257" s="710">
        <f>-SUMIFS('B3 - Custos despesas indiretos'!AP$5:AP$148,'B3 - Custos despesas indiretos'!$B$5:$B$148,"Custos",'B3 - Custos despesas indiretos'!$D$5:$D$148,$A251)</f>
        <v>0</v>
      </c>
      <c r="H257" s="710">
        <f>-SUMIFS('B3 - Custos despesas indiretos'!AQ$5:AQ$148,'B3 - Custos despesas indiretos'!$B$5:$B$148,"Custos",'B3 - Custos despesas indiretos'!$D$5:$D$148,$A251)</f>
        <v>0</v>
      </c>
      <c r="I257" s="710">
        <f>-SUMIFS('B3 - Custos despesas indiretos'!AR$5:AR$148,'B3 - Custos despesas indiretos'!$B$5:$B$148,"Custos",'B3 - Custos despesas indiretos'!$D$5:$D$148,$A251)</f>
        <v>0</v>
      </c>
      <c r="J257" s="710">
        <f>-SUMIFS('B3 - Custos despesas indiretos'!AS$5:AS$148,'B3 - Custos despesas indiretos'!$B$5:$B$148,"Custos",'B3 - Custos despesas indiretos'!$D$5:$D$148,$A251)</f>
        <v>0</v>
      </c>
      <c r="K257" s="710">
        <f>-SUMIFS('B3 - Custos despesas indiretos'!AT$5:AT$148,'B3 - Custos despesas indiretos'!$B$5:$B$148,"Custos",'B3 - Custos despesas indiretos'!$D$5:$D$148,$A251)</f>
        <v>0</v>
      </c>
      <c r="L257" s="710">
        <f>-SUMIFS('B3 - Custos despesas indiretos'!AU$5:AU$148,'B3 - Custos despesas indiretos'!$B$5:$B$148,"Custos",'B3 - Custos despesas indiretos'!$D$5:$D$148,$A251)</f>
        <v>0</v>
      </c>
      <c r="M257" s="710">
        <f>-SUMIFS('B3 - Custos despesas indiretos'!AV$5:AV$148,'B3 - Custos despesas indiretos'!$B$5:$B$148,"Custos",'B3 - Custos despesas indiretos'!$D$5:$D$148,$A251)</f>
        <v>0</v>
      </c>
      <c r="N257" s="710">
        <f>-SUMIFS('B3 - Custos despesas indiretos'!AW$5:AW$148,'B3 - Custos despesas indiretos'!$B$5:$B$148,"Custos",'B3 - Custos despesas indiretos'!$D$5:$D$148,$A251)</f>
        <v>0</v>
      </c>
      <c r="O257" s="710">
        <f>-SUMIFS('B3 - Custos despesas indiretos'!AX$5:AX$148,'B3 - Custos despesas indiretos'!$B$5:$B$148,"Custos",'B3 - Custos despesas indiretos'!$D$5:$D$148,$A251)</f>
        <v>0</v>
      </c>
      <c r="P257" s="710">
        <f>-SUMIFS('B3 - Custos despesas indiretos'!AY$5:AY$148,'B3 - Custos despesas indiretos'!$B$5:$B$148,"Custos",'B3 - Custos despesas indiretos'!$D$5:$D$148,$A251)</f>
        <v>0</v>
      </c>
      <c r="Q257" s="710">
        <f>-SUMIFS('B3 - Custos despesas indiretos'!AZ$5:AZ$148,'B3 - Custos despesas indiretos'!$B$5:$B$148,"Custos",'B3 - Custos despesas indiretos'!$D$5:$D$148,$A251)</f>
        <v>0</v>
      </c>
      <c r="R257" s="710">
        <f>-SUMIFS('B3 - Custos despesas indiretos'!BA$5:BA$148,'B3 - Custos despesas indiretos'!$B$5:$B$148,"Custos",'B3 - Custos despesas indiretos'!$D$5:$D$148,$A251)</f>
        <v>0</v>
      </c>
      <c r="S257" s="710">
        <f>-SUMIFS('B3 - Custos despesas indiretos'!BB$5:BB$148,'B3 - Custos despesas indiretos'!$B$5:$B$148,"Custos",'B3 - Custos despesas indiretos'!$D$5:$D$148,$A251)</f>
        <v>0</v>
      </c>
      <c r="T257" s="710">
        <f>-SUMIFS('B3 - Custos despesas indiretos'!BC$5:BC$148,'B3 - Custos despesas indiretos'!$B$5:$B$148,"Custos",'B3 - Custos despesas indiretos'!$D$5:$D$148,$A251)</f>
        <v>0</v>
      </c>
      <c r="U257" s="710">
        <f>-SUMIFS('B3 - Custos despesas indiretos'!BD$5:BD$148,'B3 - Custos despesas indiretos'!$B$5:$B$148,"Custos",'B3 - Custos despesas indiretos'!$D$5:$D$148,$A251)</f>
        <v>0</v>
      </c>
      <c r="V257" s="710">
        <f>-SUMIFS('B3 - Custos despesas indiretos'!BE$5:BE$148,'B3 - Custos despesas indiretos'!$B$5:$B$148,"Custos",'B3 - Custos despesas indiretos'!$D$5:$D$148,$A251)</f>
        <v>0</v>
      </c>
      <c r="W257" s="710">
        <f>-SUMIFS('B3 - Custos despesas indiretos'!BF$5:BF$148,'B3 - Custos despesas indiretos'!$B$5:$B$148,"Custos",'B3 - Custos despesas indiretos'!$D$5:$D$148,$A251)</f>
        <v>0</v>
      </c>
      <c r="X257" s="710">
        <f>-SUMIFS('B3 - Custos despesas indiretos'!BG$5:BG$148,'B3 - Custos despesas indiretos'!$B$5:$B$148,"Custos",'B3 - Custos despesas indiretos'!$D$5:$D$148,$A251)</f>
        <v>0</v>
      </c>
      <c r="Y257" s="710">
        <f>-SUMIFS('B3 - Custos despesas indiretos'!BH$5:BH$148,'B3 - Custos despesas indiretos'!$B$5:$B$148,"Custos",'B3 - Custos despesas indiretos'!$D$5:$D$148,$A251)</f>
        <v>0</v>
      </c>
      <c r="Z257" s="710">
        <f>-SUMIFS('B3 - Custos despesas indiretos'!BI$5:BI$148,'B3 - Custos despesas indiretos'!$B$5:$B$148,"Custos",'B3 - Custos despesas indiretos'!$D$5:$D$148,$A251)</f>
        <v>0</v>
      </c>
      <c r="AA257" s="710">
        <f>-SUMIFS('B3 - Custos despesas indiretos'!BJ$5:BJ$148,'B3 - Custos despesas indiretos'!$B$5:$B$148,"Custos",'B3 - Custos despesas indiretos'!$D$5:$D$148,$A251)</f>
        <v>0</v>
      </c>
      <c r="AB257" s="710">
        <f>-SUMIFS('B3 - Custos despesas indiretos'!BK$5:BK$148,'B3 - Custos despesas indiretos'!$B$5:$B$148,"Custos",'B3 - Custos despesas indiretos'!$D$5:$D$148,$A251)</f>
        <v>0</v>
      </c>
      <c r="AC257" s="710">
        <f>-SUMIFS('B3 - Custos despesas indiretos'!BL$5:BL$148,'B3 - Custos despesas indiretos'!$B$5:$B$148,"Custos",'B3 - Custos despesas indiretos'!$D$5:$D$148,$A251)</f>
        <v>0</v>
      </c>
      <c r="AD257" s="710">
        <f>-SUMIFS('B3 - Custos despesas indiretos'!BM$5:BM$148,'B3 - Custos despesas indiretos'!$B$5:$B$148,"Custos",'B3 - Custos despesas indiretos'!$D$5:$D$148,$A251)</f>
        <v>0</v>
      </c>
      <c r="AE257" s="710">
        <f>-SUMIFS('B3 - Custos despesas indiretos'!BN$5:BN$148,'B3 - Custos despesas indiretos'!$B$5:$B$148,"Custos",'B3 - Custos despesas indiretos'!$D$5:$D$148,$A251)</f>
        <v>0</v>
      </c>
      <c r="AF257" s="594"/>
      <c r="AG257" s="594"/>
      <c r="AH257" s="594"/>
      <c r="AI257" s="594"/>
      <c r="AJ257" s="594"/>
      <c r="AK257" s="594"/>
      <c r="AL257" s="594"/>
      <c r="AM257" s="594"/>
      <c r="AN257" s="594"/>
      <c r="AO257" s="594"/>
      <c r="AP257" s="594"/>
      <c r="AQ257" s="594"/>
      <c r="AR257" s="594"/>
      <c r="AS257" s="594"/>
      <c r="AT257" s="594"/>
      <c r="AU257" s="594"/>
      <c r="AV257" s="594"/>
      <c r="AW257" s="594"/>
      <c r="AX257" s="594"/>
      <c r="AY257" s="594"/>
      <c r="AZ257" s="594"/>
      <c r="BA257" s="594"/>
      <c r="BB257" s="594"/>
      <c r="BC257" s="594"/>
      <c r="BD257" s="594"/>
      <c r="BE257" s="594"/>
      <c r="BF257" s="594"/>
      <c r="BG257" s="594"/>
      <c r="BH257" s="594"/>
      <c r="BI257" s="594"/>
      <c r="BJ257" s="594"/>
      <c r="BK257" s="594"/>
      <c r="BL257" s="57"/>
      <c r="BM257" s="594"/>
      <c r="BN257" s="594"/>
      <c r="BO257" s="594"/>
      <c r="BP257" s="594"/>
      <c r="BQ257" s="594"/>
      <c r="BR257" s="594"/>
      <c r="BS257" s="594"/>
      <c r="BT257" s="594"/>
      <c r="BU257" s="594"/>
      <c r="BV257" s="594"/>
      <c r="BW257" s="594"/>
      <c r="BX257" s="594"/>
      <c r="BY257" s="594"/>
      <c r="BZ257" s="594"/>
      <c r="CA257" s="594"/>
      <c r="CB257" s="594"/>
      <c r="CC257" s="594"/>
      <c r="CD257" s="594"/>
      <c r="CE257" s="594"/>
      <c r="CF257" s="594"/>
      <c r="CG257" s="594"/>
      <c r="CH257" s="594"/>
      <c r="CI257" s="594"/>
      <c r="CJ257" s="594"/>
      <c r="CK257" s="594"/>
      <c r="CL257" s="594"/>
      <c r="CM257" s="594"/>
      <c r="CN257" s="594"/>
      <c r="CO257" s="594"/>
      <c r="CP257" s="594"/>
      <c r="CQ257" s="594"/>
    </row>
    <row r="258" spans="1:95" ht="21" hidden="1" customHeight="1" outlineLevel="2">
      <c r="A258" s="709" t="s">
        <v>685</v>
      </c>
      <c r="B258" s="710">
        <f>-SUMIFS('B3 - Custos despesas indiretos'!AK$5:AK$148,'B3 - Custos despesas indiretos'!$B$5:$B$148,"Despesas",'B3 - Custos despesas indiretos'!$D$5:$D$148,$A251)</f>
        <v>0</v>
      </c>
      <c r="C258" s="710">
        <f>-SUMIFS('B3 - Custos despesas indiretos'!AL$5:AL$148,'B3 - Custos despesas indiretos'!$B$5:$B$148,"Despesas",'B3 - Custos despesas indiretos'!$D$5:$D$148,$A251)</f>
        <v>0</v>
      </c>
      <c r="D258" s="710">
        <f>-SUMIFS('B3 - Custos despesas indiretos'!AM$5:AM$148,'B3 - Custos despesas indiretos'!$B$5:$B$148,"Despesas",'B3 - Custos despesas indiretos'!$D$5:$D$148,$A251)</f>
        <v>0</v>
      </c>
      <c r="E258" s="710">
        <f>-SUMIFS('B3 - Custos despesas indiretos'!AN$5:AN$148,'B3 - Custos despesas indiretos'!$B$5:$B$148,"Despesas",'B3 - Custos despesas indiretos'!$D$5:$D$148,$A251)</f>
        <v>0</v>
      </c>
      <c r="F258" s="710">
        <f>-SUMIFS('B3 - Custos despesas indiretos'!AO$5:AO$148,'B3 - Custos despesas indiretos'!$B$5:$B$148,"Despesas",'B3 - Custos despesas indiretos'!$D$5:$D$148,$A251)</f>
        <v>0</v>
      </c>
      <c r="G258" s="710">
        <f>-SUMIFS('B3 - Custos despesas indiretos'!AP$5:AP$148,'B3 - Custos despesas indiretos'!$B$5:$B$148,"Despesas",'B3 - Custos despesas indiretos'!$D$5:$D$148,$A251)</f>
        <v>0</v>
      </c>
      <c r="H258" s="710">
        <f>-SUMIFS('B3 - Custos despesas indiretos'!AQ$5:AQ$148,'B3 - Custos despesas indiretos'!$B$5:$B$148,"Despesas",'B3 - Custos despesas indiretos'!$D$5:$D$148,$A251)</f>
        <v>0</v>
      </c>
      <c r="I258" s="710">
        <f>-SUMIFS('B3 - Custos despesas indiretos'!AR$5:AR$148,'B3 - Custos despesas indiretos'!$B$5:$B$148,"Despesas",'B3 - Custos despesas indiretos'!$D$5:$D$148,$A251)</f>
        <v>0</v>
      </c>
      <c r="J258" s="710">
        <f>-SUMIFS('B3 - Custos despesas indiretos'!AS$5:AS$148,'B3 - Custos despesas indiretos'!$B$5:$B$148,"Despesas",'B3 - Custos despesas indiretos'!$D$5:$D$148,$A251)</f>
        <v>0</v>
      </c>
      <c r="K258" s="710">
        <f>-SUMIFS('B3 - Custos despesas indiretos'!AT$5:AT$148,'B3 - Custos despesas indiretos'!$B$5:$B$148,"Despesas",'B3 - Custos despesas indiretos'!$D$5:$D$148,$A251)</f>
        <v>0</v>
      </c>
      <c r="L258" s="710">
        <f>-SUMIFS('B3 - Custos despesas indiretos'!AU$5:AU$148,'B3 - Custos despesas indiretos'!$B$5:$B$148,"Despesas",'B3 - Custos despesas indiretos'!$D$5:$D$148,$A251)</f>
        <v>0</v>
      </c>
      <c r="M258" s="710">
        <f>-SUMIFS('B3 - Custos despesas indiretos'!AV$5:AV$148,'B3 - Custos despesas indiretos'!$B$5:$B$148,"Despesas",'B3 - Custos despesas indiretos'!$D$5:$D$148,$A251)</f>
        <v>0</v>
      </c>
      <c r="N258" s="710">
        <f>-SUMIFS('B3 - Custos despesas indiretos'!AW$5:AW$148,'B3 - Custos despesas indiretos'!$B$5:$B$148,"Despesas",'B3 - Custos despesas indiretos'!$D$5:$D$148,$A251)</f>
        <v>0</v>
      </c>
      <c r="O258" s="710">
        <f>-SUMIFS('B3 - Custos despesas indiretos'!AX$5:AX$148,'B3 - Custos despesas indiretos'!$B$5:$B$148,"Despesas",'B3 - Custos despesas indiretos'!$D$5:$D$148,$A251)</f>
        <v>0</v>
      </c>
      <c r="P258" s="710">
        <f>-SUMIFS('B3 - Custos despesas indiretos'!AY$5:AY$148,'B3 - Custos despesas indiretos'!$B$5:$B$148,"Despesas",'B3 - Custos despesas indiretos'!$D$5:$D$148,$A251)</f>
        <v>0</v>
      </c>
      <c r="Q258" s="710">
        <f>-SUMIFS('B3 - Custos despesas indiretos'!AZ$5:AZ$148,'B3 - Custos despesas indiretos'!$B$5:$B$148,"Despesas",'B3 - Custos despesas indiretos'!$D$5:$D$148,$A251)</f>
        <v>0</v>
      </c>
      <c r="R258" s="710">
        <f>-SUMIFS('B3 - Custos despesas indiretos'!BA$5:BA$148,'B3 - Custos despesas indiretos'!$B$5:$B$148,"Despesas",'B3 - Custos despesas indiretos'!$D$5:$D$148,$A251)</f>
        <v>0</v>
      </c>
      <c r="S258" s="710">
        <f>-SUMIFS('B3 - Custos despesas indiretos'!BB$5:BB$148,'B3 - Custos despesas indiretos'!$B$5:$B$148,"Despesas",'B3 - Custos despesas indiretos'!$D$5:$D$148,$A251)</f>
        <v>0</v>
      </c>
      <c r="T258" s="710">
        <f>-SUMIFS('B3 - Custos despesas indiretos'!BC$5:BC$148,'B3 - Custos despesas indiretos'!$B$5:$B$148,"Despesas",'B3 - Custos despesas indiretos'!$D$5:$D$148,$A251)</f>
        <v>0</v>
      </c>
      <c r="U258" s="710">
        <f>-SUMIFS('B3 - Custos despesas indiretos'!BD$5:BD$148,'B3 - Custos despesas indiretos'!$B$5:$B$148,"Despesas",'B3 - Custos despesas indiretos'!$D$5:$D$148,$A251)</f>
        <v>0</v>
      </c>
      <c r="V258" s="710">
        <f>-SUMIFS('B3 - Custos despesas indiretos'!BE$5:BE$148,'B3 - Custos despesas indiretos'!$B$5:$B$148,"Despesas",'B3 - Custos despesas indiretos'!$D$5:$D$148,$A251)</f>
        <v>0</v>
      </c>
      <c r="W258" s="710">
        <f>-SUMIFS('B3 - Custos despesas indiretos'!BF$5:BF$148,'B3 - Custos despesas indiretos'!$B$5:$B$148,"Despesas",'B3 - Custos despesas indiretos'!$D$5:$D$148,$A251)</f>
        <v>0</v>
      </c>
      <c r="X258" s="710">
        <f>-SUMIFS('B3 - Custos despesas indiretos'!BG$5:BG$148,'B3 - Custos despesas indiretos'!$B$5:$B$148,"Despesas",'B3 - Custos despesas indiretos'!$D$5:$D$148,$A251)</f>
        <v>0</v>
      </c>
      <c r="Y258" s="710">
        <f>-SUMIFS('B3 - Custos despesas indiretos'!BH$5:BH$148,'B3 - Custos despesas indiretos'!$B$5:$B$148,"Despesas",'B3 - Custos despesas indiretos'!$D$5:$D$148,$A251)</f>
        <v>0</v>
      </c>
      <c r="Z258" s="710">
        <f>-SUMIFS('B3 - Custos despesas indiretos'!BI$5:BI$148,'B3 - Custos despesas indiretos'!$B$5:$B$148,"Despesas",'B3 - Custos despesas indiretos'!$D$5:$D$148,$A251)</f>
        <v>0</v>
      </c>
      <c r="AA258" s="710">
        <f>-SUMIFS('B3 - Custos despesas indiretos'!BJ$5:BJ$148,'B3 - Custos despesas indiretos'!$B$5:$B$148,"Despesas",'B3 - Custos despesas indiretos'!$D$5:$D$148,$A251)</f>
        <v>0</v>
      </c>
      <c r="AB258" s="710">
        <f>-SUMIFS('B3 - Custos despesas indiretos'!BK$5:BK$148,'B3 - Custos despesas indiretos'!$B$5:$B$148,"Despesas",'B3 - Custos despesas indiretos'!$D$5:$D$148,$A251)</f>
        <v>0</v>
      </c>
      <c r="AC258" s="710">
        <f>-SUMIFS('B3 - Custos despesas indiretos'!BL$5:BL$148,'B3 - Custos despesas indiretos'!$B$5:$B$148,"Despesas",'B3 - Custos despesas indiretos'!$D$5:$D$148,$A251)</f>
        <v>0</v>
      </c>
      <c r="AD258" s="710">
        <f>-SUMIFS('B3 - Custos despesas indiretos'!BM$5:BM$148,'B3 - Custos despesas indiretos'!$B$5:$B$148,"Despesas",'B3 - Custos despesas indiretos'!$D$5:$D$148,$A251)</f>
        <v>0</v>
      </c>
      <c r="AE258" s="710">
        <f>-SUMIFS('B3 - Custos despesas indiretos'!BN$5:BN$148,'B3 - Custos despesas indiretos'!$B$5:$B$148,"Despesas",'B3 - Custos despesas indiretos'!$D$5:$D$148,$A251)</f>
        <v>0</v>
      </c>
      <c r="AF258" s="594"/>
      <c r="AG258" s="594"/>
      <c r="AH258" s="594"/>
      <c r="AI258" s="594"/>
      <c r="AJ258" s="594"/>
      <c r="AK258" s="594"/>
      <c r="AL258" s="594"/>
      <c r="AM258" s="594"/>
      <c r="AN258" s="594"/>
      <c r="AO258" s="594"/>
      <c r="AP258" s="594"/>
      <c r="AQ258" s="594"/>
      <c r="AR258" s="594"/>
      <c r="AS258" s="594"/>
      <c r="AT258" s="594"/>
      <c r="AU258" s="594"/>
      <c r="AV258" s="594"/>
      <c r="AW258" s="594"/>
      <c r="AX258" s="594"/>
      <c r="AY258" s="594"/>
      <c r="AZ258" s="594"/>
      <c r="BA258" s="594"/>
      <c r="BB258" s="594"/>
      <c r="BC258" s="594"/>
      <c r="BD258" s="594"/>
      <c r="BE258" s="594"/>
      <c r="BF258" s="594"/>
      <c r="BG258" s="594"/>
      <c r="BH258" s="594"/>
      <c r="BI258" s="594"/>
      <c r="BJ258" s="594"/>
      <c r="BK258" s="594"/>
      <c r="BL258" s="57"/>
      <c r="BM258" s="594"/>
      <c r="BN258" s="594"/>
      <c r="BO258" s="594"/>
      <c r="BP258" s="594"/>
      <c r="BQ258" s="594"/>
      <c r="BR258" s="594"/>
      <c r="BS258" s="594"/>
      <c r="BT258" s="594"/>
      <c r="BU258" s="594"/>
      <c r="BV258" s="594"/>
      <c r="BW258" s="594"/>
      <c r="BX258" s="594"/>
      <c r="BY258" s="594"/>
      <c r="BZ258" s="594"/>
      <c r="CA258" s="594"/>
      <c r="CB258" s="594"/>
      <c r="CC258" s="594"/>
      <c r="CD258" s="594"/>
      <c r="CE258" s="594"/>
      <c r="CF258" s="594"/>
      <c r="CG258" s="594"/>
      <c r="CH258" s="594"/>
      <c r="CI258" s="594"/>
      <c r="CJ258" s="594"/>
      <c r="CK258" s="594"/>
      <c r="CL258" s="594"/>
      <c r="CM258" s="594"/>
      <c r="CN258" s="594"/>
      <c r="CO258" s="594"/>
      <c r="CP258" s="594"/>
      <c r="CQ258" s="594"/>
    </row>
    <row r="259" spans="1:95" ht="21" hidden="1" customHeight="1" outlineLevel="2">
      <c r="A259" s="709" t="s">
        <v>686</v>
      </c>
      <c r="B259" s="710">
        <f>-SUMIF('D2 - Capex uso'!$C$6:$C$176,$A251,'D2 - Capex uso'!GI$6:GI$176)</f>
        <v>0</v>
      </c>
      <c r="C259" s="710">
        <f>-SUMIF('D2 - Capex uso'!$C$6:$C$176,$A251,'D2 - Capex uso'!GJ$6:GJ$176)</f>
        <v>0</v>
      </c>
      <c r="D259" s="710">
        <f>-SUMIF('D2 - Capex uso'!$C$6:$C$176,$A251,'D2 - Capex uso'!GK$6:GK$176)</f>
        <v>0</v>
      </c>
      <c r="E259" s="710">
        <f>-SUMIF('D2 - Capex uso'!$C$6:$C$176,$A251,'D2 - Capex uso'!GL$6:GL$176)</f>
        <v>0</v>
      </c>
      <c r="F259" s="710">
        <f>-SUMIF('D2 - Capex uso'!$C$6:$C$176,$A251,'D2 - Capex uso'!GM$6:GM$176)</f>
        <v>0</v>
      </c>
      <c r="G259" s="710">
        <f>-SUMIF('D2 - Capex uso'!$C$6:$C$176,$A251,'D2 - Capex uso'!GN$6:GN$176)</f>
        <v>0</v>
      </c>
      <c r="H259" s="710">
        <f>-SUMIF('D2 - Capex uso'!$C$6:$C$176,$A251,'D2 - Capex uso'!GO$6:GO$176)</f>
        <v>0</v>
      </c>
      <c r="I259" s="710">
        <f>-SUMIF('D2 - Capex uso'!$C$6:$C$176,$A251,'D2 - Capex uso'!GP$6:GP$176)</f>
        <v>0</v>
      </c>
      <c r="J259" s="710">
        <f>-SUMIF('D2 - Capex uso'!$C$6:$C$176,$A251,'D2 - Capex uso'!GQ$6:GQ$176)</f>
        <v>0</v>
      </c>
      <c r="K259" s="710">
        <f>-SUMIF('D2 - Capex uso'!$C$6:$C$176,$A251,'D2 - Capex uso'!GR$6:GR$176)</f>
        <v>0</v>
      </c>
      <c r="L259" s="710">
        <f>-SUMIF('D2 - Capex uso'!$C$6:$C$176,$A251,'D2 - Capex uso'!GS$6:GS$176)</f>
        <v>0</v>
      </c>
      <c r="M259" s="710">
        <f>-SUMIF('D2 - Capex uso'!$C$6:$C$176,$A251,'D2 - Capex uso'!GT$6:GT$176)</f>
        <v>0</v>
      </c>
      <c r="N259" s="710">
        <f>-SUMIF('D2 - Capex uso'!$C$6:$C$176,$A251,'D2 - Capex uso'!GU$6:GU$176)</f>
        <v>0</v>
      </c>
      <c r="O259" s="710">
        <f>-SUMIF('D2 - Capex uso'!$C$6:$C$176,$A251,'D2 - Capex uso'!GV$6:GV$176)</f>
        <v>0</v>
      </c>
      <c r="P259" s="710">
        <f>-SUMIF('D2 - Capex uso'!$C$6:$C$176,$A251,'D2 - Capex uso'!GW$6:GW$176)</f>
        <v>0</v>
      </c>
      <c r="Q259" s="710">
        <f>-SUMIF('D2 - Capex uso'!$C$6:$C$176,$A251,'D2 - Capex uso'!GX$6:GX$176)</f>
        <v>0</v>
      </c>
      <c r="R259" s="710">
        <f>-SUMIF('D2 - Capex uso'!$C$6:$C$176,$A251,'D2 - Capex uso'!GY$6:GY$176)</f>
        <v>0</v>
      </c>
      <c r="S259" s="710">
        <f>-SUMIF('D2 - Capex uso'!$C$6:$C$176,$A251,'D2 - Capex uso'!GZ$6:GZ$176)</f>
        <v>0</v>
      </c>
      <c r="T259" s="710">
        <f>-SUMIF('D2 - Capex uso'!$C$6:$C$176,$A251,'D2 - Capex uso'!HA$6:HA$176)</f>
        <v>0</v>
      </c>
      <c r="U259" s="710">
        <f>-SUMIF('D2 - Capex uso'!$C$6:$C$176,$A251,'D2 - Capex uso'!HB$6:HB$176)</f>
        <v>0</v>
      </c>
      <c r="V259" s="710">
        <f>-SUMIF('D2 - Capex uso'!$C$6:$C$176,$A251,'D2 - Capex uso'!HC$6:HC$176)</f>
        <v>0</v>
      </c>
      <c r="W259" s="710">
        <f>-SUMIF('D2 - Capex uso'!$C$6:$C$176,$A251,'D2 - Capex uso'!HD$6:HD$176)</f>
        <v>0</v>
      </c>
      <c r="X259" s="710">
        <f>-SUMIF('D2 - Capex uso'!$C$6:$C$176,$A251,'D2 - Capex uso'!HE$6:HE$176)</f>
        <v>0</v>
      </c>
      <c r="Y259" s="710">
        <f>-SUMIF('D2 - Capex uso'!$C$6:$C$176,$A251,'D2 - Capex uso'!HF$6:HF$176)</f>
        <v>0</v>
      </c>
      <c r="Z259" s="710">
        <f>-SUMIF('D2 - Capex uso'!$C$6:$C$176,$A251,'D2 - Capex uso'!HG$6:HG$176)</f>
        <v>0</v>
      </c>
      <c r="AA259" s="710">
        <f>-SUMIF('D2 - Capex uso'!$C$6:$C$176,$A251,'D2 - Capex uso'!HH$6:HH$176)</f>
        <v>0</v>
      </c>
      <c r="AB259" s="710">
        <f>-SUMIF('D2 - Capex uso'!$C$6:$C$176,$A251,'D2 - Capex uso'!HI$6:HI$176)</f>
        <v>0</v>
      </c>
      <c r="AC259" s="710">
        <f>-SUMIF('D2 - Capex uso'!$C$6:$C$176,$A251,'D2 - Capex uso'!HJ$6:HJ$176)</f>
        <v>0</v>
      </c>
      <c r="AD259" s="710">
        <f>-SUMIF('D2 - Capex uso'!$C$6:$C$176,$A251,'D2 - Capex uso'!HK$6:HK$176)</f>
        <v>0</v>
      </c>
      <c r="AE259" s="710">
        <f>-SUMIF('D2 - Capex uso'!$C$6:$C$176,$A251,'D2 - Capex uso'!HL$6:HL$176)</f>
        <v>0</v>
      </c>
      <c r="AF259" s="594"/>
      <c r="AG259" s="594"/>
      <c r="AH259" s="594"/>
      <c r="AI259" s="594"/>
      <c r="AJ259" s="594"/>
      <c r="AK259" s="594"/>
      <c r="AL259" s="594"/>
      <c r="AM259" s="594"/>
      <c r="AN259" s="594"/>
      <c r="AO259" s="594"/>
      <c r="AP259" s="594"/>
      <c r="AQ259" s="594"/>
      <c r="AR259" s="594"/>
      <c r="AS259" s="594"/>
      <c r="AT259" s="594"/>
      <c r="AU259" s="594"/>
      <c r="AV259" s="594"/>
      <c r="AW259" s="594"/>
      <c r="AX259" s="594"/>
      <c r="AY259" s="594"/>
      <c r="AZ259" s="594"/>
      <c r="BA259" s="594"/>
      <c r="BB259" s="594"/>
      <c r="BC259" s="594"/>
      <c r="BD259" s="594"/>
      <c r="BE259" s="594"/>
      <c r="BF259" s="594"/>
      <c r="BG259" s="594"/>
      <c r="BH259" s="594"/>
      <c r="BI259" s="594"/>
      <c r="BJ259" s="594"/>
      <c r="BK259" s="594"/>
      <c r="BL259" s="57"/>
      <c r="BM259" s="594"/>
      <c r="BN259" s="594"/>
      <c r="BO259" s="594"/>
      <c r="BP259" s="594"/>
      <c r="BQ259" s="594"/>
      <c r="BR259" s="594"/>
      <c r="BS259" s="594"/>
      <c r="BT259" s="594"/>
      <c r="BU259" s="594"/>
      <c r="BV259" s="594"/>
      <c r="BW259" s="594"/>
      <c r="BX259" s="594"/>
      <c r="BY259" s="594"/>
      <c r="BZ259" s="594"/>
      <c r="CA259" s="594"/>
      <c r="CB259" s="594"/>
      <c r="CC259" s="594"/>
      <c r="CD259" s="594"/>
      <c r="CE259" s="594"/>
      <c r="CF259" s="594"/>
      <c r="CG259" s="594"/>
      <c r="CH259" s="594"/>
      <c r="CI259" s="594"/>
      <c r="CJ259" s="594"/>
      <c r="CK259" s="594"/>
      <c r="CL259" s="594"/>
      <c r="CM259" s="594"/>
      <c r="CN259" s="594"/>
      <c r="CO259" s="594"/>
      <c r="CP259" s="594"/>
      <c r="CQ259" s="594"/>
    </row>
    <row r="260" spans="1:95" ht="21" hidden="1" customHeight="1" outlineLevel="1">
      <c r="A260" s="708" t="s">
        <v>687</v>
      </c>
      <c r="B260" s="707">
        <f t="shared" ref="B260:AE260" si="82">SUM(B252:B254)</f>
        <v>0</v>
      </c>
      <c r="C260" s="707">
        <f t="shared" si="82"/>
        <v>0</v>
      </c>
      <c r="D260" s="707">
        <f t="shared" si="82"/>
        <v>0</v>
      </c>
      <c r="E260" s="707">
        <f t="shared" si="82"/>
        <v>0</v>
      </c>
      <c r="F260" s="707">
        <f t="shared" si="82"/>
        <v>0</v>
      </c>
      <c r="G260" s="707">
        <f t="shared" si="82"/>
        <v>0</v>
      </c>
      <c r="H260" s="707">
        <f t="shared" si="82"/>
        <v>0</v>
      </c>
      <c r="I260" s="707">
        <f t="shared" si="82"/>
        <v>0</v>
      </c>
      <c r="J260" s="707">
        <f t="shared" si="82"/>
        <v>0</v>
      </c>
      <c r="K260" s="707">
        <f t="shared" si="82"/>
        <v>0</v>
      </c>
      <c r="L260" s="707">
        <f t="shared" si="82"/>
        <v>0</v>
      </c>
      <c r="M260" s="707">
        <f t="shared" si="82"/>
        <v>0</v>
      </c>
      <c r="N260" s="707">
        <f t="shared" si="82"/>
        <v>0</v>
      </c>
      <c r="O260" s="707">
        <f t="shared" si="82"/>
        <v>0</v>
      </c>
      <c r="P260" s="707">
        <f t="shared" si="82"/>
        <v>0</v>
      </c>
      <c r="Q260" s="707">
        <f t="shared" si="82"/>
        <v>0</v>
      </c>
      <c r="R260" s="707">
        <f t="shared" si="82"/>
        <v>0</v>
      </c>
      <c r="S260" s="707">
        <f t="shared" si="82"/>
        <v>0</v>
      </c>
      <c r="T260" s="707">
        <f t="shared" si="82"/>
        <v>0</v>
      </c>
      <c r="U260" s="707">
        <f t="shared" si="82"/>
        <v>0</v>
      </c>
      <c r="V260" s="707">
        <f t="shared" si="82"/>
        <v>0</v>
      </c>
      <c r="W260" s="707">
        <f t="shared" si="82"/>
        <v>0</v>
      </c>
      <c r="X260" s="707">
        <f t="shared" si="82"/>
        <v>0</v>
      </c>
      <c r="Y260" s="707">
        <f t="shared" si="82"/>
        <v>0</v>
      </c>
      <c r="Z260" s="707">
        <f t="shared" si="82"/>
        <v>0</v>
      </c>
      <c r="AA260" s="707">
        <f t="shared" si="82"/>
        <v>0</v>
      </c>
      <c r="AB260" s="707">
        <f t="shared" si="82"/>
        <v>0</v>
      </c>
      <c r="AC260" s="707">
        <f t="shared" si="82"/>
        <v>0</v>
      </c>
      <c r="AD260" s="707">
        <f t="shared" si="82"/>
        <v>0</v>
      </c>
      <c r="AE260" s="707">
        <f t="shared" si="82"/>
        <v>0</v>
      </c>
      <c r="AF260" s="594"/>
      <c r="AG260" s="594"/>
      <c r="AH260" s="594"/>
      <c r="AI260" s="594"/>
      <c r="AJ260" s="594"/>
      <c r="AK260" s="594"/>
      <c r="AL260" s="594"/>
      <c r="AM260" s="594"/>
      <c r="AN260" s="594"/>
      <c r="AO260" s="594"/>
      <c r="AP260" s="594"/>
      <c r="AQ260" s="594"/>
      <c r="AR260" s="594"/>
      <c r="AS260" s="594"/>
      <c r="AT260" s="594"/>
      <c r="AU260" s="594"/>
      <c r="AV260" s="594"/>
      <c r="AW260" s="594"/>
      <c r="AX260" s="594"/>
      <c r="AY260" s="594"/>
      <c r="AZ260" s="594"/>
      <c r="BA260" s="594"/>
      <c r="BB260" s="594"/>
      <c r="BC260" s="594"/>
      <c r="BD260" s="594"/>
      <c r="BE260" s="594"/>
      <c r="BF260" s="594"/>
      <c r="BG260" s="594"/>
      <c r="BH260" s="594"/>
      <c r="BI260" s="594"/>
      <c r="BJ260" s="594"/>
      <c r="BK260" s="594"/>
      <c r="BL260" s="57"/>
      <c r="BM260" s="594"/>
      <c r="BN260" s="594"/>
      <c r="BO260" s="594"/>
      <c r="BP260" s="594"/>
      <c r="BQ260" s="594"/>
      <c r="BR260" s="594"/>
      <c r="BS260" s="594"/>
      <c r="BT260" s="594"/>
      <c r="BU260" s="594"/>
      <c r="BV260" s="594"/>
      <c r="BW260" s="594"/>
      <c r="BX260" s="594"/>
      <c r="BY260" s="594"/>
      <c r="BZ260" s="594"/>
      <c r="CA260" s="594"/>
      <c r="CB260" s="594"/>
      <c r="CC260" s="594"/>
      <c r="CD260" s="594"/>
      <c r="CE260" s="594"/>
      <c r="CF260" s="594"/>
      <c r="CG260" s="594"/>
      <c r="CH260" s="594"/>
      <c r="CI260" s="594"/>
      <c r="CJ260" s="594"/>
      <c r="CK260" s="594"/>
      <c r="CL260" s="594"/>
      <c r="CM260" s="594"/>
      <c r="CN260" s="594"/>
      <c r="CO260" s="594"/>
      <c r="CP260" s="594"/>
      <c r="CQ260" s="594"/>
    </row>
    <row r="261" spans="1:95" ht="19.5" hidden="1" customHeight="1" outlineLevel="1">
      <c r="A261" s="708" t="s">
        <v>688</v>
      </c>
      <c r="B261" s="707">
        <f t="shared" ref="B261:AE261" si="83">SUM(B262:B269)</f>
        <v>0</v>
      </c>
      <c r="C261" s="707">
        <f t="shared" si="83"/>
        <v>0</v>
      </c>
      <c r="D261" s="707">
        <f t="shared" si="83"/>
        <v>0</v>
      </c>
      <c r="E261" s="707">
        <f t="shared" si="83"/>
        <v>0</v>
      </c>
      <c r="F261" s="707">
        <f t="shared" si="83"/>
        <v>0</v>
      </c>
      <c r="G261" s="707">
        <f t="shared" si="83"/>
        <v>0</v>
      </c>
      <c r="H261" s="707">
        <f t="shared" si="83"/>
        <v>0</v>
      </c>
      <c r="I261" s="707">
        <f t="shared" si="83"/>
        <v>0</v>
      </c>
      <c r="J261" s="707">
        <f t="shared" si="83"/>
        <v>0</v>
      </c>
      <c r="K261" s="707">
        <f t="shared" si="83"/>
        <v>0</v>
      </c>
      <c r="L261" s="707">
        <f t="shared" si="83"/>
        <v>0</v>
      </c>
      <c r="M261" s="707">
        <f t="shared" si="83"/>
        <v>0</v>
      </c>
      <c r="N261" s="707">
        <f t="shared" si="83"/>
        <v>0</v>
      </c>
      <c r="O261" s="707">
        <f t="shared" si="83"/>
        <v>0</v>
      </c>
      <c r="P261" s="707">
        <f t="shared" si="83"/>
        <v>0</v>
      </c>
      <c r="Q261" s="707">
        <f t="shared" si="83"/>
        <v>0</v>
      </c>
      <c r="R261" s="707">
        <f t="shared" si="83"/>
        <v>0</v>
      </c>
      <c r="S261" s="707">
        <f t="shared" si="83"/>
        <v>0</v>
      </c>
      <c r="T261" s="707">
        <f t="shared" si="83"/>
        <v>0</v>
      </c>
      <c r="U261" s="707">
        <f t="shared" si="83"/>
        <v>0</v>
      </c>
      <c r="V261" s="707">
        <f t="shared" si="83"/>
        <v>0</v>
      </c>
      <c r="W261" s="707">
        <f t="shared" si="83"/>
        <v>0</v>
      </c>
      <c r="X261" s="707">
        <f t="shared" si="83"/>
        <v>0</v>
      </c>
      <c r="Y261" s="707">
        <f t="shared" si="83"/>
        <v>0</v>
      </c>
      <c r="Z261" s="707">
        <f t="shared" si="83"/>
        <v>0</v>
      </c>
      <c r="AA261" s="707">
        <f t="shared" si="83"/>
        <v>0</v>
      </c>
      <c r="AB261" s="707">
        <f t="shared" si="83"/>
        <v>0</v>
      </c>
      <c r="AC261" s="707">
        <f t="shared" si="83"/>
        <v>0</v>
      </c>
      <c r="AD261" s="707">
        <f t="shared" si="83"/>
        <v>0</v>
      </c>
      <c r="AE261" s="707">
        <f t="shared" si="83"/>
        <v>0</v>
      </c>
      <c r="AF261" s="594"/>
      <c r="AG261" s="594"/>
      <c r="AH261" s="594"/>
      <c r="AI261" s="594"/>
      <c r="AJ261" s="594"/>
      <c r="AK261" s="594"/>
      <c r="AL261" s="594"/>
      <c r="AM261" s="594"/>
      <c r="AN261" s="594"/>
      <c r="AO261" s="594"/>
      <c r="AP261" s="594"/>
      <c r="AQ261" s="594"/>
      <c r="AR261" s="594"/>
      <c r="AS261" s="594"/>
      <c r="AT261" s="594"/>
      <c r="AU261" s="594"/>
      <c r="AV261" s="594"/>
      <c r="AW261" s="594"/>
      <c r="AX261" s="594"/>
      <c r="AY261" s="594"/>
      <c r="AZ261" s="594"/>
      <c r="BA261" s="594"/>
      <c r="BB261" s="594"/>
      <c r="BC261" s="594"/>
      <c r="BD261" s="594"/>
      <c r="BE261" s="594"/>
      <c r="BF261" s="594"/>
      <c r="BG261" s="594"/>
      <c r="BH261" s="594"/>
      <c r="BI261" s="594"/>
      <c r="BJ261" s="594"/>
      <c r="BK261" s="594"/>
      <c r="BL261" s="57"/>
      <c r="BM261" s="594"/>
      <c r="BN261" s="594"/>
      <c r="BO261" s="594"/>
      <c r="BP261" s="594"/>
      <c r="BQ261" s="594"/>
      <c r="BR261" s="594"/>
      <c r="BS261" s="594"/>
      <c r="BT261" s="594"/>
      <c r="BU261" s="594"/>
      <c r="BV261" s="594"/>
      <c r="BW261" s="594"/>
      <c r="BX261" s="594"/>
      <c r="BY261" s="594"/>
      <c r="BZ261" s="594"/>
      <c r="CA261" s="594"/>
      <c r="CB261" s="594"/>
      <c r="CC261" s="594"/>
      <c r="CD261" s="594"/>
      <c r="CE261" s="594"/>
      <c r="CF261" s="594"/>
      <c r="CG261" s="594"/>
      <c r="CH261" s="594"/>
      <c r="CI261" s="594"/>
      <c r="CJ261" s="594"/>
      <c r="CK261" s="594"/>
      <c r="CL261" s="594"/>
      <c r="CM261" s="594"/>
      <c r="CN261" s="594"/>
      <c r="CO261" s="594"/>
      <c r="CP261" s="594"/>
      <c r="CQ261" s="594"/>
    </row>
    <row r="262" spans="1:95" ht="19.5" hidden="1" customHeight="1" outlineLevel="2">
      <c r="A262" s="709" t="s">
        <v>354</v>
      </c>
      <c r="B262" s="710">
        <f>-SUMIFS('D2 - Capex uso'!BS$6:BS$176,'D2 - Capex uso'!$C$6:$C$176,$A251,'D2 - Capex uso'!$AK$6:$AK$176,$A262)</f>
        <v>0</v>
      </c>
      <c r="C262" s="710">
        <f>-SUMIFS('D2 - Capex uso'!BT$6:BT$176,'D2 - Capex uso'!$C$6:$C$176,$A251,'D2 - Capex uso'!$AK$6:$AK$176,$A262)</f>
        <v>0</v>
      </c>
      <c r="D262" s="710">
        <f>-SUMIFS('D2 - Capex uso'!BU$6:BU$176,'D2 - Capex uso'!$C$6:$C$176,$A251,'D2 - Capex uso'!$AK$6:$AK$176,$A262)</f>
        <v>0</v>
      </c>
      <c r="E262" s="710">
        <f>-SUMIFS('D2 - Capex uso'!BV$6:BV$176,'D2 - Capex uso'!$C$6:$C$176,$A251,'D2 - Capex uso'!$AK$6:$AK$176,$A262)</f>
        <v>0</v>
      </c>
      <c r="F262" s="710">
        <f>-SUMIFS('D2 - Capex uso'!BW$6:BW$176,'D2 - Capex uso'!$C$6:$C$176,$A251,'D2 - Capex uso'!$AK$6:$AK$176,$A262)</f>
        <v>0</v>
      </c>
      <c r="G262" s="710">
        <f>-SUMIFS('D2 - Capex uso'!BX$6:BX$176,'D2 - Capex uso'!$C$6:$C$176,$A251,'D2 - Capex uso'!$AK$6:$AK$176,$A262)</f>
        <v>0</v>
      </c>
      <c r="H262" s="710">
        <f>-SUMIFS('D2 - Capex uso'!BY$6:BY$176,'D2 - Capex uso'!$C$6:$C$176,$A251,'D2 - Capex uso'!$AK$6:$AK$176,$A262)</f>
        <v>0</v>
      </c>
      <c r="I262" s="710">
        <f>-SUMIFS('D2 - Capex uso'!BZ$6:BZ$176,'D2 - Capex uso'!$C$6:$C$176,$A251,'D2 - Capex uso'!$AK$6:$AK$176,$A262)</f>
        <v>0</v>
      </c>
      <c r="J262" s="710">
        <f>-SUMIFS('D2 - Capex uso'!CA$6:CA$176,'D2 - Capex uso'!$C$6:$C$176,$A251,'D2 - Capex uso'!$AK$6:$AK$176,$A262)</f>
        <v>0</v>
      </c>
      <c r="K262" s="710">
        <f>-SUMIFS('D2 - Capex uso'!CB$6:CB$176,'D2 - Capex uso'!$C$6:$C$176,$A251,'D2 - Capex uso'!$AK$6:$AK$176,$A262)</f>
        <v>0</v>
      </c>
      <c r="L262" s="710">
        <f>-SUMIFS('D2 - Capex uso'!CC$6:CC$176,'D2 - Capex uso'!$C$6:$C$176,$A251,'D2 - Capex uso'!$AK$6:$AK$176,$A262)</f>
        <v>0</v>
      </c>
      <c r="M262" s="710">
        <f>-SUMIFS('D2 - Capex uso'!CD$6:CD$176,'D2 - Capex uso'!$C$6:$C$176,$A251,'D2 - Capex uso'!$AK$6:$AK$176,$A262)</f>
        <v>0</v>
      </c>
      <c r="N262" s="710">
        <f>-SUMIFS('D2 - Capex uso'!CE$6:CE$176,'D2 - Capex uso'!$C$6:$C$176,$A251,'D2 - Capex uso'!$AK$6:$AK$176,$A262)</f>
        <v>0</v>
      </c>
      <c r="O262" s="710">
        <f>-SUMIFS('D2 - Capex uso'!CF$6:CF$176,'D2 - Capex uso'!$C$6:$C$176,$A251,'D2 - Capex uso'!$AK$6:$AK$176,$A262)</f>
        <v>0</v>
      </c>
      <c r="P262" s="710">
        <f>-SUMIFS('D2 - Capex uso'!CG$6:CG$176,'D2 - Capex uso'!$C$6:$C$176,$A251,'D2 - Capex uso'!$AK$6:$AK$176,$A262)</f>
        <v>0</v>
      </c>
      <c r="Q262" s="710">
        <f>-SUMIFS('D2 - Capex uso'!CH$6:CH$176,'D2 - Capex uso'!$C$6:$C$176,$A251,'D2 - Capex uso'!$AK$6:$AK$176,$A262)</f>
        <v>0</v>
      </c>
      <c r="R262" s="710">
        <f>-SUMIFS('D2 - Capex uso'!CI$6:CI$176,'D2 - Capex uso'!$C$6:$C$176,$A251,'D2 - Capex uso'!$AK$6:$AK$176,$A262)</f>
        <v>0</v>
      </c>
      <c r="S262" s="710">
        <f>-SUMIFS('D2 - Capex uso'!CJ$6:CJ$176,'D2 - Capex uso'!$C$6:$C$176,$A251,'D2 - Capex uso'!$AK$6:$AK$176,$A262)</f>
        <v>0</v>
      </c>
      <c r="T262" s="710">
        <f>-SUMIFS('D2 - Capex uso'!CK$6:CK$176,'D2 - Capex uso'!$C$6:$C$176,$A251,'D2 - Capex uso'!$AK$6:$AK$176,$A262)</f>
        <v>0</v>
      </c>
      <c r="U262" s="710">
        <f>-SUMIFS('D2 - Capex uso'!CL$6:CL$176,'D2 - Capex uso'!$C$6:$C$176,$A251,'D2 - Capex uso'!$AK$6:$AK$176,$A262)</f>
        <v>0</v>
      </c>
      <c r="V262" s="710">
        <f>-SUMIFS('D2 - Capex uso'!CM$6:CM$176,'D2 - Capex uso'!$C$6:$C$176,$A251,'D2 - Capex uso'!$AK$6:$AK$176,$A262)</f>
        <v>0</v>
      </c>
      <c r="W262" s="710">
        <f>-SUMIFS('D2 - Capex uso'!CN$6:CN$176,'D2 - Capex uso'!$C$6:$C$176,$A251,'D2 - Capex uso'!$AK$6:$AK$176,$A262)</f>
        <v>0</v>
      </c>
      <c r="X262" s="710">
        <f>-SUMIFS('D2 - Capex uso'!CO$6:CO$176,'D2 - Capex uso'!$C$6:$C$176,$A251,'D2 - Capex uso'!$AK$6:$AK$176,$A262)</f>
        <v>0</v>
      </c>
      <c r="Y262" s="710">
        <f>-SUMIFS('D2 - Capex uso'!CP$6:CP$176,'D2 - Capex uso'!$C$6:$C$176,$A251,'D2 - Capex uso'!$AK$6:$AK$176,$A262)</f>
        <v>0</v>
      </c>
      <c r="Z262" s="710">
        <f>-SUMIFS('D2 - Capex uso'!CQ$6:CQ$176,'D2 - Capex uso'!$C$6:$C$176,$A251,'D2 - Capex uso'!$AK$6:$AK$176,$A262)</f>
        <v>0</v>
      </c>
      <c r="AA262" s="710">
        <f>-SUMIFS('D2 - Capex uso'!CR$6:CR$176,'D2 - Capex uso'!$C$6:$C$176,$A251,'D2 - Capex uso'!$AK$6:$AK$176,$A262)</f>
        <v>0</v>
      </c>
      <c r="AB262" s="710">
        <f>-SUMIFS('D2 - Capex uso'!CS$6:CS$176,'D2 - Capex uso'!$C$6:$C$176,$A251,'D2 - Capex uso'!$AK$6:$AK$176,$A262)</f>
        <v>0</v>
      </c>
      <c r="AC262" s="710">
        <f>-SUMIFS('D2 - Capex uso'!CT$6:CT$176,'D2 - Capex uso'!$C$6:$C$176,$A251,'D2 - Capex uso'!$AK$6:$AK$176,$A262)</f>
        <v>0</v>
      </c>
      <c r="AD262" s="710">
        <f>-SUMIFS('D2 - Capex uso'!CU$6:CU$176,'D2 - Capex uso'!$C$6:$C$176,$A251,'D2 - Capex uso'!$AK$6:$AK$176,$A262)</f>
        <v>0</v>
      </c>
      <c r="AE262" s="710">
        <f>-SUMIFS('D2 - Capex uso'!CV$6:CV$176,'D2 - Capex uso'!$C$6:$C$176,$A251,'D2 - Capex uso'!$AK$6:$AK$176,$A262)</f>
        <v>0</v>
      </c>
      <c r="AF262" s="594"/>
      <c r="AG262" s="594"/>
      <c r="AH262" s="594"/>
      <c r="AI262" s="594"/>
      <c r="AJ262" s="594"/>
      <c r="AK262" s="594"/>
      <c r="AL262" s="594"/>
      <c r="AM262" s="594"/>
      <c r="AN262" s="594"/>
      <c r="AO262" s="594"/>
      <c r="AP262" s="594"/>
      <c r="AQ262" s="594"/>
      <c r="AR262" s="594"/>
      <c r="AS262" s="594"/>
      <c r="AT262" s="594"/>
      <c r="AU262" s="594"/>
      <c r="AV262" s="594"/>
      <c r="AW262" s="594"/>
      <c r="AX262" s="594"/>
      <c r="AY262" s="594"/>
      <c r="AZ262" s="594"/>
      <c r="BA262" s="594"/>
      <c r="BB262" s="594"/>
      <c r="BC262" s="594"/>
      <c r="BD262" s="594"/>
      <c r="BE262" s="594"/>
      <c r="BF262" s="594"/>
      <c r="BG262" s="594"/>
      <c r="BH262" s="594"/>
      <c r="BI262" s="594"/>
      <c r="BJ262" s="594"/>
      <c r="BK262" s="594"/>
      <c r="BL262" s="57"/>
      <c r="BM262" s="594"/>
      <c r="BN262" s="594"/>
      <c r="BO262" s="594"/>
      <c r="BP262" s="594"/>
      <c r="BQ262" s="594"/>
      <c r="BR262" s="594"/>
      <c r="BS262" s="594"/>
      <c r="BT262" s="594"/>
      <c r="BU262" s="594"/>
      <c r="BV262" s="594"/>
      <c r="BW262" s="594"/>
      <c r="BX262" s="594"/>
      <c r="BY262" s="594"/>
      <c r="BZ262" s="594"/>
      <c r="CA262" s="594"/>
      <c r="CB262" s="594"/>
      <c r="CC262" s="594"/>
      <c r="CD262" s="594"/>
      <c r="CE262" s="594"/>
      <c r="CF262" s="594"/>
      <c r="CG262" s="594"/>
      <c r="CH262" s="594"/>
      <c r="CI262" s="594"/>
      <c r="CJ262" s="594"/>
      <c r="CK262" s="594"/>
      <c r="CL262" s="594"/>
      <c r="CM262" s="594"/>
      <c r="CN262" s="594"/>
      <c r="CO262" s="594"/>
      <c r="CP262" s="594"/>
      <c r="CQ262" s="594"/>
    </row>
    <row r="263" spans="1:95" ht="19.5" hidden="1" customHeight="1" outlineLevel="2">
      <c r="A263" s="709" t="s">
        <v>689</v>
      </c>
      <c r="B263" s="710">
        <f>-SUMIFS('D2 - Capex uso'!BS$6:BS$176,'D2 - Capex uso'!$C$6:$C$176,$A251,'D2 - Capex uso'!$AK$6:$AK$176,$A263)</f>
        <v>0</v>
      </c>
      <c r="C263" s="710">
        <f>-SUMIFS('D2 - Capex uso'!BT$6:BT$176,'D2 - Capex uso'!$C$6:$C$176,$A251,'D2 - Capex uso'!$AK$6:$AK$176,$A263)</f>
        <v>0</v>
      </c>
      <c r="D263" s="710">
        <f>-SUMIFS('D2 - Capex uso'!BU$6:BU$176,'D2 - Capex uso'!$C$6:$C$176,$A251,'D2 - Capex uso'!$AK$6:$AK$176,$A263)</f>
        <v>0</v>
      </c>
      <c r="E263" s="710">
        <f>-SUMIFS('D2 - Capex uso'!BV$6:BV$176,'D2 - Capex uso'!$C$6:$C$176,$A251,'D2 - Capex uso'!$AK$6:$AK$176,$A263)</f>
        <v>0</v>
      </c>
      <c r="F263" s="710">
        <f>-SUMIFS('D2 - Capex uso'!BW$6:BW$176,'D2 - Capex uso'!$C$6:$C$176,$A251,'D2 - Capex uso'!$AK$6:$AK$176,$A263)</f>
        <v>0</v>
      </c>
      <c r="G263" s="710">
        <f>-SUMIFS('D2 - Capex uso'!BX$6:BX$176,'D2 - Capex uso'!$C$6:$C$176,$A251,'D2 - Capex uso'!$AK$6:$AK$176,$A263)</f>
        <v>0</v>
      </c>
      <c r="H263" s="710">
        <f>-SUMIFS('D2 - Capex uso'!BY$6:BY$176,'D2 - Capex uso'!$C$6:$C$176,$A251,'D2 - Capex uso'!$AK$6:$AK$176,$A263)</f>
        <v>0</v>
      </c>
      <c r="I263" s="710">
        <f>-SUMIFS('D2 - Capex uso'!BZ$6:BZ$176,'D2 - Capex uso'!$C$6:$C$176,$A251,'D2 - Capex uso'!$AK$6:$AK$176,$A263)</f>
        <v>0</v>
      </c>
      <c r="J263" s="710">
        <f>-SUMIFS('D2 - Capex uso'!CA$6:CA$176,'D2 - Capex uso'!$C$6:$C$176,$A251,'D2 - Capex uso'!$AK$6:$AK$176,$A263)</f>
        <v>0</v>
      </c>
      <c r="K263" s="710">
        <f>-SUMIFS('D2 - Capex uso'!CB$6:CB$176,'D2 - Capex uso'!$C$6:$C$176,$A251,'D2 - Capex uso'!$AK$6:$AK$176,$A263)</f>
        <v>0</v>
      </c>
      <c r="L263" s="710">
        <f>-SUMIFS('D2 - Capex uso'!CC$6:CC$176,'D2 - Capex uso'!$C$6:$C$176,$A251,'D2 - Capex uso'!$AK$6:$AK$176,$A263)</f>
        <v>0</v>
      </c>
      <c r="M263" s="710">
        <f>-SUMIFS('D2 - Capex uso'!CD$6:CD$176,'D2 - Capex uso'!$C$6:$C$176,$A251,'D2 - Capex uso'!$AK$6:$AK$176,$A263)</f>
        <v>0</v>
      </c>
      <c r="N263" s="710">
        <f>-SUMIFS('D2 - Capex uso'!CE$6:CE$176,'D2 - Capex uso'!$C$6:$C$176,$A251,'D2 - Capex uso'!$AK$6:$AK$176,$A263)</f>
        <v>0</v>
      </c>
      <c r="O263" s="710">
        <f>-SUMIFS('D2 - Capex uso'!CF$6:CF$176,'D2 - Capex uso'!$C$6:$C$176,$A251,'D2 - Capex uso'!$AK$6:$AK$176,$A263)</f>
        <v>0</v>
      </c>
      <c r="P263" s="710">
        <f>-SUMIFS('D2 - Capex uso'!CG$6:CG$176,'D2 - Capex uso'!$C$6:$C$176,$A251,'D2 - Capex uso'!$AK$6:$AK$176,$A263)</f>
        <v>0</v>
      </c>
      <c r="Q263" s="710">
        <f>-SUMIFS('D2 - Capex uso'!CH$6:CH$176,'D2 - Capex uso'!$C$6:$C$176,$A251,'D2 - Capex uso'!$AK$6:$AK$176,$A263)</f>
        <v>0</v>
      </c>
      <c r="R263" s="710">
        <f>-SUMIFS('D2 - Capex uso'!CI$6:CI$176,'D2 - Capex uso'!$C$6:$C$176,$A251,'D2 - Capex uso'!$AK$6:$AK$176,$A263)</f>
        <v>0</v>
      </c>
      <c r="S263" s="710">
        <f>-SUMIFS('D2 - Capex uso'!CJ$6:CJ$176,'D2 - Capex uso'!$C$6:$C$176,$A251,'D2 - Capex uso'!$AK$6:$AK$176,$A263)</f>
        <v>0</v>
      </c>
      <c r="T263" s="710">
        <f>-SUMIFS('D2 - Capex uso'!CK$6:CK$176,'D2 - Capex uso'!$C$6:$C$176,$A251,'D2 - Capex uso'!$AK$6:$AK$176,$A263)</f>
        <v>0</v>
      </c>
      <c r="U263" s="710">
        <f>-SUMIFS('D2 - Capex uso'!CL$6:CL$176,'D2 - Capex uso'!$C$6:$C$176,$A251,'D2 - Capex uso'!$AK$6:$AK$176,$A263)</f>
        <v>0</v>
      </c>
      <c r="V263" s="710">
        <f>-SUMIFS('D2 - Capex uso'!CM$6:CM$176,'D2 - Capex uso'!$C$6:$C$176,$A251,'D2 - Capex uso'!$AK$6:$AK$176,$A263)</f>
        <v>0</v>
      </c>
      <c r="W263" s="710">
        <f>-SUMIFS('D2 - Capex uso'!CN$6:CN$176,'D2 - Capex uso'!$C$6:$C$176,$A251,'D2 - Capex uso'!$AK$6:$AK$176,$A263)</f>
        <v>0</v>
      </c>
      <c r="X263" s="710">
        <f>-SUMIFS('D2 - Capex uso'!CO$6:CO$176,'D2 - Capex uso'!$C$6:$C$176,$A251,'D2 - Capex uso'!$AK$6:$AK$176,$A263)</f>
        <v>0</v>
      </c>
      <c r="Y263" s="710">
        <f>-SUMIFS('D2 - Capex uso'!CP$6:CP$176,'D2 - Capex uso'!$C$6:$C$176,$A251,'D2 - Capex uso'!$AK$6:$AK$176,$A263)</f>
        <v>0</v>
      </c>
      <c r="Z263" s="710">
        <f>-SUMIFS('D2 - Capex uso'!CQ$6:CQ$176,'D2 - Capex uso'!$C$6:$C$176,$A251,'D2 - Capex uso'!$AK$6:$AK$176,$A263)</f>
        <v>0</v>
      </c>
      <c r="AA263" s="710">
        <f>-SUMIFS('D2 - Capex uso'!CR$6:CR$176,'D2 - Capex uso'!$C$6:$C$176,$A251,'D2 - Capex uso'!$AK$6:$AK$176,$A263)</f>
        <v>0</v>
      </c>
      <c r="AB263" s="710">
        <f>-SUMIFS('D2 - Capex uso'!CS$6:CS$176,'D2 - Capex uso'!$C$6:$C$176,$A251,'D2 - Capex uso'!$AK$6:$AK$176,$A263)</f>
        <v>0</v>
      </c>
      <c r="AC263" s="710">
        <f>-SUMIFS('D2 - Capex uso'!CT$6:CT$176,'D2 - Capex uso'!$C$6:$C$176,$A251,'D2 - Capex uso'!$AK$6:$AK$176,$A263)</f>
        <v>0</v>
      </c>
      <c r="AD263" s="710">
        <f>-SUMIFS('D2 - Capex uso'!CU$6:CU$176,'D2 - Capex uso'!$C$6:$C$176,$A251,'D2 - Capex uso'!$AK$6:$AK$176,$A263)</f>
        <v>0</v>
      </c>
      <c r="AE263" s="710">
        <f>-SUMIFS('D2 - Capex uso'!CV$6:CV$176,'D2 - Capex uso'!$C$6:$C$176,$A251,'D2 - Capex uso'!$AK$6:$AK$176,$A263)</f>
        <v>0</v>
      </c>
      <c r="AF263" s="594"/>
      <c r="AG263" s="594"/>
      <c r="AH263" s="594"/>
      <c r="AI263" s="594"/>
      <c r="AJ263" s="594"/>
      <c r="AK263" s="594"/>
      <c r="AL263" s="594"/>
      <c r="AM263" s="594"/>
      <c r="AN263" s="594"/>
      <c r="AO263" s="594"/>
      <c r="AP263" s="594"/>
      <c r="AQ263" s="594"/>
      <c r="AR263" s="594"/>
      <c r="AS263" s="594"/>
      <c r="AT263" s="594"/>
      <c r="AU263" s="594"/>
      <c r="AV263" s="594"/>
      <c r="AW263" s="594"/>
      <c r="AX263" s="594"/>
      <c r="AY263" s="594"/>
      <c r="AZ263" s="594"/>
      <c r="BA263" s="594"/>
      <c r="BB263" s="594"/>
      <c r="BC263" s="594"/>
      <c r="BD263" s="594"/>
      <c r="BE263" s="594"/>
      <c r="BF263" s="594"/>
      <c r="BG263" s="594"/>
      <c r="BH263" s="594"/>
      <c r="BI263" s="594"/>
      <c r="BJ263" s="594"/>
      <c r="BK263" s="594"/>
      <c r="BL263" s="57"/>
      <c r="BM263" s="594"/>
      <c r="BN263" s="594"/>
      <c r="BO263" s="594"/>
      <c r="BP263" s="594"/>
      <c r="BQ263" s="594"/>
      <c r="BR263" s="594"/>
      <c r="BS263" s="594"/>
      <c r="BT263" s="594"/>
      <c r="BU263" s="594"/>
      <c r="BV263" s="594"/>
      <c r="BW263" s="594"/>
      <c r="BX263" s="594"/>
      <c r="BY263" s="594"/>
      <c r="BZ263" s="594"/>
      <c r="CA263" s="594"/>
      <c r="CB263" s="594"/>
      <c r="CC263" s="594"/>
      <c r="CD263" s="594"/>
      <c r="CE263" s="594"/>
      <c r="CF263" s="594"/>
      <c r="CG263" s="594"/>
      <c r="CH263" s="594"/>
      <c r="CI263" s="594"/>
      <c r="CJ263" s="594"/>
      <c r="CK263" s="594"/>
      <c r="CL263" s="594"/>
      <c r="CM263" s="594"/>
      <c r="CN263" s="594"/>
      <c r="CO263" s="594"/>
      <c r="CP263" s="594"/>
      <c r="CQ263" s="594"/>
    </row>
    <row r="264" spans="1:95" ht="19.5" hidden="1" customHeight="1" outlineLevel="2">
      <c r="A264" s="709" t="s">
        <v>378</v>
      </c>
      <c r="B264" s="710">
        <f>-SUMIFS('D2 - Capex uso'!BS$6:BS$176,'D2 - Capex uso'!$C$6:$C$176,$A251,'D2 - Capex uso'!$AK$6:$AK$176,$A264)</f>
        <v>0</v>
      </c>
      <c r="C264" s="710">
        <f>-SUMIFS('D2 - Capex uso'!BT$6:BT$176,'D2 - Capex uso'!$C$6:$C$176,$A251,'D2 - Capex uso'!$AK$6:$AK$176,$A264)</f>
        <v>0</v>
      </c>
      <c r="D264" s="710">
        <f>-SUMIFS('D2 - Capex uso'!BU$6:BU$176,'D2 - Capex uso'!$C$6:$C$176,$A251,'D2 - Capex uso'!$AK$6:$AK$176,$A264)</f>
        <v>0</v>
      </c>
      <c r="E264" s="710">
        <f>-SUMIFS('D2 - Capex uso'!BV$6:BV$176,'D2 - Capex uso'!$C$6:$C$176,$A251,'D2 - Capex uso'!$AK$6:$AK$176,$A264)</f>
        <v>0</v>
      </c>
      <c r="F264" s="710">
        <f>-SUMIFS('D2 - Capex uso'!BW$6:BW$176,'D2 - Capex uso'!$C$6:$C$176,$A251,'D2 - Capex uso'!$AK$6:$AK$176,$A264)</f>
        <v>0</v>
      </c>
      <c r="G264" s="710">
        <f>-SUMIFS('D2 - Capex uso'!BX$6:BX$176,'D2 - Capex uso'!$C$6:$C$176,$A251,'D2 - Capex uso'!$AK$6:$AK$176,$A264)</f>
        <v>0</v>
      </c>
      <c r="H264" s="710">
        <f>-SUMIFS('D2 - Capex uso'!BY$6:BY$176,'D2 - Capex uso'!$C$6:$C$176,$A251,'D2 - Capex uso'!$AK$6:$AK$176,$A264)</f>
        <v>0</v>
      </c>
      <c r="I264" s="710">
        <f>-SUMIFS('D2 - Capex uso'!BZ$6:BZ$176,'D2 - Capex uso'!$C$6:$C$176,$A251,'D2 - Capex uso'!$AK$6:$AK$176,$A264)</f>
        <v>0</v>
      </c>
      <c r="J264" s="710">
        <f>-SUMIFS('D2 - Capex uso'!CA$6:CA$176,'D2 - Capex uso'!$C$6:$C$176,$A251,'D2 - Capex uso'!$AK$6:$AK$176,$A264)</f>
        <v>0</v>
      </c>
      <c r="K264" s="710">
        <f>-SUMIFS('D2 - Capex uso'!CB$6:CB$176,'D2 - Capex uso'!$C$6:$C$176,$A251,'D2 - Capex uso'!$AK$6:$AK$176,$A264)</f>
        <v>0</v>
      </c>
      <c r="L264" s="710">
        <f>-SUMIFS('D2 - Capex uso'!CC$6:CC$176,'D2 - Capex uso'!$C$6:$C$176,$A251,'D2 - Capex uso'!$AK$6:$AK$176,$A264)</f>
        <v>0</v>
      </c>
      <c r="M264" s="710">
        <f>-SUMIFS('D2 - Capex uso'!CD$6:CD$176,'D2 - Capex uso'!$C$6:$C$176,$A251,'D2 - Capex uso'!$AK$6:$AK$176,$A264)</f>
        <v>0</v>
      </c>
      <c r="N264" s="710">
        <f>-SUMIFS('D2 - Capex uso'!CE$6:CE$176,'D2 - Capex uso'!$C$6:$C$176,$A251,'D2 - Capex uso'!$AK$6:$AK$176,$A264)</f>
        <v>0</v>
      </c>
      <c r="O264" s="710">
        <f>-SUMIFS('D2 - Capex uso'!CF$6:CF$176,'D2 - Capex uso'!$C$6:$C$176,$A251,'D2 - Capex uso'!$AK$6:$AK$176,$A264)</f>
        <v>0</v>
      </c>
      <c r="P264" s="710">
        <f>-SUMIFS('D2 - Capex uso'!CG$6:CG$176,'D2 - Capex uso'!$C$6:$C$176,$A251,'D2 - Capex uso'!$AK$6:$AK$176,$A264)</f>
        <v>0</v>
      </c>
      <c r="Q264" s="710">
        <f>-SUMIFS('D2 - Capex uso'!CH$6:CH$176,'D2 - Capex uso'!$C$6:$C$176,$A251,'D2 - Capex uso'!$AK$6:$AK$176,$A264)</f>
        <v>0</v>
      </c>
      <c r="R264" s="710">
        <f>-SUMIFS('D2 - Capex uso'!CI$6:CI$176,'D2 - Capex uso'!$C$6:$C$176,$A251,'D2 - Capex uso'!$AK$6:$AK$176,$A264)</f>
        <v>0</v>
      </c>
      <c r="S264" s="710">
        <f>-SUMIFS('D2 - Capex uso'!CJ$6:CJ$176,'D2 - Capex uso'!$C$6:$C$176,$A251,'D2 - Capex uso'!$AK$6:$AK$176,$A264)</f>
        <v>0</v>
      </c>
      <c r="T264" s="710">
        <f>-SUMIFS('D2 - Capex uso'!CK$6:CK$176,'D2 - Capex uso'!$C$6:$C$176,$A251,'D2 - Capex uso'!$AK$6:$AK$176,$A264)</f>
        <v>0</v>
      </c>
      <c r="U264" s="710">
        <f>-SUMIFS('D2 - Capex uso'!CL$6:CL$176,'D2 - Capex uso'!$C$6:$C$176,$A251,'D2 - Capex uso'!$AK$6:$AK$176,$A264)</f>
        <v>0</v>
      </c>
      <c r="V264" s="710">
        <f>-SUMIFS('D2 - Capex uso'!CM$6:CM$176,'D2 - Capex uso'!$C$6:$C$176,$A251,'D2 - Capex uso'!$AK$6:$AK$176,$A264)</f>
        <v>0</v>
      </c>
      <c r="W264" s="710">
        <f>-SUMIFS('D2 - Capex uso'!CN$6:CN$176,'D2 - Capex uso'!$C$6:$C$176,$A251,'D2 - Capex uso'!$AK$6:$AK$176,$A264)</f>
        <v>0</v>
      </c>
      <c r="X264" s="710">
        <f>-SUMIFS('D2 - Capex uso'!CO$6:CO$176,'D2 - Capex uso'!$C$6:$C$176,$A251,'D2 - Capex uso'!$AK$6:$AK$176,$A264)</f>
        <v>0</v>
      </c>
      <c r="Y264" s="710">
        <f>-SUMIFS('D2 - Capex uso'!CP$6:CP$176,'D2 - Capex uso'!$C$6:$C$176,$A251,'D2 - Capex uso'!$AK$6:$AK$176,$A264)</f>
        <v>0</v>
      </c>
      <c r="Z264" s="710">
        <f>-SUMIFS('D2 - Capex uso'!CQ$6:CQ$176,'D2 - Capex uso'!$C$6:$C$176,$A251,'D2 - Capex uso'!$AK$6:$AK$176,$A264)</f>
        <v>0</v>
      </c>
      <c r="AA264" s="710">
        <f>-SUMIFS('D2 - Capex uso'!CR$6:CR$176,'D2 - Capex uso'!$C$6:$C$176,$A251,'D2 - Capex uso'!$AK$6:$AK$176,$A264)</f>
        <v>0</v>
      </c>
      <c r="AB264" s="710">
        <f>-SUMIFS('D2 - Capex uso'!CS$6:CS$176,'D2 - Capex uso'!$C$6:$C$176,$A251,'D2 - Capex uso'!$AK$6:$AK$176,$A264)</f>
        <v>0</v>
      </c>
      <c r="AC264" s="710">
        <f>-SUMIFS('D2 - Capex uso'!CT$6:CT$176,'D2 - Capex uso'!$C$6:$C$176,$A251,'D2 - Capex uso'!$AK$6:$AK$176,$A264)</f>
        <v>0</v>
      </c>
      <c r="AD264" s="710">
        <f>-SUMIFS('D2 - Capex uso'!CU$6:CU$176,'D2 - Capex uso'!$C$6:$C$176,$A251,'D2 - Capex uso'!$AK$6:$AK$176,$A264)</f>
        <v>0</v>
      </c>
      <c r="AE264" s="710">
        <f>-SUMIFS('D2 - Capex uso'!CV$6:CV$176,'D2 - Capex uso'!$C$6:$C$176,$A251,'D2 - Capex uso'!$AK$6:$AK$176,$A264)</f>
        <v>0</v>
      </c>
      <c r="AF264" s="594"/>
      <c r="AG264" s="594"/>
      <c r="AH264" s="594"/>
      <c r="AI264" s="594"/>
      <c r="AJ264" s="594"/>
      <c r="AK264" s="594"/>
      <c r="AL264" s="594"/>
      <c r="AM264" s="594"/>
      <c r="AN264" s="594"/>
      <c r="AO264" s="594"/>
      <c r="AP264" s="594"/>
      <c r="AQ264" s="594"/>
      <c r="AR264" s="594"/>
      <c r="AS264" s="594"/>
      <c r="AT264" s="594"/>
      <c r="AU264" s="594"/>
      <c r="AV264" s="594"/>
      <c r="AW264" s="594"/>
      <c r="AX264" s="594"/>
      <c r="AY264" s="594"/>
      <c r="AZ264" s="594"/>
      <c r="BA264" s="594"/>
      <c r="BB264" s="594"/>
      <c r="BC264" s="594"/>
      <c r="BD264" s="594"/>
      <c r="BE264" s="594"/>
      <c r="BF264" s="594"/>
      <c r="BG264" s="594"/>
      <c r="BH264" s="594"/>
      <c r="BI264" s="594"/>
      <c r="BJ264" s="594"/>
      <c r="BK264" s="594"/>
      <c r="BL264" s="57"/>
      <c r="BM264" s="594"/>
      <c r="BN264" s="594"/>
      <c r="BO264" s="594"/>
      <c r="BP264" s="594"/>
      <c r="BQ264" s="594"/>
      <c r="BR264" s="594"/>
      <c r="BS264" s="594"/>
      <c r="BT264" s="594"/>
      <c r="BU264" s="594"/>
      <c r="BV264" s="594"/>
      <c r="BW264" s="594"/>
      <c r="BX264" s="594"/>
      <c r="BY264" s="594"/>
      <c r="BZ264" s="594"/>
      <c r="CA264" s="594"/>
      <c r="CB264" s="594"/>
      <c r="CC264" s="594"/>
      <c r="CD264" s="594"/>
      <c r="CE264" s="594"/>
      <c r="CF264" s="594"/>
      <c r="CG264" s="594"/>
      <c r="CH264" s="594"/>
      <c r="CI264" s="594"/>
      <c r="CJ264" s="594"/>
      <c r="CK264" s="594"/>
      <c r="CL264" s="594"/>
      <c r="CM264" s="594"/>
      <c r="CN264" s="594"/>
      <c r="CO264" s="594"/>
      <c r="CP264" s="594"/>
      <c r="CQ264" s="594"/>
    </row>
    <row r="265" spans="1:95" ht="19.5" hidden="1" customHeight="1" outlineLevel="2">
      <c r="A265" s="709" t="s">
        <v>366</v>
      </c>
      <c r="B265" s="710">
        <f>-SUMIFS('D2 - Capex uso'!BS$6:BS$176,'D2 - Capex uso'!$C$6:$C$176,$A251,'D2 - Capex uso'!$AK$6:$AK$176,$A265)</f>
        <v>0</v>
      </c>
      <c r="C265" s="710">
        <f>-SUMIFS('D2 - Capex uso'!BT$6:BT$176,'D2 - Capex uso'!$C$6:$C$176,$A251,'D2 - Capex uso'!$AK$6:$AK$176,$A265)</f>
        <v>0</v>
      </c>
      <c r="D265" s="710">
        <f>-SUMIFS('D2 - Capex uso'!BU$6:BU$176,'D2 - Capex uso'!$C$6:$C$176,$A251,'D2 - Capex uso'!$AK$6:$AK$176,$A265)</f>
        <v>0</v>
      </c>
      <c r="E265" s="710">
        <f>-SUMIFS('D2 - Capex uso'!BV$6:BV$176,'D2 - Capex uso'!$C$6:$C$176,$A251,'D2 - Capex uso'!$AK$6:$AK$176,$A265)</f>
        <v>0</v>
      </c>
      <c r="F265" s="710">
        <f>-SUMIFS('D2 - Capex uso'!BW$6:BW$176,'D2 - Capex uso'!$C$6:$C$176,$A251,'D2 - Capex uso'!$AK$6:$AK$176,$A265)</f>
        <v>0</v>
      </c>
      <c r="G265" s="710">
        <f>-SUMIFS('D2 - Capex uso'!BX$6:BX$176,'D2 - Capex uso'!$C$6:$C$176,$A251,'D2 - Capex uso'!$AK$6:$AK$176,$A265)</f>
        <v>0</v>
      </c>
      <c r="H265" s="710">
        <f>-SUMIFS('D2 - Capex uso'!BY$6:BY$176,'D2 - Capex uso'!$C$6:$C$176,$A251,'D2 - Capex uso'!$AK$6:$AK$176,$A265)</f>
        <v>0</v>
      </c>
      <c r="I265" s="710">
        <f>-SUMIFS('D2 - Capex uso'!BZ$6:BZ$176,'D2 - Capex uso'!$C$6:$C$176,$A251,'D2 - Capex uso'!$AK$6:$AK$176,$A265)</f>
        <v>0</v>
      </c>
      <c r="J265" s="710">
        <f>-SUMIFS('D2 - Capex uso'!CA$6:CA$176,'D2 - Capex uso'!$C$6:$C$176,$A251,'D2 - Capex uso'!$AK$6:$AK$176,$A265)</f>
        <v>0</v>
      </c>
      <c r="K265" s="710">
        <f>-SUMIFS('D2 - Capex uso'!CB$6:CB$176,'D2 - Capex uso'!$C$6:$C$176,$A251,'D2 - Capex uso'!$AK$6:$AK$176,$A265)</f>
        <v>0</v>
      </c>
      <c r="L265" s="710">
        <f>-SUMIFS('D2 - Capex uso'!CC$6:CC$176,'D2 - Capex uso'!$C$6:$C$176,$A251,'D2 - Capex uso'!$AK$6:$AK$176,$A265)</f>
        <v>0</v>
      </c>
      <c r="M265" s="710">
        <f>-SUMIFS('D2 - Capex uso'!CD$6:CD$176,'D2 - Capex uso'!$C$6:$C$176,$A251,'D2 - Capex uso'!$AK$6:$AK$176,$A265)</f>
        <v>0</v>
      </c>
      <c r="N265" s="710">
        <f>-SUMIFS('D2 - Capex uso'!CE$6:CE$176,'D2 - Capex uso'!$C$6:$C$176,$A251,'D2 - Capex uso'!$AK$6:$AK$176,$A265)</f>
        <v>0</v>
      </c>
      <c r="O265" s="710">
        <f>-SUMIFS('D2 - Capex uso'!CF$6:CF$176,'D2 - Capex uso'!$C$6:$C$176,$A251,'D2 - Capex uso'!$AK$6:$AK$176,$A265)</f>
        <v>0</v>
      </c>
      <c r="P265" s="710">
        <f>-SUMIFS('D2 - Capex uso'!CG$6:CG$176,'D2 - Capex uso'!$C$6:$C$176,$A251,'D2 - Capex uso'!$AK$6:$AK$176,$A265)</f>
        <v>0</v>
      </c>
      <c r="Q265" s="710">
        <f>-SUMIFS('D2 - Capex uso'!CH$6:CH$176,'D2 - Capex uso'!$C$6:$C$176,$A251,'D2 - Capex uso'!$AK$6:$AK$176,$A265)</f>
        <v>0</v>
      </c>
      <c r="R265" s="710">
        <f>-SUMIFS('D2 - Capex uso'!CI$6:CI$176,'D2 - Capex uso'!$C$6:$C$176,$A251,'D2 - Capex uso'!$AK$6:$AK$176,$A265)</f>
        <v>0</v>
      </c>
      <c r="S265" s="710">
        <f>-SUMIFS('D2 - Capex uso'!CJ$6:CJ$176,'D2 - Capex uso'!$C$6:$C$176,$A251,'D2 - Capex uso'!$AK$6:$AK$176,$A265)</f>
        <v>0</v>
      </c>
      <c r="T265" s="710">
        <f>-SUMIFS('D2 - Capex uso'!CK$6:CK$176,'D2 - Capex uso'!$C$6:$C$176,$A251,'D2 - Capex uso'!$AK$6:$AK$176,$A265)</f>
        <v>0</v>
      </c>
      <c r="U265" s="710">
        <f>-SUMIFS('D2 - Capex uso'!CL$6:CL$176,'D2 - Capex uso'!$C$6:$C$176,$A251,'D2 - Capex uso'!$AK$6:$AK$176,$A265)</f>
        <v>0</v>
      </c>
      <c r="V265" s="710">
        <f>-SUMIFS('D2 - Capex uso'!CM$6:CM$176,'D2 - Capex uso'!$C$6:$C$176,$A251,'D2 - Capex uso'!$AK$6:$AK$176,$A265)</f>
        <v>0</v>
      </c>
      <c r="W265" s="710">
        <f>-SUMIFS('D2 - Capex uso'!CN$6:CN$176,'D2 - Capex uso'!$C$6:$C$176,$A251,'D2 - Capex uso'!$AK$6:$AK$176,$A265)</f>
        <v>0</v>
      </c>
      <c r="X265" s="710">
        <f>-SUMIFS('D2 - Capex uso'!CO$6:CO$176,'D2 - Capex uso'!$C$6:$C$176,$A251,'D2 - Capex uso'!$AK$6:$AK$176,$A265)</f>
        <v>0</v>
      </c>
      <c r="Y265" s="710">
        <f>-SUMIFS('D2 - Capex uso'!CP$6:CP$176,'D2 - Capex uso'!$C$6:$C$176,$A251,'D2 - Capex uso'!$AK$6:$AK$176,$A265)</f>
        <v>0</v>
      </c>
      <c r="Z265" s="710">
        <f>-SUMIFS('D2 - Capex uso'!CQ$6:CQ$176,'D2 - Capex uso'!$C$6:$C$176,$A251,'D2 - Capex uso'!$AK$6:$AK$176,$A265)</f>
        <v>0</v>
      </c>
      <c r="AA265" s="710">
        <f>-SUMIFS('D2 - Capex uso'!CR$6:CR$176,'D2 - Capex uso'!$C$6:$C$176,$A251,'D2 - Capex uso'!$AK$6:$AK$176,$A265)</f>
        <v>0</v>
      </c>
      <c r="AB265" s="710">
        <f>-SUMIFS('D2 - Capex uso'!CS$6:CS$176,'D2 - Capex uso'!$C$6:$C$176,$A251,'D2 - Capex uso'!$AK$6:$AK$176,$A265)</f>
        <v>0</v>
      </c>
      <c r="AC265" s="710">
        <f>-SUMIFS('D2 - Capex uso'!CT$6:CT$176,'D2 - Capex uso'!$C$6:$C$176,$A251,'D2 - Capex uso'!$AK$6:$AK$176,$A265)</f>
        <v>0</v>
      </c>
      <c r="AD265" s="710">
        <f>-SUMIFS('D2 - Capex uso'!CU$6:CU$176,'D2 - Capex uso'!$C$6:$C$176,$A251,'D2 - Capex uso'!$AK$6:$AK$176,$A265)</f>
        <v>0</v>
      </c>
      <c r="AE265" s="710">
        <f>-SUMIFS('D2 - Capex uso'!CV$6:CV$176,'D2 - Capex uso'!$C$6:$C$176,$A251,'D2 - Capex uso'!$AK$6:$AK$176,$A265)</f>
        <v>0</v>
      </c>
      <c r="AF265" s="594"/>
      <c r="AG265" s="594"/>
      <c r="AH265" s="594"/>
      <c r="AI265" s="594"/>
      <c r="AJ265" s="594"/>
      <c r="AK265" s="594"/>
      <c r="AL265" s="594"/>
      <c r="AM265" s="594"/>
      <c r="AN265" s="594"/>
      <c r="AO265" s="594"/>
      <c r="AP265" s="594"/>
      <c r="AQ265" s="594"/>
      <c r="AR265" s="594"/>
      <c r="AS265" s="594"/>
      <c r="AT265" s="594"/>
      <c r="AU265" s="594"/>
      <c r="AV265" s="594"/>
      <c r="AW265" s="594"/>
      <c r="AX265" s="594"/>
      <c r="AY265" s="594"/>
      <c r="AZ265" s="594"/>
      <c r="BA265" s="594"/>
      <c r="BB265" s="594"/>
      <c r="BC265" s="594"/>
      <c r="BD265" s="594"/>
      <c r="BE265" s="594"/>
      <c r="BF265" s="594"/>
      <c r="BG265" s="594"/>
      <c r="BH265" s="594"/>
      <c r="BI265" s="594"/>
      <c r="BJ265" s="594"/>
      <c r="BK265" s="594"/>
      <c r="BL265" s="57"/>
      <c r="BM265" s="594"/>
      <c r="BN265" s="594"/>
      <c r="BO265" s="594"/>
      <c r="BP265" s="594"/>
      <c r="BQ265" s="594"/>
      <c r="BR265" s="594"/>
      <c r="BS265" s="594"/>
      <c r="BT265" s="594"/>
      <c r="BU265" s="594"/>
      <c r="BV265" s="594"/>
      <c r="BW265" s="594"/>
      <c r="BX265" s="594"/>
      <c r="BY265" s="594"/>
      <c r="BZ265" s="594"/>
      <c r="CA265" s="594"/>
      <c r="CB265" s="594"/>
      <c r="CC265" s="594"/>
      <c r="CD265" s="594"/>
      <c r="CE265" s="594"/>
      <c r="CF265" s="594"/>
      <c r="CG265" s="594"/>
      <c r="CH265" s="594"/>
      <c r="CI265" s="594"/>
      <c r="CJ265" s="594"/>
      <c r="CK265" s="594"/>
      <c r="CL265" s="594"/>
      <c r="CM265" s="594"/>
      <c r="CN265" s="594"/>
      <c r="CO265" s="594"/>
      <c r="CP265" s="594"/>
      <c r="CQ265" s="594"/>
    </row>
    <row r="266" spans="1:95" ht="19.5" hidden="1" customHeight="1" outlineLevel="2">
      <c r="A266" s="709" t="s">
        <v>371</v>
      </c>
      <c r="B266" s="710">
        <f>-SUMIFS('D2 - Capex uso'!BS$6:BS$176,'D2 - Capex uso'!$C$6:$C$176,$A251,'D2 - Capex uso'!$AK$6:$AK$176,$A266)</f>
        <v>0</v>
      </c>
      <c r="C266" s="710">
        <f>-SUMIFS('D2 - Capex uso'!BT$6:BT$176,'D2 - Capex uso'!$C$6:$C$176,$A251,'D2 - Capex uso'!$AK$6:$AK$176,$A266)</f>
        <v>0</v>
      </c>
      <c r="D266" s="710">
        <f>-SUMIFS('D2 - Capex uso'!BU$6:BU$176,'D2 - Capex uso'!$C$6:$C$176,$A251,'D2 - Capex uso'!$AK$6:$AK$176,$A266)</f>
        <v>0</v>
      </c>
      <c r="E266" s="710">
        <f>-SUMIFS('D2 - Capex uso'!BV$6:BV$176,'D2 - Capex uso'!$C$6:$C$176,$A251,'D2 - Capex uso'!$AK$6:$AK$176,$A266)</f>
        <v>0</v>
      </c>
      <c r="F266" s="710">
        <f>-SUMIFS('D2 - Capex uso'!BW$6:BW$176,'D2 - Capex uso'!$C$6:$C$176,$A251,'D2 - Capex uso'!$AK$6:$AK$176,$A266)</f>
        <v>0</v>
      </c>
      <c r="G266" s="710">
        <f>-SUMIFS('D2 - Capex uso'!BX$6:BX$176,'D2 - Capex uso'!$C$6:$C$176,$A251,'D2 - Capex uso'!$AK$6:$AK$176,$A266)</f>
        <v>0</v>
      </c>
      <c r="H266" s="710">
        <f>-SUMIFS('D2 - Capex uso'!BY$6:BY$176,'D2 - Capex uso'!$C$6:$C$176,$A251,'D2 - Capex uso'!$AK$6:$AK$176,$A266)</f>
        <v>0</v>
      </c>
      <c r="I266" s="710">
        <f>-SUMIFS('D2 - Capex uso'!BZ$6:BZ$176,'D2 - Capex uso'!$C$6:$C$176,$A251,'D2 - Capex uso'!$AK$6:$AK$176,$A266)</f>
        <v>0</v>
      </c>
      <c r="J266" s="710">
        <f>-SUMIFS('D2 - Capex uso'!CA$6:CA$176,'D2 - Capex uso'!$C$6:$C$176,$A251,'D2 - Capex uso'!$AK$6:$AK$176,$A266)</f>
        <v>0</v>
      </c>
      <c r="K266" s="710">
        <f>-SUMIFS('D2 - Capex uso'!CB$6:CB$176,'D2 - Capex uso'!$C$6:$C$176,$A251,'D2 - Capex uso'!$AK$6:$AK$176,$A266)</f>
        <v>0</v>
      </c>
      <c r="L266" s="710">
        <f>-SUMIFS('D2 - Capex uso'!CC$6:CC$176,'D2 - Capex uso'!$C$6:$C$176,$A251,'D2 - Capex uso'!$AK$6:$AK$176,$A266)</f>
        <v>0</v>
      </c>
      <c r="M266" s="710">
        <f>-SUMIFS('D2 - Capex uso'!CD$6:CD$176,'D2 - Capex uso'!$C$6:$C$176,$A251,'D2 - Capex uso'!$AK$6:$AK$176,$A266)</f>
        <v>0</v>
      </c>
      <c r="N266" s="710">
        <f>-SUMIFS('D2 - Capex uso'!CE$6:CE$176,'D2 - Capex uso'!$C$6:$C$176,$A251,'D2 - Capex uso'!$AK$6:$AK$176,$A266)</f>
        <v>0</v>
      </c>
      <c r="O266" s="710">
        <f>-SUMIFS('D2 - Capex uso'!CF$6:CF$176,'D2 - Capex uso'!$C$6:$C$176,$A251,'D2 - Capex uso'!$AK$6:$AK$176,$A266)</f>
        <v>0</v>
      </c>
      <c r="P266" s="710">
        <f>-SUMIFS('D2 - Capex uso'!CG$6:CG$176,'D2 - Capex uso'!$C$6:$C$176,$A251,'D2 - Capex uso'!$AK$6:$AK$176,$A266)</f>
        <v>0</v>
      </c>
      <c r="Q266" s="710">
        <f>-SUMIFS('D2 - Capex uso'!CH$6:CH$176,'D2 - Capex uso'!$C$6:$C$176,$A251,'D2 - Capex uso'!$AK$6:$AK$176,$A266)</f>
        <v>0</v>
      </c>
      <c r="R266" s="710">
        <f>-SUMIFS('D2 - Capex uso'!CI$6:CI$176,'D2 - Capex uso'!$C$6:$C$176,$A251,'D2 - Capex uso'!$AK$6:$AK$176,$A266)</f>
        <v>0</v>
      </c>
      <c r="S266" s="710">
        <f>-SUMIFS('D2 - Capex uso'!CJ$6:CJ$176,'D2 - Capex uso'!$C$6:$C$176,$A251,'D2 - Capex uso'!$AK$6:$AK$176,$A266)</f>
        <v>0</v>
      </c>
      <c r="T266" s="710">
        <f>-SUMIFS('D2 - Capex uso'!CK$6:CK$176,'D2 - Capex uso'!$C$6:$C$176,$A251,'D2 - Capex uso'!$AK$6:$AK$176,$A266)</f>
        <v>0</v>
      </c>
      <c r="U266" s="710">
        <f>-SUMIFS('D2 - Capex uso'!CL$6:CL$176,'D2 - Capex uso'!$C$6:$C$176,$A251,'D2 - Capex uso'!$AK$6:$AK$176,$A266)</f>
        <v>0</v>
      </c>
      <c r="V266" s="710">
        <f>-SUMIFS('D2 - Capex uso'!CM$6:CM$176,'D2 - Capex uso'!$C$6:$C$176,$A251,'D2 - Capex uso'!$AK$6:$AK$176,$A266)</f>
        <v>0</v>
      </c>
      <c r="W266" s="710">
        <f>-SUMIFS('D2 - Capex uso'!CN$6:CN$176,'D2 - Capex uso'!$C$6:$C$176,$A251,'D2 - Capex uso'!$AK$6:$AK$176,$A266)</f>
        <v>0</v>
      </c>
      <c r="X266" s="710">
        <f>-SUMIFS('D2 - Capex uso'!CO$6:CO$176,'D2 - Capex uso'!$C$6:$C$176,$A251,'D2 - Capex uso'!$AK$6:$AK$176,$A266)</f>
        <v>0</v>
      </c>
      <c r="Y266" s="710">
        <f>-SUMIFS('D2 - Capex uso'!CP$6:CP$176,'D2 - Capex uso'!$C$6:$C$176,$A251,'D2 - Capex uso'!$AK$6:$AK$176,$A266)</f>
        <v>0</v>
      </c>
      <c r="Z266" s="710">
        <f>-SUMIFS('D2 - Capex uso'!CQ$6:CQ$176,'D2 - Capex uso'!$C$6:$C$176,$A251,'D2 - Capex uso'!$AK$6:$AK$176,$A266)</f>
        <v>0</v>
      </c>
      <c r="AA266" s="710">
        <f>-SUMIFS('D2 - Capex uso'!CR$6:CR$176,'D2 - Capex uso'!$C$6:$C$176,$A251,'D2 - Capex uso'!$AK$6:$AK$176,$A266)</f>
        <v>0</v>
      </c>
      <c r="AB266" s="710">
        <f>-SUMIFS('D2 - Capex uso'!CS$6:CS$176,'D2 - Capex uso'!$C$6:$C$176,$A251,'D2 - Capex uso'!$AK$6:$AK$176,$A266)</f>
        <v>0</v>
      </c>
      <c r="AC266" s="710">
        <f>-SUMIFS('D2 - Capex uso'!CT$6:CT$176,'D2 - Capex uso'!$C$6:$C$176,$A251,'D2 - Capex uso'!$AK$6:$AK$176,$A266)</f>
        <v>0</v>
      </c>
      <c r="AD266" s="710">
        <f>-SUMIFS('D2 - Capex uso'!CU$6:CU$176,'D2 - Capex uso'!$C$6:$C$176,$A251,'D2 - Capex uso'!$AK$6:$AK$176,$A266)</f>
        <v>0</v>
      </c>
      <c r="AE266" s="710">
        <f>-SUMIFS('D2 - Capex uso'!CV$6:CV$176,'D2 - Capex uso'!$C$6:$C$176,$A251,'D2 - Capex uso'!$AK$6:$AK$176,$A266)</f>
        <v>0</v>
      </c>
      <c r="AF266" s="594"/>
      <c r="AG266" s="594"/>
      <c r="AH266" s="594"/>
      <c r="AI266" s="594"/>
      <c r="AJ266" s="594"/>
      <c r="AK266" s="594"/>
      <c r="AL266" s="594"/>
      <c r="AM266" s="594"/>
      <c r="AN266" s="594"/>
      <c r="AO266" s="594"/>
      <c r="AP266" s="594"/>
      <c r="AQ266" s="594"/>
      <c r="AR266" s="594"/>
      <c r="AS266" s="594"/>
      <c r="AT266" s="594"/>
      <c r="AU266" s="594"/>
      <c r="AV266" s="594"/>
      <c r="AW266" s="594"/>
      <c r="AX266" s="594"/>
      <c r="AY266" s="594"/>
      <c r="AZ266" s="594"/>
      <c r="BA266" s="594"/>
      <c r="BB266" s="594"/>
      <c r="BC266" s="594"/>
      <c r="BD266" s="594"/>
      <c r="BE266" s="594"/>
      <c r="BF266" s="594"/>
      <c r="BG266" s="594"/>
      <c r="BH266" s="594"/>
      <c r="BI266" s="594"/>
      <c r="BJ266" s="594"/>
      <c r="BK266" s="594"/>
      <c r="BL266" s="57"/>
      <c r="BM266" s="594"/>
      <c r="BN266" s="594"/>
      <c r="BO266" s="594"/>
      <c r="BP266" s="594"/>
      <c r="BQ266" s="594"/>
      <c r="BR266" s="594"/>
      <c r="BS266" s="594"/>
      <c r="BT266" s="594"/>
      <c r="BU266" s="594"/>
      <c r="BV266" s="594"/>
      <c r="BW266" s="594"/>
      <c r="BX266" s="594"/>
      <c r="BY266" s="594"/>
      <c r="BZ266" s="594"/>
      <c r="CA266" s="594"/>
      <c r="CB266" s="594"/>
      <c r="CC266" s="594"/>
      <c r="CD266" s="594"/>
      <c r="CE266" s="594"/>
      <c r="CF266" s="594"/>
      <c r="CG266" s="594"/>
      <c r="CH266" s="594"/>
      <c r="CI266" s="594"/>
      <c r="CJ266" s="594"/>
      <c r="CK266" s="594"/>
      <c r="CL266" s="594"/>
      <c r="CM266" s="594"/>
      <c r="CN266" s="594"/>
      <c r="CO266" s="594"/>
      <c r="CP266" s="594"/>
      <c r="CQ266" s="594"/>
    </row>
    <row r="267" spans="1:95" ht="19.5" hidden="1" customHeight="1" outlineLevel="2">
      <c r="A267" s="709" t="s">
        <v>361</v>
      </c>
      <c r="B267" s="710">
        <f>-SUMIFS('D2 - Capex uso'!BS$6:BS$176,'D2 - Capex uso'!$C$6:$C$176,$A251,'D2 - Capex uso'!$AK$6:$AK$176,$A267)</f>
        <v>0</v>
      </c>
      <c r="C267" s="710">
        <f>-SUMIFS('D2 - Capex uso'!BT$6:BT$176,'D2 - Capex uso'!$C$6:$C$176,$A251,'D2 - Capex uso'!$AK$6:$AK$176,$A267)</f>
        <v>0</v>
      </c>
      <c r="D267" s="710">
        <f>-SUMIFS('D2 - Capex uso'!BU$6:BU$176,'D2 - Capex uso'!$C$6:$C$176,$A251,'D2 - Capex uso'!$AK$6:$AK$176,$A267)</f>
        <v>0</v>
      </c>
      <c r="E267" s="710">
        <f>-SUMIFS('D2 - Capex uso'!BV$6:BV$176,'D2 - Capex uso'!$C$6:$C$176,$A251,'D2 - Capex uso'!$AK$6:$AK$176,$A267)</f>
        <v>0</v>
      </c>
      <c r="F267" s="710">
        <f>-SUMIFS('D2 - Capex uso'!BW$6:BW$176,'D2 - Capex uso'!$C$6:$C$176,$A251,'D2 - Capex uso'!$AK$6:$AK$176,$A267)</f>
        <v>0</v>
      </c>
      <c r="G267" s="710">
        <f>-SUMIFS('D2 - Capex uso'!BX$6:BX$176,'D2 - Capex uso'!$C$6:$C$176,$A251,'D2 - Capex uso'!$AK$6:$AK$176,$A267)</f>
        <v>0</v>
      </c>
      <c r="H267" s="710">
        <f>-SUMIFS('D2 - Capex uso'!BY$6:BY$176,'D2 - Capex uso'!$C$6:$C$176,$A251,'D2 - Capex uso'!$AK$6:$AK$176,$A267)</f>
        <v>0</v>
      </c>
      <c r="I267" s="710">
        <f>-SUMIFS('D2 - Capex uso'!BZ$6:BZ$176,'D2 - Capex uso'!$C$6:$C$176,$A251,'D2 - Capex uso'!$AK$6:$AK$176,$A267)</f>
        <v>0</v>
      </c>
      <c r="J267" s="710">
        <f>-SUMIFS('D2 - Capex uso'!CA$6:CA$176,'D2 - Capex uso'!$C$6:$C$176,$A251,'D2 - Capex uso'!$AK$6:$AK$176,$A267)</f>
        <v>0</v>
      </c>
      <c r="K267" s="710">
        <f>-SUMIFS('D2 - Capex uso'!CB$6:CB$176,'D2 - Capex uso'!$C$6:$C$176,$A251,'D2 - Capex uso'!$AK$6:$AK$176,$A267)</f>
        <v>0</v>
      </c>
      <c r="L267" s="710">
        <f>-SUMIFS('D2 - Capex uso'!CC$6:CC$176,'D2 - Capex uso'!$C$6:$C$176,$A251,'D2 - Capex uso'!$AK$6:$AK$176,$A267)</f>
        <v>0</v>
      </c>
      <c r="M267" s="710">
        <f>-SUMIFS('D2 - Capex uso'!CD$6:CD$176,'D2 - Capex uso'!$C$6:$C$176,$A251,'D2 - Capex uso'!$AK$6:$AK$176,$A267)</f>
        <v>0</v>
      </c>
      <c r="N267" s="710">
        <f>-SUMIFS('D2 - Capex uso'!CE$6:CE$176,'D2 - Capex uso'!$C$6:$C$176,$A251,'D2 - Capex uso'!$AK$6:$AK$176,$A267)</f>
        <v>0</v>
      </c>
      <c r="O267" s="710">
        <f>-SUMIFS('D2 - Capex uso'!CF$6:CF$176,'D2 - Capex uso'!$C$6:$C$176,$A251,'D2 - Capex uso'!$AK$6:$AK$176,$A267)</f>
        <v>0</v>
      </c>
      <c r="P267" s="710">
        <f>-SUMIFS('D2 - Capex uso'!CG$6:CG$176,'D2 - Capex uso'!$C$6:$C$176,$A251,'D2 - Capex uso'!$AK$6:$AK$176,$A267)</f>
        <v>0</v>
      </c>
      <c r="Q267" s="710">
        <f>-SUMIFS('D2 - Capex uso'!CH$6:CH$176,'D2 - Capex uso'!$C$6:$C$176,$A251,'D2 - Capex uso'!$AK$6:$AK$176,$A267)</f>
        <v>0</v>
      </c>
      <c r="R267" s="710">
        <f>-SUMIFS('D2 - Capex uso'!CI$6:CI$176,'D2 - Capex uso'!$C$6:$C$176,$A251,'D2 - Capex uso'!$AK$6:$AK$176,$A267)</f>
        <v>0</v>
      </c>
      <c r="S267" s="710">
        <f>-SUMIFS('D2 - Capex uso'!CJ$6:CJ$176,'D2 - Capex uso'!$C$6:$C$176,$A251,'D2 - Capex uso'!$AK$6:$AK$176,$A267)</f>
        <v>0</v>
      </c>
      <c r="T267" s="710">
        <f>-SUMIFS('D2 - Capex uso'!CK$6:CK$176,'D2 - Capex uso'!$C$6:$C$176,$A251,'D2 - Capex uso'!$AK$6:$AK$176,$A267)</f>
        <v>0</v>
      </c>
      <c r="U267" s="710">
        <f>-SUMIFS('D2 - Capex uso'!CL$6:CL$176,'D2 - Capex uso'!$C$6:$C$176,$A251,'D2 - Capex uso'!$AK$6:$AK$176,$A267)</f>
        <v>0</v>
      </c>
      <c r="V267" s="710">
        <f>-SUMIFS('D2 - Capex uso'!CM$6:CM$176,'D2 - Capex uso'!$C$6:$C$176,$A251,'D2 - Capex uso'!$AK$6:$AK$176,$A267)</f>
        <v>0</v>
      </c>
      <c r="W267" s="710">
        <f>-SUMIFS('D2 - Capex uso'!CN$6:CN$176,'D2 - Capex uso'!$C$6:$C$176,$A251,'D2 - Capex uso'!$AK$6:$AK$176,$A267)</f>
        <v>0</v>
      </c>
      <c r="X267" s="710">
        <f>-SUMIFS('D2 - Capex uso'!CO$6:CO$176,'D2 - Capex uso'!$C$6:$C$176,$A251,'D2 - Capex uso'!$AK$6:$AK$176,$A267)</f>
        <v>0</v>
      </c>
      <c r="Y267" s="710">
        <f>-SUMIFS('D2 - Capex uso'!CP$6:CP$176,'D2 - Capex uso'!$C$6:$C$176,$A251,'D2 - Capex uso'!$AK$6:$AK$176,$A267)</f>
        <v>0</v>
      </c>
      <c r="Z267" s="710">
        <f>-SUMIFS('D2 - Capex uso'!CQ$6:CQ$176,'D2 - Capex uso'!$C$6:$C$176,$A251,'D2 - Capex uso'!$AK$6:$AK$176,$A267)</f>
        <v>0</v>
      </c>
      <c r="AA267" s="710">
        <f>-SUMIFS('D2 - Capex uso'!CR$6:CR$176,'D2 - Capex uso'!$C$6:$C$176,$A251,'D2 - Capex uso'!$AK$6:$AK$176,$A267)</f>
        <v>0</v>
      </c>
      <c r="AB267" s="710">
        <f>-SUMIFS('D2 - Capex uso'!CS$6:CS$176,'D2 - Capex uso'!$C$6:$C$176,$A251,'D2 - Capex uso'!$AK$6:$AK$176,$A267)</f>
        <v>0</v>
      </c>
      <c r="AC267" s="710">
        <f>-SUMIFS('D2 - Capex uso'!CT$6:CT$176,'D2 - Capex uso'!$C$6:$C$176,$A251,'D2 - Capex uso'!$AK$6:$AK$176,$A267)</f>
        <v>0</v>
      </c>
      <c r="AD267" s="710">
        <f>-SUMIFS('D2 - Capex uso'!CU$6:CU$176,'D2 - Capex uso'!$C$6:$C$176,$A251,'D2 - Capex uso'!$AK$6:$AK$176,$A267)</f>
        <v>0</v>
      </c>
      <c r="AE267" s="710">
        <f>-SUMIFS('D2 - Capex uso'!CV$6:CV$176,'D2 - Capex uso'!$C$6:$C$176,$A251,'D2 - Capex uso'!$AK$6:$AK$176,$A267)</f>
        <v>0</v>
      </c>
      <c r="AF267" s="594"/>
      <c r="AG267" s="594"/>
      <c r="AH267" s="594"/>
      <c r="AI267" s="594"/>
      <c r="AJ267" s="594"/>
      <c r="AK267" s="594"/>
      <c r="AL267" s="594"/>
      <c r="AM267" s="594"/>
      <c r="AN267" s="594"/>
      <c r="AO267" s="594"/>
      <c r="AP267" s="594"/>
      <c r="AQ267" s="594"/>
      <c r="AR267" s="594"/>
      <c r="AS267" s="594"/>
      <c r="AT267" s="594"/>
      <c r="AU267" s="594"/>
      <c r="AV267" s="594"/>
      <c r="AW267" s="594"/>
      <c r="AX267" s="594"/>
      <c r="AY267" s="594"/>
      <c r="AZ267" s="594"/>
      <c r="BA267" s="594"/>
      <c r="BB267" s="594"/>
      <c r="BC267" s="594"/>
      <c r="BD267" s="594"/>
      <c r="BE267" s="594"/>
      <c r="BF267" s="594"/>
      <c r="BG267" s="594"/>
      <c r="BH267" s="594"/>
      <c r="BI267" s="594"/>
      <c r="BJ267" s="594"/>
      <c r="BK267" s="594"/>
      <c r="BL267" s="57"/>
      <c r="BM267" s="594"/>
      <c r="BN267" s="594"/>
      <c r="BO267" s="594"/>
      <c r="BP267" s="594"/>
      <c r="BQ267" s="594"/>
      <c r="BR267" s="594"/>
      <c r="BS267" s="594"/>
      <c r="BT267" s="594"/>
      <c r="BU267" s="594"/>
      <c r="BV267" s="594"/>
      <c r="BW267" s="594"/>
      <c r="BX267" s="594"/>
      <c r="BY267" s="594"/>
      <c r="BZ267" s="594"/>
      <c r="CA267" s="594"/>
      <c r="CB267" s="594"/>
      <c r="CC267" s="594"/>
      <c r="CD267" s="594"/>
      <c r="CE267" s="594"/>
      <c r="CF267" s="594"/>
      <c r="CG267" s="594"/>
      <c r="CH267" s="594"/>
      <c r="CI267" s="594"/>
      <c r="CJ267" s="594"/>
      <c r="CK267" s="594"/>
      <c r="CL267" s="594"/>
      <c r="CM267" s="594"/>
      <c r="CN267" s="594"/>
      <c r="CO267" s="594"/>
      <c r="CP267" s="594"/>
      <c r="CQ267" s="594"/>
    </row>
    <row r="268" spans="1:95" ht="19.5" hidden="1" customHeight="1" outlineLevel="2">
      <c r="A268" s="709" t="s">
        <v>359</v>
      </c>
      <c r="B268" s="710">
        <f>-SUMIFS('D2 - Capex uso'!BS$6:BS$176,'D2 - Capex uso'!$C$6:$C$176,$A251,'D2 - Capex uso'!$AK$6:$AK$176,$A268)</f>
        <v>0</v>
      </c>
      <c r="C268" s="710">
        <f>-SUMIFS('D2 - Capex uso'!BT$6:BT$176,'D2 - Capex uso'!$C$6:$C$176,$A251,'D2 - Capex uso'!$AK$6:$AK$176,$A268)</f>
        <v>0</v>
      </c>
      <c r="D268" s="710">
        <f>-SUMIFS('D2 - Capex uso'!BU$6:BU$176,'D2 - Capex uso'!$C$6:$C$176,$A251,'D2 - Capex uso'!$AK$6:$AK$176,$A268)</f>
        <v>0</v>
      </c>
      <c r="E268" s="710">
        <f>-SUMIFS('D2 - Capex uso'!BV$6:BV$176,'D2 - Capex uso'!$C$6:$C$176,$A251,'D2 - Capex uso'!$AK$6:$AK$176,$A268)</f>
        <v>0</v>
      </c>
      <c r="F268" s="710">
        <f>-SUMIFS('D2 - Capex uso'!BW$6:BW$176,'D2 - Capex uso'!$C$6:$C$176,$A251,'D2 - Capex uso'!$AK$6:$AK$176,$A268)</f>
        <v>0</v>
      </c>
      <c r="G268" s="710">
        <f>-SUMIFS('D2 - Capex uso'!BX$6:BX$176,'D2 - Capex uso'!$C$6:$C$176,$A251,'D2 - Capex uso'!$AK$6:$AK$176,$A268)</f>
        <v>0</v>
      </c>
      <c r="H268" s="710">
        <f>-SUMIFS('D2 - Capex uso'!BY$6:BY$176,'D2 - Capex uso'!$C$6:$C$176,$A251,'D2 - Capex uso'!$AK$6:$AK$176,$A268)</f>
        <v>0</v>
      </c>
      <c r="I268" s="710">
        <f>-SUMIFS('D2 - Capex uso'!BZ$6:BZ$176,'D2 - Capex uso'!$C$6:$C$176,$A251,'D2 - Capex uso'!$AK$6:$AK$176,$A268)</f>
        <v>0</v>
      </c>
      <c r="J268" s="710">
        <f>-SUMIFS('D2 - Capex uso'!CA$6:CA$176,'D2 - Capex uso'!$C$6:$C$176,$A251,'D2 - Capex uso'!$AK$6:$AK$176,$A268)</f>
        <v>0</v>
      </c>
      <c r="K268" s="710">
        <f>-SUMIFS('D2 - Capex uso'!CB$6:CB$176,'D2 - Capex uso'!$C$6:$C$176,$A251,'D2 - Capex uso'!$AK$6:$AK$176,$A268)</f>
        <v>0</v>
      </c>
      <c r="L268" s="710">
        <f>-SUMIFS('D2 - Capex uso'!CC$6:CC$176,'D2 - Capex uso'!$C$6:$C$176,$A251,'D2 - Capex uso'!$AK$6:$AK$176,$A268)</f>
        <v>0</v>
      </c>
      <c r="M268" s="710">
        <f>-SUMIFS('D2 - Capex uso'!CD$6:CD$176,'D2 - Capex uso'!$C$6:$C$176,$A251,'D2 - Capex uso'!$AK$6:$AK$176,$A268)</f>
        <v>0</v>
      </c>
      <c r="N268" s="710">
        <f>-SUMIFS('D2 - Capex uso'!CE$6:CE$176,'D2 - Capex uso'!$C$6:$C$176,$A251,'D2 - Capex uso'!$AK$6:$AK$176,$A268)</f>
        <v>0</v>
      </c>
      <c r="O268" s="710">
        <f>-SUMIFS('D2 - Capex uso'!CF$6:CF$176,'D2 - Capex uso'!$C$6:$C$176,$A251,'D2 - Capex uso'!$AK$6:$AK$176,$A268)</f>
        <v>0</v>
      </c>
      <c r="P268" s="710">
        <f>-SUMIFS('D2 - Capex uso'!CG$6:CG$176,'D2 - Capex uso'!$C$6:$C$176,$A251,'D2 - Capex uso'!$AK$6:$AK$176,$A268)</f>
        <v>0</v>
      </c>
      <c r="Q268" s="710">
        <f>-SUMIFS('D2 - Capex uso'!CH$6:CH$176,'D2 - Capex uso'!$C$6:$C$176,$A251,'D2 - Capex uso'!$AK$6:$AK$176,$A268)</f>
        <v>0</v>
      </c>
      <c r="R268" s="710">
        <f>-SUMIFS('D2 - Capex uso'!CI$6:CI$176,'D2 - Capex uso'!$C$6:$C$176,$A251,'D2 - Capex uso'!$AK$6:$AK$176,$A268)</f>
        <v>0</v>
      </c>
      <c r="S268" s="710">
        <f>-SUMIFS('D2 - Capex uso'!CJ$6:CJ$176,'D2 - Capex uso'!$C$6:$C$176,$A251,'D2 - Capex uso'!$AK$6:$AK$176,$A268)</f>
        <v>0</v>
      </c>
      <c r="T268" s="710">
        <f>-SUMIFS('D2 - Capex uso'!CK$6:CK$176,'D2 - Capex uso'!$C$6:$C$176,$A251,'D2 - Capex uso'!$AK$6:$AK$176,$A268)</f>
        <v>0</v>
      </c>
      <c r="U268" s="710">
        <f>-SUMIFS('D2 - Capex uso'!CL$6:CL$176,'D2 - Capex uso'!$C$6:$C$176,$A251,'D2 - Capex uso'!$AK$6:$AK$176,$A268)</f>
        <v>0</v>
      </c>
      <c r="V268" s="710">
        <f>-SUMIFS('D2 - Capex uso'!CM$6:CM$176,'D2 - Capex uso'!$C$6:$C$176,$A251,'D2 - Capex uso'!$AK$6:$AK$176,$A268)</f>
        <v>0</v>
      </c>
      <c r="W268" s="710">
        <f>-SUMIFS('D2 - Capex uso'!CN$6:CN$176,'D2 - Capex uso'!$C$6:$C$176,$A251,'D2 - Capex uso'!$AK$6:$AK$176,$A268)</f>
        <v>0</v>
      </c>
      <c r="X268" s="710">
        <f>-SUMIFS('D2 - Capex uso'!CO$6:CO$176,'D2 - Capex uso'!$C$6:$C$176,$A251,'D2 - Capex uso'!$AK$6:$AK$176,$A268)</f>
        <v>0</v>
      </c>
      <c r="Y268" s="710">
        <f>-SUMIFS('D2 - Capex uso'!CP$6:CP$176,'D2 - Capex uso'!$C$6:$C$176,$A251,'D2 - Capex uso'!$AK$6:$AK$176,$A268)</f>
        <v>0</v>
      </c>
      <c r="Z268" s="710">
        <f>-SUMIFS('D2 - Capex uso'!CQ$6:CQ$176,'D2 - Capex uso'!$C$6:$C$176,$A251,'D2 - Capex uso'!$AK$6:$AK$176,$A268)</f>
        <v>0</v>
      </c>
      <c r="AA268" s="710">
        <f>-SUMIFS('D2 - Capex uso'!CR$6:CR$176,'D2 - Capex uso'!$C$6:$C$176,$A251,'D2 - Capex uso'!$AK$6:$AK$176,$A268)</f>
        <v>0</v>
      </c>
      <c r="AB268" s="710">
        <f>-SUMIFS('D2 - Capex uso'!CS$6:CS$176,'D2 - Capex uso'!$C$6:$C$176,$A251,'D2 - Capex uso'!$AK$6:$AK$176,$A268)</f>
        <v>0</v>
      </c>
      <c r="AC268" s="710">
        <f>-SUMIFS('D2 - Capex uso'!CT$6:CT$176,'D2 - Capex uso'!$C$6:$C$176,$A251,'D2 - Capex uso'!$AK$6:$AK$176,$A268)</f>
        <v>0</v>
      </c>
      <c r="AD268" s="710">
        <f>-SUMIFS('D2 - Capex uso'!CU$6:CU$176,'D2 - Capex uso'!$C$6:$C$176,$A251,'D2 - Capex uso'!$AK$6:$AK$176,$A268)</f>
        <v>0</v>
      </c>
      <c r="AE268" s="710">
        <f>-SUMIFS('D2 - Capex uso'!CV$6:CV$176,'D2 - Capex uso'!$C$6:$C$176,$A251,'D2 - Capex uso'!$AK$6:$AK$176,$A268)</f>
        <v>0</v>
      </c>
      <c r="AF268" s="594"/>
      <c r="AG268" s="594"/>
      <c r="AH268" s="594"/>
      <c r="AI268" s="594"/>
      <c r="AJ268" s="594"/>
      <c r="AK268" s="594"/>
      <c r="AL268" s="594"/>
      <c r="AM268" s="594"/>
      <c r="AN268" s="594"/>
      <c r="AO268" s="594"/>
      <c r="AP268" s="594"/>
      <c r="AQ268" s="594"/>
      <c r="AR268" s="594"/>
      <c r="AS268" s="594"/>
      <c r="AT268" s="594"/>
      <c r="AU268" s="594"/>
      <c r="AV268" s="594"/>
      <c r="AW268" s="594"/>
      <c r="AX268" s="594"/>
      <c r="AY268" s="594"/>
      <c r="AZ268" s="594"/>
      <c r="BA268" s="594"/>
      <c r="BB268" s="594"/>
      <c r="BC268" s="594"/>
      <c r="BD268" s="594"/>
      <c r="BE268" s="594"/>
      <c r="BF268" s="594"/>
      <c r="BG268" s="594"/>
      <c r="BH268" s="594"/>
      <c r="BI268" s="594"/>
      <c r="BJ268" s="594"/>
      <c r="BK268" s="594"/>
      <c r="BL268" s="57"/>
      <c r="BM268" s="594"/>
      <c r="BN268" s="594"/>
      <c r="BO268" s="594"/>
      <c r="BP268" s="594"/>
      <c r="BQ268" s="594"/>
      <c r="BR268" s="594"/>
      <c r="BS268" s="594"/>
      <c r="BT268" s="594"/>
      <c r="BU268" s="594"/>
      <c r="BV268" s="594"/>
      <c r="BW268" s="594"/>
      <c r="BX268" s="594"/>
      <c r="BY268" s="594"/>
      <c r="BZ268" s="594"/>
      <c r="CA268" s="594"/>
      <c r="CB268" s="594"/>
      <c r="CC268" s="594"/>
      <c r="CD268" s="594"/>
      <c r="CE268" s="594"/>
      <c r="CF268" s="594"/>
      <c r="CG268" s="594"/>
      <c r="CH268" s="594"/>
      <c r="CI268" s="594"/>
      <c r="CJ268" s="594"/>
      <c r="CK268" s="594"/>
      <c r="CL268" s="594"/>
      <c r="CM268" s="594"/>
      <c r="CN268" s="594"/>
      <c r="CO268" s="594"/>
      <c r="CP268" s="594"/>
      <c r="CQ268" s="594"/>
    </row>
    <row r="269" spans="1:95" ht="19.5" hidden="1" customHeight="1" outlineLevel="2">
      <c r="A269" s="709" t="s">
        <v>171</v>
      </c>
      <c r="B269" s="710">
        <f>-SUMIFS('D2 - Capex uso'!BS$6:BS$176,'D2 - Capex uso'!$C$6:$C$176,$A251,'D2 - Capex uso'!$AK$6:$AK$176,$A269)</f>
        <v>0</v>
      </c>
      <c r="C269" s="710">
        <f>-SUMIFS('D2 - Capex uso'!BT$6:BT$176,'D2 - Capex uso'!$C$6:$C$176,$A251,'D2 - Capex uso'!$AK$6:$AK$176,$A269)</f>
        <v>0</v>
      </c>
      <c r="D269" s="710">
        <f>-SUMIFS('D2 - Capex uso'!BU$6:BU$176,'D2 - Capex uso'!$C$6:$C$176,$A251,'D2 - Capex uso'!$AK$6:$AK$176,$A269)</f>
        <v>0</v>
      </c>
      <c r="E269" s="710">
        <f>-SUMIFS('D2 - Capex uso'!BV$6:BV$176,'D2 - Capex uso'!$C$6:$C$176,$A251,'D2 - Capex uso'!$AK$6:$AK$176,$A269)</f>
        <v>0</v>
      </c>
      <c r="F269" s="710">
        <f>-SUMIFS('D2 - Capex uso'!BW$6:BW$176,'D2 - Capex uso'!$C$6:$C$176,$A251,'D2 - Capex uso'!$AK$6:$AK$176,$A269)</f>
        <v>0</v>
      </c>
      <c r="G269" s="710">
        <f>-SUMIFS('D2 - Capex uso'!BX$6:BX$176,'D2 - Capex uso'!$C$6:$C$176,$A251,'D2 - Capex uso'!$AK$6:$AK$176,$A269)</f>
        <v>0</v>
      </c>
      <c r="H269" s="710">
        <f>-SUMIFS('D2 - Capex uso'!BY$6:BY$176,'D2 - Capex uso'!$C$6:$C$176,$A251,'D2 - Capex uso'!$AK$6:$AK$176,$A269)</f>
        <v>0</v>
      </c>
      <c r="I269" s="710">
        <f>-SUMIFS('D2 - Capex uso'!BZ$6:BZ$176,'D2 - Capex uso'!$C$6:$C$176,$A251,'D2 - Capex uso'!$AK$6:$AK$176,$A269)</f>
        <v>0</v>
      </c>
      <c r="J269" s="710">
        <f>-SUMIFS('D2 - Capex uso'!CA$6:CA$176,'D2 - Capex uso'!$C$6:$C$176,$A251,'D2 - Capex uso'!$AK$6:$AK$176,$A269)</f>
        <v>0</v>
      </c>
      <c r="K269" s="710">
        <f>-SUMIFS('D2 - Capex uso'!CB$6:CB$176,'D2 - Capex uso'!$C$6:$C$176,$A251,'D2 - Capex uso'!$AK$6:$AK$176,$A269)</f>
        <v>0</v>
      </c>
      <c r="L269" s="710">
        <f>-SUMIFS('D2 - Capex uso'!CC$6:CC$176,'D2 - Capex uso'!$C$6:$C$176,$A251,'D2 - Capex uso'!$AK$6:$AK$176,$A269)</f>
        <v>0</v>
      </c>
      <c r="M269" s="710">
        <f>-SUMIFS('D2 - Capex uso'!CD$6:CD$176,'D2 - Capex uso'!$C$6:$C$176,$A251,'D2 - Capex uso'!$AK$6:$AK$176,$A269)</f>
        <v>0</v>
      </c>
      <c r="N269" s="710">
        <f>-SUMIFS('D2 - Capex uso'!CE$6:CE$176,'D2 - Capex uso'!$C$6:$C$176,$A251,'D2 - Capex uso'!$AK$6:$AK$176,$A269)</f>
        <v>0</v>
      </c>
      <c r="O269" s="710">
        <f>-SUMIFS('D2 - Capex uso'!CF$6:CF$176,'D2 - Capex uso'!$C$6:$C$176,$A251,'D2 - Capex uso'!$AK$6:$AK$176,$A269)</f>
        <v>0</v>
      </c>
      <c r="P269" s="710">
        <f>-SUMIFS('D2 - Capex uso'!CG$6:CG$176,'D2 - Capex uso'!$C$6:$C$176,$A251,'D2 - Capex uso'!$AK$6:$AK$176,$A269)</f>
        <v>0</v>
      </c>
      <c r="Q269" s="710">
        <f>-SUMIFS('D2 - Capex uso'!CH$6:CH$176,'D2 - Capex uso'!$C$6:$C$176,$A251,'D2 - Capex uso'!$AK$6:$AK$176,$A269)</f>
        <v>0</v>
      </c>
      <c r="R269" s="710">
        <f>-SUMIFS('D2 - Capex uso'!CI$6:CI$176,'D2 - Capex uso'!$C$6:$C$176,$A251,'D2 - Capex uso'!$AK$6:$AK$176,$A269)</f>
        <v>0</v>
      </c>
      <c r="S269" s="710">
        <f>-SUMIFS('D2 - Capex uso'!CJ$6:CJ$176,'D2 - Capex uso'!$C$6:$C$176,$A251,'D2 - Capex uso'!$AK$6:$AK$176,$A269)</f>
        <v>0</v>
      </c>
      <c r="T269" s="710">
        <f>-SUMIFS('D2 - Capex uso'!CK$6:CK$176,'D2 - Capex uso'!$C$6:$C$176,$A251,'D2 - Capex uso'!$AK$6:$AK$176,$A269)</f>
        <v>0</v>
      </c>
      <c r="U269" s="710">
        <f>-SUMIFS('D2 - Capex uso'!CL$6:CL$176,'D2 - Capex uso'!$C$6:$C$176,$A251,'D2 - Capex uso'!$AK$6:$AK$176,$A269)</f>
        <v>0</v>
      </c>
      <c r="V269" s="710">
        <f>-SUMIFS('D2 - Capex uso'!CM$6:CM$176,'D2 - Capex uso'!$C$6:$C$176,$A251,'D2 - Capex uso'!$AK$6:$AK$176,$A269)</f>
        <v>0</v>
      </c>
      <c r="W269" s="710">
        <f>-SUMIFS('D2 - Capex uso'!CN$6:CN$176,'D2 - Capex uso'!$C$6:$C$176,$A251,'D2 - Capex uso'!$AK$6:$AK$176,$A269)</f>
        <v>0</v>
      </c>
      <c r="X269" s="710">
        <f>-SUMIFS('D2 - Capex uso'!CO$6:CO$176,'D2 - Capex uso'!$C$6:$C$176,$A251,'D2 - Capex uso'!$AK$6:$AK$176,$A269)</f>
        <v>0</v>
      </c>
      <c r="Y269" s="710">
        <f>-SUMIFS('D2 - Capex uso'!CP$6:CP$176,'D2 - Capex uso'!$C$6:$C$176,$A251,'D2 - Capex uso'!$AK$6:$AK$176,$A269)</f>
        <v>0</v>
      </c>
      <c r="Z269" s="710">
        <f>-SUMIFS('D2 - Capex uso'!CQ$6:CQ$176,'D2 - Capex uso'!$C$6:$C$176,$A251,'D2 - Capex uso'!$AK$6:$AK$176,$A269)</f>
        <v>0</v>
      </c>
      <c r="AA269" s="710">
        <f>-SUMIFS('D2 - Capex uso'!CR$6:CR$176,'D2 - Capex uso'!$C$6:$C$176,$A251,'D2 - Capex uso'!$AK$6:$AK$176,$A269)</f>
        <v>0</v>
      </c>
      <c r="AB269" s="710">
        <f>-SUMIFS('D2 - Capex uso'!CS$6:CS$176,'D2 - Capex uso'!$C$6:$C$176,$A251,'D2 - Capex uso'!$AK$6:$AK$176,$A269)</f>
        <v>0</v>
      </c>
      <c r="AC269" s="710">
        <f>-SUMIFS('D2 - Capex uso'!CT$6:CT$176,'D2 - Capex uso'!$C$6:$C$176,$A251,'D2 - Capex uso'!$AK$6:$AK$176,$A269)</f>
        <v>0</v>
      </c>
      <c r="AD269" s="710">
        <f>-SUMIFS('D2 - Capex uso'!CU$6:CU$176,'D2 - Capex uso'!$C$6:$C$176,$A251,'D2 - Capex uso'!$AK$6:$AK$176,$A269)</f>
        <v>0</v>
      </c>
      <c r="AE269" s="710">
        <f>-SUMIFS('D2 - Capex uso'!CV$6:CV$176,'D2 - Capex uso'!$C$6:$C$176,$A251,'D2 - Capex uso'!$AK$6:$AK$176,$A269)</f>
        <v>0</v>
      </c>
      <c r="AF269" s="594"/>
      <c r="AG269" s="594"/>
      <c r="AH269" s="594"/>
      <c r="AI269" s="594"/>
      <c r="AJ269" s="594"/>
      <c r="AK269" s="594"/>
      <c r="AL269" s="594"/>
      <c r="AM269" s="594"/>
      <c r="AN269" s="594"/>
      <c r="AO269" s="594"/>
      <c r="AP269" s="594"/>
      <c r="AQ269" s="594"/>
      <c r="AR269" s="594"/>
      <c r="AS269" s="594"/>
      <c r="AT269" s="594"/>
      <c r="AU269" s="594"/>
      <c r="AV269" s="594"/>
      <c r="AW269" s="594"/>
      <c r="AX269" s="594"/>
      <c r="AY269" s="594"/>
      <c r="AZ269" s="594"/>
      <c r="BA269" s="594"/>
      <c r="BB269" s="594"/>
      <c r="BC269" s="594"/>
      <c r="BD269" s="594"/>
      <c r="BE269" s="594"/>
      <c r="BF269" s="594"/>
      <c r="BG269" s="594"/>
      <c r="BH269" s="594"/>
      <c r="BI269" s="594"/>
      <c r="BJ269" s="594"/>
      <c r="BK269" s="594"/>
      <c r="BL269" s="57"/>
      <c r="BM269" s="594"/>
      <c r="BN269" s="594"/>
      <c r="BO269" s="594"/>
      <c r="BP269" s="594"/>
      <c r="BQ269" s="594"/>
      <c r="BR269" s="594"/>
      <c r="BS269" s="594"/>
      <c r="BT269" s="594"/>
      <c r="BU269" s="594"/>
      <c r="BV269" s="594"/>
      <c r="BW269" s="594"/>
      <c r="BX269" s="594"/>
      <c r="BY269" s="594"/>
      <c r="BZ269" s="594"/>
      <c r="CA269" s="594"/>
      <c r="CB269" s="594"/>
      <c r="CC269" s="594"/>
      <c r="CD269" s="594"/>
      <c r="CE269" s="594"/>
      <c r="CF269" s="594"/>
      <c r="CG269" s="594"/>
      <c r="CH269" s="594"/>
      <c r="CI269" s="594"/>
      <c r="CJ269" s="594"/>
      <c r="CK269" s="594"/>
      <c r="CL269" s="594"/>
      <c r="CM269" s="594"/>
      <c r="CN269" s="594"/>
      <c r="CO269" s="594"/>
      <c r="CP269" s="594"/>
      <c r="CQ269" s="594"/>
    </row>
    <row r="270" spans="1:95" ht="27" customHeight="1" collapsed="1">
      <c r="A270" s="703" t="str">
        <f>IF(ISBLANK('A1 - Serviços e demanda'!A34),,'A1 - Serviços e demanda'!A34)</f>
        <v>Paraíso - Comércio + Locação + Atividades</v>
      </c>
      <c r="B270" s="704">
        <f t="shared" ref="B270:AE270" si="84">IF($A270=0,0,SUM(B279:B280))</f>
        <v>0</v>
      </c>
      <c r="C270" s="704">
        <f t="shared" si="84"/>
        <v>0</v>
      </c>
      <c r="D270" s="704">
        <f t="shared" si="84"/>
        <v>0</v>
      </c>
      <c r="E270" s="704">
        <f t="shared" si="84"/>
        <v>0</v>
      </c>
      <c r="F270" s="704">
        <f t="shared" si="84"/>
        <v>0</v>
      </c>
      <c r="G270" s="704">
        <f t="shared" si="84"/>
        <v>0</v>
      </c>
      <c r="H270" s="704">
        <f t="shared" si="84"/>
        <v>0</v>
      </c>
      <c r="I270" s="704">
        <f t="shared" si="84"/>
        <v>0</v>
      </c>
      <c r="J270" s="704">
        <f t="shared" si="84"/>
        <v>0</v>
      </c>
      <c r="K270" s="704">
        <f t="shared" si="84"/>
        <v>0</v>
      </c>
      <c r="L270" s="704">
        <f t="shared" si="84"/>
        <v>0</v>
      </c>
      <c r="M270" s="704">
        <f t="shared" si="84"/>
        <v>0</v>
      </c>
      <c r="N270" s="704">
        <f t="shared" si="84"/>
        <v>0</v>
      </c>
      <c r="O270" s="704">
        <f t="shared" si="84"/>
        <v>0</v>
      </c>
      <c r="P270" s="704">
        <f t="shared" si="84"/>
        <v>0</v>
      </c>
      <c r="Q270" s="704">
        <f t="shared" si="84"/>
        <v>0</v>
      </c>
      <c r="R270" s="704">
        <f t="shared" si="84"/>
        <v>0</v>
      </c>
      <c r="S270" s="704">
        <f t="shared" si="84"/>
        <v>0</v>
      </c>
      <c r="T270" s="704">
        <f t="shared" si="84"/>
        <v>0</v>
      </c>
      <c r="U270" s="704">
        <f t="shared" si="84"/>
        <v>0</v>
      </c>
      <c r="V270" s="704">
        <f t="shared" si="84"/>
        <v>0</v>
      </c>
      <c r="W270" s="704">
        <f t="shared" si="84"/>
        <v>0</v>
      </c>
      <c r="X270" s="704">
        <f t="shared" si="84"/>
        <v>0</v>
      </c>
      <c r="Y270" s="704">
        <f t="shared" si="84"/>
        <v>0</v>
      </c>
      <c r="Z270" s="704">
        <f t="shared" si="84"/>
        <v>0</v>
      </c>
      <c r="AA270" s="704">
        <f t="shared" si="84"/>
        <v>0</v>
      </c>
      <c r="AB270" s="704">
        <f t="shared" si="84"/>
        <v>0</v>
      </c>
      <c r="AC270" s="704">
        <f t="shared" si="84"/>
        <v>0</v>
      </c>
      <c r="AD270" s="704">
        <f t="shared" si="84"/>
        <v>0</v>
      </c>
      <c r="AE270" s="704">
        <f t="shared" si="84"/>
        <v>0</v>
      </c>
      <c r="AF270" s="594"/>
      <c r="AG270" s="486" t="str">
        <f>A270</f>
        <v>Paraíso - Comércio + Locação + Atividades</v>
      </c>
      <c r="AH270" s="705">
        <f t="shared" ref="AH270:BK270" si="85">IFERROR(-B273/B271,0)</f>
        <v>0</v>
      </c>
      <c r="AI270" s="705">
        <f t="shared" si="85"/>
        <v>0</v>
      </c>
      <c r="AJ270" s="705">
        <f t="shared" si="85"/>
        <v>0</v>
      </c>
      <c r="AK270" s="705">
        <f t="shared" si="85"/>
        <v>0</v>
      </c>
      <c r="AL270" s="705">
        <f t="shared" si="85"/>
        <v>0</v>
      </c>
      <c r="AM270" s="705">
        <f t="shared" si="85"/>
        <v>0</v>
      </c>
      <c r="AN270" s="705">
        <f t="shared" si="85"/>
        <v>0</v>
      </c>
      <c r="AO270" s="705">
        <f t="shared" si="85"/>
        <v>0</v>
      </c>
      <c r="AP270" s="705">
        <f t="shared" si="85"/>
        <v>0</v>
      </c>
      <c r="AQ270" s="705">
        <f t="shared" si="85"/>
        <v>0</v>
      </c>
      <c r="AR270" s="705">
        <f t="shared" si="85"/>
        <v>0</v>
      </c>
      <c r="AS270" s="705">
        <f t="shared" si="85"/>
        <v>0</v>
      </c>
      <c r="AT270" s="705">
        <f t="shared" si="85"/>
        <v>0</v>
      </c>
      <c r="AU270" s="705">
        <f t="shared" si="85"/>
        <v>0</v>
      </c>
      <c r="AV270" s="705">
        <f t="shared" si="85"/>
        <v>0</v>
      </c>
      <c r="AW270" s="705">
        <f t="shared" si="85"/>
        <v>0</v>
      </c>
      <c r="AX270" s="705">
        <f t="shared" si="85"/>
        <v>0</v>
      </c>
      <c r="AY270" s="705">
        <f t="shared" si="85"/>
        <v>0</v>
      </c>
      <c r="AZ270" s="705">
        <f t="shared" si="85"/>
        <v>0</v>
      </c>
      <c r="BA270" s="705">
        <f t="shared" si="85"/>
        <v>0</v>
      </c>
      <c r="BB270" s="705">
        <f t="shared" si="85"/>
        <v>0</v>
      </c>
      <c r="BC270" s="705">
        <f t="shared" si="85"/>
        <v>0</v>
      </c>
      <c r="BD270" s="705">
        <f t="shared" si="85"/>
        <v>0</v>
      </c>
      <c r="BE270" s="705">
        <f t="shared" si="85"/>
        <v>0</v>
      </c>
      <c r="BF270" s="705">
        <f t="shared" si="85"/>
        <v>0</v>
      </c>
      <c r="BG270" s="705">
        <f t="shared" si="85"/>
        <v>0</v>
      </c>
      <c r="BH270" s="705">
        <f t="shared" si="85"/>
        <v>0</v>
      </c>
      <c r="BI270" s="705">
        <f t="shared" si="85"/>
        <v>0</v>
      </c>
      <c r="BJ270" s="705">
        <f t="shared" si="85"/>
        <v>0</v>
      </c>
      <c r="BK270" s="705">
        <f t="shared" si="85"/>
        <v>0</v>
      </c>
      <c r="BL270" s="57"/>
      <c r="BM270" s="486" t="str">
        <f>AG270</f>
        <v>Paraíso - Comércio + Locação + Atividades</v>
      </c>
      <c r="BN270" s="705">
        <f t="shared" ref="BN270:CQ270" si="86">IFERROR(B279/B271,0)</f>
        <v>0</v>
      </c>
      <c r="BO270" s="705">
        <f t="shared" si="86"/>
        <v>0</v>
      </c>
      <c r="BP270" s="705">
        <f t="shared" si="86"/>
        <v>0</v>
      </c>
      <c r="BQ270" s="705">
        <f t="shared" si="86"/>
        <v>0</v>
      </c>
      <c r="BR270" s="705">
        <f t="shared" si="86"/>
        <v>0</v>
      </c>
      <c r="BS270" s="705">
        <f t="shared" si="86"/>
        <v>0</v>
      </c>
      <c r="BT270" s="705">
        <f t="shared" si="86"/>
        <v>0</v>
      </c>
      <c r="BU270" s="705">
        <f t="shared" si="86"/>
        <v>0</v>
      </c>
      <c r="BV270" s="705">
        <f t="shared" si="86"/>
        <v>0</v>
      </c>
      <c r="BW270" s="705">
        <f t="shared" si="86"/>
        <v>0</v>
      </c>
      <c r="BX270" s="705">
        <f t="shared" si="86"/>
        <v>0</v>
      </c>
      <c r="BY270" s="705">
        <f t="shared" si="86"/>
        <v>0</v>
      </c>
      <c r="BZ270" s="705">
        <f t="shared" si="86"/>
        <v>0</v>
      </c>
      <c r="CA270" s="705">
        <f t="shared" si="86"/>
        <v>0</v>
      </c>
      <c r="CB270" s="705">
        <f t="shared" si="86"/>
        <v>0</v>
      </c>
      <c r="CC270" s="705">
        <f t="shared" si="86"/>
        <v>0</v>
      </c>
      <c r="CD270" s="705">
        <f t="shared" si="86"/>
        <v>0</v>
      </c>
      <c r="CE270" s="705">
        <f t="shared" si="86"/>
        <v>0</v>
      </c>
      <c r="CF270" s="705">
        <f t="shared" si="86"/>
        <v>0</v>
      </c>
      <c r="CG270" s="705">
        <f t="shared" si="86"/>
        <v>0</v>
      </c>
      <c r="CH270" s="705">
        <f t="shared" si="86"/>
        <v>0</v>
      </c>
      <c r="CI270" s="705">
        <f t="shared" si="86"/>
        <v>0</v>
      </c>
      <c r="CJ270" s="705">
        <f t="shared" si="86"/>
        <v>0</v>
      </c>
      <c r="CK270" s="705">
        <f t="shared" si="86"/>
        <v>0</v>
      </c>
      <c r="CL270" s="705">
        <f t="shared" si="86"/>
        <v>0</v>
      </c>
      <c r="CM270" s="705">
        <f t="shared" si="86"/>
        <v>0</v>
      </c>
      <c r="CN270" s="705">
        <f t="shared" si="86"/>
        <v>0</v>
      </c>
      <c r="CO270" s="705">
        <f t="shared" si="86"/>
        <v>0</v>
      </c>
      <c r="CP270" s="705">
        <f t="shared" si="86"/>
        <v>0</v>
      </c>
      <c r="CQ270" s="705">
        <f t="shared" si="86"/>
        <v>0</v>
      </c>
    </row>
    <row r="271" spans="1:95" ht="33.75" hidden="1" customHeight="1" outlineLevel="1">
      <c r="A271" s="706" t="s">
        <v>680</v>
      </c>
      <c r="B271" s="707">
        <f>IFERROR(VLOOKUP($A270,ReceitaBruta,COLUMN('A4 - Previsão de Receita Bruta'!C273)-1,0),0)</f>
        <v>0</v>
      </c>
      <c r="C271" s="707">
        <f>IFERROR(VLOOKUP($A270,ReceitaBruta,COLUMN('A4 - Previsão de Receita Bruta'!D273)-1,0),0)</f>
        <v>0</v>
      </c>
      <c r="D271" s="707">
        <f>IFERROR(VLOOKUP($A270,ReceitaBruta,COLUMN('A4 - Previsão de Receita Bruta'!E273)-1,0),0)</f>
        <v>0</v>
      </c>
      <c r="E271" s="707">
        <f>IFERROR(VLOOKUP($A270,ReceitaBruta,COLUMN('A4 - Previsão de Receita Bruta'!F273)-1,0),0)</f>
        <v>0</v>
      </c>
      <c r="F271" s="707">
        <f>IFERROR(VLOOKUP($A270,ReceitaBruta,COLUMN('A4 - Previsão de Receita Bruta'!G273)-1,0),0)</f>
        <v>0</v>
      </c>
      <c r="G271" s="707">
        <f>IFERROR(VLOOKUP($A270,ReceitaBruta,COLUMN('A4 - Previsão de Receita Bruta'!H273)-1,0),0)</f>
        <v>0</v>
      </c>
      <c r="H271" s="707">
        <f>IFERROR(VLOOKUP($A270,ReceitaBruta,COLUMN('A4 - Previsão de Receita Bruta'!I273)-1,0),0)</f>
        <v>0</v>
      </c>
      <c r="I271" s="707">
        <f>IFERROR(VLOOKUP($A270,ReceitaBruta,COLUMN('A4 - Previsão de Receita Bruta'!J273)-1,0),0)</f>
        <v>0</v>
      </c>
      <c r="J271" s="707">
        <f>IFERROR(VLOOKUP($A270,ReceitaBruta,COLUMN('A4 - Previsão de Receita Bruta'!K273)-1,0),0)</f>
        <v>0</v>
      </c>
      <c r="K271" s="707">
        <f>IFERROR(VLOOKUP($A270,ReceitaBruta,COLUMN('A4 - Previsão de Receita Bruta'!L273)-1,0),0)</f>
        <v>0</v>
      </c>
      <c r="L271" s="707">
        <f>IFERROR(VLOOKUP($A270,ReceitaBruta,COLUMN('A4 - Previsão de Receita Bruta'!M273)-1,0),0)</f>
        <v>0</v>
      </c>
      <c r="M271" s="707">
        <f>IFERROR(VLOOKUP($A270,ReceitaBruta,COLUMN('A4 - Previsão de Receita Bruta'!N273)-1,0),0)</f>
        <v>0</v>
      </c>
      <c r="N271" s="707">
        <f>IFERROR(VLOOKUP($A270,ReceitaBruta,COLUMN('A4 - Previsão de Receita Bruta'!O273)-1,0),0)</f>
        <v>0</v>
      </c>
      <c r="O271" s="707">
        <f>IFERROR(VLOOKUP($A270,ReceitaBruta,COLUMN('A4 - Previsão de Receita Bruta'!P273)-1,0),0)</f>
        <v>0</v>
      </c>
      <c r="P271" s="707">
        <f>IFERROR(VLOOKUP($A270,ReceitaBruta,COLUMN('A4 - Previsão de Receita Bruta'!Q273)-1,0),0)</f>
        <v>0</v>
      </c>
      <c r="Q271" s="707">
        <f>IFERROR(VLOOKUP($A270,ReceitaBruta,COLUMN('A4 - Previsão de Receita Bruta'!R273)-1,0),0)</f>
        <v>0</v>
      </c>
      <c r="R271" s="707">
        <f>IFERROR(VLOOKUP($A270,ReceitaBruta,COLUMN('A4 - Previsão de Receita Bruta'!S273)-1,0),0)</f>
        <v>0</v>
      </c>
      <c r="S271" s="707">
        <f>IFERROR(VLOOKUP($A270,ReceitaBruta,COLUMN('A4 - Previsão de Receita Bruta'!T273)-1,0),0)</f>
        <v>0</v>
      </c>
      <c r="T271" s="707">
        <f>IFERROR(VLOOKUP($A270,ReceitaBruta,COLUMN('A4 - Previsão de Receita Bruta'!U273)-1,0),0)</f>
        <v>0</v>
      </c>
      <c r="U271" s="707">
        <f>IFERROR(VLOOKUP($A270,ReceitaBruta,COLUMN('A4 - Previsão de Receita Bruta'!V273)-1,0),0)</f>
        <v>0</v>
      </c>
      <c r="V271" s="707">
        <f>IFERROR(VLOOKUP($A270,ReceitaBruta,COLUMN('A4 - Previsão de Receita Bruta'!W273)-1,0),0)</f>
        <v>0</v>
      </c>
      <c r="W271" s="707">
        <f>IFERROR(VLOOKUP($A270,ReceitaBruta,COLUMN('A4 - Previsão de Receita Bruta'!X273)-1,0),0)</f>
        <v>0</v>
      </c>
      <c r="X271" s="707">
        <f>IFERROR(VLOOKUP($A270,ReceitaBruta,COLUMN('A4 - Previsão de Receita Bruta'!Y273)-1,0),0)</f>
        <v>0</v>
      </c>
      <c r="Y271" s="707">
        <f>IFERROR(VLOOKUP($A270,ReceitaBruta,COLUMN('A4 - Previsão de Receita Bruta'!Z273)-1,0),0)</f>
        <v>0</v>
      </c>
      <c r="Z271" s="707">
        <f>IFERROR(VLOOKUP($A270,ReceitaBruta,COLUMN('A4 - Previsão de Receita Bruta'!AA273)-1,0),0)</f>
        <v>0</v>
      </c>
      <c r="AA271" s="707">
        <f>IFERROR(VLOOKUP($A270,ReceitaBruta,COLUMN('A4 - Previsão de Receita Bruta'!AB273)-1,0),0)</f>
        <v>0</v>
      </c>
      <c r="AB271" s="707">
        <f>IFERROR(VLOOKUP($A270,ReceitaBruta,COLUMN('A4 - Previsão de Receita Bruta'!AC273)-1,0),0)</f>
        <v>0</v>
      </c>
      <c r="AC271" s="707">
        <f>IFERROR(VLOOKUP($A270,ReceitaBruta,COLUMN('A4 - Previsão de Receita Bruta'!AD273)-1,0),0)</f>
        <v>0</v>
      </c>
      <c r="AD271" s="707">
        <f>IFERROR(VLOOKUP($A270,ReceitaBruta,COLUMN('A4 - Previsão de Receita Bruta'!AE273)-1,0),0)</f>
        <v>0</v>
      </c>
      <c r="AE271" s="707">
        <f>IFERROR(VLOOKUP($A270,ReceitaBruta,COLUMN('A4 - Previsão de Receita Bruta'!AF273)-1,0),0)</f>
        <v>0</v>
      </c>
      <c r="AF271" s="594"/>
      <c r="AG271" s="594"/>
      <c r="AH271" s="594"/>
      <c r="AI271" s="594"/>
      <c r="AJ271" s="594"/>
      <c r="AK271" s="594"/>
      <c r="AL271" s="594"/>
      <c r="AM271" s="594"/>
      <c r="AN271" s="594"/>
      <c r="AO271" s="594"/>
      <c r="AP271" s="594"/>
      <c r="AQ271" s="594"/>
      <c r="AR271" s="594"/>
      <c r="AS271" s="594"/>
      <c r="AT271" s="594"/>
      <c r="AU271" s="594"/>
      <c r="AV271" s="594"/>
      <c r="AW271" s="594"/>
      <c r="AX271" s="594"/>
      <c r="AY271" s="594"/>
      <c r="AZ271" s="594"/>
      <c r="BA271" s="594"/>
      <c r="BB271" s="594"/>
      <c r="BC271" s="594"/>
      <c r="BD271" s="594"/>
      <c r="BE271" s="594"/>
      <c r="BF271" s="594"/>
      <c r="BG271" s="594"/>
      <c r="BH271" s="594"/>
      <c r="BI271" s="594"/>
      <c r="BJ271" s="594"/>
      <c r="BK271" s="594"/>
      <c r="BL271" s="57"/>
      <c r="BM271" s="594"/>
      <c r="BN271" s="594"/>
      <c r="BO271" s="594"/>
      <c r="BP271" s="594"/>
      <c r="BQ271" s="594"/>
      <c r="BR271" s="594"/>
      <c r="BS271" s="594"/>
      <c r="BT271" s="594"/>
      <c r="BU271" s="594"/>
      <c r="BV271" s="594"/>
      <c r="BW271" s="594"/>
      <c r="BX271" s="594"/>
      <c r="BY271" s="594"/>
      <c r="BZ271" s="594"/>
      <c r="CA271" s="594"/>
      <c r="CB271" s="594"/>
      <c r="CC271" s="594"/>
      <c r="CD271" s="594"/>
      <c r="CE271" s="594"/>
      <c r="CF271" s="594"/>
      <c r="CG271" s="594"/>
      <c r="CH271" s="594"/>
      <c r="CI271" s="594"/>
      <c r="CJ271" s="594"/>
      <c r="CK271" s="594"/>
      <c r="CL271" s="594"/>
      <c r="CM271" s="594"/>
      <c r="CN271" s="594"/>
      <c r="CO271" s="594"/>
      <c r="CP271" s="594"/>
      <c r="CQ271" s="594"/>
    </row>
    <row r="272" spans="1:95" ht="21" hidden="1" customHeight="1" outlineLevel="1">
      <c r="A272" s="708" t="s">
        <v>681</v>
      </c>
      <c r="B272" s="707">
        <f>IFERROR(-'E2 - Tributos'!D$19*VLOOKUP('F1 - FCL'!$A270,ReceitaBruta,COLUMN('A4 - Previsão de Receita Bruta'!C$6)-1,0),0)</f>
        <v>0</v>
      </c>
      <c r="C272" s="707">
        <f>IFERROR(-'E2 - Tributos'!E$19*VLOOKUP('F1 - FCL'!$A270,ReceitaBruta,COLUMN('A4 - Previsão de Receita Bruta'!D$6)-1,0),0)</f>
        <v>0</v>
      </c>
      <c r="D272" s="707">
        <f>IFERROR(-'E2 - Tributos'!F$19*VLOOKUP('F1 - FCL'!$A270,ReceitaBruta,COLUMN('A4 - Previsão de Receita Bruta'!E$6)-1,0),0)</f>
        <v>0</v>
      </c>
      <c r="E272" s="707">
        <f>IFERROR(-'E2 - Tributos'!G$19*VLOOKUP('F1 - FCL'!$A270,ReceitaBruta,COLUMN('A4 - Previsão de Receita Bruta'!F$6)-1,0),0)</f>
        <v>0</v>
      </c>
      <c r="F272" s="707">
        <f>IFERROR(-'E2 - Tributos'!H$19*VLOOKUP('F1 - FCL'!$A270,ReceitaBruta,COLUMN('A4 - Previsão de Receita Bruta'!G$6)-1,0),0)</f>
        <v>0</v>
      </c>
      <c r="G272" s="707">
        <f>IFERROR(-'E2 - Tributos'!I$19*VLOOKUP('F1 - FCL'!$A270,ReceitaBruta,COLUMN('A4 - Previsão de Receita Bruta'!H$6)-1,0),0)</f>
        <v>0</v>
      </c>
      <c r="H272" s="707">
        <f>IFERROR(-'E2 - Tributos'!J$19*VLOOKUP('F1 - FCL'!$A270,ReceitaBruta,COLUMN('A4 - Previsão de Receita Bruta'!I$6)-1,0),0)</f>
        <v>0</v>
      </c>
      <c r="I272" s="707">
        <f>IFERROR(-'E2 - Tributos'!K$19*VLOOKUP('F1 - FCL'!$A270,ReceitaBruta,COLUMN('A4 - Previsão de Receita Bruta'!J$6)-1,0),0)</f>
        <v>0</v>
      </c>
      <c r="J272" s="707">
        <f>IFERROR(-'E2 - Tributos'!L$19*VLOOKUP('F1 - FCL'!$A270,ReceitaBruta,COLUMN('A4 - Previsão de Receita Bruta'!K$6)-1,0),0)</f>
        <v>0</v>
      </c>
      <c r="K272" s="707">
        <f>IFERROR(-'E2 - Tributos'!M$19*VLOOKUP('F1 - FCL'!$A270,ReceitaBruta,COLUMN('A4 - Previsão de Receita Bruta'!L$6)-1,0),0)</f>
        <v>0</v>
      </c>
      <c r="L272" s="707">
        <f>IFERROR(-'E2 - Tributos'!N$19*VLOOKUP('F1 - FCL'!$A270,ReceitaBruta,COLUMN('A4 - Previsão de Receita Bruta'!M$6)-1,0),0)</f>
        <v>0</v>
      </c>
      <c r="M272" s="707">
        <f>IFERROR(-'E2 - Tributos'!O$19*VLOOKUP('F1 - FCL'!$A270,ReceitaBruta,COLUMN('A4 - Previsão de Receita Bruta'!N$6)-1,0),0)</f>
        <v>0</v>
      </c>
      <c r="N272" s="707">
        <f>IFERROR(-'E2 - Tributos'!P$19*VLOOKUP('F1 - FCL'!$A270,ReceitaBruta,COLUMN('A4 - Previsão de Receita Bruta'!O$6)-1,0),0)</f>
        <v>0</v>
      </c>
      <c r="O272" s="707">
        <f>IFERROR(-'E2 - Tributos'!Q$19*VLOOKUP('F1 - FCL'!$A270,ReceitaBruta,COLUMN('A4 - Previsão de Receita Bruta'!P$6)-1,0),0)</f>
        <v>0</v>
      </c>
      <c r="P272" s="707">
        <f>IFERROR(-'E2 - Tributos'!R$19*VLOOKUP('F1 - FCL'!$A270,ReceitaBruta,COLUMN('A4 - Previsão de Receita Bruta'!Q$6)-1,0),0)</f>
        <v>0</v>
      </c>
      <c r="Q272" s="707">
        <f>IFERROR(-'E2 - Tributos'!S$19*VLOOKUP('F1 - FCL'!$A270,ReceitaBruta,COLUMN('A4 - Previsão de Receita Bruta'!R$6)-1,0),0)</f>
        <v>0</v>
      </c>
      <c r="R272" s="707">
        <f>IFERROR(-'E2 - Tributos'!T$19*VLOOKUP('F1 - FCL'!$A270,ReceitaBruta,COLUMN('A4 - Previsão de Receita Bruta'!S$6)-1,0),0)</f>
        <v>0</v>
      </c>
      <c r="S272" s="707">
        <f>IFERROR(-'E2 - Tributos'!U$19*VLOOKUP('F1 - FCL'!$A270,ReceitaBruta,COLUMN('A4 - Previsão de Receita Bruta'!T$6)-1,0),0)</f>
        <v>0</v>
      </c>
      <c r="T272" s="707">
        <f>IFERROR(-'E2 - Tributos'!V$19*VLOOKUP('F1 - FCL'!$A270,ReceitaBruta,COLUMN('A4 - Previsão de Receita Bruta'!U$6)-1,0),0)</f>
        <v>0</v>
      </c>
      <c r="U272" s="707">
        <f>IFERROR(-'E2 - Tributos'!W$19*VLOOKUP('F1 - FCL'!$A270,ReceitaBruta,COLUMN('A4 - Previsão de Receita Bruta'!V$6)-1,0),0)</f>
        <v>0</v>
      </c>
      <c r="V272" s="707">
        <f>IFERROR(-'E2 - Tributos'!X$19*VLOOKUP('F1 - FCL'!$A270,ReceitaBruta,COLUMN('A4 - Previsão de Receita Bruta'!W$6)-1,0),0)</f>
        <v>0</v>
      </c>
      <c r="W272" s="707">
        <f>IFERROR(-'E2 - Tributos'!Y$19*VLOOKUP('F1 - FCL'!$A270,ReceitaBruta,COLUMN('A4 - Previsão de Receita Bruta'!X$6)-1,0),0)</f>
        <v>0</v>
      </c>
      <c r="X272" s="707">
        <f>IFERROR(-'E2 - Tributos'!Z$19*VLOOKUP('F1 - FCL'!$A270,ReceitaBruta,COLUMN('A4 - Previsão de Receita Bruta'!Y$6)-1,0),0)</f>
        <v>0</v>
      </c>
      <c r="Y272" s="707">
        <f>IFERROR(-'E2 - Tributos'!AA$19*VLOOKUP('F1 - FCL'!$A270,ReceitaBruta,COLUMN('A4 - Previsão de Receita Bruta'!Z$6)-1,0),0)</f>
        <v>0</v>
      </c>
      <c r="Z272" s="707">
        <f>IFERROR(-'E2 - Tributos'!AB$19*VLOOKUP('F1 - FCL'!$A270,ReceitaBruta,COLUMN('A4 - Previsão de Receita Bruta'!AA$6)-1,0),0)</f>
        <v>0</v>
      </c>
      <c r="AA272" s="707">
        <f>IFERROR(-'E2 - Tributos'!AC$19*VLOOKUP('F1 - FCL'!$A270,ReceitaBruta,COLUMN('A4 - Previsão de Receita Bruta'!AB$6)-1,0),0)</f>
        <v>0</v>
      </c>
      <c r="AB272" s="707">
        <f>IFERROR(-'E2 - Tributos'!AD$19*VLOOKUP('F1 - FCL'!$A270,ReceitaBruta,COLUMN('A4 - Previsão de Receita Bruta'!AC$6)-1,0),0)</f>
        <v>0</v>
      </c>
      <c r="AC272" s="707">
        <f>IFERROR(-'E2 - Tributos'!AE$19*VLOOKUP('F1 - FCL'!$A270,ReceitaBruta,COLUMN('A4 - Previsão de Receita Bruta'!AD$6)-1,0),0)</f>
        <v>0</v>
      </c>
      <c r="AD272" s="707">
        <f>IFERROR(-'E2 - Tributos'!AF$19*VLOOKUP('F1 - FCL'!$A270,ReceitaBruta,COLUMN('A4 - Previsão de Receita Bruta'!AE$6)-1,0),0)</f>
        <v>0</v>
      </c>
      <c r="AE272" s="707">
        <f>IFERROR(-'E2 - Tributos'!AG$19*VLOOKUP('F1 - FCL'!$A270,ReceitaBruta,COLUMN('A4 - Previsão de Receita Bruta'!AF$6)-1,0),0)</f>
        <v>0</v>
      </c>
      <c r="AF272" s="594"/>
      <c r="AG272" s="594"/>
      <c r="AH272" s="594"/>
      <c r="AI272" s="594"/>
      <c r="AJ272" s="594"/>
      <c r="AK272" s="594"/>
      <c r="AL272" s="594"/>
      <c r="AM272" s="594"/>
      <c r="AN272" s="594"/>
      <c r="AO272" s="594"/>
      <c r="AP272" s="594"/>
      <c r="AQ272" s="594"/>
      <c r="AR272" s="594"/>
      <c r="AS272" s="594"/>
      <c r="AT272" s="594"/>
      <c r="AU272" s="594"/>
      <c r="AV272" s="594"/>
      <c r="AW272" s="594"/>
      <c r="AX272" s="594"/>
      <c r="AY272" s="594"/>
      <c r="AZ272" s="594"/>
      <c r="BA272" s="594"/>
      <c r="BB272" s="594"/>
      <c r="BC272" s="594"/>
      <c r="BD272" s="594"/>
      <c r="BE272" s="594"/>
      <c r="BF272" s="594"/>
      <c r="BG272" s="594"/>
      <c r="BH272" s="594"/>
      <c r="BI272" s="594"/>
      <c r="BJ272" s="594"/>
      <c r="BK272" s="594"/>
      <c r="BL272" s="57"/>
      <c r="BM272" s="594"/>
      <c r="BN272" s="594"/>
      <c r="BO272" s="594"/>
      <c r="BP272" s="594"/>
      <c r="BQ272" s="594"/>
      <c r="BR272" s="594"/>
      <c r="BS272" s="594"/>
      <c r="BT272" s="594"/>
      <c r="BU272" s="594"/>
      <c r="BV272" s="594"/>
      <c r="BW272" s="594"/>
      <c r="BX272" s="594"/>
      <c r="BY272" s="594"/>
      <c r="BZ272" s="594"/>
      <c r="CA272" s="594"/>
      <c r="CB272" s="594"/>
      <c r="CC272" s="594"/>
      <c r="CD272" s="594"/>
      <c r="CE272" s="594"/>
      <c r="CF272" s="594"/>
      <c r="CG272" s="594"/>
      <c r="CH272" s="594"/>
      <c r="CI272" s="594"/>
      <c r="CJ272" s="594"/>
      <c r="CK272" s="594"/>
      <c r="CL272" s="594"/>
      <c r="CM272" s="594"/>
      <c r="CN272" s="594"/>
      <c r="CO272" s="594"/>
      <c r="CP272" s="594"/>
      <c r="CQ272" s="594"/>
    </row>
    <row r="273" spans="1:95" ht="19.5" hidden="1" customHeight="1" outlineLevel="1">
      <c r="A273" s="708" t="s">
        <v>590</v>
      </c>
      <c r="B273" s="707">
        <f t="shared" ref="B273:AE273" si="87">SUM(B274:B278)</f>
        <v>0</v>
      </c>
      <c r="C273" s="707">
        <f t="shared" si="87"/>
        <v>0</v>
      </c>
      <c r="D273" s="707">
        <f t="shared" si="87"/>
        <v>0</v>
      </c>
      <c r="E273" s="707">
        <f t="shared" si="87"/>
        <v>0</v>
      </c>
      <c r="F273" s="707">
        <f t="shared" si="87"/>
        <v>0</v>
      </c>
      <c r="G273" s="707">
        <f t="shared" si="87"/>
        <v>0</v>
      </c>
      <c r="H273" s="707">
        <f t="shared" si="87"/>
        <v>0</v>
      </c>
      <c r="I273" s="707">
        <f t="shared" si="87"/>
        <v>0</v>
      </c>
      <c r="J273" s="707">
        <f t="shared" si="87"/>
        <v>0</v>
      </c>
      <c r="K273" s="707">
        <f t="shared" si="87"/>
        <v>0</v>
      </c>
      <c r="L273" s="707">
        <f t="shared" si="87"/>
        <v>0</v>
      </c>
      <c r="M273" s="707">
        <f t="shared" si="87"/>
        <v>0</v>
      </c>
      <c r="N273" s="707">
        <f t="shared" si="87"/>
        <v>0</v>
      </c>
      <c r="O273" s="707">
        <f t="shared" si="87"/>
        <v>0</v>
      </c>
      <c r="P273" s="707">
        <f t="shared" si="87"/>
        <v>0</v>
      </c>
      <c r="Q273" s="707">
        <f t="shared" si="87"/>
        <v>0</v>
      </c>
      <c r="R273" s="707">
        <f t="shared" si="87"/>
        <v>0</v>
      </c>
      <c r="S273" s="707">
        <f t="shared" si="87"/>
        <v>0</v>
      </c>
      <c r="T273" s="707">
        <f t="shared" si="87"/>
        <v>0</v>
      </c>
      <c r="U273" s="707">
        <f t="shared" si="87"/>
        <v>0</v>
      </c>
      <c r="V273" s="707">
        <f t="shared" si="87"/>
        <v>0</v>
      </c>
      <c r="W273" s="707">
        <f t="shared" si="87"/>
        <v>0</v>
      </c>
      <c r="X273" s="707">
        <f t="shared" si="87"/>
        <v>0</v>
      </c>
      <c r="Y273" s="707">
        <f t="shared" si="87"/>
        <v>0</v>
      </c>
      <c r="Z273" s="707">
        <f t="shared" si="87"/>
        <v>0</v>
      </c>
      <c r="AA273" s="707">
        <f t="shared" si="87"/>
        <v>0</v>
      </c>
      <c r="AB273" s="707">
        <f t="shared" si="87"/>
        <v>0</v>
      </c>
      <c r="AC273" s="707">
        <f t="shared" si="87"/>
        <v>0</v>
      </c>
      <c r="AD273" s="707">
        <f t="shared" si="87"/>
        <v>0</v>
      </c>
      <c r="AE273" s="707">
        <f t="shared" si="87"/>
        <v>0</v>
      </c>
      <c r="AF273" s="594"/>
      <c r="AG273" s="594"/>
      <c r="AH273" s="594"/>
      <c r="AI273" s="594"/>
      <c r="AJ273" s="594"/>
      <c r="AK273" s="594"/>
      <c r="AL273" s="594"/>
      <c r="AM273" s="594"/>
      <c r="AN273" s="594"/>
      <c r="AO273" s="594"/>
      <c r="AP273" s="594"/>
      <c r="AQ273" s="594"/>
      <c r="AR273" s="594"/>
      <c r="AS273" s="594"/>
      <c r="AT273" s="594"/>
      <c r="AU273" s="594"/>
      <c r="AV273" s="594"/>
      <c r="AW273" s="594"/>
      <c r="AX273" s="594"/>
      <c r="AY273" s="594"/>
      <c r="AZ273" s="594"/>
      <c r="BA273" s="594"/>
      <c r="BB273" s="594"/>
      <c r="BC273" s="594"/>
      <c r="BD273" s="594"/>
      <c r="BE273" s="594"/>
      <c r="BF273" s="594"/>
      <c r="BG273" s="594"/>
      <c r="BH273" s="594"/>
      <c r="BI273" s="594"/>
      <c r="BJ273" s="594"/>
      <c r="BK273" s="594"/>
      <c r="BL273" s="57"/>
      <c r="BM273" s="594"/>
      <c r="BN273" s="594"/>
      <c r="BO273" s="594"/>
      <c r="BP273" s="594"/>
      <c r="BQ273" s="594"/>
      <c r="BR273" s="594"/>
      <c r="BS273" s="594"/>
      <c r="BT273" s="594"/>
      <c r="BU273" s="594"/>
      <c r="BV273" s="594"/>
      <c r="BW273" s="594"/>
      <c r="BX273" s="594"/>
      <c r="BY273" s="594"/>
      <c r="BZ273" s="594"/>
      <c r="CA273" s="594"/>
      <c r="CB273" s="594"/>
      <c r="CC273" s="594"/>
      <c r="CD273" s="594"/>
      <c r="CE273" s="594"/>
      <c r="CF273" s="594"/>
      <c r="CG273" s="594"/>
      <c r="CH273" s="594"/>
      <c r="CI273" s="594"/>
      <c r="CJ273" s="594"/>
      <c r="CK273" s="594"/>
      <c r="CL273" s="594"/>
      <c r="CM273" s="594"/>
      <c r="CN273" s="594"/>
      <c r="CO273" s="594"/>
      <c r="CP273" s="594"/>
      <c r="CQ273" s="594"/>
    </row>
    <row r="274" spans="1:95" ht="21" hidden="1" customHeight="1" outlineLevel="2">
      <c r="A274" s="709" t="s">
        <v>682</v>
      </c>
      <c r="B274" s="710">
        <f>IF($A270="",0,-SUMIF('C3 - Funcionários $'!$D$7:$D$121,$A270,'C3 - Funcionários $'!G$7:G$121))</f>
        <v>0</v>
      </c>
      <c r="C274" s="710">
        <f>IF($A270="",0,-SUMIF('C3 - Funcionários $'!$D$7:$D$121,$A270,'C3 - Funcionários $'!H$7:H$121))</f>
        <v>0</v>
      </c>
      <c r="D274" s="710">
        <f>IF($A270="",0,-SUMIF('C3 - Funcionários $'!$D$7:$D$121,$A270,'C3 - Funcionários $'!I$7:I$121))</f>
        <v>0</v>
      </c>
      <c r="E274" s="710">
        <f>IF($A270="",0,-SUMIF('C3 - Funcionários $'!$D$7:$D$121,$A270,'C3 - Funcionários $'!J$7:J$121))</f>
        <v>0</v>
      </c>
      <c r="F274" s="710">
        <f>IF($A270="",0,-SUMIF('C3 - Funcionários $'!$D$7:$D$121,$A270,'C3 - Funcionários $'!K$7:K$121))</f>
        <v>0</v>
      </c>
      <c r="G274" s="710">
        <f>IF($A270="",0,-SUMIF('C3 - Funcionários $'!$D$7:$D$121,$A270,'C3 - Funcionários $'!L$7:L$121))</f>
        <v>0</v>
      </c>
      <c r="H274" s="710">
        <f>IF($A270="",0,-SUMIF('C3 - Funcionários $'!$D$7:$D$121,$A270,'C3 - Funcionários $'!M$7:M$121))</f>
        <v>0</v>
      </c>
      <c r="I274" s="710">
        <f>IF($A270="",0,-SUMIF('C3 - Funcionários $'!$D$7:$D$121,$A270,'C3 - Funcionários $'!N$7:N$121))</f>
        <v>0</v>
      </c>
      <c r="J274" s="710">
        <f>IF($A270="",0,-SUMIF('C3 - Funcionários $'!$D$7:$D$121,$A270,'C3 - Funcionários $'!O$7:O$121))</f>
        <v>0</v>
      </c>
      <c r="K274" s="710">
        <f>IF($A270="",0,-SUMIF('C3 - Funcionários $'!$D$7:$D$121,$A270,'C3 - Funcionários $'!P$7:P$121))</f>
        <v>0</v>
      </c>
      <c r="L274" s="710">
        <f>IF($A270="",0,-SUMIF('C3 - Funcionários $'!$D$7:$D$121,$A270,'C3 - Funcionários $'!Q$7:Q$121))</f>
        <v>0</v>
      </c>
      <c r="M274" s="710">
        <f>IF($A270="",0,-SUMIF('C3 - Funcionários $'!$D$7:$D$121,$A270,'C3 - Funcionários $'!R$7:R$121))</f>
        <v>0</v>
      </c>
      <c r="N274" s="710">
        <f>IF($A270="",0,-SUMIF('C3 - Funcionários $'!$D$7:$D$121,$A270,'C3 - Funcionários $'!S$7:S$121))</f>
        <v>0</v>
      </c>
      <c r="O274" s="710">
        <f>IF($A270="",0,-SUMIF('C3 - Funcionários $'!$D$7:$D$121,$A270,'C3 - Funcionários $'!T$7:T$121))</f>
        <v>0</v>
      </c>
      <c r="P274" s="710">
        <f>IF($A270="",0,-SUMIF('C3 - Funcionários $'!$D$7:$D$121,$A270,'C3 - Funcionários $'!U$7:U$121))</f>
        <v>0</v>
      </c>
      <c r="Q274" s="710">
        <f>IF($A270="",0,-SUMIF('C3 - Funcionários $'!$D$7:$D$121,$A270,'C3 - Funcionários $'!V$7:V$121))</f>
        <v>0</v>
      </c>
      <c r="R274" s="710">
        <f>IF($A270="",0,-SUMIF('C3 - Funcionários $'!$D$7:$D$121,$A270,'C3 - Funcionários $'!W$7:W$121))</f>
        <v>0</v>
      </c>
      <c r="S274" s="710">
        <f>IF($A270="",0,-SUMIF('C3 - Funcionários $'!$D$7:$D$121,$A270,'C3 - Funcionários $'!X$7:X$121))</f>
        <v>0</v>
      </c>
      <c r="T274" s="710">
        <f>IF($A270="",0,-SUMIF('C3 - Funcionários $'!$D$7:$D$121,$A270,'C3 - Funcionários $'!Y$7:Y$121))</f>
        <v>0</v>
      </c>
      <c r="U274" s="710">
        <f>IF($A270="",0,-SUMIF('C3 - Funcionários $'!$D$7:$D$121,$A270,'C3 - Funcionários $'!Z$7:Z$121))</f>
        <v>0</v>
      </c>
      <c r="V274" s="710">
        <f>IF($A270="",0,-SUMIF('C3 - Funcionários $'!$D$7:$D$121,$A270,'C3 - Funcionários $'!AA$7:AA$121))</f>
        <v>0</v>
      </c>
      <c r="W274" s="710">
        <f>IF($A270="",0,-SUMIF('C3 - Funcionários $'!$D$7:$D$121,$A270,'C3 - Funcionários $'!AB$7:AB$121))</f>
        <v>0</v>
      </c>
      <c r="X274" s="710">
        <f>IF($A270="",0,-SUMIF('C3 - Funcionários $'!$D$7:$D$121,$A270,'C3 - Funcionários $'!AC$7:AC$121))</f>
        <v>0</v>
      </c>
      <c r="Y274" s="710">
        <f>IF($A270="",0,-SUMIF('C3 - Funcionários $'!$D$7:$D$121,$A270,'C3 - Funcionários $'!AD$7:AD$121))</f>
        <v>0</v>
      </c>
      <c r="Z274" s="710">
        <f>IF($A270="",0,-SUMIF('C3 - Funcionários $'!$D$7:$D$121,$A270,'C3 - Funcionários $'!AE$7:AE$121))</f>
        <v>0</v>
      </c>
      <c r="AA274" s="710">
        <f>IF($A270="",0,-SUMIF('C3 - Funcionários $'!$D$7:$D$121,$A270,'C3 - Funcionários $'!AF$7:AF$121))</f>
        <v>0</v>
      </c>
      <c r="AB274" s="710">
        <f>IF($A270="",0,-SUMIF('C3 - Funcionários $'!$D$7:$D$121,$A270,'C3 - Funcionários $'!AG$7:AG$121))</f>
        <v>0</v>
      </c>
      <c r="AC274" s="710">
        <f>IF($A270="",0,-SUMIF('C3 - Funcionários $'!$D$7:$D$121,$A270,'C3 - Funcionários $'!AH$7:AH$121))</f>
        <v>0</v>
      </c>
      <c r="AD274" s="710">
        <f>IF($A270="",0,-SUMIF('C3 - Funcionários $'!$D$7:$D$121,$A270,'C3 - Funcionários $'!AI$7:AI$121))</f>
        <v>0</v>
      </c>
      <c r="AE274" s="710">
        <f>IF($A270="",0,-SUMIF('C3 - Funcionários $'!$D$7:$D$121,$A270,'C3 - Funcionários $'!AJ$7:AJ$121))</f>
        <v>0</v>
      </c>
      <c r="AF274" s="594"/>
      <c r="AG274" s="594"/>
      <c r="AH274" s="594"/>
      <c r="AI274" s="594"/>
      <c r="AJ274" s="594"/>
      <c r="AK274" s="594"/>
      <c r="AL274" s="594"/>
      <c r="AM274" s="594"/>
      <c r="AN274" s="594"/>
      <c r="AO274" s="594"/>
      <c r="AP274" s="594"/>
      <c r="AQ274" s="594"/>
      <c r="AR274" s="594"/>
      <c r="AS274" s="594"/>
      <c r="AT274" s="594"/>
      <c r="AU274" s="594"/>
      <c r="AV274" s="594"/>
      <c r="AW274" s="594"/>
      <c r="AX274" s="594"/>
      <c r="AY274" s="594"/>
      <c r="AZ274" s="594"/>
      <c r="BA274" s="594"/>
      <c r="BB274" s="594"/>
      <c r="BC274" s="594"/>
      <c r="BD274" s="594"/>
      <c r="BE274" s="594"/>
      <c r="BF274" s="594"/>
      <c r="BG274" s="594"/>
      <c r="BH274" s="594"/>
      <c r="BI274" s="594"/>
      <c r="BJ274" s="594"/>
      <c r="BK274" s="594"/>
      <c r="BL274" s="57"/>
      <c r="BM274" s="594"/>
      <c r="BN274" s="594"/>
      <c r="BO274" s="594"/>
      <c r="BP274" s="594"/>
      <c r="BQ274" s="594"/>
      <c r="BR274" s="594"/>
      <c r="BS274" s="594"/>
      <c r="BT274" s="594"/>
      <c r="BU274" s="594"/>
      <c r="BV274" s="594"/>
      <c r="BW274" s="594"/>
      <c r="BX274" s="594"/>
      <c r="BY274" s="594"/>
      <c r="BZ274" s="594"/>
      <c r="CA274" s="594"/>
      <c r="CB274" s="594"/>
      <c r="CC274" s="594"/>
      <c r="CD274" s="594"/>
      <c r="CE274" s="594"/>
      <c r="CF274" s="594"/>
      <c r="CG274" s="594"/>
      <c r="CH274" s="594"/>
      <c r="CI274" s="594"/>
      <c r="CJ274" s="594"/>
      <c r="CK274" s="594"/>
      <c r="CL274" s="594"/>
      <c r="CM274" s="594"/>
      <c r="CN274" s="594"/>
      <c r="CO274" s="594"/>
      <c r="CP274" s="594"/>
      <c r="CQ274" s="594"/>
    </row>
    <row r="275" spans="1:95" ht="21" hidden="1" customHeight="1" outlineLevel="2">
      <c r="A275" s="709" t="s">
        <v>683</v>
      </c>
      <c r="B275" s="710">
        <f>IFERROR(-VLOOKUP($A270,CustoDiretoTotal,COLUMN('B2 - Custos diretos totais'!C$3)-1,0),0)</f>
        <v>0</v>
      </c>
      <c r="C275" s="710">
        <f>IFERROR(-VLOOKUP($A270,CustoDiretoTotal,COLUMN('B2 - Custos diretos totais'!D$3)-1,0),0)</f>
        <v>0</v>
      </c>
      <c r="D275" s="710">
        <f>IFERROR(-VLOOKUP($A270,CustoDiretoTotal,COLUMN('B2 - Custos diretos totais'!E$3)-1,0),0)</f>
        <v>0</v>
      </c>
      <c r="E275" s="710">
        <f>IFERROR(-VLOOKUP($A270,CustoDiretoTotal,COLUMN('B2 - Custos diretos totais'!F$3)-1,0),0)</f>
        <v>0</v>
      </c>
      <c r="F275" s="710">
        <f>IFERROR(-VLOOKUP($A270,CustoDiretoTotal,COLUMN('B2 - Custos diretos totais'!G$3)-1,0),0)</f>
        <v>0</v>
      </c>
      <c r="G275" s="710">
        <f>IFERROR(-VLOOKUP($A270,CustoDiretoTotal,COLUMN('B2 - Custos diretos totais'!H$3)-1,0),0)</f>
        <v>0</v>
      </c>
      <c r="H275" s="710">
        <f>IFERROR(-VLOOKUP($A270,CustoDiretoTotal,COLUMN('B2 - Custos diretos totais'!I$3)-1,0),0)</f>
        <v>0</v>
      </c>
      <c r="I275" s="710">
        <f>IFERROR(-VLOOKUP($A270,CustoDiretoTotal,COLUMN('B2 - Custos diretos totais'!J$3)-1,0),0)</f>
        <v>0</v>
      </c>
      <c r="J275" s="710">
        <f>IFERROR(-VLOOKUP($A270,CustoDiretoTotal,COLUMN('B2 - Custos diretos totais'!K$3)-1,0),0)</f>
        <v>0</v>
      </c>
      <c r="K275" s="710">
        <f>IFERROR(-VLOOKUP($A270,CustoDiretoTotal,COLUMN('B2 - Custos diretos totais'!L$3)-1,0),0)</f>
        <v>0</v>
      </c>
      <c r="L275" s="710">
        <f>IFERROR(-VLOOKUP($A270,CustoDiretoTotal,COLUMN('B2 - Custos diretos totais'!M$3)-1,0),0)</f>
        <v>0</v>
      </c>
      <c r="M275" s="710">
        <f>IFERROR(-VLOOKUP($A270,CustoDiretoTotal,COLUMN('B2 - Custos diretos totais'!N$3)-1,0),0)</f>
        <v>0</v>
      </c>
      <c r="N275" s="710">
        <f>IFERROR(-VLOOKUP($A270,CustoDiretoTotal,COLUMN('B2 - Custos diretos totais'!O$3)-1,0),0)</f>
        <v>0</v>
      </c>
      <c r="O275" s="710">
        <f>IFERROR(-VLOOKUP($A270,CustoDiretoTotal,COLUMN('B2 - Custos diretos totais'!P$3)-1,0),0)</f>
        <v>0</v>
      </c>
      <c r="P275" s="710">
        <f>IFERROR(-VLOOKUP($A270,CustoDiretoTotal,COLUMN('B2 - Custos diretos totais'!Q$3)-1,0),0)</f>
        <v>0</v>
      </c>
      <c r="Q275" s="710">
        <f>IFERROR(-VLOOKUP($A270,CustoDiretoTotal,COLUMN('B2 - Custos diretos totais'!R$3)-1,0),0)</f>
        <v>0</v>
      </c>
      <c r="R275" s="710">
        <f>IFERROR(-VLOOKUP($A270,CustoDiretoTotal,COLUMN('B2 - Custos diretos totais'!S$3)-1,0),0)</f>
        <v>0</v>
      </c>
      <c r="S275" s="710">
        <f>IFERROR(-VLOOKUP($A270,CustoDiretoTotal,COLUMN('B2 - Custos diretos totais'!T$3)-1,0),0)</f>
        <v>0</v>
      </c>
      <c r="T275" s="710">
        <f>IFERROR(-VLOOKUP($A270,CustoDiretoTotal,COLUMN('B2 - Custos diretos totais'!U$3)-1,0),0)</f>
        <v>0</v>
      </c>
      <c r="U275" s="710">
        <f>IFERROR(-VLOOKUP($A270,CustoDiretoTotal,COLUMN('B2 - Custos diretos totais'!V$3)-1,0),0)</f>
        <v>0</v>
      </c>
      <c r="V275" s="710">
        <f>IFERROR(-VLOOKUP($A270,CustoDiretoTotal,COLUMN('B2 - Custos diretos totais'!W$3)-1,0),0)</f>
        <v>0</v>
      </c>
      <c r="W275" s="710">
        <f>IFERROR(-VLOOKUP($A270,CustoDiretoTotal,COLUMN('B2 - Custos diretos totais'!X$3)-1,0),0)</f>
        <v>0</v>
      </c>
      <c r="X275" s="710">
        <f>IFERROR(-VLOOKUP($A270,CustoDiretoTotal,COLUMN('B2 - Custos diretos totais'!Y$3)-1,0),0)</f>
        <v>0</v>
      </c>
      <c r="Y275" s="710">
        <f>IFERROR(-VLOOKUP($A270,CustoDiretoTotal,COLUMN('B2 - Custos diretos totais'!Z$3)-1,0),0)</f>
        <v>0</v>
      </c>
      <c r="Z275" s="710">
        <f>IFERROR(-VLOOKUP($A270,CustoDiretoTotal,COLUMN('B2 - Custos diretos totais'!AA$3)-1,0),0)</f>
        <v>0</v>
      </c>
      <c r="AA275" s="710">
        <f>IFERROR(-VLOOKUP($A270,CustoDiretoTotal,COLUMN('B2 - Custos diretos totais'!AB$3)-1,0),0)</f>
        <v>0</v>
      </c>
      <c r="AB275" s="710">
        <f>IFERROR(-VLOOKUP($A270,CustoDiretoTotal,COLUMN('B2 - Custos diretos totais'!AC$3)-1,0),0)</f>
        <v>0</v>
      </c>
      <c r="AC275" s="710">
        <f>IFERROR(-VLOOKUP($A270,CustoDiretoTotal,COLUMN('B2 - Custos diretos totais'!AD$3)-1,0),0)</f>
        <v>0</v>
      </c>
      <c r="AD275" s="710">
        <f>IFERROR(-VLOOKUP($A270,CustoDiretoTotal,COLUMN('B2 - Custos diretos totais'!AE$3)-1,0),0)</f>
        <v>0</v>
      </c>
      <c r="AE275" s="710">
        <f>IFERROR(-VLOOKUP($A270,CustoDiretoTotal,COLUMN('B2 - Custos diretos totais'!AF$3)-1,0),0)</f>
        <v>0</v>
      </c>
      <c r="AF275" s="594"/>
      <c r="AG275" s="594"/>
      <c r="AH275" s="594"/>
      <c r="AI275" s="594"/>
      <c r="AJ275" s="594"/>
      <c r="AK275" s="594"/>
      <c r="AL275" s="594"/>
      <c r="AM275" s="594"/>
      <c r="AN275" s="594"/>
      <c r="AO275" s="594"/>
      <c r="AP275" s="594"/>
      <c r="AQ275" s="594"/>
      <c r="AR275" s="594"/>
      <c r="AS275" s="594"/>
      <c r="AT275" s="594"/>
      <c r="AU275" s="594"/>
      <c r="AV275" s="594"/>
      <c r="AW275" s="594"/>
      <c r="AX275" s="594"/>
      <c r="AY275" s="594"/>
      <c r="AZ275" s="594"/>
      <c r="BA275" s="594"/>
      <c r="BB275" s="594"/>
      <c r="BC275" s="594"/>
      <c r="BD275" s="594"/>
      <c r="BE275" s="594"/>
      <c r="BF275" s="594"/>
      <c r="BG275" s="594"/>
      <c r="BH275" s="594"/>
      <c r="BI275" s="594"/>
      <c r="BJ275" s="594"/>
      <c r="BK275" s="594"/>
      <c r="BL275" s="57"/>
      <c r="BM275" s="594"/>
      <c r="BN275" s="594"/>
      <c r="BO275" s="594"/>
      <c r="BP275" s="594"/>
      <c r="BQ275" s="594"/>
      <c r="BR275" s="594"/>
      <c r="BS275" s="594"/>
      <c r="BT275" s="594"/>
      <c r="BU275" s="594"/>
      <c r="BV275" s="594"/>
      <c r="BW275" s="594"/>
      <c r="BX275" s="594"/>
      <c r="BY275" s="594"/>
      <c r="BZ275" s="594"/>
      <c r="CA275" s="594"/>
      <c r="CB275" s="594"/>
      <c r="CC275" s="594"/>
      <c r="CD275" s="594"/>
      <c r="CE275" s="594"/>
      <c r="CF275" s="594"/>
      <c r="CG275" s="594"/>
      <c r="CH275" s="594"/>
      <c r="CI275" s="594"/>
      <c r="CJ275" s="594"/>
      <c r="CK275" s="594"/>
      <c r="CL275" s="594"/>
      <c r="CM275" s="594"/>
      <c r="CN275" s="594"/>
      <c r="CO275" s="594"/>
      <c r="CP275" s="594"/>
      <c r="CQ275" s="594"/>
    </row>
    <row r="276" spans="1:95" ht="21" hidden="1" customHeight="1" outlineLevel="2">
      <c r="A276" s="709" t="s">
        <v>684</v>
      </c>
      <c r="B276" s="710">
        <f>-SUMIFS('B3 - Custos despesas indiretos'!AK$5:AK$148,'B3 - Custos despesas indiretos'!$B$5:$B$148,"Custos",'B3 - Custos despesas indiretos'!$D$5:$D$148,$A270)</f>
        <v>0</v>
      </c>
      <c r="C276" s="710">
        <f>-SUMIFS('B3 - Custos despesas indiretos'!AL$5:AL$148,'B3 - Custos despesas indiretos'!$B$5:$B$148,"Custos",'B3 - Custos despesas indiretos'!$D$5:$D$148,$A270)</f>
        <v>0</v>
      </c>
      <c r="D276" s="710">
        <f>-SUMIFS('B3 - Custos despesas indiretos'!AM$5:AM$148,'B3 - Custos despesas indiretos'!$B$5:$B$148,"Custos",'B3 - Custos despesas indiretos'!$D$5:$D$148,$A270)</f>
        <v>0</v>
      </c>
      <c r="E276" s="710">
        <f>-SUMIFS('B3 - Custos despesas indiretos'!AN$5:AN$148,'B3 - Custos despesas indiretos'!$B$5:$B$148,"Custos",'B3 - Custos despesas indiretos'!$D$5:$D$148,$A270)</f>
        <v>0</v>
      </c>
      <c r="F276" s="710">
        <f>-SUMIFS('B3 - Custos despesas indiretos'!AO$5:AO$148,'B3 - Custos despesas indiretos'!$B$5:$B$148,"Custos",'B3 - Custos despesas indiretos'!$D$5:$D$148,$A270)</f>
        <v>0</v>
      </c>
      <c r="G276" s="710">
        <f>-SUMIFS('B3 - Custos despesas indiretos'!AP$5:AP$148,'B3 - Custos despesas indiretos'!$B$5:$B$148,"Custos",'B3 - Custos despesas indiretos'!$D$5:$D$148,$A270)</f>
        <v>0</v>
      </c>
      <c r="H276" s="710">
        <f>-SUMIFS('B3 - Custos despesas indiretos'!AQ$5:AQ$148,'B3 - Custos despesas indiretos'!$B$5:$B$148,"Custos",'B3 - Custos despesas indiretos'!$D$5:$D$148,$A270)</f>
        <v>0</v>
      </c>
      <c r="I276" s="710">
        <f>-SUMIFS('B3 - Custos despesas indiretos'!AR$5:AR$148,'B3 - Custos despesas indiretos'!$B$5:$B$148,"Custos",'B3 - Custos despesas indiretos'!$D$5:$D$148,$A270)</f>
        <v>0</v>
      </c>
      <c r="J276" s="710">
        <f>-SUMIFS('B3 - Custos despesas indiretos'!AS$5:AS$148,'B3 - Custos despesas indiretos'!$B$5:$B$148,"Custos",'B3 - Custos despesas indiretos'!$D$5:$D$148,$A270)</f>
        <v>0</v>
      </c>
      <c r="K276" s="710">
        <f>-SUMIFS('B3 - Custos despesas indiretos'!AT$5:AT$148,'B3 - Custos despesas indiretos'!$B$5:$B$148,"Custos",'B3 - Custos despesas indiretos'!$D$5:$D$148,$A270)</f>
        <v>0</v>
      </c>
      <c r="L276" s="710">
        <f>-SUMIFS('B3 - Custos despesas indiretos'!AU$5:AU$148,'B3 - Custos despesas indiretos'!$B$5:$B$148,"Custos",'B3 - Custos despesas indiretos'!$D$5:$D$148,$A270)</f>
        <v>0</v>
      </c>
      <c r="M276" s="710">
        <f>-SUMIFS('B3 - Custos despesas indiretos'!AV$5:AV$148,'B3 - Custos despesas indiretos'!$B$5:$B$148,"Custos",'B3 - Custos despesas indiretos'!$D$5:$D$148,$A270)</f>
        <v>0</v>
      </c>
      <c r="N276" s="710">
        <f>-SUMIFS('B3 - Custos despesas indiretos'!AW$5:AW$148,'B3 - Custos despesas indiretos'!$B$5:$B$148,"Custos",'B3 - Custos despesas indiretos'!$D$5:$D$148,$A270)</f>
        <v>0</v>
      </c>
      <c r="O276" s="710">
        <f>-SUMIFS('B3 - Custos despesas indiretos'!AX$5:AX$148,'B3 - Custos despesas indiretos'!$B$5:$B$148,"Custos",'B3 - Custos despesas indiretos'!$D$5:$D$148,$A270)</f>
        <v>0</v>
      </c>
      <c r="P276" s="710">
        <f>-SUMIFS('B3 - Custos despesas indiretos'!AY$5:AY$148,'B3 - Custos despesas indiretos'!$B$5:$B$148,"Custos",'B3 - Custos despesas indiretos'!$D$5:$D$148,$A270)</f>
        <v>0</v>
      </c>
      <c r="Q276" s="710">
        <f>-SUMIFS('B3 - Custos despesas indiretos'!AZ$5:AZ$148,'B3 - Custos despesas indiretos'!$B$5:$B$148,"Custos",'B3 - Custos despesas indiretos'!$D$5:$D$148,$A270)</f>
        <v>0</v>
      </c>
      <c r="R276" s="710">
        <f>-SUMIFS('B3 - Custos despesas indiretos'!BA$5:BA$148,'B3 - Custos despesas indiretos'!$B$5:$B$148,"Custos",'B3 - Custos despesas indiretos'!$D$5:$D$148,$A270)</f>
        <v>0</v>
      </c>
      <c r="S276" s="710">
        <f>-SUMIFS('B3 - Custos despesas indiretos'!BB$5:BB$148,'B3 - Custos despesas indiretos'!$B$5:$B$148,"Custos",'B3 - Custos despesas indiretos'!$D$5:$D$148,$A270)</f>
        <v>0</v>
      </c>
      <c r="T276" s="710">
        <f>-SUMIFS('B3 - Custos despesas indiretos'!BC$5:BC$148,'B3 - Custos despesas indiretos'!$B$5:$B$148,"Custos",'B3 - Custos despesas indiretos'!$D$5:$D$148,$A270)</f>
        <v>0</v>
      </c>
      <c r="U276" s="710">
        <f>-SUMIFS('B3 - Custos despesas indiretos'!BD$5:BD$148,'B3 - Custos despesas indiretos'!$B$5:$B$148,"Custos",'B3 - Custos despesas indiretos'!$D$5:$D$148,$A270)</f>
        <v>0</v>
      </c>
      <c r="V276" s="710">
        <f>-SUMIFS('B3 - Custos despesas indiretos'!BE$5:BE$148,'B3 - Custos despesas indiretos'!$B$5:$B$148,"Custos",'B3 - Custos despesas indiretos'!$D$5:$D$148,$A270)</f>
        <v>0</v>
      </c>
      <c r="W276" s="710">
        <f>-SUMIFS('B3 - Custos despesas indiretos'!BF$5:BF$148,'B3 - Custos despesas indiretos'!$B$5:$B$148,"Custos",'B3 - Custos despesas indiretos'!$D$5:$D$148,$A270)</f>
        <v>0</v>
      </c>
      <c r="X276" s="710">
        <f>-SUMIFS('B3 - Custos despesas indiretos'!BG$5:BG$148,'B3 - Custos despesas indiretos'!$B$5:$B$148,"Custos",'B3 - Custos despesas indiretos'!$D$5:$D$148,$A270)</f>
        <v>0</v>
      </c>
      <c r="Y276" s="710">
        <f>-SUMIFS('B3 - Custos despesas indiretos'!BH$5:BH$148,'B3 - Custos despesas indiretos'!$B$5:$B$148,"Custos",'B3 - Custos despesas indiretos'!$D$5:$D$148,$A270)</f>
        <v>0</v>
      </c>
      <c r="Z276" s="710">
        <f>-SUMIFS('B3 - Custos despesas indiretos'!BI$5:BI$148,'B3 - Custos despesas indiretos'!$B$5:$B$148,"Custos",'B3 - Custos despesas indiretos'!$D$5:$D$148,$A270)</f>
        <v>0</v>
      </c>
      <c r="AA276" s="710">
        <f>-SUMIFS('B3 - Custos despesas indiretos'!BJ$5:BJ$148,'B3 - Custos despesas indiretos'!$B$5:$B$148,"Custos",'B3 - Custos despesas indiretos'!$D$5:$D$148,$A270)</f>
        <v>0</v>
      </c>
      <c r="AB276" s="710">
        <f>-SUMIFS('B3 - Custos despesas indiretos'!BK$5:BK$148,'B3 - Custos despesas indiretos'!$B$5:$B$148,"Custos",'B3 - Custos despesas indiretos'!$D$5:$D$148,$A270)</f>
        <v>0</v>
      </c>
      <c r="AC276" s="710">
        <f>-SUMIFS('B3 - Custos despesas indiretos'!BL$5:BL$148,'B3 - Custos despesas indiretos'!$B$5:$B$148,"Custos",'B3 - Custos despesas indiretos'!$D$5:$D$148,$A270)</f>
        <v>0</v>
      </c>
      <c r="AD276" s="710">
        <f>-SUMIFS('B3 - Custos despesas indiretos'!BM$5:BM$148,'B3 - Custos despesas indiretos'!$B$5:$B$148,"Custos",'B3 - Custos despesas indiretos'!$D$5:$D$148,$A270)</f>
        <v>0</v>
      </c>
      <c r="AE276" s="710">
        <f>-SUMIFS('B3 - Custos despesas indiretos'!BN$5:BN$148,'B3 - Custos despesas indiretos'!$B$5:$B$148,"Custos",'B3 - Custos despesas indiretos'!$D$5:$D$148,$A270)</f>
        <v>0</v>
      </c>
      <c r="AF276" s="594"/>
      <c r="AG276" s="594"/>
      <c r="AH276" s="594"/>
      <c r="AI276" s="594"/>
      <c r="AJ276" s="594"/>
      <c r="AK276" s="594"/>
      <c r="AL276" s="594"/>
      <c r="AM276" s="594"/>
      <c r="AN276" s="594"/>
      <c r="AO276" s="594"/>
      <c r="AP276" s="594"/>
      <c r="AQ276" s="594"/>
      <c r="AR276" s="594"/>
      <c r="AS276" s="594"/>
      <c r="AT276" s="594"/>
      <c r="AU276" s="594"/>
      <c r="AV276" s="594"/>
      <c r="AW276" s="594"/>
      <c r="AX276" s="594"/>
      <c r="AY276" s="594"/>
      <c r="AZ276" s="594"/>
      <c r="BA276" s="594"/>
      <c r="BB276" s="594"/>
      <c r="BC276" s="594"/>
      <c r="BD276" s="594"/>
      <c r="BE276" s="594"/>
      <c r="BF276" s="594"/>
      <c r="BG276" s="594"/>
      <c r="BH276" s="594"/>
      <c r="BI276" s="594"/>
      <c r="BJ276" s="594"/>
      <c r="BK276" s="594"/>
      <c r="BL276" s="57"/>
      <c r="BM276" s="594"/>
      <c r="BN276" s="594"/>
      <c r="BO276" s="594"/>
      <c r="BP276" s="594"/>
      <c r="BQ276" s="594"/>
      <c r="BR276" s="594"/>
      <c r="BS276" s="594"/>
      <c r="BT276" s="594"/>
      <c r="BU276" s="594"/>
      <c r="BV276" s="594"/>
      <c r="BW276" s="594"/>
      <c r="BX276" s="594"/>
      <c r="BY276" s="594"/>
      <c r="BZ276" s="594"/>
      <c r="CA276" s="594"/>
      <c r="CB276" s="594"/>
      <c r="CC276" s="594"/>
      <c r="CD276" s="594"/>
      <c r="CE276" s="594"/>
      <c r="CF276" s="594"/>
      <c r="CG276" s="594"/>
      <c r="CH276" s="594"/>
      <c r="CI276" s="594"/>
      <c r="CJ276" s="594"/>
      <c r="CK276" s="594"/>
      <c r="CL276" s="594"/>
      <c r="CM276" s="594"/>
      <c r="CN276" s="594"/>
      <c r="CO276" s="594"/>
      <c r="CP276" s="594"/>
      <c r="CQ276" s="594"/>
    </row>
    <row r="277" spans="1:95" ht="21" hidden="1" customHeight="1" outlineLevel="2">
      <c r="A277" s="709" t="s">
        <v>685</v>
      </c>
      <c r="B277" s="710">
        <f>-SUMIFS('B3 - Custos despesas indiretos'!AK$5:AK$148,'B3 - Custos despesas indiretos'!$B$5:$B$148,"Despesas",'B3 - Custos despesas indiretos'!$D$5:$D$148,$A270)</f>
        <v>0</v>
      </c>
      <c r="C277" s="710">
        <f>-SUMIFS('B3 - Custos despesas indiretos'!AL$5:AL$148,'B3 - Custos despesas indiretos'!$B$5:$B$148,"Despesas",'B3 - Custos despesas indiretos'!$D$5:$D$148,$A270)</f>
        <v>0</v>
      </c>
      <c r="D277" s="710">
        <f>-SUMIFS('B3 - Custos despesas indiretos'!AM$5:AM$148,'B3 - Custos despesas indiretos'!$B$5:$B$148,"Despesas",'B3 - Custos despesas indiretos'!$D$5:$D$148,$A270)</f>
        <v>0</v>
      </c>
      <c r="E277" s="710">
        <f>-SUMIFS('B3 - Custos despesas indiretos'!AN$5:AN$148,'B3 - Custos despesas indiretos'!$B$5:$B$148,"Despesas",'B3 - Custos despesas indiretos'!$D$5:$D$148,$A270)</f>
        <v>0</v>
      </c>
      <c r="F277" s="710">
        <f>-SUMIFS('B3 - Custos despesas indiretos'!AO$5:AO$148,'B3 - Custos despesas indiretos'!$B$5:$B$148,"Despesas",'B3 - Custos despesas indiretos'!$D$5:$D$148,$A270)</f>
        <v>0</v>
      </c>
      <c r="G277" s="710">
        <f>-SUMIFS('B3 - Custos despesas indiretos'!AP$5:AP$148,'B3 - Custos despesas indiretos'!$B$5:$B$148,"Despesas",'B3 - Custos despesas indiretos'!$D$5:$D$148,$A270)</f>
        <v>0</v>
      </c>
      <c r="H277" s="710">
        <f>-SUMIFS('B3 - Custos despesas indiretos'!AQ$5:AQ$148,'B3 - Custos despesas indiretos'!$B$5:$B$148,"Despesas",'B3 - Custos despesas indiretos'!$D$5:$D$148,$A270)</f>
        <v>0</v>
      </c>
      <c r="I277" s="710">
        <f>-SUMIFS('B3 - Custos despesas indiretos'!AR$5:AR$148,'B3 - Custos despesas indiretos'!$B$5:$B$148,"Despesas",'B3 - Custos despesas indiretos'!$D$5:$D$148,$A270)</f>
        <v>0</v>
      </c>
      <c r="J277" s="710">
        <f>-SUMIFS('B3 - Custos despesas indiretos'!AS$5:AS$148,'B3 - Custos despesas indiretos'!$B$5:$B$148,"Despesas",'B3 - Custos despesas indiretos'!$D$5:$D$148,$A270)</f>
        <v>0</v>
      </c>
      <c r="K277" s="710">
        <f>-SUMIFS('B3 - Custos despesas indiretos'!AT$5:AT$148,'B3 - Custos despesas indiretos'!$B$5:$B$148,"Despesas",'B3 - Custos despesas indiretos'!$D$5:$D$148,$A270)</f>
        <v>0</v>
      </c>
      <c r="L277" s="710">
        <f>-SUMIFS('B3 - Custos despesas indiretos'!AU$5:AU$148,'B3 - Custos despesas indiretos'!$B$5:$B$148,"Despesas",'B3 - Custos despesas indiretos'!$D$5:$D$148,$A270)</f>
        <v>0</v>
      </c>
      <c r="M277" s="710">
        <f>-SUMIFS('B3 - Custos despesas indiretos'!AV$5:AV$148,'B3 - Custos despesas indiretos'!$B$5:$B$148,"Despesas",'B3 - Custos despesas indiretos'!$D$5:$D$148,$A270)</f>
        <v>0</v>
      </c>
      <c r="N277" s="710">
        <f>-SUMIFS('B3 - Custos despesas indiretos'!AW$5:AW$148,'B3 - Custos despesas indiretos'!$B$5:$B$148,"Despesas",'B3 - Custos despesas indiretos'!$D$5:$D$148,$A270)</f>
        <v>0</v>
      </c>
      <c r="O277" s="710">
        <f>-SUMIFS('B3 - Custos despesas indiretos'!AX$5:AX$148,'B3 - Custos despesas indiretos'!$B$5:$B$148,"Despesas",'B3 - Custos despesas indiretos'!$D$5:$D$148,$A270)</f>
        <v>0</v>
      </c>
      <c r="P277" s="710">
        <f>-SUMIFS('B3 - Custos despesas indiretos'!AY$5:AY$148,'B3 - Custos despesas indiretos'!$B$5:$B$148,"Despesas",'B3 - Custos despesas indiretos'!$D$5:$D$148,$A270)</f>
        <v>0</v>
      </c>
      <c r="Q277" s="710">
        <f>-SUMIFS('B3 - Custos despesas indiretos'!AZ$5:AZ$148,'B3 - Custos despesas indiretos'!$B$5:$B$148,"Despesas",'B3 - Custos despesas indiretos'!$D$5:$D$148,$A270)</f>
        <v>0</v>
      </c>
      <c r="R277" s="710">
        <f>-SUMIFS('B3 - Custos despesas indiretos'!BA$5:BA$148,'B3 - Custos despesas indiretos'!$B$5:$B$148,"Despesas",'B3 - Custos despesas indiretos'!$D$5:$D$148,$A270)</f>
        <v>0</v>
      </c>
      <c r="S277" s="710">
        <f>-SUMIFS('B3 - Custos despesas indiretos'!BB$5:BB$148,'B3 - Custos despesas indiretos'!$B$5:$B$148,"Despesas",'B3 - Custos despesas indiretos'!$D$5:$D$148,$A270)</f>
        <v>0</v>
      </c>
      <c r="T277" s="710">
        <f>-SUMIFS('B3 - Custos despesas indiretos'!BC$5:BC$148,'B3 - Custos despesas indiretos'!$B$5:$B$148,"Despesas",'B3 - Custos despesas indiretos'!$D$5:$D$148,$A270)</f>
        <v>0</v>
      </c>
      <c r="U277" s="710">
        <f>-SUMIFS('B3 - Custos despesas indiretos'!BD$5:BD$148,'B3 - Custos despesas indiretos'!$B$5:$B$148,"Despesas",'B3 - Custos despesas indiretos'!$D$5:$D$148,$A270)</f>
        <v>0</v>
      </c>
      <c r="V277" s="710">
        <f>-SUMIFS('B3 - Custos despesas indiretos'!BE$5:BE$148,'B3 - Custos despesas indiretos'!$B$5:$B$148,"Despesas",'B3 - Custos despesas indiretos'!$D$5:$D$148,$A270)</f>
        <v>0</v>
      </c>
      <c r="W277" s="710">
        <f>-SUMIFS('B3 - Custos despesas indiretos'!BF$5:BF$148,'B3 - Custos despesas indiretos'!$B$5:$B$148,"Despesas",'B3 - Custos despesas indiretos'!$D$5:$D$148,$A270)</f>
        <v>0</v>
      </c>
      <c r="X277" s="710">
        <f>-SUMIFS('B3 - Custos despesas indiretos'!BG$5:BG$148,'B3 - Custos despesas indiretos'!$B$5:$B$148,"Despesas",'B3 - Custos despesas indiretos'!$D$5:$D$148,$A270)</f>
        <v>0</v>
      </c>
      <c r="Y277" s="710">
        <f>-SUMIFS('B3 - Custos despesas indiretos'!BH$5:BH$148,'B3 - Custos despesas indiretos'!$B$5:$B$148,"Despesas",'B3 - Custos despesas indiretos'!$D$5:$D$148,$A270)</f>
        <v>0</v>
      </c>
      <c r="Z277" s="710">
        <f>-SUMIFS('B3 - Custos despesas indiretos'!BI$5:BI$148,'B3 - Custos despesas indiretos'!$B$5:$B$148,"Despesas",'B3 - Custos despesas indiretos'!$D$5:$D$148,$A270)</f>
        <v>0</v>
      </c>
      <c r="AA277" s="710">
        <f>-SUMIFS('B3 - Custos despesas indiretos'!BJ$5:BJ$148,'B3 - Custos despesas indiretos'!$B$5:$B$148,"Despesas",'B3 - Custos despesas indiretos'!$D$5:$D$148,$A270)</f>
        <v>0</v>
      </c>
      <c r="AB277" s="710">
        <f>-SUMIFS('B3 - Custos despesas indiretos'!BK$5:BK$148,'B3 - Custos despesas indiretos'!$B$5:$B$148,"Despesas",'B3 - Custos despesas indiretos'!$D$5:$D$148,$A270)</f>
        <v>0</v>
      </c>
      <c r="AC277" s="710">
        <f>-SUMIFS('B3 - Custos despesas indiretos'!BL$5:BL$148,'B3 - Custos despesas indiretos'!$B$5:$B$148,"Despesas",'B3 - Custos despesas indiretos'!$D$5:$D$148,$A270)</f>
        <v>0</v>
      </c>
      <c r="AD277" s="710">
        <f>-SUMIFS('B3 - Custos despesas indiretos'!BM$5:BM$148,'B3 - Custos despesas indiretos'!$B$5:$B$148,"Despesas",'B3 - Custos despesas indiretos'!$D$5:$D$148,$A270)</f>
        <v>0</v>
      </c>
      <c r="AE277" s="710">
        <f>-SUMIFS('B3 - Custos despesas indiretos'!BN$5:BN$148,'B3 - Custos despesas indiretos'!$B$5:$B$148,"Despesas",'B3 - Custos despesas indiretos'!$D$5:$D$148,$A270)</f>
        <v>0</v>
      </c>
      <c r="AF277" s="594"/>
      <c r="AG277" s="594"/>
      <c r="AH277" s="594"/>
      <c r="AI277" s="594"/>
      <c r="AJ277" s="594"/>
      <c r="AK277" s="594"/>
      <c r="AL277" s="594"/>
      <c r="AM277" s="594"/>
      <c r="AN277" s="594"/>
      <c r="AO277" s="594"/>
      <c r="AP277" s="594"/>
      <c r="AQ277" s="594"/>
      <c r="AR277" s="594"/>
      <c r="AS277" s="594"/>
      <c r="AT277" s="594"/>
      <c r="AU277" s="594"/>
      <c r="AV277" s="594"/>
      <c r="AW277" s="594"/>
      <c r="AX277" s="594"/>
      <c r="AY277" s="594"/>
      <c r="AZ277" s="594"/>
      <c r="BA277" s="594"/>
      <c r="BB277" s="594"/>
      <c r="BC277" s="594"/>
      <c r="BD277" s="594"/>
      <c r="BE277" s="594"/>
      <c r="BF277" s="594"/>
      <c r="BG277" s="594"/>
      <c r="BH277" s="594"/>
      <c r="BI277" s="594"/>
      <c r="BJ277" s="594"/>
      <c r="BK277" s="594"/>
      <c r="BL277" s="57"/>
      <c r="BM277" s="594"/>
      <c r="BN277" s="594"/>
      <c r="BO277" s="594"/>
      <c r="BP277" s="594"/>
      <c r="BQ277" s="594"/>
      <c r="BR277" s="594"/>
      <c r="BS277" s="594"/>
      <c r="BT277" s="594"/>
      <c r="BU277" s="594"/>
      <c r="BV277" s="594"/>
      <c r="BW277" s="594"/>
      <c r="BX277" s="594"/>
      <c r="BY277" s="594"/>
      <c r="BZ277" s="594"/>
      <c r="CA277" s="594"/>
      <c r="CB277" s="594"/>
      <c r="CC277" s="594"/>
      <c r="CD277" s="594"/>
      <c r="CE277" s="594"/>
      <c r="CF277" s="594"/>
      <c r="CG277" s="594"/>
      <c r="CH277" s="594"/>
      <c r="CI277" s="594"/>
      <c r="CJ277" s="594"/>
      <c r="CK277" s="594"/>
      <c r="CL277" s="594"/>
      <c r="CM277" s="594"/>
      <c r="CN277" s="594"/>
      <c r="CO277" s="594"/>
      <c r="CP277" s="594"/>
      <c r="CQ277" s="594"/>
    </row>
    <row r="278" spans="1:95" ht="21" hidden="1" customHeight="1" outlineLevel="2">
      <c r="A278" s="709" t="s">
        <v>686</v>
      </c>
      <c r="B278" s="710">
        <f>-SUMIF('D2 - Capex uso'!$C$6:$C$176,$A270,'D2 - Capex uso'!GI$6:GI$176)</f>
        <v>0</v>
      </c>
      <c r="C278" s="710">
        <f>-SUMIF('D2 - Capex uso'!$C$6:$C$176,$A270,'D2 - Capex uso'!GJ$6:GJ$176)</f>
        <v>0</v>
      </c>
      <c r="D278" s="710">
        <f>-SUMIF('D2 - Capex uso'!$C$6:$C$176,$A270,'D2 - Capex uso'!GK$6:GK$176)</f>
        <v>0</v>
      </c>
      <c r="E278" s="710">
        <f>-SUMIF('D2 - Capex uso'!$C$6:$C$176,$A270,'D2 - Capex uso'!GL$6:GL$176)</f>
        <v>0</v>
      </c>
      <c r="F278" s="710">
        <f>-SUMIF('D2 - Capex uso'!$C$6:$C$176,$A270,'D2 - Capex uso'!GM$6:GM$176)</f>
        <v>0</v>
      </c>
      <c r="G278" s="710">
        <f>-SUMIF('D2 - Capex uso'!$C$6:$C$176,$A270,'D2 - Capex uso'!GN$6:GN$176)</f>
        <v>0</v>
      </c>
      <c r="H278" s="710">
        <f>-SUMIF('D2 - Capex uso'!$C$6:$C$176,$A270,'D2 - Capex uso'!GO$6:GO$176)</f>
        <v>0</v>
      </c>
      <c r="I278" s="710">
        <f>-SUMIF('D2 - Capex uso'!$C$6:$C$176,$A270,'D2 - Capex uso'!GP$6:GP$176)</f>
        <v>0</v>
      </c>
      <c r="J278" s="710">
        <f>-SUMIF('D2 - Capex uso'!$C$6:$C$176,$A270,'D2 - Capex uso'!GQ$6:GQ$176)</f>
        <v>0</v>
      </c>
      <c r="K278" s="710">
        <f>-SUMIF('D2 - Capex uso'!$C$6:$C$176,$A270,'D2 - Capex uso'!GR$6:GR$176)</f>
        <v>0</v>
      </c>
      <c r="L278" s="710">
        <f>-SUMIF('D2 - Capex uso'!$C$6:$C$176,$A270,'D2 - Capex uso'!GS$6:GS$176)</f>
        <v>0</v>
      </c>
      <c r="M278" s="710">
        <f>-SUMIF('D2 - Capex uso'!$C$6:$C$176,$A270,'D2 - Capex uso'!GT$6:GT$176)</f>
        <v>0</v>
      </c>
      <c r="N278" s="710">
        <f>-SUMIF('D2 - Capex uso'!$C$6:$C$176,$A270,'D2 - Capex uso'!GU$6:GU$176)</f>
        <v>0</v>
      </c>
      <c r="O278" s="710">
        <f>-SUMIF('D2 - Capex uso'!$C$6:$C$176,$A270,'D2 - Capex uso'!GV$6:GV$176)</f>
        <v>0</v>
      </c>
      <c r="P278" s="710">
        <f>-SUMIF('D2 - Capex uso'!$C$6:$C$176,$A270,'D2 - Capex uso'!GW$6:GW$176)</f>
        <v>0</v>
      </c>
      <c r="Q278" s="710">
        <f>-SUMIF('D2 - Capex uso'!$C$6:$C$176,$A270,'D2 - Capex uso'!GX$6:GX$176)</f>
        <v>0</v>
      </c>
      <c r="R278" s="710">
        <f>-SUMIF('D2 - Capex uso'!$C$6:$C$176,$A270,'D2 - Capex uso'!GY$6:GY$176)</f>
        <v>0</v>
      </c>
      <c r="S278" s="710">
        <f>-SUMIF('D2 - Capex uso'!$C$6:$C$176,$A270,'D2 - Capex uso'!GZ$6:GZ$176)</f>
        <v>0</v>
      </c>
      <c r="T278" s="710">
        <f>-SUMIF('D2 - Capex uso'!$C$6:$C$176,$A270,'D2 - Capex uso'!HA$6:HA$176)</f>
        <v>0</v>
      </c>
      <c r="U278" s="710">
        <f>-SUMIF('D2 - Capex uso'!$C$6:$C$176,$A270,'D2 - Capex uso'!HB$6:HB$176)</f>
        <v>0</v>
      </c>
      <c r="V278" s="710">
        <f>-SUMIF('D2 - Capex uso'!$C$6:$C$176,$A270,'D2 - Capex uso'!HC$6:HC$176)</f>
        <v>0</v>
      </c>
      <c r="W278" s="710">
        <f>-SUMIF('D2 - Capex uso'!$C$6:$C$176,$A270,'D2 - Capex uso'!HD$6:HD$176)</f>
        <v>0</v>
      </c>
      <c r="X278" s="710">
        <f>-SUMIF('D2 - Capex uso'!$C$6:$C$176,$A270,'D2 - Capex uso'!HE$6:HE$176)</f>
        <v>0</v>
      </c>
      <c r="Y278" s="710">
        <f>-SUMIF('D2 - Capex uso'!$C$6:$C$176,$A270,'D2 - Capex uso'!HF$6:HF$176)</f>
        <v>0</v>
      </c>
      <c r="Z278" s="710">
        <f>-SUMIF('D2 - Capex uso'!$C$6:$C$176,$A270,'D2 - Capex uso'!HG$6:HG$176)</f>
        <v>0</v>
      </c>
      <c r="AA278" s="710">
        <f>-SUMIF('D2 - Capex uso'!$C$6:$C$176,$A270,'D2 - Capex uso'!HH$6:HH$176)</f>
        <v>0</v>
      </c>
      <c r="AB278" s="710">
        <f>-SUMIF('D2 - Capex uso'!$C$6:$C$176,$A270,'D2 - Capex uso'!HI$6:HI$176)</f>
        <v>0</v>
      </c>
      <c r="AC278" s="710">
        <f>-SUMIF('D2 - Capex uso'!$C$6:$C$176,$A270,'D2 - Capex uso'!HJ$6:HJ$176)</f>
        <v>0</v>
      </c>
      <c r="AD278" s="710">
        <f>-SUMIF('D2 - Capex uso'!$C$6:$C$176,$A270,'D2 - Capex uso'!HK$6:HK$176)</f>
        <v>0</v>
      </c>
      <c r="AE278" s="710">
        <f>-SUMIF('D2 - Capex uso'!$C$6:$C$176,$A270,'D2 - Capex uso'!HL$6:HL$176)</f>
        <v>0</v>
      </c>
      <c r="AF278" s="594"/>
      <c r="AG278" s="594"/>
      <c r="AH278" s="594"/>
      <c r="AI278" s="594"/>
      <c r="AJ278" s="594"/>
      <c r="AK278" s="594"/>
      <c r="AL278" s="594"/>
      <c r="AM278" s="594"/>
      <c r="AN278" s="594"/>
      <c r="AO278" s="594"/>
      <c r="AP278" s="594"/>
      <c r="AQ278" s="594"/>
      <c r="AR278" s="594"/>
      <c r="AS278" s="594"/>
      <c r="AT278" s="594"/>
      <c r="AU278" s="594"/>
      <c r="AV278" s="594"/>
      <c r="AW278" s="594"/>
      <c r="AX278" s="594"/>
      <c r="AY278" s="594"/>
      <c r="AZ278" s="594"/>
      <c r="BA278" s="594"/>
      <c r="BB278" s="594"/>
      <c r="BC278" s="594"/>
      <c r="BD278" s="594"/>
      <c r="BE278" s="594"/>
      <c r="BF278" s="594"/>
      <c r="BG278" s="594"/>
      <c r="BH278" s="594"/>
      <c r="BI278" s="594"/>
      <c r="BJ278" s="594"/>
      <c r="BK278" s="594"/>
      <c r="BL278" s="57"/>
      <c r="BM278" s="594"/>
      <c r="BN278" s="594"/>
      <c r="BO278" s="594"/>
      <c r="BP278" s="594"/>
      <c r="BQ278" s="594"/>
      <c r="BR278" s="594"/>
      <c r="BS278" s="594"/>
      <c r="BT278" s="594"/>
      <c r="BU278" s="594"/>
      <c r="BV278" s="594"/>
      <c r="BW278" s="594"/>
      <c r="BX278" s="594"/>
      <c r="BY278" s="594"/>
      <c r="BZ278" s="594"/>
      <c r="CA278" s="594"/>
      <c r="CB278" s="594"/>
      <c r="CC278" s="594"/>
      <c r="CD278" s="594"/>
      <c r="CE278" s="594"/>
      <c r="CF278" s="594"/>
      <c r="CG278" s="594"/>
      <c r="CH278" s="594"/>
      <c r="CI278" s="594"/>
      <c r="CJ278" s="594"/>
      <c r="CK278" s="594"/>
      <c r="CL278" s="594"/>
      <c r="CM278" s="594"/>
      <c r="CN278" s="594"/>
      <c r="CO278" s="594"/>
      <c r="CP278" s="594"/>
      <c r="CQ278" s="594"/>
    </row>
    <row r="279" spans="1:95" ht="21" hidden="1" customHeight="1" outlineLevel="1">
      <c r="A279" s="708" t="s">
        <v>687</v>
      </c>
      <c r="B279" s="707">
        <f t="shared" ref="B279:AE279" si="88">SUM(B271:B273)</f>
        <v>0</v>
      </c>
      <c r="C279" s="707">
        <f t="shared" si="88"/>
        <v>0</v>
      </c>
      <c r="D279" s="707">
        <f t="shared" si="88"/>
        <v>0</v>
      </c>
      <c r="E279" s="707">
        <f t="shared" si="88"/>
        <v>0</v>
      </c>
      <c r="F279" s="707">
        <f t="shared" si="88"/>
        <v>0</v>
      </c>
      <c r="G279" s="707">
        <f t="shared" si="88"/>
        <v>0</v>
      </c>
      <c r="H279" s="707">
        <f t="shared" si="88"/>
        <v>0</v>
      </c>
      <c r="I279" s="707">
        <f t="shared" si="88"/>
        <v>0</v>
      </c>
      <c r="J279" s="707">
        <f t="shared" si="88"/>
        <v>0</v>
      </c>
      <c r="K279" s="707">
        <f t="shared" si="88"/>
        <v>0</v>
      </c>
      <c r="L279" s="707">
        <f t="shared" si="88"/>
        <v>0</v>
      </c>
      <c r="M279" s="707">
        <f t="shared" si="88"/>
        <v>0</v>
      </c>
      <c r="N279" s="707">
        <f t="shared" si="88"/>
        <v>0</v>
      </c>
      <c r="O279" s="707">
        <f t="shared" si="88"/>
        <v>0</v>
      </c>
      <c r="P279" s="707">
        <f t="shared" si="88"/>
        <v>0</v>
      </c>
      <c r="Q279" s="707">
        <f t="shared" si="88"/>
        <v>0</v>
      </c>
      <c r="R279" s="707">
        <f t="shared" si="88"/>
        <v>0</v>
      </c>
      <c r="S279" s="707">
        <f t="shared" si="88"/>
        <v>0</v>
      </c>
      <c r="T279" s="707">
        <f t="shared" si="88"/>
        <v>0</v>
      </c>
      <c r="U279" s="707">
        <f t="shared" si="88"/>
        <v>0</v>
      </c>
      <c r="V279" s="707">
        <f t="shared" si="88"/>
        <v>0</v>
      </c>
      <c r="W279" s="707">
        <f t="shared" si="88"/>
        <v>0</v>
      </c>
      <c r="X279" s="707">
        <f t="shared" si="88"/>
        <v>0</v>
      </c>
      <c r="Y279" s="707">
        <f t="shared" si="88"/>
        <v>0</v>
      </c>
      <c r="Z279" s="707">
        <f t="shared" si="88"/>
        <v>0</v>
      </c>
      <c r="AA279" s="707">
        <f t="shared" si="88"/>
        <v>0</v>
      </c>
      <c r="AB279" s="707">
        <f t="shared" si="88"/>
        <v>0</v>
      </c>
      <c r="AC279" s="707">
        <f t="shared" si="88"/>
        <v>0</v>
      </c>
      <c r="AD279" s="707">
        <f t="shared" si="88"/>
        <v>0</v>
      </c>
      <c r="AE279" s="707">
        <f t="shared" si="88"/>
        <v>0</v>
      </c>
      <c r="AF279" s="594"/>
      <c r="AG279" s="594"/>
      <c r="AH279" s="594"/>
      <c r="AI279" s="594"/>
      <c r="AJ279" s="594"/>
      <c r="AK279" s="594"/>
      <c r="AL279" s="594"/>
      <c r="AM279" s="594"/>
      <c r="AN279" s="594"/>
      <c r="AO279" s="594"/>
      <c r="AP279" s="594"/>
      <c r="AQ279" s="594"/>
      <c r="AR279" s="594"/>
      <c r="AS279" s="594"/>
      <c r="AT279" s="594"/>
      <c r="AU279" s="594"/>
      <c r="AV279" s="594"/>
      <c r="AW279" s="594"/>
      <c r="AX279" s="594"/>
      <c r="AY279" s="594"/>
      <c r="AZ279" s="594"/>
      <c r="BA279" s="594"/>
      <c r="BB279" s="594"/>
      <c r="BC279" s="594"/>
      <c r="BD279" s="594"/>
      <c r="BE279" s="594"/>
      <c r="BF279" s="594"/>
      <c r="BG279" s="594"/>
      <c r="BH279" s="594"/>
      <c r="BI279" s="594"/>
      <c r="BJ279" s="594"/>
      <c r="BK279" s="594"/>
      <c r="BL279" s="57"/>
      <c r="BM279" s="594"/>
      <c r="BN279" s="594"/>
      <c r="BO279" s="594"/>
      <c r="BP279" s="594"/>
      <c r="BQ279" s="594"/>
      <c r="BR279" s="594"/>
      <c r="BS279" s="594"/>
      <c r="BT279" s="594"/>
      <c r="BU279" s="594"/>
      <c r="BV279" s="594"/>
      <c r="BW279" s="594"/>
      <c r="BX279" s="594"/>
      <c r="BY279" s="594"/>
      <c r="BZ279" s="594"/>
      <c r="CA279" s="594"/>
      <c r="CB279" s="594"/>
      <c r="CC279" s="594"/>
      <c r="CD279" s="594"/>
      <c r="CE279" s="594"/>
      <c r="CF279" s="594"/>
      <c r="CG279" s="594"/>
      <c r="CH279" s="594"/>
      <c r="CI279" s="594"/>
      <c r="CJ279" s="594"/>
      <c r="CK279" s="594"/>
      <c r="CL279" s="594"/>
      <c r="CM279" s="594"/>
      <c r="CN279" s="594"/>
      <c r="CO279" s="594"/>
      <c r="CP279" s="594"/>
      <c r="CQ279" s="594"/>
    </row>
    <row r="280" spans="1:95" ht="19.5" hidden="1" customHeight="1" outlineLevel="1">
      <c r="A280" s="708" t="s">
        <v>688</v>
      </c>
      <c r="B280" s="707">
        <f t="shared" ref="B280:AE280" si="89">SUM(B281:B288)</f>
        <v>0</v>
      </c>
      <c r="C280" s="707">
        <f t="shared" si="89"/>
        <v>0</v>
      </c>
      <c r="D280" s="707">
        <f t="shared" si="89"/>
        <v>0</v>
      </c>
      <c r="E280" s="707">
        <f t="shared" si="89"/>
        <v>0</v>
      </c>
      <c r="F280" s="707">
        <f t="shared" si="89"/>
        <v>0</v>
      </c>
      <c r="G280" s="707">
        <f t="shared" si="89"/>
        <v>0</v>
      </c>
      <c r="H280" s="707">
        <f t="shared" si="89"/>
        <v>0</v>
      </c>
      <c r="I280" s="707">
        <f t="shared" si="89"/>
        <v>0</v>
      </c>
      <c r="J280" s="707">
        <f t="shared" si="89"/>
        <v>0</v>
      </c>
      <c r="K280" s="707">
        <f t="shared" si="89"/>
        <v>0</v>
      </c>
      <c r="L280" s="707">
        <f t="shared" si="89"/>
        <v>0</v>
      </c>
      <c r="M280" s="707">
        <f t="shared" si="89"/>
        <v>0</v>
      </c>
      <c r="N280" s="707">
        <f t="shared" si="89"/>
        <v>0</v>
      </c>
      <c r="O280" s="707">
        <f t="shared" si="89"/>
        <v>0</v>
      </c>
      <c r="P280" s="707">
        <f t="shared" si="89"/>
        <v>0</v>
      </c>
      <c r="Q280" s="707">
        <f t="shared" si="89"/>
        <v>0</v>
      </c>
      <c r="R280" s="707">
        <f t="shared" si="89"/>
        <v>0</v>
      </c>
      <c r="S280" s="707">
        <f t="shared" si="89"/>
        <v>0</v>
      </c>
      <c r="T280" s="707">
        <f t="shared" si="89"/>
        <v>0</v>
      </c>
      <c r="U280" s="707">
        <f t="shared" si="89"/>
        <v>0</v>
      </c>
      <c r="V280" s="707">
        <f t="shared" si="89"/>
        <v>0</v>
      </c>
      <c r="W280" s="707">
        <f t="shared" si="89"/>
        <v>0</v>
      </c>
      <c r="X280" s="707">
        <f t="shared" si="89"/>
        <v>0</v>
      </c>
      <c r="Y280" s="707">
        <f t="shared" si="89"/>
        <v>0</v>
      </c>
      <c r="Z280" s="707">
        <f t="shared" si="89"/>
        <v>0</v>
      </c>
      <c r="AA280" s="707">
        <f t="shared" si="89"/>
        <v>0</v>
      </c>
      <c r="AB280" s="707">
        <f t="shared" si="89"/>
        <v>0</v>
      </c>
      <c r="AC280" s="707">
        <f t="shared" si="89"/>
        <v>0</v>
      </c>
      <c r="AD280" s="707">
        <f t="shared" si="89"/>
        <v>0</v>
      </c>
      <c r="AE280" s="707">
        <f t="shared" si="89"/>
        <v>0</v>
      </c>
      <c r="AF280" s="594"/>
      <c r="AG280" s="594"/>
      <c r="AH280" s="594"/>
      <c r="AI280" s="594"/>
      <c r="AJ280" s="594"/>
      <c r="AK280" s="594"/>
      <c r="AL280" s="594"/>
      <c r="AM280" s="594"/>
      <c r="AN280" s="594"/>
      <c r="AO280" s="594"/>
      <c r="AP280" s="594"/>
      <c r="AQ280" s="594"/>
      <c r="AR280" s="594"/>
      <c r="AS280" s="594"/>
      <c r="AT280" s="594"/>
      <c r="AU280" s="594"/>
      <c r="AV280" s="594"/>
      <c r="AW280" s="594"/>
      <c r="AX280" s="594"/>
      <c r="AY280" s="594"/>
      <c r="AZ280" s="594"/>
      <c r="BA280" s="594"/>
      <c r="BB280" s="594"/>
      <c r="BC280" s="594"/>
      <c r="BD280" s="594"/>
      <c r="BE280" s="594"/>
      <c r="BF280" s="594"/>
      <c r="BG280" s="594"/>
      <c r="BH280" s="594"/>
      <c r="BI280" s="594"/>
      <c r="BJ280" s="594"/>
      <c r="BK280" s="594"/>
      <c r="BL280" s="57"/>
      <c r="BM280" s="594"/>
      <c r="BN280" s="594"/>
      <c r="BO280" s="594"/>
      <c r="BP280" s="594"/>
      <c r="BQ280" s="594"/>
      <c r="BR280" s="594"/>
      <c r="BS280" s="594"/>
      <c r="BT280" s="594"/>
      <c r="BU280" s="594"/>
      <c r="BV280" s="594"/>
      <c r="BW280" s="594"/>
      <c r="BX280" s="594"/>
      <c r="BY280" s="594"/>
      <c r="BZ280" s="594"/>
      <c r="CA280" s="594"/>
      <c r="CB280" s="594"/>
      <c r="CC280" s="594"/>
      <c r="CD280" s="594"/>
      <c r="CE280" s="594"/>
      <c r="CF280" s="594"/>
      <c r="CG280" s="594"/>
      <c r="CH280" s="594"/>
      <c r="CI280" s="594"/>
      <c r="CJ280" s="594"/>
      <c r="CK280" s="594"/>
      <c r="CL280" s="594"/>
      <c r="CM280" s="594"/>
      <c r="CN280" s="594"/>
      <c r="CO280" s="594"/>
      <c r="CP280" s="594"/>
      <c r="CQ280" s="594"/>
    </row>
    <row r="281" spans="1:95" ht="19.5" hidden="1" customHeight="1" outlineLevel="2">
      <c r="A281" s="709" t="s">
        <v>354</v>
      </c>
      <c r="B281" s="710">
        <f>-SUMIFS('D2 - Capex uso'!BS$6:BS$176,'D2 - Capex uso'!$C$6:$C$176,$A270,'D2 - Capex uso'!$AK$6:$AK$176,$A281)</f>
        <v>0</v>
      </c>
      <c r="C281" s="710">
        <f>-SUMIFS('D2 - Capex uso'!BT$6:BT$176,'D2 - Capex uso'!$C$6:$C$176,$A270,'D2 - Capex uso'!$AK$6:$AK$176,$A281)</f>
        <v>0</v>
      </c>
      <c r="D281" s="710">
        <f>-SUMIFS('D2 - Capex uso'!BU$6:BU$176,'D2 - Capex uso'!$C$6:$C$176,$A270,'D2 - Capex uso'!$AK$6:$AK$176,$A281)</f>
        <v>0</v>
      </c>
      <c r="E281" s="710">
        <f>-SUMIFS('D2 - Capex uso'!BV$6:BV$176,'D2 - Capex uso'!$C$6:$C$176,$A270,'D2 - Capex uso'!$AK$6:$AK$176,$A281)</f>
        <v>0</v>
      </c>
      <c r="F281" s="710">
        <f>-SUMIFS('D2 - Capex uso'!BW$6:BW$176,'D2 - Capex uso'!$C$6:$C$176,$A270,'D2 - Capex uso'!$AK$6:$AK$176,$A281)</f>
        <v>0</v>
      </c>
      <c r="G281" s="710">
        <f>-SUMIFS('D2 - Capex uso'!BX$6:BX$176,'D2 - Capex uso'!$C$6:$C$176,$A270,'D2 - Capex uso'!$AK$6:$AK$176,$A281)</f>
        <v>0</v>
      </c>
      <c r="H281" s="710">
        <f>-SUMIFS('D2 - Capex uso'!BY$6:BY$176,'D2 - Capex uso'!$C$6:$C$176,$A270,'D2 - Capex uso'!$AK$6:$AK$176,$A281)</f>
        <v>0</v>
      </c>
      <c r="I281" s="710">
        <f>-SUMIFS('D2 - Capex uso'!BZ$6:BZ$176,'D2 - Capex uso'!$C$6:$C$176,$A270,'D2 - Capex uso'!$AK$6:$AK$176,$A281)</f>
        <v>0</v>
      </c>
      <c r="J281" s="710">
        <f>-SUMIFS('D2 - Capex uso'!CA$6:CA$176,'D2 - Capex uso'!$C$6:$C$176,$A270,'D2 - Capex uso'!$AK$6:$AK$176,$A281)</f>
        <v>0</v>
      </c>
      <c r="K281" s="710">
        <f>-SUMIFS('D2 - Capex uso'!CB$6:CB$176,'D2 - Capex uso'!$C$6:$C$176,$A270,'D2 - Capex uso'!$AK$6:$AK$176,$A281)</f>
        <v>0</v>
      </c>
      <c r="L281" s="710">
        <f>-SUMIFS('D2 - Capex uso'!CC$6:CC$176,'D2 - Capex uso'!$C$6:$C$176,$A270,'D2 - Capex uso'!$AK$6:$AK$176,$A281)</f>
        <v>0</v>
      </c>
      <c r="M281" s="710">
        <f>-SUMIFS('D2 - Capex uso'!CD$6:CD$176,'D2 - Capex uso'!$C$6:$C$176,$A270,'D2 - Capex uso'!$AK$6:$AK$176,$A281)</f>
        <v>0</v>
      </c>
      <c r="N281" s="710">
        <f>-SUMIFS('D2 - Capex uso'!CE$6:CE$176,'D2 - Capex uso'!$C$6:$C$176,$A270,'D2 - Capex uso'!$AK$6:$AK$176,$A281)</f>
        <v>0</v>
      </c>
      <c r="O281" s="710">
        <f>-SUMIFS('D2 - Capex uso'!CF$6:CF$176,'D2 - Capex uso'!$C$6:$C$176,$A270,'D2 - Capex uso'!$AK$6:$AK$176,$A281)</f>
        <v>0</v>
      </c>
      <c r="P281" s="710">
        <f>-SUMIFS('D2 - Capex uso'!CG$6:CG$176,'D2 - Capex uso'!$C$6:$C$176,$A270,'D2 - Capex uso'!$AK$6:$AK$176,$A281)</f>
        <v>0</v>
      </c>
      <c r="Q281" s="710">
        <f>-SUMIFS('D2 - Capex uso'!CH$6:CH$176,'D2 - Capex uso'!$C$6:$C$176,$A270,'D2 - Capex uso'!$AK$6:$AK$176,$A281)</f>
        <v>0</v>
      </c>
      <c r="R281" s="710">
        <f>-SUMIFS('D2 - Capex uso'!CI$6:CI$176,'D2 - Capex uso'!$C$6:$C$176,$A270,'D2 - Capex uso'!$AK$6:$AK$176,$A281)</f>
        <v>0</v>
      </c>
      <c r="S281" s="710">
        <f>-SUMIFS('D2 - Capex uso'!CJ$6:CJ$176,'D2 - Capex uso'!$C$6:$C$176,$A270,'D2 - Capex uso'!$AK$6:$AK$176,$A281)</f>
        <v>0</v>
      </c>
      <c r="T281" s="710">
        <f>-SUMIFS('D2 - Capex uso'!CK$6:CK$176,'D2 - Capex uso'!$C$6:$C$176,$A270,'D2 - Capex uso'!$AK$6:$AK$176,$A281)</f>
        <v>0</v>
      </c>
      <c r="U281" s="710">
        <f>-SUMIFS('D2 - Capex uso'!CL$6:CL$176,'D2 - Capex uso'!$C$6:$C$176,$A270,'D2 - Capex uso'!$AK$6:$AK$176,$A281)</f>
        <v>0</v>
      </c>
      <c r="V281" s="710">
        <f>-SUMIFS('D2 - Capex uso'!CM$6:CM$176,'D2 - Capex uso'!$C$6:$C$176,$A270,'D2 - Capex uso'!$AK$6:$AK$176,$A281)</f>
        <v>0</v>
      </c>
      <c r="W281" s="710">
        <f>-SUMIFS('D2 - Capex uso'!CN$6:CN$176,'D2 - Capex uso'!$C$6:$C$176,$A270,'D2 - Capex uso'!$AK$6:$AK$176,$A281)</f>
        <v>0</v>
      </c>
      <c r="X281" s="710">
        <f>-SUMIFS('D2 - Capex uso'!CO$6:CO$176,'D2 - Capex uso'!$C$6:$C$176,$A270,'D2 - Capex uso'!$AK$6:$AK$176,$A281)</f>
        <v>0</v>
      </c>
      <c r="Y281" s="710">
        <f>-SUMIFS('D2 - Capex uso'!CP$6:CP$176,'D2 - Capex uso'!$C$6:$C$176,$A270,'D2 - Capex uso'!$AK$6:$AK$176,$A281)</f>
        <v>0</v>
      </c>
      <c r="Z281" s="710">
        <f>-SUMIFS('D2 - Capex uso'!CQ$6:CQ$176,'D2 - Capex uso'!$C$6:$C$176,$A270,'D2 - Capex uso'!$AK$6:$AK$176,$A281)</f>
        <v>0</v>
      </c>
      <c r="AA281" s="710">
        <f>-SUMIFS('D2 - Capex uso'!CR$6:CR$176,'D2 - Capex uso'!$C$6:$C$176,$A270,'D2 - Capex uso'!$AK$6:$AK$176,$A281)</f>
        <v>0</v>
      </c>
      <c r="AB281" s="710">
        <f>-SUMIFS('D2 - Capex uso'!CS$6:CS$176,'D2 - Capex uso'!$C$6:$C$176,$A270,'D2 - Capex uso'!$AK$6:$AK$176,$A281)</f>
        <v>0</v>
      </c>
      <c r="AC281" s="710">
        <f>-SUMIFS('D2 - Capex uso'!CT$6:CT$176,'D2 - Capex uso'!$C$6:$C$176,$A270,'D2 - Capex uso'!$AK$6:$AK$176,$A281)</f>
        <v>0</v>
      </c>
      <c r="AD281" s="710">
        <f>-SUMIFS('D2 - Capex uso'!CU$6:CU$176,'D2 - Capex uso'!$C$6:$C$176,$A270,'D2 - Capex uso'!$AK$6:$AK$176,$A281)</f>
        <v>0</v>
      </c>
      <c r="AE281" s="710">
        <f>-SUMIFS('D2 - Capex uso'!CV$6:CV$176,'D2 - Capex uso'!$C$6:$C$176,$A270,'D2 - Capex uso'!$AK$6:$AK$176,$A281)</f>
        <v>0</v>
      </c>
      <c r="AF281" s="594"/>
      <c r="AG281" s="594"/>
      <c r="AH281" s="594"/>
      <c r="AI281" s="594"/>
      <c r="AJ281" s="594"/>
      <c r="AK281" s="594"/>
      <c r="AL281" s="594"/>
      <c r="AM281" s="594"/>
      <c r="AN281" s="594"/>
      <c r="AO281" s="594"/>
      <c r="AP281" s="594"/>
      <c r="AQ281" s="594"/>
      <c r="AR281" s="594"/>
      <c r="AS281" s="594"/>
      <c r="AT281" s="594"/>
      <c r="AU281" s="594"/>
      <c r="AV281" s="594"/>
      <c r="AW281" s="594"/>
      <c r="AX281" s="594"/>
      <c r="AY281" s="594"/>
      <c r="AZ281" s="594"/>
      <c r="BA281" s="594"/>
      <c r="BB281" s="594"/>
      <c r="BC281" s="594"/>
      <c r="BD281" s="594"/>
      <c r="BE281" s="594"/>
      <c r="BF281" s="594"/>
      <c r="BG281" s="594"/>
      <c r="BH281" s="594"/>
      <c r="BI281" s="594"/>
      <c r="BJ281" s="594"/>
      <c r="BK281" s="594"/>
      <c r="BL281" s="57"/>
      <c r="BM281" s="594"/>
      <c r="BN281" s="594"/>
      <c r="BO281" s="594"/>
      <c r="BP281" s="594"/>
      <c r="BQ281" s="594"/>
      <c r="BR281" s="594"/>
      <c r="BS281" s="594"/>
      <c r="BT281" s="594"/>
      <c r="BU281" s="594"/>
      <c r="BV281" s="594"/>
      <c r="BW281" s="594"/>
      <c r="BX281" s="594"/>
      <c r="BY281" s="594"/>
      <c r="BZ281" s="594"/>
      <c r="CA281" s="594"/>
      <c r="CB281" s="594"/>
      <c r="CC281" s="594"/>
      <c r="CD281" s="594"/>
      <c r="CE281" s="594"/>
      <c r="CF281" s="594"/>
      <c r="CG281" s="594"/>
      <c r="CH281" s="594"/>
      <c r="CI281" s="594"/>
      <c r="CJ281" s="594"/>
      <c r="CK281" s="594"/>
      <c r="CL281" s="594"/>
      <c r="CM281" s="594"/>
      <c r="CN281" s="594"/>
      <c r="CO281" s="594"/>
      <c r="CP281" s="594"/>
      <c r="CQ281" s="594"/>
    </row>
    <row r="282" spans="1:95" ht="19.5" hidden="1" customHeight="1" outlineLevel="2">
      <c r="A282" s="709" t="s">
        <v>689</v>
      </c>
      <c r="B282" s="710">
        <f>-SUMIFS('D2 - Capex uso'!BS$6:BS$176,'D2 - Capex uso'!$C$6:$C$176,$A270,'D2 - Capex uso'!$AK$6:$AK$176,$A282)</f>
        <v>0</v>
      </c>
      <c r="C282" s="710">
        <f>-SUMIFS('D2 - Capex uso'!BT$6:BT$176,'D2 - Capex uso'!$C$6:$C$176,$A270,'D2 - Capex uso'!$AK$6:$AK$176,$A282)</f>
        <v>0</v>
      </c>
      <c r="D282" s="710">
        <f>-SUMIFS('D2 - Capex uso'!BU$6:BU$176,'D2 - Capex uso'!$C$6:$C$176,$A270,'D2 - Capex uso'!$AK$6:$AK$176,$A282)</f>
        <v>0</v>
      </c>
      <c r="E282" s="710">
        <f>-SUMIFS('D2 - Capex uso'!BV$6:BV$176,'D2 - Capex uso'!$C$6:$C$176,$A270,'D2 - Capex uso'!$AK$6:$AK$176,$A282)</f>
        <v>0</v>
      </c>
      <c r="F282" s="710">
        <f>-SUMIFS('D2 - Capex uso'!BW$6:BW$176,'D2 - Capex uso'!$C$6:$C$176,$A270,'D2 - Capex uso'!$AK$6:$AK$176,$A282)</f>
        <v>0</v>
      </c>
      <c r="G282" s="710">
        <f>-SUMIFS('D2 - Capex uso'!BX$6:BX$176,'D2 - Capex uso'!$C$6:$C$176,$A270,'D2 - Capex uso'!$AK$6:$AK$176,$A282)</f>
        <v>0</v>
      </c>
      <c r="H282" s="710">
        <f>-SUMIFS('D2 - Capex uso'!BY$6:BY$176,'D2 - Capex uso'!$C$6:$C$176,$A270,'D2 - Capex uso'!$AK$6:$AK$176,$A282)</f>
        <v>0</v>
      </c>
      <c r="I282" s="710">
        <f>-SUMIFS('D2 - Capex uso'!BZ$6:BZ$176,'D2 - Capex uso'!$C$6:$C$176,$A270,'D2 - Capex uso'!$AK$6:$AK$176,$A282)</f>
        <v>0</v>
      </c>
      <c r="J282" s="710">
        <f>-SUMIFS('D2 - Capex uso'!CA$6:CA$176,'D2 - Capex uso'!$C$6:$C$176,$A270,'D2 - Capex uso'!$AK$6:$AK$176,$A282)</f>
        <v>0</v>
      </c>
      <c r="K282" s="710">
        <f>-SUMIFS('D2 - Capex uso'!CB$6:CB$176,'D2 - Capex uso'!$C$6:$C$176,$A270,'D2 - Capex uso'!$AK$6:$AK$176,$A282)</f>
        <v>0</v>
      </c>
      <c r="L282" s="710">
        <f>-SUMIFS('D2 - Capex uso'!CC$6:CC$176,'D2 - Capex uso'!$C$6:$C$176,$A270,'D2 - Capex uso'!$AK$6:$AK$176,$A282)</f>
        <v>0</v>
      </c>
      <c r="M282" s="710">
        <f>-SUMIFS('D2 - Capex uso'!CD$6:CD$176,'D2 - Capex uso'!$C$6:$C$176,$A270,'D2 - Capex uso'!$AK$6:$AK$176,$A282)</f>
        <v>0</v>
      </c>
      <c r="N282" s="710">
        <f>-SUMIFS('D2 - Capex uso'!CE$6:CE$176,'D2 - Capex uso'!$C$6:$C$176,$A270,'D2 - Capex uso'!$AK$6:$AK$176,$A282)</f>
        <v>0</v>
      </c>
      <c r="O282" s="710">
        <f>-SUMIFS('D2 - Capex uso'!CF$6:CF$176,'D2 - Capex uso'!$C$6:$C$176,$A270,'D2 - Capex uso'!$AK$6:$AK$176,$A282)</f>
        <v>0</v>
      </c>
      <c r="P282" s="710">
        <f>-SUMIFS('D2 - Capex uso'!CG$6:CG$176,'D2 - Capex uso'!$C$6:$C$176,$A270,'D2 - Capex uso'!$AK$6:$AK$176,$A282)</f>
        <v>0</v>
      </c>
      <c r="Q282" s="710">
        <f>-SUMIFS('D2 - Capex uso'!CH$6:CH$176,'D2 - Capex uso'!$C$6:$C$176,$A270,'D2 - Capex uso'!$AK$6:$AK$176,$A282)</f>
        <v>0</v>
      </c>
      <c r="R282" s="710">
        <f>-SUMIFS('D2 - Capex uso'!CI$6:CI$176,'D2 - Capex uso'!$C$6:$C$176,$A270,'D2 - Capex uso'!$AK$6:$AK$176,$A282)</f>
        <v>0</v>
      </c>
      <c r="S282" s="710">
        <f>-SUMIFS('D2 - Capex uso'!CJ$6:CJ$176,'D2 - Capex uso'!$C$6:$C$176,$A270,'D2 - Capex uso'!$AK$6:$AK$176,$A282)</f>
        <v>0</v>
      </c>
      <c r="T282" s="710">
        <f>-SUMIFS('D2 - Capex uso'!CK$6:CK$176,'D2 - Capex uso'!$C$6:$C$176,$A270,'D2 - Capex uso'!$AK$6:$AK$176,$A282)</f>
        <v>0</v>
      </c>
      <c r="U282" s="710">
        <f>-SUMIFS('D2 - Capex uso'!CL$6:CL$176,'D2 - Capex uso'!$C$6:$C$176,$A270,'D2 - Capex uso'!$AK$6:$AK$176,$A282)</f>
        <v>0</v>
      </c>
      <c r="V282" s="710">
        <f>-SUMIFS('D2 - Capex uso'!CM$6:CM$176,'D2 - Capex uso'!$C$6:$C$176,$A270,'D2 - Capex uso'!$AK$6:$AK$176,$A282)</f>
        <v>0</v>
      </c>
      <c r="W282" s="710">
        <f>-SUMIFS('D2 - Capex uso'!CN$6:CN$176,'D2 - Capex uso'!$C$6:$C$176,$A270,'D2 - Capex uso'!$AK$6:$AK$176,$A282)</f>
        <v>0</v>
      </c>
      <c r="X282" s="710">
        <f>-SUMIFS('D2 - Capex uso'!CO$6:CO$176,'D2 - Capex uso'!$C$6:$C$176,$A270,'D2 - Capex uso'!$AK$6:$AK$176,$A282)</f>
        <v>0</v>
      </c>
      <c r="Y282" s="710">
        <f>-SUMIFS('D2 - Capex uso'!CP$6:CP$176,'D2 - Capex uso'!$C$6:$C$176,$A270,'D2 - Capex uso'!$AK$6:$AK$176,$A282)</f>
        <v>0</v>
      </c>
      <c r="Z282" s="710">
        <f>-SUMIFS('D2 - Capex uso'!CQ$6:CQ$176,'D2 - Capex uso'!$C$6:$C$176,$A270,'D2 - Capex uso'!$AK$6:$AK$176,$A282)</f>
        <v>0</v>
      </c>
      <c r="AA282" s="710">
        <f>-SUMIFS('D2 - Capex uso'!CR$6:CR$176,'D2 - Capex uso'!$C$6:$C$176,$A270,'D2 - Capex uso'!$AK$6:$AK$176,$A282)</f>
        <v>0</v>
      </c>
      <c r="AB282" s="710">
        <f>-SUMIFS('D2 - Capex uso'!CS$6:CS$176,'D2 - Capex uso'!$C$6:$C$176,$A270,'D2 - Capex uso'!$AK$6:$AK$176,$A282)</f>
        <v>0</v>
      </c>
      <c r="AC282" s="710">
        <f>-SUMIFS('D2 - Capex uso'!CT$6:CT$176,'D2 - Capex uso'!$C$6:$C$176,$A270,'D2 - Capex uso'!$AK$6:$AK$176,$A282)</f>
        <v>0</v>
      </c>
      <c r="AD282" s="710">
        <f>-SUMIFS('D2 - Capex uso'!CU$6:CU$176,'D2 - Capex uso'!$C$6:$C$176,$A270,'D2 - Capex uso'!$AK$6:$AK$176,$A282)</f>
        <v>0</v>
      </c>
      <c r="AE282" s="710">
        <f>-SUMIFS('D2 - Capex uso'!CV$6:CV$176,'D2 - Capex uso'!$C$6:$C$176,$A270,'D2 - Capex uso'!$AK$6:$AK$176,$A282)</f>
        <v>0</v>
      </c>
      <c r="AF282" s="594"/>
      <c r="AG282" s="594"/>
      <c r="AH282" s="594"/>
      <c r="AI282" s="594"/>
      <c r="AJ282" s="594"/>
      <c r="AK282" s="594"/>
      <c r="AL282" s="594"/>
      <c r="AM282" s="594"/>
      <c r="AN282" s="594"/>
      <c r="AO282" s="594"/>
      <c r="AP282" s="594"/>
      <c r="AQ282" s="594"/>
      <c r="AR282" s="594"/>
      <c r="AS282" s="594"/>
      <c r="AT282" s="594"/>
      <c r="AU282" s="594"/>
      <c r="AV282" s="594"/>
      <c r="AW282" s="594"/>
      <c r="AX282" s="594"/>
      <c r="AY282" s="594"/>
      <c r="AZ282" s="594"/>
      <c r="BA282" s="594"/>
      <c r="BB282" s="594"/>
      <c r="BC282" s="594"/>
      <c r="BD282" s="594"/>
      <c r="BE282" s="594"/>
      <c r="BF282" s="594"/>
      <c r="BG282" s="594"/>
      <c r="BH282" s="594"/>
      <c r="BI282" s="594"/>
      <c r="BJ282" s="594"/>
      <c r="BK282" s="594"/>
      <c r="BL282" s="57"/>
      <c r="BM282" s="594"/>
      <c r="BN282" s="594"/>
      <c r="BO282" s="594"/>
      <c r="BP282" s="594"/>
      <c r="BQ282" s="594"/>
      <c r="BR282" s="594"/>
      <c r="BS282" s="594"/>
      <c r="BT282" s="594"/>
      <c r="BU282" s="594"/>
      <c r="BV282" s="594"/>
      <c r="BW282" s="594"/>
      <c r="BX282" s="594"/>
      <c r="BY282" s="594"/>
      <c r="BZ282" s="594"/>
      <c r="CA282" s="594"/>
      <c r="CB282" s="594"/>
      <c r="CC282" s="594"/>
      <c r="CD282" s="594"/>
      <c r="CE282" s="594"/>
      <c r="CF282" s="594"/>
      <c r="CG282" s="594"/>
      <c r="CH282" s="594"/>
      <c r="CI282" s="594"/>
      <c r="CJ282" s="594"/>
      <c r="CK282" s="594"/>
      <c r="CL282" s="594"/>
      <c r="CM282" s="594"/>
      <c r="CN282" s="594"/>
      <c r="CO282" s="594"/>
      <c r="CP282" s="594"/>
      <c r="CQ282" s="594"/>
    </row>
    <row r="283" spans="1:95" ht="19.5" hidden="1" customHeight="1" outlineLevel="2">
      <c r="A283" s="709" t="s">
        <v>378</v>
      </c>
      <c r="B283" s="710">
        <f>-SUMIFS('D2 - Capex uso'!BS$6:BS$176,'D2 - Capex uso'!$C$6:$C$176,$A270,'D2 - Capex uso'!$AK$6:$AK$176,$A283)</f>
        <v>0</v>
      </c>
      <c r="C283" s="710">
        <f>-SUMIFS('D2 - Capex uso'!BT$6:BT$176,'D2 - Capex uso'!$C$6:$C$176,$A270,'D2 - Capex uso'!$AK$6:$AK$176,$A283)</f>
        <v>0</v>
      </c>
      <c r="D283" s="710">
        <f>-SUMIFS('D2 - Capex uso'!BU$6:BU$176,'D2 - Capex uso'!$C$6:$C$176,$A270,'D2 - Capex uso'!$AK$6:$AK$176,$A283)</f>
        <v>0</v>
      </c>
      <c r="E283" s="710">
        <f>-SUMIFS('D2 - Capex uso'!BV$6:BV$176,'D2 - Capex uso'!$C$6:$C$176,$A270,'D2 - Capex uso'!$AK$6:$AK$176,$A283)</f>
        <v>0</v>
      </c>
      <c r="F283" s="710">
        <f>-SUMIFS('D2 - Capex uso'!BW$6:BW$176,'D2 - Capex uso'!$C$6:$C$176,$A270,'D2 - Capex uso'!$AK$6:$AK$176,$A283)</f>
        <v>0</v>
      </c>
      <c r="G283" s="710">
        <f>-SUMIFS('D2 - Capex uso'!BX$6:BX$176,'D2 - Capex uso'!$C$6:$C$176,$A270,'D2 - Capex uso'!$AK$6:$AK$176,$A283)</f>
        <v>0</v>
      </c>
      <c r="H283" s="710">
        <f>-SUMIFS('D2 - Capex uso'!BY$6:BY$176,'D2 - Capex uso'!$C$6:$C$176,$A270,'D2 - Capex uso'!$AK$6:$AK$176,$A283)</f>
        <v>0</v>
      </c>
      <c r="I283" s="710">
        <f>-SUMIFS('D2 - Capex uso'!BZ$6:BZ$176,'D2 - Capex uso'!$C$6:$C$176,$A270,'D2 - Capex uso'!$AK$6:$AK$176,$A283)</f>
        <v>0</v>
      </c>
      <c r="J283" s="710">
        <f>-SUMIFS('D2 - Capex uso'!CA$6:CA$176,'D2 - Capex uso'!$C$6:$C$176,$A270,'D2 - Capex uso'!$AK$6:$AK$176,$A283)</f>
        <v>0</v>
      </c>
      <c r="K283" s="710">
        <f>-SUMIFS('D2 - Capex uso'!CB$6:CB$176,'D2 - Capex uso'!$C$6:$C$176,$A270,'D2 - Capex uso'!$AK$6:$AK$176,$A283)</f>
        <v>0</v>
      </c>
      <c r="L283" s="710">
        <f>-SUMIFS('D2 - Capex uso'!CC$6:CC$176,'D2 - Capex uso'!$C$6:$C$176,$A270,'D2 - Capex uso'!$AK$6:$AK$176,$A283)</f>
        <v>0</v>
      </c>
      <c r="M283" s="710">
        <f>-SUMIFS('D2 - Capex uso'!CD$6:CD$176,'D2 - Capex uso'!$C$6:$C$176,$A270,'D2 - Capex uso'!$AK$6:$AK$176,$A283)</f>
        <v>0</v>
      </c>
      <c r="N283" s="710">
        <f>-SUMIFS('D2 - Capex uso'!CE$6:CE$176,'D2 - Capex uso'!$C$6:$C$176,$A270,'D2 - Capex uso'!$AK$6:$AK$176,$A283)</f>
        <v>0</v>
      </c>
      <c r="O283" s="710">
        <f>-SUMIFS('D2 - Capex uso'!CF$6:CF$176,'D2 - Capex uso'!$C$6:$C$176,$A270,'D2 - Capex uso'!$AK$6:$AK$176,$A283)</f>
        <v>0</v>
      </c>
      <c r="P283" s="710">
        <f>-SUMIFS('D2 - Capex uso'!CG$6:CG$176,'D2 - Capex uso'!$C$6:$C$176,$A270,'D2 - Capex uso'!$AK$6:$AK$176,$A283)</f>
        <v>0</v>
      </c>
      <c r="Q283" s="710">
        <f>-SUMIFS('D2 - Capex uso'!CH$6:CH$176,'D2 - Capex uso'!$C$6:$C$176,$A270,'D2 - Capex uso'!$AK$6:$AK$176,$A283)</f>
        <v>0</v>
      </c>
      <c r="R283" s="710">
        <f>-SUMIFS('D2 - Capex uso'!CI$6:CI$176,'D2 - Capex uso'!$C$6:$C$176,$A270,'D2 - Capex uso'!$AK$6:$AK$176,$A283)</f>
        <v>0</v>
      </c>
      <c r="S283" s="710">
        <f>-SUMIFS('D2 - Capex uso'!CJ$6:CJ$176,'D2 - Capex uso'!$C$6:$C$176,$A270,'D2 - Capex uso'!$AK$6:$AK$176,$A283)</f>
        <v>0</v>
      </c>
      <c r="T283" s="710">
        <f>-SUMIFS('D2 - Capex uso'!CK$6:CK$176,'D2 - Capex uso'!$C$6:$C$176,$A270,'D2 - Capex uso'!$AK$6:$AK$176,$A283)</f>
        <v>0</v>
      </c>
      <c r="U283" s="710">
        <f>-SUMIFS('D2 - Capex uso'!CL$6:CL$176,'D2 - Capex uso'!$C$6:$C$176,$A270,'D2 - Capex uso'!$AK$6:$AK$176,$A283)</f>
        <v>0</v>
      </c>
      <c r="V283" s="710">
        <f>-SUMIFS('D2 - Capex uso'!CM$6:CM$176,'D2 - Capex uso'!$C$6:$C$176,$A270,'D2 - Capex uso'!$AK$6:$AK$176,$A283)</f>
        <v>0</v>
      </c>
      <c r="W283" s="710">
        <f>-SUMIFS('D2 - Capex uso'!CN$6:CN$176,'D2 - Capex uso'!$C$6:$C$176,$A270,'D2 - Capex uso'!$AK$6:$AK$176,$A283)</f>
        <v>0</v>
      </c>
      <c r="X283" s="710">
        <f>-SUMIFS('D2 - Capex uso'!CO$6:CO$176,'D2 - Capex uso'!$C$6:$C$176,$A270,'D2 - Capex uso'!$AK$6:$AK$176,$A283)</f>
        <v>0</v>
      </c>
      <c r="Y283" s="710">
        <f>-SUMIFS('D2 - Capex uso'!CP$6:CP$176,'D2 - Capex uso'!$C$6:$C$176,$A270,'D2 - Capex uso'!$AK$6:$AK$176,$A283)</f>
        <v>0</v>
      </c>
      <c r="Z283" s="710">
        <f>-SUMIFS('D2 - Capex uso'!CQ$6:CQ$176,'D2 - Capex uso'!$C$6:$C$176,$A270,'D2 - Capex uso'!$AK$6:$AK$176,$A283)</f>
        <v>0</v>
      </c>
      <c r="AA283" s="710">
        <f>-SUMIFS('D2 - Capex uso'!CR$6:CR$176,'D2 - Capex uso'!$C$6:$C$176,$A270,'D2 - Capex uso'!$AK$6:$AK$176,$A283)</f>
        <v>0</v>
      </c>
      <c r="AB283" s="710">
        <f>-SUMIFS('D2 - Capex uso'!CS$6:CS$176,'D2 - Capex uso'!$C$6:$C$176,$A270,'D2 - Capex uso'!$AK$6:$AK$176,$A283)</f>
        <v>0</v>
      </c>
      <c r="AC283" s="710">
        <f>-SUMIFS('D2 - Capex uso'!CT$6:CT$176,'D2 - Capex uso'!$C$6:$C$176,$A270,'D2 - Capex uso'!$AK$6:$AK$176,$A283)</f>
        <v>0</v>
      </c>
      <c r="AD283" s="710">
        <f>-SUMIFS('D2 - Capex uso'!CU$6:CU$176,'D2 - Capex uso'!$C$6:$C$176,$A270,'D2 - Capex uso'!$AK$6:$AK$176,$A283)</f>
        <v>0</v>
      </c>
      <c r="AE283" s="710">
        <f>-SUMIFS('D2 - Capex uso'!CV$6:CV$176,'D2 - Capex uso'!$C$6:$C$176,$A270,'D2 - Capex uso'!$AK$6:$AK$176,$A283)</f>
        <v>0</v>
      </c>
      <c r="AF283" s="594"/>
      <c r="AG283" s="594"/>
      <c r="AH283" s="594"/>
      <c r="AI283" s="594"/>
      <c r="AJ283" s="594"/>
      <c r="AK283" s="594"/>
      <c r="AL283" s="594"/>
      <c r="AM283" s="594"/>
      <c r="AN283" s="594"/>
      <c r="AO283" s="594"/>
      <c r="AP283" s="594"/>
      <c r="AQ283" s="594"/>
      <c r="AR283" s="594"/>
      <c r="AS283" s="594"/>
      <c r="AT283" s="594"/>
      <c r="AU283" s="594"/>
      <c r="AV283" s="594"/>
      <c r="AW283" s="594"/>
      <c r="AX283" s="594"/>
      <c r="AY283" s="594"/>
      <c r="AZ283" s="594"/>
      <c r="BA283" s="594"/>
      <c r="BB283" s="594"/>
      <c r="BC283" s="594"/>
      <c r="BD283" s="594"/>
      <c r="BE283" s="594"/>
      <c r="BF283" s="594"/>
      <c r="BG283" s="594"/>
      <c r="BH283" s="594"/>
      <c r="BI283" s="594"/>
      <c r="BJ283" s="594"/>
      <c r="BK283" s="594"/>
      <c r="BL283" s="57"/>
      <c r="BM283" s="594"/>
      <c r="BN283" s="594"/>
      <c r="BO283" s="594"/>
      <c r="BP283" s="594"/>
      <c r="BQ283" s="594"/>
      <c r="BR283" s="594"/>
      <c r="BS283" s="594"/>
      <c r="BT283" s="594"/>
      <c r="BU283" s="594"/>
      <c r="BV283" s="594"/>
      <c r="BW283" s="594"/>
      <c r="BX283" s="594"/>
      <c r="BY283" s="594"/>
      <c r="BZ283" s="594"/>
      <c r="CA283" s="594"/>
      <c r="CB283" s="594"/>
      <c r="CC283" s="594"/>
      <c r="CD283" s="594"/>
      <c r="CE283" s="594"/>
      <c r="CF283" s="594"/>
      <c r="CG283" s="594"/>
      <c r="CH283" s="594"/>
      <c r="CI283" s="594"/>
      <c r="CJ283" s="594"/>
      <c r="CK283" s="594"/>
      <c r="CL283" s="594"/>
      <c r="CM283" s="594"/>
      <c r="CN283" s="594"/>
      <c r="CO283" s="594"/>
      <c r="CP283" s="594"/>
      <c r="CQ283" s="594"/>
    </row>
    <row r="284" spans="1:95" ht="19.5" hidden="1" customHeight="1" outlineLevel="2">
      <c r="A284" s="709" t="s">
        <v>366</v>
      </c>
      <c r="B284" s="710">
        <f>-SUMIFS('D2 - Capex uso'!BS$6:BS$176,'D2 - Capex uso'!$C$6:$C$176,$A270,'D2 - Capex uso'!$AK$6:$AK$176,$A284)</f>
        <v>0</v>
      </c>
      <c r="C284" s="710">
        <f>-SUMIFS('D2 - Capex uso'!BT$6:BT$176,'D2 - Capex uso'!$C$6:$C$176,$A270,'D2 - Capex uso'!$AK$6:$AK$176,$A284)</f>
        <v>0</v>
      </c>
      <c r="D284" s="710">
        <f>-SUMIFS('D2 - Capex uso'!BU$6:BU$176,'D2 - Capex uso'!$C$6:$C$176,$A270,'D2 - Capex uso'!$AK$6:$AK$176,$A284)</f>
        <v>0</v>
      </c>
      <c r="E284" s="710">
        <f>-SUMIFS('D2 - Capex uso'!BV$6:BV$176,'D2 - Capex uso'!$C$6:$C$176,$A270,'D2 - Capex uso'!$AK$6:$AK$176,$A284)</f>
        <v>0</v>
      </c>
      <c r="F284" s="710">
        <f>-SUMIFS('D2 - Capex uso'!BW$6:BW$176,'D2 - Capex uso'!$C$6:$C$176,$A270,'D2 - Capex uso'!$AK$6:$AK$176,$A284)</f>
        <v>0</v>
      </c>
      <c r="G284" s="710">
        <f>-SUMIFS('D2 - Capex uso'!BX$6:BX$176,'D2 - Capex uso'!$C$6:$C$176,$A270,'D2 - Capex uso'!$AK$6:$AK$176,$A284)</f>
        <v>0</v>
      </c>
      <c r="H284" s="710">
        <f>-SUMIFS('D2 - Capex uso'!BY$6:BY$176,'D2 - Capex uso'!$C$6:$C$176,$A270,'D2 - Capex uso'!$AK$6:$AK$176,$A284)</f>
        <v>0</v>
      </c>
      <c r="I284" s="710">
        <f>-SUMIFS('D2 - Capex uso'!BZ$6:BZ$176,'D2 - Capex uso'!$C$6:$C$176,$A270,'D2 - Capex uso'!$AK$6:$AK$176,$A284)</f>
        <v>0</v>
      </c>
      <c r="J284" s="710">
        <f>-SUMIFS('D2 - Capex uso'!CA$6:CA$176,'D2 - Capex uso'!$C$6:$C$176,$A270,'D2 - Capex uso'!$AK$6:$AK$176,$A284)</f>
        <v>0</v>
      </c>
      <c r="K284" s="710">
        <f>-SUMIFS('D2 - Capex uso'!CB$6:CB$176,'D2 - Capex uso'!$C$6:$C$176,$A270,'D2 - Capex uso'!$AK$6:$AK$176,$A284)</f>
        <v>0</v>
      </c>
      <c r="L284" s="710">
        <f>-SUMIFS('D2 - Capex uso'!CC$6:CC$176,'D2 - Capex uso'!$C$6:$C$176,$A270,'D2 - Capex uso'!$AK$6:$AK$176,$A284)</f>
        <v>0</v>
      </c>
      <c r="M284" s="710">
        <f>-SUMIFS('D2 - Capex uso'!CD$6:CD$176,'D2 - Capex uso'!$C$6:$C$176,$A270,'D2 - Capex uso'!$AK$6:$AK$176,$A284)</f>
        <v>0</v>
      </c>
      <c r="N284" s="710">
        <f>-SUMIFS('D2 - Capex uso'!CE$6:CE$176,'D2 - Capex uso'!$C$6:$C$176,$A270,'D2 - Capex uso'!$AK$6:$AK$176,$A284)</f>
        <v>0</v>
      </c>
      <c r="O284" s="710">
        <f>-SUMIFS('D2 - Capex uso'!CF$6:CF$176,'D2 - Capex uso'!$C$6:$C$176,$A270,'D2 - Capex uso'!$AK$6:$AK$176,$A284)</f>
        <v>0</v>
      </c>
      <c r="P284" s="710">
        <f>-SUMIFS('D2 - Capex uso'!CG$6:CG$176,'D2 - Capex uso'!$C$6:$C$176,$A270,'D2 - Capex uso'!$AK$6:$AK$176,$A284)</f>
        <v>0</v>
      </c>
      <c r="Q284" s="710">
        <f>-SUMIFS('D2 - Capex uso'!CH$6:CH$176,'D2 - Capex uso'!$C$6:$C$176,$A270,'D2 - Capex uso'!$AK$6:$AK$176,$A284)</f>
        <v>0</v>
      </c>
      <c r="R284" s="710">
        <f>-SUMIFS('D2 - Capex uso'!CI$6:CI$176,'D2 - Capex uso'!$C$6:$C$176,$A270,'D2 - Capex uso'!$AK$6:$AK$176,$A284)</f>
        <v>0</v>
      </c>
      <c r="S284" s="710">
        <f>-SUMIFS('D2 - Capex uso'!CJ$6:CJ$176,'D2 - Capex uso'!$C$6:$C$176,$A270,'D2 - Capex uso'!$AK$6:$AK$176,$A284)</f>
        <v>0</v>
      </c>
      <c r="T284" s="710">
        <f>-SUMIFS('D2 - Capex uso'!CK$6:CK$176,'D2 - Capex uso'!$C$6:$C$176,$A270,'D2 - Capex uso'!$AK$6:$AK$176,$A284)</f>
        <v>0</v>
      </c>
      <c r="U284" s="710">
        <f>-SUMIFS('D2 - Capex uso'!CL$6:CL$176,'D2 - Capex uso'!$C$6:$C$176,$A270,'D2 - Capex uso'!$AK$6:$AK$176,$A284)</f>
        <v>0</v>
      </c>
      <c r="V284" s="710">
        <f>-SUMIFS('D2 - Capex uso'!CM$6:CM$176,'D2 - Capex uso'!$C$6:$C$176,$A270,'D2 - Capex uso'!$AK$6:$AK$176,$A284)</f>
        <v>0</v>
      </c>
      <c r="W284" s="710">
        <f>-SUMIFS('D2 - Capex uso'!CN$6:CN$176,'D2 - Capex uso'!$C$6:$C$176,$A270,'D2 - Capex uso'!$AK$6:$AK$176,$A284)</f>
        <v>0</v>
      </c>
      <c r="X284" s="710">
        <f>-SUMIFS('D2 - Capex uso'!CO$6:CO$176,'D2 - Capex uso'!$C$6:$C$176,$A270,'D2 - Capex uso'!$AK$6:$AK$176,$A284)</f>
        <v>0</v>
      </c>
      <c r="Y284" s="710">
        <f>-SUMIFS('D2 - Capex uso'!CP$6:CP$176,'D2 - Capex uso'!$C$6:$C$176,$A270,'D2 - Capex uso'!$AK$6:$AK$176,$A284)</f>
        <v>0</v>
      </c>
      <c r="Z284" s="710">
        <f>-SUMIFS('D2 - Capex uso'!CQ$6:CQ$176,'D2 - Capex uso'!$C$6:$C$176,$A270,'D2 - Capex uso'!$AK$6:$AK$176,$A284)</f>
        <v>0</v>
      </c>
      <c r="AA284" s="710">
        <f>-SUMIFS('D2 - Capex uso'!CR$6:CR$176,'D2 - Capex uso'!$C$6:$C$176,$A270,'D2 - Capex uso'!$AK$6:$AK$176,$A284)</f>
        <v>0</v>
      </c>
      <c r="AB284" s="710">
        <f>-SUMIFS('D2 - Capex uso'!CS$6:CS$176,'D2 - Capex uso'!$C$6:$C$176,$A270,'D2 - Capex uso'!$AK$6:$AK$176,$A284)</f>
        <v>0</v>
      </c>
      <c r="AC284" s="710">
        <f>-SUMIFS('D2 - Capex uso'!CT$6:CT$176,'D2 - Capex uso'!$C$6:$C$176,$A270,'D2 - Capex uso'!$AK$6:$AK$176,$A284)</f>
        <v>0</v>
      </c>
      <c r="AD284" s="710">
        <f>-SUMIFS('D2 - Capex uso'!CU$6:CU$176,'D2 - Capex uso'!$C$6:$C$176,$A270,'D2 - Capex uso'!$AK$6:$AK$176,$A284)</f>
        <v>0</v>
      </c>
      <c r="AE284" s="710">
        <f>-SUMIFS('D2 - Capex uso'!CV$6:CV$176,'D2 - Capex uso'!$C$6:$C$176,$A270,'D2 - Capex uso'!$AK$6:$AK$176,$A284)</f>
        <v>0</v>
      </c>
      <c r="AF284" s="594"/>
      <c r="AG284" s="594"/>
      <c r="AH284" s="594"/>
      <c r="AI284" s="594"/>
      <c r="AJ284" s="594"/>
      <c r="AK284" s="594"/>
      <c r="AL284" s="594"/>
      <c r="AM284" s="594"/>
      <c r="AN284" s="594"/>
      <c r="AO284" s="594"/>
      <c r="AP284" s="594"/>
      <c r="AQ284" s="594"/>
      <c r="AR284" s="594"/>
      <c r="AS284" s="594"/>
      <c r="AT284" s="594"/>
      <c r="AU284" s="594"/>
      <c r="AV284" s="594"/>
      <c r="AW284" s="594"/>
      <c r="AX284" s="594"/>
      <c r="AY284" s="594"/>
      <c r="AZ284" s="594"/>
      <c r="BA284" s="594"/>
      <c r="BB284" s="594"/>
      <c r="BC284" s="594"/>
      <c r="BD284" s="594"/>
      <c r="BE284" s="594"/>
      <c r="BF284" s="594"/>
      <c r="BG284" s="594"/>
      <c r="BH284" s="594"/>
      <c r="BI284" s="594"/>
      <c r="BJ284" s="594"/>
      <c r="BK284" s="594"/>
      <c r="BL284" s="57"/>
      <c r="BM284" s="594"/>
      <c r="BN284" s="594"/>
      <c r="BO284" s="594"/>
      <c r="BP284" s="594"/>
      <c r="BQ284" s="594"/>
      <c r="BR284" s="594"/>
      <c r="BS284" s="594"/>
      <c r="BT284" s="594"/>
      <c r="BU284" s="594"/>
      <c r="BV284" s="594"/>
      <c r="BW284" s="594"/>
      <c r="BX284" s="594"/>
      <c r="BY284" s="594"/>
      <c r="BZ284" s="594"/>
      <c r="CA284" s="594"/>
      <c r="CB284" s="594"/>
      <c r="CC284" s="594"/>
      <c r="CD284" s="594"/>
      <c r="CE284" s="594"/>
      <c r="CF284" s="594"/>
      <c r="CG284" s="594"/>
      <c r="CH284" s="594"/>
      <c r="CI284" s="594"/>
      <c r="CJ284" s="594"/>
      <c r="CK284" s="594"/>
      <c r="CL284" s="594"/>
      <c r="CM284" s="594"/>
      <c r="CN284" s="594"/>
      <c r="CO284" s="594"/>
      <c r="CP284" s="594"/>
      <c r="CQ284" s="594"/>
    </row>
    <row r="285" spans="1:95" ht="19.5" hidden="1" customHeight="1" outlineLevel="2">
      <c r="A285" s="709" t="s">
        <v>371</v>
      </c>
      <c r="B285" s="710">
        <f>-SUMIFS('D2 - Capex uso'!BS$6:BS$176,'D2 - Capex uso'!$C$6:$C$176,$A270,'D2 - Capex uso'!$AK$6:$AK$176,$A285)</f>
        <v>0</v>
      </c>
      <c r="C285" s="710">
        <f>-SUMIFS('D2 - Capex uso'!BT$6:BT$176,'D2 - Capex uso'!$C$6:$C$176,$A270,'D2 - Capex uso'!$AK$6:$AK$176,$A285)</f>
        <v>0</v>
      </c>
      <c r="D285" s="710">
        <f>-SUMIFS('D2 - Capex uso'!BU$6:BU$176,'D2 - Capex uso'!$C$6:$C$176,$A270,'D2 - Capex uso'!$AK$6:$AK$176,$A285)</f>
        <v>0</v>
      </c>
      <c r="E285" s="710">
        <f>-SUMIFS('D2 - Capex uso'!BV$6:BV$176,'D2 - Capex uso'!$C$6:$C$176,$A270,'D2 - Capex uso'!$AK$6:$AK$176,$A285)</f>
        <v>0</v>
      </c>
      <c r="F285" s="710">
        <f>-SUMIFS('D2 - Capex uso'!BW$6:BW$176,'D2 - Capex uso'!$C$6:$C$176,$A270,'D2 - Capex uso'!$AK$6:$AK$176,$A285)</f>
        <v>0</v>
      </c>
      <c r="G285" s="710">
        <f>-SUMIFS('D2 - Capex uso'!BX$6:BX$176,'D2 - Capex uso'!$C$6:$C$176,$A270,'D2 - Capex uso'!$AK$6:$AK$176,$A285)</f>
        <v>0</v>
      </c>
      <c r="H285" s="710">
        <f>-SUMIFS('D2 - Capex uso'!BY$6:BY$176,'D2 - Capex uso'!$C$6:$C$176,$A270,'D2 - Capex uso'!$AK$6:$AK$176,$A285)</f>
        <v>0</v>
      </c>
      <c r="I285" s="710">
        <f>-SUMIFS('D2 - Capex uso'!BZ$6:BZ$176,'D2 - Capex uso'!$C$6:$C$176,$A270,'D2 - Capex uso'!$AK$6:$AK$176,$A285)</f>
        <v>0</v>
      </c>
      <c r="J285" s="710">
        <f>-SUMIFS('D2 - Capex uso'!CA$6:CA$176,'D2 - Capex uso'!$C$6:$C$176,$A270,'D2 - Capex uso'!$AK$6:$AK$176,$A285)</f>
        <v>0</v>
      </c>
      <c r="K285" s="710">
        <f>-SUMIFS('D2 - Capex uso'!CB$6:CB$176,'D2 - Capex uso'!$C$6:$C$176,$A270,'D2 - Capex uso'!$AK$6:$AK$176,$A285)</f>
        <v>0</v>
      </c>
      <c r="L285" s="710">
        <f>-SUMIFS('D2 - Capex uso'!CC$6:CC$176,'D2 - Capex uso'!$C$6:$C$176,$A270,'D2 - Capex uso'!$AK$6:$AK$176,$A285)</f>
        <v>0</v>
      </c>
      <c r="M285" s="710">
        <f>-SUMIFS('D2 - Capex uso'!CD$6:CD$176,'D2 - Capex uso'!$C$6:$C$176,$A270,'D2 - Capex uso'!$AK$6:$AK$176,$A285)</f>
        <v>0</v>
      </c>
      <c r="N285" s="710">
        <f>-SUMIFS('D2 - Capex uso'!CE$6:CE$176,'D2 - Capex uso'!$C$6:$C$176,$A270,'D2 - Capex uso'!$AK$6:$AK$176,$A285)</f>
        <v>0</v>
      </c>
      <c r="O285" s="710">
        <f>-SUMIFS('D2 - Capex uso'!CF$6:CF$176,'D2 - Capex uso'!$C$6:$C$176,$A270,'D2 - Capex uso'!$AK$6:$AK$176,$A285)</f>
        <v>0</v>
      </c>
      <c r="P285" s="710">
        <f>-SUMIFS('D2 - Capex uso'!CG$6:CG$176,'D2 - Capex uso'!$C$6:$C$176,$A270,'D2 - Capex uso'!$AK$6:$AK$176,$A285)</f>
        <v>0</v>
      </c>
      <c r="Q285" s="710">
        <f>-SUMIFS('D2 - Capex uso'!CH$6:CH$176,'D2 - Capex uso'!$C$6:$C$176,$A270,'D2 - Capex uso'!$AK$6:$AK$176,$A285)</f>
        <v>0</v>
      </c>
      <c r="R285" s="710">
        <f>-SUMIFS('D2 - Capex uso'!CI$6:CI$176,'D2 - Capex uso'!$C$6:$C$176,$A270,'D2 - Capex uso'!$AK$6:$AK$176,$A285)</f>
        <v>0</v>
      </c>
      <c r="S285" s="710">
        <f>-SUMIFS('D2 - Capex uso'!CJ$6:CJ$176,'D2 - Capex uso'!$C$6:$C$176,$A270,'D2 - Capex uso'!$AK$6:$AK$176,$A285)</f>
        <v>0</v>
      </c>
      <c r="T285" s="710">
        <f>-SUMIFS('D2 - Capex uso'!CK$6:CK$176,'D2 - Capex uso'!$C$6:$C$176,$A270,'D2 - Capex uso'!$AK$6:$AK$176,$A285)</f>
        <v>0</v>
      </c>
      <c r="U285" s="710">
        <f>-SUMIFS('D2 - Capex uso'!CL$6:CL$176,'D2 - Capex uso'!$C$6:$C$176,$A270,'D2 - Capex uso'!$AK$6:$AK$176,$A285)</f>
        <v>0</v>
      </c>
      <c r="V285" s="710">
        <f>-SUMIFS('D2 - Capex uso'!CM$6:CM$176,'D2 - Capex uso'!$C$6:$C$176,$A270,'D2 - Capex uso'!$AK$6:$AK$176,$A285)</f>
        <v>0</v>
      </c>
      <c r="W285" s="710">
        <f>-SUMIFS('D2 - Capex uso'!CN$6:CN$176,'D2 - Capex uso'!$C$6:$C$176,$A270,'D2 - Capex uso'!$AK$6:$AK$176,$A285)</f>
        <v>0</v>
      </c>
      <c r="X285" s="710">
        <f>-SUMIFS('D2 - Capex uso'!CO$6:CO$176,'D2 - Capex uso'!$C$6:$C$176,$A270,'D2 - Capex uso'!$AK$6:$AK$176,$A285)</f>
        <v>0</v>
      </c>
      <c r="Y285" s="710">
        <f>-SUMIFS('D2 - Capex uso'!CP$6:CP$176,'D2 - Capex uso'!$C$6:$C$176,$A270,'D2 - Capex uso'!$AK$6:$AK$176,$A285)</f>
        <v>0</v>
      </c>
      <c r="Z285" s="710">
        <f>-SUMIFS('D2 - Capex uso'!CQ$6:CQ$176,'D2 - Capex uso'!$C$6:$C$176,$A270,'D2 - Capex uso'!$AK$6:$AK$176,$A285)</f>
        <v>0</v>
      </c>
      <c r="AA285" s="710">
        <f>-SUMIFS('D2 - Capex uso'!CR$6:CR$176,'D2 - Capex uso'!$C$6:$C$176,$A270,'D2 - Capex uso'!$AK$6:$AK$176,$A285)</f>
        <v>0</v>
      </c>
      <c r="AB285" s="710">
        <f>-SUMIFS('D2 - Capex uso'!CS$6:CS$176,'D2 - Capex uso'!$C$6:$C$176,$A270,'D2 - Capex uso'!$AK$6:$AK$176,$A285)</f>
        <v>0</v>
      </c>
      <c r="AC285" s="710">
        <f>-SUMIFS('D2 - Capex uso'!CT$6:CT$176,'D2 - Capex uso'!$C$6:$C$176,$A270,'D2 - Capex uso'!$AK$6:$AK$176,$A285)</f>
        <v>0</v>
      </c>
      <c r="AD285" s="710">
        <f>-SUMIFS('D2 - Capex uso'!CU$6:CU$176,'D2 - Capex uso'!$C$6:$C$176,$A270,'D2 - Capex uso'!$AK$6:$AK$176,$A285)</f>
        <v>0</v>
      </c>
      <c r="AE285" s="710">
        <f>-SUMIFS('D2 - Capex uso'!CV$6:CV$176,'D2 - Capex uso'!$C$6:$C$176,$A270,'D2 - Capex uso'!$AK$6:$AK$176,$A285)</f>
        <v>0</v>
      </c>
      <c r="AF285" s="594"/>
      <c r="AG285" s="594"/>
      <c r="AH285" s="594"/>
      <c r="AI285" s="594"/>
      <c r="AJ285" s="594"/>
      <c r="AK285" s="594"/>
      <c r="AL285" s="594"/>
      <c r="AM285" s="594"/>
      <c r="AN285" s="594"/>
      <c r="AO285" s="594"/>
      <c r="AP285" s="594"/>
      <c r="AQ285" s="594"/>
      <c r="AR285" s="594"/>
      <c r="AS285" s="594"/>
      <c r="AT285" s="594"/>
      <c r="AU285" s="594"/>
      <c r="AV285" s="594"/>
      <c r="AW285" s="594"/>
      <c r="AX285" s="594"/>
      <c r="AY285" s="594"/>
      <c r="AZ285" s="594"/>
      <c r="BA285" s="594"/>
      <c r="BB285" s="594"/>
      <c r="BC285" s="594"/>
      <c r="BD285" s="594"/>
      <c r="BE285" s="594"/>
      <c r="BF285" s="594"/>
      <c r="BG285" s="594"/>
      <c r="BH285" s="594"/>
      <c r="BI285" s="594"/>
      <c r="BJ285" s="594"/>
      <c r="BK285" s="594"/>
      <c r="BL285" s="57"/>
      <c r="BM285" s="594"/>
      <c r="BN285" s="594"/>
      <c r="BO285" s="594"/>
      <c r="BP285" s="594"/>
      <c r="BQ285" s="594"/>
      <c r="BR285" s="594"/>
      <c r="BS285" s="594"/>
      <c r="BT285" s="594"/>
      <c r="BU285" s="594"/>
      <c r="BV285" s="594"/>
      <c r="BW285" s="594"/>
      <c r="BX285" s="594"/>
      <c r="BY285" s="594"/>
      <c r="BZ285" s="594"/>
      <c r="CA285" s="594"/>
      <c r="CB285" s="594"/>
      <c r="CC285" s="594"/>
      <c r="CD285" s="594"/>
      <c r="CE285" s="594"/>
      <c r="CF285" s="594"/>
      <c r="CG285" s="594"/>
      <c r="CH285" s="594"/>
      <c r="CI285" s="594"/>
      <c r="CJ285" s="594"/>
      <c r="CK285" s="594"/>
      <c r="CL285" s="594"/>
      <c r="CM285" s="594"/>
      <c r="CN285" s="594"/>
      <c r="CO285" s="594"/>
      <c r="CP285" s="594"/>
      <c r="CQ285" s="594"/>
    </row>
    <row r="286" spans="1:95" ht="19.5" hidden="1" customHeight="1" outlineLevel="2">
      <c r="A286" s="709" t="s">
        <v>361</v>
      </c>
      <c r="B286" s="710">
        <f>-SUMIFS('D2 - Capex uso'!BS$6:BS$176,'D2 - Capex uso'!$C$6:$C$176,$A270,'D2 - Capex uso'!$AK$6:$AK$176,$A286)</f>
        <v>0</v>
      </c>
      <c r="C286" s="710">
        <f>-SUMIFS('D2 - Capex uso'!BT$6:BT$176,'D2 - Capex uso'!$C$6:$C$176,$A270,'D2 - Capex uso'!$AK$6:$AK$176,$A286)</f>
        <v>0</v>
      </c>
      <c r="D286" s="710">
        <f>-SUMIFS('D2 - Capex uso'!BU$6:BU$176,'D2 - Capex uso'!$C$6:$C$176,$A270,'D2 - Capex uso'!$AK$6:$AK$176,$A286)</f>
        <v>0</v>
      </c>
      <c r="E286" s="710">
        <f>-SUMIFS('D2 - Capex uso'!BV$6:BV$176,'D2 - Capex uso'!$C$6:$C$176,$A270,'D2 - Capex uso'!$AK$6:$AK$176,$A286)</f>
        <v>0</v>
      </c>
      <c r="F286" s="710">
        <f>-SUMIFS('D2 - Capex uso'!BW$6:BW$176,'D2 - Capex uso'!$C$6:$C$176,$A270,'D2 - Capex uso'!$AK$6:$AK$176,$A286)</f>
        <v>0</v>
      </c>
      <c r="G286" s="710">
        <f>-SUMIFS('D2 - Capex uso'!BX$6:BX$176,'D2 - Capex uso'!$C$6:$C$176,$A270,'D2 - Capex uso'!$AK$6:$AK$176,$A286)</f>
        <v>0</v>
      </c>
      <c r="H286" s="710">
        <f>-SUMIFS('D2 - Capex uso'!BY$6:BY$176,'D2 - Capex uso'!$C$6:$C$176,$A270,'D2 - Capex uso'!$AK$6:$AK$176,$A286)</f>
        <v>0</v>
      </c>
      <c r="I286" s="710">
        <f>-SUMIFS('D2 - Capex uso'!BZ$6:BZ$176,'D2 - Capex uso'!$C$6:$C$176,$A270,'D2 - Capex uso'!$AK$6:$AK$176,$A286)</f>
        <v>0</v>
      </c>
      <c r="J286" s="710">
        <f>-SUMIFS('D2 - Capex uso'!CA$6:CA$176,'D2 - Capex uso'!$C$6:$C$176,$A270,'D2 - Capex uso'!$AK$6:$AK$176,$A286)</f>
        <v>0</v>
      </c>
      <c r="K286" s="710">
        <f>-SUMIFS('D2 - Capex uso'!CB$6:CB$176,'D2 - Capex uso'!$C$6:$C$176,$A270,'D2 - Capex uso'!$AK$6:$AK$176,$A286)</f>
        <v>0</v>
      </c>
      <c r="L286" s="710">
        <f>-SUMIFS('D2 - Capex uso'!CC$6:CC$176,'D2 - Capex uso'!$C$6:$C$176,$A270,'D2 - Capex uso'!$AK$6:$AK$176,$A286)</f>
        <v>0</v>
      </c>
      <c r="M286" s="710">
        <f>-SUMIFS('D2 - Capex uso'!CD$6:CD$176,'D2 - Capex uso'!$C$6:$C$176,$A270,'D2 - Capex uso'!$AK$6:$AK$176,$A286)</f>
        <v>0</v>
      </c>
      <c r="N286" s="710">
        <f>-SUMIFS('D2 - Capex uso'!CE$6:CE$176,'D2 - Capex uso'!$C$6:$C$176,$A270,'D2 - Capex uso'!$AK$6:$AK$176,$A286)</f>
        <v>0</v>
      </c>
      <c r="O286" s="710">
        <f>-SUMIFS('D2 - Capex uso'!CF$6:CF$176,'D2 - Capex uso'!$C$6:$C$176,$A270,'D2 - Capex uso'!$AK$6:$AK$176,$A286)</f>
        <v>0</v>
      </c>
      <c r="P286" s="710">
        <f>-SUMIFS('D2 - Capex uso'!CG$6:CG$176,'D2 - Capex uso'!$C$6:$C$176,$A270,'D2 - Capex uso'!$AK$6:$AK$176,$A286)</f>
        <v>0</v>
      </c>
      <c r="Q286" s="710">
        <f>-SUMIFS('D2 - Capex uso'!CH$6:CH$176,'D2 - Capex uso'!$C$6:$C$176,$A270,'D2 - Capex uso'!$AK$6:$AK$176,$A286)</f>
        <v>0</v>
      </c>
      <c r="R286" s="710">
        <f>-SUMIFS('D2 - Capex uso'!CI$6:CI$176,'D2 - Capex uso'!$C$6:$C$176,$A270,'D2 - Capex uso'!$AK$6:$AK$176,$A286)</f>
        <v>0</v>
      </c>
      <c r="S286" s="710">
        <f>-SUMIFS('D2 - Capex uso'!CJ$6:CJ$176,'D2 - Capex uso'!$C$6:$C$176,$A270,'D2 - Capex uso'!$AK$6:$AK$176,$A286)</f>
        <v>0</v>
      </c>
      <c r="T286" s="710">
        <f>-SUMIFS('D2 - Capex uso'!CK$6:CK$176,'D2 - Capex uso'!$C$6:$C$176,$A270,'D2 - Capex uso'!$AK$6:$AK$176,$A286)</f>
        <v>0</v>
      </c>
      <c r="U286" s="710">
        <f>-SUMIFS('D2 - Capex uso'!CL$6:CL$176,'D2 - Capex uso'!$C$6:$C$176,$A270,'D2 - Capex uso'!$AK$6:$AK$176,$A286)</f>
        <v>0</v>
      </c>
      <c r="V286" s="710">
        <f>-SUMIFS('D2 - Capex uso'!CM$6:CM$176,'D2 - Capex uso'!$C$6:$C$176,$A270,'D2 - Capex uso'!$AK$6:$AK$176,$A286)</f>
        <v>0</v>
      </c>
      <c r="W286" s="710">
        <f>-SUMIFS('D2 - Capex uso'!CN$6:CN$176,'D2 - Capex uso'!$C$6:$C$176,$A270,'D2 - Capex uso'!$AK$6:$AK$176,$A286)</f>
        <v>0</v>
      </c>
      <c r="X286" s="710">
        <f>-SUMIFS('D2 - Capex uso'!CO$6:CO$176,'D2 - Capex uso'!$C$6:$C$176,$A270,'D2 - Capex uso'!$AK$6:$AK$176,$A286)</f>
        <v>0</v>
      </c>
      <c r="Y286" s="710">
        <f>-SUMIFS('D2 - Capex uso'!CP$6:CP$176,'D2 - Capex uso'!$C$6:$C$176,$A270,'D2 - Capex uso'!$AK$6:$AK$176,$A286)</f>
        <v>0</v>
      </c>
      <c r="Z286" s="710">
        <f>-SUMIFS('D2 - Capex uso'!CQ$6:CQ$176,'D2 - Capex uso'!$C$6:$C$176,$A270,'D2 - Capex uso'!$AK$6:$AK$176,$A286)</f>
        <v>0</v>
      </c>
      <c r="AA286" s="710">
        <f>-SUMIFS('D2 - Capex uso'!CR$6:CR$176,'D2 - Capex uso'!$C$6:$C$176,$A270,'D2 - Capex uso'!$AK$6:$AK$176,$A286)</f>
        <v>0</v>
      </c>
      <c r="AB286" s="710">
        <f>-SUMIFS('D2 - Capex uso'!CS$6:CS$176,'D2 - Capex uso'!$C$6:$C$176,$A270,'D2 - Capex uso'!$AK$6:$AK$176,$A286)</f>
        <v>0</v>
      </c>
      <c r="AC286" s="710">
        <f>-SUMIFS('D2 - Capex uso'!CT$6:CT$176,'D2 - Capex uso'!$C$6:$C$176,$A270,'D2 - Capex uso'!$AK$6:$AK$176,$A286)</f>
        <v>0</v>
      </c>
      <c r="AD286" s="710">
        <f>-SUMIFS('D2 - Capex uso'!CU$6:CU$176,'D2 - Capex uso'!$C$6:$C$176,$A270,'D2 - Capex uso'!$AK$6:$AK$176,$A286)</f>
        <v>0</v>
      </c>
      <c r="AE286" s="710">
        <f>-SUMIFS('D2 - Capex uso'!CV$6:CV$176,'D2 - Capex uso'!$C$6:$C$176,$A270,'D2 - Capex uso'!$AK$6:$AK$176,$A286)</f>
        <v>0</v>
      </c>
      <c r="AF286" s="594"/>
      <c r="AG286" s="594"/>
      <c r="AH286" s="594"/>
      <c r="AI286" s="594"/>
      <c r="AJ286" s="594"/>
      <c r="AK286" s="594"/>
      <c r="AL286" s="594"/>
      <c r="AM286" s="594"/>
      <c r="AN286" s="594"/>
      <c r="AO286" s="594"/>
      <c r="AP286" s="594"/>
      <c r="AQ286" s="594"/>
      <c r="AR286" s="594"/>
      <c r="AS286" s="594"/>
      <c r="AT286" s="594"/>
      <c r="AU286" s="594"/>
      <c r="AV286" s="594"/>
      <c r="AW286" s="594"/>
      <c r="AX286" s="594"/>
      <c r="AY286" s="594"/>
      <c r="AZ286" s="594"/>
      <c r="BA286" s="594"/>
      <c r="BB286" s="594"/>
      <c r="BC286" s="594"/>
      <c r="BD286" s="594"/>
      <c r="BE286" s="594"/>
      <c r="BF286" s="594"/>
      <c r="BG286" s="594"/>
      <c r="BH286" s="594"/>
      <c r="BI286" s="594"/>
      <c r="BJ286" s="594"/>
      <c r="BK286" s="594"/>
      <c r="BL286" s="57"/>
      <c r="BM286" s="594"/>
      <c r="BN286" s="594"/>
      <c r="BO286" s="594"/>
      <c r="BP286" s="594"/>
      <c r="BQ286" s="594"/>
      <c r="BR286" s="594"/>
      <c r="BS286" s="594"/>
      <c r="BT286" s="594"/>
      <c r="BU286" s="594"/>
      <c r="BV286" s="594"/>
      <c r="BW286" s="594"/>
      <c r="BX286" s="594"/>
      <c r="BY286" s="594"/>
      <c r="BZ286" s="594"/>
      <c r="CA286" s="594"/>
      <c r="CB286" s="594"/>
      <c r="CC286" s="594"/>
      <c r="CD286" s="594"/>
      <c r="CE286" s="594"/>
      <c r="CF286" s="594"/>
      <c r="CG286" s="594"/>
      <c r="CH286" s="594"/>
      <c r="CI286" s="594"/>
      <c r="CJ286" s="594"/>
      <c r="CK286" s="594"/>
      <c r="CL286" s="594"/>
      <c r="CM286" s="594"/>
      <c r="CN286" s="594"/>
      <c r="CO286" s="594"/>
      <c r="CP286" s="594"/>
      <c r="CQ286" s="594"/>
    </row>
    <row r="287" spans="1:95" ht="19.5" hidden="1" customHeight="1" outlineLevel="2">
      <c r="A287" s="709" t="s">
        <v>359</v>
      </c>
      <c r="B287" s="710">
        <f>-SUMIFS('D2 - Capex uso'!BS$6:BS$176,'D2 - Capex uso'!$C$6:$C$176,$A270,'D2 - Capex uso'!$AK$6:$AK$176,$A287)</f>
        <v>0</v>
      </c>
      <c r="C287" s="710">
        <f>-SUMIFS('D2 - Capex uso'!BT$6:BT$176,'D2 - Capex uso'!$C$6:$C$176,$A270,'D2 - Capex uso'!$AK$6:$AK$176,$A287)</f>
        <v>0</v>
      </c>
      <c r="D287" s="710">
        <f>-SUMIFS('D2 - Capex uso'!BU$6:BU$176,'D2 - Capex uso'!$C$6:$C$176,$A270,'D2 - Capex uso'!$AK$6:$AK$176,$A287)</f>
        <v>0</v>
      </c>
      <c r="E287" s="710">
        <f>-SUMIFS('D2 - Capex uso'!BV$6:BV$176,'D2 - Capex uso'!$C$6:$C$176,$A270,'D2 - Capex uso'!$AK$6:$AK$176,$A287)</f>
        <v>0</v>
      </c>
      <c r="F287" s="710">
        <f>-SUMIFS('D2 - Capex uso'!BW$6:BW$176,'D2 - Capex uso'!$C$6:$C$176,$A270,'D2 - Capex uso'!$AK$6:$AK$176,$A287)</f>
        <v>0</v>
      </c>
      <c r="G287" s="710">
        <f>-SUMIFS('D2 - Capex uso'!BX$6:BX$176,'D2 - Capex uso'!$C$6:$C$176,$A270,'D2 - Capex uso'!$AK$6:$AK$176,$A287)</f>
        <v>0</v>
      </c>
      <c r="H287" s="710">
        <f>-SUMIFS('D2 - Capex uso'!BY$6:BY$176,'D2 - Capex uso'!$C$6:$C$176,$A270,'D2 - Capex uso'!$AK$6:$AK$176,$A287)</f>
        <v>0</v>
      </c>
      <c r="I287" s="710">
        <f>-SUMIFS('D2 - Capex uso'!BZ$6:BZ$176,'D2 - Capex uso'!$C$6:$C$176,$A270,'D2 - Capex uso'!$AK$6:$AK$176,$A287)</f>
        <v>0</v>
      </c>
      <c r="J287" s="710">
        <f>-SUMIFS('D2 - Capex uso'!CA$6:CA$176,'D2 - Capex uso'!$C$6:$C$176,$A270,'D2 - Capex uso'!$AK$6:$AK$176,$A287)</f>
        <v>0</v>
      </c>
      <c r="K287" s="710">
        <f>-SUMIFS('D2 - Capex uso'!CB$6:CB$176,'D2 - Capex uso'!$C$6:$C$176,$A270,'D2 - Capex uso'!$AK$6:$AK$176,$A287)</f>
        <v>0</v>
      </c>
      <c r="L287" s="710">
        <f>-SUMIFS('D2 - Capex uso'!CC$6:CC$176,'D2 - Capex uso'!$C$6:$C$176,$A270,'D2 - Capex uso'!$AK$6:$AK$176,$A287)</f>
        <v>0</v>
      </c>
      <c r="M287" s="710">
        <f>-SUMIFS('D2 - Capex uso'!CD$6:CD$176,'D2 - Capex uso'!$C$6:$C$176,$A270,'D2 - Capex uso'!$AK$6:$AK$176,$A287)</f>
        <v>0</v>
      </c>
      <c r="N287" s="710">
        <f>-SUMIFS('D2 - Capex uso'!CE$6:CE$176,'D2 - Capex uso'!$C$6:$C$176,$A270,'D2 - Capex uso'!$AK$6:$AK$176,$A287)</f>
        <v>0</v>
      </c>
      <c r="O287" s="710">
        <f>-SUMIFS('D2 - Capex uso'!CF$6:CF$176,'D2 - Capex uso'!$C$6:$C$176,$A270,'D2 - Capex uso'!$AK$6:$AK$176,$A287)</f>
        <v>0</v>
      </c>
      <c r="P287" s="710">
        <f>-SUMIFS('D2 - Capex uso'!CG$6:CG$176,'D2 - Capex uso'!$C$6:$C$176,$A270,'D2 - Capex uso'!$AK$6:$AK$176,$A287)</f>
        <v>0</v>
      </c>
      <c r="Q287" s="710">
        <f>-SUMIFS('D2 - Capex uso'!CH$6:CH$176,'D2 - Capex uso'!$C$6:$C$176,$A270,'D2 - Capex uso'!$AK$6:$AK$176,$A287)</f>
        <v>0</v>
      </c>
      <c r="R287" s="710">
        <f>-SUMIFS('D2 - Capex uso'!CI$6:CI$176,'D2 - Capex uso'!$C$6:$C$176,$A270,'D2 - Capex uso'!$AK$6:$AK$176,$A287)</f>
        <v>0</v>
      </c>
      <c r="S287" s="710">
        <f>-SUMIFS('D2 - Capex uso'!CJ$6:CJ$176,'D2 - Capex uso'!$C$6:$C$176,$A270,'D2 - Capex uso'!$AK$6:$AK$176,$A287)</f>
        <v>0</v>
      </c>
      <c r="T287" s="710">
        <f>-SUMIFS('D2 - Capex uso'!CK$6:CK$176,'D2 - Capex uso'!$C$6:$C$176,$A270,'D2 - Capex uso'!$AK$6:$AK$176,$A287)</f>
        <v>0</v>
      </c>
      <c r="U287" s="710">
        <f>-SUMIFS('D2 - Capex uso'!CL$6:CL$176,'D2 - Capex uso'!$C$6:$C$176,$A270,'D2 - Capex uso'!$AK$6:$AK$176,$A287)</f>
        <v>0</v>
      </c>
      <c r="V287" s="710">
        <f>-SUMIFS('D2 - Capex uso'!CM$6:CM$176,'D2 - Capex uso'!$C$6:$C$176,$A270,'D2 - Capex uso'!$AK$6:$AK$176,$A287)</f>
        <v>0</v>
      </c>
      <c r="W287" s="710">
        <f>-SUMIFS('D2 - Capex uso'!CN$6:CN$176,'D2 - Capex uso'!$C$6:$C$176,$A270,'D2 - Capex uso'!$AK$6:$AK$176,$A287)</f>
        <v>0</v>
      </c>
      <c r="X287" s="710">
        <f>-SUMIFS('D2 - Capex uso'!CO$6:CO$176,'D2 - Capex uso'!$C$6:$C$176,$A270,'D2 - Capex uso'!$AK$6:$AK$176,$A287)</f>
        <v>0</v>
      </c>
      <c r="Y287" s="710">
        <f>-SUMIFS('D2 - Capex uso'!CP$6:CP$176,'D2 - Capex uso'!$C$6:$C$176,$A270,'D2 - Capex uso'!$AK$6:$AK$176,$A287)</f>
        <v>0</v>
      </c>
      <c r="Z287" s="710">
        <f>-SUMIFS('D2 - Capex uso'!CQ$6:CQ$176,'D2 - Capex uso'!$C$6:$C$176,$A270,'D2 - Capex uso'!$AK$6:$AK$176,$A287)</f>
        <v>0</v>
      </c>
      <c r="AA287" s="710">
        <f>-SUMIFS('D2 - Capex uso'!CR$6:CR$176,'D2 - Capex uso'!$C$6:$C$176,$A270,'D2 - Capex uso'!$AK$6:$AK$176,$A287)</f>
        <v>0</v>
      </c>
      <c r="AB287" s="710">
        <f>-SUMIFS('D2 - Capex uso'!CS$6:CS$176,'D2 - Capex uso'!$C$6:$C$176,$A270,'D2 - Capex uso'!$AK$6:$AK$176,$A287)</f>
        <v>0</v>
      </c>
      <c r="AC287" s="710">
        <f>-SUMIFS('D2 - Capex uso'!CT$6:CT$176,'D2 - Capex uso'!$C$6:$C$176,$A270,'D2 - Capex uso'!$AK$6:$AK$176,$A287)</f>
        <v>0</v>
      </c>
      <c r="AD287" s="710">
        <f>-SUMIFS('D2 - Capex uso'!CU$6:CU$176,'D2 - Capex uso'!$C$6:$C$176,$A270,'D2 - Capex uso'!$AK$6:$AK$176,$A287)</f>
        <v>0</v>
      </c>
      <c r="AE287" s="710">
        <f>-SUMIFS('D2 - Capex uso'!CV$6:CV$176,'D2 - Capex uso'!$C$6:$C$176,$A270,'D2 - Capex uso'!$AK$6:$AK$176,$A287)</f>
        <v>0</v>
      </c>
      <c r="AF287" s="594"/>
      <c r="AG287" s="594"/>
      <c r="AH287" s="594"/>
      <c r="AI287" s="594"/>
      <c r="AJ287" s="594"/>
      <c r="AK287" s="594"/>
      <c r="AL287" s="594"/>
      <c r="AM287" s="594"/>
      <c r="AN287" s="594"/>
      <c r="AO287" s="594"/>
      <c r="AP287" s="594"/>
      <c r="AQ287" s="594"/>
      <c r="AR287" s="594"/>
      <c r="AS287" s="594"/>
      <c r="AT287" s="594"/>
      <c r="AU287" s="594"/>
      <c r="AV287" s="594"/>
      <c r="AW287" s="594"/>
      <c r="AX287" s="594"/>
      <c r="AY287" s="594"/>
      <c r="AZ287" s="594"/>
      <c r="BA287" s="594"/>
      <c r="BB287" s="594"/>
      <c r="BC287" s="594"/>
      <c r="BD287" s="594"/>
      <c r="BE287" s="594"/>
      <c r="BF287" s="594"/>
      <c r="BG287" s="594"/>
      <c r="BH287" s="594"/>
      <c r="BI287" s="594"/>
      <c r="BJ287" s="594"/>
      <c r="BK287" s="594"/>
      <c r="BL287" s="57"/>
      <c r="BM287" s="594"/>
      <c r="BN287" s="594"/>
      <c r="BO287" s="594"/>
      <c r="BP287" s="594"/>
      <c r="BQ287" s="594"/>
      <c r="BR287" s="594"/>
      <c r="BS287" s="594"/>
      <c r="BT287" s="594"/>
      <c r="BU287" s="594"/>
      <c r="BV287" s="594"/>
      <c r="BW287" s="594"/>
      <c r="BX287" s="594"/>
      <c r="BY287" s="594"/>
      <c r="BZ287" s="594"/>
      <c r="CA287" s="594"/>
      <c r="CB287" s="594"/>
      <c r="CC287" s="594"/>
      <c r="CD287" s="594"/>
      <c r="CE287" s="594"/>
      <c r="CF287" s="594"/>
      <c r="CG287" s="594"/>
      <c r="CH287" s="594"/>
      <c r="CI287" s="594"/>
      <c r="CJ287" s="594"/>
      <c r="CK287" s="594"/>
      <c r="CL287" s="594"/>
      <c r="CM287" s="594"/>
      <c r="CN287" s="594"/>
      <c r="CO287" s="594"/>
      <c r="CP287" s="594"/>
      <c r="CQ287" s="594"/>
    </row>
    <row r="288" spans="1:95" ht="19.5" hidden="1" customHeight="1" outlineLevel="2">
      <c r="A288" s="709" t="s">
        <v>171</v>
      </c>
      <c r="B288" s="710">
        <f>-SUMIFS('D2 - Capex uso'!BS$6:BS$176,'D2 - Capex uso'!$C$6:$C$176,$A270,'D2 - Capex uso'!$AK$6:$AK$176,$A288)</f>
        <v>0</v>
      </c>
      <c r="C288" s="710">
        <f>-SUMIFS('D2 - Capex uso'!BT$6:BT$176,'D2 - Capex uso'!$C$6:$C$176,$A270,'D2 - Capex uso'!$AK$6:$AK$176,$A288)</f>
        <v>0</v>
      </c>
      <c r="D288" s="710">
        <f>-SUMIFS('D2 - Capex uso'!BU$6:BU$176,'D2 - Capex uso'!$C$6:$C$176,$A270,'D2 - Capex uso'!$AK$6:$AK$176,$A288)</f>
        <v>0</v>
      </c>
      <c r="E288" s="710">
        <f>-SUMIFS('D2 - Capex uso'!BV$6:BV$176,'D2 - Capex uso'!$C$6:$C$176,$A270,'D2 - Capex uso'!$AK$6:$AK$176,$A288)</f>
        <v>0</v>
      </c>
      <c r="F288" s="710">
        <f>-SUMIFS('D2 - Capex uso'!BW$6:BW$176,'D2 - Capex uso'!$C$6:$C$176,$A270,'D2 - Capex uso'!$AK$6:$AK$176,$A288)</f>
        <v>0</v>
      </c>
      <c r="G288" s="710">
        <f>-SUMIFS('D2 - Capex uso'!BX$6:BX$176,'D2 - Capex uso'!$C$6:$C$176,$A270,'D2 - Capex uso'!$AK$6:$AK$176,$A288)</f>
        <v>0</v>
      </c>
      <c r="H288" s="710">
        <f>-SUMIFS('D2 - Capex uso'!BY$6:BY$176,'D2 - Capex uso'!$C$6:$C$176,$A270,'D2 - Capex uso'!$AK$6:$AK$176,$A288)</f>
        <v>0</v>
      </c>
      <c r="I288" s="710">
        <f>-SUMIFS('D2 - Capex uso'!BZ$6:BZ$176,'D2 - Capex uso'!$C$6:$C$176,$A270,'D2 - Capex uso'!$AK$6:$AK$176,$A288)</f>
        <v>0</v>
      </c>
      <c r="J288" s="710">
        <f>-SUMIFS('D2 - Capex uso'!CA$6:CA$176,'D2 - Capex uso'!$C$6:$C$176,$A270,'D2 - Capex uso'!$AK$6:$AK$176,$A288)</f>
        <v>0</v>
      </c>
      <c r="K288" s="710">
        <f>-SUMIFS('D2 - Capex uso'!CB$6:CB$176,'D2 - Capex uso'!$C$6:$C$176,$A270,'D2 - Capex uso'!$AK$6:$AK$176,$A288)</f>
        <v>0</v>
      </c>
      <c r="L288" s="710">
        <f>-SUMIFS('D2 - Capex uso'!CC$6:CC$176,'D2 - Capex uso'!$C$6:$C$176,$A270,'D2 - Capex uso'!$AK$6:$AK$176,$A288)</f>
        <v>0</v>
      </c>
      <c r="M288" s="710">
        <f>-SUMIFS('D2 - Capex uso'!CD$6:CD$176,'D2 - Capex uso'!$C$6:$C$176,$A270,'D2 - Capex uso'!$AK$6:$AK$176,$A288)</f>
        <v>0</v>
      </c>
      <c r="N288" s="710">
        <f>-SUMIFS('D2 - Capex uso'!CE$6:CE$176,'D2 - Capex uso'!$C$6:$C$176,$A270,'D2 - Capex uso'!$AK$6:$AK$176,$A288)</f>
        <v>0</v>
      </c>
      <c r="O288" s="710">
        <f>-SUMIFS('D2 - Capex uso'!CF$6:CF$176,'D2 - Capex uso'!$C$6:$C$176,$A270,'D2 - Capex uso'!$AK$6:$AK$176,$A288)</f>
        <v>0</v>
      </c>
      <c r="P288" s="710">
        <f>-SUMIFS('D2 - Capex uso'!CG$6:CG$176,'D2 - Capex uso'!$C$6:$C$176,$A270,'D2 - Capex uso'!$AK$6:$AK$176,$A288)</f>
        <v>0</v>
      </c>
      <c r="Q288" s="710">
        <f>-SUMIFS('D2 - Capex uso'!CH$6:CH$176,'D2 - Capex uso'!$C$6:$C$176,$A270,'D2 - Capex uso'!$AK$6:$AK$176,$A288)</f>
        <v>0</v>
      </c>
      <c r="R288" s="710">
        <f>-SUMIFS('D2 - Capex uso'!CI$6:CI$176,'D2 - Capex uso'!$C$6:$C$176,$A270,'D2 - Capex uso'!$AK$6:$AK$176,$A288)</f>
        <v>0</v>
      </c>
      <c r="S288" s="710">
        <f>-SUMIFS('D2 - Capex uso'!CJ$6:CJ$176,'D2 - Capex uso'!$C$6:$C$176,$A270,'D2 - Capex uso'!$AK$6:$AK$176,$A288)</f>
        <v>0</v>
      </c>
      <c r="T288" s="710">
        <f>-SUMIFS('D2 - Capex uso'!CK$6:CK$176,'D2 - Capex uso'!$C$6:$C$176,$A270,'D2 - Capex uso'!$AK$6:$AK$176,$A288)</f>
        <v>0</v>
      </c>
      <c r="U288" s="710">
        <f>-SUMIFS('D2 - Capex uso'!CL$6:CL$176,'D2 - Capex uso'!$C$6:$C$176,$A270,'D2 - Capex uso'!$AK$6:$AK$176,$A288)</f>
        <v>0</v>
      </c>
      <c r="V288" s="710">
        <f>-SUMIFS('D2 - Capex uso'!CM$6:CM$176,'D2 - Capex uso'!$C$6:$C$176,$A270,'D2 - Capex uso'!$AK$6:$AK$176,$A288)</f>
        <v>0</v>
      </c>
      <c r="W288" s="710">
        <f>-SUMIFS('D2 - Capex uso'!CN$6:CN$176,'D2 - Capex uso'!$C$6:$C$176,$A270,'D2 - Capex uso'!$AK$6:$AK$176,$A288)</f>
        <v>0</v>
      </c>
      <c r="X288" s="710">
        <f>-SUMIFS('D2 - Capex uso'!CO$6:CO$176,'D2 - Capex uso'!$C$6:$C$176,$A270,'D2 - Capex uso'!$AK$6:$AK$176,$A288)</f>
        <v>0</v>
      </c>
      <c r="Y288" s="710">
        <f>-SUMIFS('D2 - Capex uso'!CP$6:CP$176,'D2 - Capex uso'!$C$6:$C$176,$A270,'D2 - Capex uso'!$AK$6:$AK$176,$A288)</f>
        <v>0</v>
      </c>
      <c r="Z288" s="710">
        <f>-SUMIFS('D2 - Capex uso'!CQ$6:CQ$176,'D2 - Capex uso'!$C$6:$C$176,$A270,'D2 - Capex uso'!$AK$6:$AK$176,$A288)</f>
        <v>0</v>
      </c>
      <c r="AA288" s="710">
        <f>-SUMIFS('D2 - Capex uso'!CR$6:CR$176,'D2 - Capex uso'!$C$6:$C$176,$A270,'D2 - Capex uso'!$AK$6:$AK$176,$A288)</f>
        <v>0</v>
      </c>
      <c r="AB288" s="710">
        <f>-SUMIFS('D2 - Capex uso'!CS$6:CS$176,'D2 - Capex uso'!$C$6:$C$176,$A270,'D2 - Capex uso'!$AK$6:$AK$176,$A288)</f>
        <v>0</v>
      </c>
      <c r="AC288" s="710">
        <f>-SUMIFS('D2 - Capex uso'!CT$6:CT$176,'D2 - Capex uso'!$C$6:$C$176,$A270,'D2 - Capex uso'!$AK$6:$AK$176,$A288)</f>
        <v>0</v>
      </c>
      <c r="AD288" s="710">
        <f>-SUMIFS('D2 - Capex uso'!CU$6:CU$176,'D2 - Capex uso'!$C$6:$C$176,$A270,'D2 - Capex uso'!$AK$6:$AK$176,$A288)</f>
        <v>0</v>
      </c>
      <c r="AE288" s="710">
        <f>-SUMIFS('D2 - Capex uso'!CV$6:CV$176,'D2 - Capex uso'!$C$6:$C$176,$A270,'D2 - Capex uso'!$AK$6:$AK$176,$A288)</f>
        <v>0</v>
      </c>
      <c r="AF288" s="594"/>
      <c r="AG288" s="594"/>
      <c r="AH288" s="594"/>
      <c r="AI288" s="594"/>
      <c r="AJ288" s="594"/>
      <c r="AK288" s="594"/>
      <c r="AL288" s="594"/>
      <c r="AM288" s="594"/>
      <c r="AN288" s="594"/>
      <c r="AO288" s="594"/>
      <c r="AP288" s="594"/>
      <c r="AQ288" s="594"/>
      <c r="AR288" s="594"/>
      <c r="AS288" s="594"/>
      <c r="AT288" s="594"/>
      <c r="AU288" s="594"/>
      <c r="AV288" s="594"/>
      <c r="AW288" s="594"/>
      <c r="AX288" s="594"/>
      <c r="AY288" s="594"/>
      <c r="AZ288" s="594"/>
      <c r="BA288" s="594"/>
      <c r="BB288" s="594"/>
      <c r="BC288" s="594"/>
      <c r="BD288" s="594"/>
      <c r="BE288" s="594"/>
      <c r="BF288" s="594"/>
      <c r="BG288" s="594"/>
      <c r="BH288" s="594"/>
      <c r="BI288" s="594"/>
      <c r="BJ288" s="594"/>
      <c r="BK288" s="594"/>
      <c r="BL288" s="57"/>
      <c r="BM288" s="594"/>
      <c r="BN288" s="594"/>
      <c r="BO288" s="594"/>
      <c r="BP288" s="594"/>
      <c r="BQ288" s="594"/>
      <c r="BR288" s="594"/>
      <c r="BS288" s="594"/>
      <c r="BT288" s="594"/>
      <c r="BU288" s="594"/>
      <c r="BV288" s="594"/>
      <c r="BW288" s="594"/>
      <c r="BX288" s="594"/>
      <c r="BY288" s="594"/>
      <c r="BZ288" s="594"/>
      <c r="CA288" s="594"/>
      <c r="CB288" s="594"/>
      <c r="CC288" s="594"/>
      <c r="CD288" s="594"/>
      <c r="CE288" s="594"/>
      <c r="CF288" s="594"/>
      <c r="CG288" s="594"/>
      <c r="CH288" s="594"/>
      <c r="CI288" s="594"/>
      <c r="CJ288" s="594"/>
      <c r="CK288" s="594"/>
      <c r="CL288" s="594"/>
      <c r="CM288" s="594"/>
      <c r="CN288" s="594"/>
      <c r="CO288" s="594"/>
      <c r="CP288" s="594"/>
      <c r="CQ288" s="594"/>
    </row>
    <row r="289" spans="1:95" ht="27" customHeight="1" collapsed="1">
      <c r="A289" s="703" t="str">
        <f>IF(ISBLANK('A1 - Serviços e demanda'!A35),,'A1 - Serviços e demanda'!A35)</f>
        <v>Geral - Unidade móvel - Alimentação</v>
      </c>
      <c r="B289" s="704">
        <f t="shared" ref="B289:AE289" si="90">IF($A289=0,0,SUM(B298:B299))</f>
        <v>-817596.32000000007</v>
      </c>
      <c r="C289" s="704">
        <f t="shared" si="90"/>
        <v>138262.04385880992</v>
      </c>
      <c r="D289" s="704">
        <f t="shared" si="90"/>
        <v>153266.04692875373</v>
      </c>
      <c r="E289" s="704">
        <f t="shared" si="90"/>
        <v>167807.67660611443</v>
      </c>
      <c r="F289" s="704">
        <f t="shared" si="90"/>
        <v>182590.68448811647</v>
      </c>
      <c r="G289" s="704">
        <f t="shared" si="90"/>
        <v>-574413.38677660841</v>
      </c>
      <c r="H289" s="704">
        <f t="shared" si="90"/>
        <v>213061.39329548896</v>
      </c>
      <c r="I289" s="704">
        <f t="shared" si="90"/>
        <v>228970.67011059425</v>
      </c>
      <c r="J289" s="704">
        <f t="shared" si="90"/>
        <v>245161.38550688757</v>
      </c>
      <c r="K289" s="704">
        <f t="shared" si="90"/>
        <v>261674.28234730405</v>
      </c>
      <c r="L289" s="704">
        <f t="shared" si="90"/>
        <v>-493358.89243985387</v>
      </c>
      <c r="M289" s="704">
        <f t="shared" si="90"/>
        <v>296207.77590995334</v>
      </c>
      <c r="N289" s="704">
        <f t="shared" si="90"/>
        <v>314289.25583205535</v>
      </c>
      <c r="O289" s="704">
        <f t="shared" si="90"/>
        <v>332913.64595672552</v>
      </c>
      <c r="P289" s="704">
        <f t="shared" si="90"/>
        <v>352101.25049638853</v>
      </c>
      <c r="Q289" s="704">
        <f t="shared" si="90"/>
        <v>-400216.55005885952</v>
      </c>
      <c r="R289" s="704">
        <f t="shared" si="90"/>
        <v>392025.28326349135</v>
      </c>
      <c r="S289" s="704">
        <f t="shared" si="90"/>
        <v>412680.97433277982</v>
      </c>
      <c r="T289" s="704">
        <f t="shared" si="90"/>
        <v>433698.71789434127</v>
      </c>
      <c r="U289" s="704">
        <f t="shared" si="90"/>
        <v>454998.1871600204</v>
      </c>
      <c r="V289" s="704">
        <f t="shared" si="90"/>
        <v>-317030.21283997962</v>
      </c>
      <c r="W289" s="704">
        <f t="shared" si="90"/>
        <v>454998.1871600204</v>
      </c>
      <c r="X289" s="704">
        <f t="shared" si="90"/>
        <v>454998.1871600204</v>
      </c>
      <c r="Y289" s="704">
        <f t="shared" si="90"/>
        <v>454998.1871600204</v>
      </c>
      <c r="Z289" s="704">
        <f t="shared" si="90"/>
        <v>454998.1871600204</v>
      </c>
      <c r="AA289" s="704">
        <f t="shared" si="90"/>
        <v>-317030.21283997962</v>
      </c>
      <c r="AB289" s="704">
        <f t="shared" si="90"/>
        <v>454998.1871600204</v>
      </c>
      <c r="AC289" s="704">
        <f t="shared" si="90"/>
        <v>454998.1871600204</v>
      </c>
      <c r="AD289" s="704">
        <f t="shared" si="90"/>
        <v>454998.1871600204</v>
      </c>
      <c r="AE289" s="704">
        <f t="shared" si="90"/>
        <v>454998.1871600204</v>
      </c>
      <c r="AF289" s="594"/>
      <c r="AG289" s="486" t="str">
        <f>A289</f>
        <v>Geral - Unidade móvel - Alimentação</v>
      </c>
      <c r="AH289" s="705">
        <f t="shared" ref="AH289:BK289" si="91">IFERROR(-B292/B290,0)</f>
        <v>0</v>
      </c>
      <c r="AI289" s="705">
        <f t="shared" si="91"/>
        <v>0.56493238503073151</v>
      </c>
      <c r="AJ289" s="705">
        <f t="shared" si="91"/>
        <v>0.5466387259182488</v>
      </c>
      <c r="AK289" s="705">
        <f t="shared" si="91"/>
        <v>0.53003617274017656</v>
      </c>
      <c r="AL289" s="705">
        <f t="shared" si="91"/>
        <v>0.51419015558780357</v>
      </c>
      <c r="AM289" s="705">
        <f t="shared" si="91"/>
        <v>0.49905603414721428</v>
      </c>
      <c r="AN289" s="705">
        <f t="shared" si="91"/>
        <v>0.48442605409259404</v>
      </c>
      <c r="AO289" s="705">
        <f t="shared" si="91"/>
        <v>0.47025629583081563</v>
      </c>
      <c r="AP289" s="705">
        <f t="shared" si="91"/>
        <v>0.45668961488758619</v>
      </c>
      <c r="AQ289" s="705">
        <f t="shared" si="91"/>
        <v>0.44366328999747973</v>
      </c>
      <c r="AR289" s="705">
        <f t="shared" si="91"/>
        <v>0.43103661354577216</v>
      </c>
      <c r="AS289" s="705">
        <f t="shared" si="91"/>
        <v>0.41876508475790042</v>
      </c>
      <c r="AT289" s="705">
        <f t="shared" si="91"/>
        <v>0.40685084004080158</v>
      </c>
      <c r="AU289" s="705">
        <f t="shared" si="91"/>
        <v>0.39529392597247498</v>
      </c>
      <c r="AV289" s="705">
        <f t="shared" si="91"/>
        <v>0.38408118371541011</v>
      </c>
      <c r="AW289" s="705">
        <f t="shared" si="91"/>
        <v>0.37323280140988241</v>
      </c>
      <c r="AX289" s="705">
        <f t="shared" si="91"/>
        <v>0.36275233184493227</v>
      </c>
      <c r="AY289" s="705">
        <f t="shared" si="91"/>
        <v>0.35265923758410567</v>
      </c>
      <c r="AZ289" s="705">
        <f t="shared" si="91"/>
        <v>0.34297500219334948</v>
      </c>
      <c r="BA289" s="705">
        <f t="shared" si="91"/>
        <v>0.33371331959451145</v>
      </c>
      <c r="BB289" s="705">
        <f t="shared" si="91"/>
        <v>0.33371331959451145</v>
      </c>
      <c r="BC289" s="705">
        <f t="shared" si="91"/>
        <v>0.33371331959451145</v>
      </c>
      <c r="BD289" s="705">
        <f t="shared" si="91"/>
        <v>0.33371331959451145</v>
      </c>
      <c r="BE289" s="705">
        <f t="shared" si="91"/>
        <v>0.33371331959451145</v>
      </c>
      <c r="BF289" s="705">
        <f t="shared" si="91"/>
        <v>0.33371331959451145</v>
      </c>
      <c r="BG289" s="705">
        <f t="shared" si="91"/>
        <v>0.33371331959451145</v>
      </c>
      <c r="BH289" s="705">
        <f t="shared" si="91"/>
        <v>0.33371331959451145</v>
      </c>
      <c r="BI289" s="705">
        <f t="shared" si="91"/>
        <v>0.33371331959451145</v>
      </c>
      <c r="BJ289" s="705">
        <f t="shared" si="91"/>
        <v>0.33371331959451145</v>
      </c>
      <c r="BK289" s="705">
        <f t="shared" si="91"/>
        <v>0.33371331959451145</v>
      </c>
      <c r="BL289" s="57"/>
      <c r="BM289" s="486" t="str">
        <f>AG289</f>
        <v>Geral - Unidade móvel - Alimentação</v>
      </c>
      <c r="BN289" s="705">
        <f t="shared" ref="BN289:CQ289" si="92">IFERROR(B298/B290,0)</f>
        <v>0</v>
      </c>
      <c r="BO289" s="705">
        <f t="shared" si="92"/>
        <v>0.25557935922881819</v>
      </c>
      <c r="BP289" s="705">
        <f t="shared" si="92"/>
        <v>0.27387276645745584</v>
      </c>
      <c r="BQ289" s="705">
        <f t="shared" si="92"/>
        <v>0.29047546582328965</v>
      </c>
      <c r="BR289" s="705">
        <f t="shared" si="92"/>
        <v>0.30632166168370839</v>
      </c>
      <c r="BS289" s="705">
        <f t="shared" si="92"/>
        <v>0.32145589788270301</v>
      </c>
      <c r="BT289" s="705">
        <f t="shared" si="92"/>
        <v>0.33608548512578112</v>
      </c>
      <c r="BU289" s="705">
        <f t="shared" si="92"/>
        <v>0.35025533689333321</v>
      </c>
      <c r="BV289" s="705">
        <f t="shared" si="92"/>
        <v>0.36382189731674347</v>
      </c>
      <c r="BW289" s="705">
        <f t="shared" si="92"/>
        <v>0.37684865144526236</v>
      </c>
      <c r="BX289" s="705">
        <f t="shared" si="92"/>
        <v>0.38947520273954739</v>
      </c>
      <c r="BY289" s="705">
        <f t="shared" si="92"/>
        <v>0.40174661048413585</v>
      </c>
      <c r="BZ289" s="705">
        <f t="shared" si="92"/>
        <v>0.41366095993163154</v>
      </c>
      <c r="CA289" s="705">
        <f t="shared" si="92"/>
        <v>0.42521779986170516</v>
      </c>
      <c r="CB289" s="705">
        <f t="shared" si="92"/>
        <v>0.43643054196819253</v>
      </c>
      <c r="CC289" s="705">
        <f t="shared" si="92"/>
        <v>0.44727899905703949</v>
      </c>
      <c r="CD289" s="705">
        <f t="shared" si="92"/>
        <v>0.45775955542210572</v>
      </c>
      <c r="CE289" s="705">
        <f t="shared" si="92"/>
        <v>0.46785247777431604</v>
      </c>
      <c r="CF289" s="705">
        <f t="shared" si="92"/>
        <v>0.47753657552779266</v>
      </c>
      <c r="CG289" s="705">
        <f t="shared" si="92"/>
        <v>0.48679828513656664</v>
      </c>
      <c r="CH289" s="705">
        <f t="shared" si="92"/>
        <v>0.48679828513656664</v>
      </c>
      <c r="CI289" s="705">
        <f t="shared" si="92"/>
        <v>0.48679828513656664</v>
      </c>
      <c r="CJ289" s="705">
        <f t="shared" si="92"/>
        <v>0.48679828513656664</v>
      </c>
      <c r="CK289" s="705">
        <f t="shared" si="92"/>
        <v>0.48679828513656664</v>
      </c>
      <c r="CL289" s="705">
        <f t="shared" si="92"/>
        <v>0.48679828513656664</v>
      </c>
      <c r="CM289" s="705">
        <f t="shared" si="92"/>
        <v>0.48679828513656664</v>
      </c>
      <c r="CN289" s="705">
        <f t="shared" si="92"/>
        <v>0.48679828513656664</v>
      </c>
      <c r="CO289" s="705">
        <f t="shared" si="92"/>
        <v>0.48679828513656664</v>
      </c>
      <c r="CP289" s="705">
        <f t="shared" si="92"/>
        <v>0.48679828513656664</v>
      </c>
      <c r="CQ289" s="705">
        <f t="shared" si="92"/>
        <v>0.48679828513656664</v>
      </c>
    </row>
    <row r="290" spans="1:95" ht="33.75" hidden="1" customHeight="1" outlineLevel="1">
      <c r="A290" s="706" t="s">
        <v>680</v>
      </c>
      <c r="B290" s="707">
        <f>IFERROR(VLOOKUP($A289,ReceitaBruta,COLUMN('A4 - Previsão de Receita Bruta'!C292)-1,0),0)</f>
        <v>0</v>
      </c>
      <c r="C290" s="707">
        <f>IFERROR(VLOOKUP($A289,ReceitaBruta,COLUMN('A4 - Previsão de Receita Bruta'!D292)-1,0),0)</f>
        <v>540975</v>
      </c>
      <c r="D290" s="707">
        <f>IFERROR(VLOOKUP($A289,ReceitaBruta,COLUMN('A4 - Previsão de Receita Bruta'!E292)-1,0),0)</f>
        <v>559625</v>
      </c>
      <c r="E290" s="707">
        <f>IFERROR(VLOOKUP($A289,ReceitaBruta,COLUMN('A4 - Previsão de Receita Bruta'!F292)-1,0),0)</f>
        <v>577700</v>
      </c>
      <c r="F290" s="707">
        <f>IFERROR(VLOOKUP($A289,ReceitaBruta,COLUMN('A4 - Previsão de Receita Bruta'!G292)-1,0),0)</f>
        <v>596075</v>
      </c>
      <c r="G290" s="707">
        <f>IFERROR(VLOOKUP($A289,ReceitaBruta,COLUMN('A4 - Previsão de Receita Bruta'!H292)-1,0),0)</f>
        <v>614750</v>
      </c>
      <c r="H290" s="707">
        <f>IFERROR(VLOOKUP($A289,ReceitaBruta,COLUMN('A4 - Previsão de Receita Bruta'!I292)-1,0),0)</f>
        <v>633950</v>
      </c>
      <c r="I290" s="707">
        <f>IFERROR(VLOOKUP($A289,ReceitaBruta,COLUMN('A4 - Previsão de Receita Bruta'!J292)-1,0),0)</f>
        <v>653725</v>
      </c>
      <c r="J290" s="707">
        <f>IFERROR(VLOOKUP($A289,ReceitaBruta,COLUMN('A4 - Previsão de Receita Bruta'!K292)-1,0),0)</f>
        <v>673850</v>
      </c>
      <c r="K290" s="707">
        <f>IFERROR(VLOOKUP($A289,ReceitaBruta,COLUMN('A4 - Previsão de Receita Bruta'!L292)-1,0),0)</f>
        <v>694375</v>
      </c>
      <c r="L290" s="707">
        <f>IFERROR(VLOOKUP($A289,ReceitaBruta,COLUMN('A4 - Previsão de Receita Bruta'!M292)-1,0),0)</f>
        <v>715500</v>
      </c>
      <c r="M290" s="707">
        <f>IFERROR(VLOOKUP($A289,ReceitaBruta,COLUMN('A4 - Previsão de Receita Bruta'!N292)-1,0),0)</f>
        <v>737300</v>
      </c>
      <c r="N290" s="707">
        <f>IFERROR(VLOOKUP($A289,ReceitaBruta,COLUMN('A4 - Previsão de Receita Bruta'!O292)-1,0),0)</f>
        <v>759775</v>
      </c>
      <c r="O290" s="707">
        <f>IFERROR(VLOOKUP($A289,ReceitaBruta,COLUMN('A4 - Previsão de Receita Bruta'!P292)-1,0),0)</f>
        <v>782925</v>
      </c>
      <c r="P290" s="707">
        <f>IFERROR(VLOOKUP($A289,ReceitaBruta,COLUMN('A4 - Previsão de Receita Bruta'!Q292)-1,0),0)</f>
        <v>806775</v>
      </c>
      <c r="Q290" s="707">
        <f>IFERROR(VLOOKUP($A289,ReceitaBruta,COLUMN('A4 - Previsão de Receita Bruta'!R292)-1,0),0)</f>
        <v>831275</v>
      </c>
      <c r="R290" s="707">
        <f>IFERROR(VLOOKUP($A289,ReceitaBruta,COLUMN('A4 - Previsão de Receita Bruta'!S292)-1,0),0)</f>
        <v>856400</v>
      </c>
      <c r="S290" s="707">
        <f>IFERROR(VLOOKUP($A289,ReceitaBruta,COLUMN('A4 - Previsão de Receita Bruta'!T292)-1,0),0)</f>
        <v>882075</v>
      </c>
      <c r="T290" s="707">
        <f>IFERROR(VLOOKUP($A289,ReceitaBruta,COLUMN('A4 - Previsão de Receita Bruta'!U292)-1,0),0)</f>
        <v>908200</v>
      </c>
      <c r="U290" s="707">
        <f>IFERROR(VLOOKUP($A289,ReceitaBruta,COLUMN('A4 - Previsão de Receita Bruta'!V292)-1,0),0)</f>
        <v>934675</v>
      </c>
      <c r="V290" s="707">
        <f>IFERROR(VLOOKUP($A289,ReceitaBruta,COLUMN('A4 - Previsão de Receita Bruta'!W292)-1,0),0)</f>
        <v>934675</v>
      </c>
      <c r="W290" s="707">
        <f>IFERROR(VLOOKUP($A289,ReceitaBruta,COLUMN('A4 - Previsão de Receita Bruta'!X292)-1,0),0)</f>
        <v>934675</v>
      </c>
      <c r="X290" s="707">
        <f>IFERROR(VLOOKUP($A289,ReceitaBruta,COLUMN('A4 - Previsão de Receita Bruta'!Y292)-1,0),0)</f>
        <v>934675</v>
      </c>
      <c r="Y290" s="707">
        <f>IFERROR(VLOOKUP($A289,ReceitaBruta,COLUMN('A4 - Previsão de Receita Bruta'!Z292)-1,0),0)</f>
        <v>934675</v>
      </c>
      <c r="Z290" s="707">
        <f>IFERROR(VLOOKUP($A289,ReceitaBruta,COLUMN('A4 - Previsão de Receita Bruta'!AA292)-1,0),0)</f>
        <v>934675</v>
      </c>
      <c r="AA290" s="707">
        <f>IFERROR(VLOOKUP($A289,ReceitaBruta,COLUMN('A4 - Previsão de Receita Bruta'!AB292)-1,0),0)</f>
        <v>934675</v>
      </c>
      <c r="AB290" s="707">
        <f>IFERROR(VLOOKUP($A289,ReceitaBruta,COLUMN('A4 - Previsão de Receita Bruta'!AC292)-1,0),0)</f>
        <v>934675</v>
      </c>
      <c r="AC290" s="707">
        <f>IFERROR(VLOOKUP($A289,ReceitaBruta,COLUMN('A4 - Previsão de Receita Bruta'!AD292)-1,0),0)</f>
        <v>934675</v>
      </c>
      <c r="AD290" s="707">
        <f>IFERROR(VLOOKUP($A289,ReceitaBruta,COLUMN('A4 - Previsão de Receita Bruta'!AE292)-1,0),0)</f>
        <v>934675</v>
      </c>
      <c r="AE290" s="707">
        <f>IFERROR(VLOOKUP($A289,ReceitaBruta,COLUMN('A4 - Previsão de Receita Bruta'!AF292)-1,0),0)</f>
        <v>934675</v>
      </c>
      <c r="AF290" s="594"/>
      <c r="AG290" s="594"/>
      <c r="AH290" s="594"/>
      <c r="AI290" s="594"/>
      <c r="AJ290" s="594"/>
      <c r="AK290" s="594"/>
      <c r="AL290" s="594"/>
      <c r="AM290" s="594"/>
      <c r="AN290" s="594"/>
      <c r="AO290" s="594"/>
      <c r="AP290" s="594"/>
      <c r="AQ290" s="594"/>
      <c r="AR290" s="594"/>
      <c r="AS290" s="594"/>
      <c r="AT290" s="594"/>
      <c r="AU290" s="594"/>
      <c r="AV290" s="594"/>
      <c r="AW290" s="594"/>
      <c r="AX290" s="594"/>
      <c r="AY290" s="594"/>
      <c r="AZ290" s="594"/>
      <c r="BA290" s="594"/>
      <c r="BB290" s="594"/>
      <c r="BC290" s="594"/>
      <c r="BD290" s="594"/>
      <c r="BE290" s="594"/>
      <c r="BF290" s="594"/>
      <c r="BG290" s="594"/>
      <c r="BH290" s="594"/>
      <c r="BI290" s="594"/>
      <c r="BJ290" s="594"/>
      <c r="BK290" s="594"/>
      <c r="BL290" s="57"/>
      <c r="BM290" s="594"/>
      <c r="BN290" s="594"/>
      <c r="BO290" s="594"/>
      <c r="BP290" s="594"/>
      <c r="BQ290" s="594"/>
      <c r="BR290" s="594"/>
      <c r="BS290" s="594"/>
      <c r="BT290" s="594"/>
      <c r="BU290" s="594"/>
      <c r="BV290" s="594"/>
      <c r="BW290" s="594"/>
      <c r="BX290" s="594"/>
      <c r="BY290" s="594"/>
      <c r="BZ290" s="594"/>
      <c r="CA290" s="594"/>
      <c r="CB290" s="594"/>
      <c r="CC290" s="594"/>
      <c r="CD290" s="594"/>
      <c r="CE290" s="594"/>
      <c r="CF290" s="594"/>
      <c r="CG290" s="594"/>
      <c r="CH290" s="594"/>
      <c r="CI290" s="594"/>
      <c r="CJ290" s="594"/>
      <c r="CK290" s="594"/>
      <c r="CL290" s="594"/>
      <c r="CM290" s="594"/>
      <c r="CN290" s="594"/>
      <c r="CO290" s="594"/>
      <c r="CP290" s="594"/>
      <c r="CQ290" s="594"/>
    </row>
    <row r="291" spans="1:95" ht="21" hidden="1" customHeight="1" outlineLevel="1">
      <c r="A291" s="708" t="s">
        <v>681</v>
      </c>
      <c r="B291" s="707">
        <f>IFERROR(-'E2 - Tributos'!D$19*VLOOKUP('F1 - FCL'!$A289,ReceitaBruta,COLUMN('A4 - Previsão de Receita Bruta'!C$6)-1,0),0)</f>
        <v>0</v>
      </c>
      <c r="C291" s="707">
        <f>IFERROR(-'E2 - Tributos'!E$19*VLOOKUP('F1 - FCL'!$A289,ReceitaBruta,COLUMN('A4 - Previsão de Receita Bruta'!D$6)-1,0),0)</f>
        <v>-97098.65914919012</v>
      </c>
      <c r="D291" s="707">
        <f>IFERROR(-'E2 - Tributos'!F$19*VLOOKUP('F1 - FCL'!$A289,ReceitaBruta,COLUMN('A4 - Previsão de Receita Bruta'!E$6)-1,0),0)</f>
        <v>-100446.25607924626</v>
      </c>
      <c r="E291" s="707">
        <f>IFERROR(-'E2 - Tributos'!G$19*VLOOKUP('F1 - FCL'!$A289,ReceitaBruta,COLUMN('A4 - Previsão de Receita Bruta'!F$6)-1,0),0)</f>
        <v>-103690.4264018856</v>
      </c>
      <c r="F291" s="707">
        <f>IFERROR(-'E2 - Tributos'!H$19*VLOOKUP('F1 - FCL'!$A289,ReceitaBruta,COLUMN('A4 - Previsão de Receita Bruta'!G$6)-1,0),0)</f>
        <v>-106988.41851988355</v>
      </c>
      <c r="G291" s="707">
        <f>IFERROR(-'E2 - Tributos'!I$19*VLOOKUP('F1 - FCL'!$A289,ReceitaBruta,COLUMN('A4 - Previsão de Receita Bruta'!H$6)-1,0),0)</f>
        <v>-110340.28978460837</v>
      </c>
      <c r="H291" s="707">
        <f>IFERROR(-'E2 - Tributos'!J$19*VLOOKUP('F1 - FCL'!$A289,ReceitaBruta,COLUMN('A4 - Previsão de Receita Bruta'!I$6)-1,0),0)</f>
        <v>-113786.70971251106</v>
      </c>
      <c r="I291" s="707">
        <f>IFERROR(-'E2 - Tributos'!K$19*VLOOKUP('F1 - FCL'!$A289,ReceitaBruta,COLUMN('A4 - Previsão de Receita Bruta'!J$6)-1,0),0)</f>
        <v>-117336.03289740582</v>
      </c>
      <c r="J291" s="707">
        <f>IFERROR(-'E2 - Tributos'!L$19*VLOOKUP('F1 - FCL'!$A289,ReceitaBruta,COLUMN('A4 - Previsão de Receita Bruta'!K$6)-1,0),0)</f>
        <v>-120948.31750111251</v>
      </c>
      <c r="K291" s="707">
        <f>IFERROR(-'E2 - Tributos'!M$19*VLOOKUP('F1 - FCL'!$A289,ReceitaBruta,COLUMN('A4 - Previsão de Receita Bruta'!L$6)-1,0),0)</f>
        <v>-124632.02066069594</v>
      </c>
      <c r="L291" s="707">
        <f>IFERROR(-'E2 - Tributos'!N$19*VLOOKUP('F1 - FCL'!$A289,ReceitaBruta,COLUMN('A4 - Previsão de Receita Bruta'!M$6)-1,0),0)</f>
        <v>-128423.7954478539</v>
      </c>
      <c r="M291" s="707">
        <f>IFERROR(-'E2 - Tributos'!O$19*VLOOKUP('F1 - FCL'!$A289,ReceitaBruta,COLUMN('A4 - Previsão de Receita Bruta'!N$6)-1,0),0)</f>
        <v>-132336.72709804669</v>
      </c>
      <c r="N291" s="707">
        <f>IFERROR(-'E2 - Tributos'!P$19*VLOOKUP('F1 - FCL'!$A289,ReceitaBruta,COLUMN('A4 - Previsão de Receita Bruta'!O$6)-1,0),0)</f>
        <v>-136370.6471759447</v>
      </c>
      <c r="O291" s="707">
        <f>IFERROR(-'E2 - Tributos'!Q$19*VLOOKUP('F1 - FCL'!$A289,ReceitaBruta,COLUMN('A4 - Previsão de Receita Bruta'!P$6)-1,0),0)</f>
        <v>-140525.85705127451</v>
      </c>
      <c r="P291" s="707">
        <f>IFERROR(-'E2 - Tributos'!R$19*VLOOKUP('F1 - FCL'!$A289,ReceitaBruta,COLUMN('A4 - Previsão de Receita Bruta'!Q$6)-1,0),0)</f>
        <v>-144806.65251161149</v>
      </c>
      <c r="Q291" s="707">
        <f>IFERROR(-'E2 - Tributos'!S$19*VLOOKUP('F1 - FCL'!$A289,ReceitaBruta,COLUMN('A4 - Previsão de Receita Bruta'!R$6)-1,0),0)</f>
        <v>-149204.05306685949</v>
      </c>
      <c r="R291" s="707">
        <f>IFERROR(-'E2 - Tributos'!T$19*VLOOKUP('F1 - FCL'!$A289,ReceitaBruta,COLUMN('A4 - Previsão de Receita Bruta'!S$6)-1,0),0)</f>
        <v>-153713.61974450864</v>
      </c>
      <c r="S291" s="707">
        <f>IFERROR(-'E2 - Tributos'!U$19*VLOOKUP('F1 - FCL'!$A289,ReceitaBruta,COLUMN('A4 - Previsão de Receita Bruta'!T$6)-1,0),0)</f>
        <v>-158322.12867522018</v>
      </c>
      <c r="T291" s="707">
        <f>IFERROR(-'E2 - Tributos'!V$19*VLOOKUP('F1 - FCL'!$A289,ReceitaBruta,COLUMN('A4 - Previsão de Receita Bruta'!U$6)-1,0),0)</f>
        <v>-163011.38511365876</v>
      </c>
      <c r="U291" s="707">
        <f>IFERROR(-'E2 - Tributos'!W$19*VLOOKUP('F1 - FCL'!$A289,ReceitaBruta,COLUMN('A4 - Previsão de Receita Bruta'!V$6)-1,0),0)</f>
        <v>-167763.31584797965</v>
      </c>
      <c r="V291" s="707">
        <f>IFERROR(-'E2 - Tributos'!X$19*VLOOKUP('F1 - FCL'!$A289,ReceitaBruta,COLUMN('A4 - Previsão de Receita Bruta'!W$6)-1,0),0)</f>
        <v>-167763.31584797965</v>
      </c>
      <c r="W291" s="707">
        <f>IFERROR(-'E2 - Tributos'!Y$19*VLOOKUP('F1 - FCL'!$A289,ReceitaBruta,COLUMN('A4 - Previsão de Receita Bruta'!X$6)-1,0),0)</f>
        <v>-167763.31584797965</v>
      </c>
      <c r="X291" s="707">
        <f>IFERROR(-'E2 - Tributos'!Z$19*VLOOKUP('F1 - FCL'!$A289,ReceitaBruta,COLUMN('A4 - Previsão de Receita Bruta'!Y$6)-1,0),0)</f>
        <v>-167763.31584797965</v>
      </c>
      <c r="Y291" s="707">
        <f>IFERROR(-'E2 - Tributos'!AA$19*VLOOKUP('F1 - FCL'!$A289,ReceitaBruta,COLUMN('A4 - Previsão de Receita Bruta'!Z$6)-1,0),0)</f>
        <v>-167763.31584797965</v>
      </c>
      <c r="Z291" s="707">
        <f>IFERROR(-'E2 - Tributos'!AB$19*VLOOKUP('F1 - FCL'!$A289,ReceitaBruta,COLUMN('A4 - Previsão de Receita Bruta'!AA$6)-1,0),0)</f>
        <v>-167763.31584797965</v>
      </c>
      <c r="AA291" s="707">
        <f>IFERROR(-'E2 - Tributos'!AC$19*VLOOKUP('F1 - FCL'!$A289,ReceitaBruta,COLUMN('A4 - Previsão de Receita Bruta'!AB$6)-1,0),0)</f>
        <v>-167763.31584797965</v>
      </c>
      <c r="AB291" s="707">
        <f>IFERROR(-'E2 - Tributos'!AD$19*VLOOKUP('F1 - FCL'!$A289,ReceitaBruta,COLUMN('A4 - Previsão de Receita Bruta'!AC$6)-1,0),0)</f>
        <v>-167763.31584797965</v>
      </c>
      <c r="AC291" s="707">
        <f>IFERROR(-'E2 - Tributos'!AE$19*VLOOKUP('F1 - FCL'!$A289,ReceitaBruta,COLUMN('A4 - Previsão de Receita Bruta'!AD$6)-1,0),0)</f>
        <v>-167763.31584797965</v>
      </c>
      <c r="AD291" s="707">
        <f>IFERROR(-'E2 - Tributos'!AF$19*VLOOKUP('F1 - FCL'!$A289,ReceitaBruta,COLUMN('A4 - Previsão de Receita Bruta'!AE$6)-1,0),0)</f>
        <v>-167763.31584797965</v>
      </c>
      <c r="AE291" s="707">
        <f>IFERROR(-'E2 - Tributos'!AG$19*VLOOKUP('F1 - FCL'!$A289,ReceitaBruta,COLUMN('A4 - Previsão de Receita Bruta'!AF$6)-1,0),0)</f>
        <v>-167763.31584797965</v>
      </c>
      <c r="AF291" s="594"/>
      <c r="AG291" s="594"/>
      <c r="AH291" s="594"/>
      <c r="AI291" s="594"/>
      <c r="AJ291" s="594"/>
      <c r="AK291" s="594"/>
      <c r="AL291" s="594"/>
      <c r="AM291" s="594"/>
      <c r="AN291" s="594"/>
      <c r="AO291" s="594"/>
      <c r="AP291" s="594"/>
      <c r="AQ291" s="594"/>
      <c r="AR291" s="594"/>
      <c r="AS291" s="594"/>
      <c r="AT291" s="594"/>
      <c r="AU291" s="594"/>
      <c r="AV291" s="594"/>
      <c r="AW291" s="594"/>
      <c r="AX291" s="594"/>
      <c r="AY291" s="594"/>
      <c r="AZ291" s="594"/>
      <c r="BA291" s="594"/>
      <c r="BB291" s="594"/>
      <c r="BC291" s="594"/>
      <c r="BD291" s="594"/>
      <c r="BE291" s="594"/>
      <c r="BF291" s="594"/>
      <c r="BG291" s="594"/>
      <c r="BH291" s="594"/>
      <c r="BI291" s="594"/>
      <c r="BJ291" s="594"/>
      <c r="BK291" s="594"/>
      <c r="BL291" s="57"/>
      <c r="BM291" s="594"/>
      <c r="BN291" s="594"/>
      <c r="BO291" s="594"/>
      <c r="BP291" s="594"/>
      <c r="BQ291" s="594"/>
      <c r="BR291" s="594"/>
      <c r="BS291" s="594"/>
      <c r="BT291" s="594"/>
      <c r="BU291" s="594"/>
      <c r="BV291" s="594"/>
      <c r="BW291" s="594"/>
      <c r="BX291" s="594"/>
      <c r="BY291" s="594"/>
      <c r="BZ291" s="594"/>
      <c r="CA291" s="594"/>
      <c r="CB291" s="594"/>
      <c r="CC291" s="594"/>
      <c r="CD291" s="594"/>
      <c r="CE291" s="594"/>
      <c r="CF291" s="594"/>
      <c r="CG291" s="594"/>
      <c r="CH291" s="594"/>
      <c r="CI291" s="594"/>
      <c r="CJ291" s="594"/>
      <c r="CK291" s="594"/>
      <c r="CL291" s="594"/>
      <c r="CM291" s="594"/>
      <c r="CN291" s="594"/>
      <c r="CO291" s="594"/>
      <c r="CP291" s="594"/>
      <c r="CQ291" s="594"/>
    </row>
    <row r="292" spans="1:95" ht="19.5" hidden="1" customHeight="1" outlineLevel="1">
      <c r="A292" s="708" t="s">
        <v>590</v>
      </c>
      <c r="B292" s="707">
        <f t="shared" ref="B292:AE292" si="93">SUM(B293:B297)</f>
        <v>-45567.920000000006</v>
      </c>
      <c r="C292" s="707">
        <f t="shared" si="93"/>
        <v>-305614.29699199996</v>
      </c>
      <c r="D292" s="707">
        <f t="shared" si="93"/>
        <v>-305912.69699199998</v>
      </c>
      <c r="E292" s="707">
        <f t="shared" si="93"/>
        <v>-306201.89699199999</v>
      </c>
      <c r="F292" s="707">
        <f t="shared" si="93"/>
        <v>-306495.89699199999</v>
      </c>
      <c r="G292" s="707">
        <f t="shared" si="93"/>
        <v>-306794.69699199998</v>
      </c>
      <c r="H292" s="707">
        <f t="shared" si="93"/>
        <v>-307101.89699199999</v>
      </c>
      <c r="I292" s="707">
        <f t="shared" si="93"/>
        <v>-307418.29699199996</v>
      </c>
      <c r="J292" s="707">
        <f t="shared" si="93"/>
        <v>-307740.29699199996</v>
      </c>
      <c r="K292" s="707">
        <f t="shared" si="93"/>
        <v>-308068.69699199998</v>
      </c>
      <c r="L292" s="707">
        <f t="shared" si="93"/>
        <v>-308406.69699199998</v>
      </c>
      <c r="M292" s="707">
        <f t="shared" si="93"/>
        <v>-308755.49699199997</v>
      </c>
      <c r="N292" s="707">
        <f t="shared" si="93"/>
        <v>-309115.09699200001</v>
      </c>
      <c r="O292" s="707">
        <f t="shared" si="93"/>
        <v>-309485.49699199997</v>
      </c>
      <c r="P292" s="707">
        <f t="shared" si="93"/>
        <v>-309867.09699200001</v>
      </c>
      <c r="Q292" s="707">
        <f t="shared" si="93"/>
        <v>-310259.09699200001</v>
      </c>
      <c r="R292" s="707">
        <f t="shared" si="93"/>
        <v>-310661.09699200001</v>
      </c>
      <c r="S292" s="707">
        <f t="shared" si="93"/>
        <v>-311071.89699199999</v>
      </c>
      <c r="T292" s="707">
        <f t="shared" si="93"/>
        <v>-311489.89699199999</v>
      </c>
      <c r="U292" s="707">
        <f t="shared" si="93"/>
        <v>-311913.49699199997</v>
      </c>
      <c r="V292" s="707">
        <f t="shared" si="93"/>
        <v>-311913.49699199997</v>
      </c>
      <c r="W292" s="707">
        <f t="shared" si="93"/>
        <v>-311913.49699199997</v>
      </c>
      <c r="X292" s="707">
        <f t="shared" si="93"/>
        <v>-311913.49699199997</v>
      </c>
      <c r="Y292" s="707">
        <f t="shared" si="93"/>
        <v>-311913.49699199997</v>
      </c>
      <c r="Z292" s="707">
        <f t="shared" si="93"/>
        <v>-311913.49699199997</v>
      </c>
      <c r="AA292" s="707">
        <f t="shared" si="93"/>
        <v>-311913.49699199997</v>
      </c>
      <c r="AB292" s="707">
        <f t="shared" si="93"/>
        <v>-311913.49699199997</v>
      </c>
      <c r="AC292" s="707">
        <f t="shared" si="93"/>
        <v>-311913.49699199997</v>
      </c>
      <c r="AD292" s="707">
        <f t="shared" si="93"/>
        <v>-311913.49699199997</v>
      </c>
      <c r="AE292" s="707">
        <f t="shared" si="93"/>
        <v>-311913.49699199997</v>
      </c>
      <c r="AF292" s="594"/>
      <c r="AG292" s="594"/>
      <c r="AH292" s="594"/>
      <c r="AI292" s="594"/>
      <c r="AJ292" s="594"/>
      <c r="AK292" s="594"/>
      <c r="AL292" s="594"/>
      <c r="AM292" s="594"/>
      <c r="AN292" s="594"/>
      <c r="AO292" s="594"/>
      <c r="AP292" s="594"/>
      <c r="AQ292" s="594"/>
      <c r="AR292" s="594"/>
      <c r="AS292" s="594"/>
      <c r="AT292" s="594"/>
      <c r="AU292" s="594"/>
      <c r="AV292" s="594"/>
      <c r="AW292" s="594"/>
      <c r="AX292" s="594"/>
      <c r="AY292" s="594"/>
      <c r="AZ292" s="594"/>
      <c r="BA292" s="594"/>
      <c r="BB292" s="594"/>
      <c r="BC292" s="594"/>
      <c r="BD292" s="594"/>
      <c r="BE292" s="594"/>
      <c r="BF292" s="594"/>
      <c r="BG292" s="594"/>
      <c r="BH292" s="594"/>
      <c r="BI292" s="594"/>
      <c r="BJ292" s="594"/>
      <c r="BK292" s="594"/>
      <c r="BL292" s="57"/>
      <c r="BM292" s="594"/>
      <c r="BN292" s="594"/>
      <c r="BO292" s="594"/>
      <c r="BP292" s="594"/>
      <c r="BQ292" s="594"/>
      <c r="BR292" s="594"/>
      <c r="BS292" s="594"/>
      <c r="BT292" s="594"/>
      <c r="BU292" s="594"/>
      <c r="BV292" s="594"/>
      <c r="BW292" s="594"/>
      <c r="BX292" s="594"/>
      <c r="BY292" s="594"/>
      <c r="BZ292" s="594"/>
      <c r="CA292" s="594"/>
      <c r="CB292" s="594"/>
      <c r="CC292" s="594"/>
      <c r="CD292" s="594"/>
      <c r="CE292" s="594"/>
      <c r="CF292" s="594"/>
      <c r="CG292" s="594"/>
      <c r="CH292" s="594"/>
      <c r="CI292" s="594"/>
      <c r="CJ292" s="594"/>
      <c r="CK292" s="594"/>
      <c r="CL292" s="594"/>
      <c r="CM292" s="594"/>
      <c r="CN292" s="594"/>
      <c r="CO292" s="594"/>
      <c r="CP292" s="594"/>
      <c r="CQ292" s="594"/>
    </row>
    <row r="293" spans="1:95" ht="21" hidden="1" customHeight="1" outlineLevel="2">
      <c r="A293" s="709" t="s">
        <v>682</v>
      </c>
      <c r="B293" s="710">
        <f>IF($A289="",0,-SUMIF('C3 - Funcionários $'!$D$7:$D$121,$A289,'C3 - Funcionários $'!G$7:G$121))</f>
        <v>0</v>
      </c>
      <c r="C293" s="710">
        <f>IF($A289="",0,-SUMIF('C3 - Funcionários $'!$D$7:$D$121,$A289,'C3 - Funcionários $'!H$7:H$121))</f>
        <v>-251390.776992</v>
      </c>
      <c r="D293" s="710">
        <f>IF($A289="",0,-SUMIF('C3 - Funcionários $'!$D$7:$D$121,$A289,'C3 - Funcionários $'!I$7:I$121))</f>
        <v>-251390.776992</v>
      </c>
      <c r="E293" s="710">
        <f>IF($A289="",0,-SUMIF('C3 - Funcionários $'!$D$7:$D$121,$A289,'C3 - Funcionários $'!J$7:J$121))</f>
        <v>-251390.776992</v>
      </c>
      <c r="F293" s="710">
        <f>IF($A289="",0,-SUMIF('C3 - Funcionários $'!$D$7:$D$121,$A289,'C3 - Funcionários $'!K$7:K$121))</f>
        <v>-251390.776992</v>
      </c>
      <c r="G293" s="710">
        <f>IF($A289="",0,-SUMIF('C3 - Funcionários $'!$D$7:$D$121,$A289,'C3 - Funcionários $'!L$7:L$121))</f>
        <v>-251390.776992</v>
      </c>
      <c r="H293" s="710">
        <f>IF($A289="",0,-SUMIF('C3 - Funcionários $'!$D$7:$D$121,$A289,'C3 - Funcionários $'!M$7:M$121))</f>
        <v>-251390.776992</v>
      </c>
      <c r="I293" s="710">
        <f>IF($A289="",0,-SUMIF('C3 - Funcionários $'!$D$7:$D$121,$A289,'C3 - Funcionários $'!N$7:N$121))</f>
        <v>-251390.776992</v>
      </c>
      <c r="J293" s="710">
        <f>IF($A289="",0,-SUMIF('C3 - Funcionários $'!$D$7:$D$121,$A289,'C3 - Funcionários $'!O$7:O$121))</f>
        <v>-251390.776992</v>
      </c>
      <c r="K293" s="710">
        <f>IF($A289="",0,-SUMIF('C3 - Funcionários $'!$D$7:$D$121,$A289,'C3 - Funcionários $'!P$7:P$121))</f>
        <v>-251390.776992</v>
      </c>
      <c r="L293" s="710">
        <f>IF($A289="",0,-SUMIF('C3 - Funcionários $'!$D$7:$D$121,$A289,'C3 - Funcionários $'!Q$7:Q$121))</f>
        <v>-251390.776992</v>
      </c>
      <c r="M293" s="710">
        <f>IF($A289="",0,-SUMIF('C3 - Funcionários $'!$D$7:$D$121,$A289,'C3 - Funcionários $'!R$7:R$121))</f>
        <v>-251390.776992</v>
      </c>
      <c r="N293" s="710">
        <f>IF($A289="",0,-SUMIF('C3 - Funcionários $'!$D$7:$D$121,$A289,'C3 - Funcionários $'!S$7:S$121))</f>
        <v>-251390.776992</v>
      </c>
      <c r="O293" s="710">
        <f>IF($A289="",0,-SUMIF('C3 - Funcionários $'!$D$7:$D$121,$A289,'C3 - Funcionários $'!T$7:T$121))</f>
        <v>-251390.776992</v>
      </c>
      <c r="P293" s="710">
        <f>IF($A289="",0,-SUMIF('C3 - Funcionários $'!$D$7:$D$121,$A289,'C3 - Funcionários $'!U$7:U$121))</f>
        <v>-251390.776992</v>
      </c>
      <c r="Q293" s="710">
        <f>IF($A289="",0,-SUMIF('C3 - Funcionários $'!$D$7:$D$121,$A289,'C3 - Funcionários $'!V$7:V$121))</f>
        <v>-251390.776992</v>
      </c>
      <c r="R293" s="710">
        <f>IF($A289="",0,-SUMIF('C3 - Funcionários $'!$D$7:$D$121,$A289,'C3 - Funcionários $'!W$7:W$121))</f>
        <v>-251390.776992</v>
      </c>
      <c r="S293" s="710">
        <f>IF($A289="",0,-SUMIF('C3 - Funcionários $'!$D$7:$D$121,$A289,'C3 - Funcionários $'!X$7:X$121))</f>
        <v>-251390.776992</v>
      </c>
      <c r="T293" s="710">
        <f>IF($A289="",0,-SUMIF('C3 - Funcionários $'!$D$7:$D$121,$A289,'C3 - Funcionários $'!Y$7:Y$121))</f>
        <v>-251390.776992</v>
      </c>
      <c r="U293" s="710">
        <f>IF($A289="",0,-SUMIF('C3 - Funcionários $'!$D$7:$D$121,$A289,'C3 - Funcionários $'!Z$7:Z$121))</f>
        <v>-251390.776992</v>
      </c>
      <c r="V293" s="710">
        <f>IF($A289="",0,-SUMIF('C3 - Funcionários $'!$D$7:$D$121,$A289,'C3 - Funcionários $'!AA$7:AA$121))</f>
        <v>-251390.776992</v>
      </c>
      <c r="W293" s="710">
        <f>IF($A289="",0,-SUMIF('C3 - Funcionários $'!$D$7:$D$121,$A289,'C3 - Funcionários $'!AB$7:AB$121))</f>
        <v>-251390.776992</v>
      </c>
      <c r="X293" s="710">
        <f>IF($A289="",0,-SUMIF('C3 - Funcionários $'!$D$7:$D$121,$A289,'C3 - Funcionários $'!AC$7:AC$121))</f>
        <v>-251390.776992</v>
      </c>
      <c r="Y293" s="710">
        <f>IF($A289="",0,-SUMIF('C3 - Funcionários $'!$D$7:$D$121,$A289,'C3 - Funcionários $'!AD$7:AD$121))</f>
        <v>-251390.776992</v>
      </c>
      <c r="Z293" s="710">
        <f>IF($A289="",0,-SUMIF('C3 - Funcionários $'!$D$7:$D$121,$A289,'C3 - Funcionários $'!AE$7:AE$121))</f>
        <v>-251390.776992</v>
      </c>
      <c r="AA293" s="710">
        <f>IF($A289="",0,-SUMIF('C3 - Funcionários $'!$D$7:$D$121,$A289,'C3 - Funcionários $'!AF$7:AF$121))</f>
        <v>-251390.776992</v>
      </c>
      <c r="AB293" s="710">
        <f>IF($A289="",0,-SUMIF('C3 - Funcionários $'!$D$7:$D$121,$A289,'C3 - Funcionários $'!AG$7:AG$121))</f>
        <v>-251390.776992</v>
      </c>
      <c r="AC293" s="710">
        <f>IF($A289="",0,-SUMIF('C3 - Funcionários $'!$D$7:$D$121,$A289,'C3 - Funcionários $'!AH$7:AH$121))</f>
        <v>-251390.776992</v>
      </c>
      <c r="AD293" s="710">
        <f>IF($A289="",0,-SUMIF('C3 - Funcionários $'!$D$7:$D$121,$A289,'C3 - Funcionários $'!AI$7:AI$121))</f>
        <v>-251390.776992</v>
      </c>
      <c r="AE293" s="710">
        <f>IF($A289="",0,-SUMIF('C3 - Funcionários $'!$D$7:$D$121,$A289,'C3 - Funcionários $'!AJ$7:AJ$121))</f>
        <v>-251390.776992</v>
      </c>
      <c r="AF293" s="594"/>
      <c r="AG293" s="594"/>
      <c r="AH293" s="594"/>
      <c r="AI293" s="594"/>
      <c r="AJ293" s="594"/>
      <c r="AK293" s="594"/>
      <c r="AL293" s="594"/>
      <c r="AM293" s="594"/>
      <c r="AN293" s="594"/>
      <c r="AO293" s="594"/>
      <c r="AP293" s="594"/>
      <c r="AQ293" s="594"/>
      <c r="AR293" s="594"/>
      <c r="AS293" s="594"/>
      <c r="AT293" s="594"/>
      <c r="AU293" s="594"/>
      <c r="AV293" s="594"/>
      <c r="AW293" s="594"/>
      <c r="AX293" s="594"/>
      <c r="AY293" s="594"/>
      <c r="AZ293" s="594"/>
      <c r="BA293" s="594"/>
      <c r="BB293" s="594"/>
      <c r="BC293" s="594"/>
      <c r="BD293" s="594"/>
      <c r="BE293" s="594"/>
      <c r="BF293" s="594"/>
      <c r="BG293" s="594"/>
      <c r="BH293" s="594"/>
      <c r="BI293" s="594"/>
      <c r="BJ293" s="594"/>
      <c r="BK293" s="594"/>
      <c r="BL293" s="57"/>
      <c r="BM293" s="594"/>
      <c r="BN293" s="594"/>
      <c r="BO293" s="594"/>
      <c r="BP293" s="594"/>
      <c r="BQ293" s="594"/>
      <c r="BR293" s="594"/>
      <c r="BS293" s="594"/>
      <c r="BT293" s="594"/>
      <c r="BU293" s="594"/>
      <c r="BV293" s="594"/>
      <c r="BW293" s="594"/>
      <c r="BX293" s="594"/>
      <c r="BY293" s="594"/>
      <c r="BZ293" s="594"/>
      <c r="CA293" s="594"/>
      <c r="CB293" s="594"/>
      <c r="CC293" s="594"/>
      <c r="CD293" s="594"/>
      <c r="CE293" s="594"/>
      <c r="CF293" s="594"/>
      <c r="CG293" s="594"/>
      <c r="CH293" s="594"/>
      <c r="CI293" s="594"/>
      <c r="CJ293" s="594"/>
      <c r="CK293" s="594"/>
      <c r="CL293" s="594"/>
      <c r="CM293" s="594"/>
      <c r="CN293" s="594"/>
      <c r="CO293" s="594"/>
      <c r="CP293" s="594"/>
      <c r="CQ293" s="594"/>
    </row>
    <row r="294" spans="1:95" ht="21" hidden="1" customHeight="1" outlineLevel="2">
      <c r="A294" s="709" t="s">
        <v>683</v>
      </c>
      <c r="B294" s="710">
        <f>IFERROR(-VLOOKUP($A289,CustoDiretoTotal,COLUMN('B2 - Custos diretos totais'!C$3)-1,0),0)</f>
        <v>0</v>
      </c>
      <c r="C294" s="710">
        <f>IFERROR(-VLOOKUP($A289,CustoDiretoTotal,COLUMN('B2 - Custos diretos totais'!D$3)-1,0),0)</f>
        <v>0</v>
      </c>
      <c r="D294" s="710">
        <f>IFERROR(-VLOOKUP($A289,CustoDiretoTotal,COLUMN('B2 - Custos diretos totais'!E$3)-1,0),0)</f>
        <v>0</v>
      </c>
      <c r="E294" s="710">
        <f>IFERROR(-VLOOKUP($A289,CustoDiretoTotal,COLUMN('B2 - Custos diretos totais'!F$3)-1,0),0)</f>
        <v>0</v>
      </c>
      <c r="F294" s="710">
        <f>IFERROR(-VLOOKUP($A289,CustoDiretoTotal,COLUMN('B2 - Custos diretos totais'!G$3)-1,0),0)</f>
        <v>0</v>
      </c>
      <c r="G294" s="710">
        <f>IFERROR(-VLOOKUP($A289,CustoDiretoTotal,COLUMN('B2 - Custos diretos totais'!H$3)-1,0),0)</f>
        <v>0</v>
      </c>
      <c r="H294" s="710">
        <f>IFERROR(-VLOOKUP($A289,CustoDiretoTotal,COLUMN('B2 - Custos diretos totais'!I$3)-1,0),0)</f>
        <v>0</v>
      </c>
      <c r="I294" s="710">
        <f>IFERROR(-VLOOKUP($A289,CustoDiretoTotal,COLUMN('B2 - Custos diretos totais'!J$3)-1,0),0)</f>
        <v>0</v>
      </c>
      <c r="J294" s="710">
        <f>IFERROR(-VLOOKUP($A289,CustoDiretoTotal,COLUMN('B2 - Custos diretos totais'!K$3)-1,0),0)</f>
        <v>0</v>
      </c>
      <c r="K294" s="710">
        <f>IFERROR(-VLOOKUP($A289,CustoDiretoTotal,COLUMN('B2 - Custos diretos totais'!L$3)-1,0),0)</f>
        <v>0</v>
      </c>
      <c r="L294" s="710">
        <f>IFERROR(-VLOOKUP($A289,CustoDiretoTotal,COLUMN('B2 - Custos diretos totais'!M$3)-1,0),0)</f>
        <v>0</v>
      </c>
      <c r="M294" s="710">
        <f>IFERROR(-VLOOKUP($A289,CustoDiretoTotal,COLUMN('B2 - Custos diretos totais'!N$3)-1,0),0)</f>
        <v>0</v>
      </c>
      <c r="N294" s="710">
        <f>IFERROR(-VLOOKUP($A289,CustoDiretoTotal,COLUMN('B2 - Custos diretos totais'!O$3)-1,0),0)</f>
        <v>0</v>
      </c>
      <c r="O294" s="710">
        <f>IFERROR(-VLOOKUP($A289,CustoDiretoTotal,COLUMN('B2 - Custos diretos totais'!P$3)-1,0),0)</f>
        <v>0</v>
      </c>
      <c r="P294" s="710">
        <f>IFERROR(-VLOOKUP($A289,CustoDiretoTotal,COLUMN('B2 - Custos diretos totais'!Q$3)-1,0),0)</f>
        <v>0</v>
      </c>
      <c r="Q294" s="710">
        <f>IFERROR(-VLOOKUP($A289,CustoDiretoTotal,COLUMN('B2 - Custos diretos totais'!R$3)-1,0),0)</f>
        <v>0</v>
      </c>
      <c r="R294" s="710">
        <f>IFERROR(-VLOOKUP($A289,CustoDiretoTotal,COLUMN('B2 - Custos diretos totais'!S$3)-1,0),0)</f>
        <v>0</v>
      </c>
      <c r="S294" s="710">
        <f>IFERROR(-VLOOKUP($A289,CustoDiretoTotal,COLUMN('B2 - Custos diretos totais'!T$3)-1,0),0)</f>
        <v>0</v>
      </c>
      <c r="T294" s="710">
        <f>IFERROR(-VLOOKUP($A289,CustoDiretoTotal,COLUMN('B2 - Custos diretos totais'!U$3)-1,0),0)</f>
        <v>0</v>
      </c>
      <c r="U294" s="710">
        <f>IFERROR(-VLOOKUP($A289,CustoDiretoTotal,COLUMN('B2 - Custos diretos totais'!V$3)-1,0),0)</f>
        <v>0</v>
      </c>
      <c r="V294" s="710">
        <f>IFERROR(-VLOOKUP($A289,CustoDiretoTotal,COLUMN('B2 - Custos diretos totais'!W$3)-1,0),0)</f>
        <v>0</v>
      </c>
      <c r="W294" s="710">
        <f>IFERROR(-VLOOKUP($A289,CustoDiretoTotal,COLUMN('B2 - Custos diretos totais'!X$3)-1,0),0)</f>
        <v>0</v>
      </c>
      <c r="X294" s="710">
        <f>IFERROR(-VLOOKUP($A289,CustoDiretoTotal,COLUMN('B2 - Custos diretos totais'!Y$3)-1,0),0)</f>
        <v>0</v>
      </c>
      <c r="Y294" s="710">
        <f>IFERROR(-VLOOKUP($A289,CustoDiretoTotal,COLUMN('B2 - Custos diretos totais'!Z$3)-1,0),0)</f>
        <v>0</v>
      </c>
      <c r="Z294" s="710">
        <f>IFERROR(-VLOOKUP($A289,CustoDiretoTotal,COLUMN('B2 - Custos diretos totais'!AA$3)-1,0),0)</f>
        <v>0</v>
      </c>
      <c r="AA294" s="710">
        <f>IFERROR(-VLOOKUP($A289,CustoDiretoTotal,COLUMN('B2 - Custos diretos totais'!AB$3)-1,0),0)</f>
        <v>0</v>
      </c>
      <c r="AB294" s="710">
        <f>IFERROR(-VLOOKUP($A289,CustoDiretoTotal,COLUMN('B2 - Custos diretos totais'!AC$3)-1,0),0)</f>
        <v>0</v>
      </c>
      <c r="AC294" s="710">
        <f>IFERROR(-VLOOKUP($A289,CustoDiretoTotal,COLUMN('B2 - Custos diretos totais'!AD$3)-1,0),0)</f>
        <v>0</v>
      </c>
      <c r="AD294" s="710">
        <f>IFERROR(-VLOOKUP($A289,CustoDiretoTotal,COLUMN('B2 - Custos diretos totais'!AE$3)-1,0),0)</f>
        <v>0</v>
      </c>
      <c r="AE294" s="710">
        <f>IFERROR(-VLOOKUP($A289,CustoDiretoTotal,COLUMN('B2 - Custos diretos totais'!AF$3)-1,0),0)</f>
        <v>0</v>
      </c>
      <c r="AF294" s="594"/>
      <c r="AG294" s="594"/>
      <c r="AH294" s="594"/>
      <c r="AI294" s="594"/>
      <c r="AJ294" s="594"/>
      <c r="AK294" s="594"/>
      <c r="AL294" s="594"/>
      <c r="AM294" s="594"/>
      <c r="AN294" s="594"/>
      <c r="AO294" s="594"/>
      <c r="AP294" s="594"/>
      <c r="AQ294" s="594"/>
      <c r="AR294" s="594"/>
      <c r="AS294" s="594"/>
      <c r="AT294" s="594"/>
      <c r="AU294" s="594"/>
      <c r="AV294" s="594"/>
      <c r="AW294" s="594"/>
      <c r="AX294" s="594"/>
      <c r="AY294" s="594"/>
      <c r="AZ294" s="594"/>
      <c r="BA294" s="594"/>
      <c r="BB294" s="594"/>
      <c r="BC294" s="594"/>
      <c r="BD294" s="594"/>
      <c r="BE294" s="594"/>
      <c r="BF294" s="594"/>
      <c r="BG294" s="594"/>
      <c r="BH294" s="594"/>
      <c r="BI294" s="594"/>
      <c r="BJ294" s="594"/>
      <c r="BK294" s="594"/>
      <c r="BL294" s="57"/>
      <c r="BM294" s="594"/>
      <c r="BN294" s="594"/>
      <c r="BO294" s="594"/>
      <c r="BP294" s="594"/>
      <c r="BQ294" s="594"/>
      <c r="BR294" s="594"/>
      <c r="BS294" s="594"/>
      <c r="BT294" s="594"/>
      <c r="BU294" s="594"/>
      <c r="BV294" s="594"/>
      <c r="BW294" s="594"/>
      <c r="BX294" s="594"/>
      <c r="BY294" s="594"/>
      <c r="BZ294" s="594"/>
      <c r="CA294" s="594"/>
      <c r="CB294" s="594"/>
      <c r="CC294" s="594"/>
      <c r="CD294" s="594"/>
      <c r="CE294" s="594"/>
      <c r="CF294" s="594"/>
      <c r="CG294" s="594"/>
      <c r="CH294" s="594"/>
      <c r="CI294" s="594"/>
      <c r="CJ294" s="594"/>
      <c r="CK294" s="594"/>
      <c r="CL294" s="594"/>
      <c r="CM294" s="594"/>
      <c r="CN294" s="594"/>
      <c r="CO294" s="594"/>
      <c r="CP294" s="594"/>
      <c r="CQ294" s="594"/>
    </row>
    <row r="295" spans="1:95" ht="21" hidden="1" customHeight="1" outlineLevel="2">
      <c r="A295" s="709" t="s">
        <v>684</v>
      </c>
      <c r="B295" s="710">
        <f>-SUMIFS('B3 - Custos despesas indiretos'!AK$5:AK$148,'B3 - Custos despesas indiretos'!$B$5:$B$148,"Custos",'B3 - Custos despesas indiretos'!$D$5:$D$148,$A289)</f>
        <v>-6966.5</v>
      </c>
      <c r="C295" s="710">
        <f>-SUMIFS('B3 - Custos despesas indiretos'!AL$5:AL$148,'B3 - Custos despesas indiretos'!$B$5:$B$148,"Custos",'B3 - Custos despesas indiretos'!$D$5:$D$148,$A289)</f>
        <v>-6966.5</v>
      </c>
      <c r="D295" s="710">
        <f>-SUMIFS('B3 - Custos despesas indiretos'!AM$5:AM$148,'B3 - Custos despesas indiretos'!$B$5:$B$148,"Custos",'B3 - Custos despesas indiretos'!$D$5:$D$148,$A289)</f>
        <v>-6966.5</v>
      </c>
      <c r="E295" s="710">
        <f>-SUMIFS('B3 - Custos despesas indiretos'!AN$5:AN$148,'B3 - Custos despesas indiretos'!$B$5:$B$148,"Custos",'B3 - Custos despesas indiretos'!$D$5:$D$148,$A289)</f>
        <v>-6966.5</v>
      </c>
      <c r="F295" s="710">
        <f>-SUMIFS('B3 - Custos despesas indiretos'!AO$5:AO$148,'B3 - Custos despesas indiretos'!$B$5:$B$148,"Custos",'B3 - Custos despesas indiretos'!$D$5:$D$148,$A289)</f>
        <v>-6966.5</v>
      </c>
      <c r="G295" s="710">
        <f>-SUMIFS('B3 - Custos despesas indiretos'!AP$5:AP$148,'B3 - Custos despesas indiretos'!$B$5:$B$148,"Custos",'B3 - Custos despesas indiretos'!$D$5:$D$148,$A289)</f>
        <v>-6966.5</v>
      </c>
      <c r="H295" s="710">
        <f>-SUMIFS('B3 - Custos despesas indiretos'!AQ$5:AQ$148,'B3 - Custos despesas indiretos'!$B$5:$B$148,"Custos",'B3 - Custos despesas indiretos'!$D$5:$D$148,$A289)</f>
        <v>-6966.5</v>
      </c>
      <c r="I295" s="710">
        <f>-SUMIFS('B3 - Custos despesas indiretos'!AR$5:AR$148,'B3 - Custos despesas indiretos'!$B$5:$B$148,"Custos",'B3 - Custos despesas indiretos'!$D$5:$D$148,$A289)</f>
        <v>-6966.5</v>
      </c>
      <c r="J295" s="710">
        <f>-SUMIFS('B3 - Custos despesas indiretos'!AS$5:AS$148,'B3 - Custos despesas indiretos'!$B$5:$B$148,"Custos",'B3 - Custos despesas indiretos'!$D$5:$D$148,$A289)</f>
        <v>-6966.5</v>
      </c>
      <c r="K295" s="710">
        <f>-SUMIFS('B3 - Custos despesas indiretos'!AT$5:AT$148,'B3 - Custos despesas indiretos'!$B$5:$B$148,"Custos",'B3 - Custos despesas indiretos'!$D$5:$D$148,$A289)</f>
        <v>-6966.5</v>
      </c>
      <c r="L295" s="710">
        <f>-SUMIFS('B3 - Custos despesas indiretos'!AU$5:AU$148,'B3 - Custos despesas indiretos'!$B$5:$B$148,"Custos",'B3 - Custos despesas indiretos'!$D$5:$D$148,$A289)</f>
        <v>-6966.5</v>
      </c>
      <c r="M295" s="710">
        <f>-SUMIFS('B3 - Custos despesas indiretos'!AV$5:AV$148,'B3 - Custos despesas indiretos'!$B$5:$B$148,"Custos",'B3 - Custos despesas indiretos'!$D$5:$D$148,$A289)</f>
        <v>-6966.5</v>
      </c>
      <c r="N295" s="710">
        <f>-SUMIFS('B3 - Custos despesas indiretos'!AW$5:AW$148,'B3 - Custos despesas indiretos'!$B$5:$B$148,"Custos",'B3 - Custos despesas indiretos'!$D$5:$D$148,$A289)</f>
        <v>-6966.5</v>
      </c>
      <c r="O295" s="710">
        <f>-SUMIFS('B3 - Custos despesas indiretos'!AX$5:AX$148,'B3 - Custos despesas indiretos'!$B$5:$B$148,"Custos",'B3 - Custos despesas indiretos'!$D$5:$D$148,$A289)</f>
        <v>-6966.5</v>
      </c>
      <c r="P295" s="710">
        <f>-SUMIFS('B3 - Custos despesas indiretos'!AY$5:AY$148,'B3 - Custos despesas indiretos'!$B$5:$B$148,"Custos",'B3 - Custos despesas indiretos'!$D$5:$D$148,$A289)</f>
        <v>-6966.5</v>
      </c>
      <c r="Q295" s="710">
        <f>-SUMIFS('B3 - Custos despesas indiretos'!AZ$5:AZ$148,'B3 - Custos despesas indiretos'!$B$5:$B$148,"Custos",'B3 - Custos despesas indiretos'!$D$5:$D$148,$A289)</f>
        <v>-6966.5</v>
      </c>
      <c r="R295" s="710">
        <f>-SUMIFS('B3 - Custos despesas indiretos'!BA$5:BA$148,'B3 - Custos despesas indiretos'!$B$5:$B$148,"Custos",'B3 - Custos despesas indiretos'!$D$5:$D$148,$A289)</f>
        <v>-6966.5</v>
      </c>
      <c r="S295" s="710">
        <f>-SUMIFS('B3 - Custos despesas indiretos'!BB$5:BB$148,'B3 - Custos despesas indiretos'!$B$5:$B$148,"Custos",'B3 - Custos despesas indiretos'!$D$5:$D$148,$A289)</f>
        <v>-6966.5</v>
      </c>
      <c r="T295" s="710">
        <f>-SUMIFS('B3 - Custos despesas indiretos'!BC$5:BC$148,'B3 - Custos despesas indiretos'!$B$5:$B$148,"Custos",'B3 - Custos despesas indiretos'!$D$5:$D$148,$A289)</f>
        <v>-6966.5</v>
      </c>
      <c r="U295" s="710">
        <f>-SUMIFS('B3 - Custos despesas indiretos'!BD$5:BD$148,'B3 - Custos despesas indiretos'!$B$5:$B$148,"Custos",'B3 - Custos despesas indiretos'!$D$5:$D$148,$A289)</f>
        <v>-6966.5</v>
      </c>
      <c r="V295" s="710">
        <f>-SUMIFS('B3 - Custos despesas indiretos'!BE$5:BE$148,'B3 - Custos despesas indiretos'!$B$5:$B$148,"Custos",'B3 - Custos despesas indiretos'!$D$5:$D$148,$A289)</f>
        <v>-6966.5</v>
      </c>
      <c r="W295" s="710">
        <f>-SUMIFS('B3 - Custos despesas indiretos'!BF$5:BF$148,'B3 - Custos despesas indiretos'!$B$5:$B$148,"Custos",'B3 - Custos despesas indiretos'!$D$5:$D$148,$A289)</f>
        <v>-6966.5</v>
      </c>
      <c r="X295" s="710">
        <f>-SUMIFS('B3 - Custos despesas indiretos'!BG$5:BG$148,'B3 - Custos despesas indiretos'!$B$5:$B$148,"Custos",'B3 - Custos despesas indiretos'!$D$5:$D$148,$A289)</f>
        <v>-6966.5</v>
      </c>
      <c r="Y295" s="710">
        <f>-SUMIFS('B3 - Custos despesas indiretos'!BH$5:BH$148,'B3 - Custos despesas indiretos'!$B$5:$B$148,"Custos",'B3 - Custos despesas indiretos'!$D$5:$D$148,$A289)</f>
        <v>-6966.5</v>
      </c>
      <c r="Z295" s="710">
        <f>-SUMIFS('B3 - Custos despesas indiretos'!BI$5:BI$148,'B3 - Custos despesas indiretos'!$B$5:$B$148,"Custos",'B3 - Custos despesas indiretos'!$D$5:$D$148,$A289)</f>
        <v>-6966.5</v>
      </c>
      <c r="AA295" s="710">
        <f>-SUMIFS('B3 - Custos despesas indiretos'!BJ$5:BJ$148,'B3 - Custos despesas indiretos'!$B$5:$B$148,"Custos",'B3 - Custos despesas indiretos'!$D$5:$D$148,$A289)</f>
        <v>-6966.5</v>
      </c>
      <c r="AB295" s="710">
        <f>-SUMIFS('B3 - Custos despesas indiretos'!BK$5:BK$148,'B3 - Custos despesas indiretos'!$B$5:$B$148,"Custos",'B3 - Custos despesas indiretos'!$D$5:$D$148,$A289)</f>
        <v>-6966.5</v>
      </c>
      <c r="AC295" s="710">
        <f>-SUMIFS('B3 - Custos despesas indiretos'!BL$5:BL$148,'B3 - Custos despesas indiretos'!$B$5:$B$148,"Custos",'B3 - Custos despesas indiretos'!$D$5:$D$148,$A289)</f>
        <v>-6966.5</v>
      </c>
      <c r="AD295" s="710">
        <f>-SUMIFS('B3 - Custos despesas indiretos'!BM$5:BM$148,'B3 - Custos despesas indiretos'!$B$5:$B$148,"Custos",'B3 - Custos despesas indiretos'!$D$5:$D$148,$A289)</f>
        <v>-6966.5</v>
      </c>
      <c r="AE295" s="710">
        <f>-SUMIFS('B3 - Custos despesas indiretos'!BN$5:BN$148,'B3 - Custos despesas indiretos'!$B$5:$B$148,"Custos",'B3 - Custos despesas indiretos'!$D$5:$D$148,$A289)</f>
        <v>-6966.5</v>
      </c>
      <c r="AF295" s="594"/>
      <c r="AG295" s="594"/>
      <c r="AH295" s="594"/>
      <c r="AI295" s="594"/>
      <c r="AJ295" s="594"/>
      <c r="AK295" s="594"/>
      <c r="AL295" s="594"/>
      <c r="AM295" s="594"/>
      <c r="AN295" s="594"/>
      <c r="AO295" s="594"/>
      <c r="AP295" s="594"/>
      <c r="AQ295" s="594"/>
      <c r="AR295" s="594"/>
      <c r="AS295" s="594"/>
      <c r="AT295" s="594"/>
      <c r="AU295" s="594"/>
      <c r="AV295" s="594"/>
      <c r="AW295" s="594"/>
      <c r="AX295" s="594"/>
      <c r="AY295" s="594"/>
      <c r="AZ295" s="594"/>
      <c r="BA295" s="594"/>
      <c r="BB295" s="594"/>
      <c r="BC295" s="594"/>
      <c r="BD295" s="594"/>
      <c r="BE295" s="594"/>
      <c r="BF295" s="594"/>
      <c r="BG295" s="594"/>
      <c r="BH295" s="594"/>
      <c r="BI295" s="594"/>
      <c r="BJ295" s="594"/>
      <c r="BK295" s="594"/>
      <c r="BL295" s="57"/>
      <c r="BM295" s="594"/>
      <c r="BN295" s="594"/>
      <c r="BO295" s="594"/>
      <c r="BP295" s="594"/>
      <c r="BQ295" s="594"/>
      <c r="BR295" s="594"/>
      <c r="BS295" s="594"/>
      <c r="BT295" s="594"/>
      <c r="BU295" s="594"/>
      <c r="BV295" s="594"/>
      <c r="BW295" s="594"/>
      <c r="BX295" s="594"/>
      <c r="BY295" s="594"/>
      <c r="BZ295" s="594"/>
      <c r="CA295" s="594"/>
      <c r="CB295" s="594"/>
      <c r="CC295" s="594"/>
      <c r="CD295" s="594"/>
      <c r="CE295" s="594"/>
      <c r="CF295" s="594"/>
      <c r="CG295" s="594"/>
      <c r="CH295" s="594"/>
      <c r="CI295" s="594"/>
      <c r="CJ295" s="594"/>
      <c r="CK295" s="594"/>
      <c r="CL295" s="594"/>
      <c r="CM295" s="594"/>
      <c r="CN295" s="594"/>
      <c r="CO295" s="594"/>
      <c r="CP295" s="594"/>
      <c r="CQ295" s="594"/>
    </row>
    <row r="296" spans="1:95" ht="21" hidden="1" customHeight="1" outlineLevel="2">
      <c r="A296" s="709" t="s">
        <v>685</v>
      </c>
      <c r="B296" s="710">
        <f>-SUMIFS('B3 - Custos despesas indiretos'!AK$5:AK$148,'B3 - Custos despesas indiretos'!$B$5:$B$148,"Despesas",'B3 - Custos despesas indiretos'!$D$5:$D$148,$A289)</f>
        <v>0</v>
      </c>
      <c r="C296" s="710">
        <f>-SUMIFS('B3 - Custos despesas indiretos'!AL$5:AL$148,'B3 - Custos despesas indiretos'!$B$5:$B$148,"Despesas",'B3 - Custos despesas indiretos'!$D$5:$D$148,$A289)</f>
        <v>-8655.6</v>
      </c>
      <c r="D296" s="710">
        <f>-SUMIFS('B3 - Custos despesas indiretos'!AM$5:AM$148,'B3 - Custos despesas indiretos'!$B$5:$B$148,"Despesas",'B3 - Custos despesas indiretos'!$D$5:$D$148,$A289)</f>
        <v>-8954</v>
      </c>
      <c r="E296" s="710">
        <f>-SUMIFS('B3 - Custos despesas indiretos'!AN$5:AN$148,'B3 - Custos despesas indiretos'!$B$5:$B$148,"Despesas",'B3 - Custos despesas indiretos'!$D$5:$D$148,$A289)</f>
        <v>-9243.2000000000007</v>
      </c>
      <c r="F296" s="710">
        <f>-SUMIFS('B3 - Custos despesas indiretos'!AO$5:AO$148,'B3 - Custos despesas indiretos'!$B$5:$B$148,"Despesas",'B3 - Custos despesas indiretos'!$D$5:$D$148,$A289)</f>
        <v>-9537.2000000000007</v>
      </c>
      <c r="G296" s="710">
        <f>-SUMIFS('B3 - Custos despesas indiretos'!AP$5:AP$148,'B3 - Custos despesas indiretos'!$B$5:$B$148,"Despesas",'B3 - Custos despesas indiretos'!$D$5:$D$148,$A289)</f>
        <v>-9836</v>
      </c>
      <c r="H296" s="710">
        <f>-SUMIFS('B3 - Custos despesas indiretos'!AQ$5:AQ$148,'B3 - Custos despesas indiretos'!$B$5:$B$148,"Despesas",'B3 - Custos despesas indiretos'!$D$5:$D$148,$A289)</f>
        <v>-10143.200000000001</v>
      </c>
      <c r="I296" s="710">
        <f>-SUMIFS('B3 - Custos despesas indiretos'!AR$5:AR$148,'B3 - Custos despesas indiretos'!$B$5:$B$148,"Despesas",'B3 - Custos despesas indiretos'!$D$5:$D$148,$A289)</f>
        <v>-10459.6</v>
      </c>
      <c r="J296" s="710">
        <f>-SUMIFS('B3 - Custos despesas indiretos'!AS$5:AS$148,'B3 - Custos despesas indiretos'!$B$5:$B$148,"Despesas",'B3 - Custos despesas indiretos'!$D$5:$D$148,$A289)</f>
        <v>-10781.6</v>
      </c>
      <c r="K296" s="710">
        <f>-SUMIFS('B3 - Custos despesas indiretos'!AT$5:AT$148,'B3 - Custos despesas indiretos'!$B$5:$B$148,"Despesas",'B3 - Custos despesas indiretos'!$D$5:$D$148,$A289)</f>
        <v>-11110</v>
      </c>
      <c r="L296" s="710">
        <f>-SUMIFS('B3 - Custos despesas indiretos'!AU$5:AU$148,'B3 - Custos despesas indiretos'!$B$5:$B$148,"Despesas",'B3 - Custos despesas indiretos'!$D$5:$D$148,$A289)</f>
        <v>-11448</v>
      </c>
      <c r="M296" s="710">
        <f>-SUMIFS('B3 - Custos despesas indiretos'!AV$5:AV$148,'B3 - Custos despesas indiretos'!$B$5:$B$148,"Despesas",'B3 - Custos despesas indiretos'!$D$5:$D$148,$A289)</f>
        <v>-11796.800000000001</v>
      </c>
      <c r="N296" s="710">
        <f>-SUMIFS('B3 - Custos despesas indiretos'!AW$5:AW$148,'B3 - Custos despesas indiretos'!$B$5:$B$148,"Despesas",'B3 - Custos despesas indiretos'!$D$5:$D$148,$A289)</f>
        <v>-12156.4</v>
      </c>
      <c r="O296" s="710">
        <f>-SUMIFS('B3 - Custos despesas indiretos'!AX$5:AX$148,'B3 - Custos despesas indiretos'!$B$5:$B$148,"Despesas",'B3 - Custos despesas indiretos'!$D$5:$D$148,$A289)</f>
        <v>-12526.800000000001</v>
      </c>
      <c r="P296" s="710">
        <f>-SUMIFS('B3 - Custos despesas indiretos'!AY$5:AY$148,'B3 - Custos despesas indiretos'!$B$5:$B$148,"Despesas",'B3 - Custos despesas indiretos'!$D$5:$D$148,$A289)</f>
        <v>-12908.4</v>
      </c>
      <c r="Q296" s="710">
        <f>-SUMIFS('B3 - Custos despesas indiretos'!AZ$5:AZ$148,'B3 - Custos despesas indiretos'!$B$5:$B$148,"Despesas",'B3 - Custos despesas indiretos'!$D$5:$D$148,$A289)</f>
        <v>-13300.4</v>
      </c>
      <c r="R296" s="710">
        <f>-SUMIFS('B3 - Custos despesas indiretos'!BA$5:BA$148,'B3 - Custos despesas indiretos'!$B$5:$B$148,"Despesas",'B3 - Custos despesas indiretos'!$D$5:$D$148,$A289)</f>
        <v>-13702.4</v>
      </c>
      <c r="S296" s="710">
        <f>-SUMIFS('B3 - Custos despesas indiretos'!BB$5:BB$148,'B3 - Custos despesas indiretos'!$B$5:$B$148,"Despesas",'B3 - Custos despesas indiretos'!$D$5:$D$148,$A289)</f>
        <v>-14113.2</v>
      </c>
      <c r="T296" s="710">
        <f>-SUMIFS('B3 - Custos despesas indiretos'!BC$5:BC$148,'B3 - Custos despesas indiretos'!$B$5:$B$148,"Despesas",'B3 - Custos despesas indiretos'!$D$5:$D$148,$A289)</f>
        <v>-14531.2</v>
      </c>
      <c r="U296" s="710">
        <f>-SUMIFS('B3 - Custos despesas indiretos'!BD$5:BD$148,'B3 - Custos despesas indiretos'!$B$5:$B$148,"Despesas",'B3 - Custos despesas indiretos'!$D$5:$D$148,$A289)</f>
        <v>-14954.800000000001</v>
      </c>
      <c r="V296" s="710">
        <f>-SUMIFS('B3 - Custos despesas indiretos'!BE$5:BE$148,'B3 - Custos despesas indiretos'!$B$5:$B$148,"Despesas",'B3 - Custos despesas indiretos'!$D$5:$D$148,$A289)</f>
        <v>-14954.800000000001</v>
      </c>
      <c r="W296" s="710">
        <f>-SUMIFS('B3 - Custos despesas indiretos'!BF$5:BF$148,'B3 - Custos despesas indiretos'!$B$5:$B$148,"Despesas",'B3 - Custos despesas indiretos'!$D$5:$D$148,$A289)</f>
        <v>-14954.800000000001</v>
      </c>
      <c r="X296" s="710">
        <f>-SUMIFS('B3 - Custos despesas indiretos'!BG$5:BG$148,'B3 - Custos despesas indiretos'!$B$5:$B$148,"Despesas",'B3 - Custos despesas indiretos'!$D$5:$D$148,$A289)</f>
        <v>-14954.800000000001</v>
      </c>
      <c r="Y296" s="710">
        <f>-SUMIFS('B3 - Custos despesas indiretos'!BH$5:BH$148,'B3 - Custos despesas indiretos'!$B$5:$B$148,"Despesas",'B3 - Custos despesas indiretos'!$D$5:$D$148,$A289)</f>
        <v>-14954.800000000001</v>
      </c>
      <c r="Z296" s="710">
        <f>-SUMIFS('B3 - Custos despesas indiretos'!BI$5:BI$148,'B3 - Custos despesas indiretos'!$B$5:$B$148,"Despesas",'B3 - Custos despesas indiretos'!$D$5:$D$148,$A289)</f>
        <v>-14954.800000000001</v>
      </c>
      <c r="AA296" s="710">
        <f>-SUMIFS('B3 - Custos despesas indiretos'!BJ$5:BJ$148,'B3 - Custos despesas indiretos'!$B$5:$B$148,"Despesas",'B3 - Custos despesas indiretos'!$D$5:$D$148,$A289)</f>
        <v>-14954.800000000001</v>
      </c>
      <c r="AB296" s="710">
        <f>-SUMIFS('B3 - Custos despesas indiretos'!BK$5:BK$148,'B3 - Custos despesas indiretos'!$B$5:$B$148,"Despesas",'B3 - Custos despesas indiretos'!$D$5:$D$148,$A289)</f>
        <v>-14954.800000000001</v>
      </c>
      <c r="AC296" s="710">
        <f>-SUMIFS('B3 - Custos despesas indiretos'!BL$5:BL$148,'B3 - Custos despesas indiretos'!$B$5:$B$148,"Despesas",'B3 - Custos despesas indiretos'!$D$5:$D$148,$A289)</f>
        <v>-14954.800000000001</v>
      </c>
      <c r="AD296" s="710">
        <f>-SUMIFS('B3 - Custos despesas indiretos'!BM$5:BM$148,'B3 - Custos despesas indiretos'!$B$5:$B$148,"Despesas",'B3 - Custos despesas indiretos'!$D$5:$D$148,$A289)</f>
        <v>-14954.800000000001</v>
      </c>
      <c r="AE296" s="710">
        <f>-SUMIFS('B3 - Custos despesas indiretos'!BN$5:BN$148,'B3 - Custos despesas indiretos'!$B$5:$B$148,"Despesas",'B3 - Custos despesas indiretos'!$D$5:$D$148,$A289)</f>
        <v>-14954.800000000001</v>
      </c>
      <c r="AF296" s="594"/>
      <c r="AG296" s="594"/>
      <c r="AH296" s="594"/>
      <c r="AI296" s="594"/>
      <c r="AJ296" s="594"/>
      <c r="AK296" s="594"/>
      <c r="AL296" s="594"/>
      <c r="AM296" s="594"/>
      <c r="AN296" s="594"/>
      <c r="AO296" s="594"/>
      <c r="AP296" s="594"/>
      <c r="AQ296" s="594"/>
      <c r="AR296" s="594"/>
      <c r="AS296" s="594"/>
      <c r="AT296" s="594"/>
      <c r="AU296" s="594"/>
      <c r="AV296" s="594"/>
      <c r="AW296" s="594"/>
      <c r="AX296" s="594"/>
      <c r="AY296" s="594"/>
      <c r="AZ296" s="594"/>
      <c r="BA296" s="594"/>
      <c r="BB296" s="594"/>
      <c r="BC296" s="594"/>
      <c r="BD296" s="594"/>
      <c r="BE296" s="594"/>
      <c r="BF296" s="594"/>
      <c r="BG296" s="594"/>
      <c r="BH296" s="594"/>
      <c r="BI296" s="594"/>
      <c r="BJ296" s="594"/>
      <c r="BK296" s="594"/>
      <c r="BL296" s="57"/>
      <c r="BM296" s="594"/>
      <c r="BN296" s="594"/>
      <c r="BO296" s="594"/>
      <c r="BP296" s="594"/>
      <c r="BQ296" s="594"/>
      <c r="BR296" s="594"/>
      <c r="BS296" s="594"/>
      <c r="BT296" s="594"/>
      <c r="BU296" s="594"/>
      <c r="BV296" s="594"/>
      <c r="BW296" s="594"/>
      <c r="BX296" s="594"/>
      <c r="BY296" s="594"/>
      <c r="BZ296" s="594"/>
      <c r="CA296" s="594"/>
      <c r="CB296" s="594"/>
      <c r="CC296" s="594"/>
      <c r="CD296" s="594"/>
      <c r="CE296" s="594"/>
      <c r="CF296" s="594"/>
      <c r="CG296" s="594"/>
      <c r="CH296" s="594"/>
      <c r="CI296" s="594"/>
      <c r="CJ296" s="594"/>
      <c r="CK296" s="594"/>
      <c r="CL296" s="594"/>
      <c r="CM296" s="594"/>
      <c r="CN296" s="594"/>
      <c r="CO296" s="594"/>
      <c r="CP296" s="594"/>
      <c r="CQ296" s="594"/>
    </row>
    <row r="297" spans="1:95" ht="21" hidden="1" customHeight="1" outlineLevel="2">
      <c r="A297" s="709" t="s">
        <v>686</v>
      </c>
      <c r="B297" s="710">
        <f>-SUMIF('D2 - Capex uso'!$C$6:$C$176,$A289,'D2 - Capex uso'!GI$6:GI$176)</f>
        <v>-38601.420000000006</v>
      </c>
      <c r="C297" s="710">
        <f>-SUMIF('D2 - Capex uso'!$C$6:$C$176,$A289,'D2 - Capex uso'!GJ$6:GJ$176)</f>
        <v>-38601.420000000006</v>
      </c>
      <c r="D297" s="710">
        <f>-SUMIF('D2 - Capex uso'!$C$6:$C$176,$A289,'D2 - Capex uso'!GK$6:GK$176)</f>
        <v>-38601.420000000006</v>
      </c>
      <c r="E297" s="710">
        <f>-SUMIF('D2 - Capex uso'!$C$6:$C$176,$A289,'D2 - Capex uso'!GL$6:GL$176)</f>
        <v>-38601.420000000006</v>
      </c>
      <c r="F297" s="710">
        <f>-SUMIF('D2 - Capex uso'!$C$6:$C$176,$A289,'D2 - Capex uso'!GM$6:GM$176)</f>
        <v>-38601.420000000006</v>
      </c>
      <c r="G297" s="710">
        <f>-SUMIF('D2 - Capex uso'!$C$6:$C$176,$A289,'D2 - Capex uso'!GN$6:GN$176)</f>
        <v>-38601.420000000006</v>
      </c>
      <c r="H297" s="710">
        <f>-SUMIF('D2 - Capex uso'!$C$6:$C$176,$A289,'D2 - Capex uso'!GO$6:GO$176)</f>
        <v>-38601.420000000006</v>
      </c>
      <c r="I297" s="710">
        <f>-SUMIF('D2 - Capex uso'!$C$6:$C$176,$A289,'D2 - Capex uso'!GP$6:GP$176)</f>
        <v>-38601.420000000006</v>
      </c>
      <c r="J297" s="710">
        <f>-SUMIF('D2 - Capex uso'!$C$6:$C$176,$A289,'D2 - Capex uso'!GQ$6:GQ$176)</f>
        <v>-38601.420000000006</v>
      </c>
      <c r="K297" s="710">
        <f>-SUMIF('D2 - Capex uso'!$C$6:$C$176,$A289,'D2 - Capex uso'!GR$6:GR$176)</f>
        <v>-38601.420000000006</v>
      </c>
      <c r="L297" s="710">
        <f>-SUMIF('D2 - Capex uso'!$C$6:$C$176,$A289,'D2 - Capex uso'!GS$6:GS$176)</f>
        <v>-38601.420000000006</v>
      </c>
      <c r="M297" s="710">
        <f>-SUMIF('D2 - Capex uso'!$C$6:$C$176,$A289,'D2 - Capex uso'!GT$6:GT$176)</f>
        <v>-38601.420000000006</v>
      </c>
      <c r="N297" s="710">
        <f>-SUMIF('D2 - Capex uso'!$C$6:$C$176,$A289,'D2 - Capex uso'!GU$6:GU$176)</f>
        <v>-38601.420000000006</v>
      </c>
      <c r="O297" s="710">
        <f>-SUMIF('D2 - Capex uso'!$C$6:$C$176,$A289,'D2 - Capex uso'!GV$6:GV$176)</f>
        <v>-38601.420000000006</v>
      </c>
      <c r="P297" s="710">
        <f>-SUMIF('D2 - Capex uso'!$C$6:$C$176,$A289,'D2 - Capex uso'!GW$6:GW$176)</f>
        <v>-38601.420000000006</v>
      </c>
      <c r="Q297" s="710">
        <f>-SUMIF('D2 - Capex uso'!$C$6:$C$176,$A289,'D2 - Capex uso'!GX$6:GX$176)</f>
        <v>-38601.420000000006</v>
      </c>
      <c r="R297" s="710">
        <f>-SUMIF('D2 - Capex uso'!$C$6:$C$176,$A289,'D2 - Capex uso'!GY$6:GY$176)</f>
        <v>-38601.420000000006</v>
      </c>
      <c r="S297" s="710">
        <f>-SUMIF('D2 - Capex uso'!$C$6:$C$176,$A289,'D2 - Capex uso'!GZ$6:GZ$176)</f>
        <v>-38601.420000000006</v>
      </c>
      <c r="T297" s="710">
        <f>-SUMIF('D2 - Capex uso'!$C$6:$C$176,$A289,'D2 - Capex uso'!HA$6:HA$176)</f>
        <v>-38601.420000000006</v>
      </c>
      <c r="U297" s="710">
        <f>-SUMIF('D2 - Capex uso'!$C$6:$C$176,$A289,'D2 - Capex uso'!HB$6:HB$176)</f>
        <v>-38601.420000000006</v>
      </c>
      <c r="V297" s="710">
        <f>-SUMIF('D2 - Capex uso'!$C$6:$C$176,$A289,'D2 - Capex uso'!HC$6:HC$176)</f>
        <v>-38601.420000000006</v>
      </c>
      <c r="W297" s="710">
        <f>-SUMIF('D2 - Capex uso'!$C$6:$C$176,$A289,'D2 - Capex uso'!HD$6:HD$176)</f>
        <v>-38601.420000000006</v>
      </c>
      <c r="X297" s="710">
        <f>-SUMIF('D2 - Capex uso'!$C$6:$C$176,$A289,'D2 - Capex uso'!HE$6:HE$176)</f>
        <v>-38601.420000000006</v>
      </c>
      <c r="Y297" s="710">
        <f>-SUMIF('D2 - Capex uso'!$C$6:$C$176,$A289,'D2 - Capex uso'!HF$6:HF$176)</f>
        <v>-38601.420000000006</v>
      </c>
      <c r="Z297" s="710">
        <f>-SUMIF('D2 - Capex uso'!$C$6:$C$176,$A289,'D2 - Capex uso'!HG$6:HG$176)</f>
        <v>-38601.420000000006</v>
      </c>
      <c r="AA297" s="710">
        <f>-SUMIF('D2 - Capex uso'!$C$6:$C$176,$A289,'D2 - Capex uso'!HH$6:HH$176)</f>
        <v>-38601.420000000006</v>
      </c>
      <c r="AB297" s="710">
        <f>-SUMIF('D2 - Capex uso'!$C$6:$C$176,$A289,'D2 - Capex uso'!HI$6:HI$176)</f>
        <v>-38601.420000000006</v>
      </c>
      <c r="AC297" s="710">
        <f>-SUMIF('D2 - Capex uso'!$C$6:$C$176,$A289,'D2 - Capex uso'!HJ$6:HJ$176)</f>
        <v>-38601.420000000006</v>
      </c>
      <c r="AD297" s="710">
        <f>-SUMIF('D2 - Capex uso'!$C$6:$C$176,$A289,'D2 - Capex uso'!HK$6:HK$176)</f>
        <v>-38601.420000000006</v>
      </c>
      <c r="AE297" s="710">
        <f>-SUMIF('D2 - Capex uso'!$C$6:$C$176,$A289,'D2 - Capex uso'!HL$6:HL$176)</f>
        <v>-38601.420000000006</v>
      </c>
      <c r="AF297" s="594"/>
      <c r="AG297" s="594"/>
      <c r="AH297" s="594"/>
      <c r="AI297" s="594"/>
      <c r="AJ297" s="594"/>
      <c r="AK297" s="594"/>
      <c r="AL297" s="594"/>
      <c r="AM297" s="594"/>
      <c r="AN297" s="594"/>
      <c r="AO297" s="594"/>
      <c r="AP297" s="594"/>
      <c r="AQ297" s="594"/>
      <c r="AR297" s="594"/>
      <c r="AS297" s="594"/>
      <c r="AT297" s="594"/>
      <c r="AU297" s="594"/>
      <c r="AV297" s="594"/>
      <c r="AW297" s="594"/>
      <c r="AX297" s="594"/>
      <c r="AY297" s="594"/>
      <c r="AZ297" s="594"/>
      <c r="BA297" s="594"/>
      <c r="BB297" s="594"/>
      <c r="BC297" s="594"/>
      <c r="BD297" s="594"/>
      <c r="BE297" s="594"/>
      <c r="BF297" s="594"/>
      <c r="BG297" s="594"/>
      <c r="BH297" s="594"/>
      <c r="BI297" s="594"/>
      <c r="BJ297" s="594"/>
      <c r="BK297" s="594"/>
      <c r="BL297" s="57"/>
      <c r="BM297" s="594"/>
      <c r="BN297" s="594"/>
      <c r="BO297" s="594"/>
      <c r="BP297" s="594"/>
      <c r="BQ297" s="594"/>
      <c r="BR297" s="594"/>
      <c r="BS297" s="594"/>
      <c r="BT297" s="594"/>
      <c r="BU297" s="594"/>
      <c r="BV297" s="594"/>
      <c r="BW297" s="594"/>
      <c r="BX297" s="594"/>
      <c r="BY297" s="594"/>
      <c r="BZ297" s="594"/>
      <c r="CA297" s="594"/>
      <c r="CB297" s="594"/>
      <c r="CC297" s="594"/>
      <c r="CD297" s="594"/>
      <c r="CE297" s="594"/>
      <c r="CF297" s="594"/>
      <c r="CG297" s="594"/>
      <c r="CH297" s="594"/>
      <c r="CI297" s="594"/>
      <c r="CJ297" s="594"/>
      <c r="CK297" s="594"/>
      <c r="CL297" s="594"/>
      <c r="CM297" s="594"/>
      <c r="CN297" s="594"/>
      <c r="CO297" s="594"/>
      <c r="CP297" s="594"/>
      <c r="CQ297" s="594"/>
    </row>
    <row r="298" spans="1:95" ht="21" hidden="1" customHeight="1" outlineLevel="1">
      <c r="A298" s="708" t="s">
        <v>687</v>
      </c>
      <c r="B298" s="707">
        <f t="shared" ref="B298:AE298" si="94">SUM(B290:B292)</f>
        <v>-45567.920000000006</v>
      </c>
      <c r="C298" s="707">
        <f t="shared" si="94"/>
        <v>138262.04385880992</v>
      </c>
      <c r="D298" s="707">
        <f t="shared" si="94"/>
        <v>153266.04692875373</v>
      </c>
      <c r="E298" s="707">
        <f t="shared" si="94"/>
        <v>167807.67660611443</v>
      </c>
      <c r="F298" s="707">
        <f t="shared" si="94"/>
        <v>182590.68448811647</v>
      </c>
      <c r="G298" s="707">
        <f t="shared" si="94"/>
        <v>197615.01322339167</v>
      </c>
      <c r="H298" s="707">
        <f t="shared" si="94"/>
        <v>213061.39329548896</v>
      </c>
      <c r="I298" s="707">
        <f t="shared" si="94"/>
        <v>228970.67011059425</v>
      </c>
      <c r="J298" s="707">
        <f t="shared" si="94"/>
        <v>245161.38550688757</v>
      </c>
      <c r="K298" s="707">
        <f t="shared" si="94"/>
        <v>261674.28234730405</v>
      </c>
      <c r="L298" s="707">
        <f t="shared" si="94"/>
        <v>278669.50756014616</v>
      </c>
      <c r="M298" s="707">
        <f t="shared" si="94"/>
        <v>296207.77590995334</v>
      </c>
      <c r="N298" s="707">
        <f t="shared" si="94"/>
        <v>314289.25583205535</v>
      </c>
      <c r="O298" s="707">
        <f t="shared" si="94"/>
        <v>332913.64595672552</v>
      </c>
      <c r="P298" s="707">
        <f t="shared" si="94"/>
        <v>352101.25049638853</v>
      </c>
      <c r="Q298" s="707">
        <f t="shared" si="94"/>
        <v>371811.84994114051</v>
      </c>
      <c r="R298" s="707">
        <f t="shared" si="94"/>
        <v>392025.28326349135</v>
      </c>
      <c r="S298" s="707">
        <f t="shared" si="94"/>
        <v>412680.97433277982</v>
      </c>
      <c r="T298" s="707">
        <f t="shared" si="94"/>
        <v>433698.71789434127</v>
      </c>
      <c r="U298" s="707">
        <f t="shared" si="94"/>
        <v>454998.1871600204</v>
      </c>
      <c r="V298" s="707">
        <f t="shared" si="94"/>
        <v>454998.1871600204</v>
      </c>
      <c r="W298" s="707">
        <f t="shared" si="94"/>
        <v>454998.1871600204</v>
      </c>
      <c r="X298" s="707">
        <f t="shared" si="94"/>
        <v>454998.1871600204</v>
      </c>
      <c r="Y298" s="707">
        <f t="shared" si="94"/>
        <v>454998.1871600204</v>
      </c>
      <c r="Z298" s="707">
        <f t="shared" si="94"/>
        <v>454998.1871600204</v>
      </c>
      <c r="AA298" s="707">
        <f t="shared" si="94"/>
        <v>454998.1871600204</v>
      </c>
      <c r="AB298" s="707">
        <f t="shared" si="94"/>
        <v>454998.1871600204</v>
      </c>
      <c r="AC298" s="707">
        <f t="shared" si="94"/>
        <v>454998.1871600204</v>
      </c>
      <c r="AD298" s="707">
        <f t="shared" si="94"/>
        <v>454998.1871600204</v>
      </c>
      <c r="AE298" s="707">
        <f t="shared" si="94"/>
        <v>454998.1871600204</v>
      </c>
      <c r="AF298" s="594"/>
      <c r="AG298" s="594"/>
      <c r="AH298" s="594"/>
      <c r="AI298" s="594"/>
      <c r="AJ298" s="594"/>
      <c r="AK298" s="594"/>
      <c r="AL298" s="594"/>
      <c r="AM298" s="594"/>
      <c r="AN298" s="594"/>
      <c r="AO298" s="594"/>
      <c r="AP298" s="594"/>
      <c r="AQ298" s="594"/>
      <c r="AR298" s="594"/>
      <c r="AS298" s="594"/>
      <c r="AT298" s="594"/>
      <c r="AU298" s="594"/>
      <c r="AV298" s="594"/>
      <c r="AW298" s="594"/>
      <c r="AX298" s="594"/>
      <c r="AY298" s="594"/>
      <c r="AZ298" s="594"/>
      <c r="BA298" s="594"/>
      <c r="BB298" s="594"/>
      <c r="BC298" s="594"/>
      <c r="BD298" s="594"/>
      <c r="BE298" s="594"/>
      <c r="BF298" s="594"/>
      <c r="BG298" s="594"/>
      <c r="BH298" s="594"/>
      <c r="BI298" s="594"/>
      <c r="BJ298" s="594"/>
      <c r="BK298" s="594"/>
      <c r="BL298" s="57"/>
      <c r="BM298" s="594"/>
      <c r="BN298" s="594"/>
      <c r="BO298" s="594"/>
      <c r="BP298" s="594"/>
      <c r="BQ298" s="594"/>
      <c r="BR298" s="594"/>
      <c r="BS298" s="594"/>
      <c r="BT298" s="594"/>
      <c r="BU298" s="594"/>
      <c r="BV298" s="594"/>
      <c r="BW298" s="594"/>
      <c r="BX298" s="594"/>
      <c r="BY298" s="594"/>
      <c r="BZ298" s="594"/>
      <c r="CA298" s="594"/>
      <c r="CB298" s="594"/>
      <c r="CC298" s="594"/>
      <c r="CD298" s="594"/>
      <c r="CE298" s="594"/>
      <c r="CF298" s="594"/>
      <c r="CG298" s="594"/>
      <c r="CH298" s="594"/>
      <c r="CI298" s="594"/>
      <c r="CJ298" s="594"/>
      <c r="CK298" s="594"/>
      <c r="CL298" s="594"/>
      <c r="CM298" s="594"/>
      <c r="CN298" s="594"/>
      <c r="CO298" s="594"/>
      <c r="CP298" s="594"/>
      <c r="CQ298" s="594"/>
    </row>
    <row r="299" spans="1:95" ht="19.5" hidden="1" customHeight="1" outlineLevel="1">
      <c r="A299" s="708" t="s">
        <v>688</v>
      </c>
      <c r="B299" s="707">
        <f t="shared" ref="B299:AE299" si="95">SUM(B300:B307)</f>
        <v>-772028.4</v>
      </c>
      <c r="C299" s="707">
        <f t="shared" si="95"/>
        <v>0</v>
      </c>
      <c r="D299" s="707">
        <f t="shared" si="95"/>
        <v>0</v>
      </c>
      <c r="E299" s="707">
        <f t="shared" si="95"/>
        <v>0</v>
      </c>
      <c r="F299" s="707">
        <f t="shared" si="95"/>
        <v>0</v>
      </c>
      <c r="G299" s="707">
        <f t="shared" si="95"/>
        <v>-772028.4</v>
      </c>
      <c r="H299" s="707">
        <f t="shared" si="95"/>
        <v>0</v>
      </c>
      <c r="I299" s="707">
        <f t="shared" si="95"/>
        <v>0</v>
      </c>
      <c r="J299" s="707">
        <f t="shared" si="95"/>
        <v>0</v>
      </c>
      <c r="K299" s="707">
        <f t="shared" si="95"/>
        <v>0</v>
      </c>
      <c r="L299" s="707">
        <f t="shared" si="95"/>
        <v>-772028.4</v>
      </c>
      <c r="M299" s="707">
        <f t="shared" si="95"/>
        <v>0</v>
      </c>
      <c r="N299" s="707">
        <f t="shared" si="95"/>
        <v>0</v>
      </c>
      <c r="O299" s="707">
        <f t="shared" si="95"/>
        <v>0</v>
      </c>
      <c r="P299" s="707">
        <f t="shared" si="95"/>
        <v>0</v>
      </c>
      <c r="Q299" s="707">
        <f t="shared" si="95"/>
        <v>-772028.4</v>
      </c>
      <c r="R299" s="707">
        <f t="shared" si="95"/>
        <v>0</v>
      </c>
      <c r="S299" s="707">
        <f t="shared" si="95"/>
        <v>0</v>
      </c>
      <c r="T299" s="707">
        <f t="shared" si="95"/>
        <v>0</v>
      </c>
      <c r="U299" s="707">
        <f t="shared" si="95"/>
        <v>0</v>
      </c>
      <c r="V299" s="707">
        <f t="shared" si="95"/>
        <v>-772028.4</v>
      </c>
      <c r="W299" s="707">
        <f t="shared" si="95"/>
        <v>0</v>
      </c>
      <c r="X299" s="707">
        <f t="shared" si="95"/>
        <v>0</v>
      </c>
      <c r="Y299" s="707">
        <f t="shared" si="95"/>
        <v>0</v>
      </c>
      <c r="Z299" s="707">
        <f t="shared" si="95"/>
        <v>0</v>
      </c>
      <c r="AA299" s="707">
        <f t="shared" si="95"/>
        <v>-772028.4</v>
      </c>
      <c r="AB299" s="707">
        <f t="shared" si="95"/>
        <v>0</v>
      </c>
      <c r="AC299" s="707">
        <f t="shared" si="95"/>
        <v>0</v>
      </c>
      <c r="AD299" s="707">
        <f t="shared" si="95"/>
        <v>0</v>
      </c>
      <c r="AE299" s="707">
        <f t="shared" si="95"/>
        <v>0</v>
      </c>
      <c r="AF299" s="594"/>
      <c r="AG299" s="594"/>
      <c r="AH299" s="594"/>
      <c r="AI299" s="594"/>
      <c r="AJ299" s="594"/>
      <c r="AK299" s="594"/>
      <c r="AL299" s="594"/>
      <c r="AM299" s="594"/>
      <c r="AN299" s="594"/>
      <c r="AO299" s="594"/>
      <c r="AP299" s="594"/>
      <c r="AQ299" s="594"/>
      <c r="AR299" s="594"/>
      <c r="AS299" s="594"/>
      <c r="AT299" s="594"/>
      <c r="AU299" s="594"/>
      <c r="AV299" s="594"/>
      <c r="AW299" s="594"/>
      <c r="AX299" s="594"/>
      <c r="AY299" s="594"/>
      <c r="AZ299" s="594"/>
      <c r="BA299" s="594"/>
      <c r="BB299" s="594"/>
      <c r="BC299" s="594"/>
      <c r="BD299" s="594"/>
      <c r="BE299" s="594"/>
      <c r="BF299" s="594"/>
      <c r="BG299" s="594"/>
      <c r="BH299" s="594"/>
      <c r="BI299" s="594"/>
      <c r="BJ299" s="594"/>
      <c r="BK299" s="594"/>
      <c r="BL299" s="57"/>
      <c r="BM299" s="594"/>
      <c r="BN299" s="594"/>
      <c r="BO299" s="594"/>
      <c r="BP299" s="594"/>
      <c r="BQ299" s="594"/>
      <c r="BR299" s="594"/>
      <c r="BS299" s="594"/>
      <c r="BT299" s="594"/>
      <c r="BU299" s="594"/>
      <c r="BV299" s="594"/>
      <c r="BW299" s="594"/>
      <c r="BX299" s="594"/>
      <c r="BY299" s="594"/>
      <c r="BZ299" s="594"/>
      <c r="CA299" s="594"/>
      <c r="CB299" s="594"/>
      <c r="CC299" s="594"/>
      <c r="CD299" s="594"/>
      <c r="CE299" s="594"/>
      <c r="CF299" s="594"/>
      <c r="CG299" s="594"/>
      <c r="CH299" s="594"/>
      <c r="CI299" s="594"/>
      <c r="CJ299" s="594"/>
      <c r="CK299" s="594"/>
      <c r="CL299" s="594"/>
      <c r="CM299" s="594"/>
      <c r="CN299" s="594"/>
      <c r="CO299" s="594"/>
      <c r="CP299" s="594"/>
      <c r="CQ299" s="594"/>
    </row>
    <row r="300" spans="1:95" ht="19.5" hidden="1" customHeight="1" outlineLevel="2">
      <c r="A300" s="709" t="s">
        <v>354</v>
      </c>
      <c r="B300" s="710">
        <f>-SUMIFS('D2 - Capex uso'!BS$6:BS$176,'D2 - Capex uso'!$C$6:$C$176,$A289,'D2 - Capex uso'!$AK$6:$AK$176,$A300)</f>
        <v>0</v>
      </c>
      <c r="C300" s="710">
        <f>-SUMIFS('D2 - Capex uso'!BT$6:BT$176,'D2 - Capex uso'!$C$6:$C$176,$A289,'D2 - Capex uso'!$AK$6:$AK$176,$A300)</f>
        <v>0</v>
      </c>
      <c r="D300" s="710">
        <f>-SUMIFS('D2 - Capex uso'!BU$6:BU$176,'D2 - Capex uso'!$C$6:$C$176,$A289,'D2 - Capex uso'!$AK$6:$AK$176,$A300)</f>
        <v>0</v>
      </c>
      <c r="E300" s="710">
        <f>-SUMIFS('D2 - Capex uso'!BV$6:BV$176,'D2 - Capex uso'!$C$6:$C$176,$A289,'D2 - Capex uso'!$AK$6:$AK$176,$A300)</f>
        <v>0</v>
      </c>
      <c r="F300" s="710">
        <f>-SUMIFS('D2 - Capex uso'!BW$6:BW$176,'D2 - Capex uso'!$C$6:$C$176,$A289,'D2 - Capex uso'!$AK$6:$AK$176,$A300)</f>
        <v>0</v>
      </c>
      <c r="G300" s="710">
        <f>-SUMIFS('D2 - Capex uso'!BX$6:BX$176,'D2 - Capex uso'!$C$6:$C$176,$A289,'D2 - Capex uso'!$AK$6:$AK$176,$A300)</f>
        <v>0</v>
      </c>
      <c r="H300" s="710">
        <f>-SUMIFS('D2 - Capex uso'!BY$6:BY$176,'D2 - Capex uso'!$C$6:$C$176,$A289,'D2 - Capex uso'!$AK$6:$AK$176,$A300)</f>
        <v>0</v>
      </c>
      <c r="I300" s="710">
        <f>-SUMIFS('D2 - Capex uso'!BZ$6:BZ$176,'D2 - Capex uso'!$C$6:$C$176,$A289,'D2 - Capex uso'!$AK$6:$AK$176,$A300)</f>
        <v>0</v>
      </c>
      <c r="J300" s="710">
        <f>-SUMIFS('D2 - Capex uso'!CA$6:CA$176,'D2 - Capex uso'!$C$6:$C$176,$A289,'D2 - Capex uso'!$AK$6:$AK$176,$A300)</f>
        <v>0</v>
      </c>
      <c r="K300" s="710">
        <f>-SUMIFS('D2 - Capex uso'!CB$6:CB$176,'D2 - Capex uso'!$C$6:$C$176,$A289,'D2 - Capex uso'!$AK$6:$AK$176,$A300)</f>
        <v>0</v>
      </c>
      <c r="L300" s="710">
        <f>-SUMIFS('D2 - Capex uso'!CC$6:CC$176,'D2 - Capex uso'!$C$6:$C$176,$A289,'D2 - Capex uso'!$AK$6:$AK$176,$A300)</f>
        <v>0</v>
      </c>
      <c r="M300" s="710">
        <f>-SUMIFS('D2 - Capex uso'!CD$6:CD$176,'D2 - Capex uso'!$C$6:$C$176,$A289,'D2 - Capex uso'!$AK$6:$AK$176,$A300)</f>
        <v>0</v>
      </c>
      <c r="N300" s="710">
        <f>-SUMIFS('D2 - Capex uso'!CE$6:CE$176,'D2 - Capex uso'!$C$6:$C$176,$A289,'D2 - Capex uso'!$AK$6:$AK$176,$A300)</f>
        <v>0</v>
      </c>
      <c r="O300" s="710">
        <f>-SUMIFS('D2 - Capex uso'!CF$6:CF$176,'D2 - Capex uso'!$C$6:$C$176,$A289,'D2 - Capex uso'!$AK$6:$AK$176,$A300)</f>
        <v>0</v>
      </c>
      <c r="P300" s="710">
        <f>-SUMIFS('D2 - Capex uso'!CG$6:CG$176,'D2 - Capex uso'!$C$6:$C$176,$A289,'D2 - Capex uso'!$AK$6:$AK$176,$A300)</f>
        <v>0</v>
      </c>
      <c r="Q300" s="710">
        <f>-SUMIFS('D2 - Capex uso'!CH$6:CH$176,'D2 - Capex uso'!$C$6:$C$176,$A289,'D2 - Capex uso'!$AK$6:$AK$176,$A300)</f>
        <v>0</v>
      </c>
      <c r="R300" s="710">
        <f>-SUMIFS('D2 - Capex uso'!CI$6:CI$176,'D2 - Capex uso'!$C$6:$C$176,$A289,'D2 - Capex uso'!$AK$6:$AK$176,$A300)</f>
        <v>0</v>
      </c>
      <c r="S300" s="710">
        <f>-SUMIFS('D2 - Capex uso'!CJ$6:CJ$176,'D2 - Capex uso'!$C$6:$C$176,$A289,'D2 - Capex uso'!$AK$6:$AK$176,$A300)</f>
        <v>0</v>
      </c>
      <c r="T300" s="710">
        <f>-SUMIFS('D2 - Capex uso'!CK$6:CK$176,'D2 - Capex uso'!$C$6:$C$176,$A289,'D2 - Capex uso'!$AK$6:$AK$176,$A300)</f>
        <v>0</v>
      </c>
      <c r="U300" s="710">
        <f>-SUMIFS('D2 - Capex uso'!CL$6:CL$176,'D2 - Capex uso'!$C$6:$C$176,$A289,'D2 - Capex uso'!$AK$6:$AK$176,$A300)</f>
        <v>0</v>
      </c>
      <c r="V300" s="710">
        <f>-SUMIFS('D2 - Capex uso'!CM$6:CM$176,'D2 - Capex uso'!$C$6:$C$176,$A289,'D2 - Capex uso'!$AK$6:$AK$176,$A300)</f>
        <v>0</v>
      </c>
      <c r="W300" s="710">
        <f>-SUMIFS('D2 - Capex uso'!CN$6:CN$176,'D2 - Capex uso'!$C$6:$C$176,$A289,'D2 - Capex uso'!$AK$6:$AK$176,$A300)</f>
        <v>0</v>
      </c>
      <c r="X300" s="710">
        <f>-SUMIFS('D2 - Capex uso'!CO$6:CO$176,'D2 - Capex uso'!$C$6:$C$176,$A289,'D2 - Capex uso'!$AK$6:$AK$176,$A300)</f>
        <v>0</v>
      </c>
      <c r="Y300" s="710">
        <f>-SUMIFS('D2 - Capex uso'!CP$6:CP$176,'D2 - Capex uso'!$C$6:$C$176,$A289,'D2 - Capex uso'!$AK$6:$AK$176,$A300)</f>
        <v>0</v>
      </c>
      <c r="Z300" s="710">
        <f>-SUMIFS('D2 - Capex uso'!CQ$6:CQ$176,'D2 - Capex uso'!$C$6:$C$176,$A289,'D2 - Capex uso'!$AK$6:$AK$176,$A300)</f>
        <v>0</v>
      </c>
      <c r="AA300" s="710">
        <f>-SUMIFS('D2 - Capex uso'!CR$6:CR$176,'D2 - Capex uso'!$C$6:$C$176,$A289,'D2 - Capex uso'!$AK$6:$AK$176,$A300)</f>
        <v>0</v>
      </c>
      <c r="AB300" s="710">
        <f>-SUMIFS('D2 - Capex uso'!CS$6:CS$176,'D2 - Capex uso'!$C$6:$C$176,$A289,'D2 - Capex uso'!$AK$6:$AK$176,$A300)</f>
        <v>0</v>
      </c>
      <c r="AC300" s="710">
        <f>-SUMIFS('D2 - Capex uso'!CT$6:CT$176,'D2 - Capex uso'!$C$6:$C$176,$A289,'D2 - Capex uso'!$AK$6:$AK$176,$A300)</f>
        <v>0</v>
      </c>
      <c r="AD300" s="710">
        <f>-SUMIFS('D2 - Capex uso'!CU$6:CU$176,'D2 - Capex uso'!$C$6:$C$176,$A289,'D2 - Capex uso'!$AK$6:$AK$176,$A300)</f>
        <v>0</v>
      </c>
      <c r="AE300" s="710">
        <f>-SUMIFS('D2 - Capex uso'!CV$6:CV$176,'D2 - Capex uso'!$C$6:$C$176,$A289,'D2 - Capex uso'!$AK$6:$AK$176,$A300)</f>
        <v>0</v>
      </c>
      <c r="AF300" s="594"/>
      <c r="AG300" s="594"/>
      <c r="AH300" s="594"/>
      <c r="AI300" s="594"/>
      <c r="AJ300" s="594"/>
      <c r="AK300" s="594"/>
      <c r="AL300" s="594"/>
      <c r="AM300" s="594"/>
      <c r="AN300" s="594"/>
      <c r="AO300" s="594"/>
      <c r="AP300" s="594"/>
      <c r="AQ300" s="594"/>
      <c r="AR300" s="594"/>
      <c r="AS300" s="594"/>
      <c r="AT300" s="594"/>
      <c r="AU300" s="594"/>
      <c r="AV300" s="594"/>
      <c r="AW300" s="594"/>
      <c r="AX300" s="594"/>
      <c r="AY300" s="594"/>
      <c r="AZ300" s="594"/>
      <c r="BA300" s="594"/>
      <c r="BB300" s="594"/>
      <c r="BC300" s="594"/>
      <c r="BD300" s="594"/>
      <c r="BE300" s="594"/>
      <c r="BF300" s="594"/>
      <c r="BG300" s="594"/>
      <c r="BH300" s="594"/>
      <c r="BI300" s="594"/>
      <c r="BJ300" s="594"/>
      <c r="BK300" s="594"/>
      <c r="BL300" s="57"/>
      <c r="BM300" s="594"/>
      <c r="BN300" s="594"/>
      <c r="BO300" s="594"/>
      <c r="BP300" s="594"/>
      <c r="BQ300" s="594"/>
      <c r="BR300" s="594"/>
      <c r="BS300" s="594"/>
      <c r="BT300" s="594"/>
      <c r="BU300" s="594"/>
      <c r="BV300" s="594"/>
      <c r="BW300" s="594"/>
      <c r="BX300" s="594"/>
      <c r="BY300" s="594"/>
      <c r="BZ300" s="594"/>
      <c r="CA300" s="594"/>
      <c r="CB300" s="594"/>
      <c r="CC300" s="594"/>
      <c r="CD300" s="594"/>
      <c r="CE300" s="594"/>
      <c r="CF300" s="594"/>
      <c r="CG300" s="594"/>
      <c r="CH300" s="594"/>
      <c r="CI300" s="594"/>
      <c r="CJ300" s="594"/>
      <c r="CK300" s="594"/>
      <c r="CL300" s="594"/>
      <c r="CM300" s="594"/>
      <c r="CN300" s="594"/>
      <c r="CO300" s="594"/>
      <c r="CP300" s="594"/>
      <c r="CQ300" s="594"/>
    </row>
    <row r="301" spans="1:95" ht="19.5" hidden="1" customHeight="1" outlineLevel="2">
      <c r="A301" s="709" t="s">
        <v>689</v>
      </c>
      <c r="B301" s="710">
        <f>-SUMIFS('D2 - Capex uso'!BS$6:BS$176,'D2 - Capex uso'!$C$6:$C$176,$A289,'D2 - Capex uso'!$AK$6:$AK$176,$A301)</f>
        <v>0</v>
      </c>
      <c r="C301" s="710">
        <f>-SUMIFS('D2 - Capex uso'!BT$6:BT$176,'D2 - Capex uso'!$C$6:$C$176,$A289,'D2 - Capex uso'!$AK$6:$AK$176,$A301)</f>
        <v>0</v>
      </c>
      <c r="D301" s="710">
        <f>-SUMIFS('D2 - Capex uso'!BU$6:BU$176,'D2 - Capex uso'!$C$6:$C$176,$A289,'D2 - Capex uso'!$AK$6:$AK$176,$A301)</f>
        <v>0</v>
      </c>
      <c r="E301" s="710">
        <f>-SUMIFS('D2 - Capex uso'!BV$6:BV$176,'D2 - Capex uso'!$C$6:$C$176,$A289,'D2 - Capex uso'!$AK$6:$AK$176,$A301)</f>
        <v>0</v>
      </c>
      <c r="F301" s="710">
        <f>-SUMIFS('D2 - Capex uso'!BW$6:BW$176,'D2 - Capex uso'!$C$6:$C$176,$A289,'D2 - Capex uso'!$AK$6:$AK$176,$A301)</f>
        <v>0</v>
      </c>
      <c r="G301" s="710">
        <f>-SUMIFS('D2 - Capex uso'!BX$6:BX$176,'D2 - Capex uso'!$C$6:$C$176,$A289,'D2 - Capex uso'!$AK$6:$AK$176,$A301)</f>
        <v>0</v>
      </c>
      <c r="H301" s="710">
        <f>-SUMIFS('D2 - Capex uso'!BY$6:BY$176,'D2 - Capex uso'!$C$6:$C$176,$A289,'D2 - Capex uso'!$AK$6:$AK$176,$A301)</f>
        <v>0</v>
      </c>
      <c r="I301" s="710">
        <f>-SUMIFS('D2 - Capex uso'!BZ$6:BZ$176,'D2 - Capex uso'!$C$6:$C$176,$A289,'D2 - Capex uso'!$AK$6:$AK$176,$A301)</f>
        <v>0</v>
      </c>
      <c r="J301" s="710">
        <f>-SUMIFS('D2 - Capex uso'!CA$6:CA$176,'D2 - Capex uso'!$C$6:$C$176,$A289,'D2 - Capex uso'!$AK$6:$AK$176,$A301)</f>
        <v>0</v>
      </c>
      <c r="K301" s="710">
        <f>-SUMIFS('D2 - Capex uso'!CB$6:CB$176,'D2 - Capex uso'!$C$6:$C$176,$A289,'D2 - Capex uso'!$AK$6:$AK$176,$A301)</f>
        <v>0</v>
      </c>
      <c r="L301" s="710">
        <f>-SUMIFS('D2 - Capex uso'!CC$6:CC$176,'D2 - Capex uso'!$C$6:$C$176,$A289,'D2 - Capex uso'!$AK$6:$AK$176,$A301)</f>
        <v>0</v>
      </c>
      <c r="M301" s="710">
        <f>-SUMIFS('D2 - Capex uso'!CD$6:CD$176,'D2 - Capex uso'!$C$6:$C$176,$A289,'D2 - Capex uso'!$AK$6:$AK$176,$A301)</f>
        <v>0</v>
      </c>
      <c r="N301" s="710">
        <f>-SUMIFS('D2 - Capex uso'!CE$6:CE$176,'D2 - Capex uso'!$C$6:$C$176,$A289,'D2 - Capex uso'!$AK$6:$AK$176,$A301)</f>
        <v>0</v>
      </c>
      <c r="O301" s="710">
        <f>-SUMIFS('D2 - Capex uso'!CF$6:CF$176,'D2 - Capex uso'!$C$6:$C$176,$A289,'D2 - Capex uso'!$AK$6:$AK$176,$A301)</f>
        <v>0</v>
      </c>
      <c r="P301" s="710">
        <f>-SUMIFS('D2 - Capex uso'!CG$6:CG$176,'D2 - Capex uso'!$C$6:$C$176,$A289,'D2 - Capex uso'!$AK$6:$AK$176,$A301)</f>
        <v>0</v>
      </c>
      <c r="Q301" s="710">
        <f>-SUMIFS('D2 - Capex uso'!CH$6:CH$176,'D2 - Capex uso'!$C$6:$C$176,$A289,'D2 - Capex uso'!$AK$6:$AK$176,$A301)</f>
        <v>0</v>
      </c>
      <c r="R301" s="710">
        <f>-SUMIFS('D2 - Capex uso'!CI$6:CI$176,'D2 - Capex uso'!$C$6:$C$176,$A289,'D2 - Capex uso'!$AK$6:$AK$176,$A301)</f>
        <v>0</v>
      </c>
      <c r="S301" s="710">
        <f>-SUMIFS('D2 - Capex uso'!CJ$6:CJ$176,'D2 - Capex uso'!$C$6:$C$176,$A289,'D2 - Capex uso'!$AK$6:$AK$176,$A301)</f>
        <v>0</v>
      </c>
      <c r="T301" s="710">
        <f>-SUMIFS('D2 - Capex uso'!CK$6:CK$176,'D2 - Capex uso'!$C$6:$C$176,$A289,'D2 - Capex uso'!$AK$6:$AK$176,$A301)</f>
        <v>0</v>
      </c>
      <c r="U301" s="710">
        <f>-SUMIFS('D2 - Capex uso'!CL$6:CL$176,'D2 - Capex uso'!$C$6:$C$176,$A289,'D2 - Capex uso'!$AK$6:$AK$176,$A301)</f>
        <v>0</v>
      </c>
      <c r="V301" s="710">
        <f>-SUMIFS('D2 - Capex uso'!CM$6:CM$176,'D2 - Capex uso'!$C$6:$C$176,$A289,'D2 - Capex uso'!$AK$6:$AK$176,$A301)</f>
        <v>0</v>
      </c>
      <c r="W301" s="710">
        <f>-SUMIFS('D2 - Capex uso'!CN$6:CN$176,'D2 - Capex uso'!$C$6:$C$176,$A289,'D2 - Capex uso'!$AK$6:$AK$176,$A301)</f>
        <v>0</v>
      </c>
      <c r="X301" s="710">
        <f>-SUMIFS('D2 - Capex uso'!CO$6:CO$176,'D2 - Capex uso'!$C$6:$C$176,$A289,'D2 - Capex uso'!$AK$6:$AK$176,$A301)</f>
        <v>0</v>
      </c>
      <c r="Y301" s="710">
        <f>-SUMIFS('D2 - Capex uso'!CP$6:CP$176,'D2 - Capex uso'!$C$6:$C$176,$A289,'D2 - Capex uso'!$AK$6:$AK$176,$A301)</f>
        <v>0</v>
      </c>
      <c r="Z301" s="710">
        <f>-SUMIFS('D2 - Capex uso'!CQ$6:CQ$176,'D2 - Capex uso'!$C$6:$C$176,$A289,'D2 - Capex uso'!$AK$6:$AK$176,$A301)</f>
        <v>0</v>
      </c>
      <c r="AA301" s="710">
        <f>-SUMIFS('D2 - Capex uso'!CR$6:CR$176,'D2 - Capex uso'!$C$6:$C$176,$A289,'D2 - Capex uso'!$AK$6:$AK$176,$A301)</f>
        <v>0</v>
      </c>
      <c r="AB301" s="710">
        <f>-SUMIFS('D2 - Capex uso'!CS$6:CS$176,'D2 - Capex uso'!$C$6:$C$176,$A289,'D2 - Capex uso'!$AK$6:$AK$176,$A301)</f>
        <v>0</v>
      </c>
      <c r="AC301" s="710">
        <f>-SUMIFS('D2 - Capex uso'!CT$6:CT$176,'D2 - Capex uso'!$C$6:$C$176,$A289,'D2 - Capex uso'!$AK$6:$AK$176,$A301)</f>
        <v>0</v>
      </c>
      <c r="AD301" s="710">
        <f>-SUMIFS('D2 - Capex uso'!CU$6:CU$176,'D2 - Capex uso'!$C$6:$C$176,$A289,'D2 - Capex uso'!$AK$6:$AK$176,$A301)</f>
        <v>0</v>
      </c>
      <c r="AE301" s="710">
        <f>-SUMIFS('D2 - Capex uso'!CV$6:CV$176,'D2 - Capex uso'!$C$6:$C$176,$A289,'D2 - Capex uso'!$AK$6:$AK$176,$A301)</f>
        <v>0</v>
      </c>
      <c r="AF301" s="594"/>
      <c r="AG301" s="594"/>
      <c r="AH301" s="594"/>
      <c r="AI301" s="594"/>
      <c r="AJ301" s="594"/>
      <c r="AK301" s="594"/>
      <c r="AL301" s="594"/>
      <c r="AM301" s="594"/>
      <c r="AN301" s="594"/>
      <c r="AO301" s="594"/>
      <c r="AP301" s="594"/>
      <c r="AQ301" s="594"/>
      <c r="AR301" s="594"/>
      <c r="AS301" s="594"/>
      <c r="AT301" s="594"/>
      <c r="AU301" s="594"/>
      <c r="AV301" s="594"/>
      <c r="AW301" s="594"/>
      <c r="AX301" s="594"/>
      <c r="AY301" s="594"/>
      <c r="AZ301" s="594"/>
      <c r="BA301" s="594"/>
      <c r="BB301" s="594"/>
      <c r="BC301" s="594"/>
      <c r="BD301" s="594"/>
      <c r="BE301" s="594"/>
      <c r="BF301" s="594"/>
      <c r="BG301" s="594"/>
      <c r="BH301" s="594"/>
      <c r="BI301" s="594"/>
      <c r="BJ301" s="594"/>
      <c r="BK301" s="594"/>
      <c r="BL301" s="57"/>
      <c r="BM301" s="594"/>
      <c r="BN301" s="594"/>
      <c r="BO301" s="594"/>
      <c r="BP301" s="594"/>
      <c r="BQ301" s="594"/>
      <c r="BR301" s="594"/>
      <c r="BS301" s="594"/>
      <c r="BT301" s="594"/>
      <c r="BU301" s="594"/>
      <c r="BV301" s="594"/>
      <c r="BW301" s="594"/>
      <c r="BX301" s="594"/>
      <c r="BY301" s="594"/>
      <c r="BZ301" s="594"/>
      <c r="CA301" s="594"/>
      <c r="CB301" s="594"/>
      <c r="CC301" s="594"/>
      <c r="CD301" s="594"/>
      <c r="CE301" s="594"/>
      <c r="CF301" s="594"/>
      <c r="CG301" s="594"/>
      <c r="CH301" s="594"/>
      <c r="CI301" s="594"/>
      <c r="CJ301" s="594"/>
      <c r="CK301" s="594"/>
      <c r="CL301" s="594"/>
      <c r="CM301" s="594"/>
      <c r="CN301" s="594"/>
      <c r="CO301" s="594"/>
      <c r="CP301" s="594"/>
      <c r="CQ301" s="594"/>
    </row>
    <row r="302" spans="1:95" ht="19.5" hidden="1" customHeight="1" outlineLevel="2">
      <c r="A302" s="709" t="s">
        <v>378</v>
      </c>
      <c r="B302" s="710">
        <f>-SUMIFS('D2 - Capex uso'!BS$6:BS$176,'D2 - Capex uso'!$C$6:$C$176,$A289,'D2 - Capex uso'!$AK$6:$AK$176,$A302)</f>
        <v>-772028.4</v>
      </c>
      <c r="C302" s="710">
        <f>-SUMIFS('D2 - Capex uso'!BT$6:BT$176,'D2 - Capex uso'!$C$6:$C$176,$A289,'D2 - Capex uso'!$AK$6:$AK$176,$A302)</f>
        <v>0</v>
      </c>
      <c r="D302" s="710">
        <f>-SUMIFS('D2 - Capex uso'!BU$6:BU$176,'D2 - Capex uso'!$C$6:$C$176,$A289,'D2 - Capex uso'!$AK$6:$AK$176,$A302)</f>
        <v>0</v>
      </c>
      <c r="E302" s="710">
        <f>-SUMIFS('D2 - Capex uso'!BV$6:BV$176,'D2 - Capex uso'!$C$6:$C$176,$A289,'D2 - Capex uso'!$AK$6:$AK$176,$A302)</f>
        <v>0</v>
      </c>
      <c r="F302" s="710">
        <f>-SUMIFS('D2 - Capex uso'!BW$6:BW$176,'D2 - Capex uso'!$C$6:$C$176,$A289,'D2 - Capex uso'!$AK$6:$AK$176,$A302)</f>
        <v>0</v>
      </c>
      <c r="G302" s="710">
        <f>-SUMIFS('D2 - Capex uso'!BX$6:BX$176,'D2 - Capex uso'!$C$6:$C$176,$A289,'D2 - Capex uso'!$AK$6:$AK$176,$A302)</f>
        <v>-772028.4</v>
      </c>
      <c r="H302" s="710">
        <f>-SUMIFS('D2 - Capex uso'!BY$6:BY$176,'D2 - Capex uso'!$C$6:$C$176,$A289,'D2 - Capex uso'!$AK$6:$AK$176,$A302)</f>
        <v>0</v>
      </c>
      <c r="I302" s="710">
        <f>-SUMIFS('D2 - Capex uso'!BZ$6:BZ$176,'D2 - Capex uso'!$C$6:$C$176,$A289,'D2 - Capex uso'!$AK$6:$AK$176,$A302)</f>
        <v>0</v>
      </c>
      <c r="J302" s="710">
        <f>-SUMIFS('D2 - Capex uso'!CA$6:CA$176,'D2 - Capex uso'!$C$6:$C$176,$A289,'D2 - Capex uso'!$AK$6:$AK$176,$A302)</f>
        <v>0</v>
      </c>
      <c r="K302" s="710">
        <f>-SUMIFS('D2 - Capex uso'!CB$6:CB$176,'D2 - Capex uso'!$C$6:$C$176,$A289,'D2 - Capex uso'!$AK$6:$AK$176,$A302)</f>
        <v>0</v>
      </c>
      <c r="L302" s="710">
        <f>-SUMIFS('D2 - Capex uso'!CC$6:CC$176,'D2 - Capex uso'!$C$6:$C$176,$A289,'D2 - Capex uso'!$AK$6:$AK$176,$A302)</f>
        <v>-772028.4</v>
      </c>
      <c r="M302" s="710">
        <f>-SUMIFS('D2 - Capex uso'!CD$6:CD$176,'D2 - Capex uso'!$C$6:$C$176,$A289,'D2 - Capex uso'!$AK$6:$AK$176,$A302)</f>
        <v>0</v>
      </c>
      <c r="N302" s="710">
        <f>-SUMIFS('D2 - Capex uso'!CE$6:CE$176,'D2 - Capex uso'!$C$6:$C$176,$A289,'D2 - Capex uso'!$AK$6:$AK$176,$A302)</f>
        <v>0</v>
      </c>
      <c r="O302" s="710">
        <f>-SUMIFS('D2 - Capex uso'!CF$6:CF$176,'D2 - Capex uso'!$C$6:$C$176,$A289,'D2 - Capex uso'!$AK$6:$AK$176,$A302)</f>
        <v>0</v>
      </c>
      <c r="P302" s="710">
        <f>-SUMIFS('D2 - Capex uso'!CG$6:CG$176,'D2 - Capex uso'!$C$6:$C$176,$A289,'D2 - Capex uso'!$AK$6:$AK$176,$A302)</f>
        <v>0</v>
      </c>
      <c r="Q302" s="710">
        <f>-SUMIFS('D2 - Capex uso'!CH$6:CH$176,'D2 - Capex uso'!$C$6:$C$176,$A289,'D2 - Capex uso'!$AK$6:$AK$176,$A302)</f>
        <v>-772028.4</v>
      </c>
      <c r="R302" s="710">
        <f>-SUMIFS('D2 - Capex uso'!CI$6:CI$176,'D2 - Capex uso'!$C$6:$C$176,$A289,'D2 - Capex uso'!$AK$6:$AK$176,$A302)</f>
        <v>0</v>
      </c>
      <c r="S302" s="710">
        <f>-SUMIFS('D2 - Capex uso'!CJ$6:CJ$176,'D2 - Capex uso'!$C$6:$C$176,$A289,'D2 - Capex uso'!$AK$6:$AK$176,$A302)</f>
        <v>0</v>
      </c>
      <c r="T302" s="710">
        <f>-SUMIFS('D2 - Capex uso'!CK$6:CK$176,'D2 - Capex uso'!$C$6:$C$176,$A289,'D2 - Capex uso'!$AK$6:$AK$176,$A302)</f>
        <v>0</v>
      </c>
      <c r="U302" s="710">
        <f>-SUMIFS('D2 - Capex uso'!CL$6:CL$176,'D2 - Capex uso'!$C$6:$C$176,$A289,'D2 - Capex uso'!$AK$6:$AK$176,$A302)</f>
        <v>0</v>
      </c>
      <c r="V302" s="710">
        <f>-SUMIFS('D2 - Capex uso'!CM$6:CM$176,'D2 - Capex uso'!$C$6:$C$176,$A289,'D2 - Capex uso'!$AK$6:$AK$176,$A302)</f>
        <v>-772028.4</v>
      </c>
      <c r="W302" s="710">
        <f>-SUMIFS('D2 - Capex uso'!CN$6:CN$176,'D2 - Capex uso'!$C$6:$C$176,$A289,'D2 - Capex uso'!$AK$6:$AK$176,$A302)</f>
        <v>0</v>
      </c>
      <c r="X302" s="710">
        <f>-SUMIFS('D2 - Capex uso'!CO$6:CO$176,'D2 - Capex uso'!$C$6:$C$176,$A289,'D2 - Capex uso'!$AK$6:$AK$176,$A302)</f>
        <v>0</v>
      </c>
      <c r="Y302" s="710">
        <f>-SUMIFS('D2 - Capex uso'!CP$6:CP$176,'D2 - Capex uso'!$C$6:$C$176,$A289,'D2 - Capex uso'!$AK$6:$AK$176,$A302)</f>
        <v>0</v>
      </c>
      <c r="Z302" s="710">
        <f>-SUMIFS('D2 - Capex uso'!CQ$6:CQ$176,'D2 - Capex uso'!$C$6:$C$176,$A289,'D2 - Capex uso'!$AK$6:$AK$176,$A302)</f>
        <v>0</v>
      </c>
      <c r="AA302" s="710">
        <f>-SUMIFS('D2 - Capex uso'!CR$6:CR$176,'D2 - Capex uso'!$C$6:$C$176,$A289,'D2 - Capex uso'!$AK$6:$AK$176,$A302)</f>
        <v>-772028.4</v>
      </c>
      <c r="AB302" s="710">
        <f>-SUMIFS('D2 - Capex uso'!CS$6:CS$176,'D2 - Capex uso'!$C$6:$C$176,$A289,'D2 - Capex uso'!$AK$6:$AK$176,$A302)</f>
        <v>0</v>
      </c>
      <c r="AC302" s="710">
        <f>-SUMIFS('D2 - Capex uso'!CT$6:CT$176,'D2 - Capex uso'!$C$6:$C$176,$A289,'D2 - Capex uso'!$AK$6:$AK$176,$A302)</f>
        <v>0</v>
      </c>
      <c r="AD302" s="710">
        <f>-SUMIFS('D2 - Capex uso'!CU$6:CU$176,'D2 - Capex uso'!$C$6:$C$176,$A289,'D2 - Capex uso'!$AK$6:$AK$176,$A302)</f>
        <v>0</v>
      </c>
      <c r="AE302" s="710">
        <f>-SUMIFS('D2 - Capex uso'!CV$6:CV$176,'D2 - Capex uso'!$C$6:$C$176,$A289,'D2 - Capex uso'!$AK$6:$AK$176,$A302)</f>
        <v>0</v>
      </c>
      <c r="AF302" s="594"/>
      <c r="AG302" s="594"/>
      <c r="AH302" s="594"/>
      <c r="AI302" s="594"/>
      <c r="AJ302" s="594"/>
      <c r="AK302" s="594"/>
      <c r="AL302" s="594"/>
      <c r="AM302" s="594"/>
      <c r="AN302" s="594"/>
      <c r="AO302" s="594"/>
      <c r="AP302" s="594"/>
      <c r="AQ302" s="594"/>
      <c r="AR302" s="594"/>
      <c r="AS302" s="594"/>
      <c r="AT302" s="594"/>
      <c r="AU302" s="594"/>
      <c r="AV302" s="594"/>
      <c r="AW302" s="594"/>
      <c r="AX302" s="594"/>
      <c r="AY302" s="594"/>
      <c r="AZ302" s="594"/>
      <c r="BA302" s="594"/>
      <c r="BB302" s="594"/>
      <c r="BC302" s="594"/>
      <c r="BD302" s="594"/>
      <c r="BE302" s="594"/>
      <c r="BF302" s="594"/>
      <c r="BG302" s="594"/>
      <c r="BH302" s="594"/>
      <c r="BI302" s="594"/>
      <c r="BJ302" s="594"/>
      <c r="BK302" s="594"/>
      <c r="BL302" s="57"/>
      <c r="BM302" s="594"/>
      <c r="BN302" s="594"/>
      <c r="BO302" s="594"/>
      <c r="BP302" s="594"/>
      <c r="BQ302" s="594"/>
      <c r="BR302" s="594"/>
      <c r="BS302" s="594"/>
      <c r="BT302" s="594"/>
      <c r="BU302" s="594"/>
      <c r="BV302" s="594"/>
      <c r="BW302" s="594"/>
      <c r="BX302" s="594"/>
      <c r="BY302" s="594"/>
      <c r="BZ302" s="594"/>
      <c r="CA302" s="594"/>
      <c r="CB302" s="594"/>
      <c r="CC302" s="594"/>
      <c r="CD302" s="594"/>
      <c r="CE302" s="594"/>
      <c r="CF302" s="594"/>
      <c r="CG302" s="594"/>
      <c r="CH302" s="594"/>
      <c r="CI302" s="594"/>
      <c r="CJ302" s="594"/>
      <c r="CK302" s="594"/>
      <c r="CL302" s="594"/>
      <c r="CM302" s="594"/>
      <c r="CN302" s="594"/>
      <c r="CO302" s="594"/>
      <c r="CP302" s="594"/>
      <c r="CQ302" s="594"/>
    </row>
    <row r="303" spans="1:95" ht="19.5" hidden="1" customHeight="1" outlineLevel="2">
      <c r="A303" s="709" t="s">
        <v>366</v>
      </c>
      <c r="B303" s="710">
        <f>-SUMIFS('D2 - Capex uso'!BS$6:BS$176,'D2 - Capex uso'!$C$6:$C$176,$A289,'D2 - Capex uso'!$AK$6:$AK$176,$A303)</f>
        <v>0</v>
      </c>
      <c r="C303" s="710">
        <f>-SUMIFS('D2 - Capex uso'!BT$6:BT$176,'D2 - Capex uso'!$C$6:$C$176,$A289,'D2 - Capex uso'!$AK$6:$AK$176,$A303)</f>
        <v>0</v>
      </c>
      <c r="D303" s="710">
        <f>-SUMIFS('D2 - Capex uso'!BU$6:BU$176,'D2 - Capex uso'!$C$6:$C$176,$A289,'D2 - Capex uso'!$AK$6:$AK$176,$A303)</f>
        <v>0</v>
      </c>
      <c r="E303" s="710">
        <f>-SUMIFS('D2 - Capex uso'!BV$6:BV$176,'D2 - Capex uso'!$C$6:$C$176,$A289,'D2 - Capex uso'!$AK$6:$AK$176,$A303)</f>
        <v>0</v>
      </c>
      <c r="F303" s="710">
        <f>-SUMIFS('D2 - Capex uso'!BW$6:BW$176,'D2 - Capex uso'!$C$6:$C$176,$A289,'D2 - Capex uso'!$AK$6:$AK$176,$A303)</f>
        <v>0</v>
      </c>
      <c r="G303" s="710">
        <f>-SUMIFS('D2 - Capex uso'!BX$6:BX$176,'D2 - Capex uso'!$C$6:$C$176,$A289,'D2 - Capex uso'!$AK$6:$AK$176,$A303)</f>
        <v>0</v>
      </c>
      <c r="H303" s="710">
        <f>-SUMIFS('D2 - Capex uso'!BY$6:BY$176,'D2 - Capex uso'!$C$6:$C$176,$A289,'D2 - Capex uso'!$AK$6:$AK$176,$A303)</f>
        <v>0</v>
      </c>
      <c r="I303" s="710">
        <f>-SUMIFS('D2 - Capex uso'!BZ$6:BZ$176,'D2 - Capex uso'!$C$6:$C$176,$A289,'D2 - Capex uso'!$AK$6:$AK$176,$A303)</f>
        <v>0</v>
      </c>
      <c r="J303" s="710">
        <f>-SUMIFS('D2 - Capex uso'!CA$6:CA$176,'D2 - Capex uso'!$C$6:$C$176,$A289,'D2 - Capex uso'!$AK$6:$AK$176,$A303)</f>
        <v>0</v>
      </c>
      <c r="K303" s="710">
        <f>-SUMIFS('D2 - Capex uso'!CB$6:CB$176,'D2 - Capex uso'!$C$6:$C$176,$A289,'D2 - Capex uso'!$AK$6:$AK$176,$A303)</f>
        <v>0</v>
      </c>
      <c r="L303" s="710">
        <f>-SUMIFS('D2 - Capex uso'!CC$6:CC$176,'D2 - Capex uso'!$C$6:$C$176,$A289,'D2 - Capex uso'!$AK$6:$AK$176,$A303)</f>
        <v>0</v>
      </c>
      <c r="M303" s="710">
        <f>-SUMIFS('D2 - Capex uso'!CD$6:CD$176,'D2 - Capex uso'!$C$6:$C$176,$A289,'D2 - Capex uso'!$AK$6:$AK$176,$A303)</f>
        <v>0</v>
      </c>
      <c r="N303" s="710">
        <f>-SUMIFS('D2 - Capex uso'!CE$6:CE$176,'D2 - Capex uso'!$C$6:$C$176,$A289,'D2 - Capex uso'!$AK$6:$AK$176,$A303)</f>
        <v>0</v>
      </c>
      <c r="O303" s="710">
        <f>-SUMIFS('D2 - Capex uso'!CF$6:CF$176,'D2 - Capex uso'!$C$6:$C$176,$A289,'D2 - Capex uso'!$AK$6:$AK$176,$A303)</f>
        <v>0</v>
      </c>
      <c r="P303" s="710">
        <f>-SUMIFS('D2 - Capex uso'!CG$6:CG$176,'D2 - Capex uso'!$C$6:$C$176,$A289,'D2 - Capex uso'!$AK$6:$AK$176,$A303)</f>
        <v>0</v>
      </c>
      <c r="Q303" s="710">
        <f>-SUMIFS('D2 - Capex uso'!CH$6:CH$176,'D2 - Capex uso'!$C$6:$C$176,$A289,'D2 - Capex uso'!$AK$6:$AK$176,$A303)</f>
        <v>0</v>
      </c>
      <c r="R303" s="710">
        <f>-SUMIFS('D2 - Capex uso'!CI$6:CI$176,'D2 - Capex uso'!$C$6:$C$176,$A289,'D2 - Capex uso'!$AK$6:$AK$176,$A303)</f>
        <v>0</v>
      </c>
      <c r="S303" s="710">
        <f>-SUMIFS('D2 - Capex uso'!CJ$6:CJ$176,'D2 - Capex uso'!$C$6:$C$176,$A289,'D2 - Capex uso'!$AK$6:$AK$176,$A303)</f>
        <v>0</v>
      </c>
      <c r="T303" s="710">
        <f>-SUMIFS('D2 - Capex uso'!CK$6:CK$176,'D2 - Capex uso'!$C$6:$C$176,$A289,'D2 - Capex uso'!$AK$6:$AK$176,$A303)</f>
        <v>0</v>
      </c>
      <c r="U303" s="710">
        <f>-SUMIFS('D2 - Capex uso'!CL$6:CL$176,'D2 - Capex uso'!$C$6:$C$176,$A289,'D2 - Capex uso'!$AK$6:$AK$176,$A303)</f>
        <v>0</v>
      </c>
      <c r="V303" s="710">
        <f>-SUMIFS('D2 - Capex uso'!CM$6:CM$176,'D2 - Capex uso'!$C$6:$C$176,$A289,'D2 - Capex uso'!$AK$6:$AK$176,$A303)</f>
        <v>0</v>
      </c>
      <c r="W303" s="710">
        <f>-SUMIFS('D2 - Capex uso'!CN$6:CN$176,'D2 - Capex uso'!$C$6:$C$176,$A289,'D2 - Capex uso'!$AK$6:$AK$176,$A303)</f>
        <v>0</v>
      </c>
      <c r="X303" s="710">
        <f>-SUMIFS('D2 - Capex uso'!CO$6:CO$176,'D2 - Capex uso'!$C$6:$C$176,$A289,'D2 - Capex uso'!$AK$6:$AK$176,$A303)</f>
        <v>0</v>
      </c>
      <c r="Y303" s="710">
        <f>-SUMIFS('D2 - Capex uso'!CP$6:CP$176,'D2 - Capex uso'!$C$6:$C$176,$A289,'D2 - Capex uso'!$AK$6:$AK$176,$A303)</f>
        <v>0</v>
      </c>
      <c r="Z303" s="710">
        <f>-SUMIFS('D2 - Capex uso'!CQ$6:CQ$176,'D2 - Capex uso'!$C$6:$C$176,$A289,'D2 - Capex uso'!$AK$6:$AK$176,$A303)</f>
        <v>0</v>
      </c>
      <c r="AA303" s="710">
        <f>-SUMIFS('D2 - Capex uso'!CR$6:CR$176,'D2 - Capex uso'!$C$6:$C$176,$A289,'D2 - Capex uso'!$AK$6:$AK$176,$A303)</f>
        <v>0</v>
      </c>
      <c r="AB303" s="710">
        <f>-SUMIFS('D2 - Capex uso'!CS$6:CS$176,'D2 - Capex uso'!$C$6:$C$176,$A289,'D2 - Capex uso'!$AK$6:$AK$176,$A303)</f>
        <v>0</v>
      </c>
      <c r="AC303" s="710">
        <f>-SUMIFS('D2 - Capex uso'!CT$6:CT$176,'D2 - Capex uso'!$C$6:$C$176,$A289,'D2 - Capex uso'!$AK$6:$AK$176,$A303)</f>
        <v>0</v>
      </c>
      <c r="AD303" s="710">
        <f>-SUMIFS('D2 - Capex uso'!CU$6:CU$176,'D2 - Capex uso'!$C$6:$C$176,$A289,'D2 - Capex uso'!$AK$6:$AK$176,$A303)</f>
        <v>0</v>
      </c>
      <c r="AE303" s="710">
        <f>-SUMIFS('D2 - Capex uso'!CV$6:CV$176,'D2 - Capex uso'!$C$6:$C$176,$A289,'D2 - Capex uso'!$AK$6:$AK$176,$A303)</f>
        <v>0</v>
      </c>
      <c r="AF303" s="594"/>
      <c r="AG303" s="594"/>
      <c r="AH303" s="594"/>
      <c r="AI303" s="594"/>
      <c r="AJ303" s="594"/>
      <c r="AK303" s="594"/>
      <c r="AL303" s="594"/>
      <c r="AM303" s="594"/>
      <c r="AN303" s="594"/>
      <c r="AO303" s="594"/>
      <c r="AP303" s="594"/>
      <c r="AQ303" s="594"/>
      <c r="AR303" s="594"/>
      <c r="AS303" s="594"/>
      <c r="AT303" s="594"/>
      <c r="AU303" s="594"/>
      <c r="AV303" s="594"/>
      <c r="AW303" s="594"/>
      <c r="AX303" s="594"/>
      <c r="AY303" s="594"/>
      <c r="AZ303" s="594"/>
      <c r="BA303" s="594"/>
      <c r="BB303" s="594"/>
      <c r="BC303" s="594"/>
      <c r="BD303" s="594"/>
      <c r="BE303" s="594"/>
      <c r="BF303" s="594"/>
      <c r="BG303" s="594"/>
      <c r="BH303" s="594"/>
      <c r="BI303" s="594"/>
      <c r="BJ303" s="594"/>
      <c r="BK303" s="594"/>
      <c r="BL303" s="57"/>
      <c r="BM303" s="594"/>
      <c r="BN303" s="594"/>
      <c r="BO303" s="594"/>
      <c r="BP303" s="594"/>
      <c r="BQ303" s="594"/>
      <c r="BR303" s="594"/>
      <c r="BS303" s="594"/>
      <c r="BT303" s="594"/>
      <c r="BU303" s="594"/>
      <c r="BV303" s="594"/>
      <c r="BW303" s="594"/>
      <c r="BX303" s="594"/>
      <c r="BY303" s="594"/>
      <c r="BZ303" s="594"/>
      <c r="CA303" s="594"/>
      <c r="CB303" s="594"/>
      <c r="CC303" s="594"/>
      <c r="CD303" s="594"/>
      <c r="CE303" s="594"/>
      <c r="CF303" s="594"/>
      <c r="CG303" s="594"/>
      <c r="CH303" s="594"/>
      <c r="CI303" s="594"/>
      <c r="CJ303" s="594"/>
      <c r="CK303" s="594"/>
      <c r="CL303" s="594"/>
      <c r="CM303" s="594"/>
      <c r="CN303" s="594"/>
      <c r="CO303" s="594"/>
      <c r="CP303" s="594"/>
      <c r="CQ303" s="594"/>
    </row>
    <row r="304" spans="1:95" ht="19.5" hidden="1" customHeight="1" outlineLevel="2">
      <c r="A304" s="709" t="s">
        <v>371</v>
      </c>
      <c r="B304" s="710">
        <f>-SUMIFS('D2 - Capex uso'!BS$6:BS$176,'D2 - Capex uso'!$C$6:$C$176,$A289,'D2 - Capex uso'!$AK$6:$AK$176,$A304)</f>
        <v>0</v>
      </c>
      <c r="C304" s="710">
        <f>-SUMIFS('D2 - Capex uso'!BT$6:BT$176,'D2 - Capex uso'!$C$6:$C$176,$A289,'D2 - Capex uso'!$AK$6:$AK$176,$A304)</f>
        <v>0</v>
      </c>
      <c r="D304" s="710">
        <f>-SUMIFS('D2 - Capex uso'!BU$6:BU$176,'D2 - Capex uso'!$C$6:$C$176,$A289,'D2 - Capex uso'!$AK$6:$AK$176,$A304)</f>
        <v>0</v>
      </c>
      <c r="E304" s="710">
        <f>-SUMIFS('D2 - Capex uso'!BV$6:BV$176,'D2 - Capex uso'!$C$6:$C$176,$A289,'D2 - Capex uso'!$AK$6:$AK$176,$A304)</f>
        <v>0</v>
      </c>
      <c r="F304" s="710">
        <f>-SUMIFS('D2 - Capex uso'!BW$6:BW$176,'D2 - Capex uso'!$C$6:$C$176,$A289,'D2 - Capex uso'!$AK$6:$AK$176,$A304)</f>
        <v>0</v>
      </c>
      <c r="G304" s="710">
        <f>-SUMIFS('D2 - Capex uso'!BX$6:BX$176,'D2 - Capex uso'!$C$6:$C$176,$A289,'D2 - Capex uso'!$AK$6:$AK$176,$A304)</f>
        <v>0</v>
      </c>
      <c r="H304" s="710">
        <f>-SUMIFS('D2 - Capex uso'!BY$6:BY$176,'D2 - Capex uso'!$C$6:$C$176,$A289,'D2 - Capex uso'!$AK$6:$AK$176,$A304)</f>
        <v>0</v>
      </c>
      <c r="I304" s="710">
        <f>-SUMIFS('D2 - Capex uso'!BZ$6:BZ$176,'D2 - Capex uso'!$C$6:$C$176,$A289,'D2 - Capex uso'!$AK$6:$AK$176,$A304)</f>
        <v>0</v>
      </c>
      <c r="J304" s="710">
        <f>-SUMIFS('D2 - Capex uso'!CA$6:CA$176,'D2 - Capex uso'!$C$6:$C$176,$A289,'D2 - Capex uso'!$AK$6:$AK$176,$A304)</f>
        <v>0</v>
      </c>
      <c r="K304" s="710">
        <f>-SUMIFS('D2 - Capex uso'!CB$6:CB$176,'D2 - Capex uso'!$C$6:$C$176,$A289,'D2 - Capex uso'!$AK$6:$AK$176,$A304)</f>
        <v>0</v>
      </c>
      <c r="L304" s="710">
        <f>-SUMIFS('D2 - Capex uso'!CC$6:CC$176,'D2 - Capex uso'!$C$6:$C$176,$A289,'D2 - Capex uso'!$AK$6:$AK$176,$A304)</f>
        <v>0</v>
      </c>
      <c r="M304" s="710">
        <f>-SUMIFS('D2 - Capex uso'!CD$6:CD$176,'D2 - Capex uso'!$C$6:$C$176,$A289,'D2 - Capex uso'!$AK$6:$AK$176,$A304)</f>
        <v>0</v>
      </c>
      <c r="N304" s="710">
        <f>-SUMIFS('D2 - Capex uso'!CE$6:CE$176,'D2 - Capex uso'!$C$6:$C$176,$A289,'D2 - Capex uso'!$AK$6:$AK$176,$A304)</f>
        <v>0</v>
      </c>
      <c r="O304" s="710">
        <f>-SUMIFS('D2 - Capex uso'!CF$6:CF$176,'D2 - Capex uso'!$C$6:$C$176,$A289,'D2 - Capex uso'!$AK$6:$AK$176,$A304)</f>
        <v>0</v>
      </c>
      <c r="P304" s="710">
        <f>-SUMIFS('D2 - Capex uso'!CG$6:CG$176,'D2 - Capex uso'!$C$6:$C$176,$A289,'D2 - Capex uso'!$AK$6:$AK$176,$A304)</f>
        <v>0</v>
      </c>
      <c r="Q304" s="710">
        <f>-SUMIFS('D2 - Capex uso'!CH$6:CH$176,'D2 - Capex uso'!$C$6:$C$176,$A289,'D2 - Capex uso'!$AK$6:$AK$176,$A304)</f>
        <v>0</v>
      </c>
      <c r="R304" s="710">
        <f>-SUMIFS('D2 - Capex uso'!CI$6:CI$176,'D2 - Capex uso'!$C$6:$C$176,$A289,'D2 - Capex uso'!$AK$6:$AK$176,$A304)</f>
        <v>0</v>
      </c>
      <c r="S304" s="710">
        <f>-SUMIFS('D2 - Capex uso'!CJ$6:CJ$176,'D2 - Capex uso'!$C$6:$C$176,$A289,'D2 - Capex uso'!$AK$6:$AK$176,$A304)</f>
        <v>0</v>
      </c>
      <c r="T304" s="710">
        <f>-SUMIFS('D2 - Capex uso'!CK$6:CK$176,'D2 - Capex uso'!$C$6:$C$176,$A289,'D2 - Capex uso'!$AK$6:$AK$176,$A304)</f>
        <v>0</v>
      </c>
      <c r="U304" s="710">
        <f>-SUMIFS('D2 - Capex uso'!CL$6:CL$176,'D2 - Capex uso'!$C$6:$C$176,$A289,'D2 - Capex uso'!$AK$6:$AK$176,$A304)</f>
        <v>0</v>
      </c>
      <c r="V304" s="710">
        <f>-SUMIFS('D2 - Capex uso'!CM$6:CM$176,'D2 - Capex uso'!$C$6:$C$176,$A289,'D2 - Capex uso'!$AK$6:$AK$176,$A304)</f>
        <v>0</v>
      </c>
      <c r="W304" s="710">
        <f>-SUMIFS('D2 - Capex uso'!CN$6:CN$176,'D2 - Capex uso'!$C$6:$C$176,$A289,'D2 - Capex uso'!$AK$6:$AK$176,$A304)</f>
        <v>0</v>
      </c>
      <c r="X304" s="710">
        <f>-SUMIFS('D2 - Capex uso'!CO$6:CO$176,'D2 - Capex uso'!$C$6:$C$176,$A289,'D2 - Capex uso'!$AK$6:$AK$176,$A304)</f>
        <v>0</v>
      </c>
      <c r="Y304" s="710">
        <f>-SUMIFS('D2 - Capex uso'!CP$6:CP$176,'D2 - Capex uso'!$C$6:$C$176,$A289,'D2 - Capex uso'!$AK$6:$AK$176,$A304)</f>
        <v>0</v>
      </c>
      <c r="Z304" s="710">
        <f>-SUMIFS('D2 - Capex uso'!CQ$6:CQ$176,'D2 - Capex uso'!$C$6:$C$176,$A289,'D2 - Capex uso'!$AK$6:$AK$176,$A304)</f>
        <v>0</v>
      </c>
      <c r="AA304" s="710">
        <f>-SUMIFS('D2 - Capex uso'!CR$6:CR$176,'D2 - Capex uso'!$C$6:$C$176,$A289,'D2 - Capex uso'!$AK$6:$AK$176,$A304)</f>
        <v>0</v>
      </c>
      <c r="AB304" s="710">
        <f>-SUMIFS('D2 - Capex uso'!CS$6:CS$176,'D2 - Capex uso'!$C$6:$C$176,$A289,'D2 - Capex uso'!$AK$6:$AK$176,$A304)</f>
        <v>0</v>
      </c>
      <c r="AC304" s="710">
        <f>-SUMIFS('D2 - Capex uso'!CT$6:CT$176,'D2 - Capex uso'!$C$6:$C$176,$A289,'D2 - Capex uso'!$AK$6:$AK$176,$A304)</f>
        <v>0</v>
      </c>
      <c r="AD304" s="710">
        <f>-SUMIFS('D2 - Capex uso'!CU$6:CU$176,'D2 - Capex uso'!$C$6:$C$176,$A289,'D2 - Capex uso'!$AK$6:$AK$176,$A304)</f>
        <v>0</v>
      </c>
      <c r="AE304" s="710">
        <f>-SUMIFS('D2 - Capex uso'!CV$6:CV$176,'D2 - Capex uso'!$C$6:$C$176,$A289,'D2 - Capex uso'!$AK$6:$AK$176,$A304)</f>
        <v>0</v>
      </c>
      <c r="AF304" s="594"/>
      <c r="AG304" s="594"/>
      <c r="AH304" s="594"/>
      <c r="AI304" s="594"/>
      <c r="AJ304" s="594"/>
      <c r="AK304" s="594"/>
      <c r="AL304" s="594"/>
      <c r="AM304" s="594"/>
      <c r="AN304" s="594"/>
      <c r="AO304" s="594"/>
      <c r="AP304" s="594"/>
      <c r="AQ304" s="594"/>
      <c r="AR304" s="594"/>
      <c r="AS304" s="594"/>
      <c r="AT304" s="594"/>
      <c r="AU304" s="594"/>
      <c r="AV304" s="594"/>
      <c r="AW304" s="594"/>
      <c r="AX304" s="594"/>
      <c r="AY304" s="594"/>
      <c r="AZ304" s="594"/>
      <c r="BA304" s="594"/>
      <c r="BB304" s="594"/>
      <c r="BC304" s="594"/>
      <c r="BD304" s="594"/>
      <c r="BE304" s="594"/>
      <c r="BF304" s="594"/>
      <c r="BG304" s="594"/>
      <c r="BH304" s="594"/>
      <c r="BI304" s="594"/>
      <c r="BJ304" s="594"/>
      <c r="BK304" s="594"/>
      <c r="BL304" s="57"/>
      <c r="BM304" s="594"/>
      <c r="BN304" s="594"/>
      <c r="BO304" s="594"/>
      <c r="BP304" s="594"/>
      <c r="BQ304" s="594"/>
      <c r="BR304" s="594"/>
      <c r="BS304" s="594"/>
      <c r="BT304" s="594"/>
      <c r="BU304" s="594"/>
      <c r="BV304" s="594"/>
      <c r="BW304" s="594"/>
      <c r="BX304" s="594"/>
      <c r="BY304" s="594"/>
      <c r="BZ304" s="594"/>
      <c r="CA304" s="594"/>
      <c r="CB304" s="594"/>
      <c r="CC304" s="594"/>
      <c r="CD304" s="594"/>
      <c r="CE304" s="594"/>
      <c r="CF304" s="594"/>
      <c r="CG304" s="594"/>
      <c r="CH304" s="594"/>
      <c r="CI304" s="594"/>
      <c r="CJ304" s="594"/>
      <c r="CK304" s="594"/>
      <c r="CL304" s="594"/>
      <c r="CM304" s="594"/>
      <c r="CN304" s="594"/>
      <c r="CO304" s="594"/>
      <c r="CP304" s="594"/>
      <c r="CQ304" s="594"/>
    </row>
    <row r="305" spans="1:95" ht="19.5" hidden="1" customHeight="1" outlineLevel="2">
      <c r="A305" s="709" t="s">
        <v>361</v>
      </c>
      <c r="B305" s="710">
        <f>-SUMIFS('D2 - Capex uso'!BS$6:BS$176,'D2 - Capex uso'!$C$6:$C$176,$A289,'D2 - Capex uso'!$AK$6:$AK$176,$A305)</f>
        <v>0</v>
      </c>
      <c r="C305" s="710">
        <f>-SUMIFS('D2 - Capex uso'!BT$6:BT$176,'D2 - Capex uso'!$C$6:$C$176,$A289,'D2 - Capex uso'!$AK$6:$AK$176,$A305)</f>
        <v>0</v>
      </c>
      <c r="D305" s="710">
        <f>-SUMIFS('D2 - Capex uso'!BU$6:BU$176,'D2 - Capex uso'!$C$6:$C$176,$A289,'D2 - Capex uso'!$AK$6:$AK$176,$A305)</f>
        <v>0</v>
      </c>
      <c r="E305" s="710">
        <f>-SUMIFS('D2 - Capex uso'!BV$6:BV$176,'D2 - Capex uso'!$C$6:$C$176,$A289,'D2 - Capex uso'!$AK$6:$AK$176,$A305)</f>
        <v>0</v>
      </c>
      <c r="F305" s="710">
        <f>-SUMIFS('D2 - Capex uso'!BW$6:BW$176,'D2 - Capex uso'!$C$6:$C$176,$A289,'D2 - Capex uso'!$AK$6:$AK$176,$A305)</f>
        <v>0</v>
      </c>
      <c r="G305" s="710">
        <f>-SUMIFS('D2 - Capex uso'!BX$6:BX$176,'D2 - Capex uso'!$C$6:$C$176,$A289,'D2 - Capex uso'!$AK$6:$AK$176,$A305)</f>
        <v>0</v>
      </c>
      <c r="H305" s="710">
        <f>-SUMIFS('D2 - Capex uso'!BY$6:BY$176,'D2 - Capex uso'!$C$6:$C$176,$A289,'D2 - Capex uso'!$AK$6:$AK$176,$A305)</f>
        <v>0</v>
      </c>
      <c r="I305" s="710">
        <f>-SUMIFS('D2 - Capex uso'!BZ$6:BZ$176,'D2 - Capex uso'!$C$6:$C$176,$A289,'D2 - Capex uso'!$AK$6:$AK$176,$A305)</f>
        <v>0</v>
      </c>
      <c r="J305" s="710">
        <f>-SUMIFS('D2 - Capex uso'!CA$6:CA$176,'D2 - Capex uso'!$C$6:$C$176,$A289,'D2 - Capex uso'!$AK$6:$AK$176,$A305)</f>
        <v>0</v>
      </c>
      <c r="K305" s="710">
        <f>-SUMIFS('D2 - Capex uso'!CB$6:CB$176,'D2 - Capex uso'!$C$6:$C$176,$A289,'D2 - Capex uso'!$AK$6:$AK$176,$A305)</f>
        <v>0</v>
      </c>
      <c r="L305" s="710">
        <f>-SUMIFS('D2 - Capex uso'!CC$6:CC$176,'D2 - Capex uso'!$C$6:$C$176,$A289,'D2 - Capex uso'!$AK$6:$AK$176,$A305)</f>
        <v>0</v>
      </c>
      <c r="M305" s="710">
        <f>-SUMIFS('D2 - Capex uso'!CD$6:CD$176,'D2 - Capex uso'!$C$6:$C$176,$A289,'D2 - Capex uso'!$AK$6:$AK$176,$A305)</f>
        <v>0</v>
      </c>
      <c r="N305" s="710">
        <f>-SUMIFS('D2 - Capex uso'!CE$6:CE$176,'D2 - Capex uso'!$C$6:$C$176,$A289,'D2 - Capex uso'!$AK$6:$AK$176,$A305)</f>
        <v>0</v>
      </c>
      <c r="O305" s="710">
        <f>-SUMIFS('D2 - Capex uso'!CF$6:CF$176,'D2 - Capex uso'!$C$6:$C$176,$A289,'D2 - Capex uso'!$AK$6:$AK$176,$A305)</f>
        <v>0</v>
      </c>
      <c r="P305" s="710">
        <f>-SUMIFS('D2 - Capex uso'!CG$6:CG$176,'D2 - Capex uso'!$C$6:$C$176,$A289,'D2 - Capex uso'!$AK$6:$AK$176,$A305)</f>
        <v>0</v>
      </c>
      <c r="Q305" s="710">
        <f>-SUMIFS('D2 - Capex uso'!CH$6:CH$176,'D2 - Capex uso'!$C$6:$C$176,$A289,'D2 - Capex uso'!$AK$6:$AK$176,$A305)</f>
        <v>0</v>
      </c>
      <c r="R305" s="710">
        <f>-SUMIFS('D2 - Capex uso'!CI$6:CI$176,'D2 - Capex uso'!$C$6:$C$176,$A289,'D2 - Capex uso'!$AK$6:$AK$176,$A305)</f>
        <v>0</v>
      </c>
      <c r="S305" s="710">
        <f>-SUMIFS('D2 - Capex uso'!CJ$6:CJ$176,'D2 - Capex uso'!$C$6:$C$176,$A289,'D2 - Capex uso'!$AK$6:$AK$176,$A305)</f>
        <v>0</v>
      </c>
      <c r="T305" s="710">
        <f>-SUMIFS('D2 - Capex uso'!CK$6:CK$176,'D2 - Capex uso'!$C$6:$C$176,$A289,'D2 - Capex uso'!$AK$6:$AK$176,$A305)</f>
        <v>0</v>
      </c>
      <c r="U305" s="710">
        <f>-SUMIFS('D2 - Capex uso'!CL$6:CL$176,'D2 - Capex uso'!$C$6:$C$176,$A289,'D2 - Capex uso'!$AK$6:$AK$176,$A305)</f>
        <v>0</v>
      </c>
      <c r="V305" s="710">
        <f>-SUMIFS('D2 - Capex uso'!CM$6:CM$176,'D2 - Capex uso'!$C$6:$C$176,$A289,'D2 - Capex uso'!$AK$6:$AK$176,$A305)</f>
        <v>0</v>
      </c>
      <c r="W305" s="710">
        <f>-SUMIFS('D2 - Capex uso'!CN$6:CN$176,'D2 - Capex uso'!$C$6:$C$176,$A289,'D2 - Capex uso'!$AK$6:$AK$176,$A305)</f>
        <v>0</v>
      </c>
      <c r="X305" s="710">
        <f>-SUMIFS('D2 - Capex uso'!CO$6:CO$176,'D2 - Capex uso'!$C$6:$C$176,$A289,'D2 - Capex uso'!$AK$6:$AK$176,$A305)</f>
        <v>0</v>
      </c>
      <c r="Y305" s="710">
        <f>-SUMIFS('D2 - Capex uso'!CP$6:CP$176,'D2 - Capex uso'!$C$6:$C$176,$A289,'D2 - Capex uso'!$AK$6:$AK$176,$A305)</f>
        <v>0</v>
      </c>
      <c r="Z305" s="710">
        <f>-SUMIFS('D2 - Capex uso'!CQ$6:CQ$176,'D2 - Capex uso'!$C$6:$C$176,$A289,'D2 - Capex uso'!$AK$6:$AK$176,$A305)</f>
        <v>0</v>
      </c>
      <c r="AA305" s="710">
        <f>-SUMIFS('D2 - Capex uso'!CR$6:CR$176,'D2 - Capex uso'!$C$6:$C$176,$A289,'D2 - Capex uso'!$AK$6:$AK$176,$A305)</f>
        <v>0</v>
      </c>
      <c r="AB305" s="710">
        <f>-SUMIFS('D2 - Capex uso'!CS$6:CS$176,'D2 - Capex uso'!$C$6:$C$176,$A289,'D2 - Capex uso'!$AK$6:$AK$176,$A305)</f>
        <v>0</v>
      </c>
      <c r="AC305" s="710">
        <f>-SUMIFS('D2 - Capex uso'!CT$6:CT$176,'D2 - Capex uso'!$C$6:$C$176,$A289,'D2 - Capex uso'!$AK$6:$AK$176,$A305)</f>
        <v>0</v>
      </c>
      <c r="AD305" s="710">
        <f>-SUMIFS('D2 - Capex uso'!CU$6:CU$176,'D2 - Capex uso'!$C$6:$C$176,$A289,'D2 - Capex uso'!$AK$6:$AK$176,$A305)</f>
        <v>0</v>
      </c>
      <c r="AE305" s="710">
        <f>-SUMIFS('D2 - Capex uso'!CV$6:CV$176,'D2 - Capex uso'!$C$6:$C$176,$A289,'D2 - Capex uso'!$AK$6:$AK$176,$A305)</f>
        <v>0</v>
      </c>
      <c r="AF305" s="594"/>
      <c r="AG305" s="594"/>
      <c r="AH305" s="594"/>
      <c r="AI305" s="594"/>
      <c r="AJ305" s="594"/>
      <c r="AK305" s="594"/>
      <c r="AL305" s="594"/>
      <c r="AM305" s="594"/>
      <c r="AN305" s="594"/>
      <c r="AO305" s="594"/>
      <c r="AP305" s="594"/>
      <c r="AQ305" s="594"/>
      <c r="AR305" s="594"/>
      <c r="AS305" s="594"/>
      <c r="AT305" s="594"/>
      <c r="AU305" s="594"/>
      <c r="AV305" s="594"/>
      <c r="AW305" s="594"/>
      <c r="AX305" s="594"/>
      <c r="AY305" s="594"/>
      <c r="AZ305" s="594"/>
      <c r="BA305" s="594"/>
      <c r="BB305" s="594"/>
      <c r="BC305" s="594"/>
      <c r="BD305" s="594"/>
      <c r="BE305" s="594"/>
      <c r="BF305" s="594"/>
      <c r="BG305" s="594"/>
      <c r="BH305" s="594"/>
      <c r="BI305" s="594"/>
      <c r="BJ305" s="594"/>
      <c r="BK305" s="594"/>
      <c r="BL305" s="57"/>
      <c r="BM305" s="594"/>
      <c r="BN305" s="594"/>
      <c r="BO305" s="594"/>
      <c r="BP305" s="594"/>
      <c r="BQ305" s="594"/>
      <c r="BR305" s="594"/>
      <c r="BS305" s="594"/>
      <c r="BT305" s="594"/>
      <c r="BU305" s="594"/>
      <c r="BV305" s="594"/>
      <c r="BW305" s="594"/>
      <c r="BX305" s="594"/>
      <c r="BY305" s="594"/>
      <c r="BZ305" s="594"/>
      <c r="CA305" s="594"/>
      <c r="CB305" s="594"/>
      <c r="CC305" s="594"/>
      <c r="CD305" s="594"/>
      <c r="CE305" s="594"/>
      <c r="CF305" s="594"/>
      <c r="CG305" s="594"/>
      <c r="CH305" s="594"/>
      <c r="CI305" s="594"/>
      <c r="CJ305" s="594"/>
      <c r="CK305" s="594"/>
      <c r="CL305" s="594"/>
      <c r="CM305" s="594"/>
      <c r="CN305" s="594"/>
      <c r="CO305" s="594"/>
      <c r="CP305" s="594"/>
      <c r="CQ305" s="594"/>
    </row>
    <row r="306" spans="1:95" ht="19.5" hidden="1" customHeight="1" outlineLevel="2">
      <c r="A306" s="709" t="s">
        <v>359</v>
      </c>
      <c r="B306" s="710">
        <f>-SUMIFS('D2 - Capex uso'!BS$6:BS$176,'D2 - Capex uso'!$C$6:$C$176,$A289,'D2 - Capex uso'!$AK$6:$AK$176,$A306)</f>
        <v>0</v>
      </c>
      <c r="C306" s="710">
        <f>-SUMIFS('D2 - Capex uso'!BT$6:BT$176,'D2 - Capex uso'!$C$6:$C$176,$A289,'D2 - Capex uso'!$AK$6:$AK$176,$A306)</f>
        <v>0</v>
      </c>
      <c r="D306" s="710">
        <f>-SUMIFS('D2 - Capex uso'!BU$6:BU$176,'D2 - Capex uso'!$C$6:$C$176,$A289,'D2 - Capex uso'!$AK$6:$AK$176,$A306)</f>
        <v>0</v>
      </c>
      <c r="E306" s="710">
        <f>-SUMIFS('D2 - Capex uso'!BV$6:BV$176,'D2 - Capex uso'!$C$6:$C$176,$A289,'D2 - Capex uso'!$AK$6:$AK$176,$A306)</f>
        <v>0</v>
      </c>
      <c r="F306" s="710">
        <f>-SUMIFS('D2 - Capex uso'!BW$6:BW$176,'D2 - Capex uso'!$C$6:$C$176,$A289,'D2 - Capex uso'!$AK$6:$AK$176,$A306)</f>
        <v>0</v>
      </c>
      <c r="G306" s="710">
        <f>-SUMIFS('D2 - Capex uso'!BX$6:BX$176,'D2 - Capex uso'!$C$6:$C$176,$A289,'D2 - Capex uso'!$AK$6:$AK$176,$A306)</f>
        <v>0</v>
      </c>
      <c r="H306" s="710">
        <f>-SUMIFS('D2 - Capex uso'!BY$6:BY$176,'D2 - Capex uso'!$C$6:$C$176,$A289,'D2 - Capex uso'!$AK$6:$AK$176,$A306)</f>
        <v>0</v>
      </c>
      <c r="I306" s="710">
        <f>-SUMIFS('D2 - Capex uso'!BZ$6:BZ$176,'D2 - Capex uso'!$C$6:$C$176,$A289,'D2 - Capex uso'!$AK$6:$AK$176,$A306)</f>
        <v>0</v>
      </c>
      <c r="J306" s="710">
        <f>-SUMIFS('D2 - Capex uso'!CA$6:CA$176,'D2 - Capex uso'!$C$6:$C$176,$A289,'D2 - Capex uso'!$AK$6:$AK$176,$A306)</f>
        <v>0</v>
      </c>
      <c r="K306" s="710">
        <f>-SUMIFS('D2 - Capex uso'!CB$6:CB$176,'D2 - Capex uso'!$C$6:$C$176,$A289,'D2 - Capex uso'!$AK$6:$AK$176,$A306)</f>
        <v>0</v>
      </c>
      <c r="L306" s="710">
        <f>-SUMIFS('D2 - Capex uso'!CC$6:CC$176,'D2 - Capex uso'!$C$6:$C$176,$A289,'D2 - Capex uso'!$AK$6:$AK$176,$A306)</f>
        <v>0</v>
      </c>
      <c r="M306" s="710">
        <f>-SUMIFS('D2 - Capex uso'!CD$6:CD$176,'D2 - Capex uso'!$C$6:$C$176,$A289,'D2 - Capex uso'!$AK$6:$AK$176,$A306)</f>
        <v>0</v>
      </c>
      <c r="N306" s="710">
        <f>-SUMIFS('D2 - Capex uso'!CE$6:CE$176,'D2 - Capex uso'!$C$6:$C$176,$A289,'D2 - Capex uso'!$AK$6:$AK$176,$A306)</f>
        <v>0</v>
      </c>
      <c r="O306" s="710">
        <f>-SUMIFS('D2 - Capex uso'!CF$6:CF$176,'D2 - Capex uso'!$C$6:$C$176,$A289,'D2 - Capex uso'!$AK$6:$AK$176,$A306)</f>
        <v>0</v>
      </c>
      <c r="P306" s="710">
        <f>-SUMIFS('D2 - Capex uso'!CG$6:CG$176,'D2 - Capex uso'!$C$6:$C$176,$A289,'D2 - Capex uso'!$AK$6:$AK$176,$A306)</f>
        <v>0</v>
      </c>
      <c r="Q306" s="710">
        <f>-SUMIFS('D2 - Capex uso'!CH$6:CH$176,'D2 - Capex uso'!$C$6:$C$176,$A289,'D2 - Capex uso'!$AK$6:$AK$176,$A306)</f>
        <v>0</v>
      </c>
      <c r="R306" s="710">
        <f>-SUMIFS('D2 - Capex uso'!CI$6:CI$176,'D2 - Capex uso'!$C$6:$C$176,$A289,'D2 - Capex uso'!$AK$6:$AK$176,$A306)</f>
        <v>0</v>
      </c>
      <c r="S306" s="710">
        <f>-SUMIFS('D2 - Capex uso'!CJ$6:CJ$176,'D2 - Capex uso'!$C$6:$C$176,$A289,'D2 - Capex uso'!$AK$6:$AK$176,$A306)</f>
        <v>0</v>
      </c>
      <c r="T306" s="710">
        <f>-SUMIFS('D2 - Capex uso'!CK$6:CK$176,'D2 - Capex uso'!$C$6:$C$176,$A289,'D2 - Capex uso'!$AK$6:$AK$176,$A306)</f>
        <v>0</v>
      </c>
      <c r="U306" s="710">
        <f>-SUMIFS('D2 - Capex uso'!CL$6:CL$176,'D2 - Capex uso'!$C$6:$C$176,$A289,'D2 - Capex uso'!$AK$6:$AK$176,$A306)</f>
        <v>0</v>
      </c>
      <c r="V306" s="710">
        <f>-SUMIFS('D2 - Capex uso'!CM$6:CM$176,'D2 - Capex uso'!$C$6:$C$176,$A289,'D2 - Capex uso'!$AK$6:$AK$176,$A306)</f>
        <v>0</v>
      </c>
      <c r="W306" s="710">
        <f>-SUMIFS('D2 - Capex uso'!CN$6:CN$176,'D2 - Capex uso'!$C$6:$C$176,$A289,'D2 - Capex uso'!$AK$6:$AK$176,$A306)</f>
        <v>0</v>
      </c>
      <c r="X306" s="710">
        <f>-SUMIFS('D2 - Capex uso'!CO$6:CO$176,'D2 - Capex uso'!$C$6:$C$176,$A289,'D2 - Capex uso'!$AK$6:$AK$176,$A306)</f>
        <v>0</v>
      </c>
      <c r="Y306" s="710">
        <f>-SUMIFS('D2 - Capex uso'!CP$6:CP$176,'D2 - Capex uso'!$C$6:$C$176,$A289,'D2 - Capex uso'!$AK$6:$AK$176,$A306)</f>
        <v>0</v>
      </c>
      <c r="Z306" s="710">
        <f>-SUMIFS('D2 - Capex uso'!CQ$6:CQ$176,'D2 - Capex uso'!$C$6:$C$176,$A289,'D2 - Capex uso'!$AK$6:$AK$176,$A306)</f>
        <v>0</v>
      </c>
      <c r="AA306" s="710">
        <f>-SUMIFS('D2 - Capex uso'!CR$6:CR$176,'D2 - Capex uso'!$C$6:$C$176,$A289,'D2 - Capex uso'!$AK$6:$AK$176,$A306)</f>
        <v>0</v>
      </c>
      <c r="AB306" s="710">
        <f>-SUMIFS('D2 - Capex uso'!CS$6:CS$176,'D2 - Capex uso'!$C$6:$C$176,$A289,'D2 - Capex uso'!$AK$6:$AK$176,$A306)</f>
        <v>0</v>
      </c>
      <c r="AC306" s="710">
        <f>-SUMIFS('D2 - Capex uso'!CT$6:CT$176,'D2 - Capex uso'!$C$6:$C$176,$A289,'D2 - Capex uso'!$AK$6:$AK$176,$A306)</f>
        <v>0</v>
      </c>
      <c r="AD306" s="710">
        <f>-SUMIFS('D2 - Capex uso'!CU$6:CU$176,'D2 - Capex uso'!$C$6:$C$176,$A289,'D2 - Capex uso'!$AK$6:$AK$176,$A306)</f>
        <v>0</v>
      </c>
      <c r="AE306" s="710">
        <f>-SUMIFS('D2 - Capex uso'!CV$6:CV$176,'D2 - Capex uso'!$C$6:$C$176,$A289,'D2 - Capex uso'!$AK$6:$AK$176,$A306)</f>
        <v>0</v>
      </c>
      <c r="AF306" s="594"/>
      <c r="AG306" s="594"/>
      <c r="AH306" s="594"/>
      <c r="AI306" s="594"/>
      <c r="AJ306" s="594"/>
      <c r="AK306" s="594"/>
      <c r="AL306" s="594"/>
      <c r="AM306" s="594"/>
      <c r="AN306" s="594"/>
      <c r="AO306" s="594"/>
      <c r="AP306" s="594"/>
      <c r="AQ306" s="594"/>
      <c r="AR306" s="594"/>
      <c r="AS306" s="594"/>
      <c r="AT306" s="594"/>
      <c r="AU306" s="594"/>
      <c r="AV306" s="594"/>
      <c r="AW306" s="594"/>
      <c r="AX306" s="594"/>
      <c r="AY306" s="594"/>
      <c r="AZ306" s="594"/>
      <c r="BA306" s="594"/>
      <c r="BB306" s="594"/>
      <c r="BC306" s="594"/>
      <c r="BD306" s="594"/>
      <c r="BE306" s="594"/>
      <c r="BF306" s="594"/>
      <c r="BG306" s="594"/>
      <c r="BH306" s="594"/>
      <c r="BI306" s="594"/>
      <c r="BJ306" s="594"/>
      <c r="BK306" s="594"/>
      <c r="BL306" s="57"/>
      <c r="BM306" s="594"/>
      <c r="BN306" s="594"/>
      <c r="BO306" s="594"/>
      <c r="BP306" s="594"/>
      <c r="BQ306" s="594"/>
      <c r="BR306" s="594"/>
      <c r="BS306" s="594"/>
      <c r="BT306" s="594"/>
      <c r="BU306" s="594"/>
      <c r="BV306" s="594"/>
      <c r="BW306" s="594"/>
      <c r="BX306" s="594"/>
      <c r="BY306" s="594"/>
      <c r="BZ306" s="594"/>
      <c r="CA306" s="594"/>
      <c r="CB306" s="594"/>
      <c r="CC306" s="594"/>
      <c r="CD306" s="594"/>
      <c r="CE306" s="594"/>
      <c r="CF306" s="594"/>
      <c r="CG306" s="594"/>
      <c r="CH306" s="594"/>
      <c r="CI306" s="594"/>
      <c r="CJ306" s="594"/>
      <c r="CK306" s="594"/>
      <c r="CL306" s="594"/>
      <c r="CM306" s="594"/>
      <c r="CN306" s="594"/>
      <c r="CO306" s="594"/>
      <c r="CP306" s="594"/>
      <c r="CQ306" s="594"/>
    </row>
    <row r="307" spans="1:95" ht="19.5" hidden="1" customHeight="1" outlineLevel="2">
      <c r="A307" s="709" t="s">
        <v>171</v>
      </c>
      <c r="B307" s="710">
        <f>-SUMIFS('D2 - Capex uso'!BS$6:BS$176,'D2 - Capex uso'!$C$6:$C$176,$A289,'D2 - Capex uso'!$AK$6:$AK$176,$A307)</f>
        <v>0</v>
      </c>
      <c r="C307" s="710">
        <f>-SUMIFS('D2 - Capex uso'!BT$6:BT$176,'D2 - Capex uso'!$C$6:$C$176,$A289,'D2 - Capex uso'!$AK$6:$AK$176,$A307)</f>
        <v>0</v>
      </c>
      <c r="D307" s="710">
        <f>-SUMIFS('D2 - Capex uso'!BU$6:BU$176,'D2 - Capex uso'!$C$6:$C$176,$A289,'D2 - Capex uso'!$AK$6:$AK$176,$A307)</f>
        <v>0</v>
      </c>
      <c r="E307" s="710">
        <f>-SUMIFS('D2 - Capex uso'!BV$6:BV$176,'D2 - Capex uso'!$C$6:$C$176,$A289,'D2 - Capex uso'!$AK$6:$AK$176,$A307)</f>
        <v>0</v>
      </c>
      <c r="F307" s="710">
        <f>-SUMIFS('D2 - Capex uso'!BW$6:BW$176,'D2 - Capex uso'!$C$6:$C$176,$A289,'D2 - Capex uso'!$AK$6:$AK$176,$A307)</f>
        <v>0</v>
      </c>
      <c r="G307" s="710">
        <f>-SUMIFS('D2 - Capex uso'!BX$6:BX$176,'D2 - Capex uso'!$C$6:$C$176,$A289,'D2 - Capex uso'!$AK$6:$AK$176,$A307)</f>
        <v>0</v>
      </c>
      <c r="H307" s="710">
        <f>-SUMIFS('D2 - Capex uso'!BY$6:BY$176,'D2 - Capex uso'!$C$6:$C$176,$A289,'D2 - Capex uso'!$AK$6:$AK$176,$A307)</f>
        <v>0</v>
      </c>
      <c r="I307" s="710">
        <f>-SUMIFS('D2 - Capex uso'!BZ$6:BZ$176,'D2 - Capex uso'!$C$6:$C$176,$A289,'D2 - Capex uso'!$AK$6:$AK$176,$A307)</f>
        <v>0</v>
      </c>
      <c r="J307" s="710">
        <f>-SUMIFS('D2 - Capex uso'!CA$6:CA$176,'D2 - Capex uso'!$C$6:$C$176,$A289,'D2 - Capex uso'!$AK$6:$AK$176,$A307)</f>
        <v>0</v>
      </c>
      <c r="K307" s="710">
        <f>-SUMIFS('D2 - Capex uso'!CB$6:CB$176,'D2 - Capex uso'!$C$6:$C$176,$A289,'D2 - Capex uso'!$AK$6:$AK$176,$A307)</f>
        <v>0</v>
      </c>
      <c r="L307" s="710">
        <f>-SUMIFS('D2 - Capex uso'!CC$6:CC$176,'D2 - Capex uso'!$C$6:$C$176,$A289,'D2 - Capex uso'!$AK$6:$AK$176,$A307)</f>
        <v>0</v>
      </c>
      <c r="M307" s="710">
        <f>-SUMIFS('D2 - Capex uso'!CD$6:CD$176,'D2 - Capex uso'!$C$6:$C$176,$A289,'D2 - Capex uso'!$AK$6:$AK$176,$A307)</f>
        <v>0</v>
      </c>
      <c r="N307" s="710">
        <f>-SUMIFS('D2 - Capex uso'!CE$6:CE$176,'D2 - Capex uso'!$C$6:$C$176,$A289,'D2 - Capex uso'!$AK$6:$AK$176,$A307)</f>
        <v>0</v>
      </c>
      <c r="O307" s="710">
        <f>-SUMIFS('D2 - Capex uso'!CF$6:CF$176,'D2 - Capex uso'!$C$6:$C$176,$A289,'D2 - Capex uso'!$AK$6:$AK$176,$A307)</f>
        <v>0</v>
      </c>
      <c r="P307" s="710">
        <f>-SUMIFS('D2 - Capex uso'!CG$6:CG$176,'D2 - Capex uso'!$C$6:$C$176,$A289,'D2 - Capex uso'!$AK$6:$AK$176,$A307)</f>
        <v>0</v>
      </c>
      <c r="Q307" s="710">
        <f>-SUMIFS('D2 - Capex uso'!CH$6:CH$176,'D2 - Capex uso'!$C$6:$C$176,$A289,'D2 - Capex uso'!$AK$6:$AK$176,$A307)</f>
        <v>0</v>
      </c>
      <c r="R307" s="710">
        <f>-SUMIFS('D2 - Capex uso'!CI$6:CI$176,'D2 - Capex uso'!$C$6:$C$176,$A289,'D2 - Capex uso'!$AK$6:$AK$176,$A307)</f>
        <v>0</v>
      </c>
      <c r="S307" s="710">
        <f>-SUMIFS('D2 - Capex uso'!CJ$6:CJ$176,'D2 - Capex uso'!$C$6:$C$176,$A289,'D2 - Capex uso'!$AK$6:$AK$176,$A307)</f>
        <v>0</v>
      </c>
      <c r="T307" s="710">
        <f>-SUMIFS('D2 - Capex uso'!CK$6:CK$176,'D2 - Capex uso'!$C$6:$C$176,$A289,'D2 - Capex uso'!$AK$6:$AK$176,$A307)</f>
        <v>0</v>
      </c>
      <c r="U307" s="710">
        <f>-SUMIFS('D2 - Capex uso'!CL$6:CL$176,'D2 - Capex uso'!$C$6:$C$176,$A289,'D2 - Capex uso'!$AK$6:$AK$176,$A307)</f>
        <v>0</v>
      </c>
      <c r="V307" s="710">
        <f>-SUMIFS('D2 - Capex uso'!CM$6:CM$176,'D2 - Capex uso'!$C$6:$C$176,$A289,'D2 - Capex uso'!$AK$6:$AK$176,$A307)</f>
        <v>0</v>
      </c>
      <c r="W307" s="710">
        <f>-SUMIFS('D2 - Capex uso'!CN$6:CN$176,'D2 - Capex uso'!$C$6:$C$176,$A289,'D2 - Capex uso'!$AK$6:$AK$176,$A307)</f>
        <v>0</v>
      </c>
      <c r="X307" s="710">
        <f>-SUMIFS('D2 - Capex uso'!CO$6:CO$176,'D2 - Capex uso'!$C$6:$C$176,$A289,'D2 - Capex uso'!$AK$6:$AK$176,$A307)</f>
        <v>0</v>
      </c>
      <c r="Y307" s="710">
        <f>-SUMIFS('D2 - Capex uso'!CP$6:CP$176,'D2 - Capex uso'!$C$6:$C$176,$A289,'D2 - Capex uso'!$AK$6:$AK$176,$A307)</f>
        <v>0</v>
      </c>
      <c r="Z307" s="710">
        <f>-SUMIFS('D2 - Capex uso'!CQ$6:CQ$176,'D2 - Capex uso'!$C$6:$C$176,$A289,'D2 - Capex uso'!$AK$6:$AK$176,$A307)</f>
        <v>0</v>
      </c>
      <c r="AA307" s="710">
        <f>-SUMIFS('D2 - Capex uso'!CR$6:CR$176,'D2 - Capex uso'!$C$6:$C$176,$A289,'D2 - Capex uso'!$AK$6:$AK$176,$A307)</f>
        <v>0</v>
      </c>
      <c r="AB307" s="710">
        <f>-SUMIFS('D2 - Capex uso'!CS$6:CS$176,'D2 - Capex uso'!$C$6:$C$176,$A289,'D2 - Capex uso'!$AK$6:$AK$176,$A307)</f>
        <v>0</v>
      </c>
      <c r="AC307" s="710">
        <f>-SUMIFS('D2 - Capex uso'!CT$6:CT$176,'D2 - Capex uso'!$C$6:$C$176,$A289,'D2 - Capex uso'!$AK$6:$AK$176,$A307)</f>
        <v>0</v>
      </c>
      <c r="AD307" s="710">
        <f>-SUMIFS('D2 - Capex uso'!CU$6:CU$176,'D2 - Capex uso'!$C$6:$C$176,$A289,'D2 - Capex uso'!$AK$6:$AK$176,$A307)</f>
        <v>0</v>
      </c>
      <c r="AE307" s="710">
        <f>-SUMIFS('D2 - Capex uso'!CV$6:CV$176,'D2 - Capex uso'!$C$6:$C$176,$A289,'D2 - Capex uso'!$AK$6:$AK$176,$A307)</f>
        <v>0</v>
      </c>
      <c r="AF307" s="594"/>
      <c r="AG307" s="594"/>
      <c r="AH307" s="594"/>
      <c r="AI307" s="594"/>
      <c r="AJ307" s="594"/>
      <c r="AK307" s="594"/>
      <c r="AL307" s="594"/>
      <c r="AM307" s="594"/>
      <c r="AN307" s="594"/>
      <c r="AO307" s="594"/>
      <c r="AP307" s="594"/>
      <c r="AQ307" s="594"/>
      <c r="AR307" s="594"/>
      <c r="AS307" s="594"/>
      <c r="AT307" s="594"/>
      <c r="AU307" s="594"/>
      <c r="AV307" s="594"/>
      <c r="AW307" s="594"/>
      <c r="AX307" s="594"/>
      <c r="AY307" s="594"/>
      <c r="AZ307" s="594"/>
      <c r="BA307" s="594"/>
      <c r="BB307" s="594"/>
      <c r="BC307" s="594"/>
      <c r="BD307" s="594"/>
      <c r="BE307" s="594"/>
      <c r="BF307" s="594"/>
      <c r="BG307" s="594"/>
      <c r="BH307" s="594"/>
      <c r="BI307" s="594"/>
      <c r="BJ307" s="594"/>
      <c r="BK307" s="594"/>
      <c r="BL307" s="57"/>
      <c r="BM307" s="594"/>
      <c r="BN307" s="594"/>
      <c r="BO307" s="594"/>
      <c r="BP307" s="594"/>
      <c r="BQ307" s="594"/>
      <c r="BR307" s="594"/>
      <c r="BS307" s="594"/>
      <c r="BT307" s="594"/>
      <c r="BU307" s="594"/>
      <c r="BV307" s="594"/>
      <c r="BW307" s="594"/>
      <c r="BX307" s="594"/>
      <c r="BY307" s="594"/>
      <c r="BZ307" s="594"/>
      <c r="CA307" s="594"/>
      <c r="CB307" s="594"/>
      <c r="CC307" s="594"/>
      <c r="CD307" s="594"/>
      <c r="CE307" s="594"/>
      <c r="CF307" s="594"/>
      <c r="CG307" s="594"/>
      <c r="CH307" s="594"/>
      <c r="CI307" s="594"/>
      <c r="CJ307" s="594"/>
      <c r="CK307" s="594"/>
      <c r="CL307" s="594"/>
      <c r="CM307" s="594"/>
      <c r="CN307" s="594"/>
      <c r="CO307" s="594"/>
      <c r="CP307" s="594"/>
      <c r="CQ307" s="594"/>
    </row>
    <row r="308" spans="1:95" ht="27" customHeight="1" collapsed="1">
      <c r="A308" s="703" t="str">
        <f>IF(ISBLANK('A1 - Serviços e demanda'!A36),,'A1 - Serviços e demanda'!A36)</f>
        <v>Mangue Seco - Estacionamento</v>
      </c>
      <c r="B308" s="704">
        <f t="shared" ref="B308:AE308" si="96">IF($A308=0,0,SUM(B317:B318))</f>
        <v>-415179.94549999997</v>
      </c>
      <c r="C308" s="704">
        <f t="shared" si="96"/>
        <v>-208404.41006080003</v>
      </c>
      <c r="D308" s="704">
        <f t="shared" si="96"/>
        <v>-208404.41006080003</v>
      </c>
      <c r="E308" s="704">
        <f t="shared" si="96"/>
        <v>-208404.41006080003</v>
      </c>
      <c r="F308" s="704">
        <f t="shared" si="96"/>
        <v>-208404.41006080003</v>
      </c>
      <c r="G308" s="704">
        <f t="shared" si="96"/>
        <v>-208404.41006080003</v>
      </c>
      <c r="H308" s="704">
        <f t="shared" si="96"/>
        <v>-208404.41006080003</v>
      </c>
      <c r="I308" s="704">
        <f t="shared" si="96"/>
        <v>-208404.41006080003</v>
      </c>
      <c r="J308" s="704">
        <f t="shared" si="96"/>
        <v>-208404.41006080003</v>
      </c>
      <c r="K308" s="704">
        <f t="shared" si="96"/>
        <v>-208404.41006080003</v>
      </c>
      <c r="L308" s="704">
        <f t="shared" si="96"/>
        <v>-228754.41006080003</v>
      </c>
      <c r="M308" s="704">
        <f t="shared" si="96"/>
        <v>-208404.41006080003</v>
      </c>
      <c r="N308" s="704">
        <f t="shared" si="96"/>
        <v>-208404.41006080003</v>
      </c>
      <c r="O308" s="704">
        <f t="shared" si="96"/>
        <v>-208404.41006080003</v>
      </c>
      <c r="P308" s="704">
        <f t="shared" si="96"/>
        <v>-208404.41006080003</v>
      </c>
      <c r="Q308" s="704">
        <f t="shared" si="96"/>
        <v>-208404.41006080003</v>
      </c>
      <c r="R308" s="704">
        <f t="shared" si="96"/>
        <v>-208404.41006080003</v>
      </c>
      <c r="S308" s="704">
        <f t="shared" si="96"/>
        <v>-208404.41006080003</v>
      </c>
      <c r="T308" s="704">
        <f t="shared" si="96"/>
        <v>-208404.41006080003</v>
      </c>
      <c r="U308" s="704">
        <f t="shared" si="96"/>
        <v>-208404.41006080003</v>
      </c>
      <c r="V308" s="704">
        <f t="shared" si="96"/>
        <v>-228754.41006080003</v>
      </c>
      <c r="W308" s="704">
        <f t="shared" si="96"/>
        <v>-208404.41006080003</v>
      </c>
      <c r="X308" s="704">
        <f t="shared" si="96"/>
        <v>-208404.41006080003</v>
      </c>
      <c r="Y308" s="704">
        <f t="shared" si="96"/>
        <v>-208404.41006080003</v>
      </c>
      <c r="Z308" s="704">
        <f t="shared" si="96"/>
        <v>-208404.41006080003</v>
      </c>
      <c r="AA308" s="704">
        <f t="shared" si="96"/>
        <v>-208404.41006080003</v>
      </c>
      <c r="AB308" s="704">
        <f t="shared" si="96"/>
        <v>-208404.41006080003</v>
      </c>
      <c r="AC308" s="704">
        <f t="shared" si="96"/>
        <v>-208404.41006080003</v>
      </c>
      <c r="AD308" s="704">
        <f t="shared" si="96"/>
        <v>-208404.41006080003</v>
      </c>
      <c r="AE308" s="704">
        <f t="shared" si="96"/>
        <v>-208404.41006080003</v>
      </c>
      <c r="AF308" s="594"/>
      <c r="AG308" s="486" t="str">
        <f>A308</f>
        <v>Mangue Seco - Estacionamento</v>
      </c>
      <c r="AH308" s="705">
        <f t="shared" ref="AH308:BK308" si="97">IFERROR(-B311/B309,0)</f>
        <v>0</v>
      </c>
      <c r="AI308" s="705">
        <f t="shared" si="97"/>
        <v>0</v>
      </c>
      <c r="AJ308" s="705">
        <f t="shared" si="97"/>
        <v>0</v>
      </c>
      <c r="AK308" s="705">
        <f t="shared" si="97"/>
        <v>0</v>
      </c>
      <c r="AL308" s="705">
        <f t="shared" si="97"/>
        <v>0</v>
      </c>
      <c r="AM308" s="705">
        <f t="shared" si="97"/>
        <v>0</v>
      </c>
      <c r="AN308" s="705">
        <f t="shared" si="97"/>
        <v>0</v>
      </c>
      <c r="AO308" s="705">
        <f t="shared" si="97"/>
        <v>0</v>
      </c>
      <c r="AP308" s="705">
        <f t="shared" si="97"/>
        <v>0</v>
      </c>
      <c r="AQ308" s="705">
        <f t="shared" si="97"/>
        <v>0</v>
      </c>
      <c r="AR308" s="705">
        <f t="shared" si="97"/>
        <v>0</v>
      </c>
      <c r="AS308" s="705">
        <f t="shared" si="97"/>
        <v>0</v>
      </c>
      <c r="AT308" s="705">
        <f t="shared" si="97"/>
        <v>0</v>
      </c>
      <c r="AU308" s="705">
        <f t="shared" si="97"/>
        <v>0</v>
      </c>
      <c r="AV308" s="705">
        <f t="shared" si="97"/>
        <v>0</v>
      </c>
      <c r="AW308" s="705">
        <f t="shared" si="97"/>
        <v>0</v>
      </c>
      <c r="AX308" s="705">
        <f t="shared" si="97"/>
        <v>0</v>
      </c>
      <c r="AY308" s="705">
        <f t="shared" si="97"/>
        <v>0</v>
      </c>
      <c r="AZ308" s="705">
        <f t="shared" si="97"/>
        <v>0</v>
      </c>
      <c r="BA308" s="705">
        <f t="shared" si="97"/>
        <v>0</v>
      </c>
      <c r="BB308" s="705">
        <f t="shared" si="97"/>
        <v>0</v>
      </c>
      <c r="BC308" s="705">
        <f t="shared" si="97"/>
        <v>0</v>
      </c>
      <c r="BD308" s="705">
        <f t="shared" si="97"/>
        <v>0</v>
      </c>
      <c r="BE308" s="705">
        <f t="shared" si="97"/>
        <v>0</v>
      </c>
      <c r="BF308" s="705">
        <f t="shared" si="97"/>
        <v>0</v>
      </c>
      <c r="BG308" s="705">
        <f t="shared" si="97"/>
        <v>0</v>
      </c>
      <c r="BH308" s="705">
        <f t="shared" si="97"/>
        <v>0</v>
      </c>
      <c r="BI308" s="705">
        <f t="shared" si="97"/>
        <v>0</v>
      </c>
      <c r="BJ308" s="705">
        <f t="shared" si="97"/>
        <v>0</v>
      </c>
      <c r="BK308" s="705">
        <f t="shared" si="97"/>
        <v>0</v>
      </c>
      <c r="BL308" s="57"/>
      <c r="BM308" s="486" t="str">
        <f>AG308</f>
        <v>Mangue Seco - Estacionamento</v>
      </c>
      <c r="BN308" s="705">
        <f t="shared" ref="BN308:CQ308" si="98">IFERROR(B317/B309,0)</f>
        <v>0</v>
      </c>
      <c r="BO308" s="705">
        <f t="shared" si="98"/>
        <v>0</v>
      </c>
      <c r="BP308" s="705">
        <f t="shared" si="98"/>
        <v>0</v>
      </c>
      <c r="BQ308" s="705">
        <f t="shared" si="98"/>
        <v>0</v>
      </c>
      <c r="BR308" s="705">
        <f t="shared" si="98"/>
        <v>0</v>
      </c>
      <c r="BS308" s="705">
        <f t="shared" si="98"/>
        <v>0</v>
      </c>
      <c r="BT308" s="705">
        <f t="shared" si="98"/>
        <v>0</v>
      </c>
      <c r="BU308" s="705">
        <f t="shared" si="98"/>
        <v>0</v>
      </c>
      <c r="BV308" s="705">
        <f t="shared" si="98"/>
        <v>0</v>
      </c>
      <c r="BW308" s="705">
        <f t="shared" si="98"/>
        <v>0</v>
      </c>
      <c r="BX308" s="705">
        <f t="shared" si="98"/>
        <v>0</v>
      </c>
      <c r="BY308" s="705">
        <f t="shared" si="98"/>
        <v>0</v>
      </c>
      <c r="BZ308" s="705">
        <f t="shared" si="98"/>
        <v>0</v>
      </c>
      <c r="CA308" s="705">
        <f t="shared" si="98"/>
        <v>0</v>
      </c>
      <c r="CB308" s="705">
        <f t="shared" si="98"/>
        <v>0</v>
      </c>
      <c r="CC308" s="705">
        <f t="shared" si="98"/>
        <v>0</v>
      </c>
      <c r="CD308" s="705">
        <f t="shared" si="98"/>
        <v>0</v>
      </c>
      <c r="CE308" s="705">
        <f t="shared" si="98"/>
        <v>0</v>
      </c>
      <c r="CF308" s="705">
        <f t="shared" si="98"/>
        <v>0</v>
      </c>
      <c r="CG308" s="705">
        <f t="shared" si="98"/>
        <v>0</v>
      </c>
      <c r="CH308" s="705">
        <f t="shared" si="98"/>
        <v>0</v>
      </c>
      <c r="CI308" s="705">
        <f t="shared" si="98"/>
        <v>0</v>
      </c>
      <c r="CJ308" s="705">
        <f t="shared" si="98"/>
        <v>0</v>
      </c>
      <c r="CK308" s="705">
        <f t="shared" si="98"/>
        <v>0</v>
      </c>
      <c r="CL308" s="705">
        <f t="shared" si="98"/>
        <v>0</v>
      </c>
      <c r="CM308" s="705">
        <f t="shared" si="98"/>
        <v>0</v>
      </c>
      <c r="CN308" s="705">
        <f t="shared" si="98"/>
        <v>0</v>
      </c>
      <c r="CO308" s="705">
        <f t="shared" si="98"/>
        <v>0</v>
      </c>
      <c r="CP308" s="705">
        <f t="shared" si="98"/>
        <v>0</v>
      </c>
      <c r="CQ308" s="705">
        <f t="shared" si="98"/>
        <v>0</v>
      </c>
    </row>
    <row r="309" spans="1:95" ht="33.75" hidden="1" customHeight="1" outlineLevel="1">
      <c r="A309" s="706" t="s">
        <v>680</v>
      </c>
      <c r="B309" s="707">
        <f>IFERROR(VLOOKUP($A308,ReceitaBruta,COLUMN('A4 - Previsão de Receita Bruta'!C311)-1,0),0)</f>
        <v>0</v>
      </c>
      <c r="C309" s="707">
        <f>IFERROR(VLOOKUP($A308,ReceitaBruta,COLUMN('A4 - Previsão de Receita Bruta'!D311)-1,0),0)</f>
        <v>0</v>
      </c>
      <c r="D309" s="707">
        <f>IFERROR(VLOOKUP($A308,ReceitaBruta,COLUMN('A4 - Previsão de Receita Bruta'!E311)-1,0),0)</f>
        <v>0</v>
      </c>
      <c r="E309" s="707">
        <f>IFERROR(VLOOKUP($A308,ReceitaBruta,COLUMN('A4 - Previsão de Receita Bruta'!F311)-1,0),0)</f>
        <v>0</v>
      </c>
      <c r="F309" s="707">
        <f>IFERROR(VLOOKUP($A308,ReceitaBruta,COLUMN('A4 - Previsão de Receita Bruta'!G311)-1,0),0)</f>
        <v>0</v>
      </c>
      <c r="G309" s="707">
        <f>IFERROR(VLOOKUP($A308,ReceitaBruta,COLUMN('A4 - Previsão de Receita Bruta'!H311)-1,0),0)</f>
        <v>0</v>
      </c>
      <c r="H309" s="707">
        <f>IFERROR(VLOOKUP($A308,ReceitaBruta,COLUMN('A4 - Previsão de Receita Bruta'!I311)-1,0),0)</f>
        <v>0</v>
      </c>
      <c r="I309" s="707">
        <f>IFERROR(VLOOKUP($A308,ReceitaBruta,COLUMN('A4 - Previsão de Receita Bruta'!J311)-1,0),0)</f>
        <v>0</v>
      </c>
      <c r="J309" s="707">
        <f>IFERROR(VLOOKUP($A308,ReceitaBruta,COLUMN('A4 - Previsão de Receita Bruta'!K311)-1,0),0)</f>
        <v>0</v>
      </c>
      <c r="K309" s="707">
        <f>IFERROR(VLOOKUP($A308,ReceitaBruta,COLUMN('A4 - Previsão de Receita Bruta'!L311)-1,0),0)</f>
        <v>0</v>
      </c>
      <c r="L309" s="707">
        <f>IFERROR(VLOOKUP($A308,ReceitaBruta,COLUMN('A4 - Previsão de Receita Bruta'!M311)-1,0),0)</f>
        <v>0</v>
      </c>
      <c r="M309" s="707">
        <f>IFERROR(VLOOKUP($A308,ReceitaBruta,COLUMN('A4 - Previsão de Receita Bruta'!N311)-1,0),0)</f>
        <v>0</v>
      </c>
      <c r="N309" s="707">
        <f>IFERROR(VLOOKUP($A308,ReceitaBruta,COLUMN('A4 - Previsão de Receita Bruta'!O311)-1,0),0)</f>
        <v>0</v>
      </c>
      <c r="O309" s="707">
        <f>IFERROR(VLOOKUP($A308,ReceitaBruta,COLUMN('A4 - Previsão de Receita Bruta'!P311)-1,0),0)</f>
        <v>0</v>
      </c>
      <c r="P309" s="707">
        <f>IFERROR(VLOOKUP($A308,ReceitaBruta,COLUMN('A4 - Previsão de Receita Bruta'!Q311)-1,0),0)</f>
        <v>0</v>
      </c>
      <c r="Q309" s="707">
        <f>IFERROR(VLOOKUP($A308,ReceitaBruta,COLUMN('A4 - Previsão de Receita Bruta'!R311)-1,0),0)</f>
        <v>0</v>
      </c>
      <c r="R309" s="707">
        <f>IFERROR(VLOOKUP($A308,ReceitaBruta,COLUMN('A4 - Previsão de Receita Bruta'!S311)-1,0),0)</f>
        <v>0</v>
      </c>
      <c r="S309" s="707">
        <f>IFERROR(VLOOKUP($A308,ReceitaBruta,COLUMN('A4 - Previsão de Receita Bruta'!T311)-1,0),0)</f>
        <v>0</v>
      </c>
      <c r="T309" s="707">
        <f>IFERROR(VLOOKUP($A308,ReceitaBruta,COLUMN('A4 - Previsão de Receita Bruta'!U311)-1,0),0)</f>
        <v>0</v>
      </c>
      <c r="U309" s="707">
        <f>IFERROR(VLOOKUP($A308,ReceitaBruta,COLUMN('A4 - Previsão de Receita Bruta'!V311)-1,0),0)</f>
        <v>0</v>
      </c>
      <c r="V309" s="707">
        <f>IFERROR(VLOOKUP($A308,ReceitaBruta,COLUMN('A4 - Previsão de Receita Bruta'!W311)-1,0),0)</f>
        <v>0</v>
      </c>
      <c r="W309" s="707">
        <f>IFERROR(VLOOKUP($A308,ReceitaBruta,COLUMN('A4 - Previsão de Receita Bruta'!X311)-1,0),0)</f>
        <v>0</v>
      </c>
      <c r="X309" s="707">
        <f>IFERROR(VLOOKUP($A308,ReceitaBruta,COLUMN('A4 - Previsão de Receita Bruta'!Y311)-1,0),0)</f>
        <v>0</v>
      </c>
      <c r="Y309" s="707">
        <f>IFERROR(VLOOKUP($A308,ReceitaBruta,COLUMN('A4 - Previsão de Receita Bruta'!Z311)-1,0),0)</f>
        <v>0</v>
      </c>
      <c r="Z309" s="707">
        <f>IFERROR(VLOOKUP($A308,ReceitaBruta,COLUMN('A4 - Previsão de Receita Bruta'!AA311)-1,0),0)</f>
        <v>0</v>
      </c>
      <c r="AA309" s="707">
        <f>IFERROR(VLOOKUP($A308,ReceitaBruta,COLUMN('A4 - Previsão de Receita Bruta'!AB311)-1,0),0)</f>
        <v>0</v>
      </c>
      <c r="AB309" s="707">
        <f>IFERROR(VLOOKUP($A308,ReceitaBruta,COLUMN('A4 - Previsão de Receita Bruta'!AC311)-1,0),0)</f>
        <v>0</v>
      </c>
      <c r="AC309" s="707">
        <f>IFERROR(VLOOKUP($A308,ReceitaBruta,COLUMN('A4 - Previsão de Receita Bruta'!AD311)-1,0),0)</f>
        <v>0</v>
      </c>
      <c r="AD309" s="707">
        <f>IFERROR(VLOOKUP($A308,ReceitaBruta,COLUMN('A4 - Previsão de Receita Bruta'!AE311)-1,0),0)</f>
        <v>0</v>
      </c>
      <c r="AE309" s="707">
        <f>IFERROR(VLOOKUP($A308,ReceitaBruta,COLUMN('A4 - Previsão de Receita Bruta'!AF311)-1,0),0)</f>
        <v>0</v>
      </c>
      <c r="AF309" s="594"/>
      <c r="AG309" s="594"/>
      <c r="AH309" s="594"/>
      <c r="AI309" s="594"/>
      <c r="AJ309" s="594"/>
      <c r="AK309" s="594"/>
      <c r="AL309" s="594"/>
      <c r="AM309" s="594"/>
      <c r="AN309" s="594"/>
      <c r="AO309" s="594"/>
      <c r="AP309" s="594"/>
      <c r="AQ309" s="594"/>
      <c r="AR309" s="594"/>
      <c r="AS309" s="594"/>
      <c r="AT309" s="594"/>
      <c r="AU309" s="594"/>
      <c r="AV309" s="594"/>
      <c r="AW309" s="594"/>
      <c r="AX309" s="594"/>
      <c r="AY309" s="594"/>
      <c r="AZ309" s="594"/>
      <c r="BA309" s="594"/>
      <c r="BB309" s="594"/>
      <c r="BC309" s="594"/>
      <c r="BD309" s="594"/>
      <c r="BE309" s="594"/>
      <c r="BF309" s="594"/>
      <c r="BG309" s="594"/>
      <c r="BH309" s="594"/>
      <c r="BI309" s="594"/>
      <c r="BJ309" s="594"/>
      <c r="BK309" s="594"/>
      <c r="BL309" s="57"/>
      <c r="BM309" s="594"/>
      <c r="BN309" s="594"/>
      <c r="BO309" s="594"/>
      <c r="BP309" s="594"/>
      <c r="BQ309" s="594"/>
      <c r="BR309" s="594"/>
      <c r="BS309" s="594"/>
      <c r="BT309" s="594"/>
      <c r="BU309" s="594"/>
      <c r="BV309" s="594"/>
      <c r="BW309" s="594"/>
      <c r="BX309" s="594"/>
      <c r="BY309" s="594"/>
      <c r="BZ309" s="594"/>
      <c r="CA309" s="594"/>
      <c r="CB309" s="594"/>
      <c r="CC309" s="594"/>
      <c r="CD309" s="594"/>
      <c r="CE309" s="594"/>
      <c r="CF309" s="594"/>
      <c r="CG309" s="594"/>
      <c r="CH309" s="594"/>
      <c r="CI309" s="594"/>
      <c r="CJ309" s="594"/>
      <c r="CK309" s="594"/>
      <c r="CL309" s="594"/>
      <c r="CM309" s="594"/>
      <c r="CN309" s="594"/>
      <c r="CO309" s="594"/>
      <c r="CP309" s="594"/>
      <c r="CQ309" s="594"/>
    </row>
    <row r="310" spans="1:95" ht="21" hidden="1" customHeight="1" outlineLevel="1">
      <c r="A310" s="708" t="s">
        <v>681</v>
      </c>
      <c r="B310" s="707">
        <f>IFERROR(-'E2 - Tributos'!D$19*VLOOKUP('F1 - FCL'!$A308,ReceitaBruta,COLUMN('A4 - Previsão de Receita Bruta'!C$6)-1,0),0)</f>
        <v>0</v>
      </c>
      <c r="C310" s="707">
        <f>IFERROR(-'E2 - Tributos'!E$19*VLOOKUP('F1 - FCL'!$A308,ReceitaBruta,COLUMN('A4 - Previsão de Receita Bruta'!D$6)-1,0),0)</f>
        <v>0</v>
      </c>
      <c r="D310" s="707">
        <f>IFERROR(-'E2 - Tributos'!F$19*VLOOKUP('F1 - FCL'!$A308,ReceitaBruta,COLUMN('A4 - Previsão de Receita Bruta'!E$6)-1,0),0)</f>
        <v>0</v>
      </c>
      <c r="E310" s="707">
        <f>IFERROR(-'E2 - Tributos'!G$19*VLOOKUP('F1 - FCL'!$A308,ReceitaBruta,COLUMN('A4 - Previsão de Receita Bruta'!F$6)-1,0),0)</f>
        <v>0</v>
      </c>
      <c r="F310" s="707">
        <f>IFERROR(-'E2 - Tributos'!H$19*VLOOKUP('F1 - FCL'!$A308,ReceitaBruta,COLUMN('A4 - Previsão de Receita Bruta'!G$6)-1,0),0)</f>
        <v>0</v>
      </c>
      <c r="G310" s="707">
        <f>IFERROR(-'E2 - Tributos'!I$19*VLOOKUP('F1 - FCL'!$A308,ReceitaBruta,COLUMN('A4 - Previsão de Receita Bruta'!H$6)-1,0),0)</f>
        <v>0</v>
      </c>
      <c r="H310" s="707">
        <f>IFERROR(-'E2 - Tributos'!J$19*VLOOKUP('F1 - FCL'!$A308,ReceitaBruta,COLUMN('A4 - Previsão de Receita Bruta'!I$6)-1,0),0)</f>
        <v>0</v>
      </c>
      <c r="I310" s="707">
        <f>IFERROR(-'E2 - Tributos'!K$19*VLOOKUP('F1 - FCL'!$A308,ReceitaBruta,COLUMN('A4 - Previsão de Receita Bruta'!J$6)-1,0),0)</f>
        <v>0</v>
      </c>
      <c r="J310" s="707">
        <f>IFERROR(-'E2 - Tributos'!L$19*VLOOKUP('F1 - FCL'!$A308,ReceitaBruta,COLUMN('A4 - Previsão de Receita Bruta'!K$6)-1,0),0)</f>
        <v>0</v>
      </c>
      <c r="K310" s="707">
        <f>IFERROR(-'E2 - Tributos'!M$19*VLOOKUP('F1 - FCL'!$A308,ReceitaBruta,COLUMN('A4 - Previsão de Receita Bruta'!L$6)-1,0),0)</f>
        <v>0</v>
      </c>
      <c r="L310" s="707">
        <f>IFERROR(-'E2 - Tributos'!N$19*VLOOKUP('F1 - FCL'!$A308,ReceitaBruta,COLUMN('A4 - Previsão de Receita Bruta'!M$6)-1,0),0)</f>
        <v>0</v>
      </c>
      <c r="M310" s="707">
        <f>IFERROR(-'E2 - Tributos'!O$19*VLOOKUP('F1 - FCL'!$A308,ReceitaBruta,COLUMN('A4 - Previsão de Receita Bruta'!N$6)-1,0),0)</f>
        <v>0</v>
      </c>
      <c r="N310" s="707">
        <f>IFERROR(-'E2 - Tributos'!P$19*VLOOKUP('F1 - FCL'!$A308,ReceitaBruta,COLUMN('A4 - Previsão de Receita Bruta'!O$6)-1,0),0)</f>
        <v>0</v>
      </c>
      <c r="O310" s="707">
        <f>IFERROR(-'E2 - Tributos'!Q$19*VLOOKUP('F1 - FCL'!$A308,ReceitaBruta,COLUMN('A4 - Previsão de Receita Bruta'!P$6)-1,0),0)</f>
        <v>0</v>
      </c>
      <c r="P310" s="707">
        <f>IFERROR(-'E2 - Tributos'!R$19*VLOOKUP('F1 - FCL'!$A308,ReceitaBruta,COLUMN('A4 - Previsão de Receita Bruta'!Q$6)-1,0),0)</f>
        <v>0</v>
      </c>
      <c r="Q310" s="707">
        <f>IFERROR(-'E2 - Tributos'!S$19*VLOOKUP('F1 - FCL'!$A308,ReceitaBruta,COLUMN('A4 - Previsão de Receita Bruta'!R$6)-1,0),0)</f>
        <v>0</v>
      </c>
      <c r="R310" s="707">
        <f>IFERROR(-'E2 - Tributos'!T$19*VLOOKUP('F1 - FCL'!$A308,ReceitaBruta,COLUMN('A4 - Previsão de Receita Bruta'!S$6)-1,0),0)</f>
        <v>0</v>
      </c>
      <c r="S310" s="707">
        <f>IFERROR(-'E2 - Tributos'!U$19*VLOOKUP('F1 - FCL'!$A308,ReceitaBruta,COLUMN('A4 - Previsão de Receita Bruta'!T$6)-1,0),0)</f>
        <v>0</v>
      </c>
      <c r="T310" s="707">
        <f>IFERROR(-'E2 - Tributos'!V$19*VLOOKUP('F1 - FCL'!$A308,ReceitaBruta,COLUMN('A4 - Previsão de Receita Bruta'!U$6)-1,0),0)</f>
        <v>0</v>
      </c>
      <c r="U310" s="707">
        <f>IFERROR(-'E2 - Tributos'!W$19*VLOOKUP('F1 - FCL'!$A308,ReceitaBruta,COLUMN('A4 - Previsão de Receita Bruta'!V$6)-1,0),0)</f>
        <v>0</v>
      </c>
      <c r="V310" s="707">
        <f>IFERROR(-'E2 - Tributos'!X$19*VLOOKUP('F1 - FCL'!$A308,ReceitaBruta,COLUMN('A4 - Previsão de Receita Bruta'!W$6)-1,0),0)</f>
        <v>0</v>
      </c>
      <c r="W310" s="707">
        <f>IFERROR(-'E2 - Tributos'!Y$19*VLOOKUP('F1 - FCL'!$A308,ReceitaBruta,COLUMN('A4 - Previsão de Receita Bruta'!X$6)-1,0),0)</f>
        <v>0</v>
      </c>
      <c r="X310" s="707">
        <f>IFERROR(-'E2 - Tributos'!Z$19*VLOOKUP('F1 - FCL'!$A308,ReceitaBruta,COLUMN('A4 - Previsão de Receita Bruta'!Y$6)-1,0),0)</f>
        <v>0</v>
      </c>
      <c r="Y310" s="707">
        <f>IFERROR(-'E2 - Tributos'!AA$19*VLOOKUP('F1 - FCL'!$A308,ReceitaBruta,COLUMN('A4 - Previsão de Receita Bruta'!Z$6)-1,0),0)</f>
        <v>0</v>
      </c>
      <c r="Z310" s="707">
        <f>IFERROR(-'E2 - Tributos'!AB$19*VLOOKUP('F1 - FCL'!$A308,ReceitaBruta,COLUMN('A4 - Previsão de Receita Bruta'!AA$6)-1,0),0)</f>
        <v>0</v>
      </c>
      <c r="AA310" s="707">
        <f>IFERROR(-'E2 - Tributos'!AC$19*VLOOKUP('F1 - FCL'!$A308,ReceitaBruta,COLUMN('A4 - Previsão de Receita Bruta'!AB$6)-1,0),0)</f>
        <v>0</v>
      </c>
      <c r="AB310" s="707">
        <f>IFERROR(-'E2 - Tributos'!AD$19*VLOOKUP('F1 - FCL'!$A308,ReceitaBruta,COLUMN('A4 - Previsão de Receita Bruta'!AC$6)-1,0),0)</f>
        <v>0</v>
      </c>
      <c r="AC310" s="707">
        <f>IFERROR(-'E2 - Tributos'!AE$19*VLOOKUP('F1 - FCL'!$A308,ReceitaBruta,COLUMN('A4 - Previsão de Receita Bruta'!AD$6)-1,0),0)</f>
        <v>0</v>
      </c>
      <c r="AD310" s="707">
        <f>IFERROR(-'E2 - Tributos'!AF$19*VLOOKUP('F1 - FCL'!$A308,ReceitaBruta,COLUMN('A4 - Previsão de Receita Bruta'!AE$6)-1,0),0)</f>
        <v>0</v>
      </c>
      <c r="AE310" s="707">
        <f>IFERROR(-'E2 - Tributos'!AG$19*VLOOKUP('F1 - FCL'!$A308,ReceitaBruta,COLUMN('A4 - Previsão de Receita Bruta'!AF$6)-1,0),0)</f>
        <v>0</v>
      </c>
      <c r="AF310" s="594"/>
      <c r="AG310" s="594"/>
      <c r="AH310" s="594"/>
      <c r="AI310" s="594"/>
      <c r="AJ310" s="594"/>
      <c r="AK310" s="594"/>
      <c r="AL310" s="594"/>
      <c r="AM310" s="594"/>
      <c r="AN310" s="594"/>
      <c r="AO310" s="594"/>
      <c r="AP310" s="594"/>
      <c r="AQ310" s="594"/>
      <c r="AR310" s="594"/>
      <c r="AS310" s="594"/>
      <c r="AT310" s="594"/>
      <c r="AU310" s="594"/>
      <c r="AV310" s="594"/>
      <c r="AW310" s="594"/>
      <c r="AX310" s="594"/>
      <c r="AY310" s="594"/>
      <c r="AZ310" s="594"/>
      <c r="BA310" s="594"/>
      <c r="BB310" s="594"/>
      <c r="BC310" s="594"/>
      <c r="BD310" s="594"/>
      <c r="BE310" s="594"/>
      <c r="BF310" s="594"/>
      <c r="BG310" s="594"/>
      <c r="BH310" s="594"/>
      <c r="BI310" s="594"/>
      <c r="BJ310" s="594"/>
      <c r="BK310" s="594"/>
      <c r="BL310" s="57"/>
      <c r="BM310" s="594"/>
      <c r="BN310" s="594"/>
      <c r="BO310" s="594"/>
      <c r="BP310" s="594"/>
      <c r="BQ310" s="594"/>
      <c r="BR310" s="594"/>
      <c r="BS310" s="594"/>
      <c r="BT310" s="594"/>
      <c r="BU310" s="594"/>
      <c r="BV310" s="594"/>
      <c r="BW310" s="594"/>
      <c r="BX310" s="594"/>
      <c r="BY310" s="594"/>
      <c r="BZ310" s="594"/>
      <c r="CA310" s="594"/>
      <c r="CB310" s="594"/>
      <c r="CC310" s="594"/>
      <c r="CD310" s="594"/>
      <c r="CE310" s="594"/>
      <c r="CF310" s="594"/>
      <c r="CG310" s="594"/>
      <c r="CH310" s="594"/>
      <c r="CI310" s="594"/>
      <c r="CJ310" s="594"/>
      <c r="CK310" s="594"/>
      <c r="CL310" s="594"/>
      <c r="CM310" s="594"/>
      <c r="CN310" s="594"/>
      <c r="CO310" s="594"/>
      <c r="CP310" s="594"/>
      <c r="CQ310" s="594"/>
    </row>
    <row r="311" spans="1:95" ht="19.5" hidden="1" customHeight="1" outlineLevel="1">
      <c r="A311" s="708" t="s">
        <v>590</v>
      </c>
      <c r="B311" s="707">
        <f t="shared" ref="B311:AE311" si="99">SUM(B312:B316)</f>
        <v>-49789.095499999996</v>
      </c>
      <c r="C311" s="707">
        <f t="shared" si="99"/>
        <v>-208404.41006080003</v>
      </c>
      <c r="D311" s="707">
        <f t="shared" si="99"/>
        <v>-208404.41006080003</v>
      </c>
      <c r="E311" s="707">
        <f t="shared" si="99"/>
        <v>-208404.41006080003</v>
      </c>
      <c r="F311" s="707">
        <f t="shared" si="99"/>
        <v>-208404.41006080003</v>
      </c>
      <c r="G311" s="707">
        <f t="shared" si="99"/>
        <v>-208404.41006080003</v>
      </c>
      <c r="H311" s="707">
        <f t="shared" si="99"/>
        <v>-208404.41006080003</v>
      </c>
      <c r="I311" s="707">
        <f t="shared" si="99"/>
        <v>-208404.41006080003</v>
      </c>
      <c r="J311" s="707">
        <f t="shared" si="99"/>
        <v>-208404.41006080003</v>
      </c>
      <c r="K311" s="707">
        <f t="shared" si="99"/>
        <v>-208404.41006080003</v>
      </c>
      <c r="L311" s="707">
        <f t="shared" si="99"/>
        <v>-208404.41006080003</v>
      </c>
      <c r="M311" s="707">
        <f t="shared" si="99"/>
        <v>-208404.41006080003</v>
      </c>
      <c r="N311" s="707">
        <f t="shared" si="99"/>
        <v>-208404.41006080003</v>
      </c>
      <c r="O311" s="707">
        <f t="shared" si="99"/>
        <v>-208404.41006080003</v>
      </c>
      <c r="P311" s="707">
        <f t="shared" si="99"/>
        <v>-208404.41006080003</v>
      </c>
      <c r="Q311" s="707">
        <f t="shared" si="99"/>
        <v>-208404.41006080003</v>
      </c>
      <c r="R311" s="707">
        <f t="shared" si="99"/>
        <v>-208404.41006080003</v>
      </c>
      <c r="S311" s="707">
        <f t="shared" si="99"/>
        <v>-208404.41006080003</v>
      </c>
      <c r="T311" s="707">
        <f t="shared" si="99"/>
        <v>-208404.41006080003</v>
      </c>
      <c r="U311" s="707">
        <f t="shared" si="99"/>
        <v>-208404.41006080003</v>
      </c>
      <c r="V311" s="707">
        <f t="shared" si="99"/>
        <v>-208404.41006080003</v>
      </c>
      <c r="W311" s="707">
        <f t="shared" si="99"/>
        <v>-208404.41006080003</v>
      </c>
      <c r="X311" s="707">
        <f t="shared" si="99"/>
        <v>-208404.41006080003</v>
      </c>
      <c r="Y311" s="707">
        <f t="shared" si="99"/>
        <v>-208404.41006080003</v>
      </c>
      <c r="Z311" s="707">
        <f t="shared" si="99"/>
        <v>-208404.41006080003</v>
      </c>
      <c r="AA311" s="707">
        <f t="shared" si="99"/>
        <v>-208404.41006080003</v>
      </c>
      <c r="AB311" s="707">
        <f t="shared" si="99"/>
        <v>-208404.41006080003</v>
      </c>
      <c r="AC311" s="707">
        <f t="shared" si="99"/>
        <v>-208404.41006080003</v>
      </c>
      <c r="AD311" s="707">
        <f t="shared" si="99"/>
        <v>-208404.41006080003</v>
      </c>
      <c r="AE311" s="707">
        <f t="shared" si="99"/>
        <v>-208404.41006080003</v>
      </c>
      <c r="AF311" s="594"/>
      <c r="AG311" s="594"/>
      <c r="AH311" s="594"/>
      <c r="AI311" s="594"/>
      <c r="AJ311" s="594"/>
      <c r="AK311" s="594"/>
      <c r="AL311" s="594"/>
      <c r="AM311" s="594"/>
      <c r="AN311" s="594"/>
      <c r="AO311" s="594"/>
      <c r="AP311" s="594"/>
      <c r="AQ311" s="594"/>
      <c r="AR311" s="594"/>
      <c r="AS311" s="594"/>
      <c r="AT311" s="594"/>
      <c r="AU311" s="594"/>
      <c r="AV311" s="594"/>
      <c r="AW311" s="594"/>
      <c r="AX311" s="594"/>
      <c r="AY311" s="594"/>
      <c r="AZ311" s="594"/>
      <c r="BA311" s="594"/>
      <c r="BB311" s="594"/>
      <c r="BC311" s="594"/>
      <c r="BD311" s="594"/>
      <c r="BE311" s="594"/>
      <c r="BF311" s="594"/>
      <c r="BG311" s="594"/>
      <c r="BH311" s="594"/>
      <c r="BI311" s="594"/>
      <c r="BJ311" s="594"/>
      <c r="BK311" s="594"/>
      <c r="BL311" s="57"/>
      <c r="BM311" s="594"/>
      <c r="BN311" s="594"/>
      <c r="BO311" s="594"/>
      <c r="BP311" s="594"/>
      <c r="BQ311" s="594"/>
      <c r="BR311" s="594"/>
      <c r="BS311" s="594"/>
      <c r="BT311" s="594"/>
      <c r="BU311" s="594"/>
      <c r="BV311" s="594"/>
      <c r="BW311" s="594"/>
      <c r="BX311" s="594"/>
      <c r="BY311" s="594"/>
      <c r="BZ311" s="594"/>
      <c r="CA311" s="594"/>
      <c r="CB311" s="594"/>
      <c r="CC311" s="594"/>
      <c r="CD311" s="594"/>
      <c r="CE311" s="594"/>
      <c r="CF311" s="594"/>
      <c r="CG311" s="594"/>
      <c r="CH311" s="594"/>
      <c r="CI311" s="594"/>
      <c r="CJ311" s="594"/>
      <c r="CK311" s="594"/>
      <c r="CL311" s="594"/>
      <c r="CM311" s="594"/>
      <c r="CN311" s="594"/>
      <c r="CO311" s="594"/>
      <c r="CP311" s="594"/>
      <c r="CQ311" s="594"/>
    </row>
    <row r="312" spans="1:95" ht="21" hidden="1" customHeight="1" outlineLevel="2">
      <c r="A312" s="709" t="s">
        <v>682</v>
      </c>
      <c r="B312" s="710">
        <f>IF($A308="",0,-SUMIF('C3 - Funcionários $'!$D$7:$D$121,$A308,'C3 - Funcionários $'!G$7:G$121))</f>
        <v>0</v>
      </c>
      <c r="C312" s="710">
        <f>IF($A308="",0,-SUMIF('C3 - Funcionários $'!$D$7:$D$121,$A308,'C3 - Funcionários $'!H$7:H$121))</f>
        <v>-158615.31456080003</v>
      </c>
      <c r="D312" s="710">
        <f>IF($A308="",0,-SUMIF('C3 - Funcionários $'!$D$7:$D$121,$A308,'C3 - Funcionários $'!I$7:I$121))</f>
        <v>-158615.31456080003</v>
      </c>
      <c r="E312" s="710">
        <f>IF($A308="",0,-SUMIF('C3 - Funcionários $'!$D$7:$D$121,$A308,'C3 - Funcionários $'!J$7:J$121))</f>
        <v>-158615.31456080003</v>
      </c>
      <c r="F312" s="710">
        <f>IF($A308="",0,-SUMIF('C3 - Funcionários $'!$D$7:$D$121,$A308,'C3 - Funcionários $'!K$7:K$121))</f>
        <v>-158615.31456080003</v>
      </c>
      <c r="G312" s="710">
        <f>IF($A308="",0,-SUMIF('C3 - Funcionários $'!$D$7:$D$121,$A308,'C3 - Funcionários $'!L$7:L$121))</f>
        <v>-158615.31456080003</v>
      </c>
      <c r="H312" s="710">
        <f>IF($A308="",0,-SUMIF('C3 - Funcionários $'!$D$7:$D$121,$A308,'C3 - Funcionários $'!M$7:M$121))</f>
        <v>-158615.31456080003</v>
      </c>
      <c r="I312" s="710">
        <f>IF($A308="",0,-SUMIF('C3 - Funcionários $'!$D$7:$D$121,$A308,'C3 - Funcionários $'!N$7:N$121))</f>
        <v>-158615.31456080003</v>
      </c>
      <c r="J312" s="710">
        <f>IF($A308="",0,-SUMIF('C3 - Funcionários $'!$D$7:$D$121,$A308,'C3 - Funcionários $'!O$7:O$121))</f>
        <v>-158615.31456080003</v>
      </c>
      <c r="K312" s="710">
        <f>IF($A308="",0,-SUMIF('C3 - Funcionários $'!$D$7:$D$121,$A308,'C3 - Funcionários $'!P$7:P$121))</f>
        <v>-158615.31456080003</v>
      </c>
      <c r="L312" s="710">
        <f>IF($A308="",0,-SUMIF('C3 - Funcionários $'!$D$7:$D$121,$A308,'C3 - Funcionários $'!Q$7:Q$121))</f>
        <v>-158615.31456080003</v>
      </c>
      <c r="M312" s="710">
        <f>IF($A308="",0,-SUMIF('C3 - Funcionários $'!$D$7:$D$121,$A308,'C3 - Funcionários $'!R$7:R$121))</f>
        <v>-158615.31456080003</v>
      </c>
      <c r="N312" s="710">
        <f>IF($A308="",0,-SUMIF('C3 - Funcionários $'!$D$7:$D$121,$A308,'C3 - Funcionários $'!S$7:S$121))</f>
        <v>-158615.31456080003</v>
      </c>
      <c r="O312" s="710">
        <f>IF($A308="",0,-SUMIF('C3 - Funcionários $'!$D$7:$D$121,$A308,'C3 - Funcionários $'!T$7:T$121))</f>
        <v>-158615.31456080003</v>
      </c>
      <c r="P312" s="710">
        <f>IF($A308="",0,-SUMIF('C3 - Funcionários $'!$D$7:$D$121,$A308,'C3 - Funcionários $'!U$7:U$121))</f>
        <v>-158615.31456080003</v>
      </c>
      <c r="Q312" s="710">
        <f>IF($A308="",0,-SUMIF('C3 - Funcionários $'!$D$7:$D$121,$A308,'C3 - Funcionários $'!V$7:V$121))</f>
        <v>-158615.31456080003</v>
      </c>
      <c r="R312" s="710">
        <f>IF($A308="",0,-SUMIF('C3 - Funcionários $'!$D$7:$D$121,$A308,'C3 - Funcionários $'!W$7:W$121))</f>
        <v>-158615.31456080003</v>
      </c>
      <c r="S312" s="710">
        <f>IF($A308="",0,-SUMIF('C3 - Funcionários $'!$D$7:$D$121,$A308,'C3 - Funcionários $'!X$7:X$121))</f>
        <v>-158615.31456080003</v>
      </c>
      <c r="T312" s="710">
        <f>IF($A308="",0,-SUMIF('C3 - Funcionários $'!$D$7:$D$121,$A308,'C3 - Funcionários $'!Y$7:Y$121))</f>
        <v>-158615.31456080003</v>
      </c>
      <c r="U312" s="710">
        <f>IF($A308="",0,-SUMIF('C3 - Funcionários $'!$D$7:$D$121,$A308,'C3 - Funcionários $'!Z$7:Z$121))</f>
        <v>-158615.31456080003</v>
      </c>
      <c r="V312" s="710">
        <f>IF($A308="",0,-SUMIF('C3 - Funcionários $'!$D$7:$D$121,$A308,'C3 - Funcionários $'!AA$7:AA$121))</f>
        <v>-158615.31456080003</v>
      </c>
      <c r="W312" s="710">
        <f>IF($A308="",0,-SUMIF('C3 - Funcionários $'!$D$7:$D$121,$A308,'C3 - Funcionários $'!AB$7:AB$121))</f>
        <v>-158615.31456080003</v>
      </c>
      <c r="X312" s="710">
        <f>IF($A308="",0,-SUMIF('C3 - Funcionários $'!$D$7:$D$121,$A308,'C3 - Funcionários $'!AC$7:AC$121))</f>
        <v>-158615.31456080003</v>
      </c>
      <c r="Y312" s="710">
        <f>IF($A308="",0,-SUMIF('C3 - Funcionários $'!$D$7:$D$121,$A308,'C3 - Funcionários $'!AD$7:AD$121))</f>
        <v>-158615.31456080003</v>
      </c>
      <c r="Z312" s="710">
        <f>IF($A308="",0,-SUMIF('C3 - Funcionários $'!$D$7:$D$121,$A308,'C3 - Funcionários $'!AE$7:AE$121))</f>
        <v>-158615.31456080003</v>
      </c>
      <c r="AA312" s="710">
        <f>IF($A308="",0,-SUMIF('C3 - Funcionários $'!$D$7:$D$121,$A308,'C3 - Funcionários $'!AF$7:AF$121))</f>
        <v>-158615.31456080003</v>
      </c>
      <c r="AB312" s="710">
        <f>IF($A308="",0,-SUMIF('C3 - Funcionários $'!$D$7:$D$121,$A308,'C3 - Funcionários $'!AG$7:AG$121))</f>
        <v>-158615.31456080003</v>
      </c>
      <c r="AC312" s="710">
        <f>IF($A308="",0,-SUMIF('C3 - Funcionários $'!$D$7:$D$121,$A308,'C3 - Funcionários $'!AH$7:AH$121))</f>
        <v>-158615.31456080003</v>
      </c>
      <c r="AD312" s="710">
        <f>IF($A308="",0,-SUMIF('C3 - Funcionários $'!$D$7:$D$121,$A308,'C3 - Funcionários $'!AI$7:AI$121))</f>
        <v>-158615.31456080003</v>
      </c>
      <c r="AE312" s="710">
        <f>IF($A308="",0,-SUMIF('C3 - Funcionários $'!$D$7:$D$121,$A308,'C3 - Funcionários $'!AJ$7:AJ$121))</f>
        <v>-158615.31456080003</v>
      </c>
      <c r="AF312" s="594"/>
      <c r="AG312" s="594"/>
      <c r="AH312" s="594"/>
      <c r="AI312" s="594"/>
      <c r="AJ312" s="594"/>
      <c r="AK312" s="594"/>
      <c r="AL312" s="594"/>
      <c r="AM312" s="594"/>
      <c r="AN312" s="594"/>
      <c r="AO312" s="594"/>
      <c r="AP312" s="594"/>
      <c r="AQ312" s="594"/>
      <c r="AR312" s="594"/>
      <c r="AS312" s="594"/>
      <c r="AT312" s="594"/>
      <c r="AU312" s="594"/>
      <c r="AV312" s="594"/>
      <c r="AW312" s="594"/>
      <c r="AX312" s="594"/>
      <c r="AY312" s="594"/>
      <c r="AZ312" s="594"/>
      <c r="BA312" s="594"/>
      <c r="BB312" s="594"/>
      <c r="BC312" s="594"/>
      <c r="BD312" s="594"/>
      <c r="BE312" s="594"/>
      <c r="BF312" s="594"/>
      <c r="BG312" s="594"/>
      <c r="BH312" s="594"/>
      <c r="BI312" s="594"/>
      <c r="BJ312" s="594"/>
      <c r="BK312" s="594"/>
      <c r="BL312" s="57"/>
      <c r="BM312" s="594"/>
      <c r="BN312" s="594"/>
      <c r="BO312" s="594"/>
      <c r="BP312" s="594"/>
      <c r="BQ312" s="594"/>
      <c r="BR312" s="594"/>
      <c r="BS312" s="594"/>
      <c r="BT312" s="594"/>
      <c r="BU312" s="594"/>
      <c r="BV312" s="594"/>
      <c r="BW312" s="594"/>
      <c r="BX312" s="594"/>
      <c r="BY312" s="594"/>
      <c r="BZ312" s="594"/>
      <c r="CA312" s="594"/>
      <c r="CB312" s="594"/>
      <c r="CC312" s="594"/>
      <c r="CD312" s="594"/>
      <c r="CE312" s="594"/>
      <c r="CF312" s="594"/>
      <c r="CG312" s="594"/>
      <c r="CH312" s="594"/>
      <c r="CI312" s="594"/>
      <c r="CJ312" s="594"/>
      <c r="CK312" s="594"/>
      <c r="CL312" s="594"/>
      <c r="CM312" s="594"/>
      <c r="CN312" s="594"/>
      <c r="CO312" s="594"/>
      <c r="CP312" s="594"/>
      <c r="CQ312" s="594"/>
    </row>
    <row r="313" spans="1:95" ht="21" hidden="1" customHeight="1" outlineLevel="2">
      <c r="A313" s="709" t="s">
        <v>683</v>
      </c>
      <c r="B313" s="710">
        <f>IFERROR(-VLOOKUP($A308,CustoDiretoTotal,COLUMN('B2 - Custos diretos totais'!C$3)-1,0),0)</f>
        <v>0</v>
      </c>
      <c r="C313" s="710">
        <f>IFERROR(-VLOOKUP($A308,CustoDiretoTotal,COLUMN('B2 - Custos diretos totais'!D$3)-1,0),0)</f>
        <v>0</v>
      </c>
      <c r="D313" s="710">
        <f>IFERROR(-VLOOKUP($A308,CustoDiretoTotal,COLUMN('B2 - Custos diretos totais'!E$3)-1,0),0)</f>
        <v>0</v>
      </c>
      <c r="E313" s="710">
        <f>IFERROR(-VLOOKUP($A308,CustoDiretoTotal,COLUMN('B2 - Custos diretos totais'!F$3)-1,0),0)</f>
        <v>0</v>
      </c>
      <c r="F313" s="710">
        <f>IFERROR(-VLOOKUP($A308,CustoDiretoTotal,COLUMN('B2 - Custos diretos totais'!G$3)-1,0),0)</f>
        <v>0</v>
      </c>
      <c r="G313" s="710">
        <f>IFERROR(-VLOOKUP($A308,CustoDiretoTotal,COLUMN('B2 - Custos diretos totais'!H$3)-1,0),0)</f>
        <v>0</v>
      </c>
      <c r="H313" s="710">
        <f>IFERROR(-VLOOKUP($A308,CustoDiretoTotal,COLUMN('B2 - Custos diretos totais'!I$3)-1,0),0)</f>
        <v>0</v>
      </c>
      <c r="I313" s="710">
        <f>IFERROR(-VLOOKUP($A308,CustoDiretoTotal,COLUMN('B2 - Custos diretos totais'!J$3)-1,0),0)</f>
        <v>0</v>
      </c>
      <c r="J313" s="710">
        <f>IFERROR(-VLOOKUP($A308,CustoDiretoTotal,COLUMN('B2 - Custos diretos totais'!K$3)-1,0),0)</f>
        <v>0</v>
      </c>
      <c r="K313" s="710">
        <f>IFERROR(-VLOOKUP($A308,CustoDiretoTotal,COLUMN('B2 - Custos diretos totais'!L$3)-1,0),0)</f>
        <v>0</v>
      </c>
      <c r="L313" s="710">
        <f>IFERROR(-VLOOKUP($A308,CustoDiretoTotal,COLUMN('B2 - Custos diretos totais'!M$3)-1,0),0)</f>
        <v>0</v>
      </c>
      <c r="M313" s="710">
        <f>IFERROR(-VLOOKUP($A308,CustoDiretoTotal,COLUMN('B2 - Custos diretos totais'!N$3)-1,0),0)</f>
        <v>0</v>
      </c>
      <c r="N313" s="710">
        <f>IFERROR(-VLOOKUP($A308,CustoDiretoTotal,COLUMN('B2 - Custos diretos totais'!O$3)-1,0),0)</f>
        <v>0</v>
      </c>
      <c r="O313" s="710">
        <f>IFERROR(-VLOOKUP($A308,CustoDiretoTotal,COLUMN('B2 - Custos diretos totais'!P$3)-1,0),0)</f>
        <v>0</v>
      </c>
      <c r="P313" s="710">
        <f>IFERROR(-VLOOKUP($A308,CustoDiretoTotal,COLUMN('B2 - Custos diretos totais'!Q$3)-1,0),0)</f>
        <v>0</v>
      </c>
      <c r="Q313" s="710">
        <f>IFERROR(-VLOOKUP($A308,CustoDiretoTotal,COLUMN('B2 - Custos diretos totais'!R$3)-1,0),0)</f>
        <v>0</v>
      </c>
      <c r="R313" s="710">
        <f>IFERROR(-VLOOKUP($A308,CustoDiretoTotal,COLUMN('B2 - Custos diretos totais'!S$3)-1,0),0)</f>
        <v>0</v>
      </c>
      <c r="S313" s="710">
        <f>IFERROR(-VLOOKUP($A308,CustoDiretoTotal,COLUMN('B2 - Custos diretos totais'!T$3)-1,0),0)</f>
        <v>0</v>
      </c>
      <c r="T313" s="710">
        <f>IFERROR(-VLOOKUP($A308,CustoDiretoTotal,COLUMN('B2 - Custos diretos totais'!U$3)-1,0),0)</f>
        <v>0</v>
      </c>
      <c r="U313" s="710">
        <f>IFERROR(-VLOOKUP($A308,CustoDiretoTotal,COLUMN('B2 - Custos diretos totais'!V$3)-1,0),0)</f>
        <v>0</v>
      </c>
      <c r="V313" s="710">
        <f>IFERROR(-VLOOKUP($A308,CustoDiretoTotal,COLUMN('B2 - Custos diretos totais'!W$3)-1,0),0)</f>
        <v>0</v>
      </c>
      <c r="W313" s="710">
        <f>IFERROR(-VLOOKUP($A308,CustoDiretoTotal,COLUMN('B2 - Custos diretos totais'!X$3)-1,0),0)</f>
        <v>0</v>
      </c>
      <c r="X313" s="710">
        <f>IFERROR(-VLOOKUP($A308,CustoDiretoTotal,COLUMN('B2 - Custos diretos totais'!Y$3)-1,0),0)</f>
        <v>0</v>
      </c>
      <c r="Y313" s="710">
        <f>IFERROR(-VLOOKUP($A308,CustoDiretoTotal,COLUMN('B2 - Custos diretos totais'!Z$3)-1,0),0)</f>
        <v>0</v>
      </c>
      <c r="Z313" s="710">
        <f>IFERROR(-VLOOKUP($A308,CustoDiretoTotal,COLUMN('B2 - Custos diretos totais'!AA$3)-1,0),0)</f>
        <v>0</v>
      </c>
      <c r="AA313" s="710">
        <f>IFERROR(-VLOOKUP($A308,CustoDiretoTotal,COLUMN('B2 - Custos diretos totais'!AB$3)-1,0),0)</f>
        <v>0</v>
      </c>
      <c r="AB313" s="710">
        <f>IFERROR(-VLOOKUP($A308,CustoDiretoTotal,COLUMN('B2 - Custos diretos totais'!AC$3)-1,0),0)</f>
        <v>0</v>
      </c>
      <c r="AC313" s="710">
        <f>IFERROR(-VLOOKUP($A308,CustoDiretoTotal,COLUMN('B2 - Custos diretos totais'!AD$3)-1,0),0)</f>
        <v>0</v>
      </c>
      <c r="AD313" s="710">
        <f>IFERROR(-VLOOKUP($A308,CustoDiretoTotal,COLUMN('B2 - Custos diretos totais'!AE$3)-1,0),0)</f>
        <v>0</v>
      </c>
      <c r="AE313" s="710">
        <f>IFERROR(-VLOOKUP($A308,CustoDiretoTotal,COLUMN('B2 - Custos diretos totais'!AF$3)-1,0),0)</f>
        <v>0</v>
      </c>
      <c r="AF313" s="594"/>
      <c r="AG313" s="594"/>
      <c r="AH313" s="594"/>
      <c r="AI313" s="594"/>
      <c r="AJ313" s="594"/>
      <c r="AK313" s="594"/>
      <c r="AL313" s="594"/>
      <c r="AM313" s="594"/>
      <c r="AN313" s="594"/>
      <c r="AO313" s="594"/>
      <c r="AP313" s="594"/>
      <c r="AQ313" s="594"/>
      <c r="AR313" s="594"/>
      <c r="AS313" s="594"/>
      <c r="AT313" s="594"/>
      <c r="AU313" s="594"/>
      <c r="AV313" s="594"/>
      <c r="AW313" s="594"/>
      <c r="AX313" s="594"/>
      <c r="AY313" s="594"/>
      <c r="AZ313" s="594"/>
      <c r="BA313" s="594"/>
      <c r="BB313" s="594"/>
      <c r="BC313" s="594"/>
      <c r="BD313" s="594"/>
      <c r="BE313" s="594"/>
      <c r="BF313" s="594"/>
      <c r="BG313" s="594"/>
      <c r="BH313" s="594"/>
      <c r="BI313" s="594"/>
      <c r="BJ313" s="594"/>
      <c r="BK313" s="594"/>
      <c r="BL313" s="57"/>
      <c r="BM313" s="594"/>
      <c r="BN313" s="594"/>
      <c r="BO313" s="594"/>
      <c r="BP313" s="594"/>
      <c r="BQ313" s="594"/>
      <c r="BR313" s="594"/>
      <c r="BS313" s="594"/>
      <c r="BT313" s="594"/>
      <c r="BU313" s="594"/>
      <c r="BV313" s="594"/>
      <c r="BW313" s="594"/>
      <c r="BX313" s="594"/>
      <c r="BY313" s="594"/>
      <c r="BZ313" s="594"/>
      <c r="CA313" s="594"/>
      <c r="CB313" s="594"/>
      <c r="CC313" s="594"/>
      <c r="CD313" s="594"/>
      <c r="CE313" s="594"/>
      <c r="CF313" s="594"/>
      <c r="CG313" s="594"/>
      <c r="CH313" s="594"/>
      <c r="CI313" s="594"/>
      <c r="CJ313" s="594"/>
      <c r="CK313" s="594"/>
      <c r="CL313" s="594"/>
      <c r="CM313" s="594"/>
      <c r="CN313" s="594"/>
      <c r="CO313" s="594"/>
      <c r="CP313" s="594"/>
      <c r="CQ313" s="594"/>
    </row>
    <row r="314" spans="1:95" ht="21" hidden="1" customHeight="1" outlineLevel="2">
      <c r="A314" s="709" t="s">
        <v>684</v>
      </c>
      <c r="B314" s="710">
        <f>-SUMIFS('B3 - Custos despesas indiretos'!AK$5:AK$148,'B3 - Custos despesas indiretos'!$B$5:$B$148,"Custos",'B3 - Custos despesas indiretos'!$D$5:$D$148,$A308)</f>
        <v>-24206.5</v>
      </c>
      <c r="C314" s="710">
        <f>-SUMIFS('B3 - Custos despesas indiretos'!AL$5:AL$148,'B3 - Custos despesas indiretos'!$B$5:$B$148,"Custos",'B3 - Custos despesas indiretos'!$D$5:$D$148,$A308)</f>
        <v>-24206.5</v>
      </c>
      <c r="D314" s="710">
        <f>-SUMIFS('B3 - Custos despesas indiretos'!AM$5:AM$148,'B3 - Custos despesas indiretos'!$B$5:$B$148,"Custos",'B3 - Custos despesas indiretos'!$D$5:$D$148,$A308)</f>
        <v>-24206.5</v>
      </c>
      <c r="E314" s="710">
        <f>-SUMIFS('B3 - Custos despesas indiretos'!AN$5:AN$148,'B3 - Custos despesas indiretos'!$B$5:$B$148,"Custos",'B3 - Custos despesas indiretos'!$D$5:$D$148,$A308)</f>
        <v>-24206.5</v>
      </c>
      <c r="F314" s="710">
        <f>-SUMIFS('B3 - Custos despesas indiretos'!AO$5:AO$148,'B3 - Custos despesas indiretos'!$B$5:$B$148,"Custos",'B3 - Custos despesas indiretos'!$D$5:$D$148,$A308)</f>
        <v>-24206.5</v>
      </c>
      <c r="G314" s="710">
        <f>-SUMIFS('B3 - Custos despesas indiretos'!AP$5:AP$148,'B3 - Custos despesas indiretos'!$B$5:$B$148,"Custos",'B3 - Custos despesas indiretos'!$D$5:$D$148,$A308)</f>
        <v>-24206.5</v>
      </c>
      <c r="H314" s="710">
        <f>-SUMIFS('B3 - Custos despesas indiretos'!AQ$5:AQ$148,'B3 - Custos despesas indiretos'!$B$5:$B$148,"Custos",'B3 - Custos despesas indiretos'!$D$5:$D$148,$A308)</f>
        <v>-24206.5</v>
      </c>
      <c r="I314" s="710">
        <f>-SUMIFS('B3 - Custos despesas indiretos'!AR$5:AR$148,'B3 - Custos despesas indiretos'!$B$5:$B$148,"Custos",'B3 - Custos despesas indiretos'!$D$5:$D$148,$A308)</f>
        <v>-24206.5</v>
      </c>
      <c r="J314" s="710">
        <f>-SUMIFS('B3 - Custos despesas indiretos'!AS$5:AS$148,'B3 - Custos despesas indiretos'!$B$5:$B$148,"Custos",'B3 - Custos despesas indiretos'!$D$5:$D$148,$A308)</f>
        <v>-24206.5</v>
      </c>
      <c r="K314" s="710">
        <f>-SUMIFS('B3 - Custos despesas indiretos'!AT$5:AT$148,'B3 - Custos despesas indiretos'!$B$5:$B$148,"Custos",'B3 - Custos despesas indiretos'!$D$5:$D$148,$A308)</f>
        <v>-24206.5</v>
      </c>
      <c r="L314" s="710">
        <f>-SUMIFS('B3 - Custos despesas indiretos'!AU$5:AU$148,'B3 - Custos despesas indiretos'!$B$5:$B$148,"Custos",'B3 - Custos despesas indiretos'!$D$5:$D$148,$A308)</f>
        <v>-24206.5</v>
      </c>
      <c r="M314" s="710">
        <f>-SUMIFS('B3 - Custos despesas indiretos'!AV$5:AV$148,'B3 - Custos despesas indiretos'!$B$5:$B$148,"Custos",'B3 - Custos despesas indiretos'!$D$5:$D$148,$A308)</f>
        <v>-24206.5</v>
      </c>
      <c r="N314" s="710">
        <f>-SUMIFS('B3 - Custos despesas indiretos'!AW$5:AW$148,'B3 - Custos despesas indiretos'!$B$5:$B$148,"Custos",'B3 - Custos despesas indiretos'!$D$5:$D$148,$A308)</f>
        <v>-24206.5</v>
      </c>
      <c r="O314" s="710">
        <f>-SUMIFS('B3 - Custos despesas indiretos'!AX$5:AX$148,'B3 - Custos despesas indiretos'!$B$5:$B$148,"Custos",'B3 - Custos despesas indiretos'!$D$5:$D$148,$A308)</f>
        <v>-24206.5</v>
      </c>
      <c r="P314" s="710">
        <f>-SUMIFS('B3 - Custos despesas indiretos'!AY$5:AY$148,'B3 - Custos despesas indiretos'!$B$5:$B$148,"Custos",'B3 - Custos despesas indiretos'!$D$5:$D$148,$A308)</f>
        <v>-24206.5</v>
      </c>
      <c r="Q314" s="710">
        <f>-SUMIFS('B3 - Custos despesas indiretos'!AZ$5:AZ$148,'B3 - Custos despesas indiretos'!$B$5:$B$148,"Custos",'B3 - Custos despesas indiretos'!$D$5:$D$148,$A308)</f>
        <v>-24206.5</v>
      </c>
      <c r="R314" s="710">
        <f>-SUMIFS('B3 - Custos despesas indiretos'!BA$5:BA$148,'B3 - Custos despesas indiretos'!$B$5:$B$148,"Custos",'B3 - Custos despesas indiretos'!$D$5:$D$148,$A308)</f>
        <v>-24206.5</v>
      </c>
      <c r="S314" s="710">
        <f>-SUMIFS('B3 - Custos despesas indiretos'!BB$5:BB$148,'B3 - Custos despesas indiretos'!$B$5:$B$148,"Custos",'B3 - Custos despesas indiretos'!$D$5:$D$148,$A308)</f>
        <v>-24206.5</v>
      </c>
      <c r="T314" s="710">
        <f>-SUMIFS('B3 - Custos despesas indiretos'!BC$5:BC$148,'B3 - Custos despesas indiretos'!$B$5:$B$148,"Custos",'B3 - Custos despesas indiretos'!$D$5:$D$148,$A308)</f>
        <v>-24206.5</v>
      </c>
      <c r="U314" s="710">
        <f>-SUMIFS('B3 - Custos despesas indiretos'!BD$5:BD$148,'B3 - Custos despesas indiretos'!$B$5:$B$148,"Custos",'B3 - Custos despesas indiretos'!$D$5:$D$148,$A308)</f>
        <v>-24206.5</v>
      </c>
      <c r="V314" s="710">
        <f>-SUMIFS('B3 - Custos despesas indiretos'!BE$5:BE$148,'B3 - Custos despesas indiretos'!$B$5:$B$148,"Custos",'B3 - Custos despesas indiretos'!$D$5:$D$148,$A308)</f>
        <v>-24206.5</v>
      </c>
      <c r="W314" s="710">
        <f>-SUMIFS('B3 - Custos despesas indiretos'!BF$5:BF$148,'B3 - Custos despesas indiretos'!$B$5:$B$148,"Custos",'B3 - Custos despesas indiretos'!$D$5:$D$148,$A308)</f>
        <v>-24206.5</v>
      </c>
      <c r="X314" s="710">
        <f>-SUMIFS('B3 - Custos despesas indiretos'!BG$5:BG$148,'B3 - Custos despesas indiretos'!$B$5:$B$148,"Custos",'B3 - Custos despesas indiretos'!$D$5:$D$148,$A308)</f>
        <v>-24206.5</v>
      </c>
      <c r="Y314" s="710">
        <f>-SUMIFS('B3 - Custos despesas indiretos'!BH$5:BH$148,'B3 - Custos despesas indiretos'!$B$5:$B$148,"Custos",'B3 - Custos despesas indiretos'!$D$5:$D$148,$A308)</f>
        <v>-24206.5</v>
      </c>
      <c r="Z314" s="710">
        <f>-SUMIFS('B3 - Custos despesas indiretos'!BI$5:BI$148,'B3 - Custos despesas indiretos'!$B$5:$B$148,"Custos",'B3 - Custos despesas indiretos'!$D$5:$D$148,$A308)</f>
        <v>-24206.5</v>
      </c>
      <c r="AA314" s="710">
        <f>-SUMIFS('B3 - Custos despesas indiretos'!BJ$5:BJ$148,'B3 - Custos despesas indiretos'!$B$5:$B$148,"Custos",'B3 - Custos despesas indiretos'!$D$5:$D$148,$A308)</f>
        <v>-24206.5</v>
      </c>
      <c r="AB314" s="710">
        <f>-SUMIFS('B3 - Custos despesas indiretos'!BK$5:BK$148,'B3 - Custos despesas indiretos'!$B$5:$B$148,"Custos",'B3 - Custos despesas indiretos'!$D$5:$D$148,$A308)</f>
        <v>-24206.5</v>
      </c>
      <c r="AC314" s="710">
        <f>-SUMIFS('B3 - Custos despesas indiretos'!BL$5:BL$148,'B3 - Custos despesas indiretos'!$B$5:$B$148,"Custos",'B3 - Custos despesas indiretos'!$D$5:$D$148,$A308)</f>
        <v>-24206.5</v>
      </c>
      <c r="AD314" s="710">
        <f>-SUMIFS('B3 - Custos despesas indiretos'!BM$5:BM$148,'B3 - Custos despesas indiretos'!$B$5:$B$148,"Custos",'B3 - Custos despesas indiretos'!$D$5:$D$148,$A308)</f>
        <v>-24206.5</v>
      </c>
      <c r="AE314" s="710">
        <f>-SUMIFS('B3 - Custos despesas indiretos'!BN$5:BN$148,'B3 - Custos despesas indiretos'!$B$5:$B$148,"Custos",'B3 - Custos despesas indiretos'!$D$5:$D$148,$A308)</f>
        <v>-24206.5</v>
      </c>
      <c r="AF314" s="594"/>
      <c r="AG314" s="594"/>
      <c r="AH314" s="594"/>
      <c r="AI314" s="594"/>
      <c r="AJ314" s="594"/>
      <c r="AK314" s="594"/>
      <c r="AL314" s="594"/>
      <c r="AM314" s="594"/>
      <c r="AN314" s="594"/>
      <c r="AO314" s="594"/>
      <c r="AP314" s="594"/>
      <c r="AQ314" s="594"/>
      <c r="AR314" s="594"/>
      <c r="AS314" s="594"/>
      <c r="AT314" s="594"/>
      <c r="AU314" s="594"/>
      <c r="AV314" s="594"/>
      <c r="AW314" s="594"/>
      <c r="AX314" s="594"/>
      <c r="AY314" s="594"/>
      <c r="AZ314" s="594"/>
      <c r="BA314" s="594"/>
      <c r="BB314" s="594"/>
      <c r="BC314" s="594"/>
      <c r="BD314" s="594"/>
      <c r="BE314" s="594"/>
      <c r="BF314" s="594"/>
      <c r="BG314" s="594"/>
      <c r="BH314" s="594"/>
      <c r="BI314" s="594"/>
      <c r="BJ314" s="594"/>
      <c r="BK314" s="594"/>
      <c r="BL314" s="57"/>
      <c r="BM314" s="594"/>
      <c r="BN314" s="594"/>
      <c r="BO314" s="594"/>
      <c r="BP314" s="594"/>
      <c r="BQ314" s="594"/>
      <c r="BR314" s="594"/>
      <c r="BS314" s="594"/>
      <c r="BT314" s="594"/>
      <c r="BU314" s="594"/>
      <c r="BV314" s="594"/>
      <c r="BW314" s="594"/>
      <c r="BX314" s="594"/>
      <c r="BY314" s="594"/>
      <c r="BZ314" s="594"/>
      <c r="CA314" s="594"/>
      <c r="CB314" s="594"/>
      <c r="CC314" s="594"/>
      <c r="CD314" s="594"/>
      <c r="CE314" s="594"/>
      <c r="CF314" s="594"/>
      <c r="CG314" s="594"/>
      <c r="CH314" s="594"/>
      <c r="CI314" s="594"/>
      <c r="CJ314" s="594"/>
      <c r="CK314" s="594"/>
      <c r="CL314" s="594"/>
      <c r="CM314" s="594"/>
      <c r="CN314" s="594"/>
      <c r="CO314" s="594"/>
      <c r="CP314" s="594"/>
      <c r="CQ314" s="594"/>
    </row>
    <row r="315" spans="1:95" ht="21" hidden="1" customHeight="1" outlineLevel="2">
      <c r="A315" s="709" t="s">
        <v>685</v>
      </c>
      <c r="B315" s="710">
        <f>-SUMIFS('B3 - Custos despesas indiretos'!AK$5:AK$148,'B3 - Custos despesas indiretos'!$B$5:$B$148,"Despesas",'B3 - Custos despesas indiretos'!$D$5:$D$148,$A308)</f>
        <v>0</v>
      </c>
      <c r="C315" s="710">
        <f>-SUMIFS('B3 - Custos despesas indiretos'!AL$5:AL$148,'B3 - Custos despesas indiretos'!$B$5:$B$148,"Despesas",'B3 - Custos despesas indiretos'!$D$5:$D$148,$A308)</f>
        <v>0</v>
      </c>
      <c r="D315" s="710">
        <f>-SUMIFS('B3 - Custos despesas indiretos'!AM$5:AM$148,'B3 - Custos despesas indiretos'!$B$5:$B$148,"Despesas",'B3 - Custos despesas indiretos'!$D$5:$D$148,$A308)</f>
        <v>0</v>
      </c>
      <c r="E315" s="710">
        <f>-SUMIFS('B3 - Custos despesas indiretos'!AN$5:AN$148,'B3 - Custos despesas indiretos'!$B$5:$B$148,"Despesas",'B3 - Custos despesas indiretos'!$D$5:$D$148,$A308)</f>
        <v>0</v>
      </c>
      <c r="F315" s="710">
        <f>-SUMIFS('B3 - Custos despesas indiretos'!AO$5:AO$148,'B3 - Custos despesas indiretos'!$B$5:$B$148,"Despesas",'B3 - Custos despesas indiretos'!$D$5:$D$148,$A308)</f>
        <v>0</v>
      </c>
      <c r="G315" s="710">
        <f>-SUMIFS('B3 - Custos despesas indiretos'!AP$5:AP$148,'B3 - Custos despesas indiretos'!$B$5:$B$148,"Despesas",'B3 - Custos despesas indiretos'!$D$5:$D$148,$A308)</f>
        <v>0</v>
      </c>
      <c r="H315" s="710">
        <f>-SUMIFS('B3 - Custos despesas indiretos'!AQ$5:AQ$148,'B3 - Custos despesas indiretos'!$B$5:$B$148,"Despesas",'B3 - Custos despesas indiretos'!$D$5:$D$148,$A308)</f>
        <v>0</v>
      </c>
      <c r="I315" s="710">
        <f>-SUMIFS('B3 - Custos despesas indiretos'!AR$5:AR$148,'B3 - Custos despesas indiretos'!$B$5:$B$148,"Despesas",'B3 - Custos despesas indiretos'!$D$5:$D$148,$A308)</f>
        <v>0</v>
      </c>
      <c r="J315" s="710">
        <f>-SUMIFS('B3 - Custos despesas indiretos'!AS$5:AS$148,'B3 - Custos despesas indiretos'!$B$5:$B$148,"Despesas",'B3 - Custos despesas indiretos'!$D$5:$D$148,$A308)</f>
        <v>0</v>
      </c>
      <c r="K315" s="710">
        <f>-SUMIFS('B3 - Custos despesas indiretos'!AT$5:AT$148,'B3 - Custos despesas indiretos'!$B$5:$B$148,"Despesas",'B3 - Custos despesas indiretos'!$D$5:$D$148,$A308)</f>
        <v>0</v>
      </c>
      <c r="L315" s="710">
        <f>-SUMIFS('B3 - Custos despesas indiretos'!AU$5:AU$148,'B3 - Custos despesas indiretos'!$B$5:$B$148,"Despesas",'B3 - Custos despesas indiretos'!$D$5:$D$148,$A308)</f>
        <v>0</v>
      </c>
      <c r="M315" s="710">
        <f>-SUMIFS('B3 - Custos despesas indiretos'!AV$5:AV$148,'B3 - Custos despesas indiretos'!$B$5:$B$148,"Despesas",'B3 - Custos despesas indiretos'!$D$5:$D$148,$A308)</f>
        <v>0</v>
      </c>
      <c r="N315" s="710">
        <f>-SUMIFS('B3 - Custos despesas indiretos'!AW$5:AW$148,'B3 - Custos despesas indiretos'!$B$5:$B$148,"Despesas",'B3 - Custos despesas indiretos'!$D$5:$D$148,$A308)</f>
        <v>0</v>
      </c>
      <c r="O315" s="710">
        <f>-SUMIFS('B3 - Custos despesas indiretos'!AX$5:AX$148,'B3 - Custos despesas indiretos'!$B$5:$B$148,"Despesas",'B3 - Custos despesas indiretos'!$D$5:$D$148,$A308)</f>
        <v>0</v>
      </c>
      <c r="P315" s="710">
        <f>-SUMIFS('B3 - Custos despesas indiretos'!AY$5:AY$148,'B3 - Custos despesas indiretos'!$B$5:$B$148,"Despesas",'B3 - Custos despesas indiretos'!$D$5:$D$148,$A308)</f>
        <v>0</v>
      </c>
      <c r="Q315" s="710">
        <f>-SUMIFS('B3 - Custos despesas indiretos'!AZ$5:AZ$148,'B3 - Custos despesas indiretos'!$B$5:$B$148,"Despesas",'B3 - Custos despesas indiretos'!$D$5:$D$148,$A308)</f>
        <v>0</v>
      </c>
      <c r="R315" s="710">
        <f>-SUMIFS('B3 - Custos despesas indiretos'!BA$5:BA$148,'B3 - Custos despesas indiretos'!$B$5:$B$148,"Despesas",'B3 - Custos despesas indiretos'!$D$5:$D$148,$A308)</f>
        <v>0</v>
      </c>
      <c r="S315" s="710">
        <f>-SUMIFS('B3 - Custos despesas indiretos'!BB$5:BB$148,'B3 - Custos despesas indiretos'!$B$5:$B$148,"Despesas",'B3 - Custos despesas indiretos'!$D$5:$D$148,$A308)</f>
        <v>0</v>
      </c>
      <c r="T315" s="710">
        <f>-SUMIFS('B3 - Custos despesas indiretos'!BC$5:BC$148,'B3 - Custos despesas indiretos'!$B$5:$B$148,"Despesas",'B3 - Custos despesas indiretos'!$D$5:$D$148,$A308)</f>
        <v>0</v>
      </c>
      <c r="U315" s="710">
        <f>-SUMIFS('B3 - Custos despesas indiretos'!BD$5:BD$148,'B3 - Custos despesas indiretos'!$B$5:$B$148,"Despesas",'B3 - Custos despesas indiretos'!$D$5:$D$148,$A308)</f>
        <v>0</v>
      </c>
      <c r="V315" s="710">
        <f>-SUMIFS('B3 - Custos despesas indiretos'!BE$5:BE$148,'B3 - Custos despesas indiretos'!$B$5:$B$148,"Despesas",'B3 - Custos despesas indiretos'!$D$5:$D$148,$A308)</f>
        <v>0</v>
      </c>
      <c r="W315" s="710">
        <f>-SUMIFS('B3 - Custos despesas indiretos'!BF$5:BF$148,'B3 - Custos despesas indiretos'!$B$5:$B$148,"Despesas",'B3 - Custos despesas indiretos'!$D$5:$D$148,$A308)</f>
        <v>0</v>
      </c>
      <c r="X315" s="710">
        <f>-SUMIFS('B3 - Custos despesas indiretos'!BG$5:BG$148,'B3 - Custos despesas indiretos'!$B$5:$B$148,"Despesas",'B3 - Custos despesas indiretos'!$D$5:$D$148,$A308)</f>
        <v>0</v>
      </c>
      <c r="Y315" s="710">
        <f>-SUMIFS('B3 - Custos despesas indiretos'!BH$5:BH$148,'B3 - Custos despesas indiretos'!$B$5:$B$148,"Despesas",'B3 - Custos despesas indiretos'!$D$5:$D$148,$A308)</f>
        <v>0</v>
      </c>
      <c r="Z315" s="710">
        <f>-SUMIFS('B3 - Custos despesas indiretos'!BI$5:BI$148,'B3 - Custos despesas indiretos'!$B$5:$B$148,"Despesas",'B3 - Custos despesas indiretos'!$D$5:$D$148,$A308)</f>
        <v>0</v>
      </c>
      <c r="AA315" s="710">
        <f>-SUMIFS('B3 - Custos despesas indiretos'!BJ$5:BJ$148,'B3 - Custos despesas indiretos'!$B$5:$B$148,"Despesas",'B3 - Custos despesas indiretos'!$D$5:$D$148,$A308)</f>
        <v>0</v>
      </c>
      <c r="AB315" s="710">
        <f>-SUMIFS('B3 - Custos despesas indiretos'!BK$5:BK$148,'B3 - Custos despesas indiretos'!$B$5:$B$148,"Despesas",'B3 - Custos despesas indiretos'!$D$5:$D$148,$A308)</f>
        <v>0</v>
      </c>
      <c r="AC315" s="710">
        <f>-SUMIFS('B3 - Custos despesas indiretos'!BL$5:BL$148,'B3 - Custos despesas indiretos'!$B$5:$B$148,"Despesas",'B3 - Custos despesas indiretos'!$D$5:$D$148,$A308)</f>
        <v>0</v>
      </c>
      <c r="AD315" s="710">
        <f>-SUMIFS('B3 - Custos despesas indiretos'!BM$5:BM$148,'B3 - Custos despesas indiretos'!$B$5:$B$148,"Despesas",'B3 - Custos despesas indiretos'!$D$5:$D$148,$A308)</f>
        <v>0</v>
      </c>
      <c r="AE315" s="710">
        <f>-SUMIFS('B3 - Custos despesas indiretos'!BN$5:BN$148,'B3 - Custos despesas indiretos'!$B$5:$B$148,"Despesas",'B3 - Custos despesas indiretos'!$D$5:$D$148,$A308)</f>
        <v>0</v>
      </c>
      <c r="AF315" s="594"/>
      <c r="AG315" s="594"/>
      <c r="AH315" s="594"/>
      <c r="AI315" s="594"/>
      <c r="AJ315" s="594"/>
      <c r="AK315" s="594"/>
      <c r="AL315" s="594"/>
      <c r="AM315" s="594"/>
      <c r="AN315" s="594"/>
      <c r="AO315" s="594"/>
      <c r="AP315" s="594"/>
      <c r="AQ315" s="594"/>
      <c r="AR315" s="594"/>
      <c r="AS315" s="594"/>
      <c r="AT315" s="594"/>
      <c r="AU315" s="594"/>
      <c r="AV315" s="594"/>
      <c r="AW315" s="594"/>
      <c r="AX315" s="594"/>
      <c r="AY315" s="594"/>
      <c r="AZ315" s="594"/>
      <c r="BA315" s="594"/>
      <c r="BB315" s="594"/>
      <c r="BC315" s="594"/>
      <c r="BD315" s="594"/>
      <c r="BE315" s="594"/>
      <c r="BF315" s="594"/>
      <c r="BG315" s="594"/>
      <c r="BH315" s="594"/>
      <c r="BI315" s="594"/>
      <c r="BJ315" s="594"/>
      <c r="BK315" s="594"/>
      <c r="BL315" s="57"/>
      <c r="BM315" s="594"/>
      <c r="BN315" s="594"/>
      <c r="BO315" s="594"/>
      <c r="BP315" s="594"/>
      <c r="BQ315" s="594"/>
      <c r="BR315" s="594"/>
      <c r="BS315" s="594"/>
      <c r="BT315" s="594"/>
      <c r="BU315" s="594"/>
      <c r="BV315" s="594"/>
      <c r="BW315" s="594"/>
      <c r="BX315" s="594"/>
      <c r="BY315" s="594"/>
      <c r="BZ315" s="594"/>
      <c r="CA315" s="594"/>
      <c r="CB315" s="594"/>
      <c r="CC315" s="594"/>
      <c r="CD315" s="594"/>
      <c r="CE315" s="594"/>
      <c r="CF315" s="594"/>
      <c r="CG315" s="594"/>
      <c r="CH315" s="594"/>
      <c r="CI315" s="594"/>
      <c r="CJ315" s="594"/>
      <c r="CK315" s="594"/>
      <c r="CL315" s="594"/>
      <c r="CM315" s="594"/>
      <c r="CN315" s="594"/>
      <c r="CO315" s="594"/>
      <c r="CP315" s="594"/>
      <c r="CQ315" s="594"/>
    </row>
    <row r="316" spans="1:95" ht="21" hidden="1" customHeight="1" outlineLevel="2">
      <c r="A316" s="709" t="s">
        <v>686</v>
      </c>
      <c r="B316" s="710">
        <f>-SUMIF('D2 - Capex uso'!$C$6:$C$176,$A308,'D2 - Capex uso'!GI$6:GI$176)</f>
        <v>-25582.595499999999</v>
      </c>
      <c r="C316" s="710">
        <f>-SUMIF('D2 - Capex uso'!$C$6:$C$176,$A308,'D2 - Capex uso'!GJ$6:GJ$176)</f>
        <v>-25582.595499999999</v>
      </c>
      <c r="D316" s="710">
        <f>-SUMIF('D2 - Capex uso'!$C$6:$C$176,$A308,'D2 - Capex uso'!GK$6:GK$176)</f>
        <v>-25582.595499999999</v>
      </c>
      <c r="E316" s="710">
        <f>-SUMIF('D2 - Capex uso'!$C$6:$C$176,$A308,'D2 - Capex uso'!GL$6:GL$176)</f>
        <v>-25582.595499999999</v>
      </c>
      <c r="F316" s="710">
        <f>-SUMIF('D2 - Capex uso'!$C$6:$C$176,$A308,'D2 - Capex uso'!GM$6:GM$176)</f>
        <v>-25582.595499999999</v>
      </c>
      <c r="G316" s="710">
        <f>-SUMIF('D2 - Capex uso'!$C$6:$C$176,$A308,'D2 - Capex uso'!GN$6:GN$176)</f>
        <v>-25582.595499999999</v>
      </c>
      <c r="H316" s="710">
        <f>-SUMIF('D2 - Capex uso'!$C$6:$C$176,$A308,'D2 - Capex uso'!GO$6:GO$176)</f>
        <v>-25582.595499999999</v>
      </c>
      <c r="I316" s="710">
        <f>-SUMIF('D2 - Capex uso'!$C$6:$C$176,$A308,'D2 - Capex uso'!GP$6:GP$176)</f>
        <v>-25582.595499999999</v>
      </c>
      <c r="J316" s="710">
        <f>-SUMIF('D2 - Capex uso'!$C$6:$C$176,$A308,'D2 - Capex uso'!GQ$6:GQ$176)</f>
        <v>-25582.595499999999</v>
      </c>
      <c r="K316" s="710">
        <f>-SUMIF('D2 - Capex uso'!$C$6:$C$176,$A308,'D2 - Capex uso'!GR$6:GR$176)</f>
        <v>-25582.595499999999</v>
      </c>
      <c r="L316" s="710">
        <f>-SUMIF('D2 - Capex uso'!$C$6:$C$176,$A308,'D2 - Capex uso'!GS$6:GS$176)</f>
        <v>-25582.595499999999</v>
      </c>
      <c r="M316" s="710">
        <f>-SUMIF('D2 - Capex uso'!$C$6:$C$176,$A308,'D2 - Capex uso'!GT$6:GT$176)</f>
        <v>-25582.595499999999</v>
      </c>
      <c r="N316" s="710">
        <f>-SUMIF('D2 - Capex uso'!$C$6:$C$176,$A308,'D2 - Capex uso'!GU$6:GU$176)</f>
        <v>-25582.595499999999</v>
      </c>
      <c r="O316" s="710">
        <f>-SUMIF('D2 - Capex uso'!$C$6:$C$176,$A308,'D2 - Capex uso'!GV$6:GV$176)</f>
        <v>-25582.595499999999</v>
      </c>
      <c r="P316" s="710">
        <f>-SUMIF('D2 - Capex uso'!$C$6:$C$176,$A308,'D2 - Capex uso'!GW$6:GW$176)</f>
        <v>-25582.595499999999</v>
      </c>
      <c r="Q316" s="710">
        <f>-SUMIF('D2 - Capex uso'!$C$6:$C$176,$A308,'D2 - Capex uso'!GX$6:GX$176)</f>
        <v>-25582.595499999999</v>
      </c>
      <c r="R316" s="710">
        <f>-SUMIF('D2 - Capex uso'!$C$6:$C$176,$A308,'D2 - Capex uso'!GY$6:GY$176)</f>
        <v>-25582.595499999999</v>
      </c>
      <c r="S316" s="710">
        <f>-SUMIF('D2 - Capex uso'!$C$6:$C$176,$A308,'D2 - Capex uso'!GZ$6:GZ$176)</f>
        <v>-25582.595499999999</v>
      </c>
      <c r="T316" s="710">
        <f>-SUMIF('D2 - Capex uso'!$C$6:$C$176,$A308,'D2 - Capex uso'!HA$6:HA$176)</f>
        <v>-25582.595499999999</v>
      </c>
      <c r="U316" s="710">
        <f>-SUMIF('D2 - Capex uso'!$C$6:$C$176,$A308,'D2 - Capex uso'!HB$6:HB$176)</f>
        <v>-25582.595499999999</v>
      </c>
      <c r="V316" s="710">
        <f>-SUMIF('D2 - Capex uso'!$C$6:$C$176,$A308,'D2 - Capex uso'!HC$6:HC$176)</f>
        <v>-25582.595499999999</v>
      </c>
      <c r="W316" s="710">
        <f>-SUMIF('D2 - Capex uso'!$C$6:$C$176,$A308,'D2 - Capex uso'!HD$6:HD$176)</f>
        <v>-25582.595499999999</v>
      </c>
      <c r="X316" s="710">
        <f>-SUMIF('D2 - Capex uso'!$C$6:$C$176,$A308,'D2 - Capex uso'!HE$6:HE$176)</f>
        <v>-25582.595499999999</v>
      </c>
      <c r="Y316" s="710">
        <f>-SUMIF('D2 - Capex uso'!$C$6:$C$176,$A308,'D2 - Capex uso'!HF$6:HF$176)</f>
        <v>-25582.595499999999</v>
      </c>
      <c r="Z316" s="710">
        <f>-SUMIF('D2 - Capex uso'!$C$6:$C$176,$A308,'D2 - Capex uso'!HG$6:HG$176)</f>
        <v>-25582.595499999999</v>
      </c>
      <c r="AA316" s="710">
        <f>-SUMIF('D2 - Capex uso'!$C$6:$C$176,$A308,'D2 - Capex uso'!HH$6:HH$176)</f>
        <v>-25582.595499999999</v>
      </c>
      <c r="AB316" s="710">
        <f>-SUMIF('D2 - Capex uso'!$C$6:$C$176,$A308,'D2 - Capex uso'!HI$6:HI$176)</f>
        <v>-25582.595499999999</v>
      </c>
      <c r="AC316" s="710">
        <f>-SUMIF('D2 - Capex uso'!$C$6:$C$176,$A308,'D2 - Capex uso'!HJ$6:HJ$176)</f>
        <v>-25582.595499999999</v>
      </c>
      <c r="AD316" s="710">
        <f>-SUMIF('D2 - Capex uso'!$C$6:$C$176,$A308,'D2 - Capex uso'!HK$6:HK$176)</f>
        <v>-25582.595499999999</v>
      </c>
      <c r="AE316" s="710">
        <f>-SUMIF('D2 - Capex uso'!$C$6:$C$176,$A308,'D2 - Capex uso'!HL$6:HL$176)</f>
        <v>-25582.595499999999</v>
      </c>
      <c r="AF316" s="594"/>
      <c r="AG316" s="594"/>
      <c r="AH316" s="594"/>
      <c r="AI316" s="594"/>
      <c r="AJ316" s="594"/>
      <c r="AK316" s="594"/>
      <c r="AL316" s="594"/>
      <c r="AM316" s="594"/>
      <c r="AN316" s="594"/>
      <c r="AO316" s="594"/>
      <c r="AP316" s="594"/>
      <c r="AQ316" s="594"/>
      <c r="AR316" s="594"/>
      <c r="AS316" s="594"/>
      <c r="AT316" s="594"/>
      <c r="AU316" s="594"/>
      <c r="AV316" s="594"/>
      <c r="AW316" s="594"/>
      <c r="AX316" s="594"/>
      <c r="AY316" s="594"/>
      <c r="AZ316" s="594"/>
      <c r="BA316" s="594"/>
      <c r="BB316" s="594"/>
      <c r="BC316" s="594"/>
      <c r="BD316" s="594"/>
      <c r="BE316" s="594"/>
      <c r="BF316" s="594"/>
      <c r="BG316" s="594"/>
      <c r="BH316" s="594"/>
      <c r="BI316" s="594"/>
      <c r="BJ316" s="594"/>
      <c r="BK316" s="594"/>
      <c r="BL316" s="57"/>
      <c r="BM316" s="594"/>
      <c r="BN316" s="594"/>
      <c r="BO316" s="594"/>
      <c r="BP316" s="594"/>
      <c r="BQ316" s="594"/>
      <c r="BR316" s="594"/>
      <c r="BS316" s="594"/>
      <c r="BT316" s="594"/>
      <c r="BU316" s="594"/>
      <c r="BV316" s="594"/>
      <c r="BW316" s="594"/>
      <c r="BX316" s="594"/>
      <c r="BY316" s="594"/>
      <c r="BZ316" s="594"/>
      <c r="CA316" s="594"/>
      <c r="CB316" s="594"/>
      <c r="CC316" s="594"/>
      <c r="CD316" s="594"/>
      <c r="CE316" s="594"/>
      <c r="CF316" s="594"/>
      <c r="CG316" s="594"/>
      <c r="CH316" s="594"/>
      <c r="CI316" s="594"/>
      <c r="CJ316" s="594"/>
      <c r="CK316" s="594"/>
      <c r="CL316" s="594"/>
      <c r="CM316" s="594"/>
      <c r="CN316" s="594"/>
      <c r="CO316" s="594"/>
      <c r="CP316" s="594"/>
      <c r="CQ316" s="594"/>
    </row>
    <row r="317" spans="1:95" ht="21" hidden="1" customHeight="1" outlineLevel="1">
      <c r="A317" s="708" t="s">
        <v>687</v>
      </c>
      <c r="B317" s="707">
        <f t="shared" ref="B317:AE317" si="100">SUM(B309:B311)</f>
        <v>-49789.095499999996</v>
      </c>
      <c r="C317" s="707">
        <f t="shared" si="100"/>
        <v>-208404.41006080003</v>
      </c>
      <c r="D317" s="707">
        <f t="shared" si="100"/>
        <v>-208404.41006080003</v>
      </c>
      <c r="E317" s="707">
        <f t="shared" si="100"/>
        <v>-208404.41006080003</v>
      </c>
      <c r="F317" s="707">
        <f t="shared" si="100"/>
        <v>-208404.41006080003</v>
      </c>
      <c r="G317" s="707">
        <f t="shared" si="100"/>
        <v>-208404.41006080003</v>
      </c>
      <c r="H317" s="707">
        <f t="shared" si="100"/>
        <v>-208404.41006080003</v>
      </c>
      <c r="I317" s="707">
        <f t="shared" si="100"/>
        <v>-208404.41006080003</v>
      </c>
      <c r="J317" s="707">
        <f t="shared" si="100"/>
        <v>-208404.41006080003</v>
      </c>
      <c r="K317" s="707">
        <f t="shared" si="100"/>
        <v>-208404.41006080003</v>
      </c>
      <c r="L317" s="707">
        <f t="shared" si="100"/>
        <v>-208404.41006080003</v>
      </c>
      <c r="M317" s="707">
        <f t="shared" si="100"/>
        <v>-208404.41006080003</v>
      </c>
      <c r="N317" s="707">
        <f t="shared" si="100"/>
        <v>-208404.41006080003</v>
      </c>
      <c r="O317" s="707">
        <f t="shared" si="100"/>
        <v>-208404.41006080003</v>
      </c>
      <c r="P317" s="707">
        <f t="shared" si="100"/>
        <v>-208404.41006080003</v>
      </c>
      <c r="Q317" s="707">
        <f t="shared" si="100"/>
        <v>-208404.41006080003</v>
      </c>
      <c r="R317" s="707">
        <f t="shared" si="100"/>
        <v>-208404.41006080003</v>
      </c>
      <c r="S317" s="707">
        <f t="shared" si="100"/>
        <v>-208404.41006080003</v>
      </c>
      <c r="T317" s="707">
        <f t="shared" si="100"/>
        <v>-208404.41006080003</v>
      </c>
      <c r="U317" s="707">
        <f t="shared" si="100"/>
        <v>-208404.41006080003</v>
      </c>
      <c r="V317" s="707">
        <f t="shared" si="100"/>
        <v>-208404.41006080003</v>
      </c>
      <c r="W317" s="707">
        <f t="shared" si="100"/>
        <v>-208404.41006080003</v>
      </c>
      <c r="X317" s="707">
        <f t="shared" si="100"/>
        <v>-208404.41006080003</v>
      </c>
      <c r="Y317" s="707">
        <f t="shared" si="100"/>
        <v>-208404.41006080003</v>
      </c>
      <c r="Z317" s="707">
        <f t="shared" si="100"/>
        <v>-208404.41006080003</v>
      </c>
      <c r="AA317" s="707">
        <f t="shared" si="100"/>
        <v>-208404.41006080003</v>
      </c>
      <c r="AB317" s="707">
        <f t="shared" si="100"/>
        <v>-208404.41006080003</v>
      </c>
      <c r="AC317" s="707">
        <f t="shared" si="100"/>
        <v>-208404.41006080003</v>
      </c>
      <c r="AD317" s="707">
        <f t="shared" si="100"/>
        <v>-208404.41006080003</v>
      </c>
      <c r="AE317" s="707">
        <f t="shared" si="100"/>
        <v>-208404.41006080003</v>
      </c>
      <c r="AF317" s="594"/>
      <c r="AG317" s="594"/>
      <c r="AH317" s="594"/>
      <c r="AI317" s="594"/>
      <c r="AJ317" s="594"/>
      <c r="AK317" s="594"/>
      <c r="AL317" s="594"/>
      <c r="AM317" s="594"/>
      <c r="AN317" s="594"/>
      <c r="AO317" s="594"/>
      <c r="AP317" s="594"/>
      <c r="AQ317" s="594"/>
      <c r="AR317" s="594"/>
      <c r="AS317" s="594"/>
      <c r="AT317" s="594"/>
      <c r="AU317" s="594"/>
      <c r="AV317" s="594"/>
      <c r="AW317" s="594"/>
      <c r="AX317" s="594"/>
      <c r="AY317" s="594"/>
      <c r="AZ317" s="594"/>
      <c r="BA317" s="594"/>
      <c r="BB317" s="594"/>
      <c r="BC317" s="594"/>
      <c r="BD317" s="594"/>
      <c r="BE317" s="594"/>
      <c r="BF317" s="594"/>
      <c r="BG317" s="594"/>
      <c r="BH317" s="594"/>
      <c r="BI317" s="594"/>
      <c r="BJ317" s="594"/>
      <c r="BK317" s="594"/>
      <c r="BL317" s="57"/>
      <c r="BM317" s="594"/>
      <c r="BN317" s="594"/>
      <c r="BO317" s="594"/>
      <c r="BP317" s="594"/>
      <c r="BQ317" s="594"/>
      <c r="BR317" s="594"/>
      <c r="BS317" s="594"/>
      <c r="BT317" s="594"/>
      <c r="BU317" s="594"/>
      <c r="BV317" s="594"/>
      <c r="BW317" s="594"/>
      <c r="BX317" s="594"/>
      <c r="BY317" s="594"/>
      <c r="BZ317" s="594"/>
      <c r="CA317" s="594"/>
      <c r="CB317" s="594"/>
      <c r="CC317" s="594"/>
      <c r="CD317" s="594"/>
      <c r="CE317" s="594"/>
      <c r="CF317" s="594"/>
      <c r="CG317" s="594"/>
      <c r="CH317" s="594"/>
      <c r="CI317" s="594"/>
      <c r="CJ317" s="594"/>
      <c r="CK317" s="594"/>
      <c r="CL317" s="594"/>
      <c r="CM317" s="594"/>
      <c r="CN317" s="594"/>
      <c r="CO317" s="594"/>
      <c r="CP317" s="594"/>
      <c r="CQ317" s="594"/>
    </row>
    <row r="318" spans="1:95" ht="19.5" hidden="1" customHeight="1" outlineLevel="1">
      <c r="A318" s="708" t="s">
        <v>688</v>
      </c>
      <c r="B318" s="707">
        <f t="shared" ref="B318:AE318" si="101">SUM(B319:B326)</f>
        <v>-365390.85</v>
      </c>
      <c r="C318" s="707">
        <f t="shared" si="101"/>
        <v>0</v>
      </c>
      <c r="D318" s="707">
        <f t="shared" si="101"/>
        <v>0</v>
      </c>
      <c r="E318" s="707">
        <f t="shared" si="101"/>
        <v>0</v>
      </c>
      <c r="F318" s="707">
        <f t="shared" si="101"/>
        <v>0</v>
      </c>
      <c r="G318" s="707">
        <f t="shared" si="101"/>
        <v>0</v>
      </c>
      <c r="H318" s="707">
        <f t="shared" si="101"/>
        <v>0</v>
      </c>
      <c r="I318" s="707">
        <f t="shared" si="101"/>
        <v>0</v>
      </c>
      <c r="J318" s="707">
        <f t="shared" si="101"/>
        <v>0</v>
      </c>
      <c r="K318" s="707">
        <f t="shared" si="101"/>
        <v>0</v>
      </c>
      <c r="L318" s="707">
        <f t="shared" si="101"/>
        <v>-20350.000000000004</v>
      </c>
      <c r="M318" s="707">
        <f t="shared" si="101"/>
        <v>0</v>
      </c>
      <c r="N318" s="707">
        <f t="shared" si="101"/>
        <v>0</v>
      </c>
      <c r="O318" s="707">
        <f t="shared" si="101"/>
        <v>0</v>
      </c>
      <c r="P318" s="707">
        <f t="shared" si="101"/>
        <v>0</v>
      </c>
      <c r="Q318" s="707">
        <f t="shared" si="101"/>
        <v>0</v>
      </c>
      <c r="R318" s="707">
        <f t="shared" si="101"/>
        <v>0</v>
      </c>
      <c r="S318" s="707">
        <f t="shared" si="101"/>
        <v>0</v>
      </c>
      <c r="T318" s="707">
        <f t="shared" si="101"/>
        <v>0</v>
      </c>
      <c r="U318" s="707">
        <f t="shared" si="101"/>
        <v>0</v>
      </c>
      <c r="V318" s="707">
        <f t="shared" si="101"/>
        <v>-20350.000000000004</v>
      </c>
      <c r="W318" s="707">
        <f t="shared" si="101"/>
        <v>0</v>
      </c>
      <c r="X318" s="707">
        <f t="shared" si="101"/>
        <v>0</v>
      </c>
      <c r="Y318" s="707">
        <f t="shared" si="101"/>
        <v>0</v>
      </c>
      <c r="Z318" s="707">
        <f t="shared" si="101"/>
        <v>0</v>
      </c>
      <c r="AA318" s="707">
        <f t="shared" si="101"/>
        <v>0</v>
      </c>
      <c r="AB318" s="707">
        <f t="shared" si="101"/>
        <v>0</v>
      </c>
      <c r="AC318" s="707">
        <f t="shared" si="101"/>
        <v>0</v>
      </c>
      <c r="AD318" s="707">
        <f t="shared" si="101"/>
        <v>0</v>
      </c>
      <c r="AE318" s="707">
        <f t="shared" si="101"/>
        <v>0</v>
      </c>
      <c r="AF318" s="594"/>
      <c r="AG318" s="594"/>
      <c r="AH318" s="594"/>
      <c r="AI318" s="594"/>
      <c r="AJ318" s="594"/>
      <c r="AK318" s="594"/>
      <c r="AL318" s="594"/>
      <c r="AM318" s="594"/>
      <c r="AN318" s="594"/>
      <c r="AO318" s="594"/>
      <c r="AP318" s="594"/>
      <c r="AQ318" s="594"/>
      <c r="AR318" s="594"/>
      <c r="AS318" s="594"/>
      <c r="AT318" s="594"/>
      <c r="AU318" s="594"/>
      <c r="AV318" s="594"/>
      <c r="AW318" s="594"/>
      <c r="AX318" s="594"/>
      <c r="AY318" s="594"/>
      <c r="AZ318" s="594"/>
      <c r="BA318" s="594"/>
      <c r="BB318" s="594"/>
      <c r="BC318" s="594"/>
      <c r="BD318" s="594"/>
      <c r="BE318" s="594"/>
      <c r="BF318" s="594"/>
      <c r="BG318" s="594"/>
      <c r="BH318" s="594"/>
      <c r="BI318" s="594"/>
      <c r="BJ318" s="594"/>
      <c r="BK318" s="594"/>
      <c r="BL318" s="57"/>
      <c r="BM318" s="594"/>
      <c r="BN318" s="594"/>
      <c r="BO318" s="594"/>
      <c r="BP318" s="594"/>
      <c r="BQ318" s="594"/>
      <c r="BR318" s="594"/>
      <c r="BS318" s="594"/>
      <c r="BT318" s="594"/>
      <c r="BU318" s="594"/>
      <c r="BV318" s="594"/>
      <c r="BW318" s="594"/>
      <c r="BX318" s="594"/>
      <c r="BY318" s="594"/>
      <c r="BZ318" s="594"/>
      <c r="CA318" s="594"/>
      <c r="CB318" s="594"/>
      <c r="CC318" s="594"/>
      <c r="CD318" s="594"/>
      <c r="CE318" s="594"/>
      <c r="CF318" s="594"/>
      <c r="CG318" s="594"/>
      <c r="CH318" s="594"/>
      <c r="CI318" s="594"/>
      <c r="CJ318" s="594"/>
      <c r="CK318" s="594"/>
      <c r="CL318" s="594"/>
      <c r="CM318" s="594"/>
      <c r="CN318" s="594"/>
      <c r="CO318" s="594"/>
      <c r="CP318" s="594"/>
      <c r="CQ318" s="594"/>
    </row>
    <row r="319" spans="1:95" ht="19.5" hidden="1" customHeight="1" outlineLevel="2">
      <c r="A319" s="709" t="s">
        <v>354</v>
      </c>
      <c r="B319" s="710">
        <f>-SUMIFS('D2 - Capex uso'!BS$6:BS$176,'D2 - Capex uso'!$C$6:$C$176,$A308,'D2 - Capex uso'!$AK$6:$AK$176,$A319)</f>
        <v>-192179.79</v>
      </c>
      <c r="C319" s="710">
        <f>-SUMIFS('D2 - Capex uso'!BT$6:BT$176,'D2 - Capex uso'!$C$6:$C$176,$A308,'D2 - Capex uso'!$AK$6:$AK$176,$A319)</f>
        <v>0</v>
      </c>
      <c r="D319" s="710">
        <f>-SUMIFS('D2 - Capex uso'!BU$6:BU$176,'D2 - Capex uso'!$C$6:$C$176,$A308,'D2 - Capex uso'!$AK$6:$AK$176,$A319)</f>
        <v>0</v>
      </c>
      <c r="E319" s="710">
        <f>-SUMIFS('D2 - Capex uso'!BV$6:BV$176,'D2 - Capex uso'!$C$6:$C$176,$A308,'D2 - Capex uso'!$AK$6:$AK$176,$A319)</f>
        <v>0</v>
      </c>
      <c r="F319" s="710">
        <f>-SUMIFS('D2 - Capex uso'!BW$6:BW$176,'D2 - Capex uso'!$C$6:$C$176,$A308,'D2 - Capex uso'!$AK$6:$AK$176,$A319)</f>
        <v>0</v>
      </c>
      <c r="G319" s="710">
        <f>-SUMIFS('D2 - Capex uso'!BX$6:BX$176,'D2 - Capex uso'!$C$6:$C$176,$A308,'D2 - Capex uso'!$AK$6:$AK$176,$A319)</f>
        <v>0</v>
      </c>
      <c r="H319" s="710">
        <f>-SUMIFS('D2 - Capex uso'!BY$6:BY$176,'D2 - Capex uso'!$C$6:$C$176,$A308,'D2 - Capex uso'!$AK$6:$AK$176,$A319)</f>
        <v>0</v>
      </c>
      <c r="I319" s="710">
        <f>-SUMIFS('D2 - Capex uso'!BZ$6:BZ$176,'D2 - Capex uso'!$C$6:$C$176,$A308,'D2 - Capex uso'!$AK$6:$AK$176,$A319)</f>
        <v>0</v>
      </c>
      <c r="J319" s="710">
        <f>-SUMIFS('D2 - Capex uso'!CA$6:CA$176,'D2 - Capex uso'!$C$6:$C$176,$A308,'D2 - Capex uso'!$AK$6:$AK$176,$A319)</f>
        <v>0</v>
      </c>
      <c r="K319" s="710">
        <f>-SUMIFS('D2 - Capex uso'!CB$6:CB$176,'D2 - Capex uso'!$C$6:$C$176,$A308,'D2 - Capex uso'!$AK$6:$AK$176,$A319)</f>
        <v>0</v>
      </c>
      <c r="L319" s="710">
        <f>-SUMIFS('D2 - Capex uso'!CC$6:CC$176,'D2 - Capex uso'!$C$6:$C$176,$A308,'D2 - Capex uso'!$AK$6:$AK$176,$A319)</f>
        <v>0</v>
      </c>
      <c r="M319" s="710">
        <f>-SUMIFS('D2 - Capex uso'!CD$6:CD$176,'D2 - Capex uso'!$C$6:$C$176,$A308,'D2 - Capex uso'!$AK$6:$AK$176,$A319)</f>
        <v>0</v>
      </c>
      <c r="N319" s="710">
        <f>-SUMIFS('D2 - Capex uso'!CE$6:CE$176,'D2 - Capex uso'!$C$6:$C$176,$A308,'D2 - Capex uso'!$AK$6:$AK$176,$A319)</f>
        <v>0</v>
      </c>
      <c r="O319" s="710">
        <f>-SUMIFS('D2 - Capex uso'!CF$6:CF$176,'D2 - Capex uso'!$C$6:$C$176,$A308,'D2 - Capex uso'!$AK$6:$AK$176,$A319)</f>
        <v>0</v>
      </c>
      <c r="P319" s="710">
        <f>-SUMIFS('D2 - Capex uso'!CG$6:CG$176,'D2 - Capex uso'!$C$6:$C$176,$A308,'D2 - Capex uso'!$AK$6:$AK$176,$A319)</f>
        <v>0</v>
      </c>
      <c r="Q319" s="710">
        <f>-SUMIFS('D2 - Capex uso'!CH$6:CH$176,'D2 - Capex uso'!$C$6:$C$176,$A308,'D2 - Capex uso'!$AK$6:$AK$176,$A319)</f>
        <v>0</v>
      </c>
      <c r="R319" s="710">
        <f>-SUMIFS('D2 - Capex uso'!CI$6:CI$176,'D2 - Capex uso'!$C$6:$C$176,$A308,'D2 - Capex uso'!$AK$6:$AK$176,$A319)</f>
        <v>0</v>
      </c>
      <c r="S319" s="710">
        <f>-SUMIFS('D2 - Capex uso'!CJ$6:CJ$176,'D2 - Capex uso'!$C$6:$C$176,$A308,'D2 - Capex uso'!$AK$6:$AK$176,$A319)</f>
        <v>0</v>
      </c>
      <c r="T319" s="710">
        <f>-SUMIFS('D2 - Capex uso'!CK$6:CK$176,'D2 - Capex uso'!$C$6:$C$176,$A308,'D2 - Capex uso'!$AK$6:$AK$176,$A319)</f>
        <v>0</v>
      </c>
      <c r="U319" s="710">
        <f>-SUMIFS('D2 - Capex uso'!CL$6:CL$176,'D2 - Capex uso'!$C$6:$C$176,$A308,'D2 - Capex uso'!$AK$6:$AK$176,$A319)</f>
        <v>0</v>
      </c>
      <c r="V319" s="710">
        <f>-SUMIFS('D2 - Capex uso'!CM$6:CM$176,'D2 - Capex uso'!$C$6:$C$176,$A308,'D2 - Capex uso'!$AK$6:$AK$176,$A319)</f>
        <v>0</v>
      </c>
      <c r="W319" s="710">
        <f>-SUMIFS('D2 - Capex uso'!CN$6:CN$176,'D2 - Capex uso'!$C$6:$C$176,$A308,'D2 - Capex uso'!$AK$6:$AK$176,$A319)</f>
        <v>0</v>
      </c>
      <c r="X319" s="710">
        <f>-SUMIFS('D2 - Capex uso'!CO$6:CO$176,'D2 - Capex uso'!$C$6:$C$176,$A308,'D2 - Capex uso'!$AK$6:$AK$176,$A319)</f>
        <v>0</v>
      </c>
      <c r="Y319" s="710">
        <f>-SUMIFS('D2 - Capex uso'!CP$6:CP$176,'D2 - Capex uso'!$C$6:$C$176,$A308,'D2 - Capex uso'!$AK$6:$AK$176,$A319)</f>
        <v>0</v>
      </c>
      <c r="Z319" s="710">
        <f>-SUMIFS('D2 - Capex uso'!CQ$6:CQ$176,'D2 - Capex uso'!$C$6:$C$176,$A308,'D2 - Capex uso'!$AK$6:$AK$176,$A319)</f>
        <v>0</v>
      </c>
      <c r="AA319" s="710">
        <f>-SUMIFS('D2 - Capex uso'!CR$6:CR$176,'D2 - Capex uso'!$C$6:$C$176,$A308,'D2 - Capex uso'!$AK$6:$AK$176,$A319)</f>
        <v>0</v>
      </c>
      <c r="AB319" s="710">
        <f>-SUMIFS('D2 - Capex uso'!CS$6:CS$176,'D2 - Capex uso'!$C$6:$C$176,$A308,'D2 - Capex uso'!$AK$6:$AK$176,$A319)</f>
        <v>0</v>
      </c>
      <c r="AC319" s="710">
        <f>-SUMIFS('D2 - Capex uso'!CT$6:CT$176,'D2 - Capex uso'!$C$6:$C$176,$A308,'D2 - Capex uso'!$AK$6:$AK$176,$A319)</f>
        <v>0</v>
      </c>
      <c r="AD319" s="710">
        <f>-SUMIFS('D2 - Capex uso'!CU$6:CU$176,'D2 - Capex uso'!$C$6:$C$176,$A308,'D2 - Capex uso'!$AK$6:$AK$176,$A319)</f>
        <v>0</v>
      </c>
      <c r="AE319" s="710">
        <f>-SUMIFS('D2 - Capex uso'!CV$6:CV$176,'D2 - Capex uso'!$C$6:$C$176,$A308,'D2 - Capex uso'!$AK$6:$AK$176,$A319)</f>
        <v>0</v>
      </c>
      <c r="AF319" s="594"/>
      <c r="AG319" s="594"/>
      <c r="AH319" s="594"/>
      <c r="AI319" s="594"/>
      <c r="AJ319" s="594"/>
      <c r="AK319" s="594"/>
      <c r="AL319" s="594"/>
      <c r="AM319" s="594"/>
      <c r="AN319" s="594"/>
      <c r="AO319" s="594"/>
      <c r="AP319" s="594"/>
      <c r="AQ319" s="594"/>
      <c r="AR319" s="594"/>
      <c r="AS319" s="594"/>
      <c r="AT319" s="594"/>
      <c r="AU319" s="594"/>
      <c r="AV319" s="594"/>
      <c r="AW319" s="594"/>
      <c r="AX319" s="594"/>
      <c r="AY319" s="594"/>
      <c r="AZ319" s="594"/>
      <c r="BA319" s="594"/>
      <c r="BB319" s="594"/>
      <c r="BC319" s="594"/>
      <c r="BD319" s="594"/>
      <c r="BE319" s="594"/>
      <c r="BF319" s="594"/>
      <c r="BG319" s="594"/>
      <c r="BH319" s="594"/>
      <c r="BI319" s="594"/>
      <c r="BJ319" s="594"/>
      <c r="BK319" s="594"/>
      <c r="BL319" s="57"/>
      <c r="BM319" s="594"/>
      <c r="BN319" s="594"/>
      <c r="BO319" s="594"/>
      <c r="BP319" s="594"/>
      <c r="BQ319" s="594"/>
      <c r="BR319" s="594"/>
      <c r="BS319" s="594"/>
      <c r="BT319" s="594"/>
      <c r="BU319" s="594"/>
      <c r="BV319" s="594"/>
      <c r="BW319" s="594"/>
      <c r="BX319" s="594"/>
      <c r="BY319" s="594"/>
      <c r="BZ319" s="594"/>
      <c r="CA319" s="594"/>
      <c r="CB319" s="594"/>
      <c r="CC319" s="594"/>
      <c r="CD319" s="594"/>
      <c r="CE319" s="594"/>
      <c r="CF319" s="594"/>
      <c r="CG319" s="594"/>
      <c r="CH319" s="594"/>
      <c r="CI319" s="594"/>
      <c r="CJ319" s="594"/>
      <c r="CK319" s="594"/>
      <c r="CL319" s="594"/>
      <c r="CM319" s="594"/>
      <c r="CN319" s="594"/>
      <c r="CO319" s="594"/>
      <c r="CP319" s="594"/>
      <c r="CQ319" s="594"/>
    </row>
    <row r="320" spans="1:95" ht="19.5" hidden="1" customHeight="1" outlineLevel="2">
      <c r="A320" s="709" t="s">
        <v>689</v>
      </c>
      <c r="B320" s="710">
        <f>-SUMIFS('D2 - Capex uso'!BS$6:BS$176,'D2 - Capex uso'!$C$6:$C$176,$A308,'D2 - Capex uso'!$AK$6:$AK$176,$A320)</f>
        <v>0</v>
      </c>
      <c r="C320" s="710">
        <f>-SUMIFS('D2 - Capex uso'!BT$6:BT$176,'D2 - Capex uso'!$C$6:$C$176,$A308,'D2 - Capex uso'!$AK$6:$AK$176,$A320)</f>
        <v>0</v>
      </c>
      <c r="D320" s="710">
        <f>-SUMIFS('D2 - Capex uso'!BU$6:BU$176,'D2 - Capex uso'!$C$6:$C$176,$A308,'D2 - Capex uso'!$AK$6:$AK$176,$A320)</f>
        <v>0</v>
      </c>
      <c r="E320" s="710">
        <f>-SUMIFS('D2 - Capex uso'!BV$6:BV$176,'D2 - Capex uso'!$C$6:$C$176,$A308,'D2 - Capex uso'!$AK$6:$AK$176,$A320)</f>
        <v>0</v>
      </c>
      <c r="F320" s="710">
        <f>-SUMIFS('D2 - Capex uso'!BW$6:BW$176,'D2 - Capex uso'!$C$6:$C$176,$A308,'D2 - Capex uso'!$AK$6:$AK$176,$A320)</f>
        <v>0</v>
      </c>
      <c r="G320" s="710">
        <f>-SUMIFS('D2 - Capex uso'!BX$6:BX$176,'D2 - Capex uso'!$C$6:$C$176,$A308,'D2 - Capex uso'!$AK$6:$AK$176,$A320)</f>
        <v>0</v>
      </c>
      <c r="H320" s="710">
        <f>-SUMIFS('D2 - Capex uso'!BY$6:BY$176,'D2 - Capex uso'!$C$6:$C$176,$A308,'D2 - Capex uso'!$AK$6:$AK$176,$A320)</f>
        <v>0</v>
      </c>
      <c r="I320" s="710">
        <f>-SUMIFS('D2 - Capex uso'!BZ$6:BZ$176,'D2 - Capex uso'!$C$6:$C$176,$A308,'D2 - Capex uso'!$AK$6:$AK$176,$A320)</f>
        <v>0</v>
      </c>
      <c r="J320" s="710">
        <f>-SUMIFS('D2 - Capex uso'!CA$6:CA$176,'D2 - Capex uso'!$C$6:$C$176,$A308,'D2 - Capex uso'!$AK$6:$AK$176,$A320)</f>
        <v>0</v>
      </c>
      <c r="K320" s="710">
        <f>-SUMIFS('D2 - Capex uso'!CB$6:CB$176,'D2 - Capex uso'!$C$6:$C$176,$A308,'D2 - Capex uso'!$AK$6:$AK$176,$A320)</f>
        <v>0</v>
      </c>
      <c r="L320" s="710">
        <f>-SUMIFS('D2 - Capex uso'!CC$6:CC$176,'D2 - Capex uso'!$C$6:$C$176,$A308,'D2 - Capex uso'!$AK$6:$AK$176,$A320)</f>
        <v>0</v>
      </c>
      <c r="M320" s="710">
        <f>-SUMIFS('D2 - Capex uso'!CD$6:CD$176,'D2 - Capex uso'!$C$6:$C$176,$A308,'D2 - Capex uso'!$AK$6:$AK$176,$A320)</f>
        <v>0</v>
      </c>
      <c r="N320" s="710">
        <f>-SUMIFS('D2 - Capex uso'!CE$6:CE$176,'D2 - Capex uso'!$C$6:$C$176,$A308,'D2 - Capex uso'!$AK$6:$AK$176,$A320)</f>
        <v>0</v>
      </c>
      <c r="O320" s="710">
        <f>-SUMIFS('D2 - Capex uso'!CF$6:CF$176,'D2 - Capex uso'!$C$6:$C$176,$A308,'D2 - Capex uso'!$AK$6:$AK$176,$A320)</f>
        <v>0</v>
      </c>
      <c r="P320" s="710">
        <f>-SUMIFS('D2 - Capex uso'!CG$6:CG$176,'D2 - Capex uso'!$C$6:$C$176,$A308,'D2 - Capex uso'!$AK$6:$AK$176,$A320)</f>
        <v>0</v>
      </c>
      <c r="Q320" s="710">
        <f>-SUMIFS('D2 - Capex uso'!CH$6:CH$176,'D2 - Capex uso'!$C$6:$C$176,$A308,'D2 - Capex uso'!$AK$6:$AK$176,$A320)</f>
        <v>0</v>
      </c>
      <c r="R320" s="710">
        <f>-SUMIFS('D2 - Capex uso'!CI$6:CI$176,'D2 - Capex uso'!$C$6:$C$176,$A308,'D2 - Capex uso'!$AK$6:$AK$176,$A320)</f>
        <v>0</v>
      </c>
      <c r="S320" s="710">
        <f>-SUMIFS('D2 - Capex uso'!CJ$6:CJ$176,'D2 - Capex uso'!$C$6:$C$176,$A308,'D2 - Capex uso'!$AK$6:$AK$176,$A320)</f>
        <v>0</v>
      </c>
      <c r="T320" s="710">
        <f>-SUMIFS('D2 - Capex uso'!CK$6:CK$176,'D2 - Capex uso'!$C$6:$C$176,$A308,'D2 - Capex uso'!$AK$6:$AK$176,$A320)</f>
        <v>0</v>
      </c>
      <c r="U320" s="710">
        <f>-SUMIFS('D2 - Capex uso'!CL$6:CL$176,'D2 - Capex uso'!$C$6:$C$176,$A308,'D2 - Capex uso'!$AK$6:$AK$176,$A320)</f>
        <v>0</v>
      </c>
      <c r="V320" s="710">
        <f>-SUMIFS('D2 - Capex uso'!CM$6:CM$176,'D2 - Capex uso'!$C$6:$C$176,$A308,'D2 - Capex uso'!$AK$6:$AK$176,$A320)</f>
        <v>0</v>
      </c>
      <c r="W320" s="710">
        <f>-SUMIFS('D2 - Capex uso'!CN$6:CN$176,'D2 - Capex uso'!$C$6:$C$176,$A308,'D2 - Capex uso'!$AK$6:$AK$176,$A320)</f>
        <v>0</v>
      </c>
      <c r="X320" s="710">
        <f>-SUMIFS('D2 - Capex uso'!CO$6:CO$176,'D2 - Capex uso'!$C$6:$C$176,$A308,'D2 - Capex uso'!$AK$6:$AK$176,$A320)</f>
        <v>0</v>
      </c>
      <c r="Y320" s="710">
        <f>-SUMIFS('D2 - Capex uso'!CP$6:CP$176,'D2 - Capex uso'!$C$6:$C$176,$A308,'D2 - Capex uso'!$AK$6:$AK$176,$A320)</f>
        <v>0</v>
      </c>
      <c r="Z320" s="710">
        <f>-SUMIFS('D2 - Capex uso'!CQ$6:CQ$176,'D2 - Capex uso'!$C$6:$C$176,$A308,'D2 - Capex uso'!$AK$6:$AK$176,$A320)</f>
        <v>0</v>
      </c>
      <c r="AA320" s="710">
        <f>-SUMIFS('D2 - Capex uso'!CR$6:CR$176,'D2 - Capex uso'!$C$6:$C$176,$A308,'D2 - Capex uso'!$AK$6:$AK$176,$A320)</f>
        <v>0</v>
      </c>
      <c r="AB320" s="710">
        <f>-SUMIFS('D2 - Capex uso'!CS$6:CS$176,'D2 - Capex uso'!$C$6:$C$176,$A308,'D2 - Capex uso'!$AK$6:$AK$176,$A320)</f>
        <v>0</v>
      </c>
      <c r="AC320" s="710">
        <f>-SUMIFS('D2 - Capex uso'!CT$6:CT$176,'D2 - Capex uso'!$C$6:$C$176,$A308,'D2 - Capex uso'!$AK$6:$AK$176,$A320)</f>
        <v>0</v>
      </c>
      <c r="AD320" s="710">
        <f>-SUMIFS('D2 - Capex uso'!CU$6:CU$176,'D2 - Capex uso'!$C$6:$C$176,$A308,'D2 - Capex uso'!$AK$6:$AK$176,$A320)</f>
        <v>0</v>
      </c>
      <c r="AE320" s="710">
        <f>-SUMIFS('D2 - Capex uso'!CV$6:CV$176,'D2 - Capex uso'!$C$6:$C$176,$A308,'D2 - Capex uso'!$AK$6:$AK$176,$A320)</f>
        <v>0</v>
      </c>
      <c r="AF320" s="594"/>
      <c r="AG320" s="594"/>
      <c r="AH320" s="594"/>
      <c r="AI320" s="594"/>
      <c r="AJ320" s="594"/>
      <c r="AK320" s="594"/>
      <c r="AL320" s="594"/>
      <c r="AM320" s="594"/>
      <c r="AN320" s="594"/>
      <c r="AO320" s="594"/>
      <c r="AP320" s="594"/>
      <c r="AQ320" s="594"/>
      <c r="AR320" s="594"/>
      <c r="AS320" s="594"/>
      <c r="AT320" s="594"/>
      <c r="AU320" s="594"/>
      <c r="AV320" s="594"/>
      <c r="AW320" s="594"/>
      <c r="AX320" s="594"/>
      <c r="AY320" s="594"/>
      <c r="AZ320" s="594"/>
      <c r="BA320" s="594"/>
      <c r="BB320" s="594"/>
      <c r="BC320" s="594"/>
      <c r="BD320" s="594"/>
      <c r="BE320" s="594"/>
      <c r="BF320" s="594"/>
      <c r="BG320" s="594"/>
      <c r="BH320" s="594"/>
      <c r="BI320" s="594"/>
      <c r="BJ320" s="594"/>
      <c r="BK320" s="594"/>
      <c r="BL320" s="57"/>
      <c r="BM320" s="594"/>
      <c r="BN320" s="594"/>
      <c r="BO320" s="594"/>
      <c r="BP320" s="594"/>
      <c r="BQ320" s="594"/>
      <c r="BR320" s="594"/>
      <c r="BS320" s="594"/>
      <c r="BT320" s="594"/>
      <c r="BU320" s="594"/>
      <c r="BV320" s="594"/>
      <c r="BW320" s="594"/>
      <c r="BX320" s="594"/>
      <c r="BY320" s="594"/>
      <c r="BZ320" s="594"/>
      <c r="CA320" s="594"/>
      <c r="CB320" s="594"/>
      <c r="CC320" s="594"/>
      <c r="CD320" s="594"/>
      <c r="CE320" s="594"/>
      <c r="CF320" s="594"/>
      <c r="CG320" s="594"/>
      <c r="CH320" s="594"/>
      <c r="CI320" s="594"/>
      <c r="CJ320" s="594"/>
      <c r="CK320" s="594"/>
      <c r="CL320" s="594"/>
      <c r="CM320" s="594"/>
      <c r="CN320" s="594"/>
      <c r="CO320" s="594"/>
      <c r="CP320" s="594"/>
      <c r="CQ320" s="594"/>
    </row>
    <row r="321" spans="1:95" ht="19.5" hidden="1" customHeight="1" outlineLevel="2">
      <c r="A321" s="709" t="s">
        <v>378</v>
      </c>
      <c r="B321" s="710">
        <f>-SUMIFS('D2 - Capex uso'!BS$6:BS$176,'D2 - Capex uso'!$C$6:$C$176,$A308,'D2 - Capex uso'!$AK$6:$AK$176,$A321)</f>
        <v>0</v>
      </c>
      <c r="C321" s="710">
        <f>-SUMIFS('D2 - Capex uso'!BT$6:BT$176,'D2 - Capex uso'!$C$6:$C$176,$A308,'D2 - Capex uso'!$AK$6:$AK$176,$A321)</f>
        <v>0</v>
      </c>
      <c r="D321" s="710">
        <f>-SUMIFS('D2 - Capex uso'!BU$6:BU$176,'D2 - Capex uso'!$C$6:$C$176,$A308,'D2 - Capex uso'!$AK$6:$AK$176,$A321)</f>
        <v>0</v>
      </c>
      <c r="E321" s="710">
        <f>-SUMIFS('D2 - Capex uso'!BV$6:BV$176,'D2 - Capex uso'!$C$6:$C$176,$A308,'D2 - Capex uso'!$AK$6:$AK$176,$A321)</f>
        <v>0</v>
      </c>
      <c r="F321" s="710">
        <f>-SUMIFS('D2 - Capex uso'!BW$6:BW$176,'D2 - Capex uso'!$C$6:$C$176,$A308,'D2 - Capex uso'!$AK$6:$AK$176,$A321)</f>
        <v>0</v>
      </c>
      <c r="G321" s="710">
        <f>-SUMIFS('D2 - Capex uso'!BX$6:BX$176,'D2 - Capex uso'!$C$6:$C$176,$A308,'D2 - Capex uso'!$AK$6:$AK$176,$A321)</f>
        <v>0</v>
      </c>
      <c r="H321" s="710">
        <f>-SUMIFS('D2 - Capex uso'!BY$6:BY$176,'D2 - Capex uso'!$C$6:$C$176,$A308,'D2 - Capex uso'!$AK$6:$AK$176,$A321)</f>
        <v>0</v>
      </c>
      <c r="I321" s="710">
        <f>-SUMIFS('D2 - Capex uso'!BZ$6:BZ$176,'D2 - Capex uso'!$C$6:$C$176,$A308,'D2 - Capex uso'!$AK$6:$AK$176,$A321)</f>
        <v>0</v>
      </c>
      <c r="J321" s="710">
        <f>-SUMIFS('D2 - Capex uso'!CA$6:CA$176,'D2 - Capex uso'!$C$6:$C$176,$A308,'D2 - Capex uso'!$AK$6:$AK$176,$A321)</f>
        <v>0</v>
      </c>
      <c r="K321" s="710">
        <f>-SUMIFS('D2 - Capex uso'!CB$6:CB$176,'D2 - Capex uso'!$C$6:$C$176,$A308,'D2 - Capex uso'!$AK$6:$AK$176,$A321)</f>
        <v>0</v>
      </c>
      <c r="L321" s="710">
        <f>-SUMIFS('D2 - Capex uso'!CC$6:CC$176,'D2 - Capex uso'!$C$6:$C$176,$A308,'D2 - Capex uso'!$AK$6:$AK$176,$A321)</f>
        <v>0</v>
      </c>
      <c r="M321" s="710">
        <f>-SUMIFS('D2 - Capex uso'!CD$6:CD$176,'D2 - Capex uso'!$C$6:$C$176,$A308,'D2 - Capex uso'!$AK$6:$AK$176,$A321)</f>
        <v>0</v>
      </c>
      <c r="N321" s="710">
        <f>-SUMIFS('D2 - Capex uso'!CE$6:CE$176,'D2 - Capex uso'!$C$6:$C$176,$A308,'D2 - Capex uso'!$AK$6:$AK$176,$A321)</f>
        <v>0</v>
      </c>
      <c r="O321" s="710">
        <f>-SUMIFS('D2 - Capex uso'!CF$6:CF$176,'D2 - Capex uso'!$C$6:$C$176,$A308,'D2 - Capex uso'!$AK$6:$AK$176,$A321)</f>
        <v>0</v>
      </c>
      <c r="P321" s="710">
        <f>-SUMIFS('D2 - Capex uso'!CG$6:CG$176,'D2 - Capex uso'!$C$6:$C$176,$A308,'D2 - Capex uso'!$AK$6:$AK$176,$A321)</f>
        <v>0</v>
      </c>
      <c r="Q321" s="710">
        <f>-SUMIFS('D2 - Capex uso'!CH$6:CH$176,'D2 - Capex uso'!$C$6:$C$176,$A308,'D2 - Capex uso'!$AK$6:$AK$176,$A321)</f>
        <v>0</v>
      </c>
      <c r="R321" s="710">
        <f>-SUMIFS('D2 - Capex uso'!CI$6:CI$176,'D2 - Capex uso'!$C$6:$C$176,$A308,'D2 - Capex uso'!$AK$6:$AK$176,$A321)</f>
        <v>0</v>
      </c>
      <c r="S321" s="710">
        <f>-SUMIFS('D2 - Capex uso'!CJ$6:CJ$176,'D2 - Capex uso'!$C$6:$C$176,$A308,'D2 - Capex uso'!$AK$6:$AK$176,$A321)</f>
        <v>0</v>
      </c>
      <c r="T321" s="710">
        <f>-SUMIFS('D2 - Capex uso'!CK$6:CK$176,'D2 - Capex uso'!$C$6:$C$176,$A308,'D2 - Capex uso'!$AK$6:$AK$176,$A321)</f>
        <v>0</v>
      </c>
      <c r="U321" s="710">
        <f>-SUMIFS('D2 - Capex uso'!CL$6:CL$176,'D2 - Capex uso'!$C$6:$C$176,$A308,'D2 - Capex uso'!$AK$6:$AK$176,$A321)</f>
        <v>0</v>
      </c>
      <c r="V321" s="710">
        <f>-SUMIFS('D2 - Capex uso'!CM$6:CM$176,'D2 - Capex uso'!$C$6:$C$176,$A308,'D2 - Capex uso'!$AK$6:$AK$176,$A321)</f>
        <v>0</v>
      </c>
      <c r="W321" s="710">
        <f>-SUMIFS('D2 - Capex uso'!CN$6:CN$176,'D2 - Capex uso'!$C$6:$C$176,$A308,'D2 - Capex uso'!$AK$6:$AK$176,$A321)</f>
        <v>0</v>
      </c>
      <c r="X321" s="710">
        <f>-SUMIFS('D2 - Capex uso'!CO$6:CO$176,'D2 - Capex uso'!$C$6:$C$176,$A308,'D2 - Capex uso'!$AK$6:$AK$176,$A321)</f>
        <v>0</v>
      </c>
      <c r="Y321" s="710">
        <f>-SUMIFS('D2 - Capex uso'!CP$6:CP$176,'D2 - Capex uso'!$C$6:$C$176,$A308,'D2 - Capex uso'!$AK$6:$AK$176,$A321)</f>
        <v>0</v>
      </c>
      <c r="Z321" s="710">
        <f>-SUMIFS('D2 - Capex uso'!CQ$6:CQ$176,'D2 - Capex uso'!$C$6:$C$176,$A308,'D2 - Capex uso'!$AK$6:$AK$176,$A321)</f>
        <v>0</v>
      </c>
      <c r="AA321" s="710">
        <f>-SUMIFS('D2 - Capex uso'!CR$6:CR$176,'D2 - Capex uso'!$C$6:$C$176,$A308,'D2 - Capex uso'!$AK$6:$AK$176,$A321)</f>
        <v>0</v>
      </c>
      <c r="AB321" s="710">
        <f>-SUMIFS('D2 - Capex uso'!CS$6:CS$176,'D2 - Capex uso'!$C$6:$C$176,$A308,'D2 - Capex uso'!$AK$6:$AK$176,$A321)</f>
        <v>0</v>
      </c>
      <c r="AC321" s="710">
        <f>-SUMIFS('D2 - Capex uso'!CT$6:CT$176,'D2 - Capex uso'!$C$6:$C$176,$A308,'D2 - Capex uso'!$AK$6:$AK$176,$A321)</f>
        <v>0</v>
      </c>
      <c r="AD321" s="710">
        <f>-SUMIFS('D2 - Capex uso'!CU$6:CU$176,'D2 - Capex uso'!$C$6:$C$176,$A308,'D2 - Capex uso'!$AK$6:$AK$176,$A321)</f>
        <v>0</v>
      </c>
      <c r="AE321" s="710">
        <f>-SUMIFS('D2 - Capex uso'!CV$6:CV$176,'D2 - Capex uso'!$C$6:$C$176,$A308,'D2 - Capex uso'!$AK$6:$AK$176,$A321)</f>
        <v>0</v>
      </c>
      <c r="AF321" s="594"/>
      <c r="AG321" s="594"/>
      <c r="AH321" s="594"/>
      <c r="AI321" s="594"/>
      <c r="AJ321" s="594"/>
      <c r="AK321" s="594"/>
      <c r="AL321" s="594"/>
      <c r="AM321" s="594"/>
      <c r="AN321" s="594"/>
      <c r="AO321" s="594"/>
      <c r="AP321" s="594"/>
      <c r="AQ321" s="594"/>
      <c r="AR321" s="594"/>
      <c r="AS321" s="594"/>
      <c r="AT321" s="594"/>
      <c r="AU321" s="594"/>
      <c r="AV321" s="594"/>
      <c r="AW321" s="594"/>
      <c r="AX321" s="594"/>
      <c r="AY321" s="594"/>
      <c r="AZ321" s="594"/>
      <c r="BA321" s="594"/>
      <c r="BB321" s="594"/>
      <c r="BC321" s="594"/>
      <c r="BD321" s="594"/>
      <c r="BE321" s="594"/>
      <c r="BF321" s="594"/>
      <c r="BG321" s="594"/>
      <c r="BH321" s="594"/>
      <c r="BI321" s="594"/>
      <c r="BJ321" s="594"/>
      <c r="BK321" s="594"/>
      <c r="BL321" s="57"/>
      <c r="BM321" s="594"/>
      <c r="BN321" s="594"/>
      <c r="BO321" s="594"/>
      <c r="BP321" s="594"/>
      <c r="BQ321" s="594"/>
      <c r="BR321" s="594"/>
      <c r="BS321" s="594"/>
      <c r="BT321" s="594"/>
      <c r="BU321" s="594"/>
      <c r="BV321" s="594"/>
      <c r="BW321" s="594"/>
      <c r="BX321" s="594"/>
      <c r="BY321" s="594"/>
      <c r="BZ321" s="594"/>
      <c r="CA321" s="594"/>
      <c r="CB321" s="594"/>
      <c r="CC321" s="594"/>
      <c r="CD321" s="594"/>
      <c r="CE321" s="594"/>
      <c r="CF321" s="594"/>
      <c r="CG321" s="594"/>
      <c r="CH321" s="594"/>
      <c r="CI321" s="594"/>
      <c r="CJ321" s="594"/>
      <c r="CK321" s="594"/>
      <c r="CL321" s="594"/>
      <c r="CM321" s="594"/>
      <c r="CN321" s="594"/>
      <c r="CO321" s="594"/>
      <c r="CP321" s="594"/>
      <c r="CQ321" s="594"/>
    </row>
    <row r="322" spans="1:95" ht="19.5" hidden="1" customHeight="1" outlineLevel="2">
      <c r="A322" s="709" t="s">
        <v>366</v>
      </c>
      <c r="B322" s="710">
        <f>-SUMIFS('D2 - Capex uso'!BS$6:BS$176,'D2 - Capex uso'!$C$6:$C$176,$A308,'D2 - Capex uso'!$AK$6:$AK$176,$A322)</f>
        <v>0</v>
      </c>
      <c r="C322" s="710">
        <f>-SUMIFS('D2 - Capex uso'!BT$6:BT$176,'D2 - Capex uso'!$C$6:$C$176,$A308,'D2 - Capex uso'!$AK$6:$AK$176,$A322)</f>
        <v>0</v>
      </c>
      <c r="D322" s="710">
        <f>-SUMIFS('D2 - Capex uso'!BU$6:BU$176,'D2 - Capex uso'!$C$6:$C$176,$A308,'D2 - Capex uso'!$AK$6:$AK$176,$A322)</f>
        <v>0</v>
      </c>
      <c r="E322" s="710">
        <f>-SUMIFS('D2 - Capex uso'!BV$6:BV$176,'D2 - Capex uso'!$C$6:$C$176,$A308,'D2 - Capex uso'!$AK$6:$AK$176,$A322)</f>
        <v>0</v>
      </c>
      <c r="F322" s="710">
        <f>-SUMIFS('D2 - Capex uso'!BW$6:BW$176,'D2 - Capex uso'!$C$6:$C$176,$A308,'D2 - Capex uso'!$AK$6:$AK$176,$A322)</f>
        <v>0</v>
      </c>
      <c r="G322" s="710">
        <f>-SUMIFS('D2 - Capex uso'!BX$6:BX$176,'D2 - Capex uso'!$C$6:$C$176,$A308,'D2 - Capex uso'!$AK$6:$AK$176,$A322)</f>
        <v>0</v>
      </c>
      <c r="H322" s="710">
        <f>-SUMIFS('D2 - Capex uso'!BY$6:BY$176,'D2 - Capex uso'!$C$6:$C$176,$A308,'D2 - Capex uso'!$AK$6:$AK$176,$A322)</f>
        <v>0</v>
      </c>
      <c r="I322" s="710">
        <f>-SUMIFS('D2 - Capex uso'!BZ$6:BZ$176,'D2 - Capex uso'!$C$6:$C$176,$A308,'D2 - Capex uso'!$AK$6:$AK$176,$A322)</f>
        <v>0</v>
      </c>
      <c r="J322" s="710">
        <f>-SUMIFS('D2 - Capex uso'!CA$6:CA$176,'D2 - Capex uso'!$C$6:$C$176,$A308,'D2 - Capex uso'!$AK$6:$AK$176,$A322)</f>
        <v>0</v>
      </c>
      <c r="K322" s="710">
        <f>-SUMIFS('D2 - Capex uso'!CB$6:CB$176,'D2 - Capex uso'!$C$6:$C$176,$A308,'D2 - Capex uso'!$AK$6:$AK$176,$A322)</f>
        <v>0</v>
      </c>
      <c r="L322" s="710">
        <f>-SUMIFS('D2 - Capex uso'!CC$6:CC$176,'D2 - Capex uso'!$C$6:$C$176,$A308,'D2 - Capex uso'!$AK$6:$AK$176,$A322)</f>
        <v>0</v>
      </c>
      <c r="M322" s="710">
        <f>-SUMIFS('D2 - Capex uso'!CD$6:CD$176,'D2 - Capex uso'!$C$6:$C$176,$A308,'D2 - Capex uso'!$AK$6:$AK$176,$A322)</f>
        <v>0</v>
      </c>
      <c r="N322" s="710">
        <f>-SUMIFS('D2 - Capex uso'!CE$6:CE$176,'D2 - Capex uso'!$C$6:$C$176,$A308,'D2 - Capex uso'!$AK$6:$AK$176,$A322)</f>
        <v>0</v>
      </c>
      <c r="O322" s="710">
        <f>-SUMIFS('D2 - Capex uso'!CF$6:CF$176,'D2 - Capex uso'!$C$6:$C$176,$A308,'D2 - Capex uso'!$AK$6:$AK$176,$A322)</f>
        <v>0</v>
      </c>
      <c r="P322" s="710">
        <f>-SUMIFS('D2 - Capex uso'!CG$6:CG$176,'D2 - Capex uso'!$C$6:$C$176,$A308,'D2 - Capex uso'!$AK$6:$AK$176,$A322)</f>
        <v>0</v>
      </c>
      <c r="Q322" s="710">
        <f>-SUMIFS('D2 - Capex uso'!CH$6:CH$176,'D2 - Capex uso'!$C$6:$C$176,$A308,'D2 - Capex uso'!$AK$6:$AK$176,$A322)</f>
        <v>0</v>
      </c>
      <c r="R322" s="710">
        <f>-SUMIFS('D2 - Capex uso'!CI$6:CI$176,'D2 - Capex uso'!$C$6:$C$176,$A308,'D2 - Capex uso'!$AK$6:$AK$176,$A322)</f>
        <v>0</v>
      </c>
      <c r="S322" s="710">
        <f>-SUMIFS('D2 - Capex uso'!CJ$6:CJ$176,'D2 - Capex uso'!$C$6:$C$176,$A308,'D2 - Capex uso'!$AK$6:$AK$176,$A322)</f>
        <v>0</v>
      </c>
      <c r="T322" s="710">
        <f>-SUMIFS('D2 - Capex uso'!CK$6:CK$176,'D2 - Capex uso'!$C$6:$C$176,$A308,'D2 - Capex uso'!$AK$6:$AK$176,$A322)</f>
        <v>0</v>
      </c>
      <c r="U322" s="710">
        <f>-SUMIFS('D2 - Capex uso'!CL$6:CL$176,'D2 - Capex uso'!$C$6:$C$176,$A308,'D2 - Capex uso'!$AK$6:$AK$176,$A322)</f>
        <v>0</v>
      </c>
      <c r="V322" s="710">
        <f>-SUMIFS('D2 - Capex uso'!CM$6:CM$176,'D2 - Capex uso'!$C$6:$C$176,$A308,'D2 - Capex uso'!$AK$6:$AK$176,$A322)</f>
        <v>0</v>
      </c>
      <c r="W322" s="710">
        <f>-SUMIFS('D2 - Capex uso'!CN$6:CN$176,'D2 - Capex uso'!$C$6:$C$176,$A308,'D2 - Capex uso'!$AK$6:$AK$176,$A322)</f>
        <v>0</v>
      </c>
      <c r="X322" s="710">
        <f>-SUMIFS('D2 - Capex uso'!CO$6:CO$176,'D2 - Capex uso'!$C$6:$C$176,$A308,'D2 - Capex uso'!$AK$6:$AK$176,$A322)</f>
        <v>0</v>
      </c>
      <c r="Y322" s="710">
        <f>-SUMIFS('D2 - Capex uso'!CP$6:CP$176,'D2 - Capex uso'!$C$6:$C$176,$A308,'D2 - Capex uso'!$AK$6:$AK$176,$A322)</f>
        <v>0</v>
      </c>
      <c r="Z322" s="710">
        <f>-SUMIFS('D2 - Capex uso'!CQ$6:CQ$176,'D2 - Capex uso'!$C$6:$C$176,$A308,'D2 - Capex uso'!$AK$6:$AK$176,$A322)</f>
        <v>0</v>
      </c>
      <c r="AA322" s="710">
        <f>-SUMIFS('D2 - Capex uso'!CR$6:CR$176,'D2 - Capex uso'!$C$6:$C$176,$A308,'D2 - Capex uso'!$AK$6:$AK$176,$A322)</f>
        <v>0</v>
      </c>
      <c r="AB322" s="710">
        <f>-SUMIFS('D2 - Capex uso'!CS$6:CS$176,'D2 - Capex uso'!$C$6:$C$176,$A308,'D2 - Capex uso'!$AK$6:$AK$176,$A322)</f>
        <v>0</v>
      </c>
      <c r="AC322" s="710">
        <f>-SUMIFS('D2 - Capex uso'!CT$6:CT$176,'D2 - Capex uso'!$C$6:$C$176,$A308,'D2 - Capex uso'!$AK$6:$AK$176,$A322)</f>
        <v>0</v>
      </c>
      <c r="AD322" s="710">
        <f>-SUMIFS('D2 - Capex uso'!CU$6:CU$176,'D2 - Capex uso'!$C$6:$C$176,$A308,'D2 - Capex uso'!$AK$6:$AK$176,$A322)</f>
        <v>0</v>
      </c>
      <c r="AE322" s="710">
        <f>-SUMIFS('D2 - Capex uso'!CV$6:CV$176,'D2 - Capex uso'!$C$6:$C$176,$A308,'D2 - Capex uso'!$AK$6:$AK$176,$A322)</f>
        <v>0</v>
      </c>
      <c r="AF322" s="594"/>
      <c r="AG322" s="594"/>
      <c r="AH322" s="594"/>
      <c r="AI322" s="594"/>
      <c r="AJ322" s="594"/>
      <c r="AK322" s="594"/>
      <c r="AL322" s="594"/>
      <c r="AM322" s="594"/>
      <c r="AN322" s="594"/>
      <c r="AO322" s="594"/>
      <c r="AP322" s="594"/>
      <c r="AQ322" s="594"/>
      <c r="AR322" s="594"/>
      <c r="AS322" s="594"/>
      <c r="AT322" s="594"/>
      <c r="AU322" s="594"/>
      <c r="AV322" s="594"/>
      <c r="AW322" s="594"/>
      <c r="AX322" s="594"/>
      <c r="AY322" s="594"/>
      <c r="AZ322" s="594"/>
      <c r="BA322" s="594"/>
      <c r="BB322" s="594"/>
      <c r="BC322" s="594"/>
      <c r="BD322" s="594"/>
      <c r="BE322" s="594"/>
      <c r="BF322" s="594"/>
      <c r="BG322" s="594"/>
      <c r="BH322" s="594"/>
      <c r="BI322" s="594"/>
      <c r="BJ322" s="594"/>
      <c r="BK322" s="594"/>
      <c r="BL322" s="57"/>
      <c r="BM322" s="594"/>
      <c r="BN322" s="594"/>
      <c r="BO322" s="594"/>
      <c r="BP322" s="594"/>
      <c r="BQ322" s="594"/>
      <c r="BR322" s="594"/>
      <c r="BS322" s="594"/>
      <c r="BT322" s="594"/>
      <c r="BU322" s="594"/>
      <c r="BV322" s="594"/>
      <c r="BW322" s="594"/>
      <c r="BX322" s="594"/>
      <c r="BY322" s="594"/>
      <c r="BZ322" s="594"/>
      <c r="CA322" s="594"/>
      <c r="CB322" s="594"/>
      <c r="CC322" s="594"/>
      <c r="CD322" s="594"/>
      <c r="CE322" s="594"/>
      <c r="CF322" s="594"/>
      <c r="CG322" s="594"/>
      <c r="CH322" s="594"/>
      <c r="CI322" s="594"/>
      <c r="CJ322" s="594"/>
      <c r="CK322" s="594"/>
      <c r="CL322" s="594"/>
      <c r="CM322" s="594"/>
      <c r="CN322" s="594"/>
      <c r="CO322" s="594"/>
      <c r="CP322" s="594"/>
      <c r="CQ322" s="594"/>
    </row>
    <row r="323" spans="1:95" ht="19.5" hidden="1" customHeight="1" outlineLevel="2">
      <c r="A323" s="709" t="s">
        <v>371</v>
      </c>
      <c r="B323" s="710">
        <f>-SUMIFS('D2 - Capex uso'!BS$6:BS$176,'D2 - Capex uso'!$C$6:$C$176,$A308,'D2 - Capex uso'!$AK$6:$AK$176,$A323)</f>
        <v>-20350.000000000004</v>
      </c>
      <c r="C323" s="710">
        <f>-SUMIFS('D2 - Capex uso'!BT$6:BT$176,'D2 - Capex uso'!$C$6:$C$176,$A308,'D2 - Capex uso'!$AK$6:$AK$176,$A323)</f>
        <v>0</v>
      </c>
      <c r="D323" s="710">
        <f>-SUMIFS('D2 - Capex uso'!BU$6:BU$176,'D2 - Capex uso'!$C$6:$C$176,$A308,'D2 - Capex uso'!$AK$6:$AK$176,$A323)</f>
        <v>0</v>
      </c>
      <c r="E323" s="710">
        <f>-SUMIFS('D2 - Capex uso'!BV$6:BV$176,'D2 - Capex uso'!$C$6:$C$176,$A308,'D2 - Capex uso'!$AK$6:$AK$176,$A323)</f>
        <v>0</v>
      </c>
      <c r="F323" s="710">
        <f>-SUMIFS('D2 - Capex uso'!BW$6:BW$176,'D2 - Capex uso'!$C$6:$C$176,$A308,'D2 - Capex uso'!$AK$6:$AK$176,$A323)</f>
        <v>0</v>
      </c>
      <c r="G323" s="710">
        <f>-SUMIFS('D2 - Capex uso'!BX$6:BX$176,'D2 - Capex uso'!$C$6:$C$176,$A308,'D2 - Capex uso'!$AK$6:$AK$176,$A323)</f>
        <v>0</v>
      </c>
      <c r="H323" s="710">
        <f>-SUMIFS('D2 - Capex uso'!BY$6:BY$176,'D2 - Capex uso'!$C$6:$C$176,$A308,'D2 - Capex uso'!$AK$6:$AK$176,$A323)</f>
        <v>0</v>
      </c>
      <c r="I323" s="710">
        <f>-SUMIFS('D2 - Capex uso'!BZ$6:BZ$176,'D2 - Capex uso'!$C$6:$C$176,$A308,'D2 - Capex uso'!$AK$6:$AK$176,$A323)</f>
        <v>0</v>
      </c>
      <c r="J323" s="710">
        <f>-SUMIFS('D2 - Capex uso'!CA$6:CA$176,'D2 - Capex uso'!$C$6:$C$176,$A308,'D2 - Capex uso'!$AK$6:$AK$176,$A323)</f>
        <v>0</v>
      </c>
      <c r="K323" s="710">
        <f>-SUMIFS('D2 - Capex uso'!CB$6:CB$176,'D2 - Capex uso'!$C$6:$C$176,$A308,'D2 - Capex uso'!$AK$6:$AK$176,$A323)</f>
        <v>0</v>
      </c>
      <c r="L323" s="710">
        <f>-SUMIFS('D2 - Capex uso'!CC$6:CC$176,'D2 - Capex uso'!$C$6:$C$176,$A308,'D2 - Capex uso'!$AK$6:$AK$176,$A323)</f>
        <v>-20350.000000000004</v>
      </c>
      <c r="M323" s="710">
        <f>-SUMIFS('D2 - Capex uso'!CD$6:CD$176,'D2 - Capex uso'!$C$6:$C$176,$A308,'D2 - Capex uso'!$AK$6:$AK$176,$A323)</f>
        <v>0</v>
      </c>
      <c r="N323" s="710">
        <f>-SUMIFS('D2 - Capex uso'!CE$6:CE$176,'D2 - Capex uso'!$C$6:$C$176,$A308,'D2 - Capex uso'!$AK$6:$AK$176,$A323)</f>
        <v>0</v>
      </c>
      <c r="O323" s="710">
        <f>-SUMIFS('D2 - Capex uso'!CF$6:CF$176,'D2 - Capex uso'!$C$6:$C$176,$A308,'D2 - Capex uso'!$AK$6:$AK$176,$A323)</f>
        <v>0</v>
      </c>
      <c r="P323" s="710">
        <f>-SUMIFS('D2 - Capex uso'!CG$6:CG$176,'D2 - Capex uso'!$C$6:$C$176,$A308,'D2 - Capex uso'!$AK$6:$AK$176,$A323)</f>
        <v>0</v>
      </c>
      <c r="Q323" s="710">
        <f>-SUMIFS('D2 - Capex uso'!CH$6:CH$176,'D2 - Capex uso'!$C$6:$C$176,$A308,'D2 - Capex uso'!$AK$6:$AK$176,$A323)</f>
        <v>0</v>
      </c>
      <c r="R323" s="710">
        <f>-SUMIFS('D2 - Capex uso'!CI$6:CI$176,'D2 - Capex uso'!$C$6:$C$176,$A308,'D2 - Capex uso'!$AK$6:$AK$176,$A323)</f>
        <v>0</v>
      </c>
      <c r="S323" s="710">
        <f>-SUMIFS('D2 - Capex uso'!CJ$6:CJ$176,'D2 - Capex uso'!$C$6:$C$176,$A308,'D2 - Capex uso'!$AK$6:$AK$176,$A323)</f>
        <v>0</v>
      </c>
      <c r="T323" s="710">
        <f>-SUMIFS('D2 - Capex uso'!CK$6:CK$176,'D2 - Capex uso'!$C$6:$C$176,$A308,'D2 - Capex uso'!$AK$6:$AK$176,$A323)</f>
        <v>0</v>
      </c>
      <c r="U323" s="710">
        <f>-SUMIFS('D2 - Capex uso'!CL$6:CL$176,'D2 - Capex uso'!$C$6:$C$176,$A308,'D2 - Capex uso'!$AK$6:$AK$176,$A323)</f>
        <v>0</v>
      </c>
      <c r="V323" s="710">
        <f>-SUMIFS('D2 - Capex uso'!CM$6:CM$176,'D2 - Capex uso'!$C$6:$C$176,$A308,'D2 - Capex uso'!$AK$6:$AK$176,$A323)</f>
        <v>-20350.000000000004</v>
      </c>
      <c r="W323" s="710">
        <f>-SUMIFS('D2 - Capex uso'!CN$6:CN$176,'D2 - Capex uso'!$C$6:$C$176,$A308,'D2 - Capex uso'!$AK$6:$AK$176,$A323)</f>
        <v>0</v>
      </c>
      <c r="X323" s="710">
        <f>-SUMIFS('D2 - Capex uso'!CO$6:CO$176,'D2 - Capex uso'!$C$6:$C$176,$A308,'D2 - Capex uso'!$AK$6:$AK$176,$A323)</f>
        <v>0</v>
      </c>
      <c r="Y323" s="710">
        <f>-SUMIFS('D2 - Capex uso'!CP$6:CP$176,'D2 - Capex uso'!$C$6:$C$176,$A308,'D2 - Capex uso'!$AK$6:$AK$176,$A323)</f>
        <v>0</v>
      </c>
      <c r="Z323" s="710">
        <f>-SUMIFS('D2 - Capex uso'!CQ$6:CQ$176,'D2 - Capex uso'!$C$6:$C$176,$A308,'D2 - Capex uso'!$AK$6:$AK$176,$A323)</f>
        <v>0</v>
      </c>
      <c r="AA323" s="710">
        <f>-SUMIFS('D2 - Capex uso'!CR$6:CR$176,'D2 - Capex uso'!$C$6:$C$176,$A308,'D2 - Capex uso'!$AK$6:$AK$176,$A323)</f>
        <v>0</v>
      </c>
      <c r="AB323" s="710">
        <f>-SUMIFS('D2 - Capex uso'!CS$6:CS$176,'D2 - Capex uso'!$C$6:$C$176,$A308,'D2 - Capex uso'!$AK$6:$AK$176,$A323)</f>
        <v>0</v>
      </c>
      <c r="AC323" s="710">
        <f>-SUMIFS('D2 - Capex uso'!CT$6:CT$176,'D2 - Capex uso'!$C$6:$C$176,$A308,'D2 - Capex uso'!$AK$6:$AK$176,$A323)</f>
        <v>0</v>
      </c>
      <c r="AD323" s="710">
        <f>-SUMIFS('D2 - Capex uso'!CU$6:CU$176,'D2 - Capex uso'!$C$6:$C$176,$A308,'D2 - Capex uso'!$AK$6:$AK$176,$A323)</f>
        <v>0</v>
      </c>
      <c r="AE323" s="710">
        <f>-SUMIFS('D2 - Capex uso'!CV$6:CV$176,'D2 - Capex uso'!$C$6:$C$176,$A308,'D2 - Capex uso'!$AK$6:$AK$176,$A323)</f>
        <v>0</v>
      </c>
      <c r="AF323" s="594"/>
      <c r="AG323" s="594"/>
      <c r="AH323" s="594"/>
      <c r="AI323" s="594"/>
      <c r="AJ323" s="594"/>
      <c r="AK323" s="594"/>
      <c r="AL323" s="594"/>
      <c r="AM323" s="594"/>
      <c r="AN323" s="594"/>
      <c r="AO323" s="594"/>
      <c r="AP323" s="594"/>
      <c r="AQ323" s="594"/>
      <c r="AR323" s="594"/>
      <c r="AS323" s="594"/>
      <c r="AT323" s="594"/>
      <c r="AU323" s="594"/>
      <c r="AV323" s="594"/>
      <c r="AW323" s="594"/>
      <c r="AX323" s="594"/>
      <c r="AY323" s="594"/>
      <c r="AZ323" s="594"/>
      <c r="BA323" s="594"/>
      <c r="BB323" s="594"/>
      <c r="BC323" s="594"/>
      <c r="BD323" s="594"/>
      <c r="BE323" s="594"/>
      <c r="BF323" s="594"/>
      <c r="BG323" s="594"/>
      <c r="BH323" s="594"/>
      <c r="BI323" s="594"/>
      <c r="BJ323" s="594"/>
      <c r="BK323" s="594"/>
      <c r="BL323" s="57"/>
      <c r="BM323" s="594"/>
      <c r="BN323" s="594"/>
      <c r="BO323" s="594"/>
      <c r="BP323" s="594"/>
      <c r="BQ323" s="594"/>
      <c r="BR323" s="594"/>
      <c r="BS323" s="594"/>
      <c r="BT323" s="594"/>
      <c r="BU323" s="594"/>
      <c r="BV323" s="594"/>
      <c r="BW323" s="594"/>
      <c r="BX323" s="594"/>
      <c r="BY323" s="594"/>
      <c r="BZ323" s="594"/>
      <c r="CA323" s="594"/>
      <c r="CB323" s="594"/>
      <c r="CC323" s="594"/>
      <c r="CD323" s="594"/>
      <c r="CE323" s="594"/>
      <c r="CF323" s="594"/>
      <c r="CG323" s="594"/>
      <c r="CH323" s="594"/>
      <c r="CI323" s="594"/>
      <c r="CJ323" s="594"/>
      <c r="CK323" s="594"/>
      <c r="CL323" s="594"/>
      <c r="CM323" s="594"/>
      <c r="CN323" s="594"/>
      <c r="CO323" s="594"/>
      <c r="CP323" s="594"/>
      <c r="CQ323" s="594"/>
    </row>
    <row r="324" spans="1:95" ht="19.5" hidden="1" customHeight="1" outlineLevel="2">
      <c r="A324" s="709" t="s">
        <v>361</v>
      </c>
      <c r="B324" s="710">
        <f>-SUMIFS('D2 - Capex uso'!BS$6:BS$176,'D2 - Capex uso'!$C$6:$C$176,$A308,'D2 - Capex uso'!$AK$6:$AK$176,$A324)</f>
        <v>0</v>
      </c>
      <c r="C324" s="710">
        <f>-SUMIFS('D2 - Capex uso'!BT$6:BT$176,'D2 - Capex uso'!$C$6:$C$176,$A308,'D2 - Capex uso'!$AK$6:$AK$176,$A324)</f>
        <v>0</v>
      </c>
      <c r="D324" s="710">
        <f>-SUMIFS('D2 - Capex uso'!BU$6:BU$176,'D2 - Capex uso'!$C$6:$C$176,$A308,'D2 - Capex uso'!$AK$6:$AK$176,$A324)</f>
        <v>0</v>
      </c>
      <c r="E324" s="710">
        <f>-SUMIFS('D2 - Capex uso'!BV$6:BV$176,'D2 - Capex uso'!$C$6:$C$176,$A308,'D2 - Capex uso'!$AK$6:$AK$176,$A324)</f>
        <v>0</v>
      </c>
      <c r="F324" s="710">
        <f>-SUMIFS('D2 - Capex uso'!BW$6:BW$176,'D2 - Capex uso'!$C$6:$C$176,$A308,'D2 - Capex uso'!$AK$6:$AK$176,$A324)</f>
        <v>0</v>
      </c>
      <c r="G324" s="710">
        <f>-SUMIFS('D2 - Capex uso'!BX$6:BX$176,'D2 - Capex uso'!$C$6:$C$176,$A308,'D2 - Capex uso'!$AK$6:$AK$176,$A324)</f>
        <v>0</v>
      </c>
      <c r="H324" s="710">
        <f>-SUMIFS('D2 - Capex uso'!BY$6:BY$176,'D2 - Capex uso'!$C$6:$C$176,$A308,'D2 - Capex uso'!$AK$6:$AK$176,$A324)</f>
        <v>0</v>
      </c>
      <c r="I324" s="710">
        <f>-SUMIFS('D2 - Capex uso'!BZ$6:BZ$176,'D2 - Capex uso'!$C$6:$C$176,$A308,'D2 - Capex uso'!$AK$6:$AK$176,$A324)</f>
        <v>0</v>
      </c>
      <c r="J324" s="710">
        <f>-SUMIFS('D2 - Capex uso'!CA$6:CA$176,'D2 - Capex uso'!$C$6:$C$176,$A308,'D2 - Capex uso'!$AK$6:$AK$176,$A324)</f>
        <v>0</v>
      </c>
      <c r="K324" s="710">
        <f>-SUMIFS('D2 - Capex uso'!CB$6:CB$176,'D2 - Capex uso'!$C$6:$C$176,$A308,'D2 - Capex uso'!$AK$6:$AK$176,$A324)</f>
        <v>0</v>
      </c>
      <c r="L324" s="710">
        <f>-SUMIFS('D2 - Capex uso'!CC$6:CC$176,'D2 - Capex uso'!$C$6:$C$176,$A308,'D2 - Capex uso'!$AK$6:$AK$176,$A324)</f>
        <v>0</v>
      </c>
      <c r="M324" s="710">
        <f>-SUMIFS('D2 - Capex uso'!CD$6:CD$176,'D2 - Capex uso'!$C$6:$C$176,$A308,'D2 - Capex uso'!$AK$6:$AK$176,$A324)</f>
        <v>0</v>
      </c>
      <c r="N324" s="710">
        <f>-SUMIFS('D2 - Capex uso'!CE$6:CE$176,'D2 - Capex uso'!$C$6:$C$176,$A308,'D2 - Capex uso'!$AK$6:$AK$176,$A324)</f>
        <v>0</v>
      </c>
      <c r="O324" s="710">
        <f>-SUMIFS('D2 - Capex uso'!CF$6:CF$176,'D2 - Capex uso'!$C$6:$C$176,$A308,'D2 - Capex uso'!$AK$6:$AK$176,$A324)</f>
        <v>0</v>
      </c>
      <c r="P324" s="710">
        <f>-SUMIFS('D2 - Capex uso'!CG$6:CG$176,'D2 - Capex uso'!$C$6:$C$176,$A308,'D2 - Capex uso'!$AK$6:$AK$176,$A324)</f>
        <v>0</v>
      </c>
      <c r="Q324" s="710">
        <f>-SUMIFS('D2 - Capex uso'!CH$6:CH$176,'D2 - Capex uso'!$C$6:$C$176,$A308,'D2 - Capex uso'!$AK$6:$AK$176,$A324)</f>
        <v>0</v>
      </c>
      <c r="R324" s="710">
        <f>-SUMIFS('D2 - Capex uso'!CI$6:CI$176,'D2 - Capex uso'!$C$6:$C$176,$A308,'D2 - Capex uso'!$AK$6:$AK$176,$A324)</f>
        <v>0</v>
      </c>
      <c r="S324" s="710">
        <f>-SUMIFS('D2 - Capex uso'!CJ$6:CJ$176,'D2 - Capex uso'!$C$6:$C$176,$A308,'D2 - Capex uso'!$AK$6:$AK$176,$A324)</f>
        <v>0</v>
      </c>
      <c r="T324" s="710">
        <f>-SUMIFS('D2 - Capex uso'!CK$6:CK$176,'D2 - Capex uso'!$C$6:$C$176,$A308,'D2 - Capex uso'!$AK$6:$AK$176,$A324)</f>
        <v>0</v>
      </c>
      <c r="U324" s="710">
        <f>-SUMIFS('D2 - Capex uso'!CL$6:CL$176,'D2 - Capex uso'!$C$6:$C$176,$A308,'D2 - Capex uso'!$AK$6:$AK$176,$A324)</f>
        <v>0</v>
      </c>
      <c r="V324" s="710">
        <f>-SUMIFS('D2 - Capex uso'!CM$6:CM$176,'D2 - Capex uso'!$C$6:$C$176,$A308,'D2 - Capex uso'!$AK$6:$AK$176,$A324)</f>
        <v>0</v>
      </c>
      <c r="W324" s="710">
        <f>-SUMIFS('D2 - Capex uso'!CN$6:CN$176,'D2 - Capex uso'!$C$6:$C$176,$A308,'D2 - Capex uso'!$AK$6:$AK$176,$A324)</f>
        <v>0</v>
      </c>
      <c r="X324" s="710">
        <f>-SUMIFS('D2 - Capex uso'!CO$6:CO$176,'D2 - Capex uso'!$C$6:$C$176,$A308,'D2 - Capex uso'!$AK$6:$AK$176,$A324)</f>
        <v>0</v>
      </c>
      <c r="Y324" s="710">
        <f>-SUMIFS('D2 - Capex uso'!CP$6:CP$176,'D2 - Capex uso'!$C$6:$C$176,$A308,'D2 - Capex uso'!$AK$6:$AK$176,$A324)</f>
        <v>0</v>
      </c>
      <c r="Z324" s="710">
        <f>-SUMIFS('D2 - Capex uso'!CQ$6:CQ$176,'D2 - Capex uso'!$C$6:$C$176,$A308,'D2 - Capex uso'!$AK$6:$AK$176,$A324)</f>
        <v>0</v>
      </c>
      <c r="AA324" s="710">
        <f>-SUMIFS('D2 - Capex uso'!CR$6:CR$176,'D2 - Capex uso'!$C$6:$C$176,$A308,'D2 - Capex uso'!$AK$6:$AK$176,$A324)</f>
        <v>0</v>
      </c>
      <c r="AB324" s="710">
        <f>-SUMIFS('D2 - Capex uso'!CS$6:CS$176,'D2 - Capex uso'!$C$6:$C$176,$A308,'D2 - Capex uso'!$AK$6:$AK$176,$A324)</f>
        <v>0</v>
      </c>
      <c r="AC324" s="710">
        <f>-SUMIFS('D2 - Capex uso'!CT$6:CT$176,'D2 - Capex uso'!$C$6:$C$176,$A308,'D2 - Capex uso'!$AK$6:$AK$176,$A324)</f>
        <v>0</v>
      </c>
      <c r="AD324" s="710">
        <f>-SUMIFS('D2 - Capex uso'!CU$6:CU$176,'D2 - Capex uso'!$C$6:$C$176,$A308,'D2 - Capex uso'!$AK$6:$AK$176,$A324)</f>
        <v>0</v>
      </c>
      <c r="AE324" s="710">
        <f>-SUMIFS('D2 - Capex uso'!CV$6:CV$176,'D2 - Capex uso'!$C$6:$C$176,$A308,'D2 - Capex uso'!$AK$6:$AK$176,$A324)</f>
        <v>0</v>
      </c>
      <c r="AF324" s="594"/>
      <c r="AG324" s="594"/>
      <c r="AH324" s="594"/>
      <c r="AI324" s="594"/>
      <c r="AJ324" s="594"/>
      <c r="AK324" s="594"/>
      <c r="AL324" s="594"/>
      <c r="AM324" s="594"/>
      <c r="AN324" s="594"/>
      <c r="AO324" s="594"/>
      <c r="AP324" s="594"/>
      <c r="AQ324" s="594"/>
      <c r="AR324" s="594"/>
      <c r="AS324" s="594"/>
      <c r="AT324" s="594"/>
      <c r="AU324" s="594"/>
      <c r="AV324" s="594"/>
      <c r="AW324" s="594"/>
      <c r="AX324" s="594"/>
      <c r="AY324" s="594"/>
      <c r="AZ324" s="594"/>
      <c r="BA324" s="594"/>
      <c r="BB324" s="594"/>
      <c r="BC324" s="594"/>
      <c r="BD324" s="594"/>
      <c r="BE324" s="594"/>
      <c r="BF324" s="594"/>
      <c r="BG324" s="594"/>
      <c r="BH324" s="594"/>
      <c r="BI324" s="594"/>
      <c r="BJ324" s="594"/>
      <c r="BK324" s="594"/>
      <c r="BL324" s="57"/>
      <c r="BM324" s="594"/>
      <c r="BN324" s="594"/>
      <c r="BO324" s="594"/>
      <c r="BP324" s="594"/>
      <c r="BQ324" s="594"/>
      <c r="BR324" s="594"/>
      <c r="BS324" s="594"/>
      <c r="BT324" s="594"/>
      <c r="BU324" s="594"/>
      <c r="BV324" s="594"/>
      <c r="BW324" s="594"/>
      <c r="BX324" s="594"/>
      <c r="BY324" s="594"/>
      <c r="BZ324" s="594"/>
      <c r="CA324" s="594"/>
      <c r="CB324" s="594"/>
      <c r="CC324" s="594"/>
      <c r="CD324" s="594"/>
      <c r="CE324" s="594"/>
      <c r="CF324" s="594"/>
      <c r="CG324" s="594"/>
      <c r="CH324" s="594"/>
      <c r="CI324" s="594"/>
      <c r="CJ324" s="594"/>
      <c r="CK324" s="594"/>
      <c r="CL324" s="594"/>
      <c r="CM324" s="594"/>
      <c r="CN324" s="594"/>
      <c r="CO324" s="594"/>
      <c r="CP324" s="594"/>
      <c r="CQ324" s="594"/>
    </row>
    <row r="325" spans="1:95" ht="19.5" hidden="1" customHeight="1" outlineLevel="2">
      <c r="A325" s="709" t="s">
        <v>359</v>
      </c>
      <c r="B325" s="710">
        <f>-SUMIFS('D2 - Capex uso'!BS$6:BS$176,'D2 - Capex uso'!$C$6:$C$176,$A308,'D2 - Capex uso'!$AK$6:$AK$176,$A325)</f>
        <v>-152861.06</v>
      </c>
      <c r="C325" s="710">
        <f>-SUMIFS('D2 - Capex uso'!BT$6:BT$176,'D2 - Capex uso'!$C$6:$C$176,$A308,'D2 - Capex uso'!$AK$6:$AK$176,$A325)</f>
        <v>0</v>
      </c>
      <c r="D325" s="710">
        <f>-SUMIFS('D2 - Capex uso'!BU$6:BU$176,'D2 - Capex uso'!$C$6:$C$176,$A308,'D2 - Capex uso'!$AK$6:$AK$176,$A325)</f>
        <v>0</v>
      </c>
      <c r="E325" s="710">
        <f>-SUMIFS('D2 - Capex uso'!BV$6:BV$176,'D2 - Capex uso'!$C$6:$C$176,$A308,'D2 - Capex uso'!$AK$6:$AK$176,$A325)</f>
        <v>0</v>
      </c>
      <c r="F325" s="710">
        <f>-SUMIFS('D2 - Capex uso'!BW$6:BW$176,'D2 - Capex uso'!$C$6:$C$176,$A308,'D2 - Capex uso'!$AK$6:$AK$176,$A325)</f>
        <v>0</v>
      </c>
      <c r="G325" s="710">
        <f>-SUMIFS('D2 - Capex uso'!BX$6:BX$176,'D2 - Capex uso'!$C$6:$C$176,$A308,'D2 - Capex uso'!$AK$6:$AK$176,$A325)</f>
        <v>0</v>
      </c>
      <c r="H325" s="710">
        <f>-SUMIFS('D2 - Capex uso'!BY$6:BY$176,'D2 - Capex uso'!$C$6:$C$176,$A308,'D2 - Capex uso'!$AK$6:$AK$176,$A325)</f>
        <v>0</v>
      </c>
      <c r="I325" s="710">
        <f>-SUMIFS('D2 - Capex uso'!BZ$6:BZ$176,'D2 - Capex uso'!$C$6:$C$176,$A308,'D2 - Capex uso'!$AK$6:$AK$176,$A325)</f>
        <v>0</v>
      </c>
      <c r="J325" s="710">
        <f>-SUMIFS('D2 - Capex uso'!CA$6:CA$176,'D2 - Capex uso'!$C$6:$C$176,$A308,'D2 - Capex uso'!$AK$6:$AK$176,$A325)</f>
        <v>0</v>
      </c>
      <c r="K325" s="710">
        <f>-SUMIFS('D2 - Capex uso'!CB$6:CB$176,'D2 - Capex uso'!$C$6:$C$176,$A308,'D2 - Capex uso'!$AK$6:$AK$176,$A325)</f>
        <v>0</v>
      </c>
      <c r="L325" s="710">
        <f>-SUMIFS('D2 - Capex uso'!CC$6:CC$176,'D2 - Capex uso'!$C$6:$C$176,$A308,'D2 - Capex uso'!$AK$6:$AK$176,$A325)</f>
        <v>0</v>
      </c>
      <c r="M325" s="710">
        <f>-SUMIFS('D2 - Capex uso'!CD$6:CD$176,'D2 - Capex uso'!$C$6:$C$176,$A308,'D2 - Capex uso'!$AK$6:$AK$176,$A325)</f>
        <v>0</v>
      </c>
      <c r="N325" s="710">
        <f>-SUMIFS('D2 - Capex uso'!CE$6:CE$176,'D2 - Capex uso'!$C$6:$C$176,$A308,'D2 - Capex uso'!$AK$6:$AK$176,$A325)</f>
        <v>0</v>
      </c>
      <c r="O325" s="710">
        <f>-SUMIFS('D2 - Capex uso'!CF$6:CF$176,'D2 - Capex uso'!$C$6:$C$176,$A308,'D2 - Capex uso'!$AK$6:$AK$176,$A325)</f>
        <v>0</v>
      </c>
      <c r="P325" s="710">
        <f>-SUMIFS('D2 - Capex uso'!CG$6:CG$176,'D2 - Capex uso'!$C$6:$C$176,$A308,'D2 - Capex uso'!$AK$6:$AK$176,$A325)</f>
        <v>0</v>
      </c>
      <c r="Q325" s="710">
        <f>-SUMIFS('D2 - Capex uso'!CH$6:CH$176,'D2 - Capex uso'!$C$6:$C$176,$A308,'D2 - Capex uso'!$AK$6:$AK$176,$A325)</f>
        <v>0</v>
      </c>
      <c r="R325" s="710">
        <f>-SUMIFS('D2 - Capex uso'!CI$6:CI$176,'D2 - Capex uso'!$C$6:$C$176,$A308,'D2 - Capex uso'!$AK$6:$AK$176,$A325)</f>
        <v>0</v>
      </c>
      <c r="S325" s="710">
        <f>-SUMIFS('D2 - Capex uso'!CJ$6:CJ$176,'D2 - Capex uso'!$C$6:$C$176,$A308,'D2 - Capex uso'!$AK$6:$AK$176,$A325)</f>
        <v>0</v>
      </c>
      <c r="T325" s="710">
        <f>-SUMIFS('D2 - Capex uso'!CK$6:CK$176,'D2 - Capex uso'!$C$6:$C$176,$A308,'D2 - Capex uso'!$AK$6:$AK$176,$A325)</f>
        <v>0</v>
      </c>
      <c r="U325" s="710">
        <f>-SUMIFS('D2 - Capex uso'!CL$6:CL$176,'D2 - Capex uso'!$C$6:$C$176,$A308,'D2 - Capex uso'!$AK$6:$AK$176,$A325)</f>
        <v>0</v>
      </c>
      <c r="V325" s="710">
        <f>-SUMIFS('D2 - Capex uso'!CM$6:CM$176,'D2 - Capex uso'!$C$6:$C$176,$A308,'D2 - Capex uso'!$AK$6:$AK$176,$A325)</f>
        <v>0</v>
      </c>
      <c r="W325" s="710">
        <f>-SUMIFS('D2 - Capex uso'!CN$6:CN$176,'D2 - Capex uso'!$C$6:$C$176,$A308,'D2 - Capex uso'!$AK$6:$AK$176,$A325)</f>
        <v>0</v>
      </c>
      <c r="X325" s="710">
        <f>-SUMIFS('D2 - Capex uso'!CO$6:CO$176,'D2 - Capex uso'!$C$6:$C$176,$A308,'D2 - Capex uso'!$AK$6:$AK$176,$A325)</f>
        <v>0</v>
      </c>
      <c r="Y325" s="710">
        <f>-SUMIFS('D2 - Capex uso'!CP$6:CP$176,'D2 - Capex uso'!$C$6:$C$176,$A308,'D2 - Capex uso'!$AK$6:$AK$176,$A325)</f>
        <v>0</v>
      </c>
      <c r="Z325" s="710">
        <f>-SUMIFS('D2 - Capex uso'!CQ$6:CQ$176,'D2 - Capex uso'!$C$6:$C$176,$A308,'D2 - Capex uso'!$AK$6:$AK$176,$A325)</f>
        <v>0</v>
      </c>
      <c r="AA325" s="710">
        <f>-SUMIFS('D2 - Capex uso'!CR$6:CR$176,'D2 - Capex uso'!$C$6:$C$176,$A308,'D2 - Capex uso'!$AK$6:$AK$176,$A325)</f>
        <v>0</v>
      </c>
      <c r="AB325" s="710">
        <f>-SUMIFS('D2 - Capex uso'!CS$6:CS$176,'D2 - Capex uso'!$C$6:$C$176,$A308,'D2 - Capex uso'!$AK$6:$AK$176,$A325)</f>
        <v>0</v>
      </c>
      <c r="AC325" s="710">
        <f>-SUMIFS('D2 - Capex uso'!CT$6:CT$176,'D2 - Capex uso'!$C$6:$C$176,$A308,'D2 - Capex uso'!$AK$6:$AK$176,$A325)</f>
        <v>0</v>
      </c>
      <c r="AD325" s="710">
        <f>-SUMIFS('D2 - Capex uso'!CU$6:CU$176,'D2 - Capex uso'!$C$6:$C$176,$A308,'D2 - Capex uso'!$AK$6:$AK$176,$A325)</f>
        <v>0</v>
      </c>
      <c r="AE325" s="710">
        <f>-SUMIFS('D2 - Capex uso'!CV$6:CV$176,'D2 - Capex uso'!$C$6:$C$176,$A308,'D2 - Capex uso'!$AK$6:$AK$176,$A325)</f>
        <v>0</v>
      </c>
      <c r="AF325" s="594"/>
      <c r="AG325" s="594"/>
      <c r="AH325" s="594"/>
      <c r="AI325" s="594"/>
      <c r="AJ325" s="594"/>
      <c r="AK325" s="594"/>
      <c r="AL325" s="594"/>
      <c r="AM325" s="594"/>
      <c r="AN325" s="594"/>
      <c r="AO325" s="594"/>
      <c r="AP325" s="594"/>
      <c r="AQ325" s="594"/>
      <c r="AR325" s="594"/>
      <c r="AS325" s="594"/>
      <c r="AT325" s="594"/>
      <c r="AU325" s="594"/>
      <c r="AV325" s="594"/>
      <c r="AW325" s="594"/>
      <c r="AX325" s="594"/>
      <c r="AY325" s="594"/>
      <c r="AZ325" s="594"/>
      <c r="BA325" s="594"/>
      <c r="BB325" s="594"/>
      <c r="BC325" s="594"/>
      <c r="BD325" s="594"/>
      <c r="BE325" s="594"/>
      <c r="BF325" s="594"/>
      <c r="BG325" s="594"/>
      <c r="BH325" s="594"/>
      <c r="BI325" s="594"/>
      <c r="BJ325" s="594"/>
      <c r="BK325" s="594"/>
      <c r="BL325" s="57"/>
      <c r="BM325" s="594"/>
      <c r="BN325" s="594"/>
      <c r="BO325" s="594"/>
      <c r="BP325" s="594"/>
      <c r="BQ325" s="594"/>
      <c r="BR325" s="594"/>
      <c r="BS325" s="594"/>
      <c r="BT325" s="594"/>
      <c r="BU325" s="594"/>
      <c r="BV325" s="594"/>
      <c r="BW325" s="594"/>
      <c r="BX325" s="594"/>
      <c r="BY325" s="594"/>
      <c r="BZ325" s="594"/>
      <c r="CA325" s="594"/>
      <c r="CB325" s="594"/>
      <c r="CC325" s="594"/>
      <c r="CD325" s="594"/>
      <c r="CE325" s="594"/>
      <c r="CF325" s="594"/>
      <c r="CG325" s="594"/>
      <c r="CH325" s="594"/>
      <c r="CI325" s="594"/>
      <c r="CJ325" s="594"/>
      <c r="CK325" s="594"/>
      <c r="CL325" s="594"/>
      <c r="CM325" s="594"/>
      <c r="CN325" s="594"/>
      <c r="CO325" s="594"/>
      <c r="CP325" s="594"/>
      <c r="CQ325" s="594"/>
    </row>
    <row r="326" spans="1:95" ht="19.5" hidden="1" customHeight="1" outlineLevel="2">
      <c r="A326" s="709" t="s">
        <v>171</v>
      </c>
      <c r="B326" s="710">
        <f>-SUMIFS('D2 - Capex uso'!BS$6:BS$176,'D2 - Capex uso'!$C$6:$C$176,$A308,'D2 - Capex uso'!$AK$6:$AK$176,$A326)</f>
        <v>0</v>
      </c>
      <c r="C326" s="710">
        <f>-SUMIFS('D2 - Capex uso'!BT$6:BT$176,'D2 - Capex uso'!$C$6:$C$176,$A308,'D2 - Capex uso'!$AK$6:$AK$176,$A326)</f>
        <v>0</v>
      </c>
      <c r="D326" s="710">
        <f>-SUMIFS('D2 - Capex uso'!BU$6:BU$176,'D2 - Capex uso'!$C$6:$C$176,$A308,'D2 - Capex uso'!$AK$6:$AK$176,$A326)</f>
        <v>0</v>
      </c>
      <c r="E326" s="710">
        <f>-SUMIFS('D2 - Capex uso'!BV$6:BV$176,'D2 - Capex uso'!$C$6:$C$176,$A308,'D2 - Capex uso'!$AK$6:$AK$176,$A326)</f>
        <v>0</v>
      </c>
      <c r="F326" s="710">
        <f>-SUMIFS('D2 - Capex uso'!BW$6:BW$176,'D2 - Capex uso'!$C$6:$C$176,$A308,'D2 - Capex uso'!$AK$6:$AK$176,$A326)</f>
        <v>0</v>
      </c>
      <c r="G326" s="710">
        <f>-SUMIFS('D2 - Capex uso'!BX$6:BX$176,'D2 - Capex uso'!$C$6:$C$176,$A308,'D2 - Capex uso'!$AK$6:$AK$176,$A326)</f>
        <v>0</v>
      </c>
      <c r="H326" s="710">
        <f>-SUMIFS('D2 - Capex uso'!BY$6:BY$176,'D2 - Capex uso'!$C$6:$C$176,$A308,'D2 - Capex uso'!$AK$6:$AK$176,$A326)</f>
        <v>0</v>
      </c>
      <c r="I326" s="710">
        <f>-SUMIFS('D2 - Capex uso'!BZ$6:BZ$176,'D2 - Capex uso'!$C$6:$C$176,$A308,'D2 - Capex uso'!$AK$6:$AK$176,$A326)</f>
        <v>0</v>
      </c>
      <c r="J326" s="710">
        <f>-SUMIFS('D2 - Capex uso'!CA$6:CA$176,'D2 - Capex uso'!$C$6:$C$176,$A308,'D2 - Capex uso'!$AK$6:$AK$176,$A326)</f>
        <v>0</v>
      </c>
      <c r="K326" s="710">
        <f>-SUMIFS('D2 - Capex uso'!CB$6:CB$176,'D2 - Capex uso'!$C$6:$C$176,$A308,'D2 - Capex uso'!$AK$6:$AK$176,$A326)</f>
        <v>0</v>
      </c>
      <c r="L326" s="710">
        <f>-SUMIFS('D2 - Capex uso'!CC$6:CC$176,'D2 - Capex uso'!$C$6:$C$176,$A308,'D2 - Capex uso'!$AK$6:$AK$176,$A326)</f>
        <v>0</v>
      </c>
      <c r="M326" s="710">
        <f>-SUMIFS('D2 - Capex uso'!CD$6:CD$176,'D2 - Capex uso'!$C$6:$C$176,$A308,'D2 - Capex uso'!$AK$6:$AK$176,$A326)</f>
        <v>0</v>
      </c>
      <c r="N326" s="710">
        <f>-SUMIFS('D2 - Capex uso'!CE$6:CE$176,'D2 - Capex uso'!$C$6:$C$176,$A308,'D2 - Capex uso'!$AK$6:$AK$176,$A326)</f>
        <v>0</v>
      </c>
      <c r="O326" s="710">
        <f>-SUMIFS('D2 - Capex uso'!CF$6:CF$176,'D2 - Capex uso'!$C$6:$C$176,$A308,'D2 - Capex uso'!$AK$6:$AK$176,$A326)</f>
        <v>0</v>
      </c>
      <c r="P326" s="710">
        <f>-SUMIFS('D2 - Capex uso'!CG$6:CG$176,'D2 - Capex uso'!$C$6:$C$176,$A308,'D2 - Capex uso'!$AK$6:$AK$176,$A326)</f>
        <v>0</v>
      </c>
      <c r="Q326" s="710">
        <f>-SUMIFS('D2 - Capex uso'!CH$6:CH$176,'D2 - Capex uso'!$C$6:$C$176,$A308,'D2 - Capex uso'!$AK$6:$AK$176,$A326)</f>
        <v>0</v>
      </c>
      <c r="R326" s="710">
        <f>-SUMIFS('D2 - Capex uso'!CI$6:CI$176,'D2 - Capex uso'!$C$6:$C$176,$A308,'D2 - Capex uso'!$AK$6:$AK$176,$A326)</f>
        <v>0</v>
      </c>
      <c r="S326" s="710">
        <f>-SUMIFS('D2 - Capex uso'!CJ$6:CJ$176,'D2 - Capex uso'!$C$6:$C$176,$A308,'D2 - Capex uso'!$AK$6:$AK$176,$A326)</f>
        <v>0</v>
      </c>
      <c r="T326" s="710">
        <f>-SUMIFS('D2 - Capex uso'!CK$6:CK$176,'D2 - Capex uso'!$C$6:$C$176,$A308,'D2 - Capex uso'!$AK$6:$AK$176,$A326)</f>
        <v>0</v>
      </c>
      <c r="U326" s="710">
        <f>-SUMIFS('D2 - Capex uso'!CL$6:CL$176,'D2 - Capex uso'!$C$6:$C$176,$A308,'D2 - Capex uso'!$AK$6:$AK$176,$A326)</f>
        <v>0</v>
      </c>
      <c r="V326" s="710">
        <f>-SUMIFS('D2 - Capex uso'!CM$6:CM$176,'D2 - Capex uso'!$C$6:$C$176,$A308,'D2 - Capex uso'!$AK$6:$AK$176,$A326)</f>
        <v>0</v>
      </c>
      <c r="W326" s="710">
        <f>-SUMIFS('D2 - Capex uso'!CN$6:CN$176,'D2 - Capex uso'!$C$6:$C$176,$A308,'D2 - Capex uso'!$AK$6:$AK$176,$A326)</f>
        <v>0</v>
      </c>
      <c r="X326" s="710">
        <f>-SUMIFS('D2 - Capex uso'!CO$6:CO$176,'D2 - Capex uso'!$C$6:$C$176,$A308,'D2 - Capex uso'!$AK$6:$AK$176,$A326)</f>
        <v>0</v>
      </c>
      <c r="Y326" s="710">
        <f>-SUMIFS('D2 - Capex uso'!CP$6:CP$176,'D2 - Capex uso'!$C$6:$C$176,$A308,'D2 - Capex uso'!$AK$6:$AK$176,$A326)</f>
        <v>0</v>
      </c>
      <c r="Z326" s="710">
        <f>-SUMIFS('D2 - Capex uso'!CQ$6:CQ$176,'D2 - Capex uso'!$C$6:$C$176,$A308,'D2 - Capex uso'!$AK$6:$AK$176,$A326)</f>
        <v>0</v>
      </c>
      <c r="AA326" s="710">
        <f>-SUMIFS('D2 - Capex uso'!CR$6:CR$176,'D2 - Capex uso'!$C$6:$C$176,$A308,'D2 - Capex uso'!$AK$6:$AK$176,$A326)</f>
        <v>0</v>
      </c>
      <c r="AB326" s="710">
        <f>-SUMIFS('D2 - Capex uso'!CS$6:CS$176,'D2 - Capex uso'!$C$6:$C$176,$A308,'D2 - Capex uso'!$AK$6:$AK$176,$A326)</f>
        <v>0</v>
      </c>
      <c r="AC326" s="710">
        <f>-SUMIFS('D2 - Capex uso'!CT$6:CT$176,'D2 - Capex uso'!$C$6:$C$176,$A308,'D2 - Capex uso'!$AK$6:$AK$176,$A326)</f>
        <v>0</v>
      </c>
      <c r="AD326" s="710">
        <f>-SUMIFS('D2 - Capex uso'!CU$6:CU$176,'D2 - Capex uso'!$C$6:$C$176,$A308,'D2 - Capex uso'!$AK$6:$AK$176,$A326)</f>
        <v>0</v>
      </c>
      <c r="AE326" s="710">
        <f>-SUMIFS('D2 - Capex uso'!CV$6:CV$176,'D2 - Capex uso'!$C$6:$C$176,$A308,'D2 - Capex uso'!$AK$6:$AK$176,$A326)</f>
        <v>0</v>
      </c>
      <c r="AF326" s="594"/>
      <c r="AG326" s="594"/>
      <c r="AH326" s="594"/>
      <c r="AI326" s="594"/>
      <c r="AJ326" s="594"/>
      <c r="AK326" s="594"/>
      <c r="AL326" s="594"/>
      <c r="AM326" s="594"/>
      <c r="AN326" s="594"/>
      <c r="AO326" s="594"/>
      <c r="AP326" s="594"/>
      <c r="AQ326" s="594"/>
      <c r="AR326" s="594"/>
      <c r="AS326" s="594"/>
      <c r="AT326" s="594"/>
      <c r="AU326" s="594"/>
      <c r="AV326" s="594"/>
      <c r="AW326" s="594"/>
      <c r="AX326" s="594"/>
      <c r="AY326" s="594"/>
      <c r="AZ326" s="594"/>
      <c r="BA326" s="594"/>
      <c r="BB326" s="594"/>
      <c r="BC326" s="594"/>
      <c r="BD326" s="594"/>
      <c r="BE326" s="594"/>
      <c r="BF326" s="594"/>
      <c r="BG326" s="594"/>
      <c r="BH326" s="594"/>
      <c r="BI326" s="594"/>
      <c r="BJ326" s="594"/>
      <c r="BK326" s="594"/>
      <c r="BL326" s="57"/>
      <c r="BM326" s="594"/>
      <c r="BN326" s="594"/>
      <c r="BO326" s="594"/>
      <c r="BP326" s="594"/>
      <c r="BQ326" s="594"/>
      <c r="BR326" s="594"/>
      <c r="BS326" s="594"/>
      <c r="BT326" s="594"/>
      <c r="BU326" s="594"/>
      <c r="BV326" s="594"/>
      <c r="BW326" s="594"/>
      <c r="BX326" s="594"/>
      <c r="BY326" s="594"/>
      <c r="BZ326" s="594"/>
      <c r="CA326" s="594"/>
      <c r="CB326" s="594"/>
      <c r="CC326" s="594"/>
      <c r="CD326" s="594"/>
      <c r="CE326" s="594"/>
      <c r="CF326" s="594"/>
      <c r="CG326" s="594"/>
      <c r="CH326" s="594"/>
      <c r="CI326" s="594"/>
      <c r="CJ326" s="594"/>
      <c r="CK326" s="594"/>
      <c r="CL326" s="594"/>
      <c r="CM326" s="594"/>
      <c r="CN326" s="594"/>
      <c r="CO326" s="594"/>
      <c r="CP326" s="594"/>
      <c r="CQ326" s="594"/>
    </row>
    <row r="327" spans="1:95" ht="27" customHeight="1" collapsed="1">
      <c r="A327" s="703" t="str">
        <f>IF(ISBLANK('A1 - Serviços e demanda'!A37),,'A1 - Serviços e demanda'!A37)</f>
        <v>Lagoa Grande - Estacionamento</v>
      </c>
      <c r="B327" s="704">
        <f t="shared" ref="B327:AE327" si="102">IF($A327=0,0,SUM(B336:B337))</f>
        <v>-639362.03440000012</v>
      </c>
      <c r="C327" s="704">
        <f t="shared" si="102"/>
        <v>-225536.51296080003</v>
      </c>
      <c r="D327" s="704">
        <f t="shared" si="102"/>
        <v>-225536.51296080003</v>
      </c>
      <c r="E327" s="704">
        <f t="shared" si="102"/>
        <v>-225536.51296080003</v>
      </c>
      <c r="F327" s="704">
        <f t="shared" si="102"/>
        <v>-225536.51296080003</v>
      </c>
      <c r="G327" s="704">
        <f t="shared" si="102"/>
        <v>-225536.51296080003</v>
      </c>
      <c r="H327" s="704">
        <f t="shared" si="102"/>
        <v>-225536.51296080003</v>
      </c>
      <c r="I327" s="704">
        <f t="shared" si="102"/>
        <v>-225536.51296080003</v>
      </c>
      <c r="J327" s="704">
        <f t="shared" si="102"/>
        <v>-225536.51296080003</v>
      </c>
      <c r="K327" s="704">
        <f t="shared" si="102"/>
        <v>-225536.51296080003</v>
      </c>
      <c r="L327" s="704">
        <f t="shared" si="102"/>
        <v>-255898.71296080004</v>
      </c>
      <c r="M327" s="704">
        <f t="shared" si="102"/>
        <v>-225536.51296080003</v>
      </c>
      <c r="N327" s="704">
        <f t="shared" si="102"/>
        <v>-225536.51296080003</v>
      </c>
      <c r="O327" s="704">
        <f t="shared" si="102"/>
        <v>-225536.51296080003</v>
      </c>
      <c r="P327" s="704">
        <f t="shared" si="102"/>
        <v>-225536.51296080003</v>
      </c>
      <c r="Q327" s="704">
        <f t="shared" si="102"/>
        <v>-225536.51296080003</v>
      </c>
      <c r="R327" s="704">
        <f t="shared" si="102"/>
        <v>-225536.51296080003</v>
      </c>
      <c r="S327" s="704">
        <f t="shared" si="102"/>
        <v>-225536.51296080003</v>
      </c>
      <c r="T327" s="704">
        <f t="shared" si="102"/>
        <v>-225536.51296080003</v>
      </c>
      <c r="U327" s="704">
        <f t="shared" si="102"/>
        <v>-225536.51296080003</v>
      </c>
      <c r="V327" s="704">
        <f t="shared" si="102"/>
        <v>-255898.71296080004</v>
      </c>
      <c r="W327" s="704">
        <f t="shared" si="102"/>
        <v>-225536.51296080003</v>
      </c>
      <c r="X327" s="704">
        <f t="shared" si="102"/>
        <v>-225536.51296080003</v>
      </c>
      <c r="Y327" s="704">
        <f t="shared" si="102"/>
        <v>-225536.51296080003</v>
      </c>
      <c r="Z327" s="704">
        <f t="shared" si="102"/>
        <v>-225536.51296080003</v>
      </c>
      <c r="AA327" s="704">
        <f t="shared" si="102"/>
        <v>-225536.51296080003</v>
      </c>
      <c r="AB327" s="704">
        <f t="shared" si="102"/>
        <v>-225536.51296080003</v>
      </c>
      <c r="AC327" s="704">
        <f t="shared" si="102"/>
        <v>-225536.51296080003</v>
      </c>
      <c r="AD327" s="704">
        <f t="shared" si="102"/>
        <v>-225536.51296080003</v>
      </c>
      <c r="AE327" s="704">
        <f t="shared" si="102"/>
        <v>-225536.51296080003</v>
      </c>
      <c r="AF327" s="594"/>
      <c r="AG327" s="486" t="str">
        <f>A327</f>
        <v>Lagoa Grande - Estacionamento</v>
      </c>
      <c r="AH327" s="705">
        <f t="shared" ref="AH327:BK327" si="103">IFERROR(-B330/B328,0)</f>
        <v>0</v>
      </c>
      <c r="AI327" s="705">
        <f t="shared" si="103"/>
        <v>0</v>
      </c>
      <c r="AJ327" s="705">
        <f t="shared" si="103"/>
        <v>0</v>
      </c>
      <c r="AK327" s="705">
        <f t="shared" si="103"/>
        <v>0</v>
      </c>
      <c r="AL327" s="705">
        <f t="shared" si="103"/>
        <v>0</v>
      </c>
      <c r="AM327" s="705">
        <f t="shared" si="103"/>
        <v>0</v>
      </c>
      <c r="AN327" s="705">
        <f t="shared" si="103"/>
        <v>0</v>
      </c>
      <c r="AO327" s="705">
        <f t="shared" si="103"/>
        <v>0</v>
      </c>
      <c r="AP327" s="705">
        <f t="shared" si="103"/>
        <v>0</v>
      </c>
      <c r="AQ327" s="705">
        <f t="shared" si="103"/>
        <v>0</v>
      </c>
      <c r="AR327" s="705">
        <f t="shared" si="103"/>
        <v>0</v>
      </c>
      <c r="AS327" s="705">
        <f t="shared" si="103"/>
        <v>0</v>
      </c>
      <c r="AT327" s="705">
        <f t="shared" si="103"/>
        <v>0</v>
      </c>
      <c r="AU327" s="705">
        <f t="shared" si="103"/>
        <v>0</v>
      </c>
      <c r="AV327" s="705">
        <f t="shared" si="103"/>
        <v>0</v>
      </c>
      <c r="AW327" s="705">
        <f t="shared" si="103"/>
        <v>0</v>
      </c>
      <c r="AX327" s="705">
        <f t="shared" si="103"/>
        <v>0</v>
      </c>
      <c r="AY327" s="705">
        <f t="shared" si="103"/>
        <v>0</v>
      </c>
      <c r="AZ327" s="705">
        <f t="shared" si="103"/>
        <v>0</v>
      </c>
      <c r="BA327" s="705">
        <f t="shared" si="103"/>
        <v>0</v>
      </c>
      <c r="BB327" s="705">
        <f t="shared" si="103"/>
        <v>0</v>
      </c>
      <c r="BC327" s="705">
        <f t="shared" si="103"/>
        <v>0</v>
      </c>
      <c r="BD327" s="705">
        <f t="shared" si="103"/>
        <v>0</v>
      </c>
      <c r="BE327" s="705">
        <f t="shared" si="103"/>
        <v>0</v>
      </c>
      <c r="BF327" s="705">
        <f t="shared" si="103"/>
        <v>0</v>
      </c>
      <c r="BG327" s="705">
        <f t="shared" si="103"/>
        <v>0</v>
      </c>
      <c r="BH327" s="705">
        <f t="shared" si="103"/>
        <v>0</v>
      </c>
      <c r="BI327" s="705">
        <f t="shared" si="103"/>
        <v>0</v>
      </c>
      <c r="BJ327" s="705">
        <f t="shared" si="103"/>
        <v>0</v>
      </c>
      <c r="BK327" s="705">
        <f t="shared" si="103"/>
        <v>0</v>
      </c>
      <c r="BL327" s="57"/>
      <c r="BM327" s="486" t="str">
        <f>AG327</f>
        <v>Lagoa Grande - Estacionamento</v>
      </c>
      <c r="BN327" s="705">
        <f t="shared" ref="BN327:CQ327" si="104">IFERROR(B336/B328,0)</f>
        <v>0</v>
      </c>
      <c r="BO327" s="705">
        <f t="shared" si="104"/>
        <v>0</v>
      </c>
      <c r="BP327" s="705">
        <f t="shared" si="104"/>
        <v>0</v>
      </c>
      <c r="BQ327" s="705">
        <f t="shared" si="104"/>
        <v>0</v>
      </c>
      <c r="BR327" s="705">
        <f t="shared" si="104"/>
        <v>0</v>
      </c>
      <c r="BS327" s="705">
        <f t="shared" si="104"/>
        <v>0</v>
      </c>
      <c r="BT327" s="705">
        <f t="shared" si="104"/>
        <v>0</v>
      </c>
      <c r="BU327" s="705">
        <f t="shared" si="104"/>
        <v>0</v>
      </c>
      <c r="BV327" s="705">
        <f t="shared" si="104"/>
        <v>0</v>
      </c>
      <c r="BW327" s="705">
        <f t="shared" si="104"/>
        <v>0</v>
      </c>
      <c r="BX327" s="705">
        <f t="shared" si="104"/>
        <v>0</v>
      </c>
      <c r="BY327" s="705">
        <f t="shared" si="104"/>
        <v>0</v>
      </c>
      <c r="BZ327" s="705">
        <f t="shared" si="104"/>
        <v>0</v>
      </c>
      <c r="CA327" s="705">
        <f t="shared" si="104"/>
        <v>0</v>
      </c>
      <c r="CB327" s="705">
        <f t="shared" si="104"/>
        <v>0</v>
      </c>
      <c r="CC327" s="705">
        <f t="shared" si="104"/>
        <v>0</v>
      </c>
      <c r="CD327" s="705">
        <f t="shared" si="104"/>
        <v>0</v>
      </c>
      <c r="CE327" s="705">
        <f t="shared" si="104"/>
        <v>0</v>
      </c>
      <c r="CF327" s="705">
        <f t="shared" si="104"/>
        <v>0</v>
      </c>
      <c r="CG327" s="705">
        <f t="shared" si="104"/>
        <v>0</v>
      </c>
      <c r="CH327" s="705">
        <f t="shared" si="104"/>
        <v>0</v>
      </c>
      <c r="CI327" s="705">
        <f t="shared" si="104"/>
        <v>0</v>
      </c>
      <c r="CJ327" s="705">
        <f t="shared" si="104"/>
        <v>0</v>
      </c>
      <c r="CK327" s="705">
        <f t="shared" si="104"/>
        <v>0</v>
      </c>
      <c r="CL327" s="705">
        <f t="shared" si="104"/>
        <v>0</v>
      </c>
      <c r="CM327" s="705">
        <f t="shared" si="104"/>
        <v>0</v>
      </c>
      <c r="CN327" s="705">
        <f t="shared" si="104"/>
        <v>0</v>
      </c>
      <c r="CO327" s="705">
        <f t="shared" si="104"/>
        <v>0</v>
      </c>
      <c r="CP327" s="705">
        <f t="shared" si="104"/>
        <v>0</v>
      </c>
      <c r="CQ327" s="705">
        <f t="shared" si="104"/>
        <v>0</v>
      </c>
    </row>
    <row r="328" spans="1:95" ht="33.75" hidden="1" customHeight="1" outlineLevel="1">
      <c r="A328" s="706" t="s">
        <v>680</v>
      </c>
      <c r="B328" s="707">
        <f>IFERROR(VLOOKUP($A327,ReceitaBruta,COLUMN('A4 - Previsão de Receita Bruta'!C330)-1,0),0)</f>
        <v>0</v>
      </c>
      <c r="C328" s="707">
        <f>IFERROR(VLOOKUP($A327,ReceitaBruta,COLUMN('A4 - Previsão de Receita Bruta'!D330)-1,0),0)</f>
        <v>0</v>
      </c>
      <c r="D328" s="707">
        <f>IFERROR(VLOOKUP($A327,ReceitaBruta,COLUMN('A4 - Previsão de Receita Bruta'!E330)-1,0),0)</f>
        <v>0</v>
      </c>
      <c r="E328" s="707">
        <f>IFERROR(VLOOKUP($A327,ReceitaBruta,COLUMN('A4 - Previsão de Receita Bruta'!F330)-1,0),0)</f>
        <v>0</v>
      </c>
      <c r="F328" s="707">
        <f>IFERROR(VLOOKUP($A327,ReceitaBruta,COLUMN('A4 - Previsão de Receita Bruta'!G330)-1,0),0)</f>
        <v>0</v>
      </c>
      <c r="G328" s="707">
        <f>IFERROR(VLOOKUP($A327,ReceitaBruta,COLUMN('A4 - Previsão de Receita Bruta'!H330)-1,0),0)</f>
        <v>0</v>
      </c>
      <c r="H328" s="707">
        <f>IFERROR(VLOOKUP($A327,ReceitaBruta,COLUMN('A4 - Previsão de Receita Bruta'!I330)-1,0),0)</f>
        <v>0</v>
      </c>
      <c r="I328" s="707">
        <f>IFERROR(VLOOKUP($A327,ReceitaBruta,COLUMN('A4 - Previsão de Receita Bruta'!J330)-1,0),0)</f>
        <v>0</v>
      </c>
      <c r="J328" s="707">
        <f>IFERROR(VLOOKUP($A327,ReceitaBruta,COLUMN('A4 - Previsão de Receita Bruta'!K330)-1,0),0)</f>
        <v>0</v>
      </c>
      <c r="K328" s="707">
        <f>IFERROR(VLOOKUP($A327,ReceitaBruta,COLUMN('A4 - Previsão de Receita Bruta'!L330)-1,0),0)</f>
        <v>0</v>
      </c>
      <c r="L328" s="707">
        <f>IFERROR(VLOOKUP($A327,ReceitaBruta,COLUMN('A4 - Previsão de Receita Bruta'!M330)-1,0),0)</f>
        <v>0</v>
      </c>
      <c r="M328" s="707">
        <f>IFERROR(VLOOKUP($A327,ReceitaBruta,COLUMN('A4 - Previsão de Receita Bruta'!N330)-1,0),0)</f>
        <v>0</v>
      </c>
      <c r="N328" s="707">
        <f>IFERROR(VLOOKUP($A327,ReceitaBruta,COLUMN('A4 - Previsão de Receita Bruta'!O330)-1,0),0)</f>
        <v>0</v>
      </c>
      <c r="O328" s="707">
        <f>IFERROR(VLOOKUP($A327,ReceitaBruta,COLUMN('A4 - Previsão de Receita Bruta'!P330)-1,0),0)</f>
        <v>0</v>
      </c>
      <c r="P328" s="707">
        <f>IFERROR(VLOOKUP($A327,ReceitaBruta,COLUMN('A4 - Previsão de Receita Bruta'!Q330)-1,0),0)</f>
        <v>0</v>
      </c>
      <c r="Q328" s="707">
        <f>IFERROR(VLOOKUP($A327,ReceitaBruta,COLUMN('A4 - Previsão de Receita Bruta'!R330)-1,0),0)</f>
        <v>0</v>
      </c>
      <c r="R328" s="707">
        <f>IFERROR(VLOOKUP($A327,ReceitaBruta,COLUMN('A4 - Previsão de Receita Bruta'!S330)-1,0),0)</f>
        <v>0</v>
      </c>
      <c r="S328" s="707">
        <f>IFERROR(VLOOKUP($A327,ReceitaBruta,COLUMN('A4 - Previsão de Receita Bruta'!T330)-1,0),0)</f>
        <v>0</v>
      </c>
      <c r="T328" s="707">
        <f>IFERROR(VLOOKUP($A327,ReceitaBruta,COLUMN('A4 - Previsão de Receita Bruta'!U330)-1,0),0)</f>
        <v>0</v>
      </c>
      <c r="U328" s="707">
        <f>IFERROR(VLOOKUP($A327,ReceitaBruta,COLUMN('A4 - Previsão de Receita Bruta'!V330)-1,0),0)</f>
        <v>0</v>
      </c>
      <c r="V328" s="707">
        <f>IFERROR(VLOOKUP($A327,ReceitaBruta,COLUMN('A4 - Previsão de Receita Bruta'!W330)-1,0),0)</f>
        <v>0</v>
      </c>
      <c r="W328" s="707">
        <f>IFERROR(VLOOKUP($A327,ReceitaBruta,COLUMN('A4 - Previsão de Receita Bruta'!X330)-1,0),0)</f>
        <v>0</v>
      </c>
      <c r="X328" s="707">
        <f>IFERROR(VLOOKUP($A327,ReceitaBruta,COLUMN('A4 - Previsão de Receita Bruta'!Y330)-1,0),0)</f>
        <v>0</v>
      </c>
      <c r="Y328" s="707">
        <f>IFERROR(VLOOKUP($A327,ReceitaBruta,COLUMN('A4 - Previsão de Receita Bruta'!Z330)-1,0),0)</f>
        <v>0</v>
      </c>
      <c r="Z328" s="707">
        <f>IFERROR(VLOOKUP($A327,ReceitaBruta,COLUMN('A4 - Previsão de Receita Bruta'!AA330)-1,0),0)</f>
        <v>0</v>
      </c>
      <c r="AA328" s="707">
        <f>IFERROR(VLOOKUP($A327,ReceitaBruta,COLUMN('A4 - Previsão de Receita Bruta'!AB330)-1,0),0)</f>
        <v>0</v>
      </c>
      <c r="AB328" s="707">
        <f>IFERROR(VLOOKUP($A327,ReceitaBruta,COLUMN('A4 - Previsão de Receita Bruta'!AC330)-1,0),0)</f>
        <v>0</v>
      </c>
      <c r="AC328" s="707">
        <f>IFERROR(VLOOKUP($A327,ReceitaBruta,COLUMN('A4 - Previsão de Receita Bruta'!AD330)-1,0),0)</f>
        <v>0</v>
      </c>
      <c r="AD328" s="707">
        <f>IFERROR(VLOOKUP($A327,ReceitaBruta,COLUMN('A4 - Previsão de Receita Bruta'!AE330)-1,0),0)</f>
        <v>0</v>
      </c>
      <c r="AE328" s="707">
        <f>IFERROR(VLOOKUP($A327,ReceitaBruta,COLUMN('A4 - Previsão de Receita Bruta'!AF330)-1,0),0)</f>
        <v>0</v>
      </c>
      <c r="AF328" s="594"/>
      <c r="AG328" s="594"/>
      <c r="AH328" s="594"/>
      <c r="AI328" s="594"/>
      <c r="AJ328" s="594"/>
      <c r="AK328" s="594"/>
      <c r="AL328" s="594"/>
      <c r="AM328" s="594"/>
      <c r="AN328" s="594"/>
      <c r="AO328" s="594"/>
      <c r="AP328" s="594"/>
      <c r="AQ328" s="594"/>
      <c r="AR328" s="594"/>
      <c r="AS328" s="594"/>
      <c r="AT328" s="594"/>
      <c r="AU328" s="594"/>
      <c r="AV328" s="594"/>
      <c r="AW328" s="594"/>
      <c r="AX328" s="594"/>
      <c r="AY328" s="594"/>
      <c r="AZ328" s="594"/>
      <c r="BA328" s="594"/>
      <c r="BB328" s="594"/>
      <c r="BC328" s="594"/>
      <c r="BD328" s="594"/>
      <c r="BE328" s="594"/>
      <c r="BF328" s="594"/>
      <c r="BG328" s="594"/>
      <c r="BH328" s="594"/>
      <c r="BI328" s="594"/>
      <c r="BJ328" s="594"/>
      <c r="BK328" s="594"/>
      <c r="BL328" s="57"/>
      <c r="BM328" s="594"/>
      <c r="BN328" s="594"/>
      <c r="BO328" s="594"/>
      <c r="BP328" s="594"/>
      <c r="BQ328" s="594"/>
      <c r="BR328" s="594"/>
      <c r="BS328" s="594"/>
      <c r="BT328" s="594"/>
      <c r="BU328" s="594"/>
      <c r="BV328" s="594"/>
      <c r="BW328" s="594"/>
      <c r="BX328" s="594"/>
      <c r="BY328" s="594"/>
      <c r="BZ328" s="594"/>
      <c r="CA328" s="594"/>
      <c r="CB328" s="594"/>
      <c r="CC328" s="594"/>
      <c r="CD328" s="594"/>
      <c r="CE328" s="594"/>
      <c r="CF328" s="594"/>
      <c r="CG328" s="594"/>
      <c r="CH328" s="594"/>
      <c r="CI328" s="594"/>
      <c r="CJ328" s="594"/>
      <c r="CK328" s="594"/>
      <c r="CL328" s="594"/>
      <c r="CM328" s="594"/>
      <c r="CN328" s="594"/>
      <c r="CO328" s="594"/>
      <c r="CP328" s="594"/>
      <c r="CQ328" s="594"/>
    </row>
    <row r="329" spans="1:95" ht="21" hidden="1" customHeight="1" outlineLevel="1">
      <c r="A329" s="708" t="s">
        <v>681</v>
      </c>
      <c r="B329" s="707">
        <f>IFERROR(-'E2 - Tributos'!D$19*VLOOKUP('F1 - FCL'!$A327,ReceitaBruta,COLUMN('A4 - Previsão de Receita Bruta'!C$6)-1,0),0)</f>
        <v>0</v>
      </c>
      <c r="C329" s="707">
        <f>IFERROR(-'E2 - Tributos'!E$19*VLOOKUP('F1 - FCL'!$A327,ReceitaBruta,COLUMN('A4 - Previsão de Receita Bruta'!D$6)-1,0),0)</f>
        <v>0</v>
      </c>
      <c r="D329" s="707">
        <f>IFERROR(-'E2 - Tributos'!F$19*VLOOKUP('F1 - FCL'!$A327,ReceitaBruta,COLUMN('A4 - Previsão de Receita Bruta'!E$6)-1,0),0)</f>
        <v>0</v>
      </c>
      <c r="E329" s="707">
        <f>IFERROR(-'E2 - Tributos'!G$19*VLOOKUP('F1 - FCL'!$A327,ReceitaBruta,COLUMN('A4 - Previsão de Receita Bruta'!F$6)-1,0),0)</f>
        <v>0</v>
      </c>
      <c r="F329" s="707">
        <f>IFERROR(-'E2 - Tributos'!H$19*VLOOKUP('F1 - FCL'!$A327,ReceitaBruta,COLUMN('A4 - Previsão de Receita Bruta'!G$6)-1,0),0)</f>
        <v>0</v>
      </c>
      <c r="G329" s="707">
        <f>IFERROR(-'E2 - Tributos'!I$19*VLOOKUP('F1 - FCL'!$A327,ReceitaBruta,COLUMN('A4 - Previsão de Receita Bruta'!H$6)-1,0),0)</f>
        <v>0</v>
      </c>
      <c r="H329" s="707">
        <f>IFERROR(-'E2 - Tributos'!J$19*VLOOKUP('F1 - FCL'!$A327,ReceitaBruta,COLUMN('A4 - Previsão de Receita Bruta'!I$6)-1,0),0)</f>
        <v>0</v>
      </c>
      <c r="I329" s="707">
        <f>IFERROR(-'E2 - Tributos'!K$19*VLOOKUP('F1 - FCL'!$A327,ReceitaBruta,COLUMN('A4 - Previsão de Receita Bruta'!J$6)-1,0),0)</f>
        <v>0</v>
      </c>
      <c r="J329" s="707">
        <f>IFERROR(-'E2 - Tributos'!L$19*VLOOKUP('F1 - FCL'!$A327,ReceitaBruta,COLUMN('A4 - Previsão de Receita Bruta'!K$6)-1,0),0)</f>
        <v>0</v>
      </c>
      <c r="K329" s="707">
        <f>IFERROR(-'E2 - Tributos'!M$19*VLOOKUP('F1 - FCL'!$A327,ReceitaBruta,COLUMN('A4 - Previsão de Receita Bruta'!L$6)-1,0),0)</f>
        <v>0</v>
      </c>
      <c r="L329" s="707">
        <f>IFERROR(-'E2 - Tributos'!N$19*VLOOKUP('F1 - FCL'!$A327,ReceitaBruta,COLUMN('A4 - Previsão de Receita Bruta'!M$6)-1,0),0)</f>
        <v>0</v>
      </c>
      <c r="M329" s="707">
        <f>IFERROR(-'E2 - Tributos'!O$19*VLOOKUP('F1 - FCL'!$A327,ReceitaBruta,COLUMN('A4 - Previsão de Receita Bruta'!N$6)-1,0),0)</f>
        <v>0</v>
      </c>
      <c r="N329" s="707">
        <f>IFERROR(-'E2 - Tributos'!P$19*VLOOKUP('F1 - FCL'!$A327,ReceitaBruta,COLUMN('A4 - Previsão de Receita Bruta'!O$6)-1,0),0)</f>
        <v>0</v>
      </c>
      <c r="O329" s="707">
        <f>IFERROR(-'E2 - Tributos'!Q$19*VLOOKUP('F1 - FCL'!$A327,ReceitaBruta,COLUMN('A4 - Previsão de Receita Bruta'!P$6)-1,0),0)</f>
        <v>0</v>
      </c>
      <c r="P329" s="707">
        <f>IFERROR(-'E2 - Tributos'!R$19*VLOOKUP('F1 - FCL'!$A327,ReceitaBruta,COLUMN('A4 - Previsão de Receita Bruta'!Q$6)-1,0),0)</f>
        <v>0</v>
      </c>
      <c r="Q329" s="707">
        <f>IFERROR(-'E2 - Tributos'!S$19*VLOOKUP('F1 - FCL'!$A327,ReceitaBruta,COLUMN('A4 - Previsão de Receita Bruta'!R$6)-1,0),0)</f>
        <v>0</v>
      </c>
      <c r="R329" s="707">
        <f>IFERROR(-'E2 - Tributos'!T$19*VLOOKUP('F1 - FCL'!$A327,ReceitaBruta,COLUMN('A4 - Previsão de Receita Bruta'!S$6)-1,0),0)</f>
        <v>0</v>
      </c>
      <c r="S329" s="707">
        <f>IFERROR(-'E2 - Tributos'!U$19*VLOOKUP('F1 - FCL'!$A327,ReceitaBruta,COLUMN('A4 - Previsão de Receita Bruta'!T$6)-1,0),0)</f>
        <v>0</v>
      </c>
      <c r="T329" s="707">
        <f>IFERROR(-'E2 - Tributos'!V$19*VLOOKUP('F1 - FCL'!$A327,ReceitaBruta,COLUMN('A4 - Previsão de Receita Bruta'!U$6)-1,0),0)</f>
        <v>0</v>
      </c>
      <c r="U329" s="707">
        <f>IFERROR(-'E2 - Tributos'!W$19*VLOOKUP('F1 - FCL'!$A327,ReceitaBruta,COLUMN('A4 - Previsão de Receita Bruta'!V$6)-1,0),0)</f>
        <v>0</v>
      </c>
      <c r="V329" s="707">
        <f>IFERROR(-'E2 - Tributos'!X$19*VLOOKUP('F1 - FCL'!$A327,ReceitaBruta,COLUMN('A4 - Previsão de Receita Bruta'!W$6)-1,0),0)</f>
        <v>0</v>
      </c>
      <c r="W329" s="707">
        <f>IFERROR(-'E2 - Tributos'!Y$19*VLOOKUP('F1 - FCL'!$A327,ReceitaBruta,COLUMN('A4 - Previsão de Receita Bruta'!X$6)-1,0),0)</f>
        <v>0</v>
      </c>
      <c r="X329" s="707">
        <f>IFERROR(-'E2 - Tributos'!Z$19*VLOOKUP('F1 - FCL'!$A327,ReceitaBruta,COLUMN('A4 - Previsão de Receita Bruta'!Y$6)-1,0),0)</f>
        <v>0</v>
      </c>
      <c r="Y329" s="707">
        <f>IFERROR(-'E2 - Tributos'!AA$19*VLOOKUP('F1 - FCL'!$A327,ReceitaBruta,COLUMN('A4 - Previsão de Receita Bruta'!Z$6)-1,0),0)</f>
        <v>0</v>
      </c>
      <c r="Z329" s="707">
        <f>IFERROR(-'E2 - Tributos'!AB$19*VLOOKUP('F1 - FCL'!$A327,ReceitaBruta,COLUMN('A4 - Previsão de Receita Bruta'!AA$6)-1,0),0)</f>
        <v>0</v>
      </c>
      <c r="AA329" s="707">
        <f>IFERROR(-'E2 - Tributos'!AC$19*VLOOKUP('F1 - FCL'!$A327,ReceitaBruta,COLUMN('A4 - Previsão de Receita Bruta'!AB$6)-1,0),0)</f>
        <v>0</v>
      </c>
      <c r="AB329" s="707">
        <f>IFERROR(-'E2 - Tributos'!AD$19*VLOOKUP('F1 - FCL'!$A327,ReceitaBruta,COLUMN('A4 - Previsão de Receita Bruta'!AC$6)-1,0),0)</f>
        <v>0</v>
      </c>
      <c r="AC329" s="707">
        <f>IFERROR(-'E2 - Tributos'!AE$19*VLOOKUP('F1 - FCL'!$A327,ReceitaBruta,COLUMN('A4 - Previsão de Receita Bruta'!AD$6)-1,0),0)</f>
        <v>0</v>
      </c>
      <c r="AD329" s="707">
        <f>IFERROR(-'E2 - Tributos'!AF$19*VLOOKUP('F1 - FCL'!$A327,ReceitaBruta,COLUMN('A4 - Previsão de Receita Bruta'!AE$6)-1,0),0)</f>
        <v>0</v>
      </c>
      <c r="AE329" s="707">
        <f>IFERROR(-'E2 - Tributos'!AG$19*VLOOKUP('F1 - FCL'!$A327,ReceitaBruta,COLUMN('A4 - Previsão de Receita Bruta'!AF$6)-1,0),0)</f>
        <v>0</v>
      </c>
      <c r="AF329" s="594"/>
      <c r="AG329" s="594"/>
      <c r="AH329" s="594"/>
      <c r="AI329" s="594"/>
      <c r="AJ329" s="594"/>
      <c r="AK329" s="594"/>
      <c r="AL329" s="594"/>
      <c r="AM329" s="594"/>
      <c r="AN329" s="594"/>
      <c r="AO329" s="594"/>
      <c r="AP329" s="594"/>
      <c r="AQ329" s="594"/>
      <c r="AR329" s="594"/>
      <c r="AS329" s="594"/>
      <c r="AT329" s="594"/>
      <c r="AU329" s="594"/>
      <c r="AV329" s="594"/>
      <c r="AW329" s="594"/>
      <c r="AX329" s="594"/>
      <c r="AY329" s="594"/>
      <c r="AZ329" s="594"/>
      <c r="BA329" s="594"/>
      <c r="BB329" s="594"/>
      <c r="BC329" s="594"/>
      <c r="BD329" s="594"/>
      <c r="BE329" s="594"/>
      <c r="BF329" s="594"/>
      <c r="BG329" s="594"/>
      <c r="BH329" s="594"/>
      <c r="BI329" s="594"/>
      <c r="BJ329" s="594"/>
      <c r="BK329" s="594"/>
      <c r="BL329" s="57"/>
      <c r="BM329" s="594"/>
      <c r="BN329" s="594"/>
      <c r="BO329" s="594"/>
      <c r="BP329" s="594"/>
      <c r="BQ329" s="594"/>
      <c r="BR329" s="594"/>
      <c r="BS329" s="594"/>
      <c r="BT329" s="594"/>
      <c r="BU329" s="594"/>
      <c r="BV329" s="594"/>
      <c r="BW329" s="594"/>
      <c r="BX329" s="594"/>
      <c r="BY329" s="594"/>
      <c r="BZ329" s="594"/>
      <c r="CA329" s="594"/>
      <c r="CB329" s="594"/>
      <c r="CC329" s="594"/>
      <c r="CD329" s="594"/>
      <c r="CE329" s="594"/>
      <c r="CF329" s="594"/>
      <c r="CG329" s="594"/>
      <c r="CH329" s="594"/>
      <c r="CI329" s="594"/>
      <c r="CJ329" s="594"/>
      <c r="CK329" s="594"/>
      <c r="CL329" s="594"/>
      <c r="CM329" s="594"/>
      <c r="CN329" s="594"/>
      <c r="CO329" s="594"/>
      <c r="CP329" s="594"/>
      <c r="CQ329" s="594"/>
    </row>
    <row r="330" spans="1:95" ht="19.5" hidden="1" customHeight="1" outlineLevel="1">
      <c r="A330" s="708" t="s">
        <v>590</v>
      </c>
      <c r="B330" s="707">
        <f t="shared" ref="B330:AE330" si="105">SUM(B331:B335)</f>
        <v>-66921.198399999994</v>
      </c>
      <c r="C330" s="707">
        <f t="shared" si="105"/>
        <v>-225536.51296080003</v>
      </c>
      <c r="D330" s="707">
        <f t="shared" si="105"/>
        <v>-225536.51296080003</v>
      </c>
      <c r="E330" s="707">
        <f t="shared" si="105"/>
        <v>-225536.51296080003</v>
      </c>
      <c r="F330" s="707">
        <f t="shared" si="105"/>
        <v>-225536.51296080003</v>
      </c>
      <c r="G330" s="707">
        <f t="shared" si="105"/>
        <v>-225536.51296080003</v>
      </c>
      <c r="H330" s="707">
        <f t="shared" si="105"/>
        <v>-225536.51296080003</v>
      </c>
      <c r="I330" s="707">
        <f t="shared" si="105"/>
        <v>-225536.51296080003</v>
      </c>
      <c r="J330" s="707">
        <f t="shared" si="105"/>
        <v>-225536.51296080003</v>
      </c>
      <c r="K330" s="707">
        <f t="shared" si="105"/>
        <v>-225536.51296080003</v>
      </c>
      <c r="L330" s="707">
        <f t="shared" si="105"/>
        <v>-225536.51296080003</v>
      </c>
      <c r="M330" s="707">
        <f t="shared" si="105"/>
        <v>-225536.51296080003</v>
      </c>
      <c r="N330" s="707">
        <f t="shared" si="105"/>
        <v>-225536.51296080003</v>
      </c>
      <c r="O330" s="707">
        <f t="shared" si="105"/>
        <v>-225536.51296080003</v>
      </c>
      <c r="P330" s="707">
        <f t="shared" si="105"/>
        <v>-225536.51296080003</v>
      </c>
      <c r="Q330" s="707">
        <f t="shared" si="105"/>
        <v>-225536.51296080003</v>
      </c>
      <c r="R330" s="707">
        <f t="shared" si="105"/>
        <v>-225536.51296080003</v>
      </c>
      <c r="S330" s="707">
        <f t="shared" si="105"/>
        <v>-225536.51296080003</v>
      </c>
      <c r="T330" s="707">
        <f t="shared" si="105"/>
        <v>-225536.51296080003</v>
      </c>
      <c r="U330" s="707">
        <f t="shared" si="105"/>
        <v>-225536.51296080003</v>
      </c>
      <c r="V330" s="707">
        <f t="shared" si="105"/>
        <v>-225536.51296080003</v>
      </c>
      <c r="W330" s="707">
        <f t="shared" si="105"/>
        <v>-225536.51296080003</v>
      </c>
      <c r="X330" s="707">
        <f t="shared" si="105"/>
        <v>-225536.51296080003</v>
      </c>
      <c r="Y330" s="707">
        <f t="shared" si="105"/>
        <v>-225536.51296080003</v>
      </c>
      <c r="Z330" s="707">
        <f t="shared" si="105"/>
        <v>-225536.51296080003</v>
      </c>
      <c r="AA330" s="707">
        <f t="shared" si="105"/>
        <v>-225536.51296080003</v>
      </c>
      <c r="AB330" s="707">
        <f t="shared" si="105"/>
        <v>-225536.51296080003</v>
      </c>
      <c r="AC330" s="707">
        <f t="shared" si="105"/>
        <v>-225536.51296080003</v>
      </c>
      <c r="AD330" s="707">
        <f t="shared" si="105"/>
        <v>-225536.51296080003</v>
      </c>
      <c r="AE330" s="707">
        <f t="shared" si="105"/>
        <v>-225536.51296080003</v>
      </c>
      <c r="AF330" s="594"/>
      <c r="AG330" s="594"/>
      <c r="AH330" s="594"/>
      <c r="AI330" s="594"/>
      <c r="AJ330" s="594"/>
      <c r="AK330" s="594"/>
      <c r="AL330" s="594"/>
      <c r="AM330" s="594"/>
      <c r="AN330" s="594"/>
      <c r="AO330" s="594"/>
      <c r="AP330" s="594"/>
      <c r="AQ330" s="594"/>
      <c r="AR330" s="594"/>
      <c r="AS330" s="594"/>
      <c r="AT330" s="594"/>
      <c r="AU330" s="594"/>
      <c r="AV330" s="594"/>
      <c r="AW330" s="594"/>
      <c r="AX330" s="594"/>
      <c r="AY330" s="594"/>
      <c r="AZ330" s="594"/>
      <c r="BA330" s="594"/>
      <c r="BB330" s="594"/>
      <c r="BC330" s="594"/>
      <c r="BD330" s="594"/>
      <c r="BE330" s="594"/>
      <c r="BF330" s="594"/>
      <c r="BG330" s="594"/>
      <c r="BH330" s="594"/>
      <c r="BI330" s="594"/>
      <c r="BJ330" s="594"/>
      <c r="BK330" s="594"/>
      <c r="BL330" s="57"/>
      <c r="BM330" s="594"/>
      <c r="BN330" s="594"/>
      <c r="BO330" s="594"/>
      <c r="BP330" s="594"/>
      <c r="BQ330" s="594"/>
      <c r="BR330" s="594"/>
      <c r="BS330" s="594"/>
      <c r="BT330" s="594"/>
      <c r="BU330" s="594"/>
      <c r="BV330" s="594"/>
      <c r="BW330" s="594"/>
      <c r="BX330" s="594"/>
      <c r="BY330" s="594"/>
      <c r="BZ330" s="594"/>
      <c r="CA330" s="594"/>
      <c r="CB330" s="594"/>
      <c r="CC330" s="594"/>
      <c r="CD330" s="594"/>
      <c r="CE330" s="594"/>
      <c r="CF330" s="594"/>
      <c r="CG330" s="594"/>
      <c r="CH330" s="594"/>
      <c r="CI330" s="594"/>
      <c r="CJ330" s="594"/>
      <c r="CK330" s="594"/>
      <c r="CL330" s="594"/>
      <c r="CM330" s="594"/>
      <c r="CN330" s="594"/>
      <c r="CO330" s="594"/>
      <c r="CP330" s="594"/>
      <c r="CQ330" s="594"/>
    </row>
    <row r="331" spans="1:95" ht="21" hidden="1" customHeight="1" outlineLevel="2">
      <c r="A331" s="709" t="s">
        <v>682</v>
      </c>
      <c r="B331" s="710">
        <f>IF($A327="",0,-SUMIF('C3 - Funcionários $'!$D$7:$D$121,$A327,'C3 - Funcionários $'!G$7:G$121))</f>
        <v>0</v>
      </c>
      <c r="C331" s="710">
        <f>IF($A327="",0,-SUMIF('C3 - Funcionários $'!$D$7:$D$121,$A327,'C3 - Funcionários $'!H$7:H$121))</f>
        <v>-158615.31456080003</v>
      </c>
      <c r="D331" s="710">
        <f>IF($A327="",0,-SUMIF('C3 - Funcionários $'!$D$7:$D$121,$A327,'C3 - Funcionários $'!I$7:I$121))</f>
        <v>-158615.31456080003</v>
      </c>
      <c r="E331" s="710">
        <f>IF($A327="",0,-SUMIF('C3 - Funcionários $'!$D$7:$D$121,$A327,'C3 - Funcionários $'!J$7:J$121))</f>
        <v>-158615.31456080003</v>
      </c>
      <c r="F331" s="710">
        <f>IF($A327="",0,-SUMIF('C3 - Funcionários $'!$D$7:$D$121,$A327,'C3 - Funcionários $'!K$7:K$121))</f>
        <v>-158615.31456080003</v>
      </c>
      <c r="G331" s="710">
        <f>IF($A327="",0,-SUMIF('C3 - Funcionários $'!$D$7:$D$121,$A327,'C3 - Funcionários $'!L$7:L$121))</f>
        <v>-158615.31456080003</v>
      </c>
      <c r="H331" s="710">
        <f>IF($A327="",0,-SUMIF('C3 - Funcionários $'!$D$7:$D$121,$A327,'C3 - Funcionários $'!M$7:M$121))</f>
        <v>-158615.31456080003</v>
      </c>
      <c r="I331" s="710">
        <f>IF($A327="",0,-SUMIF('C3 - Funcionários $'!$D$7:$D$121,$A327,'C3 - Funcionários $'!N$7:N$121))</f>
        <v>-158615.31456080003</v>
      </c>
      <c r="J331" s="710">
        <f>IF($A327="",0,-SUMIF('C3 - Funcionários $'!$D$7:$D$121,$A327,'C3 - Funcionários $'!O$7:O$121))</f>
        <v>-158615.31456080003</v>
      </c>
      <c r="K331" s="710">
        <f>IF($A327="",0,-SUMIF('C3 - Funcionários $'!$D$7:$D$121,$A327,'C3 - Funcionários $'!P$7:P$121))</f>
        <v>-158615.31456080003</v>
      </c>
      <c r="L331" s="710">
        <f>IF($A327="",0,-SUMIF('C3 - Funcionários $'!$D$7:$D$121,$A327,'C3 - Funcionários $'!Q$7:Q$121))</f>
        <v>-158615.31456080003</v>
      </c>
      <c r="M331" s="710">
        <f>IF($A327="",0,-SUMIF('C3 - Funcionários $'!$D$7:$D$121,$A327,'C3 - Funcionários $'!R$7:R$121))</f>
        <v>-158615.31456080003</v>
      </c>
      <c r="N331" s="710">
        <f>IF($A327="",0,-SUMIF('C3 - Funcionários $'!$D$7:$D$121,$A327,'C3 - Funcionários $'!S$7:S$121))</f>
        <v>-158615.31456080003</v>
      </c>
      <c r="O331" s="710">
        <f>IF($A327="",0,-SUMIF('C3 - Funcionários $'!$D$7:$D$121,$A327,'C3 - Funcionários $'!T$7:T$121))</f>
        <v>-158615.31456080003</v>
      </c>
      <c r="P331" s="710">
        <f>IF($A327="",0,-SUMIF('C3 - Funcionários $'!$D$7:$D$121,$A327,'C3 - Funcionários $'!U$7:U$121))</f>
        <v>-158615.31456080003</v>
      </c>
      <c r="Q331" s="710">
        <f>IF($A327="",0,-SUMIF('C3 - Funcionários $'!$D$7:$D$121,$A327,'C3 - Funcionários $'!V$7:V$121))</f>
        <v>-158615.31456080003</v>
      </c>
      <c r="R331" s="710">
        <f>IF($A327="",0,-SUMIF('C3 - Funcionários $'!$D$7:$D$121,$A327,'C3 - Funcionários $'!W$7:W$121))</f>
        <v>-158615.31456080003</v>
      </c>
      <c r="S331" s="710">
        <f>IF($A327="",0,-SUMIF('C3 - Funcionários $'!$D$7:$D$121,$A327,'C3 - Funcionários $'!X$7:X$121))</f>
        <v>-158615.31456080003</v>
      </c>
      <c r="T331" s="710">
        <f>IF($A327="",0,-SUMIF('C3 - Funcionários $'!$D$7:$D$121,$A327,'C3 - Funcionários $'!Y$7:Y$121))</f>
        <v>-158615.31456080003</v>
      </c>
      <c r="U331" s="710">
        <f>IF($A327="",0,-SUMIF('C3 - Funcionários $'!$D$7:$D$121,$A327,'C3 - Funcionários $'!Z$7:Z$121))</f>
        <v>-158615.31456080003</v>
      </c>
      <c r="V331" s="710">
        <f>IF($A327="",0,-SUMIF('C3 - Funcionários $'!$D$7:$D$121,$A327,'C3 - Funcionários $'!AA$7:AA$121))</f>
        <v>-158615.31456080003</v>
      </c>
      <c r="W331" s="710">
        <f>IF($A327="",0,-SUMIF('C3 - Funcionários $'!$D$7:$D$121,$A327,'C3 - Funcionários $'!AB$7:AB$121))</f>
        <v>-158615.31456080003</v>
      </c>
      <c r="X331" s="710">
        <f>IF($A327="",0,-SUMIF('C3 - Funcionários $'!$D$7:$D$121,$A327,'C3 - Funcionários $'!AC$7:AC$121))</f>
        <v>-158615.31456080003</v>
      </c>
      <c r="Y331" s="710">
        <f>IF($A327="",0,-SUMIF('C3 - Funcionários $'!$D$7:$D$121,$A327,'C3 - Funcionários $'!AD$7:AD$121))</f>
        <v>-158615.31456080003</v>
      </c>
      <c r="Z331" s="710">
        <f>IF($A327="",0,-SUMIF('C3 - Funcionários $'!$D$7:$D$121,$A327,'C3 - Funcionários $'!AE$7:AE$121))</f>
        <v>-158615.31456080003</v>
      </c>
      <c r="AA331" s="710">
        <f>IF($A327="",0,-SUMIF('C3 - Funcionários $'!$D$7:$D$121,$A327,'C3 - Funcionários $'!AF$7:AF$121))</f>
        <v>-158615.31456080003</v>
      </c>
      <c r="AB331" s="710">
        <f>IF($A327="",0,-SUMIF('C3 - Funcionários $'!$D$7:$D$121,$A327,'C3 - Funcionários $'!AG$7:AG$121))</f>
        <v>-158615.31456080003</v>
      </c>
      <c r="AC331" s="710">
        <f>IF($A327="",0,-SUMIF('C3 - Funcionários $'!$D$7:$D$121,$A327,'C3 - Funcionários $'!AH$7:AH$121))</f>
        <v>-158615.31456080003</v>
      </c>
      <c r="AD331" s="710">
        <f>IF($A327="",0,-SUMIF('C3 - Funcionários $'!$D$7:$D$121,$A327,'C3 - Funcionários $'!AI$7:AI$121))</f>
        <v>-158615.31456080003</v>
      </c>
      <c r="AE331" s="710">
        <f>IF($A327="",0,-SUMIF('C3 - Funcionários $'!$D$7:$D$121,$A327,'C3 - Funcionários $'!AJ$7:AJ$121))</f>
        <v>-158615.31456080003</v>
      </c>
      <c r="AF331" s="594"/>
      <c r="AG331" s="594"/>
      <c r="AH331" s="594"/>
      <c r="AI331" s="594"/>
      <c r="AJ331" s="594"/>
      <c r="AK331" s="594"/>
      <c r="AL331" s="594"/>
      <c r="AM331" s="594"/>
      <c r="AN331" s="594"/>
      <c r="AO331" s="594"/>
      <c r="AP331" s="594"/>
      <c r="AQ331" s="594"/>
      <c r="AR331" s="594"/>
      <c r="AS331" s="594"/>
      <c r="AT331" s="594"/>
      <c r="AU331" s="594"/>
      <c r="AV331" s="594"/>
      <c r="AW331" s="594"/>
      <c r="AX331" s="594"/>
      <c r="AY331" s="594"/>
      <c r="AZ331" s="594"/>
      <c r="BA331" s="594"/>
      <c r="BB331" s="594"/>
      <c r="BC331" s="594"/>
      <c r="BD331" s="594"/>
      <c r="BE331" s="594"/>
      <c r="BF331" s="594"/>
      <c r="BG331" s="594"/>
      <c r="BH331" s="594"/>
      <c r="BI331" s="594"/>
      <c r="BJ331" s="594"/>
      <c r="BK331" s="594"/>
      <c r="BL331" s="57"/>
      <c r="BM331" s="594"/>
      <c r="BN331" s="594"/>
      <c r="BO331" s="594"/>
      <c r="BP331" s="594"/>
      <c r="BQ331" s="594"/>
      <c r="BR331" s="594"/>
      <c r="BS331" s="594"/>
      <c r="BT331" s="594"/>
      <c r="BU331" s="594"/>
      <c r="BV331" s="594"/>
      <c r="BW331" s="594"/>
      <c r="BX331" s="594"/>
      <c r="BY331" s="594"/>
      <c r="BZ331" s="594"/>
      <c r="CA331" s="594"/>
      <c r="CB331" s="594"/>
      <c r="CC331" s="594"/>
      <c r="CD331" s="594"/>
      <c r="CE331" s="594"/>
      <c r="CF331" s="594"/>
      <c r="CG331" s="594"/>
      <c r="CH331" s="594"/>
      <c r="CI331" s="594"/>
      <c r="CJ331" s="594"/>
      <c r="CK331" s="594"/>
      <c r="CL331" s="594"/>
      <c r="CM331" s="594"/>
      <c r="CN331" s="594"/>
      <c r="CO331" s="594"/>
      <c r="CP331" s="594"/>
      <c r="CQ331" s="594"/>
    </row>
    <row r="332" spans="1:95" ht="21" hidden="1" customHeight="1" outlineLevel="2">
      <c r="A332" s="709" t="s">
        <v>683</v>
      </c>
      <c r="B332" s="710">
        <f>IFERROR(-VLOOKUP($A327,CustoDiretoTotal,COLUMN('B2 - Custos diretos totais'!C$3)-1,0),0)</f>
        <v>0</v>
      </c>
      <c r="C332" s="710">
        <f>IFERROR(-VLOOKUP($A327,CustoDiretoTotal,COLUMN('B2 - Custos diretos totais'!D$3)-1,0),0)</f>
        <v>0</v>
      </c>
      <c r="D332" s="710">
        <f>IFERROR(-VLOOKUP($A327,CustoDiretoTotal,COLUMN('B2 - Custos diretos totais'!E$3)-1,0),0)</f>
        <v>0</v>
      </c>
      <c r="E332" s="710">
        <f>IFERROR(-VLOOKUP($A327,CustoDiretoTotal,COLUMN('B2 - Custos diretos totais'!F$3)-1,0),0)</f>
        <v>0</v>
      </c>
      <c r="F332" s="710">
        <f>IFERROR(-VLOOKUP($A327,CustoDiretoTotal,COLUMN('B2 - Custos diretos totais'!G$3)-1,0),0)</f>
        <v>0</v>
      </c>
      <c r="G332" s="710">
        <f>IFERROR(-VLOOKUP($A327,CustoDiretoTotal,COLUMN('B2 - Custos diretos totais'!H$3)-1,0),0)</f>
        <v>0</v>
      </c>
      <c r="H332" s="710">
        <f>IFERROR(-VLOOKUP($A327,CustoDiretoTotal,COLUMN('B2 - Custos diretos totais'!I$3)-1,0),0)</f>
        <v>0</v>
      </c>
      <c r="I332" s="710">
        <f>IFERROR(-VLOOKUP($A327,CustoDiretoTotal,COLUMN('B2 - Custos diretos totais'!J$3)-1,0),0)</f>
        <v>0</v>
      </c>
      <c r="J332" s="710">
        <f>IFERROR(-VLOOKUP($A327,CustoDiretoTotal,COLUMN('B2 - Custos diretos totais'!K$3)-1,0),0)</f>
        <v>0</v>
      </c>
      <c r="K332" s="710">
        <f>IFERROR(-VLOOKUP($A327,CustoDiretoTotal,COLUMN('B2 - Custos diretos totais'!L$3)-1,0),0)</f>
        <v>0</v>
      </c>
      <c r="L332" s="710">
        <f>IFERROR(-VLOOKUP($A327,CustoDiretoTotal,COLUMN('B2 - Custos diretos totais'!M$3)-1,0),0)</f>
        <v>0</v>
      </c>
      <c r="M332" s="710">
        <f>IFERROR(-VLOOKUP($A327,CustoDiretoTotal,COLUMN('B2 - Custos diretos totais'!N$3)-1,0),0)</f>
        <v>0</v>
      </c>
      <c r="N332" s="710">
        <f>IFERROR(-VLOOKUP($A327,CustoDiretoTotal,COLUMN('B2 - Custos diretos totais'!O$3)-1,0),0)</f>
        <v>0</v>
      </c>
      <c r="O332" s="710">
        <f>IFERROR(-VLOOKUP($A327,CustoDiretoTotal,COLUMN('B2 - Custos diretos totais'!P$3)-1,0),0)</f>
        <v>0</v>
      </c>
      <c r="P332" s="710">
        <f>IFERROR(-VLOOKUP($A327,CustoDiretoTotal,COLUMN('B2 - Custos diretos totais'!Q$3)-1,0),0)</f>
        <v>0</v>
      </c>
      <c r="Q332" s="710">
        <f>IFERROR(-VLOOKUP($A327,CustoDiretoTotal,COLUMN('B2 - Custos diretos totais'!R$3)-1,0),0)</f>
        <v>0</v>
      </c>
      <c r="R332" s="710">
        <f>IFERROR(-VLOOKUP($A327,CustoDiretoTotal,COLUMN('B2 - Custos diretos totais'!S$3)-1,0),0)</f>
        <v>0</v>
      </c>
      <c r="S332" s="710">
        <f>IFERROR(-VLOOKUP($A327,CustoDiretoTotal,COLUMN('B2 - Custos diretos totais'!T$3)-1,0),0)</f>
        <v>0</v>
      </c>
      <c r="T332" s="710">
        <f>IFERROR(-VLOOKUP($A327,CustoDiretoTotal,COLUMN('B2 - Custos diretos totais'!U$3)-1,0),0)</f>
        <v>0</v>
      </c>
      <c r="U332" s="710">
        <f>IFERROR(-VLOOKUP($A327,CustoDiretoTotal,COLUMN('B2 - Custos diretos totais'!V$3)-1,0),0)</f>
        <v>0</v>
      </c>
      <c r="V332" s="710">
        <f>IFERROR(-VLOOKUP($A327,CustoDiretoTotal,COLUMN('B2 - Custos diretos totais'!W$3)-1,0),0)</f>
        <v>0</v>
      </c>
      <c r="W332" s="710">
        <f>IFERROR(-VLOOKUP($A327,CustoDiretoTotal,COLUMN('B2 - Custos diretos totais'!X$3)-1,0),0)</f>
        <v>0</v>
      </c>
      <c r="X332" s="710">
        <f>IFERROR(-VLOOKUP($A327,CustoDiretoTotal,COLUMN('B2 - Custos diretos totais'!Y$3)-1,0),0)</f>
        <v>0</v>
      </c>
      <c r="Y332" s="710">
        <f>IFERROR(-VLOOKUP($A327,CustoDiretoTotal,COLUMN('B2 - Custos diretos totais'!Z$3)-1,0),0)</f>
        <v>0</v>
      </c>
      <c r="Z332" s="710">
        <f>IFERROR(-VLOOKUP($A327,CustoDiretoTotal,COLUMN('B2 - Custos diretos totais'!AA$3)-1,0),0)</f>
        <v>0</v>
      </c>
      <c r="AA332" s="710">
        <f>IFERROR(-VLOOKUP($A327,CustoDiretoTotal,COLUMN('B2 - Custos diretos totais'!AB$3)-1,0),0)</f>
        <v>0</v>
      </c>
      <c r="AB332" s="710">
        <f>IFERROR(-VLOOKUP($A327,CustoDiretoTotal,COLUMN('B2 - Custos diretos totais'!AC$3)-1,0),0)</f>
        <v>0</v>
      </c>
      <c r="AC332" s="710">
        <f>IFERROR(-VLOOKUP($A327,CustoDiretoTotal,COLUMN('B2 - Custos diretos totais'!AD$3)-1,0),0)</f>
        <v>0</v>
      </c>
      <c r="AD332" s="710">
        <f>IFERROR(-VLOOKUP($A327,CustoDiretoTotal,COLUMN('B2 - Custos diretos totais'!AE$3)-1,0),0)</f>
        <v>0</v>
      </c>
      <c r="AE332" s="710">
        <f>IFERROR(-VLOOKUP($A327,CustoDiretoTotal,COLUMN('B2 - Custos diretos totais'!AF$3)-1,0),0)</f>
        <v>0</v>
      </c>
      <c r="AF332" s="594"/>
      <c r="AG332" s="594"/>
      <c r="AH332" s="594"/>
      <c r="AI332" s="594"/>
      <c r="AJ332" s="594"/>
      <c r="AK332" s="594"/>
      <c r="AL332" s="594"/>
      <c r="AM332" s="594"/>
      <c r="AN332" s="594"/>
      <c r="AO332" s="594"/>
      <c r="AP332" s="594"/>
      <c r="AQ332" s="594"/>
      <c r="AR332" s="594"/>
      <c r="AS332" s="594"/>
      <c r="AT332" s="594"/>
      <c r="AU332" s="594"/>
      <c r="AV332" s="594"/>
      <c r="AW332" s="594"/>
      <c r="AX332" s="594"/>
      <c r="AY332" s="594"/>
      <c r="AZ332" s="594"/>
      <c r="BA332" s="594"/>
      <c r="BB332" s="594"/>
      <c r="BC332" s="594"/>
      <c r="BD332" s="594"/>
      <c r="BE332" s="594"/>
      <c r="BF332" s="594"/>
      <c r="BG332" s="594"/>
      <c r="BH332" s="594"/>
      <c r="BI332" s="594"/>
      <c r="BJ332" s="594"/>
      <c r="BK332" s="594"/>
      <c r="BL332" s="57"/>
      <c r="BM332" s="594"/>
      <c r="BN332" s="594"/>
      <c r="BO332" s="594"/>
      <c r="BP332" s="594"/>
      <c r="BQ332" s="594"/>
      <c r="BR332" s="594"/>
      <c r="BS332" s="594"/>
      <c r="BT332" s="594"/>
      <c r="BU332" s="594"/>
      <c r="BV332" s="594"/>
      <c r="BW332" s="594"/>
      <c r="BX332" s="594"/>
      <c r="BY332" s="594"/>
      <c r="BZ332" s="594"/>
      <c r="CA332" s="594"/>
      <c r="CB332" s="594"/>
      <c r="CC332" s="594"/>
      <c r="CD332" s="594"/>
      <c r="CE332" s="594"/>
      <c r="CF332" s="594"/>
      <c r="CG332" s="594"/>
      <c r="CH332" s="594"/>
      <c r="CI332" s="594"/>
      <c r="CJ332" s="594"/>
      <c r="CK332" s="594"/>
      <c r="CL332" s="594"/>
      <c r="CM332" s="594"/>
      <c r="CN332" s="594"/>
      <c r="CO332" s="594"/>
      <c r="CP332" s="594"/>
      <c r="CQ332" s="594"/>
    </row>
    <row r="333" spans="1:95" ht="21" hidden="1" customHeight="1" outlineLevel="2">
      <c r="A333" s="709" t="s">
        <v>684</v>
      </c>
      <c r="B333" s="710">
        <f>-SUMIFS('B3 - Custos despesas indiretos'!AK$5:AK$148,'B3 - Custos despesas indiretos'!$B$5:$B$148,"Custos",'B3 - Custos despesas indiretos'!$D$5:$D$148,$A327)</f>
        <v>-24206.5</v>
      </c>
      <c r="C333" s="710">
        <f>-SUMIFS('B3 - Custos despesas indiretos'!AL$5:AL$148,'B3 - Custos despesas indiretos'!$B$5:$B$148,"Custos",'B3 - Custos despesas indiretos'!$D$5:$D$148,$A327)</f>
        <v>-24206.5</v>
      </c>
      <c r="D333" s="710">
        <f>-SUMIFS('B3 - Custos despesas indiretos'!AM$5:AM$148,'B3 - Custos despesas indiretos'!$B$5:$B$148,"Custos",'B3 - Custos despesas indiretos'!$D$5:$D$148,$A327)</f>
        <v>-24206.5</v>
      </c>
      <c r="E333" s="710">
        <f>-SUMIFS('B3 - Custos despesas indiretos'!AN$5:AN$148,'B3 - Custos despesas indiretos'!$B$5:$B$148,"Custos",'B3 - Custos despesas indiretos'!$D$5:$D$148,$A327)</f>
        <v>-24206.5</v>
      </c>
      <c r="F333" s="710">
        <f>-SUMIFS('B3 - Custos despesas indiretos'!AO$5:AO$148,'B3 - Custos despesas indiretos'!$B$5:$B$148,"Custos",'B3 - Custos despesas indiretos'!$D$5:$D$148,$A327)</f>
        <v>-24206.5</v>
      </c>
      <c r="G333" s="710">
        <f>-SUMIFS('B3 - Custos despesas indiretos'!AP$5:AP$148,'B3 - Custos despesas indiretos'!$B$5:$B$148,"Custos",'B3 - Custos despesas indiretos'!$D$5:$D$148,$A327)</f>
        <v>-24206.5</v>
      </c>
      <c r="H333" s="710">
        <f>-SUMIFS('B3 - Custos despesas indiretos'!AQ$5:AQ$148,'B3 - Custos despesas indiretos'!$B$5:$B$148,"Custos",'B3 - Custos despesas indiretos'!$D$5:$D$148,$A327)</f>
        <v>-24206.5</v>
      </c>
      <c r="I333" s="710">
        <f>-SUMIFS('B3 - Custos despesas indiretos'!AR$5:AR$148,'B3 - Custos despesas indiretos'!$B$5:$B$148,"Custos",'B3 - Custos despesas indiretos'!$D$5:$D$148,$A327)</f>
        <v>-24206.5</v>
      </c>
      <c r="J333" s="710">
        <f>-SUMIFS('B3 - Custos despesas indiretos'!AS$5:AS$148,'B3 - Custos despesas indiretos'!$B$5:$B$148,"Custos",'B3 - Custos despesas indiretos'!$D$5:$D$148,$A327)</f>
        <v>-24206.5</v>
      </c>
      <c r="K333" s="710">
        <f>-SUMIFS('B3 - Custos despesas indiretos'!AT$5:AT$148,'B3 - Custos despesas indiretos'!$B$5:$B$148,"Custos",'B3 - Custos despesas indiretos'!$D$5:$D$148,$A327)</f>
        <v>-24206.5</v>
      </c>
      <c r="L333" s="710">
        <f>-SUMIFS('B3 - Custos despesas indiretos'!AU$5:AU$148,'B3 - Custos despesas indiretos'!$B$5:$B$148,"Custos",'B3 - Custos despesas indiretos'!$D$5:$D$148,$A327)</f>
        <v>-24206.5</v>
      </c>
      <c r="M333" s="710">
        <f>-SUMIFS('B3 - Custos despesas indiretos'!AV$5:AV$148,'B3 - Custos despesas indiretos'!$B$5:$B$148,"Custos",'B3 - Custos despesas indiretos'!$D$5:$D$148,$A327)</f>
        <v>-24206.5</v>
      </c>
      <c r="N333" s="710">
        <f>-SUMIFS('B3 - Custos despesas indiretos'!AW$5:AW$148,'B3 - Custos despesas indiretos'!$B$5:$B$148,"Custos",'B3 - Custos despesas indiretos'!$D$5:$D$148,$A327)</f>
        <v>-24206.5</v>
      </c>
      <c r="O333" s="710">
        <f>-SUMIFS('B3 - Custos despesas indiretos'!AX$5:AX$148,'B3 - Custos despesas indiretos'!$B$5:$B$148,"Custos",'B3 - Custos despesas indiretos'!$D$5:$D$148,$A327)</f>
        <v>-24206.5</v>
      </c>
      <c r="P333" s="710">
        <f>-SUMIFS('B3 - Custos despesas indiretos'!AY$5:AY$148,'B3 - Custos despesas indiretos'!$B$5:$B$148,"Custos",'B3 - Custos despesas indiretos'!$D$5:$D$148,$A327)</f>
        <v>-24206.5</v>
      </c>
      <c r="Q333" s="710">
        <f>-SUMIFS('B3 - Custos despesas indiretos'!AZ$5:AZ$148,'B3 - Custos despesas indiretos'!$B$5:$B$148,"Custos",'B3 - Custos despesas indiretos'!$D$5:$D$148,$A327)</f>
        <v>-24206.5</v>
      </c>
      <c r="R333" s="710">
        <f>-SUMIFS('B3 - Custos despesas indiretos'!BA$5:BA$148,'B3 - Custos despesas indiretos'!$B$5:$B$148,"Custos",'B3 - Custos despesas indiretos'!$D$5:$D$148,$A327)</f>
        <v>-24206.5</v>
      </c>
      <c r="S333" s="710">
        <f>-SUMIFS('B3 - Custos despesas indiretos'!BB$5:BB$148,'B3 - Custos despesas indiretos'!$B$5:$B$148,"Custos",'B3 - Custos despesas indiretos'!$D$5:$D$148,$A327)</f>
        <v>-24206.5</v>
      </c>
      <c r="T333" s="710">
        <f>-SUMIFS('B3 - Custos despesas indiretos'!BC$5:BC$148,'B3 - Custos despesas indiretos'!$B$5:$B$148,"Custos",'B3 - Custos despesas indiretos'!$D$5:$D$148,$A327)</f>
        <v>-24206.5</v>
      </c>
      <c r="U333" s="710">
        <f>-SUMIFS('B3 - Custos despesas indiretos'!BD$5:BD$148,'B3 - Custos despesas indiretos'!$B$5:$B$148,"Custos",'B3 - Custos despesas indiretos'!$D$5:$D$148,$A327)</f>
        <v>-24206.5</v>
      </c>
      <c r="V333" s="710">
        <f>-SUMIFS('B3 - Custos despesas indiretos'!BE$5:BE$148,'B3 - Custos despesas indiretos'!$B$5:$B$148,"Custos",'B3 - Custos despesas indiretos'!$D$5:$D$148,$A327)</f>
        <v>-24206.5</v>
      </c>
      <c r="W333" s="710">
        <f>-SUMIFS('B3 - Custos despesas indiretos'!BF$5:BF$148,'B3 - Custos despesas indiretos'!$B$5:$B$148,"Custos",'B3 - Custos despesas indiretos'!$D$5:$D$148,$A327)</f>
        <v>-24206.5</v>
      </c>
      <c r="X333" s="710">
        <f>-SUMIFS('B3 - Custos despesas indiretos'!BG$5:BG$148,'B3 - Custos despesas indiretos'!$B$5:$B$148,"Custos",'B3 - Custos despesas indiretos'!$D$5:$D$148,$A327)</f>
        <v>-24206.5</v>
      </c>
      <c r="Y333" s="710">
        <f>-SUMIFS('B3 - Custos despesas indiretos'!BH$5:BH$148,'B3 - Custos despesas indiretos'!$B$5:$B$148,"Custos",'B3 - Custos despesas indiretos'!$D$5:$D$148,$A327)</f>
        <v>-24206.5</v>
      </c>
      <c r="Z333" s="710">
        <f>-SUMIFS('B3 - Custos despesas indiretos'!BI$5:BI$148,'B3 - Custos despesas indiretos'!$B$5:$B$148,"Custos",'B3 - Custos despesas indiretos'!$D$5:$D$148,$A327)</f>
        <v>-24206.5</v>
      </c>
      <c r="AA333" s="710">
        <f>-SUMIFS('B3 - Custos despesas indiretos'!BJ$5:BJ$148,'B3 - Custos despesas indiretos'!$B$5:$B$148,"Custos",'B3 - Custos despesas indiretos'!$D$5:$D$148,$A327)</f>
        <v>-24206.5</v>
      </c>
      <c r="AB333" s="710">
        <f>-SUMIFS('B3 - Custos despesas indiretos'!BK$5:BK$148,'B3 - Custos despesas indiretos'!$B$5:$B$148,"Custos",'B3 - Custos despesas indiretos'!$D$5:$D$148,$A327)</f>
        <v>-24206.5</v>
      </c>
      <c r="AC333" s="710">
        <f>-SUMIFS('B3 - Custos despesas indiretos'!BL$5:BL$148,'B3 - Custos despesas indiretos'!$B$5:$B$148,"Custos",'B3 - Custos despesas indiretos'!$D$5:$D$148,$A327)</f>
        <v>-24206.5</v>
      </c>
      <c r="AD333" s="710">
        <f>-SUMIFS('B3 - Custos despesas indiretos'!BM$5:BM$148,'B3 - Custos despesas indiretos'!$B$5:$B$148,"Custos",'B3 - Custos despesas indiretos'!$D$5:$D$148,$A327)</f>
        <v>-24206.5</v>
      </c>
      <c r="AE333" s="710">
        <f>-SUMIFS('B3 - Custos despesas indiretos'!BN$5:BN$148,'B3 - Custos despesas indiretos'!$B$5:$B$148,"Custos",'B3 - Custos despesas indiretos'!$D$5:$D$148,$A327)</f>
        <v>-24206.5</v>
      </c>
      <c r="AF333" s="594"/>
      <c r="AG333" s="594"/>
      <c r="AH333" s="594"/>
      <c r="AI333" s="594"/>
      <c r="AJ333" s="594"/>
      <c r="AK333" s="594"/>
      <c r="AL333" s="594"/>
      <c r="AM333" s="594"/>
      <c r="AN333" s="594"/>
      <c r="AO333" s="594"/>
      <c r="AP333" s="594"/>
      <c r="AQ333" s="594"/>
      <c r="AR333" s="594"/>
      <c r="AS333" s="594"/>
      <c r="AT333" s="594"/>
      <c r="AU333" s="594"/>
      <c r="AV333" s="594"/>
      <c r="AW333" s="594"/>
      <c r="AX333" s="594"/>
      <c r="AY333" s="594"/>
      <c r="AZ333" s="594"/>
      <c r="BA333" s="594"/>
      <c r="BB333" s="594"/>
      <c r="BC333" s="594"/>
      <c r="BD333" s="594"/>
      <c r="BE333" s="594"/>
      <c r="BF333" s="594"/>
      <c r="BG333" s="594"/>
      <c r="BH333" s="594"/>
      <c r="BI333" s="594"/>
      <c r="BJ333" s="594"/>
      <c r="BK333" s="594"/>
      <c r="BL333" s="57"/>
      <c r="BM333" s="594"/>
      <c r="BN333" s="594"/>
      <c r="BO333" s="594"/>
      <c r="BP333" s="594"/>
      <c r="BQ333" s="594"/>
      <c r="BR333" s="594"/>
      <c r="BS333" s="594"/>
      <c r="BT333" s="594"/>
      <c r="BU333" s="594"/>
      <c r="BV333" s="594"/>
      <c r="BW333" s="594"/>
      <c r="BX333" s="594"/>
      <c r="BY333" s="594"/>
      <c r="BZ333" s="594"/>
      <c r="CA333" s="594"/>
      <c r="CB333" s="594"/>
      <c r="CC333" s="594"/>
      <c r="CD333" s="594"/>
      <c r="CE333" s="594"/>
      <c r="CF333" s="594"/>
      <c r="CG333" s="594"/>
      <c r="CH333" s="594"/>
      <c r="CI333" s="594"/>
      <c r="CJ333" s="594"/>
      <c r="CK333" s="594"/>
      <c r="CL333" s="594"/>
      <c r="CM333" s="594"/>
      <c r="CN333" s="594"/>
      <c r="CO333" s="594"/>
      <c r="CP333" s="594"/>
      <c r="CQ333" s="594"/>
    </row>
    <row r="334" spans="1:95" ht="21" hidden="1" customHeight="1" outlineLevel="2">
      <c r="A334" s="709" t="s">
        <v>685</v>
      </c>
      <c r="B334" s="710">
        <f>-SUMIFS('B3 - Custos despesas indiretos'!AK$5:AK$148,'B3 - Custos despesas indiretos'!$B$5:$B$148,"Despesas",'B3 - Custos despesas indiretos'!$D$5:$D$148,$A327)</f>
        <v>0</v>
      </c>
      <c r="C334" s="710">
        <f>-SUMIFS('B3 - Custos despesas indiretos'!AL$5:AL$148,'B3 - Custos despesas indiretos'!$B$5:$B$148,"Despesas",'B3 - Custos despesas indiretos'!$D$5:$D$148,$A327)</f>
        <v>0</v>
      </c>
      <c r="D334" s="710">
        <f>-SUMIFS('B3 - Custos despesas indiretos'!AM$5:AM$148,'B3 - Custos despesas indiretos'!$B$5:$B$148,"Despesas",'B3 - Custos despesas indiretos'!$D$5:$D$148,$A327)</f>
        <v>0</v>
      </c>
      <c r="E334" s="710">
        <f>-SUMIFS('B3 - Custos despesas indiretos'!AN$5:AN$148,'B3 - Custos despesas indiretos'!$B$5:$B$148,"Despesas",'B3 - Custos despesas indiretos'!$D$5:$D$148,$A327)</f>
        <v>0</v>
      </c>
      <c r="F334" s="710">
        <f>-SUMIFS('B3 - Custos despesas indiretos'!AO$5:AO$148,'B3 - Custos despesas indiretos'!$B$5:$B$148,"Despesas",'B3 - Custos despesas indiretos'!$D$5:$D$148,$A327)</f>
        <v>0</v>
      </c>
      <c r="G334" s="710">
        <f>-SUMIFS('B3 - Custos despesas indiretos'!AP$5:AP$148,'B3 - Custos despesas indiretos'!$B$5:$B$148,"Despesas",'B3 - Custos despesas indiretos'!$D$5:$D$148,$A327)</f>
        <v>0</v>
      </c>
      <c r="H334" s="710">
        <f>-SUMIFS('B3 - Custos despesas indiretos'!AQ$5:AQ$148,'B3 - Custos despesas indiretos'!$B$5:$B$148,"Despesas",'B3 - Custos despesas indiretos'!$D$5:$D$148,$A327)</f>
        <v>0</v>
      </c>
      <c r="I334" s="710">
        <f>-SUMIFS('B3 - Custos despesas indiretos'!AR$5:AR$148,'B3 - Custos despesas indiretos'!$B$5:$B$148,"Despesas",'B3 - Custos despesas indiretos'!$D$5:$D$148,$A327)</f>
        <v>0</v>
      </c>
      <c r="J334" s="710">
        <f>-SUMIFS('B3 - Custos despesas indiretos'!AS$5:AS$148,'B3 - Custos despesas indiretos'!$B$5:$B$148,"Despesas",'B3 - Custos despesas indiretos'!$D$5:$D$148,$A327)</f>
        <v>0</v>
      </c>
      <c r="K334" s="710">
        <f>-SUMIFS('B3 - Custos despesas indiretos'!AT$5:AT$148,'B3 - Custos despesas indiretos'!$B$5:$B$148,"Despesas",'B3 - Custos despesas indiretos'!$D$5:$D$148,$A327)</f>
        <v>0</v>
      </c>
      <c r="L334" s="710">
        <f>-SUMIFS('B3 - Custos despesas indiretos'!AU$5:AU$148,'B3 - Custos despesas indiretos'!$B$5:$B$148,"Despesas",'B3 - Custos despesas indiretos'!$D$5:$D$148,$A327)</f>
        <v>0</v>
      </c>
      <c r="M334" s="710">
        <f>-SUMIFS('B3 - Custos despesas indiretos'!AV$5:AV$148,'B3 - Custos despesas indiretos'!$B$5:$B$148,"Despesas",'B3 - Custos despesas indiretos'!$D$5:$D$148,$A327)</f>
        <v>0</v>
      </c>
      <c r="N334" s="710">
        <f>-SUMIFS('B3 - Custos despesas indiretos'!AW$5:AW$148,'B3 - Custos despesas indiretos'!$B$5:$B$148,"Despesas",'B3 - Custos despesas indiretos'!$D$5:$D$148,$A327)</f>
        <v>0</v>
      </c>
      <c r="O334" s="710">
        <f>-SUMIFS('B3 - Custos despesas indiretos'!AX$5:AX$148,'B3 - Custos despesas indiretos'!$B$5:$B$148,"Despesas",'B3 - Custos despesas indiretos'!$D$5:$D$148,$A327)</f>
        <v>0</v>
      </c>
      <c r="P334" s="710">
        <f>-SUMIFS('B3 - Custos despesas indiretos'!AY$5:AY$148,'B3 - Custos despesas indiretos'!$B$5:$B$148,"Despesas",'B3 - Custos despesas indiretos'!$D$5:$D$148,$A327)</f>
        <v>0</v>
      </c>
      <c r="Q334" s="710">
        <f>-SUMIFS('B3 - Custos despesas indiretos'!AZ$5:AZ$148,'B3 - Custos despesas indiretos'!$B$5:$B$148,"Despesas",'B3 - Custos despesas indiretos'!$D$5:$D$148,$A327)</f>
        <v>0</v>
      </c>
      <c r="R334" s="710">
        <f>-SUMIFS('B3 - Custos despesas indiretos'!BA$5:BA$148,'B3 - Custos despesas indiretos'!$B$5:$B$148,"Despesas",'B3 - Custos despesas indiretos'!$D$5:$D$148,$A327)</f>
        <v>0</v>
      </c>
      <c r="S334" s="710">
        <f>-SUMIFS('B3 - Custos despesas indiretos'!BB$5:BB$148,'B3 - Custos despesas indiretos'!$B$5:$B$148,"Despesas",'B3 - Custos despesas indiretos'!$D$5:$D$148,$A327)</f>
        <v>0</v>
      </c>
      <c r="T334" s="710">
        <f>-SUMIFS('B3 - Custos despesas indiretos'!BC$5:BC$148,'B3 - Custos despesas indiretos'!$B$5:$B$148,"Despesas",'B3 - Custos despesas indiretos'!$D$5:$D$148,$A327)</f>
        <v>0</v>
      </c>
      <c r="U334" s="710">
        <f>-SUMIFS('B3 - Custos despesas indiretos'!BD$5:BD$148,'B3 - Custos despesas indiretos'!$B$5:$B$148,"Despesas",'B3 - Custos despesas indiretos'!$D$5:$D$148,$A327)</f>
        <v>0</v>
      </c>
      <c r="V334" s="710">
        <f>-SUMIFS('B3 - Custos despesas indiretos'!BE$5:BE$148,'B3 - Custos despesas indiretos'!$B$5:$B$148,"Despesas",'B3 - Custos despesas indiretos'!$D$5:$D$148,$A327)</f>
        <v>0</v>
      </c>
      <c r="W334" s="710">
        <f>-SUMIFS('B3 - Custos despesas indiretos'!BF$5:BF$148,'B3 - Custos despesas indiretos'!$B$5:$B$148,"Despesas",'B3 - Custos despesas indiretos'!$D$5:$D$148,$A327)</f>
        <v>0</v>
      </c>
      <c r="X334" s="710">
        <f>-SUMIFS('B3 - Custos despesas indiretos'!BG$5:BG$148,'B3 - Custos despesas indiretos'!$B$5:$B$148,"Despesas",'B3 - Custos despesas indiretos'!$D$5:$D$148,$A327)</f>
        <v>0</v>
      </c>
      <c r="Y334" s="710">
        <f>-SUMIFS('B3 - Custos despesas indiretos'!BH$5:BH$148,'B3 - Custos despesas indiretos'!$B$5:$B$148,"Despesas",'B3 - Custos despesas indiretos'!$D$5:$D$148,$A327)</f>
        <v>0</v>
      </c>
      <c r="Z334" s="710">
        <f>-SUMIFS('B3 - Custos despesas indiretos'!BI$5:BI$148,'B3 - Custos despesas indiretos'!$B$5:$B$148,"Despesas",'B3 - Custos despesas indiretos'!$D$5:$D$148,$A327)</f>
        <v>0</v>
      </c>
      <c r="AA334" s="710">
        <f>-SUMIFS('B3 - Custos despesas indiretos'!BJ$5:BJ$148,'B3 - Custos despesas indiretos'!$B$5:$B$148,"Despesas",'B3 - Custos despesas indiretos'!$D$5:$D$148,$A327)</f>
        <v>0</v>
      </c>
      <c r="AB334" s="710">
        <f>-SUMIFS('B3 - Custos despesas indiretos'!BK$5:BK$148,'B3 - Custos despesas indiretos'!$B$5:$B$148,"Despesas",'B3 - Custos despesas indiretos'!$D$5:$D$148,$A327)</f>
        <v>0</v>
      </c>
      <c r="AC334" s="710">
        <f>-SUMIFS('B3 - Custos despesas indiretos'!BL$5:BL$148,'B3 - Custos despesas indiretos'!$B$5:$B$148,"Despesas",'B3 - Custos despesas indiretos'!$D$5:$D$148,$A327)</f>
        <v>0</v>
      </c>
      <c r="AD334" s="710">
        <f>-SUMIFS('B3 - Custos despesas indiretos'!BM$5:BM$148,'B3 - Custos despesas indiretos'!$B$5:$B$148,"Despesas",'B3 - Custos despesas indiretos'!$D$5:$D$148,$A327)</f>
        <v>0</v>
      </c>
      <c r="AE334" s="710">
        <f>-SUMIFS('B3 - Custos despesas indiretos'!BN$5:BN$148,'B3 - Custos despesas indiretos'!$B$5:$B$148,"Despesas",'B3 - Custos despesas indiretos'!$D$5:$D$148,$A327)</f>
        <v>0</v>
      </c>
      <c r="AF334" s="594"/>
      <c r="AG334" s="594"/>
      <c r="AH334" s="594"/>
      <c r="AI334" s="594"/>
      <c r="AJ334" s="594"/>
      <c r="AK334" s="594"/>
      <c r="AL334" s="594"/>
      <c r="AM334" s="594"/>
      <c r="AN334" s="594"/>
      <c r="AO334" s="594"/>
      <c r="AP334" s="594"/>
      <c r="AQ334" s="594"/>
      <c r="AR334" s="594"/>
      <c r="AS334" s="594"/>
      <c r="AT334" s="594"/>
      <c r="AU334" s="594"/>
      <c r="AV334" s="594"/>
      <c r="AW334" s="594"/>
      <c r="AX334" s="594"/>
      <c r="AY334" s="594"/>
      <c r="AZ334" s="594"/>
      <c r="BA334" s="594"/>
      <c r="BB334" s="594"/>
      <c r="BC334" s="594"/>
      <c r="BD334" s="594"/>
      <c r="BE334" s="594"/>
      <c r="BF334" s="594"/>
      <c r="BG334" s="594"/>
      <c r="BH334" s="594"/>
      <c r="BI334" s="594"/>
      <c r="BJ334" s="594"/>
      <c r="BK334" s="594"/>
      <c r="BL334" s="57"/>
      <c r="BM334" s="594"/>
      <c r="BN334" s="594"/>
      <c r="BO334" s="594"/>
      <c r="BP334" s="594"/>
      <c r="BQ334" s="594"/>
      <c r="BR334" s="594"/>
      <c r="BS334" s="594"/>
      <c r="BT334" s="594"/>
      <c r="BU334" s="594"/>
      <c r="BV334" s="594"/>
      <c r="BW334" s="594"/>
      <c r="BX334" s="594"/>
      <c r="BY334" s="594"/>
      <c r="BZ334" s="594"/>
      <c r="CA334" s="594"/>
      <c r="CB334" s="594"/>
      <c r="CC334" s="594"/>
      <c r="CD334" s="594"/>
      <c r="CE334" s="594"/>
      <c r="CF334" s="594"/>
      <c r="CG334" s="594"/>
      <c r="CH334" s="594"/>
      <c r="CI334" s="594"/>
      <c r="CJ334" s="594"/>
      <c r="CK334" s="594"/>
      <c r="CL334" s="594"/>
      <c r="CM334" s="594"/>
      <c r="CN334" s="594"/>
      <c r="CO334" s="594"/>
      <c r="CP334" s="594"/>
      <c r="CQ334" s="594"/>
    </row>
    <row r="335" spans="1:95" ht="21" hidden="1" customHeight="1" outlineLevel="2">
      <c r="A335" s="709" t="s">
        <v>686</v>
      </c>
      <c r="B335" s="710">
        <f>-SUMIF('D2 - Capex uso'!$C$6:$C$176,$A327,'D2 - Capex uso'!GI$6:GI$176)</f>
        <v>-42714.698400000001</v>
      </c>
      <c r="C335" s="710">
        <f>-SUMIF('D2 - Capex uso'!$C$6:$C$176,$A327,'D2 - Capex uso'!GJ$6:GJ$176)</f>
        <v>-42714.698400000001</v>
      </c>
      <c r="D335" s="710">
        <f>-SUMIF('D2 - Capex uso'!$C$6:$C$176,$A327,'D2 - Capex uso'!GK$6:GK$176)</f>
        <v>-42714.698400000001</v>
      </c>
      <c r="E335" s="710">
        <f>-SUMIF('D2 - Capex uso'!$C$6:$C$176,$A327,'D2 - Capex uso'!GL$6:GL$176)</f>
        <v>-42714.698400000001</v>
      </c>
      <c r="F335" s="710">
        <f>-SUMIF('D2 - Capex uso'!$C$6:$C$176,$A327,'D2 - Capex uso'!GM$6:GM$176)</f>
        <v>-42714.698400000001</v>
      </c>
      <c r="G335" s="710">
        <f>-SUMIF('D2 - Capex uso'!$C$6:$C$176,$A327,'D2 - Capex uso'!GN$6:GN$176)</f>
        <v>-42714.698400000001</v>
      </c>
      <c r="H335" s="710">
        <f>-SUMIF('D2 - Capex uso'!$C$6:$C$176,$A327,'D2 - Capex uso'!GO$6:GO$176)</f>
        <v>-42714.698400000001</v>
      </c>
      <c r="I335" s="710">
        <f>-SUMIF('D2 - Capex uso'!$C$6:$C$176,$A327,'D2 - Capex uso'!GP$6:GP$176)</f>
        <v>-42714.698400000001</v>
      </c>
      <c r="J335" s="710">
        <f>-SUMIF('D2 - Capex uso'!$C$6:$C$176,$A327,'D2 - Capex uso'!GQ$6:GQ$176)</f>
        <v>-42714.698400000001</v>
      </c>
      <c r="K335" s="710">
        <f>-SUMIF('D2 - Capex uso'!$C$6:$C$176,$A327,'D2 - Capex uso'!GR$6:GR$176)</f>
        <v>-42714.698400000001</v>
      </c>
      <c r="L335" s="710">
        <f>-SUMIF('D2 - Capex uso'!$C$6:$C$176,$A327,'D2 - Capex uso'!GS$6:GS$176)</f>
        <v>-42714.698400000001</v>
      </c>
      <c r="M335" s="710">
        <f>-SUMIF('D2 - Capex uso'!$C$6:$C$176,$A327,'D2 - Capex uso'!GT$6:GT$176)</f>
        <v>-42714.698400000001</v>
      </c>
      <c r="N335" s="710">
        <f>-SUMIF('D2 - Capex uso'!$C$6:$C$176,$A327,'D2 - Capex uso'!GU$6:GU$176)</f>
        <v>-42714.698400000001</v>
      </c>
      <c r="O335" s="710">
        <f>-SUMIF('D2 - Capex uso'!$C$6:$C$176,$A327,'D2 - Capex uso'!GV$6:GV$176)</f>
        <v>-42714.698400000001</v>
      </c>
      <c r="P335" s="710">
        <f>-SUMIF('D2 - Capex uso'!$C$6:$C$176,$A327,'D2 - Capex uso'!GW$6:GW$176)</f>
        <v>-42714.698400000001</v>
      </c>
      <c r="Q335" s="710">
        <f>-SUMIF('D2 - Capex uso'!$C$6:$C$176,$A327,'D2 - Capex uso'!GX$6:GX$176)</f>
        <v>-42714.698400000001</v>
      </c>
      <c r="R335" s="710">
        <f>-SUMIF('D2 - Capex uso'!$C$6:$C$176,$A327,'D2 - Capex uso'!GY$6:GY$176)</f>
        <v>-42714.698400000001</v>
      </c>
      <c r="S335" s="710">
        <f>-SUMIF('D2 - Capex uso'!$C$6:$C$176,$A327,'D2 - Capex uso'!GZ$6:GZ$176)</f>
        <v>-42714.698400000001</v>
      </c>
      <c r="T335" s="710">
        <f>-SUMIF('D2 - Capex uso'!$C$6:$C$176,$A327,'D2 - Capex uso'!HA$6:HA$176)</f>
        <v>-42714.698400000001</v>
      </c>
      <c r="U335" s="710">
        <f>-SUMIF('D2 - Capex uso'!$C$6:$C$176,$A327,'D2 - Capex uso'!HB$6:HB$176)</f>
        <v>-42714.698400000001</v>
      </c>
      <c r="V335" s="710">
        <f>-SUMIF('D2 - Capex uso'!$C$6:$C$176,$A327,'D2 - Capex uso'!HC$6:HC$176)</f>
        <v>-42714.698400000001</v>
      </c>
      <c r="W335" s="710">
        <f>-SUMIF('D2 - Capex uso'!$C$6:$C$176,$A327,'D2 - Capex uso'!HD$6:HD$176)</f>
        <v>-42714.698400000001</v>
      </c>
      <c r="X335" s="710">
        <f>-SUMIF('D2 - Capex uso'!$C$6:$C$176,$A327,'D2 - Capex uso'!HE$6:HE$176)</f>
        <v>-42714.698400000001</v>
      </c>
      <c r="Y335" s="710">
        <f>-SUMIF('D2 - Capex uso'!$C$6:$C$176,$A327,'D2 - Capex uso'!HF$6:HF$176)</f>
        <v>-42714.698400000001</v>
      </c>
      <c r="Z335" s="710">
        <f>-SUMIF('D2 - Capex uso'!$C$6:$C$176,$A327,'D2 - Capex uso'!HG$6:HG$176)</f>
        <v>-42714.698400000001</v>
      </c>
      <c r="AA335" s="710">
        <f>-SUMIF('D2 - Capex uso'!$C$6:$C$176,$A327,'D2 - Capex uso'!HH$6:HH$176)</f>
        <v>-42714.698400000001</v>
      </c>
      <c r="AB335" s="710">
        <f>-SUMIF('D2 - Capex uso'!$C$6:$C$176,$A327,'D2 - Capex uso'!HI$6:HI$176)</f>
        <v>-42714.698400000001</v>
      </c>
      <c r="AC335" s="710">
        <f>-SUMIF('D2 - Capex uso'!$C$6:$C$176,$A327,'D2 - Capex uso'!HJ$6:HJ$176)</f>
        <v>-42714.698400000001</v>
      </c>
      <c r="AD335" s="710">
        <f>-SUMIF('D2 - Capex uso'!$C$6:$C$176,$A327,'D2 - Capex uso'!HK$6:HK$176)</f>
        <v>-42714.698400000001</v>
      </c>
      <c r="AE335" s="710">
        <f>-SUMIF('D2 - Capex uso'!$C$6:$C$176,$A327,'D2 - Capex uso'!HL$6:HL$176)</f>
        <v>-42714.698400000001</v>
      </c>
      <c r="AF335" s="594"/>
      <c r="AG335" s="594"/>
      <c r="AH335" s="594"/>
      <c r="AI335" s="594"/>
      <c r="AJ335" s="594"/>
      <c r="AK335" s="594"/>
      <c r="AL335" s="594"/>
      <c r="AM335" s="594"/>
      <c r="AN335" s="594"/>
      <c r="AO335" s="594"/>
      <c r="AP335" s="594"/>
      <c r="AQ335" s="594"/>
      <c r="AR335" s="594"/>
      <c r="AS335" s="594"/>
      <c r="AT335" s="594"/>
      <c r="AU335" s="594"/>
      <c r="AV335" s="594"/>
      <c r="AW335" s="594"/>
      <c r="AX335" s="594"/>
      <c r="AY335" s="594"/>
      <c r="AZ335" s="594"/>
      <c r="BA335" s="594"/>
      <c r="BB335" s="594"/>
      <c r="BC335" s="594"/>
      <c r="BD335" s="594"/>
      <c r="BE335" s="594"/>
      <c r="BF335" s="594"/>
      <c r="BG335" s="594"/>
      <c r="BH335" s="594"/>
      <c r="BI335" s="594"/>
      <c r="BJ335" s="594"/>
      <c r="BK335" s="594"/>
      <c r="BL335" s="57"/>
      <c r="BM335" s="594"/>
      <c r="BN335" s="594"/>
      <c r="BO335" s="594"/>
      <c r="BP335" s="594"/>
      <c r="BQ335" s="594"/>
      <c r="BR335" s="594"/>
      <c r="BS335" s="594"/>
      <c r="BT335" s="594"/>
      <c r="BU335" s="594"/>
      <c r="BV335" s="594"/>
      <c r="BW335" s="594"/>
      <c r="BX335" s="594"/>
      <c r="BY335" s="594"/>
      <c r="BZ335" s="594"/>
      <c r="CA335" s="594"/>
      <c r="CB335" s="594"/>
      <c r="CC335" s="594"/>
      <c r="CD335" s="594"/>
      <c r="CE335" s="594"/>
      <c r="CF335" s="594"/>
      <c r="CG335" s="594"/>
      <c r="CH335" s="594"/>
      <c r="CI335" s="594"/>
      <c r="CJ335" s="594"/>
      <c r="CK335" s="594"/>
      <c r="CL335" s="594"/>
      <c r="CM335" s="594"/>
      <c r="CN335" s="594"/>
      <c r="CO335" s="594"/>
      <c r="CP335" s="594"/>
      <c r="CQ335" s="594"/>
    </row>
    <row r="336" spans="1:95" ht="21" hidden="1" customHeight="1" outlineLevel="1">
      <c r="A336" s="708" t="s">
        <v>687</v>
      </c>
      <c r="B336" s="707">
        <f t="shared" ref="B336:AE336" si="106">SUM(B328:B330)</f>
        <v>-66921.198399999994</v>
      </c>
      <c r="C336" s="707">
        <f t="shared" si="106"/>
        <v>-225536.51296080003</v>
      </c>
      <c r="D336" s="707">
        <f t="shared" si="106"/>
        <v>-225536.51296080003</v>
      </c>
      <c r="E336" s="707">
        <f t="shared" si="106"/>
        <v>-225536.51296080003</v>
      </c>
      <c r="F336" s="707">
        <f t="shared" si="106"/>
        <v>-225536.51296080003</v>
      </c>
      <c r="G336" s="707">
        <f t="shared" si="106"/>
        <v>-225536.51296080003</v>
      </c>
      <c r="H336" s="707">
        <f t="shared" si="106"/>
        <v>-225536.51296080003</v>
      </c>
      <c r="I336" s="707">
        <f t="shared" si="106"/>
        <v>-225536.51296080003</v>
      </c>
      <c r="J336" s="707">
        <f t="shared" si="106"/>
        <v>-225536.51296080003</v>
      </c>
      <c r="K336" s="707">
        <f t="shared" si="106"/>
        <v>-225536.51296080003</v>
      </c>
      <c r="L336" s="707">
        <f t="shared" si="106"/>
        <v>-225536.51296080003</v>
      </c>
      <c r="M336" s="707">
        <f t="shared" si="106"/>
        <v>-225536.51296080003</v>
      </c>
      <c r="N336" s="707">
        <f t="shared" si="106"/>
        <v>-225536.51296080003</v>
      </c>
      <c r="O336" s="707">
        <f t="shared" si="106"/>
        <v>-225536.51296080003</v>
      </c>
      <c r="P336" s="707">
        <f t="shared" si="106"/>
        <v>-225536.51296080003</v>
      </c>
      <c r="Q336" s="707">
        <f t="shared" si="106"/>
        <v>-225536.51296080003</v>
      </c>
      <c r="R336" s="707">
        <f t="shared" si="106"/>
        <v>-225536.51296080003</v>
      </c>
      <c r="S336" s="707">
        <f t="shared" si="106"/>
        <v>-225536.51296080003</v>
      </c>
      <c r="T336" s="707">
        <f t="shared" si="106"/>
        <v>-225536.51296080003</v>
      </c>
      <c r="U336" s="707">
        <f t="shared" si="106"/>
        <v>-225536.51296080003</v>
      </c>
      <c r="V336" s="707">
        <f t="shared" si="106"/>
        <v>-225536.51296080003</v>
      </c>
      <c r="W336" s="707">
        <f t="shared" si="106"/>
        <v>-225536.51296080003</v>
      </c>
      <c r="X336" s="707">
        <f t="shared" si="106"/>
        <v>-225536.51296080003</v>
      </c>
      <c r="Y336" s="707">
        <f t="shared" si="106"/>
        <v>-225536.51296080003</v>
      </c>
      <c r="Z336" s="707">
        <f t="shared" si="106"/>
        <v>-225536.51296080003</v>
      </c>
      <c r="AA336" s="707">
        <f t="shared" si="106"/>
        <v>-225536.51296080003</v>
      </c>
      <c r="AB336" s="707">
        <f t="shared" si="106"/>
        <v>-225536.51296080003</v>
      </c>
      <c r="AC336" s="707">
        <f t="shared" si="106"/>
        <v>-225536.51296080003</v>
      </c>
      <c r="AD336" s="707">
        <f t="shared" si="106"/>
        <v>-225536.51296080003</v>
      </c>
      <c r="AE336" s="707">
        <f t="shared" si="106"/>
        <v>-225536.51296080003</v>
      </c>
      <c r="AF336" s="594"/>
      <c r="AG336" s="594"/>
      <c r="AH336" s="594"/>
      <c r="AI336" s="594"/>
      <c r="AJ336" s="594"/>
      <c r="AK336" s="594"/>
      <c r="AL336" s="594"/>
      <c r="AM336" s="594"/>
      <c r="AN336" s="594"/>
      <c r="AO336" s="594"/>
      <c r="AP336" s="594"/>
      <c r="AQ336" s="594"/>
      <c r="AR336" s="594"/>
      <c r="AS336" s="594"/>
      <c r="AT336" s="594"/>
      <c r="AU336" s="594"/>
      <c r="AV336" s="594"/>
      <c r="AW336" s="594"/>
      <c r="AX336" s="594"/>
      <c r="AY336" s="594"/>
      <c r="AZ336" s="594"/>
      <c r="BA336" s="594"/>
      <c r="BB336" s="594"/>
      <c r="BC336" s="594"/>
      <c r="BD336" s="594"/>
      <c r="BE336" s="594"/>
      <c r="BF336" s="594"/>
      <c r="BG336" s="594"/>
      <c r="BH336" s="594"/>
      <c r="BI336" s="594"/>
      <c r="BJ336" s="594"/>
      <c r="BK336" s="594"/>
      <c r="BL336" s="57"/>
      <c r="BM336" s="594"/>
      <c r="BN336" s="594"/>
      <c r="BO336" s="594"/>
      <c r="BP336" s="594"/>
      <c r="BQ336" s="594"/>
      <c r="BR336" s="594"/>
      <c r="BS336" s="594"/>
      <c r="BT336" s="594"/>
      <c r="BU336" s="594"/>
      <c r="BV336" s="594"/>
      <c r="BW336" s="594"/>
      <c r="BX336" s="594"/>
      <c r="BY336" s="594"/>
      <c r="BZ336" s="594"/>
      <c r="CA336" s="594"/>
      <c r="CB336" s="594"/>
      <c r="CC336" s="594"/>
      <c r="CD336" s="594"/>
      <c r="CE336" s="594"/>
      <c r="CF336" s="594"/>
      <c r="CG336" s="594"/>
      <c r="CH336" s="594"/>
      <c r="CI336" s="594"/>
      <c r="CJ336" s="594"/>
      <c r="CK336" s="594"/>
      <c r="CL336" s="594"/>
      <c r="CM336" s="594"/>
      <c r="CN336" s="594"/>
      <c r="CO336" s="594"/>
      <c r="CP336" s="594"/>
      <c r="CQ336" s="594"/>
    </row>
    <row r="337" spans="1:95" ht="19.5" hidden="1" customHeight="1" outlineLevel="1">
      <c r="A337" s="708" t="s">
        <v>688</v>
      </c>
      <c r="B337" s="707">
        <f t="shared" ref="B337:AE337" si="107">SUM(B338:B345)</f>
        <v>-572440.83600000013</v>
      </c>
      <c r="C337" s="707">
        <f t="shared" si="107"/>
        <v>0</v>
      </c>
      <c r="D337" s="707">
        <f t="shared" si="107"/>
        <v>0</v>
      </c>
      <c r="E337" s="707">
        <f t="shared" si="107"/>
        <v>0</v>
      </c>
      <c r="F337" s="707">
        <f t="shared" si="107"/>
        <v>0</v>
      </c>
      <c r="G337" s="707">
        <f t="shared" si="107"/>
        <v>0</v>
      </c>
      <c r="H337" s="707">
        <f t="shared" si="107"/>
        <v>0</v>
      </c>
      <c r="I337" s="707">
        <f t="shared" si="107"/>
        <v>0</v>
      </c>
      <c r="J337" s="707">
        <f t="shared" si="107"/>
        <v>0</v>
      </c>
      <c r="K337" s="707">
        <f t="shared" si="107"/>
        <v>0</v>
      </c>
      <c r="L337" s="707">
        <f t="shared" si="107"/>
        <v>-30362.2</v>
      </c>
      <c r="M337" s="707">
        <f t="shared" si="107"/>
        <v>0</v>
      </c>
      <c r="N337" s="707">
        <f t="shared" si="107"/>
        <v>0</v>
      </c>
      <c r="O337" s="707">
        <f t="shared" si="107"/>
        <v>0</v>
      </c>
      <c r="P337" s="707">
        <f t="shared" si="107"/>
        <v>0</v>
      </c>
      <c r="Q337" s="707">
        <f t="shared" si="107"/>
        <v>0</v>
      </c>
      <c r="R337" s="707">
        <f t="shared" si="107"/>
        <v>0</v>
      </c>
      <c r="S337" s="707">
        <f t="shared" si="107"/>
        <v>0</v>
      </c>
      <c r="T337" s="707">
        <f t="shared" si="107"/>
        <v>0</v>
      </c>
      <c r="U337" s="707">
        <f t="shared" si="107"/>
        <v>0</v>
      </c>
      <c r="V337" s="707">
        <f t="shared" si="107"/>
        <v>-30362.2</v>
      </c>
      <c r="W337" s="707">
        <f t="shared" si="107"/>
        <v>0</v>
      </c>
      <c r="X337" s="707">
        <f t="shared" si="107"/>
        <v>0</v>
      </c>
      <c r="Y337" s="707">
        <f t="shared" si="107"/>
        <v>0</v>
      </c>
      <c r="Z337" s="707">
        <f t="shared" si="107"/>
        <v>0</v>
      </c>
      <c r="AA337" s="707">
        <f t="shared" si="107"/>
        <v>0</v>
      </c>
      <c r="AB337" s="707">
        <f t="shared" si="107"/>
        <v>0</v>
      </c>
      <c r="AC337" s="707">
        <f t="shared" si="107"/>
        <v>0</v>
      </c>
      <c r="AD337" s="707">
        <f t="shared" si="107"/>
        <v>0</v>
      </c>
      <c r="AE337" s="707">
        <f t="shared" si="107"/>
        <v>0</v>
      </c>
      <c r="AF337" s="594"/>
      <c r="AG337" s="594"/>
      <c r="AH337" s="594"/>
      <c r="AI337" s="594"/>
      <c r="AJ337" s="594"/>
      <c r="AK337" s="594"/>
      <c r="AL337" s="594"/>
      <c r="AM337" s="594"/>
      <c r="AN337" s="594"/>
      <c r="AO337" s="594"/>
      <c r="AP337" s="594"/>
      <c r="AQ337" s="594"/>
      <c r="AR337" s="594"/>
      <c r="AS337" s="594"/>
      <c r="AT337" s="594"/>
      <c r="AU337" s="594"/>
      <c r="AV337" s="594"/>
      <c r="AW337" s="594"/>
      <c r="AX337" s="594"/>
      <c r="AY337" s="594"/>
      <c r="AZ337" s="594"/>
      <c r="BA337" s="594"/>
      <c r="BB337" s="594"/>
      <c r="BC337" s="594"/>
      <c r="BD337" s="594"/>
      <c r="BE337" s="594"/>
      <c r="BF337" s="594"/>
      <c r="BG337" s="594"/>
      <c r="BH337" s="594"/>
      <c r="BI337" s="594"/>
      <c r="BJ337" s="594"/>
      <c r="BK337" s="594"/>
      <c r="BL337" s="57"/>
      <c r="BM337" s="594"/>
      <c r="BN337" s="594"/>
      <c r="BO337" s="594"/>
      <c r="BP337" s="594"/>
      <c r="BQ337" s="594"/>
      <c r="BR337" s="594"/>
      <c r="BS337" s="594"/>
      <c r="BT337" s="594"/>
      <c r="BU337" s="594"/>
      <c r="BV337" s="594"/>
      <c r="BW337" s="594"/>
      <c r="BX337" s="594"/>
      <c r="BY337" s="594"/>
      <c r="BZ337" s="594"/>
      <c r="CA337" s="594"/>
      <c r="CB337" s="594"/>
      <c r="CC337" s="594"/>
      <c r="CD337" s="594"/>
      <c r="CE337" s="594"/>
      <c r="CF337" s="594"/>
      <c r="CG337" s="594"/>
      <c r="CH337" s="594"/>
      <c r="CI337" s="594"/>
      <c r="CJ337" s="594"/>
      <c r="CK337" s="594"/>
      <c r="CL337" s="594"/>
      <c r="CM337" s="594"/>
      <c r="CN337" s="594"/>
      <c r="CO337" s="594"/>
      <c r="CP337" s="594"/>
      <c r="CQ337" s="594"/>
    </row>
    <row r="338" spans="1:95" ht="19.5" hidden="1" customHeight="1" outlineLevel="2">
      <c r="A338" s="709" t="s">
        <v>354</v>
      </c>
      <c r="B338" s="710">
        <f>-SUMIFS('D2 - Capex uso'!BS$6:BS$176,'D2 - Capex uso'!$C$6:$C$176,$A327,'D2 - Capex uso'!$AK$6:$AK$176,$A338)</f>
        <v>-250545.50400000002</v>
      </c>
      <c r="C338" s="710">
        <f>-SUMIFS('D2 - Capex uso'!BT$6:BT$176,'D2 - Capex uso'!$C$6:$C$176,$A327,'D2 - Capex uso'!$AK$6:$AK$176,$A338)</f>
        <v>0</v>
      </c>
      <c r="D338" s="710">
        <f>-SUMIFS('D2 - Capex uso'!BU$6:BU$176,'D2 - Capex uso'!$C$6:$C$176,$A327,'D2 - Capex uso'!$AK$6:$AK$176,$A338)</f>
        <v>0</v>
      </c>
      <c r="E338" s="710">
        <f>-SUMIFS('D2 - Capex uso'!BV$6:BV$176,'D2 - Capex uso'!$C$6:$C$176,$A327,'D2 - Capex uso'!$AK$6:$AK$176,$A338)</f>
        <v>0</v>
      </c>
      <c r="F338" s="710">
        <f>-SUMIFS('D2 - Capex uso'!BW$6:BW$176,'D2 - Capex uso'!$C$6:$C$176,$A327,'D2 - Capex uso'!$AK$6:$AK$176,$A338)</f>
        <v>0</v>
      </c>
      <c r="G338" s="710">
        <f>-SUMIFS('D2 - Capex uso'!BX$6:BX$176,'D2 - Capex uso'!$C$6:$C$176,$A327,'D2 - Capex uso'!$AK$6:$AK$176,$A338)</f>
        <v>0</v>
      </c>
      <c r="H338" s="710">
        <f>-SUMIFS('D2 - Capex uso'!BY$6:BY$176,'D2 - Capex uso'!$C$6:$C$176,$A327,'D2 - Capex uso'!$AK$6:$AK$176,$A338)</f>
        <v>0</v>
      </c>
      <c r="I338" s="710">
        <f>-SUMIFS('D2 - Capex uso'!BZ$6:BZ$176,'D2 - Capex uso'!$C$6:$C$176,$A327,'D2 - Capex uso'!$AK$6:$AK$176,$A338)</f>
        <v>0</v>
      </c>
      <c r="J338" s="710">
        <f>-SUMIFS('D2 - Capex uso'!CA$6:CA$176,'D2 - Capex uso'!$C$6:$C$176,$A327,'D2 - Capex uso'!$AK$6:$AK$176,$A338)</f>
        <v>0</v>
      </c>
      <c r="K338" s="710">
        <f>-SUMIFS('D2 - Capex uso'!CB$6:CB$176,'D2 - Capex uso'!$C$6:$C$176,$A327,'D2 - Capex uso'!$AK$6:$AK$176,$A338)</f>
        <v>0</v>
      </c>
      <c r="L338" s="710">
        <f>-SUMIFS('D2 - Capex uso'!CC$6:CC$176,'D2 - Capex uso'!$C$6:$C$176,$A327,'D2 - Capex uso'!$AK$6:$AK$176,$A338)</f>
        <v>0</v>
      </c>
      <c r="M338" s="710">
        <f>-SUMIFS('D2 - Capex uso'!CD$6:CD$176,'D2 - Capex uso'!$C$6:$C$176,$A327,'D2 - Capex uso'!$AK$6:$AK$176,$A338)</f>
        <v>0</v>
      </c>
      <c r="N338" s="710">
        <f>-SUMIFS('D2 - Capex uso'!CE$6:CE$176,'D2 - Capex uso'!$C$6:$C$176,$A327,'D2 - Capex uso'!$AK$6:$AK$176,$A338)</f>
        <v>0</v>
      </c>
      <c r="O338" s="710">
        <f>-SUMIFS('D2 - Capex uso'!CF$6:CF$176,'D2 - Capex uso'!$C$6:$C$176,$A327,'D2 - Capex uso'!$AK$6:$AK$176,$A338)</f>
        <v>0</v>
      </c>
      <c r="P338" s="710">
        <f>-SUMIFS('D2 - Capex uso'!CG$6:CG$176,'D2 - Capex uso'!$C$6:$C$176,$A327,'D2 - Capex uso'!$AK$6:$AK$176,$A338)</f>
        <v>0</v>
      </c>
      <c r="Q338" s="710">
        <f>-SUMIFS('D2 - Capex uso'!CH$6:CH$176,'D2 - Capex uso'!$C$6:$C$176,$A327,'D2 - Capex uso'!$AK$6:$AK$176,$A338)</f>
        <v>0</v>
      </c>
      <c r="R338" s="710">
        <f>-SUMIFS('D2 - Capex uso'!CI$6:CI$176,'D2 - Capex uso'!$C$6:$C$176,$A327,'D2 - Capex uso'!$AK$6:$AK$176,$A338)</f>
        <v>0</v>
      </c>
      <c r="S338" s="710">
        <f>-SUMIFS('D2 - Capex uso'!CJ$6:CJ$176,'D2 - Capex uso'!$C$6:$C$176,$A327,'D2 - Capex uso'!$AK$6:$AK$176,$A338)</f>
        <v>0</v>
      </c>
      <c r="T338" s="710">
        <f>-SUMIFS('D2 - Capex uso'!CK$6:CK$176,'D2 - Capex uso'!$C$6:$C$176,$A327,'D2 - Capex uso'!$AK$6:$AK$176,$A338)</f>
        <v>0</v>
      </c>
      <c r="U338" s="710">
        <f>-SUMIFS('D2 - Capex uso'!CL$6:CL$176,'D2 - Capex uso'!$C$6:$C$176,$A327,'D2 - Capex uso'!$AK$6:$AK$176,$A338)</f>
        <v>0</v>
      </c>
      <c r="V338" s="710">
        <f>-SUMIFS('D2 - Capex uso'!CM$6:CM$176,'D2 - Capex uso'!$C$6:$C$176,$A327,'D2 - Capex uso'!$AK$6:$AK$176,$A338)</f>
        <v>0</v>
      </c>
      <c r="W338" s="710">
        <f>-SUMIFS('D2 - Capex uso'!CN$6:CN$176,'D2 - Capex uso'!$C$6:$C$176,$A327,'D2 - Capex uso'!$AK$6:$AK$176,$A338)</f>
        <v>0</v>
      </c>
      <c r="X338" s="710">
        <f>-SUMIFS('D2 - Capex uso'!CO$6:CO$176,'D2 - Capex uso'!$C$6:$C$176,$A327,'D2 - Capex uso'!$AK$6:$AK$176,$A338)</f>
        <v>0</v>
      </c>
      <c r="Y338" s="710">
        <f>-SUMIFS('D2 - Capex uso'!CP$6:CP$176,'D2 - Capex uso'!$C$6:$C$176,$A327,'D2 - Capex uso'!$AK$6:$AK$176,$A338)</f>
        <v>0</v>
      </c>
      <c r="Z338" s="710">
        <f>-SUMIFS('D2 - Capex uso'!CQ$6:CQ$176,'D2 - Capex uso'!$C$6:$C$176,$A327,'D2 - Capex uso'!$AK$6:$AK$176,$A338)</f>
        <v>0</v>
      </c>
      <c r="AA338" s="710">
        <f>-SUMIFS('D2 - Capex uso'!CR$6:CR$176,'D2 - Capex uso'!$C$6:$C$176,$A327,'D2 - Capex uso'!$AK$6:$AK$176,$A338)</f>
        <v>0</v>
      </c>
      <c r="AB338" s="710">
        <f>-SUMIFS('D2 - Capex uso'!CS$6:CS$176,'D2 - Capex uso'!$C$6:$C$176,$A327,'D2 - Capex uso'!$AK$6:$AK$176,$A338)</f>
        <v>0</v>
      </c>
      <c r="AC338" s="710">
        <f>-SUMIFS('D2 - Capex uso'!CT$6:CT$176,'D2 - Capex uso'!$C$6:$C$176,$A327,'D2 - Capex uso'!$AK$6:$AK$176,$A338)</f>
        <v>0</v>
      </c>
      <c r="AD338" s="710">
        <f>-SUMIFS('D2 - Capex uso'!CU$6:CU$176,'D2 - Capex uso'!$C$6:$C$176,$A327,'D2 - Capex uso'!$AK$6:$AK$176,$A338)</f>
        <v>0</v>
      </c>
      <c r="AE338" s="710">
        <f>-SUMIFS('D2 - Capex uso'!CV$6:CV$176,'D2 - Capex uso'!$C$6:$C$176,$A327,'D2 - Capex uso'!$AK$6:$AK$176,$A338)</f>
        <v>0</v>
      </c>
      <c r="AF338" s="594"/>
      <c r="AG338" s="594"/>
      <c r="AH338" s="594"/>
      <c r="AI338" s="594"/>
      <c r="AJ338" s="594"/>
      <c r="AK338" s="594"/>
      <c r="AL338" s="594"/>
      <c r="AM338" s="594"/>
      <c r="AN338" s="594"/>
      <c r="AO338" s="594"/>
      <c r="AP338" s="594"/>
      <c r="AQ338" s="594"/>
      <c r="AR338" s="594"/>
      <c r="AS338" s="594"/>
      <c r="AT338" s="594"/>
      <c r="AU338" s="594"/>
      <c r="AV338" s="594"/>
      <c r="AW338" s="594"/>
      <c r="AX338" s="594"/>
      <c r="AY338" s="594"/>
      <c r="AZ338" s="594"/>
      <c r="BA338" s="594"/>
      <c r="BB338" s="594"/>
      <c r="BC338" s="594"/>
      <c r="BD338" s="594"/>
      <c r="BE338" s="594"/>
      <c r="BF338" s="594"/>
      <c r="BG338" s="594"/>
      <c r="BH338" s="594"/>
      <c r="BI338" s="594"/>
      <c r="BJ338" s="594"/>
      <c r="BK338" s="594"/>
      <c r="BL338" s="57"/>
      <c r="BM338" s="594"/>
      <c r="BN338" s="594"/>
      <c r="BO338" s="594"/>
      <c r="BP338" s="594"/>
      <c r="BQ338" s="594"/>
      <c r="BR338" s="594"/>
      <c r="BS338" s="594"/>
      <c r="BT338" s="594"/>
      <c r="BU338" s="594"/>
      <c r="BV338" s="594"/>
      <c r="BW338" s="594"/>
      <c r="BX338" s="594"/>
      <c r="BY338" s="594"/>
      <c r="BZ338" s="594"/>
      <c r="CA338" s="594"/>
      <c r="CB338" s="594"/>
      <c r="CC338" s="594"/>
      <c r="CD338" s="594"/>
      <c r="CE338" s="594"/>
      <c r="CF338" s="594"/>
      <c r="CG338" s="594"/>
      <c r="CH338" s="594"/>
      <c r="CI338" s="594"/>
      <c r="CJ338" s="594"/>
      <c r="CK338" s="594"/>
      <c r="CL338" s="594"/>
      <c r="CM338" s="594"/>
      <c r="CN338" s="594"/>
      <c r="CO338" s="594"/>
      <c r="CP338" s="594"/>
      <c r="CQ338" s="594"/>
    </row>
    <row r="339" spans="1:95" ht="19.5" hidden="1" customHeight="1" outlineLevel="2">
      <c r="A339" s="709" t="s">
        <v>689</v>
      </c>
      <c r="B339" s="710">
        <f>-SUMIFS('D2 - Capex uso'!BS$6:BS$176,'D2 - Capex uso'!$C$6:$C$176,$A327,'D2 - Capex uso'!$AK$6:$AK$176,$A339)</f>
        <v>0</v>
      </c>
      <c r="C339" s="710">
        <f>-SUMIFS('D2 - Capex uso'!BT$6:BT$176,'D2 - Capex uso'!$C$6:$C$176,$A327,'D2 - Capex uso'!$AK$6:$AK$176,$A339)</f>
        <v>0</v>
      </c>
      <c r="D339" s="710">
        <f>-SUMIFS('D2 - Capex uso'!BU$6:BU$176,'D2 - Capex uso'!$C$6:$C$176,$A327,'D2 - Capex uso'!$AK$6:$AK$176,$A339)</f>
        <v>0</v>
      </c>
      <c r="E339" s="710">
        <f>-SUMIFS('D2 - Capex uso'!BV$6:BV$176,'D2 - Capex uso'!$C$6:$C$176,$A327,'D2 - Capex uso'!$AK$6:$AK$176,$A339)</f>
        <v>0</v>
      </c>
      <c r="F339" s="710">
        <f>-SUMIFS('D2 - Capex uso'!BW$6:BW$176,'D2 - Capex uso'!$C$6:$C$176,$A327,'D2 - Capex uso'!$AK$6:$AK$176,$A339)</f>
        <v>0</v>
      </c>
      <c r="G339" s="710">
        <f>-SUMIFS('D2 - Capex uso'!BX$6:BX$176,'D2 - Capex uso'!$C$6:$C$176,$A327,'D2 - Capex uso'!$AK$6:$AK$176,$A339)</f>
        <v>0</v>
      </c>
      <c r="H339" s="710">
        <f>-SUMIFS('D2 - Capex uso'!BY$6:BY$176,'D2 - Capex uso'!$C$6:$C$176,$A327,'D2 - Capex uso'!$AK$6:$AK$176,$A339)</f>
        <v>0</v>
      </c>
      <c r="I339" s="710">
        <f>-SUMIFS('D2 - Capex uso'!BZ$6:BZ$176,'D2 - Capex uso'!$C$6:$C$176,$A327,'D2 - Capex uso'!$AK$6:$AK$176,$A339)</f>
        <v>0</v>
      </c>
      <c r="J339" s="710">
        <f>-SUMIFS('D2 - Capex uso'!CA$6:CA$176,'D2 - Capex uso'!$C$6:$C$176,$A327,'D2 - Capex uso'!$AK$6:$AK$176,$A339)</f>
        <v>0</v>
      </c>
      <c r="K339" s="710">
        <f>-SUMIFS('D2 - Capex uso'!CB$6:CB$176,'D2 - Capex uso'!$C$6:$C$176,$A327,'D2 - Capex uso'!$AK$6:$AK$176,$A339)</f>
        <v>0</v>
      </c>
      <c r="L339" s="710">
        <f>-SUMIFS('D2 - Capex uso'!CC$6:CC$176,'D2 - Capex uso'!$C$6:$C$176,$A327,'D2 - Capex uso'!$AK$6:$AK$176,$A339)</f>
        <v>0</v>
      </c>
      <c r="M339" s="710">
        <f>-SUMIFS('D2 - Capex uso'!CD$6:CD$176,'D2 - Capex uso'!$C$6:$C$176,$A327,'D2 - Capex uso'!$AK$6:$AK$176,$A339)</f>
        <v>0</v>
      </c>
      <c r="N339" s="710">
        <f>-SUMIFS('D2 - Capex uso'!CE$6:CE$176,'D2 - Capex uso'!$C$6:$C$176,$A327,'D2 - Capex uso'!$AK$6:$AK$176,$A339)</f>
        <v>0</v>
      </c>
      <c r="O339" s="710">
        <f>-SUMIFS('D2 - Capex uso'!CF$6:CF$176,'D2 - Capex uso'!$C$6:$C$176,$A327,'D2 - Capex uso'!$AK$6:$AK$176,$A339)</f>
        <v>0</v>
      </c>
      <c r="P339" s="710">
        <f>-SUMIFS('D2 - Capex uso'!CG$6:CG$176,'D2 - Capex uso'!$C$6:$C$176,$A327,'D2 - Capex uso'!$AK$6:$AK$176,$A339)</f>
        <v>0</v>
      </c>
      <c r="Q339" s="710">
        <f>-SUMIFS('D2 - Capex uso'!CH$6:CH$176,'D2 - Capex uso'!$C$6:$C$176,$A327,'D2 - Capex uso'!$AK$6:$AK$176,$A339)</f>
        <v>0</v>
      </c>
      <c r="R339" s="710">
        <f>-SUMIFS('D2 - Capex uso'!CI$6:CI$176,'D2 - Capex uso'!$C$6:$C$176,$A327,'D2 - Capex uso'!$AK$6:$AK$176,$A339)</f>
        <v>0</v>
      </c>
      <c r="S339" s="710">
        <f>-SUMIFS('D2 - Capex uso'!CJ$6:CJ$176,'D2 - Capex uso'!$C$6:$C$176,$A327,'D2 - Capex uso'!$AK$6:$AK$176,$A339)</f>
        <v>0</v>
      </c>
      <c r="T339" s="710">
        <f>-SUMIFS('D2 - Capex uso'!CK$6:CK$176,'D2 - Capex uso'!$C$6:$C$176,$A327,'D2 - Capex uso'!$AK$6:$AK$176,$A339)</f>
        <v>0</v>
      </c>
      <c r="U339" s="710">
        <f>-SUMIFS('D2 - Capex uso'!CL$6:CL$176,'D2 - Capex uso'!$C$6:$C$176,$A327,'D2 - Capex uso'!$AK$6:$AK$176,$A339)</f>
        <v>0</v>
      </c>
      <c r="V339" s="710">
        <f>-SUMIFS('D2 - Capex uso'!CM$6:CM$176,'D2 - Capex uso'!$C$6:$C$176,$A327,'D2 - Capex uso'!$AK$6:$AK$176,$A339)</f>
        <v>0</v>
      </c>
      <c r="W339" s="710">
        <f>-SUMIFS('D2 - Capex uso'!CN$6:CN$176,'D2 - Capex uso'!$C$6:$C$176,$A327,'D2 - Capex uso'!$AK$6:$AK$176,$A339)</f>
        <v>0</v>
      </c>
      <c r="X339" s="710">
        <f>-SUMIFS('D2 - Capex uso'!CO$6:CO$176,'D2 - Capex uso'!$C$6:$C$176,$A327,'D2 - Capex uso'!$AK$6:$AK$176,$A339)</f>
        <v>0</v>
      </c>
      <c r="Y339" s="710">
        <f>-SUMIFS('D2 - Capex uso'!CP$6:CP$176,'D2 - Capex uso'!$C$6:$C$176,$A327,'D2 - Capex uso'!$AK$6:$AK$176,$A339)</f>
        <v>0</v>
      </c>
      <c r="Z339" s="710">
        <f>-SUMIFS('D2 - Capex uso'!CQ$6:CQ$176,'D2 - Capex uso'!$C$6:$C$176,$A327,'D2 - Capex uso'!$AK$6:$AK$176,$A339)</f>
        <v>0</v>
      </c>
      <c r="AA339" s="710">
        <f>-SUMIFS('D2 - Capex uso'!CR$6:CR$176,'D2 - Capex uso'!$C$6:$C$176,$A327,'D2 - Capex uso'!$AK$6:$AK$176,$A339)</f>
        <v>0</v>
      </c>
      <c r="AB339" s="710">
        <f>-SUMIFS('D2 - Capex uso'!CS$6:CS$176,'D2 - Capex uso'!$C$6:$C$176,$A327,'D2 - Capex uso'!$AK$6:$AK$176,$A339)</f>
        <v>0</v>
      </c>
      <c r="AC339" s="710">
        <f>-SUMIFS('D2 - Capex uso'!CT$6:CT$176,'D2 - Capex uso'!$C$6:$C$176,$A327,'D2 - Capex uso'!$AK$6:$AK$176,$A339)</f>
        <v>0</v>
      </c>
      <c r="AD339" s="710">
        <f>-SUMIFS('D2 - Capex uso'!CU$6:CU$176,'D2 - Capex uso'!$C$6:$C$176,$A327,'D2 - Capex uso'!$AK$6:$AK$176,$A339)</f>
        <v>0</v>
      </c>
      <c r="AE339" s="710">
        <f>-SUMIFS('D2 - Capex uso'!CV$6:CV$176,'D2 - Capex uso'!$C$6:$C$176,$A327,'D2 - Capex uso'!$AK$6:$AK$176,$A339)</f>
        <v>0</v>
      </c>
      <c r="AF339" s="594"/>
      <c r="AG339" s="594"/>
      <c r="AH339" s="594"/>
      <c r="AI339" s="594"/>
      <c r="AJ339" s="594"/>
      <c r="AK339" s="594"/>
      <c r="AL339" s="594"/>
      <c r="AM339" s="594"/>
      <c r="AN339" s="594"/>
      <c r="AO339" s="594"/>
      <c r="AP339" s="594"/>
      <c r="AQ339" s="594"/>
      <c r="AR339" s="594"/>
      <c r="AS339" s="594"/>
      <c r="AT339" s="594"/>
      <c r="AU339" s="594"/>
      <c r="AV339" s="594"/>
      <c r="AW339" s="594"/>
      <c r="AX339" s="594"/>
      <c r="AY339" s="594"/>
      <c r="AZ339" s="594"/>
      <c r="BA339" s="594"/>
      <c r="BB339" s="594"/>
      <c r="BC339" s="594"/>
      <c r="BD339" s="594"/>
      <c r="BE339" s="594"/>
      <c r="BF339" s="594"/>
      <c r="BG339" s="594"/>
      <c r="BH339" s="594"/>
      <c r="BI339" s="594"/>
      <c r="BJ339" s="594"/>
      <c r="BK339" s="594"/>
      <c r="BL339" s="57"/>
      <c r="BM339" s="594"/>
      <c r="BN339" s="594"/>
      <c r="BO339" s="594"/>
      <c r="BP339" s="594"/>
      <c r="BQ339" s="594"/>
      <c r="BR339" s="594"/>
      <c r="BS339" s="594"/>
      <c r="BT339" s="594"/>
      <c r="BU339" s="594"/>
      <c r="BV339" s="594"/>
      <c r="BW339" s="594"/>
      <c r="BX339" s="594"/>
      <c r="BY339" s="594"/>
      <c r="BZ339" s="594"/>
      <c r="CA339" s="594"/>
      <c r="CB339" s="594"/>
      <c r="CC339" s="594"/>
      <c r="CD339" s="594"/>
      <c r="CE339" s="594"/>
      <c r="CF339" s="594"/>
      <c r="CG339" s="594"/>
      <c r="CH339" s="594"/>
      <c r="CI339" s="594"/>
      <c r="CJ339" s="594"/>
      <c r="CK339" s="594"/>
      <c r="CL339" s="594"/>
      <c r="CM339" s="594"/>
      <c r="CN339" s="594"/>
      <c r="CO339" s="594"/>
      <c r="CP339" s="594"/>
      <c r="CQ339" s="594"/>
    </row>
    <row r="340" spans="1:95" ht="19.5" hidden="1" customHeight="1" outlineLevel="2">
      <c r="A340" s="709" t="s">
        <v>378</v>
      </c>
      <c r="B340" s="710">
        <f>-SUMIFS('D2 - Capex uso'!BS$6:BS$176,'D2 - Capex uso'!$C$6:$C$176,$A327,'D2 - Capex uso'!$AK$6:$AK$176,$A340)</f>
        <v>0</v>
      </c>
      <c r="C340" s="710">
        <f>-SUMIFS('D2 - Capex uso'!BT$6:BT$176,'D2 - Capex uso'!$C$6:$C$176,$A327,'D2 - Capex uso'!$AK$6:$AK$176,$A340)</f>
        <v>0</v>
      </c>
      <c r="D340" s="710">
        <f>-SUMIFS('D2 - Capex uso'!BU$6:BU$176,'D2 - Capex uso'!$C$6:$C$176,$A327,'D2 - Capex uso'!$AK$6:$AK$176,$A340)</f>
        <v>0</v>
      </c>
      <c r="E340" s="710">
        <f>-SUMIFS('D2 - Capex uso'!BV$6:BV$176,'D2 - Capex uso'!$C$6:$C$176,$A327,'D2 - Capex uso'!$AK$6:$AK$176,$A340)</f>
        <v>0</v>
      </c>
      <c r="F340" s="710">
        <f>-SUMIFS('D2 - Capex uso'!BW$6:BW$176,'D2 - Capex uso'!$C$6:$C$176,$A327,'D2 - Capex uso'!$AK$6:$AK$176,$A340)</f>
        <v>0</v>
      </c>
      <c r="G340" s="710">
        <f>-SUMIFS('D2 - Capex uso'!BX$6:BX$176,'D2 - Capex uso'!$C$6:$C$176,$A327,'D2 - Capex uso'!$AK$6:$AK$176,$A340)</f>
        <v>0</v>
      </c>
      <c r="H340" s="710">
        <f>-SUMIFS('D2 - Capex uso'!BY$6:BY$176,'D2 - Capex uso'!$C$6:$C$176,$A327,'D2 - Capex uso'!$AK$6:$AK$176,$A340)</f>
        <v>0</v>
      </c>
      <c r="I340" s="710">
        <f>-SUMIFS('D2 - Capex uso'!BZ$6:BZ$176,'D2 - Capex uso'!$C$6:$C$176,$A327,'D2 - Capex uso'!$AK$6:$AK$176,$A340)</f>
        <v>0</v>
      </c>
      <c r="J340" s="710">
        <f>-SUMIFS('D2 - Capex uso'!CA$6:CA$176,'D2 - Capex uso'!$C$6:$C$176,$A327,'D2 - Capex uso'!$AK$6:$AK$176,$A340)</f>
        <v>0</v>
      </c>
      <c r="K340" s="710">
        <f>-SUMIFS('D2 - Capex uso'!CB$6:CB$176,'D2 - Capex uso'!$C$6:$C$176,$A327,'D2 - Capex uso'!$AK$6:$AK$176,$A340)</f>
        <v>0</v>
      </c>
      <c r="L340" s="710">
        <f>-SUMIFS('D2 - Capex uso'!CC$6:CC$176,'D2 - Capex uso'!$C$6:$C$176,$A327,'D2 - Capex uso'!$AK$6:$AK$176,$A340)</f>
        <v>0</v>
      </c>
      <c r="M340" s="710">
        <f>-SUMIFS('D2 - Capex uso'!CD$6:CD$176,'D2 - Capex uso'!$C$6:$C$176,$A327,'D2 - Capex uso'!$AK$6:$AK$176,$A340)</f>
        <v>0</v>
      </c>
      <c r="N340" s="710">
        <f>-SUMIFS('D2 - Capex uso'!CE$6:CE$176,'D2 - Capex uso'!$C$6:$C$176,$A327,'D2 - Capex uso'!$AK$6:$AK$176,$A340)</f>
        <v>0</v>
      </c>
      <c r="O340" s="710">
        <f>-SUMIFS('D2 - Capex uso'!CF$6:CF$176,'D2 - Capex uso'!$C$6:$C$176,$A327,'D2 - Capex uso'!$AK$6:$AK$176,$A340)</f>
        <v>0</v>
      </c>
      <c r="P340" s="710">
        <f>-SUMIFS('D2 - Capex uso'!CG$6:CG$176,'D2 - Capex uso'!$C$6:$C$176,$A327,'D2 - Capex uso'!$AK$6:$AK$176,$A340)</f>
        <v>0</v>
      </c>
      <c r="Q340" s="710">
        <f>-SUMIFS('D2 - Capex uso'!CH$6:CH$176,'D2 - Capex uso'!$C$6:$C$176,$A327,'D2 - Capex uso'!$AK$6:$AK$176,$A340)</f>
        <v>0</v>
      </c>
      <c r="R340" s="710">
        <f>-SUMIFS('D2 - Capex uso'!CI$6:CI$176,'D2 - Capex uso'!$C$6:$C$176,$A327,'D2 - Capex uso'!$AK$6:$AK$176,$A340)</f>
        <v>0</v>
      </c>
      <c r="S340" s="710">
        <f>-SUMIFS('D2 - Capex uso'!CJ$6:CJ$176,'D2 - Capex uso'!$C$6:$C$176,$A327,'D2 - Capex uso'!$AK$6:$AK$176,$A340)</f>
        <v>0</v>
      </c>
      <c r="T340" s="710">
        <f>-SUMIFS('D2 - Capex uso'!CK$6:CK$176,'D2 - Capex uso'!$C$6:$C$176,$A327,'D2 - Capex uso'!$AK$6:$AK$176,$A340)</f>
        <v>0</v>
      </c>
      <c r="U340" s="710">
        <f>-SUMIFS('D2 - Capex uso'!CL$6:CL$176,'D2 - Capex uso'!$C$6:$C$176,$A327,'D2 - Capex uso'!$AK$6:$AK$176,$A340)</f>
        <v>0</v>
      </c>
      <c r="V340" s="710">
        <f>-SUMIFS('D2 - Capex uso'!CM$6:CM$176,'D2 - Capex uso'!$C$6:$C$176,$A327,'D2 - Capex uso'!$AK$6:$AK$176,$A340)</f>
        <v>0</v>
      </c>
      <c r="W340" s="710">
        <f>-SUMIFS('D2 - Capex uso'!CN$6:CN$176,'D2 - Capex uso'!$C$6:$C$176,$A327,'D2 - Capex uso'!$AK$6:$AK$176,$A340)</f>
        <v>0</v>
      </c>
      <c r="X340" s="710">
        <f>-SUMIFS('D2 - Capex uso'!CO$6:CO$176,'D2 - Capex uso'!$C$6:$C$176,$A327,'D2 - Capex uso'!$AK$6:$AK$176,$A340)</f>
        <v>0</v>
      </c>
      <c r="Y340" s="710">
        <f>-SUMIFS('D2 - Capex uso'!CP$6:CP$176,'D2 - Capex uso'!$C$6:$C$176,$A327,'D2 - Capex uso'!$AK$6:$AK$176,$A340)</f>
        <v>0</v>
      </c>
      <c r="Z340" s="710">
        <f>-SUMIFS('D2 - Capex uso'!CQ$6:CQ$176,'D2 - Capex uso'!$C$6:$C$176,$A327,'D2 - Capex uso'!$AK$6:$AK$176,$A340)</f>
        <v>0</v>
      </c>
      <c r="AA340" s="710">
        <f>-SUMIFS('D2 - Capex uso'!CR$6:CR$176,'D2 - Capex uso'!$C$6:$C$176,$A327,'D2 - Capex uso'!$AK$6:$AK$176,$A340)</f>
        <v>0</v>
      </c>
      <c r="AB340" s="710">
        <f>-SUMIFS('D2 - Capex uso'!CS$6:CS$176,'D2 - Capex uso'!$C$6:$C$176,$A327,'D2 - Capex uso'!$AK$6:$AK$176,$A340)</f>
        <v>0</v>
      </c>
      <c r="AC340" s="710">
        <f>-SUMIFS('D2 - Capex uso'!CT$6:CT$176,'D2 - Capex uso'!$C$6:$C$176,$A327,'D2 - Capex uso'!$AK$6:$AK$176,$A340)</f>
        <v>0</v>
      </c>
      <c r="AD340" s="710">
        <f>-SUMIFS('D2 - Capex uso'!CU$6:CU$176,'D2 - Capex uso'!$C$6:$C$176,$A327,'D2 - Capex uso'!$AK$6:$AK$176,$A340)</f>
        <v>0</v>
      </c>
      <c r="AE340" s="710">
        <f>-SUMIFS('D2 - Capex uso'!CV$6:CV$176,'D2 - Capex uso'!$C$6:$C$176,$A327,'D2 - Capex uso'!$AK$6:$AK$176,$A340)</f>
        <v>0</v>
      </c>
      <c r="AF340" s="594"/>
      <c r="AG340" s="594"/>
      <c r="AH340" s="594"/>
      <c r="AI340" s="594"/>
      <c r="AJ340" s="594"/>
      <c r="AK340" s="594"/>
      <c r="AL340" s="594"/>
      <c r="AM340" s="594"/>
      <c r="AN340" s="594"/>
      <c r="AO340" s="594"/>
      <c r="AP340" s="594"/>
      <c r="AQ340" s="594"/>
      <c r="AR340" s="594"/>
      <c r="AS340" s="594"/>
      <c r="AT340" s="594"/>
      <c r="AU340" s="594"/>
      <c r="AV340" s="594"/>
      <c r="AW340" s="594"/>
      <c r="AX340" s="594"/>
      <c r="AY340" s="594"/>
      <c r="AZ340" s="594"/>
      <c r="BA340" s="594"/>
      <c r="BB340" s="594"/>
      <c r="BC340" s="594"/>
      <c r="BD340" s="594"/>
      <c r="BE340" s="594"/>
      <c r="BF340" s="594"/>
      <c r="BG340" s="594"/>
      <c r="BH340" s="594"/>
      <c r="BI340" s="594"/>
      <c r="BJ340" s="594"/>
      <c r="BK340" s="594"/>
      <c r="BL340" s="57"/>
      <c r="BM340" s="594"/>
      <c r="BN340" s="594"/>
      <c r="BO340" s="594"/>
      <c r="BP340" s="594"/>
      <c r="BQ340" s="594"/>
      <c r="BR340" s="594"/>
      <c r="BS340" s="594"/>
      <c r="BT340" s="594"/>
      <c r="BU340" s="594"/>
      <c r="BV340" s="594"/>
      <c r="BW340" s="594"/>
      <c r="BX340" s="594"/>
      <c r="BY340" s="594"/>
      <c r="BZ340" s="594"/>
      <c r="CA340" s="594"/>
      <c r="CB340" s="594"/>
      <c r="CC340" s="594"/>
      <c r="CD340" s="594"/>
      <c r="CE340" s="594"/>
      <c r="CF340" s="594"/>
      <c r="CG340" s="594"/>
      <c r="CH340" s="594"/>
      <c r="CI340" s="594"/>
      <c r="CJ340" s="594"/>
      <c r="CK340" s="594"/>
      <c r="CL340" s="594"/>
      <c r="CM340" s="594"/>
      <c r="CN340" s="594"/>
      <c r="CO340" s="594"/>
      <c r="CP340" s="594"/>
      <c r="CQ340" s="594"/>
    </row>
    <row r="341" spans="1:95" ht="19.5" hidden="1" customHeight="1" outlineLevel="2">
      <c r="A341" s="709" t="s">
        <v>366</v>
      </c>
      <c r="B341" s="710">
        <f>-SUMIFS('D2 - Capex uso'!BS$6:BS$176,'D2 - Capex uso'!$C$6:$C$176,$A327,'D2 - Capex uso'!$AK$6:$AK$176,$A341)</f>
        <v>0</v>
      </c>
      <c r="C341" s="710">
        <f>-SUMIFS('D2 - Capex uso'!BT$6:BT$176,'D2 - Capex uso'!$C$6:$C$176,$A327,'D2 - Capex uso'!$AK$6:$AK$176,$A341)</f>
        <v>0</v>
      </c>
      <c r="D341" s="710">
        <f>-SUMIFS('D2 - Capex uso'!BU$6:BU$176,'D2 - Capex uso'!$C$6:$C$176,$A327,'D2 - Capex uso'!$AK$6:$AK$176,$A341)</f>
        <v>0</v>
      </c>
      <c r="E341" s="710">
        <f>-SUMIFS('D2 - Capex uso'!BV$6:BV$176,'D2 - Capex uso'!$C$6:$C$176,$A327,'D2 - Capex uso'!$AK$6:$AK$176,$A341)</f>
        <v>0</v>
      </c>
      <c r="F341" s="710">
        <f>-SUMIFS('D2 - Capex uso'!BW$6:BW$176,'D2 - Capex uso'!$C$6:$C$176,$A327,'D2 - Capex uso'!$AK$6:$AK$176,$A341)</f>
        <v>0</v>
      </c>
      <c r="G341" s="710">
        <f>-SUMIFS('D2 - Capex uso'!BX$6:BX$176,'D2 - Capex uso'!$C$6:$C$176,$A327,'D2 - Capex uso'!$AK$6:$AK$176,$A341)</f>
        <v>0</v>
      </c>
      <c r="H341" s="710">
        <f>-SUMIFS('D2 - Capex uso'!BY$6:BY$176,'D2 - Capex uso'!$C$6:$C$176,$A327,'D2 - Capex uso'!$AK$6:$AK$176,$A341)</f>
        <v>0</v>
      </c>
      <c r="I341" s="710">
        <f>-SUMIFS('D2 - Capex uso'!BZ$6:BZ$176,'D2 - Capex uso'!$C$6:$C$176,$A327,'D2 - Capex uso'!$AK$6:$AK$176,$A341)</f>
        <v>0</v>
      </c>
      <c r="J341" s="710">
        <f>-SUMIFS('D2 - Capex uso'!CA$6:CA$176,'D2 - Capex uso'!$C$6:$C$176,$A327,'D2 - Capex uso'!$AK$6:$AK$176,$A341)</f>
        <v>0</v>
      </c>
      <c r="K341" s="710">
        <f>-SUMIFS('D2 - Capex uso'!CB$6:CB$176,'D2 - Capex uso'!$C$6:$C$176,$A327,'D2 - Capex uso'!$AK$6:$AK$176,$A341)</f>
        <v>0</v>
      </c>
      <c r="L341" s="710">
        <f>-SUMIFS('D2 - Capex uso'!CC$6:CC$176,'D2 - Capex uso'!$C$6:$C$176,$A327,'D2 - Capex uso'!$AK$6:$AK$176,$A341)</f>
        <v>0</v>
      </c>
      <c r="M341" s="710">
        <f>-SUMIFS('D2 - Capex uso'!CD$6:CD$176,'D2 - Capex uso'!$C$6:$C$176,$A327,'D2 - Capex uso'!$AK$6:$AK$176,$A341)</f>
        <v>0</v>
      </c>
      <c r="N341" s="710">
        <f>-SUMIFS('D2 - Capex uso'!CE$6:CE$176,'D2 - Capex uso'!$C$6:$C$176,$A327,'D2 - Capex uso'!$AK$6:$AK$176,$A341)</f>
        <v>0</v>
      </c>
      <c r="O341" s="710">
        <f>-SUMIFS('D2 - Capex uso'!CF$6:CF$176,'D2 - Capex uso'!$C$6:$C$176,$A327,'D2 - Capex uso'!$AK$6:$AK$176,$A341)</f>
        <v>0</v>
      </c>
      <c r="P341" s="710">
        <f>-SUMIFS('D2 - Capex uso'!CG$6:CG$176,'D2 - Capex uso'!$C$6:$C$176,$A327,'D2 - Capex uso'!$AK$6:$AK$176,$A341)</f>
        <v>0</v>
      </c>
      <c r="Q341" s="710">
        <f>-SUMIFS('D2 - Capex uso'!CH$6:CH$176,'D2 - Capex uso'!$C$6:$C$176,$A327,'D2 - Capex uso'!$AK$6:$AK$176,$A341)</f>
        <v>0</v>
      </c>
      <c r="R341" s="710">
        <f>-SUMIFS('D2 - Capex uso'!CI$6:CI$176,'D2 - Capex uso'!$C$6:$C$176,$A327,'D2 - Capex uso'!$AK$6:$AK$176,$A341)</f>
        <v>0</v>
      </c>
      <c r="S341" s="710">
        <f>-SUMIFS('D2 - Capex uso'!CJ$6:CJ$176,'D2 - Capex uso'!$C$6:$C$176,$A327,'D2 - Capex uso'!$AK$6:$AK$176,$A341)</f>
        <v>0</v>
      </c>
      <c r="T341" s="710">
        <f>-SUMIFS('D2 - Capex uso'!CK$6:CK$176,'D2 - Capex uso'!$C$6:$C$176,$A327,'D2 - Capex uso'!$AK$6:$AK$176,$A341)</f>
        <v>0</v>
      </c>
      <c r="U341" s="710">
        <f>-SUMIFS('D2 - Capex uso'!CL$6:CL$176,'D2 - Capex uso'!$C$6:$C$176,$A327,'D2 - Capex uso'!$AK$6:$AK$176,$A341)</f>
        <v>0</v>
      </c>
      <c r="V341" s="710">
        <f>-SUMIFS('D2 - Capex uso'!CM$6:CM$176,'D2 - Capex uso'!$C$6:$C$176,$A327,'D2 - Capex uso'!$AK$6:$AK$176,$A341)</f>
        <v>0</v>
      </c>
      <c r="W341" s="710">
        <f>-SUMIFS('D2 - Capex uso'!CN$6:CN$176,'D2 - Capex uso'!$C$6:$C$176,$A327,'D2 - Capex uso'!$AK$6:$AK$176,$A341)</f>
        <v>0</v>
      </c>
      <c r="X341" s="710">
        <f>-SUMIFS('D2 - Capex uso'!CO$6:CO$176,'D2 - Capex uso'!$C$6:$C$176,$A327,'D2 - Capex uso'!$AK$6:$AK$176,$A341)</f>
        <v>0</v>
      </c>
      <c r="Y341" s="710">
        <f>-SUMIFS('D2 - Capex uso'!CP$6:CP$176,'D2 - Capex uso'!$C$6:$C$176,$A327,'D2 - Capex uso'!$AK$6:$AK$176,$A341)</f>
        <v>0</v>
      </c>
      <c r="Z341" s="710">
        <f>-SUMIFS('D2 - Capex uso'!CQ$6:CQ$176,'D2 - Capex uso'!$C$6:$C$176,$A327,'D2 - Capex uso'!$AK$6:$AK$176,$A341)</f>
        <v>0</v>
      </c>
      <c r="AA341" s="710">
        <f>-SUMIFS('D2 - Capex uso'!CR$6:CR$176,'D2 - Capex uso'!$C$6:$C$176,$A327,'D2 - Capex uso'!$AK$6:$AK$176,$A341)</f>
        <v>0</v>
      </c>
      <c r="AB341" s="710">
        <f>-SUMIFS('D2 - Capex uso'!CS$6:CS$176,'D2 - Capex uso'!$C$6:$C$176,$A327,'D2 - Capex uso'!$AK$6:$AK$176,$A341)</f>
        <v>0</v>
      </c>
      <c r="AC341" s="710">
        <f>-SUMIFS('D2 - Capex uso'!CT$6:CT$176,'D2 - Capex uso'!$C$6:$C$176,$A327,'D2 - Capex uso'!$AK$6:$AK$176,$A341)</f>
        <v>0</v>
      </c>
      <c r="AD341" s="710">
        <f>-SUMIFS('D2 - Capex uso'!CU$6:CU$176,'D2 - Capex uso'!$C$6:$C$176,$A327,'D2 - Capex uso'!$AK$6:$AK$176,$A341)</f>
        <v>0</v>
      </c>
      <c r="AE341" s="710">
        <f>-SUMIFS('D2 - Capex uso'!CV$6:CV$176,'D2 - Capex uso'!$C$6:$C$176,$A327,'D2 - Capex uso'!$AK$6:$AK$176,$A341)</f>
        <v>0</v>
      </c>
      <c r="AF341" s="594"/>
      <c r="AG341" s="594"/>
      <c r="AH341" s="594"/>
      <c r="AI341" s="594"/>
      <c r="AJ341" s="594"/>
      <c r="AK341" s="594"/>
      <c r="AL341" s="594"/>
      <c r="AM341" s="594"/>
      <c r="AN341" s="594"/>
      <c r="AO341" s="594"/>
      <c r="AP341" s="594"/>
      <c r="AQ341" s="594"/>
      <c r="AR341" s="594"/>
      <c r="AS341" s="594"/>
      <c r="AT341" s="594"/>
      <c r="AU341" s="594"/>
      <c r="AV341" s="594"/>
      <c r="AW341" s="594"/>
      <c r="AX341" s="594"/>
      <c r="AY341" s="594"/>
      <c r="AZ341" s="594"/>
      <c r="BA341" s="594"/>
      <c r="BB341" s="594"/>
      <c r="BC341" s="594"/>
      <c r="BD341" s="594"/>
      <c r="BE341" s="594"/>
      <c r="BF341" s="594"/>
      <c r="BG341" s="594"/>
      <c r="BH341" s="594"/>
      <c r="BI341" s="594"/>
      <c r="BJ341" s="594"/>
      <c r="BK341" s="594"/>
      <c r="BL341" s="57"/>
      <c r="BM341" s="594"/>
      <c r="BN341" s="594"/>
      <c r="BO341" s="594"/>
      <c r="BP341" s="594"/>
      <c r="BQ341" s="594"/>
      <c r="BR341" s="594"/>
      <c r="BS341" s="594"/>
      <c r="BT341" s="594"/>
      <c r="BU341" s="594"/>
      <c r="BV341" s="594"/>
      <c r="BW341" s="594"/>
      <c r="BX341" s="594"/>
      <c r="BY341" s="594"/>
      <c r="BZ341" s="594"/>
      <c r="CA341" s="594"/>
      <c r="CB341" s="594"/>
      <c r="CC341" s="594"/>
      <c r="CD341" s="594"/>
      <c r="CE341" s="594"/>
      <c r="CF341" s="594"/>
      <c r="CG341" s="594"/>
      <c r="CH341" s="594"/>
      <c r="CI341" s="594"/>
      <c r="CJ341" s="594"/>
      <c r="CK341" s="594"/>
      <c r="CL341" s="594"/>
      <c r="CM341" s="594"/>
      <c r="CN341" s="594"/>
      <c r="CO341" s="594"/>
      <c r="CP341" s="594"/>
      <c r="CQ341" s="594"/>
    </row>
    <row r="342" spans="1:95" ht="19.5" hidden="1" customHeight="1" outlineLevel="2">
      <c r="A342" s="709" t="s">
        <v>371</v>
      </c>
      <c r="B342" s="710">
        <f>-SUMIFS('D2 - Capex uso'!BS$6:BS$176,'D2 - Capex uso'!$C$6:$C$176,$A327,'D2 - Capex uso'!$AK$6:$AK$176,$A342)</f>
        <v>-30362.2</v>
      </c>
      <c r="C342" s="710">
        <f>-SUMIFS('D2 - Capex uso'!BT$6:BT$176,'D2 - Capex uso'!$C$6:$C$176,$A327,'D2 - Capex uso'!$AK$6:$AK$176,$A342)</f>
        <v>0</v>
      </c>
      <c r="D342" s="710">
        <f>-SUMIFS('D2 - Capex uso'!BU$6:BU$176,'D2 - Capex uso'!$C$6:$C$176,$A327,'D2 - Capex uso'!$AK$6:$AK$176,$A342)</f>
        <v>0</v>
      </c>
      <c r="E342" s="710">
        <f>-SUMIFS('D2 - Capex uso'!BV$6:BV$176,'D2 - Capex uso'!$C$6:$C$176,$A327,'D2 - Capex uso'!$AK$6:$AK$176,$A342)</f>
        <v>0</v>
      </c>
      <c r="F342" s="710">
        <f>-SUMIFS('D2 - Capex uso'!BW$6:BW$176,'D2 - Capex uso'!$C$6:$C$176,$A327,'D2 - Capex uso'!$AK$6:$AK$176,$A342)</f>
        <v>0</v>
      </c>
      <c r="G342" s="710">
        <f>-SUMIFS('D2 - Capex uso'!BX$6:BX$176,'D2 - Capex uso'!$C$6:$C$176,$A327,'D2 - Capex uso'!$AK$6:$AK$176,$A342)</f>
        <v>0</v>
      </c>
      <c r="H342" s="710">
        <f>-SUMIFS('D2 - Capex uso'!BY$6:BY$176,'D2 - Capex uso'!$C$6:$C$176,$A327,'D2 - Capex uso'!$AK$6:$AK$176,$A342)</f>
        <v>0</v>
      </c>
      <c r="I342" s="710">
        <f>-SUMIFS('D2 - Capex uso'!BZ$6:BZ$176,'D2 - Capex uso'!$C$6:$C$176,$A327,'D2 - Capex uso'!$AK$6:$AK$176,$A342)</f>
        <v>0</v>
      </c>
      <c r="J342" s="710">
        <f>-SUMIFS('D2 - Capex uso'!CA$6:CA$176,'D2 - Capex uso'!$C$6:$C$176,$A327,'D2 - Capex uso'!$AK$6:$AK$176,$A342)</f>
        <v>0</v>
      </c>
      <c r="K342" s="710">
        <f>-SUMIFS('D2 - Capex uso'!CB$6:CB$176,'D2 - Capex uso'!$C$6:$C$176,$A327,'D2 - Capex uso'!$AK$6:$AK$176,$A342)</f>
        <v>0</v>
      </c>
      <c r="L342" s="710">
        <f>-SUMIFS('D2 - Capex uso'!CC$6:CC$176,'D2 - Capex uso'!$C$6:$C$176,$A327,'D2 - Capex uso'!$AK$6:$AK$176,$A342)</f>
        <v>-30362.2</v>
      </c>
      <c r="M342" s="710">
        <f>-SUMIFS('D2 - Capex uso'!CD$6:CD$176,'D2 - Capex uso'!$C$6:$C$176,$A327,'D2 - Capex uso'!$AK$6:$AK$176,$A342)</f>
        <v>0</v>
      </c>
      <c r="N342" s="710">
        <f>-SUMIFS('D2 - Capex uso'!CE$6:CE$176,'D2 - Capex uso'!$C$6:$C$176,$A327,'D2 - Capex uso'!$AK$6:$AK$176,$A342)</f>
        <v>0</v>
      </c>
      <c r="O342" s="710">
        <f>-SUMIFS('D2 - Capex uso'!CF$6:CF$176,'D2 - Capex uso'!$C$6:$C$176,$A327,'D2 - Capex uso'!$AK$6:$AK$176,$A342)</f>
        <v>0</v>
      </c>
      <c r="P342" s="710">
        <f>-SUMIFS('D2 - Capex uso'!CG$6:CG$176,'D2 - Capex uso'!$C$6:$C$176,$A327,'D2 - Capex uso'!$AK$6:$AK$176,$A342)</f>
        <v>0</v>
      </c>
      <c r="Q342" s="710">
        <f>-SUMIFS('D2 - Capex uso'!CH$6:CH$176,'D2 - Capex uso'!$C$6:$C$176,$A327,'D2 - Capex uso'!$AK$6:$AK$176,$A342)</f>
        <v>0</v>
      </c>
      <c r="R342" s="710">
        <f>-SUMIFS('D2 - Capex uso'!CI$6:CI$176,'D2 - Capex uso'!$C$6:$C$176,$A327,'D2 - Capex uso'!$AK$6:$AK$176,$A342)</f>
        <v>0</v>
      </c>
      <c r="S342" s="710">
        <f>-SUMIFS('D2 - Capex uso'!CJ$6:CJ$176,'D2 - Capex uso'!$C$6:$C$176,$A327,'D2 - Capex uso'!$AK$6:$AK$176,$A342)</f>
        <v>0</v>
      </c>
      <c r="T342" s="710">
        <f>-SUMIFS('D2 - Capex uso'!CK$6:CK$176,'D2 - Capex uso'!$C$6:$C$176,$A327,'D2 - Capex uso'!$AK$6:$AK$176,$A342)</f>
        <v>0</v>
      </c>
      <c r="U342" s="710">
        <f>-SUMIFS('D2 - Capex uso'!CL$6:CL$176,'D2 - Capex uso'!$C$6:$C$176,$A327,'D2 - Capex uso'!$AK$6:$AK$176,$A342)</f>
        <v>0</v>
      </c>
      <c r="V342" s="710">
        <f>-SUMIFS('D2 - Capex uso'!CM$6:CM$176,'D2 - Capex uso'!$C$6:$C$176,$A327,'D2 - Capex uso'!$AK$6:$AK$176,$A342)</f>
        <v>-30362.2</v>
      </c>
      <c r="W342" s="710">
        <f>-SUMIFS('D2 - Capex uso'!CN$6:CN$176,'D2 - Capex uso'!$C$6:$C$176,$A327,'D2 - Capex uso'!$AK$6:$AK$176,$A342)</f>
        <v>0</v>
      </c>
      <c r="X342" s="710">
        <f>-SUMIFS('D2 - Capex uso'!CO$6:CO$176,'D2 - Capex uso'!$C$6:$C$176,$A327,'D2 - Capex uso'!$AK$6:$AK$176,$A342)</f>
        <v>0</v>
      </c>
      <c r="Y342" s="710">
        <f>-SUMIFS('D2 - Capex uso'!CP$6:CP$176,'D2 - Capex uso'!$C$6:$C$176,$A327,'D2 - Capex uso'!$AK$6:$AK$176,$A342)</f>
        <v>0</v>
      </c>
      <c r="Z342" s="710">
        <f>-SUMIFS('D2 - Capex uso'!CQ$6:CQ$176,'D2 - Capex uso'!$C$6:$C$176,$A327,'D2 - Capex uso'!$AK$6:$AK$176,$A342)</f>
        <v>0</v>
      </c>
      <c r="AA342" s="710">
        <f>-SUMIFS('D2 - Capex uso'!CR$6:CR$176,'D2 - Capex uso'!$C$6:$C$176,$A327,'D2 - Capex uso'!$AK$6:$AK$176,$A342)</f>
        <v>0</v>
      </c>
      <c r="AB342" s="710">
        <f>-SUMIFS('D2 - Capex uso'!CS$6:CS$176,'D2 - Capex uso'!$C$6:$C$176,$A327,'D2 - Capex uso'!$AK$6:$AK$176,$A342)</f>
        <v>0</v>
      </c>
      <c r="AC342" s="710">
        <f>-SUMIFS('D2 - Capex uso'!CT$6:CT$176,'D2 - Capex uso'!$C$6:$C$176,$A327,'D2 - Capex uso'!$AK$6:$AK$176,$A342)</f>
        <v>0</v>
      </c>
      <c r="AD342" s="710">
        <f>-SUMIFS('D2 - Capex uso'!CU$6:CU$176,'D2 - Capex uso'!$C$6:$C$176,$A327,'D2 - Capex uso'!$AK$6:$AK$176,$A342)</f>
        <v>0</v>
      </c>
      <c r="AE342" s="710">
        <f>-SUMIFS('D2 - Capex uso'!CV$6:CV$176,'D2 - Capex uso'!$C$6:$C$176,$A327,'D2 - Capex uso'!$AK$6:$AK$176,$A342)</f>
        <v>0</v>
      </c>
      <c r="AF342" s="594"/>
      <c r="AG342" s="594"/>
      <c r="AH342" s="594"/>
      <c r="AI342" s="594"/>
      <c r="AJ342" s="594"/>
      <c r="AK342" s="594"/>
      <c r="AL342" s="594"/>
      <c r="AM342" s="594"/>
      <c r="AN342" s="594"/>
      <c r="AO342" s="594"/>
      <c r="AP342" s="594"/>
      <c r="AQ342" s="594"/>
      <c r="AR342" s="594"/>
      <c r="AS342" s="594"/>
      <c r="AT342" s="594"/>
      <c r="AU342" s="594"/>
      <c r="AV342" s="594"/>
      <c r="AW342" s="594"/>
      <c r="AX342" s="594"/>
      <c r="AY342" s="594"/>
      <c r="AZ342" s="594"/>
      <c r="BA342" s="594"/>
      <c r="BB342" s="594"/>
      <c r="BC342" s="594"/>
      <c r="BD342" s="594"/>
      <c r="BE342" s="594"/>
      <c r="BF342" s="594"/>
      <c r="BG342" s="594"/>
      <c r="BH342" s="594"/>
      <c r="BI342" s="594"/>
      <c r="BJ342" s="594"/>
      <c r="BK342" s="594"/>
      <c r="BL342" s="57"/>
      <c r="BM342" s="594"/>
      <c r="BN342" s="594"/>
      <c r="BO342" s="594"/>
      <c r="BP342" s="594"/>
      <c r="BQ342" s="594"/>
      <c r="BR342" s="594"/>
      <c r="BS342" s="594"/>
      <c r="BT342" s="594"/>
      <c r="BU342" s="594"/>
      <c r="BV342" s="594"/>
      <c r="BW342" s="594"/>
      <c r="BX342" s="594"/>
      <c r="BY342" s="594"/>
      <c r="BZ342" s="594"/>
      <c r="CA342" s="594"/>
      <c r="CB342" s="594"/>
      <c r="CC342" s="594"/>
      <c r="CD342" s="594"/>
      <c r="CE342" s="594"/>
      <c r="CF342" s="594"/>
      <c r="CG342" s="594"/>
      <c r="CH342" s="594"/>
      <c r="CI342" s="594"/>
      <c r="CJ342" s="594"/>
      <c r="CK342" s="594"/>
      <c r="CL342" s="594"/>
      <c r="CM342" s="594"/>
      <c r="CN342" s="594"/>
      <c r="CO342" s="594"/>
      <c r="CP342" s="594"/>
      <c r="CQ342" s="594"/>
    </row>
    <row r="343" spans="1:95" ht="19.5" hidden="1" customHeight="1" outlineLevel="2">
      <c r="A343" s="709" t="s">
        <v>361</v>
      </c>
      <c r="B343" s="710">
        <f>-SUMIFS('D2 - Capex uso'!BS$6:BS$176,'D2 - Capex uso'!$C$6:$C$176,$A327,'D2 - Capex uso'!$AK$6:$AK$176,$A343)</f>
        <v>0</v>
      </c>
      <c r="C343" s="710">
        <f>-SUMIFS('D2 - Capex uso'!BT$6:BT$176,'D2 - Capex uso'!$C$6:$C$176,$A327,'D2 - Capex uso'!$AK$6:$AK$176,$A343)</f>
        <v>0</v>
      </c>
      <c r="D343" s="710">
        <f>-SUMIFS('D2 - Capex uso'!BU$6:BU$176,'D2 - Capex uso'!$C$6:$C$176,$A327,'D2 - Capex uso'!$AK$6:$AK$176,$A343)</f>
        <v>0</v>
      </c>
      <c r="E343" s="710">
        <f>-SUMIFS('D2 - Capex uso'!BV$6:BV$176,'D2 - Capex uso'!$C$6:$C$176,$A327,'D2 - Capex uso'!$AK$6:$AK$176,$A343)</f>
        <v>0</v>
      </c>
      <c r="F343" s="710">
        <f>-SUMIFS('D2 - Capex uso'!BW$6:BW$176,'D2 - Capex uso'!$C$6:$C$176,$A327,'D2 - Capex uso'!$AK$6:$AK$176,$A343)</f>
        <v>0</v>
      </c>
      <c r="G343" s="710">
        <f>-SUMIFS('D2 - Capex uso'!BX$6:BX$176,'D2 - Capex uso'!$C$6:$C$176,$A327,'D2 - Capex uso'!$AK$6:$AK$176,$A343)</f>
        <v>0</v>
      </c>
      <c r="H343" s="710">
        <f>-SUMIFS('D2 - Capex uso'!BY$6:BY$176,'D2 - Capex uso'!$C$6:$C$176,$A327,'D2 - Capex uso'!$AK$6:$AK$176,$A343)</f>
        <v>0</v>
      </c>
      <c r="I343" s="710">
        <f>-SUMIFS('D2 - Capex uso'!BZ$6:BZ$176,'D2 - Capex uso'!$C$6:$C$176,$A327,'D2 - Capex uso'!$AK$6:$AK$176,$A343)</f>
        <v>0</v>
      </c>
      <c r="J343" s="710">
        <f>-SUMIFS('D2 - Capex uso'!CA$6:CA$176,'D2 - Capex uso'!$C$6:$C$176,$A327,'D2 - Capex uso'!$AK$6:$AK$176,$A343)</f>
        <v>0</v>
      </c>
      <c r="K343" s="710">
        <f>-SUMIFS('D2 - Capex uso'!CB$6:CB$176,'D2 - Capex uso'!$C$6:$C$176,$A327,'D2 - Capex uso'!$AK$6:$AK$176,$A343)</f>
        <v>0</v>
      </c>
      <c r="L343" s="710">
        <f>-SUMIFS('D2 - Capex uso'!CC$6:CC$176,'D2 - Capex uso'!$C$6:$C$176,$A327,'D2 - Capex uso'!$AK$6:$AK$176,$A343)</f>
        <v>0</v>
      </c>
      <c r="M343" s="710">
        <f>-SUMIFS('D2 - Capex uso'!CD$6:CD$176,'D2 - Capex uso'!$C$6:$C$176,$A327,'D2 - Capex uso'!$AK$6:$AK$176,$A343)</f>
        <v>0</v>
      </c>
      <c r="N343" s="710">
        <f>-SUMIFS('D2 - Capex uso'!CE$6:CE$176,'D2 - Capex uso'!$C$6:$C$176,$A327,'D2 - Capex uso'!$AK$6:$AK$176,$A343)</f>
        <v>0</v>
      </c>
      <c r="O343" s="710">
        <f>-SUMIFS('D2 - Capex uso'!CF$6:CF$176,'D2 - Capex uso'!$C$6:$C$176,$A327,'D2 - Capex uso'!$AK$6:$AK$176,$A343)</f>
        <v>0</v>
      </c>
      <c r="P343" s="710">
        <f>-SUMIFS('D2 - Capex uso'!CG$6:CG$176,'D2 - Capex uso'!$C$6:$C$176,$A327,'D2 - Capex uso'!$AK$6:$AK$176,$A343)</f>
        <v>0</v>
      </c>
      <c r="Q343" s="710">
        <f>-SUMIFS('D2 - Capex uso'!CH$6:CH$176,'D2 - Capex uso'!$C$6:$C$176,$A327,'D2 - Capex uso'!$AK$6:$AK$176,$A343)</f>
        <v>0</v>
      </c>
      <c r="R343" s="710">
        <f>-SUMIFS('D2 - Capex uso'!CI$6:CI$176,'D2 - Capex uso'!$C$6:$C$176,$A327,'D2 - Capex uso'!$AK$6:$AK$176,$A343)</f>
        <v>0</v>
      </c>
      <c r="S343" s="710">
        <f>-SUMIFS('D2 - Capex uso'!CJ$6:CJ$176,'D2 - Capex uso'!$C$6:$C$176,$A327,'D2 - Capex uso'!$AK$6:$AK$176,$A343)</f>
        <v>0</v>
      </c>
      <c r="T343" s="710">
        <f>-SUMIFS('D2 - Capex uso'!CK$6:CK$176,'D2 - Capex uso'!$C$6:$C$176,$A327,'D2 - Capex uso'!$AK$6:$AK$176,$A343)</f>
        <v>0</v>
      </c>
      <c r="U343" s="710">
        <f>-SUMIFS('D2 - Capex uso'!CL$6:CL$176,'D2 - Capex uso'!$C$6:$C$176,$A327,'D2 - Capex uso'!$AK$6:$AK$176,$A343)</f>
        <v>0</v>
      </c>
      <c r="V343" s="710">
        <f>-SUMIFS('D2 - Capex uso'!CM$6:CM$176,'D2 - Capex uso'!$C$6:$C$176,$A327,'D2 - Capex uso'!$AK$6:$AK$176,$A343)</f>
        <v>0</v>
      </c>
      <c r="W343" s="710">
        <f>-SUMIFS('D2 - Capex uso'!CN$6:CN$176,'D2 - Capex uso'!$C$6:$C$176,$A327,'D2 - Capex uso'!$AK$6:$AK$176,$A343)</f>
        <v>0</v>
      </c>
      <c r="X343" s="710">
        <f>-SUMIFS('D2 - Capex uso'!CO$6:CO$176,'D2 - Capex uso'!$C$6:$C$176,$A327,'D2 - Capex uso'!$AK$6:$AK$176,$A343)</f>
        <v>0</v>
      </c>
      <c r="Y343" s="710">
        <f>-SUMIFS('D2 - Capex uso'!CP$6:CP$176,'D2 - Capex uso'!$C$6:$C$176,$A327,'D2 - Capex uso'!$AK$6:$AK$176,$A343)</f>
        <v>0</v>
      </c>
      <c r="Z343" s="710">
        <f>-SUMIFS('D2 - Capex uso'!CQ$6:CQ$176,'D2 - Capex uso'!$C$6:$C$176,$A327,'D2 - Capex uso'!$AK$6:$AK$176,$A343)</f>
        <v>0</v>
      </c>
      <c r="AA343" s="710">
        <f>-SUMIFS('D2 - Capex uso'!CR$6:CR$176,'D2 - Capex uso'!$C$6:$C$176,$A327,'D2 - Capex uso'!$AK$6:$AK$176,$A343)</f>
        <v>0</v>
      </c>
      <c r="AB343" s="710">
        <f>-SUMIFS('D2 - Capex uso'!CS$6:CS$176,'D2 - Capex uso'!$C$6:$C$176,$A327,'D2 - Capex uso'!$AK$6:$AK$176,$A343)</f>
        <v>0</v>
      </c>
      <c r="AC343" s="710">
        <f>-SUMIFS('D2 - Capex uso'!CT$6:CT$176,'D2 - Capex uso'!$C$6:$C$176,$A327,'D2 - Capex uso'!$AK$6:$AK$176,$A343)</f>
        <v>0</v>
      </c>
      <c r="AD343" s="710">
        <f>-SUMIFS('D2 - Capex uso'!CU$6:CU$176,'D2 - Capex uso'!$C$6:$C$176,$A327,'D2 - Capex uso'!$AK$6:$AK$176,$A343)</f>
        <v>0</v>
      </c>
      <c r="AE343" s="710">
        <f>-SUMIFS('D2 - Capex uso'!CV$6:CV$176,'D2 - Capex uso'!$C$6:$C$176,$A327,'D2 - Capex uso'!$AK$6:$AK$176,$A343)</f>
        <v>0</v>
      </c>
      <c r="AF343" s="594"/>
      <c r="AG343" s="594"/>
      <c r="AH343" s="594"/>
      <c r="AI343" s="594"/>
      <c r="AJ343" s="594"/>
      <c r="AK343" s="594"/>
      <c r="AL343" s="594"/>
      <c r="AM343" s="594"/>
      <c r="AN343" s="594"/>
      <c r="AO343" s="594"/>
      <c r="AP343" s="594"/>
      <c r="AQ343" s="594"/>
      <c r="AR343" s="594"/>
      <c r="AS343" s="594"/>
      <c r="AT343" s="594"/>
      <c r="AU343" s="594"/>
      <c r="AV343" s="594"/>
      <c r="AW343" s="594"/>
      <c r="AX343" s="594"/>
      <c r="AY343" s="594"/>
      <c r="AZ343" s="594"/>
      <c r="BA343" s="594"/>
      <c r="BB343" s="594"/>
      <c r="BC343" s="594"/>
      <c r="BD343" s="594"/>
      <c r="BE343" s="594"/>
      <c r="BF343" s="594"/>
      <c r="BG343" s="594"/>
      <c r="BH343" s="594"/>
      <c r="BI343" s="594"/>
      <c r="BJ343" s="594"/>
      <c r="BK343" s="594"/>
      <c r="BL343" s="57"/>
      <c r="BM343" s="594"/>
      <c r="BN343" s="594"/>
      <c r="BO343" s="594"/>
      <c r="BP343" s="594"/>
      <c r="BQ343" s="594"/>
      <c r="BR343" s="594"/>
      <c r="BS343" s="594"/>
      <c r="BT343" s="594"/>
      <c r="BU343" s="594"/>
      <c r="BV343" s="594"/>
      <c r="BW343" s="594"/>
      <c r="BX343" s="594"/>
      <c r="BY343" s="594"/>
      <c r="BZ343" s="594"/>
      <c r="CA343" s="594"/>
      <c r="CB343" s="594"/>
      <c r="CC343" s="594"/>
      <c r="CD343" s="594"/>
      <c r="CE343" s="594"/>
      <c r="CF343" s="594"/>
      <c r="CG343" s="594"/>
      <c r="CH343" s="594"/>
      <c r="CI343" s="594"/>
      <c r="CJ343" s="594"/>
      <c r="CK343" s="594"/>
      <c r="CL343" s="594"/>
      <c r="CM343" s="594"/>
      <c r="CN343" s="594"/>
      <c r="CO343" s="594"/>
      <c r="CP343" s="594"/>
      <c r="CQ343" s="594"/>
    </row>
    <row r="344" spans="1:95" ht="19.5" hidden="1" customHeight="1" outlineLevel="2">
      <c r="A344" s="709" t="s">
        <v>359</v>
      </c>
      <c r="B344" s="710">
        <f>-SUMIFS('D2 - Capex uso'!BS$6:BS$176,'D2 - Capex uso'!$C$6:$C$176,$A327,'D2 - Capex uso'!$AK$6:$AK$176,$A344)</f>
        <v>-291533.13200000004</v>
      </c>
      <c r="C344" s="710">
        <f>-SUMIFS('D2 - Capex uso'!BT$6:BT$176,'D2 - Capex uso'!$C$6:$C$176,$A327,'D2 - Capex uso'!$AK$6:$AK$176,$A344)</f>
        <v>0</v>
      </c>
      <c r="D344" s="710">
        <f>-SUMIFS('D2 - Capex uso'!BU$6:BU$176,'D2 - Capex uso'!$C$6:$C$176,$A327,'D2 - Capex uso'!$AK$6:$AK$176,$A344)</f>
        <v>0</v>
      </c>
      <c r="E344" s="710">
        <f>-SUMIFS('D2 - Capex uso'!BV$6:BV$176,'D2 - Capex uso'!$C$6:$C$176,$A327,'D2 - Capex uso'!$AK$6:$AK$176,$A344)</f>
        <v>0</v>
      </c>
      <c r="F344" s="710">
        <f>-SUMIFS('D2 - Capex uso'!BW$6:BW$176,'D2 - Capex uso'!$C$6:$C$176,$A327,'D2 - Capex uso'!$AK$6:$AK$176,$A344)</f>
        <v>0</v>
      </c>
      <c r="G344" s="710">
        <f>-SUMIFS('D2 - Capex uso'!BX$6:BX$176,'D2 - Capex uso'!$C$6:$C$176,$A327,'D2 - Capex uso'!$AK$6:$AK$176,$A344)</f>
        <v>0</v>
      </c>
      <c r="H344" s="710">
        <f>-SUMIFS('D2 - Capex uso'!BY$6:BY$176,'D2 - Capex uso'!$C$6:$C$176,$A327,'D2 - Capex uso'!$AK$6:$AK$176,$A344)</f>
        <v>0</v>
      </c>
      <c r="I344" s="710">
        <f>-SUMIFS('D2 - Capex uso'!BZ$6:BZ$176,'D2 - Capex uso'!$C$6:$C$176,$A327,'D2 - Capex uso'!$AK$6:$AK$176,$A344)</f>
        <v>0</v>
      </c>
      <c r="J344" s="710">
        <f>-SUMIFS('D2 - Capex uso'!CA$6:CA$176,'D2 - Capex uso'!$C$6:$C$176,$A327,'D2 - Capex uso'!$AK$6:$AK$176,$A344)</f>
        <v>0</v>
      </c>
      <c r="K344" s="710">
        <f>-SUMIFS('D2 - Capex uso'!CB$6:CB$176,'D2 - Capex uso'!$C$6:$C$176,$A327,'D2 - Capex uso'!$AK$6:$AK$176,$A344)</f>
        <v>0</v>
      </c>
      <c r="L344" s="710">
        <f>-SUMIFS('D2 - Capex uso'!CC$6:CC$176,'D2 - Capex uso'!$C$6:$C$176,$A327,'D2 - Capex uso'!$AK$6:$AK$176,$A344)</f>
        <v>0</v>
      </c>
      <c r="M344" s="710">
        <f>-SUMIFS('D2 - Capex uso'!CD$6:CD$176,'D2 - Capex uso'!$C$6:$C$176,$A327,'D2 - Capex uso'!$AK$6:$AK$176,$A344)</f>
        <v>0</v>
      </c>
      <c r="N344" s="710">
        <f>-SUMIFS('D2 - Capex uso'!CE$6:CE$176,'D2 - Capex uso'!$C$6:$C$176,$A327,'D2 - Capex uso'!$AK$6:$AK$176,$A344)</f>
        <v>0</v>
      </c>
      <c r="O344" s="710">
        <f>-SUMIFS('D2 - Capex uso'!CF$6:CF$176,'D2 - Capex uso'!$C$6:$C$176,$A327,'D2 - Capex uso'!$AK$6:$AK$176,$A344)</f>
        <v>0</v>
      </c>
      <c r="P344" s="710">
        <f>-SUMIFS('D2 - Capex uso'!CG$6:CG$176,'D2 - Capex uso'!$C$6:$C$176,$A327,'D2 - Capex uso'!$AK$6:$AK$176,$A344)</f>
        <v>0</v>
      </c>
      <c r="Q344" s="710">
        <f>-SUMIFS('D2 - Capex uso'!CH$6:CH$176,'D2 - Capex uso'!$C$6:$C$176,$A327,'D2 - Capex uso'!$AK$6:$AK$176,$A344)</f>
        <v>0</v>
      </c>
      <c r="R344" s="710">
        <f>-SUMIFS('D2 - Capex uso'!CI$6:CI$176,'D2 - Capex uso'!$C$6:$C$176,$A327,'D2 - Capex uso'!$AK$6:$AK$176,$A344)</f>
        <v>0</v>
      </c>
      <c r="S344" s="710">
        <f>-SUMIFS('D2 - Capex uso'!CJ$6:CJ$176,'D2 - Capex uso'!$C$6:$C$176,$A327,'D2 - Capex uso'!$AK$6:$AK$176,$A344)</f>
        <v>0</v>
      </c>
      <c r="T344" s="710">
        <f>-SUMIFS('D2 - Capex uso'!CK$6:CK$176,'D2 - Capex uso'!$C$6:$C$176,$A327,'D2 - Capex uso'!$AK$6:$AK$176,$A344)</f>
        <v>0</v>
      </c>
      <c r="U344" s="710">
        <f>-SUMIFS('D2 - Capex uso'!CL$6:CL$176,'D2 - Capex uso'!$C$6:$C$176,$A327,'D2 - Capex uso'!$AK$6:$AK$176,$A344)</f>
        <v>0</v>
      </c>
      <c r="V344" s="710">
        <f>-SUMIFS('D2 - Capex uso'!CM$6:CM$176,'D2 - Capex uso'!$C$6:$C$176,$A327,'D2 - Capex uso'!$AK$6:$AK$176,$A344)</f>
        <v>0</v>
      </c>
      <c r="W344" s="710">
        <f>-SUMIFS('D2 - Capex uso'!CN$6:CN$176,'D2 - Capex uso'!$C$6:$C$176,$A327,'D2 - Capex uso'!$AK$6:$AK$176,$A344)</f>
        <v>0</v>
      </c>
      <c r="X344" s="710">
        <f>-SUMIFS('D2 - Capex uso'!CO$6:CO$176,'D2 - Capex uso'!$C$6:$C$176,$A327,'D2 - Capex uso'!$AK$6:$AK$176,$A344)</f>
        <v>0</v>
      </c>
      <c r="Y344" s="710">
        <f>-SUMIFS('D2 - Capex uso'!CP$6:CP$176,'D2 - Capex uso'!$C$6:$C$176,$A327,'D2 - Capex uso'!$AK$6:$AK$176,$A344)</f>
        <v>0</v>
      </c>
      <c r="Z344" s="710">
        <f>-SUMIFS('D2 - Capex uso'!CQ$6:CQ$176,'D2 - Capex uso'!$C$6:$C$176,$A327,'D2 - Capex uso'!$AK$6:$AK$176,$A344)</f>
        <v>0</v>
      </c>
      <c r="AA344" s="710">
        <f>-SUMIFS('D2 - Capex uso'!CR$6:CR$176,'D2 - Capex uso'!$C$6:$C$176,$A327,'D2 - Capex uso'!$AK$6:$AK$176,$A344)</f>
        <v>0</v>
      </c>
      <c r="AB344" s="710">
        <f>-SUMIFS('D2 - Capex uso'!CS$6:CS$176,'D2 - Capex uso'!$C$6:$C$176,$A327,'D2 - Capex uso'!$AK$6:$AK$176,$A344)</f>
        <v>0</v>
      </c>
      <c r="AC344" s="710">
        <f>-SUMIFS('D2 - Capex uso'!CT$6:CT$176,'D2 - Capex uso'!$C$6:$C$176,$A327,'D2 - Capex uso'!$AK$6:$AK$176,$A344)</f>
        <v>0</v>
      </c>
      <c r="AD344" s="710">
        <f>-SUMIFS('D2 - Capex uso'!CU$6:CU$176,'D2 - Capex uso'!$C$6:$C$176,$A327,'D2 - Capex uso'!$AK$6:$AK$176,$A344)</f>
        <v>0</v>
      </c>
      <c r="AE344" s="710">
        <f>-SUMIFS('D2 - Capex uso'!CV$6:CV$176,'D2 - Capex uso'!$C$6:$C$176,$A327,'D2 - Capex uso'!$AK$6:$AK$176,$A344)</f>
        <v>0</v>
      </c>
      <c r="AF344" s="594"/>
      <c r="AG344" s="594"/>
      <c r="AH344" s="594"/>
      <c r="AI344" s="594"/>
      <c r="AJ344" s="594"/>
      <c r="AK344" s="594"/>
      <c r="AL344" s="594"/>
      <c r="AM344" s="594"/>
      <c r="AN344" s="594"/>
      <c r="AO344" s="594"/>
      <c r="AP344" s="594"/>
      <c r="AQ344" s="594"/>
      <c r="AR344" s="594"/>
      <c r="AS344" s="594"/>
      <c r="AT344" s="594"/>
      <c r="AU344" s="594"/>
      <c r="AV344" s="594"/>
      <c r="AW344" s="594"/>
      <c r="AX344" s="594"/>
      <c r="AY344" s="594"/>
      <c r="AZ344" s="594"/>
      <c r="BA344" s="594"/>
      <c r="BB344" s="594"/>
      <c r="BC344" s="594"/>
      <c r="BD344" s="594"/>
      <c r="BE344" s="594"/>
      <c r="BF344" s="594"/>
      <c r="BG344" s="594"/>
      <c r="BH344" s="594"/>
      <c r="BI344" s="594"/>
      <c r="BJ344" s="594"/>
      <c r="BK344" s="594"/>
      <c r="BL344" s="57"/>
      <c r="BM344" s="594"/>
      <c r="BN344" s="594"/>
      <c r="BO344" s="594"/>
      <c r="BP344" s="594"/>
      <c r="BQ344" s="594"/>
      <c r="BR344" s="594"/>
      <c r="BS344" s="594"/>
      <c r="BT344" s="594"/>
      <c r="BU344" s="594"/>
      <c r="BV344" s="594"/>
      <c r="BW344" s="594"/>
      <c r="BX344" s="594"/>
      <c r="BY344" s="594"/>
      <c r="BZ344" s="594"/>
      <c r="CA344" s="594"/>
      <c r="CB344" s="594"/>
      <c r="CC344" s="594"/>
      <c r="CD344" s="594"/>
      <c r="CE344" s="594"/>
      <c r="CF344" s="594"/>
      <c r="CG344" s="594"/>
      <c r="CH344" s="594"/>
      <c r="CI344" s="594"/>
      <c r="CJ344" s="594"/>
      <c r="CK344" s="594"/>
      <c r="CL344" s="594"/>
      <c r="CM344" s="594"/>
      <c r="CN344" s="594"/>
      <c r="CO344" s="594"/>
      <c r="CP344" s="594"/>
      <c r="CQ344" s="594"/>
    </row>
    <row r="345" spans="1:95" ht="19.5" hidden="1" customHeight="1" outlineLevel="2">
      <c r="A345" s="709" t="s">
        <v>171</v>
      </c>
      <c r="B345" s="710">
        <f>-SUMIFS('D2 - Capex uso'!BS$6:BS$176,'D2 - Capex uso'!$C$6:$C$176,$A327,'D2 - Capex uso'!$AK$6:$AK$176,$A345)</f>
        <v>0</v>
      </c>
      <c r="C345" s="710">
        <f>-SUMIFS('D2 - Capex uso'!BT$6:BT$176,'D2 - Capex uso'!$C$6:$C$176,$A327,'D2 - Capex uso'!$AK$6:$AK$176,$A345)</f>
        <v>0</v>
      </c>
      <c r="D345" s="710">
        <f>-SUMIFS('D2 - Capex uso'!BU$6:BU$176,'D2 - Capex uso'!$C$6:$C$176,$A327,'D2 - Capex uso'!$AK$6:$AK$176,$A345)</f>
        <v>0</v>
      </c>
      <c r="E345" s="710">
        <f>-SUMIFS('D2 - Capex uso'!BV$6:BV$176,'D2 - Capex uso'!$C$6:$C$176,$A327,'D2 - Capex uso'!$AK$6:$AK$176,$A345)</f>
        <v>0</v>
      </c>
      <c r="F345" s="710">
        <f>-SUMIFS('D2 - Capex uso'!BW$6:BW$176,'D2 - Capex uso'!$C$6:$C$176,$A327,'D2 - Capex uso'!$AK$6:$AK$176,$A345)</f>
        <v>0</v>
      </c>
      <c r="G345" s="710">
        <f>-SUMIFS('D2 - Capex uso'!BX$6:BX$176,'D2 - Capex uso'!$C$6:$C$176,$A327,'D2 - Capex uso'!$AK$6:$AK$176,$A345)</f>
        <v>0</v>
      </c>
      <c r="H345" s="710">
        <f>-SUMIFS('D2 - Capex uso'!BY$6:BY$176,'D2 - Capex uso'!$C$6:$C$176,$A327,'D2 - Capex uso'!$AK$6:$AK$176,$A345)</f>
        <v>0</v>
      </c>
      <c r="I345" s="710">
        <f>-SUMIFS('D2 - Capex uso'!BZ$6:BZ$176,'D2 - Capex uso'!$C$6:$C$176,$A327,'D2 - Capex uso'!$AK$6:$AK$176,$A345)</f>
        <v>0</v>
      </c>
      <c r="J345" s="710">
        <f>-SUMIFS('D2 - Capex uso'!CA$6:CA$176,'D2 - Capex uso'!$C$6:$C$176,$A327,'D2 - Capex uso'!$AK$6:$AK$176,$A345)</f>
        <v>0</v>
      </c>
      <c r="K345" s="710">
        <f>-SUMIFS('D2 - Capex uso'!CB$6:CB$176,'D2 - Capex uso'!$C$6:$C$176,$A327,'D2 - Capex uso'!$AK$6:$AK$176,$A345)</f>
        <v>0</v>
      </c>
      <c r="L345" s="710">
        <f>-SUMIFS('D2 - Capex uso'!CC$6:CC$176,'D2 - Capex uso'!$C$6:$C$176,$A327,'D2 - Capex uso'!$AK$6:$AK$176,$A345)</f>
        <v>0</v>
      </c>
      <c r="M345" s="710">
        <f>-SUMIFS('D2 - Capex uso'!CD$6:CD$176,'D2 - Capex uso'!$C$6:$C$176,$A327,'D2 - Capex uso'!$AK$6:$AK$176,$A345)</f>
        <v>0</v>
      </c>
      <c r="N345" s="710">
        <f>-SUMIFS('D2 - Capex uso'!CE$6:CE$176,'D2 - Capex uso'!$C$6:$C$176,$A327,'D2 - Capex uso'!$AK$6:$AK$176,$A345)</f>
        <v>0</v>
      </c>
      <c r="O345" s="710">
        <f>-SUMIFS('D2 - Capex uso'!CF$6:CF$176,'D2 - Capex uso'!$C$6:$C$176,$A327,'D2 - Capex uso'!$AK$6:$AK$176,$A345)</f>
        <v>0</v>
      </c>
      <c r="P345" s="710">
        <f>-SUMIFS('D2 - Capex uso'!CG$6:CG$176,'D2 - Capex uso'!$C$6:$C$176,$A327,'D2 - Capex uso'!$AK$6:$AK$176,$A345)</f>
        <v>0</v>
      </c>
      <c r="Q345" s="710">
        <f>-SUMIFS('D2 - Capex uso'!CH$6:CH$176,'D2 - Capex uso'!$C$6:$C$176,$A327,'D2 - Capex uso'!$AK$6:$AK$176,$A345)</f>
        <v>0</v>
      </c>
      <c r="R345" s="710">
        <f>-SUMIFS('D2 - Capex uso'!CI$6:CI$176,'D2 - Capex uso'!$C$6:$C$176,$A327,'D2 - Capex uso'!$AK$6:$AK$176,$A345)</f>
        <v>0</v>
      </c>
      <c r="S345" s="710">
        <f>-SUMIFS('D2 - Capex uso'!CJ$6:CJ$176,'D2 - Capex uso'!$C$6:$C$176,$A327,'D2 - Capex uso'!$AK$6:$AK$176,$A345)</f>
        <v>0</v>
      </c>
      <c r="T345" s="710">
        <f>-SUMIFS('D2 - Capex uso'!CK$6:CK$176,'D2 - Capex uso'!$C$6:$C$176,$A327,'D2 - Capex uso'!$AK$6:$AK$176,$A345)</f>
        <v>0</v>
      </c>
      <c r="U345" s="710">
        <f>-SUMIFS('D2 - Capex uso'!CL$6:CL$176,'D2 - Capex uso'!$C$6:$C$176,$A327,'D2 - Capex uso'!$AK$6:$AK$176,$A345)</f>
        <v>0</v>
      </c>
      <c r="V345" s="710">
        <f>-SUMIFS('D2 - Capex uso'!CM$6:CM$176,'D2 - Capex uso'!$C$6:$C$176,$A327,'D2 - Capex uso'!$AK$6:$AK$176,$A345)</f>
        <v>0</v>
      </c>
      <c r="W345" s="710">
        <f>-SUMIFS('D2 - Capex uso'!CN$6:CN$176,'D2 - Capex uso'!$C$6:$C$176,$A327,'D2 - Capex uso'!$AK$6:$AK$176,$A345)</f>
        <v>0</v>
      </c>
      <c r="X345" s="710">
        <f>-SUMIFS('D2 - Capex uso'!CO$6:CO$176,'D2 - Capex uso'!$C$6:$C$176,$A327,'D2 - Capex uso'!$AK$6:$AK$176,$A345)</f>
        <v>0</v>
      </c>
      <c r="Y345" s="710">
        <f>-SUMIFS('D2 - Capex uso'!CP$6:CP$176,'D2 - Capex uso'!$C$6:$C$176,$A327,'D2 - Capex uso'!$AK$6:$AK$176,$A345)</f>
        <v>0</v>
      </c>
      <c r="Z345" s="710">
        <f>-SUMIFS('D2 - Capex uso'!CQ$6:CQ$176,'D2 - Capex uso'!$C$6:$C$176,$A327,'D2 - Capex uso'!$AK$6:$AK$176,$A345)</f>
        <v>0</v>
      </c>
      <c r="AA345" s="710">
        <f>-SUMIFS('D2 - Capex uso'!CR$6:CR$176,'D2 - Capex uso'!$C$6:$C$176,$A327,'D2 - Capex uso'!$AK$6:$AK$176,$A345)</f>
        <v>0</v>
      </c>
      <c r="AB345" s="710">
        <f>-SUMIFS('D2 - Capex uso'!CS$6:CS$176,'D2 - Capex uso'!$C$6:$C$176,$A327,'D2 - Capex uso'!$AK$6:$AK$176,$A345)</f>
        <v>0</v>
      </c>
      <c r="AC345" s="710">
        <f>-SUMIFS('D2 - Capex uso'!CT$6:CT$176,'D2 - Capex uso'!$C$6:$C$176,$A327,'D2 - Capex uso'!$AK$6:$AK$176,$A345)</f>
        <v>0</v>
      </c>
      <c r="AD345" s="710">
        <f>-SUMIFS('D2 - Capex uso'!CU$6:CU$176,'D2 - Capex uso'!$C$6:$C$176,$A327,'D2 - Capex uso'!$AK$6:$AK$176,$A345)</f>
        <v>0</v>
      </c>
      <c r="AE345" s="710">
        <f>-SUMIFS('D2 - Capex uso'!CV$6:CV$176,'D2 - Capex uso'!$C$6:$C$176,$A327,'D2 - Capex uso'!$AK$6:$AK$176,$A345)</f>
        <v>0</v>
      </c>
      <c r="AF345" s="594"/>
      <c r="AG345" s="594"/>
      <c r="AH345" s="594"/>
      <c r="AI345" s="594"/>
      <c r="AJ345" s="594"/>
      <c r="AK345" s="594"/>
      <c r="AL345" s="594"/>
      <c r="AM345" s="594"/>
      <c r="AN345" s="594"/>
      <c r="AO345" s="594"/>
      <c r="AP345" s="594"/>
      <c r="AQ345" s="594"/>
      <c r="AR345" s="594"/>
      <c r="AS345" s="594"/>
      <c r="AT345" s="594"/>
      <c r="AU345" s="594"/>
      <c r="AV345" s="594"/>
      <c r="AW345" s="594"/>
      <c r="AX345" s="594"/>
      <c r="AY345" s="594"/>
      <c r="AZ345" s="594"/>
      <c r="BA345" s="594"/>
      <c r="BB345" s="594"/>
      <c r="BC345" s="594"/>
      <c r="BD345" s="594"/>
      <c r="BE345" s="594"/>
      <c r="BF345" s="594"/>
      <c r="BG345" s="594"/>
      <c r="BH345" s="594"/>
      <c r="BI345" s="594"/>
      <c r="BJ345" s="594"/>
      <c r="BK345" s="594"/>
      <c r="BL345" s="57"/>
      <c r="BM345" s="594"/>
      <c r="BN345" s="594"/>
      <c r="BO345" s="594"/>
      <c r="BP345" s="594"/>
      <c r="BQ345" s="594"/>
      <c r="BR345" s="594"/>
      <c r="BS345" s="594"/>
      <c r="BT345" s="594"/>
      <c r="BU345" s="594"/>
      <c r="BV345" s="594"/>
      <c r="BW345" s="594"/>
      <c r="BX345" s="594"/>
      <c r="BY345" s="594"/>
      <c r="BZ345" s="594"/>
      <c r="CA345" s="594"/>
      <c r="CB345" s="594"/>
      <c r="CC345" s="594"/>
      <c r="CD345" s="594"/>
      <c r="CE345" s="594"/>
      <c r="CF345" s="594"/>
      <c r="CG345" s="594"/>
      <c r="CH345" s="594"/>
      <c r="CI345" s="594"/>
      <c r="CJ345" s="594"/>
      <c r="CK345" s="594"/>
      <c r="CL345" s="594"/>
      <c r="CM345" s="594"/>
      <c r="CN345" s="594"/>
      <c r="CO345" s="594"/>
      <c r="CP345" s="594"/>
      <c r="CQ345" s="594"/>
    </row>
    <row r="346" spans="1:95" ht="27" customHeight="1" collapsed="1">
      <c r="A346" s="703">
        <f>IF(ISBLANK('A1 - Serviços e demanda'!A38),,'A1 - Serviços e demanda'!A38)</f>
        <v>0</v>
      </c>
      <c r="B346" s="704">
        <f t="shared" ref="B346:AE346" si="108">IF($A346=0,0,SUM(B355:B356))</f>
        <v>0</v>
      </c>
      <c r="C346" s="704">
        <f t="shared" si="108"/>
        <v>0</v>
      </c>
      <c r="D346" s="704">
        <f t="shared" si="108"/>
        <v>0</v>
      </c>
      <c r="E346" s="704">
        <f t="shared" si="108"/>
        <v>0</v>
      </c>
      <c r="F346" s="704">
        <f t="shared" si="108"/>
        <v>0</v>
      </c>
      <c r="G346" s="704">
        <f t="shared" si="108"/>
        <v>0</v>
      </c>
      <c r="H346" s="704">
        <f t="shared" si="108"/>
        <v>0</v>
      </c>
      <c r="I346" s="704">
        <f t="shared" si="108"/>
        <v>0</v>
      </c>
      <c r="J346" s="704">
        <f t="shared" si="108"/>
        <v>0</v>
      </c>
      <c r="K346" s="704">
        <f t="shared" si="108"/>
        <v>0</v>
      </c>
      <c r="L346" s="704">
        <f t="shared" si="108"/>
        <v>0</v>
      </c>
      <c r="M346" s="704">
        <f t="shared" si="108"/>
        <v>0</v>
      </c>
      <c r="N346" s="704">
        <f t="shared" si="108"/>
        <v>0</v>
      </c>
      <c r="O346" s="704">
        <f t="shared" si="108"/>
        <v>0</v>
      </c>
      <c r="P346" s="704">
        <f t="shared" si="108"/>
        <v>0</v>
      </c>
      <c r="Q346" s="704">
        <f t="shared" si="108"/>
        <v>0</v>
      </c>
      <c r="R346" s="704">
        <f t="shared" si="108"/>
        <v>0</v>
      </c>
      <c r="S346" s="704">
        <f t="shared" si="108"/>
        <v>0</v>
      </c>
      <c r="T346" s="704">
        <f t="shared" si="108"/>
        <v>0</v>
      </c>
      <c r="U346" s="704">
        <f t="shared" si="108"/>
        <v>0</v>
      </c>
      <c r="V346" s="704">
        <f t="shared" si="108"/>
        <v>0</v>
      </c>
      <c r="W346" s="704">
        <f t="shared" si="108"/>
        <v>0</v>
      </c>
      <c r="X346" s="704">
        <f t="shared" si="108"/>
        <v>0</v>
      </c>
      <c r="Y346" s="704">
        <f t="shared" si="108"/>
        <v>0</v>
      </c>
      <c r="Z346" s="704">
        <f t="shared" si="108"/>
        <v>0</v>
      </c>
      <c r="AA346" s="704">
        <f t="shared" si="108"/>
        <v>0</v>
      </c>
      <c r="AB346" s="704">
        <f t="shared" si="108"/>
        <v>0</v>
      </c>
      <c r="AC346" s="704">
        <f t="shared" si="108"/>
        <v>0</v>
      </c>
      <c r="AD346" s="704">
        <f t="shared" si="108"/>
        <v>0</v>
      </c>
      <c r="AE346" s="704">
        <f t="shared" si="108"/>
        <v>0</v>
      </c>
      <c r="AF346" s="594"/>
      <c r="AG346" s="486">
        <f>A346</f>
        <v>0</v>
      </c>
      <c r="AH346" s="705">
        <f t="shared" ref="AH346:BK346" si="109">IFERROR(-B349/B347,0)</f>
        <v>0</v>
      </c>
      <c r="AI346" s="705">
        <f t="shared" si="109"/>
        <v>0</v>
      </c>
      <c r="AJ346" s="705">
        <f t="shared" si="109"/>
        <v>0</v>
      </c>
      <c r="AK346" s="705">
        <f t="shared" si="109"/>
        <v>0</v>
      </c>
      <c r="AL346" s="705">
        <f t="shared" si="109"/>
        <v>0</v>
      </c>
      <c r="AM346" s="705">
        <f t="shared" si="109"/>
        <v>0</v>
      </c>
      <c r="AN346" s="705">
        <f t="shared" si="109"/>
        <v>0</v>
      </c>
      <c r="AO346" s="705">
        <f t="shared" si="109"/>
        <v>0</v>
      </c>
      <c r="AP346" s="705">
        <f t="shared" si="109"/>
        <v>0</v>
      </c>
      <c r="AQ346" s="705">
        <f t="shared" si="109"/>
        <v>0</v>
      </c>
      <c r="AR346" s="705">
        <f t="shared" si="109"/>
        <v>0</v>
      </c>
      <c r="AS346" s="705">
        <f t="shared" si="109"/>
        <v>0</v>
      </c>
      <c r="AT346" s="705">
        <f t="shared" si="109"/>
        <v>0</v>
      </c>
      <c r="AU346" s="705">
        <f t="shared" si="109"/>
        <v>0</v>
      </c>
      <c r="AV346" s="705">
        <f t="shared" si="109"/>
        <v>0</v>
      </c>
      <c r="AW346" s="705">
        <f t="shared" si="109"/>
        <v>0</v>
      </c>
      <c r="AX346" s="705">
        <f t="shared" si="109"/>
        <v>0</v>
      </c>
      <c r="AY346" s="705">
        <f t="shared" si="109"/>
        <v>0</v>
      </c>
      <c r="AZ346" s="705">
        <f t="shared" si="109"/>
        <v>0</v>
      </c>
      <c r="BA346" s="705">
        <f t="shared" si="109"/>
        <v>0</v>
      </c>
      <c r="BB346" s="705">
        <f t="shared" si="109"/>
        <v>0</v>
      </c>
      <c r="BC346" s="705">
        <f t="shared" si="109"/>
        <v>0</v>
      </c>
      <c r="BD346" s="705">
        <f t="shared" si="109"/>
        <v>0</v>
      </c>
      <c r="BE346" s="705">
        <f t="shared" si="109"/>
        <v>0</v>
      </c>
      <c r="BF346" s="705">
        <f t="shared" si="109"/>
        <v>0</v>
      </c>
      <c r="BG346" s="705">
        <f t="shared" si="109"/>
        <v>0</v>
      </c>
      <c r="BH346" s="705">
        <f t="shared" si="109"/>
        <v>0</v>
      </c>
      <c r="BI346" s="705">
        <f t="shared" si="109"/>
        <v>0</v>
      </c>
      <c r="BJ346" s="705">
        <f t="shared" si="109"/>
        <v>0</v>
      </c>
      <c r="BK346" s="705">
        <f t="shared" si="109"/>
        <v>0</v>
      </c>
      <c r="BL346" s="57"/>
      <c r="BM346" s="486">
        <f>AG346</f>
        <v>0</v>
      </c>
      <c r="BN346" s="705">
        <f t="shared" ref="BN346:CQ346" si="110">IFERROR(B355/B347,0)</f>
        <v>0</v>
      </c>
      <c r="BO346" s="705">
        <f t="shared" si="110"/>
        <v>0</v>
      </c>
      <c r="BP346" s="705">
        <f t="shared" si="110"/>
        <v>0</v>
      </c>
      <c r="BQ346" s="705">
        <f t="shared" si="110"/>
        <v>0</v>
      </c>
      <c r="BR346" s="705">
        <f t="shared" si="110"/>
        <v>0</v>
      </c>
      <c r="BS346" s="705">
        <f t="shared" si="110"/>
        <v>0</v>
      </c>
      <c r="BT346" s="705">
        <f t="shared" si="110"/>
        <v>0</v>
      </c>
      <c r="BU346" s="705">
        <f t="shared" si="110"/>
        <v>0</v>
      </c>
      <c r="BV346" s="705">
        <f t="shared" si="110"/>
        <v>0</v>
      </c>
      <c r="BW346" s="705">
        <f t="shared" si="110"/>
        <v>0</v>
      </c>
      <c r="BX346" s="705">
        <f t="shared" si="110"/>
        <v>0</v>
      </c>
      <c r="BY346" s="705">
        <f t="shared" si="110"/>
        <v>0</v>
      </c>
      <c r="BZ346" s="705">
        <f t="shared" si="110"/>
        <v>0</v>
      </c>
      <c r="CA346" s="705">
        <f t="shared" si="110"/>
        <v>0</v>
      </c>
      <c r="CB346" s="705">
        <f t="shared" si="110"/>
        <v>0</v>
      </c>
      <c r="CC346" s="705">
        <f t="shared" si="110"/>
        <v>0</v>
      </c>
      <c r="CD346" s="705">
        <f t="shared" si="110"/>
        <v>0</v>
      </c>
      <c r="CE346" s="705">
        <f t="shared" si="110"/>
        <v>0</v>
      </c>
      <c r="CF346" s="705">
        <f t="shared" si="110"/>
        <v>0</v>
      </c>
      <c r="CG346" s="705">
        <f t="shared" si="110"/>
        <v>0</v>
      </c>
      <c r="CH346" s="705">
        <f t="shared" si="110"/>
        <v>0</v>
      </c>
      <c r="CI346" s="705">
        <f t="shared" si="110"/>
        <v>0</v>
      </c>
      <c r="CJ346" s="705">
        <f t="shared" si="110"/>
        <v>0</v>
      </c>
      <c r="CK346" s="705">
        <f t="shared" si="110"/>
        <v>0</v>
      </c>
      <c r="CL346" s="705">
        <f t="shared" si="110"/>
        <v>0</v>
      </c>
      <c r="CM346" s="705">
        <f t="shared" si="110"/>
        <v>0</v>
      </c>
      <c r="CN346" s="705">
        <f t="shared" si="110"/>
        <v>0</v>
      </c>
      <c r="CO346" s="705">
        <f t="shared" si="110"/>
        <v>0</v>
      </c>
      <c r="CP346" s="705">
        <f t="shared" si="110"/>
        <v>0</v>
      </c>
      <c r="CQ346" s="705">
        <f t="shared" si="110"/>
        <v>0</v>
      </c>
    </row>
    <row r="347" spans="1:95" ht="33.75" hidden="1" customHeight="1" outlineLevel="1">
      <c r="A347" s="706" t="s">
        <v>680</v>
      </c>
      <c r="B347" s="707">
        <f>IFERROR(VLOOKUP($A346,ReceitaBruta,COLUMN('A4 - Previsão de Receita Bruta'!C349)-1,0),0)</f>
        <v>0</v>
      </c>
      <c r="C347" s="707">
        <f>IFERROR(VLOOKUP($A346,ReceitaBruta,COLUMN('A4 - Previsão de Receita Bruta'!D349)-1,0),0)</f>
        <v>0</v>
      </c>
      <c r="D347" s="707">
        <f>IFERROR(VLOOKUP($A346,ReceitaBruta,COLUMN('A4 - Previsão de Receita Bruta'!E349)-1,0),0)</f>
        <v>0</v>
      </c>
      <c r="E347" s="707">
        <f>IFERROR(VLOOKUP($A346,ReceitaBruta,COLUMN('A4 - Previsão de Receita Bruta'!F349)-1,0),0)</f>
        <v>0</v>
      </c>
      <c r="F347" s="707">
        <f>IFERROR(VLOOKUP($A346,ReceitaBruta,COLUMN('A4 - Previsão de Receita Bruta'!G349)-1,0),0)</f>
        <v>0</v>
      </c>
      <c r="G347" s="707">
        <f>IFERROR(VLOOKUP($A346,ReceitaBruta,COLUMN('A4 - Previsão de Receita Bruta'!H349)-1,0),0)</f>
        <v>0</v>
      </c>
      <c r="H347" s="707">
        <f>IFERROR(VLOOKUP($A346,ReceitaBruta,COLUMN('A4 - Previsão de Receita Bruta'!I349)-1,0),0)</f>
        <v>0</v>
      </c>
      <c r="I347" s="707">
        <f>IFERROR(VLOOKUP($A346,ReceitaBruta,COLUMN('A4 - Previsão de Receita Bruta'!J349)-1,0),0)</f>
        <v>0</v>
      </c>
      <c r="J347" s="707">
        <f>IFERROR(VLOOKUP($A346,ReceitaBruta,COLUMN('A4 - Previsão de Receita Bruta'!K349)-1,0),0)</f>
        <v>0</v>
      </c>
      <c r="K347" s="707">
        <f>IFERROR(VLOOKUP($A346,ReceitaBruta,COLUMN('A4 - Previsão de Receita Bruta'!L349)-1,0),0)</f>
        <v>0</v>
      </c>
      <c r="L347" s="707">
        <f>IFERROR(VLOOKUP($A346,ReceitaBruta,COLUMN('A4 - Previsão de Receita Bruta'!M349)-1,0),0)</f>
        <v>0</v>
      </c>
      <c r="M347" s="707">
        <f>IFERROR(VLOOKUP($A346,ReceitaBruta,COLUMN('A4 - Previsão de Receita Bruta'!N349)-1,0),0)</f>
        <v>0</v>
      </c>
      <c r="N347" s="707">
        <f>IFERROR(VLOOKUP($A346,ReceitaBruta,COLUMN('A4 - Previsão de Receita Bruta'!O349)-1,0),0)</f>
        <v>0</v>
      </c>
      <c r="O347" s="707">
        <f>IFERROR(VLOOKUP($A346,ReceitaBruta,COLUMN('A4 - Previsão de Receita Bruta'!P349)-1,0),0)</f>
        <v>0</v>
      </c>
      <c r="P347" s="707">
        <f>IFERROR(VLOOKUP($A346,ReceitaBruta,COLUMN('A4 - Previsão de Receita Bruta'!Q349)-1,0),0)</f>
        <v>0</v>
      </c>
      <c r="Q347" s="707">
        <f>IFERROR(VLOOKUP($A346,ReceitaBruta,COLUMN('A4 - Previsão de Receita Bruta'!R349)-1,0),0)</f>
        <v>0</v>
      </c>
      <c r="R347" s="707">
        <f>IFERROR(VLOOKUP($A346,ReceitaBruta,COLUMN('A4 - Previsão de Receita Bruta'!S349)-1,0),0)</f>
        <v>0</v>
      </c>
      <c r="S347" s="707">
        <f>IFERROR(VLOOKUP($A346,ReceitaBruta,COLUMN('A4 - Previsão de Receita Bruta'!T349)-1,0),0)</f>
        <v>0</v>
      </c>
      <c r="T347" s="707">
        <f>IFERROR(VLOOKUP($A346,ReceitaBruta,COLUMN('A4 - Previsão de Receita Bruta'!U349)-1,0),0)</f>
        <v>0</v>
      </c>
      <c r="U347" s="707">
        <f>IFERROR(VLOOKUP($A346,ReceitaBruta,COLUMN('A4 - Previsão de Receita Bruta'!V349)-1,0),0)</f>
        <v>0</v>
      </c>
      <c r="V347" s="707">
        <f>IFERROR(VLOOKUP($A346,ReceitaBruta,COLUMN('A4 - Previsão de Receita Bruta'!W349)-1,0),0)</f>
        <v>0</v>
      </c>
      <c r="W347" s="707">
        <f>IFERROR(VLOOKUP($A346,ReceitaBruta,COLUMN('A4 - Previsão de Receita Bruta'!X349)-1,0),0)</f>
        <v>0</v>
      </c>
      <c r="X347" s="707">
        <f>IFERROR(VLOOKUP($A346,ReceitaBruta,COLUMN('A4 - Previsão de Receita Bruta'!Y349)-1,0),0)</f>
        <v>0</v>
      </c>
      <c r="Y347" s="707">
        <f>IFERROR(VLOOKUP($A346,ReceitaBruta,COLUMN('A4 - Previsão de Receita Bruta'!Z349)-1,0),0)</f>
        <v>0</v>
      </c>
      <c r="Z347" s="707">
        <f>IFERROR(VLOOKUP($A346,ReceitaBruta,COLUMN('A4 - Previsão de Receita Bruta'!AA349)-1,0),0)</f>
        <v>0</v>
      </c>
      <c r="AA347" s="707">
        <f>IFERROR(VLOOKUP($A346,ReceitaBruta,COLUMN('A4 - Previsão de Receita Bruta'!AB349)-1,0),0)</f>
        <v>0</v>
      </c>
      <c r="AB347" s="707">
        <f>IFERROR(VLOOKUP($A346,ReceitaBruta,COLUMN('A4 - Previsão de Receita Bruta'!AC349)-1,0),0)</f>
        <v>0</v>
      </c>
      <c r="AC347" s="707">
        <f>IFERROR(VLOOKUP($A346,ReceitaBruta,COLUMN('A4 - Previsão de Receita Bruta'!AD349)-1,0),0)</f>
        <v>0</v>
      </c>
      <c r="AD347" s="707">
        <f>IFERROR(VLOOKUP($A346,ReceitaBruta,COLUMN('A4 - Previsão de Receita Bruta'!AE349)-1,0),0)</f>
        <v>0</v>
      </c>
      <c r="AE347" s="707">
        <f>IFERROR(VLOOKUP($A346,ReceitaBruta,COLUMN('A4 - Previsão de Receita Bruta'!AF349)-1,0),0)</f>
        <v>0</v>
      </c>
      <c r="AF347" s="594"/>
      <c r="AG347" s="594"/>
      <c r="AH347" s="594"/>
      <c r="AI347" s="594"/>
      <c r="AJ347" s="594"/>
      <c r="AK347" s="594"/>
      <c r="AL347" s="594"/>
      <c r="AM347" s="594"/>
      <c r="AN347" s="594"/>
      <c r="AO347" s="594"/>
      <c r="AP347" s="594"/>
      <c r="AQ347" s="594"/>
      <c r="AR347" s="594"/>
      <c r="AS347" s="594"/>
      <c r="AT347" s="594"/>
      <c r="AU347" s="594"/>
      <c r="AV347" s="594"/>
      <c r="AW347" s="594"/>
      <c r="AX347" s="594"/>
      <c r="AY347" s="594"/>
      <c r="AZ347" s="594"/>
      <c r="BA347" s="594"/>
      <c r="BB347" s="594"/>
      <c r="BC347" s="594"/>
      <c r="BD347" s="594"/>
      <c r="BE347" s="594"/>
      <c r="BF347" s="594"/>
      <c r="BG347" s="594"/>
      <c r="BH347" s="594"/>
      <c r="BI347" s="594"/>
      <c r="BJ347" s="594"/>
      <c r="BK347" s="594"/>
      <c r="BL347" s="57"/>
      <c r="BM347" s="594"/>
      <c r="BN347" s="594"/>
      <c r="BO347" s="594"/>
      <c r="BP347" s="594"/>
      <c r="BQ347" s="594"/>
      <c r="BR347" s="594"/>
      <c r="BS347" s="594"/>
      <c r="BT347" s="594"/>
      <c r="BU347" s="594"/>
      <c r="BV347" s="594"/>
      <c r="BW347" s="594"/>
      <c r="BX347" s="594"/>
      <c r="BY347" s="594"/>
      <c r="BZ347" s="594"/>
      <c r="CA347" s="594"/>
      <c r="CB347" s="594"/>
      <c r="CC347" s="594"/>
      <c r="CD347" s="594"/>
      <c r="CE347" s="594"/>
      <c r="CF347" s="594"/>
      <c r="CG347" s="594"/>
      <c r="CH347" s="594"/>
      <c r="CI347" s="594"/>
      <c r="CJ347" s="594"/>
      <c r="CK347" s="594"/>
      <c r="CL347" s="594"/>
      <c r="CM347" s="594"/>
      <c r="CN347" s="594"/>
      <c r="CO347" s="594"/>
      <c r="CP347" s="594"/>
      <c r="CQ347" s="594"/>
    </row>
    <row r="348" spans="1:95" ht="21" hidden="1" customHeight="1" outlineLevel="1">
      <c r="A348" s="708" t="s">
        <v>681</v>
      </c>
      <c r="B348" s="707">
        <f>IFERROR(-'E2 - Tributos'!D$19*VLOOKUP('F1 - FCL'!$A346,ReceitaBruta,COLUMN('A4 - Previsão de Receita Bruta'!C$6)-1,0),0)</f>
        <v>0</v>
      </c>
      <c r="C348" s="707">
        <f>IFERROR(-'E2 - Tributos'!E$19*VLOOKUP('F1 - FCL'!$A346,ReceitaBruta,COLUMN('A4 - Previsão de Receita Bruta'!D$6)-1,0),0)</f>
        <v>0</v>
      </c>
      <c r="D348" s="707">
        <f>IFERROR(-'E2 - Tributos'!F$19*VLOOKUP('F1 - FCL'!$A346,ReceitaBruta,COLUMN('A4 - Previsão de Receita Bruta'!E$6)-1,0),0)</f>
        <v>0</v>
      </c>
      <c r="E348" s="707">
        <f>IFERROR(-'E2 - Tributos'!G$19*VLOOKUP('F1 - FCL'!$A346,ReceitaBruta,COLUMN('A4 - Previsão de Receita Bruta'!F$6)-1,0),0)</f>
        <v>0</v>
      </c>
      <c r="F348" s="707">
        <f>IFERROR(-'E2 - Tributos'!H$19*VLOOKUP('F1 - FCL'!$A346,ReceitaBruta,COLUMN('A4 - Previsão de Receita Bruta'!G$6)-1,0),0)</f>
        <v>0</v>
      </c>
      <c r="G348" s="707">
        <f>IFERROR(-'E2 - Tributos'!I$19*VLOOKUP('F1 - FCL'!$A346,ReceitaBruta,COLUMN('A4 - Previsão de Receita Bruta'!H$6)-1,0),0)</f>
        <v>0</v>
      </c>
      <c r="H348" s="707">
        <f>IFERROR(-'E2 - Tributos'!J$19*VLOOKUP('F1 - FCL'!$A346,ReceitaBruta,COLUMN('A4 - Previsão de Receita Bruta'!I$6)-1,0),0)</f>
        <v>0</v>
      </c>
      <c r="I348" s="707">
        <f>IFERROR(-'E2 - Tributos'!K$19*VLOOKUP('F1 - FCL'!$A346,ReceitaBruta,COLUMN('A4 - Previsão de Receita Bruta'!J$6)-1,0),0)</f>
        <v>0</v>
      </c>
      <c r="J348" s="707">
        <f>IFERROR(-'E2 - Tributos'!L$19*VLOOKUP('F1 - FCL'!$A346,ReceitaBruta,COLUMN('A4 - Previsão de Receita Bruta'!K$6)-1,0),0)</f>
        <v>0</v>
      </c>
      <c r="K348" s="707">
        <f>IFERROR(-'E2 - Tributos'!M$19*VLOOKUP('F1 - FCL'!$A346,ReceitaBruta,COLUMN('A4 - Previsão de Receita Bruta'!L$6)-1,0),0)</f>
        <v>0</v>
      </c>
      <c r="L348" s="707">
        <f>IFERROR(-'E2 - Tributos'!N$19*VLOOKUP('F1 - FCL'!$A346,ReceitaBruta,COLUMN('A4 - Previsão de Receita Bruta'!M$6)-1,0),0)</f>
        <v>0</v>
      </c>
      <c r="M348" s="707">
        <f>IFERROR(-'E2 - Tributos'!O$19*VLOOKUP('F1 - FCL'!$A346,ReceitaBruta,COLUMN('A4 - Previsão de Receita Bruta'!N$6)-1,0),0)</f>
        <v>0</v>
      </c>
      <c r="N348" s="707">
        <f>IFERROR(-'E2 - Tributos'!P$19*VLOOKUP('F1 - FCL'!$A346,ReceitaBruta,COLUMN('A4 - Previsão de Receita Bruta'!O$6)-1,0),0)</f>
        <v>0</v>
      </c>
      <c r="O348" s="707">
        <f>IFERROR(-'E2 - Tributos'!Q$19*VLOOKUP('F1 - FCL'!$A346,ReceitaBruta,COLUMN('A4 - Previsão de Receita Bruta'!P$6)-1,0),0)</f>
        <v>0</v>
      </c>
      <c r="P348" s="707">
        <f>IFERROR(-'E2 - Tributos'!R$19*VLOOKUP('F1 - FCL'!$A346,ReceitaBruta,COLUMN('A4 - Previsão de Receita Bruta'!Q$6)-1,0),0)</f>
        <v>0</v>
      </c>
      <c r="Q348" s="707">
        <f>IFERROR(-'E2 - Tributos'!S$19*VLOOKUP('F1 - FCL'!$A346,ReceitaBruta,COLUMN('A4 - Previsão de Receita Bruta'!R$6)-1,0),0)</f>
        <v>0</v>
      </c>
      <c r="R348" s="707">
        <f>IFERROR(-'E2 - Tributos'!T$19*VLOOKUP('F1 - FCL'!$A346,ReceitaBruta,COLUMN('A4 - Previsão de Receita Bruta'!S$6)-1,0),0)</f>
        <v>0</v>
      </c>
      <c r="S348" s="707">
        <f>IFERROR(-'E2 - Tributos'!U$19*VLOOKUP('F1 - FCL'!$A346,ReceitaBruta,COLUMN('A4 - Previsão de Receita Bruta'!T$6)-1,0),0)</f>
        <v>0</v>
      </c>
      <c r="T348" s="707">
        <f>IFERROR(-'E2 - Tributos'!V$19*VLOOKUP('F1 - FCL'!$A346,ReceitaBruta,COLUMN('A4 - Previsão de Receita Bruta'!U$6)-1,0),0)</f>
        <v>0</v>
      </c>
      <c r="U348" s="707">
        <f>IFERROR(-'E2 - Tributos'!W$19*VLOOKUP('F1 - FCL'!$A346,ReceitaBruta,COLUMN('A4 - Previsão de Receita Bruta'!V$6)-1,0),0)</f>
        <v>0</v>
      </c>
      <c r="V348" s="707">
        <f>IFERROR(-'E2 - Tributos'!X$19*VLOOKUP('F1 - FCL'!$A346,ReceitaBruta,COLUMN('A4 - Previsão de Receita Bruta'!W$6)-1,0),0)</f>
        <v>0</v>
      </c>
      <c r="W348" s="707">
        <f>IFERROR(-'E2 - Tributos'!Y$19*VLOOKUP('F1 - FCL'!$A346,ReceitaBruta,COLUMN('A4 - Previsão de Receita Bruta'!X$6)-1,0),0)</f>
        <v>0</v>
      </c>
      <c r="X348" s="707">
        <f>IFERROR(-'E2 - Tributos'!Z$19*VLOOKUP('F1 - FCL'!$A346,ReceitaBruta,COLUMN('A4 - Previsão de Receita Bruta'!Y$6)-1,0),0)</f>
        <v>0</v>
      </c>
      <c r="Y348" s="707">
        <f>IFERROR(-'E2 - Tributos'!AA$19*VLOOKUP('F1 - FCL'!$A346,ReceitaBruta,COLUMN('A4 - Previsão de Receita Bruta'!Z$6)-1,0),0)</f>
        <v>0</v>
      </c>
      <c r="Z348" s="707">
        <f>IFERROR(-'E2 - Tributos'!AB$19*VLOOKUP('F1 - FCL'!$A346,ReceitaBruta,COLUMN('A4 - Previsão de Receita Bruta'!AA$6)-1,0),0)</f>
        <v>0</v>
      </c>
      <c r="AA348" s="707">
        <f>IFERROR(-'E2 - Tributos'!AC$19*VLOOKUP('F1 - FCL'!$A346,ReceitaBruta,COLUMN('A4 - Previsão de Receita Bruta'!AB$6)-1,0),0)</f>
        <v>0</v>
      </c>
      <c r="AB348" s="707">
        <f>IFERROR(-'E2 - Tributos'!AD$19*VLOOKUP('F1 - FCL'!$A346,ReceitaBruta,COLUMN('A4 - Previsão de Receita Bruta'!AC$6)-1,0),0)</f>
        <v>0</v>
      </c>
      <c r="AC348" s="707">
        <f>IFERROR(-'E2 - Tributos'!AE$19*VLOOKUP('F1 - FCL'!$A346,ReceitaBruta,COLUMN('A4 - Previsão de Receita Bruta'!AD$6)-1,0),0)</f>
        <v>0</v>
      </c>
      <c r="AD348" s="707">
        <f>IFERROR(-'E2 - Tributos'!AF$19*VLOOKUP('F1 - FCL'!$A346,ReceitaBruta,COLUMN('A4 - Previsão de Receita Bruta'!AE$6)-1,0),0)</f>
        <v>0</v>
      </c>
      <c r="AE348" s="707">
        <f>IFERROR(-'E2 - Tributos'!AG$19*VLOOKUP('F1 - FCL'!$A346,ReceitaBruta,COLUMN('A4 - Previsão de Receita Bruta'!AF$6)-1,0),0)</f>
        <v>0</v>
      </c>
      <c r="AF348" s="594"/>
      <c r="AG348" s="594"/>
      <c r="AH348" s="594"/>
      <c r="AI348" s="594"/>
      <c r="AJ348" s="594"/>
      <c r="AK348" s="594"/>
      <c r="AL348" s="594"/>
      <c r="AM348" s="594"/>
      <c r="AN348" s="594"/>
      <c r="AO348" s="594"/>
      <c r="AP348" s="594"/>
      <c r="AQ348" s="594"/>
      <c r="AR348" s="594"/>
      <c r="AS348" s="594"/>
      <c r="AT348" s="594"/>
      <c r="AU348" s="594"/>
      <c r="AV348" s="594"/>
      <c r="AW348" s="594"/>
      <c r="AX348" s="594"/>
      <c r="AY348" s="594"/>
      <c r="AZ348" s="594"/>
      <c r="BA348" s="594"/>
      <c r="BB348" s="594"/>
      <c r="BC348" s="594"/>
      <c r="BD348" s="594"/>
      <c r="BE348" s="594"/>
      <c r="BF348" s="594"/>
      <c r="BG348" s="594"/>
      <c r="BH348" s="594"/>
      <c r="BI348" s="594"/>
      <c r="BJ348" s="594"/>
      <c r="BK348" s="594"/>
      <c r="BL348" s="57"/>
      <c r="BM348" s="594"/>
      <c r="BN348" s="594"/>
      <c r="BO348" s="594"/>
      <c r="BP348" s="594"/>
      <c r="BQ348" s="594"/>
      <c r="BR348" s="594"/>
      <c r="BS348" s="594"/>
      <c r="BT348" s="594"/>
      <c r="BU348" s="594"/>
      <c r="BV348" s="594"/>
      <c r="BW348" s="594"/>
      <c r="BX348" s="594"/>
      <c r="BY348" s="594"/>
      <c r="BZ348" s="594"/>
      <c r="CA348" s="594"/>
      <c r="CB348" s="594"/>
      <c r="CC348" s="594"/>
      <c r="CD348" s="594"/>
      <c r="CE348" s="594"/>
      <c r="CF348" s="594"/>
      <c r="CG348" s="594"/>
      <c r="CH348" s="594"/>
      <c r="CI348" s="594"/>
      <c r="CJ348" s="594"/>
      <c r="CK348" s="594"/>
      <c r="CL348" s="594"/>
      <c r="CM348" s="594"/>
      <c r="CN348" s="594"/>
      <c r="CO348" s="594"/>
      <c r="CP348" s="594"/>
      <c r="CQ348" s="594"/>
    </row>
    <row r="349" spans="1:95" ht="19.5" hidden="1" customHeight="1" outlineLevel="1">
      <c r="A349" s="708" t="s">
        <v>590</v>
      </c>
      <c r="B349" s="707">
        <f t="shared" ref="B349:AE349" si="111">SUM(B350:B354)</f>
        <v>0</v>
      </c>
      <c r="C349" s="707">
        <f t="shared" si="111"/>
        <v>0</v>
      </c>
      <c r="D349" s="707">
        <f t="shared" si="111"/>
        <v>0</v>
      </c>
      <c r="E349" s="707">
        <f t="shared" si="111"/>
        <v>0</v>
      </c>
      <c r="F349" s="707">
        <f t="shared" si="111"/>
        <v>0</v>
      </c>
      <c r="G349" s="707">
        <f t="shared" si="111"/>
        <v>0</v>
      </c>
      <c r="H349" s="707">
        <f t="shared" si="111"/>
        <v>0</v>
      </c>
      <c r="I349" s="707">
        <f t="shared" si="111"/>
        <v>0</v>
      </c>
      <c r="J349" s="707">
        <f t="shared" si="111"/>
        <v>0</v>
      </c>
      <c r="K349" s="707">
        <f t="shared" si="111"/>
        <v>0</v>
      </c>
      <c r="L349" s="707">
        <f t="shared" si="111"/>
        <v>0</v>
      </c>
      <c r="M349" s="707">
        <f t="shared" si="111"/>
        <v>0</v>
      </c>
      <c r="N349" s="707">
        <f t="shared" si="111"/>
        <v>0</v>
      </c>
      <c r="O349" s="707">
        <f t="shared" si="111"/>
        <v>0</v>
      </c>
      <c r="P349" s="707">
        <f t="shared" si="111"/>
        <v>0</v>
      </c>
      <c r="Q349" s="707">
        <f t="shared" si="111"/>
        <v>0</v>
      </c>
      <c r="R349" s="707">
        <f t="shared" si="111"/>
        <v>0</v>
      </c>
      <c r="S349" s="707">
        <f t="shared" si="111"/>
        <v>0</v>
      </c>
      <c r="T349" s="707">
        <f t="shared" si="111"/>
        <v>0</v>
      </c>
      <c r="U349" s="707">
        <f t="shared" si="111"/>
        <v>0</v>
      </c>
      <c r="V349" s="707">
        <f t="shared" si="111"/>
        <v>0</v>
      </c>
      <c r="W349" s="707">
        <f t="shared" si="111"/>
        <v>0</v>
      </c>
      <c r="X349" s="707">
        <f t="shared" si="111"/>
        <v>0</v>
      </c>
      <c r="Y349" s="707">
        <f t="shared" si="111"/>
        <v>0</v>
      </c>
      <c r="Z349" s="707">
        <f t="shared" si="111"/>
        <v>0</v>
      </c>
      <c r="AA349" s="707">
        <f t="shared" si="111"/>
        <v>0</v>
      </c>
      <c r="AB349" s="707">
        <f t="shared" si="111"/>
        <v>0</v>
      </c>
      <c r="AC349" s="707">
        <f t="shared" si="111"/>
        <v>0</v>
      </c>
      <c r="AD349" s="707">
        <f t="shared" si="111"/>
        <v>0</v>
      </c>
      <c r="AE349" s="707">
        <f t="shared" si="111"/>
        <v>0</v>
      </c>
      <c r="AF349" s="594"/>
      <c r="AG349" s="594"/>
      <c r="AH349" s="594"/>
      <c r="AI349" s="594"/>
      <c r="AJ349" s="594"/>
      <c r="AK349" s="594"/>
      <c r="AL349" s="594"/>
      <c r="AM349" s="594"/>
      <c r="AN349" s="594"/>
      <c r="AO349" s="594"/>
      <c r="AP349" s="594"/>
      <c r="AQ349" s="594"/>
      <c r="AR349" s="594"/>
      <c r="AS349" s="594"/>
      <c r="AT349" s="594"/>
      <c r="AU349" s="594"/>
      <c r="AV349" s="594"/>
      <c r="AW349" s="594"/>
      <c r="AX349" s="594"/>
      <c r="AY349" s="594"/>
      <c r="AZ349" s="594"/>
      <c r="BA349" s="594"/>
      <c r="BB349" s="594"/>
      <c r="BC349" s="594"/>
      <c r="BD349" s="594"/>
      <c r="BE349" s="594"/>
      <c r="BF349" s="594"/>
      <c r="BG349" s="594"/>
      <c r="BH349" s="594"/>
      <c r="BI349" s="594"/>
      <c r="BJ349" s="594"/>
      <c r="BK349" s="594"/>
      <c r="BL349" s="57"/>
      <c r="BM349" s="594"/>
      <c r="BN349" s="594"/>
      <c r="BO349" s="594"/>
      <c r="BP349" s="594"/>
      <c r="BQ349" s="594"/>
      <c r="BR349" s="594"/>
      <c r="BS349" s="594"/>
      <c r="BT349" s="594"/>
      <c r="BU349" s="594"/>
      <c r="BV349" s="594"/>
      <c r="BW349" s="594"/>
      <c r="BX349" s="594"/>
      <c r="BY349" s="594"/>
      <c r="BZ349" s="594"/>
      <c r="CA349" s="594"/>
      <c r="CB349" s="594"/>
      <c r="CC349" s="594"/>
      <c r="CD349" s="594"/>
      <c r="CE349" s="594"/>
      <c r="CF349" s="594"/>
      <c r="CG349" s="594"/>
      <c r="CH349" s="594"/>
      <c r="CI349" s="594"/>
      <c r="CJ349" s="594"/>
      <c r="CK349" s="594"/>
      <c r="CL349" s="594"/>
      <c r="CM349" s="594"/>
      <c r="CN349" s="594"/>
      <c r="CO349" s="594"/>
      <c r="CP349" s="594"/>
      <c r="CQ349" s="594"/>
    </row>
    <row r="350" spans="1:95" ht="21" hidden="1" customHeight="1" outlineLevel="2">
      <c r="A350" s="709" t="s">
        <v>682</v>
      </c>
      <c r="B350" s="710">
        <f>IF($A346="",0,-SUMIF('C3 - Funcionários $'!$D$7:$D$121,$A346,'C3 - Funcionários $'!G$7:G$121))</f>
        <v>0</v>
      </c>
      <c r="C350" s="710">
        <f>IF($A346="",0,-SUMIF('C3 - Funcionários $'!$D$7:$D$121,$A346,'C3 - Funcionários $'!H$7:H$121))</f>
        <v>0</v>
      </c>
      <c r="D350" s="710">
        <f>IF($A346="",0,-SUMIF('C3 - Funcionários $'!$D$7:$D$121,$A346,'C3 - Funcionários $'!I$7:I$121))</f>
        <v>0</v>
      </c>
      <c r="E350" s="710">
        <f>IF($A346="",0,-SUMIF('C3 - Funcionários $'!$D$7:$D$121,$A346,'C3 - Funcionários $'!J$7:J$121))</f>
        <v>0</v>
      </c>
      <c r="F350" s="710">
        <f>IF($A346="",0,-SUMIF('C3 - Funcionários $'!$D$7:$D$121,$A346,'C3 - Funcionários $'!K$7:K$121))</f>
        <v>0</v>
      </c>
      <c r="G350" s="710">
        <f>IF($A346="",0,-SUMIF('C3 - Funcionários $'!$D$7:$D$121,$A346,'C3 - Funcionários $'!L$7:L$121))</f>
        <v>0</v>
      </c>
      <c r="H350" s="710">
        <f>IF($A346="",0,-SUMIF('C3 - Funcionários $'!$D$7:$D$121,$A346,'C3 - Funcionários $'!M$7:M$121))</f>
        <v>0</v>
      </c>
      <c r="I350" s="710">
        <f>IF($A346="",0,-SUMIF('C3 - Funcionários $'!$D$7:$D$121,$A346,'C3 - Funcionários $'!N$7:N$121))</f>
        <v>0</v>
      </c>
      <c r="J350" s="710">
        <f>IF($A346="",0,-SUMIF('C3 - Funcionários $'!$D$7:$D$121,$A346,'C3 - Funcionários $'!O$7:O$121))</f>
        <v>0</v>
      </c>
      <c r="K350" s="710">
        <f>IF($A346="",0,-SUMIF('C3 - Funcionários $'!$D$7:$D$121,$A346,'C3 - Funcionários $'!P$7:P$121))</f>
        <v>0</v>
      </c>
      <c r="L350" s="710">
        <f>IF($A346="",0,-SUMIF('C3 - Funcionários $'!$D$7:$D$121,$A346,'C3 - Funcionários $'!Q$7:Q$121))</f>
        <v>0</v>
      </c>
      <c r="M350" s="710">
        <f>IF($A346="",0,-SUMIF('C3 - Funcionários $'!$D$7:$D$121,$A346,'C3 - Funcionários $'!R$7:R$121))</f>
        <v>0</v>
      </c>
      <c r="N350" s="710">
        <f>IF($A346="",0,-SUMIF('C3 - Funcionários $'!$D$7:$D$121,$A346,'C3 - Funcionários $'!S$7:S$121))</f>
        <v>0</v>
      </c>
      <c r="O350" s="710">
        <f>IF($A346="",0,-SUMIF('C3 - Funcionários $'!$D$7:$D$121,$A346,'C3 - Funcionários $'!T$7:T$121))</f>
        <v>0</v>
      </c>
      <c r="P350" s="710">
        <f>IF($A346="",0,-SUMIF('C3 - Funcionários $'!$D$7:$D$121,$A346,'C3 - Funcionários $'!U$7:U$121))</f>
        <v>0</v>
      </c>
      <c r="Q350" s="710">
        <f>IF($A346="",0,-SUMIF('C3 - Funcionários $'!$D$7:$D$121,$A346,'C3 - Funcionários $'!V$7:V$121))</f>
        <v>0</v>
      </c>
      <c r="R350" s="710">
        <f>IF($A346="",0,-SUMIF('C3 - Funcionários $'!$D$7:$D$121,$A346,'C3 - Funcionários $'!W$7:W$121))</f>
        <v>0</v>
      </c>
      <c r="S350" s="710">
        <f>IF($A346="",0,-SUMIF('C3 - Funcionários $'!$D$7:$D$121,$A346,'C3 - Funcionários $'!X$7:X$121))</f>
        <v>0</v>
      </c>
      <c r="T350" s="710">
        <f>IF($A346="",0,-SUMIF('C3 - Funcionários $'!$D$7:$D$121,$A346,'C3 - Funcionários $'!Y$7:Y$121))</f>
        <v>0</v>
      </c>
      <c r="U350" s="710">
        <f>IF($A346="",0,-SUMIF('C3 - Funcionários $'!$D$7:$D$121,$A346,'C3 - Funcionários $'!Z$7:Z$121))</f>
        <v>0</v>
      </c>
      <c r="V350" s="710">
        <f>IF($A346="",0,-SUMIF('C3 - Funcionários $'!$D$7:$D$121,$A346,'C3 - Funcionários $'!AA$7:AA$121))</f>
        <v>0</v>
      </c>
      <c r="W350" s="710">
        <f>IF($A346="",0,-SUMIF('C3 - Funcionários $'!$D$7:$D$121,$A346,'C3 - Funcionários $'!AB$7:AB$121))</f>
        <v>0</v>
      </c>
      <c r="X350" s="710">
        <f>IF($A346="",0,-SUMIF('C3 - Funcionários $'!$D$7:$D$121,$A346,'C3 - Funcionários $'!AC$7:AC$121))</f>
        <v>0</v>
      </c>
      <c r="Y350" s="710">
        <f>IF($A346="",0,-SUMIF('C3 - Funcionários $'!$D$7:$D$121,$A346,'C3 - Funcionários $'!AD$7:AD$121))</f>
        <v>0</v>
      </c>
      <c r="Z350" s="710">
        <f>IF($A346="",0,-SUMIF('C3 - Funcionários $'!$D$7:$D$121,$A346,'C3 - Funcionários $'!AE$7:AE$121))</f>
        <v>0</v>
      </c>
      <c r="AA350" s="710">
        <f>IF($A346="",0,-SUMIF('C3 - Funcionários $'!$D$7:$D$121,$A346,'C3 - Funcionários $'!AF$7:AF$121))</f>
        <v>0</v>
      </c>
      <c r="AB350" s="710">
        <f>IF($A346="",0,-SUMIF('C3 - Funcionários $'!$D$7:$D$121,$A346,'C3 - Funcionários $'!AG$7:AG$121))</f>
        <v>0</v>
      </c>
      <c r="AC350" s="710">
        <f>IF($A346="",0,-SUMIF('C3 - Funcionários $'!$D$7:$D$121,$A346,'C3 - Funcionários $'!AH$7:AH$121))</f>
        <v>0</v>
      </c>
      <c r="AD350" s="710">
        <f>IF($A346="",0,-SUMIF('C3 - Funcionários $'!$D$7:$D$121,$A346,'C3 - Funcionários $'!AI$7:AI$121))</f>
        <v>0</v>
      </c>
      <c r="AE350" s="710">
        <f>IF($A346="",0,-SUMIF('C3 - Funcionários $'!$D$7:$D$121,$A346,'C3 - Funcionários $'!AJ$7:AJ$121))</f>
        <v>0</v>
      </c>
      <c r="AF350" s="594"/>
      <c r="AG350" s="594"/>
      <c r="AH350" s="594"/>
      <c r="AI350" s="594"/>
      <c r="AJ350" s="594"/>
      <c r="AK350" s="594"/>
      <c r="AL350" s="594"/>
      <c r="AM350" s="594"/>
      <c r="AN350" s="594"/>
      <c r="AO350" s="594"/>
      <c r="AP350" s="594"/>
      <c r="AQ350" s="594"/>
      <c r="AR350" s="594"/>
      <c r="AS350" s="594"/>
      <c r="AT350" s="594"/>
      <c r="AU350" s="594"/>
      <c r="AV350" s="594"/>
      <c r="AW350" s="594"/>
      <c r="AX350" s="594"/>
      <c r="AY350" s="594"/>
      <c r="AZ350" s="594"/>
      <c r="BA350" s="594"/>
      <c r="BB350" s="594"/>
      <c r="BC350" s="594"/>
      <c r="BD350" s="594"/>
      <c r="BE350" s="594"/>
      <c r="BF350" s="594"/>
      <c r="BG350" s="594"/>
      <c r="BH350" s="594"/>
      <c r="BI350" s="594"/>
      <c r="BJ350" s="594"/>
      <c r="BK350" s="594"/>
      <c r="BL350" s="57"/>
      <c r="BM350" s="594"/>
      <c r="BN350" s="594"/>
      <c r="BO350" s="594"/>
      <c r="BP350" s="594"/>
      <c r="BQ350" s="594"/>
      <c r="BR350" s="594"/>
      <c r="BS350" s="594"/>
      <c r="BT350" s="594"/>
      <c r="BU350" s="594"/>
      <c r="BV350" s="594"/>
      <c r="BW350" s="594"/>
      <c r="BX350" s="594"/>
      <c r="BY350" s="594"/>
      <c r="BZ350" s="594"/>
      <c r="CA350" s="594"/>
      <c r="CB350" s="594"/>
      <c r="CC350" s="594"/>
      <c r="CD350" s="594"/>
      <c r="CE350" s="594"/>
      <c r="CF350" s="594"/>
      <c r="CG350" s="594"/>
      <c r="CH350" s="594"/>
      <c r="CI350" s="594"/>
      <c r="CJ350" s="594"/>
      <c r="CK350" s="594"/>
      <c r="CL350" s="594"/>
      <c r="CM350" s="594"/>
      <c r="CN350" s="594"/>
      <c r="CO350" s="594"/>
      <c r="CP350" s="594"/>
      <c r="CQ350" s="594"/>
    </row>
    <row r="351" spans="1:95" ht="21" hidden="1" customHeight="1" outlineLevel="2">
      <c r="A351" s="709" t="s">
        <v>683</v>
      </c>
      <c r="B351" s="710">
        <f>IFERROR(-VLOOKUP($A346,CustoDiretoTotal,COLUMN('B2 - Custos diretos totais'!C$3)-1,0),0)</f>
        <v>0</v>
      </c>
      <c r="C351" s="710">
        <f>IFERROR(-VLOOKUP($A346,CustoDiretoTotal,COLUMN('B2 - Custos diretos totais'!D$3)-1,0),0)</f>
        <v>0</v>
      </c>
      <c r="D351" s="710">
        <f>IFERROR(-VLOOKUP($A346,CustoDiretoTotal,COLUMN('B2 - Custos diretos totais'!E$3)-1,0),0)</f>
        <v>0</v>
      </c>
      <c r="E351" s="710">
        <f>IFERROR(-VLOOKUP($A346,CustoDiretoTotal,COLUMN('B2 - Custos diretos totais'!F$3)-1,0),0)</f>
        <v>0</v>
      </c>
      <c r="F351" s="710">
        <f>IFERROR(-VLOOKUP($A346,CustoDiretoTotal,COLUMN('B2 - Custos diretos totais'!G$3)-1,0),0)</f>
        <v>0</v>
      </c>
      <c r="G351" s="710">
        <f>IFERROR(-VLOOKUP($A346,CustoDiretoTotal,COLUMN('B2 - Custos diretos totais'!H$3)-1,0),0)</f>
        <v>0</v>
      </c>
      <c r="H351" s="710">
        <f>IFERROR(-VLOOKUP($A346,CustoDiretoTotal,COLUMN('B2 - Custos diretos totais'!I$3)-1,0),0)</f>
        <v>0</v>
      </c>
      <c r="I351" s="710">
        <f>IFERROR(-VLOOKUP($A346,CustoDiretoTotal,COLUMN('B2 - Custos diretos totais'!J$3)-1,0),0)</f>
        <v>0</v>
      </c>
      <c r="J351" s="710">
        <f>IFERROR(-VLOOKUP($A346,CustoDiretoTotal,COLUMN('B2 - Custos diretos totais'!K$3)-1,0),0)</f>
        <v>0</v>
      </c>
      <c r="K351" s="710">
        <f>IFERROR(-VLOOKUP($A346,CustoDiretoTotal,COLUMN('B2 - Custos diretos totais'!L$3)-1,0),0)</f>
        <v>0</v>
      </c>
      <c r="L351" s="710">
        <f>IFERROR(-VLOOKUP($A346,CustoDiretoTotal,COLUMN('B2 - Custos diretos totais'!M$3)-1,0),0)</f>
        <v>0</v>
      </c>
      <c r="M351" s="710">
        <f>IFERROR(-VLOOKUP($A346,CustoDiretoTotal,COLUMN('B2 - Custos diretos totais'!N$3)-1,0),0)</f>
        <v>0</v>
      </c>
      <c r="N351" s="710">
        <f>IFERROR(-VLOOKUP($A346,CustoDiretoTotal,COLUMN('B2 - Custos diretos totais'!O$3)-1,0),0)</f>
        <v>0</v>
      </c>
      <c r="O351" s="710">
        <f>IFERROR(-VLOOKUP($A346,CustoDiretoTotal,COLUMN('B2 - Custos diretos totais'!P$3)-1,0),0)</f>
        <v>0</v>
      </c>
      <c r="P351" s="710">
        <f>IFERROR(-VLOOKUP($A346,CustoDiretoTotal,COLUMN('B2 - Custos diretos totais'!Q$3)-1,0),0)</f>
        <v>0</v>
      </c>
      <c r="Q351" s="710">
        <f>IFERROR(-VLOOKUP($A346,CustoDiretoTotal,COLUMN('B2 - Custos diretos totais'!R$3)-1,0),0)</f>
        <v>0</v>
      </c>
      <c r="R351" s="710">
        <f>IFERROR(-VLOOKUP($A346,CustoDiretoTotal,COLUMN('B2 - Custos diretos totais'!S$3)-1,0),0)</f>
        <v>0</v>
      </c>
      <c r="S351" s="710">
        <f>IFERROR(-VLOOKUP($A346,CustoDiretoTotal,COLUMN('B2 - Custos diretos totais'!T$3)-1,0),0)</f>
        <v>0</v>
      </c>
      <c r="T351" s="710">
        <f>IFERROR(-VLOOKUP($A346,CustoDiretoTotal,COLUMN('B2 - Custos diretos totais'!U$3)-1,0),0)</f>
        <v>0</v>
      </c>
      <c r="U351" s="710">
        <f>IFERROR(-VLOOKUP($A346,CustoDiretoTotal,COLUMN('B2 - Custos diretos totais'!V$3)-1,0),0)</f>
        <v>0</v>
      </c>
      <c r="V351" s="710">
        <f>IFERROR(-VLOOKUP($A346,CustoDiretoTotal,COLUMN('B2 - Custos diretos totais'!W$3)-1,0),0)</f>
        <v>0</v>
      </c>
      <c r="W351" s="710">
        <f>IFERROR(-VLOOKUP($A346,CustoDiretoTotal,COLUMN('B2 - Custos diretos totais'!X$3)-1,0),0)</f>
        <v>0</v>
      </c>
      <c r="X351" s="710">
        <f>IFERROR(-VLOOKUP($A346,CustoDiretoTotal,COLUMN('B2 - Custos diretos totais'!Y$3)-1,0),0)</f>
        <v>0</v>
      </c>
      <c r="Y351" s="710">
        <f>IFERROR(-VLOOKUP($A346,CustoDiretoTotal,COLUMN('B2 - Custos diretos totais'!Z$3)-1,0),0)</f>
        <v>0</v>
      </c>
      <c r="Z351" s="710">
        <f>IFERROR(-VLOOKUP($A346,CustoDiretoTotal,COLUMN('B2 - Custos diretos totais'!AA$3)-1,0),0)</f>
        <v>0</v>
      </c>
      <c r="AA351" s="710">
        <f>IFERROR(-VLOOKUP($A346,CustoDiretoTotal,COLUMN('B2 - Custos diretos totais'!AB$3)-1,0),0)</f>
        <v>0</v>
      </c>
      <c r="AB351" s="710">
        <f>IFERROR(-VLOOKUP($A346,CustoDiretoTotal,COLUMN('B2 - Custos diretos totais'!AC$3)-1,0),0)</f>
        <v>0</v>
      </c>
      <c r="AC351" s="710">
        <f>IFERROR(-VLOOKUP($A346,CustoDiretoTotal,COLUMN('B2 - Custos diretos totais'!AD$3)-1,0),0)</f>
        <v>0</v>
      </c>
      <c r="AD351" s="710">
        <f>IFERROR(-VLOOKUP($A346,CustoDiretoTotal,COLUMN('B2 - Custos diretos totais'!AE$3)-1,0),0)</f>
        <v>0</v>
      </c>
      <c r="AE351" s="710">
        <f>IFERROR(-VLOOKUP($A346,CustoDiretoTotal,COLUMN('B2 - Custos diretos totais'!AF$3)-1,0),0)</f>
        <v>0</v>
      </c>
      <c r="AF351" s="594"/>
      <c r="AG351" s="594"/>
      <c r="AH351" s="594"/>
      <c r="AI351" s="594"/>
      <c r="AJ351" s="594"/>
      <c r="AK351" s="594"/>
      <c r="AL351" s="594"/>
      <c r="AM351" s="594"/>
      <c r="AN351" s="594"/>
      <c r="AO351" s="594"/>
      <c r="AP351" s="594"/>
      <c r="AQ351" s="594"/>
      <c r="AR351" s="594"/>
      <c r="AS351" s="594"/>
      <c r="AT351" s="594"/>
      <c r="AU351" s="594"/>
      <c r="AV351" s="594"/>
      <c r="AW351" s="594"/>
      <c r="AX351" s="594"/>
      <c r="AY351" s="594"/>
      <c r="AZ351" s="594"/>
      <c r="BA351" s="594"/>
      <c r="BB351" s="594"/>
      <c r="BC351" s="594"/>
      <c r="BD351" s="594"/>
      <c r="BE351" s="594"/>
      <c r="BF351" s="594"/>
      <c r="BG351" s="594"/>
      <c r="BH351" s="594"/>
      <c r="BI351" s="594"/>
      <c r="BJ351" s="594"/>
      <c r="BK351" s="594"/>
      <c r="BL351" s="57"/>
      <c r="BM351" s="594"/>
      <c r="BN351" s="594"/>
      <c r="BO351" s="594"/>
      <c r="BP351" s="594"/>
      <c r="BQ351" s="594"/>
      <c r="BR351" s="594"/>
      <c r="BS351" s="594"/>
      <c r="BT351" s="594"/>
      <c r="BU351" s="594"/>
      <c r="BV351" s="594"/>
      <c r="BW351" s="594"/>
      <c r="BX351" s="594"/>
      <c r="BY351" s="594"/>
      <c r="BZ351" s="594"/>
      <c r="CA351" s="594"/>
      <c r="CB351" s="594"/>
      <c r="CC351" s="594"/>
      <c r="CD351" s="594"/>
      <c r="CE351" s="594"/>
      <c r="CF351" s="594"/>
      <c r="CG351" s="594"/>
      <c r="CH351" s="594"/>
      <c r="CI351" s="594"/>
      <c r="CJ351" s="594"/>
      <c r="CK351" s="594"/>
      <c r="CL351" s="594"/>
      <c r="CM351" s="594"/>
      <c r="CN351" s="594"/>
      <c r="CO351" s="594"/>
      <c r="CP351" s="594"/>
      <c r="CQ351" s="594"/>
    </row>
    <row r="352" spans="1:95" ht="21" hidden="1" customHeight="1" outlineLevel="2">
      <c r="A352" s="709" t="s">
        <v>684</v>
      </c>
      <c r="B352" s="710">
        <f>-SUMIFS('B3 - Custos despesas indiretos'!AK$5:AK$148,'B3 - Custos despesas indiretos'!$B$5:$B$148,"Custos",'B3 - Custos despesas indiretos'!$D$5:$D$148,$A346)</f>
        <v>0</v>
      </c>
      <c r="C352" s="710">
        <f>-SUMIFS('B3 - Custos despesas indiretos'!AL$5:AL$148,'B3 - Custos despesas indiretos'!$B$5:$B$148,"Custos",'B3 - Custos despesas indiretos'!$D$5:$D$148,$A346)</f>
        <v>0</v>
      </c>
      <c r="D352" s="710">
        <f>-SUMIFS('B3 - Custos despesas indiretos'!AM$5:AM$148,'B3 - Custos despesas indiretos'!$B$5:$B$148,"Custos",'B3 - Custos despesas indiretos'!$D$5:$D$148,$A346)</f>
        <v>0</v>
      </c>
      <c r="E352" s="710">
        <f>-SUMIFS('B3 - Custos despesas indiretos'!AN$5:AN$148,'B3 - Custos despesas indiretos'!$B$5:$B$148,"Custos",'B3 - Custos despesas indiretos'!$D$5:$D$148,$A346)</f>
        <v>0</v>
      </c>
      <c r="F352" s="710">
        <f>-SUMIFS('B3 - Custos despesas indiretos'!AO$5:AO$148,'B3 - Custos despesas indiretos'!$B$5:$B$148,"Custos",'B3 - Custos despesas indiretos'!$D$5:$D$148,$A346)</f>
        <v>0</v>
      </c>
      <c r="G352" s="710">
        <f>-SUMIFS('B3 - Custos despesas indiretos'!AP$5:AP$148,'B3 - Custos despesas indiretos'!$B$5:$B$148,"Custos",'B3 - Custos despesas indiretos'!$D$5:$D$148,$A346)</f>
        <v>0</v>
      </c>
      <c r="H352" s="710">
        <f>-SUMIFS('B3 - Custos despesas indiretos'!AQ$5:AQ$148,'B3 - Custos despesas indiretos'!$B$5:$B$148,"Custos",'B3 - Custos despesas indiretos'!$D$5:$D$148,$A346)</f>
        <v>0</v>
      </c>
      <c r="I352" s="710">
        <f>-SUMIFS('B3 - Custos despesas indiretos'!AR$5:AR$148,'B3 - Custos despesas indiretos'!$B$5:$B$148,"Custos",'B3 - Custos despesas indiretos'!$D$5:$D$148,$A346)</f>
        <v>0</v>
      </c>
      <c r="J352" s="710">
        <f>-SUMIFS('B3 - Custos despesas indiretos'!AS$5:AS$148,'B3 - Custos despesas indiretos'!$B$5:$B$148,"Custos",'B3 - Custos despesas indiretos'!$D$5:$D$148,$A346)</f>
        <v>0</v>
      </c>
      <c r="K352" s="710">
        <f>-SUMIFS('B3 - Custos despesas indiretos'!AT$5:AT$148,'B3 - Custos despesas indiretos'!$B$5:$B$148,"Custos",'B3 - Custos despesas indiretos'!$D$5:$D$148,$A346)</f>
        <v>0</v>
      </c>
      <c r="L352" s="710">
        <f>-SUMIFS('B3 - Custos despesas indiretos'!AU$5:AU$148,'B3 - Custos despesas indiretos'!$B$5:$B$148,"Custos",'B3 - Custos despesas indiretos'!$D$5:$D$148,$A346)</f>
        <v>0</v>
      </c>
      <c r="M352" s="710">
        <f>-SUMIFS('B3 - Custos despesas indiretos'!AV$5:AV$148,'B3 - Custos despesas indiretos'!$B$5:$B$148,"Custos",'B3 - Custos despesas indiretos'!$D$5:$D$148,$A346)</f>
        <v>0</v>
      </c>
      <c r="N352" s="710">
        <f>-SUMIFS('B3 - Custos despesas indiretos'!AW$5:AW$148,'B3 - Custos despesas indiretos'!$B$5:$B$148,"Custos",'B3 - Custos despesas indiretos'!$D$5:$D$148,$A346)</f>
        <v>0</v>
      </c>
      <c r="O352" s="710">
        <f>-SUMIFS('B3 - Custos despesas indiretos'!AX$5:AX$148,'B3 - Custos despesas indiretos'!$B$5:$B$148,"Custos",'B3 - Custos despesas indiretos'!$D$5:$D$148,$A346)</f>
        <v>0</v>
      </c>
      <c r="P352" s="710">
        <f>-SUMIFS('B3 - Custos despesas indiretos'!AY$5:AY$148,'B3 - Custos despesas indiretos'!$B$5:$B$148,"Custos",'B3 - Custos despesas indiretos'!$D$5:$D$148,$A346)</f>
        <v>0</v>
      </c>
      <c r="Q352" s="710">
        <f>-SUMIFS('B3 - Custos despesas indiretos'!AZ$5:AZ$148,'B3 - Custos despesas indiretos'!$B$5:$B$148,"Custos",'B3 - Custos despesas indiretos'!$D$5:$D$148,$A346)</f>
        <v>0</v>
      </c>
      <c r="R352" s="710">
        <f>-SUMIFS('B3 - Custos despesas indiretos'!BA$5:BA$148,'B3 - Custos despesas indiretos'!$B$5:$B$148,"Custos",'B3 - Custos despesas indiretos'!$D$5:$D$148,$A346)</f>
        <v>0</v>
      </c>
      <c r="S352" s="710">
        <f>-SUMIFS('B3 - Custos despesas indiretos'!BB$5:BB$148,'B3 - Custos despesas indiretos'!$B$5:$B$148,"Custos",'B3 - Custos despesas indiretos'!$D$5:$D$148,$A346)</f>
        <v>0</v>
      </c>
      <c r="T352" s="710">
        <f>-SUMIFS('B3 - Custos despesas indiretos'!BC$5:BC$148,'B3 - Custos despesas indiretos'!$B$5:$B$148,"Custos",'B3 - Custos despesas indiretos'!$D$5:$D$148,$A346)</f>
        <v>0</v>
      </c>
      <c r="U352" s="710">
        <f>-SUMIFS('B3 - Custos despesas indiretos'!BD$5:BD$148,'B3 - Custos despesas indiretos'!$B$5:$B$148,"Custos",'B3 - Custos despesas indiretos'!$D$5:$D$148,$A346)</f>
        <v>0</v>
      </c>
      <c r="V352" s="710">
        <f>-SUMIFS('B3 - Custos despesas indiretos'!BE$5:BE$148,'B3 - Custos despesas indiretos'!$B$5:$B$148,"Custos",'B3 - Custos despesas indiretos'!$D$5:$D$148,$A346)</f>
        <v>0</v>
      </c>
      <c r="W352" s="710">
        <f>-SUMIFS('B3 - Custos despesas indiretos'!BF$5:BF$148,'B3 - Custos despesas indiretos'!$B$5:$B$148,"Custos",'B3 - Custos despesas indiretos'!$D$5:$D$148,$A346)</f>
        <v>0</v>
      </c>
      <c r="X352" s="710">
        <f>-SUMIFS('B3 - Custos despesas indiretos'!BG$5:BG$148,'B3 - Custos despesas indiretos'!$B$5:$B$148,"Custos",'B3 - Custos despesas indiretos'!$D$5:$D$148,$A346)</f>
        <v>0</v>
      </c>
      <c r="Y352" s="710">
        <f>-SUMIFS('B3 - Custos despesas indiretos'!BH$5:BH$148,'B3 - Custos despesas indiretos'!$B$5:$B$148,"Custos",'B3 - Custos despesas indiretos'!$D$5:$D$148,$A346)</f>
        <v>0</v>
      </c>
      <c r="Z352" s="710">
        <f>-SUMIFS('B3 - Custos despesas indiretos'!BI$5:BI$148,'B3 - Custos despesas indiretos'!$B$5:$B$148,"Custos",'B3 - Custos despesas indiretos'!$D$5:$D$148,$A346)</f>
        <v>0</v>
      </c>
      <c r="AA352" s="710">
        <f>-SUMIFS('B3 - Custos despesas indiretos'!BJ$5:BJ$148,'B3 - Custos despesas indiretos'!$B$5:$B$148,"Custos",'B3 - Custos despesas indiretos'!$D$5:$D$148,$A346)</f>
        <v>0</v>
      </c>
      <c r="AB352" s="710">
        <f>-SUMIFS('B3 - Custos despesas indiretos'!BK$5:BK$148,'B3 - Custos despesas indiretos'!$B$5:$B$148,"Custos",'B3 - Custos despesas indiretos'!$D$5:$D$148,$A346)</f>
        <v>0</v>
      </c>
      <c r="AC352" s="710">
        <f>-SUMIFS('B3 - Custos despesas indiretos'!BL$5:BL$148,'B3 - Custos despesas indiretos'!$B$5:$B$148,"Custos",'B3 - Custos despesas indiretos'!$D$5:$D$148,$A346)</f>
        <v>0</v>
      </c>
      <c r="AD352" s="710">
        <f>-SUMIFS('B3 - Custos despesas indiretos'!BM$5:BM$148,'B3 - Custos despesas indiretos'!$B$5:$B$148,"Custos",'B3 - Custos despesas indiretos'!$D$5:$D$148,$A346)</f>
        <v>0</v>
      </c>
      <c r="AE352" s="710">
        <f>-SUMIFS('B3 - Custos despesas indiretos'!BN$5:BN$148,'B3 - Custos despesas indiretos'!$B$5:$B$148,"Custos",'B3 - Custos despesas indiretos'!$D$5:$D$148,$A346)</f>
        <v>0</v>
      </c>
      <c r="AF352" s="594"/>
      <c r="AG352" s="594"/>
      <c r="AH352" s="594"/>
      <c r="AI352" s="594"/>
      <c r="AJ352" s="594"/>
      <c r="AK352" s="594"/>
      <c r="AL352" s="594"/>
      <c r="AM352" s="594"/>
      <c r="AN352" s="594"/>
      <c r="AO352" s="594"/>
      <c r="AP352" s="594"/>
      <c r="AQ352" s="594"/>
      <c r="AR352" s="594"/>
      <c r="AS352" s="594"/>
      <c r="AT352" s="594"/>
      <c r="AU352" s="594"/>
      <c r="AV352" s="594"/>
      <c r="AW352" s="594"/>
      <c r="AX352" s="594"/>
      <c r="AY352" s="594"/>
      <c r="AZ352" s="594"/>
      <c r="BA352" s="594"/>
      <c r="BB352" s="594"/>
      <c r="BC352" s="594"/>
      <c r="BD352" s="594"/>
      <c r="BE352" s="594"/>
      <c r="BF352" s="594"/>
      <c r="BG352" s="594"/>
      <c r="BH352" s="594"/>
      <c r="BI352" s="594"/>
      <c r="BJ352" s="594"/>
      <c r="BK352" s="594"/>
      <c r="BL352" s="57"/>
      <c r="BM352" s="594"/>
      <c r="BN352" s="594"/>
      <c r="BO352" s="594"/>
      <c r="BP352" s="594"/>
      <c r="BQ352" s="594"/>
      <c r="BR352" s="594"/>
      <c r="BS352" s="594"/>
      <c r="BT352" s="594"/>
      <c r="BU352" s="594"/>
      <c r="BV352" s="594"/>
      <c r="BW352" s="594"/>
      <c r="BX352" s="594"/>
      <c r="BY352" s="594"/>
      <c r="BZ352" s="594"/>
      <c r="CA352" s="594"/>
      <c r="CB352" s="594"/>
      <c r="CC352" s="594"/>
      <c r="CD352" s="594"/>
      <c r="CE352" s="594"/>
      <c r="CF352" s="594"/>
      <c r="CG352" s="594"/>
      <c r="CH352" s="594"/>
      <c r="CI352" s="594"/>
      <c r="CJ352" s="594"/>
      <c r="CK352" s="594"/>
      <c r="CL352" s="594"/>
      <c r="CM352" s="594"/>
      <c r="CN352" s="594"/>
      <c r="CO352" s="594"/>
      <c r="CP352" s="594"/>
      <c r="CQ352" s="594"/>
    </row>
    <row r="353" spans="1:95" ht="21" hidden="1" customHeight="1" outlineLevel="2">
      <c r="A353" s="709" t="s">
        <v>685</v>
      </c>
      <c r="B353" s="710">
        <f>-SUMIFS('B3 - Custos despesas indiretos'!AK$5:AK$148,'B3 - Custos despesas indiretos'!$B$5:$B$148,"Despesas",'B3 - Custos despesas indiretos'!$D$5:$D$148,$A346)</f>
        <v>0</v>
      </c>
      <c r="C353" s="710">
        <f>-SUMIFS('B3 - Custos despesas indiretos'!AL$5:AL$148,'B3 - Custos despesas indiretos'!$B$5:$B$148,"Despesas",'B3 - Custos despesas indiretos'!$D$5:$D$148,$A346)</f>
        <v>0</v>
      </c>
      <c r="D353" s="710">
        <f>-SUMIFS('B3 - Custos despesas indiretos'!AM$5:AM$148,'B3 - Custos despesas indiretos'!$B$5:$B$148,"Despesas",'B3 - Custos despesas indiretos'!$D$5:$D$148,$A346)</f>
        <v>0</v>
      </c>
      <c r="E353" s="710">
        <f>-SUMIFS('B3 - Custos despesas indiretos'!AN$5:AN$148,'B3 - Custos despesas indiretos'!$B$5:$B$148,"Despesas",'B3 - Custos despesas indiretos'!$D$5:$D$148,$A346)</f>
        <v>0</v>
      </c>
      <c r="F353" s="710">
        <f>-SUMIFS('B3 - Custos despesas indiretos'!AO$5:AO$148,'B3 - Custos despesas indiretos'!$B$5:$B$148,"Despesas",'B3 - Custos despesas indiretos'!$D$5:$D$148,$A346)</f>
        <v>0</v>
      </c>
      <c r="G353" s="710">
        <f>-SUMIFS('B3 - Custos despesas indiretos'!AP$5:AP$148,'B3 - Custos despesas indiretos'!$B$5:$B$148,"Despesas",'B3 - Custos despesas indiretos'!$D$5:$D$148,$A346)</f>
        <v>0</v>
      </c>
      <c r="H353" s="710">
        <f>-SUMIFS('B3 - Custos despesas indiretos'!AQ$5:AQ$148,'B3 - Custos despesas indiretos'!$B$5:$B$148,"Despesas",'B3 - Custos despesas indiretos'!$D$5:$D$148,$A346)</f>
        <v>0</v>
      </c>
      <c r="I353" s="710">
        <f>-SUMIFS('B3 - Custos despesas indiretos'!AR$5:AR$148,'B3 - Custos despesas indiretos'!$B$5:$B$148,"Despesas",'B3 - Custos despesas indiretos'!$D$5:$D$148,$A346)</f>
        <v>0</v>
      </c>
      <c r="J353" s="710">
        <f>-SUMIFS('B3 - Custos despesas indiretos'!AS$5:AS$148,'B3 - Custos despesas indiretos'!$B$5:$B$148,"Despesas",'B3 - Custos despesas indiretos'!$D$5:$D$148,$A346)</f>
        <v>0</v>
      </c>
      <c r="K353" s="710">
        <f>-SUMIFS('B3 - Custos despesas indiretos'!AT$5:AT$148,'B3 - Custos despesas indiretos'!$B$5:$B$148,"Despesas",'B3 - Custos despesas indiretos'!$D$5:$D$148,$A346)</f>
        <v>0</v>
      </c>
      <c r="L353" s="710">
        <f>-SUMIFS('B3 - Custos despesas indiretos'!AU$5:AU$148,'B3 - Custos despesas indiretos'!$B$5:$B$148,"Despesas",'B3 - Custos despesas indiretos'!$D$5:$D$148,$A346)</f>
        <v>0</v>
      </c>
      <c r="M353" s="710">
        <f>-SUMIFS('B3 - Custos despesas indiretos'!AV$5:AV$148,'B3 - Custos despesas indiretos'!$B$5:$B$148,"Despesas",'B3 - Custos despesas indiretos'!$D$5:$D$148,$A346)</f>
        <v>0</v>
      </c>
      <c r="N353" s="710">
        <f>-SUMIFS('B3 - Custos despesas indiretos'!AW$5:AW$148,'B3 - Custos despesas indiretos'!$B$5:$B$148,"Despesas",'B3 - Custos despesas indiretos'!$D$5:$D$148,$A346)</f>
        <v>0</v>
      </c>
      <c r="O353" s="710">
        <f>-SUMIFS('B3 - Custos despesas indiretos'!AX$5:AX$148,'B3 - Custos despesas indiretos'!$B$5:$B$148,"Despesas",'B3 - Custos despesas indiretos'!$D$5:$D$148,$A346)</f>
        <v>0</v>
      </c>
      <c r="P353" s="710">
        <f>-SUMIFS('B3 - Custos despesas indiretos'!AY$5:AY$148,'B3 - Custos despesas indiretos'!$B$5:$B$148,"Despesas",'B3 - Custos despesas indiretos'!$D$5:$D$148,$A346)</f>
        <v>0</v>
      </c>
      <c r="Q353" s="710">
        <f>-SUMIFS('B3 - Custos despesas indiretos'!AZ$5:AZ$148,'B3 - Custos despesas indiretos'!$B$5:$B$148,"Despesas",'B3 - Custos despesas indiretos'!$D$5:$D$148,$A346)</f>
        <v>0</v>
      </c>
      <c r="R353" s="710">
        <f>-SUMIFS('B3 - Custos despesas indiretos'!BA$5:BA$148,'B3 - Custos despesas indiretos'!$B$5:$B$148,"Despesas",'B3 - Custos despesas indiretos'!$D$5:$D$148,$A346)</f>
        <v>0</v>
      </c>
      <c r="S353" s="710">
        <f>-SUMIFS('B3 - Custos despesas indiretos'!BB$5:BB$148,'B3 - Custos despesas indiretos'!$B$5:$B$148,"Despesas",'B3 - Custos despesas indiretos'!$D$5:$D$148,$A346)</f>
        <v>0</v>
      </c>
      <c r="T353" s="710">
        <f>-SUMIFS('B3 - Custos despesas indiretos'!BC$5:BC$148,'B3 - Custos despesas indiretos'!$B$5:$B$148,"Despesas",'B3 - Custos despesas indiretos'!$D$5:$D$148,$A346)</f>
        <v>0</v>
      </c>
      <c r="U353" s="710">
        <f>-SUMIFS('B3 - Custos despesas indiretos'!BD$5:BD$148,'B3 - Custos despesas indiretos'!$B$5:$B$148,"Despesas",'B3 - Custos despesas indiretos'!$D$5:$D$148,$A346)</f>
        <v>0</v>
      </c>
      <c r="V353" s="710">
        <f>-SUMIFS('B3 - Custos despesas indiretos'!BE$5:BE$148,'B3 - Custos despesas indiretos'!$B$5:$B$148,"Despesas",'B3 - Custos despesas indiretos'!$D$5:$D$148,$A346)</f>
        <v>0</v>
      </c>
      <c r="W353" s="710">
        <f>-SUMIFS('B3 - Custos despesas indiretos'!BF$5:BF$148,'B3 - Custos despesas indiretos'!$B$5:$B$148,"Despesas",'B3 - Custos despesas indiretos'!$D$5:$D$148,$A346)</f>
        <v>0</v>
      </c>
      <c r="X353" s="710">
        <f>-SUMIFS('B3 - Custos despesas indiretos'!BG$5:BG$148,'B3 - Custos despesas indiretos'!$B$5:$B$148,"Despesas",'B3 - Custos despesas indiretos'!$D$5:$D$148,$A346)</f>
        <v>0</v>
      </c>
      <c r="Y353" s="710">
        <f>-SUMIFS('B3 - Custos despesas indiretos'!BH$5:BH$148,'B3 - Custos despesas indiretos'!$B$5:$B$148,"Despesas",'B3 - Custos despesas indiretos'!$D$5:$D$148,$A346)</f>
        <v>0</v>
      </c>
      <c r="Z353" s="710">
        <f>-SUMIFS('B3 - Custos despesas indiretos'!BI$5:BI$148,'B3 - Custos despesas indiretos'!$B$5:$B$148,"Despesas",'B3 - Custos despesas indiretos'!$D$5:$D$148,$A346)</f>
        <v>0</v>
      </c>
      <c r="AA353" s="710">
        <f>-SUMIFS('B3 - Custos despesas indiretos'!BJ$5:BJ$148,'B3 - Custos despesas indiretos'!$B$5:$B$148,"Despesas",'B3 - Custos despesas indiretos'!$D$5:$D$148,$A346)</f>
        <v>0</v>
      </c>
      <c r="AB353" s="710">
        <f>-SUMIFS('B3 - Custos despesas indiretos'!BK$5:BK$148,'B3 - Custos despesas indiretos'!$B$5:$B$148,"Despesas",'B3 - Custos despesas indiretos'!$D$5:$D$148,$A346)</f>
        <v>0</v>
      </c>
      <c r="AC353" s="710">
        <f>-SUMIFS('B3 - Custos despesas indiretos'!BL$5:BL$148,'B3 - Custos despesas indiretos'!$B$5:$B$148,"Despesas",'B3 - Custos despesas indiretos'!$D$5:$D$148,$A346)</f>
        <v>0</v>
      </c>
      <c r="AD353" s="710">
        <f>-SUMIFS('B3 - Custos despesas indiretos'!BM$5:BM$148,'B3 - Custos despesas indiretos'!$B$5:$B$148,"Despesas",'B3 - Custos despesas indiretos'!$D$5:$D$148,$A346)</f>
        <v>0</v>
      </c>
      <c r="AE353" s="710">
        <f>-SUMIFS('B3 - Custos despesas indiretos'!BN$5:BN$148,'B3 - Custos despesas indiretos'!$B$5:$B$148,"Despesas",'B3 - Custos despesas indiretos'!$D$5:$D$148,$A346)</f>
        <v>0</v>
      </c>
      <c r="AF353" s="594"/>
      <c r="AG353" s="594"/>
      <c r="AH353" s="594"/>
      <c r="AI353" s="594"/>
      <c r="AJ353" s="594"/>
      <c r="AK353" s="594"/>
      <c r="AL353" s="594"/>
      <c r="AM353" s="594"/>
      <c r="AN353" s="594"/>
      <c r="AO353" s="594"/>
      <c r="AP353" s="594"/>
      <c r="AQ353" s="594"/>
      <c r="AR353" s="594"/>
      <c r="AS353" s="594"/>
      <c r="AT353" s="594"/>
      <c r="AU353" s="594"/>
      <c r="AV353" s="594"/>
      <c r="AW353" s="594"/>
      <c r="AX353" s="594"/>
      <c r="AY353" s="594"/>
      <c r="AZ353" s="594"/>
      <c r="BA353" s="594"/>
      <c r="BB353" s="594"/>
      <c r="BC353" s="594"/>
      <c r="BD353" s="594"/>
      <c r="BE353" s="594"/>
      <c r="BF353" s="594"/>
      <c r="BG353" s="594"/>
      <c r="BH353" s="594"/>
      <c r="BI353" s="594"/>
      <c r="BJ353" s="594"/>
      <c r="BK353" s="594"/>
      <c r="BL353" s="57"/>
      <c r="BM353" s="594"/>
      <c r="BN353" s="594"/>
      <c r="BO353" s="594"/>
      <c r="BP353" s="594"/>
      <c r="BQ353" s="594"/>
      <c r="BR353" s="594"/>
      <c r="BS353" s="594"/>
      <c r="BT353" s="594"/>
      <c r="BU353" s="594"/>
      <c r="BV353" s="594"/>
      <c r="BW353" s="594"/>
      <c r="BX353" s="594"/>
      <c r="BY353" s="594"/>
      <c r="BZ353" s="594"/>
      <c r="CA353" s="594"/>
      <c r="CB353" s="594"/>
      <c r="CC353" s="594"/>
      <c r="CD353" s="594"/>
      <c r="CE353" s="594"/>
      <c r="CF353" s="594"/>
      <c r="CG353" s="594"/>
      <c r="CH353" s="594"/>
      <c r="CI353" s="594"/>
      <c r="CJ353" s="594"/>
      <c r="CK353" s="594"/>
      <c r="CL353" s="594"/>
      <c r="CM353" s="594"/>
      <c r="CN353" s="594"/>
      <c r="CO353" s="594"/>
      <c r="CP353" s="594"/>
      <c r="CQ353" s="594"/>
    </row>
    <row r="354" spans="1:95" ht="21" hidden="1" customHeight="1" outlineLevel="2">
      <c r="A354" s="709" t="s">
        <v>686</v>
      </c>
      <c r="B354" s="710">
        <f>-SUMIF('D2 - Capex uso'!$C$6:$C$176,$A346,'D2 - Capex uso'!GI$6:GI$176)</f>
        <v>0</v>
      </c>
      <c r="C354" s="710">
        <f>-SUMIF('D2 - Capex uso'!$C$6:$C$176,$A346,'D2 - Capex uso'!GJ$6:GJ$176)</f>
        <v>0</v>
      </c>
      <c r="D354" s="710">
        <f>-SUMIF('D2 - Capex uso'!$C$6:$C$176,$A346,'D2 - Capex uso'!GK$6:GK$176)</f>
        <v>0</v>
      </c>
      <c r="E354" s="710">
        <f>-SUMIF('D2 - Capex uso'!$C$6:$C$176,$A346,'D2 - Capex uso'!GL$6:GL$176)</f>
        <v>0</v>
      </c>
      <c r="F354" s="710">
        <f>-SUMIF('D2 - Capex uso'!$C$6:$C$176,$A346,'D2 - Capex uso'!GM$6:GM$176)</f>
        <v>0</v>
      </c>
      <c r="G354" s="710">
        <f>-SUMIF('D2 - Capex uso'!$C$6:$C$176,$A346,'D2 - Capex uso'!GN$6:GN$176)</f>
        <v>0</v>
      </c>
      <c r="H354" s="710">
        <f>-SUMIF('D2 - Capex uso'!$C$6:$C$176,$A346,'D2 - Capex uso'!GO$6:GO$176)</f>
        <v>0</v>
      </c>
      <c r="I354" s="710">
        <f>-SUMIF('D2 - Capex uso'!$C$6:$C$176,$A346,'D2 - Capex uso'!GP$6:GP$176)</f>
        <v>0</v>
      </c>
      <c r="J354" s="710">
        <f>-SUMIF('D2 - Capex uso'!$C$6:$C$176,$A346,'D2 - Capex uso'!GQ$6:GQ$176)</f>
        <v>0</v>
      </c>
      <c r="K354" s="710">
        <f>-SUMIF('D2 - Capex uso'!$C$6:$C$176,$A346,'D2 - Capex uso'!GR$6:GR$176)</f>
        <v>0</v>
      </c>
      <c r="L354" s="710">
        <f>-SUMIF('D2 - Capex uso'!$C$6:$C$176,$A346,'D2 - Capex uso'!GS$6:GS$176)</f>
        <v>0</v>
      </c>
      <c r="M354" s="710">
        <f>-SUMIF('D2 - Capex uso'!$C$6:$C$176,$A346,'D2 - Capex uso'!GT$6:GT$176)</f>
        <v>0</v>
      </c>
      <c r="N354" s="710">
        <f>-SUMIF('D2 - Capex uso'!$C$6:$C$176,$A346,'D2 - Capex uso'!GU$6:GU$176)</f>
        <v>0</v>
      </c>
      <c r="O354" s="710">
        <f>-SUMIF('D2 - Capex uso'!$C$6:$C$176,$A346,'D2 - Capex uso'!GV$6:GV$176)</f>
        <v>0</v>
      </c>
      <c r="P354" s="710">
        <f>-SUMIF('D2 - Capex uso'!$C$6:$C$176,$A346,'D2 - Capex uso'!GW$6:GW$176)</f>
        <v>0</v>
      </c>
      <c r="Q354" s="710">
        <f>-SUMIF('D2 - Capex uso'!$C$6:$C$176,$A346,'D2 - Capex uso'!GX$6:GX$176)</f>
        <v>0</v>
      </c>
      <c r="R354" s="710">
        <f>-SUMIF('D2 - Capex uso'!$C$6:$C$176,$A346,'D2 - Capex uso'!GY$6:GY$176)</f>
        <v>0</v>
      </c>
      <c r="S354" s="710">
        <f>-SUMIF('D2 - Capex uso'!$C$6:$C$176,$A346,'D2 - Capex uso'!GZ$6:GZ$176)</f>
        <v>0</v>
      </c>
      <c r="T354" s="710">
        <f>-SUMIF('D2 - Capex uso'!$C$6:$C$176,$A346,'D2 - Capex uso'!HA$6:HA$176)</f>
        <v>0</v>
      </c>
      <c r="U354" s="710">
        <f>-SUMIF('D2 - Capex uso'!$C$6:$C$176,$A346,'D2 - Capex uso'!HB$6:HB$176)</f>
        <v>0</v>
      </c>
      <c r="V354" s="710">
        <f>-SUMIF('D2 - Capex uso'!$C$6:$C$176,$A346,'D2 - Capex uso'!HC$6:HC$176)</f>
        <v>0</v>
      </c>
      <c r="W354" s="710">
        <f>-SUMIF('D2 - Capex uso'!$C$6:$C$176,$A346,'D2 - Capex uso'!HD$6:HD$176)</f>
        <v>0</v>
      </c>
      <c r="X354" s="710">
        <f>-SUMIF('D2 - Capex uso'!$C$6:$C$176,$A346,'D2 - Capex uso'!HE$6:HE$176)</f>
        <v>0</v>
      </c>
      <c r="Y354" s="710">
        <f>-SUMIF('D2 - Capex uso'!$C$6:$C$176,$A346,'D2 - Capex uso'!HF$6:HF$176)</f>
        <v>0</v>
      </c>
      <c r="Z354" s="710">
        <f>-SUMIF('D2 - Capex uso'!$C$6:$C$176,$A346,'D2 - Capex uso'!HG$6:HG$176)</f>
        <v>0</v>
      </c>
      <c r="AA354" s="710">
        <f>-SUMIF('D2 - Capex uso'!$C$6:$C$176,$A346,'D2 - Capex uso'!HH$6:HH$176)</f>
        <v>0</v>
      </c>
      <c r="AB354" s="710">
        <f>-SUMIF('D2 - Capex uso'!$C$6:$C$176,$A346,'D2 - Capex uso'!HI$6:HI$176)</f>
        <v>0</v>
      </c>
      <c r="AC354" s="710">
        <f>-SUMIF('D2 - Capex uso'!$C$6:$C$176,$A346,'D2 - Capex uso'!HJ$6:HJ$176)</f>
        <v>0</v>
      </c>
      <c r="AD354" s="710">
        <f>-SUMIF('D2 - Capex uso'!$C$6:$C$176,$A346,'D2 - Capex uso'!HK$6:HK$176)</f>
        <v>0</v>
      </c>
      <c r="AE354" s="710">
        <f>-SUMIF('D2 - Capex uso'!$C$6:$C$176,$A346,'D2 - Capex uso'!HL$6:HL$176)</f>
        <v>0</v>
      </c>
      <c r="AF354" s="594"/>
      <c r="AG354" s="594"/>
      <c r="AH354" s="594"/>
      <c r="AI354" s="594"/>
      <c r="AJ354" s="594"/>
      <c r="AK354" s="594"/>
      <c r="AL354" s="594"/>
      <c r="AM354" s="594"/>
      <c r="AN354" s="594"/>
      <c r="AO354" s="594"/>
      <c r="AP354" s="594"/>
      <c r="AQ354" s="594"/>
      <c r="AR354" s="594"/>
      <c r="AS354" s="594"/>
      <c r="AT354" s="594"/>
      <c r="AU354" s="594"/>
      <c r="AV354" s="594"/>
      <c r="AW354" s="594"/>
      <c r="AX354" s="594"/>
      <c r="AY354" s="594"/>
      <c r="AZ354" s="594"/>
      <c r="BA354" s="594"/>
      <c r="BB354" s="594"/>
      <c r="BC354" s="594"/>
      <c r="BD354" s="594"/>
      <c r="BE354" s="594"/>
      <c r="BF354" s="594"/>
      <c r="BG354" s="594"/>
      <c r="BH354" s="594"/>
      <c r="BI354" s="594"/>
      <c r="BJ354" s="594"/>
      <c r="BK354" s="594"/>
      <c r="BL354" s="57"/>
      <c r="BM354" s="594"/>
      <c r="BN354" s="594"/>
      <c r="BO354" s="594"/>
      <c r="BP354" s="594"/>
      <c r="BQ354" s="594"/>
      <c r="BR354" s="594"/>
      <c r="BS354" s="594"/>
      <c r="BT354" s="594"/>
      <c r="BU354" s="594"/>
      <c r="BV354" s="594"/>
      <c r="BW354" s="594"/>
      <c r="BX354" s="594"/>
      <c r="BY354" s="594"/>
      <c r="BZ354" s="594"/>
      <c r="CA354" s="594"/>
      <c r="CB354" s="594"/>
      <c r="CC354" s="594"/>
      <c r="CD354" s="594"/>
      <c r="CE354" s="594"/>
      <c r="CF354" s="594"/>
      <c r="CG354" s="594"/>
      <c r="CH354" s="594"/>
      <c r="CI354" s="594"/>
      <c r="CJ354" s="594"/>
      <c r="CK354" s="594"/>
      <c r="CL354" s="594"/>
      <c r="CM354" s="594"/>
      <c r="CN354" s="594"/>
      <c r="CO354" s="594"/>
      <c r="CP354" s="594"/>
      <c r="CQ354" s="594"/>
    </row>
    <row r="355" spans="1:95" ht="21" hidden="1" customHeight="1" outlineLevel="1">
      <c r="A355" s="708" t="s">
        <v>687</v>
      </c>
      <c r="B355" s="707">
        <f t="shared" ref="B355:AE355" si="112">SUM(B347:B349)</f>
        <v>0</v>
      </c>
      <c r="C355" s="707">
        <f t="shared" si="112"/>
        <v>0</v>
      </c>
      <c r="D355" s="707">
        <f t="shared" si="112"/>
        <v>0</v>
      </c>
      <c r="E355" s="707">
        <f t="shared" si="112"/>
        <v>0</v>
      </c>
      <c r="F355" s="707">
        <f t="shared" si="112"/>
        <v>0</v>
      </c>
      <c r="G355" s="707">
        <f t="shared" si="112"/>
        <v>0</v>
      </c>
      <c r="H355" s="707">
        <f t="shared" si="112"/>
        <v>0</v>
      </c>
      <c r="I355" s="707">
        <f t="shared" si="112"/>
        <v>0</v>
      </c>
      <c r="J355" s="707">
        <f t="shared" si="112"/>
        <v>0</v>
      </c>
      <c r="K355" s="707">
        <f t="shared" si="112"/>
        <v>0</v>
      </c>
      <c r="L355" s="707">
        <f t="shared" si="112"/>
        <v>0</v>
      </c>
      <c r="M355" s="707">
        <f t="shared" si="112"/>
        <v>0</v>
      </c>
      <c r="N355" s="707">
        <f t="shared" si="112"/>
        <v>0</v>
      </c>
      <c r="O355" s="707">
        <f t="shared" si="112"/>
        <v>0</v>
      </c>
      <c r="P355" s="707">
        <f t="shared" si="112"/>
        <v>0</v>
      </c>
      <c r="Q355" s="707">
        <f t="shared" si="112"/>
        <v>0</v>
      </c>
      <c r="R355" s="707">
        <f t="shared" si="112"/>
        <v>0</v>
      </c>
      <c r="S355" s="707">
        <f t="shared" si="112"/>
        <v>0</v>
      </c>
      <c r="T355" s="707">
        <f t="shared" si="112"/>
        <v>0</v>
      </c>
      <c r="U355" s="707">
        <f t="shared" si="112"/>
        <v>0</v>
      </c>
      <c r="V355" s="707">
        <f t="shared" si="112"/>
        <v>0</v>
      </c>
      <c r="W355" s="707">
        <f t="shared" si="112"/>
        <v>0</v>
      </c>
      <c r="X355" s="707">
        <f t="shared" si="112"/>
        <v>0</v>
      </c>
      <c r="Y355" s="707">
        <f t="shared" si="112"/>
        <v>0</v>
      </c>
      <c r="Z355" s="707">
        <f t="shared" si="112"/>
        <v>0</v>
      </c>
      <c r="AA355" s="707">
        <f t="shared" si="112"/>
        <v>0</v>
      </c>
      <c r="AB355" s="707">
        <f t="shared" si="112"/>
        <v>0</v>
      </c>
      <c r="AC355" s="707">
        <f t="shared" si="112"/>
        <v>0</v>
      </c>
      <c r="AD355" s="707">
        <f t="shared" si="112"/>
        <v>0</v>
      </c>
      <c r="AE355" s="707">
        <f t="shared" si="112"/>
        <v>0</v>
      </c>
      <c r="AF355" s="594"/>
      <c r="AG355" s="594"/>
      <c r="AH355" s="594"/>
      <c r="AI355" s="594"/>
      <c r="AJ355" s="594"/>
      <c r="AK355" s="594"/>
      <c r="AL355" s="594"/>
      <c r="AM355" s="594"/>
      <c r="AN355" s="594"/>
      <c r="AO355" s="594"/>
      <c r="AP355" s="594"/>
      <c r="AQ355" s="594"/>
      <c r="AR355" s="594"/>
      <c r="AS355" s="594"/>
      <c r="AT355" s="594"/>
      <c r="AU355" s="594"/>
      <c r="AV355" s="594"/>
      <c r="AW355" s="594"/>
      <c r="AX355" s="594"/>
      <c r="AY355" s="594"/>
      <c r="AZ355" s="594"/>
      <c r="BA355" s="594"/>
      <c r="BB355" s="594"/>
      <c r="BC355" s="594"/>
      <c r="BD355" s="594"/>
      <c r="BE355" s="594"/>
      <c r="BF355" s="594"/>
      <c r="BG355" s="594"/>
      <c r="BH355" s="594"/>
      <c r="BI355" s="594"/>
      <c r="BJ355" s="594"/>
      <c r="BK355" s="594"/>
      <c r="BL355" s="57"/>
      <c r="BM355" s="594"/>
      <c r="BN355" s="594"/>
      <c r="BO355" s="594"/>
      <c r="BP355" s="594"/>
      <c r="BQ355" s="594"/>
      <c r="BR355" s="594"/>
      <c r="BS355" s="594"/>
      <c r="BT355" s="594"/>
      <c r="BU355" s="594"/>
      <c r="BV355" s="594"/>
      <c r="BW355" s="594"/>
      <c r="BX355" s="594"/>
      <c r="BY355" s="594"/>
      <c r="BZ355" s="594"/>
      <c r="CA355" s="594"/>
      <c r="CB355" s="594"/>
      <c r="CC355" s="594"/>
      <c r="CD355" s="594"/>
      <c r="CE355" s="594"/>
      <c r="CF355" s="594"/>
      <c r="CG355" s="594"/>
      <c r="CH355" s="594"/>
      <c r="CI355" s="594"/>
      <c r="CJ355" s="594"/>
      <c r="CK355" s="594"/>
      <c r="CL355" s="594"/>
      <c r="CM355" s="594"/>
      <c r="CN355" s="594"/>
      <c r="CO355" s="594"/>
      <c r="CP355" s="594"/>
      <c r="CQ355" s="594"/>
    </row>
    <row r="356" spans="1:95" ht="19.5" hidden="1" customHeight="1" outlineLevel="1">
      <c r="A356" s="708" t="s">
        <v>688</v>
      </c>
      <c r="B356" s="707">
        <f t="shared" ref="B356:AE356" si="113">SUM(B357:B364)</f>
        <v>0</v>
      </c>
      <c r="C356" s="707">
        <f t="shared" si="113"/>
        <v>0</v>
      </c>
      <c r="D356" s="707">
        <f t="shared" si="113"/>
        <v>0</v>
      </c>
      <c r="E356" s="707">
        <f t="shared" si="113"/>
        <v>0</v>
      </c>
      <c r="F356" s="707">
        <f t="shared" si="113"/>
        <v>0</v>
      </c>
      <c r="G356" s="707">
        <f t="shared" si="113"/>
        <v>0</v>
      </c>
      <c r="H356" s="707">
        <f t="shared" si="113"/>
        <v>0</v>
      </c>
      <c r="I356" s="707">
        <f t="shared" si="113"/>
        <v>0</v>
      </c>
      <c r="J356" s="707">
        <f t="shared" si="113"/>
        <v>0</v>
      </c>
      <c r="K356" s="707">
        <f t="shared" si="113"/>
        <v>0</v>
      </c>
      <c r="L356" s="707">
        <f t="shared" si="113"/>
        <v>0</v>
      </c>
      <c r="M356" s="707">
        <f t="shared" si="113"/>
        <v>0</v>
      </c>
      <c r="N356" s="707">
        <f t="shared" si="113"/>
        <v>0</v>
      </c>
      <c r="O356" s="707">
        <f t="shared" si="113"/>
        <v>0</v>
      </c>
      <c r="P356" s="707">
        <f t="shared" si="113"/>
        <v>0</v>
      </c>
      <c r="Q356" s="707">
        <f t="shared" si="113"/>
        <v>0</v>
      </c>
      <c r="R356" s="707">
        <f t="shared" si="113"/>
        <v>0</v>
      </c>
      <c r="S356" s="707">
        <f t="shared" si="113"/>
        <v>0</v>
      </c>
      <c r="T356" s="707">
        <f t="shared" si="113"/>
        <v>0</v>
      </c>
      <c r="U356" s="707">
        <f t="shared" si="113"/>
        <v>0</v>
      </c>
      <c r="V356" s="707">
        <f t="shared" si="113"/>
        <v>0</v>
      </c>
      <c r="W356" s="707">
        <f t="shared" si="113"/>
        <v>0</v>
      </c>
      <c r="X356" s="707">
        <f t="shared" si="113"/>
        <v>0</v>
      </c>
      <c r="Y356" s="707">
        <f t="shared" si="113"/>
        <v>0</v>
      </c>
      <c r="Z356" s="707">
        <f t="shared" si="113"/>
        <v>0</v>
      </c>
      <c r="AA356" s="707">
        <f t="shared" si="113"/>
        <v>0</v>
      </c>
      <c r="AB356" s="707">
        <f t="shared" si="113"/>
        <v>0</v>
      </c>
      <c r="AC356" s="707">
        <f t="shared" si="113"/>
        <v>0</v>
      </c>
      <c r="AD356" s="707">
        <f t="shared" si="113"/>
        <v>0</v>
      </c>
      <c r="AE356" s="707">
        <f t="shared" si="113"/>
        <v>0</v>
      </c>
      <c r="AF356" s="594"/>
      <c r="AG356" s="594"/>
      <c r="AH356" s="594"/>
      <c r="AI356" s="594"/>
      <c r="AJ356" s="594"/>
      <c r="AK356" s="594"/>
      <c r="AL356" s="594"/>
      <c r="AM356" s="594"/>
      <c r="AN356" s="594"/>
      <c r="AO356" s="594"/>
      <c r="AP356" s="594"/>
      <c r="AQ356" s="594"/>
      <c r="AR356" s="594"/>
      <c r="AS356" s="594"/>
      <c r="AT356" s="594"/>
      <c r="AU356" s="594"/>
      <c r="AV356" s="594"/>
      <c r="AW356" s="594"/>
      <c r="AX356" s="594"/>
      <c r="AY356" s="594"/>
      <c r="AZ356" s="594"/>
      <c r="BA356" s="594"/>
      <c r="BB356" s="594"/>
      <c r="BC356" s="594"/>
      <c r="BD356" s="594"/>
      <c r="BE356" s="594"/>
      <c r="BF356" s="594"/>
      <c r="BG356" s="594"/>
      <c r="BH356" s="594"/>
      <c r="BI356" s="594"/>
      <c r="BJ356" s="594"/>
      <c r="BK356" s="594"/>
      <c r="BL356" s="57"/>
      <c r="BM356" s="594"/>
      <c r="BN356" s="594"/>
      <c r="BO356" s="594"/>
      <c r="BP356" s="594"/>
      <c r="BQ356" s="594"/>
      <c r="BR356" s="594"/>
      <c r="BS356" s="594"/>
      <c r="BT356" s="594"/>
      <c r="BU356" s="594"/>
      <c r="BV356" s="594"/>
      <c r="BW356" s="594"/>
      <c r="BX356" s="594"/>
      <c r="BY356" s="594"/>
      <c r="BZ356" s="594"/>
      <c r="CA356" s="594"/>
      <c r="CB356" s="594"/>
      <c r="CC356" s="594"/>
      <c r="CD356" s="594"/>
      <c r="CE356" s="594"/>
      <c r="CF356" s="594"/>
      <c r="CG356" s="594"/>
      <c r="CH356" s="594"/>
      <c r="CI356" s="594"/>
      <c r="CJ356" s="594"/>
      <c r="CK356" s="594"/>
      <c r="CL356" s="594"/>
      <c r="CM356" s="594"/>
      <c r="CN356" s="594"/>
      <c r="CO356" s="594"/>
      <c r="CP356" s="594"/>
      <c r="CQ356" s="594"/>
    </row>
    <row r="357" spans="1:95" ht="19.5" hidden="1" customHeight="1" outlineLevel="2">
      <c r="A357" s="709" t="s">
        <v>354</v>
      </c>
      <c r="B357" s="710">
        <f>-SUMIFS('D2 - Capex uso'!BS$6:BS$176,'D2 - Capex uso'!$C$6:$C$176,$A346,'D2 - Capex uso'!$AK$6:$AK$176,$A357)</f>
        <v>0</v>
      </c>
      <c r="C357" s="710">
        <f>-SUMIFS('D2 - Capex uso'!BT$6:BT$176,'D2 - Capex uso'!$C$6:$C$176,$A346,'D2 - Capex uso'!$AK$6:$AK$176,$A357)</f>
        <v>0</v>
      </c>
      <c r="D357" s="710">
        <f>-SUMIFS('D2 - Capex uso'!BU$6:BU$176,'D2 - Capex uso'!$C$6:$C$176,$A346,'D2 - Capex uso'!$AK$6:$AK$176,$A357)</f>
        <v>0</v>
      </c>
      <c r="E357" s="710">
        <f>-SUMIFS('D2 - Capex uso'!BV$6:BV$176,'D2 - Capex uso'!$C$6:$C$176,$A346,'D2 - Capex uso'!$AK$6:$AK$176,$A357)</f>
        <v>0</v>
      </c>
      <c r="F357" s="710">
        <f>-SUMIFS('D2 - Capex uso'!BW$6:BW$176,'D2 - Capex uso'!$C$6:$C$176,$A346,'D2 - Capex uso'!$AK$6:$AK$176,$A357)</f>
        <v>0</v>
      </c>
      <c r="G357" s="710">
        <f>-SUMIFS('D2 - Capex uso'!BX$6:BX$176,'D2 - Capex uso'!$C$6:$C$176,$A346,'D2 - Capex uso'!$AK$6:$AK$176,$A357)</f>
        <v>0</v>
      </c>
      <c r="H357" s="710">
        <f>-SUMIFS('D2 - Capex uso'!BY$6:BY$176,'D2 - Capex uso'!$C$6:$C$176,$A346,'D2 - Capex uso'!$AK$6:$AK$176,$A357)</f>
        <v>0</v>
      </c>
      <c r="I357" s="710">
        <f>-SUMIFS('D2 - Capex uso'!BZ$6:BZ$176,'D2 - Capex uso'!$C$6:$C$176,$A346,'D2 - Capex uso'!$AK$6:$AK$176,$A357)</f>
        <v>0</v>
      </c>
      <c r="J357" s="710">
        <f>-SUMIFS('D2 - Capex uso'!CA$6:CA$176,'D2 - Capex uso'!$C$6:$C$176,$A346,'D2 - Capex uso'!$AK$6:$AK$176,$A357)</f>
        <v>0</v>
      </c>
      <c r="K357" s="710">
        <f>-SUMIFS('D2 - Capex uso'!CB$6:CB$176,'D2 - Capex uso'!$C$6:$C$176,$A346,'D2 - Capex uso'!$AK$6:$AK$176,$A357)</f>
        <v>0</v>
      </c>
      <c r="L357" s="710">
        <f>-SUMIFS('D2 - Capex uso'!CC$6:CC$176,'D2 - Capex uso'!$C$6:$C$176,$A346,'D2 - Capex uso'!$AK$6:$AK$176,$A357)</f>
        <v>0</v>
      </c>
      <c r="M357" s="710">
        <f>-SUMIFS('D2 - Capex uso'!CD$6:CD$176,'D2 - Capex uso'!$C$6:$C$176,$A346,'D2 - Capex uso'!$AK$6:$AK$176,$A357)</f>
        <v>0</v>
      </c>
      <c r="N357" s="710">
        <f>-SUMIFS('D2 - Capex uso'!CE$6:CE$176,'D2 - Capex uso'!$C$6:$C$176,$A346,'D2 - Capex uso'!$AK$6:$AK$176,$A357)</f>
        <v>0</v>
      </c>
      <c r="O357" s="710">
        <f>-SUMIFS('D2 - Capex uso'!CF$6:CF$176,'D2 - Capex uso'!$C$6:$C$176,$A346,'D2 - Capex uso'!$AK$6:$AK$176,$A357)</f>
        <v>0</v>
      </c>
      <c r="P357" s="710">
        <f>-SUMIFS('D2 - Capex uso'!CG$6:CG$176,'D2 - Capex uso'!$C$6:$C$176,$A346,'D2 - Capex uso'!$AK$6:$AK$176,$A357)</f>
        <v>0</v>
      </c>
      <c r="Q357" s="710">
        <f>-SUMIFS('D2 - Capex uso'!CH$6:CH$176,'D2 - Capex uso'!$C$6:$C$176,$A346,'D2 - Capex uso'!$AK$6:$AK$176,$A357)</f>
        <v>0</v>
      </c>
      <c r="R357" s="710">
        <f>-SUMIFS('D2 - Capex uso'!CI$6:CI$176,'D2 - Capex uso'!$C$6:$C$176,$A346,'D2 - Capex uso'!$AK$6:$AK$176,$A357)</f>
        <v>0</v>
      </c>
      <c r="S357" s="710">
        <f>-SUMIFS('D2 - Capex uso'!CJ$6:CJ$176,'D2 - Capex uso'!$C$6:$C$176,$A346,'D2 - Capex uso'!$AK$6:$AK$176,$A357)</f>
        <v>0</v>
      </c>
      <c r="T357" s="710">
        <f>-SUMIFS('D2 - Capex uso'!CK$6:CK$176,'D2 - Capex uso'!$C$6:$C$176,$A346,'D2 - Capex uso'!$AK$6:$AK$176,$A357)</f>
        <v>0</v>
      </c>
      <c r="U357" s="710">
        <f>-SUMIFS('D2 - Capex uso'!CL$6:CL$176,'D2 - Capex uso'!$C$6:$C$176,$A346,'D2 - Capex uso'!$AK$6:$AK$176,$A357)</f>
        <v>0</v>
      </c>
      <c r="V357" s="710">
        <f>-SUMIFS('D2 - Capex uso'!CM$6:CM$176,'D2 - Capex uso'!$C$6:$C$176,$A346,'D2 - Capex uso'!$AK$6:$AK$176,$A357)</f>
        <v>0</v>
      </c>
      <c r="W357" s="710">
        <f>-SUMIFS('D2 - Capex uso'!CN$6:CN$176,'D2 - Capex uso'!$C$6:$C$176,$A346,'D2 - Capex uso'!$AK$6:$AK$176,$A357)</f>
        <v>0</v>
      </c>
      <c r="X357" s="710">
        <f>-SUMIFS('D2 - Capex uso'!CO$6:CO$176,'D2 - Capex uso'!$C$6:$C$176,$A346,'D2 - Capex uso'!$AK$6:$AK$176,$A357)</f>
        <v>0</v>
      </c>
      <c r="Y357" s="710">
        <f>-SUMIFS('D2 - Capex uso'!CP$6:CP$176,'D2 - Capex uso'!$C$6:$C$176,$A346,'D2 - Capex uso'!$AK$6:$AK$176,$A357)</f>
        <v>0</v>
      </c>
      <c r="Z357" s="710">
        <f>-SUMIFS('D2 - Capex uso'!CQ$6:CQ$176,'D2 - Capex uso'!$C$6:$C$176,$A346,'D2 - Capex uso'!$AK$6:$AK$176,$A357)</f>
        <v>0</v>
      </c>
      <c r="AA357" s="710">
        <f>-SUMIFS('D2 - Capex uso'!CR$6:CR$176,'D2 - Capex uso'!$C$6:$C$176,$A346,'D2 - Capex uso'!$AK$6:$AK$176,$A357)</f>
        <v>0</v>
      </c>
      <c r="AB357" s="710">
        <f>-SUMIFS('D2 - Capex uso'!CS$6:CS$176,'D2 - Capex uso'!$C$6:$C$176,$A346,'D2 - Capex uso'!$AK$6:$AK$176,$A357)</f>
        <v>0</v>
      </c>
      <c r="AC357" s="710">
        <f>-SUMIFS('D2 - Capex uso'!CT$6:CT$176,'D2 - Capex uso'!$C$6:$C$176,$A346,'D2 - Capex uso'!$AK$6:$AK$176,$A357)</f>
        <v>0</v>
      </c>
      <c r="AD357" s="710">
        <f>-SUMIFS('D2 - Capex uso'!CU$6:CU$176,'D2 - Capex uso'!$C$6:$C$176,$A346,'D2 - Capex uso'!$AK$6:$AK$176,$A357)</f>
        <v>0</v>
      </c>
      <c r="AE357" s="710">
        <f>-SUMIFS('D2 - Capex uso'!CV$6:CV$176,'D2 - Capex uso'!$C$6:$C$176,$A346,'D2 - Capex uso'!$AK$6:$AK$176,$A357)</f>
        <v>0</v>
      </c>
      <c r="AF357" s="594"/>
      <c r="AG357" s="594"/>
      <c r="AH357" s="594"/>
      <c r="AI357" s="594"/>
      <c r="AJ357" s="594"/>
      <c r="AK357" s="594"/>
      <c r="AL357" s="594"/>
      <c r="AM357" s="594"/>
      <c r="AN357" s="594"/>
      <c r="AO357" s="594"/>
      <c r="AP357" s="594"/>
      <c r="AQ357" s="594"/>
      <c r="AR357" s="594"/>
      <c r="AS357" s="594"/>
      <c r="AT357" s="594"/>
      <c r="AU357" s="594"/>
      <c r="AV357" s="594"/>
      <c r="AW357" s="594"/>
      <c r="AX357" s="594"/>
      <c r="AY357" s="594"/>
      <c r="AZ357" s="594"/>
      <c r="BA357" s="594"/>
      <c r="BB357" s="594"/>
      <c r="BC357" s="594"/>
      <c r="BD357" s="594"/>
      <c r="BE357" s="594"/>
      <c r="BF357" s="594"/>
      <c r="BG357" s="594"/>
      <c r="BH357" s="594"/>
      <c r="BI357" s="594"/>
      <c r="BJ357" s="594"/>
      <c r="BK357" s="594"/>
      <c r="BL357" s="57"/>
      <c r="BM357" s="594"/>
      <c r="BN357" s="594"/>
      <c r="BO357" s="594"/>
      <c r="BP357" s="594"/>
      <c r="BQ357" s="594"/>
      <c r="BR357" s="594"/>
      <c r="BS357" s="594"/>
      <c r="BT357" s="594"/>
      <c r="BU357" s="594"/>
      <c r="BV357" s="594"/>
      <c r="BW357" s="594"/>
      <c r="BX357" s="594"/>
      <c r="BY357" s="594"/>
      <c r="BZ357" s="594"/>
      <c r="CA357" s="594"/>
      <c r="CB357" s="594"/>
      <c r="CC357" s="594"/>
      <c r="CD357" s="594"/>
      <c r="CE357" s="594"/>
      <c r="CF357" s="594"/>
      <c r="CG357" s="594"/>
      <c r="CH357" s="594"/>
      <c r="CI357" s="594"/>
      <c r="CJ357" s="594"/>
      <c r="CK357" s="594"/>
      <c r="CL357" s="594"/>
      <c r="CM357" s="594"/>
      <c r="CN357" s="594"/>
      <c r="CO357" s="594"/>
      <c r="CP357" s="594"/>
      <c r="CQ357" s="594"/>
    </row>
    <row r="358" spans="1:95" ht="19.5" hidden="1" customHeight="1" outlineLevel="2">
      <c r="A358" s="709" t="s">
        <v>689</v>
      </c>
      <c r="B358" s="710">
        <f>-SUMIFS('D2 - Capex uso'!BS$6:BS$176,'D2 - Capex uso'!$C$6:$C$176,$A346,'D2 - Capex uso'!$AK$6:$AK$176,$A358)</f>
        <v>0</v>
      </c>
      <c r="C358" s="710">
        <f>-SUMIFS('D2 - Capex uso'!BT$6:BT$176,'D2 - Capex uso'!$C$6:$C$176,$A346,'D2 - Capex uso'!$AK$6:$AK$176,$A358)</f>
        <v>0</v>
      </c>
      <c r="D358" s="710">
        <f>-SUMIFS('D2 - Capex uso'!BU$6:BU$176,'D2 - Capex uso'!$C$6:$C$176,$A346,'D2 - Capex uso'!$AK$6:$AK$176,$A358)</f>
        <v>0</v>
      </c>
      <c r="E358" s="710">
        <f>-SUMIFS('D2 - Capex uso'!BV$6:BV$176,'D2 - Capex uso'!$C$6:$C$176,$A346,'D2 - Capex uso'!$AK$6:$AK$176,$A358)</f>
        <v>0</v>
      </c>
      <c r="F358" s="710">
        <f>-SUMIFS('D2 - Capex uso'!BW$6:BW$176,'D2 - Capex uso'!$C$6:$C$176,$A346,'D2 - Capex uso'!$AK$6:$AK$176,$A358)</f>
        <v>0</v>
      </c>
      <c r="G358" s="710">
        <f>-SUMIFS('D2 - Capex uso'!BX$6:BX$176,'D2 - Capex uso'!$C$6:$C$176,$A346,'D2 - Capex uso'!$AK$6:$AK$176,$A358)</f>
        <v>0</v>
      </c>
      <c r="H358" s="710">
        <f>-SUMIFS('D2 - Capex uso'!BY$6:BY$176,'D2 - Capex uso'!$C$6:$C$176,$A346,'D2 - Capex uso'!$AK$6:$AK$176,$A358)</f>
        <v>0</v>
      </c>
      <c r="I358" s="710">
        <f>-SUMIFS('D2 - Capex uso'!BZ$6:BZ$176,'D2 - Capex uso'!$C$6:$C$176,$A346,'D2 - Capex uso'!$AK$6:$AK$176,$A358)</f>
        <v>0</v>
      </c>
      <c r="J358" s="710">
        <f>-SUMIFS('D2 - Capex uso'!CA$6:CA$176,'D2 - Capex uso'!$C$6:$C$176,$A346,'D2 - Capex uso'!$AK$6:$AK$176,$A358)</f>
        <v>0</v>
      </c>
      <c r="K358" s="710">
        <f>-SUMIFS('D2 - Capex uso'!CB$6:CB$176,'D2 - Capex uso'!$C$6:$C$176,$A346,'D2 - Capex uso'!$AK$6:$AK$176,$A358)</f>
        <v>0</v>
      </c>
      <c r="L358" s="710">
        <f>-SUMIFS('D2 - Capex uso'!CC$6:CC$176,'D2 - Capex uso'!$C$6:$C$176,$A346,'D2 - Capex uso'!$AK$6:$AK$176,$A358)</f>
        <v>0</v>
      </c>
      <c r="M358" s="710">
        <f>-SUMIFS('D2 - Capex uso'!CD$6:CD$176,'D2 - Capex uso'!$C$6:$C$176,$A346,'D2 - Capex uso'!$AK$6:$AK$176,$A358)</f>
        <v>0</v>
      </c>
      <c r="N358" s="710">
        <f>-SUMIFS('D2 - Capex uso'!CE$6:CE$176,'D2 - Capex uso'!$C$6:$C$176,$A346,'D2 - Capex uso'!$AK$6:$AK$176,$A358)</f>
        <v>0</v>
      </c>
      <c r="O358" s="710">
        <f>-SUMIFS('D2 - Capex uso'!CF$6:CF$176,'D2 - Capex uso'!$C$6:$C$176,$A346,'D2 - Capex uso'!$AK$6:$AK$176,$A358)</f>
        <v>0</v>
      </c>
      <c r="P358" s="710">
        <f>-SUMIFS('D2 - Capex uso'!CG$6:CG$176,'D2 - Capex uso'!$C$6:$C$176,$A346,'D2 - Capex uso'!$AK$6:$AK$176,$A358)</f>
        <v>0</v>
      </c>
      <c r="Q358" s="710">
        <f>-SUMIFS('D2 - Capex uso'!CH$6:CH$176,'D2 - Capex uso'!$C$6:$C$176,$A346,'D2 - Capex uso'!$AK$6:$AK$176,$A358)</f>
        <v>0</v>
      </c>
      <c r="R358" s="710">
        <f>-SUMIFS('D2 - Capex uso'!CI$6:CI$176,'D2 - Capex uso'!$C$6:$C$176,$A346,'D2 - Capex uso'!$AK$6:$AK$176,$A358)</f>
        <v>0</v>
      </c>
      <c r="S358" s="710">
        <f>-SUMIFS('D2 - Capex uso'!CJ$6:CJ$176,'D2 - Capex uso'!$C$6:$C$176,$A346,'D2 - Capex uso'!$AK$6:$AK$176,$A358)</f>
        <v>0</v>
      </c>
      <c r="T358" s="710">
        <f>-SUMIFS('D2 - Capex uso'!CK$6:CK$176,'D2 - Capex uso'!$C$6:$C$176,$A346,'D2 - Capex uso'!$AK$6:$AK$176,$A358)</f>
        <v>0</v>
      </c>
      <c r="U358" s="710">
        <f>-SUMIFS('D2 - Capex uso'!CL$6:CL$176,'D2 - Capex uso'!$C$6:$C$176,$A346,'D2 - Capex uso'!$AK$6:$AK$176,$A358)</f>
        <v>0</v>
      </c>
      <c r="V358" s="710">
        <f>-SUMIFS('D2 - Capex uso'!CM$6:CM$176,'D2 - Capex uso'!$C$6:$C$176,$A346,'D2 - Capex uso'!$AK$6:$AK$176,$A358)</f>
        <v>0</v>
      </c>
      <c r="W358" s="710">
        <f>-SUMIFS('D2 - Capex uso'!CN$6:CN$176,'D2 - Capex uso'!$C$6:$C$176,$A346,'D2 - Capex uso'!$AK$6:$AK$176,$A358)</f>
        <v>0</v>
      </c>
      <c r="X358" s="710">
        <f>-SUMIFS('D2 - Capex uso'!CO$6:CO$176,'D2 - Capex uso'!$C$6:$C$176,$A346,'D2 - Capex uso'!$AK$6:$AK$176,$A358)</f>
        <v>0</v>
      </c>
      <c r="Y358" s="710">
        <f>-SUMIFS('D2 - Capex uso'!CP$6:CP$176,'D2 - Capex uso'!$C$6:$C$176,$A346,'D2 - Capex uso'!$AK$6:$AK$176,$A358)</f>
        <v>0</v>
      </c>
      <c r="Z358" s="710">
        <f>-SUMIFS('D2 - Capex uso'!CQ$6:CQ$176,'D2 - Capex uso'!$C$6:$C$176,$A346,'D2 - Capex uso'!$AK$6:$AK$176,$A358)</f>
        <v>0</v>
      </c>
      <c r="AA358" s="710">
        <f>-SUMIFS('D2 - Capex uso'!CR$6:CR$176,'D2 - Capex uso'!$C$6:$C$176,$A346,'D2 - Capex uso'!$AK$6:$AK$176,$A358)</f>
        <v>0</v>
      </c>
      <c r="AB358" s="710">
        <f>-SUMIFS('D2 - Capex uso'!CS$6:CS$176,'D2 - Capex uso'!$C$6:$C$176,$A346,'D2 - Capex uso'!$AK$6:$AK$176,$A358)</f>
        <v>0</v>
      </c>
      <c r="AC358" s="710">
        <f>-SUMIFS('D2 - Capex uso'!CT$6:CT$176,'D2 - Capex uso'!$C$6:$C$176,$A346,'D2 - Capex uso'!$AK$6:$AK$176,$A358)</f>
        <v>0</v>
      </c>
      <c r="AD358" s="710">
        <f>-SUMIFS('D2 - Capex uso'!CU$6:CU$176,'D2 - Capex uso'!$C$6:$C$176,$A346,'D2 - Capex uso'!$AK$6:$AK$176,$A358)</f>
        <v>0</v>
      </c>
      <c r="AE358" s="710">
        <f>-SUMIFS('D2 - Capex uso'!CV$6:CV$176,'D2 - Capex uso'!$C$6:$C$176,$A346,'D2 - Capex uso'!$AK$6:$AK$176,$A358)</f>
        <v>0</v>
      </c>
      <c r="AF358" s="594"/>
      <c r="AG358" s="594"/>
      <c r="AH358" s="594"/>
      <c r="AI358" s="594"/>
      <c r="AJ358" s="594"/>
      <c r="AK358" s="594"/>
      <c r="AL358" s="594"/>
      <c r="AM358" s="594"/>
      <c r="AN358" s="594"/>
      <c r="AO358" s="594"/>
      <c r="AP358" s="594"/>
      <c r="AQ358" s="594"/>
      <c r="AR358" s="594"/>
      <c r="AS358" s="594"/>
      <c r="AT358" s="594"/>
      <c r="AU358" s="594"/>
      <c r="AV358" s="594"/>
      <c r="AW358" s="594"/>
      <c r="AX358" s="594"/>
      <c r="AY358" s="594"/>
      <c r="AZ358" s="594"/>
      <c r="BA358" s="594"/>
      <c r="BB358" s="594"/>
      <c r="BC358" s="594"/>
      <c r="BD358" s="594"/>
      <c r="BE358" s="594"/>
      <c r="BF358" s="594"/>
      <c r="BG358" s="594"/>
      <c r="BH358" s="594"/>
      <c r="BI358" s="594"/>
      <c r="BJ358" s="594"/>
      <c r="BK358" s="594"/>
      <c r="BL358" s="57"/>
      <c r="BM358" s="594"/>
      <c r="BN358" s="594"/>
      <c r="BO358" s="594"/>
      <c r="BP358" s="594"/>
      <c r="BQ358" s="594"/>
      <c r="BR358" s="594"/>
      <c r="BS358" s="594"/>
      <c r="BT358" s="594"/>
      <c r="BU358" s="594"/>
      <c r="BV358" s="594"/>
      <c r="BW358" s="594"/>
      <c r="BX358" s="594"/>
      <c r="BY358" s="594"/>
      <c r="BZ358" s="594"/>
      <c r="CA358" s="594"/>
      <c r="CB358" s="594"/>
      <c r="CC358" s="594"/>
      <c r="CD358" s="594"/>
      <c r="CE358" s="594"/>
      <c r="CF358" s="594"/>
      <c r="CG358" s="594"/>
      <c r="CH358" s="594"/>
      <c r="CI358" s="594"/>
      <c r="CJ358" s="594"/>
      <c r="CK358" s="594"/>
      <c r="CL358" s="594"/>
      <c r="CM358" s="594"/>
      <c r="CN358" s="594"/>
      <c r="CO358" s="594"/>
      <c r="CP358" s="594"/>
      <c r="CQ358" s="594"/>
    </row>
    <row r="359" spans="1:95" ht="19.5" hidden="1" customHeight="1" outlineLevel="2">
      <c r="A359" s="709" t="s">
        <v>378</v>
      </c>
      <c r="B359" s="710">
        <f>-SUMIFS('D2 - Capex uso'!BS$6:BS$176,'D2 - Capex uso'!$C$6:$C$176,$A346,'D2 - Capex uso'!$AK$6:$AK$176,$A359)</f>
        <v>0</v>
      </c>
      <c r="C359" s="710">
        <f>-SUMIFS('D2 - Capex uso'!BT$6:BT$176,'D2 - Capex uso'!$C$6:$C$176,$A346,'D2 - Capex uso'!$AK$6:$AK$176,$A359)</f>
        <v>0</v>
      </c>
      <c r="D359" s="710">
        <f>-SUMIFS('D2 - Capex uso'!BU$6:BU$176,'D2 - Capex uso'!$C$6:$C$176,$A346,'D2 - Capex uso'!$AK$6:$AK$176,$A359)</f>
        <v>0</v>
      </c>
      <c r="E359" s="710">
        <f>-SUMIFS('D2 - Capex uso'!BV$6:BV$176,'D2 - Capex uso'!$C$6:$C$176,$A346,'D2 - Capex uso'!$AK$6:$AK$176,$A359)</f>
        <v>0</v>
      </c>
      <c r="F359" s="710">
        <f>-SUMIFS('D2 - Capex uso'!BW$6:BW$176,'D2 - Capex uso'!$C$6:$C$176,$A346,'D2 - Capex uso'!$AK$6:$AK$176,$A359)</f>
        <v>0</v>
      </c>
      <c r="G359" s="710">
        <f>-SUMIFS('D2 - Capex uso'!BX$6:BX$176,'D2 - Capex uso'!$C$6:$C$176,$A346,'D2 - Capex uso'!$AK$6:$AK$176,$A359)</f>
        <v>0</v>
      </c>
      <c r="H359" s="710">
        <f>-SUMIFS('D2 - Capex uso'!BY$6:BY$176,'D2 - Capex uso'!$C$6:$C$176,$A346,'D2 - Capex uso'!$AK$6:$AK$176,$A359)</f>
        <v>0</v>
      </c>
      <c r="I359" s="710">
        <f>-SUMIFS('D2 - Capex uso'!BZ$6:BZ$176,'D2 - Capex uso'!$C$6:$C$176,$A346,'D2 - Capex uso'!$AK$6:$AK$176,$A359)</f>
        <v>0</v>
      </c>
      <c r="J359" s="710">
        <f>-SUMIFS('D2 - Capex uso'!CA$6:CA$176,'D2 - Capex uso'!$C$6:$C$176,$A346,'D2 - Capex uso'!$AK$6:$AK$176,$A359)</f>
        <v>0</v>
      </c>
      <c r="K359" s="710">
        <f>-SUMIFS('D2 - Capex uso'!CB$6:CB$176,'D2 - Capex uso'!$C$6:$C$176,$A346,'D2 - Capex uso'!$AK$6:$AK$176,$A359)</f>
        <v>0</v>
      </c>
      <c r="L359" s="710">
        <f>-SUMIFS('D2 - Capex uso'!CC$6:CC$176,'D2 - Capex uso'!$C$6:$C$176,$A346,'D2 - Capex uso'!$AK$6:$AK$176,$A359)</f>
        <v>0</v>
      </c>
      <c r="M359" s="710">
        <f>-SUMIFS('D2 - Capex uso'!CD$6:CD$176,'D2 - Capex uso'!$C$6:$C$176,$A346,'D2 - Capex uso'!$AK$6:$AK$176,$A359)</f>
        <v>0</v>
      </c>
      <c r="N359" s="710">
        <f>-SUMIFS('D2 - Capex uso'!CE$6:CE$176,'D2 - Capex uso'!$C$6:$C$176,$A346,'D2 - Capex uso'!$AK$6:$AK$176,$A359)</f>
        <v>0</v>
      </c>
      <c r="O359" s="710">
        <f>-SUMIFS('D2 - Capex uso'!CF$6:CF$176,'D2 - Capex uso'!$C$6:$C$176,$A346,'D2 - Capex uso'!$AK$6:$AK$176,$A359)</f>
        <v>0</v>
      </c>
      <c r="P359" s="710">
        <f>-SUMIFS('D2 - Capex uso'!CG$6:CG$176,'D2 - Capex uso'!$C$6:$C$176,$A346,'D2 - Capex uso'!$AK$6:$AK$176,$A359)</f>
        <v>0</v>
      </c>
      <c r="Q359" s="710">
        <f>-SUMIFS('D2 - Capex uso'!CH$6:CH$176,'D2 - Capex uso'!$C$6:$C$176,$A346,'D2 - Capex uso'!$AK$6:$AK$176,$A359)</f>
        <v>0</v>
      </c>
      <c r="R359" s="710">
        <f>-SUMIFS('D2 - Capex uso'!CI$6:CI$176,'D2 - Capex uso'!$C$6:$C$176,$A346,'D2 - Capex uso'!$AK$6:$AK$176,$A359)</f>
        <v>0</v>
      </c>
      <c r="S359" s="710">
        <f>-SUMIFS('D2 - Capex uso'!CJ$6:CJ$176,'D2 - Capex uso'!$C$6:$C$176,$A346,'D2 - Capex uso'!$AK$6:$AK$176,$A359)</f>
        <v>0</v>
      </c>
      <c r="T359" s="710">
        <f>-SUMIFS('D2 - Capex uso'!CK$6:CK$176,'D2 - Capex uso'!$C$6:$C$176,$A346,'D2 - Capex uso'!$AK$6:$AK$176,$A359)</f>
        <v>0</v>
      </c>
      <c r="U359" s="710">
        <f>-SUMIFS('D2 - Capex uso'!CL$6:CL$176,'D2 - Capex uso'!$C$6:$C$176,$A346,'D2 - Capex uso'!$AK$6:$AK$176,$A359)</f>
        <v>0</v>
      </c>
      <c r="V359" s="710">
        <f>-SUMIFS('D2 - Capex uso'!CM$6:CM$176,'D2 - Capex uso'!$C$6:$C$176,$A346,'D2 - Capex uso'!$AK$6:$AK$176,$A359)</f>
        <v>0</v>
      </c>
      <c r="W359" s="710">
        <f>-SUMIFS('D2 - Capex uso'!CN$6:CN$176,'D2 - Capex uso'!$C$6:$C$176,$A346,'D2 - Capex uso'!$AK$6:$AK$176,$A359)</f>
        <v>0</v>
      </c>
      <c r="X359" s="710">
        <f>-SUMIFS('D2 - Capex uso'!CO$6:CO$176,'D2 - Capex uso'!$C$6:$C$176,$A346,'D2 - Capex uso'!$AK$6:$AK$176,$A359)</f>
        <v>0</v>
      </c>
      <c r="Y359" s="710">
        <f>-SUMIFS('D2 - Capex uso'!CP$6:CP$176,'D2 - Capex uso'!$C$6:$C$176,$A346,'D2 - Capex uso'!$AK$6:$AK$176,$A359)</f>
        <v>0</v>
      </c>
      <c r="Z359" s="710">
        <f>-SUMIFS('D2 - Capex uso'!CQ$6:CQ$176,'D2 - Capex uso'!$C$6:$C$176,$A346,'D2 - Capex uso'!$AK$6:$AK$176,$A359)</f>
        <v>0</v>
      </c>
      <c r="AA359" s="710">
        <f>-SUMIFS('D2 - Capex uso'!CR$6:CR$176,'D2 - Capex uso'!$C$6:$C$176,$A346,'D2 - Capex uso'!$AK$6:$AK$176,$A359)</f>
        <v>0</v>
      </c>
      <c r="AB359" s="710">
        <f>-SUMIFS('D2 - Capex uso'!CS$6:CS$176,'D2 - Capex uso'!$C$6:$C$176,$A346,'D2 - Capex uso'!$AK$6:$AK$176,$A359)</f>
        <v>0</v>
      </c>
      <c r="AC359" s="710">
        <f>-SUMIFS('D2 - Capex uso'!CT$6:CT$176,'D2 - Capex uso'!$C$6:$C$176,$A346,'D2 - Capex uso'!$AK$6:$AK$176,$A359)</f>
        <v>0</v>
      </c>
      <c r="AD359" s="710">
        <f>-SUMIFS('D2 - Capex uso'!CU$6:CU$176,'D2 - Capex uso'!$C$6:$C$176,$A346,'D2 - Capex uso'!$AK$6:$AK$176,$A359)</f>
        <v>0</v>
      </c>
      <c r="AE359" s="710">
        <f>-SUMIFS('D2 - Capex uso'!CV$6:CV$176,'D2 - Capex uso'!$C$6:$C$176,$A346,'D2 - Capex uso'!$AK$6:$AK$176,$A359)</f>
        <v>0</v>
      </c>
      <c r="AF359" s="594"/>
      <c r="AG359" s="594"/>
      <c r="AH359" s="594"/>
      <c r="AI359" s="594"/>
      <c r="AJ359" s="594"/>
      <c r="AK359" s="594"/>
      <c r="AL359" s="594"/>
      <c r="AM359" s="594"/>
      <c r="AN359" s="594"/>
      <c r="AO359" s="594"/>
      <c r="AP359" s="594"/>
      <c r="AQ359" s="594"/>
      <c r="AR359" s="594"/>
      <c r="AS359" s="594"/>
      <c r="AT359" s="594"/>
      <c r="AU359" s="594"/>
      <c r="AV359" s="594"/>
      <c r="AW359" s="594"/>
      <c r="AX359" s="594"/>
      <c r="AY359" s="594"/>
      <c r="AZ359" s="594"/>
      <c r="BA359" s="594"/>
      <c r="BB359" s="594"/>
      <c r="BC359" s="594"/>
      <c r="BD359" s="594"/>
      <c r="BE359" s="594"/>
      <c r="BF359" s="594"/>
      <c r="BG359" s="594"/>
      <c r="BH359" s="594"/>
      <c r="BI359" s="594"/>
      <c r="BJ359" s="594"/>
      <c r="BK359" s="594"/>
      <c r="BL359" s="57"/>
      <c r="BM359" s="594"/>
      <c r="BN359" s="594"/>
      <c r="BO359" s="594"/>
      <c r="BP359" s="594"/>
      <c r="BQ359" s="594"/>
      <c r="BR359" s="594"/>
      <c r="BS359" s="594"/>
      <c r="BT359" s="594"/>
      <c r="BU359" s="594"/>
      <c r="BV359" s="594"/>
      <c r="BW359" s="594"/>
      <c r="BX359" s="594"/>
      <c r="BY359" s="594"/>
      <c r="BZ359" s="594"/>
      <c r="CA359" s="594"/>
      <c r="CB359" s="594"/>
      <c r="CC359" s="594"/>
      <c r="CD359" s="594"/>
      <c r="CE359" s="594"/>
      <c r="CF359" s="594"/>
      <c r="CG359" s="594"/>
      <c r="CH359" s="594"/>
      <c r="CI359" s="594"/>
      <c r="CJ359" s="594"/>
      <c r="CK359" s="594"/>
      <c r="CL359" s="594"/>
      <c r="CM359" s="594"/>
      <c r="CN359" s="594"/>
      <c r="CO359" s="594"/>
      <c r="CP359" s="594"/>
      <c r="CQ359" s="594"/>
    </row>
    <row r="360" spans="1:95" ht="19.5" hidden="1" customHeight="1" outlineLevel="2">
      <c r="A360" s="709" t="s">
        <v>366</v>
      </c>
      <c r="B360" s="710">
        <f>-SUMIFS('D2 - Capex uso'!BS$6:BS$176,'D2 - Capex uso'!$C$6:$C$176,$A346,'D2 - Capex uso'!$AK$6:$AK$176,$A360)</f>
        <v>0</v>
      </c>
      <c r="C360" s="710">
        <f>-SUMIFS('D2 - Capex uso'!BT$6:BT$176,'D2 - Capex uso'!$C$6:$C$176,$A346,'D2 - Capex uso'!$AK$6:$AK$176,$A360)</f>
        <v>0</v>
      </c>
      <c r="D360" s="710">
        <f>-SUMIFS('D2 - Capex uso'!BU$6:BU$176,'D2 - Capex uso'!$C$6:$C$176,$A346,'D2 - Capex uso'!$AK$6:$AK$176,$A360)</f>
        <v>0</v>
      </c>
      <c r="E360" s="710">
        <f>-SUMIFS('D2 - Capex uso'!BV$6:BV$176,'D2 - Capex uso'!$C$6:$C$176,$A346,'D2 - Capex uso'!$AK$6:$AK$176,$A360)</f>
        <v>0</v>
      </c>
      <c r="F360" s="710">
        <f>-SUMIFS('D2 - Capex uso'!BW$6:BW$176,'D2 - Capex uso'!$C$6:$C$176,$A346,'D2 - Capex uso'!$AK$6:$AK$176,$A360)</f>
        <v>0</v>
      </c>
      <c r="G360" s="710">
        <f>-SUMIFS('D2 - Capex uso'!BX$6:BX$176,'D2 - Capex uso'!$C$6:$C$176,$A346,'D2 - Capex uso'!$AK$6:$AK$176,$A360)</f>
        <v>0</v>
      </c>
      <c r="H360" s="710">
        <f>-SUMIFS('D2 - Capex uso'!BY$6:BY$176,'D2 - Capex uso'!$C$6:$C$176,$A346,'D2 - Capex uso'!$AK$6:$AK$176,$A360)</f>
        <v>0</v>
      </c>
      <c r="I360" s="710">
        <f>-SUMIFS('D2 - Capex uso'!BZ$6:BZ$176,'D2 - Capex uso'!$C$6:$C$176,$A346,'D2 - Capex uso'!$AK$6:$AK$176,$A360)</f>
        <v>0</v>
      </c>
      <c r="J360" s="710">
        <f>-SUMIFS('D2 - Capex uso'!CA$6:CA$176,'D2 - Capex uso'!$C$6:$C$176,$A346,'D2 - Capex uso'!$AK$6:$AK$176,$A360)</f>
        <v>0</v>
      </c>
      <c r="K360" s="710">
        <f>-SUMIFS('D2 - Capex uso'!CB$6:CB$176,'D2 - Capex uso'!$C$6:$C$176,$A346,'D2 - Capex uso'!$AK$6:$AK$176,$A360)</f>
        <v>0</v>
      </c>
      <c r="L360" s="710">
        <f>-SUMIFS('D2 - Capex uso'!CC$6:CC$176,'D2 - Capex uso'!$C$6:$C$176,$A346,'D2 - Capex uso'!$AK$6:$AK$176,$A360)</f>
        <v>0</v>
      </c>
      <c r="M360" s="710">
        <f>-SUMIFS('D2 - Capex uso'!CD$6:CD$176,'D2 - Capex uso'!$C$6:$C$176,$A346,'D2 - Capex uso'!$AK$6:$AK$176,$A360)</f>
        <v>0</v>
      </c>
      <c r="N360" s="710">
        <f>-SUMIFS('D2 - Capex uso'!CE$6:CE$176,'D2 - Capex uso'!$C$6:$C$176,$A346,'D2 - Capex uso'!$AK$6:$AK$176,$A360)</f>
        <v>0</v>
      </c>
      <c r="O360" s="710">
        <f>-SUMIFS('D2 - Capex uso'!CF$6:CF$176,'D2 - Capex uso'!$C$6:$C$176,$A346,'D2 - Capex uso'!$AK$6:$AK$176,$A360)</f>
        <v>0</v>
      </c>
      <c r="P360" s="710">
        <f>-SUMIFS('D2 - Capex uso'!CG$6:CG$176,'D2 - Capex uso'!$C$6:$C$176,$A346,'D2 - Capex uso'!$AK$6:$AK$176,$A360)</f>
        <v>0</v>
      </c>
      <c r="Q360" s="710">
        <f>-SUMIFS('D2 - Capex uso'!CH$6:CH$176,'D2 - Capex uso'!$C$6:$C$176,$A346,'D2 - Capex uso'!$AK$6:$AK$176,$A360)</f>
        <v>0</v>
      </c>
      <c r="R360" s="710">
        <f>-SUMIFS('D2 - Capex uso'!CI$6:CI$176,'D2 - Capex uso'!$C$6:$C$176,$A346,'D2 - Capex uso'!$AK$6:$AK$176,$A360)</f>
        <v>0</v>
      </c>
      <c r="S360" s="710">
        <f>-SUMIFS('D2 - Capex uso'!CJ$6:CJ$176,'D2 - Capex uso'!$C$6:$C$176,$A346,'D2 - Capex uso'!$AK$6:$AK$176,$A360)</f>
        <v>0</v>
      </c>
      <c r="T360" s="710">
        <f>-SUMIFS('D2 - Capex uso'!CK$6:CK$176,'D2 - Capex uso'!$C$6:$C$176,$A346,'D2 - Capex uso'!$AK$6:$AK$176,$A360)</f>
        <v>0</v>
      </c>
      <c r="U360" s="710">
        <f>-SUMIFS('D2 - Capex uso'!CL$6:CL$176,'D2 - Capex uso'!$C$6:$C$176,$A346,'D2 - Capex uso'!$AK$6:$AK$176,$A360)</f>
        <v>0</v>
      </c>
      <c r="V360" s="710">
        <f>-SUMIFS('D2 - Capex uso'!CM$6:CM$176,'D2 - Capex uso'!$C$6:$C$176,$A346,'D2 - Capex uso'!$AK$6:$AK$176,$A360)</f>
        <v>0</v>
      </c>
      <c r="W360" s="710">
        <f>-SUMIFS('D2 - Capex uso'!CN$6:CN$176,'D2 - Capex uso'!$C$6:$C$176,$A346,'D2 - Capex uso'!$AK$6:$AK$176,$A360)</f>
        <v>0</v>
      </c>
      <c r="X360" s="710">
        <f>-SUMIFS('D2 - Capex uso'!CO$6:CO$176,'D2 - Capex uso'!$C$6:$C$176,$A346,'D2 - Capex uso'!$AK$6:$AK$176,$A360)</f>
        <v>0</v>
      </c>
      <c r="Y360" s="710">
        <f>-SUMIFS('D2 - Capex uso'!CP$6:CP$176,'D2 - Capex uso'!$C$6:$C$176,$A346,'D2 - Capex uso'!$AK$6:$AK$176,$A360)</f>
        <v>0</v>
      </c>
      <c r="Z360" s="710">
        <f>-SUMIFS('D2 - Capex uso'!CQ$6:CQ$176,'D2 - Capex uso'!$C$6:$C$176,$A346,'D2 - Capex uso'!$AK$6:$AK$176,$A360)</f>
        <v>0</v>
      </c>
      <c r="AA360" s="710">
        <f>-SUMIFS('D2 - Capex uso'!CR$6:CR$176,'D2 - Capex uso'!$C$6:$C$176,$A346,'D2 - Capex uso'!$AK$6:$AK$176,$A360)</f>
        <v>0</v>
      </c>
      <c r="AB360" s="710">
        <f>-SUMIFS('D2 - Capex uso'!CS$6:CS$176,'D2 - Capex uso'!$C$6:$C$176,$A346,'D2 - Capex uso'!$AK$6:$AK$176,$A360)</f>
        <v>0</v>
      </c>
      <c r="AC360" s="710">
        <f>-SUMIFS('D2 - Capex uso'!CT$6:CT$176,'D2 - Capex uso'!$C$6:$C$176,$A346,'D2 - Capex uso'!$AK$6:$AK$176,$A360)</f>
        <v>0</v>
      </c>
      <c r="AD360" s="710">
        <f>-SUMIFS('D2 - Capex uso'!CU$6:CU$176,'D2 - Capex uso'!$C$6:$C$176,$A346,'D2 - Capex uso'!$AK$6:$AK$176,$A360)</f>
        <v>0</v>
      </c>
      <c r="AE360" s="710">
        <f>-SUMIFS('D2 - Capex uso'!CV$6:CV$176,'D2 - Capex uso'!$C$6:$C$176,$A346,'D2 - Capex uso'!$AK$6:$AK$176,$A360)</f>
        <v>0</v>
      </c>
      <c r="AF360" s="594"/>
      <c r="AG360" s="594"/>
      <c r="AH360" s="594"/>
      <c r="AI360" s="594"/>
      <c r="AJ360" s="594"/>
      <c r="AK360" s="594"/>
      <c r="AL360" s="594"/>
      <c r="AM360" s="594"/>
      <c r="AN360" s="594"/>
      <c r="AO360" s="594"/>
      <c r="AP360" s="594"/>
      <c r="AQ360" s="594"/>
      <c r="AR360" s="594"/>
      <c r="AS360" s="594"/>
      <c r="AT360" s="594"/>
      <c r="AU360" s="594"/>
      <c r="AV360" s="594"/>
      <c r="AW360" s="594"/>
      <c r="AX360" s="594"/>
      <c r="AY360" s="594"/>
      <c r="AZ360" s="594"/>
      <c r="BA360" s="594"/>
      <c r="BB360" s="594"/>
      <c r="BC360" s="594"/>
      <c r="BD360" s="594"/>
      <c r="BE360" s="594"/>
      <c r="BF360" s="594"/>
      <c r="BG360" s="594"/>
      <c r="BH360" s="594"/>
      <c r="BI360" s="594"/>
      <c r="BJ360" s="594"/>
      <c r="BK360" s="594"/>
      <c r="BL360" s="57"/>
      <c r="BM360" s="594"/>
      <c r="BN360" s="594"/>
      <c r="BO360" s="594"/>
      <c r="BP360" s="594"/>
      <c r="BQ360" s="594"/>
      <c r="BR360" s="594"/>
      <c r="BS360" s="594"/>
      <c r="BT360" s="594"/>
      <c r="BU360" s="594"/>
      <c r="BV360" s="594"/>
      <c r="BW360" s="594"/>
      <c r="BX360" s="594"/>
      <c r="BY360" s="594"/>
      <c r="BZ360" s="594"/>
      <c r="CA360" s="594"/>
      <c r="CB360" s="594"/>
      <c r="CC360" s="594"/>
      <c r="CD360" s="594"/>
      <c r="CE360" s="594"/>
      <c r="CF360" s="594"/>
      <c r="CG360" s="594"/>
      <c r="CH360" s="594"/>
      <c r="CI360" s="594"/>
      <c r="CJ360" s="594"/>
      <c r="CK360" s="594"/>
      <c r="CL360" s="594"/>
      <c r="CM360" s="594"/>
      <c r="CN360" s="594"/>
      <c r="CO360" s="594"/>
      <c r="CP360" s="594"/>
      <c r="CQ360" s="594"/>
    </row>
    <row r="361" spans="1:95" ht="19.5" hidden="1" customHeight="1" outlineLevel="2">
      <c r="A361" s="709" t="s">
        <v>371</v>
      </c>
      <c r="B361" s="710">
        <f>-SUMIFS('D2 - Capex uso'!BS$6:BS$176,'D2 - Capex uso'!$C$6:$C$176,$A346,'D2 - Capex uso'!$AK$6:$AK$176,$A361)</f>
        <v>0</v>
      </c>
      <c r="C361" s="710">
        <f>-SUMIFS('D2 - Capex uso'!BT$6:BT$176,'D2 - Capex uso'!$C$6:$C$176,$A346,'D2 - Capex uso'!$AK$6:$AK$176,$A361)</f>
        <v>0</v>
      </c>
      <c r="D361" s="710">
        <f>-SUMIFS('D2 - Capex uso'!BU$6:BU$176,'D2 - Capex uso'!$C$6:$C$176,$A346,'D2 - Capex uso'!$AK$6:$AK$176,$A361)</f>
        <v>0</v>
      </c>
      <c r="E361" s="710">
        <f>-SUMIFS('D2 - Capex uso'!BV$6:BV$176,'D2 - Capex uso'!$C$6:$C$176,$A346,'D2 - Capex uso'!$AK$6:$AK$176,$A361)</f>
        <v>0</v>
      </c>
      <c r="F361" s="710">
        <f>-SUMIFS('D2 - Capex uso'!BW$6:BW$176,'D2 - Capex uso'!$C$6:$C$176,$A346,'D2 - Capex uso'!$AK$6:$AK$176,$A361)</f>
        <v>0</v>
      </c>
      <c r="G361" s="710">
        <f>-SUMIFS('D2 - Capex uso'!BX$6:BX$176,'D2 - Capex uso'!$C$6:$C$176,$A346,'D2 - Capex uso'!$AK$6:$AK$176,$A361)</f>
        <v>0</v>
      </c>
      <c r="H361" s="710">
        <f>-SUMIFS('D2 - Capex uso'!BY$6:BY$176,'D2 - Capex uso'!$C$6:$C$176,$A346,'D2 - Capex uso'!$AK$6:$AK$176,$A361)</f>
        <v>0</v>
      </c>
      <c r="I361" s="710">
        <f>-SUMIFS('D2 - Capex uso'!BZ$6:BZ$176,'D2 - Capex uso'!$C$6:$C$176,$A346,'D2 - Capex uso'!$AK$6:$AK$176,$A361)</f>
        <v>0</v>
      </c>
      <c r="J361" s="710">
        <f>-SUMIFS('D2 - Capex uso'!CA$6:CA$176,'D2 - Capex uso'!$C$6:$C$176,$A346,'D2 - Capex uso'!$AK$6:$AK$176,$A361)</f>
        <v>0</v>
      </c>
      <c r="K361" s="710">
        <f>-SUMIFS('D2 - Capex uso'!CB$6:CB$176,'D2 - Capex uso'!$C$6:$C$176,$A346,'D2 - Capex uso'!$AK$6:$AK$176,$A361)</f>
        <v>0</v>
      </c>
      <c r="L361" s="710">
        <f>-SUMIFS('D2 - Capex uso'!CC$6:CC$176,'D2 - Capex uso'!$C$6:$C$176,$A346,'D2 - Capex uso'!$AK$6:$AK$176,$A361)</f>
        <v>0</v>
      </c>
      <c r="M361" s="710">
        <f>-SUMIFS('D2 - Capex uso'!CD$6:CD$176,'D2 - Capex uso'!$C$6:$C$176,$A346,'D2 - Capex uso'!$AK$6:$AK$176,$A361)</f>
        <v>0</v>
      </c>
      <c r="N361" s="710">
        <f>-SUMIFS('D2 - Capex uso'!CE$6:CE$176,'D2 - Capex uso'!$C$6:$C$176,$A346,'D2 - Capex uso'!$AK$6:$AK$176,$A361)</f>
        <v>0</v>
      </c>
      <c r="O361" s="710">
        <f>-SUMIFS('D2 - Capex uso'!CF$6:CF$176,'D2 - Capex uso'!$C$6:$C$176,$A346,'D2 - Capex uso'!$AK$6:$AK$176,$A361)</f>
        <v>0</v>
      </c>
      <c r="P361" s="710">
        <f>-SUMIFS('D2 - Capex uso'!CG$6:CG$176,'D2 - Capex uso'!$C$6:$C$176,$A346,'D2 - Capex uso'!$AK$6:$AK$176,$A361)</f>
        <v>0</v>
      </c>
      <c r="Q361" s="710">
        <f>-SUMIFS('D2 - Capex uso'!CH$6:CH$176,'D2 - Capex uso'!$C$6:$C$176,$A346,'D2 - Capex uso'!$AK$6:$AK$176,$A361)</f>
        <v>0</v>
      </c>
      <c r="R361" s="710">
        <f>-SUMIFS('D2 - Capex uso'!CI$6:CI$176,'D2 - Capex uso'!$C$6:$C$176,$A346,'D2 - Capex uso'!$AK$6:$AK$176,$A361)</f>
        <v>0</v>
      </c>
      <c r="S361" s="710">
        <f>-SUMIFS('D2 - Capex uso'!CJ$6:CJ$176,'D2 - Capex uso'!$C$6:$C$176,$A346,'D2 - Capex uso'!$AK$6:$AK$176,$A361)</f>
        <v>0</v>
      </c>
      <c r="T361" s="710">
        <f>-SUMIFS('D2 - Capex uso'!CK$6:CK$176,'D2 - Capex uso'!$C$6:$C$176,$A346,'D2 - Capex uso'!$AK$6:$AK$176,$A361)</f>
        <v>0</v>
      </c>
      <c r="U361" s="710">
        <f>-SUMIFS('D2 - Capex uso'!CL$6:CL$176,'D2 - Capex uso'!$C$6:$C$176,$A346,'D2 - Capex uso'!$AK$6:$AK$176,$A361)</f>
        <v>0</v>
      </c>
      <c r="V361" s="710">
        <f>-SUMIFS('D2 - Capex uso'!CM$6:CM$176,'D2 - Capex uso'!$C$6:$C$176,$A346,'D2 - Capex uso'!$AK$6:$AK$176,$A361)</f>
        <v>0</v>
      </c>
      <c r="W361" s="710">
        <f>-SUMIFS('D2 - Capex uso'!CN$6:CN$176,'D2 - Capex uso'!$C$6:$C$176,$A346,'D2 - Capex uso'!$AK$6:$AK$176,$A361)</f>
        <v>0</v>
      </c>
      <c r="X361" s="710">
        <f>-SUMIFS('D2 - Capex uso'!CO$6:CO$176,'D2 - Capex uso'!$C$6:$C$176,$A346,'D2 - Capex uso'!$AK$6:$AK$176,$A361)</f>
        <v>0</v>
      </c>
      <c r="Y361" s="710">
        <f>-SUMIFS('D2 - Capex uso'!CP$6:CP$176,'D2 - Capex uso'!$C$6:$C$176,$A346,'D2 - Capex uso'!$AK$6:$AK$176,$A361)</f>
        <v>0</v>
      </c>
      <c r="Z361" s="710">
        <f>-SUMIFS('D2 - Capex uso'!CQ$6:CQ$176,'D2 - Capex uso'!$C$6:$C$176,$A346,'D2 - Capex uso'!$AK$6:$AK$176,$A361)</f>
        <v>0</v>
      </c>
      <c r="AA361" s="710">
        <f>-SUMIFS('D2 - Capex uso'!CR$6:CR$176,'D2 - Capex uso'!$C$6:$C$176,$A346,'D2 - Capex uso'!$AK$6:$AK$176,$A361)</f>
        <v>0</v>
      </c>
      <c r="AB361" s="710">
        <f>-SUMIFS('D2 - Capex uso'!CS$6:CS$176,'D2 - Capex uso'!$C$6:$C$176,$A346,'D2 - Capex uso'!$AK$6:$AK$176,$A361)</f>
        <v>0</v>
      </c>
      <c r="AC361" s="710">
        <f>-SUMIFS('D2 - Capex uso'!CT$6:CT$176,'D2 - Capex uso'!$C$6:$C$176,$A346,'D2 - Capex uso'!$AK$6:$AK$176,$A361)</f>
        <v>0</v>
      </c>
      <c r="AD361" s="710">
        <f>-SUMIFS('D2 - Capex uso'!CU$6:CU$176,'D2 - Capex uso'!$C$6:$C$176,$A346,'D2 - Capex uso'!$AK$6:$AK$176,$A361)</f>
        <v>0</v>
      </c>
      <c r="AE361" s="710">
        <f>-SUMIFS('D2 - Capex uso'!CV$6:CV$176,'D2 - Capex uso'!$C$6:$C$176,$A346,'D2 - Capex uso'!$AK$6:$AK$176,$A361)</f>
        <v>0</v>
      </c>
      <c r="AF361" s="594"/>
      <c r="AG361" s="594"/>
      <c r="AH361" s="594"/>
      <c r="AI361" s="594"/>
      <c r="AJ361" s="594"/>
      <c r="AK361" s="594"/>
      <c r="AL361" s="594"/>
      <c r="AM361" s="594"/>
      <c r="AN361" s="594"/>
      <c r="AO361" s="594"/>
      <c r="AP361" s="594"/>
      <c r="AQ361" s="594"/>
      <c r="AR361" s="594"/>
      <c r="AS361" s="594"/>
      <c r="AT361" s="594"/>
      <c r="AU361" s="594"/>
      <c r="AV361" s="594"/>
      <c r="AW361" s="594"/>
      <c r="AX361" s="594"/>
      <c r="AY361" s="594"/>
      <c r="AZ361" s="594"/>
      <c r="BA361" s="594"/>
      <c r="BB361" s="594"/>
      <c r="BC361" s="594"/>
      <c r="BD361" s="594"/>
      <c r="BE361" s="594"/>
      <c r="BF361" s="594"/>
      <c r="BG361" s="594"/>
      <c r="BH361" s="594"/>
      <c r="BI361" s="594"/>
      <c r="BJ361" s="594"/>
      <c r="BK361" s="594"/>
      <c r="BL361" s="57"/>
      <c r="BM361" s="594"/>
      <c r="BN361" s="594"/>
      <c r="BO361" s="594"/>
      <c r="BP361" s="594"/>
      <c r="BQ361" s="594"/>
      <c r="BR361" s="594"/>
      <c r="BS361" s="594"/>
      <c r="BT361" s="594"/>
      <c r="BU361" s="594"/>
      <c r="BV361" s="594"/>
      <c r="BW361" s="594"/>
      <c r="BX361" s="594"/>
      <c r="BY361" s="594"/>
      <c r="BZ361" s="594"/>
      <c r="CA361" s="594"/>
      <c r="CB361" s="594"/>
      <c r="CC361" s="594"/>
      <c r="CD361" s="594"/>
      <c r="CE361" s="594"/>
      <c r="CF361" s="594"/>
      <c r="CG361" s="594"/>
      <c r="CH361" s="594"/>
      <c r="CI361" s="594"/>
      <c r="CJ361" s="594"/>
      <c r="CK361" s="594"/>
      <c r="CL361" s="594"/>
      <c r="CM361" s="594"/>
      <c r="CN361" s="594"/>
      <c r="CO361" s="594"/>
      <c r="CP361" s="594"/>
      <c r="CQ361" s="594"/>
    </row>
    <row r="362" spans="1:95" ht="19.5" hidden="1" customHeight="1" outlineLevel="2">
      <c r="A362" s="709" t="s">
        <v>361</v>
      </c>
      <c r="B362" s="710">
        <f>-SUMIFS('D2 - Capex uso'!BS$6:BS$176,'D2 - Capex uso'!$C$6:$C$176,$A346,'D2 - Capex uso'!$AK$6:$AK$176,$A362)</f>
        <v>0</v>
      </c>
      <c r="C362" s="710">
        <f>-SUMIFS('D2 - Capex uso'!BT$6:BT$176,'D2 - Capex uso'!$C$6:$C$176,$A346,'D2 - Capex uso'!$AK$6:$AK$176,$A362)</f>
        <v>0</v>
      </c>
      <c r="D362" s="710">
        <f>-SUMIFS('D2 - Capex uso'!BU$6:BU$176,'D2 - Capex uso'!$C$6:$C$176,$A346,'D2 - Capex uso'!$AK$6:$AK$176,$A362)</f>
        <v>0</v>
      </c>
      <c r="E362" s="710">
        <f>-SUMIFS('D2 - Capex uso'!BV$6:BV$176,'D2 - Capex uso'!$C$6:$C$176,$A346,'D2 - Capex uso'!$AK$6:$AK$176,$A362)</f>
        <v>0</v>
      </c>
      <c r="F362" s="710">
        <f>-SUMIFS('D2 - Capex uso'!BW$6:BW$176,'D2 - Capex uso'!$C$6:$C$176,$A346,'D2 - Capex uso'!$AK$6:$AK$176,$A362)</f>
        <v>0</v>
      </c>
      <c r="G362" s="710">
        <f>-SUMIFS('D2 - Capex uso'!BX$6:BX$176,'D2 - Capex uso'!$C$6:$C$176,$A346,'D2 - Capex uso'!$AK$6:$AK$176,$A362)</f>
        <v>0</v>
      </c>
      <c r="H362" s="710">
        <f>-SUMIFS('D2 - Capex uso'!BY$6:BY$176,'D2 - Capex uso'!$C$6:$C$176,$A346,'D2 - Capex uso'!$AK$6:$AK$176,$A362)</f>
        <v>0</v>
      </c>
      <c r="I362" s="710">
        <f>-SUMIFS('D2 - Capex uso'!BZ$6:BZ$176,'D2 - Capex uso'!$C$6:$C$176,$A346,'D2 - Capex uso'!$AK$6:$AK$176,$A362)</f>
        <v>0</v>
      </c>
      <c r="J362" s="710">
        <f>-SUMIFS('D2 - Capex uso'!CA$6:CA$176,'D2 - Capex uso'!$C$6:$C$176,$A346,'D2 - Capex uso'!$AK$6:$AK$176,$A362)</f>
        <v>0</v>
      </c>
      <c r="K362" s="710">
        <f>-SUMIFS('D2 - Capex uso'!CB$6:CB$176,'D2 - Capex uso'!$C$6:$C$176,$A346,'D2 - Capex uso'!$AK$6:$AK$176,$A362)</f>
        <v>0</v>
      </c>
      <c r="L362" s="710">
        <f>-SUMIFS('D2 - Capex uso'!CC$6:CC$176,'D2 - Capex uso'!$C$6:$C$176,$A346,'D2 - Capex uso'!$AK$6:$AK$176,$A362)</f>
        <v>0</v>
      </c>
      <c r="M362" s="710">
        <f>-SUMIFS('D2 - Capex uso'!CD$6:CD$176,'D2 - Capex uso'!$C$6:$C$176,$A346,'D2 - Capex uso'!$AK$6:$AK$176,$A362)</f>
        <v>0</v>
      </c>
      <c r="N362" s="710">
        <f>-SUMIFS('D2 - Capex uso'!CE$6:CE$176,'D2 - Capex uso'!$C$6:$C$176,$A346,'D2 - Capex uso'!$AK$6:$AK$176,$A362)</f>
        <v>0</v>
      </c>
      <c r="O362" s="710">
        <f>-SUMIFS('D2 - Capex uso'!CF$6:CF$176,'D2 - Capex uso'!$C$6:$C$176,$A346,'D2 - Capex uso'!$AK$6:$AK$176,$A362)</f>
        <v>0</v>
      </c>
      <c r="P362" s="710">
        <f>-SUMIFS('D2 - Capex uso'!CG$6:CG$176,'D2 - Capex uso'!$C$6:$C$176,$A346,'D2 - Capex uso'!$AK$6:$AK$176,$A362)</f>
        <v>0</v>
      </c>
      <c r="Q362" s="710">
        <f>-SUMIFS('D2 - Capex uso'!CH$6:CH$176,'D2 - Capex uso'!$C$6:$C$176,$A346,'D2 - Capex uso'!$AK$6:$AK$176,$A362)</f>
        <v>0</v>
      </c>
      <c r="R362" s="710">
        <f>-SUMIFS('D2 - Capex uso'!CI$6:CI$176,'D2 - Capex uso'!$C$6:$C$176,$A346,'D2 - Capex uso'!$AK$6:$AK$176,$A362)</f>
        <v>0</v>
      </c>
      <c r="S362" s="710">
        <f>-SUMIFS('D2 - Capex uso'!CJ$6:CJ$176,'D2 - Capex uso'!$C$6:$C$176,$A346,'D2 - Capex uso'!$AK$6:$AK$176,$A362)</f>
        <v>0</v>
      </c>
      <c r="T362" s="710">
        <f>-SUMIFS('D2 - Capex uso'!CK$6:CK$176,'D2 - Capex uso'!$C$6:$C$176,$A346,'D2 - Capex uso'!$AK$6:$AK$176,$A362)</f>
        <v>0</v>
      </c>
      <c r="U362" s="710">
        <f>-SUMIFS('D2 - Capex uso'!CL$6:CL$176,'D2 - Capex uso'!$C$6:$C$176,$A346,'D2 - Capex uso'!$AK$6:$AK$176,$A362)</f>
        <v>0</v>
      </c>
      <c r="V362" s="710">
        <f>-SUMIFS('D2 - Capex uso'!CM$6:CM$176,'D2 - Capex uso'!$C$6:$C$176,$A346,'D2 - Capex uso'!$AK$6:$AK$176,$A362)</f>
        <v>0</v>
      </c>
      <c r="W362" s="710">
        <f>-SUMIFS('D2 - Capex uso'!CN$6:CN$176,'D2 - Capex uso'!$C$6:$C$176,$A346,'D2 - Capex uso'!$AK$6:$AK$176,$A362)</f>
        <v>0</v>
      </c>
      <c r="X362" s="710">
        <f>-SUMIFS('D2 - Capex uso'!CO$6:CO$176,'D2 - Capex uso'!$C$6:$C$176,$A346,'D2 - Capex uso'!$AK$6:$AK$176,$A362)</f>
        <v>0</v>
      </c>
      <c r="Y362" s="710">
        <f>-SUMIFS('D2 - Capex uso'!CP$6:CP$176,'D2 - Capex uso'!$C$6:$C$176,$A346,'D2 - Capex uso'!$AK$6:$AK$176,$A362)</f>
        <v>0</v>
      </c>
      <c r="Z362" s="710">
        <f>-SUMIFS('D2 - Capex uso'!CQ$6:CQ$176,'D2 - Capex uso'!$C$6:$C$176,$A346,'D2 - Capex uso'!$AK$6:$AK$176,$A362)</f>
        <v>0</v>
      </c>
      <c r="AA362" s="710">
        <f>-SUMIFS('D2 - Capex uso'!CR$6:CR$176,'D2 - Capex uso'!$C$6:$C$176,$A346,'D2 - Capex uso'!$AK$6:$AK$176,$A362)</f>
        <v>0</v>
      </c>
      <c r="AB362" s="710">
        <f>-SUMIFS('D2 - Capex uso'!CS$6:CS$176,'D2 - Capex uso'!$C$6:$C$176,$A346,'D2 - Capex uso'!$AK$6:$AK$176,$A362)</f>
        <v>0</v>
      </c>
      <c r="AC362" s="710">
        <f>-SUMIFS('D2 - Capex uso'!CT$6:CT$176,'D2 - Capex uso'!$C$6:$C$176,$A346,'D2 - Capex uso'!$AK$6:$AK$176,$A362)</f>
        <v>0</v>
      </c>
      <c r="AD362" s="710">
        <f>-SUMIFS('D2 - Capex uso'!CU$6:CU$176,'D2 - Capex uso'!$C$6:$C$176,$A346,'D2 - Capex uso'!$AK$6:$AK$176,$A362)</f>
        <v>0</v>
      </c>
      <c r="AE362" s="710">
        <f>-SUMIFS('D2 - Capex uso'!CV$6:CV$176,'D2 - Capex uso'!$C$6:$C$176,$A346,'D2 - Capex uso'!$AK$6:$AK$176,$A362)</f>
        <v>0</v>
      </c>
      <c r="AF362" s="594"/>
      <c r="AG362" s="594"/>
      <c r="AH362" s="594"/>
      <c r="AI362" s="594"/>
      <c r="AJ362" s="594"/>
      <c r="AK362" s="594"/>
      <c r="AL362" s="594"/>
      <c r="AM362" s="594"/>
      <c r="AN362" s="594"/>
      <c r="AO362" s="594"/>
      <c r="AP362" s="594"/>
      <c r="AQ362" s="594"/>
      <c r="AR362" s="594"/>
      <c r="AS362" s="594"/>
      <c r="AT362" s="594"/>
      <c r="AU362" s="594"/>
      <c r="AV362" s="594"/>
      <c r="AW362" s="594"/>
      <c r="AX362" s="594"/>
      <c r="AY362" s="594"/>
      <c r="AZ362" s="594"/>
      <c r="BA362" s="594"/>
      <c r="BB362" s="594"/>
      <c r="BC362" s="594"/>
      <c r="BD362" s="594"/>
      <c r="BE362" s="594"/>
      <c r="BF362" s="594"/>
      <c r="BG362" s="594"/>
      <c r="BH362" s="594"/>
      <c r="BI362" s="594"/>
      <c r="BJ362" s="594"/>
      <c r="BK362" s="594"/>
      <c r="BL362" s="57"/>
      <c r="BM362" s="594"/>
      <c r="BN362" s="594"/>
      <c r="BO362" s="594"/>
      <c r="BP362" s="594"/>
      <c r="BQ362" s="594"/>
      <c r="BR362" s="594"/>
      <c r="BS362" s="594"/>
      <c r="BT362" s="594"/>
      <c r="BU362" s="594"/>
      <c r="BV362" s="594"/>
      <c r="BW362" s="594"/>
      <c r="BX362" s="594"/>
      <c r="BY362" s="594"/>
      <c r="BZ362" s="594"/>
      <c r="CA362" s="594"/>
      <c r="CB362" s="594"/>
      <c r="CC362" s="594"/>
      <c r="CD362" s="594"/>
      <c r="CE362" s="594"/>
      <c r="CF362" s="594"/>
      <c r="CG362" s="594"/>
      <c r="CH362" s="594"/>
      <c r="CI362" s="594"/>
      <c r="CJ362" s="594"/>
      <c r="CK362" s="594"/>
      <c r="CL362" s="594"/>
      <c r="CM362" s="594"/>
      <c r="CN362" s="594"/>
      <c r="CO362" s="594"/>
      <c r="CP362" s="594"/>
      <c r="CQ362" s="594"/>
    </row>
    <row r="363" spans="1:95" ht="19.5" hidden="1" customHeight="1" outlineLevel="2">
      <c r="A363" s="709" t="s">
        <v>359</v>
      </c>
      <c r="B363" s="710">
        <f>-SUMIFS('D2 - Capex uso'!BS$6:BS$176,'D2 - Capex uso'!$C$6:$C$176,$A346,'D2 - Capex uso'!$AK$6:$AK$176,$A363)</f>
        <v>0</v>
      </c>
      <c r="C363" s="710">
        <f>-SUMIFS('D2 - Capex uso'!BT$6:BT$176,'D2 - Capex uso'!$C$6:$C$176,$A346,'D2 - Capex uso'!$AK$6:$AK$176,$A363)</f>
        <v>0</v>
      </c>
      <c r="D363" s="710">
        <f>-SUMIFS('D2 - Capex uso'!BU$6:BU$176,'D2 - Capex uso'!$C$6:$C$176,$A346,'D2 - Capex uso'!$AK$6:$AK$176,$A363)</f>
        <v>0</v>
      </c>
      <c r="E363" s="710">
        <f>-SUMIFS('D2 - Capex uso'!BV$6:BV$176,'D2 - Capex uso'!$C$6:$C$176,$A346,'D2 - Capex uso'!$AK$6:$AK$176,$A363)</f>
        <v>0</v>
      </c>
      <c r="F363" s="710">
        <f>-SUMIFS('D2 - Capex uso'!BW$6:BW$176,'D2 - Capex uso'!$C$6:$C$176,$A346,'D2 - Capex uso'!$AK$6:$AK$176,$A363)</f>
        <v>0</v>
      </c>
      <c r="G363" s="710">
        <f>-SUMIFS('D2 - Capex uso'!BX$6:BX$176,'D2 - Capex uso'!$C$6:$C$176,$A346,'D2 - Capex uso'!$AK$6:$AK$176,$A363)</f>
        <v>0</v>
      </c>
      <c r="H363" s="710">
        <f>-SUMIFS('D2 - Capex uso'!BY$6:BY$176,'D2 - Capex uso'!$C$6:$C$176,$A346,'D2 - Capex uso'!$AK$6:$AK$176,$A363)</f>
        <v>0</v>
      </c>
      <c r="I363" s="710">
        <f>-SUMIFS('D2 - Capex uso'!BZ$6:BZ$176,'D2 - Capex uso'!$C$6:$C$176,$A346,'D2 - Capex uso'!$AK$6:$AK$176,$A363)</f>
        <v>0</v>
      </c>
      <c r="J363" s="710">
        <f>-SUMIFS('D2 - Capex uso'!CA$6:CA$176,'D2 - Capex uso'!$C$6:$C$176,$A346,'D2 - Capex uso'!$AK$6:$AK$176,$A363)</f>
        <v>0</v>
      </c>
      <c r="K363" s="710">
        <f>-SUMIFS('D2 - Capex uso'!CB$6:CB$176,'D2 - Capex uso'!$C$6:$C$176,$A346,'D2 - Capex uso'!$AK$6:$AK$176,$A363)</f>
        <v>0</v>
      </c>
      <c r="L363" s="710">
        <f>-SUMIFS('D2 - Capex uso'!CC$6:CC$176,'D2 - Capex uso'!$C$6:$C$176,$A346,'D2 - Capex uso'!$AK$6:$AK$176,$A363)</f>
        <v>0</v>
      </c>
      <c r="M363" s="710">
        <f>-SUMIFS('D2 - Capex uso'!CD$6:CD$176,'D2 - Capex uso'!$C$6:$C$176,$A346,'D2 - Capex uso'!$AK$6:$AK$176,$A363)</f>
        <v>0</v>
      </c>
      <c r="N363" s="710">
        <f>-SUMIFS('D2 - Capex uso'!CE$6:CE$176,'D2 - Capex uso'!$C$6:$C$176,$A346,'D2 - Capex uso'!$AK$6:$AK$176,$A363)</f>
        <v>0</v>
      </c>
      <c r="O363" s="710">
        <f>-SUMIFS('D2 - Capex uso'!CF$6:CF$176,'D2 - Capex uso'!$C$6:$C$176,$A346,'D2 - Capex uso'!$AK$6:$AK$176,$A363)</f>
        <v>0</v>
      </c>
      <c r="P363" s="710">
        <f>-SUMIFS('D2 - Capex uso'!CG$6:CG$176,'D2 - Capex uso'!$C$6:$C$176,$A346,'D2 - Capex uso'!$AK$6:$AK$176,$A363)</f>
        <v>0</v>
      </c>
      <c r="Q363" s="710">
        <f>-SUMIFS('D2 - Capex uso'!CH$6:CH$176,'D2 - Capex uso'!$C$6:$C$176,$A346,'D2 - Capex uso'!$AK$6:$AK$176,$A363)</f>
        <v>0</v>
      </c>
      <c r="R363" s="710">
        <f>-SUMIFS('D2 - Capex uso'!CI$6:CI$176,'D2 - Capex uso'!$C$6:$C$176,$A346,'D2 - Capex uso'!$AK$6:$AK$176,$A363)</f>
        <v>0</v>
      </c>
      <c r="S363" s="710">
        <f>-SUMIFS('D2 - Capex uso'!CJ$6:CJ$176,'D2 - Capex uso'!$C$6:$C$176,$A346,'D2 - Capex uso'!$AK$6:$AK$176,$A363)</f>
        <v>0</v>
      </c>
      <c r="T363" s="710">
        <f>-SUMIFS('D2 - Capex uso'!CK$6:CK$176,'D2 - Capex uso'!$C$6:$C$176,$A346,'D2 - Capex uso'!$AK$6:$AK$176,$A363)</f>
        <v>0</v>
      </c>
      <c r="U363" s="710">
        <f>-SUMIFS('D2 - Capex uso'!CL$6:CL$176,'D2 - Capex uso'!$C$6:$C$176,$A346,'D2 - Capex uso'!$AK$6:$AK$176,$A363)</f>
        <v>0</v>
      </c>
      <c r="V363" s="710">
        <f>-SUMIFS('D2 - Capex uso'!CM$6:CM$176,'D2 - Capex uso'!$C$6:$C$176,$A346,'D2 - Capex uso'!$AK$6:$AK$176,$A363)</f>
        <v>0</v>
      </c>
      <c r="W363" s="710">
        <f>-SUMIFS('D2 - Capex uso'!CN$6:CN$176,'D2 - Capex uso'!$C$6:$C$176,$A346,'D2 - Capex uso'!$AK$6:$AK$176,$A363)</f>
        <v>0</v>
      </c>
      <c r="X363" s="710">
        <f>-SUMIFS('D2 - Capex uso'!CO$6:CO$176,'D2 - Capex uso'!$C$6:$C$176,$A346,'D2 - Capex uso'!$AK$6:$AK$176,$A363)</f>
        <v>0</v>
      </c>
      <c r="Y363" s="710">
        <f>-SUMIFS('D2 - Capex uso'!CP$6:CP$176,'D2 - Capex uso'!$C$6:$C$176,$A346,'D2 - Capex uso'!$AK$6:$AK$176,$A363)</f>
        <v>0</v>
      </c>
      <c r="Z363" s="710">
        <f>-SUMIFS('D2 - Capex uso'!CQ$6:CQ$176,'D2 - Capex uso'!$C$6:$C$176,$A346,'D2 - Capex uso'!$AK$6:$AK$176,$A363)</f>
        <v>0</v>
      </c>
      <c r="AA363" s="710">
        <f>-SUMIFS('D2 - Capex uso'!CR$6:CR$176,'D2 - Capex uso'!$C$6:$C$176,$A346,'D2 - Capex uso'!$AK$6:$AK$176,$A363)</f>
        <v>0</v>
      </c>
      <c r="AB363" s="710">
        <f>-SUMIFS('D2 - Capex uso'!CS$6:CS$176,'D2 - Capex uso'!$C$6:$C$176,$A346,'D2 - Capex uso'!$AK$6:$AK$176,$A363)</f>
        <v>0</v>
      </c>
      <c r="AC363" s="710">
        <f>-SUMIFS('D2 - Capex uso'!CT$6:CT$176,'D2 - Capex uso'!$C$6:$C$176,$A346,'D2 - Capex uso'!$AK$6:$AK$176,$A363)</f>
        <v>0</v>
      </c>
      <c r="AD363" s="710">
        <f>-SUMIFS('D2 - Capex uso'!CU$6:CU$176,'D2 - Capex uso'!$C$6:$C$176,$A346,'D2 - Capex uso'!$AK$6:$AK$176,$A363)</f>
        <v>0</v>
      </c>
      <c r="AE363" s="710">
        <f>-SUMIFS('D2 - Capex uso'!CV$6:CV$176,'D2 - Capex uso'!$C$6:$C$176,$A346,'D2 - Capex uso'!$AK$6:$AK$176,$A363)</f>
        <v>0</v>
      </c>
      <c r="AF363" s="594"/>
      <c r="AG363" s="594"/>
      <c r="AH363" s="594"/>
      <c r="AI363" s="594"/>
      <c r="AJ363" s="594"/>
      <c r="AK363" s="594"/>
      <c r="AL363" s="594"/>
      <c r="AM363" s="594"/>
      <c r="AN363" s="594"/>
      <c r="AO363" s="594"/>
      <c r="AP363" s="594"/>
      <c r="AQ363" s="594"/>
      <c r="AR363" s="594"/>
      <c r="AS363" s="594"/>
      <c r="AT363" s="594"/>
      <c r="AU363" s="594"/>
      <c r="AV363" s="594"/>
      <c r="AW363" s="594"/>
      <c r="AX363" s="594"/>
      <c r="AY363" s="594"/>
      <c r="AZ363" s="594"/>
      <c r="BA363" s="594"/>
      <c r="BB363" s="594"/>
      <c r="BC363" s="594"/>
      <c r="BD363" s="594"/>
      <c r="BE363" s="594"/>
      <c r="BF363" s="594"/>
      <c r="BG363" s="594"/>
      <c r="BH363" s="594"/>
      <c r="BI363" s="594"/>
      <c r="BJ363" s="594"/>
      <c r="BK363" s="594"/>
      <c r="BL363" s="57"/>
      <c r="BM363" s="594"/>
      <c r="BN363" s="594"/>
      <c r="BO363" s="594"/>
      <c r="BP363" s="594"/>
      <c r="BQ363" s="594"/>
      <c r="BR363" s="594"/>
      <c r="BS363" s="594"/>
      <c r="BT363" s="594"/>
      <c r="BU363" s="594"/>
      <c r="BV363" s="594"/>
      <c r="BW363" s="594"/>
      <c r="BX363" s="594"/>
      <c r="BY363" s="594"/>
      <c r="BZ363" s="594"/>
      <c r="CA363" s="594"/>
      <c r="CB363" s="594"/>
      <c r="CC363" s="594"/>
      <c r="CD363" s="594"/>
      <c r="CE363" s="594"/>
      <c r="CF363" s="594"/>
      <c r="CG363" s="594"/>
      <c r="CH363" s="594"/>
      <c r="CI363" s="594"/>
      <c r="CJ363" s="594"/>
      <c r="CK363" s="594"/>
      <c r="CL363" s="594"/>
      <c r="CM363" s="594"/>
      <c r="CN363" s="594"/>
      <c r="CO363" s="594"/>
      <c r="CP363" s="594"/>
      <c r="CQ363" s="594"/>
    </row>
    <row r="364" spans="1:95" ht="19.5" hidden="1" customHeight="1" outlineLevel="2">
      <c r="A364" s="709" t="s">
        <v>171</v>
      </c>
      <c r="B364" s="710">
        <f>-SUMIFS('D2 - Capex uso'!BS$6:BS$176,'D2 - Capex uso'!$C$6:$C$176,$A346,'D2 - Capex uso'!$AK$6:$AK$176,$A364)</f>
        <v>0</v>
      </c>
      <c r="C364" s="710">
        <f>-SUMIFS('D2 - Capex uso'!BT$6:BT$176,'D2 - Capex uso'!$C$6:$C$176,$A346,'D2 - Capex uso'!$AK$6:$AK$176,$A364)</f>
        <v>0</v>
      </c>
      <c r="D364" s="710">
        <f>-SUMIFS('D2 - Capex uso'!BU$6:BU$176,'D2 - Capex uso'!$C$6:$C$176,$A346,'D2 - Capex uso'!$AK$6:$AK$176,$A364)</f>
        <v>0</v>
      </c>
      <c r="E364" s="710">
        <f>-SUMIFS('D2 - Capex uso'!BV$6:BV$176,'D2 - Capex uso'!$C$6:$C$176,$A346,'D2 - Capex uso'!$AK$6:$AK$176,$A364)</f>
        <v>0</v>
      </c>
      <c r="F364" s="710">
        <f>-SUMIFS('D2 - Capex uso'!BW$6:BW$176,'D2 - Capex uso'!$C$6:$C$176,$A346,'D2 - Capex uso'!$AK$6:$AK$176,$A364)</f>
        <v>0</v>
      </c>
      <c r="G364" s="710">
        <f>-SUMIFS('D2 - Capex uso'!BX$6:BX$176,'D2 - Capex uso'!$C$6:$C$176,$A346,'D2 - Capex uso'!$AK$6:$AK$176,$A364)</f>
        <v>0</v>
      </c>
      <c r="H364" s="710">
        <f>-SUMIFS('D2 - Capex uso'!BY$6:BY$176,'D2 - Capex uso'!$C$6:$C$176,$A346,'D2 - Capex uso'!$AK$6:$AK$176,$A364)</f>
        <v>0</v>
      </c>
      <c r="I364" s="710">
        <f>-SUMIFS('D2 - Capex uso'!BZ$6:BZ$176,'D2 - Capex uso'!$C$6:$C$176,$A346,'D2 - Capex uso'!$AK$6:$AK$176,$A364)</f>
        <v>0</v>
      </c>
      <c r="J364" s="710">
        <f>-SUMIFS('D2 - Capex uso'!CA$6:CA$176,'D2 - Capex uso'!$C$6:$C$176,$A346,'D2 - Capex uso'!$AK$6:$AK$176,$A364)</f>
        <v>0</v>
      </c>
      <c r="K364" s="710">
        <f>-SUMIFS('D2 - Capex uso'!CB$6:CB$176,'D2 - Capex uso'!$C$6:$C$176,$A346,'D2 - Capex uso'!$AK$6:$AK$176,$A364)</f>
        <v>0</v>
      </c>
      <c r="L364" s="710">
        <f>-SUMIFS('D2 - Capex uso'!CC$6:CC$176,'D2 - Capex uso'!$C$6:$C$176,$A346,'D2 - Capex uso'!$AK$6:$AK$176,$A364)</f>
        <v>0</v>
      </c>
      <c r="M364" s="710">
        <f>-SUMIFS('D2 - Capex uso'!CD$6:CD$176,'D2 - Capex uso'!$C$6:$C$176,$A346,'D2 - Capex uso'!$AK$6:$AK$176,$A364)</f>
        <v>0</v>
      </c>
      <c r="N364" s="710">
        <f>-SUMIFS('D2 - Capex uso'!CE$6:CE$176,'D2 - Capex uso'!$C$6:$C$176,$A346,'D2 - Capex uso'!$AK$6:$AK$176,$A364)</f>
        <v>0</v>
      </c>
      <c r="O364" s="710">
        <f>-SUMIFS('D2 - Capex uso'!CF$6:CF$176,'D2 - Capex uso'!$C$6:$C$176,$A346,'D2 - Capex uso'!$AK$6:$AK$176,$A364)</f>
        <v>0</v>
      </c>
      <c r="P364" s="710">
        <f>-SUMIFS('D2 - Capex uso'!CG$6:CG$176,'D2 - Capex uso'!$C$6:$C$176,$A346,'D2 - Capex uso'!$AK$6:$AK$176,$A364)</f>
        <v>0</v>
      </c>
      <c r="Q364" s="710">
        <f>-SUMIFS('D2 - Capex uso'!CH$6:CH$176,'D2 - Capex uso'!$C$6:$C$176,$A346,'D2 - Capex uso'!$AK$6:$AK$176,$A364)</f>
        <v>0</v>
      </c>
      <c r="R364" s="710">
        <f>-SUMIFS('D2 - Capex uso'!CI$6:CI$176,'D2 - Capex uso'!$C$6:$C$176,$A346,'D2 - Capex uso'!$AK$6:$AK$176,$A364)</f>
        <v>0</v>
      </c>
      <c r="S364" s="710">
        <f>-SUMIFS('D2 - Capex uso'!CJ$6:CJ$176,'D2 - Capex uso'!$C$6:$C$176,$A346,'D2 - Capex uso'!$AK$6:$AK$176,$A364)</f>
        <v>0</v>
      </c>
      <c r="T364" s="710">
        <f>-SUMIFS('D2 - Capex uso'!CK$6:CK$176,'D2 - Capex uso'!$C$6:$C$176,$A346,'D2 - Capex uso'!$AK$6:$AK$176,$A364)</f>
        <v>0</v>
      </c>
      <c r="U364" s="710">
        <f>-SUMIFS('D2 - Capex uso'!CL$6:CL$176,'D2 - Capex uso'!$C$6:$C$176,$A346,'D2 - Capex uso'!$AK$6:$AK$176,$A364)</f>
        <v>0</v>
      </c>
      <c r="V364" s="710">
        <f>-SUMIFS('D2 - Capex uso'!CM$6:CM$176,'D2 - Capex uso'!$C$6:$C$176,$A346,'D2 - Capex uso'!$AK$6:$AK$176,$A364)</f>
        <v>0</v>
      </c>
      <c r="W364" s="710">
        <f>-SUMIFS('D2 - Capex uso'!CN$6:CN$176,'D2 - Capex uso'!$C$6:$C$176,$A346,'D2 - Capex uso'!$AK$6:$AK$176,$A364)</f>
        <v>0</v>
      </c>
      <c r="X364" s="710">
        <f>-SUMIFS('D2 - Capex uso'!CO$6:CO$176,'D2 - Capex uso'!$C$6:$C$176,$A346,'D2 - Capex uso'!$AK$6:$AK$176,$A364)</f>
        <v>0</v>
      </c>
      <c r="Y364" s="710">
        <f>-SUMIFS('D2 - Capex uso'!CP$6:CP$176,'D2 - Capex uso'!$C$6:$C$176,$A346,'D2 - Capex uso'!$AK$6:$AK$176,$A364)</f>
        <v>0</v>
      </c>
      <c r="Z364" s="710">
        <f>-SUMIFS('D2 - Capex uso'!CQ$6:CQ$176,'D2 - Capex uso'!$C$6:$C$176,$A346,'D2 - Capex uso'!$AK$6:$AK$176,$A364)</f>
        <v>0</v>
      </c>
      <c r="AA364" s="710">
        <f>-SUMIFS('D2 - Capex uso'!CR$6:CR$176,'D2 - Capex uso'!$C$6:$C$176,$A346,'D2 - Capex uso'!$AK$6:$AK$176,$A364)</f>
        <v>0</v>
      </c>
      <c r="AB364" s="710">
        <f>-SUMIFS('D2 - Capex uso'!CS$6:CS$176,'D2 - Capex uso'!$C$6:$C$176,$A346,'D2 - Capex uso'!$AK$6:$AK$176,$A364)</f>
        <v>0</v>
      </c>
      <c r="AC364" s="710">
        <f>-SUMIFS('D2 - Capex uso'!CT$6:CT$176,'D2 - Capex uso'!$C$6:$C$176,$A346,'D2 - Capex uso'!$AK$6:$AK$176,$A364)</f>
        <v>0</v>
      </c>
      <c r="AD364" s="710">
        <f>-SUMIFS('D2 - Capex uso'!CU$6:CU$176,'D2 - Capex uso'!$C$6:$C$176,$A346,'D2 - Capex uso'!$AK$6:$AK$176,$A364)</f>
        <v>0</v>
      </c>
      <c r="AE364" s="710">
        <f>-SUMIFS('D2 - Capex uso'!CV$6:CV$176,'D2 - Capex uso'!$C$6:$C$176,$A346,'D2 - Capex uso'!$AK$6:$AK$176,$A364)</f>
        <v>0</v>
      </c>
      <c r="AF364" s="594"/>
      <c r="AG364" s="594"/>
      <c r="AH364" s="594"/>
      <c r="AI364" s="594"/>
      <c r="AJ364" s="594"/>
      <c r="AK364" s="594"/>
      <c r="AL364" s="594"/>
      <c r="AM364" s="594"/>
      <c r="AN364" s="594"/>
      <c r="AO364" s="594"/>
      <c r="AP364" s="594"/>
      <c r="AQ364" s="594"/>
      <c r="AR364" s="594"/>
      <c r="AS364" s="594"/>
      <c r="AT364" s="594"/>
      <c r="AU364" s="594"/>
      <c r="AV364" s="594"/>
      <c r="AW364" s="594"/>
      <c r="AX364" s="594"/>
      <c r="AY364" s="594"/>
      <c r="AZ364" s="594"/>
      <c r="BA364" s="594"/>
      <c r="BB364" s="594"/>
      <c r="BC364" s="594"/>
      <c r="BD364" s="594"/>
      <c r="BE364" s="594"/>
      <c r="BF364" s="594"/>
      <c r="BG364" s="594"/>
      <c r="BH364" s="594"/>
      <c r="BI364" s="594"/>
      <c r="BJ364" s="594"/>
      <c r="BK364" s="594"/>
      <c r="BL364" s="57"/>
      <c r="BM364" s="594"/>
      <c r="BN364" s="594"/>
      <c r="BO364" s="594"/>
      <c r="BP364" s="594"/>
      <c r="BQ364" s="594"/>
      <c r="BR364" s="594"/>
      <c r="BS364" s="594"/>
      <c r="BT364" s="594"/>
      <c r="BU364" s="594"/>
      <c r="BV364" s="594"/>
      <c r="BW364" s="594"/>
      <c r="BX364" s="594"/>
      <c r="BY364" s="594"/>
      <c r="BZ364" s="594"/>
      <c r="CA364" s="594"/>
      <c r="CB364" s="594"/>
      <c r="CC364" s="594"/>
      <c r="CD364" s="594"/>
      <c r="CE364" s="594"/>
      <c r="CF364" s="594"/>
      <c r="CG364" s="594"/>
      <c r="CH364" s="594"/>
      <c r="CI364" s="594"/>
      <c r="CJ364" s="594"/>
      <c r="CK364" s="594"/>
      <c r="CL364" s="594"/>
      <c r="CM364" s="594"/>
      <c r="CN364" s="594"/>
      <c r="CO364" s="594"/>
      <c r="CP364" s="594"/>
      <c r="CQ364" s="594"/>
    </row>
    <row r="365" spans="1:95" ht="27" customHeight="1" collapsed="1">
      <c r="A365" s="703">
        <f>IF(ISBLANK('A1 - Serviços e demanda'!A39),,'A1 - Serviços e demanda'!A39)</f>
        <v>0</v>
      </c>
      <c r="B365" s="704">
        <f t="shared" ref="B365:AE365" si="114">IF($A365=0,0,SUM(B374:B375))</f>
        <v>0</v>
      </c>
      <c r="C365" s="704">
        <f t="shared" si="114"/>
        <v>0</v>
      </c>
      <c r="D365" s="704">
        <f t="shared" si="114"/>
        <v>0</v>
      </c>
      <c r="E365" s="704">
        <f t="shared" si="114"/>
        <v>0</v>
      </c>
      <c r="F365" s="704">
        <f t="shared" si="114"/>
        <v>0</v>
      </c>
      <c r="G365" s="704">
        <f t="shared" si="114"/>
        <v>0</v>
      </c>
      <c r="H365" s="704">
        <f t="shared" si="114"/>
        <v>0</v>
      </c>
      <c r="I365" s="704">
        <f t="shared" si="114"/>
        <v>0</v>
      </c>
      <c r="J365" s="704">
        <f t="shared" si="114"/>
        <v>0</v>
      </c>
      <c r="K365" s="704">
        <f t="shared" si="114"/>
        <v>0</v>
      </c>
      <c r="L365" s="704">
        <f t="shared" si="114"/>
        <v>0</v>
      </c>
      <c r="M365" s="704">
        <f t="shared" si="114"/>
        <v>0</v>
      </c>
      <c r="N365" s="704">
        <f t="shared" si="114"/>
        <v>0</v>
      </c>
      <c r="O365" s="704">
        <f t="shared" si="114"/>
        <v>0</v>
      </c>
      <c r="P365" s="704">
        <f t="shared" si="114"/>
        <v>0</v>
      </c>
      <c r="Q365" s="704">
        <f t="shared" si="114"/>
        <v>0</v>
      </c>
      <c r="R365" s="704">
        <f t="shared" si="114"/>
        <v>0</v>
      </c>
      <c r="S365" s="704">
        <f t="shared" si="114"/>
        <v>0</v>
      </c>
      <c r="T365" s="704">
        <f t="shared" si="114"/>
        <v>0</v>
      </c>
      <c r="U365" s="704">
        <f t="shared" si="114"/>
        <v>0</v>
      </c>
      <c r="V365" s="704">
        <f t="shared" si="114"/>
        <v>0</v>
      </c>
      <c r="W365" s="704">
        <f t="shared" si="114"/>
        <v>0</v>
      </c>
      <c r="X365" s="704">
        <f t="shared" si="114"/>
        <v>0</v>
      </c>
      <c r="Y365" s="704">
        <f t="shared" si="114"/>
        <v>0</v>
      </c>
      <c r="Z365" s="704">
        <f t="shared" si="114"/>
        <v>0</v>
      </c>
      <c r="AA365" s="704">
        <f t="shared" si="114"/>
        <v>0</v>
      </c>
      <c r="AB365" s="704">
        <f t="shared" si="114"/>
        <v>0</v>
      </c>
      <c r="AC365" s="704">
        <f t="shared" si="114"/>
        <v>0</v>
      </c>
      <c r="AD365" s="704">
        <f t="shared" si="114"/>
        <v>0</v>
      </c>
      <c r="AE365" s="704">
        <f t="shared" si="114"/>
        <v>0</v>
      </c>
      <c r="AF365" s="594"/>
      <c r="AG365" s="486">
        <f>A365</f>
        <v>0</v>
      </c>
      <c r="AH365" s="705">
        <f t="shared" ref="AH365:BK365" si="115">IFERROR(-B368/B366,0)</f>
        <v>0</v>
      </c>
      <c r="AI365" s="705">
        <f t="shared" si="115"/>
        <v>0</v>
      </c>
      <c r="AJ365" s="705">
        <f t="shared" si="115"/>
        <v>0</v>
      </c>
      <c r="AK365" s="705">
        <f t="shared" si="115"/>
        <v>0</v>
      </c>
      <c r="AL365" s="705">
        <f t="shared" si="115"/>
        <v>0</v>
      </c>
      <c r="AM365" s="705">
        <f t="shared" si="115"/>
        <v>0</v>
      </c>
      <c r="AN365" s="705">
        <f t="shared" si="115"/>
        <v>0</v>
      </c>
      <c r="AO365" s="705">
        <f t="shared" si="115"/>
        <v>0</v>
      </c>
      <c r="AP365" s="705">
        <f t="shared" si="115"/>
        <v>0</v>
      </c>
      <c r="AQ365" s="705">
        <f t="shared" si="115"/>
        <v>0</v>
      </c>
      <c r="AR365" s="705">
        <f t="shared" si="115"/>
        <v>0</v>
      </c>
      <c r="AS365" s="705">
        <f t="shared" si="115"/>
        <v>0</v>
      </c>
      <c r="AT365" s="705">
        <f t="shared" si="115"/>
        <v>0</v>
      </c>
      <c r="AU365" s="705">
        <f t="shared" si="115"/>
        <v>0</v>
      </c>
      <c r="AV365" s="705">
        <f t="shared" si="115"/>
        <v>0</v>
      </c>
      <c r="AW365" s="705">
        <f t="shared" si="115"/>
        <v>0</v>
      </c>
      <c r="AX365" s="705">
        <f t="shared" si="115"/>
        <v>0</v>
      </c>
      <c r="AY365" s="705">
        <f t="shared" si="115"/>
        <v>0</v>
      </c>
      <c r="AZ365" s="705">
        <f t="shared" si="115"/>
        <v>0</v>
      </c>
      <c r="BA365" s="705">
        <f t="shared" si="115"/>
        <v>0</v>
      </c>
      <c r="BB365" s="705">
        <f t="shared" si="115"/>
        <v>0</v>
      </c>
      <c r="BC365" s="705">
        <f t="shared" si="115"/>
        <v>0</v>
      </c>
      <c r="BD365" s="705">
        <f t="shared" si="115"/>
        <v>0</v>
      </c>
      <c r="BE365" s="705">
        <f t="shared" si="115"/>
        <v>0</v>
      </c>
      <c r="BF365" s="705">
        <f t="shared" si="115"/>
        <v>0</v>
      </c>
      <c r="BG365" s="705">
        <f t="shared" si="115"/>
        <v>0</v>
      </c>
      <c r="BH365" s="705">
        <f t="shared" si="115"/>
        <v>0</v>
      </c>
      <c r="BI365" s="705">
        <f t="shared" si="115"/>
        <v>0</v>
      </c>
      <c r="BJ365" s="705">
        <f t="shared" si="115"/>
        <v>0</v>
      </c>
      <c r="BK365" s="705">
        <f t="shared" si="115"/>
        <v>0</v>
      </c>
      <c r="BL365" s="57"/>
      <c r="BM365" s="486">
        <f>AG365</f>
        <v>0</v>
      </c>
      <c r="BN365" s="705">
        <f t="shared" ref="BN365:CQ365" si="116">IFERROR(B374/B366,0)</f>
        <v>0</v>
      </c>
      <c r="BO365" s="705">
        <f t="shared" si="116"/>
        <v>0</v>
      </c>
      <c r="BP365" s="705">
        <f t="shared" si="116"/>
        <v>0</v>
      </c>
      <c r="BQ365" s="705">
        <f t="shared" si="116"/>
        <v>0</v>
      </c>
      <c r="BR365" s="705">
        <f t="shared" si="116"/>
        <v>0</v>
      </c>
      <c r="BS365" s="705">
        <f t="shared" si="116"/>
        <v>0</v>
      </c>
      <c r="BT365" s="705">
        <f t="shared" si="116"/>
        <v>0</v>
      </c>
      <c r="BU365" s="705">
        <f t="shared" si="116"/>
        <v>0</v>
      </c>
      <c r="BV365" s="705">
        <f t="shared" si="116"/>
        <v>0</v>
      </c>
      <c r="BW365" s="705">
        <f t="shared" si="116"/>
        <v>0</v>
      </c>
      <c r="BX365" s="705">
        <f t="shared" si="116"/>
        <v>0</v>
      </c>
      <c r="BY365" s="705">
        <f t="shared" si="116"/>
        <v>0</v>
      </c>
      <c r="BZ365" s="705">
        <f t="shared" si="116"/>
        <v>0</v>
      </c>
      <c r="CA365" s="705">
        <f t="shared" si="116"/>
        <v>0</v>
      </c>
      <c r="CB365" s="705">
        <f t="shared" si="116"/>
        <v>0</v>
      </c>
      <c r="CC365" s="705">
        <f t="shared" si="116"/>
        <v>0</v>
      </c>
      <c r="CD365" s="705">
        <f t="shared" si="116"/>
        <v>0</v>
      </c>
      <c r="CE365" s="705">
        <f t="shared" si="116"/>
        <v>0</v>
      </c>
      <c r="CF365" s="705">
        <f t="shared" si="116"/>
        <v>0</v>
      </c>
      <c r="CG365" s="705">
        <f t="shared" si="116"/>
        <v>0</v>
      </c>
      <c r="CH365" s="705">
        <f t="shared" si="116"/>
        <v>0</v>
      </c>
      <c r="CI365" s="705">
        <f t="shared" si="116"/>
        <v>0</v>
      </c>
      <c r="CJ365" s="705">
        <f t="shared" si="116"/>
        <v>0</v>
      </c>
      <c r="CK365" s="705">
        <f t="shared" si="116"/>
        <v>0</v>
      </c>
      <c r="CL365" s="705">
        <f t="shared" si="116"/>
        <v>0</v>
      </c>
      <c r="CM365" s="705">
        <f t="shared" si="116"/>
        <v>0</v>
      </c>
      <c r="CN365" s="705">
        <f t="shared" si="116"/>
        <v>0</v>
      </c>
      <c r="CO365" s="705">
        <f t="shared" si="116"/>
        <v>0</v>
      </c>
      <c r="CP365" s="705">
        <f t="shared" si="116"/>
        <v>0</v>
      </c>
      <c r="CQ365" s="705">
        <f t="shared" si="116"/>
        <v>0</v>
      </c>
    </row>
    <row r="366" spans="1:95" ht="33.75" hidden="1" customHeight="1" outlineLevel="1">
      <c r="A366" s="706" t="s">
        <v>680</v>
      </c>
      <c r="B366" s="707">
        <f>IFERROR(VLOOKUP($A365,ReceitaBruta,COLUMN('A4 - Previsão de Receita Bruta'!C368)-1,0),0)</f>
        <v>0</v>
      </c>
      <c r="C366" s="707">
        <f>IFERROR(VLOOKUP($A365,ReceitaBruta,COLUMN('A4 - Previsão de Receita Bruta'!D368)-1,0),0)</f>
        <v>0</v>
      </c>
      <c r="D366" s="707">
        <f>IFERROR(VLOOKUP($A365,ReceitaBruta,COLUMN('A4 - Previsão de Receita Bruta'!E368)-1,0),0)</f>
        <v>0</v>
      </c>
      <c r="E366" s="707">
        <f>IFERROR(VLOOKUP($A365,ReceitaBruta,COLUMN('A4 - Previsão de Receita Bruta'!F368)-1,0),0)</f>
        <v>0</v>
      </c>
      <c r="F366" s="707">
        <f>IFERROR(VLOOKUP($A365,ReceitaBruta,COLUMN('A4 - Previsão de Receita Bruta'!G368)-1,0),0)</f>
        <v>0</v>
      </c>
      <c r="G366" s="707">
        <f>IFERROR(VLOOKUP($A365,ReceitaBruta,COLUMN('A4 - Previsão de Receita Bruta'!H368)-1,0),0)</f>
        <v>0</v>
      </c>
      <c r="H366" s="707">
        <f>IFERROR(VLOOKUP($A365,ReceitaBruta,COLUMN('A4 - Previsão de Receita Bruta'!I368)-1,0),0)</f>
        <v>0</v>
      </c>
      <c r="I366" s="707">
        <f>IFERROR(VLOOKUP($A365,ReceitaBruta,COLUMN('A4 - Previsão de Receita Bruta'!J368)-1,0),0)</f>
        <v>0</v>
      </c>
      <c r="J366" s="707">
        <f>IFERROR(VLOOKUP($A365,ReceitaBruta,COLUMN('A4 - Previsão de Receita Bruta'!K368)-1,0),0)</f>
        <v>0</v>
      </c>
      <c r="K366" s="707">
        <f>IFERROR(VLOOKUP($A365,ReceitaBruta,COLUMN('A4 - Previsão de Receita Bruta'!L368)-1,0),0)</f>
        <v>0</v>
      </c>
      <c r="L366" s="707">
        <f>IFERROR(VLOOKUP($A365,ReceitaBruta,COLUMN('A4 - Previsão de Receita Bruta'!M368)-1,0),0)</f>
        <v>0</v>
      </c>
      <c r="M366" s="707">
        <f>IFERROR(VLOOKUP($A365,ReceitaBruta,COLUMN('A4 - Previsão de Receita Bruta'!N368)-1,0),0)</f>
        <v>0</v>
      </c>
      <c r="N366" s="707">
        <f>IFERROR(VLOOKUP($A365,ReceitaBruta,COLUMN('A4 - Previsão de Receita Bruta'!O368)-1,0),0)</f>
        <v>0</v>
      </c>
      <c r="O366" s="707">
        <f>IFERROR(VLOOKUP($A365,ReceitaBruta,COLUMN('A4 - Previsão de Receita Bruta'!P368)-1,0),0)</f>
        <v>0</v>
      </c>
      <c r="P366" s="707">
        <f>IFERROR(VLOOKUP($A365,ReceitaBruta,COLUMN('A4 - Previsão de Receita Bruta'!Q368)-1,0),0)</f>
        <v>0</v>
      </c>
      <c r="Q366" s="707">
        <f>IFERROR(VLOOKUP($A365,ReceitaBruta,COLUMN('A4 - Previsão de Receita Bruta'!R368)-1,0),0)</f>
        <v>0</v>
      </c>
      <c r="R366" s="707">
        <f>IFERROR(VLOOKUP($A365,ReceitaBruta,COLUMN('A4 - Previsão de Receita Bruta'!S368)-1,0),0)</f>
        <v>0</v>
      </c>
      <c r="S366" s="707">
        <f>IFERROR(VLOOKUP($A365,ReceitaBruta,COLUMN('A4 - Previsão de Receita Bruta'!T368)-1,0),0)</f>
        <v>0</v>
      </c>
      <c r="T366" s="707">
        <f>IFERROR(VLOOKUP($A365,ReceitaBruta,COLUMN('A4 - Previsão de Receita Bruta'!U368)-1,0),0)</f>
        <v>0</v>
      </c>
      <c r="U366" s="707">
        <f>IFERROR(VLOOKUP($A365,ReceitaBruta,COLUMN('A4 - Previsão de Receita Bruta'!V368)-1,0),0)</f>
        <v>0</v>
      </c>
      <c r="V366" s="707">
        <f>IFERROR(VLOOKUP($A365,ReceitaBruta,COLUMN('A4 - Previsão de Receita Bruta'!W368)-1,0),0)</f>
        <v>0</v>
      </c>
      <c r="W366" s="707">
        <f>IFERROR(VLOOKUP($A365,ReceitaBruta,COLUMN('A4 - Previsão de Receita Bruta'!X368)-1,0),0)</f>
        <v>0</v>
      </c>
      <c r="X366" s="707">
        <f>IFERROR(VLOOKUP($A365,ReceitaBruta,COLUMN('A4 - Previsão de Receita Bruta'!Y368)-1,0),0)</f>
        <v>0</v>
      </c>
      <c r="Y366" s="707">
        <f>IFERROR(VLOOKUP($A365,ReceitaBruta,COLUMN('A4 - Previsão de Receita Bruta'!Z368)-1,0),0)</f>
        <v>0</v>
      </c>
      <c r="Z366" s="707">
        <f>IFERROR(VLOOKUP($A365,ReceitaBruta,COLUMN('A4 - Previsão de Receita Bruta'!AA368)-1,0),0)</f>
        <v>0</v>
      </c>
      <c r="AA366" s="707">
        <f>IFERROR(VLOOKUP($A365,ReceitaBruta,COLUMN('A4 - Previsão de Receita Bruta'!AB368)-1,0),0)</f>
        <v>0</v>
      </c>
      <c r="AB366" s="707">
        <f>IFERROR(VLOOKUP($A365,ReceitaBruta,COLUMN('A4 - Previsão de Receita Bruta'!AC368)-1,0),0)</f>
        <v>0</v>
      </c>
      <c r="AC366" s="707">
        <f>IFERROR(VLOOKUP($A365,ReceitaBruta,COLUMN('A4 - Previsão de Receita Bruta'!AD368)-1,0),0)</f>
        <v>0</v>
      </c>
      <c r="AD366" s="707">
        <f>IFERROR(VLOOKUP($A365,ReceitaBruta,COLUMN('A4 - Previsão de Receita Bruta'!AE368)-1,0),0)</f>
        <v>0</v>
      </c>
      <c r="AE366" s="707">
        <f>IFERROR(VLOOKUP($A365,ReceitaBruta,COLUMN('A4 - Previsão de Receita Bruta'!AF368)-1,0),0)</f>
        <v>0</v>
      </c>
      <c r="AF366" s="594"/>
      <c r="AG366" s="594"/>
      <c r="AH366" s="594"/>
      <c r="AI366" s="594"/>
      <c r="AJ366" s="594"/>
      <c r="AK366" s="594"/>
      <c r="AL366" s="594"/>
      <c r="AM366" s="594"/>
      <c r="AN366" s="594"/>
      <c r="AO366" s="594"/>
      <c r="AP366" s="594"/>
      <c r="AQ366" s="594"/>
      <c r="AR366" s="594"/>
      <c r="AS366" s="594"/>
      <c r="AT366" s="594"/>
      <c r="AU366" s="594"/>
      <c r="AV366" s="594"/>
      <c r="AW366" s="594"/>
      <c r="AX366" s="594"/>
      <c r="AY366" s="594"/>
      <c r="AZ366" s="594"/>
      <c r="BA366" s="594"/>
      <c r="BB366" s="594"/>
      <c r="BC366" s="594"/>
      <c r="BD366" s="594"/>
      <c r="BE366" s="594"/>
      <c r="BF366" s="594"/>
      <c r="BG366" s="594"/>
      <c r="BH366" s="594"/>
      <c r="BI366" s="594"/>
      <c r="BJ366" s="594"/>
      <c r="BK366" s="594"/>
      <c r="BL366" s="57"/>
      <c r="BM366" s="594"/>
      <c r="BN366" s="594"/>
      <c r="BO366" s="594"/>
      <c r="BP366" s="594"/>
      <c r="BQ366" s="594"/>
      <c r="BR366" s="594"/>
      <c r="BS366" s="594"/>
      <c r="BT366" s="594"/>
      <c r="BU366" s="594"/>
      <c r="BV366" s="594"/>
      <c r="BW366" s="594"/>
      <c r="BX366" s="594"/>
      <c r="BY366" s="594"/>
      <c r="BZ366" s="594"/>
      <c r="CA366" s="594"/>
      <c r="CB366" s="594"/>
      <c r="CC366" s="594"/>
      <c r="CD366" s="594"/>
      <c r="CE366" s="594"/>
      <c r="CF366" s="594"/>
      <c r="CG366" s="594"/>
      <c r="CH366" s="594"/>
      <c r="CI366" s="594"/>
      <c r="CJ366" s="594"/>
      <c r="CK366" s="594"/>
      <c r="CL366" s="594"/>
      <c r="CM366" s="594"/>
      <c r="CN366" s="594"/>
      <c r="CO366" s="594"/>
      <c r="CP366" s="594"/>
      <c r="CQ366" s="594"/>
    </row>
    <row r="367" spans="1:95" ht="21" hidden="1" customHeight="1" outlineLevel="1">
      <c r="A367" s="708" t="s">
        <v>681</v>
      </c>
      <c r="B367" s="707">
        <f>IFERROR(-'E2 - Tributos'!D$19*VLOOKUP('F1 - FCL'!$A365,ReceitaBruta,COLUMN('A4 - Previsão de Receita Bruta'!C$6)-1,0),0)</f>
        <v>0</v>
      </c>
      <c r="C367" s="707">
        <f>IFERROR(-'E2 - Tributos'!E$19*VLOOKUP('F1 - FCL'!$A365,ReceitaBruta,COLUMN('A4 - Previsão de Receita Bruta'!D$6)-1,0),0)</f>
        <v>0</v>
      </c>
      <c r="D367" s="707">
        <f>IFERROR(-'E2 - Tributos'!F$19*VLOOKUP('F1 - FCL'!$A365,ReceitaBruta,COLUMN('A4 - Previsão de Receita Bruta'!E$6)-1,0),0)</f>
        <v>0</v>
      </c>
      <c r="E367" s="707">
        <f>IFERROR(-'E2 - Tributos'!G$19*VLOOKUP('F1 - FCL'!$A365,ReceitaBruta,COLUMN('A4 - Previsão de Receita Bruta'!F$6)-1,0),0)</f>
        <v>0</v>
      </c>
      <c r="F367" s="707">
        <f>IFERROR(-'E2 - Tributos'!H$19*VLOOKUP('F1 - FCL'!$A365,ReceitaBruta,COLUMN('A4 - Previsão de Receita Bruta'!G$6)-1,0),0)</f>
        <v>0</v>
      </c>
      <c r="G367" s="707">
        <f>IFERROR(-'E2 - Tributos'!I$19*VLOOKUP('F1 - FCL'!$A365,ReceitaBruta,COLUMN('A4 - Previsão de Receita Bruta'!H$6)-1,0),0)</f>
        <v>0</v>
      </c>
      <c r="H367" s="707">
        <f>IFERROR(-'E2 - Tributos'!J$19*VLOOKUP('F1 - FCL'!$A365,ReceitaBruta,COLUMN('A4 - Previsão de Receita Bruta'!I$6)-1,0),0)</f>
        <v>0</v>
      </c>
      <c r="I367" s="707">
        <f>IFERROR(-'E2 - Tributos'!K$19*VLOOKUP('F1 - FCL'!$A365,ReceitaBruta,COLUMN('A4 - Previsão de Receita Bruta'!J$6)-1,0),0)</f>
        <v>0</v>
      </c>
      <c r="J367" s="707">
        <f>IFERROR(-'E2 - Tributos'!L$19*VLOOKUP('F1 - FCL'!$A365,ReceitaBruta,COLUMN('A4 - Previsão de Receita Bruta'!K$6)-1,0),0)</f>
        <v>0</v>
      </c>
      <c r="K367" s="707">
        <f>IFERROR(-'E2 - Tributos'!M$19*VLOOKUP('F1 - FCL'!$A365,ReceitaBruta,COLUMN('A4 - Previsão de Receita Bruta'!L$6)-1,0),0)</f>
        <v>0</v>
      </c>
      <c r="L367" s="707">
        <f>IFERROR(-'E2 - Tributos'!N$19*VLOOKUP('F1 - FCL'!$A365,ReceitaBruta,COLUMN('A4 - Previsão de Receita Bruta'!M$6)-1,0),0)</f>
        <v>0</v>
      </c>
      <c r="M367" s="707">
        <f>IFERROR(-'E2 - Tributos'!O$19*VLOOKUP('F1 - FCL'!$A365,ReceitaBruta,COLUMN('A4 - Previsão de Receita Bruta'!N$6)-1,0),0)</f>
        <v>0</v>
      </c>
      <c r="N367" s="707">
        <f>IFERROR(-'E2 - Tributos'!P$19*VLOOKUP('F1 - FCL'!$A365,ReceitaBruta,COLUMN('A4 - Previsão de Receita Bruta'!O$6)-1,0),0)</f>
        <v>0</v>
      </c>
      <c r="O367" s="707">
        <f>IFERROR(-'E2 - Tributos'!Q$19*VLOOKUP('F1 - FCL'!$A365,ReceitaBruta,COLUMN('A4 - Previsão de Receita Bruta'!P$6)-1,0),0)</f>
        <v>0</v>
      </c>
      <c r="P367" s="707">
        <f>IFERROR(-'E2 - Tributos'!R$19*VLOOKUP('F1 - FCL'!$A365,ReceitaBruta,COLUMN('A4 - Previsão de Receita Bruta'!Q$6)-1,0),0)</f>
        <v>0</v>
      </c>
      <c r="Q367" s="707">
        <f>IFERROR(-'E2 - Tributos'!S$19*VLOOKUP('F1 - FCL'!$A365,ReceitaBruta,COLUMN('A4 - Previsão de Receita Bruta'!R$6)-1,0),0)</f>
        <v>0</v>
      </c>
      <c r="R367" s="707">
        <f>IFERROR(-'E2 - Tributos'!T$19*VLOOKUP('F1 - FCL'!$A365,ReceitaBruta,COLUMN('A4 - Previsão de Receita Bruta'!S$6)-1,0),0)</f>
        <v>0</v>
      </c>
      <c r="S367" s="707">
        <f>IFERROR(-'E2 - Tributos'!U$19*VLOOKUP('F1 - FCL'!$A365,ReceitaBruta,COLUMN('A4 - Previsão de Receita Bruta'!T$6)-1,0),0)</f>
        <v>0</v>
      </c>
      <c r="T367" s="707">
        <f>IFERROR(-'E2 - Tributos'!V$19*VLOOKUP('F1 - FCL'!$A365,ReceitaBruta,COLUMN('A4 - Previsão de Receita Bruta'!U$6)-1,0),0)</f>
        <v>0</v>
      </c>
      <c r="U367" s="707">
        <f>IFERROR(-'E2 - Tributos'!W$19*VLOOKUP('F1 - FCL'!$A365,ReceitaBruta,COLUMN('A4 - Previsão de Receita Bruta'!V$6)-1,0),0)</f>
        <v>0</v>
      </c>
      <c r="V367" s="707">
        <f>IFERROR(-'E2 - Tributos'!X$19*VLOOKUP('F1 - FCL'!$A365,ReceitaBruta,COLUMN('A4 - Previsão de Receita Bruta'!W$6)-1,0),0)</f>
        <v>0</v>
      </c>
      <c r="W367" s="707">
        <f>IFERROR(-'E2 - Tributos'!Y$19*VLOOKUP('F1 - FCL'!$A365,ReceitaBruta,COLUMN('A4 - Previsão de Receita Bruta'!X$6)-1,0),0)</f>
        <v>0</v>
      </c>
      <c r="X367" s="707">
        <f>IFERROR(-'E2 - Tributos'!Z$19*VLOOKUP('F1 - FCL'!$A365,ReceitaBruta,COLUMN('A4 - Previsão de Receita Bruta'!Y$6)-1,0),0)</f>
        <v>0</v>
      </c>
      <c r="Y367" s="707">
        <f>IFERROR(-'E2 - Tributos'!AA$19*VLOOKUP('F1 - FCL'!$A365,ReceitaBruta,COLUMN('A4 - Previsão de Receita Bruta'!Z$6)-1,0),0)</f>
        <v>0</v>
      </c>
      <c r="Z367" s="707">
        <f>IFERROR(-'E2 - Tributos'!AB$19*VLOOKUP('F1 - FCL'!$A365,ReceitaBruta,COLUMN('A4 - Previsão de Receita Bruta'!AA$6)-1,0),0)</f>
        <v>0</v>
      </c>
      <c r="AA367" s="707">
        <f>IFERROR(-'E2 - Tributos'!AC$19*VLOOKUP('F1 - FCL'!$A365,ReceitaBruta,COLUMN('A4 - Previsão de Receita Bruta'!AB$6)-1,0),0)</f>
        <v>0</v>
      </c>
      <c r="AB367" s="707">
        <f>IFERROR(-'E2 - Tributos'!AD$19*VLOOKUP('F1 - FCL'!$A365,ReceitaBruta,COLUMN('A4 - Previsão de Receita Bruta'!AC$6)-1,0),0)</f>
        <v>0</v>
      </c>
      <c r="AC367" s="707">
        <f>IFERROR(-'E2 - Tributos'!AE$19*VLOOKUP('F1 - FCL'!$A365,ReceitaBruta,COLUMN('A4 - Previsão de Receita Bruta'!AD$6)-1,0),0)</f>
        <v>0</v>
      </c>
      <c r="AD367" s="707">
        <f>IFERROR(-'E2 - Tributos'!AF$19*VLOOKUP('F1 - FCL'!$A365,ReceitaBruta,COLUMN('A4 - Previsão de Receita Bruta'!AE$6)-1,0),0)</f>
        <v>0</v>
      </c>
      <c r="AE367" s="707">
        <f>IFERROR(-'E2 - Tributos'!AG$19*VLOOKUP('F1 - FCL'!$A365,ReceitaBruta,COLUMN('A4 - Previsão de Receita Bruta'!AF$6)-1,0),0)</f>
        <v>0</v>
      </c>
      <c r="AF367" s="594"/>
      <c r="AG367" s="594"/>
      <c r="AH367" s="594"/>
      <c r="AI367" s="594"/>
      <c r="AJ367" s="594"/>
      <c r="AK367" s="594"/>
      <c r="AL367" s="594"/>
      <c r="AM367" s="594"/>
      <c r="AN367" s="594"/>
      <c r="AO367" s="594"/>
      <c r="AP367" s="594"/>
      <c r="AQ367" s="594"/>
      <c r="AR367" s="594"/>
      <c r="AS367" s="594"/>
      <c r="AT367" s="594"/>
      <c r="AU367" s="594"/>
      <c r="AV367" s="594"/>
      <c r="AW367" s="594"/>
      <c r="AX367" s="594"/>
      <c r="AY367" s="594"/>
      <c r="AZ367" s="594"/>
      <c r="BA367" s="594"/>
      <c r="BB367" s="594"/>
      <c r="BC367" s="594"/>
      <c r="BD367" s="594"/>
      <c r="BE367" s="594"/>
      <c r="BF367" s="594"/>
      <c r="BG367" s="594"/>
      <c r="BH367" s="594"/>
      <c r="BI367" s="594"/>
      <c r="BJ367" s="594"/>
      <c r="BK367" s="594"/>
      <c r="BL367" s="57"/>
      <c r="BM367" s="594"/>
      <c r="BN367" s="594"/>
      <c r="BO367" s="594"/>
      <c r="BP367" s="594"/>
      <c r="BQ367" s="594"/>
      <c r="BR367" s="594"/>
      <c r="BS367" s="594"/>
      <c r="BT367" s="594"/>
      <c r="BU367" s="594"/>
      <c r="BV367" s="594"/>
      <c r="BW367" s="594"/>
      <c r="BX367" s="594"/>
      <c r="BY367" s="594"/>
      <c r="BZ367" s="594"/>
      <c r="CA367" s="594"/>
      <c r="CB367" s="594"/>
      <c r="CC367" s="594"/>
      <c r="CD367" s="594"/>
      <c r="CE367" s="594"/>
      <c r="CF367" s="594"/>
      <c r="CG367" s="594"/>
      <c r="CH367" s="594"/>
      <c r="CI367" s="594"/>
      <c r="CJ367" s="594"/>
      <c r="CK367" s="594"/>
      <c r="CL367" s="594"/>
      <c r="CM367" s="594"/>
      <c r="CN367" s="594"/>
      <c r="CO367" s="594"/>
      <c r="CP367" s="594"/>
      <c r="CQ367" s="594"/>
    </row>
    <row r="368" spans="1:95" ht="19.5" hidden="1" customHeight="1" outlineLevel="1">
      <c r="A368" s="708" t="s">
        <v>590</v>
      </c>
      <c r="B368" s="707">
        <f t="shared" ref="B368:AE368" si="117">SUM(B369:B373)</f>
        <v>0</v>
      </c>
      <c r="C368" s="707">
        <f t="shared" si="117"/>
        <v>0</v>
      </c>
      <c r="D368" s="707">
        <f t="shared" si="117"/>
        <v>0</v>
      </c>
      <c r="E368" s="707">
        <f t="shared" si="117"/>
        <v>0</v>
      </c>
      <c r="F368" s="707">
        <f t="shared" si="117"/>
        <v>0</v>
      </c>
      <c r="G368" s="707">
        <f t="shared" si="117"/>
        <v>0</v>
      </c>
      <c r="H368" s="707">
        <f t="shared" si="117"/>
        <v>0</v>
      </c>
      <c r="I368" s="707">
        <f t="shared" si="117"/>
        <v>0</v>
      </c>
      <c r="J368" s="707">
        <f t="shared" si="117"/>
        <v>0</v>
      </c>
      <c r="K368" s="707">
        <f t="shared" si="117"/>
        <v>0</v>
      </c>
      <c r="L368" s="707">
        <f t="shared" si="117"/>
        <v>0</v>
      </c>
      <c r="M368" s="707">
        <f t="shared" si="117"/>
        <v>0</v>
      </c>
      <c r="N368" s="707">
        <f t="shared" si="117"/>
        <v>0</v>
      </c>
      <c r="O368" s="707">
        <f t="shared" si="117"/>
        <v>0</v>
      </c>
      <c r="P368" s="707">
        <f t="shared" si="117"/>
        <v>0</v>
      </c>
      <c r="Q368" s="707">
        <f t="shared" si="117"/>
        <v>0</v>
      </c>
      <c r="R368" s="707">
        <f t="shared" si="117"/>
        <v>0</v>
      </c>
      <c r="S368" s="707">
        <f t="shared" si="117"/>
        <v>0</v>
      </c>
      <c r="T368" s="707">
        <f t="shared" si="117"/>
        <v>0</v>
      </c>
      <c r="U368" s="707">
        <f t="shared" si="117"/>
        <v>0</v>
      </c>
      <c r="V368" s="707">
        <f t="shared" si="117"/>
        <v>0</v>
      </c>
      <c r="W368" s="707">
        <f t="shared" si="117"/>
        <v>0</v>
      </c>
      <c r="X368" s="707">
        <f t="shared" si="117"/>
        <v>0</v>
      </c>
      <c r="Y368" s="707">
        <f t="shared" si="117"/>
        <v>0</v>
      </c>
      <c r="Z368" s="707">
        <f t="shared" si="117"/>
        <v>0</v>
      </c>
      <c r="AA368" s="707">
        <f t="shared" si="117"/>
        <v>0</v>
      </c>
      <c r="AB368" s="707">
        <f t="shared" si="117"/>
        <v>0</v>
      </c>
      <c r="AC368" s="707">
        <f t="shared" si="117"/>
        <v>0</v>
      </c>
      <c r="AD368" s="707">
        <f t="shared" si="117"/>
        <v>0</v>
      </c>
      <c r="AE368" s="707">
        <f t="shared" si="117"/>
        <v>0</v>
      </c>
      <c r="AF368" s="594"/>
      <c r="AG368" s="594"/>
      <c r="AH368" s="594"/>
      <c r="AI368" s="594"/>
      <c r="AJ368" s="594"/>
      <c r="AK368" s="594"/>
      <c r="AL368" s="594"/>
      <c r="AM368" s="594"/>
      <c r="AN368" s="594"/>
      <c r="AO368" s="594"/>
      <c r="AP368" s="594"/>
      <c r="AQ368" s="594"/>
      <c r="AR368" s="594"/>
      <c r="AS368" s="594"/>
      <c r="AT368" s="594"/>
      <c r="AU368" s="594"/>
      <c r="AV368" s="594"/>
      <c r="AW368" s="594"/>
      <c r="AX368" s="594"/>
      <c r="AY368" s="594"/>
      <c r="AZ368" s="594"/>
      <c r="BA368" s="594"/>
      <c r="BB368" s="594"/>
      <c r="BC368" s="594"/>
      <c r="BD368" s="594"/>
      <c r="BE368" s="594"/>
      <c r="BF368" s="594"/>
      <c r="BG368" s="594"/>
      <c r="BH368" s="594"/>
      <c r="BI368" s="594"/>
      <c r="BJ368" s="594"/>
      <c r="BK368" s="594"/>
      <c r="BL368" s="57"/>
      <c r="BM368" s="594"/>
      <c r="BN368" s="594"/>
      <c r="BO368" s="594"/>
      <c r="BP368" s="594"/>
      <c r="BQ368" s="594"/>
      <c r="BR368" s="594"/>
      <c r="BS368" s="594"/>
      <c r="BT368" s="594"/>
      <c r="BU368" s="594"/>
      <c r="BV368" s="594"/>
      <c r="BW368" s="594"/>
      <c r="BX368" s="594"/>
      <c r="BY368" s="594"/>
      <c r="BZ368" s="594"/>
      <c r="CA368" s="594"/>
      <c r="CB368" s="594"/>
      <c r="CC368" s="594"/>
      <c r="CD368" s="594"/>
      <c r="CE368" s="594"/>
      <c r="CF368" s="594"/>
      <c r="CG368" s="594"/>
      <c r="CH368" s="594"/>
      <c r="CI368" s="594"/>
      <c r="CJ368" s="594"/>
      <c r="CK368" s="594"/>
      <c r="CL368" s="594"/>
      <c r="CM368" s="594"/>
      <c r="CN368" s="594"/>
      <c r="CO368" s="594"/>
      <c r="CP368" s="594"/>
      <c r="CQ368" s="594"/>
    </row>
    <row r="369" spans="1:95" ht="21" hidden="1" customHeight="1" outlineLevel="2">
      <c r="A369" s="709" t="s">
        <v>682</v>
      </c>
      <c r="B369" s="710">
        <f>IF($A365="",0,-SUMIF('C3 - Funcionários $'!$D$7:$D$121,$A365,'C3 - Funcionários $'!G$7:G$121))</f>
        <v>0</v>
      </c>
      <c r="C369" s="710">
        <f>IF($A365="",0,-SUMIF('C3 - Funcionários $'!$D$7:$D$121,$A365,'C3 - Funcionários $'!H$7:H$121))</f>
        <v>0</v>
      </c>
      <c r="D369" s="710">
        <f>IF($A365="",0,-SUMIF('C3 - Funcionários $'!$D$7:$D$121,$A365,'C3 - Funcionários $'!I$7:I$121))</f>
        <v>0</v>
      </c>
      <c r="E369" s="710">
        <f>IF($A365="",0,-SUMIF('C3 - Funcionários $'!$D$7:$D$121,$A365,'C3 - Funcionários $'!J$7:J$121))</f>
        <v>0</v>
      </c>
      <c r="F369" s="710">
        <f>IF($A365="",0,-SUMIF('C3 - Funcionários $'!$D$7:$D$121,$A365,'C3 - Funcionários $'!K$7:K$121))</f>
        <v>0</v>
      </c>
      <c r="G369" s="710">
        <f>IF($A365="",0,-SUMIF('C3 - Funcionários $'!$D$7:$D$121,$A365,'C3 - Funcionários $'!L$7:L$121))</f>
        <v>0</v>
      </c>
      <c r="H369" s="710">
        <f>IF($A365="",0,-SUMIF('C3 - Funcionários $'!$D$7:$D$121,$A365,'C3 - Funcionários $'!M$7:M$121))</f>
        <v>0</v>
      </c>
      <c r="I369" s="710">
        <f>IF($A365="",0,-SUMIF('C3 - Funcionários $'!$D$7:$D$121,$A365,'C3 - Funcionários $'!N$7:N$121))</f>
        <v>0</v>
      </c>
      <c r="J369" s="710">
        <f>IF($A365="",0,-SUMIF('C3 - Funcionários $'!$D$7:$D$121,$A365,'C3 - Funcionários $'!O$7:O$121))</f>
        <v>0</v>
      </c>
      <c r="K369" s="710">
        <f>IF($A365="",0,-SUMIF('C3 - Funcionários $'!$D$7:$D$121,$A365,'C3 - Funcionários $'!P$7:P$121))</f>
        <v>0</v>
      </c>
      <c r="L369" s="710">
        <f>IF($A365="",0,-SUMIF('C3 - Funcionários $'!$D$7:$D$121,$A365,'C3 - Funcionários $'!Q$7:Q$121))</f>
        <v>0</v>
      </c>
      <c r="M369" s="710">
        <f>IF($A365="",0,-SUMIF('C3 - Funcionários $'!$D$7:$D$121,$A365,'C3 - Funcionários $'!R$7:R$121))</f>
        <v>0</v>
      </c>
      <c r="N369" s="710">
        <f>IF($A365="",0,-SUMIF('C3 - Funcionários $'!$D$7:$D$121,$A365,'C3 - Funcionários $'!S$7:S$121))</f>
        <v>0</v>
      </c>
      <c r="O369" s="710">
        <f>IF($A365="",0,-SUMIF('C3 - Funcionários $'!$D$7:$D$121,$A365,'C3 - Funcionários $'!T$7:T$121))</f>
        <v>0</v>
      </c>
      <c r="P369" s="710">
        <f>IF($A365="",0,-SUMIF('C3 - Funcionários $'!$D$7:$D$121,$A365,'C3 - Funcionários $'!U$7:U$121))</f>
        <v>0</v>
      </c>
      <c r="Q369" s="710">
        <f>IF($A365="",0,-SUMIF('C3 - Funcionários $'!$D$7:$D$121,$A365,'C3 - Funcionários $'!V$7:V$121))</f>
        <v>0</v>
      </c>
      <c r="R369" s="710">
        <f>IF($A365="",0,-SUMIF('C3 - Funcionários $'!$D$7:$D$121,$A365,'C3 - Funcionários $'!W$7:W$121))</f>
        <v>0</v>
      </c>
      <c r="S369" s="710">
        <f>IF($A365="",0,-SUMIF('C3 - Funcionários $'!$D$7:$D$121,$A365,'C3 - Funcionários $'!X$7:X$121))</f>
        <v>0</v>
      </c>
      <c r="T369" s="710">
        <f>IF($A365="",0,-SUMIF('C3 - Funcionários $'!$D$7:$D$121,$A365,'C3 - Funcionários $'!Y$7:Y$121))</f>
        <v>0</v>
      </c>
      <c r="U369" s="710">
        <f>IF($A365="",0,-SUMIF('C3 - Funcionários $'!$D$7:$D$121,$A365,'C3 - Funcionários $'!Z$7:Z$121))</f>
        <v>0</v>
      </c>
      <c r="V369" s="710">
        <f>IF($A365="",0,-SUMIF('C3 - Funcionários $'!$D$7:$D$121,$A365,'C3 - Funcionários $'!AA$7:AA$121))</f>
        <v>0</v>
      </c>
      <c r="W369" s="710">
        <f>IF($A365="",0,-SUMIF('C3 - Funcionários $'!$D$7:$D$121,$A365,'C3 - Funcionários $'!AB$7:AB$121))</f>
        <v>0</v>
      </c>
      <c r="X369" s="710">
        <f>IF($A365="",0,-SUMIF('C3 - Funcionários $'!$D$7:$D$121,$A365,'C3 - Funcionários $'!AC$7:AC$121))</f>
        <v>0</v>
      </c>
      <c r="Y369" s="710">
        <f>IF($A365="",0,-SUMIF('C3 - Funcionários $'!$D$7:$D$121,$A365,'C3 - Funcionários $'!AD$7:AD$121))</f>
        <v>0</v>
      </c>
      <c r="Z369" s="710">
        <f>IF($A365="",0,-SUMIF('C3 - Funcionários $'!$D$7:$D$121,$A365,'C3 - Funcionários $'!AE$7:AE$121))</f>
        <v>0</v>
      </c>
      <c r="AA369" s="710">
        <f>IF($A365="",0,-SUMIF('C3 - Funcionários $'!$D$7:$D$121,$A365,'C3 - Funcionários $'!AF$7:AF$121))</f>
        <v>0</v>
      </c>
      <c r="AB369" s="710">
        <f>IF($A365="",0,-SUMIF('C3 - Funcionários $'!$D$7:$D$121,$A365,'C3 - Funcionários $'!AG$7:AG$121))</f>
        <v>0</v>
      </c>
      <c r="AC369" s="710">
        <f>IF($A365="",0,-SUMIF('C3 - Funcionários $'!$D$7:$D$121,$A365,'C3 - Funcionários $'!AH$7:AH$121))</f>
        <v>0</v>
      </c>
      <c r="AD369" s="710">
        <f>IF($A365="",0,-SUMIF('C3 - Funcionários $'!$D$7:$D$121,$A365,'C3 - Funcionários $'!AI$7:AI$121))</f>
        <v>0</v>
      </c>
      <c r="AE369" s="710">
        <f>IF($A365="",0,-SUMIF('C3 - Funcionários $'!$D$7:$D$121,$A365,'C3 - Funcionários $'!AJ$7:AJ$121))</f>
        <v>0</v>
      </c>
      <c r="AF369" s="594"/>
      <c r="AG369" s="594"/>
      <c r="AH369" s="594"/>
      <c r="AI369" s="594"/>
      <c r="AJ369" s="594"/>
      <c r="AK369" s="594"/>
      <c r="AL369" s="594"/>
      <c r="AM369" s="594"/>
      <c r="AN369" s="594"/>
      <c r="AO369" s="594"/>
      <c r="AP369" s="594"/>
      <c r="AQ369" s="594"/>
      <c r="AR369" s="594"/>
      <c r="AS369" s="594"/>
      <c r="AT369" s="594"/>
      <c r="AU369" s="594"/>
      <c r="AV369" s="594"/>
      <c r="AW369" s="594"/>
      <c r="AX369" s="594"/>
      <c r="AY369" s="594"/>
      <c r="AZ369" s="594"/>
      <c r="BA369" s="594"/>
      <c r="BB369" s="594"/>
      <c r="BC369" s="594"/>
      <c r="BD369" s="594"/>
      <c r="BE369" s="594"/>
      <c r="BF369" s="594"/>
      <c r="BG369" s="594"/>
      <c r="BH369" s="594"/>
      <c r="BI369" s="594"/>
      <c r="BJ369" s="594"/>
      <c r="BK369" s="594"/>
      <c r="BL369" s="57"/>
      <c r="BM369" s="594"/>
      <c r="BN369" s="594"/>
      <c r="BO369" s="594"/>
      <c r="BP369" s="594"/>
      <c r="BQ369" s="594"/>
      <c r="BR369" s="594"/>
      <c r="BS369" s="594"/>
      <c r="BT369" s="594"/>
      <c r="BU369" s="594"/>
      <c r="BV369" s="594"/>
      <c r="BW369" s="594"/>
      <c r="BX369" s="594"/>
      <c r="BY369" s="594"/>
      <c r="BZ369" s="594"/>
      <c r="CA369" s="594"/>
      <c r="CB369" s="594"/>
      <c r="CC369" s="594"/>
      <c r="CD369" s="594"/>
      <c r="CE369" s="594"/>
      <c r="CF369" s="594"/>
      <c r="CG369" s="594"/>
      <c r="CH369" s="594"/>
      <c r="CI369" s="594"/>
      <c r="CJ369" s="594"/>
      <c r="CK369" s="594"/>
      <c r="CL369" s="594"/>
      <c r="CM369" s="594"/>
      <c r="CN369" s="594"/>
      <c r="CO369" s="594"/>
      <c r="CP369" s="594"/>
      <c r="CQ369" s="594"/>
    </row>
    <row r="370" spans="1:95" ht="21" hidden="1" customHeight="1" outlineLevel="2">
      <c r="A370" s="709" t="s">
        <v>683</v>
      </c>
      <c r="B370" s="710">
        <f>IFERROR(-VLOOKUP($A365,CustoDiretoTotal,COLUMN('B2 - Custos diretos totais'!C$3)-1,0),0)</f>
        <v>0</v>
      </c>
      <c r="C370" s="710">
        <f>IFERROR(-VLOOKUP($A365,CustoDiretoTotal,COLUMN('B2 - Custos diretos totais'!D$3)-1,0),0)</f>
        <v>0</v>
      </c>
      <c r="D370" s="710">
        <f>IFERROR(-VLOOKUP($A365,CustoDiretoTotal,COLUMN('B2 - Custos diretos totais'!E$3)-1,0),0)</f>
        <v>0</v>
      </c>
      <c r="E370" s="710">
        <f>IFERROR(-VLOOKUP($A365,CustoDiretoTotal,COLUMN('B2 - Custos diretos totais'!F$3)-1,0),0)</f>
        <v>0</v>
      </c>
      <c r="F370" s="710">
        <f>IFERROR(-VLOOKUP($A365,CustoDiretoTotal,COLUMN('B2 - Custos diretos totais'!G$3)-1,0),0)</f>
        <v>0</v>
      </c>
      <c r="G370" s="710">
        <f>IFERROR(-VLOOKUP($A365,CustoDiretoTotal,COLUMN('B2 - Custos diretos totais'!H$3)-1,0),0)</f>
        <v>0</v>
      </c>
      <c r="H370" s="710">
        <f>IFERROR(-VLOOKUP($A365,CustoDiretoTotal,COLUMN('B2 - Custos diretos totais'!I$3)-1,0),0)</f>
        <v>0</v>
      </c>
      <c r="I370" s="710">
        <f>IFERROR(-VLOOKUP($A365,CustoDiretoTotal,COLUMN('B2 - Custos diretos totais'!J$3)-1,0),0)</f>
        <v>0</v>
      </c>
      <c r="J370" s="710">
        <f>IFERROR(-VLOOKUP($A365,CustoDiretoTotal,COLUMN('B2 - Custos diretos totais'!K$3)-1,0),0)</f>
        <v>0</v>
      </c>
      <c r="K370" s="710">
        <f>IFERROR(-VLOOKUP($A365,CustoDiretoTotal,COLUMN('B2 - Custos diretos totais'!L$3)-1,0),0)</f>
        <v>0</v>
      </c>
      <c r="L370" s="710">
        <f>IFERROR(-VLOOKUP($A365,CustoDiretoTotal,COLUMN('B2 - Custos diretos totais'!M$3)-1,0),0)</f>
        <v>0</v>
      </c>
      <c r="M370" s="710">
        <f>IFERROR(-VLOOKUP($A365,CustoDiretoTotal,COLUMN('B2 - Custos diretos totais'!N$3)-1,0),0)</f>
        <v>0</v>
      </c>
      <c r="N370" s="710">
        <f>IFERROR(-VLOOKUP($A365,CustoDiretoTotal,COLUMN('B2 - Custos diretos totais'!O$3)-1,0),0)</f>
        <v>0</v>
      </c>
      <c r="O370" s="710">
        <f>IFERROR(-VLOOKUP($A365,CustoDiretoTotal,COLUMN('B2 - Custos diretos totais'!P$3)-1,0),0)</f>
        <v>0</v>
      </c>
      <c r="P370" s="710">
        <f>IFERROR(-VLOOKUP($A365,CustoDiretoTotal,COLUMN('B2 - Custos diretos totais'!Q$3)-1,0),0)</f>
        <v>0</v>
      </c>
      <c r="Q370" s="710">
        <f>IFERROR(-VLOOKUP($A365,CustoDiretoTotal,COLUMN('B2 - Custos diretos totais'!R$3)-1,0),0)</f>
        <v>0</v>
      </c>
      <c r="R370" s="710">
        <f>IFERROR(-VLOOKUP($A365,CustoDiretoTotal,COLUMN('B2 - Custos diretos totais'!S$3)-1,0),0)</f>
        <v>0</v>
      </c>
      <c r="S370" s="710">
        <f>IFERROR(-VLOOKUP($A365,CustoDiretoTotal,COLUMN('B2 - Custos diretos totais'!T$3)-1,0),0)</f>
        <v>0</v>
      </c>
      <c r="T370" s="710">
        <f>IFERROR(-VLOOKUP($A365,CustoDiretoTotal,COLUMN('B2 - Custos diretos totais'!U$3)-1,0),0)</f>
        <v>0</v>
      </c>
      <c r="U370" s="710">
        <f>IFERROR(-VLOOKUP($A365,CustoDiretoTotal,COLUMN('B2 - Custos diretos totais'!V$3)-1,0),0)</f>
        <v>0</v>
      </c>
      <c r="V370" s="710">
        <f>IFERROR(-VLOOKUP($A365,CustoDiretoTotal,COLUMN('B2 - Custos diretos totais'!W$3)-1,0),0)</f>
        <v>0</v>
      </c>
      <c r="W370" s="710">
        <f>IFERROR(-VLOOKUP($A365,CustoDiretoTotal,COLUMN('B2 - Custos diretos totais'!X$3)-1,0),0)</f>
        <v>0</v>
      </c>
      <c r="X370" s="710">
        <f>IFERROR(-VLOOKUP($A365,CustoDiretoTotal,COLUMN('B2 - Custos diretos totais'!Y$3)-1,0),0)</f>
        <v>0</v>
      </c>
      <c r="Y370" s="710">
        <f>IFERROR(-VLOOKUP($A365,CustoDiretoTotal,COLUMN('B2 - Custos diretos totais'!Z$3)-1,0),0)</f>
        <v>0</v>
      </c>
      <c r="Z370" s="710">
        <f>IFERROR(-VLOOKUP($A365,CustoDiretoTotal,COLUMN('B2 - Custos diretos totais'!AA$3)-1,0),0)</f>
        <v>0</v>
      </c>
      <c r="AA370" s="710">
        <f>IFERROR(-VLOOKUP($A365,CustoDiretoTotal,COLUMN('B2 - Custos diretos totais'!AB$3)-1,0),0)</f>
        <v>0</v>
      </c>
      <c r="AB370" s="710">
        <f>IFERROR(-VLOOKUP($A365,CustoDiretoTotal,COLUMN('B2 - Custos diretos totais'!AC$3)-1,0),0)</f>
        <v>0</v>
      </c>
      <c r="AC370" s="710">
        <f>IFERROR(-VLOOKUP($A365,CustoDiretoTotal,COLUMN('B2 - Custos diretos totais'!AD$3)-1,0),0)</f>
        <v>0</v>
      </c>
      <c r="AD370" s="710">
        <f>IFERROR(-VLOOKUP($A365,CustoDiretoTotal,COLUMN('B2 - Custos diretos totais'!AE$3)-1,0),0)</f>
        <v>0</v>
      </c>
      <c r="AE370" s="710">
        <f>IFERROR(-VLOOKUP($A365,CustoDiretoTotal,COLUMN('B2 - Custos diretos totais'!AF$3)-1,0),0)</f>
        <v>0</v>
      </c>
      <c r="AF370" s="594"/>
      <c r="AG370" s="594"/>
      <c r="AH370" s="594"/>
      <c r="AI370" s="594"/>
      <c r="AJ370" s="594"/>
      <c r="AK370" s="594"/>
      <c r="AL370" s="594"/>
      <c r="AM370" s="594"/>
      <c r="AN370" s="594"/>
      <c r="AO370" s="594"/>
      <c r="AP370" s="594"/>
      <c r="AQ370" s="594"/>
      <c r="AR370" s="594"/>
      <c r="AS370" s="594"/>
      <c r="AT370" s="594"/>
      <c r="AU370" s="594"/>
      <c r="AV370" s="594"/>
      <c r="AW370" s="594"/>
      <c r="AX370" s="594"/>
      <c r="AY370" s="594"/>
      <c r="AZ370" s="594"/>
      <c r="BA370" s="594"/>
      <c r="BB370" s="594"/>
      <c r="BC370" s="594"/>
      <c r="BD370" s="594"/>
      <c r="BE370" s="594"/>
      <c r="BF370" s="594"/>
      <c r="BG370" s="594"/>
      <c r="BH370" s="594"/>
      <c r="BI370" s="594"/>
      <c r="BJ370" s="594"/>
      <c r="BK370" s="594"/>
      <c r="BL370" s="57"/>
      <c r="BM370" s="594"/>
      <c r="BN370" s="594"/>
      <c r="BO370" s="594"/>
      <c r="BP370" s="594"/>
      <c r="BQ370" s="594"/>
      <c r="BR370" s="594"/>
      <c r="BS370" s="594"/>
      <c r="BT370" s="594"/>
      <c r="BU370" s="594"/>
      <c r="BV370" s="594"/>
      <c r="BW370" s="594"/>
      <c r="BX370" s="594"/>
      <c r="BY370" s="594"/>
      <c r="BZ370" s="594"/>
      <c r="CA370" s="594"/>
      <c r="CB370" s="594"/>
      <c r="CC370" s="594"/>
      <c r="CD370" s="594"/>
      <c r="CE370" s="594"/>
      <c r="CF370" s="594"/>
      <c r="CG370" s="594"/>
      <c r="CH370" s="594"/>
      <c r="CI370" s="594"/>
      <c r="CJ370" s="594"/>
      <c r="CK370" s="594"/>
      <c r="CL370" s="594"/>
      <c r="CM370" s="594"/>
      <c r="CN370" s="594"/>
      <c r="CO370" s="594"/>
      <c r="CP370" s="594"/>
      <c r="CQ370" s="594"/>
    </row>
    <row r="371" spans="1:95" ht="21" hidden="1" customHeight="1" outlineLevel="2">
      <c r="A371" s="709" t="s">
        <v>684</v>
      </c>
      <c r="B371" s="710">
        <f>-SUMIFS('B3 - Custos despesas indiretos'!AK$5:AK$148,'B3 - Custos despesas indiretos'!$B$5:$B$148,"Custos",'B3 - Custos despesas indiretos'!$D$5:$D$148,$A365)</f>
        <v>0</v>
      </c>
      <c r="C371" s="710">
        <f>-SUMIFS('B3 - Custos despesas indiretos'!AL$5:AL$148,'B3 - Custos despesas indiretos'!$B$5:$B$148,"Custos",'B3 - Custos despesas indiretos'!$D$5:$D$148,$A365)</f>
        <v>0</v>
      </c>
      <c r="D371" s="710">
        <f>-SUMIFS('B3 - Custos despesas indiretos'!AM$5:AM$148,'B3 - Custos despesas indiretos'!$B$5:$B$148,"Custos",'B3 - Custos despesas indiretos'!$D$5:$D$148,$A365)</f>
        <v>0</v>
      </c>
      <c r="E371" s="710">
        <f>-SUMIFS('B3 - Custos despesas indiretos'!AN$5:AN$148,'B3 - Custos despesas indiretos'!$B$5:$B$148,"Custos",'B3 - Custos despesas indiretos'!$D$5:$D$148,$A365)</f>
        <v>0</v>
      </c>
      <c r="F371" s="710">
        <f>-SUMIFS('B3 - Custos despesas indiretos'!AO$5:AO$148,'B3 - Custos despesas indiretos'!$B$5:$B$148,"Custos",'B3 - Custos despesas indiretos'!$D$5:$D$148,$A365)</f>
        <v>0</v>
      </c>
      <c r="G371" s="710">
        <f>-SUMIFS('B3 - Custos despesas indiretos'!AP$5:AP$148,'B3 - Custos despesas indiretos'!$B$5:$B$148,"Custos",'B3 - Custos despesas indiretos'!$D$5:$D$148,$A365)</f>
        <v>0</v>
      </c>
      <c r="H371" s="710">
        <f>-SUMIFS('B3 - Custos despesas indiretos'!AQ$5:AQ$148,'B3 - Custos despesas indiretos'!$B$5:$B$148,"Custos",'B3 - Custos despesas indiretos'!$D$5:$D$148,$A365)</f>
        <v>0</v>
      </c>
      <c r="I371" s="710">
        <f>-SUMIFS('B3 - Custos despesas indiretos'!AR$5:AR$148,'B3 - Custos despesas indiretos'!$B$5:$B$148,"Custos",'B3 - Custos despesas indiretos'!$D$5:$D$148,$A365)</f>
        <v>0</v>
      </c>
      <c r="J371" s="710">
        <f>-SUMIFS('B3 - Custos despesas indiretos'!AS$5:AS$148,'B3 - Custos despesas indiretos'!$B$5:$B$148,"Custos",'B3 - Custos despesas indiretos'!$D$5:$D$148,$A365)</f>
        <v>0</v>
      </c>
      <c r="K371" s="710">
        <f>-SUMIFS('B3 - Custos despesas indiretos'!AT$5:AT$148,'B3 - Custos despesas indiretos'!$B$5:$B$148,"Custos",'B3 - Custos despesas indiretos'!$D$5:$D$148,$A365)</f>
        <v>0</v>
      </c>
      <c r="L371" s="710">
        <f>-SUMIFS('B3 - Custos despesas indiretos'!AU$5:AU$148,'B3 - Custos despesas indiretos'!$B$5:$B$148,"Custos",'B3 - Custos despesas indiretos'!$D$5:$D$148,$A365)</f>
        <v>0</v>
      </c>
      <c r="M371" s="710">
        <f>-SUMIFS('B3 - Custos despesas indiretos'!AV$5:AV$148,'B3 - Custos despesas indiretos'!$B$5:$B$148,"Custos",'B3 - Custos despesas indiretos'!$D$5:$D$148,$A365)</f>
        <v>0</v>
      </c>
      <c r="N371" s="710">
        <f>-SUMIFS('B3 - Custos despesas indiretos'!AW$5:AW$148,'B3 - Custos despesas indiretos'!$B$5:$B$148,"Custos",'B3 - Custos despesas indiretos'!$D$5:$D$148,$A365)</f>
        <v>0</v>
      </c>
      <c r="O371" s="710">
        <f>-SUMIFS('B3 - Custos despesas indiretos'!AX$5:AX$148,'B3 - Custos despesas indiretos'!$B$5:$B$148,"Custos",'B3 - Custos despesas indiretos'!$D$5:$D$148,$A365)</f>
        <v>0</v>
      </c>
      <c r="P371" s="710">
        <f>-SUMIFS('B3 - Custos despesas indiretos'!AY$5:AY$148,'B3 - Custos despesas indiretos'!$B$5:$B$148,"Custos",'B3 - Custos despesas indiretos'!$D$5:$D$148,$A365)</f>
        <v>0</v>
      </c>
      <c r="Q371" s="710">
        <f>-SUMIFS('B3 - Custos despesas indiretos'!AZ$5:AZ$148,'B3 - Custos despesas indiretos'!$B$5:$B$148,"Custos",'B3 - Custos despesas indiretos'!$D$5:$D$148,$A365)</f>
        <v>0</v>
      </c>
      <c r="R371" s="710">
        <f>-SUMIFS('B3 - Custos despesas indiretos'!BA$5:BA$148,'B3 - Custos despesas indiretos'!$B$5:$B$148,"Custos",'B3 - Custos despesas indiretos'!$D$5:$D$148,$A365)</f>
        <v>0</v>
      </c>
      <c r="S371" s="710">
        <f>-SUMIFS('B3 - Custos despesas indiretos'!BB$5:BB$148,'B3 - Custos despesas indiretos'!$B$5:$B$148,"Custos",'B3 - Custos despesas indiretos'!$D$5:$D$148,$A365)</f>
        <v>0</v>
      </c>
      <c r="T371" s="710">
        <f>-SUMIFS('B3 - Custos despesas indiretos'!BC$5:BC$148,'B3 - Custos despesas indiretos'!$B$5:$B$148,"Custos",'B3 - Custos despesas indiretos'!$D$5:$D$148,$A365)</f>
        <v>0</v>
      </c>
      <c r="U371" s="710">
        <f>-SUMIFS('B3 - Custos despesas indiretos'!BD$5:BD$148,'B3 - Custos despesas indiretos'!$B$5:$B$148,"Custos",'B3 - Custos despesas indiretos'!$D$5:$D$148,$A365)</f>
        <v>0</v>
      </c>
      <c r="V371" s="710">
        <f>-SUMIFS('B3 - Custos despesas indiretos'!BE$5:BE$148,'B3 - Custos despesas indiretos'!$B$5:$B$148,"Custos",'B3 - Custos despesas indiretos'!$D$5:$D$148,$A365)</f>
        <v>0</v>
      </c>
      <c r="W371" s="710">
        <f>-SUMIFS('B3 - Custos despesas indiretos'!BF$5:BF$148,'B3 - Custos despesas indiretos'!$B$5:$B$148,"Custos",'B3 - Custos despesas indiretos'!$D$5:$D$148,$A365)</f>
        <v>0</v>
      </c>
      <c r="X371" s="710">
        <f>-SUMIFS('B3 - Custos despesas indiretos'!BG$5:BG$148,'B3 - Custos despesas indiretos'!$B$5:$B$148,"Custos",'B3 - Custos despesas indiretos'!$D$5:$D$148,$A365)</f>
        <v>0</v>
      </c>
      <c r="Y371" s="710">
        <f>-SUMIFS('B3 - Custos despesas indiretos'!BH$5:BH$148,'B3 - Custos despesas indiretos'!$B$5:$B$148,"Custos",'B3 - Custos despesas indiretos'!$D$5:$D$148,$A365)</f>
        <v>0</v>
      </c>
      <c r="Z371" s="710">
        <f>-SUMIFS('B3 - Custos despesas indiretos'!BI$5:BI$148,'B3 - Custos despesas indiretos'!$B$5:$B$148,"Custos",'B3 - Custos despesas indiretos'!$D$5:$D$148,$A365)</f>
        <v>0</v>
      </c>
      <c r="AA371" s="710">
        <f>-SUMIFS('B3 - Custos despesas indiretos'!BJ$5:BJ$148,'B3 - Custos despesas indiretos'!$B$5:$B$148,"Custos",'B3 - Custos despesas indiretos'!$D$5:$D$148,$A365)</f>
        <v>0</v>
      </c>
      <c r="AB371" s="710">
        <f>-SUMIFS('B3 - Custos despesas indiretos'!BK$5:BK$148,'B3 - Custos despesas indiretos'!$B$5:$B$148,"Custos",'B3 - Custos despesas indiretos'!$D$5:$D$148,$A365)</f>
        <v>0</v>
      </c>
      <c r="AC371" s="710">
        <f>-SUMIFS('B3 - Custos despesas indiretos'!BL$5:BL$148,'B3 - Custos despesas indiretos'!$B$5:$B$148,"Custos",'B3 - Custos despesas indiretos'!$D$5:$D$148,$A365)</f>
        <v>0</v>
      </c>
      <c r="AD371" s="710">
        <f>-SUMIFS('B3 - Custos despesas indiretos'!BM$5:BM$148,'B3 - Custos despesas indiretos'!$B$5:$B$148,"Custos",'B3 - Custos despesas indiretos'!$D$5:$D$148,$A365)</f>
        <v>0</v>
      </c>
      <c r="AE371" s="710">
        <f>-SUMIFS('B3 - Custos despesas indiretos'!BN$5:BN$148,'B3 - Custos despesas indiretos'!$B$5:$B$148,"Custos",'B3 - Custos despesas indiretos'!$D$5:$D$148,$A365)</f>
        <v>0</v>
      </c>
      <c r="AF371" s="594"/>
      <c r="AG371" s="594"/>
      <c r="AH371" s="594"/>
      <c r="AI371" s="594"/>
      <c r="AJ371" s="594"/>
      <c r="AK371" s="594"/>
      <c r="AL371" s="594"/>
      <c r="AM371" s="594"/>
      <c r="AN371" s="594"/>
      <c r="AO371" s="594"/>
      <c r="AP371" s="594"/>
      <c r="AQ371" s="594"/>
      <c r="AR371" s="594"/>
      <c r="AS371" s="594"/>
      <c r="AT371" s="594"/>
      <c r="AU371" s="594"/>
      <c r="AV371" s="594"/>
      <c r="AW371" s="594"/>
      <c r="AX371" s="594"/>
      <c r="AY371" s="594"/>
      <c r="AZ371" s="594"/>
      <c r="BA371" s="594"/>
      <c r="BB371" s="594"/>
      <c r="BC371" s="594"/>
      <c r="BD371" s="594"/>
      <c r="BE371" s="594"/>
      <c r="BF371" s="594"/>
      <c r="BG371" s="594"/>
      <c r="BH371" s="594"/>
      <c r="BI371" s="594"/>
      <c r="BJ371" s="594"/>
      <c r="BK371" s="594"/>
      <c r="BL371" s="57"/>
      <c r="BM371" s="594"/>
      <c r="BN371" s="594"/>
      <c r="BO371" s="594"/>
      <c r="BP371" s="594"/>
      <c r="BQ371" s="594"/>
      <c r="BR371" s="594"/>
      <c r="BS371" s="594"/>
      <c r="BT371" s="594"/>
      <c r="BU371" s="594"/>
      <c r="BV371" s="594"/>
      <c r="BW371" s="594"/>
      <c r="BX371" s="594"/>
      <c r="BY371" s="594"/>
      <c r="BZ371" s="594"/>
      <c r="CA371" s="594"/>
      <c r="CB371" s="594"/>
      <c r="CC371" s="594"/>
      <c r="CD371" s="594"/>
      <c r="CE371" s="594"/>
      <c r="CF371" s="594"/>
      <c r="CG371" s="594"/>
      <c r="CH371" s="594"/>
      <c r="CI371" s="594"/>
      <c r="CJ371" s="594"/>
      <c r="CK371" s="594"/>
      <c r="CL371" s="594"/>
      <c r="CM371" s="594"/>
      <c r="CN371" s="594"/>
      <c r="CO371" s="594"/>
      <c r="CP371" s="594"/>
      <c r="CQ371" s="594"/>
    </row>
    <row r="372" spans="1:95" ht="21" hidden="1" customHeight="1" outlineLevel="2">
      <c r="A372" s="709" t="s">
        <v>685</v>
      </c>
      <c r="B372" s="710">
        <f>-SUMIFS('B3 - Custos despesas indiretos'!AK$5:AK$148,'B3 - Custos despesas indiretos'!$B$5:$B$148,"Despesas",'B3 - Custos despesas indiretos'!$D$5:$D$148,$A365)</f>
        <v>0</v>
      </c>
      <c r="C372" s="710">
        <f>-SUMIFS('B3 - Custos despesas indiretos'!AL$5:AL$148,'B3 - Custos despesas indiretos'!$B$5:$B$148,"Despesas",'B3 - Custos despesas indiretos'!$D$5:$D$148,$A365)</f>
        <v>0</v>
      </c>
      <c r="D372" s="710">
        <f>-SUMIFS('B3 - Custos despesas indiretos'!AM$5:AM$148,'B3 - Custos despesas indiretos'!$B$5:$B$148,"Despesas",'B3 - Custos despesas indiretos'!$D$5:$D$148,$A365)</f>
        <v>0</v>
      </c>
      <c r="E372" s="710">
        <f>-SUMIFS('B3 - Custos despesas indiretos'!AN$5:AN$148,'B3 - Custos despesas indiretos'!$B$5:$B$148,"Despesas",'B3 - Custos despesas indiretos'!$D$5:$D$148,$A365)</f>
        <v>0</v>
      </c>
      <c r="F372" s="710">
        <f>-SUMIFS('B3 - Custos despesas indiretos'!AO$5:AO$148,'B3 - Custos despesas indiretos'!$B$5:$B$148,"Despesas",'B3 - Custos despesas indiretos'!$D$5:$D$148,$A365)</f>
        <v>0</v>
      </c>
      <c r="G372" s="710">
        <f>-SUMIFS('B3 - Custos despesas indiretos'!AP$5:AP$148,'B3 - Custos despesas indiretos'!$B$5:$B$148,"Despesas",'B3 - Custos despesas indiretos'!$D$5:$D$148,$A365)</f>
        <v>0</v>
      </c>
      <c r="H372" s="710">
        <f>-SUMIFS('B3 - Custos despesas indiretos'!AQ$5:AQ$148,'B3 - Custos despesas indiretos'!$B$5:$B$148,"Despesas",'B3 - Custos despesas indiretos'!$D$5:$D$148,$A365)</f>
        <v>0</v>
      </c>
      <c r="I372" s="710">
        <f>-SUMIFS('B3 - Custos despesas indiretos'!AR$5:AR$148,'B3 - Custos despesas indiretos'!$B$5:$B$148,"Despesas",'B3 - Custos despesas indiretos'!$D$5:$D$148,$A365)</f>
        <v>0</v>
      </c>
      <c r="J372" s="710">
        <f>-SUMIFS('B3 - Custos despesas indiretos'!AS$5:AS$148,'B3 - Custos despesas indiretos'!$B$5:$B$148,"Despesas",'B3 - Custos despesas indiretos'!$D$5:$D$148,$A365)</f>
        <v>0</v>
      </c>
      <c r="K372" s="710">
        <f>-SUMIFS('B3 - Custos despesas indiretos'!AT$5:AT$148,'B3 - Custos despesas indiretos'!$B$5:$B$148,"Despesas",'B3 - Custos despesas indiretos'!$D$5:$D$148,$A365)</f>
        <v>0</v>
      </c>
      <c r="L372" s="710">
        <f>-SUMIFS('B3 - Custos despesas indiretos'!AU$5:AU$148,'B3 - Custos despesas indiretos'!$B$5:$B$148,"Despesas",'B3 - Custos despesas indiretos'!$D$5:$D$148,$A365)</f>
        <v>0</v>
      </c>
      <c r="M372" s="710">
        <f>-SUMIFS('B3 - Custos despesas indiretos'!AV$5:AV$148,'B3 - Custos despesas indiretos'!$B$5:$B$148,"Despesas",'B3 - Custos despesas indiretos'!$D$5:$D$148,$A365)</f>
        <v>0</v>
      </c>
      <c r="N372" s="710">
        <f>-SUMIFS('B3 - Custos despesas indiretos'!AW$5:AW$148,'B3 - Custos despesas indiretos'!$B$5:$B$148,"Despesas",'B3 - Custos despesas indiretos'!$D$5:$D$148,$A365)</f>
        <v>0</v>
      </c>
      <c r="O372" s="710">
        <f>-SUMIFS('B3 - Custos despesas indiretos'!AX$5:AX$148,'B3 - Custos despesas indiretos'!$B$5:$B$148,"Despesas",'B3 - Custos despesas indiretos'!$D$5:$D$148,$A365)</f>
        <v>0</v>
      </c>
      <c r="P372" s="710">
        <f>-SUMIFS('B3 - Custos despesas indiretos'!AY$5:AY$148,'B3 - Custos despesas indiretos'!$B$5:$B$148,"Despesas",'B3 - Custos despesas indiretos'!$D$5:$D$148,$A365)</f>
        <v>0</v>
      </c>
      <c r="Q372" s="710">
        <f>-SUMIFS('B3 - Custos despesas indiretos'!AZ$5:AZ$148,'B3 - Custos despesas indiretos'!$B$5:$B$148,"Despesas",'B3 - Custos despesas indiretos'!$D$5:$D$148,$A365)</f>
        <v>0</v>
      </c>
      <c r="R372" s="710">
        <f>-SUMIFS('B3 - Custos despesas indiretos'!BA$5:BA$148,'B3 - Custos despesas indiretos'!$B$5:$B$148,"Despesas",'B3 - Custos despesas indiretos'!$D$5:$D$148,$A365)</f>
        <v>0</v>
      </c>
      <c r="S372" s="710">
        <f>-SUMIFS('B3 - Custos despesas indiretos'!BB$5:BB$148,'B3 - Custos despesas indiretos'!$B$5:$B$148,"Despesas",'B3 - Custos despesas indiretos'!$D$5:$D$148,$A365)</f>
        <v>0</v>
      </c>
      <c r="T372" s="710">
        <f>-SUMIFS('B3 - Custos despesas indiretos'!BC$5:BC$148,'B3 - Custos despesas indiretos'!$B$5:$B$148,"Despesas",'B3 - Custos despesas indiretos'!$D$5:$D$148,$A365)</f>
        <v>0</v>
      </c>
      <c r="U372" s="710">
        <f>-SUMIFS('B3 - Custos despesas indiretos'!BD$5:BD$148,'B3 - Custos despesas indiretos'!$B$5:$B$148,"Despesas",'B3 - Custos despesas indiretos'!$D$5:$D$148,$A365)</f>
        <v>0</v>
      </c>
      <c r="V372" s="710">
        <f>-SUMIFS('B3 - Custos despesas indiretos'!BE$5:BE$148,'B3 - Custos despesas indiretos'!$B$5:$B$148,"Despesas",'B3 - Custos despesas indiretos'!$D$5:$D$148,$A365)</f>
        <v>0</v>
      </c>
      <c r="W372" s="710">
        <f>-SUMIFS('B3 - Custos despesas indiretos'!BF$5:BF$148,'B3 - Custos despesas indiretos'!$B$5:$B$148,"Despesas",'B3 - Custos despesas indiretos'!$D$5:$D$148,$A365)</f>
        <v>0</v>
      </c>
      <c r="X372" s="710">
        <f>-SUMIFS('B3 - Custos despesas indiretos'!BG$5:BG$148,'B3 - Custos despesas indiretos'!$B$5:$B$148,"Despesas",'B3 - Custos despesas indiretos'!$D$5:$D$148,$A365)</f>
        <v>0</v>
      </c>
      <c r="Y372" s="710">
        <f>-SUMIFS('B3 - Custos despesas indiretos'!BH$5:BH$148,'B3 - Custos despesas indiretos'!$B$5:$B$148,"Despesas",'B3 - Custos despesas indiretos'!$D$5:$D$148,$A365)</f>
        <v>0</v>
      </c>
      <c r="Z372" s="710">
        <f>-SUMIFS('B3 - Custos despesas indiretos'!BI$5:BI$148,'B3 - Custos despesas indiretos'!$B$5:$B$148,"Despesas",'B3 - Custos despesas indiretos'!$D$5:$D$148,$A365)</f>
        <v>0</v>
      </c>
      <c r="AA372" s="710">
        <f>-SUMIFS('B3 - Custos despesas indiretos'!BJ$5:BJ$148,'B3 - Custos despesas indiretos'!$B$5:$B$148,"Despesas",'B3 - Custos despesas indiretos'!$D$5:$D$148,$A365)</f>
        <v>0</v>
      </c>
      <c r="AB372" s="710">
        <f>-SUMIFS('B3 - Custos despesas indiretos'!BK$5:BK$148,'B3 - Custos despesas indiretos'!$B$5:$B$148,"Despesas",'B3 - Custos despesas indiretos'!$D$5:$D$148,$A365)</f>
        <v>0</v>
      </c>
      <c r="AC372" s="710">
        <f>-SUMIFS('B3 - Custos despesas indiretos'!BL$5:BL$148,'B3 - Custos despesas indiretos'!$B$5:$B$148,"Despesas",'B3 - Custos despesas indiretos'!$D$5:$D$148,$A365)</f>
        <v>0</v>
      </c>
      <c r="AD372" s="710">
        <f>-SUMIFS('B3 - Custos despesas indiretos'!BM$5:BM$148,'B3 - Custos despesas indiretos'!$B$5:$B$148,"Despesas",'B3 - Custos despesas indiretos'!$D$5:$D$148,$A365)</f>
        <v>0</v>
      </c>
      <c r="AE372" s="710">
        <f>-SUMIFS('B3 - Custos despesas indiretos'!BN$5:BN$148,'B3 - Custos despesas indiretos'!$B$5:$B$148,"Despesas",'B3 - Custos despesas indiretos'!$D$5:$D$148,$A365)</f>
        <v>0</v>
      </c>
      <c r="AF372" s="594"/>
      <c r="AG372" s="594"/>
      <c r="AH372" s="594"/>
      <c r="AI372" s="594"/>
      <c r="AJ372" s="594"/>
      <c r="AK372" s="594"/>
      <c r="AL372" s="594"/>
      <c r="AM372" s="594"/>
      <c r="AN372" s="594"/>
      <c r="AO372" s="594"/>
      <c r="AP372" s="594"/>
      <c r="AQ372" s="594"/>
      <c r="AR372" s="594"/>
      <c r="AS372" s="594"/>
      <c r="AT372" s="594"/>
      <c r="AU372" s="594"/>
      <c r="AV372" s="594"/>
      <c r="AW372" s="594"/>
      <c r="AX372" s="594"/>
      <c r="AY372" s="594"/>
      <c r="AZ372" s="594"/>
      <c r="BA372" s="594"/>
      <c r="BB372" s="594"/>
      <c r="BC372" s="594"/>
      <c r="BD372" s="594"/>
      <c r="BE372" s="594"/>
      <c r="BF372" s="594"/>
      <c r="BG372" s="594"/>
      <c r="BH372" s="594"/>
      <c r="BI372" s="594"/>
      <c r="BJ372" s="594"/>
      <c r="BK372" s="594"/>
      <c r="BL372" s="57"/>
      <c r="BM372" s="594"/>
      <c r="BN372" s="594"/>
      <c r="BO372" s="594"/>
      <c r="BP372" s="594"/>
      <c r="BQ372" s="594"/>
      <c r="BR372" s="594"/>
      <c r="BS372" s="594"/>
      <c r="BT372" s="594"/>
      <c r="BU372" s="594"/>
      <c r="BV372" s="594"/>
      <c r="BW372" s="594"/>
      <c r="BX372" s="594"/>
      <c r="BY372" s="594"/>
      <c r="BZ372" s="594"/>
      <c r="CA372" s="594"/>
      <c r="CB372" s="594"/>
      <c r="CC372" s="594"/>
      <c r="CD372" s="594"/>
      <c r="CE372" s="594"/>
      <c r="CF372" s="594"/>
      <c r="CG372" s="594"/>
      <c r="CH372" s="594"/>
      <c r="CI372" s="594"/>
      <c r="CJ372" s="594"/>
      <c r="CK372" s="594"/>
      <c r="CL372" s="594"/>
      <c r="CM372" s="594"/>
      <c r="CN372" s="594"/>
      <c r="CO372" s="594"/>
      <c r="CP372" s="594"/>
      <c r="CQ372" s="594"/>
    </row>
    <row r="373" spans="1:95" ht="21" hidden="1" customHeight="1" outlineLevel="2">
      <c r="A373" s="709" t="s">
        <v>686</v>
      </c>
      <c r="B373" s="710">
        <f>-SUMIF('D2 - Capex uso'!$C$6:$C$176,$A365,'D2 - Capex uso'!GI$6:GI$176)</f>
        <v>0</v>
      </c>
      <c r="C373" s="710">
        <f>-SUMIF('D2 - Capex uso'!$C$6:$C$176,$A365,'D2 - Capex uso'!GJ$6:GJ$176)</f>
        <v>0</v>
      </c>
      <c r="D373" s="710">
        <f>-SUMIF('D2 - Capex uso'!$C$6:$C$176,$A365,'D2 - Capex uso'!GK$6:GK$176)</f>
        <v>0</v>
      </c>
      <c r="E373" s="710">
        <f>-SUMIF('D2 - Capex uso'!$C$6:$C$176,$A365,'D2 - Capex uso'!GL$6:GL$176)</f>
        <v>0</v>
      </c>
      <c r="F373" s="710">
        <f>-SUMIF('D2 - Capex uso'!$C$6:$C$176,$A365,'D2 - Capex uso'!GM$6:GM$176)</f>
        <v>0</v>
      </c>
      <c r="G373" s="710">
        <f>-SUMIF('D2 - Capex uso'!$C$6:$C$176,$A365,'D2 - Capex uso'!GN$6:GN$176)</f>
        <v>0</v>
      </c>
      <c r="H373" s="710">
        <f>-SUMIF('D2 - Capex uso'!$C$6:$C$176,$A365,'D2 - Capex uso'!GO$6:GO$176)</f>
        <v>0</v>
      </c>
      <c r="I373" s="710">
        <f>-SUMIF('D2 - Capex uso'!$C$6:$C$176,$A365,'D2 - Capex uso'!GP$6:GP$176)</f>
        <v>0</v>
      </c>
      <c r="J373" s="710">
        <f>-SUMIF('D2 - Capex uso'!$C$6:$C$176,$A365,'D2 - Capex uso'!GQ$6:GQ$176)</f>
        <v>0</v>
      </c>
      <c r="K373" s="710">
        <f>-SUMIF('D2 - Capex uso'!$C$6:$C$176,$A365,'D2 - Capex uso'!GR$6:GR$176)</f>
        <v>0</v>
      </c>
      <c r="L373" s="710">
        <f>-SUMIF('D2 - Capex uso'!$C$6:$C$176,$A365,'D2 - Capex uso'!GS$6:GS$176)</f>
        <v>0</v>
      </c>
      <c r="M373" s="710">
        <f>-SUMIF('D2 - Capex uso'!$C$6:$C$176,$A365,'D2 - Capex uso'!GT$6:GT$176)</f>
        <v>0</v>
      </c>
      <c r="N373" s="710">
        <f>-SUMIF('D2 - Capex uso'!$C$6:$C$176,$A365,'D2 - Capex uso'!GU$6:GU$176)</f>
        <v>0</v>
      </c>
      <c r="O373" s="710">
        <f>-SUMIF('D2 - Capex uso'!$C$6:$C$176,$A365,'D2 - Capex uso'!GV$6:GV$176)</f>
        <v>0</v>
      </c>
      <c r="P373" s="710">
        <f>-SUMIF('D2 - Capex uso'!$C$6:$C$176,$A365,'D2 - Capex uso'!GW$6:GW$176)</f>
        <v>0</v>
      </c>
      <c r="Q373" s="710">
        <f>-SUMIF('D2 - Capex uso'!$C$6:$C$176,$A365,'D2 - Capex uso'!GX$6:GX$176)</f>
        <v>0</v>
      </c>
      <c r="R373" s="710">
        <f>-SUMIF('D2 - Capex uso'!$C$6:$C$176,$A365,'D2 - Capex uso'!GY$6:GY$176)</f>
        <v>0</v>
      </c>
      <c r="S373" s="710">
        <f>-SUMIF('D2 - Capex uso'!$C$6:$C$176,$A365,'D2 - Capex uso'!GZ$6:GZ$176)</f>
        <v>0</v>
      </c>
      <c r="T373" s="710">
        <f>-SUMIF('D2 - Capex uso'!$C$6:$C$176,$A365,'D2 - Capex uso'!HA$6:HA$176)</f>
        <v>0</v>
      </c>
      <c r="U373" s="710">
        <f>-SUMIF('D2 - Capex uso'!$C$6:$C$176,$A365,'D2 - Capex uso'!HB$6:HB$176)</f>
        <v>0</v>
      </c>
      <c r="V373" s="710">
        <f>-SUMIF('D2 - Capex uso'!$C$6:$C$176,$A365,'D2 - Capex uso'!HC$6:HC$176)</f>
        <v>0</v>
      </c>
      <c r="W373" s="710">
        <f>-SUMIF('D2 - Capex uso'!$C$6:$C$176,$A365,'D2 - Capex uso'!HD$6:HD$176)</f>
        <v>0</v>
      </c>
      <c r="X373" s="710">
        <f>-SUMIF('D2 - Capex uso'!$C$6:$C$176,$A365,'D2 - Capex uso'!HE$6:HE$176)</f>
        <v>0</v>
      </c>
      <c r="Y373" s="710">
        <f>-SUMIF('D2 - Capex uso'!$C$6:$C$176,$A365,'D2 - Capex uso'!HF$6:HF$176)</f>
        <v>0</v>
      </c>
      <c r="Z373" s="710">
        <f>-SUMIF('D2 - Capex uso'!$C$6:$C$176,$A365,'D2 - Capex uso'!HG$6:HG$176)</f>
        <v>0</v>
      </c>
      <c r="AA373" s="710">
        <f>-SUMIF('D2 - Capex uso'!$C$6:$C$176,$A365,'D2 - Capex uso'!HH$6:HH$176)</f>
        <v>0</v>
      </c>
      <c r="AB373" s="710">
        <f>-SUMIF('D2 - Capex uso'!$C$6:$C$176,$A365,'D2 - Capex uso'!HI$6:HI$176)</f>
        <v>0</v>
      </c>
      <c r="AC373" s="710">
        <f>-SUMIF('D2 - Capex uso'!$C$6:$C$176,$A365,'D2 - Capex uso'!HJ$6:HJ$176)</f>
        <v>0</v>
      </c>
      <c r="AD373" s="710">
        <f>-SUMIF('D2 - Capex uso'!$C$6:$C$176,$A365,'D2 - Capex uso'!HK$6:HK$176)</f>
        <v>0</v>
      </c>
      <c r="AE373" s="710">
        <f>-SUMIF('D2 - Capex uso'!$C$6:$C$176,$A365,'D2 - Capex uso'!HL$6:HL$176)</f>
        <v>0</v>
      </c>
      <c r="AF373" s="594"/>
      <c r="AG373" s="594"/>
      <c r="AH373" s="594"/>
      <c r="AI373" s="594"/>
      <c r="AJ373" s="594"/>
      <c r="AK373" s="594"/>
      <c r="AL373" s="594"/>
      <c r="AM373" s="594"/>
      <c r="AN373" s="594"/>
      <c r="AO373" s="594"/>
      <c r="AP373" s="594"/>
      <c r="AQ373" s="594"/>
      <c r="AR373" s="594"/>
      <c r="AS373" s="594"/>
      <c r="AT373" s="594"/>
      <c r="AU373" s="594"/>
      <c r="AV373" s="594"/>
      <c r="AW373" s="594"/>
      <c r="AX373" s="594"/>
      <c r="AY373" s="594"/>
      <c r="AZ373" s="594"/>
      <c r="BA373" s="594"/>
      <c r="BB373" s="594"/>
      <c r="BC373" s="594"/>
      <c r="BD373" s="594"/>
      <c r="BE373" s="594"/>
      <c r="BF373" s="594"/>
      <c r="BG373" s="594"/>
      <c r="BH373" s="594"/>
      <c r="BI373" s="594"/>
      <c r="BJ373" s="594"/>
      <c r="BK373" s="594"/>
      <c r="BL373" s="57"/>
      <c r="BM373" s="594"/>
      <c r="BN373" s="594"/>
      <c r="BO373" s="594"/>
      <c r="BP373" s="594"/>
      <c r="BQ373" s="594"/>
      <c r="BR373" s="594"/>
      <c r="BS373" s="594"/>
      <c r="BT373" s="594"/>
      <c r="BU373" s="594"/>
      <c r="BV373" s="594"/>
      <c r="BW373" s="594"/>
      <c r="BX373" s="594"/>
      <c r="BY373" s="594"/>
      <c r="BZ373" s="594"/>
      <c r="CA373" s="594"/>
      <c r="CB373" s="594"/>
      <c r="CC373" s="594"/>
      <c r="CD373" s="594"/>
      <c r="CE373" s="594"/>
      <c r="CF373" s="594"/>
      <c r="CG373" s="594"/>
      <c r="CH373" s="594"/>
      <c r="CI373" s="594"/>
      <c r="CJ373" s="594"/>
      <c r="CK373" s="594"/>
      <c r="CL373" s="594"/>
      <c r="CM373" s="594"/>
      <c r="CN373" s="594"/>
      <c r="CO373" s="594"/>
      <c r="CP373" s="594"/>
      <c r="CQ373" s="594"/>
    </row>
    <row r="374" spans="1:95" ht="21" hidden="1" customHeight="1" outlineLevel="1">
      <c r="A374" s="708" t="s">
        <v>687</v>
      </c>
      <c r="B374" s="707">
        <f t="shared" ref="B374:AE374" si="118">SUM(B366:B368)</f>
        <v>0</v>
      </c>
      <c r="C374" s="707">
        <f t="shared" si="118"/>
        <v>0</v>
      </c>
      <c r="D374" s="707">
        <f t="shared" si="118"/>
        <v>0</v>
      </c>
      <c r="E374" s="707">
        <f t="shared" si="118"/>
        <v>0</v>
      </c>
      <c r="F374" s="707">
        <f t="shared" si="118"/>
        <v>0</v>
      </c>
      <c r="G374" s="707">
        <f t="shared" si="118"/>
        <v>0</v>
      </c>
      <c r="H374" s="707">
        <f t="shared" si="118"/>
        <v>0</v>
      </c>
      <c r="I374" s="707">
        <f t="shared" si="118"/>
        <v>0</v>
      </c>
      <c r="J374" s="707">
        <f t="shared" si="118"/>
        <v>0</v>
      </c>
      <c r="K374" s="707">
        <f t="shared" si="118"/>
        <v>0</v>
      </c>
      <c r="L374" s="707">
        <f t="shared" si="118"/>
        <v>0</v>
      </c>
      <c r="M374" s="707">
        <f t="shared" si="118"/>
        <v>0</v>
      </c>
      <c r="N374" s="707">
        <f t="shared" si="118"/>
        <v>0</v>
      </c>
      <c r="O374" s="707">
        <f t="shared" si="118"/>
        <v>0</v>
      </c>
      <c r="P374" s="707">
        <f t="shared" si="118"/>
        <v>0</v>
      </c>
      <c r="Q374" s="707">
        <f t="shared" si="118"/>
        <v>0</v>
      </c>
      <c r="R374" s="707">
        <f t="shared" si="118"/>
        <v>0</v>
      </c>
      <c r="S374" s="707">
        <f t="shared" si="118"/>
        <v>0</v>
      </c>
      <c r="T374" s="707">
        <f t="shared" si="118"/>
        <v>0</v>
      </c>
      <c r="U374" s="707">
        <f t="shared" si="118"/>
        <v>0</v>
      </c>
      <c r="V374" s="707">
        <f t="shared" si="118"/>
        <v>0</v>
      </c>
      <c r="W374" s="707">
        <f t="shared" si="118"/>
        <v>0</v>
      </c>
      <c r="X374" s="707">
        <f t="shared" si="118"/>
        <v>0</v>
      </c>
      <c r="Y374" s="707">
        <f t="shared" si="118"/>
        <v>0</v>
      </c>
      <c r="Z374" s="707">
        <f t="shared" si="118"/>
        <v>0</v>
      </c>
      <c r="AA374" s="707">
        <f t="shared" si="118"/>
        <v>0</v>
      </c>
      <c r="AB374" s="707">
        <f t="shared" si="118"/>
        <v>0</v>
      </c>
      <c r="AC374" s="707">
        <f t="shared" si="118"/>
        <v>0</v>
      </c>
      <c r="AD374" s="707">
        <f t="shared" si="118"/>
        <v>0</v>
      </c>
      <c r="AE374" s="707">
        <f t="shared" si="118"/>
        <v>0</v>
      </c>
      <c r="AF374" s="594"/>
      <c r="AG374" s="594"/>
      <c r="AH374" s="594"/>
      <c r="AI374" s="594"/>
      <c r="AJ374" s="594"/>
      <c r="AK374" s="594"/>
      <c r="AL374" s="594"/>
      <c r="AM374" s="594"/>
      <c r="AN374" s="594"/>
      <c r="AO374" s="594"/>
      <c r="AP374" s="594"/>
      <c r="AQ374" s="594"/>
      <c r="AR374" s="594"/>
      <c r="AS374" s="594"/>
      <c r="AT374" s="594"/>
      <c r="AU374" s="594"/>
      <c r="AV374" s="594"/>
      <c r="AW374" s="594"/>
      <c r="AX374" s="594"/>
      <c r="AY374" s="594"/>
      <c r="AZ374" s="594"/>
      <c r="BA374" s="594"/>
      <c r="BB374" s="594"/>
      <c r="BC374" s="594"/>
      <c r="BD374" s="594"/>
      <c r="BE374" s="594"/>
      <c r="BF374" s="594"/>
      <c r="BG374" s="594"/>
      <c r="BH374" s="594"/>
      <c r="BI374" s="594"/>
      <c r="BJ374" s="594"/>
      <c r="BK374" s="594"/>
      <c r="BL374" s="57"/>
      <c r="BM374" s="594"/>
      <c r="BN374" s="594"/>
      <c r="BO374" s="594"/>
      <c r="BP374" s="594"/>
      <c r="BQ374" s="594"/>
      <c r="BR374" s="594"/>
      <c r="BS374" s="594"/>
      <c r="BT374" s="594"/>
      <c r="BU374" s="594"/>
      <c r="BV374" s="594"/>
      <c r="BW374" s="594"/>
      <c r="BX374" s="594"/>
      <c r="BY374" s="594"/>
      <c r="BZ374" s="594"/>
      <c r="CA374" s="594"/>
      <c r="CB374" s="594"/>
      <c r="CC374" s="594"/>
      <c r="CD374" s="594"/>
      <c r="CE374" s="594"/>
      <c r="CF374" s="594"/>
      <c r="CG374" s="594"/>
      <c r="CH374" s="594"/>
      <c r="CI374" s="594"/>
      <c r="CJ374" s="594"/>
      <c r="CK374" s="594"/>
      <c r="CL374" s="594"/>
      <c r="CM374" s="594"/>
      <c r="CN374" s="594"/>
      <c r="CO374" s="594"/>
      <c r="CP374" s="594"/>
      <c r="CQ374" s="594"/>
    </row>
    <row r="375" spans="1:95" ht="19.5" hidden="1" customHeight="1" outlineLevel="1">
      <c r="A375" s="708" t="s">
        <v>688</v>
      </c>
      <c r="B375" s="707">
        <f t="shared" ref="B375:AE375" si="119">SUM(B376:B383)</f>
        <v>0</v>
      </c>
      <c r="C375" s="707">
        <f t="shared" si="119"/>
        <v>0</v>
      </c>
      <c r="D375" s="707">
        <f t="shared" si="119"/>
        <v>0</v>
      </c>
      <c r="E375" s="707">
        <f t="shared" si="119"/>
        <v>0</v>
      </c>
      <c r="F375" s="707">
        <f t="shared" si="119"/>
        <v>0</v>
      </c>
      <c r="G375" s="707">
        <f t="shared" si="119"/>
        <v>0</v>
      </c>
      <c r="H375" s="707">
        <f t="shared" si="119"/>
        <v>0</v>
      </c>
      <c r="I375" s="707">
        <f t="shared" si="119"/>
        <v>0</v>
      </c>
      <c r="J375" s="707">
        <f t="shared" si="119"/>
        <v>0</v>
      </c>
      <c r="K375" s="707">
        <f t="shared" si="119"/>
        <v>0</v>
      </c>
      <c r="L375" s="707">
        <f t="shared" si="119"/>
        <v>0</v>
      </c>
      <c r="M375" s="707">
        <f t="shared" si="119"/>
        <v>0</v>
      </c>
      <c r="N375" s="707">
        <f t="shared" si="119"/>
        <v>0</v>
      </c>
      <c r="O375" s="707">
        <f t="shared" si="119"/>
        <v>0</v>
      </c>
      <c r="P375" s="707">
        <f t="shared" si="119"/>
        <v>0</v>
      </c>
      <c r="Q375" s="707">
        <f t="shared" si="119"/>
        <v>0</v>
      </c>
      <c r="R375" s="707">
        <f t="shared" si="119"/>
        <v>0</v>
      </c>
      <c r="S375" s="707">
        <f t="shared" si="119"/>
        <v>0</v>
      </c>
      <c r="T375" s="707">
        <f t="shared" si="119"/>
        <v>0</v>
      </c>
      <c r="U375" s="707">
        <f t="shared" si="119"/>
        <v>0</v>
      </c>
      <c r="V375" s="707">
        <f t="shared" si="119"/>
        <v>0</v>
      </c>
      <c r="W375" s="707">
        <f t="shared" si="119"/>
        <v>0</v>
      </c>
      <c r="X375" s="707">
        <f t="shared" si="119"/>
        <v>0</v>
      </c>
      <c r="Y375" s="707">
        <f t="shared" si="119"/>
        <v>0</v>
      </c>
      <c r="Z375" s="707">
        <f t="shared" si="119"/>
        <v>0</v>
      </c>
      <c r="AA375" s="707">
        <f t="shared" si="119"/>
        <v>0</v>
      </c>
      <c r="AB375" s="707">
        <f t="shared" si="119"/>
        <v>0</v>
      </c>
      <c r="AC375" s="707">
        <f t="shared" si="119"/>
        <v>0</v>
      </c>
      <c r="AD375" s="707">
        <f t="shared" si="119"/>
        <v>0</v>
      </c>
      <c r="AE375" s="707">
        <f t="shared" si="119"/>
        <v>0</v>
      </c>
      <c r="AF375" s="594"/>
      <c r="AG375" s="594"/>
      <c r="AH375" s="594"/>
      <c r="AI375" s="594"/>
      <c r="AJ375" s="594"/>
      <c r="AK375" s="594"/>
      <c r="AL375" s="594"/>
      <c r="AM375" s="594"/>
      <c r="AN375" s="594"/>
      <c r="AO375" s="594"/>
      <c r="AP375" s="594"/>
      <c r="AQ375" s="594"/>
      <c r="AR375" s="594"/>
      <c r="AS375" s="594"/>
      <c r="AT375" s="594"/>
      <c r="AU375" s="594"/>
      <c r="AV375" s="594"/>
      <c r="AW375" s="594"/>
      <c r="AX375" s="594"/>
      <c r="AY375" s="594"/>
      <c r="AZ375" s="594"/>
      <c r="BA375" s="594"/>
      <c r="BB375" s="594"/>
      <c r="BC375" s="594"/>
      <c r="BD375" s="594"/>
      <c r="BE375" s="594"/>
      <c r="BF375" s="594"/>
      <c r="BG375" s="594"/>
      <c r="BH375" s="594"/>
      <c r="BI375" s="594"/>
      <c r="BJ375" s="594"/>
      <c r="BK375" s="594"/>
      <c r="BL375" s="57"/>
      <c r="BM375" s="594"/>
      <c r="BN375" s="594"/>
      <c r="BO375" s="594"/>
      <c r="BP375" s="594"/>
      <c r="BQ375" s="594"/>
      <c r="BR375" s="594"/>
      <c r="BS375" s="594"/>
      <c r="BT375" s="594"/>
      <c r="BU375" s="594"/>
      <c r="BV375" s="594"/>
      <c r="BW375" s="594"/>
      <c r="BX375" s="594"/>
      <c r="BY375" s="594"/>
      <c r="BZ375" s="594"/>
      <c r="CA375" s="594"/>
      <c r="CB375" s="594"/>
      <c r="CC375" s="594"/>
      <c r="CD375" s="594"/>
      <c r="CE375" s="594"/>
      <c r="CF375" s="594"/>
      <c r="CG375" s="594"/>
      <c r="CH375" s="594"/>
      <c r="CI375" s="594"/>
      <c r="CJ375" s="594"/>
      <c r="CK375" s="594"/>
      <c r="CL375" s="594"/>
      <c r="CM375" s="594"/>
      <c r="CN375" s="594"/>
      <c r="CO375" s="594"/>
      <c r="CP375" s="594"/>
      <c r="CQ375" s="594"/>
    </row>
    <row r="376" spans="1:95" ht="19.5" hidden="1" customHeight="1" outlineLevel="2">
      <c r="A376" s="709" t="s">
        <v>354</v>
      </c>
      <c r="B376" s="710">
        <f>-SUMIFS('D2 - Capex uso'!BS$6:BS$176,'D2 - Capex uso'!$C$6:$C$176,$A365,'D2 - Capex uso'!$AK$6:$AK$176,$A376)</f>
        <v>0</v>
      </c>
      <c r="C376" s="710">
        <f>-SUMIFS('D2 - Capex uso'!BT$6:BT$176,'D2 - Capex uso'!$C$6:$C$176,$A365,'D2 - Capex uso'!$AK$6:$AK$176,$A376)</f>
        <v>0</v>
      </c>
      <c r="D376" s="710">
        <f>-SUMIFS('D2 - Capex uso'!BU$6:BU$176,'D2 - Capex uso'!$C$6:$C$176,$A365,'D2 - Capex uso'!$AK$6:$AK$176,$A376)</f>
        <v>0</v>
      </c>
      <c r="E376" s="710">
        <f>-SUMIFS('D2 - Capex uso'!BV$6:BV$176,'D2 - Capex uso'!$C$6:$C$176,$A365,'D2 - Capex uso'!$AK$6:$AK$176,$A376)</f>
        <v>0</v>
      </c>
      <c r="F376" s="710">
        <f>-SUMIFS('D2 - Capex uso'!BW$6:BW$176,'D2 - Capex uso'!$C$6:$C$176,$A365,'D2 - Capex uso'!$AK$6:$AK$176,$A376)</f>
        <v>0</v>
      </c>
      <c r="G376" s="710">
        <f>-SUMIFS('D2 - Capex uso'!BX$6:BX$176,'D2 - Capex uso'!$C$6:$C$176,$A365,'D2 - Capex uso'!$AK$6:$AK$176,$A376)</f>
        <v>0</v>
      </c>
      <c r="H376" s="710">
        <f>-SUMIFS('D2 - Capex uso'!BY$6:BY$176,'D2 - Capex uso'!$C$6:$C$176,$A365,'D2 - Capex uso'!$AK$6:$AK$176,$A376)</f>
        <v>0</v>
      </c>
      <c r="I376" s="710">
        <f>-SUMIFS('D2 - Capex uso'!BZ$6:BZ$176,'D2 - Capex uso'!$C$6:$C$176,$A365,'D2 - Capex uso'!$AK$6:$AK$176,$A376)</f>
        <v>0</v>
      </c>
      <c r="J376" s="710">
        <f>-SUMIFS('D2 - Capex uso'!CA$6:CA$176,'D2 - Capex uso'!$C$6:$C$176,$A365,'D2 - Capex uso'!$AK$6:$AK$176,$A376)</f>
        <v>0</v>
      </c>
      <c r="K376" s="710">
        <f>-SUMIFS('D2 - Capex uso'!CB$6:CB$176,'D2 - Capex uso'!$C$6:$C$176,$A365,'D2 - Capex uso'!$AK$6:$AK$176,$A376)</f>
        <v>0</v>
      </c>
      <c r="L376" s="710">
        <f>-SUMIFS('D2 - Capex uso'!CC$6:CC$176,'D2 - Capex uso'!$C$6:$C$176,$A365,'D2 - Capex uso'!$AK$6:$AK$176,$A376)</f>
        <v>0</v>
      </c>
      <c r="M376" s="710">
        <f>-SUMIFS('D2 - Capex uso'!CD$6:CD$176,'D2 - Capex uso'!$C$6:$C$176,$A365,'D2 - Capex uso'!$AK$6:$AK$176,$A376)</f>
        <v>0</v>
      </c>
      <c r="N376" s="710">
        <f>-SUMIFS('D2 - Capex uso'!CE$6:CE$176,'D2 - Capex uso'!$C$6:$C$176,$A365,'D2 - Capex uso'!$AK$6:$AK$176,$A376)</f>
        <v>0</v>
      </c>
      <c r="O376" s="710">
        <f>-SUMIFS('D2 - Capex uso'!CF$6:CF$176,'D2 - Capex uso'!$C$6:$C$176,$A365,'D2 - Capex uso'!$AK$6:$AK$176,$A376)</f>
        <v>0</v>
      </c>
      <c r="P376" s="710">
        <f>-SUMIFS('D2 - Capex uso'!CG$6:CG$176,'D2 - Capex uso'!$C$6:$C$176,$A365,'D2 - Capex uso'!$AK$6:$AK$176,$A376)</f>
        <v>0</v>
      </c>
      <c r="Q376" s="710">
        <f>-SUMIFS('D2 - Capex uso'!CH$6:CH$176,'D2 - Capex uso'!$C$6:$C$176,$A365,'D2 - Capex uso'!$AK$6:$AK$176,$A376)</f>
        <v>0</v>
      </c>
      <c r="R376" s="710">
        <f>-SUMIFS('D2 - Capex uso'!CI$6:CI$176,'D2 - Capex uso'!$C$6:$C$176,$A365,'D2 - Capex uso'!$AK$6:$AK$176,$A376)</f>
        <v>0</v>
      </c>
      <c r="S376" s="710">
        <f>-SUMIFS('D2 - Capex uso'!CJ$6:CJ$176,'D2 - Capex uso'!$C$6:$C$176,$A365,'D2 - Capex uso'!$AK$6:$AK$176,$A376)</f>
        <v>0</v>
      </c>
      <c r="T376" s="710">
        <f>-SUMIFS('D2 - Capex uso'!CK$6:CK$176,'D2 - Capex uso'!$C$6:$C$176,$A365,'D2 - Capex uso'!$AK$6:$AK$176,$A376)</f>
        <v>0</v>
      </c>
      <c r="U376" s="710">
        <f>-SUMIFS('D2 - Capex uso'!CL$6:CL$176,'D2 - Capex uso'!$C$6:$C$176,$A365,'D2 - Capex uso'!$AK$6:$AK$176,$A376)</f>
        <v>0</v>
      </c>
      <c r="V376" s="710">
        <f>-SUMIFS('D2 - Capex uso'!CM$6:CM$176,'D2 - Capex uso'!$C$6:$C$176,$A365,'D2 - Capex uso'!$AK$6:$AK$176,$A376)</f>
        <v>0</v>
      </c>
      <c r="W376" s="710">
        <f>-SUMIFS('D2 - Capex uso'!CN$6:CN$176,'D2 - Capex uso'!$C$6:$C$176,$A365,'D2 - Capex uso'!$AK$6:$AK$176,$A376)</f>
        <v>0</v>
      </c>
      <c r="X376" s="710">
        <f>-SUMIFS('D2 - Capex uso'!CO$6:CO$176,'D2 - Capex uso'!$C$6:$C$176,$A365,'D2 - Capex uso'!$AK$6:$AK$176,$A376)</f>
        <v>0</v>
      </c>
      <c r="Y376" s="710">
        <f>-SUMIFS('D2 - Capex uso'!CP$6:CP$176,'D2 - Capex uso'!$C$6:$C$176,$A365,'D2 - Capex uso'!$AK$6:$AK$176,$A376)</f>
        <v>0</v>
      </c>
      <c r="Z376" s="710">
        <f>-SUMIFS('D2 - Capex uso'!CQ$6:CQ$176,'D2 - Capex uso'!$C$6:$C$176,$A365,'D2 - Capex uso'!$AK$6:$AK$176,$A376)</f>
        <v>0</v>
      </c>
      <c r="AA376" s="710">
        <f>-SUMIFS('D2 - Capex uso'!CR$6:CR$176,'D2 - Capex uso'!$C$6:$C$176,$A365,'D2 - Capex uso'!$AK$6:$AK$176,$A376)</f>
        <v>0</v>
      </c>
      <c r="AB376" s="710">
        <f>-SUMIFS('D2 - Capex uso'!CS$6:CS$176,'D2 - Capex uso'!$C$6:$C$176,$A365,'D2 - Capex uso'!$AK$6:$AK$176,$A376)</f>
        <v>0</v>
      </c>
      <c r="AC376" s="710">
        <f>-SUMIFS('D2 - Capex uso'!CT$6:CT$176,'D2 - Capex uso'!$C$6:$C$176,$A365,'D2 - Capex uso'!$AK$6:$AK$176,$A376)</f>
        <v>0</v>
      </c>
      <c r="AD376" s="710">
        <f>-SUMIFS('D2 - Capex uso'!CU$6:CU$176,'D2 - Capex uso'!$C$6:$C$176,$A365,'D2 - Capex uso'!$AK$6:$AK$176,$A376)</f>
        <v>0</v>
      </c>
      <c r="AE376" s="710">
        <f>-SUMIFS('D2 - Capex uso'!CV$6:CV$176,'D2 - Capex uso'!$C$6:$C$176,$A365,'D2 - Capex uso'!$AK$6:$AK$176,$A376)</f>
        <v>0</v>
      </c>
      <c r="AF376" s="594"/>
      <c r="AG376" s="594"/>
      <c r="AH376" s="594"/>
      <c r="AI376" s="594"/>
      <c r="AJ376" s="594"/>
      <c r="AK376" s="594"/>
      <c r="AL376" s="594"/>
      <c r="AM376" s="594"/>
      <c r="AN376" s="594"/>
      <c r="AO376" s="594"/>
      <c r="AP376" s="594"/>
      <c r="AQ376" s="594"/>
      <c r="AR376" s="594"/>
      <c r="AS376" s="594"/>
      <c r="AT376" s="594"/>
      <c r="AU376" s="594"/>
      <c r="AV376" s="594"/>
      <c r="AW376" s="594"/>
      <c r="AX376" s="594"/>
      <c r="AY376" s="594"/>
      <c r="AZ376" s="594"/>
      <c r="BA376" s="594"/>
      <c r="BB376" s="594"/>
      <c r="BC376" s="594"/>
      <c r="BD376" s="594"/>
      <c r="BE376" s="594"/>
      <c r="BF376" s="594"/>
      <c r="BG376" s="594"/>
      <c r="BH376" s="594"/>
      <c r="BI376" s="594"/>
      <c r="BJ376" s="594"/>
      <c r="BK376" s="594"/>
      <c r="BL376" s="57"/>
      <c r="BM376" s="594"/>
      <c r="BN376" s="594"/>
      <c r="BO376" s="594"/>
      <c r="BP376" s="594"/>
      <c r="BQ376" s="594"/>
      <c r="BR376" s="594"/>
      <c r="BS376" s="594"/>
      <c r="BT376" s="594"/>
      <c r="BU376" s="594"/>
      <c r="BV376" s="594"/>
      <c r="BW376" s="594"/>
      <c r="BX376" s="594"/>
      <c r="BY376" s="594"/>
      <c r="BZ376" s="594"/>
      <c r="CA376" s="594"/>
      <c r="CB376" s="594"/>
      <c r="CC376" s="594"/>
      <c r="CD376" s="594"/>
      <c r="CE376" s="594"/>
      <c r="CF376" s="594"/>
      <c r="CG376" s="594"/>
      <c r="CH376" s="594"/>
      <c r="CI376" s="594"/>
      <c r="CJ376" s="594"/>
      <c r="CK376" s="594"/>
      <c r="CL376" s="594"/>
      <c r="CM376" s="594"/>
      <c r="CN376" s="594"/>
      <c r="CO376" s="594"/>
      <c r="CP376" s="594"/>
      <c r="CQ376" s="594"/>
    </row>
    <row r="377" spans="1:95" ht="19.5" hidden="1" customHeight="1" outlineLevel="2">
      <c r="A377" s="709" t="s">
        <v>689</v>
      </c>
      <c r="B377" s="710">
        <f>-SUMIFS('D2 - Capex uso'!BS$6:BS$176,'D2 - Capex uso'!$C$6:$C$176,$A365,'D2 - Capex uso'!$AK$6:$AK$176,$A377)</f>
        <v>0</v>
      </c>
      <c r="C377" s="710">
        <f>-SUMIFS('D2 - Capex uso'!BT$6:BT$176,'D2 - Capex uso'!$C$6:$C$176,$A365,'D2 - Capex uso'!$AK$6:$AK$176,$A377)</f>
        <v>0</v>
      </c>
      <c r="D377" s="710">
        <f>-SUMIFS('D2 - Capex uso'!BU$6:BU$176,'D2 - Capex uso'!$C$6:$C$176,$A365,'D2 - Capex uso'!$AK$6:$AK$176,$A377)</f>
        <v>0</v>
      </c>
      <c r="E377" s="710">
        <f>-SUMIFS('D2 - Capex uso'!BV$6:BV$176,'D2 - Capex uso'!$C$6:$C$176,$A365,'D2 - Capex uso'!$AK$6:$AK$176,$A377)</f>
        <v>0</v>
      </c>
      <c r="F377" s="710">
        <f>-SUMIFS('D2 - Capex uso'!BW$6:BW$176,'D2 - Capex uso'!$C$6:$C$176,$A365,'D2 - Capex uso'!$AK$6:$AK$176,$A377)</f>
        <v>0</v>
      </c>
      <c r="G377" s="710">
        <f>-SUMIFS('D2 - Capex uso'!BX$6:BX$176,'D2 - Capex uso'!$C$6:$C$176,$A365,'D2 - Capex uso'!$AK$6:$AK$176,$A377)</f>
        <v>0</v>
      </c>
      <c r="H377" s="710">
        <f>-SUMIFS('D2 - Capex uso'!BY$6:BY$176,'D2 - Capex uso'!$C$6:$C$176,$A365,'D2 - Capex uso'!$AK$6:$AK$176,$A377)</f>
        <v>0</v>
      </c>
      <c r="I377" s="710">
        <f>-SUMIFS('D2 - Capex uso'!BZ$6:BZ$176,'D2 - Capex uso'!$C$6:$C$176,$A365,'D2 - Capex uso'!$AK$6:$AK$176,$A377)</f>
        <v>0</v>
      </c>
      <c r="J377" s="710">
        <f>-SUMIFS('D2 - Capex uso'!CA$6:CA$176,'D2 - Capex uso'!$C$6:$C$176,$A365,'D2 - Capex uso'!$AK$6:$AK$176,$A377)</f>
        <v>0</v>
      </c>
      <c r="K377" s="710">
        <f>-SUMIFS('D2 - Capex uso'!CB$6:CB$176,'D2 - Capex uso'!$C$6:$C$176,$A365,'D2 - Capex uso'!$AK$6:$AK$176,$A377)</f>
        <v>0</v>
      </c>
      <c r="L377" s="710">
        <f>-SUMIFS('D2 - Capex uso'!CC$6:CC$176,'D2 - Capex uso'!$C$6:$C$176,$A365,'D2 - Capex uso'!$AK$6:$AK$176,$A377)</f>
        <v>0</v>
      </c>
      <c r="M377" s="710">
        <f>-SUMIFS('D2 - Capex uso'!CD$6:CD$176,'D2 - Capex uso'!$C$6:$C$176,$A365,'D2 - Capex uso'!$AK$6:$AK$176,$A377)</f>
        <v>0</v>
      </c>
      <c r="N377" s="710">
        <f>-SUMIFS('D2 - Capex uso'!CE$6:CE$176,'D2 - Capex uso'!$C$6:$C$176,$A365,'D2 - Capex uso'!$AK$6:$AK$176,$A377)</f>
        <v>0</v>
      </c>
      <c r="O377" s="710">
        <f>-SUMIFS('D2 - Capex uso'!CF$6:CF$176,'D2 - Capex uso'!$C$6:$C$176,$A365,'D2 - Capex uso'!$AK$6:$AK$176,$A377)</f>
        <v>0</v>
      </c>
      <c r="P377" s="710">
        <f>-SUMIFS('D2 - Capex uso'!CG$6:CG$176,'D2 - Capex uso'!$C$6:$C$176,$A365,'D2 - Capex uso'!$AK$6:$AK$176,$A377)</f>
        <v>0</v>
      </c>
      <c r="Q377" s="710">
        <f>-SUMIFS('D2 - Capex uso'!CH$6:CH$176,'D2 - Capex uso'!$C$6:$C$176,$A365,'D2 - Capex uso'!$AK$6:$AK$176,$A377)</f>
        <v>0</v>
      </c>
      <c r="R377" s="710">
        <f>-SUMIFS('D2 - Capex uso'!CI$6:CI$176,'D2 - Capex uso'!$C$6:$C$176,$A365,'D2 - Capex uso'!$AK$6:$AK$176,$A377)</f>
        <v>0</v>
      </c>
      <c r="S377" s="710">
        <f>-SUMIFS('D2 - Capex uso'!CJ$6:CJ$176,'D2 - Capex uso'!$C$6:$C$176,$A365,'D2 - Capex uso'!$AK$6:$AK$176,$A377)</f>
        <v>0</v>
      </c>
      <c r="T377" s="710">
        <f>-SUMIFS('D2 - Capex uso'!CK$6:CK$176,'D2 - Capex uso'!$C$6:$C$176,$A365,'D2 - Capex uso'!$AK$6:$AK$176,$A377)</f>
        <v>0</v>
      </c>
      <c r="U377" s="710">
        <f>-SUMIFS('D2 - Capex uso'!CL$6:CL$176,'D2 - Capex uso'!$C$6:$C$176,$A365,'D2 - Capex uso'!$AK$6:$AK$176,$A377)</f>
        <v>0</v>
      </c>
      <c r="V377" s="710">
        <f>-SUMIFS('D2 - Capex uso'!CM$6:CM$176,'D2 - Capex uso'!$C$6:$C$176,$A365,'D2 - Capex uso'!$AK$6:$AK$176,$A377)</f>
        <v>0</v>
      </c>
      <c r="W377" s="710">
        <f>-SUMIFS('D2 - Capex uso'!CN$6:CN$176,'D2 - Capex uso'!$C$6:$C$176,$A365,'D2 - Capex uso'!$AK$6:$AK$176,$A377)</f>
        <v>0</v>
      </c>
      <c r="X377" s="710">
        <f>-SUMIFS('D2 - Capex uso'!CO$6:CO$176,'D2 - Capex uso'!$C$6:$C$176,$A365,'D2 - Capex uso'!$AK$6:$AK$176,$A377)</f>
        <v>0</v>
      </c>
      <c r="Y377" s="710">
        <f>-SUMIFS('D2 - Capex uso'!CP$6:CP$176,'D2 - Capex uso'!$C$6:$C$176,$A365,'D2 - Capex uso'!$AK$6:$AK$176,$A377)</f>
        <v>0</v>
      </c>
      <c r="Z377" s="710">
        <f>-SUMIFS('D2 - Capex uso'!CQ$6:CQ$176,'D2 - Capex uso'!$C$6:$C$176,$A365,'D2 - Capex uso'!$AK$6:$AK$176,$A377)</f>
        <v>0</v>
      </c>
      <c r="AA377" s="710">
        <f>-SUMIFS('D2 - Capex uso'!CR$6:CR$176,'D2 - Capex uso'!$C$6:$C$176,$A365,'D2 - Capex uso'!$AK$6:$AK$176,$A377)</f>
        <v>0</v>
      </c>
      <c r="AB377" s="710">
        <f>-SUMIFS('D2 - Capex uso'!CS$6:CS$176,'D2 - Capex uso'!$C$6:$C$176,$A365,'D2 - Capex uso'!$AK$6:$AK$176,$A377)</f>
        <v>0</v>
      </c>
      <c r="AC377" s="710">
        <f>-SUMIFS('D2 - Capex uso'!CT$6:CT$176,'D2 - Capex uso'!$C$6:$C$176,$A365,'D2 - Capex uso'!$AK$6:$AK$176,$A377)</f>
        <v>0</v>
      </c>
      <c r="AD377" s="710">
        <f>-SUMIFS('D2 - Capex uso'!CU$6:CU$176,'D2 - Capex uso'!$C$6:$C$176,$A365,'D2 - Capex uso'!$AK$6:$AK$176,$A377)</f>
        <v>0</v>
      </c>
      <c r="AE377" s="710">
        <f>-SUMIFS('D2 - Capex uso'!CV$6:CV$176,'D2 - Capex uso'!$C$6:$C$176,$A365,'D2 - Capex uso'!$AK$6:$AK$176,$A377)</f>
        <v>0</v>
      </c>
      <c r="AF377" s="594"/>
      <c r="AG377" s="594"/>
      <c r="AH377" s="594"/>
      <c r="AI377" s="594"/>
      <c r="AJ377" s="594"/>
      <c r="AK377" s="594"/>
      <c r="AL377" s="594"/>
      <c r="AM377" s="594"/>
      <c r="AN377" s="594"/>
      <c r="AO377" s="594"/>
      <c r="AP377" s="594"/>
      <c r="AQ377" s="594"/>
      <c r="AR377" s="594"/>
      <c r="AS377" s="594"/>
      <c r="AT377" s="594"/>
      <c r="AU377" s="594"/>
      <c r="AV377" s="594"/>
      <c r="AW377" s="594"/>
      <c r="AX377" s="594"/>
      <c r="AY377" s="594"/>
      <c r="AZ377" s="594"/>
      <c r="BA377" s="594"/>
      <c r="BB377" s="594"/>
      <c r="BC377" s="594"/>
      <c r="BD377" s="594"/>
      <c r="BE377" s="594"/>
      <c r="BF377" s="594"/>
      <c r="BG377" s="594"/>
      <c r="BH377" s="594"/>
      <c r="BI377" s="594"/>
      <c r="BJ377" s="594"/>
      <c r="BK377" s="594"/>
      <c r="BL377" s="57"/>
      <c r="BM377" s="594"/>
      <c r="BN377" s="594"/>
      <c r="BO377" s="594"/>
      <c r="BP377" s="594"/>
      <c r="BQ377" s="594"/>
      <c r="BR377" s="594"/>
      <c r="BS377" s="594"/>
      <c r="BT377" s="594"/>
      <c r="BU377" s="594"/>
      <c r="BV377" s="594"/>
      <c r="BW377" s="594"/>
      <c r="BX377" s="594"/>
      <c r="BY377" s="594"/>
      <c r="BZ377" s="594"/>
      <c r="CA377" s="594"/>
      <c r="CB377" s="594"/>
      <c r="CC377" s="594"/>
      <c r="CD377" s="594"/>
      <c r="CE377" s="594"/>
      <c r="CF377" s="594"/>
      <c r="CG377" s="594"/>
      <c r="CH377" s="594"/>
      <c r="CI377" s="594"/>
      <c r="CJ377" s="594"/>
      <c r="CK377" s="594"/>
      <c r="CL377" s="594"/>
      <c r="CM377" s="594"/>
      <c r="CN377" s="594"/>
      <c r="CO377" s="594"/>
      <c r="CP377" s="594"/>
      <c r="CQ377" s="594"/>
    </row>
    <row r="378" spans="1:95" ht="19.5" hidden="1" customHeight="1" outlineLevel="2">
      <c r="A378" s="709" t="s">
        <v>378</v>
      </c>
      <c r="B378" s="710">
        <f>-SUMIFS('D2 - Capex uso'!BS$6:BS$176,'D2 - Capex uso'!$C$6:$C$176,$A365,'D2 - Capex uso'!$AK$6:$AK$176,$A378)</f>
        <v>0</v>
      </c>
      <c r="C378" s="710">
        <f>-SUMIFS('D2 - Capex uso'!BT$6:BT$176,'D2 - Capex uso'!$C$6:$C$176,$A365,'D2 - Capex uso'!$AK$6:$AK$176,$A378)</f>
        <v>0</v>
      </c>
      <c r="D378" s="710">
        <f>-SUMIFS('D2 - Capex uso'!BU$6:BU$176,'D2 - Capex uso'!$C$6:$C$176,$A365,'D2 - Capex uso'!$AK$6:$AK$176,$A378)</f>
        <v>0</v>
      </c>
      <c r="E378" s="710">
        <f>-SUMIFS('D2 - Capex uso'!BV$6:BV$176,'D2 - Capex uso'!$C$6:$C$176,$A365,'D2 - Capex uso'!$AK$6:$AK$176,$A378)</f>
        <v>0</v>
      </c>
      <c r="F378" s="710">
        <f>-SUMIFS('D2 - Capex uso'!BW$6:BW$176,'D2 - Capex uso'!$C$6:$C$176,$A365,'D2 - Capex uso'!$AK$6:$AK$176,$A378)</f>
        <v>0</v>
      </c>
      <c r="G378" s="710">
        <f>-SUMIFS('D2 - Capex uso'!BX$6:BX$176,'D2 - Capex uso'!$C$6:$C$176,$A365,'D2 - Capex uso'!$AK$6:$AK$176,$A378)</f>
        <v>0</v>
      </c>
      <c r="H378" s="710">
        <f>-SUMIFS('D2 - Capex uso'!BY$6:BY$176,'D2 - Capex uso'!$C$6:$C$176,$A365,'D2 - Capex uso'!$AK$6:$AK$176,$A378)</f>
        <v>0</v>
      </c>
      <c r="I378" s="710">
        <f>-SUMIFS('D2 - Capex uso'!BZ$6:BZ$176,'D2 - Capex uso'!$C$6:$C$176,$A365,'D2 - Capex uso'!$AK$6:$AK$176,$A378)</f>
        <v>0</v>
      </c>
      <c r="J378" s="710">
        <f>-SUMIFS('D2 - Capex uso'!CA$6:CA$176,'D2 - Capex uso'!$C$6:$C$176,$A365,'D2 - Capex uso'!$AK$6:$AK$176,$A378)</f>
        <v>0</v>
      </c>
      <c r="K378" s="710">
        <f>-SUMIFS('D2 - Capex uso'!CB$6:CB$176,'D2 - Capex uso'!$C$6:$C$176,$A365,'D2 - Capex uso'!$AK$6:$AK$176,$A378)</f>
        <v>0</v>
      </c>
      <c r="L378" s="710">
        <f>-SUMIFS('D2 - Capex uso'!CC$6:CC$176,'D2 - Capex uso'!$C$6:$C$176,$A365,'D2 - Capex uso'!$AK$6:$AK$176,$A378)</f>
        <v>0</v>
      </c>
      <c r="M378" s="710">
        <f>-SUMIFS('D2 - Capex uso'!CD$6:CD$176,'D2 - Capex uso'!$C$6:$C$176,$A365,'D2 - Capex uso'!$AK$6:$AK$176,$A378)</f>
        <v>0</v>
      </c>
      <c r="N378" s="710">
        <f>-SUMIFS('D2 - Capex uso'!CE$6:CE$176,'D2 - Capex uso'!$C$6:$C$176,$A365,'D2 - Capex uso'!$AK$6:$AK$176,$A378)</f>
        <v>0</v>
      </c>
      <c r="O378" s="710">
        <f>-SUMIFS('D2 - Capex uso'!CF$6:CF$176,'D2 - Capex uso'!$C$6:$C$176,$A365,'D2 - Capex uso'!$AK$6:$AK$176,$A378)</f>
        <v>0</v>
      </c>
      <c r="P378" s="710">
        <f>-SUMIFS('D2 - Capex uso'!CG$6:CG$176,'D2 - Capex uso'!$C$6:$C$176,$A365,'D2 - Capex uso'!$AK$6:$AK$176,$A378)</f>
        <v>0</v>
      </c>
      <c r="Q378" s="710">
        <f>-SUMIFS('D2 - Capex uso'!CH$6:CH$176,'D2 - Capex uso'!$C$6:$C$176,$A365,'D2 - Capex uso'!$AK$6:$AK$176,$A378)</f>
        <v>0</v>
      </c>
      <c r="R378" s="710">
        <f>-SUMIFS('D2 - Capex uso'!CI$6:CI$176,'D2 - Capex uso'!$C$6:$C$176,$A365,'D2 - Capex uso'!$AK$6:$AK$176,$A378)</f>
        <v>0</v>
      </c>
      <c r="S378" s="710">
        <f>-SUMIFS('D2 - Capex uso'!CJ$6:CJ$176,'D2 - Capex uso'!$C$6:$C$176,$A365,'D2 - Capex uso'!$AK$6:$AK$176,$A378)</f>
        <v>0</v>
      </c>
      <c r="T378" s="710">
        <f>-SUMIFS('D2 - Capex uso'!CK$6:CK$176,'D2 - Capex uso'!$C$6:$C$176,$A365,'D2 - Capex uso'!$AK$6:$AK$176,$A378)</f>
        <v>0</v>
      </c>
      <c r="U378" s="710">
        <f>-SUMIFS('D2 - Capex uso'!CL$6:CL$176,'D2 - Capex uso'!$C$6:$C$176,$A365,'D2 - Capex uso'!$AK$6:$AK$176,$A378)</f>
        <v>0</v>
      </c>
      <c r="V378" s="710">
        <f>-SUMIFS('D2 - Capex uso'!CM$6:CM$176,'D2 - Capex uso'!$C$6:$C$176,$A365,'D2 - Capex uso'!$AK$6:$AK$176,$A378)</f>
        <v>0</v>
      </c>
      <c r="W378" s="710">
        <f>-SUMIFS('D2 - Capex uso'!CN$6:CN$176,'D2 - Capex uso'!$C$6:$C$176,$A365,'D2 - Capex uso'!$AK$6:$AK$176,$A378)</f>
        <v>0</v>
      </c>
      <c r="X378" s="710">
        <f>-SUMIFS('D2 - Capex uso'!CO$6:CO$176,'D2 - Capex uso'!$C$6:$C$176,$A365,'D2 - Capex uso'!$AK$6:$AK$176,$A378)</f>
        <v>0</v>
      </c>
      <c r="Y378" s="710">
        <f>-SUMIFS('D2 - Capex uso'!CP$6:CP$176,'D2 - Capex uso'!$C$6:$C$176,$A365,'D2 - Capex uso'!$AK$6:$AK$176,$A378)</f>
        <v>0</v>
      </c>
      <c r="Z378" s="710">
        <f>-SUMIFS('D2 - Capex uso'!CQ$6:CQ$176,'D2 - Capex uso'!$C$6:$C$176,$A365,'D2 - Capex uso'!$AK$6:$AK$176,$A378)</f>
        <v>0</v>
      </c>
      <c r="AA378" s="710">
        <f>-SUMIFS('D2 - Capex uso'!CR$6:CR$176,'D2 - Capex uso'!$C$6:$C$176,$A365,'D2 - Capex uso'!$AK$6:$AK$176,$A378)</f>
        <v>0</v>
      </c>
      <c r="AB378" s="710">
        <f>-SUMIFS('D2 - Capex uso'!CS$6:CS$176,'D2 - Capex uso'!$C$6:$C$176,$A365,'D2 - Capex uso'!$AK$6:$AK$176,$A378)</f>
        <v>0</v>
      </c>
      <c r="AC378" s="710">
        <f>-SUMIFS('D2 - Capex uso'!CT$6:CT$176,'D2 - Capex uso'!$C$6:$C$176,$A365,'D2 - Capex uso'!$AK$6:$AK$176,$A378)</f>
        <v>0</v>
      </c>
      <c r="AD378" s="710">
        <f>-SUMIFS('D2 - Capex uso'!CU$6:CU$176,'D2 - Capex uso'!$C$6:$C$176,$A365,'D2 - Capex uso'!$AK$6:$AK$176,$A378)</f>
        <v>0</v>
      </c>
      <c r="AE378" s="710">
        <f>-SUMIFS('D2 - Capex uso'!CV$6:CV$176,'D2 - Capex uso'!$C$6:$C$176,$A365,'D2 - Capex uso'!$AK$6:$AK$176,$A378)</f>
        <v>0</v>
      </c>
      <c r="AF378" s="594"/>
      <c r="AG378" s="594"/>
      <c r="AH378" s="594"/>
      <c r="AI378" s="594"/>
      <c r="AJ378" s="594"/>
      <c r="AK378" s="594"/>
      <c r="AL378" s="594"/>
      <c r="AM378" s="594"/>
      <c r="AN378" s="594"/>
      <c r="AO378" s="594"/>
      <c r="AP378" s="594"/>
      <c r="AQ378" s="594"/>
      <c r="AR378" s="594"/>
      <c r="AS378" s="594"/>
      <c r="AT378" s="594"/>
      <c r="AU378" s="594"/>
      <c r="AV378" s="594"/>
      <c r="AW378" s="594"/>
      <c r="AX378" s="594"/>
      <c r="AY378" s="594"/>
      <c r="AZ378" s="594"/>
      <c r="BA378" s="594"/>
      <c r="BB378" s="594"/>
      <c r="BC378" s="594"/>
      <c r="BD378" s="594"/>
      <c r="BE378" s="594"/>
      <c r="BF378" s="594"/>
      <c r="BG378" s="594"/>
      <c r="BH378" s="594"/>
      <c r="BI378" s="594"/>
      <c r="BJ378" s="594"/>
      <c r="BK378" s="594"/>
      <c r="BL378" s="57"/>
      <c r="BM378" s="594"/>
      <c r="BN378" s="594"/>
      <c r="BO378" s="594"/>
      <c r="BP378" s="594"/>
      <c r="BQ378" s="594"/>
      <c r="BR378" s="594"/>
      <c r="BS378" s="594"/>
      <c r="BT378" s="594"/>
      <c r="BU378" s="594"/>
      <c r="BV378" s="594"/>
      <c r="BW378" s="594"/>
      <c r="BX378" s="594"/>
      <c r="BY378" s="594"/>
      <c r="BZ378" s="594"/>
      <c r="CA378" s="594"/>
      <c r="CB378" s="594"/>
      <c r="CC378" s="594"/>
      <c r="CD378" s="594"/>
      <c r="CE378" s="594"/>
      <c r="CF378" s="594"/>
      <c r="CG378" s="594"/>
      <c r="CH378" s="594"/>
      <c r="CI378" s="594"/>
      <c r="CJ378" s="594"/>
      <c r="CK378" s="594"/>
      <c r="CL378" s="594"/>
      <c r="CM378" s="594"/>
      <c r="CN378" s="594"/>
      <c r="CO378" s="594"/>
      <c r="CP378" s="594"/>
      <c r="CQ378" s="594"/>
    </row>
    <row r="379" spans="1:95" ht="19.5" hidden="1" customHeight="1" outlineLevel="2">
      <c r="A379" s="709" t="s">
        <v>366</v>
      </c>
      <c r="B379" s="710">
        <f>-SUMIFS('D2 - Capex uso'!BS$6:BS$176,'D2 - Capex uso'!$C$6:$C$176,$A365,'D2 - Capex uso'!$AK$6:$AK$176,$A379)</f>
        <v>0</v>
      </c>
      <c r="C379" s="710">
        <f>-SUMIFS('D2 - Capex uso'!BT$6:BT$176,'D2 - Capex uso'!$C$6:$C$176,$A365,'D2 - Capex uso'!$AK$6:$AK$176,$A379)</f>
        <v>0</v>
      </c>
      <c r="D379" s="710">
        <f>-SUMIFS('D2 - Capex uso'!BU$6:BU$176,'D2 - Capex uso'!$C$6:$C$176,$A365,'D2 - Capex uso'!$AK$6:$AK$176,$A379)</f>
        <v>0</v>
      </c>
      <c r="E379" s="710">
        <f>-SUMIFS('D2 - Capex uso'!BV$6:BV$176,'D2 - Capex uso'!$C$6:$C$176,$A365,'D2 - Capex uso'!$AK$6:$AK$176,$A379)</f>
        <v>0</v>
      </c>
      <c r="F379" s="710">
        <f>-SUMIFS('D2 - Capex uso'!BW$6:BW$176,'D2 - Capex uso'!$C$6:$C$176,$A365,'D2 - Capex uso'!$AK$6:$AK$176,$A379)</f>
        <v>0</v>
      </c>
      <c r="G379" s="710">
        <f>-SUMIFS('D2 - Capex uso'!BX$6:BX$176,'D2 - Capex uso'!$C$6:$C$176,$A365,'D2 - Capex uso'!$AK$6:$AK$176,$A379)</f>
        <v>0</v>
      </c>
      <c r="H379" s="710">
        <f>-SUMIFS('D2 - Capex uso'!BY$6:BY$176,'D2 - Capex uso'!$C$6:$C$176,$A365,'D2 - Capex uso'!$AK$6:$AK$176,$A379)</f>
        <v>0</v>
      </c>
      <c r="I379" s="710">
        <f>-SUMIFS('D2 - Capex uso'!BZ$6:BZ$176,'D2 - Capex uso'!$C$6:$C$176,$A365,'D2 - Capex uso'!$AK$6:$AK$176,$A379)</f>
        <v>0</v>
      </c>
      <c r="J379" s="710">
        <f>-SUMIFS('D2 - Capex uso'!CA$6:CA$176,'D2 - Capex uso'!$C$6:$C$176,$A365,'D2 - Capex uso'!$AK$6:$AK$176,$A379)</f>
        <v>0</v>
      </c>
      <c r="K379" s="710">
        <f>-SUMIFS('D2 - Capex uso'!CB$6:CB$176,'D2 - Capex uso'!$C$6:$C$176,$A365,'D2 - Capex uso'!$AK$6:$AK$176,$A379)</f>
        <v>0</v>
      </c>
      <c r="L379" s="710">
        <f>-SUMIFS('D2 - Capex uso'!CC$6:CC$176,'D2 - Capex uso'!$C$6:$C$176,$A365,'D2 - Capex uso'!$AK$6:$AK$176,$A379)</f>
        <v>0</v>
      </c>
      <c r="M379" s="710">
        <f>-SUMIFS('D2 - Capex uso'!CD$6:CD$176,'D2 - Capex uso'!$C$6:$C$176,$A365,'D2 - Capex uso'!$AK$6:$AK$176,$A379)</f>
        <v>0</v>
      </c>
      <c r="N379" s="710">
        <f>-SUMIFS('D2 - Capex uso'!CE$6:CE$176,'D2 - Capex uso'!$C$6:$C$176,$A365,'D2 - Capex uso'!$AK$6:$AK$176,$A379)</f>
        <v>0</v>
      </c>
      <c r="O379" s="710">
        <f>-SUMIFS('D2 - Capex uso'!CF$6:CF$176,'D2 - Capex uso'!$C$6:$C$176,$A365,'D2 - Capex uso'!$AK$6:$AK$176,$A379)</f>
        <v>0</v>
      </c>
      <c r="P379" s="710">
        <f>-SUMIFS('D2 - Capex uso'!CG$6:CG$176,'D2 - Capex uso'!$C$6:$C$176,$A365,'D2 - Capex uso'!$AK$6:$AK$176,$A379)</f>
        <v>0</v>
      </c>
      <c r="Q379" s="710">
        <f>-SUMIFS('D2 - Capex uso'!CH$6:CH$176,'D2 - Capex uso'!$C$6:$C$176,$A365,'D2 - Capex uso'!$AK$6:$AK$176,$A379)</f>
        <v>0</v>
      </c>
      <c r="R379" s="710">
        <f>-SUMIFS('D2 - Capex uso'!CI$6:CI$176,'D2 - Capex uso'!$C$6:$C$176,$A365,'D2 - Capex uso'!$AK$6:$AK$176,$A379)</f>
        <v>0</v>
      </c>
      <c r="S379" s="710">
        <f>-SUMIFS('D2 - Capex uso'!CJ$6:CJ$176,'D2 - Capex uso'!$C$6:$C$176,$A365,'D2 - Capex uso'!$AK$6:$AK$176,$A379)</f>
        <v>0</v>
      </c>
      <c r="T379" s="710">
        <f>-SUMIFS('D2 - Capex uso'!CK$6:CK$176,'D2 - Capex uso'!$C$6:$C$176,$A365,'D2 - Capex uso'!$AK$6:$AK$176,$A379)</f>
        <v>0</v>
      </c>
      <c r="U379" s="710">
        <f>-SUMIFS('D2 - Capex uso'!CL$6:CL$176,'D2 - Capex uso'!$C$6:$C$176,$A365,'D2 - Capex uso'!$AK$6:$AK$176,$A379)</f>
        <v>0</v>
      </c>
      <c r="V379" s="710">
        <f>-SUMIFS('D2 - Capex uso'!CM$6:CM$176,'D2 - Capex uso'!$C$6:$C$176,$A365,'D2 - Capex uso'!$AK$6:$AK$176,$A379)</f>
        <v>0</v>
      </c>
      <c r="W379" s="710">
        <f>-SUMIFS('D2 - Capex uso'!CN$6:CN$176,'D2 - Capex uso'!$C$6:$C$176,$A365,'D2 - Capex uso'!$AK$6:$AK$176,$A379)</f>
        <v>0</v>
      </c>
      <c r="X379" s="710">
        <f>-SUMIFS('D2 - Capex uso'!CO$6:CO$176,'D2 - Capex uso'!$C$6:$C$176,$A365,'D2 - Capex uso'!$AK$6:$AK$176,$A379)</f>
        <v>0</v>
      </c>
      <c r="Y379" s="710">
        <f>-SUMIFS('D2 - Capex uso'!CP$6:CP$176,'D2 - Capex uso'!$C$6:$C$176,$A365,'D2 - Capex uso'!$AK$6:$AK$176,$A379)</f>
        <v>0</v>
      </c>
      <c r="Z379" s="710">
        <f>-SUMIFS('D2 - Capex uso'!CQ$6:CQ$176,'D2 - Capex uso'!$C$6:$C$176,$A365,'D2 - Capex uso'!$AK$6:$AK$176,$A379)</f>
        <v>0</v>
      </c>
      <c r="AA379" s="710">
        <f>-SUMIFS('D2 - Capex uso'!CR$6:CR$176,'D2 - Capex uso'!$C$6:$C$176,$A365,'D2 - Capex uso'!$AK$6:$AK$176,$A379)</f>
        <v>0</v>
      </c>
      <c r="AB379" s="710">
        <f>-SUMIFS('D2 - Capex uso'!CS$6:CS$176,'D2 - Capex uso'!$C$6:$C$176,$A365,'D2 - Capex uso'!$AK$6:$AK$176,$A379)</f>
        <v>0</v>
      </c>
      <c r="AC379" s="710">
        <f>-SUMIFS('D2 - Capex uso'!CT$6:CT$176,'D2 - Capex uso'!$C$6:$C$176,$A365,'D2 - Capex uso'!$AK$6:$AK$176,$A379)</f>
        <v>0</v>
      </c>
      <c r="AD379" s="710">
        <f>-SUMIFS('D2 - Capex uso'!CU$6:CU$176,'D2 - Capex uso'!$C$6:$C$176,$A365,'D2 - Capex uso'!$AK$6:$AK$176,$A379)</f>
        <v>0</v>
      </c>
      <c r="AE379" s="710">
        <f>-SUMIFS('D2 - Capex uso'!CV$6:CV$176,'D2 - Capex uso'!$C$6:$C$176,$A365,'D2 - Capex uso'!$AK$6:$AK$176,$A379)</f>
        <v>0</v>
      </c>
      <c r="AF379" s="594"/>
      <c r="AG379" s="594"/>
      <c r="AH379" s="594"/>
      <c r="AI379" s="594"/>
      <c r="AJ379" s="594"/>
      <c r="AK379" s="594"/>
      <c r="AL379" s="594"/>
      <c r="AM379" s="594"/>
      <c r="AN379" s="594"/>
      <c r="AO379" s="594"/>
      <c r="AP379" s="594"/>
      <c r="AQ379" s="594"/>
      <c r="AR379" s="594"/>
      <c r="AS379" s="594"/>
      <c r="AT379" s="594"/>
      <c r="AU379" s="594"/>
      <c r="AV379" s="594"/>
      <c r="AW379" s="594"/>
      <c r="AX379" s="594"/>
      <c r="AY379" s="594"/>
      <c r="AZ379" s="594"/>
      <c r="BA379" s="594"/>
      <c r="BB379" s="594"/>
      <c r="BC379" s="594"/>
      <c r="BD379" s="594"/>
      <c r="BE379" s="594"/>
      <c r="BF379" s="594"/>
      <c r="BG379" s="594"/>
      <c r="BH379" s="594"/>
      <c r="BI379" s="594"/>
      <c r="BJ379" s="594"/>
      <c r="BK379" s="594"/>
      <c r="BL379" s="57"/>
      <c r="BM379" s="594"/>
      <c r="BN379" s="594"/>
      <c r="BO379" s="594"/>
      <c r="BP379" s="594"/>
      <c r="BQ379" s="594"/>
      <c r="BR379" s="594"/>
      <c r="BS379" s="594"/>
      <c r="BT379" s="594"/>
      <c r="BU379" s="594"/>
      <c r="BV379" s="594"/>
      <c r="BW379" s="594"/>
      <c r="BX379" s="594"/>
      <c r="BY379" s="594"/>
      <c r="BZ379" s="594"/>
      <c r="CA379" s="594"/>
      <c r="CB379" s="594"/>
      <c r="CC379" s="594"/>
      <c r="CD379" s="594"/>
      <c r="CE379" s="594"/>
      <c r="CF379" s="594"/>
      <c r="CG379" s="594"/>
      <c r="CH379" s="594"/>
      <c r="CI379" s="594"/>
      <c r="CJ379" s="594"/>
      <c r="CK379" s="594"/>
      <c r="CL379" s="594"/>
      <c r="CM379" s="594"/>
      <c r="CN379" s="594"/>
      <c r="CO379" s="594"/>
      <c r="CP379" s="594"/>
      <c r="CQ379" s="594"/>
    </row>
    <row r="380" spans="1:95" ht="19.5" hidden="1" customHeight="1" outlineLevel="2">
      <c r="A380" s="709" t="s">
        <v>371</v>
      </c>
      <c r="B380" s="710">
        <f>-SUMIFS('D2 - Capex uso'!BS$6:BS$176,'D2 - Capex uso'!$C$6:$C$176,$A365,'D2 - Capex uso'!$AK$6:$AK$176,$A380)</f>
        <v>0</v>
      </c>
      <c r="C380" s="710">
        <f>-SUMIFS('D2 - Capex uso'!BT$6:BT$176,'D2 - Capex uso'!$C$6:$C$176,$A365,'D2 - Capex uso'!$AK$6:$AK$176,$A380)</f>
        <v>0</v>
      </c>
      <c r="D380" s="710">
        <f>-SUMIFS('D2 - Capex uso'!BU$6:BU$176,'D2 - Capex uso'!$C$6:$C$176,$A365,'D2 - Capex uso'!$AK$6:$AK$176,$A380)</f>
        <v>0</v>
      </c>
      <c r="E380" s="710">
        <f>-SUMIFS('D2 - Capex uso'!BV$6:BV$176,'D2 - Capex uso'!$C$6:$C$176,$A365,'D2 - Capex uso'!$AK$6:$AK$176,$A380)</f>
        <v>0</v>
      </c>
      <c r="F380" s="710">
        <f>-SUMIFS('D2 - Capex uso'!BW$6:BW$176,'D2 - Capex uso'!$C$6:$C$176,$A365,'D2 - Capex uso'!$AK$6:$AK$176,$A380)</f>
        <v>0</v>
      </c>
      <c r="G380" s="710">
        <f>-SUMIFS('D2 - Capex uso'!BX$6:BX$176,'D2 - Capex uso'!$C$6:$C$176,$A365,'D2 - Capex uso'!$AK$6:$AK$176,$A380)</f>
        <v>0</v>
      </c>
      <c r="H380" s="710">
        <f>-SUMIFS('D2 - Capex uso'!BY$6:BY$176,'D2 - Capex uso'!$C$6:$C$176,$A365,'D2 - Capex uso'!$AK$6:$AK$176,$A380)</f>
        <v>0</v>
      </c>
      <c r="I380" s="710">
        <f>-SUMIFS('D2 - Capex uso'!BZ$6:BZ$176,'D2 - Capex uso'!$C$6:$C$176,$A365,'D2 - Capex uso'!$AK$6:$AK$176,$A380)</f>
        <v>0</v>
      </c>
      <c r="J380" s="710">
        <f>-SUMIFS('D2 - Capex uso'!CA$6:CA$176,'D2 - Capex uso'!$C$6:$C$176,$A365,'D2 - Capex uso'!$AK$6:$AK$176,$A380)</f>
        <v>0</v>
      </c>
      <c r="K380" s="710">
        <f>-SUMIFS('D2 - Capex uso'!CB$6:CB$176,'D2 - Capex uso'!$C$6:$C$176,$A365,'D2 - Capex uso'!$AK$6:$AK$176,$A380)</f>
        <v>0</v>
      </c>
      <c r="L380" s="710">
        <f>-SUMIFS('D2 - Capex uso'!CC$6:CC$176,'D2 - Capex uso'!$C$6:$C$176,$A365,'D2 - Capex uso'!$AK$6:$AK$176,$A380)</f>
        <v>0</v>
      </c>
      <c r="M380" s="710">
        <f>-SUMIFS('D2 - Capex uso'!CD$6:CD$176,'D2 - Capex uso'!$C$6:$C$176,$A365,'D2 - Capex uso'!$AK$6:$AK$176,$A380)</f>
        <v>0</v>
      </c>
      <c r="N380" s="710">
        <f>-SUMIFS('D2 - Capex uso'!CE$6:CE$176,'D2 - Capex uso'!$C$6:$C$176,$A365,'D2 - Capex uso'!$AK$6:$AK$176,$A380)</f>
        <v>0</v>
      </c>
      <c r="O380" s="710">
        <f>-SUMIFS('D2 - Capex uso'!CF$6:CF$176,'D2 - Capex uso'!$C$6:$C$176,$A365,'D2 - Capex uso'!$AK$6:$AK$176,$A380)</f>
        <v>0</v>
      </c>
      <c r="P380" s="710">
        <f>-SUMIFS('D2 - Capex uso'!CG$6:CG$176,'D2 - Capex uso'!$C$6:$C$176,$A365,'D2 - Capex uso'!$AK$6:$AK$176,$A380)</f>
        <v>0</v>
      </c>
      <c r="Q380" s="710">
        <f>-SUMIFS('D2 - Capex uso'!CH$6:CH$176,'D2 - Capex uso'!$C$6:$C$176,$A365,'D2 - Capex uso'!$AK$6:$AK$176,$A380)</f>
        <v>0</v>
      </c>
      <c r="R380" s="710">
        <f>-SUMIFS('D2 - Capex uso'!CI$6:CI$176,'D2 - Capex uso'!$C$6:$C$176,$A365,'D2 - Capex uso'!$AK$6:$AK$176,$A380)</f>
        <v>0</v>
      </c>
      <c r="S380" s="710">
        <f>-SUMIFS('D2 - Capex uso'!CJ$6:CJ$176,'D2 - Capex uso'!$C$6:$C$176,$A365,'D2 - Capex uso'!$AK$6:$AK$176,$A380)</f>
        <v>0</v>
      </c>
      <c r="T380" s="710">
        <f>-SUMIFS('D2 - Capex uso'!CK$6:CK$176,'D2 - Capex uso'!$C$6:$C$176,$A365,'D2 - Capex uso'!$AK$6:$AK$176,$A380)</f>
        <v>0</v>
      </c>
      <c r="U380" s="710">
        <f>-SUMIFS('D2 - Capex uso'!CL$6:CL$176,'D2 - Capex uso'!$C$6:$C$176,$A365,'D2 - Capex uso'!$AK$6:$AK$176,$A380)</f>
        <v>0</v>
      </c>
      <c r="V380" s="710">
        <f>-SUMIFS('D2 - Capex uso'!CM$6:CM$176,'D2 - Capex uso'!$C$6:$C$176,$A365,'D2 - Capex uso'!$AK$6:$AK$176,$A380)</f>
        <v>0</v>
      </c>
      <c r="W380" s="710">
        <f>-SUMIFS('D2 - Capex uso'!CN$6:CN$176,'D2 - Capex uso'!$C$6:$C$176,$A365,'D2 - Capex uso'!$AK$6:$AK$176,$A380)</f>
        <v>0</v>
      </c>
      <c r="X380" s="710">
        <f>-SUMIFS('D2 - Capex uso'!CO$6:CO$176,'D2 - Capex uso'!$C$6:$C$176,$A365,'D2 - Capex uso'!$AK$6:$AK$176,$A380)</f>
        <v>0</v>
      </c>
      <c r="Y380" s="710">
        <f>-SUMIFS('D2 - Capex uso'!CP$6:CP$176,'D2 - Capex uso'!$C$6:$C$176,$A365,'D2 - Capex uso'!$AK$6:$AK$176,$A380)</f>
        <v>0</v>
      </c>
      <c r="Z380" s="710">
        <f>-SUMIFS('D2 - Capex uso'!CQ$6:CQ$176,'D2 - Capex uso'!$C$6:$C$176,$A365,'D2 - Capex uso'!$AK$6:$AK$176,$A380)</f>
        <v>0</v>
      </c>
      <c r="AA380" s="710">
        <f>-SUMIFS('D2 - Capex uso'!CR$6:CR$176,'D2 - Capex uso'!$C$6:$C$176,$A365,'D2 - Capex uso'!$AK$6:$AK$176,$A380)</f>
        <v>0</v>
      </c>
      <c r="AB380" s="710">
        <f>-SUMIFS('D2 - Capex uso'!CS$6:CS$176,'D2 - Capex uso'!$C$6:$C$176,$A365,'D2 - Capex uso'!$AK$6:$AK$176,$A380)</f>
        <v>0</v>
      </c>
      <c r="AC380" s="710">
        <f>-SUMIFS('D2 - Capex uso'!CT$6:CT$176,'D2 - Capex uso'!$C$6:$C$176,$A365,'D2 - Capex uso'!$AK$6:$AK$176,$A380)</f>
        <v>0</v>
      </c>
      <c r="AD380" s="710">
        <f>-SUMIFS('D2 - Capex uso'!CU$6:CU$176,'D2 - Capex uso'!$C$6:$C$176,$A365,'D2 - Capex uso'!$AK$6:$AK$176,$A380)</f>
        <v>0</v>
      </c>
      <c r="AE380" s="710">
        <f>-SUMIFS('D2 - Capex uso'!CV$6:CV$176,'D2 - Capex uso'!$C$6:$C$176,$A365,'D2 - Capex uso'!$AK$6:$AK$176,$A380)</f>
        <v>0</v>
      </c>
      <c r="AF380" s="594"/>
      <c r="AG380" s="594"/>
      <c r="AH380" s="594"/>
      <c r="AI380" s="594"/>
      <c r="AJ380" s="594"/>
      <c r="AK380" s="594"/>
      <c r="AL380" s="594"/>
      <c r="AM380" s="594"/>
      <c r="AN380" s="594"/>
      <c r="AO380" s="594"/>
      <c r="AP380" s="594"/>
      <c r="AQ380" s="594"/>
      <c r="AR380" s="594"/>
      <c r="AS380" s="594"/>
      <c r="AT380" s="594"/>
      <c r="AU380" s="594"/>
      <c r="AV380" s="594"/>
      <c r="AW380" s="594"/>
      <c r="AX380" s="594"/>
      <c r="AY380" s="594"/>
      <c r="AZ380" s="594"/>
      <c r="BA380" s="594"/>
      <c r="BB380" s="594"/>
      <c r="BC380" s="594"/>
      <c r="BD380" s="594"/>
      <c r="BE380" s="594"/>
      <c r="BF380" s="594"/>
      <c r="BG380" s="594"/>
      <c r="BH380" s="594"/>
      <c r="BI380" s="594"/>
      <c r="BJ380" s="594"/>
      <c r="BK380" s="594"/>
      <c r="BL380" s="57"/>
      <c r="BM380" s="594"/>
      <c r="BN380" s="594"/>
      <c r="BO380" s="594"/>
      <c r="BP380" s="594"/>
      <c r="BQ380" s="594"/>
      <c r="BR380" s="594"/>
      <c r="BS380" s="594"/>
      <c r="BT380" s="594"/>
      <c r="BU380" s="594"/>
      <c r="BV380" s="594"/>
      <c r="BW380" s="594"/>
      <c r="BX380" s="594"/>
      <c r="BY380" s="594"/>
      <c r="BZ380" s="594"/>
      <c r="CA380" s="594"/>
      <c r="CB380" s="594"/>
      <c r="CC380" s="594"/>
      <c r="CD380" s="594"/>
      <c r="CE380" s="594"/>
      <c r="CF380" s="594"/>
      <c r="CG380" s="594"/>
      <c r="CH380" s="594"/>
      <c r="CI380" s="594"/>
      <c r="CJ380" s="594"/>
      <c r="CK380" s="594"/>
      <c r="CL380" s="594"/>
      <c r="CM380" s="594"/>
      <c r="CN380" s="594"/>
      <c r="CO380" s="594"/>
      <c r="CP380" s="594"/>
      <c r="CQ380" s="594"/>
    </row>
    <row r="381" spans="1:95" ht="19.5" hidden="1" customHeight="1" outlineLevel="2">
      <c r="A381" s="709" t="s">
        <v>361</v>
      </c>
      <c r="B381" s="710">
        <f>-SUMIFS('D2 - Capex uso'!BS$6:BS$176,'D2 - Capex uso'!$C$6:$C$176,$A365,'D2 - Capex uso'!$AK$6:$AK$176,$A381)</f>
        <v>0</v>
      </c>
      <c r="C381" s="710">
        <f>-SUMIFS('D2 - Capex uso'!BT$6:BT$176,'D2 - Capex uso'!$C$6:$C$176,$A365,'D2 - Capex uso'!$AK$6:$AK$176,$A381)</f>
        <v>0</v>
      </c>
      <c r="D381" s="710">
        <f>-SUMIFS('D2 - Capex uso'!BU$6:BU$176,'D2 - Capex uso'!$C$6:$C$176,$A365,'D2 - Capex uso'!$AK$6:$AK$176,$A381)</f>
        <v>0</v>
      </c>
      <c r="E381" s="710">
        <f>-SUMIFS('D2 - Capex uso'!BV$6:BV$176,'D2 - Capex uso'!$C$6:$C$176,$A365,'D2 - Capex uso'!$AK$6:$AK$176,$A381)</f>
        <v>0</v>
      </c>
      <c r="F381" s="710">
        <f>-SUMIFS('D2 - Capex uso'!BW$6:BW$176,'D2 - Capex uso'!$C$6:$C$176,$A365,'D2 - Capex uso'!$AK$6:$AK$176,$A381)</f>
        <v>0</v>
      </c>
      <c r="G381" s="710">
        <f>-SUMIFS('D2 - Capex uso'!BX$6:BX$176,'D2 - Capex uso'!$C$6:$C$176,$A365,'D2 - Capex uso'!$AK$6:$AK$176,$A381)</f>
        <v>0</v>
      </c>
      <c r="H381" s="710">
        <f>-SUMIFS('D2 - Capex uso'!BY$6:BY$176,'D2 - Capex uso'!$C$6:$C$176,$A365,'D2 - Capex uso'!$AK$6:$AK$176,$A381)</f>
        <v>0</v>
      </c>
      <c r="I381" s="710">
        <f>-SUMIFS('D2 - Capex uso'!BZ$6:BZ$176,'D2 - Capex uso'!$C$6:$C$176,$A365,'D2 - Capex uso'!$AK$6:$AK$176,$A381)</f>
        <v>0</v>
      </c>
      <c r="J381" s="710">
        <f>-SUMIFS('D2 - Capex uso'!CA$6:CA$176,'D2 - Capex uso'!$C$6:$C$176,$A365,'D2 - Capex uso'!$AK$6:$AK$176,$A381)</f>
        <v>0</v>
      </c>
      <c r="K381" s="710">
        <f>-SUMIFS('D2 - Capex uso'!CB$6:CB$176,'D2 - Capex uso'!$C$6:$C$176,$A365,'D2 - Capex uso'!$AK$6:$AK$176,$A381)</f>
        <v>0</v>
      </c>
      <c r="L381" s="710">
        <f>-SUMIFS('D2 - Capex uso'!CC$6:CC$176,'D2 - Capex uso'!$C$6:$C$176,$A365,'D2 - Capex uso'!$AK$6:$AK$176,$A381)</f>
        <v>0</v>
      </c>
      <c r="M381" s="710">
        <f>-SUMIFS('D2 - Capex uso'!CD$6:CD$176,'D2 - Capex uso'!$C$6:$C$176,$A365,'D2 - Capex uso'!$AK$6:$AK$176,$A381)</f>
        <v>0</v>
      </c>
      <c r="N381" s="710">
        <f>-SUMIFS('D2 - Capex uso'!CE$6:CE$176,'D2 - Capex uso'!$C$6:$C$176,$A365,'D2 - Capex uso'!$AK$6:$AK$176,$A381)</f>
        <v>0</v>
      </c>
      <c r="O381" s="710">
        <f>-SUMIFS('D2 - Capex uso'!CF$6:CF$176,'D2 - Capex uso'!$C$6:$C$176,$A365,'D2 - Capex uso'!$AK$6:$AK$176,$A381)</f>
        <v>0</v>
      </c>
      <c r="P381" s="710">
        <f>-SUMIFS('D2 - Capex uso'!CG$6:CG$176,'D2 - Capex uso'!$C$6:$C$176,$A365,'D2 - Capex uso'!$AK$6:$AK$176,$A381)</f>
        <v>0</v>
      </c>
      <c r="Q381" s="710">
        <f>-SUMIFS('D2 - Capex uso'!CH$6:CH$176,'D2 - Capex uso'!$C$6:$C$176,$A365,'D2 - Capex uso'!$AK$6:$AK$176,$A381)</f>
        <v>0</v>
      </c>
      <c r="R381" s="710">
        <f>-SUMIFS('D2 - Capex uso'!CI$6:CI$176,'D2 - Capex uso'!$C$6:$C$176,$A365,'D2 - Capex uso'!$AK$6:$AK$176,$A381)</f>
        <v>0</v>
      </c>
      <c r="S381" s="710">
        <f>-SUMIFS('D2 - Capex uso'!CJ$6:CJ$176,'D2 - Capex uso'!$C$6:$C$176,$A365,'D2 - Capex uso'!$AK$6:$AK$176,$A381)</f>
        <v>0</v>
      </c>
      <c r="T381" s="710">
        <f>-SUMIFS('D2 - Capex uso'!CK$6:CK$176,'D2 - Capex uso'!$C$6:$C$176,$A365,'D2 - Capex uso'!$AK$6:$AK$176,$A381)</f>
        <v>0</v>
      </c>
      <c r="U381" s="710">
        <f>-SUMIFS('D2 - Capex uso'!CL$6:CL$176,'D2 - Capex uso'!$C$6:$C$176,$A365,'D2 - Capex uso'!$AK$6:$AK$176,$A381)</f>
        <v>0</v>
      </c>
      <c r="V381" s="710">
        <f>-SUMIFS('D2 - Capex uso'!CM$6:CM$176,'D2 - Capex uso'!$C$6:$C$176,$A365,'D2 - Capex uso'!$AK$6:$AK$176,$A381)</f>
        <v>0</v>
      </c>
      <c r="W381" s="710">
        <f>-SUMIFS('D2 - Capex uso'!CN$6:CN$176,'D2 - Capex uso'!$C$6:$C$176,$A365,'D2 - Capex uso'!$AK$6:$AK$176,$A381)</f>
        <v>0</v>
      </c>
      <c r="X381" s="710">
        <f>-SUMIFS('D2 - Capex uso'!CO$6:CO$176,'D2 - Capex uso'!$C$6:$C$176,$A365,'D2 - Capex uso'!$AK$6:$AK$176,$A381)</f>
        <v>0</v>
      </c>
      <c r="Y381" s="710">
        <f>-SUMIFS('D2 - Capex uso'!CP$6:CP$176,'D2 - Capex uso'!$C$6:$C$176,$A365,'D2 - Capex uso'!$AK$6:$AK$176,$A381)</f>
        <v>0</v>
      </c>
      <c r="Z381" s="710">
        <f>-SUMIFS('D2 - Capex uso'!CQ$6:CQ$176,'D2 - Capex uso'!$C$6:$C$176,$A365,'D2 - Capex uso'!$AK$6:$AK$176,$A381)</f>
        <v>0</v>
      </c>
      <c r="AA381" s="710">
        <f>-SUMIFS('D2 - Capex uso'!CR$6:CR$176,'D2 - Capex uso'!$C$6:$C$176,$A365,'D2 - Capex uso'!$AK$6:$AK$176,$A381)</f>
        <v>0</v>
      </c>
      <c r="AB381" s="710">
        <f>-SUMIFS('D2 - Capex uso'!CS$6:CS$176,'D2 - Capex uso'!$C$6:$C$176,$A365,'D2 - Capex uso'!$AK$6:$AK$176,$A381)</f>
        <v>0</v>
      </c>
      <c r="AC381" s="710">
        <f>-SUMIFS('D2 - Capex uso'!CT$6:CT$176,'D2 - Capex uso'!$C$6:$C$176,$A365,'D2 - Capex uso'!$AK$6:$AK$176,$A381)</f>
        <v>0</v>
      </c>
      <c r="AD381" s="710">
        <f>-SUMIFS('D2 - Capex uso'!CU$6:CU$176,'D2 - Capex uso'!$C$6:$C$176,$A365,'D2 - Capex uso'!$AK$6:$AK$176,$A381)</f>
        <v>0</v>
      </c>
      <c r="AE381" s="710">
        <f>-SUMIFS('D2 - Capex uso'!CV$6:CV$176,'D2 - Capex uso'!$C$6:$C$176,$A365,'D2 - Capex uso'!$AK$6:$AK$176,$A381)</f>
        <v>0</v>
      </c>
      <c r="AF381" s="594"/>
      <c r="AG381" s="594"/>
      <c r="AH381" s="594"/>
      <c r="AI381" s="594"/>
      <c r="AJ381" s="594"/>
      <c r="AK381" s="594"/>
      <c r="AL381" s="594"/>
      <c r="AM381" s="594"/>
      <c r="AN381" s="594"/>
      <c r="AO381" s="594"/>
      <c r="AP381" s="594"/>
      <c r="AQ381" s="594"/>
      <c r="AR381" s="594"/>
      <c r="AS381" s="594"/>
      <c r="AT381" s="594"/>
      <c r="AU381" s="594"/>
      <c r="AV381" s="594"/>
      <c r="AW381" s="594"/>
      <c r="AX381" s="594"/>
      <c r="AY381" s="594"/>
      <c r="AZ381" s="594"/>
      <c r="BA381" s="594"/>
      <c r="BB381" s="594"/>
      <c r="BC381" s="594"/>
      <c r="BD381" s="594"/>
      <c r="BE381" s="594"/>
      <c r="BF381" s="594"/>
      <c r="BG381" s="594"/>
      <c r="BH381" s="594"/>
      <c r="BI381" s="594"/>
      <c r="BJ381" s="594"/>
      <c r="BK381" s="594"/>
      <c r="BL381" s="57"/>
      <c r="BM381" s="594"/>
      <c r="BN381" s="594"/>
      <c r="BO381" s="594"/>
      <c r="BP381" s="594"/>
      <c r="BQ381" s="594"/>
      <c r="BR381" s="594"/>
      <c r="BS381" s="594"/>
      <c r="BT381" s="594"/>
      <c r="BU381" s="594"/>
      <c r="BV381" s="594"/>
      <c r="BW381" s="594"/>
      <c r="BX381" s="594"/>
      <c r="BY381" s="594"/>
      <c r="BZ381" s="594"/>
      <c r="CA381" s="594"/>
      <c r="CB381" s="594"/>
      <c r="CC381" s="594"/>
      <c r="CD381" s="594"/>
      <c r="CE381" s="594"/>
      <c r="CF381" s="594"/>
      <c r="CG381" s="594"/>
      <c r="CH381" s="594"/>
      <c r="CI381" s="594"/>
      <c r="CJ381" s="594"/>
      <c r="CK381" s="594"/>
      <c r="CL381" s="594"/>
      <c r="CM381" s="594"/>
      <c r="CN381" s="594"/>
      <c r="CO381" s="594"/>
      <c r="CP381" s="594"/>
      <c r="CQ381" s="594"/>
    </row>
    <row r="382" spans="1:95" ht="19.5" hidden="1" customHeight="1" outlineLevel="2">
      <c r="A382" s="709" t="s">
        <v>359</v>
      </c>
      <c r="B382" s="710">
        <f>-SUMIFS('D2 - Capex uso'!BS$6:BS$176,'D2 - Capex uso'!$C$6:$C$176,$A365,'D2 - Capex uso'!$AK$6:$AK$176,$A382)</f>
        <v>0</v>
      </c>
      <c r="C382" s="710">
        <f>-SUMIFS('D2 - Capex uso'!BT$6:BT$176,'D2 - Capex uso'!$C$6:$C$176,$A365,'D2 - Capex uso'!$AK$6:$AK$176,$A382)</f>
        <v>0</v>
      </c>
      <c r="D382" s="710">
        <f>-SUMIFS('D2 - Capex uso'!BU$6:BU$176,'D2 - Capex uso'!$C$6:$C$176,$A365,'D2 - Capex uso'!$AK$6:$AK$176,$A382)</f>
        <v>0</v>
      </c>
      <c r="E382" s="710">
        <f>-SUMIFS('D2 - Capex uso'!BV$6:BV$176,'D2 - Capex uso'!$C$6:$C$176,$A365,'D2 - Capex uso'!$AK$6:$AK$176,$A382)</f>
        <v>0</v>
      </c>
      <c r="F382" s="710">
        <f>-SUMIFS('D2 - Capex uso'!BW$6:BW$176,'D2 - Capex uso'!$C$6:$C$176,$A365,'D2 - Capex uso'!$AK$6:$AK$176,$A382)</f>
        <v>0</v>
      </c>
      <c r="G382" s="710">
        <f>-SUMIFS('D2 - Capex uso'!BX$6:BX$176,'D2 - Capex uso'!$C$6:$C$176,$A365,'D2 - Capex uso'!$AK$6:$AK$176,$A382)</f>
        <v>0</v>
      </c>
      <c r="H382" s="710">
        <f>-SUMIFS('D2 - Capex uso'!BY$6:BY$176,'D2 - Capex uso'!$C$6:$C$176,$A365,'D2 - Capex uso'!$AK$6:$AK$176,$A382)</f>
        <v>0</v>
      </c>
      <c r="I382" s="710">
        <f>-SUMIFS('D2 - Capex uso'!BZ$6:BZ$176,'D2 - Capex uso'!$C$6:$C$176,$A365,'D2 - Capex uso'!$AK$6:$AK$176,$A382)</f>
        <v>0</v>
      </c>
      <c r="J382" s="710">
        <f>-SUMIFS('D2 - Capex uso'!CA$6:CA$176,'D2 - Capex uso'!$C$6:$C$176,$A365,'D2 - Capex uso'!$AK$6:$AK$176,$A382)</f>
        <v>0</v>
      </c>
      <c r="K382" s="710">
        <f>-SUMIFS('D2 - Capex uso'!CB$6:CB$176,'D2 - Capex uso'!$C$6:$C$176,$A365,'D2 - Capex uso'!$AK$6:$AK$176,$A382)</f>
        <v>0</v>
      </c>
      <c r="L382" s="710">
        <f>-SUMIFS('D2 - Capex uso'!CC$6:CC$176,'D2 - Capex uso'!$C$6:$C$176,$A365,'D2 - Capex uso'!$AK$6:$AK$176,$A382)</f>
        <v>0</v>
      </c>
      <c r="M382" s="710">
        <f>-SUMIFS('D2 - Capex uso'!CD$6:CD$176,'D2 - Capex uso'!$C$6:$C$176,$A365,'D2 - Capex uso'!$AK$6:$AK$176,$A382)</f>
        <v>0</v>
      </c>
      <c r="N382" s="710">
        <f>-SUMIFS('D2 - Capex uso'!CE$6:CE$176,'D2 - Capex uso'!$C$6:$C$176,$A365,'D2 - Capex uso'!$AK$6:$AK$176,$A382)</f>
        <v>0</v>
      </c>
      <c r="O382" s="710">
        <f>-SUMIFS('D2 - Capex uso'!CF$6:CF$176,'D2 - Capex uso'!$C$6:$C$176,$A365,'D2 - Capex uso'!$AK$6:$AK$176,$A382)</f>
        <v>0</v>
      </c>
      <c r="P382" s="710">
        <f>-SUMIFS('D2 - Capex uso'!CG$6:CG$176,'D2 - Capex uso'!$C$6:$C$176,$A365,'D2 - Capex uso'!$AK$6:$AK$176,$A382)</f>
        <v>0</v>
      </c>
      <c r="Q382" s="710">
        <f>-SUMIFS('D2 - Capex uso'!CH$6:CH$176,'D2 - Capex uso'!$C$6:$C$176,$A365,'D2 - Capex uso'!$AK$6:$AK$176,$A382)</f>
        <v>0</v>
      </c>
      <c r="R382" s="710">
        <f>-SUMIFS('D2 - Capex uso'!CI$6:CI$176,'D2 - Capex uso'!$C$6:$C$176,$A365,'D2 - Capex uso'!$AK$6:$AK$176,$A382)</f>
        <v>0</v>
      </c>
      <c r="S382" s="710">
        <f>-SUMIFS('D2 - Capex uso'!CJ$6:CJ$176,'D2 - Capex uso'!$C$6:$C$176,$A365,'D2 - Capex uso'!$AK$6:$AK$176,$A382)</f>
        <v>0</v>
      </c>
      <c r="T382" s="710">
        <f>-SUMIFS('D2 - Capex uso'!CK$6:CK$176,'D2 - Capex uso'!$C$6:$C$176,$A365,'D2 - Capex uso'!$AK$6:$AK$176,$A382)</f>
        <v>0</v>
      </c>
      <c r="U382" s="710">
        <f>-SUMIFS('D2 - Capex uso'!CL$6:CL$176,'D2 - Capex uso'!$C$6:$C$176,$A365,'D2 - Capex uso'!$AK$6:$AK$176,$A382)</f>
        <v>0</v>
      </c>
      <c r="V382" s="710">
        <f>-SUMIFS('D2 - Capex uso'!CM$6:CM$176,'D2 - Capex uso'!$C$6:$C$176,$A365,'D2 - Capex uso'!$AK$6:$AK$176,$A382)</f>
        <v>0</v>
      </c>
      <c r="W382" s="710">
        <f>-SUMIFS('D2 - Capex uso'!CN$6:CN$176,'D2 - Capex uso'!$C$6:$C$176,$A365,'D2 - Capex uso'!$AK$6:$AK$176,$A382)</f>
        <v>0</v>
      </c>
      <c r="X382" s="710">
        <f>-SUMIFS('D2 - Capex uso'!CO$6:CO$176,'D2 - Capex uso'!$C$6:$C$176,$A365,'D2 - Capex uso'!$AK$6:$AK$176,$A382)</f>
        <v>0</v>
      </c>
      <c r="Y382" s="710">
        <f>-SUMIFS('D2 - Capex uso'!CP$6:CP$176,'D2 - Capex uso'!$C$6:$C$176,$A365,'D2 - Capex uso'!$AK$6:$AK$176,$A382)</f>
        <v>0</v>
      </c>
      <c r="Z382" s="710">
        <f>-SUMIFS('D2 - Capex uso'!CQ$6:CQ$176,'D2 - Capex uso'!$C$6:$C$176,$A365,'D2 - Capex uso'!$AK$6:$AK$176,$A382)</f>
        <v>0</v>
      </c>
      <c r="AA382" s="710">
        <f>-SUMIFS('D2 - Capex uso'!CR$6:CR$176,'D2 - Capex uso'!$C$6:$C$176,$A365,'D2 - Capex uso'!$AK$6:$AK$176,$A382)</f>
        <v>0</v>
      </c>
      <c r="AB382" s="710">
        <f>-SUMIFS('D2 - Capex uso'!CS$6:CS$176,'D2 - Capex uso'!$C$6:$C$176,$A365,'D2 - Capex uso'!$AK$6:$AK$176,$A382)</f>
        <v>0</v>
      </c>
      <c r="AC382" s="710">
        <f>-SUMIFS('D2 - Capex uso'!CT$6:CT$176,'D2 - Capex uso'!$C$6:$C$176,$A365,'D2 - Capex uso'!$AK$6:$AK$176,$A382)</f>
        <v>0</v>
      </c>
      <c r="AD382" s="710">
        <f>-SUMIFS('D2 - Capex uso'!CU$6:CU$176,'D2 - Capex uso'!$C$6:$C$176,$A365,'D2 - Capex uso'!$AK$6:$AK$176,$A382)</f>
        <v>0</v>
      </c>
      <c r="AE382" s="710">
        <f>-SUMIFS('D2 - Capex uso'!CV$6:CV$176,'D2 - Capex uso'!$C$6:$C$176,$A365,'D2 - Capex uso'!$AK$6:$AK$176,$A382)</f>
        <v>0</v>
      </c>
      <c r="AF382" s="594"/>
      <c r="AG382" s="594"/>
      <c r="AH382" s="594"/>
      <c r="AI382" s="594"/>
      <c r="AJ382" s="594"/>
      <c r="AK382" s="594"/>
      <c r="AL382" s="594"/>
      <c r="AM382" s="594"/>
      <c r="AN382" s="594"/>
      <c r="AO382" s="594"/>
      <c r="AP382" s="594"/>
      <c r="AQ382" s="594"/>
      <c r="AR382" s="594"/>
      <c r="AS382" s="594"/>
      <c r="AT382" s="594"/>
      <c r="AU382" s="594"/>
      <c r="AV382" s="594"/>
      <c r="AW382" s="594"/>
      <c r="AX382" s="594"/>
      <c r="AY382" s="594"/>
      <c r="AZ382" s="594"/>
      <c r="BA382" s="594"/>
      <c r="BB382" s="594"/>
      <c r="BC382" s="594"/>
      <c r="BD382" s="594"/>
      <c r="BE382" s="594"/>
      <c r="BF382" s="594"/>
      <c r="BG382" s="594"/>
      <c r="BH382" s="594"/>
      <c r="BI382" s="594"/>
      <c r="BJ382" s="594"/>
      <c r="BK382" s="594"/>
      <c r="BL382" s="57"/>
      <c r="BM382" s="594"/>
      <c r="BN382" s="594"/>
      <c r="BO382" s="594"/>
      <c r="BP382" s="594"/>
      <c r="BQ382" s="594"/>
      <c r="BR382" s="594"/>
      <c r="BS382" s="594"/>
      <c r="BT382" s="594"/>
      <c r="BU382" s="594"/>
      <c r="BV382" s="594"/>
      <c r="BW382" s="594"/>
      <c r="BX382" s="594"/>
      <c r="BY382" s="594"/>
      <c r="BZ382" s="594"/>
      <c r="CA382" s="594"/>
      <c r="CB382" s="594"/>
      <c r="CC382" s="594"/>
      <c r="CD382" s="594"/>
      <c r="CE382" s="594"/>
      <c r="CF382" s="594"/>
      <c r="CG382" s="594"/>
      <c r="CH382" s="594"/>
      <c r="CI382" s="594"/>
      <c r="CJ382" s="594"/>
      <c r="CK382" s="594"/>
      <c r="CL382" s="594"/>
      <c r="CM382" s="594"/>
      <c r="CN382" s="594"/>
      <c r="CO382" s="594"/>
      <c r="CP382" s="594"/>
      <c r="CQ382" s="594"/>
    </row>
    <row r="383" spans="1:95" ht="19.5" hidden="1" customHeight="1" outlineLevel="2">
      <c r="A383" s="709" t="s">
        <v>171</v>
      </c>
      <c r="B383" s="710">
        <f>-SUMIFS('D2 - Capex uso'!BS$6:BS$176,'D2 - Capex uso'!$C$6:$C$176,$A365,'D2 - Capex uso'!$AK$6:$AK$176,$A383)</f>
        <v>0</v>
      </c>
      <c r="C383" s="710">
        <f>-SUMIFS('D2 - Capex uso'!BT$6:BT$176,'D2 - Capex uso'!$C$6:$C$176,$A365,'D2 - Capex uso'!$AK$6:$AK$176,$A383)</f>
        <v>0</v>
      </c>
      <c r="D383" s="710">
        <f>-SUMIFS('D2 - Capex uso'!BU$6:BU$176,'D2 - Capex uso'!$C$6:$C$176,$A365,'D2 - Capex uso'!$AK$6:$AK$176,$A383)</f>
        <v>0</v>
      </c>
      <c r="E383" s="710">
        <f>-SUMIFS('D2 - Capex uso'!BV$6:BV$176,'D2 - Capex uso'!$C$6:$C$176,$A365,'D2 - Capex uso'!$AK$6:$AK$176,$A383)</f>
        <v>0</v>
      </c>
      <c r="F383" s="710">
        <f>-SUMIFS('D2 - Capex uso'!BW$6:BW$176,'D2 - Capex uso'!$C$6:$C$176,$A365,'D2 - Capex uso'!$AK$6:$AK$176,$A383)</f>
        <v>0</v>
      </c>
      <c r="G383" s="710">
        <f>-SUMIFS('D2 - Capex uso'!BX$6:BX$176,'D2 - Capex uso'!$C$6:$C$176,$A365,'D2 - Capex uso'!$AK$6:$AK$176,$A383)</f>
        <v>0</v>
      </c>
      <c r="H383" s="710">
        <f>-SUMIFS('D2 - Capex uso'!BY$6:BY$176,'D2 - Capex uso'!$C$6:$C$176,$A365,'D2 - Capex uso'!$AK$6:$AK$176,$A383)</f>
        <v>0</v>
      </c>
      <c r="I383" s="710">
        <f>-SUMIFS('D2 - Capex uso'!BZ$6:BZ$176,'D2 - Capex uso'!$C$6:$C$176,$A365,'D2 - Capex uso'!$AK$6:$AK$176,$A383)</f>
        <v>0</v>
      </c>
      <c r="J383" s="710">
        <f>-SUMIFS('D2 - Capex uso'!CA$6:CA$176,'D2 - Capex uso'!$C$6:$C$176,$A365,'D2 - Capex uso'!$AK$6:$AK$176,$A383)</f>
        <v>0</v>
      </c>
      <c r="K383" s="710">
        <f>-SUMIFS('D2 - Capex uso'!CB$6:CB$176,'D2 - Capex uso'!$C$6:$C$176,$A365,'D2 - Capex uso'!$AK$6:$AK$176,$A383)</f>
        <v>0</v>
      </c>
      <c r="L383" s="710">
        <f>-SUMIFS('D2 - Capex uso'!CC$6:CC$176,'D2 - Capex uso'!$C$6:$C$176,$A365,'D2 - Capex uso'!$AK$6:$AK$176,$A383)</f>
        <v>0</v>
      </c>
      <c r="M383" s="710">
        <f>-SUMIFS('D2 - Capex uso'!CD$6:CD$176,'D2 - Capex uso'!$C$6:$C$176,$A365,'D2 - Capex uso'!$AK$6:$AK$176,$A383)</f>
        <v>0</v>
      </c>
      <c r="N383" s="710">
        <f>-SUMIFS('D2 - Capex uso'!CE$6:CE$176,'D2 - Capex uso'!$C$6:$C$176,$A365,'D2 - Capex uso'!$AK$6:$AK$176,$A383)</f>
        <v>0</v>
      </c>
      <c r="O383" s="710">
        <f>-SUMIFS('D2 - Capex uso'!CF$6:CF$176,'D2 - Capex uso'!$C$6:$C$176,$A365,'D2 - Capex uso'!$AK$6:$AK$176,$A383)</f>
        <v>0</v>
      </c>
      <c r="P383" s="710">
        <f>-SUMIFS('D2 - Capex uso'!CG$6:CG$176,'D2 - Capex uso'!$C$6:$C$176,$A365,'D2 - Capex uso'!$AK$6:$AK$176,$A383)</f>
        <v>0</v>
      </c>
      <c r="Q383" s="710">
        <f>-SUMIFS('D2 - Capex uso'!CH$6:CH$176,'D2 - Capex uso'!$C$6:$C$176,$A365,'D2 - Capex uso'!$AK$6:$AK$176,$A383)</f>
        <v>0</v>
      </c>
      <c r="R383" s="710">
        <f>-SUMIFS('D2 - Capex uso'!CI$6:CI$176,'D2 - Capex uso'!$C$6:$C$176,$A365,'D2 - Capex uso'!$AK$6:$AK$176,$A383)</f>
        <v>0</v>
      </c>
      <c r="S383" s="710">
        <f>-SUMIFS('D2 - Capex uso'!CJ$6:CJ$176,'D2 - Capex uso'!$C$6:$C$176,$A365,'D2 - Capex uso'!$AK$6:$AK$176,$A383)</f>
        <v>0</v>
      </c>
      <c r="T383" s="710">
        <f>-SUMIFS('D2 - Capex uso'!CK$6:CK$176,'D2 - Capex uso'!$C$6:$C$176,$A365,'D2 - Capex uso'!$AK$6:$AK$176,$A383)</f>
        <v>0</v>
      </c>
      <c r="U383" s="710">
        <f>-SUMIFS('D2 - Capex uso'!CL$6:CL$176,'D2 - Capex uso'!$C$6:$C$176,$A365,'D2 - Capex uso'!$AK$6:$AK$176,$A383)</f>
        <v>0</v>
      </c>
      <c r="V383" s="710">
        <f>-SUMIFS('D2 - Capex uso'!CM$6:CM$176,'D2 - Capex uso'!$C$6:$C$176,$A365,'D2 - Capex uso'!$AK$6:$AK$176,$A383)</f>
        <v>0</v>
      </c>
      <c r="W383" s="710">
        <f>-SUMIFS('D2 - Capex uso'!CN$6:CN$176,'D2 - Capex uso'!$C$6:$C$176,$A365,'D2 - Capex uso'!$AK$6:$AK$176,$A383)</f>
        <v>0</v>
      </c>
      <c r="X383" s="710">
        <f>-SUMIFS('D2 - Capex uso'!CO$6:CO$176,'D2 - Capex uso'!$C$6:$C$176,$A365,'D2 - Capex uso'!$AK$6:$AK$176,$A383)</f>
        <v>0</v>
      </c>
      <c r="Y383" s="710">
        <f>-SUMIFS('D2 - Capex uso'!CP$6:CP$176,'D2 - Capex uso'!$C$6:$C$176,$A365,'D2 - Capex uso'!$AK$6:$AK$176,$A383)</f>
        <v>0</v>
      </c>
      <c r="Z383" s="710">
        <f>-SUMIFS('D2 - Capex uso'!CQ$6:CQ$176,'D2 - Capex uso'!$C$6:$C$176,$A365,'D2 - Capex uso'!$AK$6:$AK$176,$A383)</f>
        <v>0</v>
      </c>
      <c r="AA383" s="710">
        <f>-SUMIFS('D2 - Capex uso'!CR$6:CR$176,'D2 - Capex uso'!$C$6:$C$176,$A365,'D2 - Capex uso'!$AK$6:$AK$176,$A383)</f>
        <v>0</v>
      </c>
      <c r="AB383" s="710">
        <f>-SUMIFS('D2 - Capex uso'!CS$6:CS$176,'D2 - Capex uso'!$C$6:$C$176,$A365,'D2 - Capex uso'!$AK$6:$AK$176,$A383)</f>
        <v>0</v>
      </c>
      <c r="AC383" s="710">
        <f>-SUMIFS('D2 - Capex uso'!CT$6:CT$176,'D2 - Capex uso'!$C$6:$C$176,$A365,'D2 - Capex uso'!$AK$6:$AK$176,$A383)</f>
        <v>0</v>
      </c>
      <c r="AD383" s="710">
        <f>-SUMIFS('D2 - Capex uso'!CU$6:CU$176,'D2 - Capex uso'!$C$6:$C$176,$A365,'D2 - Capex uso'!$AK$6:$AK$176,$A383)</f>
        <v>0</v>
      </c>
      <c r="AE383" s="710">
        <f>-SUMIFS('D2 - Capex uso'!CV$6:CV$176,'D2 - Capex uso'!$C$6:$C$176,$A365,'D2 - Capex uso'!$AK$6:$AK$176,$A383)</f>
        <v>0</v>
      </c>
      <c r="AF383" s="594"/>
      <c r="AG383" s="594"/>
      <c r="AH383" s="594"/>
      <c r="AI383" s="594"/>
      <c r="AJ383" s="594"/>
      <c r="AK383" s="594"/>
      <c r="AL383" s="594"/>
      <c r="AM383" s="594"/>
      <c r="AN383" s="594"/>
      <c r="AO383" s="594"/>
      <c r="AP383" s="594"/>
      <c r="AQ383" s="594"/>
      <c r="AR383" s="594"/>
      <c r="AS383" s="594"/>
      <c r="AT383" s="594"/>
      <c r="AU383" s="594"/>
      <c r="AV383" s="594"/>
      <c r="AW383" s="594"/>
      <c r="AX383" s="594"/>
      <c r="AY383" s="594"/>
      <c r="AZ383" s="594"/>
      <c r="BA383" s="594"/>
      <c r="BB383" s="594"/>
      <c r="BC383" s="594"/>
      <c r="BD383" s="594"/>
      <c r="BE383" s="594"/>
      <c r="BF383" s="594"/>
      <c r="BG383" s="594"/>
      <c r="BH383" s="594"/>
      <c r="BI383" s="594"/>
      <c r="BJ383" s="594"/>
      <c r="BK383" s="594"/>
      <c r="BL383" s="57"/>
      <c r="BM383" s="594"/>
      <c r="BN383" s="594"/>
      <c r="BO383" s="594"/>
      <c r="BP383" s="594"/>
      <c r="BQ383" s="594"/>
      <c r="BR383" s="594"/>
      <c r="BS383" s="594"/>
      <c r="BT383" s="594"/>
      <c r="BU383" s="594"/>
      <c r="BV383" s="594"/>
      <c r="BW383" s="594"/>
      <c r="BX383" s="594"/>
      <c r="BY383" s="594"/>
      <c r="BZ383" s="594"/>
      <c r="CA383" s="594"/>
      <c r="CB383" s="594"/>
      <c r="CC383" s="594"/>
      <c r="CD383" s="594"/>
      <c r="CE383" s="594"/>
      <c r="CF383" s="594"/>
      <c r="CG383" s="594"/>
      <c r="CH383" s="594"/>
      <c r="CI383" s="594"/>
      <c r="CJ383" s="594"/>
      <c r="CK383" s="594"/>
      <c r="CL383" s="594"/>
      <c r="CM383" s="594"/>
      <c r="CN383" s="594"/>
      <c r="CO383" s="594"/>
      <c r="CP383" s="594"/>
      <c r="CQ383" s="594"/>
    </row>
    <row r="384" spans="1:95" ht="31.5" customHeight="1" collapsed="1">
      <c r="A384" s="700" t="s">
        <v>690</v>
      </c>
      <c r="B384" s="711">
        <f t="shared" ref="B384:AE384" si="120">SUM(B4,B23,B42,B61,B80,B99,B118,B137,B156,B175,B194,B213,B232,B251,B270,B289,B308,B327,B346,B365)</f>
        <v>-2871670.1964545413</v>
      </c>
      <c r="C384" s="711">
        <f t="shared" si="120"/>
        <v>22330728.144020792</v>
      </c>
      <c r="D384" s="711">
        <f t="shared" si="120"/>
        <v>23325367.365020789</v>
      </c>
      <c r="E384" s="711">
        <f t="shared" si="120"/>
        <v>24288696.72402079</v>
      </c>
      <c r="F384" s="711">
        <f t="shared" si="120"/>
        <v>25267357.122020796</v>
      </c>
      <c r="G384" s="711">
        <f t="shared" si="120"/>
        <v>25479923.426020805</v>
      </c>
      <c r="H384" s="711">
        <f t="shared" si="120"/>
        <v>27287069.811020803</v>
      </c>
      <c r="I384" s="711">
        <f t="shared" si="120"/>
        <v>28340821.584020797</v>
      </c>
      <c r="J384" s="711">
        <f t="shared" si="120"/>
        <v>29413783.416020803</v>
      </c>
      <c r="K384" s="711">
        <f t="shared" si="120"/>
        <v>30506722.110020798</v>
      </c>
      <c r="L384" s="711">
        <f t="shared" si="120"/>
        <v>26930159.343020808</v>
      </c>
      <c r="M384" s="711">
        <f t="shared" si="120"/>
        <v>32794826.500520803</v>
      </c>
      <c r="N384" s="711">
        <f t="shared" si="120"/>
        <v>33992767.997020796</v>
      </c>
      <c r="O384" s="711">
        <f t="shared" si="120"/>
        <v>35226927.862020798</v>
      </c>
      <c r="P384" s="711">
        <f t="shared" si="120"/>
        <v>36498183.901020788</v>
      </c>
      <c r="Q384" s="711">
        <f t="shared" si="120"/>
        <v>37021064.837020807</v>
      </c>
      <c r="R384" s="711">
        <f t="shared" si="120"/>
        <v>39143615.115520805</v>
      </c>
      <c r="S384" s="711">
        <f t="shared" si="120"/>
        <v>40511581.9880208</v>
      </c>
      <c r="T384" s="711">
        <f t="shared" si="120"/>
        <v>41904526.153020792</v>
      </c>
      <c r="U384" s="711">
        <f t="shared" si="120"/>
        <v>43315974.255020805</v>
      </c>
      <c r="V384" s="711">
        <f t="shared" si="120"/>
        <v>38612280.689020798</v>
      </c>
      <c r="W384" s="711">
        <f t="shared" si="120"/>
        <v>43315974.255020805</v>
      </c>
      <c r="X384" s="711">
        <f t="shared" si="120"/>
        <v>43315974.255020805</v>
      </c>
      <c r="Y384" s="711">
        <f t="shared" si="120"/>
        <v>43315974.255020805</v>
      </c>
      <c r="Z384" s="711">
        <f t="shared" si="120"/>
        <v>43315974.255020805</v>
      </c>
      <c r="AA384" s="711">
        <f t="shared" si="120"/>
        <v>42532765.587020807</v>
      </c>
      <c r="AB384" s="711">
        <f t="shared" si="120"/>
        <v>43315974.255020805</v>
      </c>
      <c r="AC384" s="711">
        <f t="shared" si="120"/>
        <v>43315974.255020805</v>
      </c>
      <c r="AD384" s="711">
        <f t="shared" si="120"/>
        <v>43315974.255020805</v>
      </c>
      <c r="AE384" s="711">
        <f t="shared" si="120"/>
        <v>43315974.255020805</v>
      </c>
      <c r="AF384" s="594"/>
      <c r="AG384" s="702" t="str">
        <f>A384</f>
        <v>CAIXA UGCs</v>
      </c>
      <c r="AH384" s="712">
        <f t="shared" ref="AH384:BK384" si="121">IFERROR(-B387/B385,0)</f>
        <v>0.24487164378509901</v>
      </c>
      <c r="AI384" s="712">
        <f t="shared" si="121"/>
        <v>0.29462449580123934</v>
      </c>
      <c r="AJ384" s="712">
        <f t="shared" si="121"/>
        <v>0.28951737310223996</v>
      </c>
      <c r="AK384" s="712">
        <f t="shared" si="121"/>
        <v>0.28488498142184782</v>
      </c>
      <c r="AL384" s="712">
        <f t="shared" si="121"/>
        <v>0.28046620414190565</v>
      </c>
      <c r="AM384" s="712">
        <f t="shared" si="121"/>
        <v>0.27624138137585713</v>
      </c>
      <c r="AN384" s="712">
        <f t="shared" si="121"/>
        <v>0.27215752124641207</v>
      </c>
      <c r="AO384" s="712">
        <f t="shared" si="121"/>
        <v>0.26820450803975671</v>
      </c>
      <c r="AP384" s="712">
        <f t="shared" si="121"/>
        <v>0.26441814590934121</v>
      </c>
      <c r="AQ384" s="712">
        <f t="shared" si="121"/>
        <v>0.26078599278657921</v>
      </c>
      <c r="AR384" s="712">
        <f t="shared" si="121"/>
        <v>0.25725932285637759</v>
      </c>
      <c r="AS384" s="712">
        <f t="shared" si="121"/>
        <v>0.25383803503282015</v>
      </c>
      <c r="AT384" s="712">
        <f t="shared" si="121"/>
        <v>0.25051318507833958</v>
      </c>
      <c r="AU384" s="712">
        <f t="shared" si="121"/>
        <v>0.24728786407045916</v>
      </c>
      <c r="AV384" s="712">
        <f t="shared" si="121"/>
        <v>0.24415893150590834</v>
      </c>
      <c r="AW384" s="712">
        <f t="shared" si="121"/>
        <v>0.24113109539953231</v>
      </c>
      <c r="AX384" s="712">
        <f t="shared" si="121"/>
        <v>0.23820616218893054</v>
      </c>
      <c r="AY384" s="712">
        <f t="shared" si="121"/>
        <v>0.23539111390016343</v>
      </c>
      <c r="AZ384" s="712">
        <f t="shared" si="121"/>
        <v>0.23268811611313522</v>
      </c>
      <c r="BA384" s="712">
        <f t="shared" si="121"/>
        <v>0.2301031303795846</v>
      </c>
      <c r="BB384" s="712">
        <f t="shared" si="121"/>
        <v>0.2301031303795846</v>
      </c>
      <c r="BC384" s="712">
        <f t="shared" si="121"/>
        <v>0.2301031303795846</v>
      </c>
      <c r="BD384" s="712">
        <f t="shared" si="121"/>
        <v>0.2301031303795846</v>
      </c>
      <c r="BE384" s="712">
        <f t="shared" si="121"/>
        <v>0.2301031303795846</v>
      </c>
      <c r="BF384" s="712">
        <f t="shared" si="121"/>
        <v>0.2301031303795846</v>
      </c>
      <c r="BG384" s="712">
        <f t="shared" si="121"/>
        <v>0.2301031303795846</v>
      </c>
      <c r="BH384" s="712">
        <f t="shared" si="121"/>
        <v>0.2301031303795846</v>
      </c>
      <c r="BI384" s="712">
        <f t="shared" si="121"/>
        <v>0.2301031303795846</v>
      </c>
      <c r="BJ384" s="712">
        <f t="shared" si="121"/>
        <v>0.2301031303795846</v>
      </c>
      <c r="BK384" s="712">
        <f t="shared" si="121"/>
        <v>0.2301031303795846</v>
      </c>
      <c r="BL384" s="57"/>
      <c r="BM384" s="702" t="str">
        <f>AG384</f>
        <v>CAIXA UGCs</v>
      </c>
      <c r="BN384" s="705">
        <f t="shared" ref="BN384:CQ384" si="122">IFERROR(B393/B385,0)</f>
        <v>0.61262835621490108</v>
      </c>
      <c r="BO384" s="705">
        <f t="shared" si="122"/>
        <v>0.52588724845831025</v>
      </c>
      <c r="BP384" s="705">
        <f t="shared" si="122"/>
        <v>0.53099411927346463</v>
      </c>
      <c r="BQ384" s="705">
        <f t="shared" si="122"/>
        <v>0.53562665714161817</v>
      </c>
      <c r="BR384" s="705">
        <f t="shared" si="122"/>
        <v>0.54004561312960619</v>
      </c>
      <c r="BS384" s="705">
        <f t="shared" si="122"/>
        <v>0.54427055065406016</v>
      </c>
      <c r="BT384" s="705">
        <f t="shared" si="122"/>
        <v>0.54835401797196315</v>
      </c>
      <c r="BU384" s="705">
        <f t="shared" si="122"/>
        <v>0.55230712468439203</v>
      </c>
      <c r="BV384" s="705">
        <f t="shared" si="122"/>
        <v>0.55609336629498851</v>
      </c>
      <c r="BW384" s="705">
        <f t="shared" si="122"/>
        <v>0.55972594865616287</v>
      </c>
      <c r="BX384" s="705">
        <f t="shared" si="122"/>
        <v>0.56325249342894201</v>
      </c>
      <c r="BY384" s="705">
        <f t="shared" si="122"/>
        <v>0.56667366020921617</v>
      </c>
      <c r="BZ384" s="705">
        <f t="shared" si="122"/>
        <v>0.56999861489409342</v>
      </c>
      <c r="CA384" s="705">
        <f t="shared" si="122"/>
        <v>0.57322386176372098</v>
      </c>
      <c r="CB384" s="705">
        <f t="shared" si="122"/>
        <v>0.57635279417769425</v>
      </c>
      <c r="CC384" s="705">
        <f t="shared" si="122"/>
        <v>0.57938070506738981</v>
      </c>
      <c r="CD384" s="705">
        <f t="shared" si="122"/>
        <v>0.58230572507810763</v>
      </c>
      <c r="CE384" s="705">
        <f t="shared" si="122"/>
        <v>0.58512060145825828</v>
      </c>
      <c r="CF384" s="705">
        <f t="shared" si="122"/>
        <v>0.5878234616080068</v>
      </c>
      <c r="CG384" s="705">
        <f t="shared" si="122"/>
        <v>0.59040847435149357</v>
      </c>
      <c r="CH384" s="705">
        <f t="shared" si="122"/>
        <v>0.59040847435149357</v>
      </c>
      <c r="CI384" s="705">
        <f t="shared" si="122"/>
        <v>0.59040847435149357</v>
      </c>
      <c r="CJ384" s="705">
        <f t="shared" si="122"/>
        <v>0.59040847435149357</v>
      </c>
      <c r="CK384" s="705">
        <f t="shared" si="122"/>
        <v>0.59040847435149357</v>
      </c>
      <c r="CL384" s="705">
        <f t="shared" si="122"/>
        <v>0.59040847435149357</v>
      </c>
      <c r="CM384" s="705">
        <f t="shared" si="122"/>
        <v>0.59040847435149357</v>
      </c>
      <c r="CN384" s="705">
        <f t="shared" si="122"/>
        <v>0.59040847435149357</v>
      </c>
      <c r="CO384" s="705">
        <f t="shared" si="122"/>
        <v>0.59040847435149357</v>
      </c>
      <c r="CP384" s="705">
        <f t="shared" si="122"/>
        <v>0.59040847435149357</v>
      </c>
      <c r="CQ384" s="705">
        <f t="shared" si="122"/>
        <v>0.59040847435149357</v>
      </c>
    </row>
    <row r="385" spans="1:95" ht="33.75" hidden="1" customHeight="1" outlineLevel="1">
      <c r="A385" s="706" t="s">
        <v>680</v>
      </c>
      <c r="B385" s="707">
        <f t="shared" ref="B385:AE385" si="123">SUMIF($A$4:$A$383,$A385,B$4:B$383)</f>
        <v>14119245</v>
      </c>
      <c r="C385" s="707">
        <f t="shared" si="123"/>
        <v>42462958</v>
      </c>
      <c r="D385" s="707">
        <f t="shared" si="123"/>
        <v>43927732</v>
      </c>
      <c r="E385" s="707">
        <f t="shared" si="123"/>
        <v>45346318</v>
      </c>
      <c r="F385" s="707">
        <f t="shared" si="123"/>
        <v>46787450</v>
      </c>
      <c r="G385" s="707">
        <f t="shared" si="123"/>
        <v>48253818</v>
      </c>
      <c r="H385" s="707">
        <f t="shared" si="123"/>
        <v>49761776</v>
      </c>
      <c r="I385" s="707">
        <f t="shared" si="123"/>
        <v>51313518</v>
      </c>
      <c r="J385" s="707">
        <f t="shared" si="123"/>
        <v>52893606</v>
      </c>
      <c r="K385" s="707">
        <f t="shared" si="123"/>
        <v>54502962</v>
      </c>
      <c r="L385" s="707">
        <f t="shared" si="123"/>
        <v>56162828</v>
      </c>
      <c r="M385" s="707">
        <f t="shared" si="123"/>
        <v>57872509</v>
      </c>
      <c r="N385" s="707">
        <f t="shared" si="123"/>
        <v>59636580</v>
      </c>
      <c r="O385" s="707">
        <f t="shared" si="123"/>
        <v>61454050</v>
      </c>
      <c r="P385" s="707">
        <f t="shared" si="123"/>
        <v>63326116</v>
      </c>
      <c r="Q385" s="707">
        <f t="shared" si="123"/>
        <v>65249452</v>
      </c>
      <c r="R385" s="707">
        <f t="shared" si="123"/>
        <v>67221759</v>
      </c>
      <c r="S385" s="707">
        <f t="shared" si="123"/>
        <v>69236294</v>
      </c>
      <c r="T385" s="707">
        <f t="shared" si="123"/>
        <v>71287604</v>
      </c>
      <c r="U385" s="707">
        <f t="shared" si="123"/>
        <v>73366112</v>
      </c>
      <c r="V385" s="707">
        <f t="shared" si="123"/>
        <v>73366112</v>
      </c>
      <c r="W385" s="707">
        <f t="shared" si="123"/>
        <v>73366112</v>
      </c>
      <c r="X385" s="707">
        <f t="shared" si="123"/>
        <v>73366112</v>
      </c>
      <c r="Y385" s="707">
        <f t="shared" si="123"/>
        <v>73366112</v>
      </c>
      <c r="Z385" s="707">
        <f t="shared" si="123"/>
        <v>73366112</v>
      </c>
      <c r="AA385" s="707">
        <f t="shared" si="123"/>
        <v>73366112</v>
      </c>
      <c r="AB385" s="707">
        <f t="shared" si="123"/>
        <v>73366112</v>
      </c>
      <c r="AC385" s="707">
        <f t="shared" si="123"/>
        <v>73366112</v>
      </c>
      <c r="AD385" s="707">
        <f t="shared" si="123"/>
        <v>73366112</v>
      </c>
      <c r="AE385" s="707">
        <f t="shared" si="123"/>
        <v>73366112</v>
      </c>
      <c r="AF385" s="594"/>
      <c r="AG385" s="594"/>
      <c r="AH385" s="594"/>
      <c r="AI385" s="594"/>
      <c r="AJ385" s="594"/>
      <c r="AK385" s="594"/>
      <c r="AL385" s="594"/>
      <c r="AM385" s="594"/>
      <c r="AN385" s="594"/>
      <c r="AO385" s="594"/>
      <c r="AP385" s="594"/>
      <c r="AQ385" s="594"/>
      <c r="AR385" s="594"/>
      <c r="AS385" s="594"/>
      <c r="AT385" s="594"/>
      <c r="AU385" s="594"/>
      <c r="AV385" s="594"/>
      <c r="AW385" s="594"/>
      <c r="AX385" s="594"/>
      <c r="AY385" s="594"/>
      <c r="AZ385" s="594"/>
      <c r="BA385" s="594"/>
      <c r="BB385" s="594"/>
      <c r="BC385" s="594"/>
      <c r="BD385" s="594"/>
      <c r="BE385" s="594"/>
      <c r="BF385" s="594"/>
      <c r="BG385" s="594"/>
      <c r="BH385" s="594"/>
      <c r="BI385" s="594"/>
      <c r="BJ385" s="594"/>
      <c r="BK385" s="594"/>
      <c r="BL385" s="57"/>
      <c r="BM385" s="594"/>
      <c r="BN385" s="594"/>
      <c r="BO385" s="594"/>
      <c r="BP385" s="594"/>
      <c r="BQ385" s="594"/>
      <c r="BR385" s="594"/>
      <c r="BS385" s="594"/>
      <c r="BT385" s="594"/>
      <c r="BU385" s="594"/>
      <c r="BV385" s="594"/>
      <c r="BW385" s="594"/>
      <c r="BX385" s="594"/>
      <c r="BY385" s="594"/>
      <c r="BZ385" s="594"/>
      <c r="CA385" s="594"/>
      <c r="CB385" s="594"/>
      <c r="CC385" s="594"/>
      <c r="CD385" s="594"/>
      <c r="CE385" s="594"/>
      <c r="CF385" s="594"/>
      <c r="CG385" s="594"/>
      <c r="CH385" s="594"/>
      <c r="CI385" s="594"/>
      <c r="CJ385" s="594"/>
      <c r="CK385" s="594"/>
      <c r="CL385" s="594"/>
      <c r="CM385" s="594"/>
      <c r="CN385" s="594"/>
      <c r="CO385" s="594"/>
      <c r="CP385" s="594"/>
      <c r="CQ385" s="594"/>
    </row>
    <row r="386" spans="1:95" ht="21" hidden="1" customHeight="1" outlineLevel="1">
      <c r="A386" s="708" t="s">
        <v>681</v>
      </c>
      <c r="B386" s="707">
        <f t="shared" ref="B386:AE386" si="124">SUMIF($A$4:$A$383,$A386,B$4:B$383)</f>
        <v>-2011992.4125000003</v>
      </c>
      <c r="C386" s="707">
        <f t="shared" si="124"/>
        <v>-7621602.2650000015</v>
      </c>
      <c r="D386" s="707">
        <f t="shared" si="124"/>
        <v>-7884523.0600000005</v>
      </c>
      <c r="E386" s="707">
        <f t="shared" si="124"/>
        <v>-8139136.3150000013</v>
      </c>
      <c r="F386" s="707">
        <f t="shared" si="124"/>
        <v>-8397794.3750000037</v>
      </c>
      <c r="G386" s="707">
        <f t="shared" si="124"/>
        <v>-8660984.5650000032</v>
      </c>
      <c r="H386" s="707">
        <f t="shared" si="124"/>
        <v>-8931664.5800000001</v>
      </c>
      <c r="I386" s="707">
        <f t="shared" si="124"/>
        <v>-9210179.5649999995</v>
      </c>
      <c r="J386" s="707">
        <f t="shared" si="124"/>
        <v>-9493793.3550000004</v>
      </c>
      <c r="K386" s="707">
        <f t="shared" si="124"/>
        <v>-9782630.834999999</v>
      </c>
      <c r="L386" s="707">
        <f t="shared" si="124"/>
        <v>-10080563.99</v>
      </c>
      <c r="M386" s="707">
        <f t="shared" si="124"/>
        <v>-10387438.532500003</v>
      </c>
      <c r="N386" s="707">
        <f t="shared" si="124"/>
        <v>-10704062.400000004</v>
      </c>
      <c r="O386" s="707">
        <f t="shared" si="124"/>
        <v>-11030281.374999996</v>
      </c>
      <c r="P386" s="707">
        <f t="shared" si="124"/>
        <v>-11366295.280000007</v>
      </c>
      <c r="Q386" s="707">
        <f t="shared" si="124"/>
        <v>-11711506.660000002</v>
      </c>
      <c r="R386" s="707">
        <f t="shared" si="124"/>
        <v>-12065506.657499997</v>
      </c>
      <c r="S386" s="707">
        <f t="shared" si="124"/>
        <v>-12427103.645</v>
      </c>
      <c r="T386" s="707">
        <f t="shared" si="124"/>
        <v>-12795299.570000002</v>
      </c>
      <c r="U386" s="707">
        <f t="shared" si="124"/>
        <v>-13168365.710000003</v>
      </c>
      <c r="V386" s="707">
        <f t="shared" si="124"/>
        <v>-13168365.710000003</v>
      </c>
      <c r="W386" s="707">
        <f t="shared" si="124"/>
        <v>-13168365.710000003</v>
      </c>
      <c r="X386" s="707">
        <f t="shared" si="124"/>
        <v>-13168365.710000003</v>
      </c>
      <c r="Y386" s="707">
        <f t="shared" si="124"/>
        <v>-13168365.710000003</v>
      </c>
      <c r="Z386" s="707">
        <f t="shared" si="124"/>
        <v>-13168365.710000003</v>
      </c>
      <c r="AA386" s="707">
        <f t="shared" si="124"/>
        <v>-13168365.710000003</v>
      </c>
      <c r="AB386" s="707">
        <f t="shared" si="124"/>
        <v>-13168365.710000003</v>
      </c>
      <c r="AC386" s="707">
        <f t="shared" si="124"/>
        <v>-13168365.710000003</v>
      </c>
      <c r="AD386" s="707">
        <f t="shared" si="124"/>
        <v>-13168365.710000003</v>
      </c>
      <c r="AE386" s="707">
        <f t="shared" si="124"/>
        <v>-13168365.710000003</v>
      </c>
      <c r="AF386" s="594"/>
      <c r="AG386" s="594"/>
      <c r="AH386" s="594"/>
      <c r="AI386" s="594"/>
      <c r="AJ386" s="594"/>
      <c r="AK386" s="594"/>
      <c r="AL386" s="594"/>
      <c r="AM386" s="594"/>
      <c r="AN386" s="594"/>
      <c r="AO386" s="594"/>
      <c r="AP386" s="594"/>
      <c r="AQ386" s="594"/>
      <c r="AR386" s="594"/>
      <c r="AS386" s="594"/>
      <c r="AT386" s="594"/>
      <c r="AU386" s="594"/>
      <c r="AV386" s="594"/>
      <c r="AW386" s="594"/>
      <c r="AX386" s="594"/>
      <c r="AY386" s="594"/>
      <c r="AZ386" s="594"/>
      <c r="BA386" s="594"/>
      <c r="BB386" s="594"/>
      <c r="BC386" s="594"/>
      <c r="BD386" s="594"/>
      <c r="BE386" s="594"/>
      <c r="BF386" s="594"/>
      <c r="BG386" s="594"/>
      <c r="BH386" s="594"/>
      <c r="BI386" s="594"/>
      <c r="BJ386" s="594"/>
      <c r="BK386" s="594"/>
      <c r="BL386" s="57"/>
      <c r="BM386" s="594"/>
      <c r="BN386" s="594"/>
      <c r="BO386" s="594"/>
      <c r="BP386" s="594"/>
      <c r="BQ386" s="594"/>
      <c r="BR386" s="594"/>
      <c r="BS386" s="594"/>
      <c r="BT386" s="594"/>
      <c r="BU386" s="594"/>
      <c r="BV386" s="594"/>
      <c r="BW386" s="594"/>
      <c r="BX386" s="594"/>
      <c r="BY386" s="594"/>
      <c r="BZ386" s="594"/>
      <c r="CA386" s="594"/>
      <c r="CB386" s="594"/>
      <c r="CC386" s="594"/>
      <c r="CD386" s="594"/>
      <c r="CE386" s="594"/>
      <c r="CF386" s="594"/>
      <c r="CG386" s="594"/>
      <c r="CH386" s="594"/>
      <c r="CI386" s="594"/>
      <c r="CJ386" s="594"/>
      <c r="CK386" s="594"/>
      <c r="CL386" s="594"/>
      <c r="CM386" s="594"/>
      <c r="CN386" s="594"/>
      <c r="CO386" s="594"/>
      <c r="CP386" s="594"/>
      <c r="CQ386" s="594"/>
    </row>
    <row r="387" spans="1:95" ht="19.5" hidden="1" customHeight="1" outlineLevel="1">
      <c r="A387" s="708" t="s">
        <v>590</v>
      </c>
      <c r="B387" s="707">
        <f t="shared" ref="B387:AE387" si="125">SUMIF($A$4:$A$383,$A387,B$4:B$383)</f>
        <v>-3457402.7321545403</v>
      </c>
      <c r="C387" s="707">
        <f t="shared" si="125"/>
        <v>-12510627.590979202</v>
      </c>
      <c r="D387" s="707">
        <f t="shared" si="125"/>
        <v>-12717841.574979205</v>
      </c>
      <c r="E387" s="707">
        <f t="shared" si="125"/>
        <v>-12918484.960979203</v>
      </c>
      <c r="F387" s="707">
        <f t="shared" si="125"/>
        <v>-13122298.502979204</v>
      </c>
      <c r="G387" s="707">
        <f t="shared" si="125"/>
        <v>-13329701.3409792</v>
      </c>
      <c r="H387" s="707">
        <f t="shared" si="125"/>
        <v>-13543041.608979199</v>
      </c>
      <c r="I387" s="707">
        <f t="shared" si="125"/>
        <v>-13762516.8509792</v>
      </c>
      <c r="J387" s="707">
        <f t="shared" si="125"/>
        <v>-13986029.228979206</v>
      </c>
      <c r="K387" s="707">
        <f t="shared" si="125"/>
        <v>-14213609.054979201</v>
      </c>
      <c r="L387" s="707">
        <f t="shared" si="125"/>
        <v>-14448411.100979203</v>
      </c>
      <c r="M387" s="707">
        <f t="shared" si="125"/>
        <v>-14690243.966979198</v>
      </c>
      <c r="N387" s="707">
        <f t="shared" si="125"/>
        <v>-14939749.602979204</v>
      </c>
      <c r="O387" s="707">
        <f t="shared" si="125"/>
        <v>-15196840.7629792</v>
      </c>
      <c r="P387" s="707">
        <f t="shared" si="125"/>
        <v>-15461636.818979206</v>
      </c>
      <c r="Q387" s="707">
        <f t="shared" si="125"/>
        <v>-15733671.834979204</v>
      </c>
      <c r="R387" s="707">
        <f t="shared" si="125"/>
        <v>-16012637.226979202</v>
      </c>
      <c r="S387" s="707">
        <f t="shared" si="125"/>
        <v>-16297608.366979202</v>
      </c>
      <c r="T387" s="707">
        <f t="shared" si="125"/>
        <v>-16587778.276979202</v>
      </c>
      <c r="U387" s="707">
        <f t="shared" si="125"/>
        <v>-16881772.034979206</v>
      </c>
      <c r="V387" s="707">
        <f t="shared" si="125"/>
        <v>-16881772.034979206</v>
      </c>
      <c r="W387" s="707">
        <f t="shared" si="125"/>
        <v>-16881772.034979206</v>
      </c>
      <c r="X387" s="707">
        <f t="shared" si="125"/>
        <v>-16881772.034979206</v>
      </c>
      <c r="Y387" s="707">
        <f t="shared" si="125"/>
        <v>-16881772.034979206</v>
      </c>
      <c r="Z387" s="707">
        <f t="shared" si="125"/>
        <v>-16881772.034979206</v>
      </c>
      <c r="AA387" s="707">
        <f t="shared" si="125"/>
        <v>-16881772.034979206</v>
      </c>
      <c r="AB387" s="707">
        <f t="shared" si="125"/>
        <v>-16881772.034979206</v>
      </c>
      <c r="AC387" s="707">
        <f t="shared" si="125"/>
        <v>-16881772.034979206</v>
      </c>
      <c r="AD387" s="707">
        <f t="shared" si="125"/>
        <v>-16881772.034979206</v>
      </c>
      <c r="AE387" s="707">
        <f t="shared" si="125"/>
        <v>-16881772.034979206</v>
      </c>
      <c r="AF387" s="594"/>
      <c r="AG387" s="594"/>
      <c r="AH387" s="594"/>
      <c r="AI387" s="594"/>
      <c r="AJ387" s="594"/>
      <c r="AK387" s="594"/>
      <c r="AL387" s="594"/>
      <c r="AM387" s="594"/>
      <c r="AN387" s="594"/>
      <c r="AO387" s="594"/>
      <c r="AP387" s="594"/>
      <c r="AQ387" s="594"/>
      <c r="AR387" s="594"/>
      <c r="AS387" s="594"/>
      <c r="AT387" s="594"/>
      <c r="AU387" s="594"/>
      <c r="AV387" s="594"/>
      <c r="AW387" s="594"/>
      <c r="AX387" s="594"/>
      <c r="AY387" s="594"/>
      <c r="AZ387" s="594"/>
      <c r="BA387" s="594"/>
      <c r="BB387" s="594"/>
      <c r="BC387" s="594"/>
      <c r="BD387" s="594"/>
      <c r="BE387" s="594"/>
      <c r="BF387" s="594"/>
      <c r="BG387" s="594"/>
      <c r="BH387" s="594"/>
      <c r="BI387" s="594"/>
      <c r="BJ387" s="594"/>
      <c r="BK387" s="594"/>
      <c r="BL387" s="57"/>
      <c r="BM387" s="594"/>
      <c r="BN387" s="594"/>
      <c r="BO387" s="594"/>
      <c r="BP387" s="594"/>
      <c r="BQ387" s="594"/>
      <c r="BR387" s="594"/>
      <c r="BS387" s="594"/>
      <c r="BT387" s="594"/>
      <c r="BU387" s="594"/>
      <c r="BV387" s="594"/>
      <c r="BW387" s="594"/>
      <c r="BX387" s="594"/>
      <c r="BY387" s="594"/>
      <c r="BZ387" s="594"/>
      <c r="CA387" s="594"/>
      <c r="CB387" s="594"/>
      <c r="CC387" s="594"/>
      <c r="CD387" s="594"/>
      <c r="CE387" s="594"/>
      <c r="CF387" s="594"/>
      <c r="CG387" s="594"/>
      <c r="CH387" s="594"/>
      <c r="CI387" s="594"/>
      <c r="CJ387" s="594"/>
      <c r="CK387" s="594"/>
      <c r="CL387" s="594"/>
      <c r="CM387" s="594"/>
      <c r="CN387" s="594"/>
      <c r="CO387" s="594"/>
      <c r="CP387" s="594"/>
      <c r="CQ387" s="594"/>
    </row>
    <row r="388" spans="1:95" ht="21" hidden="1" customHeight="1" outlineLevel="2">
      <c r="A388" s="709" t="s">
        <v>682</v>
      </c>
      <c r="B388" s="710">
        <f t="shared" ref="B388:AE388" si="126">SUMIF($A$4:$A$383,$A388,B$4:B$383)</f>
        <v>-1478037.21946454</v>
      </c>
      <c r="C388" s="710">
        <f t="shared" si="126"/>
        <v>-5707931.3902891986</v>
      </c>
      <c r="D388" s="710">
        <f t="shared" si="126"/>
        <v>-5707931.3902891986</v>
      </c>
      <c r="E388" s="710">
        <f t="shared" si="126"/>
        <v>-5707931.3902891986</v>
      </c>
      <c r="F388" s="710">
        <f t="shared" si="126"/>
        <v>-5707931.3902891986</v>
      </c>
      <c r="G388" s="710">
        <f t="shared" si="126"/>
        <v>-5707931.3902891986</v>
      </c>
      <c r="H388" s="710">
        <f t="shared" si="126"/>
        <v>-5707931.3902891986</v>
      </c>
      <c r="I388" s="710">
        <f t="shared" si="126"/>
        <v>-5707931.3902891986</v>
      </c>
      <c r="J388" s="710">
        <f t="shared" si="126"/>
        <v>-5707931.3902891986</v>
      </c>
      <c r="K388" s="710">
        <f t="shared" si="126"/>
        <v>-5707931.3902891986</v>
      </c>
      <c r="L388" s="710">
        <f t="shared" si="126"/>
        <v>-5707931.3902891986</v>
      </c>
      <c r="M388" s="710">
        <f t="shared" si="126"/>
        <v>-5707931.3902891986</v>
      </c>
      <c r="N388" s="710">
        <f t="shared" si="126"/>
        <v>-5707931.3902891986</v>
      </c>
      <c r="O388" s="710">
        <f t="shared" si="126"/>
        <v>-5707931.3902891986</v>
      </c>
      <c r="P388" s="710">
        <f t="shared" si="126"/>
        <v>-5707931.3902891986</v>
      </c>
      <c r="Q388" s="710">
        <f t="shared" si="126"/>
        <v>-5707931.3902891986</v>
      </c>
      <c r="R388" s="710">
        <f t="shared" si="126"/>
        <v>-5707931.3902891986</v>
      </c>
      <c r="S388" s="710">
        <f t="shared" si="126"/>
        <v>-5707931.3902891986</v>
      </c>
      <c r="T388" s="710">
        <f t="shared" si="126"/>
        <v>-5707931.3902891986</v>
      </c>
      <c r="U388" s="710">
        <f t="shared" si="126"/>
        <v>-5707931.3902891986</v>
      </c>
      <c r="V388" s="710">
        <f t="shared" si="126"/>
        <v>-5707931.3902891986</v>
      </c>
      <c r="W388" s="710">
        <f t="shared" si="126"/>
        <v>-5707931.3902891986</v>
      </c>
      <c r="X388" s="710">
        <f t="shared" si="126"/>
        <v>-5707931.3902891986</v>
      </c>
      <c r="Y388" s="710">
        <f t="shared" si="126"/>
        <v>-5707931.3902891986</v>
      </c>
      <c r="Z388" s="710">
        <f t="shared" si="126"/>
        <v>-5707931.3902891986</v>
      </c>
      <c r="AA388" s="710">
        <f t="shared" si="126"/>
        <v>-5707931.3902891986</v>
      </c>
      <c r="AB388" s="710">
        <f t="shared" si="126"/>
        <v>-5707931.3902891986</v>
      </c>
      <c r="AC388" s="710">
        <f t="shared" si="126"/>
        <v>-5707931.3902891986</v>
      </c>
      <c r="AD388" s="710">
        <f t="shared" si="126"/>
        <v>-5707931.3902891986</v>
      </c>
      <c r="AE388" s="710">
        <f t="shared" si="126"/>
        <v>-5707931.3902891986</v>
      </c>
      <c r="AF388" s="594"/>
      <c r="AG388" s="594"/>
      <c r="AH388" s="594"/>
      <c r="AI388" s="594"/>
      <c r="AJ388" s="594"/>
      <c r="AK388" s="594"/>
      <c r="AL388" s="594"/>
      <c r="AM388" s="594"/>
      <c r="AN388" s="594"/>
      <c r="AO388" s="594"/>
      <c r="AP388" s="594"/>
      <c r="AQ388" s="594"/>
      <c r="AR388" s="594"/>
      <c r="AS388" s="594"/>
      <c r="AT388" s="594"/>
      <c r="AU388" s="594"/>
      <c r="AV388" s="594"/>
      <c r="AW388" s="594"/>
      <c r="AX388" s="594"/>
      <c r="AY388" s="594"/>
      <c r="AZ388" s="594"/>
      <c r="BA388" s="594"/>
      <c r="BB388" s="594"/>
      <c r="BC388" s="594"/>
      <c r="BD388" s="594"/>
      <c r="BE388" s="594"/>
      <c r="BF388" s="594"/>
      <c r="BG388" s="594"/>
      <c r="BH388" s="594"/>
      <c r="BI388" s="594"/>
      <c r="BJ388" s="594"/>
      <c r="BK388" s="594"/>
      <c r="BL388" s="57"/>
      <c r="BM388" s="594"/>
      <c r="BN388" s="594"/>
      <c r="BO388" s="594"/>
      <c r="BP388" s="594"/>
      <c r="BQ388" s="594"/>
      <c r="BR388" s="594"/>
      <c r="BS388" s="594"/>
      <c r="BT388" s="594"/>
      <c r="BU388" s="594"/>
      <c r="BV388" s="594"/>
      <c r="BW388" s="594"/>
      <c r="BX388" s="594"/>
      <c r="BY388" s="594"/>
      <c r="BZ388" s="594"/>
      <c r="CA388" s="594"/>
      <c r="CB388" s="594"/>
      <c r="CC388" s="594"/>
      <c r="CD388" s="594"/>
      <c r="CE388" s="594"/>
      <c r="CF388" s="594"/>
      <c r="CG388" s="594"/>
      <c r="CH388" s="594"/>
      <c r="CI388" s="594"/>
      <c r="CJ388" s="594"/>
      <c r="CK388" s="594"/>
      <c r="CL388" s="594"/>
      <c r="CM388" s="594"/>
      <c r="CN388" s="594"/>
      <c r="CO388" s="594"/>
      <c r="CP388" s="594"/>
      <c r="CQ388" s="594"/>
    </row>
    <row r="389" spans="1:95" ht="21" hidden="1" customHeight="1" outlineLevel="2">
      <c r="A389" s="709" t="s">
        <v>683</v>
      </c>
      <c r="B389" s="710">
        <f t="shared" ref="B389:AE389" si="127">SUMIF($A$4:$A$383,$A389,B$4:B$383)</f>
        <v>-956971.05</v>
      </c>
      <c r="C389" s="710">
        <f t="shared" si="127"/>
        <v>-5326802.33</v>
      </c>
      <c r="D389" s="710">
        <f t="shared" si="127"/>
        <v>-5510579.9299999997</v>
      </c>
      <c r="E389" s="710">
        <f t="shared" si="127"/>
        <v>-5688525.9399999995</v>
      </c>
      <c r="F389" s="710">
        <f t="shared" si="127"/>
        <v>-5869281.3700000001</v>
      </c>
      <c r="G389" s="710">
        <f t="shared" si="127"/>
        <v>-6053222.3200000003</v>
      </c>
      <c r="H389" s="710">
        <f t="shared" si="127"/>
        <v>-6242435.2599999998</v>
      </c>
      <c r="I389" s="710">
        <f t="shared" si="127"/>
        <v>-6437082.6299999999</v>
      </c>
      <c r="J389" s="710">
        <f t="shared" si="127"/>
        <v>-6635313.5999999996</v>
      </c>
      <c r="K389" s="710">
        <f t="shared" si="127"/>
        <v>-6837143.7300000004</v>
      </c>
      <c r="L389" s="710">
        <f t="shared" si="127"/>
        <v>-7045387.9199999999</v>
      </c>
      <c r="M389" s="710">
        <f t="shared" si="127"/>
        <v>-7259865.8900000006</v>
      </c>
      <c r="N389" s="710">
        <f t="shared" si="127"/>
        <v>-7481146.3900000006</v>
      </c>
      <c r="O389" s="710">
        <f t="shared" si="127"/>
        <v>-7709158.0300000003</v>
      </c>
      <c r="P389" s="710">
        <f t="shared" si="127"/>
        <v>-7944001.0300000003</v>
      </c>
      <c r="Q389" s="710">
        <f t="shared" si="127"/>
        <v>-8185262.6699999999</v>
      </c>
      <c r="R389" s="710">
        <f t="shared" si="127"/>
        <v>-8432671.1500000004</v>
      </c>
      <c r="S389" s="710">
        <f t="shared" si="127"/>
        <v>-8685409.7300000004</v>
      </c>
      <c r="T389" s="710">
        <f t="shared" si="127"/>
        <v>-8942758.6799999997</v>
      </c>
      <c r="U389" s="710">
        <f t="shared" si="127"/>
        <v>-9203496.3100000005</v>
      </c>
      <c r="V389" s="710">
        <f t="shared" si="127"/>
        <v>-9203496.3100000005</v>
      </c>
      <c r="W389" s="710">
        <f t="shared" si="127"/>
        <v>-9203496.3100000005</v>
      </c>
      <c r="X389" s="710">
        <f t="shared" si="127"/>
        <v>-9203496.3100000005</v>
      </c>
      <c r="Y389" s="710">
        <f t="shared" si="127"/>
        <v>-9203496.3100000005</v>
      </c>
      <c r="Z389" s="710">
        <f t="shared" si="127"/>
        <v>-9203496.3100000005</v>
      </c>
      <c r="AA389" s="710">
        <f t="shared" si="127"/>
        <v>-9203496.3100000005</v>
      </c>
      <c r="AB389" s="710">
        <f t="shared" si="127"/>
        <v>-9203496.3100000005</v>
      </c>
      <c r="AC389" s="710">
        <f t="shared" si="127"/>
        <v>-9203496.3100000005</v>
      </c>
      <c r="AD389" s="710">
        <f t="shared" si="127"/>
        <v>-9203496.3100000005</v>
      </c>
      <c r="AE389" s="710">
        <f t="shared" si="127"/>
        <v>-9203496.3100000005</v>
      </c>
      <c r="AF389" s="594"/>
      <c r="AG389" s="594"/>
      <c r="AH389" s="594"/>
      <c r="AI389" s="594"/>
      <c r="AJ389" s="594"/>
      <c r="AK389" s="594"/>
      <c r="AL389" s="594"/>
      <c r="AM389" s="594"/>
      <c r="AN389" s="594"/>
      <c r="AO389" s="594"/>
      <c r="AP389" s="594"/>
      <c r="AQ389" s="594"/>
      <c r="AR389" s="594"/>
      <c r="AS389" s="594"/>
      <c r="AT389" s="594"/>
      <c r="AU389" s="594"/>
      <c r="AV389" s="594"/>
      <c r="AW389" s="594"/>
      <c r="AX389" s="594"/>
      <c r="AY389" s="594"/>
      <c r="AZ389" s="594"/>
      <c r="BA389" s="594"/>
      <c r="BB389" s="594"/>
      <c r="BC389" s="594"/>
      <c r="BD389" s="594"/>
      <c r="BE389" s="594"/>
      <c r="BF389" s="594"/>
      <c r="BG389" s="594"/>
      <c r="BH389" s="594"/>
      <c r="BI389" s="594"/>
      <c r="BJ389" s="594"/>
      <c r="BK389" s="594"/>
      <c r="BL389" s="57"/>
      <c r="BM389" s="594"/>
      <c r="BN389" s="594"/>
      <c r="BO389" s="594"/>
      <c r="BP389" s="594"/>
      <c r="BQ389" s="594"/>
      <c r="BR389" s="594"/>
      <c r="BS389" s="594"/>
      <c r="BT389" s="594"/>
      <c r="BU389" s="594"/>
      <c r="BV389" s="594"/>
      <c r="BW389" s="594"/>
      <c r="BX389" s="594"/>
      <c r="BY389" s="594"/>
      <c r="BZ389" s="594"/>
      <c r="CA389" s="594"/>
      <c r="CB389" s="594"/>
      <c r="CC389" s="594"/>
      <c r="CD389" s="594"/>
      <c r="CE389" s="594"/>
      <c r="CF389" s="594"/>
      <c r="CG389" s="594"/>
      <c r="CH389" s="594"/>
      <c r="CI389" s="594"/>
      <c r="CJ389" s="594"/>
      <c r="CK389" s="594"/>
      <c r="CL389" s="594"/>
      <c r="CM389" s="594"/>
      <c r="CN389" s="594"/>
      <c r="CO389" s="594"/>
      <c r="CP389" s="594"/>
      <c r="CQ389" s="594"/>
    </row>
    <row r="390" spans="1:95" ht="21" hidden="1" customHeight="1" outlineLevel="2">
      <c r="A390" s="709" t="s">
        <v>684</v>
      </c>
      <c r="B390" s="710">
        <f t="shared" ref="B390:AE390" si="128">SUMIF($A$4:$A$383,$A390,B$4:B$383)</f>
        <v>-151764.5</v>
      </c>
      <c r="C390" s="710">
        <f t="shared" si="128"/>
        <v>-151764.5</v>
      </c>
      <c r="D390" s="710">
        <f t="shared" si="128"/>
        <v>-151764.5</v>
      </c>
      <c r="E390" s="710">
        <f t="shared" si="128"/>
        <v>-151764.5</v>
      </c>
      <c r="F390" s="710">
        <f t="shared" si="128"/>
        <v>-151764.5</v>
      </c>
      <c r="G390" s="710">
        <f t="shared" si="128"/>
        <v>-151764.5</v>
      </c>
      <c r="H390" s="710">
        <f t="shared" si="128"/>
        <v>-151764.5</v>
      </c>
      <c r="I390" s="710">
        <f t="shared" si="128"/>
        <v>-151764.5</v>
      </c>
      <c r="J390" s="710">
        <f t="shared" si="128"/>
        <v>-151764.5</v>
      </c>
      <c r="K390" s="710">
        <f t="shared" si="128"/>
        <v>-151764.5</v>
      </c>
      <c r="L390" s="710">
        <f t="shared" si="128"/>
        <v>-151764.5</v>
      </c>
      <c r="M390" s="710">
        <f t="shared" si="128"/>
        <v>-151764.5</v>
      </c>
      <c r="N390" s="710">
        <f t="shared" si="128"/>
        <v>-151764.5</v>
      </c>
      <c r="O390" s="710">
        <f t="shared" si="128"/>
        <v>-151764.5</v>
      </c>
      <c r="P390" s="710">
        <f t="shared" si="128"/>
        <v>-151764.5</v>
      </c>
      <c r="Q390" s="710">
        <f t="shared" si="128"/>
        <v>-151764.5</v>
      </c>
      <c r="R390" s="710">
        <f t="shared" si="128"/>
        <v>-151764.5</v>
      </c>
      <c r="S390" s="710">
        <f t="shared" si="128"/>
        <v>-151764.5</v>
      </c>
      <c r="T390" s="710">
        <f t="shared" si="128"/>
        <v>-151764.5</v>
      </c>
      <c r="U390" s="710">
        <f t="shared" si="128"/>
        <v>-151764.5</v>
      </c>
      <c r="V390" s="710">
        <f t="shared" si="128"/>
        <v>-151764.5</v>
      </c>
      <c r="W390" s="710">
        <f t="shared" si="128"/>
        <v>-151764.5</v>
      </c>
      <c r="X390" s="710">
        <f t="shared" si="128"/>
        <v>-151764.5</v>
      </c>
      <c r="Y390" s="710">
        <f t="shared" si="128"/>
        <v>-151764.5</v>
      </c>
      <c r="Z390" s="710">
        <f t="shared" si="128"/>
        <v>-151764.5</v>
      </c>
      <c r="AA390" s="710">
        <f t="shared" si="128"/>
        <v>-151764.5</v>
      </c>
      <c r="AB390" s="710">
        <f t="shared" si="128"/>
        <v>-151764.5</v>
      </c>
      <c r="AC390" s="710">
        <f t="shared" si="128"/>
        <v>-151764.5</v>
      </c>
      <c r="AD390" s="710">
        <f t="shared" si="128"/>
        <v>-151764.5</v>
      </c>
      <c r="AE390" s="710">
        <f t="shared" si="128"/>
        <v>-151764.5</v>
      </c>
      <c r="AF390" s="594"/>
      <c r="AG390" s="594"/>
      <c r="AH390" s="594"/>
      <c r="AI390" s="594"/>
      <c r="AJ390" s="594"/>
      <c r="AK390" s="594"/>
      <c r="AL390" s="594"/>
      <c r="AM390" s="594"/>
      <c r="AN390" s="594"/>
      <c r="AO390" s="594"/>
      <c r="AP390" s="594"/>
      <c r="AQ390" s="594"/>
      <c r="AR390" s="594"/>
      <c r="AS390" s="594"/>
      <c r="AT390" s="594"/>
      <c r="AU390" s="594"/>
      <c r="AV390" s="594"/>
      <c r="AW390" s="594"/>
      <c r="AX390" s="594"/>
      <c r="AY390" s="594"/>
      <c r="AZ390" s="594"/>
      <c r="BA390" s="594"/>
      <c r="BB390" s="594"/>
      <c r="BC390" s="594"/>
      <c r="BD390" s="594"/>
      <c r="BE390" s="594"/>
      <c r="BF390" s="594"/>
      <c r="BG390" s="594"/>
      <c r="BH390" s="594"/>
      <c r="BI390" s="594"/>
      <c r="BJ390" s="594"/>
      <c r="BK390" s="594"/>
      <c r="BL390" s="57"/>
      <c r="BM390" s="594"/>
      <c r="BN390" s="594"/>
      <c r="BO390" s="594"/>
      <c r="BP390" s="594"/>
      <c r="BQ390" s="594"/>
      <c r="BR390" s="594"/>
      <c r="BS390" s="594"/>
      <c r="BT390" s="594"/>
      <c r="BU390" s="594"/>
      <c r="BV390" s="594"/>
      <c r="BW390" s="594"/>
      <c r="BX390" s="594"/>
      <c r="BY390" s="594"/>
      <c r="BZ390" s="594"/>
      <c r="CA390" s="594"/>
      <c r="CB390" s="594"/>
      <c r="CC390" s="594"/>
      <c r="CD390" s="594"/>
      <c r="CE390" s="594"/>
      <c r="CF390" s="594"/>
      <c r="CG390" s="594"/>
      <c r="CH390" s="594"/>
      <c r="CI390" s="594"/>
      <c r="CJ390" s="594"/>
      <c r="CK390" s="594"/>
      <c r="CL390" s="594"/>
      <c r="CM390" s="594"/>
      <c r="CN390" s="594"/>
      <c r="CO390" s="594"/>
      <c r="CP390" s="594"/>
      <c r="CQ390" s="594"/>
    </row>
    <row r="391" spans="1:95" ht="21" hidden="1" customHeight="1" outlineLevel="2">
      <c r="A391" s="709" t="s">
        <v>685</v>
      </c>
      <c r="B391" s="710">
        <f t="shared" ref="B391:AE391" si="129">SUMIF($A$4:$A$383,$A391,B$4:B$383)</f>
        <v>-225907.92</v>
      </c>
      <c r="C391" s="710">
        <f t="shared" si="129"/>
        <v>-679407.32800000021</v>
      </c>
      <c r="D391" s="710">
        <f t="shared" si="129"/>
        <v>-702843.71199999994</v>
      </c>
      <c r="E391" s="710">
        <f t="shared" si="129"/>
        <v>-725541.08799999999</v>
      </c>
      <c r="F391" s="710">
        <f t="shared" si="129"/>
        <v>-748599.2</v>
      </c>
      <c r="G391" s="710">
        <f t="shared" si="129"/>
        <v>-772061.08800000011</v>
      </c>
      <c r="H391" s="710">
        <f t="shared" si="129"/>
        <v>-796188.41600000008</v>
      </c>
      <c r="I391" s="710">
        <f t="shared" si="129"/>
        <v>-821016.28800000029</v>
      </c>
      <c r="J391" s="710">
        <f t="shared" si="129"/>
        <v>-846297.69599999988</v>
      </c>
      <c r="K391" s="710">
        <f t="shared" si="129"/>
        <v>-872047.39199999999</v>
      </c>
      <c r="L391" s="710">
        <f t="shared" si="129"/>
        <v>-898605.24800000025</v>
      </c>
      <c r="M391" s="710">
        <f t="shared" si="129"/>
        <v>-925960.14400000044</v>
      </c>
      <c r="N391" s="710">
        <f t="shared" si="129"/>
        <v>-954185.27999999991</v>
      </c>
      <c r="O391" s="710">
        <f t="shared" si="129"/>
        <v>-983264.8000000004</v>
      </c>
      <c r="P391" s="710">
        <f t="shared" si="129"/>
        <v>-1013217.8559999997</v>
      </c>
      <c r="Q391" s="710">
        <f t="shared" si="129"/>
        <v>-1043991.232</v>
      </c>
      <c r="R391" s="710">
        <f t="shared" si="129"/>
        <v>-1075548.1439999999</v>
      </c>
      <c r="S391" s="710">
        <f t="shared" si="129"/>
        <v>-1107780.7040000001</v>
      </c>
      <c r="T391" s="710">
        <f t="shared" si="129"/>
        <v>-1140601.6639999999</v>
      </c>
      <c r="U391" s="710">
        <f t="shared" si="129"/>
        <v>-1173857.7920000001</v>
      </c>
      <c r="V391" s="710">
        <f t="shared" si="129"/>
        <v>-1173857.7920000001</v>
      </c>
      <c r="W391" s="710">
        <f t="shared" si="129"/>
        <v>-1173857.7920000001</v>
      </c>
      <c r="X391" s="710">
        <f t="shared" si="129"/>
        <v>-1173857.7920000001</v>
      </c>
      <c r="Y391" s="710">
        <f t="shared" si="129"/>
        <v>-1173857.7920000001</v>
      </c>
      <c r="Z391" s="710">
        <f t="shared" si="129"/>
        <v>-1173857.7920000001</v>
      </c>
      <c r="AA391" s="710">
        <f t="shared" si="129"/>
        <v>-1173857.7920000001</v>
      </c>
      <c r="AB391" s="710">
        <f t="shared" si="129"/>
        <v>-1173857.7920000001</v>
      </c>
      <c r="AC391" s="710">
        <f t="shared" si="129"/>
        <v>-1173857.7920000001</v>
      </c>
      <c r="AD391" s="710">
        <f t="shared" si="129"/>
        <v>-1173857.7920000001</v>
      </c>
      <c r="AE391" s="710">
        <f t="shared" si="129"/>
        <v>-1173857.7920000001</v>
      </c>
      <c r="AF391" s="594"/>
      <c r="AG391" s="594"/>
      <c r="AH391" s="594"/>
      <c r="AI391" s="594"/>
      <c r="AJ391" s="594"/>
      <c r="AK391" s="594"/>
      <c r="AL391" s="594"/>
      <c r="AM391" s="594"/>
      <c r="AN391" s="594"/>
      <c r="AO391" s="594"/>
      <c r="AP391" s="594"/>
      <c r="AQ391" s="594"/>
      <c r="AR391" s="594"/>
      <c r="AS391" s="594"/>
      <c r="AT391" s="594"/>
      <c r="AU391" s="594"/>
      <c r="AV391" s="594"/>
      <c r="AW391" s="594"/>
      <c r="AX391" s="594"/>
      <c r="AY391" s="594"/>
      <c r="AZ391" s="594"/>
      <c r="BA391" s="594"/>
      <c r="BB391" s="594"/>
      <c r="BC391" s="594"/>
      <c r="BD391" s="594"/>
      <c r="BE391" s="594"/>
      <c r="BF391" s="594"/>
      <c r="BG391" s="594"/>
      <c r="BH391" s="594"/>
      <c r="BI391" s="594"/>
      <c r="BJ391" s="594"/>
      <c r="BK391" s="594"/>
      <c r="BL391" s="57"/>
      <c r="BM391" s="594"/>
      <c r="BN391" s="594"/>
      <c r="BO391" s="594"/>
      <c r="BP391" s="594"/>
      <c r="BQ391" s="594"/>
      <c r="BR391" s="594"/>
      <c r="BS391" s="594"/>
      <c r="BT391" s="594"/>
      <c r="BU391" s="594"/>
      <c r="BV391" s="594"/>
      <c r="BW391" s="594"/>
      <c r="BX391" s="594"/>
      <c r="BY391" s="594"/>
      <c r="BZ391" s="594"/>
      <c r="CA391" s="594"/>
      <c r="CB391" s="594"/>
      <c r="CC391" s="594"/>
      <c r="CD391" s="594"/>
      <c r="CE391" s="594"/>
      <c r="CF391" s="594"/>
      <c r="CG391" s="594"/>
      <c r="CH391" s="594"/>
      <c r="CI391" s="594"/>
      <c r="CJ391" s="594"/>
      <c r="CK391" s="594"/>
      <c r="CL391" s="594"/>
      <c r="CM391" s="594"/>
      <c r="CN391" s="594"/>
      <c r="CO391" s="594"/>
      <c r="CP391" s="594"/>
      <c r="CQ391" s="594"/>
    </row>
    <row r="392" spans="1:95" ht="21" hidden="1" customHeight="1" outlineLevel="2">
      <c r="A392" s="709" t="s">
        <v>686</v>
      </c>
      <c r="B392" s="710">
        <f t="shared" ref="B392:AE392" si="130">SUMIF($A$4:$A$383,$A392,B$4:B$383)</f>
        <v>-644722.04269000015</v>
      </c>
      <c r="C392" s="710">
        <f t="shared" si="130"/>
        <v>-644722.04269000015</v>
      </c>
      <c r="D392" s="710">
        <f t="shared" si="130"/>
        <v>-644722.04269000015</v>
      </c>
      <c r="E392" s="710">
        <f t="shared" si="130"/>
        <v>-644722.04269000015</v>
      </c>
      <c r="F392" s="710">
        <f t="shared" si="130"/>
        <v>-644722.04269000015</v>
      </c>
      <c r="G392" s="710">
        <f t="shared" si="130"/>
        <v>-644722.04269000015</v>
      </c>
      <c r="H392" s="710">
        <f t="shared" si="130"/>
        <v>-644722.04269000015</v>
      </c>
      <c r="I392" s="710">
        <f t="shared" si="130"/>
        <v>-644722.04269000015</v>
      </c>
      <c r="J392" s="710">
        <f t="shared" si="130"/>
        <v>-644722.04269000015</v>
      </c>
      <c r="K392" s="710">
        <f t="shared" si="130"/>
        <v>-644722.04269000015</v>
      </c>
      <c r="L392" s="710">
        <f t="shared" si="130"/>
        <v>-644722.04269000015</v>
      </c>
      <c r="M392" s="710">
        <f t="shared" si="130"/>
        <v>-644722.04269000015</v>
      </c>
      <c r="N392" s="710">
        <f t="shared" si="130"/>
        <v>-644722.04269000015</v>
      </c>
      <c r="O392" s="710">
        <f t="shared" si="130"/>
        <v>-644722.04269000015</v>
      </c>
      <c r="P392" s="710">
        <f t="shared" si="130"/>
        <v>-644722.04269000015</v>
      </c>
      <c r="Q392" s="710">
        <f t="shared" si="130"/>
        <v>-644722.04269000015</v>
      </c>
      <c r="R392" s="710">
        <f t="shared" si="130"/>
        <v>-644722.04269000015</v>
      </c>
      <c r="S392" s="710">
        <f t="shared" si="130"/>
        <v>-644722.04269000015</v>
      </c>
      <c r="T392" s="710">
        <f t="shared" si="130"/>
        <v>-644722.04269000015</v>
      </c>
      <c r="U392" s="710">
        <f t="shared" si="130"/>
        <v>-644722.04269000015</v>
      </c>
      <c r="V392" s="710">
        <f t="shared" si="130"/>
        <v>-644722.04269000015</v>
      </c>
      <c r="W392" s="710">
        <f t="shared" si="130"/>
        <v>-644722.04269000015</v>
      </c>
      <c r="X392" s="710">
        <f t="shared" si="130"/>
        <v>-644722.04269000015</v>
      </c>
      <c r="Y392" s="710">
        <f t="shared" si="130"/>
        <v>-644722.04269000015</v>
      </c>
      <c r="Z392" s="710">
        <f t="shared" si="130"/>
        <v>-644722.04269000015</v>
      </c>
      <c r="AA392" s="710">
        <f t="shared" si="130"/>
        <v>-644722.04269000015</v>
      </c>
      <c r="AB392" s="710">
        <f t="shared" si="130"/>
        <v>-644722.04269000015</v>
      </c>
      <c r="AC392" s="710">
        <f t="shared" si="130"/>
        <v>-644722.04269000015</v>
      </c>
      <c r="AD392" s="710">
        <f t="shared" si="130"/>
        <v>-644722.04269000015</v>
      </c>
      <c r="AE392" s="710">
        <f t="shared" si="130"/>
        <v>-644722.04269000015</v>
      </c>
      <c r="AF392" s="594"/>
      <c r="AG392" s="594"/>
      <c r="AH392" s="594"/>
      <c r="AI392" s="594"/>
      <c r="AJ392" s="594"/>
      <c r="AK392" s="594"/>
      <c r="AL392" s="594"/>
      <c r="AM392" s="594"/>
      <c r="AN392" s="594"/>
      <c r="AO392" s="594"/>
      <c r="AP392" s="594"/>
      <c r="AQ392" s="594"/>
      <c r="AR392" s="594"/>
      <c r="AS392" s="594"/>
      <c r="AT392" s="594"/>
      <c r="AU392" s="594"/>
      <c r="AV392" s="594"/>
      <c r="AW392" s="594"/>
      <c r="AX392" s="594"/>
      <c r="AY392" s="594"/>
      <c r="AZ392" s="594"/>
      <c r="BA392" s="594"/>
      <c r="BB392" s="594"/>
      <c r="BC392" s="594"/>
      <c r="BD392" s="594"/>
      <c r="BE392" s="594"/>
      <c r="BF392" s="594"/>
      <c r="BG392" s="594"/>
      <c r="BH392" s="594"/>
      <c r="BI392" s="594"/>
      <c r="BJ392" s="594"/>
      <c r="BK392" s="594"/>
      <c r="BL392" s="57"/>
      <c r="BM392" s="594"/>
      <c r="BN392" s="594"/>
      <c r="BO392" s="594"/>
      <c r="BP392" s="594"/>
      <c r="BQ392" s="594"/>
      <c r="BR392" s="594"/>
      <c r="BS392" s="594"/>
      <c r="BT392" s="594"/>
      <c r="BU392" s="594"/>
      <c r="BV392" s="594"/>
      <c r="BW392" s="594"/>
      <c r="BX392" s="594"/>
      <c r="BY392" s="594"/>
      <c r="BZ392" s="594"/>
      <c r="CA392" s="594"/>
      <c r="CB392" s="594"/>
      <c r="CC392" s="594"/>
      <c r="CD392" s="594"/>
      <c r="CE392" s="594"/>
      <c r="CF392" s="594"/>
      <c r="CG392" s="594"/>
      <c r="CH392" s="594"/>
      <c r="CI392" s="594"/>
      <c r="CJ392" s="594"/>
      <c r="CK392" s="594"/>
      <c r="CL392" s="594"/>
      <c r="CM392" s="594"/>
      <c r="CN392" s="594"/>
      <c r="CO392" s="594"/>
      <c r="CP392" s="594"/>
      <c r="CQ392" s="594"/>
    </row>
    <row r="393" spans="1:95" ht="21" hidden="1" customHeight="1" outlineLevel="1">
      <c r="A393" s="708" t="s">
        <v>687</v>
      </c>
      <c r="B393" s="707">
        <f t="shared" ref="B393:AE393" si="131">SUMIF($A$4:$A$383,$A393,B$4:B$383)</f>
        <v>8649849.8553454615</v>
      </c>
      <c r="C393" s="707">
        <f t="shared" si="131"/>
        <v>22330728.144020792</v>
      </c>
      <c r="D393" s="707">
        <f t="shared" si="131"/>
        <v>23325367.365020789</v>
      </c>
      <c r="E393" s="707">
        <f t="shared" si="131"/>
        <v>24288696.72402079</v>
      </c>
      <c r="F393" s="707">
        <f t="shared" si="131"/>
        <v>25267357.122020796</v>
      </c>
      <c r="G393" s="707">
        <f t="shared" si="131"/>
        <v>26263132.094020803</v>
      </c>
      <c r="H393" s="707">
        <f t="shared" si="131"/>
        <v>27287069.811020803</v>
      </c>
      <c r="I393" s="707">
        <f t="shared" si="131"/>
        <v>28340821.584020797</v>
      </c>
      <c r="J393" s="707">
        <f t="shared" si="131"/>
        <v>29413783.416020803</v>
      </c>
      <c r="K393" s="707">
        <f t="shared" si="131"/>
        <v>30506722.110020798</v>
      </c>
      <c r="L393" s="707">
        <f t="shared" si="131"/>
        <v>31633852.9090208</v>
      </c>
      <c r="M393" s="707">
        <f t="shared" si="131"/>
        <v>32794826.500520803</v>
      </c>
      <c r="N393" s="707">
        <f t="shared" si="131"/>
        <v>33992767.997020796</v>
      </c>
      <c r="O393" s="707">
        <f t="shared" si="131"/>
        <v>35226927.862020798</v>
      </c>
      <c r="P393" s="707">
        <f t="shared" si="131"/>
        <v>36498183.901020788</v>
      </c>
      <c r="Q393" s="707">
        <f t="shared" si="131"/>
        <v>37804273.505020805</v>
      </c>
      <c r="R393" s="707">
        <f t="shared" si="131"/>
        <v>39143615.115520805</v>
      </c>
      <c r="S393" s="707">
        <f t="shared" si="131"/>
        <v>40511581.9880208</v>
      </c>
      <c r="T393" s="707">
        <f t="shared" si="131"/>
        <v>41904526.153020792</v>
      </c>
      <c r="U393" s="707">
        <f t="shared" si="131"/>
        <v>43315974.255020805</v>
      </c>
      <c r="V393" s="707">
        <f t="shared" si="131"/>
        <v>43315974.255020805</v>
      </c>
      <c r="W393" s="707">
        <f t="shared" si="131"/>
        <v>43315974.255020805</v>
      </c>
      <c r="X393" s="707">
        <f t="shared" si="131"/>
        <v>43315974.255020805</v>
      </c>
      <c r="Y393" s="707">
        <f t="shared" si="131"/>
        <v>43315974.255020805</v>
      </c>
      <c r="Z393" s="707">
        <f t="shared" si="131"/>
        <v>43315974.255020805</v>
      </c>
      <c r="AA393" s="707">
        <f t="shared" si="131"/>
        <v>43315974.255020805</v>
      </c>
      <c r="AB393" s="707">
        <f t="shared" si="131"/>
        <v>43315974.255020805</v>
      </c>
      <c r="AC393" s="707">
        <f t="shared" si="131"/>
        <v>43315974.255020805</v>
      </c>
      <c r="AD393" s="707">
        <f t="shared" si="131"/>
        <v>43315974.255020805</v>
      </c>
      <c r="AE393" s="707">
        <f t="shared" si="131"/>
        <v>43315974.255020805</v>
      </c>
      <c r="AF393" s="594"/>
      <c r="AG393" s="594"/>
      <c r="AH393" s="594"/>
      <c r="AI393" s="594"/>
      <c r="AJ393" s="594"/>
      <c r="AK393" s="594"/>
      <c r="AL393" s="594"/>
      <c r="AM393" s="594"/>
      <c r="AN393" s="594"/>
      <c r="AO393" s="594"/>
      <c r="AP393" s="594"/>
      <c r="AQ393" s="594"/>
      <c r="AR393" s="594"/>
      <c r="AS393" s="594"/>
      <c r="AT393" s="594"/>
      <c r="AU393" s="594"/>
      <c r="AV393" s="594"/>
      <c r="AW393" s="594"/>
      <c r="AX393" s="594"/>
      <c r="AY393" s="594"/>
      <c r="AZ393" s="594"/>
      <c r="BA393" s="594"/>
      <c r="BB393" s="594"/>
      <c r="BC393" s="594"/>
      <c r="BD393" s="594"/>
      <c r="BE393" s="594"/>
      <c r="BF393" s="594"/>
      <c r="BG393" s="594"/>
      <c r="BH393" s="594"/>
      <c r="BI393" s="594"/>
      <c r="BJ393" s="594"/>
      <c r="BK393" s="594"/>
      <c r="BL393" s="57"/>
      <c r="BM393" s="594"/>
      <c r="BN393" s="594"/>
      <c r="BO393" s="594"/>
      <c r="BP393" s="594"/>
      <c r="BQ393" s="594"/>
      <c r="BR393" s="594"/>
      <c r="BS393" s="594"/>
      <c r="BT393" s="594"/>
      <c r="BU393" s="594"/>
      <c r="BV393" s="594"/>
      <c r="BW393" s="594"/>
      <c r="BX393" s="594"/>
      <c r="BY393" s="594"/>
      <c r="BZ393" s="594"/>
      <c r="CA393" s="594"/>
      <c r="CB393" s="594"/>
      <c r="CC393" s="594"/>
      <c r="CD393" s="594"/>
      <c r="CE393" s="594"/>
      <c r="CF393" s="594"/>
      <c r="CG393" s="594"/>
      <c r="CH393" s="594"/>
      <c r="CI393" s="594"/>
      <c r="CJ393" s="594"/>
      <c r="CK393" s="594"/>
      <c r="CL393" s="594"/>
      <c r="CM393" s="594"/>
      <c r="CN393" s="594"/>
      <c r="CO393" s="594"/>
      <c r="CP393" s="594"/>
      <c r="CQ393" s="594"/>
    </row>
    <row r="394" spans="1:95" ht="19.5" hidden="1" customHeight="1" outlineLevel="1">
      <c r="A394" s="708" t="s">
        <v>688</v>
      </c>
      <c r="B394" s="707">
        <f t="shared" ref="B394:AE394" si="132">SUMIF($A$4:$A$383,$A394,B$4:B$383)</f>
        <v>-11521520.051800001</v>
      </c>
      <c r="C394" s="707">
        <f t="shared" si="132"/>
        <v>0</v>
      </c>
      <c r="D394" s="707">
        <f t="shared" si="132"/>
        <v>0</v>
      </c>
      <c r="E394" s="707">
        <f t="shared" si="132"/>
        <v>0</v>
      </c>
      <c r="F394" s="707">
        <f t="shared" si="132"/>
        <v>0</v>
      </c>
      <c r="G394" s="707">
        <f t="shared" si="132"/>
        <v>-783208.66800000006</v>
      </c>
      <c r="H394" s="707">
        <f t="shared" si="132"/>
        <v>0</v>
      </c>
      <c r="I394" s="707">
        <f t="shared" si="132"/>
        <v>0</v>
      </c>
      <c r="J394" s="707">
        <f t="shared" si="132"/>
        <v>0</v>
      </c>
      <c r="K394" s="707">
        <f t="shared" si="132"/>
        <v>0</v>
      </c>
      <c r="L394" s="707">
        <f t="shared" si="132"/>
        <v>-4703693.5659999996</v>
      </c>
      <c r="M394" s="707">
        <f t="shared" si="132"/>
        <v>0</v>
      </c>
      <c r="N394" s="707">
        <f t="shared" si="132"/>
        <v>0</v>
      </c>
      <c r="O394" s="707">
        <f t="shared" si="132"/>
        <v>0</v>
      </c>
      <c r="P394" s="707">
        <f t="shared" si="132"/>
        <v>0</v>
      </c>
      <c r="Q394" s="707">
        <f t="shared" si="132"/>
        <v>-783208.66800000006</v>
      </c>
      <c r="R394" s="707">
        <f t="shared" si="132"/>
        <v>0</v>
      </c>
      <c r="S394" s="707">
        <f t="shared" si="132"/>
        <v>0</v>
      </c>
      <c r="T394" s="707">
        <f t="shared" si="132"/>
        <v>0</v>
      </c>
      <c r="U394" s="707">
        <f t="shared" si="132"/>
        <v>0</v>
      </c>
      <c r="V394" s="707">
        <f t="shared" si="132"/>
        <v>-4703693.5659999996</v>
      </c>
      <c r="W394" s="707">
        <f t="shared" si="132"/>
        <v>0</v>
      </c>
      <c r="X394" s="707">
        <f t="shared" si="132"/>
        <v>0</v>
      </c>
      <c r="Y394" s="707">
        <f t="shared" si="132"/>
        <v>0</v>
      </c>
      <c r="Z394" s="707">
        <f t="shared" si="132"/>
        <v>0</v>
      </c>
      <c r="AA394" s="707">
        <f t="shared" si="132"/>
        <v>-783208.66800000006</v>
      </c>
      <c r="AB394" s="707">
        <f t="shared" si="132"/>
        <v>0</v>
      </c>
      <c r="AC394" s="707">
        <f t="shared" si="132"/>
        <v>0</v>
      </c>
      <c r="AD394" s="707">
        <f t="shared" si="132"/>
        <v>0</v>
      </c>
      <c r="AE394" s="707">
        <f t="shared" si="132"/>
        <v>0</v>
      </c>
      <c r="AF394" s="594"/>
      <c r="AG394" s="594"/>
      <c r="AH394" s="594"/>
      <c r="AI394" s="594"/>
      <c r="AJ394" s="594"/>
      <c r="AK394" s="594"/>
      <c r="AL394" s="594"/>
      <c r="AM394" s="594"/>
      <c r="AN394" s="594"/>
      <c r="AO394" s="594"/>
      <c r="AP394" s="594"/>
      <c r="AQ394" s="594"/>
      <c r="AR394" s="594"/>
      <c r="AS394" s="594"/>
      <c r="AT394" s="594"/>
      <c r="AU394" s="594"/>
      <c r="AV394" s="594"/>
      <c r="AW394" s="594"/>
      <c r="AX394" s="594"/>
      <c r="AY394" s="594"/>
      <c r="AZ394" s="594"/>
      <c r="BA394" s="594"/>
      <c r="BB394" s="594"/>
      <c r="BC394" s="594"/>
      <c r="BD394" s="594"/>
      <c r="BE394" s="594"/>
      <c r="BF394" s="594"/>
      <c r="BG394" s="594"/>
      <c r="BH394" s="594"/>
      <c r="BI394" s="594"/>
      <c r="BJ394" s="594"/>
      <c r="BK394" s="594"/>
      <c r="BL394" s="57"/>
      <c r="BM394" s="594"/>
      <c r="BN394" s="594"/>
      <c r="BO394" s="594"/>
      <c r="BP394" s="594"/>
      <c r="BQ394" s="594"/>
      <c r="BR394" s="594"/>
      <c r="BS394" s="594"/>
      <c r="BT394" s="594"/>
      <c r="BU394" s="594"/>
      <c r="BV394" s="594"/>
      <c r="BW394" s="594"/>
      <c r="BX394" s="594"/>
      <c r="BY394" s="594"/>
      <c r="BZ394" s="594"/>
      <c r="CA394" s="594"/>
      <c r="CB394" s="594"/>
      <c r="CC394" s="594"/>
      <c r="CD394" s="594"/>
      <c r="CE394" s="594"/>
      <c r="CF394" s="594"/>
      <c r="CG394" s="594"/>
      <c r="CH394" s="594"/>
      <c r="CI394" s="594"/>
      <c r="CJ394" s="594"/>
      <c r="CK394" s="594"/>
      <c r="CL394" s="594"/>
      <c r="CM394" s="594"/>
      <c r="CN394" s="594"/>
      <c r="CO394" s="594"/>
      <c r="CP394" s="594"/>
      <c r="CQ394" s="594"/>
    </row>
    <row r="395" spans="1:95" ht="19.5" hidden="1" customHeight="1" outlineLevel="2">
      <c r="A395" s="709" t="s">
        <v>354</v>
      </c>
      <c r="B395" s="710">
        <f t="shared" ref="B395:AE395" si="133">SUMIF($A$4:$A$383,$A395,B$4:B$383)</f>
        <v>-4851519.4838000005</v>
      </c>
      <c r="C395" s="710">
        <f t="shared" si="133"/>
        <v>0</v>
      </c>
      <c r="D395" s="710">
        <f t="shared" si="133"/>
        <v>0</v>
      </c>
      <c r="E395" s="710">
        <f t="shared" si="133"/>
        <v>0</v>
      </c>
      <c r="F395" s="710">
        <f t="shared" si="133"/>
        <v>0</v>
      </c>
      <c r="G395" s="710">
        <f t="shared" si="133"/>
        <v>0</v>
      </c>
      <c r="H395" s="710">
        <f t="shared" si="133"/>
        <v>0</v>
      </c>
      <c r="I395" s="710">
        <f t="shared" si="133"/>
        <v>0</v>
      </c>
      <c r="J395" s="710">
        <f t="shared" si="133"/>
        <v>0</v>
      </c>
      <c r="K395" s="710">
        <f t="shared" si="133"/>
        <v>0</v>
      </c>
      <c r="L395" s="710">
        <f t="shared" si="133"/>
        <v>0</v>
      </c>
      <c r="M395" s="710">
        <f t="shared" si="133"/>
        <v>0</v>
      </c>
      <c r="N395" s="710">
        <f t="shared" si="133"/>
        <v>0</v>
      </c>
      <c r="O395" s="710">
        <f t="shared" si="133"/>
        <v>0</v>
      </c>
      <c r="P395" s="710">
        <f t="shared" si="133"/>
        <v>0</v>
      </c>
      <c r="Q395" s="710">
        <f t="shared" si="133"/>
        <v>0</v>
      </c>
      <c r="R395" s="710">
        <f t="shared" si="133"/>
        <v>0</v>
      </c>
      <c r="S395" s="710">
        <f t="shared" si="133"/>
        <v>0</v>
      </c>
      <c r="T395" s="710">
        <f t="shared" si="133"/>
        <v>0</v>
      </c>
      <c r="U395" s="710">
        <f t="shared" si="133"/>
        <v>0</v>
      </c>
      <c r="V395" s="710">
        <f t="shared" si="133"/>
        <v>0</v>
      </c>
      <c r="W395" s="710">
        <f t="shared" si="133"/>
        <v>0</v>
      </c>
      <c r="X395" s="710">
        <f t="shared" si="133"/>
        <v>0</v>
      </c>
      <c r="Y395" s="710">
        <f t="shared" si="133"/>
        <v>0</v>
      </c>
      <c r="Z395" s="710">
        <f t="shared" si="133"/>
        <v>0</v>
      </c>
      <c r="AA395" s="710">
        <f t="shared" si="133"/>
        <v>0</v>
      </c>
      <c r="AB395" s="710">
        <f t="shared" si="133"/>
        <v>0</v>
      </c>
      <c r="AC395" s="710">
        <f t="shared" si="133"/>
        <v>0</v>
      </c>
      <c r="AD395" s="710">
        <f t="shared" si="133"/>
        <v>0</v>
      </c>
      <c r="AE395" s="710">
        <f t="shared" si="133"/>
        <v>0</v>
      </c>
      <c r="AF395" s="594"/>
      <c r="AG395" s="594"/>
      <c r="AH395" s="594"/>
      <c r="AI395" s="594"/>
      <c r="AJ395" s="594"/>
      <c r="AK395" s="594"/>
      <c r="AL395" s="594"/>
      <c r="AM395" s="594"/>
      <c r="AN395" s="594"/>
      <c r="AO395" s="594"/>
      <c r="AP395" s="594"/>
      <c r="AQ395" s="594"/>
      <c r="AR395" s="594"/>
      <c r="AS395" s="594"/>
      <c r="AT395" s="594"/>
      <c r="AU395" s="594"/>
      <c r="AV395" s="594"/>
      <c r="AW395" s="594"/>
      <c r="AX395" s="594"/>
      <c r="AY395" s="594"/>
      <c r="AZ395" s="594"/>
      <c r="BA395" s="594"/>
      <c r="BB395" s="594"/>
      <c r="BC395" s="594"/>
      <c r="BD395" s="594"/>
      <c r="BE395" s="594"/>
      <c r="BF395" s="594"/>
      <c r="BG395" s="594"/>
      <c r="BH395" s="594"/>
      <c r="BI395" s="594"/>
      <c r="BJ395" s="594"/>
      <c r="BK395" s="594"/>
      <c r="BL395" s="57"/>
      <c r="BM395" s="594"/>
      <c r="BN395" s="594"/>
      <c r="BO395" s="594"/>
      <c r="BP395" s="594"/>
      <c r="BQ395" s="594"/>
      <c r="BR395" s="594"/>
      <c r="BS395" s="594"/>
      <c r="BT395" s="594"/>
      <c r="BU395" s="594"/>
      <c r="BV395" s="594"/>
      <c r="BW395" s="594"/>
      <c r="BX395" s="594"/>
      <c r="BY395" s="594"/>
      <c r="BZ395" s="594"/>
      <c r="CA395" s="594"/>
      <c r="CB395" s="594"/>
      <c r="CC395" s="594"/>
      <c r="CD395" s="594"/>
      <c r="CE395" s="594"/>
      <c r="CF395" s="594"/>
      <c r="CG395" s="594"/>
      <c r="CH395" s="594"/>
      <c r="CI395" s="594"/>
      <c r="CJ395" s="594"/>
      <c r="CK395" s="594"/>
      <c r="CL395" s="594"/>
      <c r="CM395" s="594"/>
      <c r="CN395" s="594"/>
      <c r="CO395" s="594"/>
      <c r="CP395" s="594"/>
      <c r="CQ395" s="594"/>
    </row>
    <row r="396" spans="1:95" ht="19.5" hidden="1" customHeight="1" outlineLevel="2">
      <c r="A396" s="709" t="s">
        <v>689</v>
      </c>
      <c r="B396" s="710">
        <f t="shared" ref="B396:AE396" si="134">SUMIF($A$4:$A$383,$A396,B$4:B$383)</f>
        <v>0</v>
      </c>
      <c r="C396" s="710">
        <f t="shared" si="134"/>
        <v>0</v>
      </c>
      <c r="D396" s="710">
        <f t="shared" si="134"/>
        <v>0</v>
      </c>
      <c r="E396" s="710">
        <f t="shared" si="134"/>
        <v>0</v>
      </c>
      <c r="F396" s="710">
        <f t="shared" si="134"/>
        <v>0</v>
      </c>
      <c r="G396" s="710">
        <f t="shared" si="134"/>
        <v>0</v>
      </c>
      <c r="H396" s="710">
        <f t="shared" si="134"/>
        <v>0</v>
      </c>
      <c r="I396" s="710">
        <f t="shared" si="134"/>
        <v>0</v>
      </c>
      <c r="J396" s="710">
        <f t="shared" si="134"/>
        <v>0</v>
      </c>
      <c r="K396" s="710">
        <f t="shared" si="134"/>
        <v>0</v>
      </c>
      <c r="L396" s="710">
        <f t="shared" si="134"/>
        <v>0</v>
      </c>
      <c r="M396" s="710">
        <f t="shared" si="134"/>
        <v>0</v>
      </c>
      <c r="N396" s="710">
        <f t="shared" si="134"/>
        <v>0</v>
      </c>
      <c r="O396" s="710">
        <f t="shared" si="134"/>
        <v>0</v>
      </c>
      <c r="P396" s="710">
        <f t="shared" si="134"/>
        <v>0</v>
      </c>
      <c r="Q396" s="710">
        <f t="shared" si="134"/>
        <v>0</v>
      </c>
      <c r="R396" s="710">
        <f t="shared" si="134"/>
        <v>0</v>
      </c>
      <c r="S396" s="710">
        <f t="shared" si="134"/>
        <v>0</v>
      </c>
      <c r="T396" s="710">
        <f t="shared" si="134"/>
        <v>0</v>
      </c>
      <c r="U396" s="710">
        <f t="shared" si="134"/>
        <v>0</v>
      </c>
      <c r="V396" s="710">
        <f t="shared" si="134"/>
        <v>0</v>
      </c>
      <c r="W396" s="710">
        <f t="shared" si="134"/>
        <v>0</v>
      </c>
      <c r="X396" s="710">
        <f t="shared" si="134"/>
        <v>0</v>
      </c>
      <c r="Y396" s="710">
        <f t="shared" si="134"/>
        <v>0</v>
      </c>
      <c r="Z396" s="710">
        <f t="shared" si="134"/>
        <v>0</v>
      </c>
      <c r="AA396" s="710">
        <f t="shared" si="134"/>
        <v>0</v>
      </c>
      <c r="AB396" s="710">
        <f t="shared" si="134"/>
        <v>0</v>
      </c>
      <c r="AC396" s="710">
        <f t="shared" si="134"/>
        <v>0</v>
      </c>
      <c r="AD396" s="710">
        <f t="shared" si="134"/>
        <v>0</v>
      </c>
      <c r="AE396" s="710">
        <f t="shared" si="134"/>
        <v>0</v>
      </c>
      <c r="AF396" s="594"/>
      <c r="AG396" s="594"/>
      <c r="AH396" s="594"/>
      <c r="AI396" s="594"/>
      <c r="AJ396" s="594"/>
      <c r="AK396" s="594"/>
      <c r="AL396" s="594"/>
      <c r="AM396" s="594"/>
      <c r="AN396" s="594"/>
      <c r="AO396" s="594"/>
      <c r="AP396" s="594"/>
      <c r="AQ396" s="594"/>
      <c r="AR396" s="594"/>
      <c r="AS396" s="594"/>
      <c r="AT396" s="594"/>
      <c r="AU396" s="594"/>
      <c r="AV396" s="594"/>
      <c r="AW396" s="594"/>
      <c r="AX396" s="594"/>
      <c r="AY396" s="594"/>
      <c r="AZ396" s="594"/>
      <c r="BA396" s="594"/>
      <c r="BB396" s="594"/>
      <c r="BC396" s="594"/>
      <c r="BD396" s="594"/>
      <c r="BE396" s="594"/>
      <c r="BF396" s="594"/>
      <c r="BG396" s="594"/>
      <c r="BH396" s="594"/>
      <c r="BI396" s="594"/>
      <c r="BJ396" s="594"/>
      <c r="BK396" s="594"/>
      <c r="BL396" s="57"/>
      <c r="BM396" s="594"/>
      <c r="BN396" s="594"/>
      <c r="BO396" s="594"/>
      <c r="BP396" s="594"/>
      <c r="BQ396" s="594"/>
      <c r="BR396" s="594"/>
      <c r="BS396" s="594"/>
      <c r="BT396" s="594"/>
      <c r="BU396" s="594"/>
      <c r="BV396" s="594"/>
      <c r="BW396" s="594"/>
      <c r="BX396" s="594"/>
      <c r="BY396" s="594"/>
      <c r="BZ396" s="594"/>
      <c r="CA396" s="594"/>
      <c r="CB396" s="594"/>
      <c r="CC396" s="594"/>
      <c r="CD396" s="594"/>
      <c r="CE396" s="594"/>
      <c r="CF396" s="594"/>
      <c r="CG396" s="594"/>
      <c r="CH396" s="594"/>
      <c r="CI396" s="594"/>
      <c r="CJ396" s="594"/>
      <c r="CK396" s="594"/>
      <c r="CL396" s="594"/>
      <c r="CM396" s="594"/>
      <c r="CN396" s="594"/>
      <c r="CO396" s="594"/>
      <c r="CP396" s="594"/>
      <c r="CQ396" s="594"/>
    </row>
    <row r="397" spans="1:95" ht="19.5" hidden="1" customHeight="1" outlineLevel="2">
      <c r="A397" s="709" t="s">
        <v>378</v>
      </c>
      <c r="B397" s="710">
        <f t="shared" ref="B397:AE397" si="135">SUMIF($A$4:$A$383,$A397,B$4:B$383)</f>
        <v>-772028.4</v>
      </c>
      <c r="C397" s="710">
        <f t="shared" si="135"/>
        <v>0</v>
      </c>
      <c r="D397" s="710">
        <f t="shared" si="135"/>
        <v>0</v>
      </c>
      <c r="E397" s="710">
        <f t="shared" si="135"/>
        <v>0</v>
      </c>
      <c r="F397" s="710">
        <f t="shared" si="135"/>
        <v>0</v>
      </c>
      <c r="G397" s="710">
        <f t="shared" si="135"/>
        <v>-772028.4</v>
      </c>
      <c r="H397" s="710">
        <f t="shared" si="135"/>
        <v>0</v>
      </c>
      <c r="I397" s="710">
        <f t="shared" si="135"/>
        <v>0</v>
      </c>
      <c r="J397" s="710">
        <f t="shared" si="135"/>
        <v>0</v>
      </c>
      <c r="K397" s="710">
        <f t="shared" si="135"/>
        <v>0</v>
      </c>
      <c r="L397" s="710">
        <f t="shared" si="135"/>
        <v>-772028.4</v>
      </c>
      <c r="M397" s="710">
        <f t="shared" si="135"/>
        <v>0</v>
      </c>
      <c r="N397" s="710">
        <f t="shared" si="135"/>
        <v>0</v>
      </c>
      <c r="O397" s="710">
        <f t="shared" si="135"/>
        <v>0</v>
      </c>
      <c r="P397" s="710">
        <f t="shared" si="135"/>
        <v>0</v>
      </c>
      <c r="Q397" s="710">
        <f t="shared" si="135"/>
        <v>-772028.4</v>
      </c>
      <c r="R397" s="710">
        <f t="shared" si="135"/>
        <v>0</v>
      </c>
      <c r="S397" s="710">
        <f t="shared" si="135"/>
        <v>0</v>
      </c>
      <c r="T397" s="710">
        <f t="shared" si="135"/>
        <v>0</v>
      </c>
      <c r="U397" s="710">
        <f t="shared" si="135"/>
        <v>0</v>
      </c>
      <c r="V397" s="710">
        <f t="shared" si="135"/>
        <v>-772028.4</v>
      </c>
      <c r="W397" s="710">
        <f t="shared" si="135"/>
        <v>0</v>
      </c>
      <c r="X397" s="710">
        <f t="shared" si="135"/>
        <v>0</v>
      </c>
      <c r="Y397" s="710">
        <f t="shared" si="135"/>
        <v>0</v>
      </c>
      <c r="Z397" s="710">
        <f t="shared" si="135"/>
        <v>0</v>
      </c>
      <c r="AA397" s="710">
        <f t="shared" si="135"/>
        <v>-772028.4</v>
      </c>
      <c r="AB397" s="710">
        <f t="shared" si="135"/>
        <v>0</v>
      </c>
      <c r="AC397" s="710">
        <f t="shared" si="135"/>
        <v>0</v>
      </c>
      <c r="AD397" s="710">
        <f t="shared" si="135"/>
        <v>0</v>
      </c>
      <c r="AE397" s="710">
        <f t="shared" si="135"/>
        <v>0</v>
      </c>
      <c r="AF397" s="594"/>
      <c r="AG397" s="594"/>
      <c r="AH397" s="594"/>
      <c r="AI397" s="594"/>
      <c r="AJ397" s="594"/>
      <c r="AK397" s="594"/>
      <c r="AL397" s="594"/>
      <c r="AM397" s="594"/>
      <c r="AN397" s="594"/>
      <c r="AO397" s="594"/>
      <c r="AP397" s="594"/>
      <c r="AQ397" s="594"/>
      <c r="AR397" s="594"/>
      <c r="AS397" s="594"/>
      <c r="AT397" s="594"/>
      <c r="AU397" s="594"/>
      <c r="AV397" s="594"/>
      <c r="AW397" s="594"/>
      <c r="AX397" s="594"/>
      <c r="AY397" s="594"/>
      <c r="AZ397" s="594"/>
      <c r="BA397" s="594"/>
      <c r="BB397" s="594"/>
      <c r="BC397" s="594"/>
      <c r="BD397" s="594"/>
      <c r="BE397" s="594"/>
      <c r="BF397" s="594"/>
      <c r="BG397" s="594"/>
      <c r="BH397" s="594"/>
      <c r="BI397" s="594"/>
      <c r="BJ397" s="594"/>
      <c r="BK397" s="594"/>
      <c r="BL397" s="57"/>
      <c r="BM397" s="594"/>
      <c r="BN397" s="594"/>
      <c r="BO397" s="594"/>
      <c r="BP397" s="594"/>
      <c r="BQ397" s="594"/>
      <c r="BR397" s="594"/>
      <c r="BS397" s="594"/>
      <c r="BT397" s="594"/>
      <c r="BU397" s="594"/>
      <c r="BV397" s="594"/>
      <c r="BW397" s="594"/>
      <c r="BX397" s="594"/>
      <c r="BY397" s="594"/>
      <c r="BZ397" s="594"/>
      <c r="CA397" s="594"/>
      <c r="CB397" s="594"/>
      <c r="CC397" s="594"/>
      <c r="CD397" s="594"/>
      <c r="CE397" s="594"/>
      <c r="CF397" s="594"/>
      <c r="CG397" s="594"/>
      <c r="CH397" s="594"/>
      <c r="CI397" s="594"/>
      <c r="CJ397" s="594"/>
      <c r="CK397" s="594"/>
      <c r="CL397" s="594"/>
      <c r="CM397" s="594"/>
      <c r="CN397" s="594"/>
      <c r="CO397" s="594"/>
      <c r="CP397" s="594"/>
      <c r="CQ397" s="594"/>
    </row>
    <row r="398" spans="1:95" ht="19.5" hidden="1" customHeight="1" outlineLevel="2">
      <c r="A398" s="709" t="s">
        <v>366</v>
      </c>
      <c r="B398" s="710">
        <f t="shared" ref="B398:AE398" si="136">SUMIF($A$4:$A$383,$A398,B$4:B$383)</f>
        <v>-1541536.568</v>
      </c>
      <c r="C398" s="710">
        <f t="shared" si="136"/>
        <v>0</v>
      </c>
      <c r="D398" s="710">
        <f t="shared" si="136"/>
        <v>0</v>
      </c>
      <c r="E398" s="710">
        <f t="shared" si="136"/>
        <v>0</v>
      </c>
      <c r="F398" s="710">
        <f t="shared" si="136"/>
        <v>0</v>
      </c>
      <c r="G398" s="710">
        <f t="shared" si="136"/>
        <v>0</v>
      </c>
      <c r="H398" s="710">
        <f t="shared" si="136"/>
        <v>0</v>
      </c>
      <c r="I398" s="710">
        <f t="shared" si="136"/>
        <v>0</v>
      </c>
      <c r="J398" s="710">
        <f t="shared" si="136"/>
        <v>0</v>
      </c>
      <c r="K398" s="710">
        <f t="shared" si="136"/>
        <v>0</v>
      </c>
      <c r="L398" s="710">
        <f t="shared" si="136"/>
        <v>-1541536.568</v>
      </c>
      <c r="M398" s="710">
        <f t="shared" si="136"/>
        <v>0</v>
      </c>
      <c r="N398" s="710">
        <f t="shared" si="136"/>
        <v>0</v>
      </c>
      <c r="O398" s="710">
        <f t="shared" si="136"/>
        <v>0</v>
      </c>
      <c r="P398" s="710">
        <f t="shared" si="136"/>
        <v>0</v>
      </c>
      <c r="Q398" s="710">
        <f t="shared" si="136"/>
        <v>0</v>
      </c>
      <c r="R398" s="710">
        <f t="shared" si="136"/>
        <v>0</v>
      </c>
      <c r="S398" s="710">
        <f t="shared" si="136"/>
        <v>0</v>
      </c>
      <c r="T398" s="710">
        <f t="shared" si="136"/>
        <v>0</v>
      </c>
      <c r="U398" s="710">
        <f t="shared" si="136"/>
        <v>0</v>
      </c>
      <c r="V398" s="710">
        <f t="shared" si="136"/>
        <v>-1541536.568</v>
      </c>
      <c r="W398" s="710">
        <f t="shared" si="136"/>
        <v>0</v>
      </c>
      <c r="X398" s="710">
        <f t="shared" si="136"/>
        <v>0</v>
      </c>
      <c r="Y398" s="710">
        <f t="shared" si="136"/>
        <v>0</v>
      </c>
      <c r="Z398" s="710">
        <f t="shared" si="136"/>
        <v>0</v>
      </c>
      <c r="AA398" s="710">
        <f t="shared" si="136"/>
        <v>0</v>
      </c>
      <c r="AB398" s="710">
        <f t="shared" si="136"/>
        <v>0</v>
      </c>
      <c r="AC398" s="710">
        <f t="shared" si="136"/>
        <v>0</v>
      </c>
      <c r="AD398" s="710">
        <f t="shared" si="136"/>
        <v>0</v>
      </c>
      <c r="AE398" s="710">
        <f t="shared" si="136"/>
        <v>0</v>
      </c>
      <c r="AF398" s="594"/>
      <c r="AG398" s="594"/>
      <c r="AH398" s="594"/>
      <c r="AI398" s="594"/>
      <c r="AJ398" s="594"/>
      <c r="AK398" s="594"/>
      <c r="AL398" s="594"/>
      <c r="AM398" s="594"/>
      <c r="AN398" s="594"/>
      <c r="AO398" s="594"/>
      <c r="AP398" s="594"/>
      <c r="AQ398" s="594"/>
      <c r="AR398" s="594"/>
      <c r="AS398" s="594"/>
      <c r="AT398" s="594"/>
      <c r="AU398" s="594"/>
      <c r="AV398" s="594"/>
      <c r="AW398" s="594"/>
      <c r="AX398" s="594"/>
      <c r="AY398" s="594"/>
      <c r="AZ398" s="594"/>
      <c r="BA398" s="594"/>
      <c r="BB398" s="594"/>
      <c r="BC398" s="594"/>
      <c r="BD398" s="594"/>
      <c r="BE398" s="594"/>
      <c r="BF398" s="594"/>
      <c r="BG398" s="594"/>
      <c r="BH398" s="594"/>
      <c r="BI398" s="594"/>
      <c r="BJ398" s="594"/>
      <c r="BK398" s="594"/>
      <c r="BL398" s="57"/>
      <c r="BM398" s="594"/>
      <c r="BN398" s="594"/>
      <c r="BO398" s="594"/>
      <c r="BP398" s="594"/>
      <c r="BQ398" s="594"/>
      <c r="BR398" s="594"/>
      <c r="BS398" s="594"/>
      <c r="BT398" s="594"/>
      <c r="BU398" s="594"/>
      <c r="BV398" s="594"/>
      <c r="BW398" s="594"/>
      <c r="BX398" s="594"/>
      <c r="BY398" s="594"/>
      <c r="BZ398" s="594"/>
      <c r="CA398" s="594"/>
      <c r="CB398" s="594"/>
      <c r="CC398" s="594"/>
      <c r="CD398" s="594"/>
      <c r="CE398" s="594"/>
      <c r="CF398" s="594"/>
      <c r="CG398" s="594"/>
      <c r="CH398" s="594"/>
      <c r="CI398" s="594"/>
      <c r="CJ398" s="594"/>
      <c r="CK398" s="594"/>
      <c r="CL398" s="594"/>
      <c r="CM398" s="594"/>
      <c r="CN398" s="594"/>
      <c r="CO398" s="594"/>
      <c r="CP398" s="594"/>
      <c r="CQ398" s="594"/>
    </row>
    <row r="399" spans="1:95" ht="19.5" hidden="1" customHeight="1" outlineLevel="2">
      <c r="A399" s="709" t="s">
        <v>371</v>
      </c>
      <c r="B399" s="710">
        <f t="shared" ref="B399:AE399" si="137">SUMIF($A$4:$A$383,$A399,B$4:B$383)</f>
        <v>-619698.20000000007</v>
      </c>
      <c r="C399" s="710">
        <f t="shared" si="137"/>
        <v>0</v>
      </c>
      <c r="D399" s="710">
        <f t="shared" si="137"/>
        <v>0</v>
      </c>
      <c r="E399" s="710">
        <f t="shared" si="137"/>
        <v>0</v>
      </c>
      <c r="F399" s="710">
        <f t="shared" si="137"/>
        <v>0</v>
      </c>
      <c r="G399" s="710">
        <f t="shared" si="137"/>
        <v>0</v>
      </c>
      <c r="H399" s="710">
        <f t="shared" si="137"/>
        <v>0</v>
      </c>
      <c r="I399" s="710">
        <f t="shared" si="137"/>
        <v>0</v>
      </c>
      <c r="J399" s="710">
        <f t="shared" si="137"/>
        <v>0</v>
      </c>
      <c r="K399" s="710">
        <f t="shared" si="137"/>
        <v>0</v>
      </c>
      <c r="L399" s="710">
        <f t="shared" si="137"/>
        <v>-619698.20000000007</v>
      </c>
      <c r="M399" s="710">
        <f t="shared" si="137"/>
        <v>0</v>
      </c>
      <c r="N399" s="710">
        <f t="shared" si="137"/>
        <v>0</v>
      </c>
      <c r="O399" s="710">
        <f t="shared" si="137"/>
        <v>0</v>
      </c>
      <c r="P399" s="710">
        <f t="shared" si="137"/>
        <v>0</v>
      </c>
      <c r="Q399" s="710">
        <f t="shared" si="137"/>
        <v>0</v>
      </c>
      <c r="R399" s="710">
        <f t="shared" si="137"/>
        <v>0</v>
      </c>
      <c r="S399" s="710">
        <f t="shared" si="137"/>
        <v>0</v>
      </c>
      <c r="T399" s="710">
        <f t="shared" si="137"/>
        <v>0</v>
      </c>
      <c r="U399" s="710">
        <f t="shared" si="137"/>
        <v>0</v>
      </c>
      <c r="V399" s="710">
        <f t="shared" si="137"/>
        <v>-619698.20000000007</v>
      </c>
      <c r="W399" s="710">
        <f t="shared" si="137"/>
        <v>0</v>
      </c>
      <c r="X399" s="710">
        <f t="shared" si="137"/>
        <v>0</v>
      </c>
      <c r="Y399" s="710">
        <f t="shared" si="137"/>
        <v>0</v>
      </c>
      <c r="Z399" s="710">
        <f t="shared" si="137"/>
        <v>0</v>
      </c>
      <c r="AA399" s="710">
        <f t="shared" si="137"/>
        <v>0</v>
      </c>
      <c r="AB399" s="710">
        <f t="shared" si="137"/>
        <v>0</v>
      </c>
      <c r="AC399" s="710">
        <f t="shared" si="137"/>
        <v>0</v>
      </c>
      <c r="AD399" s="710">
        <f t="shared" si="137"/>
        <v>0</v>
      </c>
      <c r="AE399" s="710">
        <f t="shared" si="137"/>
        <v>0</v>
      </c>
      <c r="AF399" s="594"/>
      <c r="AG399" s="594"/>
      <c r="AH399" s="594"/>
      <c r="AI399" s="594"/>
      <c r="AJ399" s="594"/>
      <c r="AK399" s="594"/>
      <c r="AL399" s="594"/>
      <c r="AM399" s="594"/>
      <c r="AN399" s="594"/>
      <c r="AO399" s="594"/>
      <c r="AP399" s="594"/>
      <c r="AQ399" s="594"/>
      <c r="AR399" s="594"/>
      <c r="AS399" s="594"/>
      <c r="AT399" s="594"/>
      <c r="AU399" s="594"/>
      <c r="AV399" s="594"/>
      <c r="AW399" s="594"/>
      <c r="AX399" s="594"/>
      <c r="AY399" s="594"/>
      <c r="AZ399" s="594"/>
      <c r="BA399" s="594"/>
      <c r="BB399" s="594"/>
      <c r="BC399" s="594"/>
      <c r="BD399" s="594"/>
      <c r="BE399" s="594"/>
      <c r="BF399" s="594"/>
      <c r="BG399" s="594"/>
      <c r="BH399" s="594"/>
      <c r="BI399" s="594"/>
      <c r="BJ399" s="594"/>
      <c r="BK399" s="594"/>
      <c r="BL399" s="57"/>
      <c r="BM399" s="594"/>
      <c r="BN399" s="594"/>
      <c r="BO399" s="594"/>
      <c r="BP399" s="594"/>
      <c r="BQ399" s="594"/>
      <c r="BR399" s="594"/>
      <c r="BS399" s="594"/>
      <c r="BT399" s="594"/>
      <c r="BU399" s="594"/>
      <c r="BV399" s="594"/>
      <c r="BW399" s="594"/>
      <c r="BX399" s="594"/>
      <c r="BY399" s="594"/>
      <c r="BZ399" s="594"/>
      <c r="CA399" s="594"/>
      <c r="CB399" s="594"/>
      <c r="CC399" s="594"/>
      <c r="CD399" s="594"/>
      <c r="CE399" s="594"/>
      <c r="CF399" s="594"/>
      <c r="CG399" s="594"/>
      <c r="CH399" s="594"/>
      <c r="CI399" s="594"/>
      <c r="CJ399" s="594"/>
      <c r="CK399" s="594"/>
      <c r="CL399" s="594"/>
      <c r="CM399" s="594"/>
      <c r="CN399" s="594"/>
      <c r="CO399" s="594"/>
      <c r="CP399" s="594"/>
      <c r="CQ399" s="594"/>
    </row>
    <row r="400" spans="1:95" ht="19.5" hidden="1" customHeight="1" outlineLevel="2">
      <c r="A400" s="709" t="s">
        <v>361</v>
      </c>
      <c r="B400" s="710">
        <f t="shared" ref="B400:AE400" si="138">SUMIF($A$4:$A$383,$A400,B$4:B$383)</f>
        <v>0</v>
      </c>
      <c r="C400" s="710">
        <f t="shared" si="138"/>
        <v>0</v>
      </c>
      <c r="D400" s="710">
        <f t="shared" si="138"/>
        <v>0</v>
      </c>
      <c r="E400" s="710">
        <f t="shared" si="138"/>
        <v>0</v>
      </c>
      <c r="F400" s="710">
        <f t="shared" si="138"/>
        <v>0</v>
      </c>
      <c r="G400" s="710">
        <f t="shared" si="138"/>
        <v>0</v>
      </c>
      <c r="H400" s="710">
        <f t="shared" si="138"/>
        <v>0</v>
      </c>
      <c r="I400" s="710">
        <f t="shared" si="138"/>
        <v>0</v>
      </c>
      <c r="J400" s="710">
        <f t="shared" si="138"/>
        <v>0</v>
      </c>
      <c r="K400" s="710">
        <f t="shared" si="138"/>
        <v>0</v>
      </c>
      <c r="L400" s="710">
        <f t="shared" si="138"/>
        <v>0</v>
      </c>
      <c r="M400" s="710">
        <f t="shared" si="138"/>
        <v>0</v>
      </c>
      <c r="N400" s="710">
        <f t="shared" si="138"/>
        <v>0</v>
      </c>
      <c r="O400" s="710">
        <f t="shared" si="138"/>
        <v>0</v>
      </c>
      <c r="P400" s="710">
        <f t="shared" si="138"/>
        <v>0</v>
      </c>
      <c r="Q400" s="710">
        <f t="shared" si="138"/>
        <v>0</v>
      </c>
      <c r="R400" s="710">
        <f t="shared" si="138"/>
        <v>0</v>
      </c>
      <c r="S400" s="710">
        <f t="shared" si="138"/>
        <v>0</v>
      </c>
      <c r="T400" s="710">
        <f t="shared" si="138"/>
        <v>0</v>
      </c>
      <c r="U400" s="710">
        <f t="shared" si="138"/>
        <v>0</v>
      </c>
      <c r="V400" s="710">
        <f t="shared" si="138"/>
        <v>0</v>
      </c>
      <c r="W400" s="710">
        <f t="shared" si="138"/>
        <v>0</v>
      </c>
      <c r="X400" s="710">
        <f t="shared" si="138"/>
        <v>0</v>
      </c>
      <c r="Y400" s="710">
        <f t="shared" si="138"/>
        <v>0</v>
      </c>
      <c r="Z400" s="710">
        <f t="shared" si="138"/>
        <v>0</v>
      </c>
      <c r="AA400" s="710">
        <f t="shared" si="138"/>
        <v>0</v>
      </c>
      <c r="AB400" s="710">
        <f t="shared" si="138"/>
        <v>0</v>
      </c>
      <c r="AC400" s="710">
        <f t="shared" si="138"/>
        <v>0</v>
      </c>
      <c r="AD400" s="710">
        <f t="shared" si="138"/>
        <v>0</v>
      </c>
      <c r="AE400" s="710">
        <f t="shared" si="138"/>
        <v>0</v>
      </c>
      <c r="AF400" s="594"/>
      <c r="AG400" s="594"/>
      <c r="AH400" s="594"/>
      <c r="AI400" s="594"/>
      <c r="AJ400" s="594"/>
      <c r="AK400" s="594"/>
      <c r="AL400" s="594"/>
      <c r="AM400" s="594"/>
      <c r="AN400" s="594"/>
      <c r="AO400" s="594"/>
      <c r="AP400" s="594"/>
      <c r="AQ400" s="594"/>
      <c r="AR400" s="594"/>
      <c r="AS400" s="594"/>
      <c r="AT400" s="594"/>
      <c r="AU400" s="594"/>
      <c r="AV400" s="594"/>
      <c r="AW400" s="594"/>
      <c r="AX400" s="594"/>
      <c r="AY400" s="594"/>
      <c r="AZ400" s="594"/>
      <c r="BA400" s="594"/>
      <c r="BB400" s="594"/>
      <c r="BC400" s="594"/>
      <c r="BD400" s="594"/>
      <c r="BE400" s="594"/>
      <c r="BF400" s="594"/>
      <c r="BG400" s="594"/>
      <c r="BH400" s="594"/>
      <c r="BI400" s="594"/>
      <c r="BJ400" s="594"/>
      <c r="BK400" s="594"/>
      <c r="BL400" s="57"/>
      <c r="BM400" s="594"/>
      <c r="BN400" s="594"/>
      <c r="BO400" s="594"/>
      <c r="BP400" s="594"/>
      <c r="BQ400" s="594"/>
      <c r="BR400" s="594"/>
      <c r="BS400" s="594"/>
      <c r="BT400" s="594"/>
      <c r="BU400" s="594"/>
      <c r="BV400" s="594"/>
      <c r="BW400" s="594"/>
      <c r="BX400" s="594"/>
      <c r="BY400" s="594"/>
      <c r="BZ400" s="594"/>
      <c r="CA400" s="594"/>
      <c r="CB400" s="594"/>
      <c r="CC400" s="594"/>
      <c r="CD400" s="594"/>
      <c r="CE400" s="594"/>
      <c r="CF400" s="594"/>
      <c r="CG400" s="594"/>
      <c r="CH400" s="594"/>
      <c r="CI400" s="594"/>
      <c r="CJ400" s="594"/>
      <c r="CK400" s="594"/>
      <c r="CL400" s="594"/>
      <c r="CM400" s="594"/>
      <c r="CN400" s="594"/>
      <c r="CO400" s="594"/>
      <c r="CP400" s="594"/>
      <c r="CQ400" s="594"/>
    </row>
    <row r="401" spans="1:95" ht="19.5" hidden="1" customHeight="1" outlineLevel="2">
      <c r="A401" s="709" t="s">
        <v>359</v>
      </c>
      <c r="B401" s="710">
        <f t="shared" ref="B401:AE401" si="139">SUMIF($A$4:$A$383,$A401,B$4:B$383)</f>
        <v>-3431672.0020000003</v>
      </c>
      <c r="C401" s="710">
        <f t="shared" si="139"/>
        <v>0</v>
      </c>
      <c r="D401" s="710">
        <f t="shared" si="139"/>
        <v>0</v>
      </c>
      <c r="E401" s="710">
        <f t="shared" si="139"/>
        <v>0</v>
      </c>
      <c r="F401" s="710">
        <f t="shared" si="139"/>
        <v>0</v>
      </c>
      <c r="G401" s="710">
        <f t="shared" si="139"/>
        <v>0</v>
      </c>
      <c r="H401" s="710">
        <f t="shared" si="139"/>
        <v>0</v>
      </c>
      <c r="I401" s="710">
        <f t="shared" si="139"/>
        <v>0</v>
      </c>
      <c r="J401" s="710">
        <f t="shared" si="139"/>
        <v>0</v>
      </c>
      <c r="K401" s="710">
        <f t="shared" si="139"/>
        <v>0</v>
      </c>
      <c r="L401" s="710">
        <f t="shared" si="139"/>
        <v>-1731840</v>
      </c>
      <c r="M401" s="710">
        <f t="shared" si="139"/>
        <v>0</v>
      </c>
      <c r="N401" s="710">
        <f t="shared" si="139"/>
        <v>0</v>
      </c>
      <c r="O401" s="710">
        <f t="shared" si="139"/>
        <v>0</v>
      </c>
      <c r="P401" s="710">
        <f t="shared" si="139"/>
        <v>0</v>
      </c>
      <c r="Q401" s="710">
        <f t="shared" si="139"/>
        <v>0</v>
      </c>
      <c r="R401" s="710">
        <f t="shared" si="139"/>
        <v>0</v>
      </c>
      <c r="S401" s="710">
        <f t="shared" si="139"/>
        <v>0</v>
      </c>
      <c r="T401" s="710">
        <f t="shared" si="139"/>
        <v>0</v>
      </c>
      <c r="U401" s="710">
        <f t="shared" si="139"/>
        <v>0</v>
      </c>
      <c r="V401" s="710">
        <f t="shared" si="139"/>
        <v>-1731840</v>
      </c>
      <c r="W401" s="710">
        <f t="shared" si="139"/>
        <v>0</v>
      </c>
      <c r="X401" s="710">
        <f t="shared" si="139"/>
        <v>0</v>
      </c>
      <c r="Y401" s="710">
        <f t="shared" si="139"/>
        <v>0</v>
      </c>
      <c r="Z401" s="710">
        <f t="shared" si="139"/>
        <v>0</v>
      </c>
      <c r="AA401" s="710">
        <f t="shared" si="139"/>
        <v>0</v>
      </c>
      <c r="AB401" s="710">
        <f t="shared" si="139"/>
        <v>0</v>
      </c>
      <c r="AC401" s="710">
        <f t="shared" si="139"/>
        <v>0</v>
      </c>
      <c r="AD401" s="710">
        <f t="shared" si="139"/>
        <v>0</v>
      </c>
      <c r="AE401" s="710">
        <f t="shared" si="139"/>
        <v>0</v>
      </c>
      <c r="AF401" s="594"/>
      <c r="AG401" s="594"/>
      <c r="AH401" s="594"/>
      <c r="AI401" s="594"/>
      <c r="AJ401" s="594"/>
      <c r="AK401" s="594"/>
      <c r="AL401" s="594"/>
      <c r="AM401" s="594"/>
      <c r="AN401" s="594"/>
      <c r="AO401" s="594"/>
      <c r="AP401" s="594"/>
      <c r="AQ401" s="594"/>
      <c r="AR401" s="594"/>
      <c r="AS401" s="594"/>
      <c r="AT401" s="594"/>
      <c r="AU401" s="594"/>
      <c r="AV401" s="594"/>
      <c r="AW401" s="594"/>
      <c r="AX401" s="594"/>
      <c r="AY401" s="594"/>
      <c r="AZ401" s="594"/>
      <c r="BA401" s="594"/>
      <c r="BB401" s="594"/>
      <c r="BC401" s="594"/>
      <c r="BD401" s="594"/>
      <c r="BE401" s="594"/>
      <c r="BF401" s="594"/>
      <c r="BG401" s="594"/>
      <c r="BH401" s="594"/>
      <c r="BI401" s="594"/>
      <c r="BJ401" s="594"/>
      <c r="BK401" s="594"/>
      <c r="BL401" s="57"/>
      <c r="BM401" s="594"/>
      <c r="BN401" s="594"/>
      <c r="BO401" s="594"/>
      <c r="BP401" s="594"/>
      <c r="BQ401" s="594"/>
      <c r="BR401" s="594"/>
      <c r="BS401" s="594"/>
      <c r="BT401" s="594"/>
      <c r="BU401" s="594"/>
      <c r="BV401" s="594"/>
      <c r="BW401" s="594"/>
      <c r="BX401" s="594"/>
      <c r="BY401" s="594"/>
      <c r="BZ401" s="594"/>
      <c r="CA401" s="594"/>
      <c r="CB401" s="594"/>
      <c r="CC401" s="594"/>
      <c r="CD401" s="594"/>
      <c r="CE401" s="594"/>
      <c r="CF401" s="594"/>
      <c r="CG401" s="594"/>
      <c r="CH401" s="594"/>
      <c r="CI401" s="594"/>
      <c r="CJ401" s="594"/>
      <c r="CK401" s="594"/>
      <c r="CL401" s="594"/>
      <c r="CM401" s="594"/>
      <c r="CN401" s="594"/>
      <c r="CO401" s="594"/>
      <c r="CP401" s="594"/>
      <c r="CQ401" s="594"/>
    </row>
    <row r="402" spans="1:95" ht="19.5" hidden="1" customHeight="1" outlineLevel="2">
      <c r="A402" s="709" t="s">
        <v>171</v>
      </c>
      <c r="B402" s="710">
        <f t="shared" ref="B402:AE402" si="140">SUMIF($A$4:$A$383,$A402,B$4:B$383)</f>
        <v>-305065.39800000004</v>
      </c>
      <c r="C402" s="710">
        <f t="shared" si="140"/>
        <v>0</v>
      </c>
      <c r="D402" s="710">
        <f t="shared" si="140"/>
        <v>0</v>
      </c>
      <c r="E402" s="710">
        <f t="shared" si="140"/>
        <v>0</v>
      </c>
      <c r="F402" s="710">
        <f t="shared" si="140"/>
        <v>0</v>
      </c>
      <c r="G402" s="710">
        <f t="shared" si="140"/>
        <v>-11180.268</v>
      </c>
      <c r="H402" s="710">
        <f t="shared" si="140"/>
        <v>0</v>
      </c>
      <c r="I402" s="710">
        <f t="shared" si="140"/>
        <v>0</v>
      </c>
      <c r="J402" s="710">
        <f t="shared" si="140"/>
        <v>0</v>
      </c>
      <c r="K402" s="710">
        <f t="shared" si="140"/>
        <v>0</v>
      </c>
      <c r="L402" s="710">
        <f t="shared" si="140"/>
        <v>-38590.398000000001</v>
      </c>
      <c r="M402" s="710">
        <f t="shared" si="140"/>
        <v>0</v>
      </c>
      <c r="N402" s="710">
        <f t="shared" si="140"/>
        <v>0</v>
      </c>
      <c r="O402" s="710">
        <f t="shared" si="140"/>
        <v>0</v>
      </c>
      <c r="P402" s="710">
        <f t="shared" si="140"/>
        <v>0</v>
      </c>
      <c r="Q402" s="710">
        <f t="shared" si="140"/>
        <v>-11180.268</v>
      </c>
      <c r="R402" s="710">
        <f t="shared" si="140"/>
        <v>0</v>
      </c>
      <c r="S402" s="710">
        <f t="shared" si="140"/>
        <v>0</v>
      </c>
      <c r="T402" s="710">
        <f t="shared" si="140"/>
        <v>0</v>
      </c>
      <c r="U402" s="710">
        <f t="shared" si="140"/>
        <v>0</v>
      </c>
      <c r="V402" s="710">
        <f t="shared" si="140"/>
        <v>-38590.398000000001</v>
      </c>
      <c r="W402" s="710">
        <f t="shared" si="140"/>
        <v>0</v>
      </c>
      <c r="X402" s="710">
        <f t="shared" si="140"/>
        <v>0</v>
      </c>
      <c r="Y402" s="710">
        <f t="shared" si="140"/>
        <v>0</v>
      </c>
      <c r="Z402" s="710">
        <f t="shared" si="140"/>
        <v>0</v>
      </c>
      <c r="AA402" s="710">
        <f t="shared" si="140"/>
        <v>-11180.268</v>
      </c>
      <c r="AB402" s="710">
        <f t="shared" si="140"/>
        <v>0</v>
      </c>
      <c r="AC402" s="710">
        <f t="shared" si="140"/>
        <v>0</v>
      </c>
      <c r="AD402" s="710">
        <f t="shared" si="140"/>
        <v>0</v>
      </c>
      <c r="AE402" s="710">
        <f t="shared" si="140"/>
        <v>0</v>
      </c>
      <c r="AF402" s="594"/>
      <c r="AG402" s="594"/>
      <c r="AH402" s="594"/>
      <c r="AI402" s="594"/>
      <c r="AJ402" s="594"/>
      <c r="AK402" s="594"/>
      <c r="AL402" s="594"/>
      <c r="AM402" s="594"/>
      <c r="AN402" s="594"/>
      <c r="AO402" s="594"/>
      <c r="AP402" s="594"/>
      <c r="AQ402" s="594"/>
      <c r="AR402" s="594"/>
      <c r="AS402" s="594"/>
      <c r="AT402" s="594"/>
      <c r="AU402" s="594"/>
      <c r="AV402" s="594"/>
      <c r="AW402" s="594"/>
      <c r="AX402" s="594"/>
      <c r="AY402" s="594"/>
      <c r="AZ402" s="594"/>
      <c r="BA402" s="594"/>
      <c r="BB402" s="594"/>
      <c r="BC402" s="594"/>
      <c r="BD402" s="594"/>
      <c r="BE402" s="594"/>
      <c r="BF402" s="594"/>
      <c r="BG402" s="594"/>
      <c r="BH402" s="594"/>
      <c r="BI402" s="594"/>
      <c r="BJ402" s="594"/>
      <c r="BK402" s="594"/>
      <c r="BL402" s="57"/>
      <c r="BM402" s="594"/>
      <c r="BN402" s="594"/>
      <c r="BO402" s="594"/>
      <c r="BP402" s="594"/>
      <c r="BQ402" s="594"/>
      <c r="BR402" s="594"/>
      <c r="BS402" s="594"/>
      <c r="BT402" s="594"/>
      <c r="BU402" s="594"/>
      <c r="BV402" s="594"/>
      <c r="BW402" s="594"/>
      <c r="BX402" s="594"/>
      <c r="BY402" s="594"/>
      <c r="BZ402" s="594"/>
      <c r="CA402" s="594"/>
      <c r="CB402" s="594"/>
      <c r="CC402" s="594"/>
      <c r="CD402" s="594"/>
      <c r="CE402" s="594"/>
      <c r="CF402" s="594"/>
      <c r="CG402" s="594"/>
      <c r="CH402" s="594"/>
      <c r="CI402" s="594"/>
      <c r="CJ402" s="594"/>
      <c r="CK402" s="594"/>
      <c r="CL402" s="594"/>
      <c r="CM402" s="594"/>
      <c r="CN402" s="594"/>
      <c r="CO402" s="594"/>
      <c r="CP402" s="594"/>
      <c r="CQ402" s="594"/>
    </row>
    <row r="403" spans="1:95" ht="33" customHeight="1" collapsed="1">
      <c r="A403" s="713" t="s">
        <v>691</v>
      </c>
      <c r="B403" s="714">
        <f t="shared" ref="B403:AE403" si="141">B404+B450</f>
        <v>-33081160.2420615</v>
      </c>
      <c r="C403" s="714">
        <f t="shared" si="141"/>
        <v>-23145614.087712694</v>
      </c>
      <c r="D403" s="714">
        <f t="shared" si="141"/>
        <v>-17081904.936081894</v>
      </c>
      <c r="E403" s="714">
        <f t="shared" si="141"/>
        <v>-9819561.3851177581</v>
      </c>
      <c r="F403" s="714">
        <f t="shared" si="141"/>
        <v>-8166505.7394869607</v>
      </c>
      <c r="G403" s="714">
        <f t="shared" si="141"/>
        <v>-12259092.406056158</v>
      </c>
      <c r="H403" s="714">
        <f t="shared" si="141"/>
        <v>-8323280.2024253597</v>
      </c>
      <c r="I403" s="714">
        <f t="shared" si="141"/>
        <v>-8323904.9767945586</v>
      </c>
      <c r="J403" s="714">
        <f t="shared" si="141"/>
        <v>-8369032.823163759</v>
      </c>
      <c r="K403" s="714">
        <f t="shared" si="141"/>
        <v>-8459130.4455329608</v>
      </c>
      <c r="L403" s="714">
        <f t="shared" si="141"/>
        <v>-14485075.604010161</v>
      </c>
      <c r="M403" s="714">
        <f t="shared" si="141"/>
        <v>-8557112.7863793615</v>
      </c>
      <c r="N403" s="714">
        <f t="shared" si="141"/>
        <v>-8652358.2387485616</v>
      </c>
      <c r="O403" s="714">
        <f t="shared" si="141"/>
        <v>-8661824.7591177598</v>
      </c>
      <c r="P403" s="714">
        <f t="shared" si="141"/>
        <v>-8716667.9514869601</v>
      </c>
      <c r="Q403" s="714">
        <f t="shared" si="141"/>
        <v>-12868455.344056159</v>
      </c>
      <c r="R403" s="714">
        <f t="shared" si="141"/>
        <v>-8860538.608425362</v>
      </c>
      <c r="S403" s="714">
        <f t="shared" si="141"/>
        <v>-8920122.1087945625</v>
      </c>
      <c r="T403" s="714">
        <f t="shared" si="141"/>
        <v>-9024924.9591637608</v>
      </c>
      <c r="U403" s="714">
        <f t="shared" si="141"/>
        <v>-9043077.3455329593</v>
      </c>
      <c r="V403" s="714">
        <f t="shared" si="141"/>
        <v>-24803352.14201016</v>
      </c>
      <c r="W403" s="714">
        <f t="shared" si="141"/>
        <v>-9116497.1823793594</v>
      </c>
      <c r="X403" s="714">
        <f t="shared" si="141"/>
        <v>-9065489.2627485599</v>
      </c>
      <c r="Y403" s="714">
        <f t="shared" si="141"/>
        <v>-9058041.3431177605</v>
      </c>
      <c r="Z403" s="714">
        <f t="shared" si="141"/>
        <v>-9094589.0234869588</v>
      </c>
      <c r="AA403" s="714">
        <f t="shared" si="141"/>
        <v>-13094823.66405616</v>
      </c>
      <c r="AB403" s="714">
        <f t="shared" si="141"/>
        <v>-9064840.3044253588</v>
      </c>
      <c r="AC403" s="714">
        <f t="shared" si="141"/>
        <v>-9101387.984794559</v>
      </c>
      <c r="AD403" s="714">
        <f t="shared" si="141"/>
        <v>-9050380.0651637595</v>
      </c>
      <c r="AE403" s="714">
        <f t="shared" si="141"/>
        <v>-9042932.1455329601</v>
      </c>
      <c r="AF403" s="594"/>
      <c r="AG403" s="715" t="str">
        <f>A403</f>
        <v>ENCARGO</v>
      </c>
      <c r="AH403" s="716">
        <f t="shared" ref="AH403:BK403" si="142">-B403/B385</f>
        <v>2.3429836540170172</v>
      </c>
      <c r="AI403" s="716">
        <f t="shared" si="142"/>
        <v>0.54507776136821873</v>
      </c>
      <c r="AJ403" s="716">
        <f t="shared" si="142"/>
        <v>0.38886380330498044</v>
      </c>
      <c r="AK403" s="716">
        <f t="shared" si="142"/>
        <v>0.21654594723915088</v>
      </c>
      <c r="AL403" s="716">
        <f t="shared" si="142"/>
        <v>0.17454479223567346</v>
      </c>
      <c r="AM403" s="716">
        <f t="shared" si="142"/>
        <v>0.25405435080921801</v>
      </c>
      <c r="AN403" s="716">
        <f t="shared" si="142"/>
        <v>0.16726252299406194</v>
      </c>
      <c r="AO403" s="716">
        <f t="shared" si="142"/>
        <v>0.16221661077290703</v>
      </c>
      <c r="AP403" s="716">
        <f t="shared" si="142"/>
        <v>0.15822390372030523</v>
      </c>
      <c r="AQ403" s="716">
        <f t="shared" si="142"/>
        <v>0.15520496749393109</v>
      </c>
      <c r="AR403" s="716">
        <f t="shared" si="142"/>
        <v>0.25791214794258865</v>
      </c>
      <c r="AS403" s="716">
        <f t="shared" si="142"/>
        <v>0.1478614446520603</v>
      </c>
      <c r="AT403" s="716">
        <f t="shared" si="142"/>
        <v>0.14508474897032261</v>
      </c>
      <c r="AU403" s="716">
        <f t="shared" si="142"/>
        <v>0.14094798893022933</v>
      </c>
      <c r="AV403" s="716">
        <f t="shared" si="142"/>
        <v>0.13764728522884556</v>
      </c>
      <c r="AW403" s="716">
        <f t="shared" si="142"/>
        <v>0.19721936276271193</v>
      </c>
      <c r="AX403" s="716">
        <f t="shared" si="142"/>
        <v>0.13181057354398243</v>
      </c>
      <c r="AY403" s="716">
        <f t="shared" si="142"/>
        <v>0.12883592684487941</v>
      </c>
      <c r="AZ403" s="716">
        <f t="shared" si="142"/>
        <v>0.12659879772595192</v>
      </c>
      <c r="BA403" s="716">
        <f t="shared" si="142"/>
        <v>0.1232595962769972</v>
      </c>
      <c r="BB403" s="716">
        <f t="shared" si="142"/>
        <v>0.33807641519847964</v>
      </c>
      <c r="BC403" s="716">
        <f t="shared" si="142"/>
        <v>0.12426032856122128</v>
      </c>
      <c r="BD403" s="716">
        <f t="shared" si="142"/>
        <v>0.123565076785704</v>
      </c>
      <c r="BE403" s="716">
        <f t="shared" si="142"/>
        <v>0.1234635596216106</v>
      </c>
      <c r="BF403" s="716">
        <f t="shared" si="142"/>
        <v>0.12396171441505527</v>
      </c>
      <c r="BG403" s="716">
        <f t="shared" si="142"/>
        <v>0.17848599724156242</v>
      </c>
      <c r="BH403" s="716">
        <f t="shared" si="142"/>
        <v>0.12355623130779179</v>
      </c>
      <c r="BI403" s="716">
        <f t="shared" si="142"/>
        <v>0.12405438610123648</v>
      </c>
      <c r="BJ403" s="716">
        <f t="shared" si="142"/>
        <v>0.1233591343257192</v>
      </c>
      <c r="BK403" s="716">
        <f t="shared" si="142"/>
        <v>0.1232576171616258</v>
      </c>
      <c r="BL403" s="57"/>
      <c r="BM403" s="716"/>
      <c r="BN403" s="716"/>
      <c r="BO403" s="716"/>
      <c r="BP403" s="716"/>
      <c r="BQ403" s="716"/>
      <c r="BR403" s="716"/>
      <c r="BS403" s="716"/>
      <c r="BT403" s="716"/>
      <c r="BU403" s="716"/>
      <c r="BV403" s="716"/>
      <c r="BW403" s="716"/>
      <c r="BX403" s="716"/>
      <c r="BY403" s="716"/>
      <c r="BZ403" s="716"/>
      <c r="CA403" s="716"/>
      <c r="CB403" s="716"/>
      <c r="CC403" s="716"/>
      <c r="CD403" s="716"/>
      <c r="CE403" s="716"/>
      <c r="CF403" s="716"/>
      <c r="CG403" s="716"/>
      <c r="CH403" s="716"/>
      <c r="CI403" s="716"/>
      <c r="CJ403" s="716"/>
      <c r="CK403" s="716"/>
      <c r="CL403" s="716"/>
      <c r="CM403" s="716"/>
      <c r="CN403" s="716"/>
      <c r="CO403" s="716"/>
      <c r="CP403" s="716"/>
      <c r="CQ403" s="716"/>
    </row>
    <row r="404" spans="1:95" ht="31.5" hidden="1" customHeight="1" outlineLevel="1">
      <c r="A404" s="706" t="s">
        <v>590</v>
      </c>
      <c r="B404" s="717">
        <f t="shared" ref="B404:AE404" si="143">SUM(B405,B408,B411,B414,B417,B420,B423,B426,B429,B432,B435,B438,B441,B444,B447)</f>
        <v>-8347804.2687281594</v>
      </c>
      <c r="C404" s="717">
        <f t="shared" si="143"/>
        <v>-8044520.7543793591</v>
      </c>
      <c r="D404" s="717">
        <f t="shared" si="143"/>
        <v>-8085811.6027485598</v>
      </c>
      <c r="E404" s="717">
        <f t="shared" si="143"/>
        <v>-8126001.385117759</v>
      </c>
      <c r="F404" s="717">
        <f t="shared" si="143"/>
        <v>-8166505.7394869607</v>
      </c>
      <c r="G404" s="717">
        <f t="shared" si="143"/>
        <v>-8236556.9660561588</v>
      </c>
      <c r="H404" s="717">
        <f t="shared" si="143"/>
        <v>-8279720.2024253597</v>
      </c>
      <c r="I404" s="717">
        <f t="shared" si="143"/>
        <v>-8323904.9767945586</v>
      </c>
      <c r="J404" s="717">
        <f t="shared" si="143"/>
        <v>-8369032.823163759</v>
      </c>
      <c r="K404" s="717">
        <f t="shared" si="143"/>
        <v>-8415570.4455329608</v>
      </c>
      <c r="L404" s="717">
        <f t="shared" si="143"/>
        <v>-8507672.9640101604</v>
      </c>
      <c r="M404" s="717">
        <f t="shared" si="143"/>
        <v>-8557112.7863793615</v>
      </c>
      <c r="N404" s="717">
        <f t="shared" si="143"/>
        <v>-8608798.2387485616</v>
      </c>
      <c r="O404" s="717">
        <f t="shared" si="143"/>
        <v>-8661824.7591177598</v>
      </c>
      <c r="P404" s="717">
        <f t="shared" si="143"/>
        <v>-8716667.9514869601</v>
      </c>
      <c r="Q404" s="717">
        <f t="shared" si="143"/>
        <v>-8802359.9040561598</v>
      </c>
      <c r="R404" s="717">
        <f t="shared" si="143"/>
        <v>-8860538.608425362</v>
      </c>
      <c r="S404" s="717">
        <f t="shared" si="143"/>
        <v>-8920122.1087945625</v>
      </c>
      <c r="T404" s="717">
        <f t="shared" si="143"/>
        <v>-8981364.9591637608</v>
      </c>
      <c r="U404" s="717">
        <f t="shared" si="143"/>
        <v>-9043077.3455329593</v>
      </c>
      <c r="V404" s="717">
        <f t="shared" si="143"/>
        <v>-9079949.5020101592</v>
      </c>
      <c r="W404" s="717">
        <f t="shared" si="143"/>
        <v>-9072937.1823793594</v>
      </c>
      <c r="X404" s="717">
        <f t="shared" si="143"/>
        <v>-9065489.2627485599</v>
      </c>
      <c r="Y404" s="717">
        <f t="shared" si="143"/>
        <v>-9058041.3431177605</v>
      </c>
      <c r="Z404" s="717">
        <f t="shared" si="143"/>
        <v>-9051029.0234869588</v>
      </c>
      <c r="AA404" s="717">
        <f t="shared" si="143"/>
        <v>-9072288.2240561601</v>
      </c>
      <c r="AB404" s="717">
        <f t="shared" si="143"/>
        <v>-9064840.3044253588</v>
      </c>
      <c r="AC404" s="717">
        <f t="shared" si="143"/>
        <v>-9057827.984794559</v>
      </c>
      <c r="AD404" s="717">
        <f t="shared" si="143"/>
        <v>-9050380.0651637595</v>
      </c>
      <c r="AE404" s="717">
        <f t="shared" si="143"/>
        <v>-9042932.1455329601</v>
      </c>
      <c r="AF404" s="594"/>
      <c r="AG404" s="594"/>
      <c r="AH404" s="594"/>
      <c r="AI404" s="594"/>
      <c r="AJ404" s="594"/>
      <c r="AK404" s="594"/>
      <c r="AL404" s="594"/>
      <c r="AM404" s="594"/>
      <c r="AN404" s="594"/>
      <c r="AO404" s="594"/>
      <c r="AP404" s="594"/>
      <c r="AQ404" s="594"/>
      <c r="AR404" s="594"/>
      <c r="AS404" s="594"/>
      <c r="AT404" s="594"/>
      <c r="AU404" s="594"/>
      <c r="AV404" s="594"/>
      <c r="AW404" s="594"/>
      <c r="AX404" s="594"/>
      <c r="AY404" s="594"/>
      <c r="AZ404" s="594"/>
      <c r="BA404" s="594"/>
      <c r="BB404" s="594"/>
      <c r="BC404" s="594"/>
      <c r="BD404" s="594"/>
      <c r="BE404" s="594"/>
      <c r="BF404" s="594"/>
      <c r="BG404" s="594"/>
      <c r="BH404" s="594"/>
      <c r="BI404" s="594"/>
      <c r="BJ404" s="594"/>
      <c r="BK404" s="594"/>
      <c r="BL404" s="57"/>
      <c r="BM404" s="594"/>
      <c r="BN404" s="594"/>
      <c r="BO404" s="594"/>
      <c r="BP404" s="594"/>
      <c r="BQ404" s="594"/>
      <c r="BR404" s="594"/>
      <c r="BS404" s="594"/>
      <c r="BT404" s="594"/>
      <c r="BU404" s="594"/>
      <c r="BV404" s="594"/>
      <c r="BW404" s="594"/>
      <c r="BX404" s="594"/>
      <c r="BY404" s="594"/>
      <c r="BZ404" s="594"/>
      <c r="CA404" s="594"/>
      <c r="CB404" s="594"/>
      <c r="CC404" s="594"/>
      <c r="CD404" s="594"/>
      <c r="CE404" s="594"/>
      <c r="CF404" s="594"/>
      <c r="CG404" s="594"/>
      <c r="CH404" s="594"/>
      <c r="CI404" s="594"/>
      <c r="CJ404" s="594"/>
      <c r="CK404" s="594"/>
      <c r="CL404" s="594"/>
      <c r="CM404" s="594"/>
      <c r="CN404" s="594"/>
      <c r="CO404" s="594"/>
      <c r="CP404" s="594"/>
      <c r="CQ404" s="594"/>
    </row>
    <row r="405" spans="1:95" ht="15.75" hidden="1" customHeight="1" outlineLevel="2">
      <c r="A405" s="709" t="s">
        <v>196</v>
      </c>
      <c r="B405" s="717">
        <f t="shared" ref="B405:AE405" si="144">SUM(B406:B407)</f>
        <v>-6693905.1728432272</v>
      </c>
      <c r="C405" s="717">
        <f t="shared" si="144"/>
        <v>-5272854.3179585598</v>
      </c>
      <c r="D405" s="717">
        <f t="shared" si="144"/>
        <v>-5319727.08595856</v>
      </c>
      <c r="E405" s="717">
        <f t="shared" si="144"/>
        <v>-5365121.8379585594</v>
      </c>
      <c r="F405" s="717">
        <f t="shared" si="144"/>
        <v>-5411238.0619585598</v>
      </c>
      <c r="G405" s="717">
        <f t="shared" si="144"/>
        <v>-5458161.8379585594</v>
      </c>
      <c r="H405" s="717">
        <f t="shared" si="144"/>
        <v>-5506416.4939585598</v>
      </c>
      <c r="I405" s="717">
        <f t="shared" si="144"/>
        <v>-5556072.2379585598</v>
      </c>
      <c r="J405" s="717">
        <f t="shared" si="144"/>
        <v>-5606635.0539585594</v>
      </c>
      <c r="K405" s="717">
        <f t="shared" si="144"/>
        <v>-5658134.4459585594</v>
      </c>
      <c r="L405" s="717">
        <f t="shared" si="144"/>
        <v>-5711250.1579585597</v>
      </c>
      <c r="M405" s="717">
        <f t="shared" si="144"/>
        <v>-5765959.9499585601</v>
      </c>
      <c r="N405" s="717">
        <f t="shared" si="144"/>
        <v>-5822410.2219585599</v>
      </c>
      <c r="O405" s="717">
        <f t="shared" si="144"/>
        <v>-5880569.26195856</v>
      </c>
      <c r="P405" s="717">
        <f t="shared" si="144"/>
        <v>-5940475.3739585597</v>
      </c>
      <c r="Q405" s="717">
        <f t="shared" si="144"/>
        <v>-6002022.12595856</v>
      </c>
      <c r="R405" s="717">
        <f t="shared" si="144"/>
        <v>-6065135.9499585601</v>
      </c>
      <c r="S405" s="717">
        <f t="shared" si="144"/>
        <v>-6129601.0699585602</v>
      </c>
      <c r="T405" s="717">
        <f t="shared" si="144"/>
        <v>-6195242.9899585601</v>
      </c>
      <c r="U405" s="717">
        <f t="shared" si="144"/>
        <v>-6261755.2459585592</v>
      </c>
      <c r="V405" s="717">
        <f t="shared" si="144"/>
        <v>-6261755.2459585592</v>
      </c>
      <c r="W405" s="717">
        <f t="shared" si="144"/>
        <v>-6261755.2459585592</v>
      </c>
      <c r="X405" s="717">
        <f t="shared" si="144"/>
        <v>-6261755.2459585592</v>
      </c>
      <c r="Y405" s="717">
        <f t="shared" si="144"/>
        <v>-6261755.2459585592</v>
      </c>
      <c r="Z405" s="717">
        <f t="shared" si="144"/>
        <v>-6261755.2459585592</v>
      </c>
      <c r="AA405" s="717">
        <f t="shared" si="144"/>
        <v>-6261755.2459585592</v>
      </c>
      <c r="AB405" s="717">
        <f t="shared" si="144"/>
        <v>-6261755.2459585592</v>
      </c>
      <c r="AC405" s="717">
        <f t="shared" si="144"/>
        <v>-6261755.2459585592</v>
      </c>
      <c r="AD405" s="717">
        <f t="shared" si="144"/>
        <v>-6261755.2459585592</v>
      </c>
      <c r="AE405" s="717">
        <f t="shared" si="144"/>
        <v>-6261755.2459585592</v>
      </c>
      <c r="AF405" s="594"/>
      <c r="AG405" s="594"/>
      <c r="AH405" s="594"/>
      <c r="AI405" s="594"/>
      <c r="AJ405" s="594"/>
      <c r="AK405" s="594"/>
      <c r="AL405" s="594"/>
      <c r="AM405" s="594"/>
      <c r="AN405" s="594"/>
      <c r="AO405" s="594"/>
      <c r="AP405" s="594"/>
      <c r="AQ405" s="594"/>
      <c r="AR405" s="594"/>
      <c r="AS405" s="594"/>
      <c r="AT405" s="594"/>
      <c r="AU405" s="594"/>
      <c r="AV405" s="594"/>
      <c r="AW405" s="594"/>
      <c r="AX405" s="594"/>
      <c r="AY405" s="594"/>
      <c r="AZ405" s="594"/>
      <c r="BA405" s="594"/>
      <c r="BB405" s="594"/>
      <c r="BC405" s="594"/>
      <c r="BD405" s="594"/>
      <c r="BE405" s="594"/>
      <c r="BF405" s="594"/>
      <c r="BG405" s="594"/>
      <c r="BH405" s="594"/>
      <c r="BI405" s="594"/>
      <c r="BJ405" s="594"/>
      <c r="BK405" s="594"/>
      <c r="BL405" s="57"/>
      <c r="BM405" s="594"/>
      <c r="BN405" s="594"/>
      <c r="BO405" s="594"/>
      <c r="BP405" s="594"/>
      <c r="BQ405" s="594"/>
      <c r="BR405" s="594"/>
      <c r="BS405" s="594"/>
      <c r="BT405" s="594"/>
      <c r="BU405" s="594"/>
      <c r="BV405" s="594"/>
      <c r="BW405" s="594"/>
      <c r="BX405" s="594"/>
      <c r="BY405" s="594"/>
      <c r="BZ405" s="594"/>
      <c r="CA405" s="594"/>
      <c r="CB405" s="594"/>
      <c r="CC405" s="594"/>
      <c r="CD405" s="594"/>
      <c r="CE405" s="594"/>
      <c r="CF405" s="594"/>
      <c r="CG405" s="594"/>
      <c r="CH405" s="594"/>
      <c r="CI405" s="594"/>
      <c r="CJ405" s="594"/>
      <c r="CK405" s="594"/>
      <c r="CL405" s="594"/>
      <c r="CM405" s="594"/>
      <c r="CN405" s="594"/>
      <c r="CO405" s="594"/>
      <c r="CP405" s="594"/>
      <c r="CQ405" s="594"/>
    </row>
    <row r="406" spans="1:95" ht="15.75" hidden="1" customHeight="1" outlineLevel="3">
      <c r="A406" s="709" t="s">
        <v>692</v>
      </c>
      <c r="B406" s="718">
        <f>IF($A405="",0,-SUMIF('C3 - Funcionários $'!$D$7:$D$121,$A405,'C3 - Funcionários $'!G$7:G$121))</f>
        <v>-2733541.1019585598</v>
      </c>
      <c r="C406" s="718">
        <f>IF($A405="",0,-SUMIF('C3 - Funcionários $'!$D$7:$D$121,$A405,'C3 - Funcionários $'!H$7:H$121))</f>
        <v>-2733541.1019585598</v>
      </c>
      <c r="D406" s="718">
        <f>IF($A405="",0,-SUMIF('C3 - Funcionários $'!$D$7:$D$121,$A405,'C3 - Funcionários $'!I$7:I$121))</f>
        <v>-2733541.1019585598</v>
      </c>
      <c r="E406" s="718">
        <f>IF($A405="",0,-SUMIF('C3 - Funcionários $'!$D$7:$D$121,$A405,'C3 - Funcionários $'!J$7:J$121))</f>
        <v>-2733541.1019585598</v>
      </c>
      <c r="F406" s="718">
        <f>IF($A405="",0,-SUMIF('C3 - Funcionários $'!$D$7:$D$121,$A405,'C3 - Funcionários $'!K$7:K$121))</f>
        <v>-2733541.1019585598</v>
      </c>
      <c r="G406" s="718">
        <f>IF($A405="",0,-SUMIF('C3 - Funcionários $'!$D$7:$D$121,$A405,'C3 - Funcionários $'!L$7:L$121))</f>
        <v>-2733541.1019585598</v>
      </c>
      <c r="H406" s="718">
        <f>IF($A405="",0,-SUMIF('C3 - Funcionários $'!$D$7:$D$121,$A405,'C3 - Funcionários $'!M$7:M$121))</f>
        <v>-2733541.1019585598</v>
      </c>
      <c r="I406" s="718">
        <f>IF($A405="",0,-SUMIF('C3 - Funcionários $'!$D$7:$D$121,$A405,'C3 - Funcionários $'!N$7:N$121))</f>
        <v>-2733541.1019585598</v>
      </c>
      <c r="J406" s="718">
        <f>IF($A405="",0,-SUMIF('C3 - Funcionários $'!$D$7:$D$121,$A405,'C3 - Funcionários $'!O$7:O$121))</f>
        <v>-2733541.1019585598</v>
      </c>
      <c r="K406" s="718">
        <f>IF($A405="",0,-SUMIF('C3 - Funcionários $'!$D$7:$D$121,$A405,'C3 - Funcionários $'!P$7:P$121))</f>
        <v>-2733541.1019585598</v>
      </c>
      <c r="L406" s="718">
        <f>IF($A405="",0,-SUMIF('C3 - Funcionários $'!$D$7:$D$121,$A405,'C3 - Funcionários $'!Q$7:Q$121))</f>
        <v>-2733541.1019585598</v>
      </c>
      <c r="M406" s="718">
        <f>IF($A405="",0,-SUMIF('C3 - Funcionários $'!$D$7:$D$121,$A405,'C3 - Funcionários $'!R$7:R$121))</f>
        <v>-2733541.1019585598</v>
      </c>
      <c r="N406" s="718">
        <f>IF($A405="",0,-SUMIF('C3 - Funcionários $'!$D$7:$D$121,$A405,'C3 - Funcionários $'!S$7:S$121))</f>
        <v>-2733541.1019585598</v>
      </c>
      <c r="O406" s="718">
        <f>IF($A405="",0,-SUMIF('C3 - Funcionários $'!$D$7:$D$121,$A405,'C3 - Funcionários $'!T$7:T$121))</f>
        <v>-2733541.1019585598</v>
      </c>
      <c r="P406" s="718">
        <f>IF($A405="",0,-SUMIF('C3 - Funcionários $'!$D$7:$D$121,$A405,'C3 - Funcionários $'!U$7:U$121))</f>
        <v>-2733541.1019585598</v>
      </c>
      <c r="Q406" s="718">
        <f>IF($A405="",0,-SUMIF('C3 - Funcionários $'!$D$7:$D$121,$A405,'C3 - Funcionários $'!V$7:V$121))</f>
        <v>-2733541.1019585598</v>
      </c>
      <c r="R406" s="718">
        <f>IF($A405="",0,-SUMIF('C3 - Funcionários $'!$D$7:$D$121,$A405,'C3 - Funcionários $'!W$7:W$121))</f>
        <v>-2733541.1019585598</v>
      </c>
      <c r="S406" s="718">
        <f>IF($A405="",0,-SUMIF('C3 - Funcionários $'!$D$7:$D$121,$A405,'C3 - Funcionários $'!X$7:X$121))</f>
        <v>-2733541.1019585598</v>
      </c>
      <c r="T406" s="718">
        <f>IF($A405="",0,-SUMIF('C3 - Funcionários $'!$D$7:$D$121,$A405,'C3 - Funcionários $'!Y$7:Y$121))</f>
        <v>-2733541.1019585598</v>
      </c>
      <c r="U406" s="718">
        <f>IF($A405="",0,-SUMIF('C3 - Funcionários $'!$D$7:$D$121,$A405,'C3 - Funcionários $'!Z$7:Z$121))</f>
        <v>-2733541.1019585598</v>
      </c>
      <c r="V406" s="718">
        <f>IF($A405="",0,-SUMIF('C3 - Funcionários $'!$D$7:$D$121,$A405,'C3 - Funcionários $'!AA$7:AA$121))</f>
        <v>-2733541.1019585598</v>
      </c>
      <c r="W406" s="718">
        <f>IF($A405="",0,-SUMIF('C3 - Funcionários $'!$D$7:$D$121,$A405,'C3 - Funcionários $'!AB$7:AB$121))</f>
        <v>-2733541.1019585598</v>
      </c>
      <c r="X406" s="718">
        <f>IF($A405="",0,-SUMIF('C3 - Funcionários $'!$D$7:$D$121,$A405,'C3 - Funcionários $'!AC$7:AC$121))</f>
        <v>-2733541.1019585598</v>
      </c>
      <c r="Y406" s="718">
        <f>IF($A405="",0,-SUMIF('C3 - Funcionários $'!$D$7:$D$121,$A405,'C3 - Funcionários $'!AD$7:AD$121))</f>
        <v>-2733541.1019585598</v>
      </c>
      <c r="Z406" s="718">
        <f>IF($A405="",0,-SUMIF('C3 - Funcionários $'!$D$7:$D$121,$A405,'C3 - Funcionários $'!AE$7:AE$121))</f>
        <v>-2733541.1019585598</v>
      </c>
      <c r="AA406" s="718">
        <f>IF($A405="",0,-SUMIF('C3 - Funcionários $'!$D$7:$D$121,$A405,'C3 - Funcionários $'!AF$7:AF$121))</f>
        <v>-2733541.1019585598</v>
      </c>
      <c r="AB406" s="718">
        <f>IF($A405="",0,-SUMIF('C3 - Funcionários $'!$D$7:$D$121,$A405,'C3 - Funcionários $'!AG$7:AG$121))</f>
        <v>-2733541.1019585598</v>
      </c>
      <c r="AC406" s="718">
        <f>IF($A405="",0,-SUMIF('C3 - Funcionários $'!$D$7:$D$121,$A405,'C3 - Funcionários $'!AH$7:AH$121))</f>
        <v>-2733541.1019585598</v>
      </c>
      <c r="AD406" s="718">
        <f>IF($A405="",0,-SUMIF('C3 - Funcionários $'!$D$7:$D$121,$A405,'C3 - Funcionários $'!AI$7:AI$121))</f>
        <v>-2733541.1019585598</v>
      </c>
      <c r="AE406" s="718">
        <f>IF($A405="",0,-SUMIF('C3 - Funcionários $'!$D$7:$D$121,$A405,'C3 - Funcionários $'!AJ$7:AJ$121))</f>
        <v>-2733541.1019585598</v>
      </c>
      <c r="AF406" s="594"/>
      <c r="AG406" s="594"/>
      <c r="AH406" s="594"/>
      <c r="AI406" s="594"/>
      <c r="AJ406" s="594"/>
      <c r="AK406" s="594"/>
      <c r="AL406" s="594"/>
      <c r="AM406" s="594"/>
      <c r="AN406" s="594"/>
      <c r="AO406" s="594"/>
      <c r="AP406" s="594"/>
      <c r="AQ406" s="594"/>
      <c r="AR406" s="594"/>
      <c r="AS406" s="594"/>
      <c r="AT406" s="594"/>
      <c r="AU406" s="594"/>
      <c r="AV406" s="594"/>
      <c r="AW406" s="594"/>
      <c r="AX406" s="594"/>
      <c r="AY406" s="594"/>
      <c r="AZ406" s="594"/>
      <c r="BA406" s="594"/>
      <c r="BB406" s="594"/>
      <c r="BC406" s="594"/>
      <c r="BD406" s="594"/>
      <c r="BE406" s="594"/>
      <c r="BF406" s="594"/>
      <c r="BG406" s="594"/>
      <c r="BH406" s="594"/>
      <c r="BI406" s="594"/>
      <c r="BJ406" s="594"/>
      <c r="BK406" s="594"/>
      <c r="BL406" s="57"/>
      <c r="BM406" s="594"/>
      <c r="BN406" s="594"/>
      <c r="BO406" s="594"/>
      <c r="BP406" s="594"/>
      <c r="BQ406" s="594"/>
      <c r="BR406" s="594"/>
      <c r="BS406" s="594"/>
      <c r="BT406" s="594"/>
      <c r="BU406" s="594"/>
      <c r="BV406" s="594"/>
      <c r="BW406" s="594"/>
      <c r="BX406" s="594"/>
      <c r="BY406" s="594"/>
      <c r="BZ406" s="594"/>
      <c r="CA406" s="594"/>
      <c r="CB406" s="594"/>
      <c r="CC406" s="594"/>
      <c r="CD406" s="594"/>
      <c r="CE406" s="594"/>
      <c r="CF406" s="594"/>
      <c r="CG406" s="594"/>
      <c r="CH406" s="594"/>
      <c r="CI406" s="594"/>
      <c r="CJ406" s="594"/>
      <c r="CK406" s="594"/>
      <c r="CL406" s="594"/>
      <c r="CM406" s="594"/>
      <c r="CN406" s="594"/>
      <c r="CO406" s="594"/>
      <c r="CP406" s="594"/>
      <c r="CQ406" s="594"/>
    </row>
    <row r="407" spans="1:95" ht="15.75" hidden="1" customHeight="1" outlineLevel="3">
      <c r="A407" s="709" t="s">
        <v>685</v>
      </c>
      <c r="B407" s="710">
        <f>-SUMIFS('B3 - Custos despesas indiretos'!AK$5:AK$148,'B3 - Custos despesas indiretos'!$B$5:$B$148,"Despesas",'B3 - Custos despesas indiretos'!$D$5:$D$148,$A405)-SUMIF('D2 - Capex uso'!C$6:C$176,$A405,'D2 - Capex uso'!GI$6:GI$176)</f>
        <v>-3960364.0708846669</v>
      </c>
      <c r="C407" s="710">
        <f>-SUMIFS('B3 - Custos despesas indiretos'!AL$5:AL$148,'B3 - Custos despesas indiretos'!$B$5:$B$148,"Despesas",'B3 - Custos despesas indiretos'!$D$5:$D$148,$A405)-SUMIF('D2 - Capex uso'!D$6:D$176,$A405,'D2 - Capex uso'!GJ$6:GJ$176)</f>
        <v>-2539313.216</v>
      </c>
      <c r="D407" s="710">
        <f>-SUMIFS('B3 - Custos despesas indiretos'!AM$5:AM$148,'B3 - Custos despesas indiretos'!$B$5:$B$148,"Despesas",'B3 - Custos despesas indiretos'!$D$5:$D$148,$A405)-SUMIF('D2 - Capex uso'!E$6:E$176,$A405,'D2 - Capex uso'!GK$6:GK$176)</f>
        <v>-2586185.9840000002</v>
      </c>
      <c r="E407" s="710">
        <f>-SUMIFS('B3 - Custos despesas indiretos'!AN$5:AN$148,'B3 - Custos despesas indiretos'!$B$5:$B$148,"Despesas",'B3 - Custos despesas indiretos'!$D$5:$D$148,$A405)-SUMIF('D2 - Capex uso'!F$6:F$176,$A405,'D2 - Capex uso'!GL$6:GL$176)</f>
        <v>-2631580.736</v>
      </c>
      <c r="F407" s="710">
        <f>-SUMIFS('B3 - Custos despesas indiretos'!AO$5:AO$148,'B3 - Custos despesas indiretos'!$B$5:$B$148,"Despesas",'B3 - Custos despesas indiretos'!$D$5:$D$148,$A405)-SUMIF('D2 - Capex uso'!G$6:G$176,$A405,'D2 - Capex uso'!GM$6:GM$176)</f>
        <v>-2677696.96</v>
      </c>
      <c r="G407" s="710">
        <f>-SUMIFS('B3 - Custos despesas indiretos'!AP$5:AP$148,'B3 - Custos despesas indiretos'!$B$5:$B$148,"Despesas",'B3 - Custos despesas indiretos'!$D$5:$D$148,$A405)-SUMIF('D2 - Capex uso'!H$6:H$176,$A405,'D2 - Capex uso'!GN$6:GN$176)</f>
        <v>-2724620.736</v>
      </c>
      <c r="H407" s="710">
        <f>-SUMIFS('B3 - Custos despesas indiretos'!AQ$5:AQ$148,'B3 - Custos despesas indiretos'!$B$5:$B$148,"Despesas",'B3 - Custos despesas indiretos'!$D$5:$D$148,$A405)-SUMIF('D2 - Capex uso'!I$6:I$176,$A405,'D2 - Capex uso'!GO$6:GO$176)</f>
        <v>-2772875.392</v>
      </c>
      <c r="I407" s="710">
        <f>-SUMIFS('B3 - Custos despesas indiretos'!AR$5:AR$148,'B3 - Custos despesas indiretos'!$B$5:$B$148,"Despesas",'B3 - Custos despesas indiretos'!$D$5:$D$148,$A405)-SUMIF('D2 - Capex uso'!J$6:J$176,$A405,'D2 - Capex uso'!GP$6:GP$176)</f>
        <v>-2822531.1359999999</v>
      </c>
      <c r="J407" s="710">
        <f>-SUMIFS('B3 - Custos despesas indiretos'!AS$5:AS$148,'B3 - Custos despesas indiretos'!$B$5:$B$148,"Despesas",'B3 - Custos despesas indiretos'!$D$5:$D$148,$A405)-SUMIF('D2 - Capex uso'!K$6:K$176,$A405,'D2 - Capex uso'!GQ$6:GQ$176)</f>
        <v>-2873093.952</v>
      </c>
      <c r="K407" s="710">
        <f>-SUMIFS('B3 - Custos despesas indiretos'!AT$5:AT$148,'B3 - Custos despesas indiretos'!$B$5:$B$148,"Despesas",'B3 - Custos despesas indiretos'!$D$5:$D$148,$A405)-SUMIF('D2 - Capex uso'!L$6:L$176,$A405,'D2 - Capex uso'!GR$6:GR$176)</f>
        <v>-2924593.3439999996</v>
      </c>
      <c r="L407" s="710">
        <f>-SUMIFS('B3 - Custos despesas indiretos'!AU$5:AU$148,'B3 - Custos despesas indiretos'!$B$5:$B$148,"Despesas",'B3 - Custos despesas indiretos'!$D$5:$D$148,$A405)-SUMIF('D2 - Capex uso'!M$6:M$176,$A405,'D2 - Capex uso'!GS$6:GS$176)</f>
        <v>-2977709.0559999999</v>
      </c>
      <c r="M407" s="710">
        <f>-SUMIFS('B3 - Custos despesas indiretos'!AV$5:AV$148,'B3 - Custos despesas indiretos'!$B$5:$B$148,"Despesas",'B3 - Custos despesas indiretos'!$D$5:$D$148,$A405)-SUMIF('D2 - Capex uso'!N$6:N$176,$A405,'D2 - Capex uso'!GT$6:GT$176)</f>
        <v>-3032418.8480000002</v>
      </c>
      <c r="N407" s="710">
        <f>-SUMIFS('B3 - Custos despesas indiretos'!AW$5:AW$148,'B3 - Custos despesas indiretos'!$B$5:$B$148,"Despesas",'B3 - Custos despesas indiretos'!$D$5:$D$148,$A405)-SUMIF('D2 - Capex uso'!O$6:O$176,$A405,'D2 - Capex uso'!GU$6:GU$176)</f>
        <v>-3088869.12</v>
      </c>
      <c r="O407" s="710">
        <f>-SUMIFS('B3 - Custos despesas indiretos'!AX$5:AX$148,'B3 - Custos despesas indiretos'!$B$5:$B$148,"Despesas",'B3 - Custos despesas indiretos'!$D$5:$D$148,$A405)-SUMIF('D2 - Capex uso'!P$6:P$176,$A405,'D2 - Capex uso'!GV$6:GV$176)</f>
        <v>-3147028.16</v>
      </c>
      <c r="P407" s="710">
        <f>-SUMIFS('B3 - Custos despesas indiretos'!AY$5:AY$148,'B3 - Custos despesas indiretos'!$B$5:$B$148,"Despesas",'B3 - Custos despesas indiretos'!$D$5:$D$148,$A405)-SUMIF('D2 - Capex uso'!Q$6:Q$176,$A405,'D2 - Capex uso'!GW$6:GW$176)</f>
        <v>-3206934.2719999999</v>
      </c>
      <c r="Q407" s="710">
        <f>-SUMIFS('B3 - Custos despesas indiretos'!AZ$5:AZ$148,'B3 - Custos despesas indiretos'!$B$5:$B$148,"Despesas",'B3 - Custos despesas indiretos'!$D$5:$D$148,$A405)-SUMIF('D2 - Capex uso'!R$6:R$176,$A405,'D2 - Capex uso'!GX$6:GX$176)</f>
        <v>-3268481.0239999997</v>
      </c>
      <c r="R407" s="710">
        <f>-SUMIFS('B3 - Custos despesas indiretos'!BA$5:BA$148,'B3 - Custos despesas indiretos'!$B$5:$B$148,"Despesas",'B3 - Custos despesas indiretos'!$D$5:$D$148,$A405)-SUMIF('D2 - Capex uso'!S$6:S$176,$A405,'D2 - Capex uso'!GY$6:GY$176)</f>
        <v>-3331594.8480000002</v>
      </c>
      <c r="S407" s="710">
        <f>-SUMIFS('B3 - Custos despesas indiretos'!BB$5:BB$148,'B3 - Custos despesas indiretos'!$B$5:$B$148,"Despesas",'B3 - Custos despesas indiretos'!$D$5:$D$148,$A405)-SUMIF('D2 - Capex uso'!T$6:T$176,$A405,'D2 - Capex uso'!GZ$6:GZ$176)</f>
        <v>-3396059.9679999999</v>
      </c>
      <c r="T407" s="710">
        <f>-SUMIFS('B3 - Custos despesas indiretos'!BC$5:BC$148,'B3 - Custos despesas indiretos'!$B$5:$B$148,"Despesas",'B3 - Custos despesas indiretos'!$D$5:$D$148,$A405)-SUMIF('D2 - Capex uso'!U$6:U$176,$A405,'D2 - Capex uso'!HA$6:HA$176)</f>
        <v>-3461701.8880000003</v>
      </c>
      <c r="U407" s="710">
        <f>-SUMIFS('B3 - Custos despesas indiretos'!BD$5:BD$148,'B3 - Custos despesas indiretos'!$B$5:$B$148,"Despesas",'B3 - Custos despesas indiretos'!$D$5:$D$148,$A405)-SUMIF('D2 - Capex uso'!V$6:V$176,$A405,'D2 - Capex uso'!HB$6:HB$176)</f>
        <v>-3528214.1439999999</v>
      </c>
      <c r="V407" s="710">
        <f>-SUMIFS('B3 - Custos despesas indiretos'!BE$5:BE$148,'B3 - Custos despesas indiretos'!$B$5:$B$148,"Despesas",'B3 - Custos despesas indiretos'!$D$5:$D$148,$A405)-SUMIF('D2 - Capex uso'!W$6:W$176,$A405,'D2 - Capex uso'!HC$6:HC$176)</f>
        <v>-3528214.1439999999</v>
      </c>
      <c r="W407" s="710">
        <f>-SUMIFS('B3 - Custos despesas indiretos'!BF$5:BF$148,'B3 - Custos despesas indiretos'!$B$5:$B$148,"Despesas",'B3 - Custos despesas indiretos'!$D$5:$D$148,$A405)-SUMIF('D2 - Capex uso'!X$6:X$176,$A405,'D2 - Capex uso'!HD$6:HD$176)</f>
        <v>-3528214.1439999999</v>
      </c>
      <c r="X407" s="710">
        <f>-SUMIFS('B3 - Custos despesas indiretos'!BG$5:BG$148,'B3 - Custos despesas indiretos'!$B$5:$B$148,"Despesas",'B3 - Custos despesas indiretos'!$D$5:$D$148,$A405)-SUMIF('D2 - Capex uso'!Y$6:Y$176,$A405,'D2 - Capex uso'!HE$6:HE$176)</f>
        <v>-3528214.1439999999</v>
      </c>
      <c r="Y407" s="710">
        <f>-SUMIFS('B3 - Custos despesas indiretos'!BH$5:BH$148,'B3 - Custos despesas indiretos'!$B$5:$B$148,"Despesas",'B3 - Custos despesas indiretos'!$D$5:$D$148,$A405)-SUMIF('D2 - Capex uso'!Z$6:Z$176,$A405,'D2 - Capex uso'!HF$6:HF$176)</f>
        <v>-3528214.1439999999</v>
      </c>
      <c r="Z407" s="710">
        <f>-SUMIFS('B3 - Custos despesas indiretos'!BI$5:BI$148,'B3 - Custos despesas indiretos'!$B$5:$B$148,"Despesas",'B3 - Custos despesas indiretos'!$D$5:$D$148,$A405)-SUMIF('D2 - Capex uso'!AA$6:AA$176,$A405,'D2 - Capex uso'!HG$6:HG$176)</f>
        <v>-3528214.1439999999</v>
      </c>
      <c r="AA407" s="710">
        <f>-SUMIFS('B3 - Custos despesas indiretos'!BJ$5:BJ$148,'B3 - Custos despesas indiretos'!$B$5:$B$148,"Despesas",'B3 - Custos despesas indiretos'!$D$5:$D$148,$A405)-SUMIF('D2 - Capex uso'!AB$6:AB$176,$A405,'D2 - Capex uso'!HH$6:HH$176)</f>
        <v>-3528214.1439999999</v>
      </c>
      <c r="AB407" s="710">
        <f>-SUMIFS('B3 - Custos despesas indiretos'!BK$5:BK$148,'B3 - Custos despesas indiretos'!$B$5:$B$148,"Despesas",'B3 - Custos despesas indiretos'!$D$5:$D$148,$A405)-SUMIF('D2 - Capex uso'!AC$6:AC$176,$A405,'D2 - Capex uso'!HI$6:HI$176)</f>
        <v>-3528214.1439999999</v>
      </c>
      <c r="AC407" s="710">
        <f>-SUMIFS('B3 - Custos despesas indiretos'!BL$5:BL$148,'B3 - Custos despesas indiretos'!$B$5:$B$148,"Despesas",'B3 - Custos despesas indiretos'!$D$5:$D$148,$A405)-SUMIF('D2 - Capex uso'!AD$6:AD$176,$A405,'D2 - Capex uso'!HJ$6:HJ$176)</f>
        <v>-3528214.1439999999</v>
      </c>
      <c r="AD407" s="710">
        <f>-SUMIFS('B3 - Custos despesas indiretos'!BM$5:BM$148,'B3 - Custos despesas indiretos'!$B$5:$B$148,"Despesas",'B3 - Custos despesas indiretos'!$D$5:$D$148,$A405)-SUMIF('D2 - Capex uso'!AE$6:AE$176,$A405,'D2 - Capex uso'!HK$6:HK$176)</f>
        <v>-3528214.1439999999</v>
      </c>
      <c r="AE407" s="710">
        <f>-SUMIFS('B3 - Custos despesas indiretos'!BN$5:BN$148,'B3 - Custos despesas indiretos'!$B$5:$B$148,"Despesas",'B3 - Custos despesas indiretos'!$D$5:$D$148,$A405)-SUMIF('D2 - Capex uso'!AF$6:AF$176,$A405,'D2 - Capex uso'!HL$6:HL$176)</f>
        <v>-3528214.1439999999</v>
      </c>
      <c r="AF407" s="594"/>
      <c r="AG407" s="594"/>
      <c r="AH407" s="594"/>
      <c r="AI407" s="594"/>
      <c r="AJ407" s="594"/>
      <c r="AK407" s="594"/>
      <c r="AL407" s="594"/>
      <c r="AM407" s="594"/>
      <c r="AN407" s="594"/>
      <c r="AO407" s="594"/>
      <c r="AP407" s="594"/>
      <c r="AQ407" s="594"/>
      <c r="AR407" s="594"/>
      <c r="AS407" s="594"/>
      <c r="AT407" s="594"/>
      <c r="AU407" s="594"/>
      <c r="AV407" s="594"/>
      <c r="AW407" s="594"/>
      <c r="AX407" s="594"/>
      <c r="AY407" s="594"/>
      <c r="AZ407" s="594"/>
      <c r="BA407" s="594"/>
      <c r="BB407" s="594"/>
      <c r="BC407" s="594"/>
      <c r="BD407" s="594"/>
      <c r="BE407" s="594"/>
      <c r="BF407" s="594"/>
      <c r="BG407" s="594"/>
      <c r="BH407" s="594"/>
      <c r="BI407" s="594"/>
      <c r="BJ407" s="594"/>
      <c r="BK407" s="594"/>
      <c r="BL407" s="57"/>
      <c r="BM407" s="594"/>
      <c r="BN407" s="594"/>
      <c r="BO407" s="594"/>
      <c r="BP407" s="594"/>
      <c r="BQ407" s="594"/>
      <c r="BR407" s="594"/>
      <c r="BS407" s="594"/>
      <c r="BT407" s="594"/>
      <c r="BU407" s="594"/>
      <c r="BV407" s="594"/>
      <c r="BW407" s="594"/>
      <c r="BX407" s="594"/>
      <c r="BY407" s="594"/>
      <c r="BZ407" s="594"/>
      <c r="CA407" s="594"/>
      <c r="CB407" s="594"/>
      <c r="CC407" s="594"/>
      <c r="CD407" s="594"/>
      <c r="CE407" s="594"/>
      <c r="CF407" s="594"/>
      <c r="CG407" s="594"/>
      <c r="CH407" s="594"/>
      <c r="CI407" s="594"/>
      <c r="CJ407" s="594"/>
      <c r="CK407" s="594"/>
      <c r="CL407" s="594"/>
      <c r="CM407" s="594"/>
      <c r="CN407" s="594"/>
      <c r="CO407" s="594"/>
      <c r="CP407" s="594"/>
      <c r="CQ407" s="594"/>
    </row>
    <row r="408" spans="1:95" ht="15" hidden="1" customHeight="1" outlineLevel="2">
      <c r="A408" s="709" t="s">
        <v>302</v>
      </c>
      <c r="B408" s="717">
        <f t="shared" ref="B408:AE408" si="145">SUM(B409:B410)</f>
        <v>-1614603.3656608001</v>
      </c>
      <c r="C408" s="717">
        <f t="shared" si="145"/>
        <v>-1614603.3656608001</v>
      </c>
      <c r="D408" s="717">
        <f t="shared" si="145"/>
        <v>-1614603.3656608001</v>
      </c>
      <c r="E408" s="717">
        <f t="shared" si="145"/>
        <v>-1614603.3656608001</v>
      </c>
      <c r="F408" s="717">
        <f t="shared" si="145"/>
        <v>-1614603.3656608001</v>
      </c>
      <c r="G408" s="717">
        <f t="shared" si="145"/>
        <v>-1614603.3656608001</v>
      </c>
      <c r="H408" s="717">
        <f t="shared" si="145"/>
        <v>-1614603.3656608001</v>
      </c>
      <c r="I408" s="717">
        <f t="shared" si="145"/>
        <v>-1614603.3656608001</v>
      </c>
      <c r="J408" s="717">
        <f t="shared" si="145"/>
        <v>-1614603.3656608001</v>
      </c>
      <c r="K408" s="717">
        <f t="shared" si="145"/>
        <v>-1614603.3656608001</v>
      </c>
      <c r="L408" s="717">
        <f t="shared" si="145"/>
        <v>-1614603.3656608001</v>
      </c>
      <c r="M408" s="717">
        <f t="shared" si="145"/>
        <v>-1614603.3656608001</v>
      </c>
      <c r="N408" s="717">
        <f t="shared" si="145"/>
        <v>-1614603.3656608001</v>
      </c>
      <c r="O408" s="717">
        <f t="shared" si="145"/>
        <v>-1614603.3656608001</v>
      </c>
      <c r="P408" s="717">
        <f t="shared" si="145"/>
        <v>-1614603.3656608001</v>
      </c>
      <c r="Q408" s="717">
        <f t="shared" si="145"/>
        <v>-1614603.3656608001</v>
      </c>
      <c r="R408" s="717">
        <f t="shared" si="145"/>
        <v>-1614603.3656608001</v>
      </c>
      <c r="S408" s="717">
        <f t="shared" si="145"/>
        <v>-1614603.3656608001</v>
      </c>
      <c r="T408" s="717">
        <f t="shared" si="145"/>
        <v>-1614603.3656608001</v>
      </c>
      <c r="U408" s="717">
        <f t="shared" si="145"/>
        <v>-1614603.3656608001</v>
      </c>
      <c r="V408" s="717">
        <f t="shared" si="145"/>
        <v>-1614603.3656608001</v>
      </c>
      <c r="W408" s="717">
        <f t="shared" si="145"/>
        <v>-1614603.3656608001</v>
      </c>
      <c r="X408" s="717">
        <f t="shared" si="145"/>
        <v>-1614603.3656608001</v>
      </c>
      <c r="Y408" s="717">
        <f t="shared" si="145"/>
        <v>-1614603.3656608001</v>
      </c>
      <c r="Z408" s="717">
        <f t="shared" si="145"/>
        <v>-1614603.3656608001</v>
      </c>
      <c r="AA408" s="717">
        <f t="shared" si="145"/>
        <v>-1614603.3656608001</v>
      </c>
      <c r="AB408" s="717">
        <f t="shared" si="145"/>
        <v>-1614603.3656608001</v>
      </c>
      <c r="AC408" s="717">
        <f t="shared" si="145"/>
        <v>-1614603.3656608001</v>
      </c>
      <c r="AD408" s="717">
        <f t="shared" si="145"/>
        <v>-1614603.3656608001</v>
      </c>
      <c r="AE408" s="717">
        <f t="shared" si="145"/>
        <v>-1614603.3656608001</v>
      </c>
      <c r="AF408" s="594"/>
      <c r="AG408" s="594"/>
      <c r="AH408" s="594"/>
      <c r="AI408" s="594"/>
      <c r="AJ408" s="594"/>
      <c r="AK408" s="594"/>
      <c r="AL408" s="594"/>
      <c r="AM408" s="594"/>
      <c r="AN408" s="594"/>
      <c r="AO408" s="594"/>
      <c r="AP408" s="594"/>
      <c r="AQ408" s="594"/>
      <c r="AR408" s="594"/>
      <c r="AS408" s="594"/>
      <c r="AT408" s="594"/>
      <c r="AU408" s="594"/>
      <c r="AV408" s="594"/>
      <c r="AW408" s="594"/>
      <c r="AX408" s="594"/>
      <c r="AY408" s="594"/>
      <c r="AZ408" s="594"/>
      <c r="BA408" s="594"/>
      <c r="BB408" s="594"/>
      <c r="BC408" s="594"/>
      <c r="BD408" s="594"/>
      <c r="BE408" s="594"/>
      <c r="BF408" s="594"/>
      <c r="BG408" s="594"/>
      <c r="BH408" s="594"/>
      <c r="BI408" s="594"/>
      <c r="BJ408" s="594"/>
      <c r="BK408" s="594"/>
      <c r="BL408" s="57"/>
      <c r="BM408" s="594"/>
      <c r="BN408" s="594"/>
      <c r="BO408" s="594"/>
      <c r="BP408" s="594"/>
      <c r="BQ408" s="594"/>
      <c r="BR408" s="594"/>
      <c r="BS408" s="594"/>
      <c r="BT408" s="594"/>
      <c r="BU408" s="594"/>
      <c r="BV408" s="594"/>
      <c r="BW408" s="594"/>
      <c r="BX408" s="594"/>
      <c r="BY408" s="594"/>
      <c r="BZ408" s="594"/>
      <c r="CA408" s="594"/>
      <c r="CB408" s="594"/>
      <c r="CC408" s="594"/>
      <c r="CD408" s="594"/>
      <c r="CE408" s="594"/>
      <c r="CF408" s="594"/>
      <c r="CG408" s="594"/>
      <c r="CH408" s="594"/>
      <c r="CI408" s="594"/>
      <c r="CJ408" s="594"/>
      <c r="CK408" s="594"/>
      <c r="CL408" s="594"/>
      <c r="CM408" s="594"/>
      <c r="CN408" s="594"/>
      <c r="CO408" s="594"/>
      <c r="CP408" s="594"/>
      <c r="CQ408" s="594"/>
    </row>
    <row r="409" spans="1:95" ht="15" hidden="1" customHeight="1" outlineLevel="3">
      <c r="A409" s="709" t="s">
        <v>692</v>
      </c>
      <c r="B409" s="718">
        <f>IF($A408="",0,-SUMIF('C3 - Funcionários $'!$D$7:$D$121,$A408,'C3 - Funcionários $'!G$7:G$121))</f>
        <v>-1614603.3656608001</v>
      </c>
      <c r="C409" s="718">
        <f>IF($A408="",0,-SUMIF('C3 - Funcionários $'!$D$7:$D$121,$A408,'C3 - Funcionários $'!H$7:H$121))</f>
        <v>-1614603.3656608001</v>
      </c>
      <c r="D409" s="718">
        <f>IF($A408="",0,-SUMIF('C3 - Funcionários $'!$D$7:$D$121,$A408,'C3 - Funcionários $'!I$7:I$121))</f>
        <v>-1614603.3656608001</v>
      </c>
      <c r="E409" s="718">
        <f>IF($A408="",0,-SUMIF('C3 - Funcionários $'!$D$7:$D$121,$A408,'C3 - Funcionários $'!J$7:J$121))</f>
        <v>-1614603.3656608001</v>
      </c>
      <c r="F409" s="718">
        <f>IF($A408="",0,-SUMIF('C3 - Funcionários $'!$D$7:$D$121,$A408,'C3 - Funcionários $'!K$7:K$121))</f>
        <v>-1614603.3656608001</v>
      </c>
      <c r="G409" s="718">
        <f>IF($A408="",0,-SUMIF('C3 - Funcionários $'!$D$7:$D$121,$A408,'C3 - Funcionários $'!L$7:L$121))</f>
        <v>-1614603.3656608001</v>
      </c>
      <c r="H409" s="718">
        <f>IF($A408="",0,-SUMIF('C3 - Funcionários $'!$D$7:$D$121,$A408,'C3 - Funcionários $'!M$7:M$121))</f>
        <v>-1614603.3656608001</v>
      </c>
      <c r="I409" s="718">
        <f>IF($A408="",0,-SUMIF('C3 - Funcionários $'!$D$7:$D$121,$A408,'C3 - Funcionários $'!N$7:N$121))</f>
        <v>-1614603.3656608001</v>
      </c>
      <c r="J409" s="718">
        <f>IF($A408="",0,-SUMIF('C3 - Funcionários $'!$D$7:$D$121,$A408,'C3 - Funcionários $'!O$7:O$121))</f>
        <v>-1614603.3656608001</v>
      </c>
      <c r="K409" s="718">
        <f>IF($A408="",0,-SUMIF('C3 - Funcionários $'!$D$7:$D$121,$A408,'C3 - Funcionários $'!P$7:P$121))</f>
        <v>-1614603.3656608001</v>
      </c>
      <c r="L409" s="718">
        <f>IF($A408="",0,-SUMIF('C3 - Funcionários $'!$D$7:$D$121,$A408,'C3 - Funcionários $'!Q$7:Q$121))</f>
        <v>-1614603.3656608001</v>
      </c>
      <c r="M409" s="718">
        <f>IF($A408="",0,-SUMIF('C3 - Funcionários $'!$D$7:$D$121,$A408,'C3 - Funcionários $'!R$7:R$121))</f>
        <v>-1614603.3656608001</v>
      </c>
      <c r="N409" s="718">
        <f>IF($A408="",0,-SUMIF('C3 - Funcionários $'!$D$7:$D$121,$A408,'C3 - Funcionários $'!S$7:S$121))</f>
        <v>-1614603.3656608001</v>
      </c>
      <c r="O409" s="718">
        <f>IF($A408="",0,-SUMIF('C3 - Funcionários $'!$D$7:$D$121,$A408,'C3 - Funcionários $'!T$7:T$121))</f>
        <v>-1614603.3656608001</v>
      </c>
      <c r="P409" s="718">
        <f>IF($A408="",0,-SUMIF('C3 - Funcionários $'!$D$7:$D$121,$A408,'C3 - Funcionários $'!U$7:U$121))</f>
        <v>-1614603.3656608001</v>
      </c>
      <c r="Q409" s="718">
        <f>IF($A408="",0,-SUMIF('C3 - Funcionários $'!$D$7:$D$121,$A408,'C3 - Funcionários $'!V$7:V$121))</f>
        <v>-1614603.3656608001</v>
      </c>
      <c r="R409" s="718">
        <f>IF($A408="",0,-SUMIF('C3 - Funcionários $'!$D$7:$D$121,$A408,'C3 - Funcionários $'!W$7:W$121))</f>
        <v>-1614603.3656608001</v>
      </c>
      <c r="S409" s="718">
        <f>IF($A408="",0,-SUMIF('C3 - Funcionários $'!$D$7:$D$121,$A408,'C3 - Funcionários $'!X$7:X$121))</f>
        <v>-1614603.3656608001</v>
      </c>
      <c r="T409" s="718">
        <f>IF($A408="",0,-SUMIF('C3 - Funcionários $'!$D$7:$D$121,$A408,'C3 - Funcionários $'!Y$7:Y$121))</f>
        <v>-1614603.3656608001</v>
      </c>
      <c r="U409" s="718">
        <f>IF($A408="",0,-SUMIF('C3 - Funcionários $'!$D$7:$D$121,$A408,'C3 - Funcionários $'!Z$7:Z$121))</f>
        <v>-1614603.3656608001</v>
      </c>
      <c r="V409" s="718">
        <f>IF($A408="",0,-SUMIF('C3 - Funcionários $'!$D$7:$D$121,$A408,'C3 - Funcionários $'!AA$7:AA$121))</f>
        <v>-1614603.3656608001</v>
      </c>
      <c r="W409" s="718">
        <f>IF($A408="",0,-SUMIF('C3 - Funcionários $'!$D$7:$D$121,$A408,'C3 - Funcionários $'!AB$7:AB$121))</f>
        <v>-1614603.3656608001</v>
      </c>
      <c r="X409" s="718">
        <f>IF($A408="",0,-SUMIF('C3 - Funcionários $'!$D$7:$D$121,$A408,'C3 - Funcionários $'!AC$7:AC$121))</f>
        <v>-1614603.3656608001</v>
      </c>
      <c r="Y409" s="718">
        <f>IF($A408="",0,-SUMIF('C3 - Funcionários $'!$D$7:$D$121,$A408,'C3 - Funcionários $'!AD$7:AD$121))</f>
        <v>-1614603.3656608001</v>
      </c>
      <c r="Z409" s="718">
        <f>IF($A408="",0,-SUMIF('C3 - Funcionários $'!$D$7:$D$121,$A408,'C3 - Funcionários $'!AE$7:AE$121))</f>
        <v>-1614603.3656608001</v>
      </c>
      <c r="AA409" s="718">
        <f>IF($A408="",0,-SUMIF('C3 - Funcionários $'!$D$7:$D$121,$A408,'C3 - Funcionários $'!AF$7:AF$121))</f>
        <v>-1614603.3656608001</v>
      </c>
      <c r="AB409" s="718">
        <f>IF($A408="",0,-SUMIF('C3 - Funcionários $'!$D$7:$D$121,$A408,'C3 - Funcionários $'!AG$7:AG$121))</f>
        <v>-1614603.3656608001</v>
      </c>
      <c r="AC409" s="718">
        <f>IF($A408="",0,-SUMIF('C3 - Funcionários $'!$D$7:$D$121,$A408,'C3 - Funcionários $'!AH$7:AH$121))</f>
        <v>-1614603.3656608001</v>
      </c>
      <c r="AD409" s="718">
        <f>IF($A408="",0,-SUMIF('C3 - Funcionários $'!$D$7:$D$121,$A408,'C3 - Funcionários $'!AI$7:AI$121))</f>
        <v>-1614603.3656608001</v>
      </c>
      <c r="AE409" s="718">
        <f>IF($A408="",0,-SUMIF('C3 - Funcionários $'!$D$7:$D$121,$A408,'C3 - Funcionários $'!AJ$7:AJ$121))</f>
        <v>-1614603.3656608001</v>
      </c>
      <c r="AF409" s="594"/>
      <c r="AG409" s="594"/>
      <c r="AH409" s="594"/>
      <c r="AI409" s="594"/>
      <c r="AJ409" s="594"/>
      <c r="AK409" s="594"/>
      <c r="AL409" s="594"/>
      <c r="AM409" s="594"/>
      <c r="AN409" s="594"/>
      <c r="AO409" s="594"/>
      <c r="AP409" s="594"/>
      <c r="AQ409" s="594"/>
      <c r="AR409" s="594"/>
      <c r="AS409" s="594"/>
      <c r="AT409" s="594"/>
      <c r="AU409" s="594"/>
      <c r="AV409" s="594"/>
      <c r="AW409" s="594"/>
      <c r="AX409" s="594"/>
      <c r="AY409" s="594"/>
      <c r="AZ409" s="594"/>
      <c r="BA409" s="594"/>
      <c r="BB409" s="594"/>
      <c r="BC409" s="594"/>
      <c r="BD409" s="594"/>
      <c r="BE409" s="594"/>
      <c r="BF409" s="594"/>
      <c r="BG409" s="594"/>
      <c r="BH409" s="594"/>
      <c r="BI409" s="594"/>
      <c r="BJ409" s="594"/>
      <c r="BK409" s="594"/>
      <c r="BL409" s="57"/>
      <c r="BM409" s="594"/>
      <c r="BN409" s="594"/>
      <c r="BO409" s="594"/>
      <c r="BP409" s="594"/>
      <c r="BQ409" s="594"/>
      <c r="BR409" s="594"/>
      <c r="BS409" s="594"/>
      <c r="BT409" s="594"/>
      <c r="BU409" s="594"/>
      <c r="BV409" s="594"/>
      <c r="BW409" s="594"/>
      <c r="BX409" s="594"/>
      <c r="BY409" s="594"/>
      <c r="BZ409" s="594"/>
      <c r="CA409" s="594"/>
      <c r="CB409" s="594"/>
      <c r="CC409" s="594"/>
      <c r="CD409" s="594"/>
      <c r="CE409" s="594"/>
      <c r="CF409" s="594"/>
      <c r="CG409" s="594"/>
      <c r="CH409" s="594"/>
      <c r="CI409" s="594"/>
      <c r="CJ409" s="594"/>
      <c r="CK409" s="594"/>
      <c r="CL409" s="594"/>
      <c r="CM409" s="594"/>
      <c r="CN409" s="594"/>
      <c r="CO409" s="594"/>
      <c r="CP409" s="594"/>
      <c r="CQ409" s="594"/>
    </row>
    <row r="410" spans="1:95" ht="15" hidden="1" customHeight="1" outlineLevel="3">
      <c r="A410" s="709" t="s">
        <v>685</v>
      </c>
      <c r="B410" s="710">
        <f>-SUMIFS('B3 - Custos despesas indiretos'!AK$5:AK$148,'B3 - Custos despesas indiretos'!$B$5:$B$148,"Despesas",'B3 - Custos despesas indiretos'!$D$5:$D$148,$A408)-SUMIF('D2 - Capex uso'!C$6:C$176,$A408,'D2 - Capex uso'!GI$6:GI$176)</f>
        <v>0</v>
      </c>
      <c r="C410" s="710">
        <f>-SUMIFS('B3 - Custos despesas indiretos'!AL$5:AL$148,'B3 - Custos despesas indiretos'!$B$5:$B$148,"Despesas",'B3 - Custos despesas indiretos'!$D$5:$D$148,$A408)-SUMIF('D2 - Capex uso'!D$6:D$176,$A408,'D2 - Capex uso'!GJ$6:GJ$176)</f>
        <v>0</v>
      </c>
      <c r="D410" s="710">
        <f>-SUMIFS('B3 - Custos despesas indiretos'!AM$5:AM$148,'B3 - Custos despesas indiretos'!$B$5:$B$148,"Despesas",'B3 - Custos despesas indiretos'!$D$5:$D$148,$A408)-SUMIF('D2 - Capex uso'!E$6:E$176,$A408,'D2 - Capex uso'!GK$6:GK$176)</f>
        <v>0</v>
      </c>
      <c r="E410" s="710">
        <f>-SUMIFS('B3 - Custos despesas indiretos'!AN$5:AN$148,'B3 - Custos despesas indiretos'!$B$5:$B$148,"Despesas",'B3 - Custos despesas indiretos'!$D$5:$D$148,$A408)-SUMIF('D2 - Capex uso'!F$6:F$176,$A408,'D2 - Capex uso'!GL$6:GL$176)</f>
        <v>0</v>
      </c>
      <c r="F410" s="710">
        <f>-SUMIFS('B3 - Custos despesas indiretos'!AO$5:AO$148,'B3 - Custos despesas indiretos'!$B$5:$B$148,"Despesas",'B3 - Custos despesas indiretos'!$D$5:$D$148,$A408)-SUMIF('D2 - Capex uso'!G$6:G$176,$A408,'D2 - Capex uso'!GM$6:GM$176)</f>
        <v>0</v>
      </c>
      <c r="G410" s="710">
        <f>-SUMIFS('B3 - Custos despesas indiretos'!AP$5:AP$148,'B3 - Custos despesas indiretos'!$B$5:$B$148,"Despesas",'B3 - Custos despesas indiretos'!$D$5:$D$148,$A408)-SUMIF('D2 - Capex uso'!H$6:H$176,$A408,'D2 - Capex uso'!GN$6:GN$176)</f>
        <v>0</v>
      </c>
      <c r="H410" s="710">
        <f>-SUMIFS('B3 - Custos despesas indiretos'!AQ$5:AQ$148,'B3 - Custos despesas indiretos'!$B$5:$B$148,"Despesas",'B3 - Custos despesas indiretos'!$D$5:$D$148,$A408)-SUMIF('D2 - Capex uso'!I$6:I$176,$A408,'D2 - Capex uso'!GO$6:GO$176)</f>
        <v>0</v>
      </c>
      <c r="I410" s="710">
        <f>-SUMIFS('B3 - Custos despesas indiretos'!AR$5:AR$148,'B3 - Custos despesas indiretos'!$B$5:$B$148,"Despesas",'B3 - Custos despesas indiretos'!$D$5:$D$148,$A408)-SUMIF('D2 - Capex uso'!J$6:J$176,$A408,'D2 - Capex uso'!GP$6:GP$176)</f>
        <v>0</v>
      </c>
      <c r="J410" s="710">
        <f>-SUMIFS('B3 - Custos despesas indiretos'!AS$5:AS$148,'B3 - Custos despesas indiretos'!$B$5:$B$148,"Despesas",'B3 - Custos despesas indiretos'!$D$5:$D$148,$A408)-SUMIF('D2 - Capex uso'!K$6:K$176,$A408,'D2 - Capex uso'!GQ$6:GQ$176)</f>
        <v>0</v>
      </c>
      <c r="K410" s="710">
        <f>-SUMIFS('B3 - Custos despesas indiretos'!AT$5:AT$148,'B3 - Custos despesas indiretos'!$B$5:$B$148,"Despesas",'B3 - Custos despesas indiretos'!$D$5:$D$148,$A408)-SUMIF('D2 - Capex uso'!L$6:L$176,$A408,'D2 - Capex uso'!GR$6:GR$176)</f>
        <v>0</v>
      </c>
      <c r="L410" s="710">
        <f>-SUMIFS('B3 - Custos despesas indiretos'!AU$5:AU$148,'B3 - Custos despesas indiretos'!$B$5:$B$148,"Despesas",'B3 - Custos despesas indiretos'!$D$5:$D$148,$A408)-SUMIF('D2 - Capex uso'!M$6:M$176,$A408,'D2 - Capex uso'!GS$6:GS$176)</f>
        <v>0</v>
      </c>
      <c r="M410" s="710">
        <f>-SUMIFS('B3 - Custos despesas indiretos'!AV$5:AV$148,'B3 - Custos despesas indiretos'!$B$5:$B$148,"Despesas",'B3 - Custos despesas indiretos'!$D$5:$D$148,$A408)-SUMIF('D2 - Capex uso'!N$6:N$176,$A408,'D2 - Capex uso'!GT$6:GT$176)</f>
        <v>0</v>
      </c>
      <c r="N410" s="710">
        <f>-SUMIFS('B3 - Custos despesas indiretos'!AW$5:AW$148,'B3 - Custos despesas indiretos'!$B$5:$B$148,"Despesas",'B3 - Custos despesas indiretos'!$D$5:$D$148,$A408)-SUMIF('D2 - Capex uso'!O$6:O$176,$A408,'D2 - Capex uso'!GU$6:GU$176)</f>
        <v>0</v>
      </c>
      <c r="O410" s="710">
        <f>-SUMIFS('B3 - Custos despesas indiretos'!AX$5:AX$148,'B3 - Custos despesas indiretos'!$B$5:$B$148,"Despesas",'B3 - Custos despesas indiretos'!$D$5:$D$148,$A408)-SUMIF('D2 - Capex uso'!P$6:P$176,$A408,'D2 - Capex uso'!GV$6:GV$176)</f>
        <v>0</v>
      </c>
      <c r="P410" s="710">
        <f>-SUMIFS('B3 - Custos despesas indiretos'!AY$5:AY$148,'B3 - Custos despesas indiretos'!$B$5:$B$148,"Despesas",'B3 - Custos despesas indiretos'!$D$5:$D$148,$A408)-SUMIF('D2 - Capex uso'!Q$6:Q$176,$A408,'D2 - Capex uso'!GW$6:GW$176)</f>
        <v>0</v>
      </c>
      <c r="Q410" s="710">
        <f>-SUMIFS('B3 - Custos despesas indiretos'!AZ$5:AZ$148,'B3 - Custos despesas indiretos'!$B$5:$B$148,"Despesas",'B3 - Custos despesas indiretos'!$D$5:$D$148,$A408)-SUMIF('D2 - Capex uso'!R$6:R$176,$A408,'D2 - Capex uso'!GX$6:GX$176)</f>
        <v>0</v>
      </c>
      <c r="R410" s="710">
        <f>-SUMIFS('B3 - Custos despesas indiretos'!BA$5:BA$148,'B3 - Custos despesas indiretos'!$B$5:$B$148,"Despesas",'B3 - Custos despesas indiretos'!$D$5:$D$148,$A408)-SUMIF('D2 - Capex uso'!S$6:S$176,$A408,'D2 - Capex uso'!GY$6:GY$176)</f>
        <v>0</v>
      </c>
      <c r="S410" s="710">
        <f>-SUMIFS('B3 - Custos despesas indiretos'!BB$5:BB$148,'B3 - Custos despesas indiretos'!$B$5:$B$148,"Despesas",'B3 - Custos despesas indiretos'!$D$5:$D$148,$A408)-SUMIF('D2 - Capex uso'!T$6:T$176,$A408,'D2 - Capex uso'!GZ$6:GZ$176)</f>
        <v>0</v>
      </c>
      <c r="T410" s="710">
        <f>-SUMIFS('B3 - Custos despesas indiretos'!BC$5:BC$148,'B3 - Custos despesas indiretos'!$B$5:$B$148,"Despesas",'B3 - Custos despesas indiretos'!$D$5:$D$148,$A408)-SUMIF('D2 - Capex uso'!U$6:U$176,$A408,'D2 - Capex uso'!HA$6:HA$176)</f>
        <v>0</v>
      </c>
      <c r="U410" s="710">
        <f>-SUMIFS('B3 - Custos despesas indiretos'!BD$5:BD$148,'B3 - Custos despesas indiretos'!$B$5:$B$148,"Despesas",'B3 - Custos despesas indiretos'!$D$5:$D$148,$A408)-SUMIF('D2 - Capex uso'!V$6:V$176,$A408,'D2 - Capex uso'!HB$6:HB$176)</f>
        <v>0</v>
      </c>
      <c r="V410" s="710">
        <f>-SUMIFS('B3 - Custos despesas indiretos'!BE$5:BE$148,'B3 - Custos despesas indiretos'!$B$5:$B$148,"Despesas",'B3 - Custos despesas indiretos'!$D$5:$D$148,$A408)-SUMIF('D2 - Capex uso'!W$6:W$176,$A408,'D2 - Capex uso'!HC$6:HC$176)</f>
        <v>0</v>
      </c>
      <c r="W410" s="710">
        <f>-SUMIFS('B3 - Custos despesas indiretos'!BF$5:BF$148,'B3 - Custos despesas indiretos'!$B$5:$B$148,"Despesas",'B3 - Custos despesas indiretos'!$D$5:$D$148,$A408)-SUMIF('D2 - Capex uso'!X$6:X$176,$A408,'D2 - Capex uso'!HD$6:HD$176)</f>
        <v>0</v>
      </c>
      <c r="X410" s="710">
        <f>-SUMIFS('B3 - Custos despesas indiretos'!BG$5:BG$148,'B3 - Custos despesas indiretos'!$B$5:$B$148,"Despesas",'B3 - Custos despesas indiretos'!$D$5:$D$148,$A408)-SUMIF('D2 - Capex uso'!Y$6:Y$176,$A408,'D2 - Capex uso'!HE$6:HE$176)</f>
        <v>0</v>
      </c>
      <c r="Y410" s="710">
        <f>-SUMIFS('B3 - Custos despesas indiretos'!BH$5:BH$148,'B3 - Custos despesas indiretos'!$B$5:$B$148,"Despesas",'B3 - Custos despesas indiretos'!$D$5:$D$148,$A408)-SUMIF('D2 - Capex uso'!Z$6:Z$176,$A408,'D2 - Capex uso'!HF$6:HF$176)</f>
        <v>0</v>
      </c>
      <c r="Z410" s="710">
        <f>-SUMIFS('B3 - Custos despesas indiretos'!BI$5:BI$148,'B3 - Custos despesas indiretos'!$B$5:$B$148,"Despesas",'B3 - Custos despesas indiretos'!$D$5:$D$148,$A408)-SUMIF('D2 - Capex uso'!AA$6:AA$176,$A408,'D2 - Capex uso'!HG$6:HG$176)</f>
        <v>0</v>
      </c>
      <c r="AA410" s="710">
        <f>-SUMIFS('B3 - Custos despesas indiretos'!BJ$5:BJ$148,'B3 - Custos despesas indiretos'!$B$5:$B$148,"Despesas",'B3 - Custos despesas indiretos'!$D$5:$D$148,$A408)-SUMIF('D2 - Capex uso'!AB$6:AB$176,$A408,'D2 - Capex uso'!HH$6:HH$176)</f>
        <v>0</v>
      </c>
      <c r="AB410" s="710">
        <f>-SUMIFS('B3 - Custos despesas indiretos'!BK$5:BK$148,'B3 - Custos despesas indiretos'!$B$5:$B$148,"Despesas",'B3 - Custos despesas indiretos'!$D$5:$D$148,$A408)-SUMIF('D2 - Capex uso'!AC$6:AC$176,$A408,'D2 - Capex uso'!HI$6:HI$176)</f>
        <v>0</v>
      </c>
      <c r="AC410" s="710">
        <f>-SUMIFS('B3 - Custos despesas indiretos'!BL$5:BL$148,'B3 - Custos despesas indiretos'!$B$5:$B$148,"Despesas",'B3 - Custos despesas indiretos'!$D$5:$D$148,$A408)-SUMIF('D2 - Capex uso'!AD$6:AD$176,$A408,'D2 - Capex uso'!HJ$6:HJ$176)</f>
        <v>0</v>
      </c>
      <c r="AD410" s="710">
        <f>-SUMIFS('B3 - Custos despesas indiretos'!BM$5:BM$148,'B3 - Custos despesas indiretos'!$B$5:$B$148,"Despesas",'B3 - Custos despesas indiretos'!$D$5:$D$148,$A408)-SUMIF('D2 - Capex uso'!AE$6:AE$176,$A408,'D2 - Capex uso'!HK$6:HK$176)</f>
        <v>0</v>
      </c>
      <c r="AE410" s="710">
        <f>-SUMIFS('B3 - Custos despesas indiretos'!BN$5:BN$148,'B3 - Custos despesas indiretos'!$B$5:$B$148,"Despesas",'B3 - Custos despesas indiretos'!$D$5:$D$148,$A408)-SUMIF('D2 - Capex uso'!AF$6:AF$176,$A408,'D2 - Capex uso'!HL$6:HL$176)</f>
        <v>0</v>
      </c>
      <c r="AF410" s="594"/>
      <c r="AG410" s="594"/>
      <c r="AH410" s="594"/>
      <c r="AI410" s="594"/>
      <c r="AJ410" s="594"/>
      <c r="AK410" s="594"/>
      <c r="AL410" s="594"/>
      <c r="AM410" s="594"/>
      <c r="AN410" s="594"/>
      <c r="AO410" s="594"/>
      <c r="AP410" s="594"/>
      <c r="AQ410" s="594"/>
      <c r="AR410" s="594"/>
      <c r="AS410" s="594"/>
      <c r="AT410" s="594"/>
      <c r="AU410" s="594"/>
      <c r="AV410" s="594"/>
      <c r="AW410" s="594"/>
      <c r="AX410" s="594"/>
      <c r="AY410" s="594"/>
      <c r="AZ410" s="594"/>
      <c r="BA410" s="594"/>
      <c r="BB410" s="594"/>
      <c r="BC410" s="594"/>
      <c r="BD410" s="594"/>
      <c r="BE410" s="594"/>
      <c r="BF410" s="594"/>
      <c r="BG410" s="594"/>
      <c r="BH410" s="594"/>
      <c r="BI410" s="594"/>
      <c r="BJ410" s="594"/>
      <c r="BK410" s="594"/>
      <c r="BL410" s="57"/>
      <c r="BM410" s="594"/>
      <c r="BN410" s="594"/>
      <c r="BO410" s="594"/>
      <c r="BP410" s="594"/>
      <c r="BQ410" s="594"/>
      <c r="BR410" s="594"/>
      <c r="BS410" s="594"/>
      <c r="BT410" s="594"/>
      <c r="BU410" s="594"/>
      <c r="BV410" s="594"/>
      <c r="BW410" s="594"/>
      <c r="BX410" s="594"/>
      <c r="BY410" s="594"/>
      <c r="BZ410" s="594"/>
      <c r="CA410" s="594"/>
      <c r="CB410" s="594"/>
      <c r="CC410" s="594"/>
      <c r="CD410" s="594"/>
      <c r="CE410" s="594"/>
      <c r="CF410" s="594"/>
      <c r="CG410" s="594"/>
      <c r="CH410" s="594"/>
      <c r="CI410" s="594"/>
      <c r="CJ410" s="594"/>
      <c r="CK410" s="594"/>
      <c r="CL410" s="594"/>
      <c r="CM410" s="594"/>
      <c r="CN410" s="594"/>
      <c r="CO410" s="594"/>
      <c r="CP410" s="594"/>
      <c r="CQ410" s="594"/>
    </row>
    <row r="411" spans="1:95" ht="15" hidden="1" customHeight="1" outlineLevel="2">
      <c r="A411" s="709" t="s">
        <v>693</v>
      </c>
      <c r="B411" s="717">
        <f t="shared" ref="B411:AE411" si="146">SUM(B412:B413)</f>
        <v>0</v>
      </c>
      <c r="C411" s="717">
        <f t="shared" si="146"/>
        <v>0</v>
      </c>
      <c r="D411" s="717">
        <f t="shared" si="146"/>
        <v>0</v>
      </c>
      <c r="E411" s="717">
        <f t="shared" si="146"/>
        <v>0</v>
      </c>
      <c r="F411" s="717">
        <f t="shared" si="146"/>
        <v>0</v>
      </c>
      <c r="G411" s="717">
        <f t="shared" si="146"/>
        <v>0</v>
      </c>
      <c r="H411" s="717">
        <f t="shared" si="146"/>
        <v>0</v>
      </c>
      <c r="I411" s="717">
        <f t="shared" si="146"/>
        <v>0</v>
      </c>
      <c r="J411" s="717">
        <f t="shared" si="146"/>
        <v>0</v>
      </c>
      <c r="K411" s="717">
        <f t="shared" si="146"/>
        <v>0</v>
      </c>
      <c r="L411" s="717">
        <f t="shared" si="146"/>
        <v>0</v>
      </c>
      <c r="M411" s="717">
        <f t="shared" si="146"/>
        <v>0</v>
      </c>
      <c r="N411" s="717">
        <f t="shared" si="146"/>
        <v>0</v>
      </c>
      <c r="O411" s="717">
        <f t="shared" si="146"/>
        <v>0</v>
      </c>
      <c r="P411" s="717">
        <f t="shared" si="146"/>
        <v>0</v>
      </c>
      <c r="Q411" s="717">
        <f t="shared" si="146"/>
        <v>0</v>
      </c>
      <c r="R411" s="717">
        <f t="shared" si="146"/>
        <v>0</v>
      </c>
      <c r="S411" s="717">
        <f t="shared" si="146"/>
        <v>0</v>
      </c>
      <c r="T411" s="717">
        <f t="shared" si="146"/>
        <v>0</v>
      </c>
      <c r="U411" s="717">
        <f t="shared" si="146"/>
        <v>0</v>
      </c>
      <c r="V411" s="717">
        <f t="shared" si="146"/>
        <v>0</v>
      </c>
      <c r="W411" s="717">
        <f t="shared" si="146"/>
        <v>0</v>
      </c>
      <c r="X411" s="717">
        <f t="shared" si="146"/>
        <v>0</v>
      </c>
      <c r="Y411" s="717">
        <f t="shared" si="146"/>
        <v>0</v>
      </c>
      <c r="Z411" s="717">
        <f t="shared" si="146"/>
        <v>0</v>
      </c>
      <c r="AA411" s="717">
        <f t="shared" si="146"/>
        <v>0</v>
      </c>
      <c r="AB411" s="717">
        <f t="shared" si="146"/>
        <v>0</v>
      </c>
      <c r="AC411" s="717">
        <f t="shared" si="146"/>
        <v>0</v>
      </c>
      <c r="AD411" s="717">
        <f t="shared" si="146"/>
        <v>0</v>
      </c>
      <c r="AE411" s="717">
        <f t="shared" si="146"/>
        <v>0</v>
      </c>
      <c r="AF411" s="594"/>
      <c r="AG411" s="594"/>
      <c r="AH411" s="594"/>
      <c r="AI411" s="594"/>
      <c r="AJ411" s="594"/>
      <c r="AK411" s="594"/>
      <c r="AL411" s="594"/>
      <c r="AM411" s="594"/>
      <c r="AN411" s="594"/>
      <c r="AO411" s="594"/>
      <c r="AP411" s="594"/>
      <c r="AQ411" s="594"/>
      <c r="AR411" s="594"/>
      <c r="AS411" s="594"/>
      <c r="AT411" s="594"/>
      <c r="AU411" s="594"/>
      <c r="AV411" s="594"/>
      <c r="AW411" s="594"/>
      <c r="AX411" s="594"/>
      <c r="AY411" s="594"/>
      <c r="AZ411" s="594"/>
      <c r="BA411" s="594"/>
      <c r="BB411" s="594"/>
      <c r="BC411" s="594"/>
      <c r="BD411" s="594"/>
      <c r="BE411" s="594"/>
      <c r="BF411" s="594"/>
      <c r="BG411" s="594"/>
      <c r="BH411" s="594"/>
      <c r="BI411" s="594"/>
      <c r="BJ411" s="594"/>
      <c r="BK411" s="594"/>
      <c r="BL411" s="57"/>
      <c r="BM411" s="594"/>
      <c r="BN411" s="594"/>
      <c r="BO411" s="594"/>
      <c r="BP411" s="594"/>
      <c r="BQ411" s="594"/>
      <c r="BR411" s="594"/>
      <c r="BS411" s="594"/>
      <c r="BT411" s="594"/>
      <c r="BU411" s="594"/>
      <c r="BV411" s="594"/>
      <c r="BW411" s="594"/>
      <c r="BX411" s="594"/>
      <c r="BY411" s="594"/>
      <c r="BZ411" s="594"/>
      <c r="CA411" s="594"/>
      <c r="CB411" s="594"/>
      <c r="CC411" s="594"/>
      <c r="CD411" s="594"/>
      <c r="CE411" s="594"/>
      <c r="CF411" s="594"/>
      <c r="CG411" s="594"/>
      <c r="CH411" s="594"/>
      <c r="CI411" s="594"/>
      <c r="CJ411" s="594"/>
      <c r="CK411" s="594"/>
      <c r="CL411" s="594"/>
      <c r="CM411" s="594"/>
      <c r="CN411" s="594"/>
      <c r="CO411" s="594"/>
      <c r="CP411" s="594"/>
      <c r="CQ411" s="594"/>
    </row>
    <row r="412" spans="1:95" ht="15" hidden="1" customHeight="1" outlineLevel="3">
      <c r="A412" s="709" t="s">
        <v>692</v>
      </c>
      <c r="B412" s="718">
        <f>IF($A411="",0,-SUMIF('C3 - Funcionários $'!$D$7:$D$121,$A411,'C3 - Funcionários $'!G$7:G$121))</f>
        <v>0</v>
      </c>
      <c r="C412" s="718">
        <f>IF($A411="",0,-SUMIF('C3 - Funcionários $'!$D$7:$D$121,$A411,'C3 - Funcionários $'!H$7:H$121))</f>
        <v>0</v>
      </c>
      <c r="D412" s="718">
        <f>IF($A411="",0,-SUMIF('C3 - Funcionários $'!$D$7:$D$121,$A411,'C3 - Funcionários $'!I$7:I$121))</f>
        <v>0</v>
      </c>
      <c r="E412" s="718">
        <f>IF($A411="",0,-SUMIF('C3 - Funcionários $'!$D$7:$D$121,$A411,'C3 - Funcionários $'!J$7:J$121))</f>
        <v>0</v>
      </c>
      <c r="F412" s="718">
        <f>IF($A411="",0,-SUMIF('C3 - Funcionários $'!$D$7:$D$121,$A411,'C3 - Funcionários $'!K$7:K$121))</f>
        <v>0</v>
      </c>
      <c r="G412" s="718">
        <f>IF($A411="",0,-SUMIF('C3 - Funcionários $'!$D$7:$D$121,$A411,'C3 - Funcionários $'!L$7:L$121))</f>
        <v>0</v>
      </c>
      <c r="H412" s="718">
        <f>IF($A411="",0,-SUMIF('C3 - Funcionários $'!$D$7:$D$121,$A411,'C3 - Funcionários $'!M$7:M$121))</f>
        <v>0</v>
      </c>
      <c r="I412" s="718">
        <f>IF($A411="",0,-SUMIF('C3 - Funcionários $'!$D$7:$D$121,$A411,'C3 - Funcionários $'!N$7:N$121))</f>
        <v>0</v>
      </c>
      <c r="J412" s="718">
        <f>IF($A411="",0,-SUMIF('C3 - Funcionários $'!$D$7:$D$121,$A411,'C3 - Funcionários $'!O$7:O$121))</f>
        <v>0</v>
      </c>
      <c r="K412" s="718">
        <f>IF($A411="",0,-SUMIF('C3 - Funcionários $'!$D$7:$D$121,$A411,'C3 - Funcionários $'!P$7:P$121))</f>
        <v>0</v>
      </c>
      <c r="L412" s="718">
        <f>IF($A411="",0,-SUMIF('C3 - Funcionários $'!$D$7:$D$121,$A411,'C3 - Funcionários $'!Q$7:Q$121))</f>
        <v>0</v>
      </c>
      <c r="M412" s="718">
        <f>IF($A411="",0,-SUMIF('C3 - Funcionários $'!$D$7:$D$121,$A411,'C3 - Funcionários $'!R$7:R$121))</f>
        <v>0</v>
      </c>
      <c r="N412" s="718">
        <f>IF($A411="",0,-SUMIF('C3 - Funcionários $'!$D$7:$D$121,$A411,'C3 - Funcionários $'!S$7:S$121))</f>
        <v>0</v>
      </c>
      <c r="O412" s="718">
        <f>IF($A411="",0,-SUMIF('C3 - Funcionários $'!$D$7:$D$121,$A411,'C3 - Funcionários $'!T$7:T$121))</f>
        <v>0</v>
      </c>
      <c r="P412" s="718">
        <f>IF($A411="",0,-SUMIF('C3 - Funcionários $'!$D$7:$D$121,$A411,'C3 - Funcionários $'!U$7:U$121))</f>
        <v>0</v>
      </c>
      <c r="Q412" s="718">
        <f>IF($A411="",0,-SUMIF('C3 - Funcionários $'!$D$7:$D$121,$A411,'C3 - Funcionários $'!V$7:V$121))</f>
        <v>0</v>
      </c>
      <c r="R412" s="718">
        <f>IF($A411="",0,-SUMIF('C3 - Funcionários $'!$D$7:$D$121,$A411,'C3 - Funcionários $'!W$7:W$121))</f>
        <v>0</v>
      </c>
      <c r="S412" s="718">
        <f>IF($A411="",0,-SUMIF('C3 - Funcionários $'!$D$7:$D$121,$A411,'C3 - Funcionários $'!X$7:X$121))</f>
        <v>0</v>
      </c>
      <c r="T412" s="718">
        <f>IF($A411="",0,-SUMIF('C3 - Funcionários $'!$D$7:$D$121,$A411,'C3 - Funcionários $'!Y$7:Y$121))</f>
        <v>0</v>
      </c>
      <c r="U412" s="718">
        <f>IF($A411="",0,-SUMIF('C3 - Funcionários $'!$D$7:$D$121,$A411,'C3 - Funcionários $'!Z$7:Z$121))</f>
        <v>0</v>
      </c>
      <c r="V412" s="718">
        <f>IF($A411="",0,-SUMIF('C3 - Funcionários $'!$D$7:$D$121,$A411,'C3 - Funcionários $'!AA$7:AA$121))</f>
        <v>0</v>
      </c>
      <c r="W412" s="718">
        <f>IF($A411="",0,-SUMIF('C3 - Funcionários $'!$D$7:$D$121,$A411,'C3 - Funcionários $'!AB$7:AB$121))</f>
        <v>0</v>
      </c>
      <c r="X412" s="718">
        <f>IF($A411="",0,-SUMIF('C3 - Funcionários $'!$D$7:$D$121,$A411,'C3 - Funcionários $'!AC$7:AC$121))</f>
        <v>0</v>
      </c>
      <c r="Y412" s="718">
        <f>IF($A411="",0,-SUMIF('C3 - Funcionários $'!$D$7:$D$121,$A411,'C3 - Funcionários $'!AD$7:AD$121))</f>
        <v>0</v>
      </c>
      <c r="Z412" s="718">
        <f>IF($A411="",0,-SUMIF('C3 - Funcionários $'!$D$7:$D$121,$A411,'C3 - Funcionários $'!AE$7:AE$121))</f>
        <v>0</v>
      </c>
      <c r="AA412" s="718">
        <f>IF($A411="",0,-SUMIF('C3 - Funcionários $'!$D$7:$D$121,$A411,'C3 - Funcionários $'!AF$7:AF$121))</f>
        <v>0</v>
      </c>
      <c r="AB412" s="718">
        <f>IF($A411="",0,-SUMIF('C3 - Funcionários $'!$D$7:$D$121,$A411,'C3 - Funcionários $'!AG$7:AG$121))</f>
        <v>0</v>
      </c>
      <c r="AC412" s="718">
        <f>IF($A411="",0,-SUMIF('C3 - Funcionários $'!$D$7:$D$121,$A411,'C3 - Funcionários $'!AH$7:AH$121))</f>
        <v>0</v>
      </c>
      <c r="AD412" s="718">
        <f>IF($A411="",0,-SUMIF('C3 - Funcionários $'!$D$7:$D$121,$A411,'C3 - Funcionários $'!AI$7:AI$121))</f>
        <v>0</v>
      </c>
      <c r="AE412" s="718">
        <f>IF($A411="",0,-SUMIF('C3 - Funcionários $'!$D$7:$D$121,$A411,'C3 - Funcionários $'!AJ$7:AJ$121))</f>
        <v>0</v>
      </c>
      <c r="AF412" s="594"/>
      <c r="AG412" s="594"/>
      <c r="AH412" s="594"/>
      <c r="AI412" s="594"/>
      <c r="AJ412" s="594"/>
      <c r="AK412" s="594"/>
      <c r="AL412" s="594"/>
      <c r="AM412" s="594"/>
      <c r="AN412" s="594"/>
      <c r="AO412" s="594"/>
      <c r="AP412" s="594"/>
      <c r="AQ412" s="594"/>
      <c r="AR412" s="594"/>
      <c r="AS412" s="594"/>
      <c r="AT412" s="594"/>
      <c r="AU412" s="594"/>
      <c r="AV412" s="594"/>
      <c r="AW412" s="594"/>
      <c r="AX412" s="594"/>
      <c r="AY412" s="594"/>
      <c r="AZ412" s="594"/>
      <c r="BA412" s="594"/>
      <c r="BB412" s="594"/>
      <c r="BC412" s="594"/>
      <c r="BD412" s="594"/>
      <c r="BE412" s="594"/>
      <c r="BF412" s="594"/>
      <c r="BG412" s="594"/>
      <c r="BH412" s="594"/>
      <c r="BI412" s="594"/>
      <c r="BJ412" s="594"/>
      <c r="BK412" s="594"/>
      <c r="BL412" s="57"/>
      <c r="BM412" s="594"/>
      <c r="BN412" s="594"/>
      <c r="BO412" s="594"/>
      <c r="BP412" s="594"/>
      <c r="BQ412" s="594"/>
      <c r="BR412" s="594"/>
      <c r="BS412" s="594"/>
      <c r="BT412" s="594"/>
      <c r="BU412" s="594"/>
      <c r="BV412" s="594"/>
      <c r="BW412" s="594"/>
      <c r="BX412" s="594"/>
      <c r="BY412" s="594"/>
      <c r="BZ412" s="594"/>
      <c r="CA412" s="594"/>
      <c r="CB412" s="594"/>
      <c r="CC412" s="594"/>
      <c r="CD412" s="594"/>
      <c r="CE412" s="594"/>
      <c r="CF412" s="594"/>
      <c r="CG412" s="594"/>
      <c r="CH412" s="594"/>
      <c r="CI412" s="594"/>
      <c r="CJ412" s="594"/>
      <c r="CK412" s="594"/>
      <c r="CL412" s="594"/>
      <c r="CM412" s="594"/>
      <c r="CN412" s="594"/>
      <c r="CO412" s="594"/>
      <c r="CP412" s="594"/>
      <c r="CQ412" s="594"/>
    </row>
    <row r="413" spans="1:95" ht="15" hidden="1" customHeight="1" outlineLevel="3">
      <c r="A413" s="709" t="s">
        <v>685</v>
      </c>
      <c r="B413" s="710">
        <f>-SUMIFS('B3 - Custos despesas indiretos'!AK$5:AK$148,'B3 - Custos despesas indiretos'!$B$5:$B$148,"Despesas",'B3 - Custos despesas indiretos'!$D$5:$D$148,$A411)-SUMIF('D2 - Capex uso'!C$6:C$176,$A411,'D2 - Capex uso'!GI$6:GI$176)</f>
        <v>0</v>
      </c>
      <c r="C413" s="710">
        <f>-SUMIFS('B3 - Custos despesas indiretos'!AL$5:AL$148,'B3 - Custos despesas indiretos'!$B$5:$B$148,"Despesas",'B3 - Custos despesas indiretos'!$D$5:$D$148,$A411)-SUMIF('D2 - Capex uso'!D$6:D$176,$A411,'D2 - Capex uso'!GJ$6:GJ$176)</f>
        <v>0</v>
      </c>
      <c r="D413" s="710">
        <f>-SUMIFS('B3 - Custos despesas indiretos'!AM$5:AM$148,'B3 - Custos despesas indiretos'!$B$5:$B$148,"Despesas",'B3 - Custos despesas indiretos'!$D$5:$D$148,$A411)-SUMIF('D2 - Capex uso'!E$6:E$176,$A411,'D2 - Capex uso'!GK$6:GK$176)</f>
        <v>0</v>
      </c>
      <c r="E413" s="710">
        <f>-SUMIFS('B3 - Custos despesas indiretos'!AN$5:AN$148,'B3 - Custos despesas indiretos'!$B$5:$B$148,"Despesas",'B3 - Custos despesas indiretos'!$D$5:$D$148,$A411)-SUMIF('D2 - Capex uso'!F$6:F$176,$A411,'D2 - Capex uso'!GL$6:GL$176)</f>
        <v>0</v>
      </c>
      <c r="F413" s="710">
        <f>-SUMIFS('B3 - Custos despesas indiretos'!AO$5:AO$148,'B3 - Custos despesas indiretos'!$B$5:$B$148,"Despesas",'B3 - Custos despesas indiretos'!$D$5:$D$148,$A411)-SUMIF('D2 - Capex uso'!G$6:G$176,$A411,'D2 - Capex uso'!GM$6:GM$176)</f>
        <v>0</v>
      </c>
      <c r="G413" s="710">
        <f>-SUMIFS('B3 - Custos despesas indiretos'!AP$5:AP$148,'B3 - Custos despesas indiretos'!$B$5:$B$148,"Despesas",'B3 - Custos despesas indiretos'!$D$5:$D$148,$A411)-SUMIF('D2 - Capex uso'!H$6:H$176,$A411,'D2 - Capex uso'!GN$6:GN$176)</f>
        <v>0</v>
      </c>
      <c r="H413" s="710">
        <f>-SUMIFS('B3 - Custos despesas indiretos'!AQ$5:AQ$148,'B3 - Custos despesas indiretos'!$B$5:$B$148,"Despesas",'B3 - Custos despesas indiretos'!$D$5:$D$148,$A411)-SUMIF('D2 - Capex uso'!I$6:I$176,$A411,'D2 - Capex uso'!GO$6:GO$176)</f>
        <v>0</v>
      </c>
      <c r="I413" s="710">
        <f>-SUMIFS('B3 - Custos despesas indiretos'!AR$5:AR$148,'B3 - Custos despesas indiretos'!$B$5:$B$148,"Despesas",'B3 - Custos despesas indiretos'!$D$5:$D$148,$A411)-SUMIF('D2 - Capex uso'!J$6:J$176,$A411,'D2 - Capex uso'!GP$6:GP$176)</f>
        <v>0</v>
      </c>
      <c r="J413" s="710">
        <f>-SUMIFS('B3 - Custos despesas indiretos'!AS$5:AS$148,'B3 - Custos despesas indiretos'!$B$5:$B$148,"Despesas",'B3 - Custos despesas indiretos'!$D$5:$D$148,$A411)-SUMIF('D2 - Capex uso'!K$6:K$176,$A411,'D2 - Capex uso'!GQ$6:GQ$176)</f>
        <v>0</v>
      </c>
      <c r="K413" s="710">
        <f>-SUMIFS('B3 - Custos despesas indiretos'!AT$5:AT$148,'B3 - Custos despesas indiretos'!$B$5:$B$148,"Despesas",'B3 - Custos despesas indiretos'!$D$5:$D$148,$A411)-SUMIF('D2 - Capex uso'!L$6:L$176,$A411,'D2 - Capex uso'!GR$6:GR$176)</f>
        <v>0</v>
      </c>
      <c r="L413" s="710">
        <f>-SUMIFS('B3 - Custos despesas indiretos'!AU$5:AU$148,'B3 - Custos despesas indiretos'!$B$5:$B$148,"Despesas",'B3 - Custos despesas indiretos'!$D$5:$D$148,$A411)-SUMIF('D2 - Capex uso'!M$6:M$176,$A411,'D2 - Capex uso'!GS$6:GS$176)</f>
        <v>0</v>
      </c>
      <c r="M413" s="710">
        <f>-SUMIFS('B3 - Custos despesas indiretos'!AV$5:AV$148,'B3 - Custos despesas indiretos'!$B$5:$B$148,"Despesas",'B3 - Custos despesas indiretos'!$D$5:$D$148,$A411)-SUMIF('D2 - Capex uso'!N$6:N$176,$A411,'D2 - Capex uso'!GT$6:GT$176)</f>
        <v>0</v>
      </c>
      <c r="N413" s="710">
        <f>-SUMIFS('B3 - Custos despesas indiretos'!AW$5:AW$148,'B3 - Custos despesas indiretos'!$B$5:$B$148,"Despesas",'B3 - Custos despesas indiretos'!$D$5:$D$148,$A411)-SUMIF('D2 - Capex uso'!O$6:O$176,$A411,'D2 - Capex uso'!GU$6:GU$176)</f>
        <v>0</v>
      </c>
      <c r="O413" s="710">
        <f>-SUMIFS('B3 - Custos despesas indiretos'!AX$5:AX$148,'B3 - Custos despesas indiretos'!$B$5:$B$148,"Despesas",'B3 - Custos despesas indiretos'!$D$5:$D$148,$A411)-SUMIF('D2 - Capex uso'!P$6:P$176,$A411,'D2 - Capex uso'!GV$6:GV$176)</f>
        <v>0</v>
      </c>
      <c r="P413" s="710">
        <f>-SUMIFS('B3 - Custos despesas indiretos'!AY$5:AY$148,'B3 - Custos despesas indiretos'!$B$5:$B$148,"Despesas",'B3 - Custos despesas indiretos'!$D$5:$D$148,$A411)-SUMIF('D2 - Capex uso'!Q$6:Q$176,$A411,'D2 - Capex uso'!GW$6:GW$176)</f>
        <v>0</v>
      </c>
      <c r="Q413" s="710">
        <f>-SUMIFS('B3 - Custos despesas indiretos'!AZ$5:AZ$148,'B3 - Custos despesas indiretos'!$B$5:$B$148,"Despesas",'B3 - Custos despesas indiretos'!$D$5:$D$148,$A411)-SUMIF('D2 - Capex uso'!R$6:R$176,$A411,'D2 - Capex uso'!GX$6:GX$176)</f>
        <v>0</v>
      </c>
      <c r="R413" s="710">
        <f>-SUMIFS('B3 - Custos despesas indiretos'!BA$5:BA$148,'B3 - Custos despesas indiretos'!$B$5:$B$148,"Despesas",'B3 - Custos despesas indiretos'!$D$5:$D$148,$A411)-SUMIF('D2 - Capex uso'!S$6:S$176,$A411,'D2 - Capex uso'!GY$6:GY$176)</f>
        <v>0</v>
      </c>
      <c r="S413" s="710">
        <f>-SUMIFS('B3 - Custos despesas indiretos'!BB$5:BB$148,'B3 - Custos despesas indiretos'!$B$5:$B$148,"Despesas",'B3 - Custos despesas indiretos'!$D$5:$D$148,$A411)-SUMIF('D2 - Capex uso'!T$6:T$176,$A411,'D2 - Capex uso'!GZ$6:GZ$176)</f>
        <v>0</v>
      </c>
      <c r="T413" s="710">
        <f>-SUMIFS('B3 - Custos despesas indiretos'!BC$5:BC$148,'B3 - Custos despesas indiretos'!$B$5:$B$148,"Despesas",'B3 - Custos despesas indiretos'!$D$5:$D$148,$A411)-SUMIF('D2 - Capex uso'!U$6:U$176,$A411,'D2 - Capex uso'!HA$6:HA$176)</f>
        <v>0</v>
      </c>
      <c r="U413" s="710">
        <f>-SUMIFS('B3 - Custos despesas indiretos'!BD$5:BD$148,'B3 - Custos despesas indiretos'!$B$5:$B$148,"Despesas",'B3 - Custos despesas indiretos'!$D$5:$D$148,$A411)-SUMIF('D2 - Capex uso'!V$6:V$176,$A411,'D2 - Capex uso'!HB$6:HB$176)</f>
        <v>0</v>
      </c>
      <c r="V413" s="710">
        <f>-SUMIFS('B3 - Custos despesas indiretos'!BE$5:BE$148,'B3 - Custos despesas indiretos'!$B$5:$B$148,"Despesas",'B3 - Custos despesas indiretos'!$D$5:$D$148,$A411)-SUMIF('D2 - Capex uso'!W$6:W$176,$A411,'D2 - Capex uso'!HC$6:HC$176)</f>
        <v>0</v>
      </c>
      <c r="W413" s="710">
        <f>-SUMIFS('B3 - Custos despesas indiretos'!BF$5:BF$148,'B3 - Custos despesas indiretos'!$B$5:$B$148,"Despesas",'B3 - Custos despesas indiretos'!$D$5:$D$148,$A411)-SUMIF('D2 - Capex uso'!X$6:X$176,$A411,'D2 - Capex uso'!HD$6:HD$176)</f>
        <v>0</v>
      </c>
      <c r="X413" s="710">
        <f>-SUMIFS('B3 - Custos despesas indiretos'!BG$5:BG$148,'B3 - Custos despesas indiretos'!$B$5:$B$148,"Despesas",'B3 - Custos despesas indiretos'!$D$5:$D$148,$A411)-SUMIF('D2 - Capex uso'!Y$6:Y$176,$A411,'D2 - Capex uso'!HE$6:HE$176)</f>
        <v>0</v>
      </c>
      <c r="Y413" s="710">
        <f>-SUMIFS('B3 - Custos despesas indiretos'!BH$5:BH$148,'B3 - Custos despesas indiretos'!$B$5:$B$148,"Despesas",'B3 - Custos despesas indiretos'!$D$5:$D$148,$A411)-SUMIF('D2 - Capex uso'!Z$6:Z$176,$A411,'D2 - Capex uso'!HF$6:HF$176)</f>
        <v>0</v>
      </c>
      <c r="Z413" s="710">
        <f>-SUMIFS('B3 - Custos despesas indiretos'!BI$5:BI$148,'B3 - Custos despesas indiretos'!$B$5:$B$148,"Despesas",'B3 - Custos despesas indiretos'!$D$5:$D$148,$A411)-SUMIF('D2 - Capex uso'!AA$6:AA$176,$A411,'D2 - Capex uso'!HG$6:HG$176)</f>
        <v>0</v>
      </c>
      <c r="AA413" s="710">
        <f>-SUMIFS('B3 - Custos despesas indiretos'!BJ$5:BJ$148,'B3 - Custos despesas indiretos'!$B$5:$B$148,"Despesas",'B3 - Custos despesas indiretos'!$D$5:$D$148,$A411)-SUMIF('D2 - Capex uso'!AB$6:AB$176,$A411,'D2 - Capex uso'!HH$6:HH$176)</f>
        <v>0</v>
      </c>
      <c r="AB413" s="710">
        <f>-SUMIFS('B3 - Custos despesas indiretos'!BK$5:BK$148,'B3 - Custos despesas indiretos'!$B$5:$B$148,"Despesas",'B3 - Custos despesas indiretos'!$D$5:$D$148,$A411)-SUMIF('D2 - Capex uso'!AC$6:AC$176,$A411,'D2 - Capex uso'!HI$6:HI$176)</f>
        <v>0</v>
      </c>
      <c r="AC413" s="710">
        <f>-SUMIFS('B3 - Custos despesas indiretos'!BL$5:BL$148,'B3 - Custos despesas indiretos'!$B$5:$B$148,"Despesas",'B3 - Custos despesas indiretos'!$D$5:$D$148,$A411)-SUMIF('D2 - Capex uso'!AD$6:AD$176,$A411,'D2 - Capex uso'!HJ$6:HJ$176)</f>
        <v>0</v>
      </c>
      <c r="AD413" s="710">
        <f>-SUMIFS('B3 - Custos despesas indiretos'!BM$5:BM$148,'B3 - Custos despesas indiretos'!$B$5:$B$148,"Despesas",'B3 - Custos despesas indiretos'!$D$5:$D$148,$A411)-SUMIF('D2 - Capex uso'!AE$6:AE$176,$A411,'D2 - Capex uso'!HK$6:HK$176)</f>
        <v>0</v>
      </c>
      <c r="AE413" s="710">
        <f>-SUMIFS('B3 - Custos despesas indiretos'!BN$5:BN$148,'B3 - Custos despesas indiretos'!$B$5:$B$148,"Despesas",'B3 - Custos despesas indiretos'!$D$5:$D$148,$A411)-SUMIF('D2 - Capex uso'!AF$6:AF$176,$A411,'D2 - Capex uso'!HL$6:HL$176)</f>
        <v>0</v>
      </c>
      <c r="AF413" s="594"/>
      <c r="AG413" s="594"/>
      <c r="AH413" s="594"/>
      <c r="AI413" s="594"/>
      <c r="AJ413" s="594"/>
      <c r="AK413" s="594"/>
      <c r="AL413" s="594"/>
      <c r="AM413" s="594"/>
      <c r="AN413" s="594"/>
      <c r="AO413" s="594"/>
      <c r="AP413" s="594"/>
      <c r="AQ413" s="594"/>
      <c r="AR413" s="594"/>
      <c r="AS413" s="594"/>
      <c r="AT413" s="594"/>
      <c r="AU413" s="594"/>
      <c r="AV413" s="594"/>
      <c r="AW413" s="594"/>
      <c r="AX413" s="594"/>
      <c r="AY413" s="594"/>
      <c r="AZ413" s="594"/>
      <c r="BA413" s="594"/>
      <c r="BB413" s="594"/>
      <c r="BC413" s="594"/>
      <c r="BD413" s="594"/>
      <c r="BE413" s="594"/>
      <c r="BF413" s="594"/>
      <c r="BG413" s="594"/>
      <c r="BH413" s="594"/>
      <c r="BI413" s="594"/>
      <c r="BJ413" s="594"/>
      <c r="BK413" s="594"/>
      <c r="BL413" s="57"/>
      <c r="BM413" s="594"/>
      <c r="BN413" s="594"/>
      <c r="BO413" s="594"/>
      <c r="BP413" s="594"/>
      <c r="BQ413" s="594"/>
      <c r="BR413" s="594"/>
      <c r="BS413" s="594"/>
      <c r="BT413" s="594"/>
      <c r="BU413" s="594"/>
      <c r="BV413" s="594"/>
      <c r="BW413" s="594"/>
      <c r="BX413" s="594"/>
      <c r="BY413" s="594"/>
      <c r="BZ413" s="594"/>
      <c r="CA413" s="594"/>
      <c r="CB413" s="594"/>
      <c r="CC413" s="594"/>
      <c r="CD413" s="594"/>
      <c r="CE413" s="594"/>
      <c r="CF413" s="594"/>
      <c r="CG413" s="594"/>
      <c r="CH413" s="594"/>
      <c r="CI413" s="594"/>
      <c r="CJ413" s="594"/>
      <c r="CK413" s="594"/>
      <c r="CL413" s="594"/>
      <c r="CM413" s="594"/>
      <c r="CN413" s="594"/>
      <c r="CO413" s="594"/>
      <c r="CP413" s="594"/>
      <c r="CQ413" s="594"/>
    </row>
    <row r="414" spans="1:95" ht="15" hidden="1" customHeight="1" outlineLevel="2">
      <c r="A414" s="709" t="s">
        <v>247</v>
      </c>
      <c r="B414" s="717">
        <f t="shared" ref="B414:AE414" si="147">SUM(B415:B416)</f>
        <v>-68240.399999999994</v>
      </c>
      <c r="C414" s="717">
        <f t="shared" si="147"/>
        <v>-68240.399999999994</v>
      </c>
      <c r="D414" s="717">
        <f t="shared" si="147"/>
        <v>-68240.399999999994</v>
      </c>
      <c r="E414" s="717">
        <f t="shared" si="147"/>
        <v>-68240.399999999994</v>
      </c>
      <c r="F414" s="717">
        <f t="shared" si="147"/>
        <v>-68240.399999999994</v>
      </c>
      <c r="G414" s="717">
        <f t="shared" si="147"/>
        <v>-68240.399999999994</v>
      </c>
      <c r="H414" s="717">
        <f t="shared" si="147"/>
        <v>-68240.399999999994</v>
      </c>
      <c r="I414" s="717">
        <f t="shared" si="147"/>
        <v>-68240.399999999994</v>
      </c>
      <c r="J414" s="717">
        <f t="shared" si="147"/>
        <v>-68240.399999999994</v>
      </c>
      <c r="K414" s="717">
        <f t="shared" si="147"/>
        <v>-68240.399999999994</v>
      </c>
      <c r="L414" s="717">
        <f t="shared" si="147"/>
        <v>-68240.399999999994</v>
      </c>
      <c r="M414" s="717">
        <f t="shared" si="147"/>
        <v>-68240.399999999994</v>
      </c>
      <c r="N414" s="717">
        <f t="shared" si="147"/>
        <v>-68240.399999999994</v>
      </c>
      <c r="O414" s="717">
        <f t="shared" si="147"/>
        <v>-68240.399999999994</v>
      </c>
      <c r="P414" s="717">
        <f t="shared" si="147"/>
        <v>-68240.399999999994</v>
      </c>
      <c r="Q414" s="717">
        <f t="shared" si="147"/>
        <v>-68240.399999999994</v>
      </c>
      <c r="R414" s="717">
        <f t="shared" si="147"/>
        <v>-68240.399999999994</v>
      </c>
      <c r="S414" s="717">
        <f t="shared" si="147"/>
        <v>-68240.399999999994</v>
      </c>
      <c r="T414" s="717">
        <f t="shared" si="147"/>
        <v>-68240.399999999994</v>
      </c>
      <c r="U414" s="717">
        <f t="shared" si="147"/>
        <v>-68240.399999999994</v>
      </c>
      <c r="V414" s="717">
        <f t="shared" si="147"/>
        <v>-68240.399999999994</v>
      </c>
      <c r="W414" s="717">
        <f t="shared" si="147"/>
        <v>-68240.399999999994</v>
      </c>
      <c r="X414" s="717">
        <f t="shared" si="147"/>
        <v>-68240.399999999994</v>
      </c>
      <c r="Y414" s="717">
        <f t="shared" si="147"/>
        <v>-68240.399999999994</v>
      </c>
      <c r="Z414" s="717">
        <f t="shared" si="147"/>
        <v>-68240.399999999994</v>
      </c>
      <c r="AA414" s="717">
        <f t="shared" si="147"/>
        <v>-68240.399999999994</v>
      </c>
      <c r="AB414" s="717">
        <f t="shared" si="147"/>
        <v>-68240.399999999994</v>
      </c>
      <c r="AC414" s="717">
        <f t="shared" si="147"/>
        <v>-68240.399999999994</v>
      </c>
      <c r="AD414" s="717">
        <f t="shared" si="147"/>
        <v>-68240.399999999994</v>
      </c>
      <c r="AE414" s="717">
        <f t="shared" si="147"/>
        <v>-68240.399999999994</v>
      </c>
      <c r="AF414" s="594"/>
      <c r="AG414" s="594"/>
      <c r="AH414" s="594"/>
      <c r="AI414" s="594"/>
      <c r="AJ414" s="594"/>
      <c r="AK414" s="594"/>
      <c r="AL414" s="594"/>
      <c r="AM414" s="594"/>
      <c r="AN414" s="594"/>
      <c r="AO414" s="594"/>
      <c r="AP414" s="594"/>
      <c r="AQ414" s="594"/>
      <c r="AR414" s="594"/>
      <c r="AS414" s="594"/>
      <c r="AT414" s="594"/>
      <c r="AU414" s="594"/>
      <c r="AV414" s="594"/>
      <c r="AW414" s="594"/>
      <c r="AX414" s="594"/>
      <c r="AY414" s="594"/>
      <c r="AZ414" s="594"/>
      <c r="BA414" s="594"/>
      <c r="BB414" s="594"/>
      <c r="BC414" s="594"/>
      <c r="BD414" s="594"/>
      <c r="BE414" s="594"/>
      <c r="BF414" s="594"/>
      <c r="BG414" s="594"/>
      <c r="BH414" s="594"/>
      <c r="BI414" s="594"/>
      <c r="BJ414" s="594"/>
      <c r="BK414" s="594"/>
      <c r="BL414" s="57"/>
      <c r="BM414" s="594"/>
      <c r="BN414" s="594"/>
      <c r="BO414" s="594"/>
      <c r="BP414" s="594"/>
      <c r="BQ414" s="594"/>
      <c r="BR414" s="594"/>
      <c r="BS414" s="594"/>
      <c r="BT414" s="594"/>
      <c r="BU414" s="594"/>
      <c r="BV414" s="594"/>
      <c r="BW414" s="594"/>
      <c r="BX414" s="594"/>
      <c r="BY414" s="594"/>
      <c r="BZ414" s="594"/>
      <c r="CA414" s="594"/>
      <c r="CB414" s="594"/>
      <c r="CC414" s="594"/>
      <c r="CD414" s="594"/>
      <c r="CE414" s="594"/>
      <c r="CF414" s="594"/>
      <c r="CG414" s="594"/>
      <c r="CH414" s="594"/>
      <c r="CI414" s="594"/>
      <c r="CJ414" s="594"/>
      <c r="CK414" s="594"/>
      <c r="CL414" s="594"/>
      <c r="CM414" s="594"/>
      <c r="CN414" s="594"/>
      <c r="CO414" s="594"/>
      <c r="CP414" s="594"/>
      <c r="CQ414" s="594"/>
    </row>
    <row r="415" spans="1:95" ht="15" hidden="1" customHeight="1" outlineLevel="3">
      <c r="A415" s="709" t="s">
        <v>692</v>
      </c>
      <c r="B415" s="718">
        <f>IF($A414="",0,-SUMIF('C3 - Funcionários $'!$D$7:$D$121,$A414,'C3 - Funcionários $'!G$7:G$121))</f>
        <v>0</v>
      </c>
      <c r="C415" s="718">
        <f>IF($A414="",0,-SUMIF('C3 - Funcionários $'!$D$7:$D$121,$A414,'C3 - Funcionários $'!H$7:H$121))</f>
        <v>0</v>
      </c>
      <c r="D415" s="718">
        <f>IF($A414="",0,-SUMIF('C3 - Funcionários $'!$D$7:$D$121,$A414,'C3 - Funcionários $'!I$7:I$121))</f>
        <v>0</v>
      </c>
      <c r="E415" s="718">
        <f>IF($A414="",0,-SUMIF('C3 - Funcionários $'!$D$7:$D$121,$A414,'C3 - Funcionários $'!J$7:J$121))</f>
        <v>0</v>
      </c>
      <c r="F415" s="718">
        <f>IF($A414="",0,-SUMIF('C3 - Funcionários $'!$D$7:$D$121,$A414,'C3 - Funcionários $'!K$7:K$121))</f>
        <v>0</v>
      </c>
      <c r="G415" s="718">
        <f>IF($A414="",0,-SUMIF('C3 - Funcionários $'!$D$7:$D$121,$A414,'C3 - Funcionários $'!L$7:L$121))</f>
        <v>0</v>
      </c>
      <c r="H415" s="718">
        <f>IF($A414="",0,-SUMIF('C3 - Funcionários $'!$D$7:$D$121,$A414,'C3 - Funcionários $'!M$7:M$121))</f>
        <v>0</v>
      </c>
      <c r="I415" s="718">
        <f>IF($A414="",0,-SUMIF('C3 - Funcionários $'!$D$7:$D$121,$A414,'C3 - Funcionários $'!N$7:N$121))</f>
        <v>0</v>
      </c>
      <c r="J415" s="718">
        <f>IF($A414="",0,-SUMIF('C3 - Funcionários $'!$D$7:$D$121,$A414,'C3 - Funcionários $'!O$7:O$121))</f>
        <v>0</v>
      </c>
      <c r="K415" s="718">
        <f>IF($A414="",0,-SUMIF('C3 - Funcionários $'!$D$7:$D$121,$A414,'C3 - Funcionários $'!P$7:P$121))</f>
        <v>0</v>
      </c>
      <c r="L415" s="718">
        <f>IF($A414="",0,-SUMIF('C3 - Funcionários $'!$D$7:$D$121,$A414,'C3 - Funcionários $'!Q$7:Q$121))</f>
        <v>0</v>
      </c>
      <c r="M415" s="718">
        <f>IF($A414="",0,-SUMIF('C3 - Funcionários $'!$D$7:$D$121,$A414,'C3 - Funcionários $'!R$7:R$121))</f>
        <v>0</v>
      </c>
      <c r="N415" s="718">
        <f>IF($A414="",0,-SUMIF('C3 - Funcionários $'!$D$7:$D$121,$A414,'C3 - Funcionários $'!S$7:S$121))</f>
        <v>0</v>
      </c>
      <c r="O415" s="718">
        <f>IF($A414="",0,-SUMIF('C3 - Funcionários $'!$D$7:$D$121,$A414,'C3 - Funcionários $'!T$7:T$121))</f>
        <v>0</v>
      </c>
      <c r="P415" s="718">
        <f>IF($A414="",0,-SUMIF('C3 - Funcionários $'!$D$7:$D$121,$A414,'C3 - Funcionários $'!U$7:U$121))</f>
        <v>0</v>
      </c>
      <c r="Q415" s="718">
        <f>IF($A414="",0,-SUMIF('C3 - Funcionários $'!$D$7:$D$121,$A414,'C3 - Funcionários $'!V$7:V$121))</f>
        <v>0</v>
      </c>
      <c r="R415" s="718">
        <f>IF($A414="",0,-SUMIF('C3 - Funcionários $'!$D$7:$D$121,$A414,'C3 - Funcionários $'!W$7:W$121))</f>
        <v>0</v>
      </c>
      <c r="S415" s="718">
        <f>IF($A414="",0,-SUMIF('C3 - Funcionários $'!$D$7:$D$121,$A414,'C3 - Funcionários $'!X$7:X$121))</f>
        <v>0</v>
      </c>
      <c r="T415" s="718">
        <f>IF($A414="",0,-SUMIF('C3 - Funcionários $'!$D$7:$D$121,$A414,'C3 - Funcionários $'!Y$7:Y$121))</f>
        <v>0</v>
      </c>
      <c r="U415" s="718">
        <f>IF($A414="",0,-SUMIF('C3 - Funcionários $'!$D$7:$D$121,$A414,'C3 - Funcionários $'!Z$7:Z$121))</f>
        <v>0</v>
      </c>
      <c r="V415" s="718">
        <f>IF($A414="",0,-SUMIF('C3 - Funcionários $'!$D$7:$D$121,$A414,'C3 - Funcionários $'!AA$7:AA$121))</f>
        <v>0</v>
      </c>
      <c r="W415" s="718">
        <f>IF($A414="",0,-SUMIF('C3 - Funcionários $'!$D$7:$D$121,$A414,'C3 - Funcionários $'!AB$7:AB$121))</f>
        <v>0</v>
      </c>
      <c r="X415" s="718">
        <f>IF($A414="",0,-SUMIF('C3 - Funcionários $'!$D$7:$D$121,$A414,'C3 - Funcionários $'!AC$7:AC$121))</f>
        <v>0</v>
      </c>
      <c r="Y415" s="718">
        <f>IF($A414="",0,-SUMIF('C3 - Funcionários $'!$D$7:$D$121,$A414,'C3 - Funcionários $'!AD$7:AD$121))</f>
        <v>0</v>
      </c>
      <c r="Z415" s="718">
        <f>IF($A414="",0,-SUMIF('C3 - Funcionários $'!$D$7:$D$121,$A414,'C3 - Funcionários $'!AE$7:AE$121))</f>
        <v>0</v>
      </c>
      <c r="AA415" s="718">
        <f>IF($A414="",0,-SUMIF('C3 - Funcionários $'!$D$7:$D$121,$A414,'C3 - Funcionários $'!AF$7:AF$121))</f>
        <v>0</v>
      </c>
      <c r="AB415" s="718">
        <f>IF($A414="",0,-SUMIF('C3 - Funcionários $'!$D$7:$D$121,$A414,'C3 - Funcionários $'!AG$7:AG$121))</f>
        <v>0</v>
      </c>
      <c r="AC415" s="718">
        <f>IF($A414="",0,-SUMIF('C3 - Funcionários $'!$D$7:$D$121,$A414,'C3 - Funcionários $'!AH$7:AH$121))</f>
        <v>0</v>
      </c>
      <c r="AD415" s="718">
        <f>IF($A414="",0,-SUMIF('C3 - Funcionários $'!$D$7:$D$121,$A414,'C3 - Funcionários $'!AI$7:AI$121))</f>
        <v>0</v>
      </c>
      <c r="AE415" s="718">
        <f>IF($A414="",0,-SUMIF('C3 - Funcionários $'!$D$7:$D$121,$A414,'C3 - Funcionários $'!AJ$7:AJ$121))</f>
        <v>0</v>
      </c>
      <c r="AF415" s="594"/>
      <c r="AG415" s="594"/>
      <c r="AH415" s="594"/>
      <c r="AI415" s="594"/>
      <c r="AJ415" s="594"/>
      <c r="AK415" s="594"/>
      <c r="AL415" s="594"/>
      <c r="AM415" s="594"/>
      <c r="AN415" s="594"/>
      <c r="AO415" s="594"/>
      <c r="AP415" s="594"/>
      <c r="AQ415" s="594"/>
      <c r="AR415" s="594"/>
      <c r="AS415" s="594"/>
      <c r="AT415" s="594"/>
      <c r="AU415" s="594"/>
      <c r="AV415" s="594"/>
      <c r="AW415" s="594"/>
      <c r="AX415" s="594"/>
      <c r="AY415" s="594"/>
      <c r="AZ415" s="594"/>
      <c r="BA415" s="594"/>
      <c r="BB415" s="594"/>
      <c r="BC415" s="594"/>
      <c r="BD415" s="594"/>
      <c r="BE415" s="594"/>
      <c r="BF415" s="594"/>
      <c r="BG415" s="594"/>
      <c r="BH415" s="594"/>
      <c r="BI415" s="594"/>
      <c r="BJ415" s="594"/>
      <c r="BK415" s="594"/>
      <c r="BL415" s="57"/>
      <c r="BM415" s="594"/>
      <c r="BN415" s="594"/>
      <c r="BO415" s="594"/>
      <c r="BP415" s="594"/>
      <c r="BQ415" s="594"/>
      <c r="BR415" s="594"/>
      <c r="BS415" s="594"/>
      <c r="BT415" s="594"/>
      <c r="BU415" s="594"/>
      <c r="BV415" s="594"/>
      <c r="BW415" s="594"/>
      <c r="BX415" s="594"/>
      <c r="BY415" s="594"/>
      <c r="BZ415" s="594"/>
      <c r="CA415" s="594"/>
      <c r="CB415" s="594"/>
      <c r="CC415" s="594"/>
      <c r="CD415" s="594"/>
      <c r="CE415" s="594"/>
      <c r="CF415" s="594"/>
      <c r="CG415" s="594"/>
      <c r="CH415" s="594"/>
      <c r="CI415" s="594"/>
      <c r="CJ415" s="594"/>
      <c r="CK415" s="594"/>
      <c r="CL415" s="594"/>
      <c r="CM415" s="594"/>
      <c r="CN415" s="594"/>
      <c r="CO415" s="594"/>
      <c r="CP415" s="594"/>
      <c r="CQ415" s="594"/>
    </row>
    <row r="416" spans="1:95" ht="15" hidden="1" customHeight="1" outlineLevel="3">
      <c r="A416" s="709" t="s">
        <v>685</v>
      </c>
      <c r="B416" s="710">
        <f>-SUMIFS('B3 - Custos despesas indiretos'!AK$5:AK$148,'B3 - Custos despesas indiretos'!$B$5:$B$148,"Despesas",'B3 - Custos despesas indiretos'!$D$5:$D$148,$A414)-SUMIF('D2 - Capex uso'!C$6:C$176,$A414,'D2 - Capex uso'!GI$6:GI$176)</f>
        <v>-68240.399999999994</v>
      </c>
      <c r="C416" s="710">
        <f>-SUMIFS('B3 - Custos despesas indiretos'!AL$5:AL$148,'B3 - Custos despesas indiretos'!$B$5:$B$148,"Despesas",'B3 - Custos despesas indiretos'!$D$5:$D$148,$A414)-SUMIF('D2 - Capex uso'!D$6:D$176,$A414,'D2 - Capex uso'!GJ$6:GJ$176)</f>
        <v>-68240.399999999994</v>
      </c>
      <c r="D416" s="710">
        <f>-SUMIFS('B3 - Custos despesas indiretos'!AM$5:AM$148,'B3 - Custos despesas indiretos'!$B$5:$B$148,"Despesas",'B3 - Custos despesas indiretos'!$D$5:$D$148,$A414)-SUMIF('D2 - Capex uso'!E$6:E$176,$A414,'D2 - Capex uso'!GK$6:GK$176)</f>
        <v>-68240.399999999994</v>
      </c>
      <c r="E416" s="710">
        <f>-SUMIFS('B3 - Custos despesas indiretos'!AN$5:AN$148,'B3 - Custos despesas indiretos'!$B$5:$B$148,"Despesas",'B3 - Custos despesas indiretos'!$D$5:$D$148,$A414)-SUMIF('D2 - Capex uso'!F$6:F$176,$A414,'D2 - Capex uso'!GL$6:GL$176)</f>
        <v>-68240.399999999994</v>
      </c>
      <c r="F416" s="710">
        <f>-SUMIFS('B3 - Custos despesas indiretos'!AO$5:AO$148,'B3 - Custos despesas indiretos'!$B$5:$B$148,"Despesas",'B3 - Custos despesas indiretos'!$D$5:$D$148,$A414)-SUMIF('D2 - Capex uso'!G$6:G$176,$A414,'D2 - Capex uso'!GM$6:GM$176)</f>
        <v>-68240.399999999994</v>
      </c>
      <c r="G416" s="710">
        <f>-SUMIFS('B3 - Custos despesas indiretos'!AP$5:AP$148,'B3 - Custos despesas indiretos'!$B$5:$B$148,"Despesas",'B3 - Custos despesas indiretos'!$D$5:$D$148,$A414)-SUMIF('D2 - Capex uso'!H$6:H$176,$A414,'D2 - Capex uso'!GN$6:GN$176)</f>
        <v>-68240.399999999994</v>
      </c>
      <c r="H416" s="710">
        <f>-SUMIFS('B3 - Custos despesas indiretos'!AQ$5:AQ$148,'B3 - Custos despesas indiretos'!$B$5:$B$148,"Despesas",'B3 - Custos despesas indiretos'!$D$5:$D$148,$A414)-SUMIF('D2 - Capex uso'!I$6:I$176,$A414,'D2 - Capex uso'!GO$6:GO$176)</f>
        <v>-68240.399999999994</v>
      </c>
      <c r="I416" s="710">
        <f>-SUMIFS('B3 - Custos despesas indiretos'!AR$5:AR$148,'B3 - Custos despesas indiretos'!$B$5:$B$148,"Despesas",'B3 - Custos despesas indiretos'!$D$5:$D$148,$A414)-SUMIF('D2 - Capex uso'!J$6:J$176,$A414,'D2 - Capex uso'!GP$6:GP$176)</f>
        <v>-68240.399999999994</v>
      </c>
      <c r="J416" s="710">
        <f>-SUMIFS('B3 - Custos despesas indiretos'!AS$5:AS$148,'B3 - Custos despesas indiretos'!$B$5:$B$148,"Despesas",'B3 - Custos despesas indiretos'!$D$5:$D$148,$A414)-SUMIF('D2 - Capex uso'!K$6:K$176,$A414,'D2 - Capex uso'!GQ$6:GQ$176)</f>
        <v>-68240.399999999994</v>
      </c>
      <c r="K416" s="710">
        <f>-SUMIFS('B3 - Custos despesas indiretos'!AT$5:AT$148,'B3 - Custos despesas indiretos'!$B$5:$B$148,"Despesas",'B3 - Custos despesas indiretos'!$D$5:$D$148,$A414)-SUMIF('D2 - Capex uso'!L$6:L$176,$A414,'D2 - Capex uso'!GR$6:GR$176)</f>
        <v>-68240.399999999994</v>
      </c>
      <c r="L416" s="710">
        <f>-SUMIFS('B3 - Custos despesas indiretos'!AU$5:AU$148,'B3 - Custos despesas indiretos'!$B$5:$B$148,"Despesas",'B3 - Custos despesas indiretos'!$D$5:$D$148,$A414)-SUMIF('D2 - Capex uso'!M$6:M$176,$A414,'D2 - Capex uso'!GS$6:GS$176)</f>
        <v>-68240.399999999994</v>
      </c>
      <c r="M416" s="710">
        <f>-SUMIFS('B3 - Custos despesas indiretos'!AV$5:AV$148,'B3 - Custos despesas indiretos'!$B$5:$B$148,"Despesas",'B3 - Custos despesas indiretos'!$D$5:$D$148,$A414)-SUMIF('D2 - Capex uso'!N$6:N$176,$A414,'D2 - Capex uso'!GT$6:GT$176)</f>
        <v>-68240.399999999994</v>
      </c>
      <c r="N416" s="710">
        <f>-SUMIFS('B3 - Custos despesas indiretos'!AW$5:AW$148,'B3 - Custos despesas indiretos'!$B$5:$B$148,"Despesas",'B3 - Custos despesas indiretos'!$D$5:$D$148,$A414)-SUMIF('D2 - Capex uso'!O$6:O$176,$A414,'D2 - Capex uso'!GU$6:GU$176)</f>
        <v>-68240.399999999994</v>
      </c>
      <c r="O416" s="710">
        <f>-SUMIFS('B3 - Custos despesas indiretos'!AX$5:AX$148,'B3 - Custos despesas indiretos'!$B$5:$B$148,"Despesas",'B3 - Custos despesas indiretos'!$D$5:$D$148,$A414)-SUMIF('D2 - Capex uso'!P$6:P$176,$A414,'D2 - Capex uso'!GV$6:GV$176)</f>
        <v>-68240.399999999994</v>
      </c>
      <c r="P416" s="710">
        <f>-SUMIFS('B3 - Custos despesas indiretos'!AY$5:AY$148,'B3 - Custos despesas indiretos'!$B$5:$B$148,"Despesas",'B3 - Custos despesas indiretos'!$D$5:$D$148,$A414)-SUMIF('D2 - Capex uso'!Q$6:Q$176,$A414,'D2 - Capex uso'!GW$6:GW$176)</f>
        <v>-68240.399999999994</v>
      </c>
      <c r="Q416" s="710">
        <f>-SUMIFS('B3 - Custos despesas indiretos'!AZ$5:AZ$148,'B3 - Custos despesas indiretos'!$B$5:$B$148,"Despesas",'B3 - Custos despesas indiretos'!$D$5:$D$148,$A414)-SUMIF('D2 - Capex uso'!R$6:R$176,$A414,'D2 - Capex uso'!GX$6:GX$176)</f>
        <v>-68240.399999999994</v>
      </c>
      <c r="R416" s="710">
        <f>-SUMIFS('B3 - Custos despesas indiretos'!BA$5:BA$148,'B3 - Custos despesas indiretos'!$B$5:$B$148,"Despesas",'B3 - Custos despesas indiretos'!$D$5:$D$148,$A414)-SUMIF('D2 - Capex uso'!S$6:S$176,$A414,'D2 - Capex uso'!GY$6:GY$176)</f>
        <v>-68240.399999999994</v>
      </c>
      <c r="S416" s="710">
        <f>-SUMIFS('B3 - Custos despesas indiretos'!BB$5:BB$148,'B3 - Custos despesas indiretos'!$B$5:$B$148,"Despesas",'B3 - Custos despesas indiretos'!$D$5:$D$148,$A414)-SUMIF('D2 - Capex uso'!T$6:T$176,$A414,'D2 - Capex uso'!GZ$6:GZ$176)</f>
        <v>-68240.399999999994</v>
      </c>
      <c r="T416" s="710">
        <f>-SUMIFS('B3 - Custos despesas indiretos'!BC$5:BC$148,'B3 - Custos despesas indiretos'!$B$5:$B$148,"Despesas",'B3 - Custos despesas indiretos'!$D$5:$D$148,$A414)-SUMIF('D2 - Capex uso'!U$6:U$176,$A414,'D2 - Capex uso'!HA$6:HA$176)</f>
        <v>-68240.399999999994</v>
      </c>
      <c r="U416" s="710">
        <f>-SUMIFS('B3 - Custos despesas indiretos'!BD$5:BD$148,'B3 - Custos despesas indiretos'!$B$5:$B$148,"Despesas",'B3 - Custos despesas indiretos'!$D$5:$D$148,$A414)-SUMIF('D2 - Capex uso'!V$6:V$176,$A414,'D2 - Capex uso'!HB$6:HB$176)</f>
        <v>-68240.399999999994</v>
      </c>
      <c r="V416" s="710">
        <f>-SUMIFS('B3 - Custos despesas indiretos'!BE$5:BE$148,'B3 - Custos despesas indiretos'!$B$5:$B$148,"Despesas",'B3 - Custos despesas indiretos'!$D$5:$D$148,$A414)-SUMIF('D2 - Capex uso'!W$6:W$176,$A414,'D2 - Capex uso'!HC$6:HC$176)</f>
        <v>-68240.399999999994</v>
      </c>
      <c r="W416" s="710">
        <f>-SUMIFS('B3 - Custos despesas indiretos'!BF$5:BF$148,'B3 - Custos despesas indiretos'!$B$5:$B$148,"Despesas",'B3 - Custos despesas indiretos'!$D$5:$D$148,$A414)-SUMIF('D2 - Capex uso'!X$6:X$176,$A414,'D2 - Capex uso'!HD$6:HD$176)</f>
        <v>-68240.399999999994</v>
      </c>
      <c r="X416" s="710">
        <f>-SUMIFS('B3 - Custos despesas indiretos'!BG$5:BG$148,'B3 - Custos despesas indiretos'!$B$5:$B$148,"Despesas",'B3 - Custos despesas indiretos'!$D$5:$D$148,$A414)-SUMIF('D2 - Capex uso'!Y$6:Y$176,$A414,'D2 - Capex uso'!HE$6:HE$176)</f>
        <v>-68240.399999999994</v>
      </c>
      <c r="Y416" s="710">
        <f>-SUMIFS('B3 - Custos despesas indiretos'!BH$5:BH$148,'B3 - Custos despesas indiretos'!$B$5:$B$148,"Despesas",'B3 - Custos despesas indiretos'!$D$5:$D$148,$A414)-SUMIF('D2 - Capex uso'!Z$6:Z$176,$A414,'D2 - Capex uso'!HF$6:HF$176)</f>
        <v>-68240.399999999994</v>
      </c>
      <c r="Z416" s="710">
        <f>-SUMIFS('B3 - Custos despesas indiretos'!BI$5:BI$148,'B3 - Custos despesas indiretos'!$B$5:$B$148,"Despesas",'B3 - Custos despesas indiretos'!$D$5:$D$148,$A414)-SUMIF('D2 - Capex uso'!AA$6:AA$176,$A414,'D2 - Capex uso'!HG$6:HG$176)</f>
        <v>-68240.399999999994</v>
      </c>
      <c r="AA416" s="710">
        <f>-SUMIFS('B3 - Custos despesas indiretos'!BJ$5:BJ$148,'B3 - Custos despesas indiretos'!$B$5:$B$148,"Despesas",'B3 - Custos despesas indiretos'!$D$5:$D$148,$A414)-SUMIF('D2 - Capex uso'!AB$6:AB$176,$A414,'D2 - Capex uso'!HH$6:HH$176)</f>
        <v>-68240.399999999994</v>
      </c>
      <c r="AB416" s="710">
        <f>-SUMIFS('B3 - Custos despesas indiretos'!BK$5:BK$148,'B3 - Custos despesas indiretos'!$B$5:$B$148,"Despesas",'B3 - Custos despesas indiretos'!$D$5:$D$148,$A414)-SUMIF('D2 - Capex uso'!AC$6:AC$176,$A414,'D2 - Capex uso'!HI$6:HI$176)</f>
        <v>-68240.399999999994</v>
      </c>
      <c r="AC416" s="710">
        <f>-SUMIFS('B3 - Custos despesas indiretos'!BL$5:BL$148,'B3 - Custos despesas indiretos'!$B$5:$B$148,"Despesas",'B3 - Custos despesas indiretos'!$D$5:$D$148,$A414)-SUMIF('D2 - Capex uso'!AD$6:AD$176,$A414,'D2 - Capex uso'!HJ$6:HJ$176)</f>
        <v>-68240.399999999994</v>
      </c>
      <c r="AD416" s="710">
        <f>-SUMIFS('B3 - Custos despesas indiretos'!BM$5:BM$148,'B3 - Custos despesas indiretos'!$B$5:$B$148,"Despesas",'B3 - Custos despesas indiretos'!$D$5:$D$148,$A414)-SUMIF('D2 - Capex uso'!AE$6:AE$176,$A414,'D2 - Capex uso'!HK$6:HK$176)</f>
        <v>-68240.399999999994</v>
      </c>
      <c r="AE416" s="710">
        <f>-SUMIFS('B3 - Custos despesas indiretos'!BN$5:BN$148,'B3 - Custos despesas indiretos'!$B$5:$B$148,"Despesas",'B3 - Custos despesas indiretos'!$D$5:$D$148,$A414)-SUMIF('D2 - Capex uso'!AF$6:AF$176,$A414,'D2 - Capex uso'!HL$6:HL$176)</f>
        <v>-68240.399999999994</v>
      </c>
      <c r="AF416" s="594"/>
      <c r="AG416" s="594"/>
      <c r="AH416" s="594"/>
      <c r="AI416" s="594"/>
      <c r="AJ416" s="594"/>
      <c r="AK416" s="594"/>
      <c r="AL416" s="594"/>
      <c r="AM416" s="594"/>
      <c r="AN416" s="594"/>
      <c r="AO416" s="594"/>
      <c r="AP416" s="594"/>
      <c r="AQ416" s="594"/>
      <c r="AR416" s="594"/>
      <c r="AS416" s="594"/>
      <c r="AT416" s="594"/>
      <c r="AU416" s="594"/>
      <c r="AV416" s="594"/>
      <c r="AW416" s="594"/>
      <c r="AX416" s="594"/>
      <c r="AY416" s="594"/>
      <c r="AZ416" s="594"/>
      <c r="BA416" s="594"/>
      <c r="BB416" s="594"/>
      <c r="BC416" s="594"/>
      <c r="BD416" s="594"/>
      <c r="BE416" s="594"/>
      <c r="BF416" s="594"/>
      <c r="BG416" s="594"/>
      <c r="BH416" s="594"/>
      <c r="BI416" s="594"/>
      <c r="BJ416" s="594"/>
      <c r="BK416" s="594"/>
      <c r="BL416" s="57"/>
      <c r="BM416" s="594"/>
      <c r="BN416" s="594"/>
      <c r="BO416" s="594"/>
      <c r="BP416" s="594"/>
      <c r="BQ416" s="594"/>
      <c r="BR416" s="594"/>
      <c r="BS416" s="594"/>
      <c r="BT416" s="594"/>
      <c r="BU416" s="594"/>
      <c r="BV416" s="594"/>
      <c r="BW416" s="594"/>
      <c r="BX416" s="594"/>
      <c r="BY416" s="594"/>
      <c r="BZ416" s="594"/>
      <c r="CA416" s="594"/>
      <c r="CB416" s="594"/>
      <c r="CC416" s="594"/>
      <c r="CD416" s="594"/>
      <c r="CE416" s="594"/>
      <c r="CF416" s="594"/>
      <c r="CG416" s="594"/>
      <c r="CH416" s="594"/>
      <c r="CI416" s="594"/>
      <c r="CJ416" s="594"/>
      <c r="CK416" s="594"/>
      <c r="CL416" s="594"/>
      <c r="CM416" s="594"/>
      <c r="CN416" s="594"/>
      <c r="CO416" s="594"/>
      <c r="CP416" s="594"/>
      <c r="CQ416" s="594"/>
    </row>
    <row r="417" spans="1:95" ht="15" hidden="1" customHeight="1" outlineLevel="2">
      <c r="A417" s="709" t="s">
        <v>207</v>
      </c>
      <c r="B417" s="717">
        <f t="shared" ref="B417:AE417" si="148">SUM(B418:B419)</f>
        <v>-129480</v>
      </c>
      <c r="C417" s="717">
        <f t="shared" si="148"/>
        <v>-129480</v>
      </c>
      <c r="D417" s="717">
        <f t="shared" si="148"/>
        <v>-129480</v>
      </c>
      <c r="E417" s="717">
        <f t="shared" si="148"/>
        <v>-129480</v>
      </c>
      <c r="F417" s="717">
        <f t="shared" si="148"/>
        <v>-129480</v>
      </c>
      <c r="G417" s="717">
        <f t="shared" si="148"/>
        <v>-129480</v>
      </c>
      <c r="H417" s="717">
        <f t="shared" si="148"/>
        <v>-129480</v>
      </c>
      <c r="I417" s="717">
        <f t="shared" si="148"/>
        <v>-129480</v>
      </c>
      <c r="J417" s="717">
        <f t="shared" si="148"/>
        <v>-129480</v>
      </c>
      <c r="K417" s="717">
        <f t="shared" si="148"/>
        <v>-129480</v>
      </c>
      <c r="L417" s="717">
        <f t="shared" si="148"/>
        <v>-129480</v>
      </c>
      <c r="M417" s="717">
        <f t="shared" si="148"/>
        <v>-129480</v>
      </c>
      <c r="N417" s="717">
        <f t="shared" si="148"/>
        <v>-129480</v>
      </c>
      <c r="O417" s="717">
        <f t="shared" si="148"/>
        <v>-129480</v>
      </c>
      <c r="P417" s="717">
        <f t="shared" si="148"/>
        <v>-129480</v>
      </c>
      <c r="Q417" s="717">
        <f t="shared" si="148"/>
        <v>-129480</v>
      </c>
      <c r="R417" s="717">
        <f t="shared" si="148"/>
        <v>-129480</v>
      </c>
      <c r="S417" s="717">
        <f t="shared" si="148"/>
        <v>-129480</v>
      </c>
      <c r="T417" s="717">
        <f t="shared" si="148"/>
        <v>-129480</v>
      </c>
      <c r="U417" s="717">
        <f t="shared" si="148"/>
        <v>-129480</v>
      </c>
      <c r="V417" s="717">
        <f t="shared" si="148"/>
        <v>-129480</v>
      </c>
      <c r="W417" s="717">
        <f t="shared" si="148"/>
        <v>-129480</v>
      </c>
      <c r="X417" s="717">
        <f t="shared" si="148"/>
        <v>-129480</v>
      </c>
      <c r="Y417" s="717">
        <f t="shared" si="148"/>
        <v>-129480</v>
      </c>
      <c r="Z417" s="717">
        <f t="shared" si="148"/>
        <v>-129480</v>
      </c>
      <c r="AA417" s="717">
        <f t="shared" si="148"/>
        <v>-129480</v>
      </c>
      <c r="AB417" s="717">
        <f t="shared" si="148"/>
        <v>-129480</v>
      </c>
      <c r="AC417" s="717">
        <f t="shared" si="148"/>
        <v>-129480</v>
      </c>
      <c r="AD417" s="717">
        <f t="shared" si="148"/>
        <v>-129480</v>
      </c>
      <c r="AE417" s="717">
        <f t="shared" si="148"/>
        <v>-129480</v>
      </c>
      <c r="AF417" s="594"/>
      <c r="AG417" s="594"/>
      <c r="AH417" s="594"/>
      <c r="AI417" s="594"/>
      <c r="AJ417" s="594"/>
      <c r="AK417" s="594"/>
      <c r="AL417" s="594"/>
      <c r="AM417" s="594"/>
      <c r="AN417" s="594"/>
      <c r="AO417" s="594"/>
      <c r="AP417" s="594"/>
      <c r="AQ417" s="594"/>
      <c r="AR417" s="594"/>
      <c r="AS417" s="594"/>
      <c r="AT417" s="594"/>
      <c r="AU417" s="594"/>
      <c r="AV417" s="594"/>
      <c r="AW417" s="594"/>
      <c r="AX417" s="594"/>
      <c r="AY417" s="594"/>
      <c r="AZ417" s="594"/>
      <c r="BA417" s="594"/>
      <c r="BB417" s="594"/>
      <c r="BC417" s="594"/>
      <c r="BD417" s="594"/>
      <c r="BE417" s="594"/>
      <c r="BF417" s="594"/>
      <c r="BG417" s="594"/>
      <c r="BH417" s="594"/>
      <c r="BI417" s="594"/>
      <c r="BJ417" s="594"/>
      <c r="BK417" s="594"/>
      <c r="BL417" s="57"/>
      <c r="BM417" s="594"/>
      <c r="BN417" s="594"/>
      <c r="BO417" s="594"/>
      <c r="BP417" s="594"/>
      <c r="BQ417" s="594"/>
      <c r="BR417" s="594"/>
      <c r="BS417" s="594"/>
      <c r="BT417" s="594"/>
      <c r="BU417" s="594"/>
      <c r="BV417" s="594"/>
      <c r="BW417" s="594"/>
      <c r="BX417" s="594"/>
      <c r="BY417" s="594"/>
      <c r="BZ417" s="594"/>
      <c r="CA417" s="594"/>
      <c r="CB417" s="594"/>
      <c r="CC417" s="594"/>
      <c r="CD417" s="594"/>
      <c r="CE417" s="594"/>
      <c r="CF417" s="594"/>
      <c r="CG417" s="594"/>
      <c r="CH417" s="594"/>
      <c r="CI417" s="594"/>
      <c r="CJ417" s="594"/>
      <c r="CK417" s="594"/>
      <c r="CL417" s="594"/>
      <c r="CM417" s="594"/>
      <c r="CN417" s="594"/>
      <c r="CO417" s="594"/>
      <c r="CP417" s="594"/>
      <c r="CQ417" s="594"/>
    </row>
    <row r="418" spans="1:95" ht="15" hidden="1" customHeight="1" outlineLevel="3">
      <c r="A418" s="709" t="s">
        <v>692</v>
      </c>
      <c r="B418" s="718">
        <f>IF($A417="",0,-SUMIF('C3 - Funcionários $'!$D$7:$D$121,$A417,'C3 - Funcionários $'!G$7:G$121))</f>
        <v>0</v>
      </c>
      <c r="C418" s="718">
        <f>IF($A417="",0,-SUMIF('C3 - Funcionários $'!$D$7:$D$121,$A417,'C3 - Funcionários $'!H$7:H$121))</f>
        <v>0</v>
      </c>
      <c r="D418" s="718">
        <f>IF($A417="",0,-SUMIF('C3 - Funcionários $'!$D$7:$D$121,$A417,'C3 - Funcionários $'!I$7:I$121))</f>
        <v>0</v>
      </c>
      <c r="E418" s="718">
        <f>IF($A417="",0,-SUMIF('C3 - Funcionários $'!$D$7:$D$121,$A417,'C3 - Funcionários $'!J$7:J$121))</f>
        <v>0</v>
      </c>
      <c r="F418" s="718">
        <f>IF($A417="",0,-SUMIF('C3 - Funcionários $'!$D$7:$D$121,$A417,'C3 - Funcionários $'!K$7:K$121))</f>
        <v>0</v>
      </c>
      <c r="G418" s="718">
        <f>IF($A417="",0,-SUMIF('C3 - Funcionários $'!$D$7:$D$121,$A417,'C3 - Funcionários $'!L$7:L$121))</f>
        <v>0</v>
      </c>
      <c r="H418" s="718">
        <f>IF($A417="",0,-SUMIF('C3 - Funcionários $'!$D$7:$D$121,$A417,'C3 - Funcionários $'!M$7:M$121))</f>
        <v>0</v>
      </c>
      <c r="I418" s="718">
        <f>IF($A417="",0,-SUMIF('C3 - Funcionários $'!$D$7:$D$121,$A417,'C3 - Funcionários $'!N$7:N$121))</f>
        <v>0</v>
      </c>
      <c r="J418" s="718">
        <f>IF($A417="",0,-SUMIF('C3 - Funcionários $'!$D$7:$D$121,$A417,'C3 - Funcionários $'!O$7:O$121))</f>
        <v>0</v>
      </c>
      <c r="K418" s="718">
        <f>IF($A417="",0,-SUMIF('C3 - Funcionários $'!$D$7:$D$121,$A417,'C3 - Funcionários $'!P$7:P$121))</f>
        <v>0</v>
      </c>
      <c r="L418" s="718">
        <f>IF($A417="",0,-SUMIF('C3 - Funcionários $'!$D$7:$D$121,$A417,'C3 - Funcionários $'!Q$7:Q$121))</f>
        <v>0</v>
      </c>
      <c r="M418" s="718">
        <f>IF($A417="",0,-SUMIF('C3 - Funcionários $'!$D$7:$D$121,$A417,'C3 - Funcionários $'!R$7:R$121))</f>
        <v>0</v>
      </c>
      <c r="N418" s="718">
        <f>IF($A417="",0,-SUMIF('C3 - Funcionários $'!$D$7:$D$121,$A417,'C3 - Funcionários $'!S$7:S$121))</f>
        <v>0</v>
      </c>
      <c r="O418" s="718">
        <f>IF($A417="",0,-SUMIF('C3 - Funcionários $'!$D$7:$D$121,$A417,'C3 - Funcionários $'!T$7:T$121))</f>
        <v>0</v>
      </c>
      <c r="P418" s="718">
        <f>IF($A417="",0,-SUMIF('C3 - Funcionários $'!$D$7:$D$121,$A417,'C3 - Funcionários $'!U$7:U$121))</f>
        <v>0</v>
      </c>
      <c r="Q418" s="718">
        <f>IF($A417="",0,-SUMIF('C3 - Funcionários $'!$D$7:$D$121,$A417,'C3 - Funcionários $'!V$7:V$121))</f>
        <v>0</v>
      </c>
      <c r="R418" s="718">
        <f>IF($A417="",0,-SUMIF('C3 - Funcionários $'!$D$7:$D$121,$A417,'C3 - Funcionários $'!W$7:W$121))</f>
        <v>0</v>
      </c>
      <c r="S418" s="718">
        <f>IF($A417="",0,-SUMIF('C3 - Funcionários $'!$D$7:$D$121,$A417,'C3 - Funcionários $'!X$7:X$121))</f>
        <v>0</v>
      </c>
      <c r="T418" s="718">
        <f>IF($A417="",0,-SUMIF('C3 - Funcionários $'!$D$7:$D$121,$A417,'C3 - Funcionários $'!Y$7:Y$121))</f>
        <v>0</v>
      </c>
      <c r="U418" s="718">
        <f>IF($A417="",0,-SUMIF('C3 - Funcionários $'!$D$7:$D$121,$A417,'C3 - Funcionários $'!Z$7:Z$121))</f>
        <v>0</v>
      </c>
      <c r="V418" s="718">
        <f>IF($A417="",0,-SUMIF('C3 - Funcionários $'!$D$7:$D$121,$A417,'C3 - Funcionários $'!AA$7:AA$121))</f>
        <v>0</v>
      </c>
      <c r="W418" s="718">
        <f>IF($A417="",0,-SUMIF('C3 - Funcionários $'!$D$7:$D$121,$A417,'C3 - Funcionários $'!AB$7:AB$121))</f>
        <v>0</v>
      </c>
      <c r="X418" s="718">
        <f>IF($A417="",0,-SUMIF('C3 - Funcionários $'!$D$7:$D$121,$A417,'C3 - Funcionários $'!AC$7:AC$121))</f>
        <v>0</v>
      </c>
      <c r="Y418" s="718">
        <f>IF($A417="",0,-SUMIF('C3 - Funcionários $'!$D$7:$D$121,$A417,'C3 - Funcionários $'!AD$7:AD$121))</f>
        <v>0</v>
      </c>
      <c r="Z418" s="718">
        <f>IF($A417="",0,-SUMIF('C3 - Funcionários $'!$D$7:$D$121,$A417,'C3 - Funcionários $'!AE$7:AE$121))</f>
        <v>0</v>
      </c>
      <c r="AA418" s="718">
        <f>IF($A417="",0,-SUMIF('C3 - Funcionários $'!$D$7:$D$121,$A417,'C3 - Funcionários $'!AF$7:AF$121))</f>
        <v>0</v>
      </c>
      <c r="AB418" s="718">
        <f>IF($A417="",0,-SUMIF('C3 - Funcionários $'!$D$7:$D$121,$A417,'C3 - Funcionários $'!AG$7:AG$121))</f>
        <v>0</v>
      </c>
      <c r="AC418" s="718">
        <f>IF($A417="",0,-SUMIF('C3 - Funcionários $'!$D$7:$D$121,$A417,'C3 - Funcionários $'!AH$7:AH$121))</f>
        <v>0</v>
      </c>
      <c r="AD418" s="718">
        <f>IF($A417="",0,-SUMIF('C3 - Funcionários $'!$D$7:$D$121,$A417,'C3 - Funcionários $'!AI$7:AI$121))</f>
        <v>0</v>
      </c>
      <c r="AE418" s="718">
        <f>IF($A417="",0,-SUMIF('C3 - Funcionários $'!$D$7:$D$121,$A417,'C3 - Funcionários $'!AJ$7:AJ$121))</f>
        <v>0</v>
      </c>
      <c r="AF418" s="594"/>
      <c r="AG418" s="594"/>
      <c r="AH418" s="594"/>
      <c r="AI418" s="594"/>
      <c r="AJ418" s="594"/>
      <c r="AK418" s="594"/>
      <c r="AL418" s="594"/>
      <c r="AM418" s="594"/>
      <c r="AN418" s="594"/>
      <c r="AO418" s="594"/>
      <c r="AP418" s="594"/>
      <c r="AQ418" s="594"/>
      <c r="AR418" s="594"/>
      <c r="AS418" s="594"/>
      <c r="AT418" s="594"/>
      <c r="AU418" s="594"/>
      <c r="AV418" s="594"/>
      <c r="AW418" s="594"/>
      <c r="AX418" s="594"/>
      <c r="AY418" s="594"/>
      <c r="AZ418" s="594"/>
      <c r="BA418" s="594"/>
      <c r="BB418" s="594"/>
      <c r="BC418" s="594"/>
      <c r="BD418" s="594"/>
      <c r="BE418" s="594"/>
      <c r="BF418" s="594"/>
      <c r="BG418" s="594"/>
      <c r="BH418" s="594"/>
      <c r="BI418" s="594"/>
      <c r="BJ418" s="594"/>
      <c r="BK418" s="594"/>
      <c r="BL418" s="57"/>
      <c r="BM418" s="594"/>
      <c r="BN418" s="594"/>
      <c r="BO418" s="594"/>
      <c r="BP418" s="594"/>
      <c r="BQ418" s="594"/>
      <c r="BR418" s="594"/>
      <c r="BS418" s="594"/>
      <c r="BT418" s="594"/>
      <c r="BU418" s="594"/>
      <c r="BV418" s="594"/>
      <c r="BW418" s="594"/>
      <c r="BX418" s="594"/>
      <c r="BY418" s="594"/>
      <c r="BZ418" s="594"/>
      <c r="CA418" s="594"/>
      <c r="CB418" s="594"/>
      <c r="CC418" s="594"/>
      <c r="CD418" s="594"/>
      <c r="CE418" s="594"/>
      <c r="CF418" s="594"/>
      <c r="CG418" s="594"/>
      <c r="CH418" s="594"/>
      <c r="CI418" s="594"/>
      <c r="CJ418" s="594"/>
      <c r="CK418" s="594"/>
      <c r="CL418" s="594"/>
      <c r="CM418" s="594"/>
      <c r="CN418" s="594"/>
      <c r="CO418" s="594"/>
      <c r="CP418" s="594"/>
      <c r="CQ418" s="594"/>
    </row>
    <row r="419" spans="1:95" ht="15" hidden="1" customHeight="1" outlineLevel="3">
      <c r="A419" s="709" t="s">
        <v>685</v>
      </c>
      <c r="B419" s="710">
        <f>-SUMIFS('B3 - Custos despesas indiretos'!AK$5:AK$148,'B3 - Custos despesas indiretos'!$B$5:$B$148,"Despesas",'B3 - Custos despesas indiretos'!$D$5:$D$148,$A417)-SUMIF('D2 - Capex uso'!C$6:C$176,$A417,'D2 - Capex uso'!GI$6:GI$176)</f>
        <v>-129480</v>
      </c>
      <c r="C419" s="710">
        <f>-SUMIFS('B3 - Custos despesas indiretos'!AL$5:AL$148,'B3 - Custos despesas indiretos'!$B$5:$B$148,"Despesas",'B3 - Custos despesas indiretos'!$D$5:$D$148,$A417)-SUMIF('D2 - Capex uso'!D$6:D$176,$A417,'D2 - Capex uso'!GJ$6:GJ$176)</f>
        <v>-129480</v>
      </c>
      <c r="D419" s="710">
        <f>-SUMIFS('B3 - Custos despesas indiretos'!AM$5:AM$148,'B3 - Custos despesas indiretos'!$B$5:$B$148,"Despesas",'B3 - Custos despesas indiretos'!$D$5:$D$148,$A417)-SUMIF('D2 - Capex uso'!E$6:E$176,$A417,'D2 - Capex uso'!GK$6:GK$176)</f>
        <v>-129480</v>
      </c>
      <c r="E419" s="710">
        <f>-SUMIFS('B3 - Custos despesas indiretos'!AN$5:AN$148,'B3 - Custos despesas indiretos'!$B$5:$B$148,"Despesas",'B3 - Custos despesas indiretos'!$D$5:$D$148,$A417)-SUMIF('D2 - Capex uso'!F$6:F$176,$A417,'D2 - Capex uso'!GL$6:GL$176)</f>
        <v>-129480</v>
      </c>
      <c r="F419" s="710">
        <f>-SUMIFS('B3 - Custos despesas indiretos'!AO$5:AO$148,'B3 - Custos despesas indiretos'!$B$5:$B$148,"Despesas",'B3 - Custos despesas indiretos'!$D$5:$D$148,$A417)-SUMIF('D2 - Capex uso'!G$6:G$176,$A417,'D2 - Capex uso'!GM$6:GM$176)</f>
        <v>-129480</v>
      </c>
      <c r="G419" s="710">
        <f>-SUMIFS('B3 - Custos despesas indiretos'!AP$5:AP$148,'B3 - Custos despesas indiretos'!$B$5:$B$148,"Despesas",'B3 - Custos despesas indiretos'!$D$5:$D$148,$A417)-SUMIF('D2 - Capex uso'!H$6:H$176,$A417,'D2 - Capex uso'!GN$6:GN$176)</f>
        <v>-129480</v>
      </c>
      <c r="H419" s="710">
        <f>-SUMIFS('B3 - Custos despesas indiretos'!AQ$5:AQ$148,'B3 - Custos despesas indiretos'!$B$5:$B$148,"Despesas",'B3 - Custos despesas indiretos'!$D$5:$D$148,$A417)-SUMIF('D2 - Capex uso'!I$6:I$176,$A417,'D2 - Capex uso'!GO$6:GO$176)</f>
        <v>-129480</v>
      </c>
      <c r="I419" s="710">
        <f>-SUMIFS('B3 - Custos despesas indiretos'!AR$5:AR$148,'B3 - Custos despesas indiretos'!$B$5:$B$148,"Despesas",'B3 - Custos despesas indiretos'!$D$5:$D$148,$A417)-SUMIF('D2 - Capex uso'!J$6:J$176,$A417,'D2 - Capex uso'!GP$6:GP$176)</f>
        <v>-129480</v>
      </c>
      <c r="J419" s="710">
        <f>-SUMIFS('B3 - Custos despesas indiretos'!AS$5:AS$148,'B3 - Custos despesas indiretos'!$B$5:$B$148,"Despesas",'B3 - Custos despesas indiretos'!$D$5:$D$148,$A417)-SUMIF('D2 - Capex uso'!K$6:K$176,$A417,'D2 - Capex uso'!GQ$6:GQ$176)</f>
        <v>-129480</v>
      </c>
      <c r="K419" s="710">
        <f>-SUMIFS('B3 - Custos despesas indiretos'!AT$5:AT$148,'B3 - Custos despesas indiretos'!$B$5:$B$148,"Despesas",'B3 - Custos despesas indiretos'!$D$5:$D$148,$A417)-SUMIF('D2 - Capex uso'!L$6:L$176,$A417,'D2 - Capex uso'!GR$6:GR$176)</f>
        <v>-129480</v>
      </c>
      <c r="L419" s="710">
        <f>-SUMIFS('B3 - Custos despesas indiretos'!AU$5:AU$148,'B3 - Custos despesas indiretos'!$B$5:$B$148,"Despesas",'B3 - Custos despesas indiretos'!$D$5:$D$148,$A417)-SUMIF('D2 - Capex uso'!M$6:M$176,$A417,'D2 - Capex uso'!GS$6:GS$176)</f>
        <v>-129480</v>
      </c>
      <c r="M419" s="710">
        <f>-SUMIFS('B3 - Custos despesas indiretos'!AV$5:AV$148,'B3 - Custos despesas indiretos'!$B$5:$B$148,"Despesas",'B3 - Custos despesas indiretos'!$D$5:$D$148,$A417)-SUMIF('D2 - Capex uso'!N$6:N$176,$A417,'D2 - Capex uso'!GT$6:GT$176)</f>
        <v>-129480</v>
      </c>
      <c r="N419" s="710">
        <f>-SUMIFS('B3 - Custos despesas indiretos'!AW$5:AW$148,'B3 - Custos despesas indiretos'!$B$5:$B$148,"Despesas",'B3 - Custos despesas indiretos'!$D$5:$D$148,$A417)-SUMIF('D2 - Capex uso'!O$6:O$176,$A417,'D2 - Capex uso'!GU$6:GU$176)</f>
        <v>-129480</v>
      </c>
      <c r="O419" s="710">
        <f>-SUMIFS('B3 - Custos despesas indiretos'!AX$5:AX$148,'B3 - Custos despesas indiretos'!$B$5:$B$148,"Despesas",'B3 - Custos despesas indiretos'!$D$5:$D$148,$A417)-SUMIF('D2 - Capex uso'!P$6:P$176,$A417,'D2 - Capex uso'!GV$6:GV$176)</f>
        <v>-129480</v>
      </c>
      <c r="P419" s="710">
        <f>-SUMIFS('B3 - Custos despesas indiretos'!AY$5:AY$148,'B3 - Custos despesas indiretos'!$B$5:$B$148,"Despesas",'B3 - Custos despesas indiretos'!$D$5:$D$148,$A417)-SUMIF('D2 - Capex uso'!Q$6:Q$176,$A417,'D2 - Capex uso'!GW$6:GW$176)</f>
        <v>-129480</v>
      </c>
      <c r="Q419" s="710">
        <f>-SUMIFS('B3 - Custos despesas indiretos'!AZ$5:AZ$148,'B3 - Custos despesas indiretos'!$B$5:$B$148,"Despesas",'B3 - Custos despesas indiretos'!$D$5:$D$148,$A417)-SUMIF('D2 - Capex uso'!R$6:R$176,$A417,'D2 - Capex uso'!GX$6:GX$176)</f>
        <v>-129480</v>
      </c>
      <c r="R419" s="710">
        <f>-SUMIFS('B3 - Custos despesas indiretos'!BA$5:BA$148,'B3 - Custos despesas indiretos'!$B$5:$B$148,"Despesas",'B3 - Custos despesas indiretos'!$D$5:$D$148,$A417)-SUMIF('D2 - Capex uso'!S$6:S$176,$A417,'D2 - Capex uso'!GY$6:GY$176)</f>
        <v>-129480</v>
      </c>
      <c r="S419" s="710">
        <f>-SUMIFS('B3 - Custos despesas indiretos'!BB$5:BB$148,'B3 - Custos despesas indiretos'!$B$5:$B$148,"Despesas",'B3 - Custos despesas indiretos'!$D$5:$D$148,$A417)-SUMIF('D2 - Capex uso'!T$6:T$176,$A417,'D2 - Capex uso'!GZ$6:GZ$176)</f>
        <v>-129480</v>
      </c>
      <c r="T419" s="710">
        <f>-SUMIFS('B3 - Custos despesas indiretos'!BC$5:BC$148,'B3 - Custos despesas indiretos'!$B$5:$B$148,"Despesas",'B3 - Custos despesas indiretos'!$D$5:$D$148,$A417)-SUMIF('D2 - Capex uso'!U$6:U$176,$A417,'D2 - Capex uso'!HA$6:HA$176)</f>
        <v>-129480</v>
      </c>
      <c r="U419" s="710">
        <f>-SUMIFS('B3 - Custos despesas indiretos'!BD$5:BD$148,'B3 - Custos despesas indiretos'!$B$5:$B$148,"Despesas",'B3 - Custos despesas indiretos'!$D$5:$D$148,$A417)-SUMIF('D2 - Capex uso'!V$6:V$176,$A417,'D2 - Capex uso'!HB$6:HB$176)</f>
        <v>-129480</v>
      </c>
      <c r="V419" s="710">
        <f>-SUMIFS('B3 - Custos despesas indiretos'!BE$5:BE$148,'B3 - Custos despesas indiretos'!$B$5:$B$148,"Despesas",'B3 - Custos despesas indiretos'!$D$5:$D$148,$A417)-SUMIF('D2 - Capex uso'!W$6:W$176,$A417,'D2 - Capex uso'!HC$6:HC$176)</f>
        <v>-129480</v>
      </c>
      <c r="W419" s="710">
        <f>-SUMIFS('B3 - Custos despesas indiretos'!BF$5:BF$148,'B3 - Custos despesas indiretos'!$B$5:$B$148,"Despesas",'B3 - Custos despesas indiretos'!$D$5:$D$148,$A417)-SUMIF('D2 - Capex uso'!X$6:X$176,$A417,'D2 - Capex uso'!HD$6:HD$176)</f>
        <v>-129480</v>
      </c>
      <c r="X419" s="710">
        <f>-SUMIFS('B3 - Custos despesas indiretos'!BG$5:BG$148,'B3 - Custos despesas indiretos'!$B$5:$B$148,"Despesas",'B3 - Custos despesas indiretos'!$D$5:$D$148,$A417)-SUMIF('D2 - Capex uso'!Y$6:Y$176,$A417,'D2 - Capex uso'!HE$6:HE$176)</f>
        <v>-129480</v>
      </c>
      <c r="Y419" s="710">
        <f>-SUMIFS('B3 - Custos despesas indiretos'!BH$5:BH$148,'B3 - Custos despesas indiretos'!$B$5:$B$148,"Despesas",'B3 - Custos despesas indiretos'!$D$5:$D$148,$A417)-SUMIF('D2 - Capex uso'!Z$6:Z$176,$A417,'D2 - Capex uso'!HF$6:HF$176)</f>
        <v>-129480</v>
      </c>
      <c r="Z419" s="710">
        <f>-SUMIFS('B3 - Custos despesas indiretos'!BI$5:BI$148,'B3 - Custos despesas indiretos'!$B$5:$B$148,"Despesas",'B3 - Custos despesas indiretos'!$D$5:$D$148,$A417)-SUMIF('D2 - Capex uso'!AA$6:AA$176,$A417,'D2 - Capex uso'!HG$6:HG$176)</f>
        <v>-129480</v>
      </c>
      <c r="AA419" s="710">
        <f>-SUMIFS('B3 - Custos despesas indiretos'!BJ$5:BJ$148,'B3 - Custos despesas indiretos'!$B$5:$B$148,"Despesas",'B3 - Custos despesas indiretos'!$D$5:$D$148,$A417)-SUMIF('D2 - Capex uso'!AB$6:AB$176,$A417,'D2 - Capex uso'!HH$6:HH$176)</f>
        <v>-129480</v>
      </c>
      <c r="AB419" s="710">
        <f>-SUMIFS('B3 - Custos despesas indiretos'!BK$5:BK$148,'B3 - Custos despesas indiretos'!$B$5:$B$148,"Despesas",'B3 - Custos despesas indiretos'!$D$5:$D$148,$A417)-SUMIF('D2 - Capex uso'!AC$6:AC$176,$A417,'D2 - Capex uso'!HI$6:HI$176)</f>
        <v>-129480</v>
      </c>
      <c r="AC419" s="710">
        <f>-SUMIFS('B3 - Custos despesas indiretos'!BL$5:BL$148,'B3 - Custos despesas indiretos'!$B$5:$B$148,"Despesas",'B3 - Custos despesas indiretos'!$D$5:$D$148,$A417)-SUMIF('D2 - Capex uso'!AD$6:AD$176,$A417,'D2 - Capex uso'!HJ$6:HJ$176)</f>
        <v>-129480</v>
      </c>
      <c r="AD419" s="710">
        <f>-SUMIFS('B3 - Custos despesas indiretos'!BM$5:BM$148,'B3 - Custos despesas indiretos'!$B$5:$B$148,"Despesas",'B3 - Custos despesas indiretos'!$D$5:$D$148,$A417)-SUMIF('D2 - Capex uso'!AE$6:AE$176,$A417,'D2 - Capex uso'!HK$6:HK$176)</f>
        <v>-129480</v>
      </c>
      <c r="AE419" s="710">
        <f>-SUMIFS('B3 - Custos despesas indiretos'!BN$5:BN$148,'B3 - Custos despesas indiretos'!$B$5:$B$148,"Despesas",'B3 - Custos despesas indiretos'!$D$5:$D$148,$A417)-SUMIF('D2 - Capex uso'!AF$6:AF$176,$A417,'D2 - Capex uso'!HL$6:HL$176)</f>
        <v>-129480</v>
      </c>
      <c r="AF419" s="594"/>
      <c r="AG419" s="594"/>
      <c r="AH419" s="594"/>
      <c r="AI419" s="594"/>
      <c r="AJ419" s="594"/>
      <c r="AK419" s="594"/>
      <c r="AL419" s="594"/>
      <c r="AM419" s="594"/>
      <c r="AN419" s="594"/>
      <c r="AO419" s="594"/>
      <c r="AP419" s="594"/>
      <c r="AQ419" s="594"/>
      <c r="AR419" s="594"/>
      <c r="AS419" s="594"/>
      <c r="AT419" s="594"/>
      <c r="AU419" s="594"/>
      <c r="AV419" s="594"/>
      <c r="AW419" s="594"/>
      <c r="AX419" s="594"/>
      <c r="AY419" s="594"/>
      <c r="AZ419" s="594"/>
      <c r="BA419" s="594"/>
      <c r="BB419" s="594"/>
      <c r="BC419" s="594"/>
      <c r="BD419" s="594"/>
      <c r="BE419" s="594"/>
      <c r="BF419" s="594"/>
      <c r="BG419" s="594"/>
      <c r="BH419" s="594"/>
      <c r="BI419" s="594"/>
      <c r="BJ419" s="594"/>
      <c r="BK419" s="594"/>
      <c r="BL419" s="57"/>
      <c r="BM419" s="594"/>
      <c r="BN419" s="594"/>
      <c r="BO419" s="594"/>
      <c r="BP419" s="594"/>
      <c r="BQ419" s="594"/>
      <c r="BR419" s="594"/>
      <c r="BS419" s="594"/>
      <c r="BT419" s="594"/>
      <c r="BU419" s="594"/>
      <c r="BV419" s="594"/>
      <c r="BW419" s="594"/>
      <c r="BX419" s="594"/>
      <c r="BY419" s="594"/>
      <c r="BZ419" s="594"/>
      <c r="CA419" s="594"/>
      <c r="CB419" s="594"/>
      <c r="CC419" s="594"/>
      <c r="CD419" s="594"/>
      <c r="CE419" s="594"/>
      <c r="CF419" s="594"/>
      <c r="CG419" s="594"/>
      <c r="CH419" s="594"/>
      <c r="CI419" s="594"/>
      <c r="CJ419" s="594"/>
      <c r="CK419" s="594"/>
      <c r="CL419" s="594"/>
      <c r="CM419" s="594"/>
      <c r="CN419" s="594"/>
      <c r="CO419" s="594"/>
      <c r="CP419" s="594"/>
      <c r="CQ419" s="594"/>
    </row>
    <row r="420" spans="1:95" ht="15" hidden="1" customHeight="1" outlineLevel="2">
      <c r="A420" s="709" t="s">
        <v>694</v>
      </c>
      <c r="B420" s="717">
        <f t="shared" ref="B420:AE420" si="149">SUM(B421:B422)</f>
        <v>0</v>
      </c>
      <c r="C420" s="717">
        <f t="shared" si="149"/>
        <v>0</v>
      </c>
      <c r="D420" s="717">
        <f t="shared" si="149"/>
        <v>0</v>
      </c>
      <c r="E420" s="717">
        <f t="shared" si="149"/>
        <v>0</v>
      </c>
      <c r="F420" s="717">
        <f t="shared" si="149"/>
        <v>0</v>
      </c>
      <c r="G420" s="717">
        <f t="shared" si="149"/>
        <v>0</v>
      </c>
      <c r="H420" s="717">
        <f t="shared" si="149"/>
        <v>0</v>
      </c>
      <c r="I420" s="717">
        <f t="shared" si="149"/>
        <v>0</v>
      </c>
      <c r="J420" s="717">
        <f t="shared" si="149"/>
        <v>0</v>
      </c>
      <c r="K420" s="717">
        <f t="shared" si="149"/>
        <v>0</v>
      </c>
      <c r="L420" s="717">
        <f t="shared" si="149"/>
        <v>0</v>
      </c>
      <c r="M420" s="717">
        <f t="shared" si="149"/>
        <v>0</v>
      </c>
      <c r="N420" s="717">
        <f t="shared" si="149"/>
        <v>0</v>
      </c>
      <c r="O420" s="717">
        <f t="shared" si="149"/>
        <v>0</v>
      </c>
      <c r="P420" s="717">
        <f t="shared" si="149"/>
        <v>0</v>
      </c>
      <c r="Q420" s="717">
        <f t="shared" si="149"/>
        <v>0</v>
      </c>
      <c r="R420" s="717">
        <f t="shared" si="149"/>
        <v>0</v>
      </c>
      <c r="S420" s="717">
        <f t="shared" si="149"/>
        <v>0</v>
      </c>
      <c r="T420" s="717">
        <f t="shared" si="149"/>
        <v>0</v>
      </c>
      <c r="U420" s="717">
        <f t="shared" si="149"/>
        <v>0</v>
      </c>
      <c r="V420" s="717">
        <f t="shared" si="149"/>
        <v>0</v>
      </c>
      <c r="W420" s="717">
        <f t="shared" si="149"/>
        <v>0</v>
      </c>
      <c r="X420" s="717">
        <f t="shared" si="149"/>
        <v>0</v>
      </c>
      <c r="Y420" s="717">
        <f t="shared" si="149"/>
        <v>0</v>
      </c>
      <c r="Z420" s="717">
        <f t="shared" si="149"/>
        <v>0</v>
      </c>
      <c r="AA420" s="717">
        <f t="shared" si="149"/>
        <v>0</v>
      </c>
      <c r="AB420" s="717">
        <f t="shared" si="149"/>
        <v>0</v>
      </c>
      <c r="AC420" s="717">
        <f t="shared" si="149"/>
        <v>0</v>
      </c>
      <c r="AD420" s="717">
        <f t="shared" si="149"/>
        <v>0</v>
      </c>
      <c r="AE420" s="717">
        <f t="shared" si="149"/>
        <v>0</v>
      </c>
      <c r="AF420" s="594"/>
      <c r="AG420" s="594"/>
      <c r="AH420" s="594"/>
      <c r="AI420" s="594"/>
      <c r="AJ420" s="594"/>
      <c r="AK420" s="594"/>
      <c r="AL420" s="594"/>
      <c r="AM420" s="594"/>
      <c r="AN420" s="594"/>
      <c r="AO420" s="594"/>
      <c r="AP420" s="594"/>
      <c r="AQ420" s="594"/>
      <c r="AR420" s="594"/>
      <c r="AS420" s="594"/>
      <c r="AT420" s="594"/>
      <c r="AU420" s="594"/>
      <c r="AV420" s="594"/>
      <c r="AW420" s="594"/>
      <c r="AX420" s="594"/>
      <c r="AY420" s="594"/>
      <c r="AZ420" s="594"/>
      <c r="BA420" s="594"/>
      <c r="BB420" s="594"/>
      <c r="BC420" s="594"/>
      <c r="BD420" s="594"/>
      <c r="BE420" s="594"/>
      <c r="BF420" s="594"/>
      <c r="BG420" s="594"/>
      <c r="BH420" s="594"/>
      <c r="BI420" s="594"/>
      <c r="BJ420" s="594"/>
      <c r="BK420" s="594"/>
      <c r="BL420" s="57"/>
      <c r="BM420" s="594"/>
      <c r="BN420" s="594"/>
      <c r="BO420" s="594"/>
      <c r="BP420" s="594"/>
      <c r="BQ420" s="594"/>
      <c r="BR420" s="594"/>
      <c r="BS420" s="594"/>
      <c r="BT420" s="594"/>
      <c r="BU420" s="594"/>
      <c r="BV420" s="594"/>
      <c r="BW420" s="594"/>
      <c r="BX420" s="594"/>
      <c r="BY420" s="594"/>
      <c r="BZ420" s="594"/>
      <c r="CA420" s="594"/>
      <c r="CB420" s="594"/>
      <c r="CC420" s="594"/>
      <c r="CD420" s="594"/>
      <c r="CE420" s="594"/>
      <c r="CF420" s="594"/>
      <c r="CG420" s="594"/>
      <c r="CH420" s="594"/>
      <c r="CI420" s="594"/>
      <c r="CJ420" s="594"/>
      <c r="CK420" s="594"/>
      <c r="CL420" s="594"/>
      <c r="CM420" s="594"/>
      <c r="CN420" s="594"/>
      <c r="CO420" s="594"/>
      <c r="CP420" s="594"/>
      <c r="CQ420" s="594"/>
    </row>
    <row r="421" spans="1:95" ht="15" hidden="1" customHeight="1" outlineLevel="3">
      <c r="A421" s="709" t="s">
        <v>692</v>
      </c>
      <c r="B421" s="718">
        <f>IF($A420="",0,-SUMIF('C3 - Funcionários $'!$D$7:$D$121,$A420,'C3 - Funcionários $'!G$7:G$121))</f>
        <v>0</v>
      </c>
      <c r="C421" s="718">
        <f>IF($A420="",0,-SUMIF('C3 - Funcionários $'!$D$7:$D$121,$A420,'C3 - Funcionários $'!H$7:H$121))</f>
        <v>0</v>
      </c>
      <c r="D421" s="718">
        <f>IF($A420="",0,-SUMIF('C3 - Funcionários $'!$D$7:$D$121,$A420,'C3 - Funcionários $'!I$7:I$121))</f>
        <v>0</v>
      </c>
      <c r="E421" s="718">
        <f>IF($A420="",0,-SUMIF('C3 - Funcionários $'!$D$7:$D$121,$A420,'C3 - Funcionários $'!J$7:J$121))</f>
        <v>0</v>
      </c>
      <c r="F421" s="718">
        <f>IF($A420="",0,-SUMIF('C3 - Funcionários $'!$D$7:$D$121,$A420,'C3 - Funcionários $'!K$7:K$121))</f>
        <v>0</v>
      </c>
      <c r="G421" s="718">
        <f>IF($A420="",0,-SUMIF('C3 - Funcionários $'!$D$7:$D$121,$A420,'C3 - Funcionários $'!L$7:L$121))</f>
        <v>0</v>
      </c>
      <c r="H421" s="718">
        <f>IF($A420="",0,-SUMIF('C3 - Funcionários $'!$D$7:$D$121,$A420,'C3 - Funcionários $'!M$7:M$121))</f>
        <v>0</v>
      </c>
      <c r="I421" s="718">
        <f>IF($A420="",0,-SUMIF('C3 - Funcionários $'!$D$7:$D$121,$A420,'C3 - Funcionários $'!N$7:N$121))</f>
        <v>0</v>
      </c>
      <c r="J421" s="718">
        <f>IF($A420="",0,-SUMIF('C3 - Funcionários $'!$D$7:$D$121,$A420,'C3 - Funcionários $'!O$7:O$121))</f>
        <v>0</v>
      </c>
      <c r="K421" s="718">
        <f>IF($A420="",0,-SUMIF('C3 - Funcionários $'!$D$7:$D$121,$A420,'C3 - Funcionários $'!P$7:P$121))</f>
        <v>0</v>
      </c>
      <c r="L421" s="718">
        <f>IF($A420="",0,-SUMIF('C3 - Funcionários $'!$D$7:$D$121,$A420,'C3 - Funcionários $'!Q$7:Q$121))</f>
        <v>0</v>
      </c>
      <c r="M421" s="718">
        <f>IF($A420="",0,-SUMIF('C3 - Funcionários $'!$D$7:$D$121,$A420,'C3 - Funcionários $'!R$7:R$121))</f>
        <v>0</v>
      </c>
      <c r="N421" s="718">
        <f>IF($A420="",0,-SUMIF('C3 - Funcionários $'!$D$7:$D$121,$A420,'C3 - Funcionários $'!S$7:S$121))</f>
        <v>0</v>
      </c>
      <c r="O421" s="718">
        <f>IF($A420="",0,-SUMIF('C3 - Funcionários $'!$D$7:$D$121,$A420,'C3 - Funcionários $'!T$7:T$121))</f>
        <v>0</v>
      </c>
      <c r="P421" s="718">
        <f>IF($A420="",0,-SUMIF('C3 - Funcionários $'!$D$7:$D$121,$A420,'C3 - Funcionários $'!U$7:U$121))</f>
        <v>0</v>
      </c>
      <c r="Q421" s="718">
        <f>IF($A420="",0,-SUMIF('C3 - Funcionários $'!$D$7:$D$121,$A420,'C3 - Funcionários $'!V$7:V$121))</f>
        <v>0</v>
      </c>
      <c r="R421" s="718">
        <f>IF($A420="",0,-SUMIF('C3 - Funcionários $'!$D$7:$D$121,$A420,'C3 - Funcionários $'!W$7:W$121))</f>
        <v>0</v>
      </c>
      <c r="S421" s="718">
        <f>IF($A420="",0,-SUMIF('C3 - Funcionários $'!$D$7:$D$121,$A420,'C3 - Funcionários $'!X$7:X$121))</f>
        <v>0</v>
      </c>
      <c r="T421" s="718">
        <f>IF($A420="",0,-SUMIF('C3 - Funcionários $'!$D$7:$D$121,$A420,'C3 - Funcionários $'!Y$7:Y$121))</f>
        <v>0</v>
      </c>
      <c r="U421" s="718">
        <f>IF($A420="",0,-SUMIF('C3 - Funcionários $'!$D$7:$D$121,$A420,'C3 - Funcionários $'!Z$7:Z$121))</f>
        <v>0</v>
      </c>
      <c r="V421" s="718">
        <f>IF($A420="",0,-SUMIF('C3 - Funcionários $'!$D$7:$D$121,$A420,'C3 - Funcionários $'!AA$7:AA$121))</f>
        <v>0</v>
      </c>
      <c r="W421" s="718">
        <f>IF($A420="",0,-SUMIF('C3 - Funcionários $'!$D$7:$D$121,$A420,'C3 - Funcionários $'!AB$7:AB$121))</f>
        <v>0</v>
      </c>
      <c r="X421" s="718">
        <f>IF($A420="",0,-SUMIF('C3 - Funcionários $'!$D$7:$D$121,$A420,'C3 - Funcionários $'!AC$7:AC$121))</f>
        <v>0</v>
      </c>
      <c r="Y421" s="718">
        <f>IF($A420="",0,-SUMIF('C3 - Funcionários $'!$D$7:$D$121,$A420,'C3 - Funcionários $'!AD$7:AD$121))</f>
        <v>0</v>
      </c>
      <c r="Z421" s="718">
        <f>IF($A420="",0,-SUMIF('C3 - Funcionários $'!$D$7:$D$121,$A420,'C3 - Funcionários $'!AE$7:AE$121))</f>
        <v>0</v>
      </c>
      <c r="AA421" s="718">
        <f>IF($A420="",0,-SUMIF('C3 - Funcionários $'!$D$7:$D$121,$A420,'C3 - Funcionários $'!AF$7:AF$121))</f>
        <v>0</v>
      </c>
      <c r="AB421" s="718">
        <f>IF($A420="",0,-SUMIF('C3 - Funcionários $'!$D$7:$D$121,$A420,'C3 - Funcionários $'!AG$7:AG$121))</f>
        <v>0</v>
      </c>
      <c r="AC421" s="718">
        <f>IF($A420="",0,-SUMIF('C3 - Funcionários $'!$D$7:$D$121,$A420,'C3 - Funcionários $'!AH$7:AH$121))</f>
        <v>0</v>
      </c>
      <c r="AD421" s="718">
        <f>IF($A420="",0,-SUMIF('C3 - Funcionários $'!$D$7:$D$121,$A420,'C3 - Funcionários $'!AI$7:AI$121))</f>
        <v>0</v>
      </c>
      <c r="AE421" s="718">
        <f>IF($A420="",0,-SUMIF('C3 - Funcionários $'!$D$7:$D$121,$A420,'C3 - Funcionários $'!AJ$7:AJ$121))</f>
        <v>0</v>
      </c>
      <c r="AF421" s="594"/>
      <c r="AG421" s="594"/>
      <c r="AH421" s="594"/>
      <c r="AI421" s="594"/>
      <c r="AJ421" s="594"/>
      <c r="AK421" s="594"/>
      <c r="AL421" s="594"/>
      <c r="AM421" s="594"/>
      <c r="AN421" s="594"/>
      <c r="AO421" s="594"/>
      <c r="AP421" s="594"/>
      <c r="AQ421" s="594"/>
      <c r="AR421" s="594"/>
      <c r="AS421" s="594"/>
      <c r="AT421" s="594"/>
      <c r="AU421" s="594"/>
      <c r="AV421" s="594"/>
      <c r="AW421" s="594"/>
      <c r="AX421" s="594"/>
      <c r="AY421" s="594"/>
      <c r="AZ421" s="594"/>
      <c r="BA421" s="594"/>
      <c r="BB421" s="594"/>
      <c r="BC421" s="594"/>
      <c r="BD421" s="594"/>
      <c r="BE421" s="594"/>
      <c r="BF421" s="594"/>
      <c r="BG421" s="594"/>
      <c r="BH421" s="594"/>
      <c r="BI421" s="594"/>
      <c r="BJ421" s="594"/>
      <c r="BK421" s="594"/>
      <c r="BL421" s="57"/>
      <c r="BM421" s="594"/>
      <c r="BN421" s="594"/>
      <c r="BO421" s="594"/>
      <c r="BP421" s="594"/>
      <c r="BQ421" s="594"/>
      <c r="BR421" s="594"/>
      <c r="BS421" s="594"/>
      <c r="BT421" s="594"/>
      <c r="BU421" s="594"/>
      <c r="BV421" s="594"/>
      <c r="BW421" s="594"/>
      <c r="BX421" s="594"/>
      <c r="BY421" s="594"/>
      <c r="BZ421" s="594"/>
      <c r="CA421" s="594"/>
      <c r="CB421" s="594"/>
      <c r="CC421" s="594"/>
      <c r="CD421" s="594"/>
      <c r="CE421" s="594"/>
      <c r="CF421" s="594"/>
      <c r="CG421" s="594"/>
      <c r="CH421" s="594"/>
      <c r="CI421" s="594"/>
      <c r="CJ421" s="594"/>
      <c r="CK421" s="594"/>
      <c r="CL421" s="594"/>
      <c r="CM421" s="594"/>
      <c r="CN421" s="594"/>
      <c r="CO421" s="594"/>
      <c r="CP421" s="594"/>
      <c r="CQ421" s="594"/>
    </row>
    <row r="422" spans="1:95" ht="15" hidden="1" customHeight="1" outlineLevel="3">
      <c r="A422" s="709" t="s">
        <v>685</v>
      </c>
      <c r="B422" s="710">
        <f>-SUMIFS('B3 - Custos despesas indiretos'!AK$5:AK$148,'B3 - Custos despesas indiretos'!$B$5:$B$148,"Despesas",'B3 - Custos despesas indiretos'!$D$5:$D$148,$A420)+SUMIF('D2 - Capex uso'!C$6:C$176,$A420,'D2 - Capex uso'!GI$6:GI$176)</f>
        <v>0</v>
      </c>
      <c r="C422" s="710">
        <f>-SUMIFS('B3 - Custos despesas indiretos'!AL$5:AL$148,'B3 - Custos despesas indiretos'!$B$5:$B$148,"Despesas",'B3 - Custos despesas indiretos'!$D$5:$D$148,$A420)+SUMIF('D2 - Capex uso'!D$6:D$176,$A420,'D2 - Capex uso'!GJ$6:GJ$176)</f>
        <v>0</v>
      </c>
      <c r="D422" s="710">
        <f>-SUMIFS('B3 - Custos despesas indiretos'!AM$5:AM$148,'B3 - Custos despesas indiretos'!$B$5:$B$148,"Despesas",'B3 - Custos despesas indiretos'!$D$5:$D$148,$A420)+SUMIF('D2 - Capex uso'!E$6:E$176,$A420,'D2 - Capex uso'!GK$6:GK$176)</f>
        <v>0</v>
      </c>
      <c r="E422" s="710">
        <f>-SUMIFS('B3 - Custos despesas indiretos'!AN$5:AN$148,'B3 - Custos despesas indiretos'!$B$5:$B$148,"Despesas",'B3 - Custos despesas indiretos'!$D$5:$D$148,$A420)+SUMIF('D2 - Capex uso'!F$6:F$176,$A420,'D2 - Capex uso'!GL$6:GL$176)</f>
        <v>0</v>
      </c>
      <c r="F422" s="710">
        <f>-SUMIFS('B3 - Custos despesas indiretos'!AO$5:AO$148,'B3 - Custos despesas indiretos'!$B$5:$B$148,"Despesas",'B3 - Custos despesas indiretos'!$D$5:$D$148,$A420)+SUMIF('D2 - Capex uso'!G$6:G$176,$A420,'D2 - Capex uso'!GM$6:GM$176)</f>
        <v>0</v>
      </c>
      <c r="G422" s="710">
        <f>-SUMIFS('B3 - Custos despesas indiretos'!AP$5:AP$148,'B3 - Custos despesas indiretos'!$B$5:$B$148,"Despesas",'B3 - Custos despesas indiretos'!$D$5:$D$148,$A420)+SUMIF('D2 - Capex uso'!H$6:H$176,$A420,'D2 - Capex uso'!GN$6:GN$176)</f>
        <v>0</v>
      </c>
      <c r="H422" s="710">
        <f>-SUMIFS('B3 - Custos despesas indiretos'!AQ$5:AQ$148,'B3 - Custos despesas indiretos'!$B$5:$B$148,"Despesas",'B3 - Custos despesas indiretos'!$D$5:$D$148,$A420)+SUMIF('D2 - Capex uso'!I$6:I$176,$A420,'D2 - Capex uso'!GO$6:GO$176)</f>
        <v>0</v>
      </c>
      <c r="I422" s="710">
        <f>-SUMIFS('B3 - Custos despesas indiretos'!AR$5:AR$148,'B3 - Custos despesas indiretos'!$B$5:$B$148,"Despesas",'B3 - Custos despesas indiretos'!$D$5:$D$148,$A420)+SUMIF('D2 - Capex uso'!J$6:J$176,$A420,'D2 - Capex uso'!GP$6:GP$176)</f>
        <v>0</v>
      </c>
      <c r="J422" s="710">
        <f>-SUMIFS('B3 - Custos despesas indiretos'!AS$5:AS$148,'B3 - Custos despesas indiretos'!$B$5:$B$148,"Despesas",'B3 - Custos despesas indiretos'!$D$5:$D$148,$A420)+SUMIF('D2 - Capex uso'!K$6:K$176,$A420,'D2 - Capex uso'!GQ$6:GQ$176)</f>
        <v>0</v>
      </c>
      <c r="K422" s="710">
        <f>-SUMIFS('B3 - Custos despesas indiretos'!AT$5:AT$148,'B3 - Custos despesas indiretos'!$B$5:$B$148,"Despesas",'B3 - Custos despesas indiretos'!$D$5:$D$148,$A420)+SUMIF('D2 - Capex uso'!L$6:L$176,$A420,'D2 - Capex uso'!GR$6:GR$176)</f>
        <v>0</v>
      </c>
      <c r="L422" s="710">
        <f>-SUMIFS('B3 - Custos despesas indiretos'!AU$5:AU$148,'B3 - Custos despesas indiretos'!$B$5:$B$148,"Despesas",'B3 - Custos despesas indiretos'!$D$5:$D$148,$A420)+SUMIF('D2 - Capex uso'!M$6:M$176,$A420,'D2 - Capex uso'!GS$6:GS$176)</f>
        <v>0</v>
      </c>
      <c r="M422" s="710">
        <f>-SUMIFS('B3 - Custos despesas indiretos'!AV$5:AV$148,'B3 - Custos despesas indiretos'!$B$5:$B$148,"Despesas",'B3 - Custos despesas indiretos'!$D$5:$D$148,$A420)+SUMIF('D2 - Capex uso'!N$6:N$176,$A420,'D2 - Capex uso'!GT$6:GT$176)</f>
        <v>0</v>
      </c>
      <c r="N422" s="710">
        <f>-SUMIFS('B3 - Custos despesas indiretos'!AW$5:AW$148,'B3 - Custos despesas indiretos'!$B$5:$B$148,"Despesas",'B3 - Custos despesas indiretos'!$D$5:$D$148,$A420)+SUMIF('D2 - Capex uso'!O$6:O$176,$A420,'D2 - Capex uso'!GU$6:GU$176)</f>
        <v>0</v>
      </c>
      <c r="O422" s="710">
        <f>-SUMIFS('B3 - Custos despesas indiretos'!AX$5:AX$148,'B3 - Custos despesas indiretos'!$B$5:$B$148,"Despesas",'B3 - Custos despesas indiretos'!$D$5:$D$148,$A420)+SUMIF('D2 - Capex uso'!P$6:P$176,$A420,'D2 - Capex uso'!GV$6:GV$176)</f>
        <v>0</v>
      </c>
      <c r="P422" s="710">
        <f>-SUMIFS('B3 - Custos despesas indiretos'!AY$5:AY$148,'B3 - Custos despesas indiretos'!$B$5:$B$148,"Despesas",'B3 - Custos despesas indiretos'!$D$5:$D$148,$A420)+SUMIF('D2 - Capex uso'!Q$6:Q$176,$A420,'D2 - Capex uso'!GW$6:GW$176)</f>
        <v>0</v>
      </c>
      <c r="Q422" s="710">
        <f>-SUMIFS('B3 - Custos despesas indiretos'!AZ$5:AZ$148,'B3 - Custos despesas indiretos'!$B$5:$B$148,"Despesas",'B3 - Custos despesas indiretos'!$D$5:$D$148,$A420)+SUMIF('D2 - Capex uso'!R$6:R$176,$A420,'D2 - Capex uso'!GX$6:GX$176)</f>
        <v>0</v>
      </c>
      <c r="R422" s="710">
        <f>-SUMIFS('B3 - Custos despesas indiretos'!BA$5:BA$148,'B3 - Custos despesas indiretos'!$B$5:$B$148,"Despesas",'B3 - Custos despesas indiretos'!$D$5:$D$148,$A420)+SUMIF('D2 - Capex uso'!S$6:S$176,$A420,'D2 - Capex uso'!GY$6:GY$176)</f>
        <v>0</v>
      </c>
      <c r="S422" s="710">
        <f>-SUMIFS('B3 - Custos despesas indiretos'!BB$5:BB$148,'B3 - Custos despesas indiretos'!$B$5:$B$148,"Despesas",'B3 - Custos despesas indiretos'!$D$5:$D$148,$A420)+SUMIF('D2 - Capex uso'!T$6:T$176,$A420,'D2 - Capex uso'!GZ$6:GZ$176)</f>
        <v>0</v>
      </c>
      <c r="T422" s="710">
        <f>-SUMIFS('B3 - Custos despesas indiretos'!BC$5:BC$148,'B3 - Custos despesas indiretos'!$B$5:$B$148,"Despesas",'B3 - Custos despesas indiretos'!$D$5:$D$148,$A420)+SUMIF('D2 - Capex uso'!U$6:U$176,$A420,'D2 - Capex uso'!HA$6:HA$176)</f>
        <v>0</v>
      </c>
      <c r="U422" s="710">
        <f>-SUMIFS('B3 - Custos despesas indiretos'!BD$5:BD$148,'B3 - Custos despesas indiretos'!$B$5:$B$148,"Despesas",'B3 - Custos despesas indiretos'!$D$5:$D$148,$A420)+SUMIF('D2 - Capex uso'!V$6:V$176,$A420,'D2 - Capex uso'!HB$6:HB$176)</f>
        <v>0</v>
      </c>
      <c r="V422" s="710">
        <f>-SUMIFS('B3 - Custos despesas indiretos'!BE$5:BE$148,'B3 - Custos despesas indiretos'!$B$5:$B$148,"Despesas",'B3 - Custos despesas indiretos'!$D$5:$D$148,$A420)+SUMIF('D2 - Capex uso'!W$6:W$176,$A420,'D2 - Capex uso'!HC$6:HC$176)</f>
        <v>0</v>
      </c>
      <c r="W422" s="710">
        <f>-SUMIFS('B3 - Custos despesas indiretos'!BF$5:BF$148,'B3 - Custos despesas indiretos'!$B$5:$B$148,"Despesas",'B3 - Custos despesas indiretos'!$D$5:$D$148,$A420)+SUMIF('D2 - Capex uso'!X$6:X$176,$A420,'D2 - Capex uso'!HD$6:HD$176)</f>
        <v>0</v>
      </c>
      <c r="X422" s="710">
        <f>-SUMIFS('B3 - Custos despesas indiretos'!BG$5:BG$148,'B3 - Custos despesas indiretos'!$B$5:$B$148,"Despesas",'B3 - Custos despesas indiretos'!$D$5:$D$148,$A420)+SUMIF('D2 - Capex uso'!Y$6:Y$176,$A420,'D2 - Capex uso'!HE$6:HE$176)</f>
        <v>0</v>
      </c>
      <c r="Y422" s="710">
        <f>-SUMIFS('B3 - Custos despesas indiretos'!BH$5:BH$148,'B3 - Custos despesas indiretos'!$B$5:$B$148,"Despesas",'B3 - Custos despesas indiretos'!$D$5:$D$148,$A420)+SUMIF('D2 - Capex uso'!Z$6:Z$176,$A420,'D2 - Capex uso'!HF$6:HF$176)</f>
        <v>0</v>
      </c>
      <c r="Z422" s="710">
        <f>-SUMIFS('B3 - Custos despesas indiretos'!BI$5:BI$148,'B3 - Custos despesas indiretos'!$B$5:$B$148,"Despesas",'B3 - Custos despesas indiretos'!$D$5:$D$148,$A420)+SUMIF('D2 - Capex uso'!AA$6:AA$176,$A420,'D2 - Capex uso'!HG$6:HG$176)</f>
        <v>0</v>
      </c>
      <c r="AA422" s="710">
        <f>-SUMIFS('B3 - Custos despesas indiretos'!BJ$5:BJ$148,'B3 - Custos despesas indiretos'!$B$5:$B$148,"Despesas",'B3 - Custos despesas indiretos'!$D$5:$D$148,$A420)+SUMIF('D2 - Capex uso'!AB$6:AB$176,$A420,'D2 - Capex uso'!HH$6:HH$176)</f>
        <v>0</v>
      </c>
      <c r="AB422" s="710">
        <f>-SUMIFS('B3 - Custos despesas indiretos'!BK$5:BK$148,'B3 - Custos despesas indiretos'!$B$5:$B$148,"Despesas",'B3 - Custos despesas indiretos'!$D$5:$D$148,$A420)+SUMIF('D2 - Capex uso'!AC$6:AC$176,$A420,'D2 - Capex uso'!HI$6:HI$176)</f>
        <v>0</v>
      </c>
      <c r="AC422" s="710">
        <f>-SUMIFS('B3 - Custos despesas indiretos'!BL$5:BL$148,'B3 - Custos despesas indiretos'!$B$5:$B$148,"Despesas",'B3 - Custos despesas indiretos'!$D$5:$D$148,$A420)+SUMIF('D2 - Capex uso'!AD$6:AD$176,$A420,'D2 - Capex uso'!HJ$6:HJ$176)</f>
        <v>0</v>
      </c>
      <c r="AD422" s="710">
        <f>-SUMIFS('B3 - Custos despesas indiretos'!BM$5:BM$148,'B3 - Custos despesas indiretos'!$B$5:$B$148,"Despesas",'B3 - Custos despesas indiretos'!$D$5:$D$148,$A420)+SUMIF('D2 - Capex uso'!AE$6:AE$176,$A420,'D2 - Capex uso'!HK$6:HK$176)</f>
        <v>0</v>
      </c>
      <c r="AE422" s="710">
        <f>-SUMIFS('B3 - Custos despesas indiretos'!BN$5:BN$148,'B3 - Custos despesas indiretos'!$B$5:$B$148,"Despesas",'B3 - Custos despesas indiretos'!$D$5:$D$148,$A420)+SUMIF('D2 - Capex uso'!AF$6:AF$176,$A420,'D2 - Capex uso'!HL$6:HL$176)</f>
        <v>0</v>
      </c>
      <c r="AF422" s="594"/>
      <c r="AG422" s="594"/>
      <c r="AH422" s="594"/>
      <c r="AI422" s="594"/>
      <c r="AJ422" s="594"/>
      <c r="AK422" s="594"/>
      <c r="AL422" s="594"/>
      <c r="AM422" s="594"/>
      <c r="AN422" s="594"/>
      <c r="AO422" s="594"/>
      <c r="AP422" s="594"/>
      <c r="AQ422" s="594"/>
      <c r="AR422" s="594"/>
      <c r="AS422" s="594"/>
      <c r="AT422" s="594"/>
      <c r="AU422" s="594"/>
      <c r="AV422" s="594"/>
      <c r="AW422" s="594"/>
      <c r="AX422" s="594"/>
      <c r="AY422" s="594"/>
      <c r="AZ422" s="594"/>
      <c r="BA422" s="594"/>
      <c r="BB422" s="594"/>
      <c r="BC422" s="594"/>
      <c r="BD422" s="594"/>
      <c r="BE422" s="594"/>
      <c r="BF422" s="594"/>
      <c r="BG422" s="594"/>
      <c r="BH422" s="594"/>
      <c r="BI422" s="594"/>
      <c r="BJ422" s="594"/>
      <c r="BK422" s="594"/>
      <c r="BL422" s="57"/>
      <c r="BM422" s="594"/>
      <c r="BN422" s="594"/>
      <c r="BO422" s="594"/>
      <c r="BP422" s="594"/>
      <c r="BQ422" s="594"/>
      <c r="BR422" s="594"/>
      <c r="BS422" s="594"/>
      <c r="BT422" s="594"/>
      <c r="BU422" s="594"/>
      <c r="BV422" s="594"/>
      <c r="BW422" s="594"/>
      <c r="BX422" s="594"/>
      <c r="BY422" s="594"/>
      <c r="BZ422" s="594"/>
      <c r="CA422" s="594"/>
      <c r="CB422" s="594"/>
      <c r="CC422" s="594"/>
      <c r="CD422" s="594"/>
      <c r="CE422" s="594"/>
      <c r="CF422" s="594"/>
      <c r="CG422" s="594"/>
      <c r="CH422" s="594"/>
      <c r="CI422" s="594"/>
      <c r="CJ422" s="594"/>
      <c r="CK422" s="594"/>
      <c r="CL422" s="594"/>
      <c r="CM422" s="594"/>
      <c r="CN422" s="594"/>
      <c r="CO422" s="594"/>
      <c r="CP422" s="594"/>
      <c r="CQ422" s="594"/>
    </row>
    <row r="423" spans="1:95" ht="15" hidden="1" customHeight="1" outlineLevel="2">
      <c r="A423" s="709" t="s">
        <v>695</v>
      </c>
      <c r="B423" s="717">
        <f t="shared" ref="B423:AE423" si="150">SUM(B424:B425)</f>
        <v>0</v>
      </c>
      <c r="C423" s="717">
        <f t="shared" si="150"/>
        <v>0</v>
      </c>
      <c r="D423" s="717">
        <f t="shared" si="150"/>
        <v>0</v>
      </c>
      <c r="E423" s="717">
        <f t="shared" si="150"/>
        <v>0</v>
      </c>
      <c r="F423" s="717">
        <f t="shared" si="150"/>
        <v>0</v>
      </c>
      <c r="G423" s="717">
        <f t="shared" si="150"/>
        <v>0</v>
      </c>
      <c r="H423" s="717">
        <f t="shared" si="150"/>
        <v>0</v>
      </c>
      <c r="I423" s="717">
        <f t="shared" si="150"/>
        <v>0</v>
      </c>
      <c r="J423" s="717">
        <f t="shared" si="150"/>
        <v>0</v>
      </c>
      <c r="K423" s="717">
        <f t="shared" si="150"/>
        <v>0</v>
      </c>
      <c r="L423" s="717">
        <f t="shared" si="150"/>
        <v>0</v>
      </c>
      <c r="M423" s="717">
        <f t="shared" si="150"/>
        <v>0</v>
      </c>
      <c r="N423" s="717">
        <f t="shared" si="150"/>
        <v>0</v>
      </c>
      <c r="O423" s="717">
        <f t="shared" si="150"/>
        <v>0</v>
      </c>
      <c r="P423" s="717">
        <f t="shared" si="150"/>
        <v>0</v>
      </c>
      <c r="Q423" s="717">
        <f t="shared" si="150"/>
        <v>0</v>
      </c>
      <c r="R423" s="717">
        <f t="shared" si="150"/>
        <v>0</v>
      </c>
      <c r="S423" s="717">
        <f t="shared" si="150"/>
        <v>0</v>
      </c>
      <c r="T423" s="717">
        <f t="shared" si="150"/>
        <v>0</v>
      </c>
      <c r="U423" s="717">
        <f t="shared" si="150"/>
        <v>0</v>
      </c>
      <c r="V423" s="717">
        <f t="shared" si="150"/>
        <v>0</v>
      </c>
      <c r="W423" s="717">
        <f t="shared" si="150"/>
        <v>0</v>
      </c>
      <c r="X423" s="717">
        <f t="shared" si="150"/>
        <v>0</v>
      </c>
      <c r="Y423" s="717">
        <f t="shared" si="150"/>
        <v>0</v>
      </c>
      <c r="Z423" s="717">
        <f t="shared" si="150"/>
        <v>0</v>
      </c>
      <c r="AA423" s="717">
        <f t="shared" si="150"/>
        <v>0</v>
      </c>
      <c r="AB423" s="717">
        <f t="shared" si="150"/>
        <v>0</v>
      </c>
      <c r="AC423" s="717">
        <f t="shared" si="150"/>
        <v>0</v>
      </c>
      <c r="AD423" s="717">
        <f t="shared" si="150"/>
        <v>0</v>
      </c>
      <c r="AE423" s="717">
        <f t="shared" si="150"/>
        <v>0</v>
      </c>
      <c r="AF423" s="594"/>
      <c r="AG423" s="594"/>
      <c r="AH423" s="594"/>
      <c r="AI423" s="594"/>
      <c r="AJ423" s="594"/>
      <c r="AK423" s="594"/>
      <c r="AL423" s="594"/>
      <c r="AM423" s="594"/>
      <c r="AN423" s="594"/>
      <c r="AO423" s="594"/>
      <c r="AP423" s="594"/>
      <c r="AQ423" s="594"/>
      <c r="AR423" s="594"/>
      <c r="AS423" s="594"/>
      <c r="AT423" s="594"/>
      <c r="AU423" s="594"/>
      <c r="AV423" s="594"/>
      <c r="AW423" s="594"/>
      <c r="AX423" s="594"/>
      <c r="AY423" s="594"/>
      <c r="AZ423" s="594"/>
      <c r="BA423" s="594"/>
      <c r="BB423" s="594"/>
      <c r="BC423" s="594"/>
      <c r="BD423" s="594"/>
      <c r="BE423" s="594"/>
      <c r="BF423" s="594"/>
      <c r="BG423" s="594"/>
      <c r="BH423" s="594"/>
      <c r="BI423" s="594"/>
      <c r="BJ423" s="594"/>
      <c r="BK423" s="594"/>
      <c r="BL423" s="57"/>
      <c r="BM423" s="594"/>
      <c r="BN423" s="594"/>
      <c r="BO423" s="594"/>
      <c r="BP423" s="594"/>
      <c r="BQ423" s="594"/>
      <c r="BR423" s="594"/>
      <c r="BS423" s="594"/>
      <c r="BT423" s="594"/>
      <c r="BU423" s="594"/>
      <c r="BV423" s="594"/>
      <c r="BW423" s="594"/>
      <c r="BX423" s="594"/>
      <c r="BY423" s="594"/>
      <c r="BZ423" s="594"/>
      <c r="CA423" s="594"/>
      <c r="CB423" s="594"/>
      <c r="CC423" s="594"/>
      <c r="CD423" s="594"/>
      <c r="CE423" s="594"/>
      <c r="CF423" s="594"/>
      <c r="CG423" s="594"/>
      <c r="CH423" s="594"/>
      <c r="CI423" s="594"/>
      <c r="CJ423" s="594"/>
      <c r="CK423" s="594"/>
      <c r="CL423" s="594"/>
      <c r="CM423" s="594"/>
      <c r="CN423" s="594"/>
      <c r="CO423" s="594"/>
      <c r="CP423" s="594"/>
      <c r="CQ423" s="594"/>
    </row>
    <row r="424" spans="1:95" ht="15" hidden="1" customHeight="1" outlineLevel="3">
      <c r="A424" s="709" t="s">
        <v>692</v>
      </c>
      <c r="B424" s="718">
        <f>IF($A423="",0,-SUMIF('C3 - Funcionários $'!$D$7:$D$121,$A423,'C3 - Funcionários $'!G$7:G$121))</f>
        <v>0</v>
      </c>
      <c r="C424" s="718">
        <f>IF($A423="",0,-SUMIF('C3 - Funcionários $'!$D$7:$D$121,$A423,'C3 - Funcionários $'!H$7:H$121))</f>
        <v>0</v>
      </c>
      <c r="D424" s="718">
        <f>IF($A423="",0,-SUMIF('C3 - Funcionários $'!$D$7:$D$121,$A423,'C3 - Funcionários $'!I$7:I$121))</f>
        <v>0</v>
      </c>
      <c r="E424" s="718">
        <f>IF($A423="",0,-SUMIF('C3 - Funcionários $'!$D$7:$D$121,$A423,'C3 - Funcionários $'!J$7:J$121))</f>
        <v>0</v>
      </c>
      <c r="F424" s="718">
        <f>IF($A423="",0,-SUMIF('C3 - Funcionários $'!$D$7:$D$121,$A423,'C3 - Funcionários $'!K$7:K$121))</f>
        <v>0</v>
      </c>
      <c r="G424" s="718">
        <f>IF($A423="",0,-SUMIF('C3 - Funcionários $'!$D$7:$D$121,$A423,'C3 - Funcionários $'!L$7:L$121))</f>
        <v>0</v>
      </c>
      <c r="H424" s="718">
        <f>IF($A423="",0,-SUMIF('C3 - Funcionários $'!$D$7:$D$121,$A423,'C3 - Funcionários $'!M$7:M$121))</f>
        <v>0</v>
      </c>
      <c r="I424" s="718">
        <f>IF($A423="",0,-SUMIF('C3 - Funcionários $'!$D$7:$D$121,$A423,'C3 - Funcionários $'!N$7:N$121))</f>
        <v>0</v>
      </c>
      <c r="J424" s="718">
        <f>IF($A423="",0,-SUMIF('C3 - Funcionários $'!$D$7:$D$121,$A423,'C3 - Funcionários $'!O$7:O$121))</f>
        <v>0</v>
      </c>
      <c r="K424" s="718">
        <f>IF($A423="",0,-SUMIF('C3 - Funcionários $'!$D$7:$D$121,$A423,'C3 - Funcionários $'!P$7:P$121))</f>
        <v>0</v>
      </c>
      <c r="L424" s="718">
        <f>IF($A423="",0,-SUMIF('C3 - Funcionários $'!$D$7:$D$121,$A423,'C3 - Funcionários $'!Q$7:Q$121))</f>
        <v>0</v>
      </c>
      <c r="M424" s="718">
        <f>IF($A423="",0,-SUMIF('C3 - Funcionários $'!$D$7:$D$121,$A423,'C3 - Funcionários $'!R$7:R$121))</f>
        <v>0</v>
      </c>
      <c r="N424" s="718">
        <f>IF($A423="",0,-SUMIF('C3 - Funcionários $'!$D$7:$D$121,$A423,'C3 - Funcionários $'!S$7:S$121))</f>
        <v>0</v>
      </c>
      <c r="O424" s="718">
        <f>IF($A423="",0,-SUMIF('C3 - Funcionários $'!$D$7:$D$121,$A423,'C3 - Funcionários $'!T$7:T$121))</f>
        <v>0</v>
      </c>
      <c r="P424" s="718">
        <f>IF($A423="",0,-SUMIF('C3 - Funcionários $'!$D$7:$D$121,$A423,'C3 - Funcionários $'!U$7:U$121))</f>
        <v>0</v>
      </c>
      <c r="Q424" s="718">
        <f>IF($A423="",0,-SUMIF('C3 - Funcionários $'!$D$7:$D$121,$A423,'C3 - Funcionários $'!V$7:V$121))</f>
        <v>0</v>
      </c>
      <c r="R424" s="718">
        <f>IF($A423="",0,-SUMIF('C3 - Funcionários $'!$D$7:$D$121,$A423,'C3 - Funcionários $'!W$7:W$121))</f>
        <v>0</v>
      </c>
      <c r="S424" s="718">
        <f>IF($A423="",0,-SUMIF('C3 - Funcionários $'!$D$7:$D$121,$A423,'C3 - Funcionários $'!X$7:X$121))</f>
        <v>0</v>
      </c>
      <c r="T424" s="718">
        <f>IF($A423="",0,-SUMIF('C3 - Funcionários $'!$D$7:$D$121,$A423,'C3 - Funcionários $'!Y$7:Y$121))</f>
        <v>0</v>
      </c>
      <c r="U424" s="718">
        <f>IF($A423="",0,-SUMIF('C3 - Funcionários $'!$D$7:$D$121,$A423,'C3 - Funcionários $'!Z$7:Z$121))</f>
        <v>0</v>
      </c>
      <c r="V424" s="718">
        <f>IF($A423="",0,-SUMIF('C3 - Funcionários $'!$D$7:$D$121,$A423,'C3 - Funcionários $'!AA$7:AA$121))</f>
        <v>0</v>
      </c>
      <c r="W424" s="718">
        <f>IF($A423="",0,-SUMIF('C3 - Funcionários $'!$D$7:$D$121,$A423,'C3 - Funcionários $'!AB$7:AB$121))</f>
        <v>0</v>
      </c>
      <c r="X424" s="718">
        <f>IF($A423="",0,-SUMIF('C3 - Funcionários $'!$D$7:$D$121,$A423,'C3 - Funcionários $'!AC$7:AC$121))</f>
        <v>0</v>
      </c>
      <c r="Y424" s="718">
        <f>IF($A423="",0,-SUMIF('C3 - Funcionários $'!$D$7:$D$121,$A423,'C3 - Funcionários $'!AD$7:AD$121))</f>
        <v>0</v>
      </c>
      <c r="Z424" s="718">
        <f>IF($A423="",0,-SUMIF('C3 - Funcionários $'!$D$7:$D$121,$A423,'C3 - Funcionários $'!AE$7:AE$121))</f>
        <v>0</v>
      </c>
      <c r="AA424" s="718">
        <f>IF($A423="",0,-SUMIF('C3 - Funcionários $'!$D$7:$D$121,$A423,'C3 - Funcionários $'!AF$7:AF$121))</f>
        <v>0</v>
      </c>
      <c r="AB424" s="718">
        <f>IF($A423="",0,-SUMIF('C3 - Funcionários $'!$D$7:$D$121,$A423,'C3 - Funcionários $'!AG$7:AG$121))</f>
        <v>0</v>
      </c>
      <c r="AC424" s="718">
        <f>IF($A423="",0,-SUMIF('C3 - Funcionários $'!$D$7:$D$121,$A423,'C3 - Funcionários $'!AH$7:AH$121))</f>
        <v>0</v>
      </c>
      <c r="AD424" s="718">
        <f>IF($A423="",0,-SUMIF('C3 - Funcionários $'!$D$7:$D$121,$A423,'C3 - Funcionários $'!AI$7:AI$121))</f>
        <v>0</v>
      </c>
      <c r="AE424" s="718">
        <f>IF($A423="",0,-SUMIF('C3 - Funcionários $'!$D$7:$D$121,$A423,'C3 - Funcionários $'!AJ$7:AJ$121))</f>
        <v>0</v>
      </c>
      <c r="AF424" s="594"/>
      <c r="AG424" s="594"/>
      <c r="AH424" s="594"/>
      <c r="AI424" s="594"/>
      <c r="AJ424" s="594"/>
      <c r="AK424" s="594"/>
      <c r="AL424" s="594"/>
      <c r="AM424" s="594"/>
      <c r="AN424" s="594"/>
      <c r="AO424" s="594"/>
      <c r="AP424" s="594"/>
      <c r="AQ424" s="594"/>
      <c r="AR424" s="594"/>
      <c r="AS424" s="594"/>
      <c r="AT424" s="594"/>
      <c r="AU424" s="594"/>
      <c r="AV424" s="594"/>
      <c r="AW424" s="594"/>
      <c r="AX424" s="594"/>
      <c r="AY424" s="594"/>
      <c r="AZ424" s="594"/>
      <c r="BA424" s="594"/>
      <c r="BB424" s="594"/>
      <c r="BC424" s="594"/>
      <c r="BD424" s="594"/>
      <c r="BE424" s="594"/>
      <c r="BF424" s="594"/>
      <c r="BG424" s="594"/>
      <c r="BH424" s="594"/>
      <c r="BI424" s="594"/>
      <c r="BJ424" s="594"/>
      <c r="BK424" s="594"/>
      <c r="BL424" s="57"/>
      <c r="BM424" s="594"/>
      <c r="BN424" s="594"/>
      <c r="BO424" s="594"/>
      <c r="BP424" s="594"/>
      <c r="BQ424" s="594"/>
      <c r="BR424" s="594"/>
      <c r="BS424" s="594"/>
      <c r="BT424" s="594"/>
      <c r="BU424" s="594"/>
      <c r="BV424" s="594"/>
      <c r="BW424" s="594"/>
      <c r="BX424" s="594"/>
      <c r="BY424" s="594"/>
      <c r="BZ424" s="594"/>
      <c r="CA424" s="594"/>
      <c r="CB424" s="594"/>
      <c r="CC424" s="594"/>
      <c r="CD424" s="594"/>
      <c r="CE424" s="594"/>
      <c r="CF424" s="594"/>
      <c r="CG424" s="594"/>
      <c r="CH424" s="594"/>
      <c r="CI424" s="594"/>
      <c r="CJ424" s="594"/>
      <c r="CK424" s="594"/>
      <c r="CL424" s="594"/>
      <c r="CM424" s="594"/>
      <c r="CN424" s="594"/>
      <c r="CO424" s="594"/>
      <c r="CP424" s="594"/>
      <c r="CQ424" s="594"/>
    </row>
    <row r="425" spans="1:95" ht="15" hidden="1" customHeight="1" outlineLevel="3">
      <c r="A425" s="709" t="s">
        <v>685</v>
      </c>
      <c r="B425" s="710">
        <f>-SUMIFS('B3 - Custos despesas indiretos'!AK$5:AK$148,'B3 - Custos despesas indiretos'!$B$5:$B$148,"Despesas",'B3 - Custos despesas indiretos'!$D$5:$D$148,$A423)-SUMIF('D2 - Capex uso'!C$6:C$176,$A423,'D2 - Capex uso'!GI$6:GI$176)</f>
        <v>0</v>
      </c>
      <c r="C425" s="710">
        <f>-SUMIFS('B3 - Custos despesas indiretos'!AL$5:AL$148,'B3 - Custos despesas indiretos'!$B$5:$B$148,"Despesas",'B3 - Custos despesas indiretos'!$D$5:$D$148,$A423)-SUMIF('D2 - Capex uso'!D$6:D$176,$A423,'D2 - Capex uso'!GJ$6:GJ$176)</f>
        <v>0</v>
      </c>
      <c r="D425" s="710">
        <f>-SUMIFS('B3 - Custos despesas indiretos'!AM$5:AM$148,'B3 - Custos despesas indiretos'!$B$5:$B$148,"Despesas",'B3 - Custos despesas indiretos'!$D$5:$D$148,$A423)-SUMIF('D2 - Capex uso'!E$6:E$176,$A423,'D2 - Capex uso'!GK$6:GK$176)</f>
        <v>0</v>
      </c>
      <c r="E425" s="710">
        <f>-SUMIFS('B3 - Custos despesas indiretos'!AN$5:AN$148,'B3 - Custos despesas indiretos'!$B$5:$B$148,"Despesas",'B3 - Custos despesas indiretos'!$D$5:$D$148,$A423)-SUMIF('D2 - Capex uso'!F$6:F$176,$A423,'D2 - Capex uso'!GL$6:GL$176)</f>
        <v>0</v>
      </c>
      <c r="F425" s="710">
        <f>-SUMIFS('B3 - Custos despesas indiretos'!AO$5:AO$148,'B3 - Custos despesas indiretos'!$B$5:$B$148,"Despesas",'B3 - Custos despesas indiretos'!$D$5:$D$148,$A423)-SUMIF('D2 - Capex uso'!G$6:G$176,$A423,'D2 - Capex uso'!GM$6:GM$176)</f>
        <v>0</v>
      </c>
      <c r="G425" s="710">
        <f>-SUMIFS('B3 - Custos despesas indiretos'!AP$5:AP$148,'B3 - Custos despesas indiretos'!$B$5:$B$148,"Despesas",'B3 - Custos despesas indiretos'!$D$5:$D$148,$A423)-SUMIF('D2 - Capex uso'!H$6:H$176,$A423,'D2 - Capex uso'!GN$6:GN$176)</f>
        <v>0</v>
      </c>
      <c r="H425" s="710">
        <f>-SUMIFS('B3 - Custos despesas indiretos'!AQ$5:AQ$148,'B3 - Custos despesas indiretos'!$B$5:$B$148,"Despesas",'B3 - Custos despesas indiretos'!$D$5:$D$148,$A423)-SUMIF('D2 - Capex uso'!I$6:I$176,$A423,'D2 - Capex uso'!GO$6:GO$176)</f>
        <v>0</v>
      </c>
      <c r="I425" s="710">
        <f>-SUMIFS('B3 - Custos despesas indiretos'!AR$5:AR$148,'B3 - Custos despesas indiretos'!$B$5:$B$148,"Despesas",'B3 - Custos despesas indiretos'!$D$5:$D$148,$A423)-SUMIF('D2 - Capex uso'!J$6:J$176,$A423,'D2 - Capex uso'!GP$6:GP$176)</f>
        <v>0</v>
      </c>
      <c r="J425" s="710">
        <f>-SUMIFS('B3 - Custos despesas indiretos'!AS$5:AS$148,'B3 - Custos despesas indiretos'!$B$5:$B$148,"Despesas",'B3 - Custos despesas indiretos'!$D$5:$D$148,$A423)-SUMIF('D2 - Capex uso'!K$6:K$176,$A423,'D2 - Capex uso'!GQ$6:GQ$176)</f>
        <v>0</v>
      </c>
      <c r="K425" s="710">
        <f>-SUMIFS('B3 - Custos despesas indiretos'!AT$5:AT$148,'B3 - Custos despesas indiretos'!$B$5:$B$148,"Despesas",'B3 - Custos despesas indiretos'!$D$5:$D$148,$A423)-SUMIF('D2 - Capex uso'!L$6:L$176,$A423,'D2 - Capex uso'!GR$6:GR$176)</f>
        <v>0</v>
      </c>
      <c r="L425" s="710">
        <f>-SUMIFS('B3 - Custos despesas indiretos'!AU$5:AU$148,'B3 - Custos despesas indiretos'!$B$5:$B$148,"Despesas",'B3 - Custos despesas indiretos'!$D$5:$D$148,$A423)-SUMIF('D2 - Capex uso'!M$6:M$176,$A423,'D2 - Capex uso'!GS$6:GS$176)</f>
        <v>0</v>
      </c>
      <c r="M425" s="710">
        <f>-SUMIFS('B3 - Custos despesas indiretos'!AV$5:AV$148,'B3 - Custos despesas indiretos'!$B$5:$B$148,"Despesas",'B3 - Custos despesas indiretos'!$D$5:$D$148,$A423)-SUMIF('D2 - Capex uso'!N$6:N$176,$A423,'D2 - Capex uso'!GT$6:GT$176)</f>
        <v>0</v>
      </c>
      <c r="N425" s="710">
        <f>-SUMIFS('B3 - Custos despesas indiretos'!AW$5:AW$148,'B3 - Custos despesas indiretos'!$B$5:$B$148,"Despesas",'B3 - Custos despesas indiretos'!$D$5:$D$148,$A423)-SUMIF('D2 - Capex uso'!O$6:O$176,$A423,'D2 - Capex uso'!GU$6:GU$176)</f>
        <v>0</v>
      </c>
      <c r="O425" s="710">
        <f>-SUMIFS('B3 - Custos despesas indiretos'!AX$5:AX$148,'B3 - Custos despesas indiretos'!$B$5:$B$148,"Despesas",'B3 - Custos despesas indiretos'!$D$5:$D$148,$A423)-SUMIF('D2 - Capex uso'!P$6:P$176,$A423,'D2 - Capex uso'!GV$6:GV$176)</f>
        <v>0</v>
      </c>
      <c r="P425" s="710">
        <f>-SUMIFS('B3 - Custos despesas indiretos'!AY$5:AY$148,'B3 - Custos despesas indiretos'!$B$5:$B$148,"Despesas",'B3 - Custos despesas indiretos'!$D$5:$D$148,$A423)-SUMIF('D2 - Capex uso'!Q$6:Q$176,$A423,'D2 - Capex uso'!GW$6:GW$176)</f>
        <v>0</v>
      </c>
      <c r="Q425" s="710">
        <f>-SUMIFS('B3 - Custos despesas indiretos'!AZ$5:AZ$148,'B3 - Custos despesas indiretos'!$B$5:$B$148,"Despesas",'B3 - Custos despesas indiretos'!$D$5:$D$148,$A423)-SUMIF('D2 - Capex uso'!R$6:R$176,$A423,'D2 - Capex uso'!GX$6:GX$176)</f>
        <v>0</v>
      </c>
      <c r="R425" s="710">
        <f>-SUMIFS('B3 - Custos despesas indiretos'!BA$5:BA$148,'B3 - Custos despesas indiretos'!$B$5:$B$148,"Despesas",'B3 - Custos despesas indiretos'!$D$5:$D$148,$A423)-SUMIF('D2 - Capex uso'!S$6:S$176,$A423,'D2 - Capex uso'!GY$6:GY$176)</f>
        <v>0</v>
      </c>
      <c r="S425" s="710">
        <f>-SUMIFS('B3 - Custos despesas indiretos'!BB$5:BB$148,'B3 - Custos despesas indiretos'!$B$5:$B$148,"Despesas",'B3 - Custos despesas indiretos'!$D$5:$D$148,$A423)-SUMIF('D2 - Capex uso'!T$6:T$176,$A423,'D2 - Capex uso'!GZ$6:GZ$176)</f>
        <v>0</v>
      </c>
      <c r="T425" s="710">
        <f>-SUMIFS('B3 - Custos despesas indiretos'!BC$5:BC$148,'B3 - Custos despesas indiretos'!$B$5:$B$148,"Despesas",'B3 - Custos despesas indiretos'!$D$5:$D$148,$A423)-SUMIF('D2 - Capex uso'!U$6:U$176,$A423,'D2 - Capex uso'!HA$6:HA$176)</f>
        <v>0</v>
      </c>
      <c r="U425" s="710">
        <f>-SUMIFS('B3 - Custos despesas indiretos'!BD$5:BD$148,'B3 - Custos despesas indiretos'!$B$5:$B$148,"Despesas",'B3 - Custos despesas indiretos'!$D$5:$D$148,$A423)-SUMIF('D2 - Capex uso'!V$6:V$176,$A423,'D2 - Capex uso'!HB$6:HB$176)</f>
        <v>0</v>
      </c>
      <c r="V425" s="710">
        <f>-SUMIFS('B3 - Custos despesas indiretos'!BE$5:BE$148,'B3 - Custos despesas indiretos'!$B$5:$B$148,"Despesas",'B3 - Custos despesas indiretos'!$D$5:$D$148,$A423)-SUMIF('D2 - Capex uso'!W$6:W$176,$A423,'D2 - Capex uso'!HC$6:HC$176)</f>
        <v>0</v>
      </c>
      <c r="W425" s="710">
        <f>-SUMIFS('B3 - Custos despesas indiretos'!BF$5:BF$148,'B3 - Custos despesas indiretos'!$B$5:$B$148,"Despesas",'B3 - Custos despesas indiretos'!$D$5:$D$148,$A423)-SUMIF('D2 - Capex uso'!X$6:X$176,$A423,'D2 - Capex uso'!HD$6:HD$176)</f>
        <v>0</v>
      </c>
      <c r="X425" s="710">
        <f>-SUMIFS('B3 - Custos despesas indiretos'!BG$5:BG$148,'B3 - Custos despesas indiretos'!$B$5:$B$148,"Despesas",'B3 - Custos despesas indiretos'!$D$5:$D$148,$A423)-SUMIF('D2 - Capex uso'!Y$6:Y$176,$A423,'D2 - Capex uso'!HE$6:HE$176)</f>
        <v>0</v>
      </c>
      <c r="Y425" s="710">
        <f>-SUMIFS('B3 - Custos despesas indiretos'!BH$5:BH$148,'B3 - Custos despesas indiretos'!$B$5:$B$148,"Despesas",'B3 - Custos despesas indiretos'!$D$5:$D$148,$A423)-SUMIF('D2 - Capex uso'!Z$6:Z$176,$A423,'D2 - Capex uso'!HF$6:HF$176)</f>
        <v>0</v>
      </c>
      <c r="Z425" s="710">
        <f>-SUMIFS('B3 - Custos despesas indiretos'!BI$5:BI$148,'B3 - Custos despesas indiretos'!$B$5:$B$148,"Despesas",'B3 - Custos despesas indiretos'!$D$5:$D$148,$A423)-SUMIF('D2 - Capex uso'!AA$6:AA$176,$A423,'D2 - Capex uso'!HG$6:HG$176)</f>
        <v>0</v>
      </c>
      <c r="AA425" s="710">
        <f>-SUMIFS('B3 - Custos despesas indiretos'!BJ$5:BJ$148,'B3 - Custos despesas indiretos'!$B$5:$B$148,"Despesas",'B3 - Custos despesas indiretos'!$D$5:$D$148,$A423)-SUMIF('D2 - Capex uso'!AB$6:AB$176,$A423,'D2 - Capex uso'!HH$6:HH$176)</f>
        <v>0</v>
      </c>
      <c r="AB425" s="710">
        <f>-SUMIFS('B3 - Custos despesas indiretos'!BK$5:BK$148,'B3 - Custos despesas indiretos'!$B$5:$B$148,"Despesas",'B3 - Custos despesas indiretos'!$D$5:$D$148,$A423)-SUMIF('D2 - Capex uso'!AC$6:AC$176,$A423,'D2 - Capex uso'!HI$6:HI$176)</f>
        <v>0</v>
      </c>
      <c r="AC425" s="710">
        <f>-SUMIFS('B3 - Custos despesas indiretos'!BL$5:BL$148,'B3 - Custos despesas indiretos'!$B$5:$B$148,"Despesas",'B3 - Custos despesas indiretos'!$D$5:$D$148,$A423)-SUMIF('D2 - Capex uso'!AD$6:AD$176,$A423,'D2 - Capex uso'!HJ$6:HJ$176)</f>
        <v>0</v>
      </c>
      <c r="AD425" s="710">
        <f>-SUMIFS('B3 - Custos despesas indiretos'!BM$5:BM$148,'B3 - Custos despesas indiretos'!$B$5:$B$148,"Despesas",'B3 - Custos despesas indiretos'!$D$5:$D$148,$A423)-SUMIF('D2 - Capex uso'!AE$6:AE$176,$A423,'D2 - Capex uso'!HK$6:HK$176)</f>
        <v>0</v>
      </c>
      <c r="AE425" s="710">
        <f>-SUMIFS('B3 - Custos despesas indiretos'!BN$5:BN$148,'B3 - Custos despesas indiretos'!$B$5:$B$148,"Despesas",'B3 - Custos despesas indiretos'!$D$5:$D$148,$A423)-SUMIF('D2 - Capex uso'!AF$6:AF$176,$A423,'D2 - Capex uso'!HL$6:HL$176)</f>
        <v>0</v>
      </c>
      <c r="AF425" s="594"/>
      <c r="AG425" s="594"/>
      <c r="AH425" s="594"/>
      <c r="AI425" s="594"/>
      <c r="AJ425" s="594"/>
      <c r="AK425" s="594"/>
      <c r="AL425" s="594"/>
      <c r="AM425" s="594"/>
      <c r="AN425" s="594"/>
      <c r="AO425" s="594"/>
      <c r="AP425" s="594"/>
      <c r="AQ425" s="594"/>
      <c r="AR425" s="594"/>
      <c r="AS425" s="594"/>
      <c r="AT425" s="594"/>
      <c r="AU425" s="594"/>
      <c r="AV425" s="594"/>
      <c r="AW425" s="594"/>
      <c r="AX425" s="594"/>
      <c r="AY425" s="594"/>
      <c r="AZ425" s="594"/>
      <c r="BA425" s="594"/>
      <c r="BB425" s="594"/>
      <c r="BC425" s="594"/>
      <c r="BD425" s="594"/>
      <c r="BE425" s="594"/>
      <c r="BF425" s="594"/>
      <c r="BG425" s="594"/>
      <c r="BH425" s="594"/>
      <c r="BI425" s="594"/>
      <c r="BJ425" s="594"/>
      <c r="BK425" s="594"/>
      <c r="BL425" s="57"/>
      <c r="BM425" s="594"/>
      <c r="BN425" s="594"/>
      <c r="BO425" s="594"/>
      <c r="BP425" s="594"/>
      <c r="BQ425" s="594"/>
      <c r="BR425" s="594"/>
      <c r="BS425" s="594"/>
      <c r="BT425" s="594"/>
      <c r="BU425" s="594"/>
      <c r="BV425" s="594"/>
      <c r="BW425" s="594"/>
      <c r="BX425" s="594"/>
      <c r="BY425" s="594"/>
      <c r="BZ425" s="594"/>
      <c r="CA425" s="594"/>
      <c r="CB425" s="594"/>
      <c r="CC425" s="594"/>
      <c r="CD425" s="594"/>
      <c r="CE425" s="594"/>
      <c r="CF425" s="594"/>
      <c r="CG425" s="594"/>
      <c r="CH425" s="594"/>
      <c r="CI425" s="594"/>
      <c r="CJ425" s="594"/>
      <c r="CK425" s="594"/>
      <c r="CL425" s="594"/>
      <c r="CM425" s="594"/>
      <c r="CN425" s="594"/>
      <c r="CO425" s="594"/>
      <c r="CP425" s="594"/>
      <c r="CQ425" s="594"/>
    </row>
    <row r="426" spans="1:95" ht="15" hidden="1" customHeight="1" outlineLevel="2">
      <c r="A426" s="709" t="s">
        <v>239</v>
      </c>
      <c r="B426" s="717">
        <f t="shared" ref="B426:AE426" si="151">SUM(B427:B428)</f>
        <v>-121788.4164492</v>
      </c>
      <c r="C426" s="717">
        <f t="shared" si="151"/>
        <v>-114340.49681840002</v>
      </c>
      <c r="D426" s="717">
        <f t="shared" si="151"/>
        <v>-106892.57718759999</v>
      </c>
      <c r="E426" s="717">
        <f t="shared" si="151"/>
        <v>-99880.257556800003</v>
      </c>
      <c r="F426" s="717">
        <f t="shared" si="151"/>
        <v>-92432.337926000007</v>
      </c>
      <c r="G426" s="717">
        <f t="shared" si="151"/>
        <v>-113691.53849519999</v>
      </c>
      <c r="H426" s="717">
        <f t="shared" si="151"/>
        <v>-106679.2188644</v>
      </c>
      <c r="I426" s="717">
        <f t="shared" si="151"/>
        <v>-99231.299233600002</v>
      </c>
      <c r="J426" s="717">
        <f t="shared" si="151"/>
        <v>-91783.379602800007</v>
      </c>
      <c r="K426" s="717">
        <f t="shared" si="151"/>
        <v>-84771.059971999988</v>
      </c>
      <c r="L426" s="717">
        <f t="shared" si="151"/>
        <v>-121643.21644920002</v>
      </c>
      <c r="M426" s="717">
        <f t="shared" si="151"/>
        <v>-114195.29681840001</v>
      </c>
      <c r="N426" s="717">
        <f t="shared" si="151"/>
        <v>-107182.97718760002</v>
      </c>
      <c r="O426" s="717">
        <f t="shared" si="151"/>
        <v>-99735.057556799991</v>
      </c>
      <c r="P426" s="717">
        <f t="shared" si="151"/>
        <v>-92287.137925999996</v>
      </c>
      <c r="Q426" s="717">
        <f t="shared" si="151"/>
        <v>-113981.9384952</v>
      </c>
      <c r="R426" s="717">
        <f t="shared" si="151"/>
        <v>-106534.01886439999</v>
      </c>
      <c r="S426" s="717">
        <f t="shared" si="151"/>
        <v>-99086.099233599991</v>
      </c>
      <c r="T426" s="717">
        <f t="shared" si="151"/>
        <v>-92073.779602800001</v>
      </c>
      <c r="U426" s="717">
        <f t="shared" si="151"/>
        <v>-84625.859971999977</v>
      </c>
      <c r="V426" s="717">
        <f t="shared" si="151"/>
        <v>-121498.01644919999</v>
      </c>
      <c r="W426" s="717">
        <f t="shared" si="151"/>
        <v>-114485.6968184</v>
      </c>
      <c r="X426" s="717">
        <f t="shared" si="151"/>
        <v>-107037.77718759998</v>
      </c>
      <c r="Y426" s="717">
        <f t="shared" si="151"/>
        <v>-99589.85755679998</v>
      </c>
      <c r="Z426" s="717">
        <f t="shared" si="151"/>
        <v>-92577.53792599999</v>
      </c>
      <c r="AA426" s="717">
        <f t="shared" si="151"/>
        <v>-113836.73849519997</v>
      </c>
      <c r="AB426" s="717">
        <f t="shared" si="151"/>
        <v>-106388.81886439999</v>
      </c>
      <c r="AC426" s="717">
        <f t="shared" si="151"/>
        <v>-99376.499233599985</v>
      </c>
      <c r="AD426" s="717">
        <f t="shared" si="151"/>
        <v>-91928.57960279999</v>
      </c>
      <c r="AE426" s="717">
        <f t="shared" si="151"/>
        <v>-84480.659971999979</v>
      </c>
      <c r="AF426" s="594"/>
      <c r="AG426" s="594"/>
      <c r="AH426" s="594"/>
      <c r="AI426" s="594"/>
      <c r="AJ426" s="594"/>
      <c r="AK426" s="594"/>
      <c r="AL426" s="594"/>
      <c r="AM426" s="594"/>
      <c r="AN426" s="594"/>
      <c r="AO426" s="594"/>
      <c r="AP426" s="594"/>
      <c r="AQ426" s="594"/>
      <c r="AR426" s="594"/>
      <c r="AS426" s="594"/>
      <c r="AT426" s="594"/>
      <c r="AU426" s="594"/>
      <c r="AV426" s="594"/>
      <c r="AW426" s="594"/>
      <c r="AX426" s="594"/>
      <c r="AY426" s="594"/>
      <c r="AZ426" s="594"/>
      <c r="BA426" s="594"/>
      <c r="BB426" s="594"/>
      <c r="BC426" s="594"/>
      <c r="BD426" s="594"/>
      <c r="BE426" s="594"/>
      <c r="BF426" s="594"/>
      <c r="BG426" s="594"/>
      <c r="BH426" s="594"/>
      <c r="BI426" s="594"/>
      <c r="BJ426" s="594"/>
      <c r="BK426" s="594"/>
      <c r="BL426" s="57"/>
      <c r="BM426" s="594"/>
      <c r="BN426" s="594"/>
      <c r="BO426" s="594"/>
      <c r="BP426" s="594"/>
      <c r="BQ426" s="594"/>
      <c r="BR426" s="594"/>
      <c r="BS426" s="594"/>
      <c r="BT426" s="594"/>
      <c r="BU426" s="594"/>
      <c r="BV426" s="594"/>
      <c r="BW426" s="594"/>
      <c r="BX426" s="594"/>
      <c r="BY426" s="594"/>
      <c r="BZ426" s="594"/>
      <c r="CA426" s="594"/>
      <c r="CB426" s="594"/>
      <c r="CC426" s="594"/>
      <c r="CD426" s="594"/>
      <c r="CE426" s="594"/>
      <c r="CF426" s="594"/>
      <c r="CG426" s="594"/>
      <c r="CH426" s="594"/>
      <c r="CI426" s="594"/>
      <c r="CJ426" s="594"/>
      <c r="CK426" s="594"/>
      <c r="CL426" s="594"/>
      <c r="CM426" s="594"/>
      <c r="CN426" s="594"/>
      <c r="CO426" s="594"/>
      <c r="CP426" s="594"/>
      <c r="CQ426" s="594"/>
    </row>
    <row r="427" spans="1:95" ht="15" hidden="1" customHeight="1" outlineLevel="3">
      <c r="A427" s="709" t="s">
        <v>692</v>
      </c>
      <c r="B427" s="718">
        <f>IF($A426="",0,-SUMIF('C3 - Funcionários $'!$D$7:$D$121,$A426,'C3 - Funcionários $'!G$7:G$121))</f>
        <v>0</v>
      </c>
      <c r="C427" s="718">
        <f>IF($A426="",0,-SUMIF('C3 - Funcionários $'!$D$7:$D$121,$A426,'C3 - Funcionários $'!H$7:H$121))</f>
        <v>0</v>
      </c>
      <c r="D427" s="718">
        <f>IF($A426="",0,-SUMIF('C3 - Funcionários $'!$D$7:$D$121,$A426,'C3 - Funcionários $'!I$7:I$121))</f>
        <v>0</v>
      </c>
      <c r="E427" s="718">
        <f>IF($A426="",0,-SUMIF('C3 - Funcionários $'!$D$7:$D$121,$A426,'C3 - Funcionários $'!J$7:J$121))</f>
        <v>0</v>
      </c>
      <c r="F427" s="718">
        <f>IF($A426="",0,-SUMIF('C3 - Funcionários $'!$D$7:$D$121,$A426,'C3 - Funcionários $'!K$7:K$121))</f>
        <v>0</v>
      </c>
      <c r="G427" s="718">
        <f>IF($A426="",0,-SUMIF('C3 - Funcionários $'!$D$7:$D$121,$A426,'C3 - Funcionários $'!L$7:L$121))</f>
        <v>0</v>
      </c>
      <c r="H427" s="718">
        <f>IF($A426="",0,-SUMIF('C3 - Funcionários $'!$D$7:$D$121,$A426,'C3 - Funcionários $'!M$7:M$121))</f>
        <v>0</v>
      </c>
      <c r="I427" s="718">
        <f>IF($A426="",0,-SUMIF('C3 - Funcionários $'!$D$7:$D$121,$A426,'C3 - Funcionários $'!N$7:N$121))</f>
        <v>0</v>
      </c>
      <c r="J427" s="718">
        <f>IF($A426="",0,-SUMIF('C3 - Funcionários $'!$D$7:$D$121,$A426,'C3 - Funcionários $'!O$7:O$121))</f>
        <v>0</v>
      </c>
      <c r="K427" s="718">
        <f>IF($A426="",0,-SUMIF('C3 - Funcionários $'!$D$7:$D$121,$A426,'C3 - Funcionários $'!P$7:P$121))</f>
        <v>0</v>
      </c>
      <c r="L427" s="718">
        <f>IF($A426="",0,-SUMIF('C3 - Funcionários $'!$D$7:$D$121,$A426,'C3 - Funcionários $'!Q$7:Q$121))</f>
        <v>0</v>
      </c>
      <c r="M427" s="718">
        <f>IF($A426="",0,-SUMIF('C3 - Funcionários $'!$D$7:$D$121,$A426,'C3 - Funcionários $'!R$7:R$121))</f>
        <v>0</v>
      </c>
      <c r="N427" s="718">
        <f>IF($A426="",0,-SUMIF('C3 - Funcionários $'!$D$7:$D$121,$A426,'C3 - Funcionários $'!S$7:S$121))</f>
        <v>0</v>
      </c>
      <c r="O427" s="718">
        <f>IF($A426="",0,-SUMIF('C3 - Funcionários $'!$D$7:$D$121,$A426,'C3 - Funcionários $'!T$7:T$121))</f>
        <v>0</v>
      </c>
      <c r="P427" s="718">
        <f>IF($A426="",0,-SUMIF('C3 - Funcionários $'!$D$7:$D$121,$A426,'C3 - Funcionários $'!U$7:U$121))</f>
        <v>0</v>
      </c>
      <c r="Q427" s="718">
        <f>IF($A426="",0,-SUMIF('C3 - Funcionários $'!$D$7:$D$121,$A426,'C3 - Funcionários $'!V$7:V$121))</f>
        <v>0</v>
      </c>
      <c r="R427" s="718">
        <f>IF($A426="",0,-SUMIF('C3 - Funcionários $'!$D$7:$D$121,$A426,'C3 - Funcionários $'!W$7:W$121))</f>
        <v>0</v>
      </c>
      <c r="S427" s="718">
        <f>IF($A426="",0,-SUMIF('C3 - Funcionários $'!$D$7:$D$121,$A426,'C3 - Funcionários $'!X$7:X$121))</f>
        <v>0</v>
      </c>
      <c r="T427" s="718">
        <f>IF($A426="",0,-SUMIF('C3 - Funcionários $'!$D$7:$D$121,$A426,'C3 - Funcionários $'!Y$7:Y$121))</f>
        <v>0</v>
      </c>
      <c r="U427" s="718">
        <f>IF($A426="",0,-SUMIF('C3 - Funcionários $'!$D$7:$D$121,$A426,'C3 - Funcionários $'!Z$7:Z$121))</f>
        <v>0</v>
      </c>
      <c r="V427" s="718">
        <f>IF($A426="",0,-SUMIF('C3 - Funcionários $'!$D$7:$D$121,$A426,'C3 - Funcionários $'!AA$7:AA$121))</f>
        <v>0</v>
      </c>
      <c r="W427" s="718">
        <f>IF($A426="",0,-SUMIF('C3 - Funcionários $'!$D$7:$D$121,$A426,'C3 - Funcionários $'!AB$7:AB$121))</f>
        <v>0</v>
      </c>
      <c r="X427" s="718">
        <f>IF($A426="",0,-SUMIF('C3 - Funcionários $'!$D$7:$D$121,$A426,'C3 - Funcionários $'!AC$7:AC$121))</f>
        <v>0</v>
      </c>
      <c r="Y427" s="718">
        <f>IF($A426="",0,-SUMIF('C3 - Funcionários $'!$D$7:$D$121,$A426,'C3 - Funcionários $'!AD$7:AD$121))</f>
        <v>0</v>
      </c>
      <c r="Z427" s="718">
        <f>IF($A426="",0,-SUMIF('C3 - Funcionários $'!$D$7:$D$121,$A426,'C3 - Funcionários $'!AE$7:AE$121))</f>
        <v>0</v>
      </c>
      <c r="AA427" s="718">
        <f>IF($A426="",0,-SUMIF('C3 - Funcionários $'!$D$7:$D$121,$A426,'C3 - Funcionários $'!AF$7:AF$121))</f>
        <v>0</v>
      </c>
      <c r="AB427" s="718">
        <f>IF($A426="",0,-SUMIF('C3 - Funcionários $'!$D$7:$D$121,$A426,'C3 - Funcionários $'!AG$7:AG$121))</f>
        <v>0</v>
      </c>
      <c r="AC427" s="718">
        <f>IF($A426="",0,-SUMIF('C3 - Funcionários $'!$D$7:$D$121,$A426,'C3 - Funcionários $'!AH$7:AH$121))</f>
        <v>0</v>
      </c>
      <c r="AD427" s="718">
        <f>IF($A426="",0,-SUMIF('C3 - Funcionários $'!$D$7:$D$121,$A426,'C3 - Funcionários $'!AI$7:AI$121))</f>
        <v>0</v>
      </c>
      <c r="AE427" s="718">
        <f>IF($A426="",0,-SUMIF('C3 - Funcionários $'!$D$7:$D$121,$A426,'C3 - Funcionários $'!AJ$7:AJ$121))</f>
        <v>0</v>
      </c>
      <c r="AF427" s="594"/>
      <c r="AG427" s="594"/>
      <c r="AH427" s="594"/>
      <c r="AI427" s="594"/>
      <c r="AJ427" s="594"/>
      <c r="AK427" s="594"/>
      <c r="AL427" s="594"/>
      <c r="AM427" s="594"/>
      <c r="AN427" s="594"/>
      <c r="AO427" s="594"/>
      <c r="AP427" s="594"/>
      <c r="AQ427" s="594"/>
      <c r="AR427" s="594"/>
      <c r="AS427" s="594"/>
      <c r="AT427" s="594"/>
      <c r="AU427" s="594"/>
      <c r="AV427" s="594"/>
      <c r="AW427" s="594"/>
      <c r="AX427" s="594"/>
      <c r="AY427" s="594"/>
      <c r="AZ427" s="594"/>
      <c r="BA427" s="594"/>
      <c r="BB427" s="594"/>
      <c r="BC427" s="594"/>
      <c r="BD427" s="594"/>
      <c r="BE427" s="594"/>
      <c r="BF427" s="594"/>
      <c r="BG427" s="594"/>
      <c r="BH427" s="594"/>
      <c r="BI427" s="594"/>
      <c r="BJ427" s="594"/>
      <c r="BK427" s="594"/>
      <c r="BL427" s="57"/>
      <c r="BM427" s="594"/>
      <c r="BN427" s="594"/>
      <c r="BO427" s="594"/>
      <c r="BP427" s="594"/>
      <c r="BQ427" s="594"/>
      <c r="BR427" s="594"/>
      <c r="BS427" s="594"/>
      <c r="BT427" s="594"/>
      <c r="BU427" s="594"/>
      <c r="BV427" s="594"/>
      <c r="BW427" s="594"/>
      <c r="BX427" s="594"/>
      <c r="BY427" s="594"/>
      <c r="BZ427" s="594"/>
      <c r="CA427" s="594"/>
      <c r="CB427" s="594"/>
      <c r="CC427" s="594"/>
      <c r="CD427" s="594"/>
      <c r="CE427" s="594"/>
      <c r="CF427" s="594"/>
      <c r="CG427" s="594"/>
      <c r="CH427" s="594"/>
      <c r="CI427" s="594"/>
      <c r="CJ427" s="594"/>
      <c r="CK427" s="594"/>
      <c r="CL427" s="594"/>
      <c r="CM427" s="594"/>
      <c r="CN427" s="594"/>
      <c r="CO427" s="594"/>
      <c r="CP427" s="594"/>
      <c r="CQ427" s="594"/>
    </row>
    <row r="428" spans="1:95" ht="15" hidden="1" customHeight="1" outlineLevel="3">
      <c r="A428" s="709" t="s">
        <v>685</v>
      </c>
      <c r="B428" s="710">
        <f>-SUMIFS('B3 - Custos despesas indiretos'!AK$5:AK$148,'B3 - Custos despesas indiretos'!$B$5:$B$148,"Despesas",'B3 - Custos despesas indiretos'!$D$5:$D$148,$A426)-SUMIF('D2 - Capex uso'!C$6:C$176,$A426,'D2 - Capex uso'!GI$6:GI$176)</f>
        <v>-121788.4164492</v>
      </c>
      <c r="C428" s="710">
        <f>-SUMIFS('B3 - Custos despesas indiretos'!AL$5:AL$148,'B3 - Custos despesas indiretos'!$B$5:$B$148,"Despesas",'B3 - Custos despesas indiretos'!$D$5:$D$148,$A426)-SUMIF('D2 - Capex uso'!D$6:D$176,$A426,'D2 - Capex uso'!GJ$6:GJ$176)</f>
        <v>-114340.49681840002</v>
      </c>
      <c r="D428" s="710">
        <f>-SUMIFS('B3 - Custos despesas indiretos'!AM$5:AM$148,'B3 - Custos despesas indiretos'!$B$5:$B$148,"Despesas",'B3 - Custos despesas indiretos'!$D$5:$D$148,$A426)-SUMIF('D2 - Capex uso'!E$6:E$176,$A426,'D2 - Capex uso'!GK$6:GK$176)</f>
        <v>-106892.57718759999</v>
      </c>
      <c r="E428" s="710">
        <f>-SUMIFS('B3 - Custos despesas indiretos'!AN$5:AN$148,'B3 - Custos despesas indiretos'!$B$5:$B$148,"Despesas",'B3 - Custos despesas indiretos'!$D$5:$D$148,$A426)-SUMIF('D2 - Capex uso'!F$6:F$176,$A426,'D2 - Capex uso'!GL$6:GL$176)</f>
        <v>-99880.257556800003</v>
      </c>
      <c r="F428" s="710">
        <f>-SUMIFS('B3 - Custos despesas indiretos'!AO$5:AO$148,'B3 - Custos despesas indiretos'!$B$5:$B$148,"Despesas",'B3 - Custos despesas indiretos'!$D$5:$D$148,$A426)-SUMIF('D2 - Capex uso'!G$6:G$176,$A426,'D2 - Capex uso'!GM$6:GM$176)</f>
        <v>-92432.337926000007</v>
      </c>
      <c r="G428" s="710">
        <f>-SUMIFS('B3 - Custos despesas indiretos'!AP$5:AP$148,'B3 - Custos despesas indiretos'!$B$5:$B$148,"Despesas",'B3 - Custos despesas indiretos'!$D$5:$D$148,$A426)-SUMIF('D2 - Capex uso'!H$6:H$176,$A426,'D2 - Capex uso'!GN$6:GN$176)</f>
        <v>-113691.53849519999</v>
      </c>
      <c r="H428" s="710">
        <f>-SUMIFS('B3 - Custos despesas indiretos'!AQ$5:AQ$148,'B3 - Custos despesas indiretos'!$B$5:$B$148,"Despesas",'B3 - Custos despesas indiretos'!$D$5:$D$148,$A426)-SUMIF('D2 - Capex uso'!I$6:I$176,$A426,'D2 - Capex uso'!GO$6:GO$176)</f>
        <v>-106679.2188644</v>
      </c>
      <c r="I428" s="710">
        <f>-SUMIFS('B3 - Custos despesas indiretos'!AR$5:AR$148,'B3 - Custos despesas indiretos'!$B$5:$B$148,"Despesas",'B3 - Custos despesas indiretos'!$D$5:$D$148,$A426)-SUMIF('D2 - Capex uso'!J$6:J$176,$A426,'D2 - Capex uso'!GP$6:GP$176)</f>
        <v>-99231.299233600002</v>
      </c>
      <c r="J428" s="710">
        <f>-SUMIFS('B3 - Custos despesas indiretos'!AS$5:AS$148,'B3 - Custos despesas indiretos'!$B$5:$B$148,"Despesas",'B3 - Custos despesas indiretos'!$D$5:$D$148,$A426)-SUMIF('D2 - Capex uso'!K$6:K$176,$A426,'D2 - Capex uso'!GQ$6:GQ$176)</f>
        <v>-91783.379602800007</v>
      </c>
      <c r="K428" s="710">
        <f>-SUMIFS('B3 - Custos despesas indiretos'!AT$5:AT$148,'B3 - Custos despesas indiretos'!$B$5:$B$148,"Despesas",'B3 - Custos despesas indiretos'!$D$5:$D$148,$A426)-SUMIF('D2 - Capex uso'!L$6:L$176,$A426,'D2 - Capex uso'!GR$6:GR$176)</f>
        <v>-84771.059971999988</v>
      </c>
      <c r="L428" s="710">
        <f>-SUMIFS('B3 - Custos despesas indiretos'!AU$5:AU$148,'B3 - Custos despesas indiretos'!$B$5:$B$148,"Despesas",'B3 - Custos despesas indiretos'!$D$5:$D$148,$A426)-SUMIF('D2 - Capex uso'!M$6:M$176,$A426,'D2 - Capex uso'!GS$6:GS$176)</f>
        <v>-121643.21644920002</v>
      </c>
      <c r="M428" s="710">
        <f>-SUMIFS('B3 - Custos despesas indiretos'!AV$5:AV$148,'B3 - Custos despesas indiretos'!$B$5:$B$148,"Despesas",'B3 - Custos despesas indiretos'!$D$5:$D$148,$A426)-SUMIF('D2 - Capex uso'!N$6:N$176,$A426,'D2 - Capex uso'!GT$6:GT$176)</f>
        <v>-114195.29681840001</v>
      </c>
      <c r="N428" s="710">
        <f>-SUMIFS('B3 - Custos despesas indiretos'!AW$5:AW$148,'B3 - Custos despesas indiretos'!$B$5:$B$148,"Despesas",'B3 - Custos despesas indiretos'!$D$5:$D$148,$A426)-SUMIF('D2 - Capex uso'!O$6:O$176,$A426,'D2 - Capex uso'!GU$6:GU$176)</f>
        <v>-107182.97718760002</v>
      </c>
      <c r="O428" s="710">
        <f>-SUMIFS('B3 - Custos despesas indiretos'!AX$5:AX$148,'B3 - Custos despesas indiretos'!$B$5:$B$148,"Despesas",'B3 - Custos despesas indiretos'!$D$5:$D$148,$A426)-SUMIF('D2 - Capex uso'!P$6:P$176,$A426,'D2 - Capex uso'!GV$6:GV$176)</f>
        <v>-99735.057556799991</v>
      </c>
      <c r="P428" s="710">
        <f>-SUMIFS('B3 - Custos despesas indiretos'!AY$5:AY$148,'B3 - Custos despesas indiretos'!$B$5:$B$148,"Despesas",'B3 - Custos despesas indiretos'!$D$5:$D$148,$A426)-SUMIF('D2 - Capex uso'!Q$6:Q$176,$A426,'D2 - Capex uso'!GW$6:GW$176)</f>
        <v>-92287.137925999996</v>
      </c>
      <c r="Q428" s="710">
        <f>-SUMIFS('B3 - Custos despesas indiretos'!AZ$5:AZ$148,'B3 - Custos despesas indiretos'!$B$5:$B$148,"Despesas",'B3 - Custos despesas indiretos'!$D$5:$D$148,$A426)-SUMIF('D2 - Capex uso'!R$6:R$176,$A426,'D2 - Capex uso'!GX$6:GX$176)</f>
        <v>-113981.9384952</v>
      </c>
      <c r="R428" s="710">
        <f>-SUMIFS('B3 - Custos despesas indiretos'!BA$5:BA$148,'B3 - Custos despesas indiretos'!$B$5:$B$148,"Despesas",'B3 - Custos despesas indiretos'!$D$5:$D$148,$A426)-SUMIF('D2 - Capex uso'!S$6:S$176,$A426,'D2 - Capex uso'!GY$6:GY$176)</f>
        <v>-106534.01886439999</v>
      </c>
      <c r="S428" s="710">
        <f>-SUMIFS('B3 - Custos despesas indiretos'!BB$5:BB$148,'B3 - Custos despesas indiretos'!$B$5:$B$148,"Despesas",'B3 - Custos despesas indiretos'!$D$5:$D$148,$A426)-SUMIF('D2 - Capex uso'!T$6:T$176,$A426,'D2 - Capex uso'!GZ$6:GZ$176)</f>
        <v>-99086.099233599991</v>
      </c>
      <c r="T428" s="710">
        <f>-SUMIFS('B3 - Custos despesas indiretos'!BC$5:BC$148,'B3 - Custos despesas indiretos'!$B$5:$B$148,"Despesas",'B3 - Custos despesas indiretos'!$D$5:$D$148,$A426)-SUMIF('D2 - Capex uso'!U$6:U$176,$A426,'D2 - Capex uso'!HA$6:HA$176)</f>
        <v>-92073.779602800001</v>
      </c>
      <c r="U428" s="710">
        <f>-SUMIFS('B3 - Custos despesas indiretos'!BD$5:BD$148,'B3 - Custos despesas indiretos'!$B$5:$B$148,"Despesas",'B3 - Custos despesas indiretos'!$D$5:$D$148,$A426)-SUMIF('D2 - Capex uso'!V$6:V$176,$A426,'D2 - Capex uso'!HB$6:HB$176)</f>
        <v>-84625.859971999977</v>
      </c>
      <c r="V428" s="710">
        <f>-SUMIFS('B3 - Custos despesas indiretos'!BE$5:BE$148,'B3 - Custos despesas indiretos'!$B$5:$B$148,"Despesas",'B3 - Custos despesas indiretos'!$D$5:$D$148,$A426)-SUMIF('D2 - Capex uso'!W$6:W$176,$A426,'D2 - Capex uso'!HC$6:HC$176)</f>
        <v>-121498.01644919999</v>
      </c>
      <c r="W428" s="710">
        <f>-SUMIFS('B3 - Custos despesas indiretos'!BF$5:BF$148,'B3 - Custos despesas indiretos'!$B$5:$B$148,"Despesas",'B3 - Custos despesas indiretos'!$D$5:$D$148,$A426)-SUMIF('D2 - Capex uso'!X$6:X$176,$A426,'D2 - Capex uso'!HD$6:HD$176)</f>
        <v>-114485.6968184</v>
      </c>
      <c r="X428" s="710">
        <f>-SUMIFS('B3 - Custos despesas indiretos'!BG$5:BG$148,'B3 - Custos despesas indiretos'!$B$5:$B$148,"Despesas",'B3 - Custos despesas indiretos'!$D$5:$D$148,$A426)-SUMIF('D2 - Capex uso'!Y$6:Y$176,$A426,'D2 - Capex uso'!HE$6:HE$176)</f>
        <v>-107037.77718759998</v>
      </c>
      <c r="Y428" s="710">
        <f>-SUMIFS('B3 - Custos despesas indiretos'!BH$5:BH$148,'B3 - Custos despesas indiretos'!$B$5:$B$148,"Despesas",'B3 - Custos despesas indiretos'!$D$5:$D$148,$A426)-SUMIF('D2 - Capex uso'!Z$6:Z$176,$A426,'D2 - Capex uso'!HF$6:HF$176)</f>
        <v>-99589.85755679998</v>
      </c>
      <c r="Z428" s="710">
        <f>-SUMIFS('B3 - Custos despesas indiretos'!BI$5:BI$148,'B3 - Custos despesas indiretos'!$B$5:$B$148,"Despesas",'B3 - Custos despesas indiretos'!$D$5:$D$148,$A426)-SUMIF('D2 - Capex uso'!AA$6:AA$176,$A426,'D2 - Capex uso'!HG$6:HG$176)</f>
        <v>-92577.53792599999</v>
      </c>
      <c r="AA428" s="710">
        <f>-SUMIFS('B3 - Custos despesas indiretos'!BJ$5:BJ$148,'B3 - Custos despesas indiretos'!$B$5:$B$148,"Despesas",'B3 - Custos despesas indiretos'!$D$5:$D$148,$A426)-SUMIF('D2 - Capex uso'!AB$6:AB$176,$A426,'D2 - Capex uso'!HH$6:HH$176)</f>
        <v>-113836.73849519997</v>
      </c>
      <c r="AB428" s="710">
        <f>-SUMIFS('B3 - Custos despesas indiretos'!BK$5:BK$148,'B3 - Custos despesas indiretos'!$B$5:$B$148,"Despesas",'B3 - Custos despesas indiretos'!$D$5:$D$148,$A426)-SUMIF('D2 - Capex uso'!AC$6:AC$176,$A426,'D2 - Capex uso'!HI$6:HI$176)</f>
        <v>-106388.81886439999</v>
      </c>
      <c r="AC428" s="710">
        <f>-SUMIFS('B3 - Custos despesas indiretos'!BL$5:BL$148,'B3 - Custos despesas indiretos'!$B$5:$B$148,"Despesas",'B3 - Custos despesas indiretos'!$D$5:$D$148,$A426)-SUMIF('D2 - Capex uso'!AD$6:AD$176,$A426,'D2 - Capex uso'!HJ$6:HJ$176)</f>
        <v>-99376.499233599985</v>
      </c>
      <c r="AD428" s="710">
        <f>-SUMIFS('B3 - Custos despesas indiretos'!BM$5:BM$148,'B3 - Custos despesas indiretos'!$B$5:$B$148,"Despesas",'B3 - Custos despesas indiretos'!$D$5:$D$148,$A426)-SUMIF('D2 - Capex uso'!AE$6:AE$176,$A426,'D2 - Capex uso'!HK$6:HK$176)</f>
        <v>-91928.57960279999</v>
      </c>
      <c r="AE428" s="710">
        <f>-SUMIFS('B3 - Custos despesas indiretos'!BN$5:BN$148,'B3 - Custos despesas indiretos'!$B$5:$B$148,"Despesas",'B3 - Custos despesas indiretos'!$D$5:$D$148,$A426)-SUMIF('D2 - Capex uso'!AF$6:AF$176,$A426,'D2 - Capex uso'!HL$6:HL$176)</f>
        <v>-84480.659971999979</v>
      </c>
      <c r="AF428" s="594"/>
      <c r="AG428" s="594"/>
      <c r="AH428" s="594"/>
      <c r="AI428" s="594"/>
      <c r="AJ428" s="594"/>
      <c r="AK428" s="594"/>
      <c r="AL428" s="594"/>
      <c r="AM428" s="594"/>
      <c r="AN428" s="594"/>
      <c r="AO428" s="594"/>
      <c r="AP428" s="594"/>
      <c r="AQ428" s="594"/>
      <c r="AR428" s="594"/>
      <c r="AS428" s="594"/>
      <c r="AT428" s="594"/>
      <c r="AU428" s="594"/>
      <c r="AV428" s="594"/>
      <c r="AW428" s="594"/>
      <c r="AX428" s="594"/>
      <c r="AY428" s="594"/>
      <c r="AZ428" s="594"/>
      <c r="BA428" s="594"/>
      <c r="BB428" s="594"/>
      <c r="BC428" s="594"/>
      <c r="BD428" s="594"/>
      <c r="BE428" s="594"/>
      <c r="BF428" s="594"/>
      <c r="BG428" s="594"/>
      <c r="BH428" s="594"/>
      <c r="BI428" s="594"/>
      <c r="BJ428" s="594"/>
      <c r="BK428" s="594"/>
      <c r="BL428" s="57"/>
      <c r="BM428" s="594"/>
      <c r="BN428" s="594"/>
      <c r="BO428" s="594"/>
      <c r="BP428" s="594"/>
      <c r="BQ428" s="594"/>
      <c r="BR428" s="594"/>
      <c r="BS428" s="594"/>
      <c r="BT428" s="594"/>
      <c r="BU428" s="594"/>
      <c r="BV428" s="594"/>
      <c r="BW428" s="594"/>
      <c r="BX428" s="594"/>
      <c r="BY428" s="594"/>
      <c r="BZ428" s="594"/>
      <c r="CA428" s="594"/>
      <c r="CB428" s="594"/>
      <c r="CC428" s="594"/>
      <c r="CD428" s="594"/>
      <c r="CE428" s="594"/>
      <c r="CF428" s="594"/>
      <c r="CG428" s="594"/>
      <c r="CH428" s="594"/>
      <c r="CI428" s="594"/>
      <c r="CJ428" s="594"/>
      <c r="CK428" s="594"/>
      <c r="CL428" s="594"/>
      <c r="CM428" s="594"/>
      <c r="CN428" s="594"/>
      <c r="CO428" s="594"/>
      <c r="CP428" s="594"/>
      <c r="CQ428" s="594"/>
    </row>
    <row r="429" spans="1:95" ht="15" hidden="1" customHeight="1" outlineLevel="2">
      <c r="A429" s="709" t="s">
        <v>696</v>
      </c>
      <c r="B429" s="717">
        <f t="shared" ref="B429:AE429" si="152">SUM(B430:B431)</f>
        <v>0</v>
      </c>
      <c r="C429" s="717">
        <f t="shared" si="152"/>
        <v>0</v>
      </c>
      <c r="D429" s="717">
        <f t="shared" si="152"/>
        <v>0</v>
      </c>
      <c r="E429" s="717">
        <f t="shared" si="152"/>
        <v>0</v>
      </c>
      <c r="F429" s="717">
        <f t="shared" si="152"/>
        <v>0</v>
      </c>
      <c r="G429" s="717">
        <f t="shared" si="152"/>
        <v>0</v>
      </c>
      <c r="H429" s="717">
        <f t="shared" si="152"/>
        <v>0</v>
      </c>
      <c r="I429" s="717">
        <f t="shared" si="152"/>
        <v>0</v>
      </c>
      <c r="J429" s="717">
        <f t="shared" si="152"/>
        <v>0</v>
      </c>
      <c r="K429" s="717">
        <f t="shared" si="152"/>
        <v>0</v>
      </c>
      <c r="L429" s="717">
        <f t="shared" si="152"/>
        <v>0</v>
      </c>
      <c r="M429" s="717">
        <f t="shared" si="152"/>
        <v>0</v>
      </c>
      <c r="N429" s="717">
        <f t="shared" si="152"/>
        <v>0</v>
      </c>
      <c r="O429" s="717">
        <f t="shared" si="152"/>
        <v>0</v>
      </c>
      <c r="P429" s="717">
        <f t="shared" si="152"/>
        <v>0</v>
      </c>
      <c r="Q429" s="717">
        <f t="shared" si="152"/>
        <v>0</v>
      </c>
      <c r="R429" s="717">
        <f t="shared" si="152"/>
        <v>0</v>
      </c>
      <c r="S429" s="717">
        <f t="shared" si="152"/>
        <v>0</v>
      </c>
      <c r="T429" s="717">
        <f t="shared" si="152"/>
        <v>0</v>
      </c>
      <c r="U429" s="717">
        <f t="shared" si="152"/>
        <v>0</v>
      </c>
      <c r="V429" s="717">
        <f t="shared" si="152"/>
        <v>0</v>
      </c>
      <c r="W429" s="717">
        <f t="shared" si="152"/>
        <v>0</v>
      </c>
      <c r="X429" s="717">
        <f t="shared" si="152"/>
        <v>0</v>
      </c>
      <c r="Y429" s="717">
        <f t="shared" si="152"/>
        <v>0</v>
      </c>
      <c r="Z429" s="717">
        <f t="shared" si="152"/>
        <v>0</v>
      </c>
      <c r="AA429" s="717">
        <f t="shared" si="152"/>
        <v>0</v>
      </c>
      <c r="AB429" s="717">
        <f t="shared" si="152"/>
        <v>0</v>
      </c>
      <c r="AC429" s="717">
        <f t="shared" si="152"/>
        <v>0</v>
      </c>
      <c r="AD429" s="717">
        <f t="shared" si="152"/>
        <v>0</v>
      </c>
      <c r="AE429" s="717">
        <f t="shared" si="152"/>
        <v>0</v>
      </c>
      <c r="AF429" s="594"/>
      <c r="AG429" s="594"/>
      <c r="AH429" s="594"/>
      <c r="AI429" s="594"/>
      <c r="AJ429" s="594"/>
      <c r="AK429" s="594"/>
      <c r="AL429" s="594"/>
      <c r="AM429" s="594"/>
      <c r="AN429" s="594"/>
      <c r="AO429" s="594"/>
      <c r="AP429" s="594"/>
      <c r="AQ429" s="594"/>
      <c r="AR429" s="594"/>
      <c r="AS429" s="594"/>
      <c r="AT429" s="594"/>
      <c r="AU429" s="594"/>
      <c r="AV429" s="594"/>
      <c r="AW429" s="594"/>
      <c r="AX429" s="594"/>
      <c r="AY429" s="594"/>
      <c r="AZ429" s="594"/>
      <c r="BA429" s="594"/>
      <c r="BB429" s="594"/>
      <c r="BC429" s="594"/>
      <c r="BD429" s="594"/>
      <c r="BE429" s="594"/>
      <c r="BF429" s="594"/>
      <c r="BG429" s="594"/>
      <c r="BH429" s="594"/>
      <c r="BI429" s="594"/>
      <c r="BJ429" s="594"/>
      <c r="BK429" s="594"/>
      <c r="BL429" s="57"/>
      <c r="BM429" s="594"/>
      <c r="BN429" s="594"/>
      <c r="BO429" s="594"/>
      <c r="BP429" s="594"/>
      <c r="BQ429" s="594"/>
      <c r="BR429" s="594"/>
      <c r="BS429" s="594"/>
      <c r="BT429" s="594"/>
      <c r="BU429" s="594"/>
      <c r="BV429" s="594"/>
      <c r="BW429" s="594"/>
      <c r="BX429" s="594"/>
      <c r="BY429" s="594"/>
      <c r="BZ429" s="594"/>
      <c r="CA429" s="594"/>
      <c r="CB429" s="594"/>
      <c r="CC429" s="594"/>
      <c r="CD429" s="594"/>
      <c r="CE429" s="594"/>
      <c r="CF429" s="594"/>
      <c r="CG429" s="594"/>
      <c r="CH429" s="594"/>
      <c r="CI429" s="594"/>
      <c r="CJ429" s="594"/>
      <c r="CK429" s="594"/>
      <c r="CL429" s="594"/>
      <c r="CM429" s="594"/>
      <c r="CN429" s="594"/>
      <c r="CO429" s="594"/>
      <c r="CP429" s="594"/>
      <c r="CQ429" s="594"/>
    </row>
    <row r="430" spans="1:95" ht="15" hidden="1" customHeight="1" outlineLevel="3">
      <c r="A430" s="709" t="s">
        <v>692</v>
      </c>
      <c r="B430" s="718">
        <f>IF($A429="",0,-SUMIF('C3 - Funcionários $'!$D$7:$D$121,$A429,'C3 - Funcionários $'!G$7:G$121))</f>
        <v>0</v>
      </c>
      <c r="C430" s="718">
        <f>IF($A429="",0,-SUMIF('C3 - Funcionários $'!$D$7:$D$121,$A429,'C3 - Funcionários $'!H$7:H$121))</f>
        <v>0</v>
      </c>
      <c r="D430" s="718">
        <f>IF($A429="",0,-SUMIF('C3 - Funcionários $'!$D$7:$D$121,$A429,'C3 - Funcionários $'!I$7:I$121))</f>
        <v>0</v>
      </c>
      <c r="E430" s="718">
        <f>IF($A429="",0,-SUMIF('C3 - Funcionários $'!$D$7:$D$121,$A429,'C3 - Funcionários $'!J$7:J$121))</f>
        <v>0</v>
      </c>
      <c r="F430" s="718">
        <f>IF($A429="",0,-SUMIF('C3 - Funcionários $'!$D$7:$D$121,$A429,'C3 - Funcionários $'!K$7:K$121))</f>
        <v>0</v>
      </c>
      <c r="G430" s="718">
        <f>IF($A429="",0,-SUMIF('C3 - Funcionários $'!$D$7:$D$121,$A429,'C3 - Funcionários $'!L$7:L$121))</f>
        <v>0</v>
      </c>
      <c r="H430" s="718">
        <f>IF($A429="",0,-SUMIF('C3 - Funcionários $'!$D$7:$D$121,$A429,'C3 - Funcionários $'!M$7:M$121))</f>
        <v>0</v>
      </c>
      <c r="I430" s="718">
        <f>IF($A429="",0,-SUMIF('C3 - Funcionários $'!$D$7:$D$121,$A429,'C3 - Funcionários $'!N$7:N$121))</f>
        <v>0</v>
      </c>
      <c r="J430" s="718">
        <f>IF($A429="",0,-SUMIF('C3 - Funcionários $'!$D$7:$D$121,$A429,'C3 - Funcionários $'!O$7:O$121))</f>
        <v>0</v>
      </c>
      <c r="K430" s="718">
        <f>IF($A429="",0,-SUMIF('C3 - Funcionários $'!$D$7:$D$121,$A429,'C3 - Funcionários $'!P$7:P$121))</f>
        <v>0</v>
      </c>
      <c r="L430" s="718">
        <f>IF($A429="",0,-SUMIF('C3 - Funcionários $'!$D$7:$D$121,$A429,'C3 - Funcionários $'!Q$7:Q$121))</f>
        <v>0</v>
      </c>
      <c r="M430" s="718">
        <f>IF($A429="",0,-SUMIF('C3 - Funcionários $'!$D$7:$D$121,$A429,'C3 - Funcionários $'!R$7:R$121))</f>
        <v>0</v>
      </c>
      <c r="N430" s="718">
        <f>IF($A429="",0,-SUMIF('C3 - Funcionários $'!$D$7:$D$121,$A429,'C3 - Funcionários $'!S$7:S$121))</f>
        <v>0</v>
      </c>
      <c r="O430" s="718">
        <f>IF($A429="",0,-SUMIF('C3 - Funcionários $'!$D$7:$D$121,$A429,'C3 - Funcionários $'!T$7:T$121))</f>
        <v>0</v>
      </c>
      <c r="P430" s="718">
        <f>IF($A429="",0,-SUMIF('C3 - Funcionários $'!$D$7:$D$121,$A429,'C3 - Funcionários $'!U$7:U$121))</f>
        <v>0</v>
      </c>
      <c r="Q430" s="718">
        <f>IF($A429="",0,-SUMIF('C3 - Funcionários $'!$D$7:$D$121,$A429,'C3 - Funcionários $'!V$7:V$121))</f>
        <v>0</v>
      </c>
      <c r="R430" s="718">
        <f>IF($A429="",0,-SUMIF('C3 - Funcionários $'!$D$7:$D$121,$A429,'C3 - Funcionários $'!W$7:W$121))</f>
        <v>0</v>
      </c>
      <c r="S430" s="718">
        <f>IF($A429="",0,-SUMIF('C3 - Funcionários $'!$D$7:$D$121,$A429,'C3 - Funcionários $'!X$7:X$121))</f>
        <v>0</v>
      </c>
      <c r="T430" s="718">
        <f>IF($A429="",0,-SUMIF('C3 - Funcionários $'!$D$7:$D$121,$A429,'C3 - Funcionários $'!Y$7:Y$121))</f>
        <v>0</v>
      </c>
      <c r="U430" s="718">
        <f>IF($A429="",0,-SUMIF('C3 - Funcionários $'!$D$7:$D$121,$A429,'C3 - Funcionários $'!Z$7:Z$121))</f>
        <v>0</v>
      </c>
      <c r="V430" s="718">
        <f>IF($A429="",0,-SUMIF('C3 - Funcionários $'!$D$7:$D$121,$A429,'C3 - Funcionários $'!AA$7:AA$121))</f>
        <v>0</v>
      </c>
      <c r="W430" s="718">
        <f>IF($A429="",0,-SUMIF('C3 - Funcionários $'!$D$7:$D$121,$A429,'C3 - Funcionários $'!AB$7:AB$121))</f>
        <v>0</v>
      </c>
      <c r="X430" s="718">
        <f>IF($A429="",0,-SUMIF('C3 - Funcionários $'!$D$7:$D$121,$A429,'C3 - Funcionários $'!AC$7:AC$121))</f>
        <v>0</v>
      </c>
      <c r="Y430" s="718">
        <f>IF($A429="",0,-SUMIF('C3 - Funcionários $'!$D$7:$D$121,$A429,'C3 - Funcionários $'!AD$7:AD$121))</f>
        <v>0</v>
      </c>
      <c r="Z430" s="718">
        <f>IF($A429="",0,-SUMIF('C3 - Funcionários $'!$D$7:$D$121,$A429,'C3 - Funcionários $'!AE$7:AE$121))</f>
        <v>0</v>
      </c>
      <c r="AA430" s="718">
        <f>IF($A429="",0,-SUMIF('C3 - Funcionários $'!$D$7:$D$121,$A429,'C3 - Funcionários $'!AF$7:AF$121))</f>
        <v>0</v>
      </c>
      <c r="AB430" s="718">
        <f>IF($A429="",0,-SUMIF('C3 - Funcionários $'!$D$7:$D$121,$A429,'C3 - Funcionários $'!AG$7:AG$121))</f>
        <v>0</v>
      </c>
      <c r="AC430" s="718">
        <f>IF($A429="",0,-SUMIF('C3 - Funcionários $'!$D$7:$D$121,$A429,'C3 - Funcionários $'!AH$7:AH$121))</f>
        <v>0</v>
      </c>
      <c r="AD430" s="718">
        <f>IF($A429="",0,-SUMIF('C3 - Funcionários $'!$D$7:$D$121,$A429,'C3 - Funcionários $'!AI$7:AI$121))</f>
        <v>0</v>
      </c>
      <c r="AE430" s="718">
        <f>IF($A429="",0,-SUMIF('C3 - Funcionários $'!$D$7:$D$121,$A429,'C3 - Funcionários $'!AJ$7:AJ$121))</f>
        <v>0</v>
      </c>
      <c r="AF430" s="594"/>
      <c r="AG430" s="594"/>
      <c r="AH430" s="594"/>
      <c r="AI430" s="594"/>
      <c r="AJ430" s="594"/>
      <c r="AK430" s="594"/>
      <c r="AL430" s="594"/>
      <c r="AM430" s="594"/>
      <c r="AN430" s="594"/>
      <c r="AO430" s="594"/>
      <c r="AP430" s="594"/>
      <c r="AQ430" s="594"/>
      <c r="AR430" s="594"/>
      <c r="AS430" s="594"/>
      <c r="AT430" s="594"/>
      <c r="AU430" s="594"/>
      <c r="AV430" s="594"/>
      <c r="AW430" s="594"/>
      <c r="AX430" s="594"/>
      <c r="AY430" s="594"/>
      <c r="AZ430" s="594"/>
      <c r="BA430" s="594"/>
      <c r="BB430" s="594"/>
      <c r="BC430" s="594"/>
      <c r="BD430" s="594"/>
      <c r="BE430" s="594"/>
      <c r="BF430" s="594"/>
      <c r="BG430" s="594"/>
      <c r="BH430" s="594"/>
      <c r="BI430" s="594"/>
      <c r="BJ430" s="594"/>
      <c r="BK430" s="594"/>
      <c r="BL430" s="57"/>
      <c r="BM430" s="594"/>
      <c r="BN430" s="594"/>
      <c r="BO430" s="594"/>
      <c r="BP430" s="594"/>
      <c r="BQ430" s="594"/>
      <c r="BR430" s="594"/>
      <c r="BS430" s="594"/>
      <c r="BT430" s="594"/>
      <c r="BU430" s="594"/>
      <c r="BV430" s="594"/>
      <c r="BW430" s="594"/>
      <c r="BX430" s="594"/>
      <c r="BY430" s="594"/>
      <c r="BZ430" s="594"/>
      <c r="CA430" s="594"/>
      <c r="CB430" s="594"/>
      <c r="CC430" s="594"/>
      <c r="CD430" s="594"/>
      <c r="CE430" s="594"/>
      <c r="CF430" s="594"/>
      <c r="CG430" s="594"/>
      <c r="CH430" s="594"/>
      <c r="CI430" s="594"/>
      <c r="CJ430" s="594"/>
      <c r="CK430" s="594"/>
      <c r="CL430" s="594"/>
      <c r="CM430" s="594"/>
      <c r="CN430" s="594"/>
      <c r="CO430" s="594"/>
      <c r="CP430" s="594"/>
      <c r="CQ430" s="594"/>
    </row>
    <row r="431" spans="1:95" ht="15" hidden="1" customHeight="1" outlineLevel="3">
      <c r="A431" s="709" t="s">
        <v>685</v>
      </c>
      <c r="B431" s="710">
        <f>-SUMIFS('B3 - Custos despesas indiretos'!AK$5:AK$148,'B3 - Custos despesas indiretos'!$B$5:$B$148,"Despesas",'B3 - Custos despesas indiretos'!$D$5:$D$148,$A429)-SUMIF('D2 - Capex uso'!C$6:C$176,$A429,'D2 - Capex uso'!GI$6:GI$176)</f>
        <v>0</v>
      </c>
      <c r="C431" s="710">
        <f>-SUMIFS('B3 - Custos despesas indiretos'!AL$5:AL$148,'B3 - Custos despesas indiretos'!$B$5:$B$148,"Despesas",'B3 - Custos despesas indiretos'!$D$5:$D$148,$A429)-SUMIF('D2 - Capex uso'!D$6:D$176,$A429,'D2 - Capex uso'!GJ$6:GJ$176)</f>
        <v>0</v>
      </c>
      <c r="D431" s="710">
        <f>-SUMIFS('B3 - Custos despesas indiretos'!AM$5:AM$148,'B3 - Custos despesas indiretos'!$B$5:$B$148,"Despesas",'B3 - Custos despesas indiretos'!$D$5:$D$148,$A429)-SUMIF('D2 - Capex uso'!E$6:E$176,$A429,'D2 - Capex uso'!GK$6:GK$176)</f>
        <v>0</v>
      </c>
      <c r="E431" s="710">
        <f>-SUMIFS('B3 - Custos despesas indiretos'!AN$5:AN$148,'B3 - Custos despesas indiretos'!$B$5:$B$148,"Despesas",'B3 - Custos despesas indiretos'!$D$5:$D$148,$A429)-SUMIF('D2 - Capex uso'!F$6:F$176,$A429,'D2 - Capex uso'!GL$6:GL$176)</f>
        <v>0</v>
      </c>
      <c r="F431" s="710">
        <f>-SUMIFS('B3 - Custos despesas indiretos'!AO$5:AO$148,'B3 - Custos despesas indiretos'!$B$5:$B$148,"Despesas",'B3 - Custos despesas indiretos'!$D$5:$D$148,$A429)-SUMIF('D2 - Capex uso'!G$6:G$176,$A429,'D2 - Capex uso'!GM$6:GM$176)</f>
        <v>0</v>
      </c>
      <c r="G431" s="710">
        <f>-SUMIFS('B3 - Custos despesas indiretos'!AP$5:AP$148,'B3 - Custos despesas indiretos'!$B$5:$B$148,"Despesas",'B3 - Custos despesas indiretos'!$D$5:$D$148,$A429)-SUMIF('D2 - Capex uso'!H$6:H$176,$A429,'D2 - Capex uso'!GN$6:GN$176)</f>
        <v>0</v>
      </c>
      <c r="H431" s="710">
        <f>-SUMIFS('B3 - Custos despesas indiretos'!AQ$5:AQ$148,'B3 - Custos despesas indiretos'!$B$5:$B$148,"Despesas",'B3 - Custos despesas indiretos'!$D$5:$D$148,$A429)-SUMIF('D2 - Capex uso'!I$6:I$176,$A429,'D2 - Capex uso'!GO$6:GO$176)</f>
        <v>0</v>
      </c>
      <c r="I431" s="710">
        <f>-SUMIFS('B3 - Custos despesas indiretos'!AR$5:AR$148,'B3 - Custos despesas indiretos'!$B$5:$B$148,"Despesas",'B3 - Custos despesas indiretos'!$D$5:$D$148,$A429)-SUMIF('D2 - Capex uso'!J$6:J$176,$A429,'D2 - Capex uso'!GP$6:GP$176)</f>
        <v>0</v>
      </c>
      <c r="J431" s="710">
        <f>-SUMIFS('B3 - Custos despesas indiretos'!AS$5:AS$148,'B3 - Custos despesas indiretos'!$B$5:$B$148,"Despesas",'B3 - Custos despesas indiretos'!$D$5:$D$148,$A429)-SUMIF('D2 - Capex uso'!K$6:K$176,$A429,'D2 - Capex uso'!GQ$6:GQ$176)</f>
        <v>0</v>
      </c>
      <c r="K431" s="710">
        <f>-SUMIFS('B3 - Custos despesas indiretos'!AT$5:AT$148,'B3 - Custos despesas indiretos'!$B$5:$B$148,"Despesas",'B3 - Custos despesas indiretos'!$D$5:$D$148,$A429)-SUMIF('D2 - Capex uso'!L$6:L$176,$A429,'D2 - Capex uso'!GR$6:GR$176)</f>
        <v>0</v>
      </c>
      <c r="L431" s="710">
        <f>-SUMIFS('B3 - Custos despesas indiretos'!AU$5:AU$148,'B3 - Custos despesas indiretos'!$B$5:$B$148,"Despesas",'B3 - Custos despesas indiretos'!$D$5:$D$148,$A429)-SUMIF('D2 - Capex uso'!M$6:M$176,$A429,'D2 - Capex uso'!GS$6:GS$176)</f>
        <v>0</v>
      </c>
      <c r="M431" s="710">
        <f>-SUMIFS('B3 - Custos despesas indiretos'!AV$5:AV$148,'B3 - Custos despesas indiretos'!$B$5:$B$148,"Despesas",'B3 - Custos despesas indiretos'!$D$5:$D$148,$A429)-SUMIF('D2 - Capex uso'!N$6:N$176,$A429,'D2 - Capex uso'!GT$6:GT$176)</f>
        <v>0</v>
      </c>
      <c r="N431" s="710">
        <f>-SUMIFS('B3 - Custos despesas indiretos'!AW$5:AW$148,'B3 - Custos despesas indiretos'!$B$5:$B$148,"Despesas",'B3 - Custos despesas indiretos'!$D$5:$D$148,$A429)-SUMIF('D2 - Capex uso'!O$6:O$176,$A429,'D2 - Capex uso'!GU$6:GU$176)</f>
        <v>0</v>
      </c>
      <c r="O431" s="710">
        <f>-SUMIFS('B3 - Custos despesas indiretos'!AX$5:AX$148,'B3 - Custos despesas indiretos'!$B$5:$B$148,"Despesas",'B3 - Custos despesas indiretos'!$D$5:$D$148,$A429)-SUMIF('D2 - Capex uso'!P$6:P$176,$A429,'D2 - Capex uso'!GV$6:GV$176)</f>
        <v>0</v>
      </c>
      <c r="P431" s="710">
        <f>-SUMIFS('B3 - Custos despesas indiretos'!AY$5:AY$148,'B3 - Custos despesas indiretos'!$B$5:$B$148,"Despesas",'B3 - Custos despesas indiretos'!$D$5:$D$148,$A429)-SUMIF('D2 - Capex uso'!Q$6:Q$176,$A429,'D2 - Capex uso'!GW$6:GW$176)</f>
        <v>0</v>
      </c>
      <c r="Q431" s="710">
        <f>-SUMIFS('B3 - Custos despesas indiretos'!AZ$5:AZ$148,'B3 - Custos despesas indiretos'!$B$5:$B$148,"Despesas",'B3 - Custos despesas indiretos'!$D$5:$D$148,$A429)-SUMIF('D2 - Capex uso'!R$6:R$176,$A429,'D2 - Capex uso'!GX$6:GX$176)</f>
        <v>0</v>
      </c>
      <c r="R431" s="710">
        <f>-SUMIFS('B3 - Custos despesas indiretos'!BA$5:BA$148,'B3 - Custos despesas indiretos'!$B$5:$B$148,"Despesas",'B3 - Custos despesas indiretos'!$D$5:$D$148,$A429)-SUMIF('D2 - Capex uso'!S$6:S$176,$A429,'D2 - Capex uso'!GY$6:GY$176)</f>
        <v>0</v>
      </c>
      <c r="S431" s="710">
        <f>-SUMIFS('B3 - Custos despesas indiretos'!BB$5:BB$148,'B3 - Custos despesas indiretos'!$B$5:$B$148,"Despesas",'B3 - Custos despesas indiretos'!$D$5:$D$148,$A429)-SUMIF('D2 - Capex uso'!T$6:T$176,$A429,'D2 - Capex uso'!GZ$6:GZ$176)</f>
        <v>0</v>
      </c>
      <c r="T431" s="710">
        <f>-SUMIFS('B3 - Custos despesas indiretos'!BC$5:BC$148,'B3 - Custos despesas indiretos'!$B$5:$B$148,"Despesas",'B3 - Custos despesas indiretos'!$D$5:$D$148,$A429)-SUMIF('D2 - Capex uso'!U$6:U$176,$A429,'D2 - Capex uso'!HA$6:HA$176)</f>
        <v>0</v>
      </c>
      <c r="U431" s="710">
        <f>-SUMIFS('B3 - Custos despesas indiretos'!BD$5:BD$148,'B3 - Custos despesas indiretos'!$B$5:$B$148,"Despesas",'B3 - Custos despesas indiretos'!$D$5:$D$148,$A429)-SUMIF('D2 - Capex uso'!V$6:V$176,$A429,'D2 - Capex uso'!HB$6:HB$176)</f>
        <v>0</v>
      </c>
      <c r="V431" s="710">
        <f>-SUMIFS('B3 - Custos despesas indiretos'!BE$5:BE$148,'B3 - Custos despesas indiretos'!$B$5:$B$148,"Despesas",'B3 - Custos despesas indiretos'!$D$5:$D$148,$A429)-SUMIF('D2 - Capex uso'!W$6:W$176,$A429,'D2 - Capex uso'!HC$6:HC$176)</f>
        <v>0</v>
      </c>
      <c r="W431" s="710">
        <f>-SUMIFS('B3 - Custos despesas indiretos'!BF$5:BF$148,'B3 - Custos despesas indiretos'!$B$5:$B$148,"Despesas",'B3 - Custos despesas indiretos'!$D$5:$D$148,$A429)-SUMIF('D2 - Capex uso'!X$6:X$176,$A429,'D2 - Capex uso'!HD$6:HD$176)</f>
        <v>0</v>
      </c>
      <c r="X431" s="710">
        <f>-SUMIFS('B3 - Custos despesas indiretos'!BG$5:BG$148,'B3 - Custos despesas indiretos'!$B$5:$B$148,"Despesas",'B3 - Custos despesas indiretos'!$D$5:$D$148,$A429)-SUMIF('D2 - Capex uso'!Y$6:Y$176,$A429,'D2 - Capex uso'!HE$6:HE$176)</f>
        <v>0</v>
      </c>
      <c r="Y431" s="710">
        <f>-SUMIFS('B3 - Custos despesas indiretos'!BH$5:BH$148,'B3 - Custos despesas indiretos'!$B$5:$B$148,"Despesas",'B3 - Custos despesas indiretos'!$D$5:$D$148,$A429)-SUMIF('D2 - Capex uso'!Z$6:Z$176,$A429,'D2 - Capex uso'!HF$6:HF$176)</f>
        <v>0</v>
      </c>
      <c r="Z431" s="710">
        <f>-SUMIFS('B3 - Custos despesas indiretos'!BI$5:BI$148,'B3 - Custos despesas indiretos'!$B$5:$B$148,"Despesas",'B3 - Custos despesas indiretos'!$D$5:$D$148,$A429)-SUMIF('D2 - Capex uso'!AA$6:AA$176,$A429,'D2 - Capex uso'!HG$6:HG$176)</f>
        <v>0</v>
      </c>
      <c r="AA431" s="710">
        <f>-SUMIFS('B3 - Custos despesas indiretos'!BJ$5:BJ$148,'B3 - Custos despesas indiretos'!$B$5:$B$148,"Despesas",'B3 - Custos despesas indiretos'!$D$5:$D$148,$A429)-SUMIF('D2 - Capex uso'!AB$6:AB$176,$A429,'D2 - Capex uso'!HH$6:HH$176)</f>
        <v>0</v>
      </c>
      <c r="AB431" s="710">
        <f>-SUMIFS('B3 - Custos despesas indiretos'!BK$5:BK$148,'B3 - Custos despesas indiretos'!$B$5:$B$148,"Despesas",'B3 - Custos despesas indiretos'!$D$5:$D$148,$A429)-SUMIF('D2 - Capex uso'!AC$6:AC$176,$A429,'D2 - Capex uso'!HI$6:HI$176)</f>
        <v>0</v>
      </c>
      <c r="AC431" s="710">
        <f>-SUMIFS('B3 - Custos despesas indiretos'!BL$5:BL$148,'B3 - Custos despesas indiretos'!$B$5:$B$148,"Despesas",'B3 - Custos despesas indiretos'!$D$5:$D$148,$A429)-SUMIF('D2 - Capex uso'!AD$6:AD$176,$A429,'D2 - Capex uso'!HJ$6:HJ$176)</f>
        <v>0</v>
      </c>
      <c r="AD431" s="710">
        <f>-SUMIFS('B3 - Custos despesas indiretos'!BM$5:BM$148,'B3 - Custos despesas indiretos'!$B$5:$B$148,"Despesas",'B3 - Custos despesas indiretos'!$D$5:$D$148,$A429)-SUMIF('D2 - Capex uso'!AE$6:AE$176,$A429,'D2 - Capex uso'!HK$6:HK$176)</f>
        <v>0</v>
      </c>
      <c r="AE431" s="710">
        <f>-SUMIFS('B3 - Custos despesas indiretos'!BN$5:BN$148,'B3 - Custos despesas indiretos'!$B$5:$B$148,"Despesas",'B3 - Custos despesas indiretos'!$D$5:$D$148,$A429)-SUMIF('D2 - Capex uso'!AF$6:AF$176,$A429,'D2 - Capex uso'!HL$6:HL$176)</f>
        <v>0</v>
      </c>
      <c r="AF431" s="594"/>
      <c r="AG431" s="594"/>
      <c r="AH431" s="594"/>
      <c r="AI431" s="594"/>
      <c r="AJ431" s="594"/>
      <c r="AK431" s="594"/>
      <c r="AL431" s="594"/>
      <c r="AM431" s="594"/>
      <c r="AN431" s="594"/>
      <c r="AO431" s="594"/>
      <c r="AP431" s="594"/>
      <c r="AQ431" s="594"/>
      <c r="AR431" s="594"/>
      <c r="AS431" s="594"/>
      <c r="AT431" s="594"/>
      <c r="AU431" s="594"/>
      <c r="AV431" s="594"/>
      <c r="AW431" s="594"/>
      <c r="AX431" s="594"/>
      <c r="AY431" s="594"/>
      <c r="AZ431" s="594"/>
      <c r="BA431" s="594"/>
      <c r="BB431" s="594"/>
      <c r="BC431" s="594"/>
      <c r="BD431" s="594"/>
      <c r="BE431" s="594"/>
      <c r="BF431" s="594"/>
      <c r="BG431" s="594"/>
      <c r="BH431" s="594"/>
      <c r="BI431" s="594"/>
      <c r="BJ431" s="594"/>
      <c r="BK431" s="594"/>
      <c r="BL431" s="57"/>
      <c r="BM431" s="594"/>
      <c r="BN431" s="594"/>
      <c r="BO431" s="594"/>
      <c r="BP431" s="594"/>
      <c r="BQ431" s="594"/>
      <c r="BR431" s="594"/>
      <c r="BS431" s="594"/>
      <c r="BT431" s="594"/>
      <c r="BU431" s="594"/>
      <c r="BV431" s="594"/>
      <c r="BW431" s="594"/>
      <c r="BX431" s="594"/>
      <c r="BY431" s="594"/>
      <c r="BZ431" s="594"/>
      <c r="CA431" s="594"/>
      <c r="CB431" s="594"/>
      <c r="CC431" s="594"/>
      <c r="CD431" s="594"/>
      <c r="CE431" s="594"/>
      <c r="CF431" s="594"/>
      <c r="CG431" s="594"/>
      <c r="CH431" s="594"/>
      <c r="CI431" s="594"/>
      <c r="CJ431" s="594"/>
      <c r="CK431" s="594"/>
      <c r="CL431" s="594"/>
      <c r="CM431" s="594"/>
      <c r="CN431" s="594"/>
      <c r="CO431" s="594"/>
      <c r="CP431" s="594"/>
      <c r="CQ431" s="594"/>
    </row>
    <row r="432" spans="1:95" ht="15" hidden="1" customHeight="1" outlineLevel="2">
      <c r="A432" s="709" t="s">
        <v>192</v>
      </c>
      <c r="B432" s="717">
        <f t="shared" ref="B432:AE432" si="153">SUM(B433:B434)</f>
        <v>-508869.80399999995</v>
      </c>
      <c r="C432" s="717">
        <f t="shared" si="153"/>
        <v>-476529.80399999995</v>
      </c>
      <c r="D432" s="717">
        <f t="shared" si="153"/>
        <v>-476529.80399999995</v>
      </c>
      <c r="E432" s="717">
        <f t="shared" si="153"/>
        <v>-476529.80399999995</v>
      </c>
      <c r="F432" s="717">
        <f t="shared" si="153"/>
        <v>-476529.80399999995</v>
      </c>
      <c r="G432" s="717">
        <f t="shared" si="153"/>
        <v>-476529.80399999995</v>
      </c>
      <c r="H432" s="717">
        <f t="shared" si="153"/>
        <v>-476529.80399999995</v>
      </c>
      <c r="I432" s="717">
        <f t="shared" si="153"/>
        <v>-476529.80399999995</v>
      </c>
      <c r="J432" s="717">
        <f t="shared" si="153"/>
        <v>-476529.80399999995</v>
      </c>
      <c r="K432" s="717">
        <f t="shared" si="153"/>
        <v>-476529.80399999995</v>
      </c>
      <c r="L432" s="717">
        <f t="shared" si="153"/>
        <v>-476529.80399999995</v>
      </c>
      <c r="M432" s="717">
        <f t="shared" si="153"/>
        <v>-476529.80399999995</v>
      </c>
      <c r="N432" s="717">
        <f t="shared" si="153"/>
        <v>-476529.80399999995</v>
      </c>
      <c r="O432" s="717">
        <f t="shared" si="153"/>
        <v>-476529.80399999995</v>
      </c>
      <c r="P432" s="717">
        <f t="shared" si="153"/>
        <v>-476529.80399999995</v>
      </c>
      <c r="Q432" s="717">
        <f t="shared" si="153"/>
        <v>-476529.80399999995</v>
      </c>
      <c r="R432" s="717">
        <f t="shared" si="153"/>
        <v>-476529.80399999995</v>
      </c>
      <c r="S432" s="717">
        <f t="shared" si="153"/>
        <v>-476529.80399999995</v>
      </c>
      <c r="T432" s="717">
        <f t="shared" si="153"/>
        <v>-476529.80399999995</v>
      </c>
      <c r="U432" s="717">
        <f t="shared" si="153"/>
        <v>-476529.80399999995</v>
      </c>
      <c r="V432" s="717">
        <f t="shared" si="153"/>
        <v>-476529.80399999995</v>
      </c>
      <c r="W432" s="717">
        <f t="shared" si="153"/>
        <v>-476529.80399999995</v>
      </c>
      <c r="X432" s="717">
        <f t="shared" si="153"/>
        <v>-476529.80399999995</v>
      </c>
      <c r="Y432" s="717">
        <f t="shared" si="153"/>
        <v>-476529.80399999995</v>
      </c>
      <c r="Z432" s="717">
        <f t="shared" si="153"/>
        <v>-476529.80399999995</v>
      </c>
      <c r="AA432" s="717">
        <f t="shared" si="153"/>
        <v>-476529.80399999995</v>
      </c>
      <c r="AB432" s="717">
        <f t="shared" si="153"/>
        <v>-476529.80399999995</v>
      </c>
      <c r="AC432" s="717">
        <f t="shared" si="153"/>
        <v>-476529.80399999995</v>
      </c>
      <c r="AD432" s="717">
        <f t="shared" si="153"/>
        <v>-476529.80399999995</v>
      </c>
      <c r="AE432" s="717">
        <f t="shared" si="153"/>
        <v>-476529.80399999995</v>
      </c>
      <c r="AF432" s="594"/>
      <c r="AG432" s="594"/>
      <c r="AH432" s="594"/>
      <c r="AI432" s="594"/>
      <c r="AJ432" s="594"/>
      <c r="AK432" s="594"/>
      <c r="AL432" s="594"/>
      <c r="AM432" s="594"/>
      <c r="AN432" s="594"/>
      <c r="AO432" s="594"/>
      <c r="AP432" s="594"/>
      <c r="AQ432" s="594"/>
      <c r="AR432" s="594"/>
      <c r="AS432" s="594"/>
      <c r="AT432" s="594"/>
      <c r="AU432" s="594"/>
      <c r="AV432" s="594"/>
      <c r="AW432" s="594"/>
      <c r="AX432" s="594"/>
      <c r="AY432" s="594"/>
      <c r="AZ432" s="594"/>
      <c r="BA432" s="594"/>
      <c r="BB432" s="594"/>
      <c r="BC432" s="594"/>
      <c r="BD432" s="594"/>
      <c r="BE432" s="594"/>
      <c r="BF432" s="594"/>
      <c r="BG432" s="594"/>
      <c r="BH432" s="594"/>
      <c r="BI432" s="594"/>
      <c r="BJ432" s="594"/>
      <c r="BK432" s="594"/>
      <c r="BL432" s="57"/>
      <c r="BM432" s="594"/>
      <c r="BN432" s="594"/>
      <c r="BO432" s="594"/>
      <c r="BP432" s="594"/>
      <c r="BQ432" s="594"/>
      <c r="BR432" s="594"/>
      <c r="BS432" s="594"/>
      <c r="BT432" s="594"/>
      <c r="BU432" s="594"/>
      <c r="BV432" s="594"/>
      <c r="BW432" s="594"/>
      <c r="BX432" s="594"/>
      <c r="BY432" s="594"/>
      <c r="BZ432" s="594"/>
      <c r="CA432" s="594"/>
      <c r="CB432" s="594"/>
      <c r="CC432" s="594"/>
      <c r="CD432" s="594"/>
      <c r="CE432" s="594"/>
      <c r="CF432" s="594"/>
      <c r="CG432" s="594"/>
      <c r="CH432" s="594"/>
      <c r="CI432" s="594"/>
      <c r="CJ432" s="594"/>
      <c r="CK432" s="594"/>
      <c r="CL432" s="594"/>
      <c r="CM432" s="594"/>
      <c r="CN432" s="594"/>
      <c r="CO432" s="594"/>
      <c r="CP432" s="594"/>
      <c r="CQ432" s="594"/>
    </row>
    <row r="433" spans="1:95" ht="15" hidden="1" customHeight="1" outlineLevel="3">
      <c r="A433" s="709" t="s">
        <v>692</v>
      </c>
      <c r="B433" s="718">
        <f>IF($A432="",0,-SUMIF('C3 - Funcionários $'!$D$7:$D$121,$A432,'C3 - Funcionários $'!G$7:G$121))</f>
        <v>0</v>
      </c>
      <c r="C433" s="718">
        <f>IF($A432="",0,-SUMIF('C3 - Funcionários $'!$D$7:$D$121,$A432,'C3 - Funcionários $'!H$7:H$121))</f>
        <v>0</v>
      </c>
      <c r="D433" s="718">
        <f>IF($A432="",0,-SUMIF('C3 - Funcionários $'!$D$7:$D$121,$A432,'C3 - Funcionários $'!I$7:I$121))</f>
        <v>0</v>
      </c>
      <c r="E433" s="718">
        <f>IF($A432="",0,-SUMIF('C3 - Funcionários $'!$D$7:$D$121,$A432,'C3 - Funcionários $'!J$7:J$121))</f>
        <v>0</v>
      </c>
      <c r="F433" s="718">
        <f>IF($A432="",0,-SUMIF('C3 - Funcionários $'!$D$7:$D$121,$A432,'C3 - Funcionários $'!K$7:K$121))</f>
        <v>0</v>
      </c>
      <c r="G433" s="718">
        <f>IF($A432="",0,-SUMIF('C3 - Funcionários $'!$D$7:$D$121,$A432,'C3 - Funcionários $'!L$7:L$121))</f>
        <v>0</v>
      </c>
      <c r="H433" s="718">
        <f>IF($A432="",0,-SUMIF('C3 - Funcionários $'!$D$7:$D$121,$A432,'C3 - Funcionários $'!M$7:M$121))</f>
        <v>0</v>
      </c>
      <c r="I433" s="718">
        <f>IF($A432="",0,-SUMIF('C3 - Funcionários $'!$D$7:$D$121,$A432,'C3 - Funcionários $'!N$7:N$121))</f>
        <v>0</v>
      </c>
      <c r="J433" s="718">
        <f>IF($A432="",0,-SUMIF('C3 - Funcionários $'!$D$7:$D$121,$A432,'C3 - Funcionários $'!O$7:O$121))</f>
        <v>0</v>
      </c>
      <c r="K433" s="718">
        <f>IF($A432="",0,-SUMIF('C3 - Funcionários $'!$D$7:$D$121,$A432,'C3 - Funcionários $'!P$7:P$121))</f>
        <v>0</v>
      </c>
      <c r="L433" s="718">
        <f>IF($A432="",0,-SUMIF('C3 - Funcionários $'!$D$7:$D$121,$A432,'C3 - Funcionários $'!Q$7:Q$121))</f>
        <v>0</v>
      </c>
      <c r="M433" s="718">
        <f>IF($A432="",0,-SUMIF('C3 - Funcionários $'!$D$7:$D$121,$A432,'C3 - Funcionários $'!R$7:R$121))</f>
        <v>0</v>
      </c>
      <c r="N433" s="718">
        <f>IF($A432="",0,-SUMIF('C3 - Funcionários $'!$D$7:$D$121,$A432,'C3 - Funcionários $'!S$7:S$121))</f>
        <v>0</v>
      </c>
      <c r="O433" s="718">
        <f>IF($A432="",0,-SUMIF('C3 - Funcionários $'!$D$7:$D$121,$A432,'C3 - Funcionários $'!T$7:T$121))</f>
        <v>0</v>
      </c>
      <c r="P433" s="718">
        <f>IF($A432="",0,-SUMIF('C3 - Funcionários $'!$D$7:$D$121,$A432,'C3 - Funcionários $'!U$7:U$121))</f>
        <v>0</v>
      </c>
      <c r="Q433" s="718">
        <f>IF($A432="",0,-SUMIF('C3 - Funcionários $'!$D$7:$D$121,$A432,'C3 - Funcionários $'!V$7:V$121))</f>
        <v>0</v>
      </c>
      <c r="R433" s="718">
        <f>IF($A432="",0,-SUMIF('C3 - Funcionários $'!$D$7:$D$121,$A432,'C3 - Funcionários $'!W$7:W$121))</f>
        <v>0</v>
      </c>
      <c r="S433" s="718">
        <f>IF($A432="",0,-SUMIF('C3 - Funcionários $'!$D$7:$D$121,$A432,'C3 - Funcionários $'!X$7:X$121))</f>
        <v>0</v>
      </c>
      <c r="T433" s="718">
        <f>IF($A432="",0,-SUMIF('C3 - Funcionários $'!$D$7:$D$121,$A432,'C3 - Funcionários $'!Y$7:Y$121))</f>
        <v>0</v>
      </c>
      <c r="U433" s="718">
        <f>IF($A432="",0,-SUMIF('C3 - Funcionários $'!$D$7:$D$121,$A432,'C3 - Funcionários $'!Z$7:Z$121))</f>
        <v>0</v>
      </c>
      <c r="V433" s="718">
        <f>IF($A432="",0,-SUMIF('C3 - Funcionários $'!$D$7:$D$121,$A432,'C3 - Funcionários $'!AA$7:AA$121))</f>
        <v>0</v>
      </c>
      <c r="W433" s="718">
        <f>IF($A432="",0,-SUMIF('C3 - Funcionários $'!$D$7:$D$121,$A432,'C3 - Funcionários $'!AB$7:AB$121))</f>
        <v>0</v>
      </c>
      <c r="X433" s="718">
        <f>IF($A432="",0,-SUMIF('C3 - Funcionários $'!$D$7:$D$121,$A432,'C3 - Funcionários $'!AC$7:AC$121))</f>
        <v>0</v>
      </c>
      <c r="Y433" s="718">
        <f>IF($A432="",0,-SUMIF('C3 - Funcionários $'!$D$7:$D$121,$A432,'C3 - Funcionários $'!AD$7:AD$121))</f>
        <v>0</v>
      </c>
      <c r="Z433" s="718">
        <f>IF($A432="",0,-SUMIF('C3 - Funcionários $'!$D$7:$D$121,$A432,'C3 - Funcionários $'!AE$7:AE$121))</f>
        <v>0</v>
      </c>
      <c r="AA433" s="718">
        <f>IF($A432="",0,-SUMIF('C3 - Funcionários $'!$D$7:$D$121,$A432,'C3 - Funcionários $'!AF$7:AF$121))</f>
        <v>0</v>
      </c>
      <c r="AB433" s="718">
        <f>IF($A432="",0,-SUMIF('C3 - Funcionários $'!$D$7:$D$121,$A432,'C3 - Funcionários $'!AG$7:AG$121))</f>
        <v>0</v>
      </c>
      <c r="AC433" s="718">
        <f>IF($A432="",0,-SUMIF('C3 - Funcionários $'!$D$7:$D$121,$A432,'C3 - Funcionários $'!AH$7:AH$121))</f>
        <v>0</v>
      </c>
      <c r="AD433" s="718">
        <f>IF($A432="",0,-SUMIF('C3 - Funcionários $'!$D$7:$D$121,$A432,'C3 - Funcionários $'!AI$7:AI$121))</f>
        <v>0</v>
      </c>
      <c r="AE433" s="718">
        <f>IF($A432="",0,-SUMIF('C3 - Funcionários $'!$D$7:$D$121,$A432,'C3 - Funcionários $'!AJ$7:AJ$121))</f>
        <v>0</v>
      </c>
      <c r="AF433" s="594"/>
      <c r="AG433" s="594"/>
      <c r="AH433" s="594"/>
      <c r="AI433" s="594"/>
      <c r="AJ433" s="594"/>
      <c r="AK433" s="594"/>
      <c r="AL433" s="594"/>
      <c r="AM433" s="594"/>
      <c r="AN433" s="594"/>
      <c r="AO433" s="594"/>
      <c r="AP433" s="594"/>
      <c r="AQ433" s="594"/>
      <c r="AR433" s="594"/>
      <c r="AS433" s="594"/>
      <c r="AT433" s="594"/>
      <c r="AU433" s="594"/>
      <c r="AV433" s="594"/>
      <c r="AW433" s="594"/>
      <c r="AX433" s="594"/>
      <c r="AY433" s="594"/>
      <c r="AZ433" s="594"/>
      <c r="BA433" s="594"/>
      <c r="BB433" s="594"/>
      <c r="BC433" s="594"/>
      <c r="BD433" s="594"/>
      <c r="BE433" s="594"/>
      <c r="BF433" s="594"/>
      <c r="BG433" s="594"/>
      <c r="BH433" s="594"/>
      <c r="BI433" s="594"/>
      <c r="BJ433" s="594"/>
      <c r="BK433" s="594"/>
      <c r="BL433" s="57"/>
      <c r="BM433" s="594"/>
      <c r="BN433" s="594"/>
      <c r="BO433" s="594"/>
      <c r="BP433" s="594"/>
      <c r="BQ433" s="594"/>
      <c r="BR433" s="594"/>
      <c r="BS433" s="594"/>
      <c r="BT433" s="594"/>
      <c r="BU433" s="594"/>
      <c r="BV433" s="594"/>
      <c r="BW433" s="594"/>
      <c r="BX433" s="594"/>
      <c r="BY433" s="594"/>
      <c r="BZ433" s="594"/>
      <c r="CA433" s="594"/>
      <c r="CB433" s="594"/>
      <c r="CC433" s="594"/>
      <c r="CD433" s="594"/>
      <c r="CE433" s="594"/>
      <c r="CF433" s="594"/>
      <c r="CG433" s="594"/>
      <c r="CH433" s="594"/>
      <c r="CI433" s="594"/>
      <c r="CJ433" s="594"/>
      <c r="CK433" s="594"/>
      <c r="CL433" s="594"/>
      <c r="CM433" s="594"/>
      <c r="CN433" s="594"/>
      <c r="CO433" s="594"/>
      <c r="CP433" s="594"/>
      <c r="CQ433" s="594"/>
    </row>
    <row r="434" spans="1:95" ht="15" hidden="1" customHeight="1" outlineLevel="3">
      <c r="A434" s="709" t="s">
        <v>685</v>
      </c>
      <c r="B434" s="710">
        <f>-SUMIFS('B3 - Custos despesas indiretos'!AK$5:AK$148,'B3 - Custos despesas indiretos'!$B$5:$B$148,"Despesas",'B3 - Custos despesas indiretos'!$D$5:$D$148,$A432)-SUMIF('D2 - Capex uso'!C$6:C$176,$A432,'D2 - Capex uso'!GI$6:GI$176)</f>
        <v>-508869.80399999995</v>
      </c>
      <c r="C434" s="710">
        <f>-SUMIFS('B3 - Custos despesas indiretos'!AL$5:AL$148,'B3 - Custos despesas indiretos'!$B$5:$B$148,"Despesas",'B3 - Custos despesas indiretos'!$D$5:$D$148,$A432)-SUMIF('D2 - Capex uso'!D$6:D$176,$A432,'D2 - Capex uso'!GJ$6:GJ$176)</f>
        <v>-476529.80399999995</v>
      </c>
      <c r="D434" s="710">
        <f>-SUMIFS('B3 - Custos despesas indiretos'!AM$5:AM$148,'B3 - Custos despesas indiretos'!$B$5:$B$148,"Despesas",'B3 - Custos despesas indiretos'!$D$5:$D$148,$A432)-SUMIF('D2 - Capex uso'!E$6:E$176,$A432,'D2 - Capex uso'!GK$6:GK$176)</f>
        <v>-476529.80399999995</v>
      </c>
      <c r="E434" s="710">
        <f>-SUMIFS('B3 - Custos despesas indiretos'!AN$5:AN$148,'B3 - Custos despesas indiretos'!$B$5:$B$148,"Despesas",'B3 - Custos despesas indiretos'!$D$5:$D$148,$A432)-SUMIF('D2 - Capex uso'!F$6:F$176,$A432,'D2 - Capex uso'!GL$6:GL$176)</f>
        <v>-476529.80399999995</v>
      </c>
      <c r="F434" s="710">
        <f>-SUMIFS('B3 - Custos despesas indiretos'!AO$5:AO$148,'B3 - Custos despesas indiretos'!$B$5:$B$148,"Despesas",'B3 - Custos despesas indiretos'!$D$5:$D$148,$A432)-SUMIF('D2 - Capex uso'!G$6:G$176,$A432,'D2 - Capex uso'!GM$6:GM$176)</f>
        <v>-476529.80399999995</v>
      </c>
      <c r="G434" s="710">
        <f>-SUMIFS('B3 - Custos despesas indiretos'!AP$5:AP$148,'B3 - Custos despesas indiretos'!$B$5:$B$148,"Despesas",'B3 - Custos despesas indiretos'!$D$5:$D$148,$A432)-SUMIF('D2 - Capex uso'!H$6:H$176,$A432,'D2 - Capex uso'!GN$6:GN$176)</f>
        <v>-476529.80399999995</v>
      </c>
      <c r="H434" s="710">
        <f>-SUMIFS('B3 - Custos despesas indiretos'!AQ$5:AQ$148,'B3 - Custos despesas indiretos'!$B$5:$B$148,"Despesas",'B3 - Custos despesas indiretos'!$D$5:$D$148,$A432)-SUMIF('D2 - Capex uso'!I$6:I$176,$A432,'D2 - Capex uso'!GO$6:GO$176)</f>
        <v>-476529.80399999995</v>
      </c>
      <c r="I434" s="710">
        <f>-SUMIFS('B3 - Custos despesas indiretos'!AR$5:AR$148,'B3 - Custos despesas indiretos'!$B$5:$B$148,"Despesas",'B3 - Custos despesas indiretos'!$D$5:$D$148,$A432)-SUMIF('D2 - Capex uso'!J$6:J$176,$A432,'D2 - Capex uso'!GP$6:GP$176)</f>
        <v>-476529.80399999995</v>
      </c>
      <c r="J434" s="710">
        <f>-SUMIFS('B3 - Custos despesas indiretos'!AS$5:AS$148,'B3 - Custos despesas indiretos'!$B$5:$B$148,"Despesas",'B3 - Custos despesas indiretos'!$D$5:$D$148,$A432)-SUMIF('D2 - Capex uso'!K$6:K$176,$A432,'D2 - Capex uso'!GQ$6:GQ$176)</f>
        <v>-476529.80399999995</v>
      </c>
      <c r="K434" s="710">
        <f>-SUMIFS('B3 - Custos despesas indiretos'!AT$5:AT$148,'B3 - Custos despesas indiretos'!$B$5:$B$148,"Despesas",'B3 - Custos despesas indiretos'!$D$5:$D$148,$A432)-SUMIF('D2 - Capex uso'!L$6:L$176,$A432,'D2 - Capex uso'!GR$6:GR$176)</f>
        <v>-476529.80399999995</v>
      </c>
      <c r="L434" s="710">
        <f>-SUMIFS('B3 - Custos despesas indiretos'!AU$5:AU$148,'B3 - Custos despesas indiretos'!$B$5:$B$148,"Despesas",'B3 - Custos despesas indiretos'!$D$5:$D$148,$A432)-SUMIF('D2 - Capex uso'!M$6:M$176,$A432,'D2 - Capex uso'!GS$6:GS$176)</f>
        <v>-476529.80399999995</v>
      </c>
      <c r="M434" s="710">
        <f>-SUMIFS('B3 - Custos despesas indiretos'!AV$5:AV$148,'B3 - Custos despesas indiretos'!$B$5:$B$148,"Despesas",'B3 - Custos despesas indiretos'!$D$5:$D$148,$A432)-SUMIF('D2 - Capex uso'!N$6:N$176,$A432,'D2 - Capex uso'!GT$6:GT$176)</f>
        <v>-476529.80399999995</v>
      </c>
      <c r="N434" s="710">
        <f>-SUMIFS('B3 - Custos despesas indiretos'!AW$5:AW$148,'B3 - Custos despesas indiretos'!$B$5:$B$148,"Despesas",'B3 - Custos despesas indiretos'!$D$5:$D$148,$A432)-SUMIF('D2 - Capex uso'!O$6:O$176,$A432,'D2 - Capex uso'!GU$6:GU$176)</f>
        <v>-476529.80399999995</v>
      </c>
      <c r="O434" s="710">
        <f>-SUMIFS('B3 - Custos despesas indiretos'!AX$5:AX$148,'B3 - Custos despesas indiretos'!$B$5:$B$148,"Despesas",'B3 - Custos despesas indiretos'!$D$5:$D$148,$A432)-SUMIF('D2 - Capex uso'!P$6:P$176,$A432,'D2 - Capex uso'!GV$6:GV$176)</f>
        <v>-476529.80399999995</v>
      </c>
      <c r="P434" s="710">
        <f>-SUMIFS('B3 - Custos despesas indiretos'!AY$5:AY$148,'B3 - Custos despesas indiretos'!$B$5:$B$148,"Despesas",'B3 - Custos despesas indiretos'!$D$5:$D$148,$A432)-SUMIF('D2 - Capex uso'!Q$6:Q$176,$A432,'D2 - Capex uso'!GW$6:GW$176)</f>
        <v>-476529.80399999995</v>
      </c>
      <c r="Q434" s="710">
        <f>-SUMIFS('B3 - Custos despesas indiretos'!AZ$5:AZ$148,'B3 - Custos despesas indiretos'!$B$5:$B$148,"Despesas",'B3 - Custos despesas indiretos'!$D$5:$D$148,$A432)-SUMIF('D2 - Capex uso'!R$6:R$176,$A432,'D2 - Capex uso'!GX$6:GX$176)</f>
        <v>-476529.80399999995</v>
      </c>
      <c r="R434" s="710">
        <f>-SUMIFS('B3 - Custos despesas indiretos'!BA$5:BA$148,'B3 - Custos despesas indiretos'!$B$5:$B$148,"Despesas",'B3 - Custos despesas indiretos'!$D$5:$D$148,$A432)-SUMIF('D2 - Capex uso'!S$6:S$176,$A432,'D2 - Capex uso'!GY$6:GY$176)</f>
        <v>-476529.80399999995</v>
      </c>
      <c r="S434" s="710">
        <f>-SUMIFS('B3 - Custos despesas indiretos'!BB$5:BB$148,'B3 - Custos despesas indiretos'!$B$5:$B$148,"Despesas",'B3 - Custos despesas indiretos'!$D$5:$D$148,$A432)-SUMIF('D2 - Capex uso'!T$6:T$176,$A432,'D2 - Capex uso'!GZ$6:GZ$176)</f>
        <v>-476529.80399999995</v>
      </c>
      <c r="T434" s="710">
        <f>-SUMIFS('B3 - Custos despesas indiretos'!BC$5:BC$148,'B3 - Custos despesas indiretos'!$B$5:$B$148,"Despesas",'B3 - Custos despesas indiretos'!$D$5:$D$148,$A432)-SUMIF('D2 - Capex uso'!U$6:U$176,$A432,'D2 - Capex uso'!HA$6:HA$176)</f>
        <v>-476529.80399999995</v>
      </c>
      <c r="U434" s="710">
        <f>-SUMIFS('B3 - Custos despesas indiretos'!BD$5:BD$148,'B3 - Custos despesas indiretos'!$B$5:$B$148,"Despesas",'B3 - Custos despesas indiretos'!$D$5:$D$148,$A432)-SUMIF('D2 - Capex uso'!V$6:V$176,$A432,'D2 - Capex uso'!HB$6:HB$176)</f>
        <v>-476529.80399999995</v>
      </c>
      <c r="V434" s="710">
        <f>-SUMIFS('B3 - Custos despesas indiretos'!BE$5:BE$148,'B3 - Custos despesas indiretos'!$B$5:$B$148,"Despesas",'B3 - Custos despesas indiretos'!$D$5:$D$148,$A432)-SUMIF('D2 - Capex uso'!W$6:W$176,$A432,'D2 - Capex uso'!HC$6:HC$176)</f>
        <v>-476529.80399999995</v>
      </c>
      <c r="W434" s="710">
        <f>-SUMIFS('B3 - Custos despesas indiretos'!BF$5:BF$148,'B3 - Custos despesas indiretos'!$B$5:$B$148,"Despesas",'B3 - Custos despesas indiretos'!$D$5:$D$148,$A432)-SUMIF('D2 - Capex uso'!X$6:X$176,$A432,'D2 - Capex uso'!HD$6:HD$176)</f>
        <v>-476529.80399999995</v>
      </c>
      <c r="X434" s="710">
        <f>-SUMIFS('B3 - Custos despesas indiretos'!BG$5:BG$148,'B3 - Custos despesas indiretos'!$B$5:$B$148,"Despesas",'B3 - Custos despesas indiretos'!$D$5:$D$148,$A432)-SUMIF('D2 - Capex uso'!Y$6:Y$176,$A432,'D2 - Capex uso'!HE$6:HE$176)</f>
        <v>-476529.80399999995</v>
      </c>
      <c r="Y434" s="710">
        <f>-SUMIFS('B3 - Custos despesas indiretos'!BH$5:BH$148,'B3 - Custos despesas indiretos'!$B$5:$B$148,"Despesas",'B3 - Custos despesas indiretos'!$D$5:$D$148,$A432)-SUMIF('D2 - Capex uso'!Z$6:Z$176,$A432,'D2 - Capex uso'!HF$6:HF$176)</f>
        <v>-476529.80399999995</v>
      </c>
      <c r="Z434" s="710">
        <f>-SUMIFS('B3 - Custos despesas indiretos'!BI$5:BI$148,'B3 - Custos despesas indiretos'!$B$5:$B$148,"Despesas",'B3 - Custos despesas indiretos'!$D$5:$D$148,$A432)-SUMIF('D2 - Capex uso'!AA$6:AA$176,$A432,'D2 - Capex uso'!HG$6:HG$176)</f>
        <v>-476529.80399999995</v>
      </c>
      <c r="AA434" s="710">
        <f>-SUMIFS('B3 - Custos despesas indiretos'!BJ$5:BJ$148,'B3 - Custos despesas indiretos'!$B$5:$B$148,"Despesas",'B3 - Custos despesas indiretos'!$D$5:$D$148,$A432)-SUMIF('D2 - Capex uso'!AB$6:AB$176,$A432,'D2 - Capex uso'!HH$6:HH$176)</f>
        <v>-476529.80399999995</v>
      </c>
      <c r="AB434" s="710">
        <f>-SUMIFS('B3 - Custos despesas indiretos'!BK$5:BK$148,'B3 - Custos despesas indiretos'!$B$5:$B$148,"Despesas",'B3 - Custos despesas indiretos'!$D$5:$D$148,$A432)-SUMIF('D2 - Capex uso'!AC$6:AC$176,$A432,'D2 - Capex uso'!HI$6:HI$176)</f>
        <v>-476529.80399999995</v>
      </c>
      <c r="AC434" s="710">
        <f>-SUMIFS('B3 - Custos despesas indiretos'!BL$5:BL$148,'B3 - Custos despesas indiretos'!$B$5:$B$148,"Despesas",'B3 - Custos despesas indiretos'!$D$5:$D$148,$A432)-SUMIF('D2 - Capex uso'!AD$6:AD$176,$A432,'D2 - Capex uso'!HJ$6:HJ$176)</f>
        <v>-476529.80399999995</v>
      </c>
      <c r="AD434" s="710">
        <f>-SUMIFS('B3 - Custos despesas indiretos'!BM$5:BM$148,'B3 - Custos despesas indiretos'!$B$5:$B$148,"Despesas",'B3 - Custos despesas indiretos'!$D$5:$D$148,$A432)-SUMIF('D2 - Capex uso'!AE$6:AE$176,$A432,'D2 - Capex uso'!HK$6:HK$176)</f>
        <v>-476529.80399999995</v>
      </c>
      <c r="AE434" s="710">
        <f>-SUMIFS('B3 - Custos despesas indiretos'!BN$5:BN$148,'B3 - Custos despesas indiretos'!$B$5:$B$148,"Despesas",'B3 - Custos despesas indiretos'!$D$5:$D$148,$A432)-SUMIF('D2 - Capex uso'!AF$6:AF$176,$A432,'D2 - Capex uso'!HL$6:HL$176)</f>
        <v>-476529.80399999995</v>
      </c>
      <c r="AF434" s="594"/>
      <c r="AG434" s="594"/>
      <c r="AH434" s="594"/>
      <c r="AI434" s="594"/>
      <c r="AJ434" s="594"/>
      <c r="AK434" s="594"/>
      <c r="AL434" s="594"/>
      <c r="AM434" s="594"/>
      <c r="AN434" s="594"/>
      <c r="AO434" s="594"/>
      <c r="AP434" s="594"/>
      <c r="AQ434" s="594"/>
      <c r="AR434" s="594"/>
      <c r="AS434" s="594"/>
      <c r="AT434" s="594"/>
      <c r="AU434" s="594"/>
      <c r="AV434" s="594"/>
      <c r="AW434" s="594"/>
      <c r="AX434" s="594"/>
      <c r="AY434" s="594"/>
      <c r="AZ434" s="594"/>
      <c r="BA434" s="594"/>
      <c r="BB434" s="594"/>
      <c r="BC434" s="594"/>
      <c r="BD434" s="594"/>
      <c r="BE434" s="594"/>
      <c r="BF434" s="594"/>
      <c r="BG434" s="594"/>
      <c r="BH434" s="594"/>
      <c r="BI434" s="594"/>
      <c r="BJ434" s="594"/>
      <c r="BK434" s="594"/>
      <c r="BL434" s="57"/>
      <c r="BM434" s="594"/>
      <c r="BN434" s="594"/>
      <c r="BO434" s="594"/>
      <c r="BP434" s="594"/>
      <c r="BQ434" s="594"/>
      <c r="BR434" s="594"/>
      <c r="BS434" s="594"/>
      <c r="BT434" s="594"/>
      <c r="BU434" s="594"/>
      <c r="BV434" s="594"/>
      <c r="BW434" s="594"/>
      <c r="BX434" s="594"/>
      <c r="BY434" s="594"/>
      <c r="BZ434" s="594"/>
      <c r="CA434" s="594"/>
      <c r="CB434" s="594"/>
      <c r="CC434" s="594"/>
      <c r="CD434" s="594"/>
      <c r="CE434" s="594"/>
      <c r="CF434" s="594"/>
      <c r="CG434" s="594"/>
      <c r="CH434" s="594"/>
      <c r="CI434" s="594"/>
      <c r="CJ434" s="594"/>
      <c r="CK434" s="594"/>
      <c r="CL434" s="594"/>
      <c r="CM434" s="594"/>
      <c r="CN434" s="594"/>
      <c r="CO434" s="594"/>
      <c r="CP434" s="594"/>
      <c r="CQ434" s="594"/>
    </row>
    <row r="435" spans="1:95" ht="15" hidden="1" customHeight="1" outlineLevel="2">
      <c r="A435" s="709" t="s">
        <v>231</v>
      </c>
      <c r="B435" s="717">
        <f t="shared" ref="B435:AE435" si="154">SUM(B436:B437)</f>
        <v>-30000</v>
      </c>
      <c r="C435" s="717">
        <f t="shared" si="154"/>
        <v>-30000</v>
      </c>
      <c r="D435" s="717">
        <f t="shared" si="154"/>
        <v>-30000</v>
      </c>
      <c r="E435" s="717">
        <f t="shared" si="154"/>
        <v>-30000</v>
      </c>
      <c r="F435" s="717">
        <f t="shared" si="154"/>
        <v>-30000</v>
      </c>
      <c r="G435" s="717">
        <f t="shared" si="154"/>
        <v>-30000</v>
      </c>
      <c r="H435" s="717">
        <f t="shared" si="154"/>
        <v>-30000</v>
      </c>
      <c r="I435" s="717">
        <f t="shared" si="154"/>
        <v>-30000</v>
      </c>
      <c r="J435" s="717">
        <f t="shared" si="154"/>
        <v>-30000</v>
      </c>
      <c r="K435" s="717">
        <f t="shared" si="154"/>
        <v>-30000</v>
      </c>
      <c r="L435" s="717">
        <f t="shared" si="154"/>
        <v>-30000</v>
      </c>
      <c r="M435" s="717">
        <f t="shared" si="154"/>
        <v>-30000</v>
      </c>
      <c r="N435" s="717">
        <f t="shared" si="154"/>
        <v>-30000</v>
      </c>
      <c r="O435" s="717">
        <f t="shared" si="154"/>
        <v>-30000</v>
      </c>
      <c r="P435" s="717">
        <f t="shared" si="154"/>
        <v>-30000</v>
      </c>
      <c r="Q435" s="717">
        <f t="shared" si="154"/>
        <v>-30000</v>
      </c>
      <c r="R435" s="717">
        <f t="shared" si="154"/>
        <v>-30000</v>
      </c>
      <c r="S435" s="717">
        <f t="shared" si="154"/>
        <v>-30000</v>
      </c>
      <c r="T435" s="717">
        <f t="shared" si="154"/>
        <v>-30000</v>
      </c>
      <c r="U435" s="717">
        <f t="shared" si="154"/>
        <v>-30000</v>
      </c>
      <c r="V435" s="717">
        <f t="shared" si="154"/>
        <v>-30000</v>
      </c>
      <c r="W435" s="717">
        <f t="shared" si="154"/>
        <v>-30000</v>
      </c>
      <c r="X435" s="717">
        <f t="shared" si="154"/>
        <v>-30000</v>
      </c>
      <c r="Y435" s="717">
        <f t="shared" si="154"/>
        <v>-30000</v>
      </c>
      <c r="Z435" s="717">
        <f t="shared" si="154"/>
        <v>-30000</v>
      </c>
      <c r="AA435" s="717">
        <f t="shared" si="154"/>
        <v>-30000</v>
      </c>
      <c r="AB435" s="717">
        <f t="shared" si="154"/>
        <v>-30000</v>
      </c>
      <c r="AC435" s="717">
        <f t="shared" si="154"/>
        <v>-30000</v>
      </c>
      <c r="AD435" s="717">
        <f t="shared" si="154"/>
        <v>-30000</v>
      </c>
      <c r="AE435" s="717">
        <f t="shared" si="154"/>
        <v>-30000</v>
      </c>
      <c r="AF435" s="594"/>
      <c r="AG435" s="594"/>
      <c r="AH435" s="594"/>
      <c r="AI435" s="594"/>
      <c r="AJ435" s="594"/>
      <c r="AK435" s="594"/>
      <c r="AL435" s="594"/>
      <c r="AM435" s="594"/>
      <c r="AN435" s="594"/>
      <c r="AO435" s="594"/>
      <c r="AP435" s="594"/>
      <c r="AQ435" s="594"/>
      <c r="AR435" s="594"/>
      <c r="AS435" s="594"/>
      <c r="AT435" s="594"/>
      <c r="AU435" s="594"/>
      <c r="AV435" s="594"/>
      <c r="AW435" s="594"/>
      <c r="AX435" s="594"/>
      <c r="AY435" s="594"/>
      <c r="AZ435" s="594"/>
      <c r="BA435" s="594"/>
      <c r="BB435" s="594"/>
      <c r="BC435" s="594"/>
      <c r="BD435" s="594"/>
      <c r="BE435" s="594"/>
      <c r="BF435" s="594"/>
      <c r="BG435" s="594"/>
      <c r="BH435" s="594"/>
      <c r="BI435" s="594"/>
      <c r="BJ435" s="594"/>
      <c r="BK435" s="594"/>
      <c r="BL435" s="57"/>
      <c r="BM435" s="594"/>
      <c r="BN435" s="594"/>
      <c r="BO435" s="594"/>
      <c r="BP435" s="594"/>
      <c r="BQ435" s="594"/>
      <c r="BR435" s="594"/>
      <c r="BS435" s="594"/>
      <c r="BT435" s="594"/>
      <c r="BU435" s="594"/>
      <c r="BV435" s="594"/>
      <c r="BW435" s="594"/>
      <c r="BX435" s="594"/>
      <c r="BY435" s="594"/>
      <c r="BZ435" s="594"/>
      <c r="CA435" s="594"/>
      <c r="CB435" s="594"/>
      <c r="CC435" s="594"/>
      <c r="CD435" s="594"/>
      <c r="CE435" s="594"/>
      <c r="CF435" s="594"/>
      <c r="CG435" s="594"/>
      <c r="CH435" s="594"/>
      <c r="CI435" s="594"/>
      <c r="CJ435" s="594"/>
      <c r="CK435" s="594"/>
      <c r="CL435" s="594"/>
      <c r="CM435" s="594"/>
      <c r="CN435" s="594"/>
      <c r="CO435" s="594"/>
      <c r="CP435" s="594"/>
      <c r="CQ435" s="594"/>
    </row>
    <row r="436" spans="1:95" ht="15" hidden="1" customHeight="1" outlineLevel="3">
      <c r="A436" s="709" t="s">
        <v>692</v>
      </c>
      <c r="B436" s="718">
        <f>IF($A435="",0,-SUMIF('C3 - Funcionários $'!$D$7:$D$121,$A435,'C3 - Funcionários $'!G$7:G$121))</f>
        <v>0</v>
      </c>
      <c r="C436" s="718">
        <f>IF($A435="",0,-SUMIF('C3 - Funcionários $'!$D$7:$D$121,$A435,'C3 - Funcionários $'!H$7:H$121))</f>
        <v>0</v>
      </c>
      <c r="D436" s="718">
        <f>IF($A435="",0,-SUMIF('C3 - Funcionários $'!$D$7:$D$121,$A435,'C3 - Funcionários $'!I$7:I$121))</f>
        <v>0</v>
      </c>
      <c r="E436" s="718">
        <f>IF($A435="",0,-SUMIF('C3 - Funcionários $'!$D$7:$D$121,$A435,'C3 - Funcionários $'!J$7:J$121))</f>
        <v>0</v>
      </c>
      <c r="F436" s="718">
        <f>IF($A435="",0,-SUMIF('C3 - Funcionários $'!$D$7:$D$121,$A435,'C3 - Funcionários $'!K$7:K$121))</f>
        <v>0</v>
      </c>
      <c r="G436" s="718">
        <f>IF($A435="",0,-SUMIF('C3 - Funcionários $'!$D$7:$D$121,$A435,'C3 - Funcionários $'!L$7:L$121))</f>
        <v>0</v>
      </c>
      <c r="H436" s="718">
        <f>IF($A435="",0,-SUMIF('C3 - Funcionários $'!$D$7:$D$121,$A435,'C3 - Funcionários $'!M$7:M$121))</f>
        <v>0</v>
      </c>
      <c r="I436" s="718">
        <f>IF($A435="",0,-SUMIF('C3 - Funcionários $'!$D$7:$D$121,$A435,'C3 - Funcionários $'!N$7:N$121))</f>
        <v>0</v>
      </c>
      <c r="J436" s="718">
        <f>IF($A435="",0,-SUMIF('C3 - Funcionários $'!$D$7:$D$121,$A435,'C3 - Funcionários $'!O$7:O$121))</f>
        <v>0</v>
      </c>
      <c r="K436" s="718">
        <f>IF($A435="",0,-SUMIF('C3 - Funcionários $'!$D$7:$D$121,$A435,'C3 - Funcionários $'!P$7:P$121))</f>
        <v>0</v>
      </c>
      <c r="L436" s="718">
        <f>IF($A435="",0,-SUMIF('C3 - Funcionários $'!$D$7:$D$121,$A435,'C3 - Funcionários $'!Q$7:Q$121))</f>
        <v>0</v>
      </c>
      <c r="M436" s="718">
        <f>IF($A435="",0,-SUMIF('C3 - Funcionários $'!$D$7:$D$121,$A435,'C3 - Funcionários $'!R$7:R$121))</f>
        <v>0</v>
      </c>
      <c r="N436" s="718">
        <f>IF($A435="",0,-SUMIF('C3 - Funcionários $'!$D$7:$D$121,$A435,'C3 - Funcionários $'!S$7:S$121))</f>
        <v>0</v>
      </c>
      <c r="O436" s="718">
        <f>IF($A435="",0,-SUMIF('C3 - Funcionários $'!$D$7:$D$121,$A435,'C3 - Funcionários $'!T$7:T$121))</f>
        <v>0</v>
      </c>
      <c r="P436" s="718">
        <f>IF($A435="",0,-SUMIF('C3 - Funcionários $'!$D$7:$D$121,$A435,'C3 - Funcionários $'!U$7:U$121))</f>
        <v>0</v>
      </c>
      <c r="Q436" s="718">
        <f>IF($A435="",0,-SUMIF('C3 - Funcionários $'!$D$7:$D$121,$A435,'C3 - Funcionários $'!V$7:V$121))</f>
        <v>0</v>
      </c>
      <c r="R436" s="718">
        <f>IF($A435="",0,-SUMIF('C3 - Funcionários $'!$D$7:$D$121,$A435,'C3 - Funcionários $'!W$7:W$121))</f>
        <v>0</v>
      </c>
      <c r="S436" s="718">
        <f>IF($A435="",0,-SUMIF('C3 - Funcionários $'!$D$7:$D$121,$A435,'C3 - Funcionários $'!X$7:X$121))</f>
        <v>0</v>
      </c>
      <c r="T436" s="718">
        <f>IF($A435="",0,-SUMIF('C3 - Funcionários $'!$D$7:$D$121,$A435,'C3 - Funcionários $'!Y$7:Y$121))</f>
        <v>0</v>
      </c>
      <c r="U436" s="718">
        <f>IF($A435="",0,-SUMIF('C3 - Funcionários $'!$D$7:$D$121,$A435,'C3 - Funcionários $'!Z$7:Z$121))</f>
        <v>0</v>
      </c>
      <c r="V436" s="718">
        <f>IF($A435="",0,-SUMIF('C3 - Funcionários $'!$D$7:$D$121,$A435,'C3 - Funcionários $'!AA$7:AA$121))</f>
        <v>0</v>
      </c>
      <c r="W436" s="718">
        <f>IF($A435="",0,-SUMIF('C3 - Funcionários $'!$D$7:$D$121,$A435,'C3 - Funcionários $'!AB$7:AB$121))</f>
        <v>0</v>
      </c>
      <c r="X436" s="718">
        <f>IF($A435="",0,-SUMIF('C3 - Funcionários $'!$D$7:$D$121,$A435,'C3 - Funcionários $'!AC$7:AC$121))</f>
        <v>0</v>
      </c>
      <c r="Y436" s="718">
        <f>IF($A435="",0,-SUMIF('C3 - Funcionários $'!$D$7:$D$121,$A435,'C3 - Funcionários $'!AD$7:AD$121))</f>
        <v>0</v>
      </c>
      <c r="Z436" s="718">
        <f>IF($A435="",0,-SUMIF('C3 - Funcionários $'!$D$7:$D$121,$A435,'C3 - Funcionários $'!AE$7:AE$121))</f>
        <v>0</v>
      </c>
      <c r="AA436" s="718">
        <f>IF($A435="",0,-SUMIF('C3 - Funcionários $'!$D$7:$D$121,$A435,'C3 - Funcionários $'!AF$7:AF$121))</f>
        <v>0</v>
      </c>
      <c r="AB436" s="718">
        <f>IF($A435="",0,-SUMIF('C3 - Funcionários $'!$D$7:$D$121,$A435,'C3 - Funcionários $'!AG$7:AG$121))</f>
        <v>0</v>
      </c>
      <c r="AC436" s="718">
        <f>IF($A435="",0,-SUMIF('C3 - Funcionários $'!$D$7:$D$121,$A435,'C3 - Funcionários $'!AH$7:AH$121))</f>
        <v>0</v>
      </c>
      <c r="AD436" s="718">
        <f>IF($A435="",0,-SUMIF('C3 - Funcionários $'!$D$7:$D$121,$A435,'C3 - Funcionários $'!AI$7:AI$121))</f>
        <v>0</v>
      </c>
      <c r="AE436" s="718">
        <f>IF($A435="",0,-SUMIF('C3 - Funcionários $'!$D$7:$D$121,$A435,'C3 - Funcionários $'!AJ$7:AJ$121))</f>
        <v>0</v>
      </c>
      <c r="AF436" s="594"/>
      <c r="AG436" s="594"/>
      <c r="AH436" s="594"/>
      <c r="AI436" s="594"/>
      <c r="AJ436" s="594"/>
      <c r="AK436" s="594"/>
      <c r="AL436" s="594"/>
      <c r="AM436" s="594"/>
      <c r="AN436" s="594"/>
      <c r="AO436" s="594"/>
      <c r="AP436" s="594"/>
      <c r="AQ436" s="594"/>
      <c r="AR436" s="594"/>
      <c r="AS436" s="594"/>
      <c r="AT436" s="594"/>
      <c r="AU436" s="594"/>
      <c r="AV436" s="594"/>
      <c r="AW436" s="594"/>
      <c r="AX436" s="594"/>
      <c r="AY436" s="594"/>
      <c r="AZ436" s="594"/>
      <c r="BA436" s="594"/>
      <c r="BB436" s="594"/>
      <c r="BC436" s="594"/>
      <c r="BD436" s="594"/>
      <c r="BE436" s="594"/>
      <c r="BF436" s="594"/>
      <c r="BG436" s="594"/>
      <c r="BH436" s="594"/>
      <c r="BI436" s="594"/>
      <c r="BJ436" s="594"/>
      <c r="BK436" s="594"/>
      <c r="BL436" s="57"/>
      <c r="BM436" s="594"/>
      <c r="BN436" s="594"/>
      <c r="BO436" s="594"/>
      <c r="BP436" s="594"/>
      <c r="BQ436" s="594"/>
      <c r="BR436" s="594"/>
      <c r="BS436" s="594"/>
      <c r="BT436" s="594"/>
      <c r="BU436" s="594"/>
      <c r="BV436" s="594"/>
      <c r="BW436" s="594"/>
      <c r="BX436" s="594"/>
      <c r="BY436" s="594"/>
      <c r="BZ436" s="594"/>
      <c r="CA436" s="594"/>
      <c r="CB436" s="594"/>
      <c r="CC436" s="594"/>
      <c r="CD436" s="594"/>
      <c r="CE436" s="594"/>
      <c r="CF436" s="594"/>
      <c r="CG436" s="594"/>
      <c r="CH436" s="594"/>
      <c r="CI436" s="594"/>
      <c r="CJ436" s="594"/>
      <c r="CK436" s="594"/>
      <c r="CL436" s="594"/>
      <c r="CM436" s="594"/>
      <c r="CN436" s="594"/>
      <c r="CO436" s="594"/>
      <c r="CP436" s="594"/>
      <c r="CQ436" s="594"/>
    </row>
    <row r="437" spans="1:95" ht="15" hidden="1" customHeight="1" outlineLevel="3">
      <c r="A437" s="709" t="s">
        <v>685</v>
      </c>
      <c r="B437" s="710">
        <f>-SUMIFS('B3 - Custos despesas indiretos'!AK$5:AK$148,'B3 - Custos despesas indiretos'!$B$5:$B$148,"Despesas",'B3 - Custos despesas indiretos'!$D$5:$D$148,$A435)+SUMIF('D2 - Capex uso'!C$6:C$176,$A435,'D2 - Capex uso'!GI$6:GI$176)</f>
        <v>-30000</v>
      </c>
      <c r="C437" s="710">
        <f>-SUMIFS('B3 - Custos despesas indiretos'!AL$5:AL$148,'B3 - Custos despesas indiretos'!$B$5:$B$148,"Despesas",'B3 - Custos despesas indiretos'!$D$5:$D$148,$A435)+SUMIF('D2 - Capex uso'!D$6:D$176,$A435,'D2 - Capex uso'!GJ$6:GJ$176)</f>
        <v>-30000</v>
      </c>
      <c r="D437" s="710">
        <f>-SUMIFS('B3 - Custos despesas indiretos'!AM$5:AM$148,'B3 - Custos despesas indiretos'!$B$5:$B$148,"Despesas",'B3 - Custos despesas indiretos'!$D$5:$D$148,$A435)+SUMIF('D2 - Capex uso'!E$6:E$176,$A435,'D2 - Capex uso'!GK$6:GK$176)</f>
        <v>-30000</v>
      </c>
      <c r="E437" s="710">
        <f>-SUMIFS('B3 - Custos despesas indiretos'!AN$5:AN$148,'B3 - Custos despesas indiretos'!$B$5:$B$148,"Despesas",'B3 - Custos despesas indiretos'!$D$5:$D$148,$A435)+SUMIF('D2 - Capex uso'!F$6:F$176,$A435,'D2 - Capex uso'!GL$6:GL$176)</f>
        <v>-30000</v>
      </c>
      <c r="F437" s="710">
        <f>-SUMIFS('B3 - Custos despesas indiretos'!AO$5:AO$148,'B3 - Custos despesas indiretos'!$B$5:$B$148,"Despesas",'B3 - Custos despesas indiretos'!$D$5:$D$148,$A435)+SUMIF('D2 - Capex uso'!G$6:G$176,$A435,'D2 - Capex uso'!GM$6:GM$176)</f>
        <v>-30000</v>
      </c>
      <c r="G437" s="710">
        <f>-SUMIFS('B3 - Custos despesas indiretos'!AP$5:AP$148,'B3 - Custos despesas indiretos'!$B$5:$B$148,"Despesas",'B3 - Custos despesas indiretos'!$D$5:$D$148,$A435)+SUMIF('D2 - Capex uso'!H$6:H$176,$A435,'D2 - Capex uso'!GN$6:GN$176)</f>
        <v>-30000</v>
      </c>
      <c r="H437" s="710">
        <f>-SUMIFS('B3 - Custos despesas indiretos'!AQ$5:AQ$148,'B3 - Custos despesas indiretos'!$B$5:$B$148,"Despesas",'B3 - Custos despesas indiretos'!$D$5:$D$148,$A435)+SUMIF('D2 - Capex uso'!I$6:I$176,$A435,'D2 - Capex uso'!GO$6:GO$176)</f>
        <v>-30000</v>
      </c>
      <c r="I437" s="710">
        <f>-SUMIFS('B3 - Custos despesas indiretos'!AR$5:AR$148,'B3 - Custos despesas indiretos'!$B$5:$B$148,"Despesas",'B3 - Custos despesas indiretos'!$D$5:$D$148,$A435)+SUMIF('D2 - Capex uso'!J$6:J$176,$A435,'D2 - Capex uso'!GP$6:GP$176)</f>
        <v>-30000</v>
      </c>
      <c r="J437" s="710">
        <f>-SUMIFS('B3 - Custos despesas indiretos'!AS$5:AS$148,'B3 - Custos despesas indiretos'!$B$5:$B$148,"Despesas",'B3 - Custos despesas indiretos'!$D$5:$D$148,$A435)+SUMIF('D2 - Capex uso'!K$6:K$176,$A435,'D2 - Capex uso'!GQ$6:GQ$176)</f>
        <v>-30000</v>
      </c>
      <c r="K437" s="710">
        <f>-SUMIFS('B3 - Custos despesas indiretos'!AT$5:AT$148,'B3 - Custos despesas indiretos'!$B$5:$B$148,"Despesas",'B3 - Custos despesas indiretos'!$D$5:$D$148,$A435)+SUMIF('D2 - Capex uso'!L$6:L$176,$A435,'D2 - Capex uso'!GR$6:GR$176)</f>
        <v>-30000</v>
      </c>
      <c r="L437" s="710">
        <f>-SUMIFS('B3 - Custos despesas indiretos'!AU$5:AU$148,'B3 - Custos despesas indiretos'!$B$5:$B$148,"Despesas",'B3 - Custos despesas indiretos'!$D$5:$D$148,$A435)+SUMIF('D2 - Capex uso'!M$6:M$176,$A435,'D2 - Capex uso'!GS$6:GS$176)</f>
        <v>-30000</v>
      </c>
      <c r="M437" s="710">
        <f>-SUMIFS('B3 - Custos despesas indiretos'!AV$5:AV$148,'B3 - Custos despesas indiretos'!$B$5:$B$148,"Despesas",'B3 - Custos despesas indiretos'!$D$5:$D$148,$A435)+SUMIF('D2 - Capex uso'!N$6:N$176,$A435,'D2 - Capex uso'!GT$6:GT$176)</f>
        <v>-30000</v>
      </c>
      <c r="N437" s="710">
        <f>-SUMIFS('B3 - Custos despesas indiretos'!AW$5:AW$148,'B3 - Custos despesas indiretos'!$B$5:$B$148,"Despesas",'B3 - Custos despesas indiretos'!$D$5:$D$148,$A435)+SUMIF('D2 - Capex uso'!O$6:O$176,$A435,'D2 - Capex uso'!GU$6:GU$176)</f>
        <v>-30000</v>
      </c>
      <c r="O437" s="710">
        <f>-SUMIFS('B3 - Custos despesas indiretos'!AX$5:AX$148,'B3 - Custos despesas indiretos'!$B$5:$B$148,"Despesas",'B3 - Custos despesas indiretos'!$D$5:$D$148,$A435)+SUMIF('D2 - Capex uso'!P$6:P$176,$A435,'D2 - Capex uso'!GV$6:GV$176)</f>
        <v>-30000</v>
      </c>
      <c r="P437" s="710">
        <f>-SUMIFS('B3 - Custos despesas indiretos'!AY$5:AY$148,'B3 - Custos despesas indiretos'!$B$5:$B$148,"Despesas",'B3 - Custos despesas indiretos'!$D$5:$D$148,$A435)+SUMIF('D2 - Capex uso'!Q$6:Q$176,$A435,'D2 - Capex uso'!GW$6:GW$176)</f>
        <v>-30000</v>
      </c>
      <c r="Q437" s="710">
        <f>-SUMIFS('B3 - Custos despesas indiretos'!AZ$5:AZ$148,'B3 - Custos despesas indiretos'!$B$5:$B$148,"Despesas",'B3 - Custos despesas indiretos'!$D$5:$D$148,$A435)+SUMIF('D2 - Capex uso'!R$6:R$176,$A435,'D2 - Capex uso'!GX$6:GX$176)</f>
        <v>-30000</v>
      </c>
      <c r="R437" s="710">
        <f>-SUMIFS('B3 - Custos despesas indiretos'!BA$5:BA$148,'B3 - Custos despesas indiretos'!$B$5:$B$148,"Despesas",'B3 - Custos despesas indiretos'!$D$5:$D$148,$A435)+SUMIF('D2 - Capex uso'!S$6:S$176,$A435,'D2 - Capex uso'!GY$6:GY$176)</f>
        <v>-30000</v>
      </c>
      <c r="S437" s="710">
        <f>-SUMIFS('B3 - Custos despesas indiretos'!BB$5:BB$148,'B3 - Custos despesas indiretos'!$B$5:$B$148,"Despesas",'B3 - Custos despesas indiretos'!$D$5:$D$148,$A435)+SUMIF('D2 - Capex uso'!T$6:T$176,$A435,'D2 - Capex uso'!GZ$6:GZ$176)</f>
        <v>-30000</v>
      </c>
      <c r="T437" s="710">
        <f>-SUMIFS('B3 - Custos despesas indiretos'!BC$5:BC$148,'B3 - Custos despesas indiretos'!$B$5:$B$148,"Despesas",'B3 - Custos despesas indiretos'!$D$5:$D$148,$A435)+SUMIF('D2 - Capex uso'!U$6:U$176,$A435,'D2 - Capex uso'!HA$6:HA$176)</f>
        <v>-30000</v>
      </c>
      <c r="U437" s="710">
        <f>-SUMIFS('B3 - Custos despesas indiretos'!BD$5:BD$148,'B3 - Custos despesas indiretos'!$B$5:$B$148,"Despesas",'B3 - Custos despesas indiretos'!$D$5:$D$148,$A435)+SUMIF('D2 - Capex uso'!V$6:V$176,$A435,'D2 - Capex uso'!HB$6:HB$176)</f>
        <v>-30000</v>
      </c>
      <c r="V437" s="710">
        <f>-SUMIFS('B3 - Custos despesas indiretos'!BE$5:BE$148,'B3 - Custos despesas indiretos'!$B$5:$B$148,"Despesas",'B3 - Custos despesas indiretos'!$D$5:$D$148,$A435)+SUMIF('D2 - Capex uso'!W$6:W$176,$A435,'D2 - Capex uso'!HC$6:HC$176)</f>
        <v>-30000</v>
      </c>
      <c r="W437" s="710">
        <f>-SUMIFS('B3 - Custos despesas indiretos'!BF$5:BF$148,'B3 - Custos despesas indiretos'!$B$5:$B$148,"Despesas",'B3 - Custos despesas indiretos'!$D$5:$D$148,$A435)+SUMIF('D2 - Capex uso'!X$6:X$176,$A435,'D2 - Capex uso'!HD$6:HD$176)</f>
        <v>-30000</v>
      </c>
      <c r="X437" s="710">
        <f>-SUMIFS('B3 - Custos despesas indiretos'!BG$5:BG$148,'B3 - Custos despesas indiretos'!$B$5:$B$148,"Despesas",'B3 - Custos despesas indiretos'!$D$5:$D$148,$A435)+SUMIF('D2 - Capex uso'!Y$6:Y$176,$A435,'D2 - Capex uso'!HE$6:HE$176)</f>
        <v>-30000</v>
      </c>
      <c r="Y437" s="710">
        <f>-SUMIFS('B3 - Custos despesas indiretos'!BH$5:BH$148,'B3 - Custos despesas indiretos'!$B$5:$B$148,"Despesas",'B3 - Custos despesas indiretos'!$D$5:$D$148,$A435)+SUMIF('D2 - Capex uso'!Z$6:Z$176,$A435,'D2 - Capex uso'!HF$6:HF$176)</f>
        <v>-30000</v>
      </c>
      <c r="Z437" s="710">
        <f>-SUMIFS('B3 - Custos despesas indiretos'!BI$5:BI$148,'B3 - Custos despesas indiretos'!$B$5:$B$148,"Despesas",'B3 - Custos despesas indiretos'!$D$5:$D$148,$A435)+SUMIF('D2 - Capex uso'!AA$6:AA$176,$A435,'D2 - Capex uso'!HG$6:HG$176)</f>
        <v>-30000</v>
      </c>
      <c r="AA437" s="710">
        <f>-SUMIFS('B3 - Custos despesas indiretos'!BJ$5:BJ$148,'B3 - Custos despesas indiretos'!$B$5:$B$148,"Despesas",'B3 - Custos despesas indiretos'!$D$5:$D$148,$A435)+SUMIF('D2 - Capex uso'!AB$6:AB$176,$A435,'D2 - Capex uso'!HH$6:HH$176)</f>
        <v>-30000</v>
      </c>
      <c r="AB437" s="710">
        <f>-SUMIFS('B3 - Custos despesas indiretos'!BK$5:BK$148,'B3 - Custos despesas indiretos'!$B$5:$B$148,"Despesas",'B3 - Custos despesas indiretos'!$D$5:$D$148,$A435)+SUMIF('D2 - Capex uso'!AC$6:AC$176,$A435,'D2 - Capex uso'!HI$6:HI$176)</f>
        <v>-30000</v>
      </c>
      <c r="AC437" s="710">
        <f>-SUMIFS('B3 - Custos despesas indiretos'!BL$5:BL$148,'B3 - Custos despesas indiretos'!$B$5:$B$148,"Despesas",'B3 - Custos despesas indiretos'!$D$5:$D$148,$A435)+SUMIF('D2 - Capex uso'!AD$6:AD$176,$A435,'D2 - Capex uso'!HJ$6:HJ$176)</f>
        <v>-30000</v>
      </c>
      <c r="AD437" s="710">
        <f>-SUMIFS('B3 - Custos despesas indiretos'!BM$5:BM$148,'B3 - Custos despesas indiretos'!$B$5:$B$148,"Despesas",'B3 - Custos despesas indiretos'!$D$5:$D$148,$A435)+SUMIF('D2 - Capex uso'!AE$6:AE$176,$A435,'D2 - Capex uso'!HK$6:HK$176)</f>
        <v>-30000</v>
      </c>
      <c r="AE437" s="710">
        <f>-SUMIFS('B3 - Custos despesas indiretos'!BN$5:BN$148,'B3 - Custos despesas indiretos'!$B$5:$B$148,"Despesas",'B3 - Custos despesas indiretos'!$D$5:$D$148,$A435)+SUMIF('D2 - Capex uso'!AF$6:AF$176,$A435,'D2 - Capex uso'!HL$6:HL$176)</f>
        <v>-30000</v>
      </c>
      <c r="AF437" s="594"/>
      <c r="AG437" s="594"/>
      <c r="AH437" s="594"/>
      <c r="AI437" s="594"/>
      <c r="AJ437" s="594"/>
      <c r="AK437" s="594"/>
      <c r="AL437" s="594"/>
      <c r="AM437" s="594"/>
      <c r="AN437" s="594"/>
      <c r="AO437" s="594"/>
      <c r="AP437" s="594"/>
      <c r="AQ437" s="594"/>
      <c r="AR437" s="594"/>
      <c r="AS437" s="594"/>
      <c r="AT437" s="594"/>
      <c r="AU437" s="594"/>
      <c r="AV437" s="594"/>
      <c r="AW437" s="594"/>
      <c r="AX437" s="594"/>
      <c r="AY437" s="594"/>
      <c r="AZ437" s="594"/>
      <c r="BA437" s="594"/>
      <c r="BB437" s="594"/>
      <c r="BC437" s="594"/>
      <c r="BD437" s="594"/>
      <c r="BE437" s="594"/>
      <c r="BF437" s="594"/>
      <c r="BG437" s="594"/>
      <c r="BH437" s="594"/>
      <c r="BI437" s="594"/>
      <c r="BJ437" s="594"/>
      <c r="BK437" s="594"/>
      <c r="BL437" s="57"/>
      <c r="BM437" s="594"/>
      <c r="BN437" s="594"/>
      <c r="BO437" s="594"/>
      <c r="BP437" s="594"/>
      <c r="BQ437" s="594"/>
      <c r="BR437" s="594"/>
      <c r="BS437" s="594"/>
      <c r="BT437" s="594"/>
      <c r="BU437" s="594"/>
      <c r="BV437" s="594"/>
      <c r="BW437" s="594"/>
      <c r="BX437" s="594"/>
      <c r="BY437" s="594"/>
      <c r="BZ437" s="594"/>
      <c r="CA437" s="594"/>
      <c r="CB437" s="594"/>
      <c r="CC437" s="594"/>
      <c r="CD437" s="594"/>
      <c r="CE437" s="594"/>
      <c r="CF437" s="594"/>
      <c r="CG437" s="594"/>
      <c r="CH437" s="594"/>
      <c r="CI437" s="594"/>
      <c r="CJ437" s="594"/>
      <c r="CK437" s="594"/>
      <c r="CL437" s="594"/>
      <c r="CM437" s="594"/>
      <c r="CN437" s="594"/>
      <c r="CO437" s="594"/>
      <c r="CP437" s="594"/>
      <c r="CQ437" s="594"/>
    </row>
    <row r="438" spans="1:95" ht="15" hidden="1" customHeight="1" outlineLevel="2">
      <c r="A438" s="709" t="s">
        <v>697</v>
      </c>
      <c r="B438" s="717">
        <f t="shared" ref="B438:AE438" si="155">SUM(B439:B440)</f>
        <v>0</v>
      </c>
      <c r="C438" s="717">
        <f t="shared" si="155"/>
        <v>0</v>
      </c>
      <c r="D438" s="717">
        <f t="shared" si="155"/>
        <v>0</v>
      </c>
      <c r="E438" s="717">
        <f t="shared" si="155"/>
        <v>0</v>
      </c>
      <c r="F438" s="717">
        <f t="shared" si="155"/>
        <v>0</v>
      </c>
      <c r="G438" s="717">
        <f t="shared" si="155"/>
        <v>0</v>
      </c>
      <c r="H438" s="717">
        <f t="shared" si="155"/>
        <v>0</v>
      </c>
      <c r="I438" s="717">
        <f t="shared" si="155"/>
        <v>0</v>
      </c>
      <c r="J438" s="717">
        <f t="shared" si="155"/>
        <v>0</v>
      </c>
      <c r="K438" s="717">
        <f t="shared" si="155"/>
        <v>0</v>
      </c>
      <c r="L438" s="717">
        <f t="shared" si="155"/>
        <v>0</v>
      </c>
      <c r="M438" s="717">
        <f t="shared" si="155"/>
        <v>0</v>
      </c>
      <c r="N438" s="717">
        <f t="shared" si="155"/>
        <v>0</v>
      </c>
      <c r="O438" s="717">
        <f t="shared" si="155"/>
        <v>0</v>
      </c>
      <c r="P438" s="717">
        <f t="shared" si="155"/>
        <v>0</v>
      </c>
      <c r="Q438" s="717">
        <f t="shared" si="155"/>
        <v>0</v>
      </c>
      <c r="R438" s="717">
        <f t="shared" si="155"/>
        <v>0</v>
      </c>
      <c r="S438" s="717">
        <f t="shared" si="155"/>
        <v>0</v>
      </c>
      <c r="T438" s="717">
        <f t="shared" si="155"/>
        <v>0</v>
      </c>
      <c r="U438" s="717">
        <f t="shared" si="155"/>
        <v>0</v>
      </c>
      <c r="V438" s="717">
        <f t="shared" si="155"/>
        <v>0</v>
      </c>
      <c r="W438" s="717">
        <f t="shared" si="155"/>
        <v>0</v>
      </c>
      <c r="X438" s="717">
        <f t="shared" si="155"/>
        <v>0</v>
      </c>
      <c r="Y438" s="717">
        <f t="shared" si="155"/>
        <v>0</v>
      </c>
      <c r="Z438" s="717">
        <f t="shared" si="155"/>
        <v>0</v>
      </c>
      <c r="AA438" s="717">
        <f t="shared" si="155"/>
        <v>0</v>
      </c>
      <c r="AB438" s="717">
        <f t="shared" si="155"/>
        <v>0</v>
      </c>
      <c r="AC438" s="717">
        <f t="shared" si="155"/>
        <v>0</v>
      </c>
      <c r="AD438" s="717">
        <f t="shared" si="155"/>
        <v>0</v>
      </c>
      <c r="AE438" s="717">
        <f t="shared" si="155"/>
        <v>0</v>
      </c>
      <c r="AF438" s="594"/>
      <c r="AG438" s="594"/>
      <c r="AH438" s="594"/>
      <c r="AI438" s="594"/>
      <c r="AJ438" s="594"/>
      <c r="AK438" s="594"/>
      <c r="AL438" s="594"/>
      <c r="AM438" s="594"/>
      <c r="AN438" s="594"/>
      <c r="AO438" s="594"/>
      <c r="AP438" s="594"/>
      <c r="AQ438" s="594"/>
      <c r="AR438" s="594"/>
      <c r="AS438" s="594"/>
      <c r="AT438" s="594"/>
      <c r="AU438" s="594"/>
      <c r="AV438" s="594"/>
      <c r="AW438" s="594"/>
      <c r="AX438" s="594"/>
      <c r="AY438" s="594"/>
      <c r="AZ438" s="594"/>
      <c r="BA438" s="594"/>
      <c r="BB438" s="594"/>
      <c r="BC438" s="594"/>
      <c r="BD438" s="594"/>
      <c r="BE438" s="594"/>
      <c r="BF438" s="594"/>
      <c r="BG438" s="594"/>
      <c r="BH438" s="594"/>
      <c r="BI438" s="594"/>
      <c r="BJ438" s="594"/>
      <c r="BK438" s="594"/>
      <c r="BL438" s="57"/>
      <c r="BM438" s="594"/>
      <c r="BN438" s="594"/>
      <c r="BO438" s="594"/>
      <c r="BP438" s="594"/>
      <c r="BQ438" s="594"/>
      <c r="BR438" s="594"/>
      <c r="BS438" s="594"/>
      <c r="BT438" s="594"/>
      <c r="BU438" s="594"/>
      <c r="BV438" s="594"/>
      <c r="BW438" s="594"/>
      <c r="BX438" s="594"/>
      <c r="BY438" s="594"/>
      <c r="BZ438" s="594"/>
      <c r="CA438" s="594"/>
      <c r="CB438" s="594"/>
      <c r="CC438" s="594"/>
      <c r="CD438" s="594"/>
      <c r="CE438" s="594"/>
      <c r="CF438" s="594"/>
      <c r="CG438" s="594"/>
      <c r="CH438" s="594"/>
      <c r="CI438" s="594"/>
      <c r="CJ438" s="594"/>
      <c r="CK438" s="594"/>
      <c r="CL438" s="594"/>
      <c r="CM438" s="594"/>
      <c r="CN438" s="594"/>
      <c r="CO438" s="594"/>
      <c r="CP438" s="594"/>
      <c r="CQ438" s="594"/>
    </row>
    <row r="439" spans="1:95" ht="15" hidden="1" customHeight="1" outlineLevel="3">
      <c r="A439" s="709" t="s">
        <v>692</v>
      </c>
      <c r="B439" s="718">
        <f>IF($A438="",0,-SUMIF('C3 - Funcionários $'!$D$7:$D$121,$A438,'C3 - Funcionários $'!G$7:G$121))</f>
        <v>0</v>
      </c>
      <c r="C439" s="718">
        <f>IF($A438="",0,-SUMIF('C3 - Funcionários $'!$D$7:$D$121,$A438,'C3 - Funcionários $'!H$7:H$121))</f>
        <v>0</v>
      </c>
      <c r="D439" s="718">
        <f>IF($A438="",0,-SUMIF('C3 - Funcionários $'!$D$7:$D$121,$A438,'C3 - Funcionários $'!I$7:I$121))</f>
        <v>0</v>
      </c>
      <c r="E439" s="718">
        <f>IF($A438="",0,-SUMIF('C3 - Funcionários $'!$D$7:$D$121,$A438,'C3 - Funcionários $'!J$7:J$121))</f>
        <v>0</v>
      </c>
      <c r="F439" s="718">
        <f>IF($A438="",0,-SUMIF('C3 - Funcionários $'!$D$7:$D$121,$A438,'C3 - Funcionários $'!K$7:K$121))</f>
        <v>0</v>
      </c>
      <c r="G439" s="718">
        <f>IF($A438="",0,-SUMIF('C3 - Funcionários $'!$D$7:$D$121,$A438,'C3 - Funcionários $'!L$7:L$121))</f>
        <v>0</v>
      </c>
      <c r="H439" s="718">
        <f>IF($A438="",0,-SUMIF('C3 - Funcionários $'!$D$7:$D$121,$A438,'C3 - Funcionários $'!M$7:M$121))</f>
        <v>0</v>
      </c>
      <c r="I439" s="718">
        <f>IF($A438="",0,-SUMIF('C3 - Funcionários $'!$D$7:$D$121,$A438,'C3 - Funcionários $'!N$7:N$121))</f>
        <v>0</v>
      </c>
      <c r="J439" s="718">
        <f>IF($A438="",0,-SUMIF('C3 - Funcionários $'!$D$7:$D$121,$A438,'C3 - Funcionários $'!O$7:O$121))</f>
        <v>0</v>
      </c>
      <c r="K439" s="718">
        <f>IF($A438="",0,-SUMIF('C3 - Funcionários $'!$D$7:$D$121,$A438,'C3 - Funcionários $'!P$7:P$121))</f>
        <v>0</v>
      </c>
      <c r="L439" s="718">
        <f>IF($A438="",0,-SUMIF('C3 - Funcionários $'!$D$7:$D$121,$A438,'C3 - Funcionários $'!Q$7:Q$121))</f>
        <v>0</v>
      </c>
      <c r="M439" s="718">
        <f>IF($A438="",0,-SUMIF('C3 - Funcionários $'!$D$7:$D$121,$A438,'C3 - Funcionários $'!R$7:R$121))</f>
        <v>0</v>
      </c>
      <c r="N439" s="718">
        <f>IF($A438="",0,-SUMIF('C3 - Funcionários $'!$D$7:$D$121,$A438,'C3 - Funcionários $'!S$7:S$121))</f>
        <v>0</v>
      </c>
      <c r="O439" s="718">
        <f>IF($A438="",0,-SUMIF('C3 - Funcionários $'!$D$7:$D$121,$A438,'C3 - Funcionários $'!T$7:T$121))</f>
        <v>0</v>
      </c>
      <c r="P439" s="718">
        <f>IF($A438="",0,-SUMIF('C3 - Funcionários $'!$D$7:$D$121,$A438,'C3 - Funcionários $'!U$7:U$121))</f>
        <v>0</v>
      </c>
      <c r="Q439" s="718">
        <f>IF($A438="",0,-SUMIF('C3 - Funcionários $'!$D$7:$D$121,$A438,'C3 - Funcionários $'!V$7:V$121))</f>
        <v>0</v>
      </c>
      <c r="R439" s="718">
        <f>IF($A438="",0,-SUMIF('C3 - Funcionários $'!$D$7:$D$121,$A438,'C3 - Funcionários $'!W$7:W$121))</f>
        <v>0</v>
      </c>
      <c r="S439" s="718">
        <f>IF($A438="",0,-SUMIF('C3 - Funcionários $'!$D$7:$D$121,$A438,'C3 - Funcionários $'!X$7:X$121))</f>
        <v>0</v>
      </c>
      <c r="T439" s="718">
        <f>IF($A438="",0,-SUMIF('C3 - Funcionários $'!$D$7:$D$121,$A438,'C3 - Funcionários $'!Y$7:Y$121))</f>
        <v>0</v>
      </c>
      <c r="U439" s="718">
        <f>IF($A438="",0,-SUMIF('C3 - Funcionários $'!$D$7:$D$121,$A438,'C3 - Funcionários $'!Z$7:Z$121))</f>
        <v>0</v>
      </c>
      <c r="V439" s="718">
        <f>IF($A438="",0,-SUMIF('C3 - Funcionários $'!$D$7:$D$121,$A438,'C3 - Funcionários $'!AA$7:AA$121))</f>
        <v>0</v>
      </c>
      <c r="W439" s="718">
        <f>IF($A438="",0,-SUMIF('C3 - Funcionários $'!$D$7:$D$121,$A438,'C3 - Funcionários $'!AB$7:AB$121))</f>
        <v>0</v>
      </c>
      <c r="X439" s="718">
        <f>IF($A438="",0,-SUMIF('C3 - Funcionários $'!$D$7:$D$121,$A438,'C3 - Funcionários $'!AC$7:AC$121))</f>
        <v>0</v>
      </c>
      <c r="Y439" s="718">
        <f>IF($A438="",0,-SUMIF('C3 - Funcionários $'!$D$7:$D$121,$A438,'C3 - Funcionários $'!AD$7:AD$121))</f>
        <v>0</v>
      </c>
      <c r="Z439" s="718">
        <f>IF($A438="",0,-SUMIF('C3 - Funcionários $'!$D$7:$D$121,$A438,'C3 - Funcionários $'!AE$7:AE$121))</f>
        <v>0</v>
      </c>
      <c r="AA439" s="718">
        <f>IF($A438="",0,-SUMIF('C3 - Funcionários $'!$D$7:$D$121,$A438,'C3 - Funcionários $'!AF$7:AF$121))</f>
        <v>0</v>
      </c>
      <c r="AB439" s="718">
        <f>IF($A438="",0,-SUMIF('C3 - Funcionários $'!$D$7:$D$121,$A438,'C3 - Funcionários $'!AG$7:AG$121))</f>
        <v>0</v>
      </c>
      <c r="AC439" s="718">
        <f>IF($A438="",0,-SUMIF('C3 - Funcionários $'!$D$7:$D$121,$A438,'C3 - Funcionários $'!AH$7:AH$121))</f>
        <v>0</v>
      </c>
      <c r="AD439" s="718">
        <f>IF($A438="",0,-SUMIF('C3 - Funcionários $'!$D$7:$D$121,$A438,'C3 - Funcionários $'!AI$7:AI$121))</f>
        <v>0</v>
      </c>
      <c r="AE439" s="718">
        <f>IF($A438="",0,-SUMIF('C3 - Funcionários $'!$D$7:$D$121,$A438,'C3 - Funcionários $'!AJ$7:AJ$121))</f>
        <v>0</v>
      </c>
      <c r="AF439" s="594"/>
      <c r="AG439" s="594"/>
      <c r="AH439" s="594"/>
      <c r="AI439" s="594"/>
      <c r="AJ439" s="594"/>
      <c r="AK439" s="594"/>
      <c r="AL439" s="594"/>
      <c r="AM439" s="594"/>
      <c r="AN439" s="594"/>
      <c r="AO439" s="594"/>
      <c r="AP439" s="594"/>
      <c r="AQ439" s="594"/>
      <c r="AR439" s="594"/>
      <c r="AS439" s="594"/>
      <c r="AT439" s="594"/>
      <c r="AU439" s="594"/>
      <c r="AV439" s="594"/>
      <c r="AW439" s="594"/>
      <c r="AX439" s="594"/>
      <c r="AY439" s="594"/>
      <c r="AZ439" s="594"/>
      <c r="BA439" s="594"/>
      <c r="BB439" s="594"/>
      <c r="BC439" s="594"/>
      <c r="BD439" s="594"/>
      <c r="BE439" s="594"/>
      <c r="BF439" s="594"/>
      <c r="BG439" s="594"/>
      <c r="BH439" s="594"/>
      <c r="BI439" s="594"/>
      <c r="BJ439" s="594"/>
      <c r="BK439" s="594"/>
      <c r="BL439" s="57"/>
      <c r="BM439" s="594"/>
      <c r="BN439" s="594"/>
      <c r="BO439" s="594"/>
      <c r="BP439" s="594"/>
      <c r="BQ439" s="594"/>
      <c r="BR439" s="594"/>
      <c r="BS439" s="594"/>
      <c r="BT439" s="594"/>
      <c r="BU439" s="594"/>
      <c r="BV439" s="594"/>
      <c r="BW439" s="594"/>
      <c r="BX439" s="594"/>
      <c r="BY439" s="594"/>
      <c r="BZ439" s="594"/>
      <c r="CA439" s="594"/>
      <c r="CB439" s="594"/>
      <c r="CC439" s="594"/>
      <c r="CD439" s="594"/>
      <c r="CE439" s="594"/>
      <c r="CF439" s="594"/>
      <c r="CG439" s="594"/>
      <c r="CH439" s="594"/>
      <c r="CI439" s="594"/>
      <c r="CJ439" s="594"/>
      <c r="CK439" s="594"/>
      <c r="CL439" s="594"/>
      <c r="CM439" s="594"/>
      <c r="CN439" s="594"/>
      <c r="CO439" s="594"/>
      <c r="CP439" s="594"/>
      <c r="CQ439" s="594"/>
    </row>
    <row r="440" spans="1:95" ht="15" hidden="1" customHeight="1" outlineLevel="3">
      <c r="A440" s="709" t="s">
        <v>685</v>
      </c>
      <c r="B440" s="710">
        <f>-SUMIFS('B3 - Custos despesas indiretos'!AK$5:AK$148,'B3 - Custos despesas indiretos'!$B$5:$B$148,"Despesas",'B3 - Custos despesas indiretos'!$D$5:$D$148,$A438)-SUMIF('D2 - Capex uso'!C$6:C$176,$A438,'D2 - Capex uso'!GI$6:GI$176)</f>
        <v>0</v>
      </c>
      <c r="C440" s="710">
        <f>-SUMIFS('B3 - Custos despesas indiretos'!AL$5:AL$148,'B3 - Custos despesas indiretos'!$B$5:$B$148,"Despesas",'B3 - Custos despesas indiretos'!$D$5:$D$148,$A438)-SUMIF('D2 - Capex uso'!D$6:D$176,$A438,'D2 - Capex uso'!GJ$6:GJ$176)</f>
        <v>0</v>
      </c>
      <c r="D440" s="710">
        <f>-SUMIFS('B3 - Custos despesas indiretos'!AM$5:AM$148,'B3 - Custos despesas indiretos'!$B$5:$B$148,"Despesas",'B3 - Custos despesas indiretos'!$D$5:$D$148,$A438)-SUMIF('D2 - Capex uso'!E$6:E$176,$A438,'D2 - Capex uso'!GK$6:GK$176)</f>
        <v>0</v>
      </c>
      <c r="E440" s="710">
        <f>-SUMIFS('B3 - Custos despesas indiretos'!AN$5:AN$148,'B3 - Custos despesas indiretos'!$B$5:$B$148,"Despesas",'B3 - Custos despesas indiretos'!$D$5:$D$148,$A438)-SUMIF('D2 - Capex uso'!F$6:F$176,$A438,'D2 - Capex uso'!GL$6:GL$176)</f>
        <v>0</v>
      </c>
      <c r="F440" s="710">
        <f>-SUMIFS('B3 - Custos despesas indiretos'!AO$5:AO$148,'B3 - Custos despesas indiretos'!$B$5:$B$148,"Despesas",'B3 - Custos despesas indiretos'!$D$5:$D$148,$A438)-SUMIF('D2 - Capex uso'!G$6:G$176,$A438,'D2 - Capex uso'!GM$6:GM$176)</f>
        <v>0</v>
      </c>
      <c r="G440" s="710">
        <f>-SUMIFS('B3 - Custos despesas indiretos'!AP$5:AP$148,'B3 - Custos despesas indiretos'!$B$5:$B$148,"Despesas",'B3 - Custos despesas indiretos'!$D$5:$D$148,$A438)-SUMIF('D2 - Capex uso'!H$6:H$176,$A438,'D2 - Capex uso'!GN$6:GN$176)</f>
        <v>0</v>
      </c>
      <c r="H440" s="710">
        <f>-SUMIFS('B3 - Custos despesas indiretos'!AQ$5:AQ$148,'B3 - Custos despesas indiretos'!$B$5:$B$148,"Despesas",'B3 - Custos despesas indiretos'!$D$5:$D$148,$A438)-SUMIF('D2 - Capex uso'!I$6:I$176,$A438,'D2 - Capex uso'!GO$6:GO$176)</f>
        <v>0</v>
      </c>
      <c r="I440" s="710">
        <f>-SUMIFS('B3 - Custos despesas indiretos'!AR$5:AR$148,'B3 - Custos despesas indiretos'!$B$5:$B$148,"Despesas",'B3 - Custos despesas indiretos'!$D$5:$D$148,$A438)-SUMIF('D2 - Capex uso'!J$6:J$176,$A438,'D2 - Capex uso'!GP$6:GP$176)</f>
        <v>0</v>
      </c>
      <c r="J440" s="710">
        <f>-SUMIFS('B3 - Custos despesas indiretos'!AS$5:AS$148,'B3 - Custos despesas indiretos'!$B$5:$B$148,"Despesas",'B3 - Custos despesas indiretos'!$D$5:$D$148,$A438)-SUMIF('D2 - Capex uso'!K$6:K$176,$A438,'D2 - Capex uso'!GQ$6:GQ$176)</f>
        <v>0</v>
      </c>
      <c r="K440" s="710">
        <f>-SUMIFS('B3 - Custos despesas indiretos'!AT$5:AT$148,'B3 - Custos despesas indiretos'!$B$5:$B$148,"Despesas",'B3 - Custos despesas indiretos'!$D$5:$D$148,$A438)-SUMIF('D2 - Capex uso'!L$6:L$176,$A438,'D2 - Capex uso'!GR$6:GR$176)</f>
        <v>0</v>
      </c>
      <c r="L440" s="710">
        <f>-SUMIFS('B3 - Custos despesas indiretos'!AU$5:AU$148,'B3 - Custos despesas indiretos'!$B$5:$B$148,"Despesas",'B3 - Custos despesas indiretos'!$D$5:$D$148,$A438)-SUMIF('D2 - Capex uso'!M$6:M$176,$A438,'D2 - Capex uso'!GS$6:GS$176)</f>
        <v>0</v>
      </c>
      <c r="M440" s="710">
        <f>-SUMIFS('B3 - Custos despesas indiretos'!AV$5:AV$148,'B3 - Custos despesas indiretos'!$B$5:$B$148,"Despesas",'B3 - Custos despesas indiretos'!$D$5:$D$148,$A438)-SUMIF('D2 - Capex uso'!N$6:N$176,$A438,'D2 - Capex uso'!GT$6:GT$176)</f>
        <v>0</v>
      </c>
      <c r="N440" s="710">
        <f>-SUMIFS('B3 - Custos despesas indiretos'!AW$5:AW$148,'B3 - Custos despesas indiretos'!$B$5:$B$148,"Despesas",'B3 - Custos despesas indiretos'!$D$5:$D$148,$A438)-SUMIF('D2 - Capex uso'!O$6:O$176,$A438,'D2 - Capex uso'!GU$6:GU$176)</f>
        <v>0</v>
      </c>
      <c r="O440" s="710">
        <f>-SUMIFS('B3 - Custos despesas indiretos'!AX$5:AX$148,'B3 - Custos despesas indiretos'!$B$5:$B$148,"Despesas",'B3 - Custos despesas indiretos'!$D$5:$D$148,$A438)-SUMIF('D2 - Capex uso'!P$6:P$176,$A438,'D2 - Capex uso'!GV$6:GV$176)</f>
        <v>0</v>
      </c>
      <c r="P440" s="710">
        <f>-SUMIFS('B3 - Custos despesas indiretos'!AY$5:AY$148,'B3 - Custos despesas indiretos'!$B$5:$B$148,"Despesas",'B3 - Custos despesas indiretos'!$D$5:$D$148,$A438)-SUMIF('D2 - Capex uso'!Q$6:Q$176,$A438,'D2 - Capex uso'!GW$6:GW$176)</f>
        <v>0</v>
      </c>
      <c r="Q440" s="710">
        <f>-SUMIFS('B3 - Custos despesas indiretos'!AZ$5:AZ$148,'B3 - Custos despesas indiretos'!$B$5:$B$148,"Despesas",'B3 - Custos despesas indiretos'!$D$5:$D$148,$A438)-SUMIF('D2 - Capex uso'!R$6:R$176,$A438,'D2 - Capex uso'!GX$6:GX$176)</f>
        <v>0</v>
      </c>
      <c r="R440" s="710">
        <f>-SUMIFS('B3 - Custos despesas indiretos'!BA$5:BA$148,'B3 - Custos despesas indiretos'!$B$5:$B$148,"Despesas",'B3 - Custos despesas indiretos'!$D$5:$D$148,$A438)-SUMIF('D2 - Capex uso'!S$6:S$176,$A438,'D2 - Capex uso'!GY$6:GY$176)</f>
        <v>0</v>
      </c>
      <c r="S440" s="710">
        <f>-SUMIFS('B3 - Custos despesas indiretos'!BB$5:BB$148,'B3 - Custos despesas indiretos'!$B$5:$B$148,"Despesas",'B3 - Custos despesas indiretos'!$D$5:$D$148,$A438)-SUMIF('D2 - Capex uso'!T$6:T$176,$A438,'D2 - Capex uso'!GZ$6:GZ$176)</f>
        <v>0</v>
      </c>
      <c r="T440" s="710">
        <f>-SUMIFS('B3 - Custos despesas indiretos'!BC$5:BC$148,'B3 - Custos despesas indiretos'!$B$5:$B$148,"Despesas",'B3 - Custos despesas indiretos'!$D$5:$D$148,$A438)-SUMIF('D2 - Capex uso'!U$6:U$176,$A438,'D2 - Capex uso'!HA$6:HA$176)</f>
        <v>0</v>
      </c>
      <c r="U440" s="710">
        <f>-SUMIFS('B3 - Custos despesas indiretos'!BD$5:BD$148,'B3 - Custos despesas indiretos'!$B$5:$B$148,"Despesas",'B3 - Custos despesas indiretos'!$D$5:$D$148,$A438)-SUMIF('D2 - Capex uso'!V$6:V$176,$A438,'D2 - Capex uso'!HB$6:HB$176)</f>
        <v>0</v>
      </c>
      <c r="V440" s="710">
        <f>-SUMIFS('B3 - Custos despesas indiretos'!BE$5:BE$148,'B3 - Custos despesas indiretos'!$B$5:$B$148,"Despesas",'B3 - Custos despesas indiretos'!$D$5:$D$148,$A438)-SUMIF('D2 - Capex uso'!W$6:W$176,$A438,'D2 - Capex uso'!HC$6:HC$176)</f>
        <v>0</v>
      </c>
      <c r="W440" s="710">
        <f>-SUMIFS('B3 - Custos despesas indiretos'!BF$5:BF$148,'B3 - Custos despesas indiretos'!$B$5:$B$148,"Despesas",'B3 - Custos despesas indiretos'!$D$5:$D$148,$A438)-SUMIF('D2 - Capex uso'!X$6:X$176,$A438,'D2 - Capex uso'!HD$6:HD$176)</f>
        <v>0</v>
      </c>
      <c r="X440" s="710">
        <f>-SUMIFS('B3 - Custos despesas indiretos'!BG$5:BG$148,'B3 - Custos despesas indiretos'!$B$5:$B$148,"Despesas",'B3 - Custos despesas indiretos'!$D$5:$D$148,$A438)-SUMIF('D2 - Capex uso'!Y$6:Y$176,$A438,'D2 - Capex uso'!HE$6:HE$176)</f>
        <v>0</v>
      </c>
      <c r="Y440" s="710">
        <f>-SUMIFS('B3 - Custos despesas indiretos'!BH$5:BH$148,'B3 - Custos despesas indiretos'!$B$5:$B$148,"Despesas",'B3 - Custos despesas indiretos'!$D$5:$D$148,$A438)-SUMIF('D2 - Capex uso'!Z$6:Z$176,$A438,'D2 - Capex uso'!HF$6:HF$176)</f>
        <v>0</v>
      </c>
      <c r="Z440" s="710">
        <f>-SUMIFS('B3 - Custos despesas indiretos'!BI$5:BI$148,'B3 - Custos despesas indiretos'!$B$5:$B$148,"Despesas",'B3 - Custos despesas indiretos'!$D$5:$D$148,$A438)-SUMIF('D2 - Capex uso'!AA$6:AA$176,$A438,'D2 - Capex uso'!HG$6:HG$176)</f>
        <v>0</v>
      </c>
      <c r="AA440" s="710">
        <f>-SUMIFS('B3 - Custos despesas indiretos'!BJ$5:BJ$148,'B3 - Custos despesas indiretos'!$B$5:$B$148,"Despesas",'B3 - Custos despesas indiretos'!$D$5:$D$148,$A438)-SUMIF('D2 - Capex uso'!AB$6:AB$176,$A438,'D2 - Capex uso'!HH$6:HH$176)</f>
        <v>0</v>
      </c>
      <c r="AB440" s="710">
        <f>-SUMIFS('B3 - Custos despesas indiretos'!BK$5:BK$148,'B3 - Custos despesas indiretos'!$B$5:$B$148,"Despesas",'B3 - Custos despesas indiretos'!$D$5:$D$148,$A438)-SUMIF('D2 - Capex uso'!AC$6:AC$176,$A438,'D2 - Capex uso'!HI$6:HI$176)</f>
        <v>0</v>
      </c>
      <c r="AC440" s="710">
        <f>-SUMIFS('B3 - Custos despesas indiretos'!BL$5:BL$148,'B3 - Custos despesas indiretos'!$B$5:$B$148,"Despesas",'B3 - Custos despesas indiretos'!$D$5:$D$148,$A438)-SUMIF('D2 - Capex uso'!AD$6:AD$176,$A438,'D2 - Capex uso'!HJ$6:HJ$176)</f>
        <v>0</v>
      </c>
      <c r="AD440" s="710">
        <f>-SUMIFS('B3 - Custos despesas indiretos'!BM$5:BM$148,'B3 - Custos despesas indiretos'!$B$5:$B$148,"Despesas",'B3 - Custos despesas indiretos'!$D$5:$D$148,$A438)-SUMIF('D2 - Capex uso'!AE$6:AE$176,$A438,'D2 - Capex uso'!HK$6:HK$176)</f>
        <v>0</v>
      </c>
      <c r="AE440" s="710">
        <f>-SUMIFS('B3 - Custos despesas indiretos'!BN$5:BN$148,'B3 - Custos despesas indiretos'!$B$5:$B$148,"Despesas",'B3 - Custos despesas indiretos'!$D$5:$D$148,$A438)-SUMIF('D2 - Capex uso'!AF$6:AF$176,$A438,'D2 - Capex uso'!HL$6:HL$176)</f>
        <v>0</v>
      </c>
      <c r="AF440" s="594"/>
      <c r="AG440" s="594"/>
      <c r="AH440" s="594"/>
      <c r="AI440" s="594"/>
      <c r="AJ440" s="594"/>
      <c r="AK440" s="594"/>
      <c r="AL440" s="594"/>
      <c r="AM440" s="594"/>
      <c r="AN440" s="594"/>
      <c r="AO440" s="594"/>
      <c r="AP440" s="594"/>
      <c r="AQ440" s="594"/>
      <c r="AR440" s="594"/>
      <c r="AS440" s="594"/>
      <c r="AT440" s="594"/>
      <c r="AU440" s="594"/>
      <c r="AV440" s="594"/>
      <c r="AW440" s="594"/>
      <c r="AX440" s="594"/>
      <c r="AY440" s="594"/>
      <c r="AZ440" s="594"/>
      <c r="BA440" s="594"/>
      <c r="BB440" s="594"/>
      <c r="BC440" s="594"/>
      <c r="BD440" s="594"/>
      <c r="BE440" s="594"/>
      <c r="BF440" s="594"/>
      <c r="BG440" s="594"/>
      <c r="BH440" s="594"/>
      <c r="BI440" s="594"/>
      <c r="BJ440" s="594"/>
      <c r="BK440" s="594"/>
      <c r="BL440" s="57"/>
      <c r="BM440" s="594"/>
      <c r="BN440" s="594"/>
      <c r="BO440" s="594"/>
      <c r="BP440" s="594"/>
      <c r="BQ440" s="594"/>
      <c r="BR440" s="594"/>
      <c r="BS440" s="594"/>
      <c r="BT440" s="594"/>
      <c r="BU440" s="594"/>
      <c r="BV440" s="594"/>
      <c r="BW440" s="594"/>
      <c r="BX440" s="594"/>
      <c r="BY440" s="594"/>
      <c r="BZ440" s="594"/>
      <c r="CA440" s="594"/>
      <c r="CB440" s="594"/>
      <c r="CC440" s="594"/>
      <c r="CD440" s="594"/>
      <c r="CE440" s="594"/>
      <c r="CF440" s="594"/>
      <c r="CG440" s="594"/>
      <c r="CH440" s="594"/>
      <c r="CI440" s="594"/>
      <c r="CJ440" s="594"/>
      <c r="CK440" s="594"/>
      <c r="CL440" s="594"/>
      <c r="CM440" s="594"/>
      <c r="CN440" s="594"/>
      <c r="CO440" s="594"/>
      <c r="CP440" s="594"/>
      <c r="CQ440" s="594"/>
    </row>
    <row r="441" spans="1:95" ht="15" hidden="1" customHeight="1" outlineLevel="2">
      <c r="A441" s="709" t="s">
        <v>200</v>
      </c>
      <c r="B441" s="717">
        <f t="shared" ref="B441:AE441" si="156">SUM(B442:B443)</f>
        <v>-72590.040000000008</v>
      </c>
      <c r="C441" s="717">
        <f t="shared" si="156"/>
        <v>-54097.55</v>
      </c>
      <c r="D441" s="717">
        <f t="shared" si="156"/>
        <v>-55963.55</v>
      </c>
      <c r="E441" s="717">
        <f t="shared" si="156"/>
        <v>-57770.9</v>
      </c>
      <c r="F441" s="717">
        <f t="shared" si="156"/>
        <v>-59606.950000000004</v>
      </c>
      <c r="G441" s="717">
        <f t="shared" si="156"/>
        <v>-61475.200000000004</v>
      </c>
      <c r="H441" s="717">
        <f t="shared" si="156"/>
        <v>-63396.100000000006</v>
      </c>
      <c r="I441" s="717">
        <f t="shared" si="156"/>
        <v>-65373.05</v>
      </c>
      <c r="J441" s="717">
        <f t="shared" si="156"/>
        <v>-67386</v>
      </c>
      <c r="K441" s="717">
        <f t="shared" si="156"/>
        <v>-69436.55</v>
      </c>
      <c r="L441" s="717">
        <f t="shared" si="156"/>
        <v>-71551.199999999997</v>
      </c>
      <c r="M441" s="717">
        <f t="shared" si="156"/>
        <v>-73729.150000000009</v>
      </c>
      <c r="N441" s="717">
        <f t="shared" si="156"/>
        <v>-75976.650000000009</v>
      </c>
      <c r="O441" s="717">
        <f t="shared" si="156"/>
        <v>-78292.05</v>
      </c>
      <c r="P441" s="717">
        <f t="shared" si="156"/>
        <v>-80677.05</v>
      </c>
      <c r="Q441" s="717">
        <f t="shared" si="156"/>
        <v>-83127.450000000012</v>
      </c>
      <c r="R441" s="717">
        <f t="shared" si="156"/>
        <v>-85640.25</v>
      </c>
      <c r="S441" s="717">
        <f t="shared" si="156"/>
        <v>-88206.55</v>
      </c>
      <c r="T441" s="717">
        <f t="shared" si="156"/>
        <v>-90819.8</v>
      </c>
      <c r="U441" s="717">
        <f t="shared" si="156"/>
        <v>-93467.85</v>
      </c>
      <c r="V441" s="717">
        <f t="shared" si="156"/>
        <v>-93467.85</v>
      </c>
      <c r="W441" s="717">
        <f t="shared" si="156"/>
        <v>-93467.85</v>
      </c>
      <c r="X441" s="717">
        <f t="shared" si="156"/>
        <v>-93467.85</v>
      </c>
      <c r="Y441" s="717">
        <f t="shared" si="156"/>
        <v>-93467.85</v>
      </c>
      <c r="Z441" s="717">
        <f t="shared" si="156"/>
        <v>-93467.85</v>
      </c>
      <c r="AA441" s="717">
        <f t="shared" si="156"/>
        <v>-93467.85</v>
      </c>
      <c r="AB441" s="717">
        <f t="shared" si="156"/>
        <v>-93467.85</v>
      </c>
      <c r="AC441" s="717">
        <f t="shared" si="156"/>
        <v>-93467.85</v>
      </c>
      <c r="AD441" s="717">
        <f t="shared" si="156"/>
        <v>-93467.85</v>
      </c>
      <c r="AE441" s="717">
        <f t="shared" si="156"/>
        <v>-93467.85</v>
      </c>
      <c r="AF441" s="594"/>
      <c r="AG441" s="594"/>
      <c r="AH441" s="594"/>
      <c r="AI441" s="594"/>
      <c r="AJ441" s="594"/>
      <c r="AK441" s="594"/>
      <c r="AL441" s="594"/>
      <c r="AM441" s="594"/>
      <c r="AN441" s="594"/>
      <c r="AO441" s="594"/>
      <c r="AP441" s="594"/>
      <c r="AQ441" s="594"/>
      <c r="AR441" s="594"/>
      <c r="AS441" s="594"/>
      <c r="AT441" s="594"/>
      <c r="AU441" s="594"/>
      <c r="AV441" s="594"/>
      <c r="AW441" s="594"/>
      <c r="AX441" s="594"/>
      <c r="AY441" s="594"/>
      <c r="AZ441" s="594"/>
      <c r="BA441" s="594"/>
      <c r="BB441" s="594"/>
      <c r="BC441" s="594"/>
      <c r="BD441" s="594"/>
      <c r="BE441" s="594"/>
      <c r="BF441" s="594"/>
      <c r="BG441" s="594"/>
      <c r="BH441" s="594"/>
      <c r="BI441" s="594"/>
      <c r="BJ441" s="594"/>
      <c r="BK441" s="594"/>
      <c r="BL441" s="57"/>
      <c r="BM441" s="594"/>
      <c r="BN441" s="594"/>
      <c r="BO441" s="594"/>
      <c r="BP441" s="594"/>
      <c r="BQ441" s="594"/>
      <c r="BR441" s="594"/>
      <c r="BS441" s="594"/>
      <c r="BT441" s="594"/>
      <c r="BU441" s="594"/>
      <c r="BV441" s="594"/>
      <c r="BW441" s="594"/>
      <c r="BX441" s="594"/>
      <c r="BY441" s="594"/>
      <c r="BZ441" s="594"/>
      <c r="CA441" s="594"/>
      <c r="CB441" s="594"/>
      <c r="CC441" s="594"/>
      <c r="CD441" s="594"/>
      <c r="CE441" s="594"/>
      <c r="CF441" s="594"/>
      <c r="CG441" s="594"/>
      <c r="CH441" s="594"/>
      <c r="CI441" s="594"/>
      <c r="CJ441" s="594"/>
      <c r="CK441" s="594"/>
      <c r="CL441" s="594"/>
      <c r="CM441" s="594"/>
      <c r="CN441" s="594"/>
      <c r="CO441" s="594"/>
      <c r="CP441" s="594"/>
      <c r="CQ441" s="594"/>
    </row>
    <row r="442" spans="1:95" ht="15" hidden="1" customHeight="1" outlineLevel="3">
      <c r="A442" s="709" t="s">
        <v>692</v>
      </c>
      <c r="B442" s="718">
        <f>IF($A441="",0,-SUMIF('C3 - Funcionários $'!$D$7:$D$121,$A441,'C3 - Funcionários $'!G$7:G$121))</f>
        <v>0</v>
      </c>
      <c r="C442" s="718">
        <f>IF($A441="",0,-SUMIF('C3 - Funcionários $'!$D$7:$D$121,$A441,'C3 - Funcionários $'!H$7:H$121))</f>
        <v>0</v>
      </c>
      <c r="D442" s="718">
        <f>IF($A441="",0,-SUMIF('C3 - Funcionários $'!$D$7:$D$121,$A441,'C3 - Funcionários $'!I$7:I$121))</f>
        <v>0</v>
      </c>
      <c r="E442" s="718">
        <f>IF($A441="",0,-SUMIF('C3 - Funcionários $'!$D$7:$D$121,$A441,'C3 - Funcionários $'!J$7:J$121))</f>
        <v>0</v>
      </c>
      <c r="F442" s="718">
        <f>IF($A441="",0,-SUMIF('C3 - Funcionários $'!$D$7:$D$121,$A441,'C3 - Funcionários $'!K$7:K$121))</f>
        <v>0</v>
      </c>
      <c r="G442" s="718">
        <f>IF($A441="",0,-SUMIF('C3 - Funcionários $'!$D$7:$D$121,$A441,'C3 - Funcionários $'!L$7:L$121))</f>
        <v>0</v>
      </c>
      <c r="H442" s="718">
        <f>IF($A441="",0,-SUMIF('C3 - Funcionários $'!$D$7:$D$121,$A441,'C3 - Funcionários $'!M$7:M$121))</f>
        <v>0</v>
      </c>
      <c r="I442" s="718">
        <f>IF($A441="",0,-SUMIF('C3 - Funcionários $'!$D$7:$D$121,$A441,'C3 - Funcionários $'!N$7:N$121))</f>
        <v>0</v>
      </c>
      <c r="J442" s="718">
        <f>IF($A441="",0,-SUMIF('C3 - Funcionários $'!$D$7:$D$121,$A441,'C3 - Funcionários $'!O$7:O$121))</f>
        <v>0</v>
      </c>
      <c r="K442" s="718">
        <f>IF($A441="",0,-SUMIF('C3 - Funcionários $'!$D$7:$D$121,$A441,'C3 - Funcionários $'!P$7:P$121))</f>
        <v>0</v>
      </c>
      <c r="L442" s="718">
        <f>IF($A441="",0,-SUMIF('C3 - Funcionários $'!$D$7:$D$121,$A441,'C3 - Funcionários $'!Q$7:Q$121))</f>
        <v>0</v>
      </c>
      <c r="M442" s="718">
        <f>IF($A441="",0,-SUMIF('C3 - Funcionários $'!$D$7:$D$121,$A441,'C3 - Funcionários $'!R$7:R$121))</f>
        <v>0</v>
      </c>
      <c r="N442" s="718">
        <f>IF($A441="",0,-SUMIF('C3 - Funcionários $'!$D$7:$D$121,$A441,'C3 - Funcionários $'!S$7:S$121))</f>
        <v>0</v>
      </c>
      <c r="O442" s="718">
        <f>IF($A441="",0,-SUMIF('C3 - Funcionários $'!$D$7:$D$121,$A441,'C3 - Funcionários $'!T$7:T$121))</f>
        <v>0</v>
      </c>
      <c r="P442" s="718">
        <f>IF($A441="",0,-SUMIF('C3 - Funcionários $'!$D$7:$D$121,$A441,'C3 - Funcionários $'!U$7:U$121))</f>
        <v>0</v>
      </c>
      <c r="Q442" s="718">
        <f>IF($A441="",0,-SUMIF('C3 - Funcionários $'!$D$7:$D$121,$A441,'C3 - Funcionários $'!V$7:V$121))</f>
        <v>0</v>
      </c>
      <c r="R442" s="718">
        <f>IF($A441="",0,-SUMIF('C3 - Funcionários $'!$D$7:$D$121,$A441,'C3 - Funcionários $'!W$7:W$121))</f>
        <v>0</v>
      </c>
      <c r="S442" s="718">
        <f>IF($A441="",0,-SUMIF('C3 - Funcionários $'!$D$7:$D$121,$A441,'C3 - Funcionários $'!X$7:X$121))</f>
        <v>0</v>
      </c>
      <c r="T442" s="718">
        <f>IF($A441="",0,-SUMIF('C3 - Funcionários $'!$D$7:$D$121,$A441,'C3 - Funcionários $'!Y$7:Y$121))</f>
        <v>0</v>
      </c>
      <c r="U442" s="718">
        <f>IF($A441="",0,-SUMIF('C3 - Funcionários $'!$D$7:$D$121,$A441,'C3 - Funcionários $'!Z$7:Z$121))</f>
        <v>0</v>
      </c>
      <c r="V442" s="718">
        <f>IF($A441="",0,-SUMIF('C3 - Funcionários $'!$D$7:$D$121,$A441,'C3 - Funcionários $'!AA$7:AA$121))</f>
        <v>0</v>
      </c>
      <c r="W442" s="718">
        <f>IF($A441="",0,-SUMIF('C3 - Funcionários $'!$D$7:$D$121,$A441,'C3 - Funcionários $'!AB$7:AB$121))</f>
        <v>0</v>
      </c>
      <c r="X442" s="718">
        <f>IF($A441="",0,-SUMIF('C3 - Funcionários $'!$D$7:$D$121,$A441,'C3 - Funcionários $'!AC$7:AC$121))</f>
        <v>0</v>
      </c>
      <c r="Y442" s="718">
        <f>IF($A441="",0,-SUMIF('C3 - Funcionários $'!$D$7:$D$121,$A441,'C3 - Funcionários $'!AD$7:AD$121))</f>
        <v>0</v>
      </c>
      <c r="Z442" s="718">
        <f>IF($A441="",0,-SUMIF('C3 - Funcionários $'!$D$7:$D$121,$A441,'C3 - Funcionários $'!AE$7:AE$121))</f>
        <v>0</v>
      </c>
      <c r="AA442" s="718">
        <f>IF($A441="",0,-SUMIF('C3 - Funcionários $'!$D$7:$D$121,$A441,'C3 - Funcionários $'!AF$7:AF$121))</f>
        <v>0</v>
      </c>
      <c r="AB442" s="718">
        <f>IF($A441="",0,-SUMIF('C3 - Funcionários $'!$D$7:$D$121,$A441,'C3 - Funcionários $'!AG$7:AG$121))</f>
        <v>0</v>
      </c>
      <c r="AC442" s="718">
        <f>IF($A441="",0,-SUMIF('C3 - Funcionários $'!$D$7:$D$121,$A441,'C3 - Funcionários $'!AH$7:AH$121))</f>
        <v>0</v>
      </c>
      <c r="AD442" s="718">
        <f>IF($A441="",0,-SUMIF('C3 - Funcionários $'!$D$7:$D$121,$A441,'C3 - Funcionários $'!AI$7:AI$121))</f>
        <v>0</v>
      </c>
      <c r="AE442" s="718">
        <f>IF($A441="",0,-SUMIF('C3 - Funcionários $'!$D$7:$D$121,$A441,'C3 - Funcionários $'!AJ$7:AJ$121))</f>
        <v>0</v>
      </c>
      <c r="AF442" s="594"/>
      <c r="AG442" s="594"/>
      <c r="AH442" s="594"/>
      <c r="AI442" s="594"/>
      <c r="AJ442" s="594"/>
      <c r="AK442" s="594"/>
      <c r="AL442" s="594"/>
      <c r="AM442" s="594"/>
      <c r="AN442" s="594"/>
      <c r="AO442" s="594"/>
      <c r="AP442" s="594"/>
      <c r="AQ442" s="594"/>
      <c r="AR442" s="594"/>
      <c r="AS442" s="594"/>
      <c r="AT442" s="594"/>
      <c r="AU442" s="594"/>
      <c r="AV442" s="594"/>
      <c r="AW442" s="594"/>
      <c r="AX442" s="594"/>
      <c r="AY442" s="594"/>
      <c r="AZ442" s="594"/>
      <c r="BA442" s="594"/>
      <c r="BB442" s="594"/>
      <c r="BC442" s="594"/>
      <c r="BD442" s="594"/>
      <c r="BE442" s="594"/>
      <c r="BF442" s="594"/>
      <c r="BG442" s="594"/>
      <c r="BH442" s="594"/>
      <c r="BI442" s="594"/>
      <c r="BJ442" s="594"/>
      <c r="BK442" s="594"/>
      <c r="BL442" s="57"/>
      <c r="BM442" s="594"/>
      <c r="BN442" s="594"/>
      <c r="BO442" s="594"/>
      <c r="BP442" s="594"/>
      <c r="BQ442" s="594"/>
      <c r="BR442" s="594"/>
      <c r="BS442" s="594"/>
      <c r="BT442" s="594"/>
      <c r="BU442" s="594"/>
      <c r="BV442" s="594"/>
      <c r="BW442" s="594"/>
      <c r="BX442" s="594"/>
      <c r="BY442" s="594"/>
      <c r="BZ442" s="594"/>
      <c r="CA442" s="594"/>
      <c r="CB442" s="594"/>
      <c r="CC442" s="594"/>
      <c r="CD442" s="594"/>
      <c r="CE442" s="594"/>
      <c r="CF442" s="594"/>
      <c r="CG442" s="594"/>
      <c r="CH442" s="594"/>
      <c r="CI442" s="594"/>
      <c r="CJ442" s="594"/>
      <c r="CK442" s="594"/>
      <c r="CL442" s="594"/>
      <c r="CM442" s="594"/>
      <c r="CN442" s="594"/>
      <c r="CO442" s="594"/>
      <c r="CP442" s="594"/>
      <c r="CQ442" s="594"/>
    </row>
    <row r="443" spans="1:95" ht="15" hidden="1" customHeight="1" outlineLevel="3">
      <c r="A443" s="709" t="s">
        <v>685</v>
      </c>
      <c r="B443" s="710">
        <f>-SUMIFS('B3 - Custos despesas indiretos'!AK$5:AK$148,'B3 - Custos despesas indiretos'!$B$5:$B$148,"Despesas",'B3 - Custos despesas indiretos'!$D$5:$D$148,$A441)-SUMIF('D2 - Capex uso'!C$6:C$176,$A441,'D2 - Capex uso'!GI$6:GI$176)</f>
        <v>-72590.040000000008</v>
      </c>
      <c r="C443" s="710">
        <f>-SUMIFS('B3 - Custos despesas indiretos'!AL$5:AL$148,'B3 - Custos despesas indiretos'!$B$5:$B$148,"Despesas",'B3 - Custos despesas indiretos'!$D$5:$D$148,$A441)-SUMIF('D2 - Capex uso'!D$6:D$176,$A441,'D2 - Capex uso'!GJ$6:GJ$176)</f>
        <v>-54097.55</v>
      </c>
      <c r="D443" s="710">
        <f>-SUMIFS('B3 - Custos despesas indiretos'!AM$5:AM$148,'B3 - Custos despesas indiretos'!$B$5:$B$148,"Despesas",'B3 - Custos despesas indiretos'!$D$5:$D$148,$A441)-SUMIF('D2 - Capex uso'!E$6:E$176,$A441,'D2 - Capex uso'!GK$6:GK$176)</f>
        <v>-55963.55</v>
      </c>
      <c r="E443" s="710">
        <f>-SUMIFS('B3 - Custos despesas indiretos'!AN$5:AN$148,'B3 - Custos despesas indiretos'!$B$5:$B$148,"Despesas",'B3 - Custos despesas indiretos'!$D$5:$D$148,$A441)-SUMIF('D2 - Capex uso'!F$6:F$176,$A441,'D2 - Capex uso'!GL$6:GL$176)</f>
        <v>-57770.9</v>
      </c>
      <c r="F443" s="710">
        <f>-SUMIFS('B3 - Custos despesas indiretos'!AO$5:AO$148,'B3 - Custos despesas indiretos'!$B$5:$B$148,"Despesas",'B3 - Custos despesas indiretos'!$D$5:$D$148,$A441)-SUMIF('D2 - Capex uso'!G$6:G$176,$A441,'D2 - Capex uso'!GM$6:GM$176)</f>
        <v>-59606.950000000004</v>
      </c>
      <c r="G443" s="710">
        <f>-SUMIFS('B3 - Custos despesas indiretos'!AP$5:AP$148,'B3 - Custos despesas indiretos'!$B$5:$B$148,"Despesas",'B3 - Custos despesas indiretos'!$D$5:$D$148,$A441)-SUMIF('D2 - Capex uso'!H$6:H$176,$A441,'D2 - Capex uso'!GN$6:GN$176)</f>
        <v>-61475.200000000004</v>
      </c>
      <c r="H443" s="710">
        <f>-SUMIFS('B3 - Custos despesas indiretos'!AQ$5:AQ$148,'B3 - Custos despesas indiretos'!$B$5:$B$148,"Despesas",'B3 - Custos despesas indiretos'!$D$5:$D$148,$A441)-SUMIF('D2 - Capex uso'!I$6:I$176,$A441,'D2 - Capex uso'!GO$6:GO$176)</f>
        <v>-63396.100000000006</v>
      </c>
      <c r="I443" s="710">
        <f>-SUMIFS('B3 - Custos despesas indiretos'!AR$5:AR$148,'B3 - Custos despesas indiretos'!$B$5:$B$148,"Despesas",'B3 - Custos despesas indiretos'!$D$5:$D$148,$A441)-SUMIF('D2 - Capex uso'!J$6:J$176,$A441,'D2 - Capex uso'!GP$6:GP$176)</f>
        <v>-65373.05</v>
      </c>
      <c r="J443" s="710">
        <f>-SUMIFS('B3 - Custos despesas indiretos'!AS$5:AS$148,'B3 - Custos despesas indiretos'!$B$5:$B$148,"Despesas",'B3 - Custos despesas indiretos'!$D$5:$D$148,$A441)-SUMIF('D2 - Capex uso'!K$6:K$176,$A441,'D2 - Capex uso'!GQ$6:GQ$176)</f>
        <v>-67386</v>
      </c>
      <c r="K443" s="710">
        <f>-SUMIFS('B3 - Custos despesas indiretos'!AT$5:AT$148,'B3 - Custos despesas indiretos'!$B$5:$B$148,"Despesas",'B3 - Custos despesas indiretos'!$D$5:$D$148,$A441)-SUMIF('D2 - Capex uso'!L$6:L$176,$A441,'D2 - Capex uso'!GR$6:GR$176)</f>
        <v>-69436.55</v>
      </c>
      <c r="L443" s="710">
        <f>-SUMIFS('B3 - Custos despesas indiretos'!AU$5:AU$148,'B3 - Custos despesas indiretos'!$B$5:$B$148,"Despesas",'B3 - Custos despesas indiretos'!$D$5:$D$148,$A441)-SUMIF('D2 - Capex uso'!M$6:M$176,$A441,'D2 - Capex uso'!GS$6:GS$176)</f>
        <v>-71551.199999999997</v>
      </c>
      <c r="M443" s="710">
        <f>-SUMIFS('B3 - Custos despesas indiretos'!AV$5:AV$148,'B3 - Custos despesas indiretos'!$B$5:$B$148,"Despesas",'B3 - Custos despesas indiretos'!$D$5:$D$148,$A441)-SUMIF('D2 - Capex uso'!N$6:N$176,$A441,'D2 - Capex uso'!GT$6:GT$176)</f>
        <v>-73729.150000000009</v>
      </c>
      <c r="N443" s="710">
        <f>-SUMIFS('B3 - Custos despesas indiretos'!AW$5:AW$148,'B3 - Custos despesas indiretos'!$B$5:$B$148,"Despesas",'B3 - Custos despesas indiretos'!$D$5:$D$148,$A441)-SUMIF('D2 - Capex uso'!O$6:O$176,$A441,'D2 - Capex uso'!GU$6:GU$176)</f>
        <v>-75976.650000000009</v>
      </c>
      <c r="O443" s="710">
        <f>-SUMIFS('B3 - Custos despesas indiretos'!AX$5:AX$148,'B3 - Custos despesas indiretos'!$B$5:$B$148,"Despesas",'B3 - Custos despesas indiretos'!$D$5:$D$148,$A441)-SUMIF('D2 - Capex uso'!P$6:P$176,$A441,'D2 - Capex uso'!GV$6:GV$176)</f>
        <v>-78292.05</v>
      </c>
      <c r="P443" s="710">
        <f>-SUMIFS('B3 - Custos despesas indiretos'!AY$5:AY$148,'B3 - Custos despesas indiretos'!$B$5:$B$148,"Despesas",'B3 - Custos despesas indiretos'!$D$5:$D$148,$A441)-SUMIF('D2 - Capex uso'!Q$6:Q$176,$A441,'D2 - Capex uso'!GW$6:GW$176)</f>
        <v>-80677.05</v>
      </c>
      <c r="Q443" s="710">
        <f>-SUMIFS('B3 - Custos despesas indiretos'!AZ$5:AZ$148,'B3 - Custos despesas indiretos'!$B$5:$B$148,"Despesas",'B3 - Custos despesas indiretos'!$D$5:$D$148,$A441)-SUMIF('D2 - Capex uso'!R$6:R$176,$A441,'D2 - Capex uso'!GX$6:GX$176)</f>
        <v>-83127.450000000012</v>
      </c>
      <c r="R443" s="710">
        <f>-SUMIFS('B3 - Custos despesas indiretos'!BA$5:BA$148,'B3 - Custos despesas indiretos'!$B$5:$B$148,"Despesas",'B3 - Custos despesas indiretos'!$D$5:$D$148,$A441)-SUMIF('D2 - Capex uso'!S$6:S$176,$A441,'D2 - Capex uso'!GY$6:GY$176)</f>
        <v>-85640.25</v>
      </c>
      <c r="S443" s="710">
        <f>-SUMIFS('B3 - Custos despesas indiretos'!BB$5:BB$148,'B3 - Custos despesas indiretos'!$B$5:$B$148,"Despesas",'B3 - Custos despesas indiretos'!$D$5:$D$148,$A441)-SUMIF('D2 - Capex uso'!T$6:T$176,$A441,'D2 - Capex uso'!GZ$6:GZ$176)</f>
        <v>-88206.55</v>
      </c>
      <c r="T443" s="710">
        <f>-SUMIFS('B3 - Custos despesas indiretos'!BC$5:BC$148,'B3 - Custos despesas indiretos'!$B$5:$B$148,"Despesas",'B3 - Custos despesas indiretos'!$D$5:$D$148,$A441)-SUMIF('D2 - Capex uso'!U$6:U$176,$A441,'D2 - Capex uso'!HA$6:HA$176)</f>
        <v>-90819.8</v>
      </c>
      <c r="U443" s="710">
        <f>-SUMIFS('B3 - Custos despesas indiretos'!BD$5:BD$148,'B3 - Custos despesas indiretos'!$B$5:$B$148,"Despesas",'B3 - Custos despesas indiretos'!$D$5:$D$148,$A441)-SUMIF('D2 - Capex uso'!V$6:V$176,$A441,'D2 - Capex uso'!HB$6:HB$176)</f>
        <v>-93467.85</v>
      </c>
      <c r="V443" s="710">
        <f>-SUMIFS('B3 - Custos despesas indiretos'!BE$5:BE$148,'B3 - Custos despesas indiretos'!$B$5:$B$148,"Despesas",'B3 - Custos despesas indiretos'!$D$5:$D$148,$A441)-SUMIF('D2 - Capex uso'!W$6:W$176,$A441,'D2 - Capex uso'!HC$6:HC$176)</f>
        <v>-93467.85</v>
      </c>
      <c r="W443" s="710">
        <f>-SUMIFS('B3 - Custos despesas indiretos'!BF$5:BF$148,'B3 - Custos despesas indiretos'!$B$5:$B$148,"Despesas",'B3 - Custos despesas indiretos'!$D$5:$D$148,$A441)-SUMIF('D2 - Capex uso'!X$6:X$176,$A441,'D2 - Capex uso'!HD$6:HD$176)</f>
        <v>-93467.85</v>
      </c>
      <c r="X443" s="710">
        <f>-SUMIFS('B3 - Custos despesas indiretos'!BG$5:BG$148,'B3 - Custos despesas indiretos'!$B$5:$B$148,"Despesas",'B3 - Custos despesas indiretos'!$D$5:$D$148,$A441)-SUMIF('D2 - Capex uso'!Y$6:Y$176,$A441,'D2 - Capex uso'!HE$6:HE$176)</f>
        <v>-93467.85</v>
      </c>
      <c r="Y443" s="710">
        <f>-SUMIFS('B3 - Custos despesas indiretos'!BH$5:BH$148,'B3 - Custos despesas indiretos'!$B$5:$B$148,"Despesas",'B3 - Custos despesas indiretos'!$D$5:$D$148,$A441)-SUMIF('D2 - Capex uso'!Z$6:Z$176,$A441,'D2 - Capex uso'!HF$6:HF$176)</f>
        <v>-93467.85</v>
      </c>
      <c r="Z443" s="710">
        <f>-SUMIFS('B3 - Custos despesas indiretos'!BI$5:BI$148,'B3 - Custos despesas indiretos'!$B$5:$B$148,"Despesas",'B3 - Custos despesas indiretos'!$D$5:$D$148,$A441)-SUMIF('D2 - Capex uso'!AA$6:AA$176,$A441,'D2 - Capex uso'!HG$6:HG$176)</f>
        <v>-93467.85</v>
      </c>
      <c r="AA443" s="710">
        <f>-SUMIFS('B3 - Custos despesas indiretos'!BJ$5:BJ$148,'B3 - Custos despesas indiretos'!$B$5:$B$148,"Despesas",'B3 - Custos despesas indiretos'!$D$5:$D$148,$A441)-SUMIF('D2 - Capex uso'!AB$6:AB$176,$A441,'D2 - Capex uso'!HH$6:HH$176)</f>
        <v>-93467.85</v>
      </c>
      <c r="AB443" s="710">
        <f>-SUMIFS('B3 - Custos despesas indiretos'!BK$5:BK$148,'B3 - Custos despesas indiretos'!$B$5:$B$148,"Despesas",'B3 - Custos despesas indiretos'!$D$5:$D$148,$A441)-SUMIF('D2 - Capex uso'!AC$6:AC$176,$A441,'D2 - Capex uso'!HI$6:HI$176)</f>
        <v>-93467.85</v>
      </c>
      <c r="AC443" s="710">
        <f>-SUMIFS('B3 - Custos despesas indiretos'!BL$5:BL$148,'B3 - Custos despesas indiretos'!$B$5:$B$148,"Despesas",'B3 - Custos despesas indiretos'!$D$5:$D$148,$A441)-SUMIF('D2 - Capex uso'!AD$6:AD$176,$A441,'D2 - Capex uso'!HJ$6:HJ$176)</f>
        <v>-93467.85</v>
      </c>
      <c r="AD443" s="710">
        <f>-SUMIFS('B3 - Custos despesas indiretos'!BM$5:BM$148,'B3 - Custos despesas indiretos'!$B$5:$B$148,"Despesas",'B3 - Custos despesas indiretos'!$D$5:$D$148,$A441)-SUMIF('D2 - Capex uso'!AE$6:AE$176,$A441,'D2 - Capex uso'!HK$6:HK$176)</f>
        <v>-93467.85</v>
      </c>
      <c r="AE443" s="710">
        <f>-SUMIFS('B3 - Custos despesas indiretos'!BN$5:BN$148,'B3 - Custos despesas indiretos'!$B$5:$B$148,"Despesas",'B3 - Custos despesas indiretos'!$D$5:$D$148,$A441)-SUMIF('D2 - Capex uso'!AF$6:AF$176,$A441,'D2 - Capex uso'!HL$6:HL$176)</f>
        <v>-93467.85</v>
      </c>
      <c r="AF443" s="594"/>
      <c r="AG443" s="594"/>
      <c r="AH443" s="594"/>
      <c r="AI443" s="594"/>
      <c r="AJ443" s="594"/>
      <c r="AK443" s="594"/>
      <c r="AL443" s="594"/>
      <c r="AM443" s="594"/>
      <c r="AN443" s="594"/>
      <c r="AO443" s="594"/>
      <c r="AP443" s="594"/>
      <c r="AQ443" s="594"/>
      <c r="AR443" s="594"/>
      <c r="AS443" s="594"/>
      <c r="AT443" s="594"/>
      <c r="AU443" s="594"/>
      <c r="AV443" s="594"/>
      <c r="AW443" s="594"/>
      <c r="AX443" s="594"/>
      <c r="AY443" s="594"/>
      <c r="AZ443" s="594"/>
      <c r="BA443" s="594"/>
      <c r="BB443" s="594"/>
      <c r="BC443" s="594"/>
      <c r="BD443" s="594"/>
      <c r="BE443" s="594"/>
      <c r="BF443" s="594"/>
      <c r="BG443" s="594"/>
      <c r="BH443" s="594"/>
      <c r="BI443" s="594"/>
      <c r="BJ443" s="594"/>
      <c r="BK443" s="594"/>
      <c r="BL443" s="57"/>
      <c r="BM443" s="594"/>
      <c r="BN443" s="594"/>
      <c r="BO443" s="594"/>
      <c r="BP443" s="594"/>
      <c r="BQ443" s="594"/>
      <c r="BR443" s="594"/>
      <c r="BS443" s="594"/>
      <c r="BT443" s="594"/>
      <c r="BU443" s="594"/>
      <c r="BV443" s="594"/>
      <c r="BW443" s="594"/>
      <c r="BX443" s="594"/>
      <c r="BY443" s="594"/>
      <c r="BZ443" s="594"/>
      <c r="CA443" s="594"/>
      <c r="CB443" s="594"/>
      <c r="CC443" s="594"/>
      <c r="CD443" s="594"/>
      <c r="CE443" s="594"/>
      <c r="CF443" s="594"/>
      <c r="CG443" s="594"/>
      <c r="CH443" s="594"/>
      <c r="CI443" s="594"/>
      <c r="CJ443" s="594"/>
      <c r="CK443" s="594"/>
      <c r="CL443" s="594"/>
      <c r="CM443" s="594"/>
      <c r="CN443" s="594"/>
      <c r="CO443" s="594"/>
      <c r="CP443" s="594"/>
      <c r="CQ443" s="594"/>
    </row>
    <row r="444" spans="1:95" ht="15" hidden="1" customHeight="1" outlineLevel="2">
      <c r="A444" s="709" t="s">
        <v>206</v>
      </c>
      <c r="B444" s="717">
        <f t="shared" ref="B444:AE444" si="157">SUM(B445:B446)</f>
        <v>-9480</v>
      </c>
      <c r="C444" s="717">
        <f t="shared" si="157"/>
        <v>-9480</v>
      </c>
      <c r="D444" s="717">
        <f t="shared" si="157"/>
        <v>-9480</v>
      </c>
      <c r="E444" s="717">
        <f t="shared" si="157"/>
        <v>-9480</v>
      </c>
      <c r="F444" s="717">
        <f t="shared" si="157"/>
        <v>-9480</v>
      </c>
      <c r="G444" s="717">
        <f t="shared" si="157"/>
        <v>-9480</v>
      </c>
      <c r="H444" s="717">
        <f t="shared" si="157"/>
        <v>-9480</v>
      </c>
      <c r="I444" s="717">
        <f t="shared" si="157"/>
        <v>-9480</v>
      </c>
      <c r="J444" s="717">
        <f t="shared" si="157"/>
        <v>-9480</v>
      </c>
      <c r="K444" s="717">
        <f t="shared" si="157"/>
        <v>-9480</v>
      </c>
      <c r="L444" s="717">
        <f t="shared" si="157"/>
        <v>-9480</v>
      </c>
      <c r="M444" s="717">
        <f t="shared" si="157"/>
        <v>-9480</v>
      </c>
      <c r="N444" s="717">
        <f t="shared" si="157"/>
        <v>-9480</v>
      </c>
      <c r="O444" s="717">
        <f t="shared" si="157"/>
        <v>-9480</v>
      </c>
      <c r="P444" s="717">
        <f t="shared" si="157"/>
        <v>-9480</v>
      </c>
      <c r="Q444" s="717">
        <f t="shared" si="157"/>
        <v>-9480</v>
      </c>
      <c r="R444" s="717">
        <f t="shared" si="157"/>
        <v>-9480</v>
      </c>
      <c r="S444" s="717">
        <f t="shared" si="157"/>
        <v>-9480</v>
      </c>
      <c r="T444" s="717">
        <f t="shared" si="157"/>
        <v>-9480</v>
      </c>
      <c r="U444" s="717">
        <f t="shared" si="157"/>
        <v>-9480</v>
      </c>
      <c r="V444" s="717">
        <f t="shared" si="157"/>
        <v>-9480</v>
      </c>
      <c r="W444" s="717">
        <f t="shared" si="157"/>
        <v>-9480</v>
      </c>
      <c r="X444" s="717">
        <f t="shared" si="157"/>
        <v>-9480</v>
      </c>
      <c r="Y444" s="717">
        <f t="shared" si="157"/>
        <v>-9480</v>
      </c>
      <c r="Z444" s="717">
        <f t="shared" si="157"/>
        <v>-9480</v>
      </c>
      <c r="AA444" s="717">
        <f t="shared" si="157"/>
        <v>-9480</v>
      </c>
      <c r="AB444" s="717">
        <f t="shared" si="157"/>
        <v>-9480</v>
      </c>
      <c r="AC444" s="717">
        <f t="shared" si="157"/>
        <v>-9480</v>
      </c>
      <c r="AD444" s="717">
        <f t="shared" si="157"/>
        <v>-9480</v>
      </c>
      <c r="AE444" s="717">
        <f t="shared" si="157"/>
        <v>-9480</v>
      </c>
      <c r="AF444" s="594"/>
      <c r="AG444" s="594"/>
      <c r="AH444" s="594"/>
      <c r="AI444" s="594"/>
      <c r="AJ444" s="594"/>
      <c r="AK444" s="594"/>
      <c r="AL444" s="594"/>
      <c r="AM444" s="594"/>
      <c r="AN444" s="594"/>
      <c r="AO444" s="594"/>
      <c r="AP444" s="594"/>
      <c r="AQ444" s="594"/>
      <c r="AR444" s="594"/>
      <c r="AS444" s="594"/>
      <c r="AT444" s="594"/>
      <c r="AU444" s="594"/>
      <c r="AV444" s="594"/>
      <c r="AW444" s="594"/>
      <c r="AX444" s="594"/>
      <c r="AY444" s="594"/>
      <c r="AZ444" s="594"/>
      <c r="BA444" s="594"/>
      <c r="BB444" s="594"/>
      <c r="BC444" s="594"/>
      <c r="BD444" s="594"/>
      <c r="BE444" s="594"/>
      <c r="BF444" s="594"/>
      <c r="BG444" s="594"/>
      <c r="BH444" s="594"/>
      <c r="BI444" s="594"/>
      <c r="BJ444" s="594"/>
      <c r="BK444" s="594"/>
      <c r="BL444" s="57"/>
      <c r="BM444" s="594"/>
      <c r="BN444" s="594"/>
      <c r="BO444" s="594"/>
      <c r="BP444" s="594"/>
      <c r="BQ444" s="594"/>
      <c r="BR444" s="594"/>
      <c r="BS444" s="594"/>
      <c r="BT444" s="594"/>
      <c r="BU444" s="594"/>
      <c r="BV444" s="594"/>
      <c r="BW444" s="594"/>
      <c r="BX444" s="594"/>
      <c r="BY444" s="594"/>
      <c r="BZ444" s="594"/>
      <c r="CA444" s="594"/>
      <c r="CB444" s="594"/>
      <c r="CC444" s="594"/>
      <c r="CD444" s="594"/>
      <c r="CE444" s="594"/>
      <c r="CF444" s="594"/>
      <c r="CG444" s="594"/>
      <c r="CH444" s="594"/>
      <c r="CI444" s="594"/>
      <c r="CJ444" s="594"/>
      <c r="CK444" s="594"/>
      <c r="CL444" s="594"/>
      <c r="CM444" s="594"/>
      <c r="CN444" s="594"/>
      <c r="CO444" s="594"/>
      <c r="CP444" s="594"/>
      <c r="CQ444" s="594"/>
    </row>
    <row r="445" spans="1:95" ht="15" hidden="1" customHeight="1" outlineLevel="3">
      <c r="A445" s="709" t="s">
        <v>692</v>
      </c>
      <c r="B445" s="718">
        <f>IF($A444="",0,-SUMIF('C3 - Funcionários $'!$D$7:$D$121,$A444,'C3 - Funcionários $'!G$7:G$121))</f>
        <v>0</v>
      </c>
      <c r="C445" s="718">
        <f>IF($A444="",0,-SUMIF('C3 - Funcionários $'!$D$7:$D$121,$A444,'C3 - Funcionários $'!H$7:H$121))</f>
        <v>0</v>
      </c>
      <c r="D445" s="718">
        <f>IF($A444="",0,-SUMIF('C3 - Funcionários $'!$D$7:$D$121,$A444,'C3 - Funcionários $'!I$7:I$121))</f>
        <v>0</v>
      </c>
      <c r="E445" s="718">
        <f>IF($A444="",0,-SUMIF('C3 - Funcionários $'!$D$7:$D$121,$A444,'C3 - Funcionários $'!J$7:J$121))</f>
        <v>0</v>
      </c>
      <c r="F445" s="718">
        <f>IF($A444="",0,-SUMIF('C3 - Funcionários $'!$D$7:$D$121,$A444,'C3 - Funcionários $'!K$7:K$121))</f>
        <v>0</v>
      </c>
      <c r="G445" s="718">
        <f>IF($A444="",0,-SUMIF('C3 - Funcionários $'!$D$7:$D$121,$A444,'C3 - Funcionários $'!L$7:L$121))</f>
        <v>0</v>
      </c>
      <c r="H445" s="718">
        <f>IF($A444="",0,-SUMIF('C3 - Funcionários $'!$D$7:$D$121,$A444,'C3 - Funcionários $'!M$7:M$121))</f>
        <v>0</v>
      </c>
      <c r="I445" s="718">
        <f>IF($A444="",0,-SUMIF('C3 - Funcionários $'!$D$7:$D$121,$A444,'C3 - Funcionários $'!N$7:N$121))</f>
        <v>0</v>
      </c>
      <c r="J445" s="718">
        <f>IF($A444="",0,-SUMIF('C3 - Funcionários $'!$D$7:$D$121,$A444,'C3 - Funcionários $'!O$7:O$121))</f>
        <v>0</v>
      </c>
      <c r="K445" s="718">
        <f>IF($A444="",0,-SUMIF('C3 - Funcionários $'!$D$7:$D$121,$A444,'C3 - Funcionários $'!P$7:P$121))</f>
        <v>0</v>
      </c>
      <c r="L445" s="718">
        <f>IF($A444="",0,-SUMIF('C3 - Funcionários $'!$D$7:$D$121,$A444,'C3 - Funcionários $'!Q$7:Q$121))</f>
        <v>0</v>
      </c>
      <c r="M445" s="718">
        <f>IF($A444="",0,-SUMIF('C3 - Funcionários $'!$D$7:$D$121,$A444,'C3 - Funcionários $'!R$7:R$121))</f>
        <v>0</v>
      </c>
      <c r="N445" s="718">
        <f>IF($A444="",0,-SUMIF('C3 - Funcionários $'!$D$7:$D$121,$A444,'C3 - Funcionários $'!S$7:S$121))</f>
        <v>0</v>
      </c>
      <c r="O445" s="718">
        <f>IF($A444="",0,-SUMIF('C3 - Funcionários $'!$D$7:$D$121,$A444,'C3 - Funcionários $'!T$7:T$121))</f>
        <v>0</v>
      </c>
      <c r="P445" s="718">
        <f>IF($A444="",0,-SUMIF('C3 - Funcionários $'!$D$7:$D$121,$A444,'C3 - Funcionários $'!U$7:U$121))</f>
        <v>0</v>
      </c>
      <c r="Q445" s="718">
        <f>IF($A444="",0,-SUMIF('C3 - Funcionários $'!$D$7:$D$121,$A444,'C3 - Funcionários $'!V$7:V$121))</f>
        <v>0</v>
      </c>
      <c r="R445" s="718">
        <f>IF($A444="",0,-SUMIF('C3 - Funcionários $'!$D$7:$D$121,$A444,'C3 - Funcionários $'!W$7:W$121))</f>
        <v>0</v>
      </c>
      <c r="S445" s="718">
        <f>IF($A444="",0,-SUMIF('C3 - Funcionários $'!$D$7:$D$121,$A444,'C3 - Funcionários $'!X$7:X$121))</f>
        <v>0</v>
      </c>
      <c r="T445" s="718">
        <f>IF($A444="",0,-SUMIF('C3 - Funcionários $'!$D$7:$D$121,$A444,'C3 - Funcionários $'!Y$7:Y$121))</f>
        <v>0</v>
      </c>
      <c r="U445" s="718">
        <f>IF($A444="",0,-SUMIF('C3 - Funcionários $'!$D$7:$D$121,$A444,'C3 - Funcionários $'!Z$7:Z$121))</f>
        <v>0</v>
      </c>
      <c r="V445" s="718">
        <f>IF($A444="",0,-SUMIF('C3 - Funcionários $'!$D$7:$D$121,$A444,'C3 - Funcionários $'!AA$7:AA$121))</f>
        <v>0</v>
      </c>
      <c r="W445" s="718">
        <f>IF($A444="",0,-SUMIF('C3 - Funcionários $'!$D$7:$D$121,$A444,'C3 - Funcionários $'!AB$7:AB$121))</f>
        <v>0</v>
      </c>
      <c r="X445" s="718">
        <f>IF($A444="",0,-SUMIF('C3 - Funcionários $'!$D$7:$D$121,$A444,'C3 - Funcionários $'!AC$7:AC$121))</f>
        <v>0</v>
      </c>
      <c r="Y445" s="718">
        <f>IF($A444="",0,-SUMIF('C3 - Funcionários $'!$D$7:$D$121,$A444,'C3 - Funcionários $'!AD$7:AD$121))</f>
        <v>0</v>
      </c>
      <c r="Z445" s="718">
        <f>IF($A444="",0,-SUMIF('C3 - Funcionários $'!$D$7:$D$121,$A444,'C3 - Funcionários $'!AE$7:AE$121))</f>
        <v>0</v>
      </c>
      <c r="AA445" s="718">
        <f>IF($A444="",0,-SUMIF('C3 - Funcionários $'!$D$7:$D$121,$A444,'C3 - Funcionários $'!AF$7:AF$121))</f>
        <v>0</v>
      </c>
      <c r="AB445" s="718">
        <f>IF($A444="",0,-SUMIF('C3 - Funcionários $'!$D$7:$D$121,$A444,'C3 - Funcionários $'!AG$7:AG$121))</f>
        <v>0</v>
      </c>
      <c r="AC445" s="718">
        <f>IF($A444="",0,-SUMIF('C3 - Funcionários $'!$D$7:$D$121,$A444,'C3 - Funcionários $'!AH$7:AH$121))</f>
        <v>0</v>
      </c>
      <c r="AD445" s="718">
        <f>IF($A444="",0,-SUMIF('C3 - Funcionários $'!$D$7:$D$121,$A444,'C3 - Funcionários $'!AI$7:AI$121))</f>
        <v>0</v>
      </c>
      <c r="AE445" s="718">
        <f>IF($A444="",0,-SUMIF('C3 - Funcionários $'!$D$7:$D$121,$A444,'C3 - Funcionários $'!AJ$7:AJ$121))</f>
        <v>0</v>
      </c>
      <c r="AF445" s="594"/>
      <c r="AG445" s="594"/>
      <c r="AH445" s="594"/>
      <c r="AI445" s="594"/>
      <c r="AJ445" s="594"/>
      <c r="AK445" s="594"/>
      <c r="AL445" s="594"/>
      <c r="AM445" s="594"/>
      <c r="AN445" s="594"/>
      <c r="AO445" s="594"/>
      <c r="AP445" s="594"/>
      <c r="AQ445" s="594"/>
      <c r="AR445" s="594"/>
      <c r="AS445" s="594"/>
      <c r="AT445" s="594"/>
      <c r="AU445" s="594"/>
      <c r="AV445" s="594"/>
      <c r="AW445" s="594"/>
      <c r="AX445" s="594"/>
      <c r="AY445" s="594"/>
      <c r="AZ445" s="594"/>
      <c r="BA445" s="594"/>
      <c r="BB445" s="594"/>
      <c r="BC445" s="594"/>
      <c r="BD445" s="594"/>
      <c r="BE445" s="594"/>
      <c r="BF445" s="594"/>
      <c r="BG445" s="594"/>
      <c r="BH445" s="594"/>
      <c r="BI445" s="594"/>
      <c r="BJ445" s="594"/>
      <c r="BK445" s="594"/>
      <c r="BL445" s="57"/>
      <c r="BM445" s="594"/>
      <c r="BN445" s="594"/>
      <c r="BO445" s="594"/>
      <c r="BP445" s="594"/>
      <c r="BQ445" s="594"/>
      <c r="BR445" s="594"/>
      <c r="BS445" s="594"/>
      <c r="BT445" s="594"/>
      <c r="BU445" s="594"/>
      <c r="BV445" s="594"/>
      <c r="BW445" s="594"/>
      <c r="BX445" s="594"/>
      <c r="BY445" s="594"/>
      <c r="BZ445" s="594"/>
      <c r="CA445" s="594"/>
      <c r="CB445" s="594"/>
      <c r="CC445" s="594"/>
      <c r="CD445" s="594"/>
      <c r="CE445" s="594"/>
      <c r="CF445" s="594"/>
      <c r="CG445" s="594"/>
      <c r="CH445" s="594"/>
      <c r="CI445" s="594"/>
      <c r="CJ445" s="594"/>
      <c r="CK445" s="594"/>
      <c r="CL445" s="594"/>
      <c r="CM445" s="594"/>
      <c r="CN445" s="594"/>
      <c r="CO445" s="594"/>
      <c r="CP445" s="594"/>
      <c r="CQ445" s="594"/>
    </row>
    <row r="446" spans="1:95" ht="15" hidden="1" customHeight="1" outlineLevel="3">
      <c r="A446" s="709" t="s">
        <v>685</v>
      </c>
      <c r="B446" s="710">
        <f>-SUMIFS('B3 - Custos despesas indiretos'!AK$5:AK$148,'B3 - Custos despesas indiretos'!$B$5:$B$148,"Despesas",'B3 - Custos despesas indiretos'!$D$5:$D$148,$A444)-SUMIF('D2 - Capex uso'!C$6:C$176,$A444,'D2 - Capex uso'!GI$6:GI$176)</f>
        <v>-9480</v>
      </c>
      <c r="C446" s="710">
        <f>-SUMIFS('B3 - Custos despesas indiretos'!AL$5:AL$148,'B3 - Custos despesas indiretos'!$B$5:$B$148,"Despesas",'B3 - Custos despesas indiretos'!$D$5:$D$148,$A444)-SUMIF('D2 - Capex uso'!D$6:D$176,$A444,'D2 - Capex uso'!GJ$6:GJ$176)</f>
        <v>-9480</v>
      </c>
      <c r="D446" s="710">
        <f>-SUMIFS('B3 - Custos despesas indiretos'!AM$5:AM$148,'B3 - Custos despesas indiretos'!$B$5:$B$148,"Despesas",'B3 - Custos despesas indiretos'!$D$5:$D$148,$A444)-SUMIF('D2 - Capex uso'!E$6:E$176,$A444,'D2 - Capex uso'!GK$6:GK$176)</f>
        <v>-9480</v>
      </c>
      <c r="E446" s="710">
        <f>-SUMIFS('B3 - Custos despesas indiretos'!AN$5:AN$148,'B3 - Custos despesas indiretos'!$B$5:$B$148,"Despesas",'B3 - Custos despesas indiretos'!$D$5:$D$148,$A444)-SUMIF('D2 - Capex uso'!F$6:F$176,$A444,'D2 - Capex uso'!GL$6:GL$176)</f>
        <v>-9480</v>
      </c>
      <c r="F446" s="710">
        <f>-SUMIFS('B3 - Custos despesas indiretos'!AO$5:AO$148,'B3 - Custos despesas indiretos'!$B$5:$B$148,"Despesas",'B3 - Custos despesas indiretos'!$D$5:$D$148,$A444)-SUMIF('D2 - Capex uso'!G$6:G$176,$A444,'D2 - Capex uso'!GM$6:GM$176)</f>
        <v>-9480</v>
      </c>
      <c r="G446" s="710">
        <f>-SUMIFS('B3 - Custos despesas indiretos'!AP$5:AP$148,'B3 - Custos despesas indiretos'!$B$5:$B$148,"Despesas",'B3 - Custos despesas indiretos'!$D$5:$D$148,$A444)-SUMIF('D2 - Capex uso'!H$6:H$176,$A444,'D2 - Capex uso'!GN$6:GN$176)</f>
        <v>-9480</v>
      </c>
      <c r="H446" s="710">
        <f>-SUMIFS('B3 - Custos despesas indiretos'!AQ$5:AQ$148,'B3 - Custos despesas indiretos'!$B$5:$B$148,"Despesas",'B3 - Custos despesas indiretos'!$D$5:$D$148,$A444)-SUMIF('D2 - Capex uso'!I$6:I$176,$A444,'D2 - Capex uso'!GO$6:GO$176)</f>
        <v>-9480</v>
      </c>
      <c r="I446" s="710">
        <f>-SUMIFS('B3 - Custos despesas indiretos'!AR$5:AR$148,'B3 - Custos despesas indiretos'!$B$5:$B$148,"Despesas",'B3 - Custos despesas indiretos'!$D$5:$D$148,$A444)-SUMIF('D2 - Capex uso'!J$6:J$176,$A444,'D2 - Capex uso'!GP$6:GP$176)</f>
        <v>-9480</v>
      </c>
      <c r="J446" s="710">
        <f>-SUMIFS('B3 - Custos despesas indiretos'!AS$5:AS$148,'B3 - Custos despesas indiretos'!$B$5:$B$148,"Despesas",'B3 - Custos despesas indiretos'!$D$5:$D$148,$A444)-SUMIF('D2 - Capex uso'!K$6:K$176,$A444,'D2 - Capex uso'!GQ$6:GQ$176)</f>
        <v>-9480</v>
      </c>
      <c r="K446" s="710">
        <f>-SUMIFS('B3 - Custos despesas indiretos'!AT$5:AT$148,'B3 - Custos despesas indiretos'!$B$5:$B$148,"Despesas",'B3 - Custos despesas indiretos'!$D$5:$D$148,$A444)-SUMIF('D2 - Capex uso'!L$6:L$176,$A444,'D2 - Capex uso'!GR$6:GR$176)</f>
        <v>-9480</v>
      </c>
      <c r="L446" s="710">
        <f>-SUMIFS('B3 - Custos despesas indiretos'!AU$5:AU$148,'B3 - Custos despesas indiretos'!$B$5:$B$148,"Despesas",'B3 - Custos despesas indiretos'!$D$5:$D$148,$A444)-SUMIF('D2 - Capex uso'!M$6:M$176,$A444,'D2 - Capex uso'!GS$6:GS$176)</f>
        <v>-9480</v>
      </c>
      <c r="M446" s="710">
        <f>-SUMIFS('B3 - Custos despesas indiretos'!AV$5:AV$148,'B3 - Custos despesas indiretos'!$B$5:$B$148,"Despesas",'B3 - Custos despesas indiretos'!$D$5:$D$148,$A444)-SUMIF('D2 - Capex uso'!N$6:N$176,$A444,'D2 - Capex uso'!GT$6:GT$176)</f>
        <v>-9480</v>
      </c>
      <c r="N446" s="710">
        <f>-SUMIFS('B3 - Custos despesas indiretos'!AW$5:AW$148,'B3 - Custos despesas indiretos'!$B$5:$B$148,"Despesas",'B3 - Custos despesas indiretos'!$D$5:$D$148,$A444)-SUMIF('D2 - Capex uso'!O$6:O$176,$A444,'D2 - Capex uso'!GU$6:GU$176)</f>
        <v>-9480</v>
      </c>
      <c r="O446" s="710">
        <f>-SUMIFS('B3 - Custos despesas indiretos'!AX$5:AX$148,'B3 - Custos despesas indiretos'!$B$5:$B$148,"Despesas",'B3 - Custos despesas indiretos'!$D$5:$D$148,$A444)-SUMIF('D2 - Capex uso'!P$6:P$176,$A444,'D2 - Capex uso'!GV$6:GV$176)</f>
        <v>-9480</v>
      </c>
      <c r="P446" s="710">
        <f>-SUMIFS('B3 - Custos despesas indiretos'!AY$5:AY$148,'B3 - Custos despesas indiretos'!$B$5:$B$148,"Despesas",'B3 - Custos despesas indiretos'!$D$5:$D$148,$A444)-SUMIF('D2 - Capex uso'!Q$6:Q$176,$A444,'D2 - Capex uso'!GW$6:GW$176)</f>
        <v>-9480</v>
      </c>
      <c r="Q446" s="710">
        <f>-SUMIFS('B3 - Custos despesas indiretos'!AZ$5:AZ$148,'B3 - Custos despesas indiretos'!$B$5:$B$148,"Despesas",'B3 - Custos despesas indiretos'!$D$5:$D$148,$A444)-SUMIF('D2 - Capex uso'!R$6:R$176,$A444,'D2 - Capex uso'!GX$6:GX$176)</f>
        <v>-9480</v>
      </c>
      <c r="R446" s="710">
        <f>-SUMIFS('B3 - Custos despesas indiretos'!BA$5:BA$148,'B3 - Custos despesas indiretos'!$B$5:$B$148,"Despesas",'B3 - Custos despesas indiretos'!$D$5:$D$148,$A444)-SUMIF('D2 - Capex uso'!S$6:S$176,$A444,'D2 - Capex uso'!GY$6:GY$176)</f>
        <v>-9480</v>
      </c>
      <c r="S446" s="710">
        <f>-SUMIFS('B3 - Custos despesas indiretos'!BB$5:BB$148,'B3 - Custos despesas indiretos'!$B$5:$B$148,"Despesas",'B3 - Custos despesas indiretos'!$D$5:$D$148,$A444)-SUMIF('D2 - Capex uso'!T$6:T$176,$A444,'D2 - Capex uso'!GZ$6:GZ$176)</f>
        <v>-9480</v>
      </c>
      <c r="T446" s="710">
        <f>-SUMIFS('B3 - Custos despesas indiretos'!BC$5:BC$148,'B3 - Custos despesas indiretos'!$B$5:$B$148,"Despesas",'B3 - Custos despesas indiretos'!$D$5:$D$148,$A444)-SUMIF('D2 - Capex uso'!U$6:U$176,$A444,'D2 - Capex uso'!HA$6:HA$176)</f>
        <v>-9480</v>
      </c>
      <c r="U446" s="710">
        <f>-SUMIFS('B3 - Custos despesas indiretos'!BD$5:BD$148,'B3 - Custos despesas indiretos'!$B$5:$B$148,"Despesas",'B3 - Custos despesas indiretos'!$D$5:$D$148,$A444)-SUMIF('D2 - Capex uso'!V$6:V$176,$A444,'D2 - Capex uso'!HB$6:HB$176)</f>
        <v>-9480</v>
      </c>
      <c r="V446" s="710">
        <f>-SUMIFS('B3 - Custos despesas indiretos'!BE$5:BE$148,'B3 - Custos despesas indiretos'!$B$5:$B$148,"Despesas",'B3 - Custos despesas indiretos'!$D$5:$D$148,$A444)-SUMIF('D2 - Capex uso'!W$6:W$176,$A444,'D2 - Capex uso'!HC$6:HC$176)</f>
        <v>-9480</v>
      </c>
      <c r="W446" s="710">
        <f>-SUMIFS('B3 - Custos despesas indiretos'!BF$5:BF$148,'B3 - Custos despesas indiretos'!$B$5:$B$148,"Despesas",'B3 - Custos despesas indiretos'!$D$5:$D$148,$A444)-SUMIF('D2 - Capex uso'!X$6:X$176,$A444,'D2 - Capex uso'!HD$6:HD$176)</f>
        <v>-9480</v>
      </c>
      <c r="X446" s="710">
        <f>-SUMIFS('B3 - Custos despesas indiretos'!BG$5:BG$148,'B3 - Custos despesas indiretos'!$B$5:$B$148,"Despesas",'B3 - Custos despesas indiretos'!$D$5:$D$148,$A444)-SUMIF('D2 - Capex uso'!Y$6:Y$176,$A444,'D2 - Capex uso'!HE$6:HE$176)</f>
        <v>-9480</v>
      </c>
      <c r="Y446" s="710">
        <f>-SUMIFS('B3 - Custos despesas indiretos'!BH$5:BH$148,'B3 - Custos despesas indiretos'!$B$5:$B$148,"Despesas",'B3 - Custos despesas indiretos'!$D$5:$D$148,$A444)-SUMIF('D2 - Capex uso'!Z$6:Z$176,$A444,'D2 - Capex uso'!HF$6:HF$176)</f>
        <v>-9480</v>
      </c>
      <c r="Z446" s="710">
        <f>-SUMIFS('B3 - Custos despesas indiretos'!BI$5:BI$148,'B3 - Custos despesas indiretos'!$B$5:$B$148,"Despesas",'B3 - Custos despesas indiretos'!$D$5:$D$148,$A444)-SUMIF('D2 - Capex uso'!AA$6:AA$176,$A444,'D2 - Capex uso'!HG$6:HG$176)</f>
        <v>-9480</v>
      </c>
      <c r="AA446" s="710">
        <f>-SUMIFS('B3 - Custos despesas indiretos'!BJ$5:BJ$148,'B3 - Custos despesas indiretos'!$B$5:$B$148,"Despesas",'B3 - Custos despesas indiretos'!$D$5:$D$148,$A444)-SUMIF('D2 - Capex uso'!AB$6:AB$176,$A444,'D2 - Capex uso'!HH$6:HH$176)</f>
        <v>-9480</v>
      </c>
      <c r="AB446" s="710">
        <f>-SUMIFS('B3 - Custos despesas indiretos'!BK$5:BK$148,'B3 - Custos despesas indiretos'!$B$5:$B$148,"Despesas",'B3 - Custos despesas indiretos'!$D$5:$D$148,$A444)-SUMIF('D2 - Capex uso'!AC$6:AC$176,$A444,'D2 - Capex uso'!HI$6:HI$176)</f>
        <v>-9480</v>
      </c>
      <c r="AC446" s="710">
        <f>-SUMIFS('B3 - Custos despesas indiretos'!BL$5:BL$148,'B3 - Custos despesas indiretos'!$B$5:$B$148,"Despesas",'B3 - Custos despesas indiretos'!$D$5:$D$148,$A444)-SUMIF('D2 - Capex uso'!AD$6:AD$176,$A444,'D2 - Capex uso'!HJ$6:HJ$176)</f>
        <v>-9480</v>
      </c>
      <c r="AD446" s="710">
        <f>-SUMIFS('B3 - Custos despesas indiretos'!BM$5:BM$148,'B3 - Custos despesas indiretos'!$B$5:$B$148,"Despesas",'B3 - Custos despesas indiretos'!$D$5:$D$148,$A444)-SUMIF('D2 - Capex uso'!AE$6:AE$176,$A444,'D2 - Capex uso'!HK$6:HK$176)</f>
        <v>-9480</v>
      </c>
      <c r="AE446" s="710">
        <f>-SUMIFS('B3 - Custos despesas indiretos'!BN$5:BN$148,'B3 - Custos despesas indiretos'!$B$5:$B$148,"Despesas",'B3 - Custos despesas indiretos'!$D$5:$D$148,$A444)-SUMIF('D2 - Capex uso'!AF$6:AF$176,$A444,'D2 - Capex uso'!HL$6:HL$176)</f>
        <v>-9480</v>
      </c>
      <c r="AF446" s="594"/>
      <c r="AG446" s="594"/>
      <c r="AH446" s="594"/>
      <c r="AI446" s="594"/>
      <c r="AJ446" s="594"/>
      <c r="AK446" s="594"/>
      <c r="AL446" s="594"/>
      <c r="AM446" s="594"/>
      <c r="AN446" s="594"/>
      <c r="AO446" s="594"/>
      <c r="AP446" s="594"/>
      <c r="AQ446" s="594"/>
      <c r="AR446" s="594"/>
      <c r="AS446" s="594"/>
      <c r="AT446" s="594"/>
      <c r="AU446" s="594"/>
      <c r="AV446" s="594"/>
      <c r="AW446" s="594"/>
      <c r="AX446" s="594"/>
      <c r="AY446" s="594"/>
      <c r="AZ446" s="594"/>
      <c r="BA446" s="594"/>
      <c r="BB446" s="594"/>
      <c r="BC446" s="594"/>
      <c r="BD446" s="594"/>
      <c r="BE446" s="594"/>
      <c r="BF446" s="594"/>
      <c r="BG446" s="594"/>
      <c r="BH446" s="594"/>
      <c r="BI446" s="594"/>
      <c r="BJ446" s="594"/>
      <c r="BK446" s="594"/>
      <c r="BL446" s="57"/>
      <c r="BM446" s="594"/>
      <c r="BN446" s="594"/>
      <c r="BO446" s="594"/>
      <c r="BP446" s="594"/>
      <c r="BQ446" s="594"/>
      <c r="BR446" s="594"/>
      <c r="BS446" s="594"/>
      <c r="BT446" s="594"/>
      <c r="BU446" s="594"/>
      <c r="BV446" s="594"/>
      <c r="BW446" s="594"/>
      <c r="BX446" s="594"/>
      <c r="BY446" s="594"/>
      <c r="BZ446" s="594"/>
      <c r="CA446" s="594"/>
      <c r="CB446" s="594"/>
      <c r="CC446" s="594"/>
      <c r="CD446" s="594"/>
      <c r="CE446" s="594"/>
      <c r="CF446" s="594"/>
      <c r="CG446" s="594"/>
      <c r="CH446" s="594"/>
      <c r="CI446" s="594"/>
      <c r="CJ446" s="594"/>
      <c r="CK446" s="594"/>
      <c r="CL446" s="594"/>
      <c r="CM446" s="594"/>
      <c r="CN446" s="594"/>
      <c r="CO446" s="594"/>
      <c r="CP446" s="594"/>
      <c r="CQ446" s="594"/>
    </row>
    <row r="447" spans="1:95" ht="15" hidden="1" customHeight="1" outlineLevel="2">
      <c r="A447" s="709" t="s">
        <v>234</v>
      </c>
      <c r="B447" s="717">
        <f t="shared" ref="B447:AE447" si="158">SUM(B448:B449)</f>
        <v>901152.93022506661</v>
      </c>
      <c r="C447" s="717">
        <f t="shared" si="158"/>
        <v>-274894.81994160003</v>
      </c>
      <c r="D447" s="717">
        <f t="shared" si="158"/>
        <v>-274894.81994160003</v>
      </c>
      <c r="E447" s="717">
        <f t="shared" si="158"/>
        <v>-274894.81994160003</v>
      </c>
      <c r="F447" s="717">
        <f t="shared" si="158"/>
        <v>-274894.81994160003</v>
      </c>
      <c r="G447" s="717">
        <f t="shared" si="158"/>
        <v>-274894.81994160003</v>
      </c>
      <c r="H447" s="717">
        <f t="shared" si="158"/>
        <v>-274894.81994160003</v>
      </c>
      <c r="I447" s="717">
        <f t="shared" si="158"/>
        <v>-274894.81994160003</v>
      </c>
      <c r="J447" s="717">
        <f t="shared" si="158"/>
        <v>-274894.81994160003</v>
      </c>
      <c r="K447" s="717">
        <f t="shared" si="158"/>
        <v>-274894.81994160003</v>
      </c>
      <c r="L447" s="717">
        <f t="shared" si="158"/>
        <v>-274894.81994160003</v>
      </c>
      <c r="M447" s="717">
        <f t="shared" si="158"/>
        <v>-274894.81994160003</v>
      </c>
      <c r="N447" s="717">
        <f t="shared" si="158"/>
        <v>-274894.81994160003</v>
      </c>
      <c r="O447" s="717">
        <f t="shared" si="158"/>
        <v>-274894.81994160003</v>
      </c>
      <c r="P447" s="717">
        <f t="shared" si="158"/>
        <v>-274894.81994160003</v>
      </c>
      <c r="Q447" s="717">
        <f t="shared" si="158"/>
        <v>-274894.81994160003</v>
      </c>
      <c r="R447" s="717">
        <f t="shared" si="158"/>
        <v>-274894.81994160003</v>
      </c>
      <c r="S447" s="717">
        <f t="shared" si="158"/>
        <v>-274894.81994160003</v>
      </c>
      <c r="T447" s="717">
        <f t="shared" si="158"/>
        <v>-274894.81994160003</v>
      </c>
      <c r="U447" s="717">
        <f t="shared" si="158"/>
        <v>-274894.81994160003</v>
      </c>
      <c r="V447" s="717">
        <f t="shared" si="158"/>
        <v>-274894.81994160003</v>
      </c>
      <c r="W447" s="717">
        <f t="shared" si="158"/>
        <v>-274894.81994160003</v>
      </c>
      <c r="X447" s="717">
        <f t="shared" si="158"/>
        <v>-274894.81994160003</v>
      </c>
      <c r="Y447" s="717">
        <f t="shared" si="158"/>
        <v>-274894.81994160003</v>
      </c>
      <c r="Z447" s="717">
        <f t="shared" si="158"/>
        <v>-274894.81994160003</v>
      </c>
      <c r="AA447" s="717">
        <f t="shared" si="158"/>
        <v>-274894.81994160003</v>
      </c>
      <c r="AB447" s="717">
        <f t="shared" si="158"/>
        <v>-274894.81994160003</v>
      </c>
      <c r="AC447" s="717">
        <f t="shared" si="158"/>
        <v>-274894.81994160003</v>
      </c>
      <c r="AD447" s="717">
        <f t="shared" si="158"/>
        <v>-274894.81994160003</v>
      </c>
      <c r="AE447" s="717">
        <f t="shared" si="158"/>
        <v>-274894.81994160003</v>
      </c>
      <c r="AF447" s="594"/>
      <c r="AG447" s="594"/>
      <c r="AH447" s="594"/>
      <c r="AI447" s="594"/>
      <c r="AJ447" s="594"/>
      <c r="AK447" s="594"/>
      <c r="AL447" s="594"/>
      <c r="AM447" s="594"/>
      <c r="AN447" s="594"/>
      <c r="AO447" s="594"/>
      <c r="AP447" s="594"/>
      <c r="AQ447" s="594"/>
      <c r="AR447" s="594"/>
      <c r="AS447" s="594"/>
      <c r="AT447" s="594"/>
      <c r="AU447" s="594"/>
      <c r="AV447" s="594"/>
      <c r="AW447" s="594"/>
      <c r="AX447" s="594"/>
      <c r="AY447" s="594"/>
      <c r="AZ447" s="594"/>
      <c r="BA447" s="594"/>
      <c r="BB447" s="594"/>
      <c r="BC447" s="594"/>
      <c r="BD447" s="594"/>
      <c r="BE447" s="594"/>
      <c r="BF447" s="594"/>
      <c r="BG447" s="594"/>
      <c r="BH447" s="594"/>
      <c r="BI447" s="594"/>
      <c r="BJ447" s="594"/>
      <c r="BK447" s="594"/>
      <c r="BL447" s="57"/>
      <c r="BM447" s="594"/>
      <c r="BN447" s="594"/>
      <c r="BO447" s="594"/>
      <c r="BP447" s="594"/>
      <c r="BQ447" s="594"/>
      <c r="BR447" s="594"/>
      <c r="BS447" s="594"/>
      <c r="BT447" s="594"/>
      <c r="BU447" s="594"/>
      <c r="BV447" s="594"/>
      <c r="BW447" s="594"/>
      <c r="BX447" s="594"/>
      <c r="BY447" s="594"/>
      <c r="BZ447" s="594"/>
      <c r="CA447" s="594"/>
      <c r="CB447" s="594"/>
      <c r="CC447" s="594"/>
      <c r="CD447" s="594"/>
      <c r="CE447" s="594"/>
      <c r="CF447" s="594"/>
      <c r="CG447" s="594"/>
      <c r="CH447" s="594"/>
      <c r="CI447" s="594"/>
      <c r="CJ447" s="594"/>
      <c r="CK447" s="594"/>
      <c r="CL447" s="594"/>
      <c r="CM447" s="594"/>
      <c r="CN447" s="594"/>
      <c r="CO447" s="594"/>
      <c r="CP447" s="594"/>
      <c r="CQ447" s="594"/>
    </row>
    <row r="448" spans="1:95" ht="15" hidden="1" customHeight="1" outlineLevel="3">
      <c r="A448" s="709" t="s">
        <v>692</v>
      </c>
      <c r="B448" s="718">
        <f>IF($A447="",0,-SUMIF('C3 - Funcionários $'!$D$7:$D$121,$A447,'C3 - Funcionários $'!G$7:G$121))</f>
        <v>-200945.81994160003</v>
      </c>
      <c r="C448" s="718">
        <f>IF($A447="",0,-SUMIF('C3 - Funcionários $'!$D$7:$D$121,$A447,'C3 - Funcionários $'!H$7:H$121))</f>
        <v>-200945.81994160003</v>
      </c>
      <c r="D448" s="718">
        <f>IF($A447="",0,-SUMIF('C3 - Funcionários $'!$D$7:$D$121,$A447,'C3 - Funcionários $'!I$7:I$121))</f>
        <v>-200945.81994160003</v>
      </c>
      <c r="E448" s="718">
        <f>IF($A447="",0,-SUMIF('C3 - Funcionários $'!$D$7:$D$121,$A447,'C3 - Funcionários $'!J$7:J$121))</f>
        <v>-200945.81994160003</v>
      </c>
      <c r="F448" s="718">
        <f>IF($A447="",0,-SUMIF('C3 - Funcionários $'!$D$7:$D$121,$A447,'C3 - Funcionários $'!K$7:K$121))</f>
        <v>-200945.81994160003</v>
      </c>
      <c r="G448" s="718">
        <f>IF($A447="",0,-SUMIF('C3 - Funcionários $'!$D$7:$D$121,$A447,'C3 - Funcionários $'!L$7:L$121))</f>
        <v>-200945.81994160003</v>
      </c>
      <c r="H448" s="718">
        <f>IF($A447="",0,-SUMIF('C3 - Funcionários $'!$D$7:$D$121,$A447,'C3 - Funcionários $'!M$7:M$121))</f>
        <v>-200945.81994160003</v>
      </c>
      <c r="I448" s="718">
        <f>IF($A447="",0,-SUMIF('C3 - Funcionários $'!$D$7:$D$121,$A447,'C3 - Funcionários $'!N$7:N$121))</f>
        <v>-200945.81994160003</v>
      </c>
      <c r="J448" s="718">
        <f>IF($A447="",0,-SUMIF('C3 - Funcionários $'!$D$7:$D$121,$A447,'C3 - Funcionários $'!O$7:O$121))</f>
        <v>-200945.81994160003</v>
      </c>
      <c r="K448" s="718">
        <f>IF($A447="",0,-SUMIF('C3 - Funcionários $'!$D$7:$D$121,$A447,'C3 - Funcionários $'!P$7:P$121))</f>
        <v>-200945.81994160003</v>
      </c>
      <c r="L448" s="718">
        <f>IF($A447="",0,-SUMIF('C3 - Funcionários $'!$D$7:$D$121,$A447,'C3 - Funcionários $'!Q$7:Q$121))</f>
        <v>-200945.81994160003</v>
      </c>
      <c r="M448" s="718">
        <f>IF($A447="",0,-SUMIF('C3 - Funcionários $'!$D$7:$D$121,$A447,'C3 - Funcionários $'!R$7:R$121))</f>
        <v>-200945.81994160003</v>
      </c>
      <c r="N448" s="718">
        <f>IF($A447="",0,-SUMIF('C3 - Funcionários $'!$D$7:$D$121,$A447,'C3 - Funcionários $'!S$7:S$121))</f>
        <v>-200945.81994160003</v>
      </c>
      <c r="O448" s="718">
        <f>IF($A447="",0,-SUMIF('C3 - Funcionários $'!$D$7:$D$121,$A447,'C3 - Funcionários $'!T$7:T$121))</f>
        <v>-200945.81994160003</v>
      </c>
      <c r="P448" s="718">
        <f>IF($A447="",0,-SUMIF('C3 - Funcionários $'!$D$7:$D$121,$A447,'C3 - Funcionários $'!U$7:U$121))</f>
        <v>-200945.81994160003</v>
      </c>
      <c r="Q448" s="718">
        <f>IF($A447="",0,-SUMIF('C3 - Funcionários $'!$D$7:$D$121,$A447,'C3 - Funcionários $'!V$7:V$121))</f>
        <v>-200945.81994160003</v>
      </c>
      <c r="R448" s="718">
        <f>IF($A447="",0,-SUMIF('C3 - Funcionários $'!$D$7:$D$121,$A447,'C3 - Funcionários $'!W$7:W$121))</f>
        <v>-200945.81994160003</v>
      </c>
      <c r="S448" s="718">
        <f>IF($A447="",0,-SUMIF('C3 - Funcionários $'!$D$7:$D$121,$A447,'C3 - Funcionários $'!X$7:X$121))</f>
        <v>-200945.81994160003</v>
      </c>
      <c r="T448" s="718">
        <f>IF($A447="",0,-SUMIF('C3 - Funcionários $'!$D$7:$D$121,$A447,'C3 - Funcionários $'!Y$7:Y$121))</f>
        <v>-200945.81994160003</v>
      </c>
      <c r="U448" s="718">
        <f>IF($A447="",0,-SUMIF('C3 - Funcionários $'!$D$7:$D$121,$A447,'C3 - Funcionários $'!Z$7:Z$121))</f>
        <v>-200945.81994160003</v>
      </c>
      <c r="V448" s="718">
        <f>IF($A447="",0,-SUMIF('C3 - Funcionários $'!$D$7:$D$121,$A447,'C3 - Funcionários $'!AA$7:AA$121))</f>
        <v>-200945.81994160003</v>
      </c>
      <c r="W448" s="718">
        <f>IF($A447="",0,-SUMIF('C3 - Funcionários $'!$D$7:$D$121,$A447,'C3 - Funcionários $'!AB$7:AB$121))</f>
        <v>-200945.81994160003</v>
      </c>
      <c r="X448" s="718">
        <f>IF($A447="",0,-SUMIF('C3 - Funcionários $'!$D$7:$D$121,$A447,'C3 - Funcionários $'!AC$7:AC$121))</f>
        <v>-200945.81994160003</v>
      </c>
      <c r="Y448" s="718">
        <f>IF($A447="",0,-SUMIF('C3 - Funcionários $'!$D$7:$D$121,$A447,'C3 - Funcionários $'!AD$7:AD$121))</f>
        <v>-200945.81994160003</v>
      </c>
      <c r="Z448" s="718">
        <f>IF($A447="",0,-SUMIF('C3 - Funcionários $'!$D$7:$D$121,$A447,'C3 - Funcionários $'!AE$7:AE$121))</f>
        <v>-200945.81994160003</v>
      </c>
      <c r="AA448" s="718">
        <f>IF($A447="",0,-SUMIF('C3 - Funcionários $'!$D$7:$D$121,$A447,'C3 - Funcionários $'!AF$7:AF$121))</f>
        <v>-200945.81994160003</v>
      </c>
      <c r="AB448" s="718">
        <f>IF($A447="",0,-SUMIF('C3 - Funcionários $'!$D$7:$D$121,$A447,'C3 - Funcionários $'!AG$7:AG$121))</f>
        <v>-200945.81994160003</v>
      </c>
      <c r="AC448" s="718">
        <f>IF($A447="",0,-SUMIF('C3 - Funcionários $'!$D$7:$D$121,$A447,'C3 - Funcionários $'!AH$7:AH$121))</f>
        <v>-200945.81994160003</v>
      </c>
      <c r="AD448" s="718">
        <f>IF($A447="",0,-SUMIF('C3 - Funcionários $'!$D$7:$D$121,$A447,'C3 - Funcionários $'!AI$7:AI$121))</f>
        <v>-200945.81994160003</v>
      </c>
      <c r="AE448" s="718">
        <f>IF($A447="",0,-SUMIF('C3 - Funcionários $'!$D$7:$D$121,$A447,'C3 - Funcionários $'!AJ$7:AJ$121))</f>
        <v>-200945.81994160003</v>
      </c>
      <c r="AF448" s="594"/>
      <c r="AG448" s="594"/>
      <c r="AH448" s="594"/>
      <c r="AI448" s="594"/>
      <c r="AJ448" s="594"/>
      <c r="AK448" s="594"/>
      <c r="AL448" s="594"/>
      <c r="AM448" s="594"/>
      <c r="AN448" s="594"/>
      <c r="AO448" s="594"/>
      <c r="AP448" s="594"/>
      <c r="AQ448" s="594"/>
      <c r="AR448" s="594"/>
      <c r="AS448" s="594"/>
      <c r="AT448" s="594"/>
      <c r="AU448" s="594"/>
      <c r="AV448" s="594"/>
      <c r="AW448" s="594"/>
      <c r="AX448" s="594"/>
      <c r="AY448" s="594"/>
      <c r="AZ448" s="594"/>
      <c r="BA448" s="594"/>
      <c r="BB448" s="594"/>
      <c r="BC448" s="594"/>
      <c r="BD448" s="594"/>
      <c r="BE448" s="594"/>
      <c r="BF448" s="594"/>
      <c r="BG448" s="594"/>
      <c r="BH448" s="594"/>
      <c r="BI448" s="594"/>
      <c r="BJ448" s="594"/>
      <c r="BK448" s="594"/>
      <c r="BL448" s="57"/>
      <c r="BM448" s="594"/>
      <c r="BN448" s="594"/>
      <c r="BO448" s="594"/>
      <c r="BP448" s="594"/>
      <c r="BQ448" s="594"/>
      <c r="BR448" s="594"/>
      <c r="BS448" s="594"/>
      <c r="BT448" s="594"/>
      <c r="BU448" s="594"/>
      <c r="BV448" s="594"/>
      <c r="BW448" s="594"/>
      <c r="BX448" s="594"/>
      <c r="BY448" s="594"/>
      <c r="BZ448" s="594"/>
      <c r="CA448" s="594"/>
      <c r="CB448" s="594"/>
      <c r="CC448" s="594"/>
      <c r="CD448" s="594"/>
      <c r="CE448" s="594"/>
      <c r="CF448" s="594"/>
      <c r="CG448" s="594"/>
      <c r="CH448" s="594"/>
      <c r="CI448" s="594"/>
      <c r="CJ448" s="594"/>
      <c r="CK448" s="594"/>
      <c r="CL448" s="594"/>
      <c r="CM448" s="594"/>
      <c r="CN448" s="594"/>
      <c r="CO448" s="594"/>
      <c r="CP448" s="594"/>
      <c r="CQ448" s="594"/>
    </row>
    <row r="449" spans="1:95" ht="15" hidden="1" customHeight="1" outlineLevel="3">
      <c r="A449" s="709" t="s">
        <v>685</v>
      </c>
      <c r="B449" s="710">
        <f>-SUMIFS('B3 - Custos despesas indiretos'!AK$5:AK$148,'B3 - Custos despesas indiretos'!$B$5:$B$148,"Despesas",'B3 - Custos despesas indiretos'!$D$5:$D$148,$A447)+SUMIF('D2 - Capex uso'!C$6:C$176,$A447,'D2 - Capex uso'!GI$6:GI$176)</f>
        <v>1102098.7501666667</v>
      </c>
      <c r="C449" s="710">
        <f>-SUMIFS('B3 - Custos despesas indiretos'!AL$5:AL$148,'B3 - Custos despesas indiretos'!$B$5:$B$148,"Despesas",'B3 - Custos despesas indiretos'!$D$5:$D$148,$A447)+SUMIF('D2 - Capex uso'!D$6:D$176,$A447,'D2 - Capex uso'!GJ$6:GJ$176)</f>
        <v>-73949</v>
      </c>
      <c r="D449" s="710">
        <f>-SUMIFS('B3 - Custos despesas indiretos'!AM$5:AM$148,'B3 - Custos despesas indiretos'!$B$5:$B$148,"Despesas",'B3 - Custos despesas indiretos'!$D$5:$D$148,$A447)+SUMIF('D2 - Capex uso'!E$6:E$176,$A447,'D2 - Capex uso'!GK$6:GK$176)</f>
        <v>-73949</v>
      </c>
      <c r="E449" s="710">
        <f>-SUMIFS('B3 - Custos despesas indiretos'!AN$5:AN$148,'B3 - Custos despesas indiretos'!$B$5:$B$148,"Despesas",'B3 - Custos despesas indiretos'!$D$5:$D$148,$A447)+SUMIF('D2 - Capex uso'!F$6:F$176,$A447,'D2 - Capex uso'!GL$6:GL$176)</f>
        <v>-73949</v>
      </c>
      <c r="F449" s="710">
        <f>-SUMIFS('B3 - Custos despesas indiretos'!AO$5:AO$148,'B3 - Custos despesas indiretos'!$B$5:$B$148,"Despesas",'B3 - Custos despesas indiretos'!$D$5:$D$148,$A447)+SUMIF('D2 - Capex uso'!G$6:G$176,$A447,'D2 - Capex uso'!GM$6:GM$176)</f>
        <v>-73949</v>
      </c>
      <c r="G449" s="710">
        <f>-SUMIFS('B3 - Custos despesas indiretos'!AP$5:AP$148,'B3 - Custos despesas indiretos'!$B$5:$B$148,"Despesas",'B3 - Custos despesas indiretos'!$D$5:$D$148,$A447)+SUMIF('D2 - Capex uso'!H$6:H$176,$A447,'D2 - Capex uso'!GN$6:GN$176)</f>
        <v>-73949</v>
      </c>
      <c r="H449" s="710">
        <f>-SUMIFS('B3 - Custos despesas indiretos'!AQ$5:AQ$148,'B3 - Custos despesas indiretos'!$B$5:$B$148,"Despesas",'B3 - Custos despesas indiretos'!$D$5:$D$148,$A447)+SUMIF('D2 - Capex uso'!I$6:I$176,$A447,'D2 - Capex uso'!GO$6:GO$176)</f>
        <v>-73949</v>
      </c>
      <c r="I449" s="710">
        <f>-SUMIFS('B3 - Custos despesas indiretos'!AR$5:AR$148,'B3 - Custos despesas indiretos'!$B$5:$B$148,"Despesas",'B3 - Custos despesas indiretos'!$D$5:$D$148,$A447)+SUMIF('D2 - Capex uso'!J$6:J$176,$A447,'D2 - Capex uso'!GP$6:GP$176)</f>
        <v>-73949</v>
      </c>
      <c r="J449" s="710">
        <f>-SUMIFS('B3 - Custos despesas indiretos'!AS$5:AS$148,'B3 - Custos despesas indiretos'!$B$5:$B$148,"Despesas",'B3 - Custos despesas indiretos'!$D$5:$D$148,$A447)+SUMIF('D2 - Capex uso'!K$6:K$176,$A447,'D2 - Capex uso'!GQ$6:GQ$176)</f>
        <v>-73949</v>
      </c>
      <c r="K449" s="710">
        <f>-SUMIFS('B3 - Custos despesas indiretos'!AT$5:AT$148,'B3 - Custos despesas indiretos'!$B$5:$B$148,"Despesas",'B3 - Custos despesas indiretos'!$D$5:$D$148,$A447)+SUMIF('D2 - Capex uso'!L$6:L$176,$A447,'D2 - Capex uso'!GR$6:GR$176)</f>
        <v>-73949</v>
      </c>
      <c r="L449" s="710">
        <f>-SUMIFS('B3 - Custos despesas indiretos'!AU$5:AU$148,'B3 - Custos despesas indiretos'!$B$5:$B$148,"Despesas",'B3 - Custos despesas indiretos'!$D$5:$D$148,$A447)+SUMIF('D2 - Capex uso'!M$6:M$176,$A447,'D2 - Capex uso'!GS$6:GS$176)</f>
        <v>-73949</v>
      </c>
      <c r="M449" s="710">
        <f>-SUMIFS('B3 - Custos despesas indiretos'!AV$5:AV$148,'B3 - Custos despesas indiretos'!$B$5:$B$148,"Despesas",'B3 - Custos despesas indiretos'!$D$5:$D$148,$A447)+SUMIF('D2 - Capex uso'!N$6:N$176,$A447,'D2 - Capex uso'!GT$6:GT$176)</f>
        <v>-73949</v>
      </c>
      <c r="N449" s="710">
        <f>-SUMIFS('B3 - Custos despesas indiretos'!AW$5:AW$148,'B3 - Custos despesas indiretos'!$B$5:$B$148,"Despesas",'B3 - Custos despesas indiretos'!$D$5:$D$148,$A447)+SUMIF('D2 - Capex uso'!O$6:O$176,$A447,'D2 - Capex uso'!GU$6:GU$176)</f>
        <v>-73949</v>
      </c>
      <c r="O449" s="710">
        <f>-SUMIFS('B3 - Custos despesas indiretos'!AX$5:AX$148,'B3 - Custos despesas indiretos'!$B$5:$B$148,"Despesas",'B3 - Custos despesas indiretos'!$D$5:$D$148,$A447)+SUMIF('D2 - Capex uso'!P$6:P$176,$A447,'D2 - Capex uso'!GV$6:GV$176)</f>
        <v>-73949</v>
      </c>
      <c r="P449" s="710">
        <f>-SUMIFS('B3 - Custos despesas indiretos'!AY$5:AY$148,'B3 - Custos despesas indiretos'!$B$5:$B$148,"Despesas",'B3 - Custos despesas indiretos'!$D$5:$D$148,$A447)+SUMIF('D2 - Capex uso'!Q$6:Q$176,$A447,'D2 - Capex uso'!GW$6:GW$176)</f>
        <v>-73949</v>
      </c>
      <c r="Q449" s="710">
        <f>-SUMIFS('B3 - Custos despesas indiretos'!AZ$5:AZ$148,'B3 - Custos despesas indiretos'!$B$5:$B$148,"Despesas",'B3 - Custos despesas indiretos'!$D$5:$D$148,$A447)+SUMIF('D2 - Capex uso'!R$6:R$176,$A447,'D2 - Capex uso'!GX$6:GX$176)</f>
        <v>-73949</v>
      </c>
      <c r="R449" s="710">
        <f>-SUMIFS('B3 - Custos despesas indiretos'!BA$5:BA$148,'B3 - Custos despesas indiretos'!$B$5:$B$148,"Despesas",'B3 - Custos despesas indiretos'!$D$5:$D$148,$A447)+SUMIF('D2 - Capex uso'!S$6:S$176,$A447,'D2 - Capex uso'!GY$6:GY$176)</f>
        <v>-73949</v>
      </c>
      <c r="S449" s="710">
        <f>-SUMIFS('B3 - Custos despesas indiretos'!BB$5:BB$148,'B3 - Custos despesas indiretos'!$B$5:$B$148,"Despesas",'B3 - Custos despesas indiretos'!$D$5:$D$148,$A447)+SUMIF('D2 - Capex uso'!T$6:T$176,$A447,'D2 - Capex uso'!GZ$6:GZ$176)</f>
        <v>-73949</v>
      </c>
      <c r="T449" s="710">
        <f>-SUMIFS('B3 - Custos despesas indiretos'!BC$5:BC$148,'B3 - Custos despesas indiretos'!$B$5:$B$148,"Despesas",'B3 - Custos despesas indiretos'!$D$5:$D$148,$A447)+SUMIF('D2 - Capex uso'!U$6:U$176,$A447,'D2 - Capex uso'!HA$6:HA$176)</f>
        <v>-73949</v>
      </c>
      <c r="U449" s="710">
        <f>-SUMIFS('B3 - Custos despesas indiretos'!BD$5:BD$148,'B3 - Custos despesas indiretos'!$B$5:$B$148,"Despesas",'B3 - Custos despesas indiretos'!$D$5:$D$148,$A447)+SUMIF('D2 - Capex uso'!V$6:V$176,$A447,'D2 - Capex uso'!HB$6:HB$176)</f>
        <v>-73949</v>
      </c>
      <c r="V449" s="710">
        <f>-SUMIFS('B3 - Custos despesas indiretos'!BE$5:BE$148,'B3 - Custos despesas indiretos'!$B$5:$B$148,"Despesas",'B3 - Custos despesas indiretos'!$D$5:$D$148,$A447)+SUMIF('D2 - Capex uso'!W$6:W$176,$A447,'D2 - Capex uso'!HC$6:HC$176)</f>
        <v>-73949</v>
      </c>
      <c r="W449" s="710">
        <f>-SUMIFS('B3 - Custos despesas indiretos'!BF$5:BF$148,'B3 - Custos despesas indiretos'!$B$5:$B$148,"Despesas",'B3 - Custos despesas indiretos'!$D$5:$D$148,$A447)+SUMIF('D2 - Capex uso'!X$6:X$176,$A447,'D2 - Capex uso'!HD$6:HD$176)</f>
        <v>-73949</v>
      </c>
      <c r="X449" s="710">
        <f>-SUMIFS('B3 - Custos despesas indiretos'!BG$5:BG$148,'B3 - Custos despesas indiretos'!$B$5:$B$148,"Despesas",'B3 - Custos despesas indiretos'!$D$5:$D$148,$A447)+SUMIF('D2 - Capex uso'!Y$6:Y$176,$A447,'D2 - Capex uso'!HE$6:HE$176)</f>
        <v>-73949</v>
      </c>
      <c r="Y449" s="710">
        <f>-SUMIFS('B3 - Custos despesas indiretos'!BH$5:BH$148,'B3 - Custos despesas indiretos'!$B$5:$B$148,"Despesas",'B3 - Custos despesas indiretos'!$D$5:$D$148,$A447)+SUMIF('D2 - Capex uso'!Z$6:Z$176,$A447,'D2 - Capex uso'!HF$6:HF$176)</f>
        <v>-73949</v>
      </c>
      <c r="Z449" s="710">
        <f>-SUMIFS('B3 - Custos despesas indiretos'!BI$5:BI$148,'B3 - Custos despesas indiretos'!$B$5:$B$148,"Despesas",'B3 - Custos despesas indiretos'!$D$5:$D$148,$A447)+SUMIF('D2 - Capex uso'!AA$6:AA$176,$A447,'D2 - Capex uso'!HG$6:HG$176)</f>
        <v>-73949</v>
      </c>
      <c r="AA449" s="710">
        <f>-SUMIFS('B3 - Custos despesas indiretos'!BJ$5:BJ$148,'B3 - Custos despesas indiretos'!$B$5:$B$148,"Despesas",'B3 - Custos despesas indiretos'!$D$5:$D$148,$A447)+SUMIF('D2 - Capex uso'!AB$6:AB$176,$A447,'D2 - Capex uso'!HH$6:HH$176)</f>
        <v>-73949</v>
      </c>
      <c r="AB449" s="710">
        <f>-SUMIFS('B3 - Custos despesas indiretos'!BK$5:BK$148,'B3 - Custos despesas indiretos'!$B$5:$B$148,"Despesas",'B3 - Custos despesas indiretos'!$D$5:$D$148,$A447)+SUMIF('D2 - Capex uso'!AC$6:AC$176,$A447,'D2 - Capex uso'!HI$6:HI$176)</f>
        <v>-73949</v>
      </c>
      <c r="AC449" s="710">
        <f>-SUMIFS('B3 - Custos despesas indiretos'!BL$5:BL$148,'B3 - Custos despesas indiretos'!$B$5:$B$148,"Despesas",'B3 - Custos despesas indiretos'!$D$5:$D$148,$A447)+SUMIF('D2 - Capex uso'!AD$6:AD$176,$A447,'D2 - Capex uso'!HJ$6:HJ$176)</f>
        <v>-73949</v>
      </c>
      <c r="AD449" s="710">
        <f>-SUMIFS('B3 - Custos despesas indiretos'!BM$5:BM$148,'B3 - Custos despesas indiretos'!$B$5:$B$148,"Despesas",'B3 - Custos despesas indiretos'!$D$5:$D$148,$A447)+SUMIF('D2 - Capex uso'!AE$6:AE$176,$A447,'D2 - Capex uso'!HK$6:HK$176)</f>
        <v>-73949</v>
      </c>
      <c r="AE449" s="710">
        <f>-SUMIFS('B3 - Custos despesas indiretos'!BN$5:BN$148,'B3 - Custos despesas indiretos'!$B$5:$B$148,"Despesas",'B3 - Custos despesas indiretos'!$D$5:$D$148,$A447)+SUMIF('D2 - Capex uso'!AF$6:AF$176,$A447,'D2 - Capex uso'!HL$6:HL$176)</f>
        <v>-73949</v>
      </c>
      <c r="AF449" s="594"/>
      <c r="AG449" s="594"/>
      <c r="AH449" s="594"/>
      <c r="AI449" s="594"/>
      <c r="AJ449" s="594"/>
      <c r="AK449" s="594"/>
      <c r="AL449" s="594"/>
      <c r="AM449" s="594"/>
      <c r="AN449" s="594"/>
      <c r="AO449" s="594"/>
      <c r="AP449" s="594"/>
      <c r="AQ449" s="594"/>
      <c r="AR449" s="594"/>
      <c r="AS449" s="594"/>
      <c r="AT449" s="594"/>
      <c r="AU449" s="594"/>
      <c r="AV449" s="594"/>
      <c r="AW449" s="594"/>
      <c r="AX449" s="594"/>
      <c r="AY449" s="594"/>
      <c r="AZ449" s="594"/>
      <c r="BA449" s="594"/>
      <c r="BB449" s="594"/>
      <c r="BC449" s="594"/>
      <c r="BD449" s="594"/>
      <c r="BE449" s="594"/>
      <c r="BF449" s="594"/>
      <c r="BG449" s="594"/>
      <c r="BH449" s="594"/>
      <c r="BI449" s="594"/>
      <c r="BJ449" s="594"/>
      <c r="BK449" s="594"/>
      <c r="BL449" s="57"/>
      <c r="BM449" s="594"/>
      <c r="BN449" s="594"/>
      <c r="BO449" s="594"/>
      <c r="BP449" s="594"/>
      <c r="BQ449" s="594"/>
      <c r="BR449" s="594"/>
      <c r="BS449" s="594"/>
      <c r="BT449" s="594"/>
      <c r="BU449" s="594"/>
      <c r="BV449" s="594"/>
      <c r="BW449" s="594"/>
      <c r="BX449" s="594"/>
      <c r="BY449" s="594"/>
      <c r="BZ449" s="594"/>
      <c r="CA449" s="594"/>
      <c r="CB449" s="594"/>
      <c r="CC449" s="594"/>
      <c r="CD449" s="594"/>
      <c r="CE449" s="594"/>
      <c r="CF449" s="594"/>
      <c r="CG449" s="594"/>
      <c r="CH449" s="594"/>
      <c r="CI449" s="594"/>
      <c r="CJ449" s="594"/>
      <c r="CK449" s="594"/>
      <c r="CL449" s="594"/>
      <c r="CM449" s="594"/>
      <c r="CN449" s="594"/>
      <c r="CO449" s="594"/>
      <c r="CP449" s="594"/>
      <c r="CQ449" s="594"/>
    </row>
    <row r="450" spans="1:95" ht="31.5" hidden="1" customHeight="1" outlineLevel="1">
      <c r="A450" s="706" t="s">
        <v>688</v>
      </c>
      <c r="B450" s="717">
        <f t="shared" ref="B450:AE450" si="159">SUM(B452:B458)</f>
        <v>-24733355.97333334</v>
      </c>
      <c r="C450" s="717">
        <f t="shared" si="159"/>
        <v>-15101093.333333334</v>
      </c>
      <c r="D450" s="717">
        <f t="shared" si="159"/>
        <v>-8996093.333333334</v>
      </c>
      <c r="E450" s="717">
        <f t="shared" si="159"/>
        <v>-1693560</v>
      </c>
      <c r="F450" s="717">
        <f t="shared" si="159"/>
        <v>0</v>
      </c>
      <c r="G450" s="717">
        <f t="shared" si="159"/>
        <v>-4022535.44</v>
      </c>
      <c r="H450" s="717">
        <f t="shared" si="159"/>
        <v>-43560.000000000007</v>
      </c>
      <c r="I450" s="717">
        <f t="shared" si="159"/>
        <v>0</v>
      </c>
      <c r="J450" s="717">
        <f t="shared" si="159"/>
        <v>0</v>
      </c>
      <c r="K450" s="717">
        <f t="shared" si="159"/>
        <v>-43560.000000000007</v>
      </c>
      <c r="L450" s="717">
        <f t="shared" si="159"/>
        <v>-5977402.6400000006</v>
      </c>
      <c r="M450" s="717">
        <f t="shared" si="159"/>
        <v>0</v>
      </c>
      <c r="N450" s="717">
        <f t="shared" si="159"/>
        <v>-43560.000000000007</v>
      </c>
      <c r="O450" s="717">
        <f t="shared" si="159"/>
        <v>0</v>
      </c>
      <c r="P450" s="717">
        <f t="shared" si="159"/>
        <v>0</v>
      </c>
      <c r="Q450" s="717">
        <f t="shared" si="159"/>
        <v>-4066095.44</v>
      </c>
      <c r="R450" s="717">
        <f t="shared" si="159"/>
        <v>0</v>
      </c>
      <c r="S450" s="717">
        <f t="shared" si="159"/>
        <v>0</v>
      </c>
      <c r="T450" s="717">
        <f t="shared" si="159"/>
        <v>-43560.000000000007</v>
      </c>
      <c r="U450" s="717">
        <f t="shared" si="159"/>
        <v>0</v>
      </c>
      <c r="V450" s="717">
        <f t="shared" si="159"/>
        <v>-15723402.640000001</v>
      </c>
      <c r="W450" s="717">
        <f t="shared" si="159"/>
        <v>-43560.000000000007</v>
      </c>
      <c r="X450" s="717">
        <f t="shared" si="159"/>
        <v>0</v>
      </c>
      <c r="Y450" s="717">
        <f t="shared" si="159"/>
        <v>0</v>
      </c>
      <c r="Z450" s="717">
        <f t="shared" si="159"/>
        <v>-43560.000000000007</v>
      </c>
      <c r="AA450" s="717">
        <f t="shared" si="159"/>
        <v>-4022535.44</v>
      </c>
      <c r="AB450" s="717">
        <f t="shared" si="159"/>
        <v>0</v>
      </c>
      <c r="AC450" s="717">
        <f t="shared" si="159"/>
        <v>-43560.000000000007</v>
      </c>
      <c r="AD450" s="717">
        <f t="shared" si="159"/>
        <v>0</v>
      </c>
      <c r="AE450" s="717">
        <f t="shared" si="159"/>
        <v>0</v>
      </c>
      <c r="AF450" s="719"/>
      <c r="AG450" s="720"/>
      <c r="AH450" s="720"/>
      <c r="AI450" s="720"/>
      <c r="AJ450" s="720"/>
      <c r="AK450" s="720"/>
      <c r="AL450" s="720"/>
      <c r="AM450" s="720"/>
      <c r="AN450" s="720"/>
      <c r="AO450" s="720"/>
      <c r="AP450" s="720"/>
      <c r="AQ450" s="720"/>
      <c r="AR450" s="720"/>
      <c r="AS450" s="720"/>
      <c r="AT450" s="720"/>
      <c r="AU450" s="720"/>
      <c r="AV450" s="720"/>
      <c r="AW450" s="720"/>
      <c r="AX450" s="720"/>
      <c r="AY450" s="720"/>
      <c r="AZ450" s="719"/>
      <c r="BA450" s="720"/>
      <c r="BB450" s="719"/>
      <c r="BC450" s="720"/>
      <c r="BD450" s="719"/>
      <c r="BE450" s="720"/>
      <c r="BF450" s="719"/>
      <c r="BG450" s="720"/>
      <c r="BH450" s="719"/>
      <c r="BI450" s="720"/>
      <c r="BJ450" s="719"/>
      <c r="BK450" s="720"/>
      <c r="BL450" s="57"/>
      <c r="BM450" s="720"/>
      <c r="BN450" s="720"/>
      <c r="BO450" s="720"/>
      <c r="BP450" s="720"/>
      <c r="BQ450" s="720"/>
      <c r="BR450" s="720"/>
      <c r="BS450" s="720"/>
      <c r="BT450" s="720"/>
      <c r="BU450" s="720"/>
      <c r="BV450" s="720"/>
      <c r="BW450" s="720"/>
      <c r="BX450" s="720"/>
      <c r="BY450" s="720"/>
      <c r="BZ450" s="720"/>
      <c r="CA450" s="720"/>
      <c r="CB450" s="720"/>
      <c r="CC450" s="720"/>
      <c r="CD450" s="720"/>
      <c r="CE450" s="720"/>
      <c r="CF450" s="719"/>
      <c r="CG450" s="720"/>
      <c r="CH450" s="719"/>
      <c r="CI450" s="720"/>
      <c r="CJ450" s="719"/>
      <c r="CK450" s="720"/>
      <c r="CL450" s="719"/>
      <c r="CM450" s="720"/>
      <c r="CN450" s="719"/>
      <c r="CO450" s="720"/>
      <c r="CP450" s="719"/>
      <c r="CQ450" s="720"/>
    </row>
    <row r="451" spans="1:95" ht="15" hidden="1" customHeight="1" outlineLevel="2">
      <c r="A451" s="709" t="s">
        <v>354</v>
      </c>
      <c r="B451" s="710">
        <f>-SUMIFS('D2 - Capex uso'!BS$6:BS$176,'D2 - Capex uso'!$B$6:$B$176,"Encargo",'D2 - Capex uso'!$AK$6:$AK$176,$A451)</f>
        <v>-5145757.0633333335</v>
      </c>
      <c r="C451" s="710">
        <f>-SUMIFS('D2 - Capex uso'!BT$6:BT$176,'D2 - Capex uso'!$B$6:$B$176,"Encargo",'D2 - Capex uso'!$AK$6:$AK$176,$A451)</f>
        <v>-1858528.8333333335</v>
      </c>
      <c r="D451" s="710">
        <f>-SUMIFS('D2 - Capex uso'!BU$6:BU$176,'D2 - Capex uso'!$B$6:$B$176,"Encargo",'D2 - Capex uso'!$AK$6:$AK$176,$A451)</f>
        <v>-1028122.3333333334</v>
      </c>
      <c r="E451" s="710">
        <f>-SUMIFS('D2 - Capex uso'!BV$6:BV$176,'D2 - Capex uso'!$B$6:$B$176,"Encargo",'D2 - Capex uso'!$AK$6:$AK$176,$A451)</f>
        <v>0</v>
      </c>
      <c r="F451" s="710">
        <f>-SUMIFS('D2 - Capex uso'!BW$6:BW$176,'D2 - Capex uso'!$B$6:$B$176,"Encargo",'D2 - Capex uso'!$AK$6:$AK$176,$A451)</f>
        <v>0</v>
      </c>
      <c r="G451" s="710">
        <f>-SUMIFS('D2 - Capex uso'!BX$6:BX$176,'D2 - Capex uso'!$B$6:$B$176,"Encargo",'D2 - Capex uso'!$AK$6:$AK$176,$A451)</f>
        <v>0</v>
      </c>
      <c r="H451" s="710">
        <f>-SUMIFS('D2 - Capex uso'!BY$6:BY$176,'D2 - Capex uso'!$B$6:$B$176,"Encargo",'D2 - Capex uso'!$AK$6:$AK$176,$A451)</f>
        <v>0</v>
      </c>
      <c r="I451" s="710">
        <f>-SUMIFS('D2 - Capex uso'!BZ$6:BZ$176,'D2 - Capex uso'!$B$6:$B$176,"Encargo",'D2 - Capex uso'!$AK$6:$AK$176,$A451)</f>
        <v>0</v>
      </c>
      <c r="J451" s="710">
        <f>-SUMIFS('D2 - Capex uso'!CA$6:CA$176,'D2 - Capex uso'!$B$6:$B$176,"Encargo",'D2 - Capex uso'!$AK$6:$AK$176,$A451)</f>
        <v>0</v>
      </c>
      <c r="K451" s="710">
        <f>-SUMIFS('D2 - Capex uso'!CB$6:CB$176,'D2 - Capex uso'!$B$6:$B$176,"Encargo",'D2 - Capex uso'!$AK$6:$AK$176,$A451)</f>
        <v>0</v>
      </c>
      <c r="L451" s="710">
        <f>-SUMIFS('D2 - Capex uso'!CC$6:CC$176,'D2 - Capex uso'!$B$6:$B$176,"Encargo",'D2 - Capex uso'!$AK$6:$AK$176,$A451)</f>
        <v>0</v>
      </c>
      <c r="M451" s="710">
        <f>-SUMIFS('D2 - Capex uso'!CD$6:CD$176,'D2 - Capex uso'!$B$6:$B$176,"Encargo",'D2 - Capex uso'!$AK$6:$AK$176,$A451)</f>
        <v>0</v>
      </c>
      <c r="N451" s="710">
        <f>-SUMIFS('D2 - Capex uso'!CE$6:CE$176,'D2 - Capex uso'!$B$6:$B$176,"Encargo",'D2 - Capex uso'!$AK$6:$AK$176,$A451)</f>
        <v>0</v>
      </c>
      <c r="O451" s="710">
        <f>-SUMIFS('D2 - Capex uso'!CF$6:CF$176,'D2 - Capex uso'!$B$6:$B$176,"Encargo",'D2 - Capex uso'!$AK$6:$AK$176,$A451)</f>
        <v>0</v>
      </c>
      <c r="P451" s="710">
        <f>-SUMIFS('D2 - Capex uso'!CG$6:CG$176,'D2 - Capex uso'!$B$6:$B$176,"Encargo",'D2 - Capex uso'!$AK$6:$AK$176,$A451)</f>
        <v>0</v>
      </c>
      <c r="Q451" s="710">
        <f>-SUMIFS('D2 - Capex uso'!CH$6:CH$176,'D2 - Capex uso'!$B$6:$B$176,"Encargo",'D2 - Capex uso'!$AK$6:$AK$176,$A451)</f>
        <v>0</v>
      </c>
      <c r="R451" s="710">
        <f>-SUMIFS('D2 - Capex uso'!CI$6:CI$176,'D2 - Capex uso'!$B$6:$B$176,"Encargo",'D2 - Capex uso'!$AK$6:$AK$176,$A451)</f>
        <v>0</v>
      </c>
      <c r="S451" s="710">
        <f>-SUMIFS('D2 - Capex uso'!CJ$6:CJ$176,'D2 - Capex uso'!$B$6:$B$176,"Encargo",'D2 - Capex uso'!$AK$6:$AK$176,$A451)</f>
        <v>0</v>
      </c>
      <c r="T451" s="710">
        <f>-SUMIFS('D2 - Capex uso'!CK$6:CK$176,'D2 - Capex uso'!$B$6:$B$176,"Encargo",'D2 - Capex uso'!$AK$6:$AK$176,$A451)</f>
        <v>0</v>
      </c>
      <c r="U451" s="710">
        <f>-SUMIFS('D2 - Capex uso'!CL$6:CL$176,'D2 - Capex uso'!$B$6:$B$176,"Encargo",'D2 - Capex uso'!$AK$6:$AK$176,$A451)</f>
        <v>0</v>
      </c>
      <c r="V451" s="710">
        <f>-SUMIFS('D2 - Capex uso'!CM$6:CM$176,'D2 - Capex uso'!$B$6:$B$176,"Encargo",'D2 - Capex uso'!$AK$6:$AK$176,$A451)</f>
        <v>0</v>
      </c>
      <c r="W451" s="710">
        <f>-SUMIFS('D2 - Capex uso'!CN$6:CN$176,'D2 - Capex uso'!$B$6:$B$176,"Encargo",'D2 - Capex uso'!$AK$6:$AK$176,$A451)</f>
        <v>0</v>
      </c>
      <c r="X451" s="710">
        <f>-SUMIFS('D2 - Capex uso'!CO$6:CO$176,'D2 - Capex uso'!$B$6:$B$176,"Encargo",'D2 - Capex uso'!$AK$6:$AK$176,$A451)</f>
        <v>0</v>
      </c>
      <c r="Y451" s="710">
        <f>-SUMIFS('D2 - Capex uso'!CP$6:CP$176,'D2 - Capex uso'!$B$6:$B$176,"Encargo",'D2 - Capex uso'!$AK$6:$AK$176,$A451)</f>
        <v>0</v>
      </c>
      <c r="Z451" s="710">
        <f>-SUMIFS('D2 - Capex uso'!CQ$6:CQ$176,'D2 - Capex uso'!$B$6:$B$176,"Encargo",'D2 - Capex uso'!$AK$6:$AK$176,$A451)</f>
        <v>0</v>
      </c>
      <c r="AA451" s="710">
        <f>-SUMIFS('D2 - Capex uso'!CR$6:CR$176,'D2 - Capex uso'!$B$6:$B$176,"Encargo",'D2 - Capex uso'!$AK$6:$AK$176,$A451)</f>
        <v>0</v>
      </c>
      <c r="AB451" s="710">
        <f>-SUMIFS('D2 - Capex uso'!CS$6:CS$176,'D2 - Capex uso'!$B$6:$B$176,"Encargo",'D2 - Capex uso'!$AK$6:$AK$176,$A451)</f>
        <v>0</v>
      </c>
      <c r="AC451" s="710">
        <f>-SUMIFS('D2 - Capex uso'!CT$6:CT$176,'D2 - Capex uso'!$B$6:$B$176,"Encargo",'D2 - Capex uso'!$AK$6:$AK$176,$A451)</f>
        <v>0</v>
      </c>
      <c r="AD451" s="710">
        <f>-SUMIFS('D2 - Capex uso'!CU$6:CU$176,'D2 - Capex uso'!$B$6:$B$176,"Encargo",'D2 - Capex uso'!$AK$6:$AK$176,$A451)</f>
        <v>0</v>
      </c>
      <c r="AE451" s="710">
        <f>-SUMIFS('D2 - Capex uso'!CV$6:CV$176,'D2 - Capex uso'!$B$6:$B$176,"Encargo",'D2 - Capex uso'!$AK$6:$AK$176,$A451)</f>
        <v>0</v>
      </c>
      <c r="AF451" s="594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R451" s="127"/>
      <c r="AS451" s="127"/>
      <c r="AT451" s="127"/>
      <c r="AU451" s="127"/>
      <c r="AV451" s="127"/>
      <c r="AW451" s="127"/>
      <c r="AX451" s="127"/>
      <c r="AY451" s="127"/>
      <c r="AZ451" s="127"/>
      <c r="BA451" s="127"/>
      <c r="BB451" s="127"/>
      <c r="BC451" s="127"/>
      <c r="BD451" s="127"/>
      <c r="BE451" s="127"/>
      <c r="BF451" s="127"/>
      <c r="BG451" s="127"/>
      <c r="BH451" s="127"/>
      <c r="BI451" s="127"/>
      <c r="BJ451" s="127"/>
      <c r="BK451" s="127"/>
      <c r="BL451" s="57"/>
      <c r="BM451" s="127"/>
      <c r="BN451" s="127"/>
      <c r="BO451" s="127"/>
      <c r="BP451" s="127"/>
      <c r="BQ451" s="127"/>
      <c r="BR451" s="127"/>
      <c r="BS451" s="127"/>
      <c r="BT451" s="127"/>
      <c r="BU451" s="127"/>
      <c r="BV451" s="127"/>
      <c r="BW451" s="127"/>
      <c r="BX451" s="127"/>
      <c r="BY451" s="127"/>
      <c r="BZ451" s="127"/>
      <c r="CA451" s="127"/>
      <c r="CB451" s="127"/>
      <c r="CC451" s="127"/>
      <c r="CD451" s="127"/>
      <c r="CE451" s="127"/>
      <c r="CF451" s="127"/>
      <c r="CG451" s="127"/>
      <c r="CH451" s="127"/>
      <c r="CI451" s="127"/>
      <c r="CJ451" s="127"/>
      <c r="CK451" s="127"/>
      <c r="CL451" s="127"/>
      <c r="CM451" s="127"/>
      <c r="CN451" s="127"/>
      <c r="CO451" s="127"/>
      <c r="CP451" s="127"/>
      <c r="CQ451" s="127"/>
    </row>
    <row r="452" spans="1:95" ht="15" hidden="1" customHeight="1" outlineLevel="2">
      <c r="A452" s="709" t="s">
        <v>689</v>
      </c>
      <c r="B452" s="710">
        <f>-SUMIFS('D2 - Capex uso'!BS$6:BS$176,'D2 - Capex uso'!$B$6:$B$176,"Encargo",'D2 - Capex uso'!$AK$6:$AK$176,$A452)</f>
        <v>0</v>
      </c>
      <c r="C452" s="710">
        <f>-SUMIFS('D2 - Capex uso'!BT$6:BT$176,'D2 - Capex uso'!$B$6:$B$176,"Encargo",'D2 - Capex uso'!$AK$6:$AK$176,$A452)</f>
        <v>0</v>
      </c>
      <c r="D452" s="710">
        <f>-SUMIFS('D2 - Capex uso'!BU$6:BU$176,'D2 - Capex uso'!$B$6:$B$176,"Encargo",'D2 - Capex uso'!$AK$6:$AK$176,$A452)</f>
        <v>0</v>
      </c>
      <c r="E452" s="710">
        <f>-SUMIFS('D2 - Capex uso'!BV$6:BV$176,'D2 - Capex uso'!$B$6:$B$176,"Encargo",'D2 - Capex uso'!$AK$6:$AK$176,$A452)</f>
        <v>0</v>
      </c>
      <c r="F452" s="710">
        <f>-SUMIFS('D2 - Capex uso'!BW$6:BW$176,'D2 - Capex uso'!$B$6:$B$176,"Encargo",'D2 - Capex uso'!$AK$6:$AK$176,$A452)</f>
        <v>0</v>
      </c>
      <c r="G452" s="710">
        <f>-SUMIFS('D2 - Capex uso'!BX$6:BX$176,'D2 - Capex uso'!$B$6:$B$176,"Encargo",'D2 - Capex uso'!$AK$6:$AK$176,$A452)</f>
        <v>0</v>
      </c>
      <c r="H452" s="710">
        <f>-SUMIFS('D2 - Capex uso'!BY$6:BY$176,'D2 - Capex uso'!$B$6:$B$176,"Encargo",'D2 - Capex uso'!$AK$6:$AK$176,$A452)</f>
        <v>0</v>
      </c>
      <c r="I452" s="710">
        <f>-SUMIFS('D2 - Capex uso'!BZ$6:BZ$176,'D2 - Capex uso'!$B$6:$B$176,"Encargo",'D2 - Capex uso'!$AK$6:$AK$176,$A452)</f>
        <v>0</v>
      </c>
      <c r="J452" s="710">
        <f>-SUMIFS('D2 - Capex uso'!CA$6:CA$176,'D2 - Capex uso'!$B$6:$B$176,"Encargo",'D2 - Capex uso'!$AK$6:$AK$176,$A452)</f>
        <v>0</v>
      </c>
      <c r="K452" s="710">
        <f>-SUMIFS('D2 - Capex uso'!CB$6:CB$176,'D2 - Capex uso'!$B$6:$B$176,"Encargo",'D2 - Capex uso'!$AK$6:$AK$176,$A452)</f>
        <v>0</v>
      </c>
      <c r="L452" s="710">
        <f>-SUMIFS('D2 - Capex uso'!CC$6:CC$176,'D2 - Capex uso'!$B$6:$B$176,"Encargo",'D2 - Capex uso'!$AK$6:$AK$176,$A452)</f>
        <v>0</v>
      </c>
      <c r="M452" s="710">
        <f>-SUMIFS('D2 - Capex uso'!CD$6:CD$176,'D2 - Capex uso'!$B$6:$B$176,"Encargo",'D2 - Capex uso'!$AK$6:$AK$176,$A452)</f>
        <v>0</v>
      </c>
      <c r="N452" s="710">
        <f>-SUMIFS('D2 - Capex uso'!CE$6:CE$176,'D2 - Capex uso'!$B$6:$B$176,"Encargo",'D2 - Capex uso'!$AK$6:$AK$176,$A452)</f>
        <v>0</v>
      </c>
      <c r="O452" s="710">
        <f>-SUMIFS('D2 - Capex uso'!CF$6:CF$176,'D2 - Capex uso'!$B$6:$B$176,"Encargo",'D2 - Capex uso'!$AK$6:$AK$176,$A452)</f>
        <v>0</v>
      </c>
      <c r="P452" s="710">
        <f>-SUMIFS('D2 - Capex uso'!CG$6:CG$176,'D2 - Capex uso'!$B$6:$B$176,"Encargo",'D2 - Capex uso'!$AK$6:$AK$176,$A452)</f>
        <v>0</v>
      </c>
      <c r="Q452" s="710">
        <f>-SUMIFS('D2 - Capex uso'!CH$6:CH$176,'D2 - Capex uso'!$B$6:$B$176,"Encargo",'D2 - Capex uso'!$AK$6:$AK$176,$A452)</f>
        <v>0</v>
      </c>
      <c r="R452" s="710">
        <f>-SUMIFS('D2 - Capex uso'!CI$6:CI$176,'D2 - Capex uso'!$B$6:$B$176,"Encargo",'D2 - Capex uso'!$AK$6:$AK$176,$A452)</f>
        <v>0</v>
      </c>
      <c r="S452" s="710">
        <f>-SUMIFS('D2 - Capex uso'!CJ$6:CJ$176,'D2 - Capex uso'!$B$6:$B$176,"Encargo",'D2 - Capex uso'!$AK$6:$AK$176,$A452)</f>
        <v>0</v>
      </c>
      <c r="T452" s="710">
        <f>-SUMIFS('D2 - Capex uso'!CK$6:CK$176,'D2 - Capex uso'!$B$6:$B$176,"Encargo",'D2 - Capex uso'!$AK$6:$AK$176,$A452)</f>
        <v>0</v>
      </c>
      <c r="U452" s="710">
        <f>-SUMIFS('D2 - Capex uso'!CL$6:CL$176,'D2 - Capex uso'!$B$6:$B$176,"Encargo",'D2 - Capex uso'!$AK$6:$AK$176,$A452)</f>
        <v>0</v>
      </c>
      <c r="V452" s="710">
        <f>-SUMIFS('D2 - Capex uso'!CM$6:CM$176,'D2 - Capex uso'!$B$6:$B$176,"Encargo",'D2 - Capex uso'!$AK$6:$AK$176,$A452)</f>
        <v>0</v>
      </c>
      <c r="W452" s="710">
        <f>-SUMIFS('D2 - Capex uso'!CN$6:CN$176,'D2 - Capex uso'!$B$6:$B$176,"Encargo",'D2 - Capex uso'!$AK$6:$AK$176,$A452)</f>
        <v>0</v>
      </c>
      <c r="X452" s="710">
        <f>-SUMIFS('D2 - Capex uso'!CO$6:CO$176,'D2 - Capex uso'!$B$6:$B$176,"Encargo",'D2 - Capex uso'!$AK$6:$AK$176,$A452)</f>
        <v>0</v>
      </c>
      <c r="Y452" s="710">
        <f>-SUMIFS('D2 - Capex uso'!CP$6:CP$176,'D2 - Capex uso'!$B$6:$B$176,"Encargo",'D2 - Capex uso'!$AK$6:$AK$176,$A452)</f>
        <v>0</v>
      </c>
      <c r="Z452" s="710">
        <f>-SUMIFS('D2 - Capex uso'!CQ$6:CQ$176,'D2 - Capex uso'!$B$6:$B$176,"Encargo",'D2 - Capex uso'!$AK$6:$AK$176,$A452)</f>
        <v>0</v>
      </c>
      <c r="AA452" s="710">
        <f>-SUMIFS('D2 - Capex uso'!CR$6:CR$176,'D2 - Capex uso'!$B$6:$B$176,"Encargo",'D2 - Capex uso'!$AK$6:$AK$176,$A452)</f>
        <v>0</v>
      </c>
      <c r="AB452" s="710">
        <f>-SUMIFS('D2 - Capex uso'!CS$6:CS$176,'D2 - Capex uso'!$B$6:$B$176,"Encargo",'D2 - Capex uso'!$AK$6:$AK$176,$A452)</f>
        <v>0</v>
      </c>
      <c r="AC452" s="710">
        <f>-SUMIFS('D2 - Capex uso'!CT$6:CT$176,'D2 - Capex uso'!$B$6:$B$176,"Encargo",'D2 - Capex uso'!$AK$6:$AK$176,$A452)</f>
        <v>0</v>
      </c>
      <c r="AD452" s="710">
        <f>-SUMIFS('D2 - Capex uso'!CU$6:CU$176,'D2 - Capex uso'!$B$6:$B$176,"Encargo",'D2 - Capex uso'!$AK$6:$AK$176,$A452)</f>
        <v>0</v>
      </c>
      <c r="AE452" s="710">
        <f>-SUMIFS('D2 - Capex uso'!CV$6:CV$176,'D2 - Capex uso'!$B$6:$B$176,"Encargo",'D2 - Capex uso'!$AK$6:$AK$176,$A452)</f>
        <v>0</v>
      </c>
      <c r="AF452" s="594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  <c r="BC452" s="127"/>
      <c r="BD452" s="127"/>
      <c r="BE452" s="127"/>
      <c r="BF452" s="127"/>
      <c r="BG452" s="127"/>
      <c r="BH452" s="127"/>
      <c r="BI452" s="127"/>
      <c r="BJ452" s="127"/>
      <c r="BK452" s="127"/>
      <c r="BL452" s="57"/>
      <c r="BM452" s="127"/>
      <c r="BN452" s="127"/>
      <c r="BO452" s="127"/>
      <c r="BP452" s="127"/>
      <c r="BQ452" s="127"/>
      <c r="BR452" s="127"/>
      <c r="BS452" s="127"/>
      <c r="BT452" s="127"/>
      <c r="BU452" s="127"/>
      <c r="BV452" s="127"/>
      <c r="BW452" s="127"/>
      <c r="BX452" s="127"/>
      <c r="BY452" s="127"/>
      <c r="BZ452" s="127"/>
      <c r="CA452" s="127"/>
      <c r="CB452" s="127"/>
      <c r="CC452" s="127"/>
      <c r="CD452" s="127"/>
      <c r="CE452" s="127"/>
      <c r="CF452" s="127"/>
      <c r="CG452" s="127"/>
      <c r="CH452" s="127"/>
      <c r="CI452" s="127"/>
      <c r="CJ452" s="127"/>
      <c r="CK452" s="127"/>
      <c r="CL452" s="127"/>
      <c r="CM452" s="127"/>
      <c r="CN452" s="127"/>
      <c r="CO452" s="127"/>
      <c r="CP452" s="127"/>
      <c r="CQ452" s="127"/>
    </row>
    <row r="453" spans="1:95" ht="15" hidden="1" customHeight="1" outlineLevel="2">
      <c r="A453" s="709" t="s">
        <v>378</v>
      </c>
      <c r="B453" s="710">
        <f>-SUMIFS('D2 - Capex uso'!BS$6:BS$176,'D2 - Capex uso'!$B$6:$B$176,"Encargo",'D2 - Capex uso'!$AK$6:$AK$176,$A453)</f>
        <v>-3267664.4</v>
      </c>
      <c r="C453" s="710">
        <f>-SUMIFS('D2 - Capex uso'!BT$6:BT$176,'D2 - Capex uso'!$B$6:$B$176,"Encargo",'D2 - Capex uso'!$AK$6:$AK$176,$A453)</f>
        <v>0</v>
      </c>
      <c r="D453" s="710">
        <f>-SUMIFS('D2 - Capex uso'!BU$6:BU$176,'D2 - Capex uso'!$B$6:$B$176,"Encargo",'D2 - Capex uso'!$AK$6:$AK$176,$A453)</f>
        <v>0</v>
      </c>
      <c r="E453" s="710">
        <f>-SUMIFS('D2 - Capex uso'!BV$6:BV$176,'D2 - Capex uso'!$B$6:$B$176,"Encargo",'D2 - Capex uso'!$AK$6:$AK$176,$A453)</f>
        <v>0</v>
      </c>
      <c r="F453" s="710">
        <f>-SUMIFS('D2 - Capex uso'!BW$6:BW$176,'D2 - Capex uso'!$B$6:$B$176,"Encargo",'D2 - Capex uso'!$AK$6:$AK$176,$A453)</f>
        <v>0</v>
      </c>
      <c r="G453" s="710">
        <f>-SUMIFS('D2 - Capex uso'!BX$6:BX$176,'D2 - Capex uso'!$B$6:$B$176,"Encargo",'D2 - Capex uso'!$AK$6:$AK$176,$A453)</f>
        <v>-3267664.4</v>
      </c>
      <c r="H453" s="710">
        <f>-SUMIFS('D2 - Capex uso'!BY$6:BY$176,'D2 - Capex uso'!$B$6:$B$176,"Encargo",'D2 - Capex uso'!$AK$6:$AK$176,$A453)</f>
        <v>0</v>
      </c>
      <c r="I453" s="710">
        <f>-SUMIFS('D2 - Capex uso'!BZ$6:BZ$176,'D2 - Capex uso'!$B$6:$B$176,"Encargo",'D2 - Capex uso'!$AK$6:$AK$176,$A453)</f>
        <v>0</v>
      </c>
      <c r="J453" s="710">
        <f>-SUMIFS('D2 - Capex uso'!CA$6:CA$176,'D2 - Capex uso'!$B$6:$B$176,"Encargo",'D2 - Capex uso'!$AK$6:$AK$176,$A453)</f>
        <v>0</v>
      </c>
      <c r="K453" s="710">
        <f>-SUMIFS('D2 - Capex uso'!CB$6:CB$176,'D2 - Capex uso'!$B$6:$B$176,"Encargo",'D2 - Capex uso'!$AK$6:$AK$176,$A453)</f>
        <v>0</v>
      </c>
      <c r="L453" s="710">
        <f>-SUMIFS('D2 - Capex uso'!CC$6:CC$176,'D2 - Capex uso'!$B$6:$B$176,"Encargo",'D2 - Capex uso'!$AK$6:$AK$176,$A453)</f>
        <v>-3267664.4</v>
      </c>
      <c r="M453" s="710">
        <f>-SUMIFS('D2 - Capex uso'!CD$6:CD$176,'D2 - Capex uso'!$B$6:$B$176,"Encargo",'D2 - Capex uso'!$AK$6:$AK$176,$A453)</f>
        <v>0</v>
      </c>
      <c r="N453" s="710">
        <f>-SUMIFS('D2 - Capex uso'!CE$6:CE$176,'D2 - Capex uso'!$B$6:$B$176,"Encargo",'D2 - Capex uso'!$AK$6:$AK$176,$A453)</f>
        <v>0</v>
      </c>
      <c r="O453" s="710">
        <f>-SUMIFS('D2 - Capex uso'!CF$6:CF$176,'D2 - Capex uso'!$B$6:$B$176,"Encargo",'D2 - Capex uso'!$AK$6:$AK$176,$A453)</f>
        <v>0</v>
      </c>
      <c r="P453" s="710">
        <f>-SUMIFS('D2 - Capex uso'!CG$6:CG$176,'D2 - Capex uso'!$B$6:$B$176,"Encargo",'D2 - Capex uso'!$AK$6:$AK$176,$A453)</f>
        <v>0</v>
      </c>
      <c r="Q453" s="710">
        <f>-SUMIFS('D2 - Capex uso'!CH$6:CH$176,'D2 - Capex uso'!$B$6:$B$176,"Encargo",'D2 - Capex uso'!$AK$6:$AK$176,$A453)</f>
        <v>-3267664.4</v>
      </c>
      <c r="R453" s="710">
        <f>-SUMIFS('D2 - Capex uso'!CI$6:CI$176,'D2 - Capex uso'!$B$6:$B$176,"Encargo",'D2 - Capex uso'!$AK$6:$AK$176,$A453)</f>
        <v>0</v>
      </c>
      <c r="S453" s="710">
        <f>-SUMIFS('D2 - Capex uso'!CJ$6:CJ$176,'D2 - Capex uso'!$B$6:$B$176,"Encargo",'D2 - Capex uso'!$AK$6:$AK$176,$A453)</f>
        <v>0</v>
      </c>
      <c r="T453" s="710">
        <f>-SUMIFS('D2 - Capex uso'!CK$6:CK$176,'D2 - Capex uso'!$B$6:$B$176,"Encargo",'D2 - Capex uso'!$AK$6:$AK$176,$A453)</f>
        <v>0</v>
      </c>
      <c r="U453" s="710">
        <f>-SUMIFS('D2 - Capex uso'!CL$6:CL$176,'D2 - Capex uso'!$B$6:$B$176,"Encargo",'D2 - Capex uso'!$AK$6:$AK$176,$A453)</f>
        <v>0</v>
      </c>
      <c r="V453" s="710">
        <f>-SUMIFS('D2 - Capex uso'!CM$6:CM$176,'D2 - Capex uso'!$B$6:$B$176,"Encargo",'D2 - Capex uso'!$AK$6:$AK$176,$A453)</f>
        <v>-3267664.4</v>
      </c>
      <c r="W453" s="710">
        <f>-SUMIFS('D2 - Capex uso'!CN$6:CN$176,'D2 - Capex uso'!$B$6:$B$176,"Encargo",'D2 - Capex uso'!$AK$6:$AK$176,$A453)</f>
        <v>0</v>
      </c>
      <c r="X453" s="710">
        <f>-SUMIFS('D2 - Capex uso'!CO$6:CO$176,'D2 - Capex uso'!$B$6:$B$176,"Encargo",'D2 - Capex uso'!$AK$6:$AK$176,$A453)</f>
        <v>0</v>
      </c>
      <c r="Y453" s="710">
        <f>-SUMIFS('D2 - Capex uso'!CP$6:CP$176,'D2 - Capex uso'!$B$6:$B$176,"Encargo",'D2 - Capex uso'!$AK$6:$AK$176,$A453)</f>
        <v>0</v>
      </c>
      <c r="Z453" s="710">
        <f>-SUMIFS('D2 - Capex uso'!CQ$6:CQ$176,'D2 - Capex uso'!$B$6:$B$176,"Encargo",'D2 - Capex uso'!$AK$6:$AK$176,$A453)</f>
        <v>0</v>
      </c>
      <c r="AA453" s="710">
        <f>-SUMIFS('D2 - Capex uso'!CR$6:CR$176,'D2 - Capex uso'!$B$6:$B$176,"Encargo",'D2 - Capex uso'!$AK$6:$AK$176,$A453)</f>
        <v>-3267664.4</v>
      </c>
      <c r="AB453" s="710">
        <f>-SUMIFS('D2 - Capex uso'!CS$6:CS$176,'D2 - Capex uso'!$B$6:$B$176,"Encargo",'D2 - Capex uso'!$AK$6:$AK$176,$A453)</f>
        <v>0</v>
      </c>
      <c r="AC453" s="710">
        <f>-SUMIFS('D2 - Capex uso'!CT$6:CT$176,'D2 - Capex uso'!$B$6:$B$176,"Encargo",'D2 - Capex uso'!$AK$6:$AK$176,$A453)</f>
        <v>0</v>
      </c>
      <c r="AD453" s="710">
        <f>-SUMIFS('D2 - Capex uso'!CU$6:CU$176,'D2 - Capex uso'!$B$6:$B$176,"Encargo",'D2 - Capex uso'!$AK$6:$AK$176,$A453)</f>
        <v>0</v>
      </c>
      <c r="AE453" s="710">
        <f>-SUMIFS('D2 - Capex uso'!CV$6:CV$176,'D2 - Capex uso'!$B$6:$B$176,"Encargo",'D2 - Capex uso'!$AK$6:$AK$176,$A453)</f>
        <v>0</v>
      </c>
      <c r="AF453" s="594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R453" s="127"/>
      <c r="AS453" s="127"/>
      <c r="AT453" s="127"/>
      <c r="AU453" s="127"/>
      <c r="AV453" s="127"/>
      <c r="AW453" s="127"/>
      <c r="AX453" s="127"/>
      <c r="AY453" s="127"/>
      <c r="AZ453" s="127"/>
      <c r="BA453" s="127"/>
      <c r="BB453" s="127"/>
      <c r="BC453" s="127"/>
      <c r="BD453" s="127"/>
      <c r="BE453" s="127"/>
      <c r="BF453" s="127"/>
      <c r="BG453" s="127"/>
      <c r="BH453" s="127"/>
      <c r="BI453" s="127"/>
      <c r="BJ453" s="127"/>
      <c r="BK453" s="127"/>
      <c r="BL453" s="57"/>
      <c r="BM453" s="127"/>
      <c r="BN453" s="127"/>
      <c r="BO453" s="127"/>
      <c r="BP453" s="127"/>
      <c r="BQ453" s="127"/>
      <c r="BR453" s="127"/>
      <c r="BS453" s="127"/>
      <c r="BT453" s="127"/>
      <c r="BU453" s="127"/>
      <c r="BV453" s="127"/>
      <c r="BW453" s="127"/>
      <c r="BX453" s="127"/>
      <c r="BY453" s="127"/>
      <c r="BZ453" s="127"/>
      <c r="CA453" s="127"/>
      <c r="CB453" s="127"/>
      <c r="CC453" s="127"/>
      <c r="CD453" s="127"/>
      <c r="CE453" s="127"/>
      <c r="CF453" s="127"/>
      <c r="CG453" s="127"/>
      <c r="CH453" s="127"/>
      <c r="CI453" s="127"/>
      <c r="CJ453" s="127"/>
      <c r="CK453" s="127"/>
      <c r="CL453" s="127"/>
      <c r="CM453" s="127"/>
      <c r="CN453" s="127"/>
      <c r="CO453" s="127"/>
      <c r="CP453" s="127"/>
      <c r="CQ453" s="127"/>
    </row>
    <row r="454" spans="1:95" ht="15" hidden="1" customHeight="1" outlineLevel="2">
      <c r="A454" s="709" t="s">
        <v>366</v>
      </c>
      <c r="B454" s="710">
        <f>-SUMIFS('D2 - Capex uso'!BS$6:BS$176,'D2 - Capex uso'!$B$6:$B$176,"Encargo",'D2 - Capex uso'!$AK$6:$AK$176,$A454)</f>
        <v>-754871.04</v>
      </c>
      <c r="C454" s="710">
        <f>-SUMIFS('D2 - Capex uso'!BT$6:BT$176,'D2 - Capex uso'!$B$6:$B$176,"Encargo",'D2 - Capex uso'!$AK$6:$AK$176,$A454)</f>
        <v>0</v>
      </c>
      <c r="D454" s="710">
        <f>-SUMIFS('D2 - Capex uso'!BU$6:BU$176,'D2 - Capex uso'!$B$6:$B$176,"Encargo",'D2 - Capex uso'!$AK$6:$AK$176,$A454)</f>
        <v>0</v>
      </c>
      <c r="E454" s="710">
        <f>-SUMIFS('D2 - Capex uso'!BV$6:BV$176,'D2 - Capex uso'!$B$6:$B$176,"Encargo",'D2 - Capex uso'!$AK$6:$AK$176,$A454)</f>
        <v>0</v>
      </c>
      <c r="F454" s="710">
        <f>-SUMIFS('D2 - Capex uso'!BW$6:BW$176,'D2 - Capex uso'!$B$6:$B$176,"Encargo",'D2 - Capex uso'!$AK$6:$AK$176,$A454)</f>
        <v>0</v>
      </c>
      <c r="G454" s="710">
        <f>-SUMIFS('D2 - Capex uso'!BX$6:BX$176,'D2 - Capex uso'!$B$6:$B$176,"Encargo",'D2 - Capex uso'!$AK$6:$AK$176,$A454)</f>
        <v>-754871.04</v>
      </c>
      <c r="H454" s="710">
        <f>-SUMIFS('D2 - Capex uso'!BY$6:BY$176,'D2 - Capex uso'!$B$6:$B$176,"Encargo",'D2 - Capex uso'!$AK$6:$AK$176,$A454)</f>
        <v>0</v>
      </c>
      <c r="I454" s="710">
        <f>-SUMIFS('D2 - Capex uso'!BZ$6:BZ$176,'D2 - Capex uso'!$B$6:$B$176,"Encargo",'D2 - Capex uso'!$AK$6:$AK$176,$A454)</f>
        <v>0</v>
      </c>
      <c r="J454" s="710">
        <f>-SUMIFS('D2 - Capex uso'!CA$6:CA$176,'D2 - Capex uso'!$B$6:$B$176,"Encargo",'D2 - Capex uso'!$AK$6:$AK$176,$A454)</f>
        <v>0</v>
      </c>
      <c r="K454" s="710">
        <f>-SUMIFS('D2 - Capex uso'!CB$6:CB$176,'D2 - Capex uso'!$B$6:$B$176,"Encargo",'D2 - Capex uso'!$AK$6:$AK$176,$A454)</f>
        <v>0</v>
      </c>
      <c r="L454" s="710">
        <f>-SUMIFS('D2 - Capex uso'!CC$6:CC$176,'D2 - Capex uso'!$B$6:$B$176,"Encargo",'D2 - Capex uso'!$AK$6:$AK$176,$A454)</f>
        <v>-754871.04</v>
      </c>
      <c r="M454" s="710">
        <f>-SUMIFS('D2 - Capex uso'!CD$6:CD$176,'D2 - Capex uso'!$B$6:$B$176,"Encargo",'D2 - Capex uso'!$AK$6:$AK$176,$A454)</f>
        <v>0</v>
      </c>
      <c r="N454" s="710">
        <f>-SUMIFS('D2 - Capex uso'!CE$6:CE$176,'D2 - Capex uso'!$B$6:$B$176,"Encargo",'D2 - Capex uso'!$AK$6:$AK$176,$A454)</f>
        <v>0</v>
      </c>
      <c r="O454" s="710">
        <f>-SUMIFS('D2 - Capex uso'!CF$6:CF$176,'D2 - Capex uso'!$B$6:$B$176,"Encargo",'D2 - Capex uso'!$AK$6:$AK$176,$A454)</f>
        <v>0</v>
      </c>
      <c r="P454" s="710">
        <f>-SUMIFS('D2 - Capex uso'!CG$6:CG$176,'D2 - Capex uso'!$B$6:$B$176,"Encargo",'D2 - Capex uso'!$AK$6:$AK$176,$A454)</f>
        <v>0</v>
      </c>
      <c r="Q454" s="710">
        <f>-SUMIFS('D2 - Capex uso'!CH$6:CH$176,'D2 - Capex uso'!$B$6:$B$176,"Encargo",'D2 - Capex uso'!$AK$6:$AK$176,$A454)</f>
        <v>-754871.04</v>
      </c>
      <c r="R454" s="710">
        <f>-SUMIFS('D2 - Capex uso'!CI$6:CI$176,'D2 - Capex uso'!$B$6:$B$176,"Encargo",'D2 - Capex uso'!$AK$6:$AK$176,$A454)</f>
        <v>0</v>
      </c>
      <c r="S454" s="710">
        <f>-SUMIFS('D2 - Capex uso'!CJ$6:CJ$176,'D2 - Capex uso'!$B$6:$B$176,"Encargo",'D2 - Capex uso'!$AK$6:$AK$176,$A454)</f>
        <v>0</v>
      </c>
      <c r="T454" s="710">
        <f>-SUMIFS('D2 - Capex uso'!CK$6:CK$176,'D2 - Capex uso'!$B$6:$B$176,"Encargo",'D2 - Capex uso'!$AK$6:$AK$176,$A454)</f>
        <v>0</v>
      </c>
      <c r="U454" s="710">
        <f>-SUMIFS('D2 - Capex uso'!CL$6:CL$176,'D2 - Capex uso'!$B$6:$B$176,"Encargo",'D2 - Capex uso'!$AK$6:$AK$176,$A454)</f>
        <v>0</v>
      </c>
      <c r="V454" s="710">
        <f>-SUMIFS('D2 - Capex uso'!CM$6:CM$176,'D2 - Capex uso'!$B$6:$B$176,"Encargo",'D2 - Capex uso'!$AK$6:$AK$176,$A454)</f>
        <v>-754871.04</v>
      </c>
      <c r="W454" s="710">
        <f>-SUMIFS('D2 - Capex uso'!CN$6:CN$176,'D2 - Capex uso'!$B$6:$B$176,"Encargo",'D2 - Capex uso'!$AK$6:$AK$176,$A454)</f>
        <v>0</v>
      </c>
      <c r="X454" s="710">
        <f>-SUMIFS('D2 - Capex uso'!CO$6:CO$176,'D2 - Capex uso'!$B$6:$B$176,"Encargo",'D2 - Capex uso'!$AK$6:$AK$176,$A454)</f>
        <v>0</v>
      </c>
      <c r="Y454" s="710">
        <f>-SUMIFS('D2 - Capex uso'!CP$6:CP$176,'D2 - Capex uso'!$B$6:$B$176,"Encargo",'D2 - Capex uso'!$AK$6:$AK$176,$A454)</f>
        <v>0</v>
      </c>
      <c r="Z454" s="710">
        <f>-SUMIFS('D2 - Capex uso'!CQ$6:CQ$176,'D2 - Capex uso'!$B$6:$B$176,"Encargo",'D2 - Capex uso'!$AK$6:$AK$176,$A454)</f>
        <v>0</v>
      </c>
      <c r="AA454" s="710">
        <f>-SUMIFS('D2 - Capex uso'!CR$6:CR$176,'D2 - Capex uso'!$B$6:$B$176,"Encargo",'D2 - Capex uso'!$AK$6:$AK$176,$A454)</f>
        <v>-754871.04</v>
      </c>
      <c r="AB454" s="710">
        <f>-SUMIFS('D2 - Capex uso'!CS$6:CS$176,'D2 - Capex uso'!$B$6:$B$176,"Encargo",'D2 - Capex uso'!$AK$6:$AK$176,$A454)</f>
        <v>0</v>
      </c>
      <c r="AC454" s="710">
        <f>-SUMIFS('D2 - Capex uso'!CT$6:CT$176,'D2 - Capex uso'!$B$6:$B$176,"Encargo",'D2 - Capex uso'!$AK$6:$AK$176,$A454)</f>
        <v>0</v>
      </c>
      <c r="AD454" s="710">
        <f>-SUMIFS('D2 - Capex uso'!CU$6:CU$176,'D2 - Capex uso'!$B$6:$B$176,"Encargo",'D2 - Capex uso'!$AK$6:$AK$176,$A454)</f>
        <v>0</v>
      </c>
      <c r="AE454" s="710">
        <f>-SUMIFS('D2 - Capex uso'!CV$6:CV$176,'D2 - Capex uso'!$B$6:$B$176,"Encargo",'D2 - Capex uso'!$AK$6:$AK$176,$A454)</f>
        <v>0</v>
      </c>
      <c r="AF454" s="594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/>
      <c r="BA454" s="127"/>
      <c r="BB454" s="127"/>
      <c r="BC454" s="127"/>
      <c r="BD454" s="127"/>
      <c r="BE454" s="127"/>
      <c r="BF454" s="127"/>
      <c r="BG454" s="127"/>
      <c r="BH454" s="127"/>
      <c r="BI454" s="127"/>
      <c r="BJ454" s="127"/>
      <c r="BK454" s="127"/>
      <c r="BL454" s="57"/>
      <c r="BM454" s="127"/>
      <c r="BN454" s="127"/>
      <c r="BO454" s="127"/>
      <c r="BP454" s="127"/>
      <c r="BQ454" s="127"/>
      <c r="BR454" s="127"/>
      <c r="BS454" s="127"/>
      <c r="BT454" s="127"/>
      <c r="BU454" s="127"/>
      <c r="BV454" s="127"/>
      <c r="BW454" s="127"/>
      <c r="BX454" s="127"/>
      <c r="BY454" s="127"/>
      <c r="BZ454" s="127"/>
      <c r="CA454" s="127"/>
      <c r="CB454" s="127"/>
      <c r="CC454" s="127"/>
      <c r="CD454" s="127"/>
      <c r="CE454" s="127"/>
      <c r="CF454" s="127"/>
      <c r="CG454" s="127"/>
      <c r="CH454" s="127"/>
      <c r="CI454" s="127"/>
      <c r="CJ454" s="127"/>
      <c r="CK454" s="127"/>
      <c r="CL454" s="127"/>
      <c r="CM454" s="127"/>
      <c r="CN454" s="127"/>
      <c r="CO454" s="127"/>
      <c r="CP454" s="127"/>
      <c r="CQ454" s="127"/>
    </row>
    <row r="455" spans="1:95" ht="15" hidden="1" customHeight="1" outlineLevel="2">
      <c r="A455" s="709" t="s">
        <v>371</v>
      </c>
      <c r="B455" s="710">
        <f>-SUMIFS('D2 - Capex uso'!BS$6:BS$176,'D2 - Capex uso'!$B$6:$B$176,"Encargo",'D2 - Capex uso'!$AK$6:$AK$176,$A455)</f>
        <v>-162800.00000000003</v>
      </c>
      <c r="C455" s="710">
        <f>-SUMIFS('D2 - Capex uso'!BT$6:BT$176,'D2 - Capex uso'!$B$6:$B$176,"Encargo",'D2 - Capex uso'!$AK$6:$AK$176,$A455)</f>
        <v>0</v>
      </c>
      <c r="D455" s="710">
        <f>-SUMIFS('D2 - Capex uso'!BU$6:BU$176,'D2 - Capex uso'!$B$6:$B$176,"Encargo",'D2 - Capex uso'!$AK$6:$AK$176,$A455)</f>
        <v>0</v>
      </c>
      <c r="E455" s="710">
        <f>-SUMIFS('D2 - Capex uso'!BV$6:BV$176,'D2 - Capex uso'!$B$6:$B$176,"Encargo",'D2 - Capex uso'!$AK$6:$AK$176,$A455)</f>
        <v>0</v>
      </c>
      <c r="F455" s="710">
        <f>-SUMIFS('D2 - Capex uso'!BW$6:BW$176,'D2 - Capex uso'!$B$6:$B$176,"Encargo",'D2 - Capex uso'!$AK$6:$AK$176,$A455)</f>
        <v>0</v>
      </c>
      <c r="G455" s="710">
        <f>-SUMIFS('D2 - Capex uso'!BX$6:BX$176,'D2 - Capex uso'!$B$6:$B$176,"Encargo",'D2 - Capex uso'!$AK$6:$AK$176,$A455)</f>
        <v>0</v>
      </c>
      <c r="H455" s="710">
        <f>-SUMIFS('D2 - Capex uso'!BY$6:BY$176,'D2 - Capex uso'!$B$6:$B$176,"Encargo",'D2 - Capex uso'!$AK$6:$AK$176,$A455)</f>
        <v>0</v>
      </c>
      <c r="I455" s="710">
        <f>-SUMIFS('D2 - Capex uso'!BZ$6:BZ$176,'D2 - Capex uso'!$B$6:$B$176,"Encargo",'D2 - Capex uso'!$AK$6:$AK$176,$A455)</f>
        <v>0</v>
      </c>
      <c r="J455" s="710">
        <f>-SUMIFS('D2 - Capex uso'!CA$6:CA$176,'D2 - Capex uso'!$B$6:$B$176,"Encargo",'D2 - Capex uso'!$AK$6:$AK$176,$A455)</f>
        <v>0</v>
      </c>
      <c r="K455" s="710">
        <f>-SUMIFS('D2 - Capex uso'!CB$6:CB$176,'D2 - Capex uso'!$B$6:$B$176,"Encargo",'D2 - Capex uso'!$AK$6:$AK$176,$A455)</f>
        <v>0</v>
      </c>
      <c r="L455" s="710">
        <f>-SUMIFS('D2 - Capex uso'!CC$6:CC$176,'D2 - Capex uso'!$B$6:$B$176,"Encargo",'D2 - Capex uso'!$AK$6:$AK$176,$A455)</f>
        <v>-162800.00000000003</v>
      </c>
      <c r="M455" s="710">
        <f>-SUMIFS('D2 - Capex uso'!CD$6:CD$176,'D2 - Capex uso'!$B$6:$B$176,"Encargo",'D2 - Capex uso'!$AK$6:$AK$176,$A455)</f>
        <v>0</v>
      </c>
      <c r="N455" s="710">
        <f>-SUMIFS('D2 - Capex uso'!CE$6:CE$176,'D2 - Capex uso'!$B$6:$B$176,"Encargo",'D2 - Capex uso'!$AK$6:$AK$176,$A455)</f>
        <v>0</v>
      </c>
      <c r="O455" s="710">
        <f>-SUMIFS('D2 - Capex uso'!CF$6:CF$176,'D2 - Capex uso'!$B$6:$B$176,"Encargo",'D2 - Capex uso'!$AK$6:$AK$176,$A455)</f>
        <v>0</v>
      </c>
      <c r="P455" s="710">
        <f>-SUMIFS('D2 - Capex uso'!CG$6:CG$176,'D2 - Capex uso'!$B$6:$B$176,"Encargo",'D2 - Capex uso'!$AK$6:$AK$176,$A455)</f>
        <v>0</v>
      </c>
      <c r="Q455" s="710">
        <f>-SUMIFS('D2 - Capex uso'!CH$6:CH$176,'D2 - Capex uso'!$B$6:$B$176,"Encargo",'D2 - Capex uso'!$AK$6:$AK$176,$A455)</f>
        <v>0</v>
      </c>
      <c r="R455" s="710">
        <f>-SUMIFS('D2 - Capex uso'!CI$6:CI$176,'D2 - Capex uso'!$B$6:$B$176,"Encargo",'D2 - Capex uso'!$AK$6:$AK$176,$A455)</f>
        <v>0</v>
      </c>
      <c r="S455" s="710">
        <f>-SUMIFS('D2 - Capex uso'!CJ$6:CJ$176,'D2 - Capex uso'!$B$6:$B$176,"Encargo",'D2 - Capex uso'!$AK$6:$AK$176,$A455)</f>
        <v>0</v>
      </c>
      <c r="T455" s="710">
        <f>-SUMIFS('D2 - Capex uso'!CK$6:CK$176,'D2 - Capex uso'!$B$6:$B$176,"Encargo",'D2 - Capex uso'!$AK$6:$AK$176,$A455)</f>
        <v>0</v>
      </c>
      <c r="U455" s="710">
        <f>-SUMIFS('D2 - Capex uso'!CL$6:CL$176,'D2 - Capex uso'!$B$6:$B$176,"Encargo",'D2 - Capex uso'!$AK$6:$AK$176,$A455)</f>
        <v>0</v>
      </c>
      <c r="V455" s="710">
        <f>-SUMIFS('D2 - Capex uso'!CM$6:CM$176,'D2 - Capex uso'!$B$6:$B$176,"Encargo",'D2 - Capex uso'!$AK$6:$AK$176,$A455)</f>
        <v>-162800.00000000003</v>
      </c>
      <c r="W455" s="710">
        <f>-SUMIFS('D2 - Capex uso'!CN$6:CN$176,'D2 - Capex uso'!$B$6:$B$176,"Encargo",'D2 - Capex uso'!$AK$6:$AK$176,$A455)</f>
        <v>0</v>
      </c>
      <c r="X455" s="710">
        <f>-SUMIFS('D2 - Capex uso'!CO$6:CO$176,'D2 - Capex uso'!$B$6:$B$176,"Encargo",'D2 - Capex uso'!$AK$6:$AK$176,$A455)</f>
        <v>0</v>
      </c>
      <c r="Y455" s="710">
        <f>-SUMIFS('D2 - Capex uso'!CP$6:CP$176,'D2 - Capex uso'!$B$6:$B$176,"Encargo",'D2 - Capex uso'!$AK$6:$AK$176,$A455)</f>
        <v>0</v>
      </c>
      <c r="Z455" s="710">
        <f>-SUMIFS('D2 - Capex uso'!CQ$6:CQ$176,'D2 - Capex uso'!$B$6:$B$176,"Encargo",'D2 - Capex uso'!$AK$6:$AK$176,$A455)</f>
        <v>0</v>
      </c>
      <c r="AA455" s="710">
        <f>-SUMIFS('D2 - Capex uso'!CR$6:CR$176,'D2 - Capex uso'!$B$6:$B$176,"Encargo",'D2 - Capex uso'!$AK$6:$AK$176,$A455)</f>
        <v>0</v>
      </c>
      <c r="AB455" s="710">
        <f>-SUMIFS('D2 - Capex uso'!CS$6:CS$176,'D2 - Capex uso'!$B$6:$B$176,"Encargo",'D2 - Capex uso'!$AK$6:$AK$176,$A455)</f>
        <v>0</v>
      </c>
      <c r="AC455" s="710">
        <f>-SUMIFS('D2 - Capex uso'!CT$6:CT$176,'D2 - Capex uso'!$B$6:$B$176,"Encargo",'D2 - Capex uso'!$AK$6:$AK$176,$A455)</f>
        <v>0</v>
      </c>
      <c r="AD455" s="710">
        <f>-SUMIFS('D2 - Capex uso'!CU$6:CU$176,'D2 - Capex uso'!$B$6:$B$176,"Encargo",'D2 - Capex uso'!$AK$6:$AK$176,$A455)</f>
        <v>0</v>
      </c>
      <c r="AE455" s="710">
        <f>-SUMIFS('D2 - Capex uso'!CV$6:CV$176,'D2 - Capex uso'!$B$6:$B$176,"Encargo",'D2 - Capex uso'!$AK$6:$AK$176,$A455)</f>
        <v>0</v>
      </c>
      <c r="AF455" s="594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  <c r="BE455" s="127"/>
      <c r="BF455" s="127"/>
      <c r="BG455" s="127"/>
      <c r="BH455" s="127"/>
      <c r="BI455" s="127"/>
      <c r="BJ455" s="127"/>
      <c r="BK455" s="127"/>
      <c r="BL455" s="57"/>
      <c r="BM455" s="127"/>
      <c r="BN455" s="127"/>
      <c r="BO455" s="127"/>
      <c r="BP455" s="127"/>
      <c r="BQ455" s="127"/>
      <c r="BR455" s="127"/>
      <c r="BS455" s="127"/>
      <c r="BT455" s="127"/>
      <c r="BU455" s="127"/>
      <c r="BV455" s="127"/>
      <c r="BW455" s="127"/>
      <c r="BX455" s="127"/>
      <c r="BY455" s="127"/>
      <c r="BZ455" s="127"/>
      <c r="CA455" s="127"/>
      <c r="CB455" s="127"/>
      <c r="CC455" s="127"/>
      <c r="CD455" s="127"/>
      <c r="CE455" s="127"/>
      <c r="CF455" s="127"/>
      <c r="CG455" s="127"/>
      <c r="CH455" s="127"/>
      <c r="CI455" s="127"/>
      <c r="CJ455" s="127"/>
      <c r="CK455" s="127"/>
      <c r="CL455" s="127"/>
      <c r="CM455" s="127"/>
      <c r="CN455" s="127"/>
      <c r="CO455" s="127"/>
      <c r="CP455" s="127"/>
      <c r="CQ455" s="127"/>
    </row>
    <row r="456" spans="1:95" ht="15" hidden="1" customHeight="1" outlineLevel="2">
      <c r="A456" s="709" t="s">
        <v>361</v>
      </c>
      <c r="B456" s="710">
        <f>-SUMIFS('D2 - Capex uso'!BS$6:BS$176,'D2 - Capex uso'!$B$6:$B$176,"Encargo",'D2 - Capex uso'!$AK$6:$AK$176,$A456)</f>
        <v>-495000.00000000006</v>
      </c>
      <c r="C456" s="710">
        <f>-SUMIFS('D2 - Capex uso'!BT$6:BT$176,'D2 - Capex uso'!$B$6:$B$176,"Encargo",'D2 - Capex uso'!$AK$6:$AK$176,$A456)</f>
        <v>0</v>
      </c>
      <c r="D456" s="710">
        <f>-SUMIFS('D2 - Capex uso'!BU$6:BU$176,'D2 - Capex uso'!$B$6:$B$176,"Encargo",'D2 - Capex uso'!$AK$6:$AK$176,$A456)</f>
        <v>0</v>
      </c>
      <c r="E456" s="710">
        <f>-SUMIFS('D2 - Capex uso'!BV$6:BV$176,'D2 - Capex uso'!$B$6:$B$176,"Encargo",'D2 - Capex uso'!$AK$6:$AK$176,$A456)</f>
        <v>0</v>
      </c>
      <c r="F456" s="710">
        <f>-SUMIFS('D2 - Capex uso'!BW$6:BW$176,'D2 - Capex uso'!$B$6:$B$176,"Encargo",'D2 - Capex uso'!$AK$6:$AK$176,$A456)</f>
        <v>0</v>
      </c>
      <c r="G456" s="710">
        <f>-SUMIFS('D2 - Capex uso'!BX$6:BX$176,'D2 - Capex uso'!$B$6:$B$176,"Encargo",'D2 - Capex uso'!$AK$6:$AK$176,$A456)</f>
        <v>0</v>
      </c>
      <c r="H456" s="710">
        <f>-SUMIFS('D2 - Capex uso'!BY$6:BY$176,'D2 - Capex uso'!$B$6:$B$176,"Encargo",'D2 - Capex uso'!$AK$6:$AK$176,$A456)</f>
        <v>0</v>
      </c>
      <c r="I456" s="710">
        <f>-SUMIFS('D2 - Capex uso'!BZ$6:BZ$176,'D2 - Capex uso'!$B$6:$B$176,"Encargo",'D2 - Capex uso'!$AK$6:$AK$176,$A456)</f>
        <v>0</v>
      </c>
      <c r="J456" s="710">
        <f>-SUMIFS('D2 - Capex uso'!CA$6:CA$176,'D2 - Capex uso'!$B$6:$B$176,"Encargo",'D2 - Capex uso'!$AK$6:$AK$176,$A456)</f>
        <v>0</v>
      </c>
      <c r="K456" s="710">
        <f>-SUMIFS('D2 - Capex uso'!CB$6:CB$176,'D2 - Capex uso'!$B$6:$B$176,"Encargo",'D2 - Capex uso'!$AK$6:$AK$176,$A456)</f>
        <v>0</v>
      </c>
      <c r="L456" s="710">
        <f>-SUMIFS('D2 - Capex uso'!CC$6:CC$176,'D2 - Capex uso'!$B$6:$B$176,"Encargo",'D2 - Capex uso'!$AK$6:$AK$176,$A456)</f>
        <v>0</v>
      </c>
      <c r="M456" s="710">
        <f>-SUMIFS('D2 - Capex uso'!CD$6:CD$176,'D2 - Capex uso'!$B$6:$B$176,"Encargo",'D2 - Capex uso'!$AK$6:$AK$176,$A456)</f>
        <v>0</v>
      </c>
      <c r="N456" s="710">
        <f>-SUMIFS('D2 - Capex uso'!CE$6:CE$176,'D2 - Capex uso'!$B$6:$B$176,"Encargo",'D2 - Capex uso'!$AK$6:$AK$176,$A456)</f>
        <v>0</v>
      </c>
      <c r="O456" s="710">
        <f>-SUMIFS('D2 - Capex uso'!CF$6:CF$176,'D2 - Capex uso'!$B$6:$B$176,"Encargo",'D2 - Capex uso'!$AK$6:$AK$176,$A456)</f>
        <v>0</v>
      </c>
      <c r="P456" s="710">
        <f>-SUMIFS('D2 - Capex uso'!CG$6:CG$176,'D2 - Capex uso'!$B$6:$B$176,"Encargo",'D2 - Capex uso'!$AK$6:$AK$176,$A456)</f>
        <v>0</v>
      </c>
      <c r="Q456" s="710">
        <f>-SUMIFS('D2 - Capex uso'!CH$6:CH$176,'D2 - Capex uso'!$B$6:$B$176,"Encargo",'D2 - Capex uso'!$AK$6:$AK$176,$A456)</f>
        <v>0</v>
      </c>
      <c r="R456" s="710">
        <f>-SUMIFS('D2 - Capex uso'!CI$6:CI$176,'D2 - Capex uso'!$B$6:$B$176,"Encargo",'D2 - Capex uso'!$AK$6:$AK$176,$A456)</f>
        <v>0</v>
      </c>
      <c r="S456" s="710">
        <f>-SUMIFS('D2 - Capex uso'!CJ$6:CJ$176,'D2 - Capex uso'!$B$6:$B$176,"Encargo",'D2 - Capex uso'!$AK$6:$AK$176,$A456)</f>
        <v>0</v>
      </c>
      <c r="T456" s="710">
        <f>-SUMIFS('D2 - Capex uso'!CK$6:CK$176,'D2 - Capex uso'!$B$6:$B$176,"Encargo",'D2 - Capex uso'!$AK$6:$AK$176,$A456)</f>
        <v>0</v>
      </c>
      <c r="U456" s="710">
        <f>-SUMIFS('D2 - Capex uso'!CL$6:CL$176,'D2 - Capex uso'!$B$6:$B$176,"Encargo",'D2 - Capex uso'!$AK$6:$AK$176,$A456)</f>
        <v>0</v>
      </c>
      <c r="V456" s="710">
        <f>-SUMIFS('D2 - Capex uso'!CM$6:CM$176,'D2 - Capex uso'!$B$6:$B$176,"Encargo",'D2 - Capex uso'!$AK$6:$AK$176,$A456)</f>
        <v>0</v>
      </c>
      <c r="W456" s="710">
        <f>-SUMIFS('D2 - Capex uso'!CN$6:CN$176,'D2 - Capex uso'!$B$6:$B$176,"Encargo",'D2 - Capex uso'!$AK$6:$AK$176,$A456)</f>
        <v>0</v>
      </c>
      <c r="X456" s="710">
        <f>-SUMIFS('D2 - Capex uso'!CO$6:CO$176,'D2 - Capex uso'!$B$6:$B$176,"Encargo",'D2 - Capex uso'!$AK$6:$AK$176,$A456)</f>
        <v>0</v>
      </c>
      <c r="Y456" s="710">
        <f>-SUMIFS('D2 - Capex uso'!CP$6:CP$176,'D2 - Capex uso'!$B$6:$B$176,"Encargo",'D2 - Capex uso'!$AK$6:$AK$176,$A456)</f>
        <v>0</v>
      </c>
      <c r="Z456" s="710">
        <f>-SUMIFS('D2 - Capex uso'!CQ$6:CQ$176,'D2 - Capex uso'!$B$6:$B$176,"Encargo",'D2 - Capex uso'!$AK$6:$AK$176,$A456)</f>
        <v>0</v>
      </c>
      <c r="AA456" s="710">
        <f>-SUMIFS('D2 - Capex uso'!CR$6:CR$176,'D2 - Capex uso'!$B$6:$B$176,"Encargo",'D2 - Capex uso'!$AK$6:$AK$176,$A456)</f>
        <v>0</v>
      </c>
      <c r="AB456" s="710">
        <f>-SUMIFS('D2 - Capex uso'!CS$6:CS$176,'D2 - Capex uso'!$B$6:$B$176,"Encargo",'D2 - Capex uso'!$AK$6:$AK$176,$A456)</f>
        <v>0</v>
      </c>
      <c r="AC456" s="710">
        <f>-SUMIFS('D2 - Capex uso'!CT$6:CT$176,'D2 - Capex uso'!$B$6:$B$176,"Encargo",'D2 - Capex uso'!$AK$6:$AK$176,$A456)</f>
        <v>0</v>
      </c>
      <c r="AD456" s="710">
        <f>-SUMIFS('D2 - Capex uso'!CU$6:CU$176,'D2 - Capex uso'!$B$6:$B$176,"Encargo",'D2 - Capex uso'!$AK$6:$AK$176,$A456)</f>
        <v>0</v>
      </c>
      <c r="AE456" s="710">
        <f>-SUMIFS('D2 - Capex uso'!CV$6:CV$176,'D2 - Capex uso'!$B$6:$B$176,"Encargo",'D2 - Capex uso'!$AK$6:$AK$176,$A456)</f>
        <v>0</v>
      </c>
      <c r="AF456" s="594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R456" s="127"/>
      <c r="AS456" s="127"/>
      <c r="AT456" s="127"/>
      <c r="AU456" s="127"/>
      <c r="AV456" s="127"/>
      <c r="AW456" s="127"/>
      <c r="AX456" s="127"/>
      <c r="AY456" s="127"/>
      <c r="AZ456" s="127"/>
      <c r="BA456" s="127"/>
      <c r="BB456" s="127"/>
      <c r="BC456" s="127"/>
      <c r="BD456" s="127"/>
      <c r="BE456" s="127"/>
      <c r="BF456" s="127"/>
      <c r="BG456" s="127"/>
      <c r="BH456" s="127"/>
      <c r="BI456" s="127"/>
      <c r="BJ456" s="127"/>
      <c r="BK456" s="127"/>
      <c r="BL456" s="57"/>
      <c r="BM456" s="127"/>
      <c r="BN456" s="127"/>
      <c r="BO456" s="127"/>
      <c r="BP456" s="127"/>
      <c r="BQ456" s="127"/>
      <c r="BR456" s="127"/>
      <c r="BS456" s="127"/>
      <c r="BT456" s="127"/>
      <c r="BU456" s="127"/>
      <c r="BV456" s="127"/>
      <c r="BW456" s="127"/>
      <c r="BX456" s="127"/>
      <c r="BY456" s="127"/>
      <c r="BZ456" s="127"/>
      <c r="CA456" s="127"/>
      <c r="CB456" s="127"/>
      <c r="CC456" s="127"/>
      <c r="CD456" s="127"/>
      <c r="CE456" s="127"/>
      <c r="CF456" s="127"/>
      <c r="CG456" s="127"/>
      <c r="CH456" s="127"/>
      <c r="CI456" s="127"/>
      <c r="CJ456" s="127"/>
      <c r="CK456" s="127"/>
      <c r="CL456" s="127"/>
      <c r="CM456" s="127"/>
      <c r="CN456" s="127"/>
      <c r="CO456" s="127"/>
      <c r="CP456" s="127"/>
      <c r="CQ456" s="127"/>
    </row>
    <row r="457" spans="1:95" ht="15" hidden="1" customHeight="1" outlineLevel="2">
      <c r="A457" s="709" t="s">
        <v>359</v>
      </c>
      <c r="B457" s="710">
        <f>-SUMIFS('D2 - Capex uso'!BS$6:BS$176,'D2 - Capex uso'!$B$6:$B$176,"Encargo",'D2 - Capex uso'!$AK$6:$AK$176,$A457)</f>
        <v>-19679460.533333339</v>
      </c>
      <c r="C457" s="710">
        <f>-SUMIFS('D2 - Capex uso'!BT$6:BT$176,'D2 - Capex uso'!$B$6:$B$176,"Encargo",'D2 - Capex uso'!$AK$6:$AK$176,$A457)</f>
        <v>-15101093.333333334</v>
      </c>
      <c r="D457" s="710">
        <f>-SUMIFS('D2 - Capex uso'!BU$6:BU$176,'D2 - Capex uso'!$B$6:$B$176,"Encargo",'D2 - Capex uso'!$AK$6:$AK$176,$A457)</f>
        <v>-8996093.333333334</v>
      </c>
      <c r="E457" s="710">
        <f>-SUMIFS('D2 - Capex uso'!BV$6:BV$176,'D2 - Capex uso'!$B$6:$B$176,"Encargo",'D2 - Capex uso'!$AK$6:$AK$176,$A457)</f>
        <v>-1650000</v>
      </c>
      <c r="F457" s="710">
        <f>-SUMIFS('D2 - Capex uso'!BW$6:BW$176,'D2 - Capex uso'!$B$6:$B$176,"Encargo",'D2 - Capex uso'!$AK$6:$AK$176,$A457)</f>
        <v>0</v>
      </c>
      <c r="G457" s="710">
        <f>-SUMIFS('D2 - Capex uso'!BX$6:BX$176,'D2 - Capex uso'!$B$6:$B$176,"Encargo",'D2 - Capex uso'!$AK$6:$AK$176,$A457)</f>
        <v>0</v>
      </c>
      <c r="H457" s="710">
        <f>-SUMIFS('D2 - Capex uso'!BY$6:BY$176,'D2 - Capex uso'!$B$6:$B$176,"Encargo",'D2 - Capex uso'!$AK$6:$AK$176,$A457)</f>
        <v>0</v>
      </c>
      <c r="I457" s="710">
        <f>-SUMIFS('D2 - Capex uso'!BZ$6:BZ$176,'D2 - Capex uso'!$B$6:$B$176,"Encargo",'D2 - Capex uso'!$AK$6:$AK$176,$A457)</f>
        <v>0</v>
      </c>
      <c r="J457" s="710">
        <f>-SUMIFS('D2 - Capex uso'!CA$6:CA$176,'D2 - Capex uso'!$B$6:$B$176,"Encargo",'D2 - Capex uso'!$AK$6:$AK$176,$A457)</f>
        <v>0</v>
      </c>
      <c r="K457" s="710">
        <f>-SUMIFS('D2 - Capex uso'!CB$6:CB$176,'D2 - Capex uso'!$B$6:$B$176,"Encargo",'D2 - Capex uso'!$AK$6:$AK$176,$A457)</f>
        <v>0</v>
      </c>
      <c r="L457" s="710">
        <f>-SUMIFS('D2 - Capex uso'!CC$6:CC$176,'D2 - Capex uso'!$B$6:$B$176,"Encargo",'D2 - Capex uso'!$AK$6:$AK$176,$A457)</f>
        <v>-1792067.2000000004</v>
      </c>
      <c r="M457" s="710">
        <f>-SUMIFS('D2 - Capex uso'!CD$6:CD$176,'D2 - Capex uso'!$B$6:$B$176,"Encargo",'D2 - Capex uso'!$AK$6:$AK$176,$A457)</f>
        <v>0</v>
      </c>
      <c r="N457" s="710">
        <f>-SUMIFS('D2 - Capex uso'!CE$6:CE$176,'D2 - Capex uso'!$B$6:$B$176,"Encargo",'D2 - Capex uso'!$AK$6:$AK$176,$A457)</f>
        <v>0</v>
      </c>
      <c r="O457" s="710">
        <f>-SUMIFS('D2 - Capex uso'!CF$6:CF$176,'D2 - Capex uso'!$B$6:$B$176,"Encargo",'D2 - Capex uso'!$AK$6:$AK$176,$A457)</f>
        <v>0</v>
      </c>
      <c r="P457" s="710">
        <f>-SUMIFS('D2 - Capex uso'!CG$6:CG$176,'D2 - Capex uso'!$B$6:$B$176,"Encargo",'D2 - Capex uso'!$AK$6:$AK$176,$A457)</f>
        <v>0</v>
      </c>
      <c r="Q457" s="710">
        <f>-SUMIFS('D2 - Capex uso'!CH$6:CH$176,'D2 - Capex uso'!$B$6:$B$176,"Encargo",'D2 - Capex uso'!$AK$6:$AK$176,$A457)</f>
        <v>0</v>
      </c>
      <c r="R457" s="710">
        <f>-SUMIFS('D2 - Capex uso'!CI$6:CI$176,'D2 - Capex uso'!$B$6:$B$176,"Encargo",'D2 - Capex uso'!$AK$6:$AK$176,$A457)</f>
        <v>0</v>
      </c>
      <c r="S457" s="710">
        <f>-SUMIFS('D2 - Capex uso'!CJ$6:CJ$176,'D2 - Capex uso'!$B$6:$B$176,"Encargo",'D2 - Capex uso'!$AK$6:$AK$176,$A457)</f>
        <v>0</v>
      </c>
      <c r="T457" s="710">
        <f>-SUMIFS('D2 - Capex uso'!CK$6:CK$176,'D2 - Capex uso'!$B$6:$B$176,"Encargo",'D2 - Capex uso'!$AK$6:$AK$176,$A457)</f>
        <v>0</v>
      </c>
      <c r="U457" s="710">
        <f>-SUMIFS('D2 - Capex uso'!CL$6:CL$176,'D2 - Capex uso'!$B$6:$B$176,"Encargo",'D2 - Capex uso'!$AK$6:$AK$176,$A457)</f>
        <v>0</v>
      </c>
      <c r="V457" s="710">
        <f>-SUMIFS('D2 - Capex uso'!CM$6:CM$176,'D2 - Capex uso'!$B$6:$B$176,"Encargo",'D2 - Capex uso'!$AK$6:$AK$176,$A457)</f>
        <v>-11538067.200000001</v>
      </c>
      <c r="W457" s="710">
        <f>-SUMIFS('D2 - Capex uso'!CN$6:CN$176,'D2 - Capex uso'!$B$6:$B$176,"Encargo",'D2 - Capex uso'!$AK$6:$AK$176,$A457)</f>
        <v>0</v>
      </c>
      <c r="X457" s="710">
        <f>-SUMIFS('D2 - Capex uso'!CO$6:CO$176,'D2 - Capex uso'!$B$6:$B$176,"Encargo",'D2 - Capex uso'!$AK$6:$AK$176,$A457)</f>
        <v>0</v>
      </c>
      <c r="Y457" s="710">
        <f>-SUMIFS('D2 - Capex uso'!CP$6:CP$176,'D2 - Capex uso'!$B$6:$B$176,"Encargo",'D2 - Capex uso'!$AK$6:$AK$176,$A457)</f>
        <v>0</v>
      </c>
      <c r="Z457" s="710">
        <f>-SUMIFS('D2 - Capex uso'!CQ$6:CQ$176,'D2 - Capex uso'!$B$6:$B$176,"Encargo",'D2 - Capex uso'!$AK$6:$AK$176,$A457)</f>
        <v>0</v>
      </c>
      <c r="AA457" s="710">
        <f>-SUMIFS('D2 - Capex uso'!CR$6:CR$176,'D2 - Capex uso'!$B$6:$B$176,"Encargo",'D2 - Capex uso'!$AK$6:$AK$176,$A457)</f>
        <v>0</v>
      </c>
      <c r="AB457" s="710">
        <f>-SUMIFS('D2 - Capex uso'!CS$6:CS$176,'D2 - Capex uso'!$B$6:$B$176,"Encargo",'D2 - Capex uso'!$AK$6:$AK$176,$A457)</f>
        <v>0</v>
      </c>
      <c r="AC457" s="710">
        <f>-SUMIFS('D2 - Capex uso'!CT$6:CT$176,'D2 - Capex uso'!$B$6:$B$176,"Encargo",'D2 - Capex uso'!$AK$6:$AK$176,$A457)</f>
        <v>0</v>
      </c>
      <c r="AD457" s="710">
        <f>-SUMIFS('D2 - Capex uso'!CU$6:CU$176,'D2 - Capex uso'!$B$6:$B$176,"Encargo",'D2 - Capex uso'!$AK$6:$AK$176,$A457)</f>
        <v>0</v>
      </c>
      <c r="AE457" s="710">
        <f>-SUMIFS('D2 - Capex uso'!CV$6:CV$176,'D2 - Capex uso'!$B$6:$B$176,"Encargo",'D2 - Capex uso'!$AK$6:$AK$176,$A457)</f>
        <v>0</v>
      </c>
      <c r="AF457" s="594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  <c r="BE457" s="127"/>
      <c r="BF457" s="127"/>
      <c r="BG457" s="127"/>
      <c r="BH457" s="127"/>
      <c r="BI457" s="127"/>
      <c r="BJ457" s="127"/>
      <c r="BK457" s="127"/>
      <c r="BL457" s="57"/>
      <c r="BM457" s="127"/>
      <c r="BN457" s="127"/>
      <c r="BO457" s="127"/>
      <c r="BP457" s="127"/>
      <c r="BQ457" s="127"/>
      <c r="BR457" s="127"/>
      <c r="BS457" s="127"/>
      <c r="BT457" s="127"/>
      <c r="BU457" s="127"/>
      <c r="BV457" s="127"/>
      <c r="BW457" s="127"/>
      <c r="BX457" s="127"/>
      <c r="BY457" s="127"/>
      <c r="BZ457" s="127"/>
      <c r="CA457" s="127"/>
      <c r="CB457" s="127"/>
      <c r="CC457" s="127"/>
      <c r="CD457" s="127"/>
      <c r="CE457" s="127"/>
      <c r="CF457" s="127"/>
      <c r="CG457" s="127"/>
      <c r="CH457" s="127"/>
      <c r="CI457" s="127"/>
      <c r="CJ457" s="127"/>
      <c r="CK457" s="127"/>
      <c r="CL457" s="127"/>
      <c r="CM457" s="127"/>
      <c r="CN457" s="127"/>
      <c r="CO457" s="127"/>
      <c r="CP457" s="127"/>
      <c r="CQ457" s="127"/>
    </row>
    <row r="458" spans="1:95" ht="15" hidden="1" customHeight="1" outlineLevel="2">
      <c r="A458" s="709" t="s">
        <v>171</v>
      </c>
      <c r="B458" s="710">
        <f>-SUMIFS('D2 - Capex uso'!BS$6:BS$176,'D2 - Capex uso'!$B$6:$B$176,"Encargo",'D2 - Capex uso'!$AK$6:$AK$176,$A458)</f>
        <v>-373560</v>
      </c>
      <c r="C458" s="710">
        <f>-SUMIFS('D2 - Capex uso'!BT$6:BT$176,'D2 - Capex uso'!$B$6:$B$176,"Encargo",'D2 - Capex uso'!$AK$6:$AK$176,$A458)</f>
        <v>0</v>
      </c>
      <c r="D458" s="710">
        <f>-SUMIFS('D2 - Capex uso'!BU$6:BU$176,'D2 - Capex uso'!$B$6:$B$176,"Encargo",'D2 - Capex uso'!$AK$6:$AK$176,$A458)</f>
        <v>0</v>
      </c>
      <c r="E458" s="710">
        <f>-SUMIFS('D2 - Capex uso'!BV$6:BV$176,'D2 - Capex uso'!$B$6:$B$176,"Encargo",'D2 - Capex uso'!$AK$6:$AK$176,$A458)</f>
        <v>-43560.000000000007</v>
      </c>
      <c r="F458" s="710">
        <f>-SUMIFS('D2 - Capex uso'!BW$6:BW$176,'D2 - Capex uso'!$B$6:$B$176,"Encargo",'D2 - Capex uso'!$AK$6:$AK$176,$A458)</f>
        <v>0</v>
      </c>
      <c r="G458" s="710">
        <f>-SUMIFS('D2 - Capex uso'!BX$6:BX$176,'D2 - Capex uso'!$B$6:$B$176,"Encargo",'D2 - Capex uso'!$AK$6:$AK$176,$A458)</f>
        <v>0</v>
      </c>
      <c r="H458" s="710">
        <f>-SUMIFS('D2 - Capex uso'!BY$6:BY$176,'D2 - Capex uso'!$B$6:$B$176,"Encargo",'D2 - Capex uso'!$AK$6:$AK$176,$A458)</f>
        <v>-43560.000000000007</v>
      </c>
      <c r="I458" s="710">
        <f>-SUMIFS('D2 - Capex uso'!BZ$6:BZ$176,'D2 - Capex uso'!$B$6:$B$176,"Encargo",'D2 - Capex uso'!$AK$6:$AK$176,$A458)</f>
        <v>0</v>
      </c>
      <c r="J458" s="710">
        <f>-SUMIFS('D2 - Capex uso'!CA$6:CA$176,'D2 - Capex uso'!$B$6:$B$176,"Encargo",'D2 - Capex uso'!$AK$6:$AK$176,$A458)</f>
        <v>0</v>
      </c>
      <c r="K458" s="710">
        <f>-SUMIFS('D2 - Capex uso'!CB$6:CB$176,'D2 - Capex uso'!$B$6:$B$176,"Encargo",'D2 - Capex uso'!$AK$6:$AK$176,$A458)</f>
        <v>-43560.000000000007</v>
      </c>
      <c r="L458" s="710">
        <f>-SUMIFS('D2 - Capex uso'!CC$6:CC$176,'D2 - Capex uso'!$B$6:$B$176,"Encargo",'D2 - Capex uso'!$AK$6:$AK$176,$A458)</f>
        <v>0</v>
      </c>
      <c r="M458" s="710">
        <f>-SUMIFS('D2 - Capex uso'!CD$6:CD$176,'D2 - Capex uso'!$B$6:$B$176,"Encargo",'D2 - Capex uso'!$AK$6:$AK$176,$A458)</f>
        <v>0</v>
      </c>
      <c r="N458" s="710">
        <f>-SUMIFS('D2 - Capex uso'!CE$6:CE$176,'D2 - Capex uso'!$B$6:$B$176,"Encargo",'D2 - Capex uso'!$AK$6:$AK$176,$A458)</f>
        <v>-43560.000000000007</v>
      </c>
      <c r="O458" s="710">
        <f>-SUMIFS('D2 - Capex uso'!CF$6:CF$176,'D2 - Capex uso'!$B$6:$B$176,"Encargo",'D2 - Capex uso'!$AK$6:$AK$176,$A458)</f>
        <v>0</v>
      </c>
      <c r="P458" s="710">
        <f>-SUMIFS('D2 - Capex uso'!CG$6:CG$176,'D2 - Capex uso'!$B$6:$B$176,"Encargo",'D2 - Capex uso'!$AK$6:$AK$176,$A458)</f>
        <v>0</v>
      </c>
      <c r="Q458" s="710">
        <f>-SUMIFS('D2 - Capex uso'!CH$6:CH$176,'D2 - Capex uso'!$B$6:$B$176,"Encargo",'D2 - Capex uso'!$AK$6:$AK$176,$A458)</f>
        <v>-43560.000000000007</v>
      </c>
      <c r="R458" s="710">
        <f>-SUMIFS('D2 - Capex uso'!CI$6:CI$176,'D2 - Capex uso'!$B$6:$B$176,"Encargo",'D2 - Capex uso'!$AK$6:$AK$176,$A458)</f>
        <v>0</v>
      </c>
      <c r="S458" s="710">
        <f>-SUMIFS('D2 - Capex uso'!CJ$6:CJ$176,'D2 - Capex uso'!$B$6:$B$176,"Encargo",'D2 - Capex uso'!$AK$6:$AK$176,$A458)</f>
        <v>0</v>
      </c>
      <c r="T458" s="710">
        <f>-SUMIFS('D2 - Capex uso'!CK$6:CK$176,'D2 - Capex uso'!$B$6:$B$176,"Encargo",'D2 - Capex uso'!$AK$6:$AK$176,$A458)</f>
        <v>-43560.000000000007</v>
      </c>
      <c r="U458" s="710">
        <f>-SUMIFS('D2 - Capex uso'!CL$6:CL$176,'D2 - Capex uso'!$B$6:$B$176,"Encargo",'D2 - Capex uso'!$AK$6:$AK$176,$A458)</f>
        <v>0</v>
      </c>
      <c r="V458" s="710">
        <f>-SUMIFS('D2 - Capex uso'!CM$6:CM$176,'D2 - Capex uso'!$B$6:$B$176,"Encargo",'D2 - Capex uso'!$AK$6:$AK$176,$A458)</f>
        <v>0</v>
      </c>
      <c r="W458" s="710">
        <f>-SUMIFS('D2 - Capex uso'!CN$6:CN$176,'D2 - Capex uso'!$B$6:$B$176,"Encargo",'D2 - Capex uso'!$AK$6:$AK$176,$A458)</f>
        <v>-43560.000000000007</v>
      </c>
      <c r="X458" s="710">
        <f>-SUMIFS('D2 - Capex uso'!CO$6:CO$176,'D2 - Capex uso'!$B$6:$B$176,"Encargo",'D2 - Capex uso'!$AK$6:$AK$176,$A458)</f>
        <v>0</v>
      </c>
      <c r="Y458" s="710">
        <f>-SUMIFS('D2 - Capex uso'!CP$6:CP$176,'D2 - Capex uso'!$B$6:$B$176,"Encargo",'D2 - Capex uso'!$AK$6:$AK$176,$A458)</f>
        <v>0</v>
      </c>
      <c r="Z458" s="710">
        <f>-SUMIFS('D2 - Capex uso'!CQ$6:CQ$176,'D2 - Capex uso'!$B$6:$B$176,"Encargo",'D2 - Capex uso'!$AK$6:$AK$176,$A458)</f>
        <v>-43560.000000000007</v>
      </c>
      <c r="AA458" s="710">
        <f>-SUMIFS('D2 - Capex uso'!CR$6:CR$176,'D2 - Capex uso'!$B$6:$B$176,"Encargo",'D2 - Capex uso'!$AK$6:$AK$176,$A458)</f>
        <v>0</v>
      </c>
      <c r="AB458" s="710">
        <f>-SUMIFS('D2 - Capex uso'!CS$6:CS$176,'D2 - Capex uso'!$B$6:$B$176,"Encargo",'D2 - Capex uso'!$AK$6:$AK$176,$A458)</f>
        <v>0</v>
      </c>
      <c r="AC458" s="710">
        <f>-SUMIFS('D2 - Capex uso'!CT$6:CT$176,'D2 - Capex uso'!$B$6:$B$176,"Encargo",'D2 - Capex uso'!$AK$6:$AK$176,$A458)</f>
        <v>-43560.000000000007</v>
      </c>
      <c r="AD458" s="710">
        <f>-SUMIFS('D2 - Capex uso'!CU$6:CU$176,'D2 - Capex uso'!$B$6:$B$176,"Encargo",'D2 - Capex uso'!$AK$6:$AK$176,$A458)</f>
        <v>0</v>
      </c>
      <c r="AE458" s="710">
        <f>-SUMIFS('D2 - Capex uso'!CV$6:CV$176,'D2 - Capex uso'!$B$6:$B$176,"Encargo",'D2 - Capex uso'!$AK$6:$AK$176,$A458)</f>
        <v>0</v>
      </c>
      <c r="AF458" s="594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R458" s="127"/>
      <c r="AS458" s="127"/>
      <c r="AT458" s="127"/>
      <c r="AU458" s="127"/>
      <c r="AV458" s="127"/>
      <c r="AW458" s="127"/>
      <c r="AX458" s="127"/>
      <c r="AY458" s="127"/>
      <c r="AZ458" s="127"/>
      <c r="BA458" s="127"/>
      <c r="BB458" s="127"/>
      <c r="BC458" s="127"/>
      <c r="BD458" s="127"/>
      <c r="BE458" s="127"/>
      <c r="BF458" s="127"/>
      <c r="BG458" s="127"/>
      <c r="BH458" s="127"/>
      <c r="BI458" s="127"/>
      <c r="BJ458" s="127"/>
      <c r="BK458" s="127"/>
      <c r="BL458" s="57"/>
      <c r="BM458" s="127"/>
      <c r="BN458" s="127"/>
      <c r="BO458" s="127"/>
      <c r="BP458" s="127"/>
      <c r="BQ458" s="127"/>
      <c r="BR458" s="127"/>
      <c r="BS458" s="127"/>
      <c r="BT458" s="127"/>
      <c r="BU458" s="127"/>
      <c r="BV458" s="127"/>
      <c r="BW458" s="127"/>
      <c r="BX458" s="127"/>
      <c r="BY458" s="127"/>
      <c r="BZ458" s="127"/>
      <c r="CA458" s="127"/>
      <c r="CB458" s="127"/>
      <c r="CC458" s="127"/>
      <c r="CD458" s="127"/>
      <c r="CE458" s="127"/>
      <c r="CF458" s="127"/>
      <c r="CG458" s="127"/>
      <c r="CH458" s="127"/>
      <c r="CI458" s="127"/>
      <c r="CJ458" s="127"/>
      <c r="CK458" s="127"/>
      <c r="CL458" s="127"/>
      <c r="CM458" s="127"/>
      <c r="CN458" s="127"/>
      <c r="CO458" s="127"/>
      <c r="CP458" s="127"/>
      <c r="CQ458" s="127"/>
    </row>
    <row r="459" spans="1:95" ht="31.5" customHeight="1">
      <c r="A459" s="700" t="s">
        <v>52</v>
      </c>
      <c r="B459" s="711">
        <f t="shared" ref="B459:AE459" si="160">B384+B403</f>
        <v>-35952830.438516043</v>
      </c>
      <c r="C459" s="711">
        <f t="shared" si="160"/>
        <v>-814885.94369190186</v>
      </c>
      <c r="D459" s="711">
        <f t="shared" si="160"/>
        <v>6243462.4289388955</v>
      </c>
      <c r="E459" s="711">
        <f t="shared" si="160"/>
        <v>14469135.338903032</v>
      </c>
      <c r="F459" s="711">
        <f t="shared" si="160"/>
        <v>17100851.382533833</v>
      </c>
      <c r="G459" s="711">
        <f t="shared" si="160"/>
        <v>13220831.019964647</v>
      </c>
      <c r="H459" s="711">
        <f t="shared" si="160"/>
        <v>18963789.608595442</v>
      </c>
      <c r="I459" s="711">
        <f t="shared" si="160"/>
        <v>20016916.607226238</v>
      </c>
      <c r="J459" s="711">
        <f t="shared" si="160"/>
        <v>21044750.592857044</v>
      </c>
      <c r="K459" s="711">
        <f t="shared" si="160"/>
        <v>22047591.664487839</v>
      </c>
      <c r="L459" s="711">
        <f t="shared" si="160"/>
        <v>12445083.739010647</v>
      </c>
      <c r="M459" s="711">
        <f t="shared" si="160"/>
        <v>24237713.714141443</v>
      </c>
      <c r="N459" s="711">
        <f t="shared" si="160"/>
        <v>25340409.758272234</v>
      </c>
      <c r="O459" s="711">
        <f t="shared" si="160"/>
        <v>26565103.102903038</v>
      </c>
      <c r="P459" s="711">
        <f t="shared" si="160"/>
        <v>27781515.949533828</v>
      </c>
      <c r="Q459" s="711">
        <f t="shared" si="160"/>
        <v>24152609.492964648</v>
      </c>
      <c r="R459" s="711">
        <f t="shared" si="160"/>
        <v>30283076.507095441</v>
      </c>
      <c r="S459" s="711">
        <f t="shared" si="160"/>
        <v>31591459.879226238</v>
      </c>
      <c r="T459" s="711">
        <f t="shared" si="160"/>
        <v>32879601.193857029</v>
      </c>
      <c r="U459" s="711">
        <f t="shared" si="160"/>
        <v>34272896.909487844</v>
      </c>
      <c r="V459" s="711">
        <f t="shared" si="160"/>
        <v>13808928.547010638</v>
      </c>
      <c r="W459" s="711">
        <f t="shared" si="160"/>
        <v>34199477.072641447</v>
      </c>
      <c r="X459" s="711">
        <f t="shared" si="160"/>
        <v>34250484.992272243</v>
      </c>
      <c r="Y459" s="711">
        <f t="shared" si="160"/>
        <v>34257932.911903046</v>
      </c>
      <c r="Z459" s="711">
        <f t="shared" si="160"/>
        <v>34221385.231533848</v>
      </c>
      <c r="AA459" s="711">
        <f t="shared" si="160"/>
        <v>29437941.922964647</v>
      </c>
      <c r="AB459" s="711">
        <f t="shared" si="160"/>
        <v>34251133.950595446</v>
      </c>
      <c r="AC459" s="711">
        <f t="shared" si="160"/>
        <v>34214586.270226248</v>
      </c>
      <c r="AD459" s="711">
        <f t="shared" si="160"/>
        <v>34265594.189857043</v>
      </c>
      <c r="AE459" s="711">
        <f t="shared" si="160"/>
        <v>34273042.109487846</v>
      </c>
      <c r="AF459" s="594"/>
      <c r="AG459" s="702" t="str">
        <f>A459</f>
        <v>TOTAL</v>
      </c>
      <c r="AH459" s="712">
        <f t="shared" ref="AH459:BK459" si="161">IFERROR(-SUM(B404,B387)/B385,0)</f>
        <v>0.836107525641966</v>
      </c>
      <c r="AI459" s="712">
        <f t="shared" si="161"/>
        <v>0.48407245546479738</v>
      </c>
      <c r="AJ459" s="712">
        <f t="shared" si="161"/>
        <v>0.47358814649770142</v>
      </c>
      <c r="AK459" s="712">
        <f t="shared" si="161"/>
        <v>0.4640836847237953</v>
      </c>
      <c r="AL459" s="712">
        <f t="shared" si="161"/>
        <v>0.45501099637757919</v>
      </c>
      <c r="AM459" s="712">
        <f t="shared" si="161"/>
        <v>0.44693371842690988</v>
      </c>
      <c r="AN459" s="712">
        <f t="shared" si="161"/>
        <v>0.4385446735543474</v>
      </c>
      <c r="AO459" s="712">
        <f t="shared" si="161"/>
        <v>0.43042111881266371</v>
      </c>
      <c r="AP459" s="712">
        <f t="shared" si="161"/>
        <v>0.42264204962964641</v>
      </c>
      <c r="AQ459" s="712">
        <f t="shared" si="161"/>
        <v>0.41519173766211387</v>
      </c>
      <c r="AR459" s="712">
        <f t="shared" si="161"/>
        <v>0.40874159800125032</v>
      </c>
      <c r="AS459" s="712">
        <f t="shared" si="161"/>
        <v>0.4016994796848804</v>
      </c>
      <c r="AT459" s="712">
        <f t="shared" si="161"/>
        <v>0.39486750986940838</v>
      </c>
      <c r="AU459" s="712">
        <f t="shared" si="161"/>
        <v>0.38823585300068852</v>
      </c>
      <c r="AV459" s="712">
        <f t="shared" si="161"/>
        <v>0.38180621673475384</v>
      </c>
      <c r="AW459" s="712">
        <f t="shared" si="161"/>
        <v>0.37603429587478165</v>
      </c>
      <c r="AX459" s="712">
        <f t="shared" si="161"/>
        <v>0.37001673573291294</v>
      </c>
      <c r="AY459" s="712">
        <f t="shared" si="161"/>
        <v>0.36422704074504286</v>
      </c>
      <c r="AZ459" s="712">
        <f t="shared" si="161"/>
        <v>0.3586758679130661</v>
      </c>
      <c r="BA459" s="712">
        <f t="shared" si="161"/>
        <v>0.35336272665658175</v>
      </c>
      <c r="BB459" s="712">
        <f t="shared" si="161"/>
        <v>0.35386530414736117</v>
      </c>
      <c r="BC459" s="712">
        <f t="shared" si="161"/>
        <v>0.35376972432938203</v>
      </c>
      <c r="BD459" s="712">
        <f t="shared" si="161"/>
        <v>0.35366820716528857</v>
      </c>
      <c r="BE459" s="712">
        <f t="shared" si="161"/>
        <v>0.35356669000119523</v>
      </c>
      <c r="BF459" s="712">
        <f t="shared" si="161"/>
        <v>0.35347111018321603</v>
      </c>
      <c r="BG459" s="712">
        <f t="shared" si="161"/>
        <v>0.35376087885146978</v>
      </c>
      <c r="BH459" s="712">
        <f t="shared" si="161"/>
        <v>0.35365936168737638</v>
      </c>
      <c r="BI459" s="712">
        <f t="shared" si="161"/>
        <v>0.35356378186939724</v>
      </c>
      <c r="BJ459" s="712">
        <f t="shared" si="161"/>
        <v>0.35346226470530379</v>
      </c>
      <c r="BK459" s="712">
        <f t="shared" si="161"/>
        <v>0.35336074754121038</v>
      </c>
      <c r="BL459" s="57"/>
      <c r="BM459" s="712"/>
      <c r="BN459" s="712"/>
      <c r="BO459" s="712"/>
      <c r="BP459" s="712"/>
      <c r="BQ459" s="712"/>
      <c r="BR459" s="712"/>
      <c r="BS459" s="712"/>
      <c r="BT459" s="712"/>
      <c r="BU459" s="712"/>
      <c r="BV459" s="712"/>
      <c r="BW459" s="712"/>
      <c r="BX459" s="712"/>
      <c r="BY459" s="712"/>
      <c r="BZ459" s="712"/>
      <c r="CA459" s="712"/>
      <c r="CB459" s="712"/>
      <c r="CC459" s="712"/>
      <c r="CD459" s="712"/>
      <c r="CE459" s="712"/>
      <c r="CF459" s="712"/>
      <c r="CG459" s="712"/>
      <c r="CH459" s="712"/>
      <c r="CI459" s="712"/>
      <c r="CJ459" s="712"/>
      <c r="CK459" s="712"/>
      <c r="CL459" s="712"/>
      <c r="CM459" s="712"/>
      <c r="CN459" s="712"/>
      <c r="CO459" s="712"/>
      <c r="CP459" s="712"/>
      <c r="CQ459" s="712"/>
    </row>
  </sheetData>
  <conditionalFormatting sqref="AH4:BK459">
    <cfRule type="cellIs" dxfId="9" priority="1" operator="lessThanOrEqual">
      <formula>0.32</formula>
    </cfRule>
    <cfRule type="cellIs" dxfId="8" priority="2" operator="between">
      <formula>0.32</formula>
      <formula>1</formula>
    </cfRule>
    <cfRule type="cellIs" dxfId="7" priority="3" operator="greaterThan">
      <formula>1</formula>
    </cfRule>
  </conditionalFormatting>
  <conditionalFormatting sqref="BN4:CQ459 BM403:BM459">
    <cfRule type="cellIs" dxfId="6" priority="4" stopIfTrue="1" operator="equal">
      <formula>0</formula>
    </cfRule>
    <cfRule type="cellIs" dxfId="5" priority="5" operator="lessThan">
      <formula>0</formula>
    </cfRule>
    <cfRule type="cellIs" dxfId="4" priority="6" operator="between">
      <formula>0</formula>
      <formula>0.2</formula>
    </cfRule>
    <cfRule type="cellIs" dxfId="3" priority="7" operator="greaterThan">
      <formula>0.1</formula>
    </cfRule>
  </conditionalFormatting>
  <dataValidations count="1">
    <dataValidation type="list" allowBlank="1" showErrorMessage="1" sqref="A4 A23 A42 A61 A80 A99 A118 A137 A156 A175 A194 A213 A232 A251 A270 A289 A308 A327 A346 A365" xr:uid="{00000000-0002-0000-1300-000000000000}">
      <formula1>Operacional</formula1>
    </dataValidation>
  </dataValidations>
  <pageMargins left="0.511811024" right="0.511811024" top="0.78740157499999996" bottom="0.78740157499999996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ilha21">
    <tabColor rgb="FF833C0B"/>
  </sheetPr>
  <dimension ref="A1:AI55"/>
  <sheetViews>
    <sheetView zoomScale="40" zoomScaleNormal="40" workbookViewId="0">
      <pane xSplit="1" ySplit="2" topLeftCell="E3" activePane="bottomRight" state="frozen"/>
      <selection pane="bottomRight"/>
      <selection pane="bottomLeft" activeCell="A3" sqref="A3"/>
      <selection pane="topRight" activeCell="B1" sqref="B1"/>
    </sheetView>
  </sheetViews>
  <sheetFormatPr defaultColWidth="11.44140625" defaultRowHeight="15" customHeight="1"/>
  <cols>
    <col min="1" max="1" width="44.44140625" customWidth="1"/>
    <col min="2" max="2" width="13.5546875" customWidth="1"/>
    <col min="3" max="4" width="11.44140625" customWidth="1"/>
    <col min="5" max="12" width="11" customWidth="1"/>
    <col min="13" max="13" width="11.44140625" customWidth="1"/>
    <col min="14" max="28" width="11" customWidth="1"/>
    <col min="29" max="32" width="12" customWidth="1"/>
    <col min="33" max="33" width="10.5546875" customWidth="1"/>
    <col min="34" max="34" width="12.5546875" customWidth="1"/>
    <col min="35" max="35" width="10.5546875" customWidth="1"/>
  </cols>
  <sheetData>
    <row r="1" spans="1:35" ht="15.75" customHeight="1">
      <c r="A1" s="721" t="s">
        <v>698</v>
      </c>
      <c r="B1" s="721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57"/>
      <c r="W1" s="722"/>
      <c r="X1" s="722"/>
      <c r="Y1" s="722"/>
      <c r="Z1" s="722"/>
      <c r="AA1" s="722"/>
      <c r="AB1" s="722"/>
      <c r="AC1" s="722"/>
      <c r="AD1" s="722"/>
      <c r="AE1" s="722"/>
      <c r="AF1" s="722" t="str">
        <f>"(R$ "&amp;Divisor&amp;")"</f>
        <v>(R$ 1000)</v>
      </c>
      <c r="AG1" s="292"/>
      <c r="AH1" s="57"/>
      <c r="AI1" s="57"/>
    </row>
    <row r="2" spans="1:35" ht="30" customHeight="1">
      <c r="A2" s="723" t="s">
        <v>588</v>
      </c>
      <c r="B2" s="723">
        <v>0</v>
      </c>
      <c r="C2" s="723">
        <v>1</v>
      </c>
      <c r="D2" s="723">
        <v>2</v>
      </c>
      <c r="E2" s="723">
        <v>3</v>
      </c>
      <c r="F2" s="723">
        <v>4</v>
      </c>
      <c r="G2" s="723">
        <v>5</v>
      </c>
      <c r="H2" s="723">
        <v>6</v>
      </c>
      <c r="I2" s="723">
        <v>7</v>
      </c>
      <c r="J2" s="723">
        <v>8</v>
      </c>
      <c r="K2" s="723">
        <v>9</v>
      </c>
      <c r="L2" s="723">
        <v>10</v>
      </c>
      <c r="M2" s="723">
        <v>11</v>
      </c>
      <c r="N2" s="723">
        <v>12</v>
      </c>
      <c r="O2" s="723">
        <v>13</v>
      </c>
      <c r="P2" s="723">
        <v>14</v>
      </c>
      <c r="Q2" s="723">
        <v>15</v>
      </c>
      <c r="R2" s="723">
        <v>16</v>
      </c>
      <c r="S2" s="723">
        <v>17</v>
      </c>
      <c r="T2" s="723">
        <v>18</v>
      </c>
      <c r="U2" s="723">
        <v>19</v>
      </c>
      <c r="V2" s="723">
        <v>20</v>
      </c>
      <c r="W2" s="723">
        <v>21</v>
      </c>
      <c r="X2" s="723">
        <v>22</v>
      </c>
      <c r="Y2" s="723">
        <v>23</v>
      </c>
      <c r="Z2" s="723">
        <v>24</v>
      </c>
      <c r="AA2" s="723">
        <v>25</v>
      </c>
      <c r="AB2" s="723">
        <v>26</v>
      </c>
      <c r="AC2" s="723">
        <v>27</v>
      </c>
      <c r="AD2" s="723">
        <v>28</v>
      </c>
      <c r="AE2" s="723">
        <v>29</v>
      </c>
      <c r="AF2" s="723">
        <v>30</v>
      </c>
      <c r="AG2" s="594"/>
      <c r="AH2" s="127"/>
      <c r="AI2" s="127"/>
    </row>
    <row r="3" spans="1:35" ht="22.5" customHeight="1">
      <c r="A3" s="724" t="s">
        <v>699</v>
      </c>
      <c r="B3" s="724"/>
      <c r="C3" s="725">
        <f>'A4 - Previsão de Receita Bruta'!C27/Divisor</f>
        <v>14119.245000000001</v>
      </c>
      <c r="D3" s="725">
        <f>'A4 - Previsão de Receita Bruta'!D27/Divisor</f>
        <v>42462.957999999999</v>
      </c>
      <c r="E3" s="725">
        <f>'A4 - Previsão de Receita Bruta'!E27/Divisor</f>
        <v>43927.732000000004</v>
      </c>
      <c r="F3" s="725">
        <f>'A4 - Previsão de Receita Bruta'!F27/Divisor</f>
        <v>45346.317999999999</v>
      </c>
      <c r="G3" s="725">
        <f>'A4 - Previsão de Receita Bruta'!G27/Divisor</f>
        <v>46787.45</v>
      </c>
      <c r="H3" s="725">
        <f>'A4 - Previsão de Receita Bruta'!H27/Divisor</f>
        <v>48253.817999999999</v>
      </c>
      <c r="I3" s="725">
        <f>'A4 - Previsão de Receita Bruta'!I27/Divisor</f>
        <v>49761.775999999998</v>
      </c>
      <c r="J3" s="725">
        <f>'A4 - Previsão de Receita Bruta'!J27/Divisor</f>
        <v>51313.517999999996</v>
      </c>
      <c r="K3" s="725">
        <f>'A4 - Previsão de Receita Bruta'!K27/Divisor</f>
        <v>52893.606</v>
      </c>
      <c r="L3" s="725">
        <f>'A4 - Previsão de Receita Bruta'!L27/Divisor</f>
        <v>54502.962</v>
      </c>
      <c r="M3" s="725">
        <f>'A4 - Previsão de Receita Bruta'!M27/Divisor</f>
        <v>56162.828000000001</v>
      </c>
      <c r="N3" s="725">
        <f>'A4 - Previsão de Receita Bruta'!N27/Divisor</f>
        <v>57872.508999999998</v>
      </c>
      <c r="O3" s="725">
        <f>'A4 - Previsão de Receita Bruta'!O27/Divisor</f>
        <v>59636.58</v>
      </c>
      <c r="P3" s="725">
        <f>'A4 - Previsão de Receita Bruta'!P27/Divisor</f>
        <v>61454.05</v>
      </c>
      <c r="Q3" s="725">
        <f>'A4 - Previsão de Receita Bruta'!Q27/Divisor</f>
        <v>63326.116000000002</v>
      </c>
      <c r="R3" s="725">
        <f>'A4 - Previsão de Receita Bruta'!R27/Divisor</f>
        <v>65249.451999999997</v>
      </c>
      <c r="S3" s="725">
        <f>'A4 - Previsão de Receita Bruta'!S27/Divisor</f>
        <v>67221.759000000005</v>
      </c>
      <c r="T3" s="725">
        <f>'A4 - Previsão de Receita Bruta'!T27/Divisor</f>
        <v>69236.293999999994</v>
      </c>
      <c r="U3" s="725">
        <f>'A4 - Previsão de Receita Bruta'!U27/Divisor</f>
        <v>71287.604000000007</v>
      </c>
      <c r="V3" s="725">
        <f>'A4 - Previsão de Receita Bruta'!V27/Divisor</f>
        <v>73366.111999999994</v>
      </c>
      <c r="W3" s="725">
        <f>'A4 - Previsão de Receita Bruta'!W27/Divisor</f>
        <v>73366.111999999994</v>
      </c>
      <c r="X3" s="725">
        <f>'A4 - Previsão de Receita Bruta'!X27/Divisor</f>
        <v>73366.111999999994</v>
      </c>
      <c r="Y3" s="725">
        <f>'A4 - Previsão de Receita Bruta'!Y27/Divisor</f>
        <v>73366.111999999994</v>
      </c>
      <c r="Z3" s="725">
        <f>'A4 - Previsão de Receita Bruta'!Z27/Divisor</f>
        <v>73366.111999999994</v>
      </c>
      <c r="AA3" s="725">
        <f>'A4 - Previsão de Receita Bruta'!AA27/Divisor</f>
        <v>73366.111999999994</v>
      </c>
      <c r="AB3" s="725">
        <f>'A4 - Previsão de Receita Bruta'!AB27/Divisor</f>
        <v>73366.111999999994</v>
      </c>
      <c r="AC3" s="725">
        <f>'A4 - Previsão de Receita Bruta'!AC27/Divisor</f>
        <v>73366.111999999994</v>
      </c>
      <c r="AD3" s="725">
        <f>'A4 - Previsão de Receita Bruta'!AD27/Divisor</f>
        <v>73366.111999999994</v>
      </c>
      <c r="AE3" s="725">
        <f>'A4 - Previsão de Receita Bruta'!AE27/Divisor</f>
        <v>73366.111999999994</v>
      </c>
      <c r="AF3" s="725">
        <f>'A4 - Previsão de Receita Bruta'!AF27/Divisor</f>
        <v>73366.111999999994</v>
      </c>
      <c r="AG3" s="594"/>
      <c r="AH3" s="265">
        <f t="array" ref="AH3">NPV(WACC,C3:AF3)+B3</f>
        <v>508238.83755139646</v>
      </c>
      <c r="AI3" s="127"/>
    </row>
    <row r="4" spans="1:35" ht="22.5" customHeight="1">
      <c r="A4" s="726" t="s">
        <v>700</v>
      </c>
      <c r="B4" s="726"/>
      <c r="C4" s="727">
        <f>'F1 - FCL'!B386/Divisor</f>
        <v>-2011.9924125000002</v>
      </c>
      <c r="D4" s="727">
        <f>'F1 - FCL'!C386/Divisor</f>
        <v>-7621.6022650000014</v>
      </c>
      <c r="E4" s="727">
        <f>'F1 - FCL'!D386/Divisor</f>
        <v>-7884.5230600000004</v>
      </c>
      <c r="F4" s="727">
        <f>'F1 - FCL'!E386/Divisor</f>
        <v>-8139.1363150000016</v>
      </c>
      <c r="G4" s="727">
        <f>'F1 - FCL'!F386/Divisor</f>
        <v>-8397.7943750000031</v>
      </c>
      <c r="H4" s="727">
        <f>'F1 - FCL'!G386/Divisor</f>
        <v>-8660.9845650000025</v>
      </c>
      <c r="I4" s="727">
        <f>'F1 - FCL'!H386/Divisor</f>
        <v>-8931.6645800000006</v>
      </c>
      <c r="J4" s="727">
        <f>'F1 - FCL'!I386/Divisor</f>
        <v>-9210.1795650000004</v>
      </c>
      <c r="K4" s="727">
        <f>'F1 - FCL'!J386/Divisor</f>
        <v>-9493.7933549999998</v>
      </c>
      <c r="L4" s="727">
        <f>'F1 - FCL'!K386/Divisor</f>
        <v>-9782.6308349999999</v>
      </c>
      <c r="M4" s="727">
        <f>'F1 - FCL'!L386/Divisor</f>
        <v>-10080.563990000001</v>
      </c>
      <c r="N4" s="727">
        <f>'F1 - FCL'!M386/Divisor</f>
        <v>-10387.438532500002</v>
      </c>
      <c r="O4" s="727">
        <f>'F1 - FCL'!N386/Divisor</f>
        <v>-10704.062400000004</v>
      </c>
      <c r="P4" s="727">
        <f>'F1 - FCL'!O386/Divisor</f>
        <v>-11030.281374999997</v>
      </c>
      <c r="Q4" s="727">
        <f>'F1 - FCL'!P386/Divisor</f>
        <v>-11366.295280000008</v>
      </c>
      <c r="R4" s="727">
        <f>'F1 - FCL'!Q386/Divisor</f>
        <v>-11711.506660000003</v>
      </c>
      <c r="S4" s="727">
        <f>'F1 - FCL'!R386/Divisor</f>
        <v>-12065.506657499996</v>
      </c>
      <c r="T4" s="727">
        <f>'F1 - FCL'!S386/Divisor</f>
        <v>-12427.103644999999</v>
      </c>
      <c r="U4" s="727">
        <f>'F1 - FCL'!T386/Divisor</f>
        <v>-12795.299570000003</v>
      </c>
      <c r="V4" s="727">
        <f>'F1 - FCL'!U386/Divisor</f>
        <v>-13168.365710000002</v>
      </c>
      <c r="W4" s="727">
        <f>'F1 - FCL'!V386/Divisor</f>
        <v>-13168.365710000002</v>
      </c>
      <c r="X4" s="727">
        <f>'F1 - FCL'!W386/Divisor</f>
        <v>-13168.365710000002</v>
      </c>
      <c r="Y4" s="727">
        <f>'F1 - FCL'!X386/Divisor</f>
        <v>-13168.365710000002</v>
      </c>
      <c r="Z4" s="727">
        <f>'F1 - FCL'!Y386/Divisor</f>
        <v>-13168.365710000002</v>
      </c>
      <c r="AA4" s="727">
        <f>'F1 - FCL'!Z386/Divisor</f>
        <v>-13168.365710000002</v>
      </c>
      <c r="AB4" s="727">
        <f>'F1 - FCL'!AA386/Divisor</f>
        <v>-13168.365710000002</v>
      </c>
      <c r="AC4" s="727">
        <f>'F1 - FCL'!AB386/Divisor</f>
        <v>-13168.365710000002</v>
      </c>
      <c r="AD4" s="727">
        <f>'F1 - FCL'!AC386/Divisor</f>
        <v>-13168.365710000002</v>
      </c>
      <c r="AE4" s="727">
        <f>'F1 - FCL'!AD386/Divisor</f>
        <v>-13168.365710000002</v>
      </c>
      <c r="AF4" s="727">
        <f>'F1 - FCL'!AE386/Divisor</f>
        <v>-13168.365710000002</v>
      </c>
      <c r="AG4" s="728"/>
      <c r="AH4" s="265">
        <f t="array" ref="AH4">NPV(WACC,C4:AF4)+B4</f>
        <v>-90745.503043805074</v>
      </c>
      <c r="AI4" s="266">
        <f t="shared" ref="AI4:AI27" si="0">AH4/$AH$3</f>
        <v>-0.17854893475083611</v>
      </c>
    </row>
    <row r="5" spans="1:35" ht="22.5" customHeight="1">
      <c r="A5" s="724" t="s">
        <v>701</v>
      </c>
      <c r="B5" s="724"/>
      <c r="C5" s="725">
        <f t="shared" ref="C5:AF5" si="1">SUM(C3:C4)</f>
        <v>12107.252587500001</v>
      </c>
      <c r="D5" s="725">
        <f t="shared" si="1"/>
        <v>34841.355734999997</v>
      </c>
      <c r="E5" s="725">
        <f t="shared" si="1"/>
        <v>36043.208940000004</v>
      </c>
      <c r="F5" s="725">
        <f t="shared" si="1"/>
        <v>37207.181684999996</v>
      </c>
      <c r="G5" s="725">
        <f t="shared" si="1"/>
        <v>38389.655624999992</v>
      </c>
      <c r="H5" s="725">
        <f t="shared" si="1"/>
        <v>39592.833434999993</v>
      </c>
      <c r="I5" s="725">
        <f t="shared" si="1"/>
        <v>40830.111420000001</v>
      </c>
      <c r="J5" s="725">
        <f t="shared" si="1"/>
        <v>42103.338434999998</v>
      </c>
      <c r="K5" s="725">
        <f t="shared" si="1"/>
        <v>43399.812644999998</v>
      </c>
      <c r="L5" s="725">
        <f t="shared" si="1"/>
        <v>44720.331164999996</v>
      </c>
      <c r="M5" s="725">
        <f t="shared" si="1"/>
        <v>46082.264009999999</v>
      </c>
      <c r="N5" s="725">
        <f t="shared" si="1"/>
        <v>47485.070467499994</v>
      </c>
      <c r="O5" s="725">
        <f t="shared" si="1"/>
        <v>48932.517599999999</v>
      </c>
      <c r="P5" s="725">
        <f t="shared" si="1"/>
        <v>50423.768625000004</v>
      </c>
      <c r="Q5" s="725">
        <f t="shared" si="1"/>
        <v>51959.820719999996</v>
      </c>
      <c r="R5" s="725">
        <f t="shared" si="1"/>
        <v>53537.945339999991</v>
      </c>
      <c r="S5" s="725">
        <f t="shared" si="1"/>
        <v>55156.252342500011</v>
      </c>
      <c r="T5" s="725">
        <f t="shared" si="1"/>
        <v>56809.190354999999</v>
      </c>
      <c r="U5" s="725">
        <f t="shared" si="1"/>
        <v>58492.304430000004</v>
      </c>
      <c r="V5" s="725">
        <f t="shared" si="1"/>
        <v>60197.746289999995</v>
      </c>
      <c r="W5" s="725">
        <f t="shared" si="1"/>
        <v>60197.746289999995</v>
      </c>
      <c r="X5" s="725">
        <f t="shared" si="1"/>
        <v>60197.746289999995</v>
      </c>
      <c r="Y5" s="725">
        <f t="shared" si="1"/>
        <v>60197.746289999995</v>
      </c>
      <c r="Z5" s="725">
        <f t="shared" si="1"/>
        <v>60197.746289999995</v>
      </c>
      <c r="AA5" s="725">
        <f t="shared" si="1"/>
        <v>60197.746289999995</v>
      </c>
      <c r="AB5" s="725">
        <f t="shared" si="1"/>
        <v>60197.746289999995</v>
      </c>
      <c r="AC5" s="725">
        <f t="shared" si="1"/>
        <v>60197.746289999995</v>
      </c>
      <c r="AD5" s="725">
        <f t="shared" si="1"/>
        <v>60197.746289999995</v>
      </c>
      <c r="AE5" s="725">
        <f t="shared" si="1"/>
        <v>60197.746289999995</v>
      </c>
      <c r="AF5" s="725">
        <f t="shared" si="1"/>
        <v>60197.746289999995</v>
      </c>
      <c r="AG5" s="594"/>
      <c r="AH5" s="265">
        <f t="array" ref="AH5">NPV(WACC,C5:AF5)+B5</f>
        <v>417493.33450759121</v>
      </c>
      <c r="AI5" s="266">
        <f t="shared" si="0"/>
        <v>0.82145106524916356</v>
      </c>
    </row>
    <row r="6" spans="1:35" ht="22.5" customHeight="1">
      <c r="A6" s="726" t="s">
        <v>702</v>
      </c>
      <c r="B6" s="726"/>
      <c r="C6" s="727">
        <f>'F1 - FCL'!B388/Divisor</f>
        <v>-1478.0372194645399</v>
      </c>
      <c r="D6" s="727">
        <f>'F1 - FCL'!C388/Divisor</f>
        <v>-5707.931390289199</v>
      </c>
      <c r="E6" s="727">
        <f>'F1 - FCL'!D388/Divisor</f>
        <v>-5707.931390289199</v>
      </c>
      <c r="F6" s="727">
        <f>'F1 - FCL'!E388/Divisor</f>
        <v>-5707.931390289199</v>
      </c>
      <c r="G6" s="727">
        <f>'F1 - FCL'!F388/Divisor</f>
        <v>-5707.931390289199</v>
      </c>
      <c r="H6" s="727">
        <f>'F1 - FCL'!G388/Divisor</f>
        <v>-5707.931390289199</v>
      </c>
      <c r="I6" s="727">
        <f>'F1 - FCL'!H388/Divisor</f>
        <v>-5707.931390289199</v>
      </c>
      <c r="J6" s="727">
        <f>'F1 - FCL'!I388/Divisor</f>
        <v>-5707.931390289199</v>
      </c>
      <c r="K6" s="727">
        <f>'F1 - FCL'!J388/Divisor</f>
        <v>-5707.931390289199</v>
      </c>
      <c r="L6" s="727">
        <f>'F1 - FCL'!K388/Divisor</f>
        <v>-5707.931390289199</v>
      </c>
      <c r="M6" s="727">
        <f>'F1 - FCL'!L388/Divisor</f>
        <v>-5707.931390289199</v>
      </c>
      <c r="N6" s="727">
        <f>'F1 - FCL'!M388/Divisor</f>
        <v>-5707.931390289199</v>
      </c>
      <c r="O6" s="727">
        <f>'F1 - FCL'!N388/Divisor</f>
        <v>-5707.931390289199</v>
      </c>
      <c r="P6" s="727">
        <f>'F1 - FCL'!O388/Divisor</f>
        <v>-5707.931390289199</v>
      </c>
      <c r="Q6" s="727">
        <f>'F1 - FCL'!P388/Divisor</f>
        <v>-5707.931390289199</v>
      </c>
      <c r="R6" s="727">
        <f>'F1 - FCL'!Q388/Divisor</f>
        <v>-5707.931390289199</v>
      </c>
      <c r="S6" s="727">
        <f>'F1 - FCL'!R388/Divisor</f>
        <v>-5707.931390289199</v>
      </c>
      <c r="T6" s="727">
        <f>'F1 - FCL'!S388/Divisor</f>
        <v>-5707.931390289199</v>
      </c>
      <c r="U6" s="727">
        <f>'F1 - FCL'!T388/Divisor</f>
        <v>-5707.931390289199</v>
      </c>
      <c r="V6" s="727">
        <f>'F1 - FCL'!U388/Divisor</f>
        <v>-5707.931390289199</v>
      </c>
      <c r="W6" s="727">
        <f>'F1 - FCL'!V388/Divisor</f>
        <v>-5707.931390289199</v>
      </c>
      <c r="X6" s="727">
        <f>'F1 - FCL'!W388/Divisor</f>
        <v>-5707.931390289199</v>
      </c>
      <c r="Y6" s="727">
        <f>'F1 - FCL'!X388/Divisor</f>
        <v>-5707.931390289199</v>
      </c>
      <c r="Z6" s="727">
        <f>'F1 - FCL'!Y388/Divisor</f>
        <v>-5707.931390289199</v>
      </c>
      <c r="AA6" s="727">
        <f>'F1 - FCL'!Z388/Divisor</f>
        <v>-5707.931390289199</v>
      </c>
      <c r="AB6" s="727">
        <f>'F1 - FCL'!AA388/Divisor</f>
        <v>-5707.931390289199</v>
      </c>
      <c r="AC6" s="727">
        <f>'F1 - FCL'!AB388/Divisor</f>
        <v>-5707.931390289199</v>
      </c>
      <c r="AD6" s="727">
        <f>'F1 - FCL'!AC388/Divisor</f>
        <v>-5707.931390289199</v>
      </c>
      <c r="AE6" s="727">
        <f>'F1 - FCL'!AD388/Divisor</f>
        <v>-5707.931390289199</v>
      </c>
      <c r="AF6" s="727">
        <f>'F1 - FCL'!AE388/Divisor</f>
        <v>-5707.931390289199</v>
      </c>
      <c r="AG6" s="594"/>
      <c r="AH6" s="265">
        <f t="array" ref="AH6">NPV(WACC,C6:AF6)+B6</f>
        <v>-52812.647003719954</v>
      </c>
      <c r="AI6" s="266">
        <f t="shared" si="0"/>
        <v>-0.10391304855441943</v>
      </c>
    </row>
    <row r="7" spans="1:35" ht="22.5" customHeight="1">
      <c r="A7" s="726" t="s">
        <v>703</v>
      </c>
      <c r="B7" s="726"/>
      <c r="C7" s="727">
        <f>('F1 - FCL'!B389+'F1 - FCL'!B390)/Divisor</f>
        <v>-1108.7355500000001</v>
      </c>
      <c r="D7" s="727">
        <f>('F1 - FCL'!C389+'F1 - FCL'!C390)/Divisor</f>
        <v>-5478.5668299999998</v>
      </c>
      <c r="E7" s="727">
        <f>('F1 - FCL'!D389+'F1 - FCL'!D390)/Divisor</f>
        <v>-5662.3444300000001</v>
      </c>
      <c r="F7" s="727">
        <f>('F1 - FCL'!E389+'F1 - FCL'!E390)/Divisor</f>
        <v>-5840.2904399999998</v>
      </c>
      <c r="G7" s="727">
        <f>('F1 - FCL'!F389+'F1 - FCL'!F390)/Divisor</f>
        <v>-6021.0458699999999</v>
      </c>
      <c r="H7" s="727">
        <f>('F1 - FCL'!G389+'F1 - FCL'!G390)/Divisor</f>
        <v>-6204.9868200000001</v>
      </c>
      <c r="I7" s="727">
        <f>('F1 - FCL'!H389+'F1 - FCL'!H390)/Divisor</f>
        <v>-6394.1997599999995</v>
      </c>
      <c r="J7" s="727">
        <f>('F1 - FCL'!I389+'F1 - FCL'!I390)/Divisor</f>
        <v>-6588.8471300000001</v>
      </c>
      <c r="K7" s="727">
        <f>('F1 - FCL'!J389+'F1 - FCL'!J390)/Divisor</f>
        <v>-6787.0780999999997</v>
      </c>
      <c r="L7" s="727">
        <f>('F1 - FCL'!K389+'F1 - FCL'!K390)/Divisor</f>
        <v>-6988.90823</v>
      </c>
      <c r="M7" s="727">
        <f>('F1 - FCL'!L389+'F1 - FCL'!L390)/Divisor</f>
        <v>-7197.1524200000003</v>
      </c>
      <c r="N7" s="727">
        <f>('F1 - FCL'!M389+'F1 - FCL'!M390)/Divisor</f>
        <v>-7411.6303900000003</v>
      </c>
      <c r="O7" s="727">
        <f>('F1 - FCL'!N389+'F1 - FCL'!N390)/Divisor</f>
        <v>-7632.910890000001</v>
      </c>
      <c r="P7" s="727">
        <f>('F1 - FCL'!O389+'F1 - FCL'!O390)/Divisor</f>
        <v>-7860.9225299999998</v>
      </c>
      <c r="Q7" s="727">
        <f>('F1 - FCL'!P389+'F1 - FCL'!P390)/Divisor</f>
        <v>-8095.7655300000006</v>
      </c>
      <c r="R7" s="727">
        <f>('F1 - FCL'!Q389+'F1 - FCL'!Q390)/Divisor</f>
        <v>-8337.0271699999994</v>
      </c>
      <c r="S7" s="727">
        <f>('F1 - FCL'!R389+'F1 - FCL'!R390)/Divisor</f>
        <v>-8584.4356500000013</v>
      </c>
      <c r="T7" s="727">
        <f>('F1 - FCL'!S389+'F1 - FCL'!S390)/Divisor</f>
        <v>-8837.1742300000005</v>
      </c>
      <c r="U7" s="727">
        <f>('F1 - FCL'!T389+'F1 - FCL'!T390)/Divisor</f>
        <v>-9094.5231800000001</v>
      </c>
      <c r="V7" s="727">
        <f>('F1 - FCL'!U389+'F1 - FCL'!U390)/Divisor</f>
        <v>-9355.2608099999998</v>
      </c>
      <c r="W7" s="727">
        <f>('F1 - FCL'!V389+'F1 - FCL'!V390)/Divisor</f>
        <v>-9355.2608099999998</v>
      </c>
      <c r="X7" s="727">
        <f>('F1 - FCL'!W389+'F1 - FCL'!W390)/Divisor</f>
        <v>-9355.2608099999998</v>
      </c>
      <c r="Y7" s="727">
        <f>('F1 - FCL'!X389+'F1 - FCL'!X390)/Divisor</f>
        <v>-9355.2608099999998</v>
      </c>
      <c r="Z7" s="727">
        <f>('F1 - FCL'!Y389+'F1 - FCL'!Y390)/Divisor</f>
        <v>-9355.2608099999998</v>
      </c>
      <c r="AA7" s="727">
        <f>('F1 - FCL'!Z389+'F1 - FCL'!Z390)/Divisor</f>
        <v>-9355.2608099999998</v>
      </c>
      <c r="AB7" s="727">
        <f>('F1 - FCL'!AA389+'F1 - FCL'!AA390)/Divisor</f>
        <v>-9355.2608099999998</v>
      </c>
      <c r="AC7" s="727">
        <f>('F1 - FCL'!AB389+'F1 - FCL'!AB390)/Divisor</f>
        <v>-9355.2608099999998</v>
      </c>
      <c r="AD7" s="727">
        <f>('F1 - FCL'!AC389+'F1 - FCL'!AC390)/Divisor</f>
        <v>-9355.2608099999998</v>
      </c>
      <c r="AE7" s="727">
        <f>('F1 - FCL'!AD389+'F1 - FCL'!AD390)/Divisor</f>
        <v>-9355.2608099999998</v>
      </c>
      <c r="AF7" s="727">
        <f>('F1 - FCL'!AE389+'F1 - FCL'!AE390)/Divisor</f>
        <v>-9355.2608099999998</v>
      </c>
      <c r="AG7" s="594"/>
      <c r="AH7" s="265">
        <f t="array" ref="AH7">NPV(WACC,C7:AF7)+B7</f>
        <v>-64519.181356630696</v>
      </c>
      <c r="AI7" s="266">
        <f t="shared" si="0"/>
        <v>-0.12694657824158526</v>
      </c>
    </row>
    <row r="8" spans="1:35" ht="22.5" customHeight="1">
      <c r="A8" s="726" t="s">
        <v>704</v>
      </c>
      <c r="B8" s="726"/>
      <c r="C8" s="729">
        <f>-'E1-Obrigações sobre faturamento'!D4/Divisor</f>
        <v>0</v>
      </c>
      <c r="D8" s="727">
        <f>-'E1-Obrigações sobre faturamento'!E4/Divisor</f>
        <v>0</v>
      </c>
      <c r="E8" s="727">
        <f>-'E1-Obrigações sobre faturamento'!F4/Divisor</f>
        <v>0</v>
      </c>
      <c r="F8" s="727">
        <f>-'E1-Obrigações sobre faturamento'!G4/Divisor</f>
        <v>0</v>
      </c>
      <c r="G8" s="727">
        <f>-'E1-Obrigações sobre faturamento'!H4/Divisor</f>
        <v>-2339.3724999999999</v>
      </c>
      <c r="H8" s="727">
        <f>-'E1-Obrigações sobre faturamento'!I4/Divisor</f>
        <v>-2412.6909000000001</v>
      </c>
      <c r="I8" s="727">
        <f>-'E1-Obrigações sobre faturamento'!J4/Divisor</f>
        <v>-2488.0888000000004</v>
      </c>
      <c r="J8" s="727">
        <f>-'E1-Obrigações sobre faturamento'!K4/Divisor</f>
        <v>-2565.6759000000002</v>
      </c>
      <c r="K8" s="727">
        <f>-'E1-Obrigações sobre faturamento'!L4/Divisor</f>
        <v>-2644.6803000000004</v>
      </c>
      <c r="L8" s="727">
        <f>-'E1-Obrigações sobre faturamento'!M4/Divisor</f>
        <v>-2725.1480999999999</v>
      </c>
      <c r="M8" s="727">
        <f>-'E1-Obrigações sobre faturamento'!N4/Divisor</f>
        <v>-2808.1414000000004</v>
      </c>
      <c r="N8" s="727">
        <f>-'E1-Obrigações sobre faturamento'!O4/Divisor</f>
        <v>-2893.62545</v>
      </c>
      <c r="O8" s="727">
        <f>-'E1-Obrigações sobre faturamento'!P4/Divisor</f>
        <v>-2981.8290000000002</v>
      </c>
      <c r="P8" s="727">
        <f>-'E1-Obrigações sobre faturamento'!Q4/Divisor</f>
        <v>-3072.7024999999999</v>
      </c>
      <c r="Q8" s="727">
        <f>-'E1-Obrigações sobre faturamento'!R4/Divisor</f>
        <v>-3166.3058000000001</v>
      </c>
      <c r="R8" s="727">
        <f>-'E1-Obrigações sobre faturamento'!S4/Divisor</f>
        <v>-3262.4726000000001</v>
      </c>
      <c r="S8" s="727">
        <f>-'E1-Obrigações sobre faturamento'!T4/Divisor</f>
        <v>-3361.0879500000001</v>
      </c>
      <c r="T8" s="727">
        <f>-'E1-Obrigações sobre faturamento'!U4/Divisor</f>
        <v>-3461.8147000000004</v>
      </c>
      <c r="U8" s="727">
        <f>-'E1-Obrigações sobre faturamento'!V4/Divisor</f>
        <v>-3564.3802000000001</v>
      </c>
      <c r="V8" s="727">
        <f>-'E1-Obrigações sobre faturamento'!W4/Divisor</f>
        <v>-3668.3056000000001</v>
      </c>
      <c r="W8" s="727">
        <f>-'E1-Obrigações sobre faturamento'!X4/Divisor</f>
        <v>-3668.3056000000001</v>
      </c>
      <c r="X8" s="727">
        <f>-'E1-Obrigações sobre faturamento'!Y4/Divisor</f>
        <v>-3668.3056000000001</v>
      </c>
      <c r="Y8" s="727">
        <f>-'E1-Obrigações sobre faturamento'!Z4/Divisor</f>
        <v>-3668.3056000000001</v>
      </c>
      <c r="Z8" s="727">
        <f>-'E1-Obrigações sobre faturamento'!AA4/Divisor</f>
        <v>-3668.3056000000001</v>
      </c>
      <c r="AA8" s="727">
        <f>-'E1-Obrigações sobre faturamento'!AB4/Divisor</f>
        <v>-3668.3056000000001</v>
      </c>
      <c r="AB8" s="727">
        <f>-'E1-Obrigações sobre faturamento'!AC4/Divisor</f>
        <v>-3668.3056000000001</v>
      </c>
      <c r="AC8" s="727">
        <f>-'E1-Obrigações sobre faturamento'!AD4/Divisor</f>
        <v>-3668.3056000000001</v>
      </c>
      <c r="AD8" s="727">
        <f>-'E1-Obrigações sobre faturamento'!AE4/Divisor</f>
        <v>-3668.3056000000001</v>
      </c>
      <c r="AE8" s="727">
        <f>-'E1-Obrigações sobre faturamento'!AF4/Divisor</f>
        <v>-3668.3056000000001</v>
      </c>
      <c r="AF8" s="727">
        <f>-'E1-Obrigações sobre faturamento'!AG4/Divisor</f>
        <v>-3668.3056000000001</v>
      </c>
      <c r="AG8" s="594"/>
      <c r="AH8" s="265">
        <f t="array" ref="AH8">NPV(WACC,C8:AF8)+B8</f>
        <v>-19730.670512378612</v>
      </c>
      <c r="AI8" s="266">
        <f t="shared" si="0"/>
        <v>-3.8821650481174252E-2</v>
      </c>
    </row>
    <row r="9" spans="1:35" ht="22.5" customHeight="1">
      <c r="A9" s="726" t="s">
        <v>705</v>
      </c>
      <c r="B9" s="726"/>
      <c r="C9" s="727">
        <f>-'E1-Obrigações sobre faturamento'!D5/Divisor</f>
        <v>-705.96225000000004</v>
      </c>
      <c r="D9" s="727">
        <f>-'E1-Obrigações sobre faturamento'!E5/Divisor</f>
        <v>-2123.1478999999999</v>
      </c>
      <c r="E9" s="727">
        <f>-'E1-Obrigações sobre faturamento'!F5/Divisor</f>
        <v>-2196.3866000000003</v>
      </c>
      <c r="F9" s="727">
        <f>-'E1-Obrigações sobre faturamento'!G5/Divisor</f>
        <v>-2267.3159000000001</v>
      </c>
      <c r="G9" s="727">
        <f>-'E1-Obrigações sobre faturamento'!H5/Divisor</f>
        <v>-2339.3724999999999</v>
      </c>
      <c r="H9" s="727">
        <f>-'E1-Obrigações sobre faturamento'!I5/Divisor</f>
        <v>-2412.6909000000001</v>
      </c>
      <c r="I9" s="727">
        <f>-'E1-Obrigações sobre faturamento'!J5/Divisor</f>
        <v>-2488.0888000000004</v>
      </c>
      <c r="J9" s="727">
        <f>-'E1-Obrigações sobre faturamento'!K5/Divisor</f>
        <v>-2565.6759000000002</v>
      </c>
      <c r="K9" s="727">
        <f>-'E1-Obrigações sobre faturamento'!L5/Divisor</f>
        <v>-2644.6803000000004</v>
      </c>
      <c r="L9" s="727">
        <f>-'E1-Obrigações sobre faturamento'!M5/Divisor</f>
        <v>-2725.1480999999999</v>
      </c>
      <c r="M9" s="727">
        <f>-'E1-Obrigações sobre faturamento'!N5/Divisor</f>
        <v>-2808.1414000000004</v>
      </c>
      <c r="N9" s="727">
        <f>-'E1-Obrigações sobre faturamento'!O5/Divisor</f>
        <v>-2893.62545</v>
      </c>
      <c r="O9" s="727">
        <f>-'E1-Obrigações sobre faturamento'!P5/Divisor</f>
        <v>-2981.8290000000002</v>
      </c>
      <c r="P9" s="727">
        <f>-'E1-Obrigações sobre faturamento'!Q5/Divisor</f>
        <v>-3072.7024999999999</v>
      </c>
      <c r="Q9" s="727">
        <f>-'E1-Obrigações sobre faturamento'!R5/Divisor</f>
        <v>-3166.3058000000001</v>
      </c>
      <c r="R9" s="727">
        <f>-'E1-Obrigações sobre faturamento'!S5/Divisor</f>
        <v>-3262.4726000000001</v>
      </c>
      <c r="S9" s="727">
        <f>-'E1-Obrigações sobre faturamento'!T5/Divisor</f>
        <v>-3361.0879500000001</v>
      </c>
      <c r="T9" s="727">
        <f>-'E1-Obrigações sobre faturamento'!U5/Divisor</f>
        <v>-3461.8147000000004</v>
      </c>
      <c r="U9" s="727">
        <f>-'E1-Obrigações sobre faturamento'!V5/Divisor</f>
        <v>-3564.3802000000001</v>
      </c>
      <c r="V9" s="727">
        <f>-'E1-Obrigações sobre faturamento'!W5/Divisor</f>
        <v>-3668.3056000000001</v>
      </c>
      <c r="W9" s="727">
        <f>-'E1-Obrigações sobre faturamento'!X5/Divisor</f>
        <v>-3668.3056000000001</v>
      </c>
      <c r="X9" s="727">
        <f>-'E1-Obrigações sobre faturamento'!Y5/Divisor</f>
        <v>-3668.3056000000001</v>
      </c>
      <c r="Y9" s="727">
        <f>-'E1-Obrigações sobre faturamento'!Z5/Divisor</f>
        <v>-3668.3056000000001</v>
      </c>
      <c r="Z9" s="727">
        <f>-'E1-Obrigações sobre faturamento'!AA5/Divisor</f>
        <v>-3668.3056000000001</v>
      </c>
      <c r="AA9" s="727">
        <f>-'E1-Obrigações sobre faturamento'!AB5/Divisor</f>
        <v>-3668.3056000000001</v>
      </c>
      <c r="AB9" s="727">
        <f>-'E1-Obrigações sobre faturamento'!AC5/Divisor</f>
        <v>-3668.3056000000001</v>
      </c>
      <c r="AC9" s="727">
        <f>-'E1-Obrigações sobre faturamento'!AD5/Divisor</f>
        <v>-3668.3056000000001</v>
      </c>
      <c r="AD9" s="727">
        <f>-'E1-Obrigações sobre faturamento'!AE5/Divisor</f>
        <v>-3668.3056000000001</v>
      </c>
      <c r="AE9" s="727">
        <f>-'E1-Obrigações sobre faturamento'!AF5/Divisor</f>
        <v>-3668.3056000000001</v>
      </c>
      <c r="AF9" s="727">
        <f>-'E1-Obrigações sobre faturamento'!AG5/Divisor</f>
        <v>-3668.3056000000001</v>
      </c>
      <c r="AG9" s="594"/>
      <c r="AH9" s="265">
        <f t="array" ref="AH9">NPV(WACC,C9:AF9)+B9</f>
        <v>-25411.941877569818</v>
      </c>
      <c r="AI9" s="266">
        <f t="shared" si="0"/>
        <v>-4.9999999999999989E-2</v>
      </c>
    </row>
    <row r="10" spans="1:35" ht="22.5" customHeight="1">
      <c r="A10" s="461" t="s">
        <v>706</v>
      </c>
      <c r="B10" s="461"/>
      <c r="C10" s="730">
        <f t="shared" ref="C10:AF10" si="2">SUM(C6:C9)</f>
        <v>-3292.7350194645401</v>
      </c>
      <c r="D10" s="730">
        <f t="shared" si="2"/>
        <v>-13309.646120289199</v>
      </c>
      <c r="E10" s="730">
        <f t="shared" si="2"/>
        <v>-13566.6624202892</v>
      </c>
      <c r="F10" s="730">
        <f t="shared" si="2"/>
        <v>-13815.537730289199</v>
      </c>
      <c r="G10" s="730">
        <f t="shared" si="2"/>
        <v>-16407.7222602892</v>
      </c>
      <c r="H10" s="730">
        <f t="shared" si="2"/>
        <v>-16738.3000102892</v>
      </c>
      <c r="I10" s="730">
        <f t="shared" si="2"/>
        <v>-17078.308750289201</v>
      </c>
      <c r="J10" s="730">
        <f t="shared" si="2"/>
        <v>-17428.130320289201</v>
      </c>
      <c r="K10" s="730">
        <f t="shared" si="2"/>
        <v>-17784.370090289198</v>
      </c>
      <c r="L10" s="730">
        <f t="shared" si="2"/>
        <v>-18147.135820289201</v>
      </c>
      <c r="M10" s="730">
        <f t="shared" si="2"/>
        <v>-18521.366610289202</v>
      </c>
      <c r="N10" s="730">
        <f t="shared" si="2"/>
        <v>-18906.8126802892</v>
      </c>
      <c r="O10" s="730">
        <f t="shared" si="2"/>
        <v>-19304.500280289201</v>
      </c>
      <c r="P10" s="730">
        <f t="shared" si="2"/>
        <v>-19714.258920289198</v>
      </c>
      <c r="Q10" s="730">
        <f t="shared" si="2"/>
        <v>-20136.308520289203</v>
      </c>
      <c r="R10" s="730">
        <f t="shared" si="2"/>
        <v>-20569.903760289199</v>
      </c>
      <c r="S10" s="730">
        <f t="shared" si="2"/>
        <v>-21014.5429402892</v>
      </c>
      <c r="T10" s="730">
        <f t="shared" si="2"/>
        <v>-21468.735020289198</v>
      </c>
      <c r="U10" s="730">
        <f t="shared" si="2"/>
        <v>-21931.214970289198</v>
      </c>
      <c r="V10" s="730">
        <f t="shared" si="2"/>
        <v>-22399.803400289198</v>
      </c>
      <c r="W10" s="730">
        <f t="shared" si="2"/>
        <v>-22399.803400289198</v>
      </c>
      <c r="X10" s="730">
        <f t="shared" si="2"/>
        <v>-22399.803400289198</v>
      </c>
      <c r="Y10" s="730">
        <f t="shared" si="2"/>
        <v>-22399.803400289198</v>
      </c>
      <c r="Z10" s="730">
        <f t="shared" si="2"/>
        <v>-22399.803400289198</v>
      </c>
      <c r="AA10" s="730">
        <f t="shared" si="2"/>
        <v>-22399.803400289198</v>
      </c>
      <c r="AB10" s="730">
        <f t="shared" si="2"/>
        <v>-22399.803400289198</v>
      </c>
      <c r="AC10" s="730">
        <f t="shared" si="2"/>
        <v>-22399.803400289198</v>
      </c>
      <c r="AD10" s="730">
        <f t="shared" si="2"/>
        <v>-22399.803400289198</v>
      </c>
      <c r="AE10" s="730">
        <f t="shared" si="2"/>
        <v>-22399.803400289198</v>
      </c>
      <c r="AF10" s="730">
        <f t="shared" si="2"/>
        <v>-22399.803400289198</v>
      </c>
      <c r="AG10" s="719"/>
      <c r="AH10" s="265">
        <f t="array" ref="AH10">NPV(WACC,C10:AF10)+B10</f>
        <v>-162474.44075029911</v>
      </c>
      <c r="AI10" s="266">
        <f t="shared" si="0"/>
        <v>-0.31968127727717899</v>
      </c>
    </row>
    <row r="11" spans="1:35" ht="22.5" customHeight="1">
      <c r="A11" s="726" t="s">
        <v>707</v>
      </c>
      <c r="B11" s="726"/>
      <c r="C11" s="727">
        <f>-('C3 - Funcionários $'!G124+'C3 - Funcionários $'!G125/Divisor)</f>
        <v>-4549.09028756096</v>
      </c>
      <c r="D11" s="727">
        <f>-('C3 - Funcionários $'!H124+'C3 - Funcionários $'!H125/Divisor)</f>
        <v>-4549.09028756096</v>
      </c>
      <c r="E11" s="727">
        <f>-('C3 - Funcionários $'!I124+'C3 - Funcionários $'!I125/Divisor)</f>
        <v>-4549.09028756096</v>
      </c>
      <c r="F11" s="727">
        <f>-('C3 - Funcionários $'!J124+'C3 - Funcionários $'!J125/Divisor)</f>
        <v>-4549.09028756096</v>
      </c>
      <c r="G11" s="727">
        <f>-('C3 - Funcionários $'!K124+'C3 - Funcionários $'!K125/Divisor)</f>
        <v>-4549.09028756096</v>
      </c>
      <c r="H11" s="727">
        <f>-('C3 - Funcionários $'!L124+'C3 - Funcionários $'!L125/Divisor)</f>
        <v>-4549.09028756096</v>
      </c>
      <c r="I11" s="727">
        <f>-('C3 - Funcionários $'!M124+'C3 - Funcionários $'!M125/Divisor)</f>
        <v>-4549.09028756096</v>
      </c>
      <c r="J11" s="727">
        <f>-('C3 - Funcionários $'!N124+'C3 - Funcionários $'!N125/Divisor)</f>
        <v>-4549.09028756096</v>
      </c>
      <c r="K11" s="727">
        <f>-('C3 - Funcionários $'!O124+'C3 - Funcionários $'!O125/Divisor)</f>
        <v>-4549.09028756096</v>
      </c>
      <c r="L11" s="727">
        <f>-('C3 - Funcionários $'!P124+'C3 - Funcionários $'!P125/Divisor)</f>
        <v>-4549.09028756096</v>
      </c>
      <c r="M11" s="727">
        <f>-('C3 - Funcionários $'!Q124+'C3 - Funcionários $'!Q125/Divisor)</f>
        <v>-4549.09028756096</v>
      </c>
      <c r="N11" s="727">
        <f>-('C3 - Funcionários $'!R124+'C3 - Funcionários $'!R125/Divisor)</f>
        <v>-4549.09028756096</v>
      </c>
      <c r="O11" s="727">
        <f>-('C3 - Funcionários $'!S124+'C3 - Funcionários $'!S125/Divisor)</f>
        <v>-4549.09028756096</v>
      </c>
      <c r="P11" s="727">
        <f>-('C3 - Funcionários $'!T124+'C3 - Funcionários $'!T125/Divisor)</f>
        <v>-4549.09028756096</v>
      </c>
      <c r="Q11" s="727">
        <f>-('C3 - Funcionários $'!U124+'C3 - Funcionários $'!U125/Divisor)</f>
        <v>-4549.09028756096</v>
      </c>
      <c r="R11" s="727">
        <f>-('C3 - Funcionários $'!V124+'C3 - Funcionários $'!V125/Divisor)</f>
        <v>-4549.09028756096</v>
      </c>
      <c r="S11" s="727">
        <f>-('C3 - Funcionários $'!W124+'C3 - Funcionários $'!W125/Divisor)</f>
        <v>-4549.09028756096</v>
      </c>
      <c r="T11" s="727">
        <f>-('C3 - Funcionários $'!X124+'C3 - Funcionários $'!X125/Divisor)</f>
        <v>-4549.09028756096</v>
      </c>
      <c r="U11" s="727">
        <f>-('C3 - Funcionários $'!Y124+'C3 - Funcionários $'!Y125/Divisor)</f>
        <v>-4549.09028756096</v>
      </c>
      <c r="V11" s="727">
        <f>-('C3 - Funcionários $'!Z124+'C3 - Funcionários $'!Z125/Divisor)</f>
        <v>-4549.09028756096</v>
      </c>
      <c r="W11" s="727">
        <f>-('C3 - Funcionários $'!AA124+'C3 - Funcionários $'!AA125/Divisor)</f>
        <v>-4549.09028756096</v>
      </c>
      <c r="X11" s="727">
        <f>-('C3 - Funcionários $'!AB124+'C3 - Funcionários $'!AB125/Divisor)</f>
        <v>-4549.09028756096</v>
      </c>
      <c r="Y11" s="727">
        <f>-('C3 - Funcionários $'!AC124+'C3 - Funcionários $'!AC125/Divisor)</f>
        <v>-4549.09028756096</v>
      </c>
      <c r="Z11" s="727">
        <f>-('C3 - Funcionários $'!AD124+'C3 - Funcionários $'!AD125/Divisor)</f>
        <v>-4549.09028756096</v>
      </c>
      <c r="AA11" s="727">
        <f>-('C3 - Funcionários $'!AE124+'C3 - Funcionários $'!AE125/Divisor)</f>
        <v>-4549.09028756096</v>
      </c>
      <c r="AB11" s="727">
        <f>-('C3 - Funcionários $'!AF124+'C3 - Funcionários $'!AF125/Divisor)</f>
        <v>-4549.09028756096</v>
      </c>
      <c r="AC11" s="727">
        <f>-('C3 - Funcionários $'!AG124+'C3 - Funcionários $'!AG125/Divisor)</f>
        <v>-4549.09028756096</v>
      </c>
      <c r="AD11" s="727">
        <f>-('C3 - Funcionários $'!AH124+'C3 - Funcionários $'!AH125/Divisor)</f>
        <v>-4549.09028756096</v>
      </c>
      <c r="AE11" s="727">
        <f>-('C3 - Funcionários $'!AI124+'C3 - Funcionários $'!AI125/Divisor)</f>
        <v>-4549.09028756096</v>
      </c>
      <c r="AF11" s="727">
        <f>-('C3 - Funcionários $'!AJ124+'C3 - Funcionários $'!AJ125/Divisor)</f>
        <v>-4549.09028756096</v>
      </c>
      <c r="AG11" s="594"/>
      <c r="AH11" s="265">
        <f t="array" ref="AH11">NPV(WACC,C11:AF11)+B11</f>
        <v>-45172.266719183266</v>
      </c>
      <c r="AI11" s="266">
        <f t="shared" si="0"/>
        <v>-8.8879997712916117E-2</v>
      </c>
    </row>
    <row r="12" spans="1:35" ht="22.5" customHeight="1">
      <c r="A12" s="726" t="s">
        <v>708</v>
      </c>
      <c r="B12" s="726"/>
      <c r="C12" s="727">
        <f>-SUMIF('B3 - Custos despesas indiretos'!$B$5:$B$149,"Despesas",'B3 - Custos despesas indiretos'!AK$5:AK$149)/Divisor</f>
        <v>-7434.8392701163993</v>
      </c>
      <c r="D12" s="727">
        <f>-SUMIF('B3 - Custos despesas indiretos'!$B$5:$B$149,"Despesas",'B3 - Custos despesas indiretos'!AL$5:AL$149)/Divisor</f>
        <v>-7670.2682616367993</v>
      </c>
      <c r="E12" s="727">
        <f>-SUMIF('B3 - Custos despesas indiretos'!$B$5:$B$149,"Despesas",'B3 - Custos despesas indiretos'!AM$5:AM$149)/Divisor</f>
        <v>-7776.2863423752005</v>
      </c>
      <c r="F12" s="727">
        <f>-SUMIF('B3 - Custos despesas indiretos'!$B$5:$B$149,"Despesas",'B3 - Custos despesas indiretos'!AN$5:AN$149)/Divisor</f>
        <v>-7879.3632831136001</v>
      </c>
      <c r="G12" s="727">
        <f>-SUMIF('B3 - Custos despesas indiretos'!$B$5:$B$149,"Despesas",'B3 - Custos despesas indiretos'!AO$5:AO$149)/Divisor</f>
        <v>-7983.4301038519989</v>
      </c>
      <c r="H12" s="727">
        <f>-SUMIF('B3 - Custos despesas indiretos'!$B$5:$B$149,"Despesas",'B3 - Custos despesas indiretos'!AP$5:AP$149)/Divisor</f>
        <v>-8146.9944449904006</v>
      </c>
      <c r="I12" s="727">
        <f>-SUMIF('B3 - Custos despesas indiretos'!$B$5:$B$149,"Despesas",'B3 - Custos despesas indiretos'!AQ$5:AQ$149)/Divisor</f>
        <v>-8257.4482457287995</v>
      </c>
      <c r="J12" s="727">
        <f>-SUMIF('B3 - Custos despesas indiretos'!$B$5:$B$149,"Despesas",'B3 - Custos despesas indiretos'!AR$5:AR$149)/Divisor</f>
        <v>-8370.6456664672005</v>
      </c>
      <c r="K12" s="727">
        <f>-SUMIF('B3 - Custos despesas indiretos'!$B$5:$B$149,"Despesas",'B3 - Custos despesas indiretos'!AS$5:AS$149)/Divisor</f>
        <v>-8486.1827672056024</v>
      </c>
      <c r="L12" s="727">
        <f>-SUMIF('B3 - Custos despesas indiretos'!$B$5:$B$149,"Despesas",'B3 - Custos despesas indiretos'!AT$5:AT$149)/Divisor</f>
        <v>-8605.007707943998</v>
      </c>
      <c r="M12" s="727">
        <f>-SUMIF('B3 - Custos despesas indiretos'!$B$5:$B$149,"Despesas",'B3 - Custos despesas indiretos'!AU$5:AU$149)/Divisor</f>
        <v>-8815.7706008983987</v>
      </c>
      <c r="N12" s="727">
        <f>-SUMIF('B3 - Custos despesas indiretos'!$B$5:$B$149,"Despesas",'B3 - Custos despesas indiretos'!AV$5:AV$149)/Divisor</f>
        <v>-8942.0051416367987</v>
      </c>
      <c r="O12" s="727">
        <f>-SUMIF('B3 - Custos despesas indiretos'!$B$5:$B$149,"Despesas",'B3 - Custos despesas indiretos'!AW$5:AW$149)/Divisor</f>
        <v>-9073.6011823752015</v>
      </c>
      <c r="P12" s="727">
        <f>-SUMIF('B3 - Custos despesas indiretos'!$B$5:$B$149,"Despesas",'B3 - Custos despesas indiretos'!AX$5:AX$149)/Divisor</f>
        <v>-9208.733743113602</v>
      </c>
      <c r="Q12" s="727">
        <f>-SUMIF('B3 - Custos despesas indiretos'!$B$5:$B$149,"Despesas",'B3 - Custos despesas indiretos'!AY$5:AY$149)/Divisor</f>
        <v>-9348.3731838520034</v>
      </c>
      <c r="R12" s="727">
        <f>-SUMIF('B3 - Custos despesas indiretos'!$B$5:$B$149,"Despesas",'B3 - Custos despesas indiretos'!AZ$5:AZ$149)/Divisor</f>
        <v>-9550.5304649903992</v>
      </c>
      <c r="S12" s="727">
        <f>-SUMIF('B3 - Custos despesas indiretos'!$B$5:$B$149,"Despesas",'B3 - Custos despesas indiretos'!BA$5:BA$149)/Divisor</f>
        <v>-9698.4447857287978</v>
      </c>
      <c r="T12" s="727">
        <f>-SUMIF('B3 - Custos despesas indiretos'!$B$5:$B$149,"Despesas",'B3 - Custos despesas indiretos'!BB$5:BB$149)/Divisor</f>
        <v>-9849.8443464671982</v>
      </c>
      <c r="U12" s="727">
        <f>-SUMIF('B3 - Custos despesas indiretos'!$B$5:$B$149,"Despesas",'B3 - Custos despesas indiretos'!BC$5:BC$149)/Divisor</f>
        <v>-10005.151007205603</v>
      </c>
      <c r="V12" s="727">
        <f>-SUMIF('B3 - Custos despesas indiretos'!$B$5:$B$149,"Despesas",'B3 - Custos despesas indiretos'!BD$5:BD$149)/Divisor</f>
        <v>-10161.831907943997</v>
      </c>
      <c r="W12" s="727">
        <f>-SUMIF('B3 - Custos despesas indiretos'!$B$5:$B$149,"Despesas",'B3 - Custos despesas indiretos'!BE$5:BE$149)/Divisor</f>
        <v>-10235.576220898398</v>
      </c>
      <c r="X12" s="727">
        <f>-SUMIF('B3 - Custos despesas indiretos'!$B$5:$B$149,"Despesas",'B3 - Custos despesas indiretos'!BF$5:BF$149)/Divisor</f>
        <v>-10221.551581636797</v>
      </c>
      <c r="Y12" s="727">
        <f>-SUMIF('B3 - Custos despesas indiretos'!$B$5:$B$149,"Despesas",'B3 - Custos despesas indiretos'!BG$5:BG$149)/Divisor</f>
        <v>-10206.655742375198</v>
      </c>
      <c r="Z12" s="727">
        <f>-SUMIF('B3 - Custos despesas indiretos'!$B$5:$B$149,"Despesas",'B3 - Custos despesas indiretos'!BH$5:BH$149)/Divisor</f>
        <v>-10191.759903113598</v>
      </c>
      <c r="AA12" s="727">
        <f>-SUMIF('B3 - Custos despesas indiretos'!$B$5:$B$149,"Despesas",'B3 - Custos despesas indiretos'!BI$5:BI$149)/Divisor</f>
        <v>-10177.735263851999</v>
      </c>
      <c r="AB12" s="727">
        <f>-SUMIF('B3 - Custos despesas indiretos'!$B$5:$B$149,"Despesas",'B3 - Custos despesas indiretos'!BJ$5:BJ$149)/Divisor</f>
        <v>-10220.2536649904</v>
      </c>
      <c r="AC12" s="727">
        <f>-SUMIF('B3 - Custos despesas indiretos'!$B$5:$B$149,"Despesas",'B3 - Custos despesas indiretos'!BK$5:BK$149)/Divisor</f>
        <v>-10205.357825728799</v>
      </c>
      <c r="AD12" s="727">
        <f>-SUMIF('B3 - Custos despesas indiretos'!$B$5:$B$149,"Despesas",'B3 - Custos despesas indiretos'!BL$5:BL$149)/Divisor</f>
        <v>-10191.333186467196</v>
      </c>
      <c r="AE12" s="727">
        <f>-SUMIF('B3 - Custos despesas indiretos'!$B$5:$B$149,"Despesas",'B3 - Custos despesas indiretos'!BM$5:BM$149)/Divisor</f>
        <v>-10176.437347205598</v>
      </c>
      <c r="AF12" s="727">
        <f>-SUMIF('B3 - Custos despesas indiretos'!$B$5:$B$149,"Despesas",'B3 - Custos despesas indiretos'!BN$5:BN$149)/Divisor</f>
        <v>-10161.541507943999</v>
      </c>
      <c r="AG12" s="594"/>
      <c r="AH12" s="265">
        <f t="array" ref="AH12">NPV(WACC,C12:AF12)+B12</f>
        <v>-85043.45586923114</v>
      </c>
      <c r="AI12" s="266">
        <f t="shared" si="0"/>
        <v>-0.1673297071883669</v>
      </c>
    </row>
    <row r="13" spans="1:35" ht="22.5" customHeight="1">
      <c r="A13" s="461" t="s">
        <v>709</v>
      </c>
      <c r="B13" s="461"/>
      <c r="C13" s="730">
        <f t="shared" ref="C13:AF13" si="3">SUM(C11:C12)</f>
        <v>-11983.929557677358</v>
      </c>
      <c r="D13" s="730">
        <f t="shared" si="3"/>
        <v>-12219.358549197759</v>
      </c>
      <c r="E13" s="730">
        <f t="shared" si="3"/>
        <v>-12325.37662993616</v>
      </c>
      <c r="F13" s="730">
        <f t="shared" si="3"/>
        <v>-12428.453570674559</v>
      </c>
      <c r="G13" s="730">
        <f t="shared" si="3"/>
        <v>-12532.52039141296</v>
      </c>
      <c r="H13" s="730">
        <f t="shared" si="3"/>
        <v>-12696.084732551361</v>
      </c>
      <c r="I13" s="730">
        <f t="shared" si="3"/>
        <v>-12806.53853328976</v>
      </c>
      <c r="J13" s="730">
        <f t="shared" si="3"/>
        <v>-12919.735954028161</v>
      </c>
      <c r="K13" s="730">
        <f t="shared" si="3"/>
        <v>-13035.273054766563</v>
      </c>
      <c r="L13" s="730">
        <f t="shared" si="3"/>
        <v>-13154.097995504959</v>
      </c>
      <c r="M13" s="730">
        <f t="shared" si="3"/>
        <v>-13364.86088845936</v>
      </c>
      <c r="N13" s="730">
        <f t="shared" si="3"/>
        <v>-13491.095429197758</v>
      </c>
      <c r="O13" s="730">
        <f t="shared" si="3"/>
        <v>-13622.691469936162</v>
      </c>
      <c r="P13" s="730">
        <f t="shared" si="3"/>
        <v>-13757.824030674561</v>
      </c>
      <c r="Q13" s="730">
        <f t="shared" si="3"/>
        <v>-13897.463471412964</v>
      </c>
      <c r="R13" s="730">
        <f t="shared" si="3"/>
        <v>-14099.62075255136</v>
      </c>
      <c r="S13" s="730">
        <f t="shared" si="3"/>
        <v>-14247.535073289757</v>
      </c>
      <c r="T13" s="730">
        <f t="shared" si="3"/>
        <v>-14398.934634028159</v>
      </c>
      <c r="U13" s="730">
        <f t="shared" si="3"/>
        <v>-14554.241294766562</v>
      </c>
      <c r="V13" s="730">
        <f t="shared" si="3"/>
        <v>-14710.922195504958</v>
      </c>
      <c r="W13" s="730">
        <f t="shared" si="3"/>
        <v>-14784.666508459359</v>
      </c>
      <c r="X13" s="730">
        <f t="shared" si="3"/>
        <v>-14770.641869197756</v>
      </c>
      <c r="Y13" s="730">
        <f t="shared" si="3"/>
        <v>-14755.746029936159</v>
      </c>
      <c r="Z13" s="730">
        <f t="shared" si="3"/>
        <v>-14740.850190674559</v>
      </c>
      <c r="AA13" s="730">
        <f t="shared" si="3"/>
        <v>-14726.82555141296</v>
      </c>
      <c r="AB13" s="730">
        <f t="shared" si="3"/>
        <v>-14769.34395255136</v>
      </c>
      <c r="AC13" s="730">
        <f t="shared" si="3"/>
        <v>-14754.44811328976</v>
      </c>
      <c r="AD13" s="730">
        <f t="shared" si="3"/>
        <v>-14740.423474028157</v>
      </c>
      <c r="AE13" s="730">
        <f t="shared" si="3"/>
        <v>-14725.527634766557</v>
      </c>
      <c r="AF13" s="730">
        <f t="shared" si="3"/>
        <v>-14710.63179550496</v>
      </c>
      <c r="AG13" s="719"/>
      <c r="AH13" s="265">
        <f t="array" ref="AH13">NPV(WACC,C13:AF13)+B13</f>
        <v>-130215.7225884144</v>
      </c>
      <c r="AI13" s="266">
        <f t="shared" si="0"/>
        <v>-0.25620970490128303</v>
      </c>
    </row>
    <row r="14" spans="1:35" ht="22.5" customHeight="1">
      <c r="A14" s="724" t="s">
        <v>710</v>
      </c>
      <c r="B14" s="724"/>
      <c r="C14" s="725">
        <f t="shared" ref="C14:AF14" si="4">SUM(C10,C13)</f>
        <v>-15276.664577141899</v>
      </c>
      <c r="D14" s="725">
        <f t="shared" si="4"/>
        <v>-25529.00466948696</v>
      </c>
      <c r="E14" s="725">
        <f t="shared" si="4"/>
        <v>-25892.039050225358</v>
      </c>
      <c r="F14" s="725">
        <f t="shared" si="4"/>
        <v>-26243.99130096376</v>
      </c>
      <c r="G14" s="725">
        <f t="shared" si="4"/>
        <v>-28940.242651702159</v>
      </c>
      <c r="H14" s="725">
        <f t="shared" si="4"/>
        <v>-29434.384742840561</v>
      </c>
      <c r="I14" s="725">
        <f t="shared" si="4"/>
        <v>-29884.847283578962</v>
      </c>
      <c r="J14" s="725">
        <f t="shared" si="4"/>
        <v>-30347.866274317363</v>
      </c>
      <c r="K14" s="725">
        <f t="shared" si="4"/>
        <v>-30819.643145055761</v>
      </c>
      <c r="L14" s="725">
        <f t="shared" si="4"/>
        <v>-31301.233815794159</v>
      </c>
      <c r="M14" s="725">
        <f t="shared" si="4"/>
        <v>-31886.227498748562</v>
      </c>
      <c r="N14" s="725">
        <f t="shared" si="4"/>
        <v>-32397.908109486958</v>
      </c>
      <c r="O14" s="725">
        <f t="shared" si="4"/>
        <v>-32927.191750225364</v>
      </c>
      <c r="P14" s="725">
        <f t="shared" si="4"/>
        <v>-33472.082950963755</v>
      </c>
      <c r="Q14" s="725">
        <f t="shared" si="4"/>
        <v>-34033.771991702168</v>
      </c>
      <c r="R14" s="725">
        <f t="shared" si="4"/>
        <v>-34669.524512840559</v>
      </c>
      <c r="S14" s="725">
        <f t="shared" si="4"/>
        <v>-35262.078013578954</v>
      </c>
      <c r="T14" s="725">
        <f t="shared" si="4"/>
        <v>-35867.66965431736</v>
      </c>
      <c r="U14" s="725">
        <f t="shared" si="4"/>
        <v>-36485.456265055764</v>
      </c>
      <c r="V14" s="725">
        <f t="shared" si="4"/>
        <v>-37110.725595794152</v>
      </c>
      <c r="W14" s="725">
        <f t="shared" si="4"/>
        <v>-37184.469908748557</v>
      </c>
      <c r="X14" s="725">
        <f t="shared" si="4"/>
        <v>-37170.445269486954</v>
      </c>
      <c r="Y14" s="725">
        <f t="shared" si="4"/>
        <v>-37155.549430225357</v>
      </c>
      <c r="Z14" s="725">
        <f t="shared" si="4"/>
        <v>-37140.653590963761</v>
      </c>
      <c r="AA14" s="725">
        <f t="shared" si="4"/>
        <v>-37126.628951702158</v>
      </c>
      <c r="AB14" s="725">
        <f t="shared" si="4"/>
        <v>-37169.147352840562</v>
      </c>
      <c r="AC14" s="725">
        <f t="shared" si="4"/>
        <v>-37154.251513578958</v>
      </c>
      <c r="AD14" s="725">
        <f t="shared" si="4"/>
        <v>-37140.226874317355</v>
      </c>
      <c r="AE14" s="725">
        <f t="shared" si="4"/>
        <v>-37125.331035055759</v>
      </c>
      <c r="AF14" s="725">
        <f t="shared" si="4"/>
        <v>-37110.435195794154</v>
      </c>
      <c r="AG14" s="594"/>
      <c r="AH14" s="265">
        <f t="array" ref="AH14">NPV(WACC,C14:AF14)+B14</f>
        <v>-292690.16333871346</v>
      </c>
      <c r="AI14" s="266">
        <f t="shared" si="0"/>
        <v>-0.57589098217846191</v>
      </c>
    </row>
    <row r="15" spans="1:35" ht="22.5" customHeight="1">
      <c r="A15" s="724" t="s">
        <v>711</v>
      </c>
      <c r="B15" s="724"/>
      <c r="C15" s="725">
        <f t="shared" ref="C15:AF15" si="5">SUM(C5,C14)</f>
        <v>-3169.4119896418979</v>
      </c>
      <c r="D15" s="725">
        <f t="shared" si="5"/>
        <v>9312.3510655130376</v>
      </c>
      <c r="E15" s="725">
        <f t="shared" si="5"/>
        <v>10151.169889774646</v>
      </c>
      <c r="F15" s="725">
        <f t="shared" si="5"/>
        <v>10963.190384036236</v>
      </c>
      <c r="G15" s="725">
        <f t="shared" si="5"/>
        <v>9449.4129732978327</v>
      </c>
      <c r="H15" s="725">
        <f t="shared" si="5"/>
        <v>10158.448692159433</v>
      </c>
      <c r="I15" s="725">
        <f t="shared" si="5"/>
        <v>10945.264136421039</v>
      </c>
      <c r="J15" s="725">
        <f t="shared" si="5"/>
        <v>11755.472160682635</v>
      </c>
      <c r="K15" s="725">
        <f t="shared" si="5"/>
        <v>12580.169499944237</v>
      </c>
      <c r="L15" s="725">
        <f t="shared" si="5"/>
        <v>13419.097349205837</v>
      </c>
      <c r="M15" s="725">
        <f t="shared" si="5"/>
        <v>14196.036511251437</v>
      </c>
      <c r="N15" s="725">
        <f t="shared" si="5"/>
        <v>15087.162358013036</v>
      </c>
      <c r="O15" s="725">
        <f t="shared" si="5"/>
        <v>16005.325849774636</v>
      </c>
      <c r="P15" s="725">
        <f t="shared" si="5"/>
        <v>16951.685674036249</v>
      </c>
      <c r="Q15" s="725">
        <f t="shared" si="5"/>
        <v>17926.048728297828</v>
      </c>
      <c r="R15" s="725">
        <f t="shared" si="5"/>
        <v>18868.420827159433</v>
      </c>
      <c r="S15" s="725">
        <f t="shared" si="5"/>
        <v>19894.174328921057</v>
      </c>
      <c r="T15" s="725">
        <f t="shared" si="5"/>
        <v>20941.520700682639</v>
      </c>
      <c r="U15" s="725">
        <f t="shared" si="5"/>
        <v>22006.84816494424</v>
      </c>
      <c r="V15" s="725">
        <f t="shared" si="5"/>
        <v>23087.020694205843</v>
      </c>
      <c r="W15" s="725">
        <f t="shared" si="5"/>
        <v>23013.276381251439</v>
      </c>
      <c r="X15" s="725">
        <f t="shared" si="5"/>
        <v>23027.301020513041</v>
      </c>
      <c r="Y15" s="725">
        <f t="shared" si="5"/>
        <v>23042.196859774638</v>
      </c>
      <c r="Z15" s="725">
        <f t="shared" si="5"/>
        <v>23057.092699036235</v>
      </c>
      <c r="AA15" s="725">
        <f t="shared" si="5"/>
        <v>23071.117338297838</v>
      </c>
      <c r="AB15" s="725">
        <f t="shared" si="5"/>
        <v>23028.598937159433</v>
      </c>
      <c r="AC15" s="725">
        <f t="shared" si="5"/>
        <v>23043.494776421037</v>
      </c>
      <c r="AD15" s="725">
        <f t="shared" si="5"/>
        <v>23057.51941568264</v>
      </c>
      <c r="AE15" s="725">
        <f t="shared" si="5"/>
        <v>23072.415254944237</v>
      </c>
      <c r="AF15" s="725">
        <f t="shared" si="5"/>
        <v>23087.311094205841</v>
      </c>
      <c r="AG15" s="594"/>
      <c r="AH15" s="265">
        <f t="array" ref="AH15">NPV(WACC,C15:AF15)+B15</f>
        <v>124803.17116887787</v>
      </c>
      <c r="AI15" s="266">
        <f t="shared" si="0"/>
        <v>0.24556008307070187</v>
      </c>
    </row>
    <row r="16" spans="1:35" ht="22.5" customHeight="1">
      <c r="A16" s="726" t="s">
        <v>712</v>
      </c>
      <c r="B16" s="726"/>
      <c r="C16" s="727">
        <f>-'D2 - Capex uso'!HM177/Divisor</f>
        <v>-2037.3956345844449</v>
      </c>
      <c r="D16" s="727">
        <f>-'D2 - Capex uso'!HN177/Divisor</f>
        <v>-2195.0465956955559</v>
      </c>
      <c r="E16" s="727">
        <f>-'D2 - Capex uso'!HO177/Divisor</f>
        <v>-2284.3173401399995</v>
      </c>
      <c r="F16" s="727">
        <f>-'D2 - Capex uso'!HP177/Divisor</f>
        <v>-2284.3173401399995</v>
      </c>
      <c r="G16" s="727">
        <f>-'D2 - Capex uso'!HQ177/Divisor</f>
        <v>-2284.3173401399995</v>
      </c>
      <c r="H16" s="727">
        <f>-'D2 - Capex uso'!HR177/Divisor</f>
        <v>-2284.3173401399995</v>
      </c>
      <c r="I16" s="727">
        <f>-'D2 - Capex uso'!HS177/Divisor</f>
        <v>-2284.3173401399995</v>
      </c>
      <c r="J16" s="727">
        <f>-'D2 - Capex uso'!HT177/Divisor</f>
        <v>-2284.3173401399995</v>
      </c>
      <c r="K16" s="727">
        <f>-'D2 - Capex uso'!HU177/Divisor</f>
        <v>-2284.3173401399995</v>
      </c>
      <c r="L16" s="727">
        <f>-'D2 - Capex uso'!HV177/Divisor</f>
        <v>-2284.3173401399995</v>
      </c>
      <c r="M16" s="727">
        <f>-'D2 - Capex uso'!HW177/Divisor</f>
        <v>-2284.3173401399995</v>
      </c>
      <c r="N16" s="727">
        <f>-'D2 - Capex uso'!HX177/Divisor</f>
        <v>-2284.3173401399995</v>
      </c>
      <c r="O16" s="727">
        <f>-'D2 - Capex uso'!HY177/Divisor</f>
        <v>-2284.3173401399995</v>
      </c>
      <c r="P16" s="727">
        <f>-'D2 - Capex uso'!HZ177/Divisor</f>
        <v>-2284.3173401399995</v>
      </c>
      <c r="Q16" s="727">
        <f>-'D2 - Capex uso'!IA177/Divisor</f>
        <v>-2284.3173401399995</v>
      </c>
      <c r="R16" s="727">
        <f>-'D2 - Capex uso'!IB177/Divisor</f>
        <v>-2284.3173401399995</v>
      </c>
      <c r="S16" s="727">
        <f>-'D2 - Capex uso'!IC177/Divisor</f>
        <v>-2284.3173401399995</v>
      </c>
      <c r="T16" s="727">
        <f>-'D2 - Capex uso'!ID177/Divisor</f>
        <v>-2284.3173401399995</v>
      </c>
      <c r="U16" s="727">
        <f>-'D2 - Capex uso'!IE177/Divisor</f>
        <v>-2284.3173401399995</v>
      </c>
      <c r="V16" s="727">
        <f>-'D2 - Capex uso'!IF177/Divisor</f>
        <v>-2284.3173401399995</v>
      </c>
      <c r="W16" s="727">
        <f>-'D2 - Capex uso'!IG177/Divisor</f>
        <v>-2284.3173401399995</v>
      </c>
      <c r="X16" s="727">
        <f>-'D2 - Capex uso'!IH177/Divisor</f>
        <v>-2284.3173401399995</v>
      </c>
      <c r="Y16" s="727">
        <f>-'D2 - Capex uso'!II177/Divisor</f>
        <v>-2284.3173401399995</v>
      </c>
      <c r="Z16" s="727">
        <f>-'D2 - Capex uso'!IJ177/Divisor</f>
        <v>-2284.3173401399995</v>
      </c>
      <c r="AA16" s="727">
        <f>-'D2 - Capex uso'!IK177/Divisor</f>
        <v>-2284.3173401399995</v>
      </c>
      <c r="AB16" s="727">
        <f>-'D2 - Capex uso'!IL177/Divisor</f>
        <v>-2284.3173401399995</v>
      </c>
      <c r="AC16" s="727">
        <f>-'D2 - Capex uso'!IM177/Divisor</f>
        <v>-2284.3173401399995</v>
      </c>
      <c r="AD16" s="727">
        <f>-'D2 - Capex uso'!IN177/Divisor</f>
        <v>-2284.3173401399995</v>
      </c>
      <c r="AE16" s="727">
        <f>-'D2 - Capex uso'!IO177/Divisor</f>
        <v>-2284.3173401399995</v>
      </c>
      <c r="AF16" s="727">
        <f>-'D2 - Capex uso'!IP177/Divisor</f>
        <v>-2284.3173401399995</v>
      </c>
      <c r="AG16" s="594"/>
      <c r="AH16" s="265">
        <f t="array" ref="AH16">NPV(WACC,C16:AF16)+B16</f>
        <v>-22382.836453444452</v>
      </c>
      <c r="AI16" s="266">
        <f t="shared" si="0"/>
        <v>-4.4039996158658286E-2</v>
      </c>
    </row>
    <row r="17" spans="1:35" ht="22.5" customHeight="1">
      <c r="A17" s="726" t="s">
        <v>675</v>
      </c>
      <c r="B17" s="727">
        <f>'E4 - Financiamento'!C61/Divisor</f>
        <v>28000.904183053543</v>
      </c>
      <c r="C17" s="727">
        <f>'E4 - Financiamento'!D61/Divisor</f>
        <v>-987.44268192097502</v>
      </c>
      <c r="D17" s="727">
        <f>'E4 - Financiamento'!E61/Divisor</f>
        <v>-1071.9316820930223</v>
      </c>
      <c r="E17" s="727">
        <f>'E4 - Financiamento'!F61/Divisor</f>
        <v>-1163.6498524040239</v>
      </c>
      <c r="F17" s="727">
        <f>'E4 - Financiamento'!G61/Divisor</f>
        <v>-1263.2157455743527</v>
      </c>
      <c r="G17" s="727">
        <f>'E4 - Financiamento'!H61/Divisor</f>
        <v>-1371.3008398276572</v>
      </c>
      <c r="H17" s="727">
        <f>'E4 - Financiamento'!I61/Divisor</f>
        <v>-1488.6340673793907</v>
      </c>
      <c r="I17" s="727">
        <f>'E4 - Financiamento'!J61/Divisor</f>
        <v>-1616.0067303984258</v>
      </c>
      <c r="J17" s="727">
        <f>'E4 - Financiamento'!K61/Divisor</f>
        <v>-1754.2778375952985</v>
      </c>
      <c r="K17" s="727">
        <f>'E4 - Financiamento'!L61/Divisor</f>
        <v>-1904.3798974273343</v>
      </c>
      <c r="L17" s="727">
        <f>'E4 - Financiamento'!M61/Divisor</f>
        <v>-2067.3252069903842</v>
      </c>
      <c r="M17" s="727">
        <f>'E4 - Financiamento'!N61/Divisor</f>
        <v>-2244.212679009815</v>
      </c>
      <c r="N17" s="727">
        <f>'E4 - Financiamento'!O61/Divisor</f>
        <v>-2436.2352529723876</v>
      </c>
      <c r="O17" s="727">
        <f>'E4 - Financiamento'!P61/Divisor</f>
        <v>-2644.6879403801263</v>
      </c>
      <c r="P17" s="727">
        <f>'E4 - Financiamento'!Q61/Divisor</f>
        <v>-2870.9765583838498</v>
      </c>
      <c r="Q17" s="727">
        <f>'E4 - Financiamento'!R61/Divisor</f>
        <v>-3116.6272106964971</v>
      </c>
      <c r="R17" s="727">
        <f>'E4 - Financiamento'!S61/Divisor</f>
        <v>0</v>
      </c>
      <c r="S17" s="727">
        <f>'E4 - Financiamento'!T61/Divisor</f>
        <v>0</v>
      </c>
      <c r="T17" s="727">
        <f>'E4 - Financiamento'!U61/Divisor</f>
        <v>0</v>
      </c>
      <c r="U17" s="727">
        <f>'E4 - Financiamento'!V61/Divisor</f>
        <v>0</v>
      </c>
      <c r="V17" s="727">
        <f>'E4 - Financiamento'!W61/Divisor</f>
        <v>0</v>
      </c>
      <c r="W17" s="727">
        <f>'E4 - Financiamento'!X61/Divisor</f>
        <v>0</v>
      </c>
      <c r="X17" s="727">
        <f>'E4 - Financiamento'!Y61/Divisor</f>
        <v>0</v>
      </c>
      <c r="Y17" s="727">
        <f>'E4 - Financiamento'!Z61/Divisor</f>
        <v>0</v>
      </c>
      <c r="Z17" s="727">
        <f>'E4 - Financiamento'!AA61/Divisor</f>
        <v>0</v>
      </c>
      <c r="AA17" s="727">
        <f>'E4 - Financiamento'!AB61/Divisor</f>
        <v>0</v>
      </c>
      <c r="AB17" s="727">
        <f>'E4 - Financiamento'!AC61/Divisor</f>
        <v>0</v>
      </c>
      <c r="AC17" s="727">
        <f>'E4 - Financiamento'!AD61/Divisor</f>
        <v>0</v>
      </c>
      <c r="AD17" s="727">
        <f>'E4 - Financiamento'!AE61/Divisor</f>
        <v>0</v>
      </c>
      <c r="AE17" s="727">
        <f>'E4 - Financiamento'!AF61/Divisor</f>
        <v>0</v>
      </c>
      <c r="AF17" s="727">
        <f>'E4 - Financiamento'!AG61/Divisor</f>
        <v>0</v>
      </c>
      <c r="AG17" s="594"/>
      <c r="AH17" s="265">
        <f t="array" ref="AH17">NPV(WACC,C17:AF17)+B17</f>
        <v>15158.145598617446</v>
      </c>
      <c r="AI17" s="266">
        <f t="shared" si="0"/>
        <v>2.9824847057432036E-2</v>
      </c>
    </row>
    <row r="18" spans="1:35" ht="22.5" customHeight="1">
      <c r="A18" s="724" t="s">
        <v>713</v>
      </c>
      <c r="B18" s="724"/>
      <c r="C18" s="725">
        <f t="shared" ref="C18:AF18" si="6">SUM(C15:C17)</f>
        <v>-6194.250306147318</v>
      </c>
      <c r="D18" s="725">
        <f t="shared" si="6"/>
        <v>6045.3727877244592</v>
      </c>
      <c r="E18" s="725">
        <f t="shared" si="6"/>
        <v>6703.202697230623</v>
      </c>
      <c r="F18" s="725">
        <f t="shared" si="6"/>
        <v>7415.657298321883</v>
      </c>
      <c r="G18" s="725">
        <f t="shared" si="6"/>
        <v>5793.7947933301757</v>
      </c>
      <c r="H18" s="725">
        <f t="shared" si="6"/>
        <v>6385.4972846400415</v>
      </c>
      <c r="I18" s="725">
        <f t="shared" si="6"/>
        <v>7044.9400658826135</v>
      </c>
      <c r="J18" s="725">
        <f t="shared" si="6"/>
        <v>7716.8769829473367</v>
      </c>
      <c r="K18" s="725">
        <f t="shared" si="6"/>
        <v>8391.472262376903</v>
      </c>
      <c r="L18" s="725">
        <f t="shared" si="6"/>
        <v>9067.4548020754519</v>
      </c>
      <c r="M18" s="725">
        <f t="shared" si="6"/>
        <v>9667.5064921016219</v>
      </c>
      <c r="N18" s="725">
        <f t="shared" si="6"/>
        <v>10366.609764900648</v>
      </c>
      <c r="O18" s="725">
        <f t="shared" si="6"/>
        <v>11076.320569254509</v>
      </c>
      <c r="P18" s="725">
        <f t="shared" si="6"/>
        <v>11796.391775512398</v>
      </c>
      <c r="Q18" s="725">
        <f t="shared" si="6"/>
        <v>12525.104177461331</v>
      </c>
      <c r="R18" s="725">
        <f t="shared" si="6"/>
        <v>16584.103487019434</v>
      </c>
      <c r="S18" s="725">
        <f t="shared" si="6"/>
        <v>17609.856988781059</v>
      </c>
      <c r="T18" s="725">
        <f t="shared" si="6"/>
        <v>18657.20336054264</v>
      </c>
      <c r="U18" s="725">
        <f t="shared" si="6"/>
        <v>19722.530824804242</v>
      </c>
      <c r="V18" s="725">
        <f t="shared" si="6"/>
        <v>20802.703354065845</v>
      </c>
      <c r="W18" s="725">
        <f t="shared" si="6"/>
        <v>20728.95904111144</v>
      </c>
      <c r="X18" s="725">
        <f t="shared" si="6"/>
        <v>20742.983680373043</v>
      </c>
      <c r="Y18" s="725">
        <f t="shared" si="6"/>
        <v>20757.87951963464</v>
      </c>
      <c r="Z18" s="725">
        <f t="shared" si="6"/>
        <v>20772.775358896237</v>
      </c>
      <c r="AA18" s="725">
        <f t="shared" si="6"/>
        <v>20786.79999815784</v>
      </c>
      <c r="AB18" s="725">
        <f t="shared" si="6"/>
        <v>20744.281597019435</v>
      </c>
      <c r="AC18" s="725">
        <f t="shared" si="6"/>
        <v>20759.177436281039</v>
      </c>
      <c r="AD18" s="725">
        <f t="shared" si="6"/>
        <v>20773.202075542642</v>
      </c>
      <c r="AE18" s="725">
        <f t="shared" si="6"/>
        <v>20788.097914804239</v>
      </c>
      <c r="AF18" s="725">
        <f t="shared" si="6"/>
        <v>20802.993754065843</v>
      </c>
      <c r="AG18" s="594"/>
      <c r="AH18" s="265">
        <f t="array" ref="AH18">NPV(WACC,C18:AF18)+B18</f>
        <v>89577.57613099736</v>
      </c>
      <c r="AI18" s="266">
        <f t="shared" si="0"/>
        <v>0.17625094643015882</v>
      </c>
    </row>
    <row r="19" spans="1:35" ht="22.5" customHeight="1">
      <c r="A19" s="726" t="s">
        <v>676</v>
      </c>
      <c r="B19" s="726"/>
      <c r="C19" s="727">
        <f>'E4 - Financiamento'!D62/Divisor</f>
        <v>-2395.8538978051038</v>
      </c>
      <c r="D19" s="727">
        <f>'E4 - Financiamento'!E62/Divisor</f>
        <v>-2311.364897633056</v>
      </c>
      <c r="E19" s="727">
        <f>'E4 - Financiamento'!F62/Divisor</f>
        <v>-2219.6467273220546</v>
      </c>
      <c r="F19" s="727">
        <f>'E4 - Financiamento'!G62/Divisor</f>
        <v>-2120.0808341517259</v>
      </c>
      <c r="G19" s="727">
        <f>'E4 - Financiamento'!H62/Divisor</f>
        <v>-2011.9957398984213</v>
      </c>
      <c r="H19" s="727">
        <f>'E4 - Financiamento'!I62/Divisor</f>
        <v>-1894.6625123466879</v>
      </c>
      <c r="I19" s="727">
        <f>'E4 - Financiamento'!J62/Divisor</f>
        <v>-1767.2898493276527</v>
      </c>
      <c r="J19" s="727">
        <f>'E4 - Financiamento'!K62/Divisor</f>
        <v>-1629.0187421307801</v>
      </c>
      <c r="K19" s="727">
        <f>'E4 - Financiamento'!L62/Divisor</f>
        <v>-1478.9166822987443</v>
      </c>
      <c r="L19" s="727">
        <f>'E4 - Financiamento'!M62/Divisor</f>
        <v>-1315.9713727356943</v>
      </c>
      <c r="M19" s="727">
        <f>'E4 - Financiamento'!N62/Divisor</f>
        <v>-1139.0839007162633</v>
      </c>
      <c r="N19" s="727">
        <f>'E4 - Financiamento'!O62/Divisor</f>
        <v>-947.06132675369099</v>
      </c>
      <c r="O19" s="727">
        <f>'E4 - Financiamento'!P62/Divisor</f>
        <v>-738.6086393459525</v>
      </c>
      <c r="P19" s="727">
        <f>'E4 - Financiamento'!Q62/Divisor</f>
        <v>-512.32002134222864</v>
      </c>
      <c r="Q19" s="727">
        <f>'E4 - Financiamento'!R62/Divisor</f>
        <v>-266.66936902958167</v>
      </c>
      <c r="R19" s="727">
        <f>'E4 - Financiamento'!S62/Divisor</f>
        <v>0</v>
      </c>
      <c r="S19" s="727">
        <f>'E4 - Financiamento'!T62/Divisor</f>
        <v>0</v>
      </c>
      <c r="T19" s="727">
        <f>'E4 - Financiamento'!U62/Divisor</f>
        <v>0</v>
      </c>
      <c r="U19" s="727">
        <f>'E4 - Financiamento'!V62/Divisor</f>
        <v>0</v>
      </c>
      <c r="V19" s="727">
        <f>'E4 - Financiamento'!W62/Divisor</f>
        <v>0</v>
      </c>
      <c r="W19" s="727">
        <f>'E4 - Financiamento'!X62/Divisor</f>
        <v>0</v>
      </c>
      <c r="X19" s="727">
        <f>'E4 - Financiamento'!Y62/Divisor</f>
        <v>0</v>
      </c>
      <c r="Y19" s="727">
        <f>'E4 - Financiamento'!Z62/Divisor</f>
        <v>0</v>
      </c>
      <c r="Z19" s="727">
        <f>'E4 - Financiamento'!AA62/Divisor</f>
        <v>0</v>
      </c>
      <c r="AA19" s="727">
        <f>'E4 - Financiamento'!AB62/Divisor</f>
        <v>0</v>
      </c>
      <c r="AB19" s="727">
        <f>'E4 - Financiamento'!AC62/Divisor</f>
        <v>0</v>
      </c>
      <c r="AC19" s="727">
        <f>'E4 - Financiamento'!AD62/Divisor</f>
        <v>0</v>
      </c>
      <c r="AD19" s="727">
        <f>'E4 - Financiamento'!AE62/Divisor</f>
        <v>0</v>
      </c>
      <c r="AE19" s="727">
        <f>'E4 - Financiamento'!AF62/Divisor</f>
        <v>0</v>
      </c>
      <c r="AF19" s="727">
        <f>'E4 - Financiamento'!AG62/Divisor</f>
        <v>0</v>
      </c>
      <c r="AG19" s="594"/>
      <c r="AH19" s="265">
        <f t="array" ref="AH19">NPV(WACC,C19:AF19)+B19</f>
        <v>-13814.861902929688</v>
      </c>
      <c r="AI19" s="266">
        <f t="shared" si="0"/>
        <v>-2.7181830435248147E-2</v>
      </c>
    </row>
    <row r="20" spans="1:35" ht="22.5" customHeight="1">
      <c r="A20" s="724" t="s">
        <v>714</v>
      </c>
      <c r="B20" s="724"/>
      <c r="C20" s="725">
        <f t="shared" ref="C20:AF20" si="7">SUM(C18:C19)</f>
        <v>-8590.1042039524218</v>
      </c>
      <c r="D20" s="725">
        <f t="shared" si="7"/>
        <v>3734.0078900914032</v>
      </c>
      <c r="E20" s="725">
        <f t="shared" si="7"/>
        <v>4483.5559699085679</v>
      </c>
      <c r="F20" s="725">
        <f t="shared" si="7"/>
        <v>5295.5764641701571</v>
      </c>
      <c r="G20" s="725">
        <f t="shared" si="7"/>
        <v>3781.7990534317541</v>
      </c>
      <c r="H20" s="725">
        <f t="shared" si="7"/>
        <v>4490.834772293354</v>
      </c>
      <c r="I20" s="725">
        <f t="shared" si="7"/>
        <v>5277.6502165549609</v>
      </c>
      <c r="J20" s="725">
        <f t="shared" si="7"/>
        <v>6087.8582408165566</v>
      </c>
      <c r="K20" s="725">
        <f t="shared" si="7"/>
        <v>6912.5555800781585</v>
      </c>
      <c r="L20" s="725">
        <f t="shared" si="7"/>
        <v>7751.483429339758</v>
      </c>
      <c r="M20" s="725">
        <f t="shared" si="7"/>
        <v>8528.4225913853588</v>
      </c>
      <c r="N20" s="725">
        <f t="shared" si="7"/>
        <v>9419.5484381469578</v>
      </c>
      <c r="O20" s="725">
        <f t="shared" si="7"/>
        <v>10337.711929908557</v>
      </c>
      <c r="P20" s="725">
        <f t="shared" si="7"/>
        <v>11284.071754170171</v>
      </c>
      <c r="Q20" s="725">
        <f t="shared" si="7"/>
        <v>12258.43480843175</v>
      </c>
      <c r="R20" s="725">
        <f t="shared" si="7"/>
        <v>16584.103487019434</v>
      </c>
      <c r="S20" s="725">
        <f t="shared" si="7"/>
        <v>17609.856988781059</v>
      </c>
      <c r="T20" s="725">
        <f t="shared" si="7"/>
        <v>18657.20336054264</v>
      </c>
      <c r="U20" s="725">
        <f t="shared" si="7"/>
        <v>19722.530824804242</v>
      </c>
      <c r="V20" s="725">
        <f t="shared" si="7"/>
        <v>20802.703354065845</v>
      </c>
      <c r="W20" s="725">
        <f t="shared" si="7"/>
        <v>20728.95904111144</v>
      </c>
      <c r="X20" s="725">
        <f t="shared" si="7"/>
        <v>20742.983680373043</v>
      </c>
      <c r="Y20" s="725">
        <f t="shared" si="7"/>
        <v>20757.87951963464</v>
      </c>
      <c r="Z20" s="725">
        <f t="shared" si="7"/>
        <v>20772.775358896237</v>
      </c>
      <c r="AA20" s="725">
        <f t="shared" si="7"/>
        <v>20786.79999815784</v>
      </c>
      <c r="AB20" s="725">
        <f t="shared" si="7"/>
        <v>20744.281597019435</v>
      </c>
      <c r="AC20" s="725">
        <f t="shared" si="7"/>
        <v>20759.177436281039</v>
      </c>
      <c r="AD20" s="725">
        <f t="shared" si="7"/>
        <v>20773.202075542642</v>
      </c>
      <c r="AE20" s="725">
        <f t="shared" si="7"/>
        <v>20788.097914804239</v>
      </c>
      <c r="AF20" s="725">
        <f t="shared" si="7"/>
        <v>20802.993754065843</v>
      </c>
      <c r="AG20" s="594"/>
      <c r="AH20" s="265">
        <f t="array" ref="AH20">NPV(WACC,C20:AF20)+B20</f>
        <v>75762.714228067678</v>
      </c>
      <c r="AI20" s="266">
        <f t="shared" si="0"/>
        <v>0.14906911599491066</v>
      </c>
    </row>
    <row r="21" spans="1:35" ht="22.5" customHeight="1">
      <c r="A21" s="726" t="s">
        <v>715</v>
      </c>
      <c r="B21" s="726"/>
      <c r="C21" s="727">
        <f>-('A4 - Previsão de Receita Bruta'!C27*'E2 - Tributos'!D20)/Divisor</f>
        <v>0</v>
      </c>
      <c r="D21" s="727">
        <f>-('A4 - Previsão de Receita Bruta'!D27*'E2 - Tributos'!E20)/Divisor</f>
        <v>-3220.1025314849344</v>
      </c>
      <c r="E21" s="727">
        <f>-('A4 - Previsão de Receita Bruta'!E27*'E2 - Tributos'!F20)/Divisor</f>
        <v>-3287.1229387349617</v>
      </c>
      <c r="F21" s="727">
        <f>-('A4 - Previsão de Receita Bruta'!F27*'E2 - Tributos'!G20)/Divisor</f>
        <v>-3544.8903947894346</v>
      </c>
      <c r="G21" s="727">
        <f>-('A4 - Previsão de Receita Bruta'!G27*'E2 - Tributos'!H20)/Divisor</f>
        <v>-3863.863449623906</v>
      </c>
      <c r="H21" s="727">
        <f>-('A4 - Previsão de Receita Bruta'!H27*'E2 - Tributos'!I20)/Divisor</f>
        <v>-4178.6095230703777</v>
      </c>
      <c r="I21" s="727">
        <f>-('A4 - Previsão de Receita Bruta'!I27*'E2 - Tributos'!J20)/Divisor</f>
        <v>-4512.0728464848489</v>
      </c>
      <c r="J21" s="727">
        <f>-('A4 - Previsão de Receita Bruta'!J27*'E2 - Tributos'!K20)/Divisor</f>
        <v>-4855.3256260193184</v>
      </c>
      <c r="K21" s="727">
        <f>-('A4 - Previsão de Receita Bruta'!K27*'E2 - Tributos'!L20)/Divisor</f>
        <v>-5204.789181133794</v>
      </c>
      <c r="L21" s="727">
        <f>-('A4 - Previsão de Receita Bruta'!L27*'E2 - Tributos'!M20)/Divisor</f>
        <v>-5560.5655454882653</v>
      </c>
      <c r="M21" s="727">
        <f>-('A4 - Previsão de Receita Bruta'!M27*'E2 - Tributos'!N20)/Divisor</f>
        <v>-5912.4751608660181</v>
      </c>
      <c r="N21" s="727">
        <f>-('A4 - Previsão de Receita Bruta'!N27*'E2 - Tributos'!O20)/Divisor</f>
        <v>-6290.3966423704887</v>
      </c>
      <c r="O21" s="727">
        <f>-('A4 - Previsão de Receita Bruta'!O27*'E2 - Tributos'!P20)/Divisor</f>
        <v>-6680.123697374961</v>
      </c>
      <c r="P21" s="727">
        <f>-('A4 - Previsão de Receita Bruta'!P27*'E2 - Tributos'!Q20)/Divisor</f>
        <v>-7081.7090345494335</v>
      </c>
      <c r="Q21" s="727">
        <f>-('A4 - Previsão de Receita Bruta'!Q27*'E2 - Tributos'!R20)/Divisor</f>
        <v>-7495.2894024039069</v>
      </c>
      <c r="R21" s="727">
        <f>-('A4 - Previsão de Receita Bruta'!R27*'E2 - Tributos'!S20)/Divisor</f>
        <v>-7910.2246038903759</v>
      </c>
      <c r="S21" s="727">
        <f>-('A4 - Previsão de Receita Bruta'!S27*'E2 - Tributos'!T20)/Divisor</f>
        <v>-8345.8199919748495</v>
      </c>
      <c r="T21" s="727">
        <f>-('A4 - Previsão de Receita Bruta'!T27*'E2 - Tributos'!U20)/Divisor</f>
        <v>-8790.6703384993198</v>
      </c>
      <c r="U21" s="727">
        <f>-('A4 - Previsão de Receita Bruta'!U27*'E2 - Tributos'!V20)/Divisor</f>
        <v>-9243.4487854737945</v>
      </c>
      <c r="V21" s="727">
        <f>-('A4 - Previsão de Receita Bruta'!V27*'E2 - Tributos'!W20)/Divisor</f>
        <v>-9702.358928788266</v>
      </c>
      <c r="W21" s="727">
        <f>-('A4 - Previsão de Receita Bruta'!W27*'E2 - Tributos'!X20)/Divisor</f>
        <v>-9689.8223955860176</v>
      </c>
      <c r="X21" s="727">
        <f>-('A4 - Previsão de Receita Bruta'!X27*'E2 - Tributos'!Y20)/Divisor</f>
        <v>-9692.2065842604879</v>
      </c>
      <c r="Y21" s="727">
        <f>-('A4 - Previsão de Receita Bruta'!Y27*'E2 - Tributos'!Z20)/Divisor</f>
        <v>-9694.73887693496</v>
      </c>
      <c r="Z21" s="727">
        <f>-('A4 - Previsão de Receita Bruta'!Z27*'E2 - Tributos'!AA20)/Divisor</f>
        <v>-9697.271169609432</v>
      </c>
      <c r="AA21" s="727">
        <f>-('A4 - Previsão de Receita Bruta'!AA27*'E2 - Tributos'!AB20)/Divisor</f>
        <v>-9699.6553582839042</v>
      </c>
      <c r="AB21" s="727">
        <f>-('A4 - Previsão de Receita Bruta'!AB27*'E2 - Tributos'!AC20)/Divisor</f>
        <v>-9692.4272300903776</v>
      </c>
      <c r="AC21" s="727">
        <f>-('A4 - Previsão de Receita Bruta'!AC27*'E2 - Tributos'!AD20)/Divisor</f>
        <v>-9694.959522764846</v>
      </c>
      <c r="AD21" s="727">
        <f>-('A4 - Previsão de Receita Bruta'!AD27*'E2 - Tributos'!AE20)/Divisor</f>
        <v>-9697.3437114393182</v>
      </c>
      <c r="AE21" s="727">
        <f>-('A4 - Previsão de Receita Bruta'!AE27*'E2 - Tributos'!AF20)/Divisor</f>
        <v>-9699.8760041137939</v>
      </c>
      <c r="AF21" s="727">
        <f>-('A4 - Previsão de Receita Bruta'!AF27*'E2 - Tributos'!AG20)/Divisor</f>
        <v>-9702.4082967882659</v>
      </c>
      <c r="AG21" s="594"/>
      <c r="AH21" s="265">
        <f t="array" ref="AH21">NPV(WACC,C21:AF21)+B21</f>
        <v>-51245.591200861156</v>
      </c>
      <c r="AI21" s="266">
        <f t="shared" si="0"/>
        <v>-0.10082974266144874</v>
      </c>
    </row>
    <row r="22" spans="1:35" ht="22.5" customHeight="1">
      <c r="A22" s="724" t="s">
        <v>716</v>
      </c>
      <c r="B22" s="724"/>
      <c r="C22" s="725">
        <f t="shared" ref="C22:AF22" si="8">SUM(C20:C21)</f>
        <v>-8590.1042039524218</v>
      </c>
      <c r="D22" s="725">
        <f t="shared" si="8"/>
        <v>513.90535860646878</v>
      </c>
      <c r="E22" s="725">
        <f t="shared" si="8"/>
        <v>1196.4330311736062</v>
      </c>
      <c r="F22" s="725">
        <f t="shared" si="8"/>
        <v>1750.6860693807225</v>
      </c>
      <c r="G22" s="725">
        <f t="shared" si="8"/>
        <v>-82.064396192151889</v>
      </c>
      <c r="H22" s="725">
        <f t="shared" si="8"/>
        <v>312.22524922297634</v>
      </c>
      <c r="I22" s="725">
        <f t="shared" si="8"/>
        <v>765.57737007011201</v>
      </c>
      <c r="J22" s="725">
        <f t="shared" si="8"/>
        <v>1232.5326147972382</v>
      </c>
      <c r="K22" s="725">
        <f t="shared" si="8"/>
        <v>1707.7663989443645</v>
      </c>
      <c r="L22" s="725">
        <f t="shared" si="8"/>
        <v>2190.9178838514927</v>
      </c>
      <c r="M22" s="725">
        <f t="shared" si="8"/>
        <v>2615.9474305193407</v>
      </c>
      <c r="N22" s="725">
        <f t="shared" si="8"/>
        <v>3129.151795776469</v>
      </c>
      <c r="O22" s="725">
        <f t="shared" si="8"/>
        <v>3657.5882325335961</v>
      </c>
      <c r="P22" s="725">
        <f t="shared" si="8"/>
        <v>4202.3627196207372</v>
      </c>
      <c r="Q22" s="725">
        <f t="shared" si="8"/>
        <v>4763.1454060278429</v>
      </c>
      <c r="R22" s="725">
        <f t="shared" si="8"/>
        <v>8673.8788831290585</v>
      </c>
      <c r="S22" s="725">
        <f t="shared" si="8"/>
        <v>9264.0369968062096</v>
      </c>
      <c r="T22" s="725">
        <f t="shared" si="8"/>
        <v>9866.5330220433207</v>
      </c>
      <c r="U22" s="725">
        <f t="shared" si="8"/>
        <v>10479.082039330448</v>
      </c>
      <c r="V22" s="725">
        <f t="shared" si="8"/>
        <v>11100.344425277579</v>
      </c>
      <c r="W22" s="725">
        <f t="shared" si="8"/>
        <v>11039.136645525423</v>
      </c>
      <c r="X22" s="725">
        <f t="shared" si="8"/>
        <v>11050.777096112555</v>
      </c>
      <c r="Y22" s="725">
        <f t="shared" si="8"/>
        <v>11063.14064269968</v>
      </c>
      <c r="Z22" s="725">
        <f t="shared" si="8"/>
        <v>11075.504189286805</v>
      </c>
      <c r="AA22" s="725">
        <f t="shared" si="8"/>
        <v>11087.144639873935</v>
      </c>
      <c r="AB22" s="725">
        <f t="shared" si="8"/>
        <v>11051.854366929058</v>
      </c>
      <c r="AC22" s="725">
        <f t="shared" si="8"/>
        <v>11064.217913516193</v>
      </c>
      <c r="AD22" s="725">
        <f t="shared" si="8"/>
        <v>11075.858364103324</v>
      </c>
      <c r="AE22" s="725">
        <f t="shared" si="8"/>
        <v>11088.221910690445</v>
      </c>
      <c r="AF22" s="725">
        <f t="shared" si="8"/>
        <v>11100.585457277577</v>
      </c>
      <c r="AG22" s="594"/>
      <c r="AH22" s="265">
        <f t="array" ref="AH22">NPV(WACC,C22:AF22)+B22</f>
        <v>24517.123027206489</v>
      </c>
      <c r="AI22" s="266">
        <f t="shared" si="0"/>
        <v>4.8239373333461864E-2</v>
      </c>
    </row>
    <row r="23" spans="1:35" ht="22.5" customHeight="1">
      <c r="A23" s="726" t="s">
        <v>717</v>
      </c>
      <c r="B23" s="726"/>
      <c r="C23" s="727">
        <f t="shared" ref="C23:AF23" si="9">-C16</f>
        <v>2037.3956345844449</v>
      </c>
      <c r="D23" s="727">
        <f t="shared" si="9"/>
        <v>2195.0465956955559</v>
      </c>
      <c r="E23" s="727">
        <f t="shared" si="9"/>
        <v>2284.3173401399995</v>
      </c>
      <c r="F23" s="727">
        <f t="shared" si="9"/>
        <v>2284.3173401399995</v>
      </c>
      <c r="G23" s="727">
        <f t="shared" si="9"/>
        <v>2284.3173401399995</v>
      </c>
      <c r="H23" s="727">
        <f t="shared" si="9"/>
        <v>2284.3173401399995</v>
      </c>
      <c r="I23" s="727">
        <f t="shared" si="9"/>
        <v>2284.3173401399995</v>
      </c>
      <c r="J23" s="727">
        <f t="shared" si="9"/>
        <v>2284.3173401399995</v>
      </c>
      <c r="K23" s="727">
        <f t="shared" si="9"/>
        <v>2284.3173401399995</v>
      </c>
      <c r="L23" s="727">
        <f t="shared" si="9"/>
        <v>2284.3173401399995</v>
      </c>
      <c r="M23" s="727">
        <f t="shared" si="9"/>
        <v>2284.3173401399995</v>
      </c>
      <c r="N23" s="727">
        <f t="shared" si="9"/>
        <v>2284.3173401399995</v>
      </c>
      <c r="O23" s="727">
        <f t="shared" si="9"/>
        <v>2284.3173401399995</v>
      </c>
      <c r="P23" s="727">
        <f t="shared" si="9"/>
        <v>2284.3173401399995</v>
      </c>
      <c r="Q23" s="727">
        <f t="shared" si="9"/>
        <v>2284.3173401399995</v>
      </c>
      <c r="R23" s="727">
        <f t="shared" si="9"/>
        <v>2284.3173401399995</v>
      </c>
      <c r="S23" s="727">
        <f t="shared" si="9"/>
        <v>2284.3173401399995</v>
      </c>
      <c r="T23" s="727">
        <f t="shared" si="9"/>
        <v>2284.3173401399995</v>
      </c>
      <c r="U23" s="727">
        <f t="shared" si="9"/>
        <v>2284.3173401399995</v>
      </c>
      <c r="V23" s="727">
        <f t="shared" si="9"/>
        <v>2284.3173401399995</v>
      </c>
      <c r="W23" s="727">
        <f t="shared" si="9"/>
        <v>2284.3173401399995</v>
      </c>
      <c r="X23" s="727">
        <f t="shared" si="9"/>
        <v>2284.3173401399995</v>
      </c>
      <c r="Y23" s="727">
        <f t="shared" si="9"/>
        <v>2284.3173401399995</v>
      </c>
      <c r="Z23" s="727">
        <f t="shared" si="9"/>
        <v>2284.3173401399995</v>
      </c>
      <c r="AA23" s="727">
        <f t="shared" si="9"/>
        <v>2284.3173401399995</v>
      </c>
      <c r="AB23" s="727">
        <f t="shared" si="9"/>
        <v>2284.3173401399995</v>
      </c>
      <c r="AC23" s="727">
        <f t="shared" si="9"/>
        <v>2284.3173401399995</v>
      </c>
      <c r="AD23" s="727">
        <f t="shared" si="9"/>
        <v>2284.3173401399995</v>
      </c>
      <c r="AE23" s="727">
        <f t="shared" si="9"/>
        <v>2284.3173401399995</v>
      </c>
      <c r="AF23" s="727">
        <f t="shared" si="9"/>
        <v>2284.3173401399995</v>
      </c>
      <c r="AG23" s="594"/>
      <c r="AH23" s="265">
        <f t="array" ref="AH23">NPV(WACC,C23:AF23)+B23</f>
        <v>22382.836453444452</v>
      </c>
      <c r="AI23" s="266">
        <f t="shared" si="0"/>
        <v>4.4039996158658286E-2</v>
      </c>
    </row>
    <row r="24" spans="1:35" ht="22.5" customHeight="1">
      <c r="A24" s="726" t="s">
        <v>718</v>
      </c>
      <c r="B24" s="731"/>
      <c r="C24" s="727">
        <f>'E3 - Capital de Giro'!C52/Divisor</f>
        <v>5513.1869404642603</v>
      </c>
      <c r="D24" s="727">
        <f>'E3 - Capital de Giro'!D52/Divisor</f>
        <v>-867.86322587083464</v>
      </c>
      <c r="E24" s="727">
        <f>'E3 - Capital de Giro'!E52/Divisor</f>
        <v>-93.302875577532689</v>
      </c>
      <c r="F24" s="727">
        <f>'E3 - Capital de Giro'!F52/Divisor</f>
        <v>-81.722610437562693</v>
      </c>
      <c r="G24" s="727">
        <f>'E3 - Capital de Giro'!G52/Divisor</f>
        <v>-78.939123038658877</v>
      </c>
      <c r="H24" s="727">
        <f>'E3 - Capital de Giro'!H52/Divisor</f>
        <v>-3.6299215907426552</v>
      </c>
      <c r="I24" s="727">
        <f>'E3 - Capital de Giro'!I52/Divisor</f>
        <v>-83.88965758136473</v>
      </c>
      <c r="J24" s="727">
        <f>'E3 - Capital de Giro'!J52/Divisor</f>
        <v>-84.937956911046058</v>
      </c>
      <c r="K24" s="727">
        <f>'E3 - Capital de Giro'!K52/Divisor</f>
        <v>-87.971774911107033</v>
      </c>
      <c r="L24" s="727">
        <f>'E3 - Capital de Giro'!L52/Divisor</f>
        <v>-89.900082187549671</v>
      </c>
      <c r="M24" s="727">
        <f>'E3 - Capital de Giro'!M52/Divisor</f>
        <v>-6093.9082981861457</v>
      </c>
      <c r="N24" s="727">
        <f>'E3 - Capital de Giro'!N52/Divisor</f>
        <v>-0.47679675104981289</v>
      </c>
      <c r="O24" s="727">
        <f>'E3 - Capital de Giro'!O52/Divisor</f>
        <v>-74.003177775926886</v>
      </c>
      <c r="P24" s="727">
        <f>'E3 - Capital de Giro'!P52/Divisor</f>
        <v>-76.952787874240897</v>
      </c>
      <c r="Q24" s="727">
        <f>'E3 - Capital de Giro'!Q52/Divisor</f>
        <v>-79.873107588345178</v>
      </c>
      <c r="R24" s="727">
        <f>'E3 - Capital de Giro'!R52/Divisor</f>
        <v>-81.701466262513776</v>
      </c>
      <c r="S24" s="727">
        <f>'E3 - Capital de Giro'!S52/Divisor</f>
        <v>-85.524569816996802</v>
      </c>
      <c r="T24" s="727">
        <f>'E3 - Capital de Giro'!T52/Divisor</f>
        <v>-88.233843735664152</v>
      </c>
      <c r="U24" s="727">
        <f>'E3 - Capital de Giro'!U52/Divisor</f>
        <v>-90.887228118048043</v>
      </c>
      <c r="V24" s="727">
        <f>'E3 - Capital de Giro'!V52/Divisor</f>
        <v>-93.297950604891398</v>
      </c>
      <c r="W24" s="727">
        <f>'E3 - Capital de Giro'!W52/Divisor</f>
        <v>-32.089247929267586</v>
      </c>
      <c r="X24" s="727">
        <f>'E3 - Capital de Giro'!X52/Divisor</f>
        <v>-35.460895328198561</v>
      </c>
      <c r="Y24" s="727">
        <f>'E3 - Capital de Giro'!Y52/Divisor</f>
        <v>-37.272020716644825</v>
      </c>
      <c r="Z24" s="727">
        <f>'E3 - Capital de Giro'!Z52/Divisor</f>
        <v>-39.241193919721063</v>
      </c>
      <c r="AA24" s="727">
        <f>'E3 - Capital de Giro'!AA52/Divisor</f>
        <v>-41.295846089798495</v>
      </c>
      <c r="AB24" s="727">
        <f>'E3 - Capital de Giro'!AB52/Divisor</f>
        <v>-42.390899135120677</v>
      </c>
      <c r="AC24" s="727">
        <f>'E3 - Capital de Giro'!AC52/Divisor</f>
        <v>-45.739548275481908</v>
      </c>
      <c r="AD24" s="727">
        <f>'E3 - Capital de Giro'!AD52/Divisor</f>
        <v>-48.17343283732049</v>
      </c>
      <c r="AE24" s="727">
        <f>'E3 - Capital de Giro'!AE52/Divisor</f>
        <v>-50.708907682045826</v>
      </c>
      <c r="AF24" s="727">
        <f>-SUM(M24:AE24)</f>
        <v>7137.2312186274221</v>
      </c>
      <c r="AG24" s="594"/>
      <c r="AH24" s="265">
        <f t="array" ref="AH24">NPV(WACC,C24:AF24)+B24</f>
        <v>1991.4715009243719</v>
      </c>
      <c r="AI24" s="266">
        <f t="shared" si="0"/>
        <v>3.9183772545186126E-3</v>
      </c>
    </row>
    <row r="25" spans="1:35" ht="22.5" customHeight="1">
      <c r="A25" s="726" t="s">
        <v>719</v>
      </c>
      <c r="B25" s="726"/>
      <c r="C25" s="727">
        <f>-'D2 - Capex uso'!BS177/Divisor</f>
        <v>-41400.633088466668</v>
      </c>
      <c r="D25" s="727">
        <f>-'D2 - Capex uso'!BT177/Divisor</f>
        <v>-16959.622166666668</v>
      </c>
      <c r="E25" s="727">
        <f>-'D2 - Capex uso'!BU177/Divisor</f>
        <v>-10024.215666666669</v>
      </c>
      <c r="F25" s="727">
        <f>-'D2 - Capex uso'!BV177/Divisor</f>
        <v>-1693.56</v>
      </c>
      <c r="G25" s="727">
        <f>-'D2 - Capex uso'!BW177/Divisor</f>
        <v>0</v>
      </c>
      <c r="H25" s="727">
        <f>-'D2 - Capex uso'!BX177/Divisor</f>
        <v>-4805.7441079999999</v>
      </c>
      <c r="I25" s="727">
        <f>-'D2 - Capex uso'!BY177/Divisor</f>
        <v>-43.560000000000009</v>
      </c>
      <c r="J25" s="727">
        <f>-'D2 - Capex uso'!BZ177/Divisor</f>
        <v>0</v>
      </c>
      <c r="K25" s="727">
        <f>-'D2 - Capex uso'!CA177/Divisor</f>
        <v>0</v>
      </c>
      <c r="L25" s="727">
        <f>-'D2 - Capex uso'!CB177/Divisor</f>
        <v>-43.560000000000009</v>
      </c>
      <c r="M25" s="727">
        <f>-'D2 - Capex uso'!CC177/Divisor</f>
        <v>-10681.096206</v>
      </c>
      <c r="N25" s="727">
        <f>-'D2 - Capex uso'!CD177/Divisor</f>
        <v>0</v>
      </c>
      <c r="O25" s="727">
        <f>-'D2 - Capex uso'!CE177/Divisor</f>
        <v>-43.560000000000009</v>
      </c>
      <c r="P25" s="727">
        <f>-'D2 - Capex uso'!CF177/Divisor</f>
        <v>0</v>
      </c>
      <c r="Q25" s="727">
        <f>-'D2 - Capex uso'!CG177/Divisor</f>
        <v>0</v>
      </c>
      <c r="R25" s="727">
        <f>-'D2 - Capex uso'!CH177/Divisor</f>
        <v>-4849.3041080000003</v>
      </c>
      <c r="S25" s="727">
        <f>-'D2 - Capex uso'!CI177/Divisor</f>
        <v>0</v>
      </c>
      <c r="T25" s="727">
        <f>-'D2 - Capex uso'!CJ177/Divisor</f>
        <v>0</v>
      </c>
      <c r="U25" s="727">
        <f>-'D2 - Capex uso'!CK177/Divisor</f>
        <v>-43.560000000000009</v>
      </c>
      <c r="V25" s="727">
        <f>-'D2 - Capex uso'!CL177/Divisor</f>
        <v>0</v>
      </c>
      <c r="W25" s="727">
        <f>-'D2 - Capex uso'!CM177/Divisor</f>
        <v>-20427.096206000002</v>
      </c>
      <c r="X25" s="727">
        <f>-'D2 - Capex uso'!CN177/Divisor</f>
        <v>-43.560000000000009</v>
      </c>
      <c r="Y25" s="727">
        <f>-'D2 - Capex uso'!CO177/Divisor</f>
        <v>0</v>
      </c>
      <c r="Z25" s="727">
        <f>-'D2 - Capex uso'!CP177/Divisor</f>
        <v>0</v>
      </c>
      <c r="AA25" s="727">
        <f>-'D2 - Capex uso'!CQ177/Divisor</f>
        <v>-43.560000000000009</v>
      </c>
      <c r="AB25" s="727">
        <f>-'D2 - Capex uso'!CR177/Divisor</f>
        <v>-4805.7441079999999</v>
      </c>
      <c r="AC25" s="727">
        <f>-'D2 - Capex uso'!CS177/Divisor</f>
        <v>0</v>
      </c>
      <c r="AD25" s="727">
        <f>-'D2 - Capex uso'!CT177/Divisor</f>
        <v>-43.560000000000009</v>
      </c>
      <c r="AE25" s="727">
        <f>-'D2 - Capex uso'!CU177/Divisor</f>
        <v>0</v>
      </c>
      <c r="AF25" s="727">
        <f>-'D2 - Capex uso'!CV177/Divisor</f>
        <v>0</v>
      </c>
      <c r="AG25" s="594"/>
      <c r="AH25" s="265">
        <f t="array" ref="AH25">NPV(WACC,C25:AF25)+B25</f>
        <v>-72447.420534383156</v>
      </c>
      <c r="AI25" s="266">
        <f t="shared" si="0"/>
        <v>-0.14254601416023582</v>
      </c>
    </row>
    <row r="26" spans="1:35" ht="22.5" customHeight="1">
      <c r="A26" s="726" t="s">
        <v>720</v>
      </c>
      <c r="B26" s="726"/>
      <c r="C26" s="727">
        <f>'D2 - Capex uso'!CW177/Divisor</f>
        <v>0</v>
      </c>
      <c r="D26" s="727">
        <f>'D2 - Capex uso'!CX177/Divisor</f>
        <v>0</v>
      </c>
      <c r="E26" s="727">
        <f>'D2 - Capex uso'!CY177/Divisor</f>
        <v>0</v>
      </c>
      <c r="F26" s="727">
        <f>'D2 - Capex uso'!CZ177/Divisor</f>
        <v>0</v>
      </c>
      <c r="G26" s="727">
        <f>'D2 - Capex uso'!DA177/Divisor</f>
        <v>0</v>
      </c>
      <c r="H26" s="727">
        <f>'D2 - Capex uso'!DB177/Divisor</f>
        <v>1923.8518200000001</v>
      </c>
      <c r="I26" s="727">
        <f>'D2 - Capex uso'!DC177/Divisor</f>
        <v>0</v>
      </c>
      <c r="J26" s="727">
        <f>'D2 - Capex uso'!DD177/Divisor</f>
        <v>0</v>
      </c>
      <c r="K26" s="727">
        <f>'D2 - Capex uso'!DE177/Divisor</f>
        <v>0</v>
      </c>
      <c r="L26" s="727">
        <f>'D2 - Capex uso'!DF177/Divisor</f>
        <v>0</v>
      </c>
      <c r="M26" s="727">
        <f>'D2 - Capex uso'!DG177/Divisor</f>
        <v>3106.7909972000002</v>
      </c>
      <c r="N26" s="727">
        <f>'D2 - Capex uso'!DH177/Divisor</f>
        <v>0</v>
      </c>
      <c r="O26" s="727">
        <f>'D2 - Capex uso'!DI177/Divisor</f>
        <v>0</v>
      </c>
      <c r="P26" s="727">
        <f>'D2 - Capex uso'!DJ177/Divisor</f>
        <v>0</v>
      </c>
      <c r="Q26" s="727">
        <f>'D2 - Capex uso'!DK177/Divisor</f>
        <v>0</v>
      </c>
      <c r="R26" s="727">
        <f>'D2 - Capex uso'!DL177/Divisor</f>
        <v>1923.8518200000001</v>
      </c>
      <c r="S26" s="727">
        <f>'D2 - Capex uso'!DM177/Divisor</f>
        <v>0</v>
      </c>
      <c r="T26" s="727">
        <f>'D2 - Capex uso'!DN177/Divisor</f>
        <v>0</v>
      </c>
      <c r="U26" s="727">
        <f>'D2 - Capex uso'!DO177/Divisor</f>
        <v>0</v>
      </c>
      <c r="V26" s="727">
        <f>'D2 - Capex uso'!DP177/Divisor</f>
        <v>0</v>
      </c>
      <c r="W26" s="727">
        <f>'D2 - Capex uso'!DQ177/Divisor</f>
        <v>7979.7909971999998</v>
      </c>
      <c r="X26" s="727">
        <f>'D2 - Capex uso'!DR177/Divisor</f>
        <v>0</v>
      </c>
      <c r="Y26" s="727">
        <f>'D2 - Capex uso'!DS177/Divisor</f>
        <v>0</v>
      </c>
      <c r="Z26" s="727">
        <f>'D2 - Capex uso'!DT177/Divisor</f>
        <v>0</v>
      </c>
      <c r="AA26" s="727">
        <f>'D2 - Capex uso'!DU177/Divisor</f>
        <v>0</v>
      </c>
      <c r="AB26" s="727">
        <f>'D2 - Capex uso'!DV177/Divisor</f>
        <v>1923.8518200000001</v>
      </c>
      <c r="AC26" s="727">
        <f>'D2 - Capex uso'!DW177/Divisor</f>
        <v>0</v>
      </c>
      <c r="AD26" s="727">
        <f>'D2 - Capex uso'!DX177/Divisor</f>
        <v>0</v>
      </c>
      <c r="AE26" s="727">
        <f>'D2 - Capex uso'!DY177/Divisor</f>
        <v>0</v>
      </c>
      <c r="AF26" s="727">
        <f>('D2 - Capex uso'!DZ177+'D2 - Capex uso'!JT177)/Divisor</f>
        <v>3448.065997199998</v>
      </c>
      <c r="AG26" s="594"/>
      <c r="AH26" s="265">
        <f t="array" ref="AH26">NPV(WACC,C26:AF26)+B26</f>
        <v>4370.935345659007</v>
      </c>
      <c r="AI26" s="266">
        <f t="shared" si="0"/>
        <v>8.600160048211564E-3</v>
      </c>
    </row>
    <row r="27" spans="1:35" ht="27.75" customHeight="1">
      <c r="A27" s="724" t="s">
        <v>721</v>
      </c>
      <c r="B27" s="732">
        <f>B17</f>
        <v>28000.904183053543</v>
      </c>
      <c r="C27" s="732">
        <f>SUM(C22:C26)</f>
        <v>-42440.154717370388</v>
      </c>
      <c r="D27" s="732">
        <f t="shared" ref="D27:AF27" si="10">SUM(D22:D26)</f>
        <v>-15118.533438235478</v>
      </c>
      <c r="E27" s="732">
        <f t="shared" si="10"/>
        <v>-6636.7681709305962</v>
      </c>
      <c r="F27" s="732">
        <f t="shared" si="10"/>
        <v>2259.7207990831594</v>
      </c>
      <c r="G27" s="732">
        <f t="shared" si="10"/>
        <v>2123.3138209091885</v>
      </c>
      <c r="H27" s="732">
        <f t="shared" si="10"/>
        <v>-288.97962022776642</v>
      </c>
      <c r="I27" s="732">
        <f t="shared" si="10"/>
        <v>2922.4450526287469</v>
      </c>
      <c r="J27" s="732">
        <f t="shared" si="10"/>
        <v>3431.9119980261917</v>
      </c>
      <c r="K27" s="732">
        <f t="shared" si="10"/>
        <v>3904.1119641732571</v>
      </c>
      <c r="L27" s="732">
        <f t="shared" si="10"/>
        <v>4341.7751418039425</v>
      </c>
      <c r="M27" s="732">
        <f t="shared" si="10"/>
        <v>-8767.9487363268072</v>
      </c>
      <c r="N27" s="732">
        <f t="shared" si="10"/>
        <v>5412.9923391654183</v>
      </c>
      <c r="O27" s="732">
        <f t="shared" si="10"/>
        <v>5824.3423948976679</v>
      </c>
      <c r="P27" s="732">
        <f t="shared" si="10"/>
        <v>6409.7272718864951</v>
      </c>
      <c r="Q27" s="732">
        <f t="shared" si="10"/>
        <v>6967.5896385794977</v>
      </c>
      <c r="R27" s="732">
        <f t="shared" si="10"/>
        <v>7951.0424690065447</v>
      </c>
      <c r="S27" s="732">
        <f t="shared" si="10"/>
        <v>11462.829767129213</v>
      </c>
      <c r="T27" s="732">
        <f t="shared" si="10"/>
        <v>12062.616518447656</v>
      </c>
      <c r="U27" s="732">
        <f t="shared" si="10"/>
        <v>12628.9521513524</v>
      </c>
      <c r="V27" s="732">
        <f t="shared" si="10"/>
        <v>13291.363814812688</v>
      </c>
      <c r="W27" s="732">
        <f t="shared" si="10"/>
        <v>844.05952893615358</v>
      </c>
      <c r="X27" s="732">
        <f t="shared" si="10"/>
        <v>13256.073540924357</v>
      </c>
      <c r="Y27" s="732">
        <f t="shared" si="10"/>
        <v>13310.185962123036</v>
      </c>
      <c r="Z27" s="732">
        <f t="shared" si="10"/>
        <v>13320.580335507084</v>
      </c>
      <c r="AA27" s="732">
        <f t="shared" si="10"/>
        <v>13286.606133924137</v>
      </c>
      <c r="AB27" s="732">
        <f t="shared" si="10"/>
        <v>10411.888519933938</v>
      </c>
      <c r="AC27" s="732">
        <f t="shared" si="10"/>
        <v>13302.795705380711</v>
      </c>
      <c r="AD27" s="732">
        <f t="shared" si="10"/>
        <v>13268.442271406004</v>
      </c>
      <c r="AE27" s="732">
        <f t="shared" si="10"/>
        <v>13321.830343148398</v>
      </c>
      <c r="AF27" s="732">
        <f t="shared" si="10"/>
        <v>23970.200013244998</v>
      </c>
      <c r="AG27" s="594"/>
      <c r="AH27" s="265">
        <f t="array" ref="AH27">NPV(WACC,C27:AF27)+B27</f>
        <v>8815.8499759047263</v>
      </c>
      <c r="AI27" s="266">
        <f t="shared" si="0"/>
        <v>1.7345880173931433E-2</v>
      </c>
    </row>
    <row r="28" spans="1:35" ht="15.75" hidden="1" customHeight="1">
      <c r="A28" s="724" t="s">
        <v>722</v>
      </c>
      <c r="B28" s="732"/>
      <c r="C28" s="732">
        <f t="shared" ref="C28:AF28" si="11">SUM($B27:C27)</f>
        <v>-14439.250534316845</v>
      </c>
      <c r="D28" s="732">
        <f t="shared" si="11"/>
        <v>-29557.783972552323</v>
      </c>
      <c r="E28" s="732">
        <f t="shared" si="11"/>
        <v>-36194.552143482921</v>
      </c>
      <c r="F28" s="732">
        <f t="shared" si="11"/>
        <v>-33934.831344399761</v>
      </c>
      <c r="G28" s="732">
        <f t="shared" si="11"/>
        <v>-31811.517523490573</v>
      </c>
      <c r="H28" s="732">
        <f t="shared" si="11"/>
        <v>-32100.497143718338</v>
      </c>
      <c r="I28" s="732">
        <f t="shared" si="11"/>
        <v>-29178.05209108959</v>
      </c>
      <c r="J28" s="732">
        <f t="shared" si="11"/>
        <v>-25746.140093063397</v>
      </c>
      <c r="K28" s="732">
        <f t="shared" si="11"/>
        <v>-21842.028128890139</v>
      </c>
      <c r="L28" s="732">
        <f t="shared" si="11"/>
        <v>-17500.252987086198</v>
      </c>
      <c r="M28" s="732">
        <f t="shared" si="11"/>
        <v>-26268.201723413003</v>
      </c>
      <c r="N28" s="732">
        <f t="shared" si="11"/>
        <v>-20855.209384247584</v>
      </c>
      <c r="O28" s="732">
        <f t="shared" si="11"/>
        <v>-15030.866989349917</v>
      </c>
      <c r="P28" s="732">
        <f t="shared" si="11"/>
        <v>-8621.1397174634221</v>
      </c>
      <c r="Q28" s="732">
        <f t="shared" si="11"/>
        <v>-1653.5500788839245</v>
      </c>
      <c r="R28" s="732">
        <f t="shared" si="11"/>
        <v>6297.4923901226202</v>
      </c>
      <c r="S28" s="732">
        <f t="shared" si="11"/>
        <v>17760.322157251834</v>
      </c>
      <c r="T28" s="732">
        <f t="shared" si="11"/>
        <v>29822.93867569949</v>
      </c>
      <c r="U28" s="732">
        <f t="shared" si="11"/>
        <v>42451.890827051888</v>
      </c>
      <c r="V28" s="732">
        <f t="shared" si="11"/>
        <v>55743.25464186458</v>
      </c>
      <c r="W28" s="732">
        <f t="shared" si="11"/>
        <v>56587.314170800732</v>
      </c>
      <c r="X28" s="732">
        <f t="shared" si="11"/>
        <v>69843.387711725081</v>
      </c>
      <c r="Y28" s="732">
        <f t="shared" si="11"/>
        <v>83153.573673848121</v>
      </c>
      <c r="Z28" s="732">
        <f t="shared" si="11"/>
        <v>96474.154009355203</v>
      </c>
      <c r="AA28" s="732">
        <f t="shared" si="11"/>
        <v>109760.76014327935</v>
      </c>
      <c r="AB28" s="732">
        <f t="shared" si="11"/>
        <v>120172.64866321329</v>
      </c>
      <c r="AC28" s="732">
        <f t="shared" si="11"/>
        <v>133475.44436859401</v>
      </c>
      <c r="AD28" s="732">
        <f t="shared" si="11"/>
        <v>146743.88664000001</v>
      </c>
      <c r="AE28" s="732">
        <f t="shared" si="11"/>
        <v>160065.71698314842</v>
      </c>
      <c r="AF28" s="732">
        <f t="shared" si="11"/>
        <v>184035.91699639341</v>
      </c>
      <c r="AG28" s="594"/>
      <c r="AH28" s="127"/>
      <c r="AI28" s="127"/>
    </row>
    <row r="29" spans="1:35" ht="15.75" hidden="1" customHeight="1">
      <c r="A29" s="724" t="s">
        <v>723</v>
      </c>
      <c r="B29" s="732"/>
      <c r="C29" s="732"/>
      <c r="D29" s="732" t="str">
        <f t="shared" ref="D29:AF29" si="12">IF(SUM($C29:C29)&gt;0,"",IF(SIGN(D28)=SIGN(C28),"",ABS(C28)/(D28-C28)+C2))</f>
        <v/>
      </c>
      <c r="E29" s="732" t="str">
        <f t="shared" si="12"/>
        <v/>
      </c>
      <c r="F29" s="732" t="str">
        <f t="shared" si="12"/>
        <v/>
      </c>
      <c r="G29" s="732" t="str">
        <f t="shared" si="12"/>
        <v/>
      </c>
      <c r="H29" s="732" t="str">
        <f t="shared" si="12"/>
        <v/>
      </c>
      <c r="I29" s="732" t="str">
        <f t="shared" si="12"/>
        <v/>
      </c>
      <c r="J29" s="732" t="str">
        <f t="shared" si="12"/>
        <v/>
      </c>
      <c r="K29" s="732" t="str">
        <f t="shared" si="12"/>
        <v/>
      </c>
      <c r="L29" s="732" t="str">
        <f t="shared" si="12"/>
        <v/>
      </c>
      <c r="M29" s="732" t="str">
        <f t="shared" si="12"/>
        <v/>
      </c>
      <c r="N29" s="732" t="str">
        <f t="shared" si="12"/>
        <v/>
      </c>
      <c r="O29" s="732" t="str">
        <f t="shared" si="12"/>
        <v/>
      </c>
      <c r="P29" s="732" t="str">
        <f t="shared" si="12"/>
        <v/>
      </c>
      <c r="Q29" s="732" t="str">
        <f t="shared" si="12"/>
        <v/>
      </c>
      <c r="R29" s="732">
        <f t="shared" si="12"/>
        <v>15.207966450352835</v>
      </c>
      <c r="S29" s="732" t="str">
        <f t="shared" si="12"/>
        <v/>
      </c>
      <c r="T29" s="732" t="str">
        <f t="shared" si="12"/>
        <v/>
      </c>
      <c r="U29" s="732" t="str">
        <f t="shared" si="12"/>
        <v/>
      </c>
      <c r="V29" s="732" t="str">
        <f t="shared" si="12"/>
        <v/>
      </c>
      <c r="W29" s="732" t="str">
        <f t="shared" si="12"/>
        <v/>
      </c>
      <c r="X29" s="732" t="str">
        <f t="shared" si="12"/>
        <v/>
      </c>
      <c r="Y29" s="732" t="str">
        <f t="shared" si="12"/>
        <v/>
      </c>
      <c r="Z29" s="732" t="str">
        <f t="shared" si="12"/>
        <v/>
      </c>
      <c r="AA29" s="732" t="str">
        <f t="shared" si="12"/>
        <v/>
      </c>
      <c r="AB29" s="732" t="str">
        <f t="shared" si="12"/>
        <v/>
      </c>
      <c r="AC29" s="732" t="str">
        <f t="shared" si="12"/>
        <v/>
      </c>
      <c r="AD29" s="732" t="str">
        <f t="shared" si="12"/>
        <v/>
      </c>
      <c r="AE29" s="732" t="str">
        <f t="shared" si="12"/>
        <v/>
      </c>
      <c r="AF29" s="732" t="str">
        <f t="shared" si="12"/>
        <v/>
      </c>
      <c r="AG29" s="594"/>
      <c r="AH29" s="127"/>
      <c r="AI29" s="127"/>
    </row>
    <row r="30" spans="1:35" ht="15.75" hidden="1" customHeight="1">
      <c r="A30" s="724" t="s">
        <v>724</v>
      </c>
      <c r="B30" s="732">
        <f t="shared" ref="B30:AF30" si="13">B27/(1+WACC)^B2</f>
        <v>28000.904183053543</v>
      </c>
      <c r="C30" s="732">
        <f t="shared" si="13"/>
        <v>-38797.702907662628</v>
      </c>
      <c r="D30" s="732">
        <f t="shared" si="13"/>
        <v>-12634.782613207248</v>
      </c>
      <c r="E30" s="732">
        <f t="shared" si="13"/>
        <v>-5070.4185592965605</v>
      </c>
      <c r="F30" s="732">
        <f t="shared" si="13"/>
        <v>1578.2325696564553</v>
      </c>
      <c r="G30" s="732">
        <f t="shared" si="13"/>
        <v>1355.6870885138067</v>
      </c>
      <c r="H30" s="732">
        <f t="shared" si="13"/>
        <v>-168.67143659231098</v>
      </c>
      <c r="I30" s="732">
        <f t="shared" si="13"/>
        <v>1559.3720183739824</v>
      </c>
      <c r="J30" s="732">
        <f t="shared" si="13"/>
        <v>1674.0505974143264</v>
      </c>
      <c r="K30" s="732">
        <f t="shared" si="13"/>
        <v>1740.9398081303896</v>
      </c>
      <c r="L30" s="732">
        <f t="shared" si="13"/>
        <v>1769.9372695922286</v>
      </c>
      <c r="M30" s="732">
        <f t="shared" si="13"/>
        <v>-3267.5150987578036</v>
      </c>
      <c r="N30" s="732">
        <f t="shared" si="13"/>
        <v>1844.1067955307635</v>
      </c>
      <c r="O30" s="732">
        <f t="shared" si="13"/>
        <v>1813.9470610577107</v>
      </c>
      <c r="P30" s="732">
        <f t="shared" si="13"/>
        <v>1824.9304434661008</v>
      </c>
      <c r="Q30" s="732">
        <f t="shared" si="13"/>
        <v>1813.5034426857337</v>
      </c>
      <c r="R30" s="732">
        <f t="shared" si="13"/>
        <v>1891.8597935379139</v>
      </c>
      <c r="S30" s="732">
        <f t="shared" si="13"/>
        <v>2493.364500141965</v>
      </c>
      <c r="T30" s="732">
        <f t="shared" si="13"/>
        <v>2398.6368702382797</v>
      </c>
      <c r="U30" s="732">
        <f t="shared" si="13"/>
        <v>2295.7223171174564</v>
      </c>
      <c r="V30" s="732">
        <f t="shared" si="13"/>
        <v>2208.7707311162239</v>
      </c>
      <c r="W30" s="732">
        <f t="shared" si="13"/>
        <v>128.22810517866844</v>
      </c>
      <c r="X30" s="732">
        <f t="shared" si="13"/>
        <v>1841.0013501422579</v>
      </c>
      <c r="Y30" s="732">
        <f t="shared" si="13"/>
        <v>1689.86643600191</v>
      </c>
      <c r="Z30" s="732">
        <f t="shared" si="13"/>
        <v>1546.0390444792938</v>
      </c>
      <c r="AA30" s="732">
        <f t="shared" si="13"/>
        <v>1409.7445594802925</v>
      </c>
      <c r="AB30" s="732">
        <f t="shared" si="13"/>
        <v>1009.9152502080334</v>
      </c>
      <c r="AC30" s="732">
        <f t="shared" si="13"/>
        <v>1179.5799908719484</v>
      </c>
      <c r="AD30" s="732">
        <f t="shared" si="13"/>
        <v>1075.5570947472349</v>
      </c>
      <c r="AE30" s="732">
        <f t="shared" si="13"/>
        <v>987.20303823279403</v>
      </c>
      <c r="AF30" s="732">
        <f t="shared" si="13"/>
        <v>1623.8402324519564</v>
      </c>
      <c r="AG30" s="594"/>
      <c r="AH30" s="127"/>
      <c r="AI30" s="127"/>
    </row>
    <row r="31" spans="1:35" ht="15.75" hidden="1" customHeight="1">
      <c r="A31" s="724" t="s">
        <v>725</v>
      </c>
      <c r="B31" s="732"/>
      <c r="C31" s="732">
        <f t="shared" ref="C31:AF31" si="14">SUM($B30:C30)</f>
        <v>-10796.798724609085</v>
      </c>
      <c r="D31" s="732">
        <f t="shared" si="14"/>
        <v>-23431.581337816333</v>
      </c>
      <c r="E31" s="732">
        <f t="shared" si="14"/>
        <v>-28501.999897112895</v>
      </c>
      <c r="F31" s="732">
        <f t="shared" si="14"/>
        <v>-26923.76732745644</v>
      </c>
      <c r="G31" s="732">
        <f t="shared" si="14"/>
        <v>-25568.080238942635</v>
      </c>
      <c r="H31" s="732">
        <f t="shared" si="14"/>
        <v>-25736.751675534946</v>
      </c>
      <c r="I31" s="732">
        <f t="shared" si="14"/>
        <v>-24177.379657160964</v>
      </c>
      <c r="J31" s="732">
        <f t="shared" si="14"/>
        <v>-22503.329059746637</v>
      </c>
      <c r="K31" s="732">
        <f t="shared" si="14"/>
        <v>-20762.389251616249</v>
      </c>
      <c r="L31" s="732">
        <f t="shared" si="14"/>
        <v>-18992.45198202402</v>
      </c>
      <c r="M31" s="732">
        <f t="shared" si="14"/>
        <v>-22259.967080781826</v>
      </c>
      <c r="N31" s="732">
        <f t="shared" si="14"/>
        <v>-20415.860285251063</v>
      </c>
      <c r="O31" s="732">
        <f t="shared" si="14"/>
        <v>-18601.913224193351</v>
      </c>
      <c r="P31" s="732">
        <f t="shared" si="14"/>
        <v>-16776.982780727252</v>
      </c>
      <c r="Q31" s="732">
        <f t="shared" si="14"/>
        <v>-14963.479338041518</v>
      </c>
      <c r="R31" s="732">
        <f t="shared" si="14"/>
        <v>-13071.619544503603</v>
      </c>
      <c r="S31" s="732">
        <f t="shared" si="14"/>
        <v>-10578.255044361638</v>
      </c>
      <c r="T31" s="732">
        <f t="shared" si="14"/>
        <v>-8179.6181741233586</v>
      </c>
      <c r="U31" s="732">
        <f t="shared" si="14"/>
        <v>-5883.8958570059021</v>
      </c>
      <c r="V31" s="732">
        <f t="shared" si="14"/>
        <v>-3675.1251258896782</v>
      </c>
      <c r="W31" s="732">
        <f t="shared" si="14"/>
        <v>-3546.8970207110096</v>
      </c>
      <c r="X31" s="732">
        <f t="shared" si="14"/>
        <v>-1705.8956705687517</v>
      </c>
      <c r="Y31" s="732">
        <f t="shared" si="14"/>
        <v>-16.029234566841751</v>
      </c>
      <c r="Z31" s="732">
        <f t="shared" si="14"/>
        <v>1530.0098099124521</v>
      </c>
      <c r="AA31" s="732">
        <f t="shared" si="14"/>
        <v>2939.7543693927446</v>
      </c>
      <c r="AB31" s="732">
        <f t="shared" si="14"/>
        <v>3949.6696196007779</v>
      </c>
      <c r="AC31" s="732">
        <f t="shared" si="14"/>
        <v>5129.2496104727261</v>
      </c>
      <c r="AD31" s="732">
        <f t="shared" si="14"/>
        <v>6204.8067052199613</v>
      </c>
      <c r="AE31" s="732">
        <f t="shared" si="14"/>
        <v>7192.0097434527552</v>
      </c>
      <c r="AF31" s="732">
        <f t="shared" si="14"/>
        <v>8815.8499759047118</v>
      </c>
      <c r="AG31" s="594"/>
      <c r="AH31" s="127"/>
      <c r="AI31" s="127"/>
    </row>
    <row r="32" spans="1:35" ht="15.75" hidden="1" customHeight="1">
      <c r="A32" s="724" t="s">
        <v>726</v>
      </c>
      <c r="B32" s="732"/>
      <c r="C32" s="732"/>
      <c r="D32" s="732" t="str">
        <f t="shared" ref="D32:AF32" si="15">IF(SUM($C32:C32)&gt;0,"",IF(SIGN(D31)=SIGN(C31),"",ABS(C31)/(D31-C31)+C2))</f>
        <v/>
      </c>
      <c r="E32" s="732" t="str">
        <f t="shared" si="15"/>
        <v/>
      </c>
      <c r="F32" s="732" t="str">
        <f t="shared" si="15"/>
        <v/>
      </c>
      <c r="G32" s="732" t="str">
        <f t="shared" si="15"/>
        <v/>
      </c>
      <c r="H32" s="732" t="str">
        <f t="shared" si="15"/>
        <v/>
      </c>
      <c r="I32" s="732" t="str">
        <f t="shared" si="15"/>
        <v/>
      </c>
      <c r="J32" s="732" t="str">
        <f t="shared" si="15"/>
        <v/>
      </c>
      <c r="K32" s="732" t="str">
        <f t="shared" si="15"/>
        <v/>
      </c>
      <c r="L32" s="732" t="str">
        <f t="shared" si="15"/>
        <v/>
      </c>
      <c r="M32" s="732" t="str">
        <f t="shared" si="15"/>
        <v/>
      </c>
      <c r="N32" s="732" t="str">
        <f t="shared" si="15"/>
        <v/>
      </c>
      <c r="O32" s="732" t="str">
        <f t="shared" si="15"/>
        <v/>
      </c>
      <c r="P32" s="732" t="str">
        <f t="shared" si="15"/>
        <v/>
      </c>
      <c r="Q32" s="732" t="str">
        <f t="shared" si="15"/>
        <v/>
      </c>
      <c r="R32" s="732" t="str">
        <f t="shared" si="15"/>
        <v/>
      </c>
      <c r="S32" s="732" t="str">
        <f t="shared" si="15"/>
        <v/>
      </c>
      <c r="T32" s="732" t="str">
        <f t="shared" si="15"/>
        <v/>
      </c>
      <c r="U32" s="732" t="str">
        <f t="shared" si="15"/>
        <v/>
      </c>
      <c r="V32" s="732" t="str">
        <f t="shared" si="15"/>
        <v/>
      </c>
      <c r="W32" s="732" t="str">
        <f t="shared" si="15"/>
        <v/>
      </c>
      <c r="X32" s="732" t="str">
        <f t="shared" si="15"/>
        <v/>
      </c>
      <c r="Y32" s="732" t="str">
        <f t="shared" si="15"/>
        <v/>
      </c>
      <c r="Z32" s="732">
        <f t="shared" si="15"/>
        <v>23.010367936452887</v>
      </c>
      <c r="AA32" s="732" t="str">
        <f t="shared" si="15"/>
        <v/>
      </c>
      <c r="AB32" s="732" t="str">
        <f t="shared" si="15"/>
        <v/>
      </c>
      <c r="AC32" s="732" t="str">
        <f t="shared" si="15"/>
        <v/>
      </c>
      <c r="AD32" s="732" t="str">
        <f t="shared" si="15"/>
        <v/>
      </c>
      <c r="AE32" s="732" t="str">
        <f t="shared" si="15"/>
        <v/>
      </c>
      <c r="AF32" s="732" t="str">
        <f t="shared" si="15"/>
        <v/>
      </c>
      <c r="AG32" s="594"/>
      <c r="AH32" s="127"/>
      <c r="AI32" s="127"/>
    </row>
    <row r="33" spans="1:35" ht="15.75" customHeight="1">
      <c r="A33" s="292"/>
      <c r="B33" s="292"/>
      <c r="C33" s="292"/>
      <c r="D33" s="292"/>
      <c r="E33" s="292"/>
      <c r="F33" s="292"/>
      <c r="G33" s="292"/>
      <c r="H33" s="292"/>
      <c r="I33" s="292"/>
      <c r="J33" s="292"/>
      <c r="K33" s="292"/>
      <c r="L33" s="292"/>
      <c r="M33" s="292"/>
      <c r="N33" s="292"/>
      <c r="O33" s="292"/>
      <c r="P33" s="292"/>
      <c r="Q33" s="292"/>
      <c r="R33" s="292"/>
      <c r="S33" s="292"/>
      <c r="T33" s="292"/>
      <c r="U33" s="292"/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57"/>
      <c r="AH33" s="57"/>
      <c r="AI33" s="57"/>
    </row>
    <row r="34" spans="1:35" ht="27.75" customHeight="1">
      <c r="A34" s="724" t="s">
        <v>727</v>
      </c>
      <c r="B34" s="732"/>
      <c r="C34" s="732">
        <f>C15+C24+C21</f>
        <v>2343.7749508223624</v>
      </c>
      <c r="D34" s="732">
        <f t="shared" ref="D34:AF34" si="16">D15+D24+D21</f>
        <v>5224.3853081572688</v>
      </c>
      <c r="E34" s="732">
        <f t="shared" si="16"/>
        <v>6770.744075462153</v>
      </c>
      <c r="F34" s="732">
        <f t="shared" si="16"/>
        <v>7336.5773788092392</v>
      </c>
      <c r="G34" s="732">
        <f t="shared" si="16"/>
        <v>5506.6104006352671</v>
      </c>
      <c r="H34" s="732">
        <f t="shared" si="16"/>
        <v>5976.2092474983128</v>
      </c>
      <c r="I34" s="732">
        <f t="shared" si="16"/>
        <v>6349.3016323548254</v>
      </c>
      <c r="J34" s="732">
        <f t="shared" si="16"/>
        <v>6815.2085777522707</v>
      </c>
      <c r="K34" s="732">
        <f t="shared" si="16"/>
        <v>7287.4085438993352</v>
      </c>
      <c r="L34" s="732">
        <f t="shared" si="16"/>
        <v>7768.6317215300223</v>
      </c>
      <c r="M34" s="732">
        <f t="shared" si="16"/>
        <v>2189.6530521992736</v>
      </c>
      <c r="N34" s="732">
        <f t="shared" si="16"/>
        <v>8796.288918891496</v>
      </c>
      <c r="O34" s="732">
        <f t="shared" si="16"/>
        <v>9251.1989746237487</v>
      </c>
      <c r="P34" s="732">
        <f t="shared" si="16"/>
        <v>9793.0238516125755</v>
      </c>
      <c r="Q34" s="732">
        <f t="shared" si="16"/>
        <v>10350.886218305577</v>
      </c>
      <c r="R34" s="732">
        <f t="shared" si="16"/>
        <v>10876.494757006541</v>
      </c>
      <c r="S34" s="732">
        <f t="shared" si="16"/>
        <v>11462.829767129211</v>
      </c>
      <c r="T34" s="732">
        <f t="shared" si="16"/>
        <v>12062.616518447656</v>
      </c>
      <c r="U34" s="732">
        <f t="shared" si="16"/>
        <v>12672.512151352397</v>
      </c>
      <c r="V34" s="732">
        <f t="shared" si="16"/>
        <v>13291.363814812687</v>
      </c>
      <c r="W34" s="732">
        <f t="shared" si="16"/>
        <v>13291.364737736154</v>
      </c>
      <c r="X34" s="732">
        <f t="shared" si="16"/>
        <v>13299.633540924357</v>
      </c>
      <c r="Y34" s="732">
        <f t="shared" si="16"/>
        <v>13310.185962123032</v>
      </c>
      <c r="Z34" s="732">
        <f t="shared" si="16"/>
        <v>13320.58033550708</v>
      </c>
      <c r="AA34" s="732">
        <f t="shared" si="16"/>
        <v>13330.166133924136</v>
      </c>
      <c r="AB34" s="732">
        <f t="shared" si="16"/>
        <v>13293.780807933936</v>
      </c>
      <c r="AC34" s="732">
        <f t="shared" si="16"/>
        <v>13302.795705380708</v>
      </c>
      <c r="AD34" s="732">
        <f t="shared" si="16"/>
        <v>13312.002271406001</v>
      </c>
      <c r="AE34" s="732">
        <f t="shared" si="16"/>
        <v>13321.830343148398</v>
      </c>
      <c r="AF34" s="732">
        <f t="shared" si="16"/>
        <v>20522.134016044998</v>
      </c>
      <c r="AG34" s="594"/>
      <c r="AH34" s="265"/>
      <c r="AI34" s="266"/>
    </row>
    <row r="35" spans="1:35" ht="15.75" customHeight="1">
      <c r="A35" s="292"/>
      <c r="B35" s="292"/>
      <c r="C35" s="292"/>
      <c r="D35" s="292"/>
      <c r="E35" s="292"/>
      <c r="F35" s="292"/>
      <c r="G35" s="292"/>
      <c r="H35" s="292"/>
      <c r="I35" s="292"/>
      <c r="J35" s="292"/>
      <c r="K35" s="292"/>
      <c r="L35" s="292"/>
      <c r="M35" s="292"/>
      <c r="N35" s="292"/>
      <c r="O35" s="292"/>
      <c r="P35" s="292"/>
      <c r="Q35" s="292"/>
      <c r="R35" s="292"/>
      <c r="S35" s="292"/>
      <c r="T35" s="292"/>
      <c r="U35" s="292"/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57"/>
      <c r="AH35" s="57"/>
      <c r="AI35" s="57"/>
    </row>
    <row r="36" spans="1:35" ht="27.75" customHeight="1">
      <c r="A36" s="724" t="s">
        <v>728</v>
      </c>
      <c r="B36" s="732"/>
      <c r="C36" s="732">
        <f>C25+C26</f>
        <v>-41400.633088466668</v>
      </c>
      <c r="D36" s="732">
        <f t="shared" ref="D36:AF36" si="17">D25+D26</f>
        <v>-16959.622166666668</v>
      </c>
      <c r="E36" s="732">
        <f t="shared" si="17"/>
        <v>-10024.215666666669</v>
      </c>
      <c r="F36" s="732">
        <f t="shared" si="17"/>
        <v>-1693.56</v>
      </c>
      <c r="G36" s="732">
        <f t="shared" si="17"/>
        <v>0</v>
      </c>
      <c r="H36" s="732">
        <f t="shared" si="17"/>
        <v>-2881.892288</v>
      </c>
      <c r="I36" s="732">
        <f t="shared" si="17"/>
        <v>-43.560000000000009</v>
      </c>
      <c r="J36" s="732">
        <f t="shared" si="17"/>
        <v>0</v>
      </c>
      <c r="K36" s="732">
        <f t="shared" si="17"/>
        <v>0</v>
      </c>
      <c r="L36" s="732">
        <f t="shared" si="17"/>
        <v>-43.560000000000009</v>
      </c>
      <c r="M36" s="732">
        <f t="shared" si="17"/>
        <v>-7574.3052088000004</v>
      </c>
      <c r="N36" s="732">
        <f t="shared" si="17"/>
        <v>0</v>
      </c>
      <c r="O36" s="732">
        <f t="shared" si="17"/>
        <v>-43.560000000000009</v>
      </c>
      <c r="P36" s="732">
        <f t="shared" si="17"/>
        <v>0</v>
      </c>
      <c r="Q36" s="732">
        <f t="shared" si="17"/>
        <v>0</v>
      </c>
      <c r="R36" s="732">
        <f t="shared" si="17"/>
        <v>-2925.4522880000004</v>
      </c>
      <c r="S36" s="732">
        <f t="shared" si="17"/>
        <v>0</v>
      </c>
      <c r="T36" s="732">
        <f t="shared" si="17"/>
        <v>0</v>
      </c>
      <c r="U36" s="732">
        <f t="shared" si="17"/>
        <v>-43.560000000000009</v>
      </c>
      <c r="V36" s="732">
        <f t="shared" si="17"/>
        <v>0</v>
      </c>
      <c r="W36" s="732">
        <f t="shared" si="17"/>
        <v>-12447.305208800002</v>
      </c>
      <c r="X36" s="732">
        <f t="shared" si="17"/>
        <v>-43.560000000000009</v>
      </c>
      <c r="Y36" s="732">
        <f t="shared" si="17"/>
        <v>0</v>
      </c>
      <c r="Z36" s="732">
        <f t="shared" si="17"/>
        <v>0</v>
      </c>
      <c r="AA36" s="732">
        <f t="shared" si="17"/>
        <v>-43.560000000000009</v>
      </c>
      <c r="AB36" s="732">
        <f t="shared" si="17"/>
        <v>-2881.892288</v>
      </c>
      <c r="AC36" s="732">
        <f t="shared" si="17"/>
        <v>0</v>
      </c>
      <c r="AD36" s="732">
        <f t="shared" si="17"/>
        <v>-43.560000000000009</v>
      </c>
      <c r="AE36" s="732">
        <f t="shared" si="17"/>
        <v>0</v>
      </c>
      <c r="AF36" s="732">
        <f t="shared" si="17"/>
        <v>3448.065997199998</v>
      </c>
      <c r="AG36" s="594"/>
      <c r="AH36" s="265"/>
      <c r="AI36" s="266"/>
    </row>
    <row r="37" spans="1:35" ht="15.75" customHeight="1">
      <c r="A37" s="292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57"/>
      <c r="AH37" s="57"/>
      <c r="AI37" s="57"/>
    </row>
    <row r="38" spans="1:35" ht="27.75" customHeight="1">
      <c r="A38" s="724" t="s">
        <v>729</v>
      </c>
      <c r="B38" s="293"/>
      <c r="C38" s="732">
        <f>SUM(C36,C34)</f>
        <v>-39056.858137644303</v>
      </c>
      <c r="D38" s="732">
        <f t="shared" ref="D38:AF38" si="18">SUM(D36,D34)</f>
        <v>-11735.236858509399</v>
      </c>
      <c r="E38" s="732">
        <f t="shared" si="18"/>
        <v>-3253.4715912045158</v>
      </c>
      <c r="F38" s="732">
        <f t="shared" si="18"/>
        <v>5643.0173788092397</v>
      </c>
      <c r="G38" s="732">
        <f t="shared" si="18"/>
        <v>5506.6104006352671</v>
      </c>
      <c r="H38" s="732">
        <f t="shared" si="18"/>
        <v>3094.3169594983128</v>
      </c>
      <c r="I38" s="732">
        <f t="shared" si="18"/>
        <v>6305.741632354825</v>
      </c>
      <c r="J38" s="732">
        <f t="shared" si="18"/>
        <v>6815.2085777522707</v>
      </c>
      <c r="K38" s="732">
        <f t="shared" si="18"/>
        <v>7287.4085438993352</v>
      </c>
      <c r="L38" s="732">
        <f t="shared" si="18"/>
        <v>7725.0717215300219</v>
      </c>
      <c r="M38" s="732">
        <f t="shared" si="18"/>
        <v>-5384.6521566007268</v>
      </c>
      <c r="N38" s="732">
        <f t="shared" si="18"/>
        <v>8796.288918891496</v>
      </c>
      <c r="O38" s="732">
        <f t="shared" si="18"/>
        <v>9207.6389746237492</v>
      </c>
      <c r="P38" s="732">
        <f t="shared" si="18"/>
        <v>9793.0238516125755</v>
      </c>
      <c r="Q38" s="732">
        <f t="shared" si="18"/>
        <v>10350.886218305577</v>
      </c>
      <c r="R38" s="732">
        <f t="shared" si="18"/>
        <v>7951.0424690065411</v>
      </c>
      <c r="S38" s="732">
        <f t="shared" si="18"/>
        <v>11462.829767129211</v>
      </c>
      <c r="T38" s="732">
        <f t="shared" si="18"/>
        <v>12062.616518447656</v>
      </c>
      <c r="U38" s="732">
        <f t="shared" si="18"/>
        <v>12628.952151352398</v>
      </c>
      <c r="V38" s="732">
        <f t="shared" si="18"/>
        <v>13291.363814812687</v>
      </c>
      <c r="W38" s="732">
        <f t="shared" si="18"/>
        <v>844.05952893615176</v>
      </c>
      <c r="X38" s="732">
        <f t="shared" si="18"/>
        <v>13256.073540924357</v>
      </c>
      <c r="Y38" s="732">
        <f t="shared" si="18"/>
        <v>13310.185962123032</v>
      </c>
      <c r="Z38" s="732">
        <f t="shared" si="18"/>
        <v>13320.58033550708</v>
      </c>
      <c r="AA38" s="732">
        <f t="shared" si="18"/>
        <v>13286.606133924137</v>
      </c>
      <c r="AB38" s="732">
        <f t="shared" si="18"/>
        <v>10411.888519933935</v>
      </c>
      <c r="AC38" s="732">
        <f t="shared" si="18"/>
        <v>13302.795705380708</v>
      </c>
      <c r="AD38" s="732">
        <f t="shared" si="18"/>
        <v>13268.442271406002</v>
      </c>
      <c r="AE38" s="732">
        <f t="shared" si="18"/>
        <v>13321.830343148398</v>
      </c>
      <c r="AF38" s="732">
        <f t="shared" si="18"/>
        <v>23970.200013244998</v>
      </c>
      <c r="AG38" s="594"/>
      <c r="AH38" s="265"/>
      <c r="AI38" s="266"/>
    </row>
    <row r="39" spans="1:35" ht="15.75" customHeight="1">
      <c r="A39" s="292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57"/>
      <c r="AH39" s="57"/>
      <c r="AI39" s="57"/>
    </row>
    <row r="40" spans="1:35" ht="15.75" customHeight="1">
      <c r="A40" s="292"/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57"/>
      <c r="AH40" s="57"/>
      <c r="AI40" s="57"/>
    </row>
    <row r="41" spans="1:35" ht="15.75" customHeight="1">
      <c r="A41" s="292"/>
      <c r="B41" s="294"/>
      <c r="C41" s="292"/>
      <c r="D41" s="292"/>
      <c r="E41" s="292"/>
      <c r="F41" s="292"/>
      <c r="G41" s="292"/>
      <c r="H41" s="292"/>
      <c r="I41" s="292"/>
      <c r="J41" s="292"/>
      <c r="K41" s="292"/>
      <c r="L41" s="292"/>
      <c r="M41" s="292"/>
      <c r="N41" s="292"/>
      <c r="O41" s="292"/>
      <c r="P41" s="292"/>
      <c r="Q41" s="292"/>
      <c r="R41" s="292"/>
      <c r="S41" s="292"/>
      <c r="T41" s="292"/>
      <c r="U41" s="292"/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57"/>
      <c r="AH41" s="57"/>
      <c r="AI41" s="57"/>
    </row>
    <row r="42" spans="1:35" ht="15.75" customHeight="1">
      <c r="A42" s="292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57"/>
      <c r="AH42" s="57"/>
      <c r="AI42" s="57"/>
    </row>
    <row r="43" spans="1:35" ht="15.75" customHeight="1">
      <c r="A43" s="292"/>
      <c r="B43" s="292"/>
      <c r="C43" s="292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57"/>
      <c r="AH43" s="57"/>
      <c r="AI43" s="57"/>
    </row>
    <row r="44" spans="1:35" ht="15.75" customHeight="1">
      <c r="A44" s="292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57"/>
      <c r="AH44" s="57"/>
      <c r="AI44" s="57"/>
    </row>
    <row r="45" spans="1:35" ht="15.75" customHeight="1">
      <c r="A45" s="733"/>
      <c r="B45" s="733"/>
      <c r="C45" s="733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57"/>
      <c r="AH45" s="57"/>
      <c r="AI45" s="57"/>
    </row>
    <row r="46" spans="1:35" ht="15.75" customHeight="1">
      <c r="A46" s="734" t="s">
        <v>730</v>
      </c>
      <c r="B46" s="732">
        <f>SUM(B47:B49)</f>
        <v>53958.462365853156</v>
      </c>
      <c r="C46" s="733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57"/>
      <c r="AH46" s="57"/>
      <c r="AI46" s="57"/>
    </row>
    <row r="47" spans="1:35" ht="15.75" customHeight="1">
      <c r="A47" s="734" t="s">
        <v>731</v>
      </c>
      <c r="B47" s="732">
        <f t="array" ref="B47">NPV(WACC,C27:AF27)+B27</f>
        <v>8815.8499759047263</v>
      </c>
      <c r="C47" s="733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57"/>
      <c r="AH47" s="57"/>
      <c r="AI47" s="57"/>
    </row>
    <row r="48" spans="1:35" ht="15.75" customHeight="1">
      <c r="A48" s="734" t="s">
        <v>732</v>
      </c>
      <c r="B48" s="732">
        <f t="array" ref="B48">-NPV(WACC,C8:AF8)</f>
        <v>19730.670512378612</v>
      </c>
      <c r="C48" s="733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57"/>
      <c r="AH48" s="57"/>
      <c r="AI48" s="57"/>
    </row>
    <row r="49" spans="1:35" ht="15.75" customHeight="1">
      <c r="A49" s="734" t="s">
        <v>733</v>
      </c>
      <c r="B49" s="732">
        <f t="array" ref="B49">-NPV(WACC,C9:AF9)</f>
        <v>25411.941877569818</v>
      </c>
      <c r="C49" s="733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57"/>
      <c r="AH49" s="57"/>
      <c r="AI49" s="57"/>
    </row>
    <row r="50" spans="1:35" ht="15.75" customHeight="1">
      <c r="A50" s="734" t="s">
        <v>734</v>
      </c>
      <c r="B50" s="732">
        <f t="array" ref="B50">-NPV(WACC,C4:AF4)-NPV(WACC,C21:AF21)</f>
        <v>141991.09424466622</v>
      </c>
      <c r="C50" s="733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57"/>
      <c r="AH50" s="57"/>
      <c r="AI50" s="57"/>
    </row>
    <row r="51" spans="1:35" ht="15.75" customHeight="1">
      <c r="A51" s="734" t="s">
        <v>735</v>
      </c>
      <c r="B51" s="735">
        <f>IFERROR(IRR(B27:AF27),"NA")</f>
        <v>0.11474272586423928</v>
      </c>
      <c r="C51" s="736">
        <f>WACC</f>
        <v>9.3883182166137238E-2</v>
      </c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57"/>
      <c r="AH51" s="57"/>
      <c r="AI51" s="57"/>
    </row>
    <row r="52" spans="1:35" ht="15.75" customHeight="1">
      <c r="A52" s="734" t="s">
        <v>736</v>
      </c>
      <c r="B52" s="735">
        <f>IFERROR(MIRR(B27:AF27,WACC,WACC),"NA")</f>
        <v>9.8898053397653785E-2</v>
      </c>
      <c r="C52" s="737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57"/>
      <c r="AH52" s="57"/>
      <c r="AI52" s="57"/>
    </row>
    <row r="53" spans="1:35" ht="15.75" customHeight="1">
      <c r="A53" s="734" t="s">
        <v>737</v>
      </c>
      <c r="B53" s="738">
        <f>IF(SUM(B29:AF29)=0,"NA",SUM(B29:AF29))</f>
        <v>15.207966450352835</v>
      </c>
      <c r="C53" s="737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57"/>
      <c r="AH53" s="57"/>
      <c r="AI53" s="57"/>
    </row>
    <row r="54" spans="1:35" ht="15.75" customHeight="1">
      <c r="A54" s="734" t="s">
        <v>738</v>
      </c>
      <c r="B54" s="738">
        <f>IF(SUM(B32:AF32)=0,"NA",SUM(B32:AF32))</f>
        <v>23.010367936452887</v>
      </c>
      <c r="C54" s="737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57"/>
      <c r="AH54" s="57"/>
      <c r="AI54" s="57"/>
    </row>
    <row r="55" spans="1:35" ht="15.75" customHeight="1">
      <c r="A55" s="734" t="s">
        <v>739</v>
      </c>
      <c r="B55" s="739">
        <f t="array" ref="B55">NPV(WACC,C3:AF3)/-((NPV(WACC,C27:AF27)-NPV(WACC,C3:AF3))+B27)</f>
        <v>1.0176520708802417</v>
      </c>
      <c r="C55" s="733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57"/>
      <c r="AH55" s="57"/>
      <c r="AI55" s="57"/>
    </row>
  </sheetData>
  <conditionalFormatting sqref="B51:B54">
    <cfRule type="cellIs" dxfId="2" priority="1" operator="lessThan">
      <formula>$C$51</formula>
    </cfRule>
  </conditionalFormatting>
  <conditionalFormatting sqref="B53:B54">
    <cfRule type="containsText" dxfId="1" priority="4" operator="containsText" text="NA">
      <formula>NOT(ISERROR(SEARCH(("NA"),(B53))))</formula>
    </cfRule>
  </conditionalFormatting>
  <conditionalFormatting sqref="B55">
    <cfRule type="cellIs" dxfId="0" priority="2" operator="between">
      <formula>0</formula>
      <formula>1</formula>
    </cfRule>
  </conditionalFormatting>
  <pageMargins left="0.511811024" right="0.511811024" top="0.78740157499999996" bottom="0.78740157499999996" header="0" footer="0"/>
  <pageSetup paperSize="9" orientation="portrait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34"/>
  <dimension ref="A1:AE18"/>
  <sheetViews>
    <sheetView workbookViewId="0"/>
  </sheetViews>
  <sheetFormatPr defaultColWidth="10.88671875" defaultRowHeight="15.6"/>
  <cols>
    <col min="1" max="1" width="31.5546875" bestFit="1" customWidth="1"/>
    <col min="2" max="2" width="12.44140625" bestFit="1" customWidth="1"/>
    <col min="31" max="31" width="12.44140625" bestFit="1" customWidth="1"/>
  </cols>
  <sheetData>
    <row r="1" spans="1:31">
      <c r="A1" s="399" t="s">
        <v>740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</row>
    <row r="2" spans="1:31">
      <c r="A2" s="460" t="s">
        <v>741</v>
      </c>
      <c r="B2">
        <f>-1478*(-1000)</f>
        <v>1478000</v>
      </c>
      <c r="C2">
        <f t="shared" ref="C2:AE2" si="0">-5707.9*(-1000)</f>
        <v>5707900</v>
      </c>
      <c r="D2">
        <f t="shared" si="0"/>
        <v>5707900</v>
      </c>
      <c r="E2">
        <f t="shared" si="0"/>
        <v>5707900</v>
      </c>
      <c r="F2">
        <f t="shared" si="0"/>
        <v>5707900</v>
      </c>
      <c r="G2">
        <f t="shared" si="0"/>
        <v>5707900</v>
      </c>
      <c r="H2">
        <f t="shared" si="0"/>
        <v>5707900</v>
      </c>
      <c r="I2">
        <f t="shared" si="0"/>
        <v>5707900</v>
      </c>
      <c r="J2">
        <f t="shared" si="0"/>
        <v>5707900</v>
      </c>
      <c r="K2">
        <f t="shared" si="0"/>
        <v>5707900</v>
      </c>
      <c r="L2">
        <f t="shared" si="0"/>
        <v>5707900</v>
      </c>
      <c r="M2">
        <f t="shared" si="0"/>
        <v>5707900</v>
      </c>
      <c r="N2">
        <f t="shared" si="0"/>
        <v>5707900</v>
      </c>
      <c r="O2">
        <f t="shared" si="0"/>
        <v>5707900</v>
      </c>
      <c r="P2">
        <f t="shared" si="0"/>
        <v>5707900</v>
      </c>
      <c r="Q2">
        <f t="shared" si="0"/>
        <v>5707900</v>
      </c>
      <c r="R2">
        <f t="shared" si="0"/>
        <v>5707900</v>
      </c>
      <c r="S2">
        <f t="shared" si="0"/>
        <v>5707900</v>
      </c>
      <c r="T2">
        <f t="shared" si="0"/>
        <v>5707900</v>
      </c>
      <c r="U2">
        <f t="shared" si="0"/>
        <v>5707900</v>
      </c>
      <c r="V2">
        <f t="shared" si="0"/>
        <v>5707900</v>
      </c>
      <c r="W2">
        <f t="shared" si="0"/>
        <v>5707900</v>
      </c>
      <c r="X2">
        <f t="shared" si="0"/>
        <v>5707900</v>
      </c>
      <c r="Y2">
        <f t="shared" si="0"/>
        <v>5707900</v>
      </c>
      <c r="Z2">
        <f t="shared" si="0"/>
        <v>5707900</v>
      </c>
      <c r="AA2">
        <f t="shared" si="0"/>
        <v>5707900</v>
      </c>
      <c r="AB2">
        <f t="shared" si="0"/>
        <v>5707900</v>
      </c>
      <c r="AC2">
        <f t="shared" si="0"/>
        <v>5707900</v>
      </c>
      <c r="AD2">
        <f t="shared" si="0"/>
        <v>5707900</v>
      </c>
      <c r="AE2">
        <f t="shared" si="0"/>
        <v>5707900</v>
      </c>
    </row>
    <row r="3" spans="1:31">
      <c r="A3" s="460" t="s">
        <v>742</v>
      </c>
      <c r="B3">
        <f>-1108.7*(-1000)</f>
        <v>1108700</v>
      </c>
      <c r="C3">
        <f>-5478.6*(-1000)</f>
        <v>5478600</v>
      </c>
      <c r="D3">
        <f>-5662.3*(-1000)</f>
        <v>5662300</v>
      </c>
      <c r="E3">
        <f>-5840.3*(-1000)</f>
        <v>5840300</v>
      </c>
      <c r="F3">
        <f>-6021*(-1000)</f>
        <v>6021000</v>
      </c>
      <c r="G3">
        <f>-6205*(-1000)</f>
        <v>6205000</v>
      </c>
      <c r="H3">
        <f>-6394.2*(-1000)</f>
        <v>6394200</v>
      </c>
      <c r="I3">
        <f>-6588.8*(-1000)</f>
        <v>6588800</v>
      </c>
      <c r="J3">
        <f>-6787.1*(-1000)</f>
        <v>6787100</v>
      </c>
      <c r="K3">
        <f>-6988.9*(-1000)</f>
        <v>6988900</v>
      </c>
      <c r="L3">
        <f>-7197.2*(-1000)</f>
        <v>7197200</v>
      </c>
      <c r="M3">
        <f>-7411.6*(-1000)</f>
        <v>7411600</v>
      </c>
      <c r="N3">
        <f>-7632.9*(-1000)</f>
        <v>7632900</v>
      </c>
      <c r="O3">
        <f>-7860.9*(-1000)</f>
        <v>7860900</v>
      </c>
      <c r="P3">
        <f>-8095.8*(-1000)</f>
        <v>8095800</v>
      </c>
      <c r="Q3">
        <f>-8337*(-1000)</f>
        <v>8337000</v>
      </c>
      <c r="R3">
        <f>-8584.4*(-1000)</f>
        <v>8584400</v>
      </c>
      <c r="S3">
        <f>-8837.2*(-1000)</f>
        <v>8837200</v>
      </c>
      <c r="T3">
        <f>-9094.5*(-1000)</f>
        <v>9094500</v>
      </c>
      <c r="U3">
        <f t="shared" ref="U3:AE3" si="1">-9355.3*(-1000)</f>
        <v>9355300</v>
      </c>
      <c r="V3">
        <f t="shared" si="1"/>
        <v>9355300</v>
      </c>
      <c r="W3">
        <f t="shared" si="1"/>
        <v>9355300</v>
      </c>
      <c r="X3">
        <f t="shared" si="1"/>
        <v>9355300</v>
      </c>
      <c r="Y3">
        <f t="shared" si="1"/>
        <v>9355300</v>
      </c>
      <c r="Z3">
        <f t="shared" si="1"/>
        <v>9355300</v>
      </c>
      <c r="AA3">
        <f t="shared" si="1"/>
        <v>9355300</v>
      </c>
      <c r="AB3">
        <f t="shared" si="1"/>
        <v>9355300</v>
      </c>
      <c r="AC3">
        <f t="shared" si="1"/>
        <v>9355300</v>
      </c>
      <c r="AD3">
        <f t="shared" si="1"/>
        <v>9355300</v>
      </c>
      <c r="AE3">
        <f t="shared" si="1"/>
        <v>9355300</v>
      </c>
    </row>
    <row r="4" spans="1:31">
      <c r="A4" s="460" t="s">
        <v>743</v>
      </c>
      <c r="B4" t="s">
        <v>744</v>
      </c>
      <c r="C4" t="s">
        <v>744</v>
      </c>
      <c r="D4" t="s">
        <v>745</v>
      </c>
      <c r="E4" t="s">
        <v>745</v>
      </c>
      <c r="F4">
        <f>-2339.4*(-1000)</f>
        <v>2339400</v>
      </c>
      <c r="G4">
        <f>-2412.7*(-1000)</f>
        <v>2412700</v>
      </c>
      <c r="H4">
        <f>-2488.1*(-1000)</f>
        <v>2488100</v>
      </c>
      <c r="I4">
        <f>-2565.7*(-1000)</f>
        <v>2565700</v>
      </c>
      <c r="J4">
        <f>-2644.7*(-1000)</f>
        <v>2644700</v>
      </c>
      <c r="K4">
        <f>-2725.1*(-1000)</f>
        <v>2725100</v>
      </c>
      <c r="L4">
        <f>-2808.1*(-1000)</f>
        <v>2808100</v>
      </c>
      <c r="M4">
        <f>-2893.6*(-1000)</f>
        <v>2893600</v>
      </c>
      <c r="N4">
        <f>-2981.8*(-1000)</f>
        <v>2981800</v>
      </c>
      <c r="O4">
        <f>-3072.7*(-1000)</f>
        <v>3072700</v>
      </c>
      <c r="P4">
        <f>-3166.3*(-1000)</f>
        <v>3166300</v>
      </c>
      <c r="Q4">
        <f>-3262.5*(-1000)</f>
        <v>3262500</v>
      </c>
      <c r="R4">
        <f>-3361.1*(-1000)</f>
        <v>3361100</v>
      </c>
      <c r="S4">
        <f>-3461.8*(-1000)</f>
        <v>3461800</v>
      </c>
      <c r="T4">
        <f>-3564.4*(-1000)</f>
        <v>3564400</v>
      </c>
      <c r="U4">
        <f t="shared" ref="U4:AE5" si="2">-3668.3*(-1000)</f>
        <v>3668300</v>
      </c>
      <c r="V4">
        <f t="shared" si="2"/>
        <v>3668300</v>
      </c>
      <c r="W4">
        <f t="shared" si="2"/>
        <v>3668300</v>
      </c>
      <c r="X4">
        <f t="shared" si="2"/>
        <v>3668300</v>
      </c>
      <c r="Y4">
        <f t="shared" si="2"/>
        <v>3668300</v>
      </c>
      <c r="Z4">
        <f t="shared" si="2"/>
        <v>3668300</v>
      </c>
      <c r="AA4">
        <f t="shared" si="2"/>
        <v>3668300</v>
      </c>
      <c r="AB4">
        <f t="shared" si="2"/>
        <v>3668300</v>
      </c>
      <c r="AC4">
        <f t="shared" si="2"/>
        <v>3668300</v>
      </c>
      <c r="AD4">
        <f t="shared" si="2"/>
        <v>3668300</v>
      </c>
      <c r="AE4">
        <f t="shared" si="2"/>
        <v>3668300</v>
      </c>
    </row>
    <row r="5" spans="1:31">
      <c r="A5" s="460" t="s">
        <v>746</v>
      </c>
      <c r="B5">
        <f>-706*(-1000)</f>
        <v>706000</v>
      </c>
      <c r="C5">
        <f>-2123.1*(-1000)</f>
        <v>2123100</v>
      </c>
      <c r="D5">
        <f>-2196.4*(-1000)</f>
        <v>2196400</v>
      </c>
      <c r="E5">
        <f>-2267.3*(-1000)</f>
        <v>2267300</v>
      </c>
      <c r="F5">
        <f>-2339.4*(-1000)</f>
        <v>2339400</v>
      </c>
      <c r="G5">
        <f>-2412.7*(-1000)</f>
        <v>2412700</v>
      </c>
      <c r="H5">
        <f>-2488.1*(-1000)</f>
        <v>2488100</v>
      </c>
      <c r="I5">
        <f>-2565.7*(-1000)</f>
        <v>2565700</v>
      </c>
      <c r="J5">
        <f>-2644.7*(-1000)</f>
        <v>2644700</v>
      </c>
      <c r="K5">
        <f>-2725.1*(-1000)</f>
        <v>2725100</v>
      </c>
      <c r="L5">
        <f>-2808.1*(-1000)</f>
        <v>2808100</v>
      </c>
      <c r="M5">
        <f>-2893.6*(-1000)</f>
        <v>2893600</v>
      </c>
      <c r="N5">
        <f>-2981.8*(-1000)</f>
        <v>2981800</v>
      </c>
      <c r="O5">
        <f>-3072.7*(-1000)</f>
        <v>3072700</v>
      </c>
      <c r="P5">
        <f>-3166.3*(-1000)</f>
        <v>3166300</v>
      </c>
      <c r="Q5">
        <f>-3262.5*(-1000)</f>
        <v>3262500</v>
      </c>
      <c r="R5">
        <f>-3361.1*(-1000)</f>
        <v>3361100</v>
      </c>
      <c r="S5">
        <f>-3461.8*(-1000)</f>
        <v>3461800</v>
      </c>
      <c r="T5">
        <f>-3564.4*(-1000)</f>
        <v>3564400</v>
      </c>
      <c r="U5">
        <f t="shared" si="2"/>
        <v>3668300</v>
      </c>
      <c r="V5">
        <f t="shared" si="2"/>
        <v>3668300</v>
      </c>
      <c r="W5">
        <f t="shared" si="2"/>
        <v>3668300</v>
      </c>
      <c r="X5">
        <f t="shared" si="2"/>
        <v>3668300</v>
      </c>
      <c r="Y5">
        <f t="shared" si="2"/>
        <v>3668300</v>
      </c>
      <c r="Z5">
        <f t="shared" si="2"/>
        <v>3668300</v>
      </c>
      <c r="AA5">
        <f t="shared" si="2"/>
        <v>3668300</v>
      </c>
      <c r="AB5">
        <f t="shared" si="2"/>
        <v>3668300</v>
      </c>
      <c r="AC5">
        <f t="shared" si="2"/>
        <v>3668300</v>
      </c>
      <c r="AD5">
        <f t="shared" si="2"/>
        <v>3668300</v>
      </c>
      <c r="AE5">
        <f t="shared" si="2"/>
        <v>3668300</v>
      </c>
    </row>
    <row r="6" spans="1:31">
      <c r="A6" s="460" t="s">
        <v>747</v>
      </c>
      <c r="B6">
        <f t="shared" ref="B6:AE6" si="3">-4549.1*(-1000)</f>
        <v>4549100</v>
      </c>
      <c r="C6">
        <f t="shared" si="3"/>
        <v>4549100</v>
      </c>
      <c r="D6">
        <f t="shared" si="3"/>
        <v>4549100</v>
      </c>
      <c r="E6">
        <f t="shared" si="3"/>
        <v>4549100</v>
      </c>
      <c r="F6">
        <f t="shared" si="3"/>
        <v>4549100</v>
      </c>
      <c r="G6">
        <f t="shared" si="3"/>
        <v>4549100</v>
      </c>
      <c r="H6">
        <f t="shared" si="3"/>
        <v>4549100</v>
      </c>
      <c r="I6">
        <f t="shared" si="3"/>
        <v>4549100</v>
      </c>
      <c r="J6">
        <f t="shared" si="3"/>
        <v>4549100</v>
      </c>
      <c r="K6">
        <f t="shared" si="3"/>
        <v>4549100</v>
      </c>
      <c r="L6">
        <f t="shared" si="3"/>
        <v>4549100</v>
      </c>
      <c r="M6">
        <f t="shared" si="3"/>
        <v>4549100</v>
      </c>
      <c r="N6">
        <f t="shared" si="3"/>
        <v>4549100</v>
      </c>
      <c r="O6">
        <f t="shared" si="3"/>
        <v>4549100</v>
      </c>
      <c r="P6">
        <f t="shared" si="3"/>
        <v>4549100</v>
      </c>
      <c r="Q6">
        <f t="shared" si="3"/>
        <v>4549100</v>
      </c>
      <c r="R6">
        <f t="shared" si="3"/>
        <v>4549100</v>
      </c>
      <c r="S6">
        <f t="shared" si="3"/>
        <v>4549100</v>
      </c>
      <c r="T6">
        <f t="shared" si="3"/>
        <v>4549100</v>
      </c>
      <c r="U6">
        <f t="shared" si="3"/>
        <v>4549100</v>
      </c>
      <c r="V6">
        <f t="shared" si="3"/>
        <v>4549100</v>
      </c>
      <c r="W6">
        <f t="shared" si="3"/>
        <v>4549100</v>
      </c>
      <c r="X6">
        <f t="shared" si="3"/>
        <v>4549100</v>
      </c>
      <c r="Y6">
        <f t="shared" si="3"/>
        <v>4549100</v>
      </c>
      <c r="Z6">
        <f t="shared" si="3"/>
        <v>4549100</v>
      </c>
      <c r="AA6">
        <f t="shared" si="3"/>
        <v>4549100</v>
      </c>
      <c r="AB6">
        <f t="shared" si="3"/>
        <v>4549100</v>
      </c>
      <c r="AC6">
        <f t="shared" si="3"/>
        <v>4549100</v>
      </c>
      <c r="AD6">
        <f t="shared" si="3"/>
        <v>4549100</v>
      </c>
      <c r="AE6">
        <f t="shared" si="3"/>
        <v>4549100</v>
      </c>
    </row>
    <row r="7" spans="1:31">
      <c r="A7" s="460" t="s">
        <v>748</v>
      </c>
      <c r="B7">
        <f>-7486.8*(-1000)</f>
        <v>7486800</v>
      </c>
      <c r="C7">
        <f>-7670.3*(-1000)</f>
        <v>7670300</v>
      </c>
      <c r="D7">
        <f>-7776.3*(-1000)</f>
        <v>7776300</v>
      </c>
      <c r="E7">
        <f>-7879.4*(-1000)</f>
        <v>7879400</v>
      </c>
      <c r="F7">
        <f>-7983.4*(-1000)</f>
        <v>7983400</v>
      </c>
      <c r="G7">
        <f>-8147*(-1000)</f>
        <v>8147000</v>
      </c>
      <c r="H7">
        <f>-8257.4*(-1000)</f>
        <v>8257400</v>
      </c>
      <c r="I7">
        <f>-8370.6*(-1000)</f>
        <v>8370600</v>
      </c>
      <c r="J7">
        <f>-8486.2*(-1000)</f>
        <v>8486200</v>
      </c>
      <c r="K7">
        <f>-8605*(-1000)</f>
        <v>8605000</v>
      </c>
      <c r="L7">
        <f>-8815.8*(-1000)</f>
        <v>8815800</v>
      </c>
      <c r="M7">
        <f>-8942*(-1000)</f>
        <v>8942000</v>
      </c>
      <c r="N7">
        <f>-9073.6*(-1000)</f>
        <v>9073600</v>
      </c>
      <c r="O7">
        <f>-9208.7*(-1000)</f>
        <v>9208700</v>
      </c>
      <c r="P7">
        <f>-9348.4*(-1000)</f>
        <v>9348400</v>
      </c>
      <c r="Q7">
        <f>-9550.5*(-1000)</f>
        <v>9550500</v>
      </c>
      <c r="R7">
        <f>-9698.4*(-1000)</f>
        <v>9698400</v>
      </c>
      <c r="S7">
        <f>-9849.8*(-1000)</f>
        <v>9849800</v>
      </c>
      <c r="T7">
        <f>-10005.2*(-1000)</f>
        <v>10005200</v>
      </c>
      <c r="U7">
        <f>-10161.8*(-1000)</f>
        <v>10161800</v>
      </c>
      <c r="V7">
        <f>-10235.6*(-1000)</f>
        <v>10235600</v>
      </c>
      <c r="W7">
        <f>-10221.6*(-1000)</f>
        <v>10221600</v>
      </c>
      <c r="X7">
        <f>-10206.7*(-1000)</f>
        <v>10206700</v>
      </c>
      <c r="Y7">
        <f>-10191.8*(-1000)</f>
        <v>10191800</v>
      </c>
      <c r="Z7">
        <f>-10177.7*(-1000)</f>
        <v>10177700</v>
      </c>
      <c r="AA7">
        <f>-10220.3*(-1000)</f>
        <v>10220300</v>
      </c>
      <c r="AB7">
        <f>-10205.4*(-1000)</f>
        <v>10205400</v>
      </c>
      <c r="AC7">
        <f>-10191.3*(-1000)</f>
        <v>10191300</v>
      </c>
      <c r="AD7">
        <f>-10176.4*(-1000)</f>
        <v>10176400</v>
      </c>
      <c r="AE7">
        <f>-10161.5*(-1000)</f>
        <v>10161500</v>
      </c>
    </row>
    <row r="10" spans="1:31">
      <c r="A10" s="461" t="s">
        <v>706</v>
      </c>
      <c r="B10" s="462">
        <f t="shared" ref="B10:AE10" si="4">SUM(B2:B5)</f>
        <v>3292700</v>
      </c>
      <c r="C10" s="462">
        <f t="shared" si="4"/>
        <v>13309600</v>
      </c>
      <c r="D10" s="462">
        <f t="shared" si="4"/>
        <v>13566600</v>
      </c>
      <c r="E10" s="462">
        <f t="shared" si="4"/>
        <v>13815500</v>
      </c>
      <c r="F10" s="462">
        <f t="shared" si="4"/>
        <v>16407700</v>
      </c>
      <c r="G10" s="462">
        <f t="shared" si="4"/>
        <v>16738300</v>
      </c>
      <c r="H10" s="462">
        <f t="shared" si="4"/>
        <v>17078300</v>
      </c>
      <c r="I10" s="462">
        <f t="shared" si="4"/>
        <v>17428100</v>
      </c>
      <c r="J10" s="462">
        <f t="shared" si="4"/>
        <v>17784400</v>
      </c>
      <c r="K10" s="462">
        <f t="shared" si="4"/>
        <v>18147000</v>
      </c>
      <c r="L10" s="462">
        <f t="shared" si="4"/>
        <v>18521300</v>
      </c>
      <c r="M10" s="462">
        <f t="shared" si="4"/>
        <v>18906700</v>
      </c>
      <c r="N10" s="462">
        <f t="shared" si="4"/>
        <v>19304400</v>
      </c>
      <c r="O10" s="462">
        <f t="shared" si="4"/>
        <v>19714200</v>
      </c>
      <c r="P10" s="462">
        <f t="shared" si="4"/>
        <v>20136300</v>
      </c>
      <c r="Q10" s="462">
        <f t="shared" si="4"/>
        <v>20569900</v>
      </c>
      <c r="R10" s="462">
        <f t="shared" si="4"/>
        <v>21014500</v>
      </c>
      <c r="S10" s="462">
        <f t="shared" si="4"/>
        <v>21468700</v>
      </c>
      <c r="T10" s="462">
        <f t="shared" si="4"/>
        <v>21931200</v>
      </c>
      <c r="U10" s="462">
        <f t="shared" si="4"/>
        <v>22399800</v>
      </c>
      <c r="V10" s="462">
        <f t="shared" si="4"/>
        <v>22399800</v>
      </c>
      <c r="W10" s="462">
        <f t="shared" si="4"/>
        <v>22399800</v>
      </c>
      <c r="X10" s="462">
        <f t="shared" si="4"/>
        <v>22399800</v>
      </c>
      <c r="Y10" s="462">
        <f t="shared" si="4"/>
        <v>22399800</v>
      </c>
      <c r="Z10" s="462">
        <f t="shared" si="4"/>
        <v>22399800</v>
      </c>
      <c r="AA10" s="462">
        <f t="shared" si="4"/>
        <v>22399800</v>
      </c>
      <c r="AB10" s="462">
        <f t="shared" si="4"/>
        <v>22399800</v>
      </c>
      <c r="AC10" s="462">
        <f t="shared" si="4"/>
        <v>22399800</v>
      </c>
      <c r="AD10" s="462">
        <f t="shared" si="4"/>
        <v>22399800</v>
      </c>
      <c r="AE10" s="462">
        <f t="shared" si="4"/>
        <v>22399800</v>
      </c>
    </row>
    <row r="11" spans="1:31">
      <c r="A11" s="461" t="s">
        <v>709</v>
      </c>
      <c r="B11" s="462">
        <f t="shared" ref="B11:AE11" si="5">SUM(B6:B7)</f>
        <v>12035900</v>
      </c>
      <c r="C11" s="462">
        <f t="shared" si="5"/>
        <v>12219400</v>
      </c>
      <c r="D11" s="462">
        <f t="shared" si="5"/>
        <v>12325400</v>
      </c>
      <c r="E11" s="462">
        <f t="shared" si="5"/>
        <v>12428500</v>
      </c>
      <c r="F11" s="462">
        <f t="shared" si="5"/>
        <v>12532500</v>
      </c>
      <c r="G11" s="462">
        <f t="shared" si="5"/>
        <v>12696100</v>
      </c>
      <c r="H11" s="462">
        <f t="shared" si="5"/>
        <v>12806500</v>
      </c>
      <c r="I11" s="462">
        <f t="shared" si="5"/>
        <v>12919700</v>
      </c>
      <c r="J11" s="462">
        <f t="shared" si="5"/>
        <v>13035300</v>
      </c>
      <c r="K11" s="462">
        <f t="shared" si="5"/>
        <v>13154100</v>
      </c>
      <c r="L11" s="462">
        <f t="shared" si="5"/>
        <v>13364900</v>
      </c>
      <c r="M11" s="462">
        <f t="shared" si="5"/>
        <v>13491100</v>
      </c>
      <c r="N11" s="462">
        <f t="shared" si="5"/>
        <v>13622700</v>
      </c>
      <c r="O11" s="462">
        <f t="shared" si="5"/>
        <v>13757800</v>
      </c>
      <c r="P11" s="462">
        <f t="shared" si="5"/>
        <v>13897500</v>
      </c>
      <c r="Q11" s="462">
        <f t="shared" si="5"/>
        <v>14099600</v>
      </c>
      <c r="R11" s="462">
        <f t="shared" si="5"/>
        <v>14247500</v>
      </c>
      <c r="S11" s="462">
        <f t="shared" si="5"/>
        <v>14398900</v>
      </c>
      <c r="T11" s="462">
        <f t="shared" si="5"/>
        <v>14554300</v>
      </c>
      <c r="U11" s="462">
        <f t="shared" si="5"/>
        <v>14710900</v>
      </c>
      <c r="V11" s="462">
        <f t="shared" si="5"/>
        <v>14784700</v>
      </c>
      <c r="W11" s="462">
        <f t="shared" si="5"/>
        <v>14770700</v>
      </c>
      <c r="X11" s="462">
        <f t="shared" si="5"/>
        <v>14755800</v>
      </c>
      <c r="Y11" s="462">
        <f t="shared" si="5"/>
        <v>14740900</v>
      </c>
      <c r="Z11" s="462">
        <f t="shared" si="5"/>
        <v>14726800</v>
      </c>
      <c r="AA11" s="462">
        <f t="shared" si="5"/>
        <v>14769400</v>
      </c>
      <c r="AB11" s="462">
        <f t="shared" si="5"/>
        <v>14754500</v>
      </c>
      <c r="AC11" s="462">
        <f t="shared" si="5"/>
        <v>14740400</v>
      </c>
      <c r="AD11" s="462">
        <f t="shared" si="5"/>
        <v>14725500</v>
      </c>
      <c r="AE11" s="462">
        <f t="shared" si="5"/>
        <v>14710600</v>
      </c>
    </row>
    <row r="12" spans="1:31">
      <c r="A12" s="399" t="s">
        <v>749</v>
      </c>
      <c r="B12" s="462">
        <f>SUM(B10:B11)</f>
        <v>15328600</v>
      </c>
      <c r="C12" s="462">
        <f t="shared" ref="C12:AE12" si="6">SUM(C10:C11)</f>
        <v>25529000</v>
      </c>
      <c r="D12" s="462">
        <f t="shared" si="6"/>
        <v>25892000</v>
      </c>
      <c r="E12" s="462">
        <f t="shared" si="6"/>
        <v>26244000</v>
      </c>
      <c r="F12" s="462">
        <f t="shared" si="6"/>
        <v>28940200</v>
      </c>
      <c r="G12" s="462">
        <f t="shared" si="6"/>
        <v>29434400</v>
      </c>
      <c r="H12" s="462">
        <f t="shared" si="6"/>
        <v>29884800</v>
      </c>
      <c r="I12" s="462">
        <f t="shared" si="6"/>
        <v>30347800</v>
      </c>
      <c r="J12" s="462">
        <f t="shared" si="6"/>
        <v>30819700</v>
      </c>
      <c r="K12" s="462">
        <f t="shared" si="6"/>
        <v>31301100</v>
      </c>
      <c r="L12" s="462">
        <f t="shared" si="6"/>
        <v>31886200</v>
      </c>
      <c r="M12" s="462">
        <f t="shared" si="6"/>
        <v>32397800</v>
      </c>
      <c r="N12" s="462">
        <f t="shared" si="6"/>
        <v>32927100</v>
      </c>
      <c r="O12" s="462">
        <f t="shared" si="6"/>
        <v>33472000</v>
      </c>
      <c r="P12" s="462">
        <f t="shared" si="6"/>
        <v>34033800</v>
      </c>
      <c r="Q12" s="462">
        <f t="shared" si="6"/>
        <v>34669500</v>
      </c>
      <c r="R12" s="462">
        <f t="shared" si="6"/>
        <v>35262000</v>
      </c>
      <c r="S12" s="462">
        <f t="shared" si="6"/>
        <v>35867600</v>
      </c>
      <c r="T12" s="462">
        <f t="shared" si="6"/>
        <v>36485500</v>
      </c>
      <c r="U12" s="462">
        <f t="shared" si="6"/>
        <v>37110700</v>
      </c>
      <c r="V12" s="462">
        <f t="shared" si="6"/>
        <v>37184500</v>
      </c>
      <c r="W12" s="462">
        <f t="shared" si="6"/>
        <v>37170500</v>
      </c>
      <c r="X12" s="462">
        <f t="shared" si="6"/>
        <v>37155600</v>
      </c>
      <c r="Y12" s="462">
        <f t="shared" si="6"/>
        <v>37140700</v>
      </c>
      <c r="Z12" s="462">
        <f t="shared" si="6"/>
        <v>37126600</v>
      </c>
      <c r="AA12" s="462">
        <f t="shared" si="6"/>
        <v>37169200</v>
      </c>
      <c r="AB12" s="462">
        <f t="shared" si="6"/>
        <v>37154300</v>
      </c>
      <c r="AC12" s="462">
        <f t="shared" si="6"/>
        <v>37140200</v>
      </c>
      <c r="AD12" s="462">
        <f t="shared" si="6"/>
        <v>37125300</v>
      </c>
      <c r="AE12" s="462">
        <f t="shared" si="6"/>
        <v>37110400</v>
      </c>
    </row>
    <row r="18" spans="7:7">
      <c r="G18">
        <f>-1000</f>
        <v>-1000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22">
    <tabColor rgb="FFBF9000"/>
    <pageSetUpPr fitToPage="1"/>
  </sheetPr>
  <dimension ref="A1:F47"/>
  <sheetViews>
    <sheetView workbookViewId="0">
      <selection activeCell="F33" sqref="F33"/>
    </sheetView>
  </sheetViews>
  <sheetFormatPr defaultColWidth="11.44140625" defaultRowHeight="15" customHeight="1"/>
  <cols>
    <col min="1" max="1" width="3" customWidth="1"/>
    <col min="2" max="2" width="42.5546875" customWidth="1"/>
    <col min="3" max="6" width="19.44140625" customWidth="1"/>
    <col min="7" max="26" width="11.44140625" customWidth="1"/>
  </cols>
  <sheetData>
    <row r="1" spans="1:6" ht="15" customHeight="1">
      <c r="A1" s="520"/>
      <c r="B1" s="521"/>
      <c r="C1" s="521"/>
      <c r="D1" s="521"/>
      <c r="E1" s="521"/>
      <c r="F1" s="521"/>
    </row>
    <row r="2" spans="1:6" ht="27" customHeight="1">
      <c r="A2" s="522"/>
      <c r="B2" s="767" t="s">
        <v>750</v>
      </c>
      <c r="C2" s="813"/>
      <c r="D2" s="523"/>
      <c r="E2" s="523"/>
      <c r="F2" s="523"/>
    </row>
    <row r="3" spans="1:6" ht="14.25" customHeight="1">
      <c r="A3" s="521"/>
      <c r="B3" s="629"/>
      <c r="C3" s="505"/>
      <c r="D3" s="505"/>
      <c r="E3" s="505"/>
      <c r="F3" s="505"/>
    </row>
    <row r="4" spans="1:6" ht="14.25" customHeight="1">
      <c r="A4" s="521"/>
      <c r="B4" s="505"/>
      <c r="C4" s="505"/>
      <c r="D4" s="505"/>
      <c r="E4" s="505"/>
      <c r="F4" s="505"/>
    </row>
    <row r="5" spans="1:6" ht="14.25" customHeight="1">
      <c r="A5" s="505"/>
      <c r="B5" s="740" t="s">
        <v>750</v>
      </c>
      <c r="C5" s="505"/>
      <c r="D5" s="505"/>
      <c r="E5" s="505"/>
      <c r="F5" s="505"/>
    </row>
    <row r="6" spans="1:6" ht="30.75" customHeight="1">
      <c r="A6" s="505"/>
      <c r="B6" s="267" t="s">
        <v>751</v>
      </c>
      <c r="C6" s="267" t="s">
        <v>752</v>
      </c>
      <c r="D6" s="741" t="s">
        <v>753</v>
      </c>
      <c r="E6" s="741" t="s">
        <v>754</v>
      </c>
      <c r="F6" s="741" t="s">
        <v>755</v>
      </c>
    </row>
    <row r="7" spans="1:6" ht="15" customHeight="1">
      <c r="A7" s="521"/>
      <c r="B7" s="809" t="s">
        <v>756</v>
      </c>
      <c r="C7" s="818"/>
      <c r="D7" s="742"/>
      <c r="E7" s="742"/>
      <c r="F7" s="742"/>
    </row>
    <row r="8" spans="1:6" ht="15" customHeight="1">
      <c r="A8" s="505"/>
      <c r="B8" s="799" t="s">
        <v>757</v>
      </c>
      <c r="C8" s="818"/>
      <c r="D8" s="743"/>
      <c r="E8" s="743"/>
      <c r="F8" s="743"/>
    </row>
    <row r="9" spans="1:6" ht="15" customHeight="1">
      <c r="A9" s="505"/>
      <c r="B9" s="268" t="s">
        <v>758</v>
      </c>
      <c r="C9" s="269" t="s">
        <v>759</v>
      </c>
      <c r="D9" s="269" t="s">
        <v>760</v>
      </c>
      <c r="E9" s="269" t="s">
        <v>760</v>
      </c>
      <c r="F9" s="269" t="s">
        <v>759</v>
      </c>
    </row>
    <row r="10" spans="1:6" ht="15" customHeight="1">
      <c r="A10" s="505"/>
      <c r="B10" s="268" t="s">
        <v>761</v>
      </c>
      <c r="C10" s="270">
        <v>5</v>
      </c>
      <c r="D10" s="270">
        <v>3.8</v>
      </c>
      <c r="E10" s="270">
        <v>3.8</v>
      </c>
      <c r="F10" s="270">
        <v>5</v>
      </c>
    </row>
    <row r="11" spans="1:6" ht="15" customHeight="1">
      <c r="A11" s="505"/>
      <c r="B11" s="268" t="s">
        <v>762</v>
      </c>
      <c r="C11" s="270">
        <v>9</v>
      </c>
      <c r="D11" s="270">
        <v>10</v>
      </c>
      <c r="E11" s="270">
        <v>35</v>
      </c>
      <c r="F11" s="270">
        <v>5</v>
      </c>
    </row>
    <row r="12" spans="1:6" ht="15" customHeight="1">
      <c r="A12" s="505"/>
      <c r="B12" s="268" t="s">
        <v>763</v>
      </c>
      <c r="C12" s="271">
        <f t="shared" ref="C12:F12" si="0">1/C11</f>
        <v>0.1111111111111111</v>
      </c>
      <c r="D12" s="271">
        <f t="shared" si="0"/>
        <v>0.1</v>
      </c>
      <c r="E12" s="271">
        <f t="shared" si="0"/>
        <v>2.8571428571428571E-2</v>
      </c>
      <c r="F12" s="271">
        <f t="shared" si="0"/>
        <v>0.2</v>
      </c>
    </row>
    <row r="13" spans="1:6" ht="15" customHeight="1">
      <c r="A13" s="505"/>
      <c r="B13" s="268" t="s">
        <v>764</v>
      </c>
      <c r="C13" s="271">
        <f t="shared" ref="C13:F13" si="1">C12*C10</f>
        <v>0.55555555555555558</v>
      </c>
      <c r="D13" s="271">
        <f t="shared" si="1"/>
        <v>0.38</v>
      </c>
      <c r="E13" s="271">
        <f t="shared" si="1"/>
        <v>0.10857142857142857</v>
      </c>
      <c r="F13" s="271">
        <f t="shared" si="1"/>
        <v>1</v>
      </c>
    </row>
    <row r="14" spans="1:6" ht="15" customHeight="1">
      <c r="A14" s="521"/>
      <c r="B14" s="799" t="s">
        <v>765</v>
      </c>
      <c r="C14" s="818"/>
      <c r="D14" s="178"/>
      <c r="E14" s="178"/>
      <c r="F14" s="178"/>
    </row>
    <row r="15" spans="1:6" ht="15" customHeight="1">
      <c r="A15" s="521"/>
      <c r="B15" s="268" t="s">
        <v>766</v>
      </c>
      <c r="C15" s="270">
        <f>404.12/20</f>
        <v>20.206</v>
      </c>
      <c r="D15" s="270">
        <v>14</v>
      </c>
      <c r="E15" s="270">
        <v>14</v>
      </c>
      <c r="F15" s="270">
        <v>20.21</v>
      </c>
    </row>
    <row r="16" spans="1:6" ht="15" customHeight="1">
      <c r="A16" s="521"/>
      <c r="B16" s="268" t="s">
        <v>767</v>
      </c>
      <c r="C16" s="270">
        <v>6</v>
      </c>
      <c r="D16" s="270">
        <v>4</v>
      </c>
      <c r="E16" s="270">
        <v>1.2</v>
      </c>
      <c r="F16" s="270">
        <v>8</v>
      </c>
    </row>
    <row r="17" spans="1:6" ht="15" customHeight="1">
      <c r="A17" s="521"/>
      <c r="B17" s="268" t="s">
        <v>768</v>
      </c>
      <c r="C17" s="270">
        <v>5000</v>
      </c>
      <c r="D17" s="270">
        <v>5000</v>
      </c>
      <c r="E17" s="270">
        <v>5000</v>
      </c>
      <c r="F17" s="270">
        <v>5000</v>
      </c>
    </row>
    <row r="18" spans="1:6" ht="15" customHeight="1">
      <c r="A18" s="521"/>
      <c r="B18" s="268" t="s">
        <v>769</v>
      </c>
      <c r="C18" s="272">
        <f t="shared" ref="C18:F18" si="2">C16/C17</f>
        <v>1.1999999999999999E-3</v>
      </c>
      <c r="D18" s="272">
        <f t="shared" si="2"/>
        <v>8.0000000000000004E-4</v>
      </c>
      <c r="E18" s="272">
        <f t="shared" si="2"/>
        <v>2.3999999999999998E-4</v>
      </c>
      <c r="F18" s="272">
        <f t="shared" si="2"/>
        <v>1.6000000000000001E-3</v>
      </c>
    </row>
    <row r="19" spans="1:6" ht="15" customHeight="1">
      <c r="A19" s="521"/>
      <c r="B19" s="268" t="s">
        <v>770</v>
      </c>
      <c r="C19" s="272">
        <f t="shared" ref="C19:F19" si="3">C18*C15</f>
        <v>2.4247199999999997E-2</v>
      </c>
      <c r="D19" s="272">
        <f t="shared" si="3"/>
        <v>1.12E-2</v>
      </c>
      <c r="E19" s="272">
        <f t="shared" si="3"/>
        <v>3.3599999999999997E-3</v>
      </c>
      <c r="F19" s="272">
        <f t="shared" si="3"/>
        <v>3.2336000000000004E-2</v>
      </c>
    </row>
    <row r="20" spans="1:6" ht="15" customHeight="1">
      <c r="A20" s="521"/>
      <c r="B20" s="799" t="s">
        <v>771</v>
      </c>
      <c r="C20" s="818"/>
      <c r="D20" s="178"/>
      <c r="E20" s="178"/>
      <c r="F20" s="178"/>
    </row>
    <row r="21" spans="1:6" ht="15" customHeight="1">
      <c r="A21" s="521"/>
      <c r="B21" s="268" t="s">
        <v>772</v>
      </c>
      <c r="C21" s="270">
        <v>75</v>
      </c>
      <c r="D21" s="270">
        <v>75</v>
      </c>
      <c r="E21" s="270">
        <v>50</v>
      </c>
      <c r="F21" s="270">
        <v>75</v>
      </c>
    </row>
    <row r="22" spans="1:6" ht="15" customHeight="1">
      <c r="A22" s="521"/>
      <c r="B22" s="268" t="s">
        <v>768</v>
      </c>
      <c r="C22" s="273">
        <v>10000</v>
      </c>
      <c r="D22" s="273">
        <v>10000</v>
      </c>
      <c r="E22" s="273">
        <v>10000</v>
      </c>
      <c r="F22" s="273">
        <v>10000</v>
      </c>
    </row>
    <row r="23" spans="1:6" ht="15" customHeight="1">
      <c r="A23" s="521"/>
      <c r="B23" s="268" t="s">
        <v>773</v>
      </c>
      <c r="C23" s="271">
        <f t="shared" ref="C23:F23" si="4">C21/C22</f>
        <v>7.4999999999999997E-3</v>
      </c>
      <c r="D23" s="271">
        <f t="shared" si="4"/>
        <v>7.4999999999999997E-3</v>
      </c>
      <c r="E23" s="271">
        <f t="shared" si="4"/>
        <v>5.0000000000000001E-3</v>
      </c>
      <c r="F23" s="271">
        <f t="shared" si="4"/>
        <v>7.4999999999999997E-3</v>
      </c>
    </row>
    <row r="24" spans="1:6" ht="15" customHeight="1">
      <c r="A24" s="521"/>
      <c r="B24" s="799" t="s">
        <v>774</v>
      </c>
      <c r="C24" s="818"/>
      <c r="D24" s="178"/>
      <c r="E24" s="178"/>
      <c r="F24" s="178"/>
    </row>
    <row r="25" spans="1:6" ht="15" customHeight="1">
      <c r="A25" s="521"/>
      <c r="B25" s="268" t="s">
        <v>775</v>
      </c>
      <c r="C25" s="274">
        <v>4</v>
      </c>
      <c r="D25" s="274">
        <v>4</v>
      </c>
      <c r="E25" s="274">
        <v>2</v>
      </c>
      <c r="F25" s="274">
        <v>4</v>
      </c>
    </row>
    <row r="26" spans="1:6" ht="15" customHeight="1">
      <c r="A26" s="521"/>
      <c r="B26" s="268" t="s">
        <v>776</v>
      </c>
      <c r="C26" s="275">
        <v>800</v>
      </c>
      <c r="D26" s="275">
        <v>250</v>
      </c>
      <c r="E26" s="275">
        <v>230</v>
      </c>
      <c r="F26" s="275">
        <v>800</v>
      </c>
    </row>
    <row r="27" spans="1:6" ht="15" customHeight="1">
      <c r="A27" s="521"/>
      <c r="B27" s="268" t="s">
        <v>768</v>
      </c>
      <c r="C27" s="275">
        <v>40000</v>
      </c>
      <c r="D27" s="275">
        <v>50000</v>
      </c>
      <c r="E27" s="275">
        <v>30000</v>
      </c>
      <c r="F27" s="275">
        <v>50000</v>
      </c>
    </row>
    <row r="28" spans="1:6" ht="15" customHeight="1">
      <c r="A28" s="521"/>
      <c r="B28" s="268" t="s">
        <v>777</v>
      </c>
      <c r="C28" s="276">
        <f t="shared" ref="C28:F28" si="5">C25/C27</f>
        <v>1E-4</v>
      </c>
      <c r="D28" s="276">
        <f t="shared" si="5"/>
        <v>8.0000000000000007E-5</v>
      </c>
      <c r="E28" s="276">
        <f t="shared" si="5"/>
        <v>6.666666666666667E-5</v>
      </c>
      <c r="F28" s="276">
        <f t="shared" si="5"/>
        <v>8.0000000000000007E-5</v>
      </c>
    </row>
    <row r="29" spans="1:6" ht="15" customHeight="1">
      <c r="A29" s="521"/>
      <c r="B29" s="268" t="s">
        <v>778</v>
      </c>
      <c r="C29" s="277">
        <f t="shared" ref="C29:F29" si="6">C26*C28</f>
        <v>0.08</v>
      </c>
      <c r="D29" s="277">
        <f t="shared" si="6"/>
        <v>0.02</v>
      </c>
      <c r="E29" s="277">
        <f t="shared" si="6"/>
        <v>1.5333333333333334E-2</v>
      </c>
      <c r="F29" s="277">
        <f t="shared" si="6"/>
        <v>6.4000000000000001E-2</v>
      </c>
    </row>
    <row r="30" spans="1:6" ht="15" customHeight="1">
      <c r="A30" s="521"/>
      <c r="B30" s="799" t="s">
        <v>779</v>
      </c>
      <c r="C30" s="818"/>
      <c r="D30" s="178"/>
      <c r="E30" s="178"/>
      <c r="F30" s="178"/>
    </row>
    <row r="31" spans="1:6" ht="15" customHeight="1">
      <c r="A31" s="521"/>
      <c r="B31" s="268" t="s">
        <v>780</v>
      </c>
      <c r="C31" s="278">
        <v>0</v>
      </c>
      <c r="D31" s="278">
        <v>600</v>
      </c>
      <c r="E31" s="278">
        <v>0</v>
      </c>
      <c r="F31" s="278"/>
    </row>
    <row r="32" spans="1:6" ht="15" customHeight="1">
      <c r="A32" s="521"/>
      <c r="B32" s="268" t="s">
        <v>781</v>
      </c>
      <c r="C32" s="279">
        <f t="shared" ref="C32:F32" si="7">C31/10000</f>
        <v>0</v>
      </c>
      <c r="D32" s="279">
        <f t="shared" si="7"/>
        <v>0.06</v>
      </c>
      <c r="E32" s="279">
        <f t="shared" si="7"/>
        <v>0</v>
      </c>
      <c r="F32" s="279">
        <f t="shared" si="7"/>
        <v>0</v>
      </c>
    </row>
    <row r="33" spans="1:6" ht="15" customHeight="1">
      <c r="A33" s="521"/>
      <c r="B33" s="280" t="s">
        <v>782</v>
      </c>
      <c r="C33" s="281">
        <f t="shared" ref="C33:F33" si="8">C13+C19+C23+C29+C32+(C38/C34)</f>
        <v>0.78781900555555551</v>
      </c>
      <c r="D33" s="281">
        <f t="shared" si="8"/>
        <v>0.50434666666666672</v>
      </c>
      <c r="E33" s="281">
        <f t="shared" si="8"/>
        <v>0.13226476190476191</v>
      </c>
      <c r="F33" s="281">
        <f t="shared" si="8"/>
        <v>1.2153633809523809</v>
      </c>
    </row>
    <row r="34" spans="1:6" ht="15" customHeight="1">
      <c r="A34" s="521"/>
      <c r="B34" s="280" t="s">
        <v>783</v>
      </c>
      <c r="C34" s="281">
        <v>40000</v>
      </c>
      <c r="D34" s="281">
        <v>60000</v>
      </c>
      <c r="E34" s="281">
        <v>12000</v>
      </c>
      <c r="F34" s="281">
        <v>84000</v>
      </c>
    </row>
    <row r="35" spans="1:6" ht="15" customHeight="1">
      <c r="A35" s="521"/>
      <c r="B35" s="809" t="s">
        <v>784</v>
      </c>
      <c r="C35" s="818"/>
      <c r="D35" s="282"/>
      <c r="E35" s="282"/>
      <c r="F35" s="282"/>
    </row>
    <row r="36" spans="1:6" ht="15" customHeight="1">
      <c r="A36" s="521"/>
      <c r="B36" s="268" t="s">
        <v>785</v>
      </c>
      <c r="C36" s="283">
        <v>192826</v>
      </c>
      <c r="D36" s="283">
        <v>61552</v>
      </c>
      <c r="E36" s="283"/>
      <c r="F36" s="283">
        <v>374732</v>
      </c>
    </row>
    <row r="37" spans="1:6" ht="15" customHeight="1">
      <c r="A37" s="521"/>
      <c r="B37" s="268" t="s">
        <v>786</v>
      </c>
      <c r="C37" s="283" t="s">
        <v>787</v>
      </c>
      <c r="D37" s="283"/>
      <c r="E37" s="283"/>
      <c r="F37" s="283"/>
    </row>
    <row r="38" spans="1:6" ht="15" customHeight="1">
      <c r="A38" s="521"/>
      <c r="B38" s="268" t="s">
        <v>788</v>
      </c>
      <c r="C38" s="284">
        <f t="shared" ref="C38:F38" si="9">2.5%*C36</f>
        <v>4820.6500000000005</v>
      </c>
      <c r="D38" s="284">
        <f t="shared" si="9"/>
        <v>1538.8000000000002</v>
      </c>
      <c r="E38" s="284">
        <f t="shared" si="9"/>
        <v>0</v>
      </c>
      <c r="F38" s="284">
        <f t="shared" si="9"/>
        <v>9368.3000000000011</v>
      </c>
    </row>
    <row r="39" spans="1:6" ht="15" customHeight="1">
      <c r="A39" s="521"/>
      <c r="B39" s="268" t="s">
        <v>789</v>
      </c>
      <c r="C39" s="285"/>
      <c r="D39" s="285"/>
      <c r="E39" s="285"/>
      <c r="F39" s="285"/>
    </row>
    <row r="40" spans="1:6" ht="16.5" customHeight="1">
      <c r="A40" s="521"/>
      <c r="B40" s="744" t="s">
        <v>790</v>
      </c>
      <c r="C40" s="505"/>
      <c r="D40" s="505"/>
      <c r="E40" s="505"/>
      <c r="F40" s="505"/>
    </row>
    <row r="41" spans="1:6" ht="16.5" customHeight="1">
      <c r="A41" s="521"/>
      <c r="B41" s="744"/>
      <c r="C41" s="505"/>
      <c r="D41" s="505"/>
      <c r="E41" s="505"/>
      <c r="F41" s="505"/>
    </row>
    <row r="42" spans="1:6" ht="11.25" hidden="1" customHeight="1">
      <c r="A42" s="521"/>
      <c r="B42" s="505"/>
      <c r="C42" s="505"/>
      <c r="D42" s="505"/>
      <c r="E42" s="505"/>
      <c r="F42" s="505"/>
    </row>
    <row r="43" spans="1:6" ht="12.75" hidden="1" customHeight="1">
      <c r="A43" s="521"/>
      <c r="B43" s="745" t="s">
        <v>791</v>
      </c>
      <c r="C43" s="505"/>
      <c r="D43" s="505"/>
      <c r="E43" s="505"/>
      <c r="F43" s="505"/>
    </row>
    <row r="44" spans="1:6" ht="12" hidden="1" customHeight="1">
      <c r="A44" s="505"/>
      <c r="B44" s="48"/>
      <c r="C44" s="48" t="s">
        <v>792</v>
      </c>
      <c r="D44" s="746"/>
      <c r="E44" s="746"/>
      <c r="F44" s="746"/>
    </row>
    <row r="45" spans="1:6" ht="12" hidden="1" customHeight="1">
      <c r="A45" s="505"/>
      <c r="B45" s="258"/>
      <c r="C45" s="286"/>
      <c r="D45" s="747"/>
      <c r="E45" s="747"/>
      <c r="F45" s="747"/>
    </row>
    <row r="46" spans="1:6" ht="13.5" hidden="1" customHeight="1">
      <c r="A46" s="505"/>
      <c r="B46" s="287"/>
      <c r="C46" s="286"/>
      <c r="D46" s="747"/>
      <c r="E46" s="747"/>
      <c r="F46" s="747"/>
    </row>
    <row r="47" spans="1:6" ht="13.5" hidden="1" customHeight="1">
      <c r="A47" s="505"/>
      <c r="B47" s="287">
        <f>B46*1.01</f>
        <v>0</v>
      </c>
      <c r="C47" s="288" t="e">
        <f>-1+(#REF!/#REF!)</f>
        <v>#REF!</v>
      </c>
      <c r="D47" s="748"/>
      <c r="E47" s="748"/>
      <c r="F47" s="748"/>
    </row>
  </sheetData>
  <mergeCells count="8">
    <mergeCell ref="B24:C24"/>
    <mergeCell ref="B30:C30"/>
    <mergeCell ref="B35:C35"/>
    <mergeCell ref="B2:C2"/>
    <mergeCell ref="B7:C7"/>
    <mergeCell ref="B8:C8"/>
    <mergeCell ref="B14:C14"/>
    <mergeCell ref="B20:C20"/>
  </mergeCells>
  <pageMargins left="0.70866141732283472" right="0.70866141732283472" top="0.74803149606299213" bottom="0.74803149606299213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ilha23">
    <tabColor theme="1"/>
  </sheetPr>
  <dimension ref="A1:G25"/>
  <sheetViews>
    <sheetView showGridLines="0" zoomScale="130" zoomScaleNormal="130" workbookViewId="0"/>
  </sheetViews>
  <sheetFormatPr defaultColWidth="11.44140625" defaultRowHeight="15" customHeight="1"/>
  <cols>
    <col min="1" max="1" width="13.77734375" style="426" customWidth="1"/>
    <col min="2" max="2" width="30.21875" style="426" customWidth="1"/>
    <col min="3" max="3" width="10" style="436" customWidth="1"/>
    <col min="4" max="4" width="21.21875" style="426" customWidth="1"/>
    <col min="5" max="7" width="30.44140625" style="426" customWidth="1"/>
    <col min="8" max="26" width="11.44140625" style="426" customWidth="1"/>
    <col min="27" max="16384" width="11.44140625" style="426"/>
  </cols>
  <sheetData>
    <row r="1" spans="1:7" ht="22.5" customHeight="1" thickBot="1">
      <c r="A1" s="429" t="s">
        <v>793</v>
      </c>
      <c r="B1" s="429" t="s">
        <v>794</v>
      </c>
      <c r="C1" s="433" t="s">
        <v>7</v>
      </c>
      <c r="D1" s="427"/>
      <c r="E1" s="427"/>
      <c r="F1" s="427"/>
      <c r="G1" s="427"/>
    </row>
    <row r="2" spans="1:7" ht="22.5" customHeight="1">
      <c r="A2" s="439" t="s">
        <v>795</v>
      </c>
      <c r="B2" s="430" t="s">
        <v>796</v>
      </c>
      <c r="C2" s="455">
        <v>0.85073852384656801</v>
      </c>
      <c r="D2" s="427" t="s">
        <v>797</v>
      </c>
      <c r="E2" s="427"/>
      <c r="F2" s="427"/>
      <c r="G2" s="427"/>
    </row>
    <row r="3" spans="1:7" ht="22.5" customHeight="1">
      <c r="A3" s="440" t="s">
        <v>798</v>
      </c>
      <c r="B3" s="431" t="s">
        <v>799</v>
      </c>
      <c r="C3" s="456">
        <f>C2*(1+(C17/C16)*(1-$C$9))</f>
        <v>2.160875850570283</v>
      </c>
      <c r="D3" s="427"/>
      <c r="E3" s="427"/>
      <c r="F3" s="427"/>
      <c r="G3" s="427"/>
    </row>
    <row r="4" spans="1:7" ht="22.5" customHeight="1">
      <c r="A4" s="440" t="s">
        <v>800</v>
      </c>
      <c r="B4" s="431" t="s">
        <v>801</v>
      </c>
      <c r="C4" s="457">
        <v>2.0377018385291799E-2</v>
      </c>
      <c r="D4" s="427" t="s">
        <v>802</v>
      </c>
      <c r="E4" s="427"/>
      <c r="F4" s="427"/>
      <c r="G4" s="427"/>
    </row>
    <row r="5" spans="1:7" ht="22.5" customHeight="1">
      <c r="A5" s="440" t="s">
        <v>803</v>
      </c>
      <c r="B5" s="431" t="s">
        <v>804</v>
      </c>
      <c r="C5" s="458">
        <f>0.0275181677618863 *10000</f>
        <v>275.18167761886298</v>
      </c>
      <c r="D5" s="427" t="s">
        <v>805</v>
      </c>
      <c r="E5" s="427"/>
      <c r="F5" s="428"/>
      <c r="G5" s="427"/>
    </row>
    <row r="6" spans="1:7" ht="22.5" customHeight="1">
      <c r="A6" s="440" t="s">
        <v>806</v>
      </c>
      <c r="B6" s="431" t="s">
        <v>807</v>
      </c>
      <c r="C6" s="459">
        <v>1.94308871051374E-2</v>
      </c>
      <c r="D6" s="427"/>
      <c r="E6" s="427"/>
      <c r="F6" s="427"/>
      <c r="G6" s="427"/>
    </row>
    <row r="7" spans="1:7" ht="22.5" customHeight="1">
      <c r="A7" s="440" t="s">
        <v>808</v>
      </c>
      <c r="B7" s="431" t="s">
        <v>809</v>
      </c>
      <c r="C7" s="459">
        <v>0.13542113188399801</v>
      </c>
      <c r="D7" s="427"/>
      <c r="E7" s="427"/>
      <c r="F7" s="427"/>
      <c r="G7" s="427"/>
    </row>
    <row r="8" spans="1:7" ht="22.5" customHeight="1">
      <c r="A8" s="440" t="s">
        <v>810</v>
      </c>
      <c r="B8" s="431" t="s">
        <v>811</v>
      </c>
      <c r="C8" s="459">
        <f>C7-C4</f>
        <v>0.11504411349870622</v>
      </c>
      <c r="D8" s="427" t="s">
        <v>812</v>
      </c>
      <c r="E8" s="427"/>
      <c r="F8" s="428"/>
      <c r="G8" s="428"/>
    </row>
    <row r="9" spans="1:7" ht="22.5" customHeight="1" thickBot="1">
      <c r="A9" s="441" t="s">
        <v>813</v>
      </c>
      <c r="B9" s="432" t="s">
        <v>814</v>
      </c>
      <c r="C9" s="454">
        <f>'E2 - Tributos'!L161+'E2 - Tributos'!P161</f>
        <v>0.33999999999999997</v>
      </c>
      <c r="D9" s="427" t="s">
        <v>815</v>
      </c>
      <c r="E9" s="427"/>
      <c r="F9" s="428"/>
      <c r="G9" s="427"/>
    </row>
    <row r="10" spans="1:7" ht="7.15" customHeight="1" thickBot="1">
      <c r="A10" s="431"/>
      <c r="B10" s="431"/>
      <c r="C10" s="434"/>
      <c r="D10" s="427"/>
      <c r="E10" s="427"/>
      <c r="F10" s="428"/>
      <c r="G10" s="427"/>
    </row>
    <row r="11" spans="1:7" ht="22.5" customHeight="1">
      <c r="A11" s="439" t="s">
        <v>816</v>
      </c>
      <c r="B11" s="430" t="s">
        <v>817</v>
      </c>
      <c r="C11" s="453">
        <v>0.119898245918675</v>
      </c>
      <c r="D11" s="427"/>
      <c r="E11" s="427"/>
      <c r="F11" s="428"/>
      <c r="G11" s="427"/>
    </row>
    <row r="12" spans="1:7" ht="22.5" customHeight="1">
      <c r="A12" s="440" t="s">
        <v>818</v>
      </c>
      <c r="B12" s="431" t="s">
        <v>818</v>
      </c>
      <c r="C12" s="448">
        <v>6.0424897318569697E-2</v>
      </c>
      <c r="D12" s="427"/>
      <c r="E12" s="427"/>
      <c r="F12" s="428"/>
      <c r="G12" s="427"/>
    </row>
    <row r="13" spans="1:7" ht="22.5" customHeight="1">
      <c r="A13" s="440" t="s">
        <v>819</v>
      </c>
      <c r="B13" s="431"/>
      <c r="C13" s="448">
        <f>C11*(1-34%)</f>
        <v>7.9132842306325488E-2</v>
      </c>
      <c r="D13" s="427"/>
      <c r="E13" s="427"/>
      <c r="F13" s="428"/>
      <c r="G13" s="427"/>
    </row>
    <row r="14" spans="1:7" ht="22.5" customHeight="1" thickBot="1">
      <c r="A14" s="441" t="s">
        <v>820</v>
      </c>
      <c r="B14" s="432" t="s">
        <v>821</v>
      </c>
      <c r="C14" s="454">
        <f>((1+C13) / (1+C12))-1</f>
        <v>1.7641932997859211E-2</v>
      </c>
      <c r="D14" s="427"/>
      <c r="E14" s="427"/>
      <c r="F14" s="428"/>
      <c r="G14" s="427"/>
    </row>
    <row r="15" spans="1:7" ht="7.15" customHeight="1" thickBot="1">
      <c r="A15" s="431"/>
      <c r="B15" s="431"/>
      <c r="C15" s="435"/>
      <c r="D15" s="427"/>
      <c r="E15" s="427"/>
      <c r="F15" s="427"/>
      <c r="G15" s="427"/>
    </row>
    <row r="16" spans="1:7" ht="22.5" customHeight="1">
      <c r="A16" s="439" t="s">
        <v>822</v>
      </c>
      <c r="B16" s="430" t="s">
        <v>823</v>
      </c>
      <c r="C16" s="451">
        <f>1-C17</f>
        <v>0.30000000000000004</v>
      </c>
      <c r="D16" s="427"/>
      <c r="E16" s="427"/>
      <c r="F16" s="427"/>
      <c r="G16" s="427"/>
    </row>
    <row r="17" spans="1:7" ht="22.5" customHeight="1" thickBot="1">
      <c r="A17" s="441" t="s">
        <v>824</v>
      </c>
      <c r="B17" s="432" t="s">
        <v>825</v>
      </c>
      <c r="C17" s="452">
        <f>'Painel de controle'!B7</f>
        <v>0.7</v>
      </c>
      <c r="D17" s="427"/>
      <c r="E17" s="427"/>
      <c r="F17" s="427"/>
      <c r="G17" s="427"/>
    </row>
    <row r="18" spans="1:7" ht="7.9" customHeight="1" thickBot="1">
      <c r="A18" s="431"/>
      <c r="B18" s="431"/>
      <c r="C18" s="442"/>
      <c r="D18" s="427"/>
      <c r="E18" s="427"/>
      <c r="F18" s="427"/>
      <c r="G18" s="427"/>
    </row>
    <row r="19" spans="1:7" ht="22.5" customHeight="1">
      <c r="A19" s="439" t="s">
        <v>826</v>
      </c>
      <c r="B19" s="430" t="s">
        <v>827</v>
      </c>
      <c r="C19" s="445">
        <f>(C4+C8*C3+C5/10000)</f>
        <v>0.29649123275679912</v>
      </c>
      <c r="D19" s="427"/>
      <c r="E19" s="427"/>
      <c r="F19" s="427"/>
      <c r="G19" s="427"/>
    </row>
    <row r="20" spans="1:7" ht="22.5" customHeight="1">
      <c r="A20" s="440" t="s">
        <v>828</v>
      </c>
      <c r="B20" s="431" t="s">
        <v>829</v>
      </c>
      <c r="C20" s="446">
        <f>(1+C19)/(1+C6)-1</f>
        <v>0.27177943022545259</v>
      </c>
      <c r="D20" s="427"/>
      <c r="E20" s="427"/>
      <c r="F20" s="427"/>
      <c r="G20" s="427"/>
    </row>
    <row r="21" spans="1:7" ht="22.5" hidden="1" customHeight="1">
      <c r="A21" s="440"/>
      <c r="B21" s="431"/>
      <c r="C21" s="447"/>
      <c r="D21" s="427"/>
      <c r="E21" s="427"/>
      <c r="F21" s="427"/>
      <c r="G21" s="427"/>
    </row>
    <row r="22" spans="1:7" ht="22.5" hidden="1" customHeight="1">
      <c r="A22" s="440"/>
      <c r="B22" s="431" t="s">
        <v>830</v>
      </c>
      <c r="C22" s="448">
        <f>+C14</f>
        <v>1.7641932997859211E-2</v>
      </c>
      <c r="D22" s="427"/>
      <c r="E22" s="427"/>
      <c r="F22" s="427"/>
      <c r="G22" s="427"/>
    </row>
    <row r="23" spans="1:7" ht="22.5" hidden="1" customHeight="1">
      <c r="A23" s="440"/>
      <c r="B23" s="431"/>
      <c r="C23" s="447"/>
      <c r="D23" s="427"/>
      <c r="E23" s="427"/>
      <c r="F23" s="427"/>
      <c r="G23" s="427"/>
    </row>
    <row r="24" spans="1:7" ht="22.5" customHeight="1">
      <c r="A24" s="443" t="s">
        <v>831</v>
      </c>
      <c r="B24" s="437"/>
      <c r="C24" s="449">
        <f>(C20*C16)+(C17*C22)</f>
        <v>9.3883182166137238E-2</v>
      </c>
      <c r="D24" s="427"/>
      <c r="E24" s="427"/>
      <c r="F24" s="427"/>
      <c r="G24" s="427"/>
    </row>
    <row r="25" spans="1:7" ht="22.5" customHeight="1" thickBot="1">
      <c r="A25" s="444" t="s">
        <v>832</v>
      </c>
      <c r="B25" s="438"/>
      <c r="C25" s="450">
        <f>((1+C24)*(1+C12))-1</f>
        <v>0.15998096112703641</v>
      </c>
      <c r="D25" s="427"/>
      <c r="E25" s="427"/>
      <c r="F25" s="427"/>
      <c r="G25" s="427"/>
    </row>
  </sheetData>
  <pageMargins left="0.511811024" right="0.511811024" top="0.78740157499999996" bottom="0.78740157499999996" header="0" footer="0"/>
  <pageSetup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24">
    <tabColor theme="1"/>
  </sheetPr>
  <dimension ref="A1:AB24"/>
  <sheetViews>
    <sheetView workbookViewId="0"/>
  </sheetViews>
  <sheetFormatPr defaultColWidth="11.44140625" defaultRowHeight="15" customHeight="1"/>
  <cols>
    <col min="1" max="3" width="15.5546875" customWidth="1"/>
    <col min="4" max="4" width="16.5546875" customWidth="1"/>
    <col min="5" max="5" width="15" customWidth="1"/>
    <col min="6" max="6" width="29.21875" customWidth="1"/>
    <col min="7" max="7" width="14.44140625" customWidth="1"/>
    <col min="8" max="8" width="13.5546875" customWidth="1"/>
    <col min="9" max="9" width="24.5546875" customWidth="1"/>
    <col min="10" max="10" width="19" customWidth="1"/>
    <col min="11" max="13" width="10.5546875" customWidth="1"/>
    <col min="14" max="14" width="14" customWidth="1"/>
    <col min="15" max="15" width="32.21875" customWidth="1"/>
    <col min="16" max="16" width="10.5546875" customWidth="1"/>
    <col min="17" max="17" width="13.44140625" customWidth="1"/>
    <col min="18" max="18" width="14.44140625" customWidth="1"/>
    <col min="19" max="28" width="11.21875" customWidth="1"/>
  </cols>
  <sheetData>
    <row r="1" spans="1:28" ht="15.75" customHeight="1">
      <c r="A1" s="749" t="s">
        <v>833</v>
      </c>
      <c r="B1" s="749" t="s">
        <v>834</v>
      </c>
      <c r="C1" s="749" t="s">
        <v>835</v>
      </c>
      <c r="D1" s="749" t="s">
        <v>836</v>
      </c>
      <c r="E1" s="749" t="s">
        <v>196</v>
      </c>
      <c r="F1" s="749" t="s">
        <v>191</v>
      </c>
      <c r="G1" s="749" t="s">
        <v>837</v>
      </c>
      <c r="H1" s="749" t="s">
        <v>838</v>
      </c>
      <c r="I1" s="749" t="s">
        <v>839</v>
      </c>
      <c r="J1" s="749" t="s">
        <v>840</v>
      </c>
      <c r="K1" s="749" t="s">
        <v>841</v>
      </c>
      <c r="N1" s="750" t="s">
        <v>842</v>
      </c>
      <c r="O1" s="750" t="s">
        <v>843</v>
      </c>
      <c r="Q1" s="289" t="s">
        <v>517</v>
      </c>
    </row>
    <row r="2" spans="1:28" ht="15.75" customHeight="1">
      <c r="A2" s="751" t="s">
        <v>475</v>
      </c>
      <c r="B2" s="752">
        <v>1</v>
      </c>
      <c r="C2" s="752" t="s">
        <v>844</v>
      </c>
      <c r="D2" s="751" t="s">
        <v>80</v>
      </c>
      <c r="F2" s="751" t="s">
        <v>196</v>
      </c>
      <c r="G2" s="751" t="s">
        <v>174</v>
      </c>
      <c r="H2" s="751" t="s">
        <v>81</v>
      </c>
      <c r="I2" s="751" t="s">
        <v>354</v>
      </c>
      <c r="J2" s="751" t="s">
        <v>845</v>
      </c>
      <c r="K2" s="751" t="s">
        <v>655</v>
      </c>
      <c r="N2" s="57" t="s">
        <v>846</v>
      </c>
      <c r="O2" s="57" t="e">
        <f ca="1">"'"&amp;MID(CELL("filename",'A1 - Serviços e demanda'!A1),FIND("]",CELL("filename",'A1 - Serviços e demanda'!A1))+1,255)&amp;"'!A20:A39"</f>
        <v>#VALUE!</v>
      </c>
    </row>
    <row r="3" spans="1:28" ht="15.75" customHeight="1">
      <c r="A3" s="751" t="s">
        <v>476</v>
      </c>
      <c r="B3" s="752">
        <v>2</v>
      </c>
      <c r="C3" s="752" t="s">
        <v>847</v>
      </c>
      <c r="D3" s="751" t="s">
        <v>573</v>
      </c>
      <c r="F3" s="751" t="s">
        <v>200</v>
      </c>
      <c r="G3" s="751" t="s">
        <v>848</v>
      </c>
      <c r="H3" s="751" t="s">
        <v>84</v>
      </c>
      <c r="I3" s="751" t="s">
        <v>689</v>
      </c>
      <c r="J3" s="751" t="s">
        <v>462</v>
      </c>
      <c r="K3" s="751" t="s">
        <v>671</v>
      </c>
      <c r="N3" s="57" t="s">
        <v>849</v>
      </c>
      <c r="O3" s="57" t="e">
        <f ca="1">"'"&amp;MID(CELL("filename",'D1 - Capex Matriz'!A2),FIND("]",CELL("filename",'D1 - Capex Matriz'!A2))+1,255)&amp;"'!A4:A"&amp;COUNTA('D1 - Capex Matriz'!A:A)</f>
        <v>#VALUE!</v>
      </c>
      <c r="S3" s="810" t="s">
        <v>484</v>
      </c>
      <c r="T3" s="813"/>
      <c r="U3" s="812" t="s">
        <v>487</v>
      </c>
      <c r="V3" s="813"/>
      <c r="W3" s="810" t="s">
        <v>490</v>
      </c>
      <c r="X3" s="813"/>
      <c r="Y3" s="812" t="s">
        <v>493</v>
      </c>
      <c r="Z3" s="813"/>
      <c r="AA3" s="810" t="s">
        <v>495</v>
      </c>
      <c r="AB3" s="813"/>
    </row>
    <row r="4" spans="1:28" ht="15.75" customHeight="1">
      <c r="A4" s="751" t="s">
        <v>13</v>
      </c>
      <c r="B4" s="752">
        <v>3</v>
      </c>
      <c r="C4" s="752" t="s">
        <v>850</v>
      </c>
      <c r="D4" s="751" t="s">
        <v>84</v>
      </c>
      <c r="F4" s="751" t="s">
        <v>695</v>
      </c>
      <c r="G4" s="751" t="s">
        <v>171</v>
      </c>
      <c r="H4" s="751" t="s">
        <v>851</v>
      </c>
      <c r="I4" s="751" t="s">
        <v>378</v>
      </c>
      <c r="J4" s="751" t="s">
        <v>852</v>
      </c>
      <c r="K4" s="751" t="s">
        <v>672</v>
      </c>
      <c r="Q4" s="540" t="s">
        <v>523</v>
      </c>
      <c r="R4" s="540" t="s">
        <v>524</v>
      </c>
      <c r="S4" s="540" t="s">
        <v>520</v>
      </c>
      <c r="T4" s="540" t="s">
        <v>521</v>
      </c>
      <c r="U4" s="540" t="s">
        <v>520</v>
      </c>
      <c r="V4" s="540" t="s">
        <v>521</v>
      </c>
      <c r="W4" s="540" t="s">
        <v>520</v>
      </c>
      <c r="X4" s="540" t="s">
        <v>521</v>
      </c>
      <c r="Y4" s="540" t="s">
        <v>520</v>
      </c>
      <c r="Z4" s="540" t="s">
        <v>521</v>
      </c>
      <c r="AA4" s="540" t="s">
        <v>520</v>
      </c>
      <c r="AB4" s="540" t="s">
        <v>521</v>
      </c>
    </row>
    <row r="5" spans="1:28" ht="15.75" customHeight="1">
      <c r="A5" s="751" t="s">
        <v>479</v>
      </c>
      <c r="B5" s="752">
        <v>4</v>
      </c>
      <c r="C5" s="752" t="s">
        <v>787</v>
      </c>
      <c r="D5" s="751" t="s">
        <v>86</v>
      </c>
      <c r="F5" s="751" t="s">
        <v>234</v>
      </c>
      <c r="H5" s="751" t="s">
        <v>853</v>
      </c>
      <c r="I5" s="751" t="s">
        <v>366</v>
      </c>
      <c r="J5" s="751" t="s">
        <v>854</v>
      </c>
      <c r="K5" s="751" t="s">
        <v>673</v>
      </c>
      <c r="Q5" s="23">
        <v>0</v>
      </c>
      <c r="R5" s="14">
        <v>180000</v>
      </c>
      <c r="S5" s="290">
        <v>0.04</v>
      </c>
      <c r="T5" s="291">
        <v>0</v>
      </c>
      <c r="U5" s="290">
        <v>4.4999999999999998E-2</v>
      </c>
      <c r="V5" s="291">
        <v>0</v>
      </c>
      <c r="W5" s="290">
        <v>0.06</v>
      </c>
      <c r="X5" s="291">
        <v>0</v>
      </c>
      <c r="Y5" s="290">
        <v>4.4999999999999998E-2</v>
      </c>
      <c r="Z5" s="291">
        <v>0</v>
      </c>
      <c r="AA5" s="290">
        <v>0.155</v>
      </c>
      <c r="AB5" s="291">
        <v>0</v>
      </c>
    </row>
    <row r="6" spans="1:28" ht="15.75" customHeight="1">
      <c r="D6" s="751" t="s">
        <v>574</v>
      </c>
      <c r="F6" s="751" t="s">
        <v>192</v>
      </c>
      <c r="H6" s="751" t="s">
        <v>86</v>
      </c>
      <c r="I6" s="751" t="s">
        <v>371</v>
      </c>
      <c r="J6" s="751" t="s">
        <v>855</v>
      </c>
      <c r="Q6" s="23">
        <f t="shared" ref="Q6:Q10" si="0">R5+0.01</f>
        <v>180000.01</v>
      </c>
      <c r="R6" s="14">
        <v>360000</v>
      </c>
      <c r="S6" s="290">
        <v>7.2999999999999995E-2</v>
      </c>
      <c r="T6" s="291">
        <v>5940</v>
      </c>
      <c r="U6" s="290">
        <v>7.8E-2</v>
      </c>
      <c r="V6" s="291">
        <v>5940</v>
      </c>
      <c r="W6" s="290">
        <v>0.112</v>
      </c>
      <c r="X6" s="291">
        <v>9360</v>
      </c>
      <c r="Y6" s="290">
        <v>0.09</v>
      </c>
      <c r="Z6" s="291">
        <v>8100</v>
      </c>
      <c r="AA6" s="290">
        <v>0.18</v>
      </c>
      <c r="AB6" s="291">
        <v>4500</v>
      </c>
    </row>
    <row r="7" spans="1:28" ht="15.75" customHeight="1">
      <c r="D7" s="751" t="s">
        <v>856</v>
      </c>
      <c r="F7" s="751" t="s">
        <v>696</v>
      </c>
      <c r="H7" s="751" t="s">
        <v>171</v>
      </c>
      <c r="I7" s="751" t="s">
        <v>361</v>
      </c>
      <c r="Q7" s="23">
        <f t="shared" si="0"/>
        <v>360000.01</v>
      </c>
      <c r="R7" s="14">
        <v>720000</v>
      </c>
      <c r="S7" s="290">
        <v>9.5000000000000001E-2</v>
      </c>
      <c r="T7" s="291">
        <v>13860</v>
      </c>
      <c r="U7" s="290">
        <v>0.1</v>
      </c>
      <c r="V7" s="291">
        <v>13860</v>
      </c>
      <c r="W7" s="290">
        <v>0.13500000000000001</v>
      </c>
      <c r="X7" s="291">
        <v>17640</v>
      </c>
      <c r="Y7" s="290">
        <v>0.10199999999999999</v>
      </c>
      <c r="Z7" s="291">
        <v>12420</v>
      </c>
      <c r="AA7" s="290">
        <v>0.19500000000000001</v>
      </c>
      <c r="AB7" s="291">
        <v>9900</v>
      </c>
    </row>
    <row r="8" spans="1:28" ht="15.75" customHeight="1">
      <c r="F8" s="751" t="s">
        <v>207</v>
      </c>
      <c r="I8" s="751" t="s">
        <v>359</v>
      </c>
      <c r="Q8" s="23">
        <f t="shared" si="0"/>
        <v>720000.01</v>
      </c>
      <c r="R8" s="14">
        <v>1800000</v>
      </c>
      <c r="S8" s="290">
        <v>0.107</v>
      </c>
      <c r="T8" s="291">
        <v>22500</v>
      </c>
      <c r="U8" s="290">
        <v>0.112</v>
      </c>
      <c r="V8" s="291">
        <v>22500</v>
      </c>
      <c r="W8" s="290">
        <v>0.16</v>
      </c>
      <c r="X8" s="291">
        <v>35640</v>
      </c>
      <c r="Y8" s="290">
        <v>0.14000000000000001</v>
      </c>
      <c r="Z8" s="291">
        <v>39780</v>
      </c>
      <c r="AA8" s="290">
        <v>0.20499999999999999</v>
      </c>
      <c r="AB8" s="291">
        <v>17100</v>
      </c>
    </row>
    <row r="9" spans="1:28" ht="15.75" customHeight="1">
      <c r="F9" s="751" t="s">
        <v>247</v>
      </c>
      <c r="I9" s="751" t="s">
        <v>171</v>
      </c>
      <c r="Q9" s="23">
        <f t="shared" si="0"/>
        <v>1800000.01</v>
      </c>
      <c r="R9" s="14">
        <v>3600000</v>
      </c>
      <c r="S9" s="290">
        <v>0.14299999999999999</v>
      </c>
      <c r="T9" s="291">
        <v>87300</v>
      </c>
      <c r="U9" s="290">
        <v>0.14699999999999999</v>
      </c>
      <c r="V9" s="291">
        <v>85500</v>
      </c>
      <c r="W9" s="290">
        <v>0.21</v>
      </c>
      <c r="X9" s="291">
        <v>125640</v>
      </c>
      <c r="Y9" s="290">
        <v>0.22</v>
      </c>
      <c r="Z9" s="291">
        <v>183780</v>
      </c>
      <c r="AA9" s="290">
        <v>0.23</v>
      </c>
      <c r="AB9" s="291">
        <v>62100</v>
      </c>
    </row>
    <row r="10" spans="1:28" ht="15.75" customHeight="1">
      <c r="F10" s="751" t="s">
        <v>231</v>
      </c>
      <c r="Q10" s="23">
        <f t="shared" si="0"/>
        <v>3600000.01</v>
      </c>
      <c r="R10" s="14">
        <v>4800000</v>
      </c>
      <c r="S10" s="290">
        <v>0.19</v>
      </c>
      <c r="T10" s="291">
        <v>378000</v>
      </c>
      <c r="U10" s="290">
        <v>0.3</v>
      </c>
      <c r="V10" s="291">
        <v>720000</v>
      </c>
      <c r="W10" s="290">
        <v>0.33</v>
      </c>
      <c r="X10" s="291">
        <v>648000</v>
      </c>
      <c r="Y10" s="290">
        <v>0.33</v>
      </c>
      <c r="Z10" s="291">
        <v>828000</v>
      </c>
      <c r="AA10" s="290">
        <v>0.30499999999999999</v>
      </c>
      <c r="AB10" s="291">
        <v>540000</v>
      </c>
    </row>
    <row r="11" spans="1:28" ht="15.75" customHeight="1">
      <c r="F11" s="751" t="s">
        <v>693</v>
      </c>
    </row>
    <row r="12" spans="1:28" ht="15.75" customHeight="1">
      <c r="F12" s="751" t="s">
        <v>694</v>
      </c>
      <c r="Q12" s="811" t="s">
        <v>857</v>
      </c>
      <c r="R12" s="813"/>
    </row>
    <row r="13" spans="1:28" ht="15.75" customHeight="1">
      <c r="F13" s="751" t="s">
        <v>206</v>
      </c>
      <c r="Q13" s="698" t="s">
        <v>484</v>
      </c>
      <c r="R13" s="698" t="s">
        <v>858</v>
      </c>
    </row>
    <row r="14" spans="1:28" ht="15.75" customHeight="1">
      <c r="F14" s="751" t="s">
        <v>302</v>
      </c>
      <c r="Q14" s="698" t="s">
        <v>487</v>
      </c>
      <c r="R14" s="698" t="s">
        <v>859</v>
      </c>
    </row>
    <row r="15" spans="1:28" ht="15.75" customHeight="1">
      <c r="F15" s="751" t="s">
        <v>239</v>
      </c>
      <c r="Q15" s="698" t="s">
        <v>490</v>
      </c>
      <c r="R15" s="698" t="s">
        <v>860</v>
      </c>
    </row>
    <row r="16" spans="1:28" ht="15.75" customHeight="1">
      <c r="F16" s="751" t="s">
        <v>697</v>
      </c>
      <c r="Q16" s="698" t="s">
        <v>493</v>
      </c>
      <c r="R16" s="698" t="s">
        <v>861</v>
      </c>
    </row>
    <row r="17" spans="17:18" ht="15.75" customHeight="1">
      <c r="Q17" s="698" t="s">
        <v>495</v>
      </c>
      <c r="R17" s="698" t="s">
        <v>862</v>
      </c>
    </row>
    <row r="18" spans="17:18" ht="15.75" customHeight="1"/>
    <row r="19" spans="17:18" ht="15.75" customHeight="1">
      <c r="Q19" s="698" t="s">
        <v>489</v>
      </c>
      <c r="R19" s="541">
        <v>240000</v>
      </c>
    </row>
    <row r="20" spans="17:18" ht="15.75" customHeight="1"/>
    <row r="21" spans="17:18" ht="15.75" customHeight="1"/>
    <row r="22" spans="17:18" ht="15.75" customHeight="1">
      <c r="Q22" s="698" t="s">
        <v>863</v>
      </c>
      <c r="R22" s="698">
        <v>1000</v>
      </c>
    </row>
    <row r="23" spans="17:18" ht="15.75" customHeight="1"/>
    <row r="24" spans="17:18" ht="15.75" customHeight="1">
      <c r="Q24" s="698" t="s">
        <v>864</v>
      </c>
      <c r="R24" s="753">
        <v>48000000</v>
      </c>
    </row>
  </sheetData>
  <mergeCells count="6">
    <mergeCell ref="AA3:AB3"/>
    <mergeCell ref="Q12:R12"/>
    <mergeCell ref="S3:T3"/>
    <mergeCell ref="U3:V3"/>
    <mergeCell ref="W3:X3"/>
    <mergeCell ref="Y3:Z3"/>
  </mergeCells>
  <pageMargins left="0.511811024" right="0.511811024" top="0.78740157499999996" bottom="0.78740157499999996" header="0" footer="0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ilha25">
    <tabColor theme="1"/>
  </sheetPr>
  <dimension ref="A1:K6"/>
  <sheetViews>
    <sheetView workbookViewId="0"/>
  </sheetViews>
  <sheetFormatPr defaultColWidth="11.44140625" defaultRowHeight="15" customHeight="1"/>
  <cols>
    <col min="1" max="1" width="12.44140625" customWidth="1"/>
    <col min="2" max="7" width="17.5546875" customWidth="1"/>
    <col min="8" max="8" width="18.21875" customWidth="1"/>
    <col min="9" max="9" width="17.5546875" customWidth="1"/>
    <col min="10" max="10" width="13.5546875" customWidth="1"/>
    <col min="11" max="11" width="10.5546875" customWidth="1"/>
    <col min="12" max="26" width="11.44140625" customWidth="1"/>
  </cols>
  <sheetData>
    <row r="1" spans="1:11" ht="15.75" customHeight="1">
      <c r="A1" s="57" t="s">
        <v>865</v>
      </c>
      <c r="B1" s="57" t="s">
        <v>155</v>
      </c>
      <c r="C1" s="57" t="s">
        <v>161</v>
      </c>
      <c r="D1" s="57" t="s">
        <v>162</v>
      </c>
      <c r="E1" s="57" t="s">
        <v>866</v>
      </c>
      <c r="F1" s="57" t="s">
        <v>159</v>
      </c>
      <c r="G1" s="57" t="s">
        <v>158</v>
      </c>
      <c r="H1" s="57" t="s">
        <v>156</v>
      </c>
      <c r="I1" s="57" t="s">
        <v>157</v>
      </c>
      <c r="J1" s="57" t="s">
        <v>160</v>
      </c>
      <c r="K1" s="57" t="s">
        <v>52</v>
      </c>
    </row>
    <row r="2" spans="1:11" ht="15.75" customHeight="1">
      <c r="A2" s="57" t="s">
        <v>867</v>
      </c>
      <c r="B2" s="57">
        <v>5</v>
      </c>
      <c r="C2" s="57">
        <v>1</v>
      </c>
      <c r="D2" s="57">
        <v>1</v>
      </c>
      <c r="E2" s="57">
        <v>2</v>
      </c>
      <c r="F2" s="57">
        <v>3</v>
      </c>
      <c r="G2" s="57"/>
      <c r="H2" s="57"/>
      <c r="I2" s="57">
        <v>3</v>
      </c>
      <c r="J2" s="57">
        <v>2</v>
      </c>
      <c r="K2" s="57">
        <f t="shared" ref="K2:K6" si="0">SUM(B2:J2)</f>
        <v>17</v>
      </c>
    </row>
    <row r="3" spans="1:11" ht="15.75" customHeight="1">
      <c r="A3" s="57" t="s">
        <v>279</v>
      </c>
      <c r="B3" s="57">
        <v>8</v>
      </c>
      <c r="C3" s="57">
        <v>2</v>
      </c>
      <c r="D3" s="57">
        <v>2</v>
      </c>
      <c r="E3" s="57">
        <v>2</v>
      </c>
      <c r="F3" s="57"/>
      <c r="G3" s="57"/>
      <c r="H3" s="57"/>
      <c r="I3" s="57"/>
      <c r="J3" s="57"/>
      <c r="K3" s="57">
        <f t="shared" si="0"/>
        <v>14</v>
      </c>
    </row>
    <row r="4" spans="1:11" ht="15.75" customHeight="1">
      <c r="A4" s="57" t="s">
        <v>280</v>
      </c>
      <c r="B4" s="57">
        <v>4</v>
      </c>
      <c r="C4" s="57">
        <v>1</v>
      </c>
      <c r="D4" s="57">
        <v>1</v>
      </c>
      <c r="E4" s="57"/>
      <c r="F4" s="57">
        <v>3</v>
      </c>
      <c r="G4" s="57">
        <v>1</v>
      </c>
      <c r="H4" s="57">
        <v>1</v>
      </c>
      <c r="I4" s="57">
        <v>3</v>
      </c>
      <c r="J4" s="57">
        <v>2</v>
      </c>
      <c r="K4" s="57">
        <f t="shared" si="0"/>
        <v>16</v>
      </c>
    </row>
    <row r="5" spans="1:11" ht="15.75" customHeight="1">
      <c r="A5" s="57" t="s">
        <v>868</v>
      </c>
      <c r="B5" s="57">
        <v>2</v>
      </c>
      <c r="C5" s="57"/>
      <c r="D5" s="57"/>
      <c r="E5" s="57"/>
      <c r="F5" s="57">
        <v>6</v>
      </c>
      <c r="G5" s="57">
        <v>6</v>
      </c>
      <c r="H5" s="57">
        <v>6</v>
      </c>
      <c r="I5" s="57">
        <v>3</v>
      </c>
      <c r="J5" s="57"/>
      <c r="K5" s="57">
        <f t="shared" si="0"/>
        <v>23</v>
      </c>
    </row>
    <row r="6" spans="1:11" ht="15.75" customHeight="1">
      <c r="A6" s="57" t="s">
        <v>869</v>
      </c>
      <c r="B6" s="57">
        <v>1</v>
      </c>
      <c r="C6" s="57"/>
      <c r="D6" s="57"/>
      <c r="E6" s="57">
        <v>1</v>
      </c>
      <c r="F6" s="57">
        <v>1</v>
      </c>
      <c r="G6" s="57"/>
      <c r="H6" s="57"/>
      <c r="I6" s="57">
        <v>1</v>
      </c>
      <c r="J6" s="57">
        <v>1</v>
      </c>
      <c r="K6" s="57">
        <f t="shared" si="0"/>
        <v>5</v>
      </c>
    </row>
  </sheetData>
  <pageMargins left="0.511811024" right="0.511811024" top="0.78740157499999996" bottom="0.78740157499999996" header="0" footer="0"/>
  <pageSetup orientation="landscape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ilha26">
    <tabColor theme="1"/>
  </sheetPr>
  <dimension ref="A1:AG44"/>
  <sheetViews>
    <sheetView workbookViewId="0"/>
  </sheetViews>
  <sheetFormatPr defaultColWidth="8.5546875" defaultRowHeight="15" customHeight="1"/>
  <cols>
    <col min="1" max="1" width="15.5546875" customWidth="1"/>
    <col min="2" max="2" width="17" customWidth="1"/>
    <col min="3" max="3" width="12.5546875" bestFit="1" customWidth="1"/>
    <col min="4" max="4" width="9.44140625" bestFit="1" customWidth="1"/>
    <col min="32" max="32" width="12.5546875" bestFit="1" customWidth="1"/>
  </cols>
  <sheetData>
    <row r="1" spans="1:32" ht="15" customHeight="1">
      <c r="A1" t="s">
        <v>146</v>
      </c>
      <c r="B1" t="s">
        <v>165</v>
      </c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  <c r="AE1">
        <v>29</v>
      </c>
      <c r="AF1">
        <v>30</v>
      </c>
    </row>
    <row r="2" spans="1:32" ht="15" customHeight="1">
      <c r="A2" t="s">
        <v>79</v>
      </c>
      <c r="B2" t="s">
        <v>79</v>
      </c>
      <c r="C2">
        <v>14903649</v>
      </c>
      <c r="D2">
        <v>30835620</v>
      </c>
      <c r="E2">
        <v>31899231</v>
      </c>
      <c r="F2">
        <v>32929443</v>
      </c>
      <c r="G2">
        <v>33975990</v>
      </c>
      <c r="H2">
        <v>35040870</v>
      </c>
      <c r="I2">
        <v>36135801</v>
      </c>
      <c r="J2">
        <v>37262646</v>
      </c>
      <c r="K2">
        <v>38410038</v>
      </c>
      <c r="L2">
        <v>39578841</v>
      </c>
      <c r="M2">
        <v>40784175</v>
      </c>
      <c r="N2">
        <v>42025608</v>
      </c>
      <c r="O2">
        <v>43306677</v>
      </c>
      <c r="P2">
        <v>44626491</v>
      </c>
      <c r="Q2">
        <v>45985914</v>
      </c>
      <c r="R2">
        <v>47382651</v>
      </c>
      <c r="S2">
        <v>48814947</v>
      </c>
      <c r="T2">
        <v>50277726</v>
      </c>
      <c r="U2">
        <v>51767289</v>
      </c>
      <c r="V2">
        <v>53276697</v>
      </c>
      <c r="W2">
        <v>53276697</v>
      </c>
      <c r="X2">
        <v>53276697</v>
      </c>
      <c r="Y2">
        <v>53276697</v>
      </c>
      <c r="Z2">
        <v>53276697</v>
      </c>
      <c r="AA2">
        <v>53276697</v>
      </c>
      <c r="AB2">
        <v>53276697</v>
      </c>
      <c r="AC2">
        <v>53276697</v>
      </c>
      <c r="AD2">
        <v>53276697</v>
      </c>
      <c r="AE2">
        <v>53276697</v>
      </c>
      <c r="AF2">
        <v>53276697</v>
      </c>
    </row>
    <row r="3" spans="1:32" ht="15" customHeight="1">
      <c r="A3" t="s">
        <v>83</v>
      </c>
      <c r="B3" t="s">
        <v>84</v>
      </c>
      <c r="C3">
        <v>0</v>
      </c>
      <c r="D3">
        <v>2284125</v>
      </c>
      <c r="E3">
        <v>2362900</v>
      </c>
      <c r="F3">
        <v>2439225</v>
      </c>
      <c r="G3">
        <v>2516750</v>
      </c>
      <c r="H3">
        <v>2595625</v>
      </c>
      <c r="I3">
        <v>2676725</v>
      </c>
      <c r="J3">
        <v>2760200</v>
      </c>
      <c r="K3">
        <v>2845200</v>
      </c>
      <c r="L3">
        <v>2931775</v>
      </c>
      <c r="M3">
        <v>3021050</v>
      </c>
      <c r="N3">
        <v>3113000</v>
      </c>
      <c r="O3">
        <v>3207900</v>
      </c>
      <c r="P3">
        <v>3305675</v>
      </c>
      <c r="Q3">
        <v>3406375</v>
      </c>
      <c r="R3">
        <v>3509825</v>
      </c>
      <c r="S3">
        <v>3615925</v>
      </c>
      <c r="T3">
        <v>3724275</v>
      </c>
      <c r="U3">
        <v>3834625</v>
      </c>
      <c r="V3">
        <v>3946425</v>
      </c>
      <c r="W3">
        <v>3946425</v>
      </c>
      <c r="X3">
        <v>3946425</v>
      </c>
      <c r="Y3">
        <v>3946425</v>
      </c>
      <c r="Z3">
        <v>3946425</v>
      </c>
      <c r="AA3">
        <v>3946425</v>
      </c>
      <c r="AB3">
        <v>3946425</v>
      </c>
      <c r="AC3">
        <v>3946425</v>
      </c>
      <c r="AD3">
        <v>3946425</v>
      </c>
      <c r="AE3">
        <v>3946425</v>
      </c>
      <c r="AF3">
        <v>3946425</v>
      </c>
    </row>
    <row r="4" spans="1:32" ht="15" customHeight="1">
      <c r="A4" t="s">
        <v>85</v>
      </c>
      <c r="B4" t="s">
        <v>86</v>
      </c>
      <c r="C4">
        <v>0</v>
      </c>
      <c r="D4">
        <v>761350</v>
      </c>
      <c r="E4">
        <v>787650</v>
      </c>
      <c r="F4">
        <v>813050</v>
      </c>
      <c r="G4">
        <v>838900</v>
      </c>
      <c r="H4">
        <v>865200</v>
      </c>
      <c r="I4">
        <v>892250</v>
      </c>
      <c r="J4">
        <v>920050</v>
      </c>
      <c r="K4">
        <v>948400</v>
      </c>
      <c r="L4">
        <v>977250</v>
      </c>
      <c r="M4">
        <v>1007000</v>
      </c>
      <c r="N4">
        <v>1037650</v>
      </c>
      <c r="O4">
        <v>1069300</v>
      </c>
      <c r="P4">
        <v>1101900</v>
      </c>
      <c r="Q4">
        <v>1135450</v>
      </c>
      <c r="R4">
        <v>1169950</v>
      </c>
      <c r="S4">
        <v>1205300</v>
      </c>
      <c r="T4">
        <v>1241450</v>
      </c>
      <c r="U4">
        <v>1278200</v>
      </c>
      <c r="V4">
        <v>1315450</v>
      </c>
      <c r="W4">
        <v>1315450</v>
      </c>
      <c r="X4">
        <v>1315450</v>
      </c>
      <c r="Y4">
        <v>1315450</v>
      </c>
      <c r="Z4">
        <v>1315450</v>
      </c>
      <c r="AA4">
        <v>1315450</v>
      </c>
      <c r="AB4">
        <v>1315450</v>
      </c>
      <c r="AC4">
        <v>1315450</v>
      </c>
      <c r="AD4">
        <v>1315450</v>
      </c>
      <c r="AE4">
        <v>1315450</v>
      </c>
      <c r="AF4">
        <v>1315450</v>
      </c>
    </row>
    <row r="5" spans="1:32" ht="15" customHeight="1">
      <c r="A5" t="s">
        <v>87</v>
      </c>
      <c r="B5" t="s">
        <v>870</v>
      </c>
      <c r="C5">
        <v>0</v>
      </c>
      <c r="D5">
        <v>1233414</v>
      </c>
      <c r="E5">
        <v>1275966</v>
      </c>
      <c r="F5">
        <v>1317168</v>
      </c>
      <c r="G5">
        <v>1359018</v>
      </c>
      <c r="H5">
        <v>1401624</v>
      </c>
      <c r="I5">
        <v>1445418</v>
      </c>
      <c r="J5">
        <v>1490508</v>
      </c>
      <c r="K5">
        <v>1536408</v>
      </c>
      <c r="L5">
        <v>1583172</v>
      </c>
      <c r="M5">
        <v>1631394</v>
      </c>
      <c r="N5">
        <v>1681020</v>
      </c>
      <c r="O5">
        <v>1732266</v>
      </c>
      <c r="P5">
        <v>1785078</v>
      </c>
      <c r="Q5">
        <v>1839456</v>
      </c>
      <c r="R5">
        <v>1895292</v>
      </c>
      <c r="S5">
        <v>1952586</v>
      </c>
      <c r="T5">
        <v>2011122</v>
      </c>
      <c r="U5">
        <v>2070684</v>
      </c>
      <c r="V5">
        <v>2131056</v>
      </c>
      <c r="W5">
        <v>2131056</v>
      </c>
      <c r="X5">
        <v>2131056</v>
      </c>
      <c r="Y5">
        <v>2131056</v>
      </c>
      <c r="Z5">
        <v>2131056</v>
      </c>
      <c r="AA5">
        <v>2131056</v>
      </c>
      <c r="AB5">
        <v>2131056</v>
      </c>
      <c r="AC5">
        <v>2131056</v>
      </c>
      <c r="AD5">
        <v>2131056</v>
      </c>
      <c r="AE5">
        <v>2131056</v>
      </c>
      <c r="AF5">
        <v>2131056</v>
      </c>
    </row>
    <row r="6" spans="1:32" ht="15" customHeight="1">
      <c r="A6" t="s">
        <v>88</v>
      </c>
      <c r="B6" t="s">
        <v>84</v>
      </c>
      <c r="C6">
        <v>0</v>
      </c>
      <c r="D6">
        <v>2284125</v>
      </c>
      <c r="E6">
        <v>2362900</v>
      </c>
      <c r="F6">
        <v>2439225</v>
      </c>
      <c r="G6">
        <v>2516750</v>
      </c>
      <c r="H6">
        <v>2595625</v>
      </c>
      <c r="I6">
        <v>2676725</v>
      </c>
      <c r="J6">
        <v>2760200</v>
      </c>
      <c r="K6">
        <v>2845200</v>
      </c>
      <c r="L6">
        <v>2931775</v>
      </c>
      <c r="M6">
        <v>3021050</v>
      </c>
      <c r="N6">
        <v>3113000</v>
      </c>
      <c r="O6">
        <v>3207900</v>
      </c>
      <c r="P6">
        <v>3305675</v>
      </c>
      <c r="Q6">
        <v>3406375</v>
      </c>
      <c r="R6">
        <v>3509825</v>
      </c>
      <c r="S6">
        <v>3615925</v>
      </c>
      <c r="T6">
        <v>3724275</v>
      </c>
      <c r="U6">
        <v>3834625</v>
      </c>
      <c r="V6">
        <v>3946425</v>
      </c>
      <c r="W6">
        <v>3946425</v>
      </c>
      <c r="X6">
        <v>3946425</v>
      </c>
      <c r="Y6">
        <v>3946425</v>
      </c>
      <c r="Z6">
        <v>3946425</v>
      </c>
      <c r="AA6">
        <v>3946425</v>
      </c>
      <c r="AB6">
        <v>3946425</v>
      </c>
      <c r="AC6">
        <v>3946425</v>
      </c>
      <c r="AD6">
        <v>3946425</v>
      </c>
      <c r="AE6">
        <v>3946425</v>
      </c>
      <c r="AF6">
        <v>3946425</v>
      </c>
    </row>
    <row r="7" spans="1:32" ht="15" customHeight="1">
      <c r="A7" t="s">
        <v>89</v>
      </c>
      <c r="B7" t="s">
        <v>86</v>
      </c>
      <c r="C7">
        <v>0</v>
      </c>
      <c r="D7">
        <v>761350</v>
      </c>
      <c r="E7">
        <v>787650</v>
      </c>
      <c r="F7">
        <v>813050</v>
      </c>
      <c r="G7">
        <v>838900</v>
      </c>
      <c r="H7">
        <v>865200</v>
      </c>
      <c r="I7">
        <v>892250</v>
      </c>
      <c r="J7">
        <v>920050</v>
      </c>
      <c r="K7">
        <v>948400</v>
      </c>
      <c r="L7">
        <v>977250</v>
      </c>
      <c r="M7">
        <v>1007000</v>
      </c>
      <c r="N7">
        <v>1037650</v>
      </c>
      <c r="O7">
        <v>1069300</v>
      </c>
      <c r="P7">
        <v>1101900</v>
      </c>
      <c r="Q7">
        <v>1135450</v>
      </c>
      <c r="R7">
        <v>1169950</v>
      </c>
      <c r="S7">
        <v>1205300</v>
      </c>
      <c r="T7">
        <v>1241450</v>
      </c>
      <c r="U7">
        <v>1278200</v>
      </c>
      <c r="V7">
        <v>1315450</v>
      </c>
      <c r="W7">
        <v>1315450</v>
      </c>
      <c r="X7">
        <v>1315450</v>
      </c>
      <c r="Y7">
        <v>1315450</v>
      </c>
      <c r="Z7">
        <v>1315450</v>
      </c>
      <c r="AA7">
        <v>1315450</v>
      </c>
      <c r="AB7">
        <v>1315450</v>
      </c>
      <c r="AC7">
        <v>1315450</v>
      </c>
      <c r="AD7">
        <v>1315450</v>
      </c>
      <c r="AE7">
        <v>1315450</v>
      </c>
      <c r="AF7">
        <v>1315450</v>
      </c>
    </row>
    <row r="8" spans="1:32" ht="15" customHeight="1">
      <c r="A8" t="s">
        <v>90</v>
      </c>
      <c r="B8" t="s">
        <v>84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</row>
    <row r="9" spans="1:32" ht="15" customHeight="1">
      <c r="A9" t="s">
        <v>91</v>
      </c>
      <c r="B9" t="s">
        <v>86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</row>
    <row r="10" spans="1:32" ht="15" customHeight="1">
      <c r="A10" t="s">
        <v>92</v>
      </c>
      <c r="B10" t="s">
        <v>871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</row>
    <row r="11" spans="1:32" ht="15" customHeight="1">
      <c r="A11" t="s">
        <v>93</v>
      </c>
      <c r="B11" t="s">
        <v>84</v>
      </c>
      <c r="C11">
        <v>0</v>
      </c>
      <c r="D11">
        <v>2284125</v>
      </c>
      <c r="E11">
        <v>2362900</v>
      </c>
      <c r="F11">
        <v>2439225</v>
      </c>
      <c r="G11">
        <v>2516750</v>
      </c>
      <c r="H11">
        <v>2595625</v>
      </c>
      <c r="I11">
        <v>2676725</v>
      </c>
      <c r="J11">
        <v>2760200</v>
      </c>
      <c r="K11">
        <v>2845200</v>
      </c>
      <c r="L11">
        <v>2931775</v>
      </c>
      <c r="M11">
        <v>3021050</v>
      </c>
      <c r="N11">
        <v>3113000</v>
      </c>
      <c r="O11">
        <v>3207900</v>
      </c>
      <c r="P11">
        <v>3305675</v>
      </c>
      <c r="Q11">
        <v>3406375</v>
      </c>
      <c r="R11">
        <v>3509825</v>
      </c>
      <c r="S11">
        <v>3615925</v>
      </c>
      <c r="T11">
        <v>3724275</v>
      </c>
      <c r="U11">
        <v>3834625</v>
      </c>
      <c r="V11">
        <v>3946425</v>
      </c>
      <c r="W11">
        <v>3946425</v>
      </c>
      <c r="X11">
        <v>3946425</v>
      </c>
      <c r="Y11">
        <v>3946425</v>
      </c>
      <c r="Z11">
        <v>3946425</v>
      </c>
      <c r="AA11">
        <v>3946425</v>
      </c>
      <c r="AB11">
        <v>3946425</v>
      </c>
      <c r="AC11">
        <v>3946425</v>
      </c>
      <c r="AD11">
        <v>3946425</v>
      </c>
      <c r="AE11">
        <v>3946425</v>
      </c>
      <c r="AF11">
        <v>3946425</v>
      </c>
    </row>
    <row r="12" spans="1:32" ht="15" customHeight="1">
      <c r="A12" t="s">
        <v>94</v>
      </c>
      <c r="B12" t="s">
        <v>86</v>
      </c>
      <c r="C12">
        <v>0</v>
      </c>
      <c r="D12">
        <v>761350</v>
      </c>
      <c r="E12">
        <v>787650</v>
      </c>
      <c r="F12">
        <v>813050</v>
      </c>
      <c r="G12">
        <v>838900</v>
      </c>
      <c r="H12">
        <v>865200</v>
      </c>
      <c r="I12">
        <v>892250</v>
      </c>
      <c r="J12">
        <v>920050</v>
      </c>
      <c r="K12">
        <v>948400</v>
      </c>
      <c r="L12">
        <v>977250</v>
      </c>
      <c r="M12">
        <v>1007000</v>
      </c>
      <c r="N12">
        <v>1037650</v>
      </c>
      <c r="O12">
        <v>1069300</v>
      </c>
      <c r="P12">
        <v>1101900</v>
      </c>
      <c r="Q12">
        <v>1135450</v>
      </c>
      <c r="R12">
        <v>1169950</v>
      </c>
      <c r="S12">
        <v>1205300</v>
      </c>
      <c r="T12">
        <v>1241450</v>
      </c>
      <c r="U12">
        <v>1278200</v>
      </c>
      <c r="V12">
        <v>1315450</v>
      </c>
      <c r="W12">
        <v>1315450</v>
      </c>
      <c r="X12">
        <v>1315450</v>
      </c>
      <c r="Y12">
        <v>1315450</v>
      </c>
      <c r="Z12">
        <v>1315450</v>
      </c>
      <c r="AA12">
        <v>1315450</v>
      </c>
      <c r="AB12">
        <v>1315450</v>
      </c>
      <c r="AC12">
        <v>1315450</v>
      </c>
      <c r="AD12">
        <v>1315450</v>
      </c>
      <c r="AE12">
        <v>1315450</v>
      </c>
      <c r="AF12">
        <v>1315450</v>
      </c>
    </row>
    <row r="13" spans="1:32" ht="15" customHeight="1">
      <c r="A13" t="s">
        <v>95</v>
      </c>
      <c r="B13" t="s">
        <v>84</v>
      </c>
      <c r="C13">
        <v>0</v>
      </c>
      <c r="D13">
        <v>2284125</v>
      </c>
      <c r="E13">
        <v>2362900</v>
      </c>
      <c r="F13">
        <v>2439225</v>
      </c>
      <c r="G13">
        <v>2516750</v>
      </c>
      <c r="H13">
        <v>2595625</v>
      </c>
      <c r="I13">
        <v>2676725</v>
      </c>
      <c r="J13">
        <v>2760200</v>
      </c>
      <c r="K13">
        <v>2845200</v>
      </c>
      <c r="L13">
        <v>2931775</v>
      </c>
      <c r="M13">
        <v>3021050</v>
      </c>
      <c r="N13">
        <v>3113000</v>
      </c>
      <c r="O13">
        <v>3207900</v>
      </c>
      <c r="P13">
        <v>3305675</v>
      </c>
      <c r="Q13">
        <v>3406375</v>
      </c>
      <c r="R13">
        <v>3509825</v>
      </c>
      <c r="S13">
        <v>3615925</v>
      </c>
      <c r="T13">
        <v>3724275</v>
      </c>
      <c r="U13">
        <v>3834625</v>
      </c>
      <c r="V13">
        <v>3946425</v>
      </c>
      <c r="W13">
        <v>3946425</v>
      </c>
      <c r="X13">
        <v>3946425</v>
      </c>
      <c r="Y13">
        <v>3946425</v>
      </c>
      <c r="Z13">
        <v>3946425</v>
      </c>
      <c r="AA13">
        <v>3946425</v>
      </c>
      <c r="AB13">
        <v>3946425</v>
      </c>
      <c r="AC13">
        <v>3946425</v>
      </c>
      <c r="AD13">
        <v>3946425</v>
      </c>
      <c r="AE13">
        <v>3946425</v>
      </c>
      <c r="AF13">
        <v>3946425</v>
      </c>
    </row>
    <row r="14" spans="1:32" ht="15" customHeight="1">
      <c r="A14" t="s">
        <v>96</v>
      </c>
      <c r="B14" t="s">
        <v>86</v>
      </c>
      <c r="C14">
        <v>0</v>
      </c>
      <c r="D14">
        <v>761350</v>
      </c>
      <c r="E14">
        <v>787650</v>
      </c>
      <c r="F14">
        <v>813050</v>
      </c>
      <c r="G14">
        <v>838900</v>
      </c>
      <c r="H14">
        <v>865200</v>
      </c>
      <c r="I14">
        <v>892250</v>
      </c>
      <c r="J14">
        <v>920050</v>
      </c>
      <c r="K14">
        <v>948400</v>
      </c>
      <c r="L14">
        <v>977250</v>
      </c>
      <c r="M14">
        <v>1007000</v>
      </c>
      <c r="N14">
        <v>1037650</v>
      </c>
      <c r="O14">
        <v>1069300</v>
      </c>
      <c r="P14">
        <v>1101900</v>
      </c>
      <c r="Q14">
        <v>1135450</v>
      </c>
      <c r="R14">
        <v>1169950</v>
      </c>
      <c r="S14">
        <v>1205300</v>
      </c>
      <c r="T14">
        <v>1241450</v>
      </c>
      <c r="U14">
        <v>1278200</v>
      </c>
      <c r="V14">
        <v>1315450</v>
      </c>
      <c r="W14">
        <v>1315450</v>
      </c>
      <c r="X14">
        <v>1315450</v>
      </c>
      <c r="Y14">
        <v>1315450</v>
      </c>
      <c r="Z14">
        <v>1315450</v>
      </c>
      <c r="AA14">
        <v>1315450</v>
      </c>
      <c r="AB14">
        <v>1315450</v>
      </c>
      <c r="AC14">
        <v>1315450</v>
      </c>
      <c r="AD14">
        <v>1315450</v>
      </c>
      <c r="AE14">
        <v>1315450</v>
      </c>
      <c r="AF14">
        <v>1315450</v>
      </c>
    </row>
    <row r="15" spans="1:32" ht="15" customHeight="1">
      <c r="A15" t="s">
        <v>97</v>
      </c>
      <c r="B15" t="s">
        <v>84</v>
      </c>
      <c r="C15">
        <v>0</v>
      </c>
      <c r="D15">
        <v>2284125</v>
      </c>
      <c r="E15">
        <v>2362900</v>
      </c>
      <c r="F15">
        <v>2439225</v>
      </c>
      <c r="G15">
        <v>2516750</v>
      </c>
      <c r="H15">
        <v>2595625</v>
      </c>
      <c r="I15">
        <v>2676725</v>
      </c>
      <c r="J15">
        <v>2760200</v>
      </c>
      <c r="K15">
        <v>2845200</v>
      </c>
      <c r="L15">
        <v>2931775</v>
      </c>
      <c r="M15">
        <v>3021050</v>
      </c>
      <c r="N15">
        <v>3113000</v>
      </c>
      <c r="O15">
        <v>3207900</v>
      </c>
      <c r="P15">
        <v>3305675</v>
      </c>
      <c r="Q15">
        <v>3406375</v>
      </c>
      <c r="R15">
        <v>3509825</v>
      </c>
      <c r="S15">
        <v>3615925</v>
      </c>
      <c r="T15">
        <v>3724275</v>
      </c>
      <c r="U15">
        <v>3834625</v>
      </c>
      <c r="V15">
        <v>3946425</v>
      </c>
      <c r="W15">
        <v>3946425</v>
      </c>
      <c r="X15">
        <v>3946425</v>
      </c>
      <c r="Y15">
        <v>3946425</v>
      </c>
      <c r="Z15">
        <v>3946425</v>
      </c>
      <c r="AA15">
        <v>3946425</v>
      </c>
      <c r="AB15">
        <v>3946425</v>
      </c>
      <c r="AC15">
        <v>3946425</v>
      </c>
      <c r="AD15">
        <v>3946425</v>
      </c>
      <c r="AE15">
        <v>3946425</v>
      </c>
      <c r="AF15">
        <v>3946425</v>
      </c>
    </row>
    <row r="16" spans="1:32" ht="15" customHeight="1">
      <c r="A16" t="s">
        <v>98</v>
      </c>
      <c r="B16" t="s">
        <v>86</v>
      </c>
      <c r="C16">
        <v>0</v>
      </c>
      <c r="D16">
        <v>1294295</v>
      </c>
      <c r="E16">
        <v>1339005</v>
      </c>
      <c r="F16">
        <v>1382185</v>
      </c>
      <c r="G16">
        <v>1426130</v>
      </c>
      <c r="H16">
        <v>1470840</v>
      </c>
      <c r="I16">
        <v>1516825</v>
      </c>
      <c r="J16">
        <v>1564085</v>
      </c>
      <c r="K16">
        <v>1612280</v>
      </c>
      <c r="L16">
        <v>1661325</v>
      </c>
      <c r="M16">
        <v>1711900</v>
      </c>
      <c r="N16">
        <v>1764005</v>
      </c>
      <c r="O16">
        <v>1817810</v>
      </c>
      <c r="P16">
        <v>1873230</v>
      </c>
      <c r="Q16">
        <v>1930265</v>
      </c>
      <c r="R16">
        <v>1988915</v>
      </c>
      <c r="S16">
        <v>2049010</v>
      </c>
      <c r="T16">
        <v>2110465</v>
      </c>
      <c r="U16">
        <v>2172940</v>
      </c>
      <c r="V16">
        <v>2236265</v>
      </c>
      <c r="W16">
        <v>2236265</v>
      </c>
      <c r="X16">
        <v>2236265</v>
      </c>
      <c r="Y16">
        <v>2236265</v>
      </c>
      <c r="Z16">
        <v>2236265</v>
      </c>
      <c r="AA16">
        <v>2236265</v>
      </c>
      <c r="AB16">
        <v>2236265</v>
      </c>
      <c r="AC16">
        <v>2236265</v>
      </c>
      <c r="AD16">
        <v>2236265</v>
      </c>
      <c r="AE16">
        <v>2236265</v>
      </c>
      <c r="AF16">
        <v>2236265</v>
      </c>
    </row>
    <row r="17" spans="1:33" ht="15" customHeight="1">
      <c r="A17" t="s">
        <v>100</v>
      </c>
      <c r="B17" t="s">
        <v>84</v>
      </c>
      <c r="C17">
        <v>0</v>
      </c>
      <c r="D17">
        <v>571025</v>
      </c>
      <c r="E17">
        <v>590725</v>
      </c>
      <c r="F17">
        <v>609800</v>
      </c>
      <c r="G17">
        <v>629175</v>
      </c>
      <c r="H17">
        <v>648900</v>
      </c>
      <c r="I17">
        <v>669175</v>
      </c>
      <c r="J17">
        <v>690050</v>
      </c>
      <c r="K17">
        <v>711300</v>
      </c>
      <c r="L17">
        <v>732950</v>
      </c>
      <c r="M17">
        <v>755275</v>
      </c>
      <c r="N17">
        <v>778250</v>
      </c>
      <c r="O17">
        <v>801975</v>
      </c>
      <c r="P17">
        <v>826425</v>
      </c>
      <c r="Q17">
        <v>851600</v>
      </c>
      <c r="R17">
        <v>877450</v>
      </c>
      <c r="S17">
        <v>903975</v>
      </c>
      <c r="T17">
        <v>931075</v>
      </c>
      <c r="U17">
        <v>958650</v>
      </c>
      <c r="V17">
        <v>986600</v>
      </c>
      <c r="W17">
        <v>986600</v>
      </c>
      <c r="X17">
        <v>986600</v>
      </c>
      <c r="Y17">
        <v>986600</v>
      </c>
      <c r="Z17">
        <v>986600</v>
      </c>
      <c r="AA17">
        <v>986600</v>
      </c>
      <c r="AB17">
        <v>986600</v>
      </c>
      <c r="AC17">
        <v>986600</v>
      </c>
      <c r="AD17">
        <v>986600</v>
      </c>
      <c r="AE17">
        <v>986600</v>
      </c>
      <c r="AF17">
        <v>986600</v>
      </c>
    </row>
    <row r="18" spans="1:33" ht="15" customHeight="1">
      <c r="A18" t="s">
        <v>102</v>
      </c>
      <c r="B18" t="s">
        <v>870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</row>
    <row r="19" spans="1:33" ht="15" customHeight="1">
      <c r="A19" t="s">
        <v>450</v>
      </c>
      <c r="C19">
        <f>SUM(C2:C18)</f>
        <v>14903649</v>
      </c>
      <c r="D19">
        <f t="shared" ref="D19:AF19" si="0">SUM(D2:D18)</f>
        <v>48400379</v>
      </c>
      <c r="E19">
        <f t="shared" si="0"/>
        <v>50070027</v>
      </c>
      <c r="F19">
        <f t="shared" si="0"/>
        <v>51686921</v>
      </c>
      <c r="G19">
        <f t="shared" si="0"/>
        <v>53329663</v>
      </c>
      <c r="H19">
        <f t="shared" si="0"/>
        <v>55001159</v>
      </c>
      <c r="I19">
        <f t="shared" si="0"/>
        <v>56719844</v>
      </c>
      <c r="J19">
        <f t="shared" si="0"/>
        <v>58488489</v>
      </c>
      <c r="K19">
        <f t="shared" si="0"/>
        <v>60289626</v>
      </c>
      <c r="L19">
        <f t="shared" si="0"/>
        <v>62124163</v>
      </c>
      <c r="M19">
        <f t="shared" si="0"/>
        <v>64015994</v>
      </c>
      <c r="N19">
        <f t="shared" si="0"/>
        <v>65964483</v>
      </c>
      <c r="O19">
        <f t="shared" si="0"/>
        <v>67975428</v>
      </c>
      <c r="P19">
        <f t="shared" si="0"/>
        <v>70047199</v>
      </c>
      <c r="Q19">
        <f t="shared" si="0"/>
        <v>72180910</v>
      </c>
      <c r="R19">
        <f t="shared" si="0"/>
        <v>74373233</v>
      </c>
      <c r="S19">
        <f t="shared" si="0"/>
        <v>76621343</v>
      </c>
      <c r="T19">
        <f t="shared" si="0"/>
        <v>78917563</v>
      </c>
      <c r="U19">
        <f t="shared" si="0"/>
        <v>81255488</v>
      </c>
      <c r="V19">
        <f t="shared" si="0"/>
        <v>83624543</v>
      </c>
      <c r="W19">
        <f t="shared" si="0"/>
        <v>83624543</v>
      </c>
      <c r="X19">
        <f t="shared" si="0"/>
        <v>83624543</v>
      </c>
      <c r="Y19">
        <f t="shared" si="0"/>
        <v>83624543</v>
      </c>
      <c r="Z19">
        <f t="shared" si="0"/>
        <v>83624543</v>
      </c>
      <c r="AA19">
        <f t="shared" si="0"/>
        <v>83624543</v>
      </c>
      <c r="AB19">
        <f t="shared" si="0"/>
        <v>83624543</v>
      </c>
      <c r="AC19">
        <f t="shared" si="0"/>
        <v>83624543</v>
      </c>
      <c r="AD19">
        <f t="shared" si="0"/>
        <v>83624543</v>
      </c>
      <c r="AE19">
        <f t="shared" si="0"/>
        <v>83624543</v>
      </c>
      <c r="AF19">
        <f t="shared" si="0"/>
        <v>83624543</v>
      </c>
    </row>
    <row r="21" spans="1:33" ht="15" customHeight="1">
      <c r="B21" t="s">
        <v>165</v>
      </c>
      <c r="C21">
        <v>1</v>
      </c>
      <c r="D21">
        <v>2</v>
      </c>
      <c r="E21">
        <v>3</v>
      </c>
      <c r="F21">
        <v>4</v>
      </c>
      <c r="G21">
        <v>5</v>
      </c>
      <c r="H21">
        <v>6</v>
      </c>
      <c r="I21">
        <v>7</v>
      </c>
      <c r="J21">
        <v>8</v>
      </c>
      <c r="K21">
        <v>9</v>
      </c>
      <c r="L21">
        <v>10</v>
      </c>
      <c r="M21">
        <v>11</v>
      </c>
      <c r="N21">
        <v>12</v>
      </c>
      <c r="O21">
        <v>13</v>
      </c>
      <c r="P21">
        <v>14</v>
      </c>
      <c r="Q21">
        <v>15</v>
      </c>
      <c r="R21">
        <v>16</v>
      </c>
      <c r="S21">
        <v>17</v>
      </c>
      <c r="T21">
        <v>18</v>
      </c>
      <c r="U21">
        <v>19</v>
      </c>
      <c r="V21">
        <v>20</v>
      </c>
      <c r="W21">
        <v>21</v>
      </c>
      <c r="X21">
        <v>22</v>
      </c>
      <c r="Y21">
        <v>23</v>
      </c>
      <c r="Z21">
        <v>24</v>
      </c>
      <c r="AA21">
        <v>25</v>
      </c>
      <c r="AB21">
        <v>26</v>
      </c>
      <c r="AC21">
        <v>27</v>
      </c>
      <c r="AD21">
        <v>28</v>
      </c>
      <c r="AE21">
        <v>29</v>
      </c>
      <c r="AF21">
        <v>30</v>
      </c>
    </row>
    <row r="22" spans="1:33" ht="15" customHeight="1">
      <c r="B22" t="s">
        <v>79</v>
      </c>
      <c r="C22">
        <f>SUMIF($B$2:$B$18,$B22,C$2:C$18)</f>
        <v>14903649</v>
      </c>
      <c r="D22">
        <f t="shared" ref="D22:AF25" si="1">SUMIF($B$2:$B$18,$B22,D$2:D$18)</f>
        <v>30835620</v>
      </c>
      <c r="E22">
        <f t="shared" si="1"/>
        <v>31899231</v>
      </c>
      <c r="F22">
        <f t="shared" si="1"/>
        <v>32929443</v>
      </c>
      <c r="G22">
        <f t="shared" si="1"/>
        <v>33975990</v>
      </c>
      <c r="H22">
        <f t="shared" si="1"/>
        <v>35040870</v>
      </c>
      <c r="I22">
        <f t="shared" si="1"/>
        <v>36135801</v>
      </c>
      <c r="J22">
        <f t="shared" si="1"/>
        <v>37262646</v>
      </c>
      <c r="K22">
        <f t="shared" si="1"/>
        <v>38410038</v>
      </c>
      <c r="L22">
        <f t="shared" si="1"/>
        <v>39578841</v>
      </c>
      <c r="M22">
        <f t="shared" si="1"/>
        <v>40784175</v>
      </c>
      <c r="N22">
        <f t="shared" si="1"/>
        <v>42025608</v>
      </c>
      <c r="O22">
        <f t="shared" si="1"/>
        <v>43306677</v>
      </c>
      <c r="P22">
        <f t="shared" si="1"/>
        <v>44626491</v>
      </c>
      <c r="Q22">
        <f t="shared" si="1"/>
        <v>45985914</v>
      </c>
      <c r="R22">
        <f t="shared" si="1"/>
        <v>47382651</v>
      </c>
      <c r="S22">
        <f t="shared" si="1"/>
        <v>48814947</v>
      </c>
      <c r="T22">
        <f t="shared" si="1"/>
        <v>50277726</v>
      </c>
      <c r="U22">
        <f t="shared" si="1"/>
        <v>51767289</v>
      </c>
      <c r="V22">
        <f t="shared" si="1"/>
        <v>53276697</v>
      </c>
      <c r="W22">
        <f t="shared" si="1"/>
        <v>53276697</v>
      </c>
      <c r="X22">
        <f t="shared" si="1"/>
        <v>53276697</v>
      </c>
      <c r="Y22">
        <f t="shared" si="1"/>
        <v>53276697</v>
      </c>
      <c r="Z22">
        <f t="shared" si="1"/>
        <v>53276697</v>
      </c>
      <c r="AA22">
        <f t="shared" si="1"/>
        <v>53276697</v>
      </c>
      <c r="AB22">
        <f t="shared" si="1"/>
        <v>53276697</v>
      </c>
      <c r="AC22">
        <f t="shared" si="1"/>
        <v>53276697</v>
      </c>
      <c r="AD22">
        <f t="shared" si="1"/>
        <v>53276697</v>
      </c>
      <c r="AE22">
        <f t="shared" si="1"/>
        <v>53276697</v>
      </c>
      <c r="AF22">
        <f t="shared" si="1"/>
        <v>53276697</v>
      </c>
    </row>
    <row r="23" spans="1:33" ht="15" customHeight="1">
      <c r="B23" t="s">
        <v>84</v>
      </c>
      <c r="C23">
        <f t="shared" ref="C23:C25" si="2">SUMIF($B$2:$B$18,$B23,C$2:C$18)</f>
        <v>0</v>
      </c>
      <c r="D23">
        <f t="shared" si="1"/>
        <v>11991650</v>
      </c>
      <c r="E23">
        <f t="shared" si="1"/>
        <v>12405225</v>
      </c>
      <c r="F23">
        <f t="shared" si="1"/>
        <v>12805925</v>
      </c>
      <c r="G23">
        <f t="shared" si="1"/>
        <v>13212925</v>
      </c>
      <c r="H23">
        <f t="shared" si="1"/>
        <v>13627025</v>
      </c>
      <c r="I23">
        <f t="shared" si="1"/>
        <v>14052800</v>
      </c>
      <c r="J23">
        <f t="shared" si="1"/>
        <v>14491050</v>
      </c>
      <c r="K23">
        <f t="shared" si="1"/>
        <v>14937300</v>
      </c>
      <c r="L23">
        <f t="shared" si="1"/>
        <v>15391825</v>
      </c>
      <c r="M23">
        <f t="shared" si="1"/>
        <v>15860525</v>
      </c>
      <c r="N23">
        <f t="shared" si="1"/>
        <v>16343250</v>
      </c>
      <c r="O23">
        <f t="shared" si="1"/>
        <v>16841475</v>
      </c>
      <c r="P23">
        <f t="shared" si="1"/>
        <v>17354800</v>
      </c>
      <c r="Q23">
        <f t="shared" si="1"/>
        <v>17883475</v>
      </c>
      <c r="R23">
        <f t="shared" si="1"/>
        <v>18426575</v>
      </c>
      <c r="S23">
        <f t="shared" si="1"/>
        <v>18983600</v>
      </c>
      <c r="T23">
        <f t="shared" si="1"/>
        <v>19552450</v>
      </c>
      <c r="U23">
        <f t="shared" si="1"/>
        <v>20131775</v>
      </c>
      <c r="V23">
        <f t="shared" si="1"/>
        <v>20718725</v>
      </c>
      <c r="W23">
        <f t="shared" si="1"/>
        <v>20718725</v>
      </c>
      <c r="X23">
        <f t="shared" si="1"/>
        <v>20718725</v>
      </c>
      <c r="Y23">
        <f t="shared" si="1"/>
        <v>20718725</v>
      </c>
      <c r="Z23">
        <f t="shared" si="1"/>
        <v>20718725</v>
      </c>
      <c r="AA23">
        <f t="shared" si="1"/>
        <v>20718725</v>
      </c>
      <c r="AB23">
        <f t="shared" si="1"/>
        <v>20718725</v>
      </c>
      <c r="AC23">
        <f t="shared" si="1"/>
        <v>20718725</v>
      </c>
      <c r="AD23">
        <f t="shared" si="1"/>
        <v>20718725</v>
      </c>
      <c r="AE23">
        <f t="shared" si="1"/>
        <v>20718725</v>
      </c>
      <c r="AF23">
        <f t="shared" si="1"/>
        <v>20718725</v>
      </c>
    </row>
    <row r="24" spans="1:33" ht="15" customHeight="1">
      <c r="B24" t="s">
        <v>86</v>
      </c>
      <c r="C24">
        <f t="shared" si="2"/>
        <v>0</v>
      </c>
      <c r="D24">
        <f t="shared" si="1"/>
        <v>4339695</v>
      </c>
      <c r="E24">
        <f t="shared" si="1"/>
        <v>4489605</v>
      </c>
      <c r="F24">
        <f t="shared" si="1"/>
        <v>4634385</v>
      </c>
      <c r="G24">
        <f t="shared" si="1"/>
        <v>4781730</v>
      </c>
      <c r="H24">
        <f t="shared" si="1"/>
        <v>4931640</v>
      </c>
      <c r="I24">
        <f t="shared" si="1"/>
        <v>5085825</v>
      </c>
      <c r="J24">
        <f t="shared" si="1"/>
        <v>5244285</v>
      </c>
      <c r="K24">
        <f t="shared" si="1"/>
        <v>5405880</v>
      </c>
      <c r="L24">
        <f t="shared" si="1"/>
        <v>5570325</v>
      </c>
      <c r="M24">
        <f t="shared" si="1"/>
        <v>5739900</v>
      </c>
      <c r="N24">
        <f t="shared" si="1"/>
        <v>5914605</v>
      </c>
      <c r="O24">
        <f t="shared" si="1"/>
        <v>6095010</v>
      </c>
      <c r="P24">
        <f t="shared" si="1"/>
        <v>6280830</v>
      </c>
      <c r="Q24">
        <f t="shared" si="1"/>
        <v>6472065</v>
      </c>
      <c r="R24">
        <f t="shared" si="1"/>
        <v>6668715</v>
      </c>
      <c r="S24">
        <f t="shared" si="1"/>
        <v>6870210</v>
      </c>
      <c r="T24">
        <f t="shared" si="1"/>
        <v>7076265</v>
      </c>
      <c r="U24">
        <f t="shared" si="1"/>
        <v>7285740</v>
      </c>
      <c r="V24">
        <f t="shared" si="1"/>
        <v>7498065</v>
      </c>
      <c r="W24">
        <f t="shared" si="1"/>
        <v>7498065</v>
      </c>
      <c r="X24">
        <f t="shared" si="1"/>
        <v>7498065</v>
      </c>
      <c r="Y24">
        <f t="shared" si="1"/>
        <v>7498065</v>
      </c>
      <c r="Z24">
        <f t="shared" si="1"/>
        <v>7498065</v>
      </c>
      <c r="AA24">
        <f t="shared" si="1"/>
        <v>7498065</v>
      </c>
      <c r="AB24">
        <f t="shared" si="1"/>
        <v>7498065</v>
      </c>
      <c r="AC24">
        <f t="shared" si="1"/>
        <v>7498065</v>
      </c>
      <c r="AD24">
        <f t="shared" si="1"/>
        <v>7498065</v>
      </c>
      <c r="AE24">
        <f t="shared" si="1"/>
        <v>7498065</v>
      </c>
      <c r="AF24">
        <f t="shared" si="1"/>
        <v>7498065</v>
      </c>
    </row>
    <row r="25" spans="1:33" ht="15" customHeight="1">
      <c r="B25" t="s">
        <v>870</v>
      </c>
      <c r="C25">
        <f t="shared" si="2"/>
        <v>0</v>
      </c>
      <c r="D25">
        <f t="shared" si="1"/>
        <v>1233414</v>
      </c>
      <c r="E25">
        <f t="shared" si="1"/>
        <v>1275966</v>
      </c>
      <c r="F25">
        <f t="shared" si="1"/>
        <v>1317168</v>
      </c>
      <c r="G25">
        <f t="shared" si="1"/>
        <v>1359018</v>
      </c>
      <c r="H25">
        <f t="shared" si="1"/>
        <v>1401624</v>
      </c>
      <c r="I25">
        <f t="shared" si="1"/>
        <v>1445418</v>
      </c>
      <c r="J25">
        <f t="shared" si="1"/>
        <v>1490508</v>
      </c>
      <c r="K25">
        <f t="shared" si="1"/>
        <v>1536408</v>
      </c>
      <c r="L25">
        <f t="shared" si="1"/>
        <v>1583172</v>
      </c>
      <c r="M25">
        <f t="shared" si="1"/>
        <v>1631394</v>
      </c>
      <c r="N25">
        <f t="shared" si="1"/>
        <v>1681020</v>
      </c>
      <c r="O25">
        <f t="shared" si="1"/>
        <v>1732266</v>
      </c>
      <c r="P25">
        <f t="shared" si="1"/>
        <v>1785078</v>
      </c>
      <c r="Q25">
        <f t="shared" si="1"/>
        <v>1839456</v>
      </c>
      <c r="R25">
        <f t="shared" si="1"/>
        <v>1895292</v>
      </c>
      <c r="S25">
        <f t="shared" si="1"/>
        <v>1952586</v>
      </c>
      <c r="T25">
        <f t="shared" si="1"/>
        <v>2011122</v>
      </c>
      <c r="U25">
        <f t="shared" si="1"/>
        <v>2070684</v>
      </c>
      <c r="V25">
        <f t="shared" si="1"/>
        <v>2131056</v>
      </c>
      <c r="W25">
        <f t="shared" si="1"/>
        <v>2131056</v>
      </c>
      <c r="X25">
        <f t="shared" si="1"/>
        <v>2131056</v>
      </c>
      <c r="Y25">
        <f t="shared" si="1"/>
        <v>2131056</v>
      </c>
      <c r="Z25">
        <f t="shared" si="1"/>
        <v>2131056</v>
      </c>
      <c r="AA25">
        <f t="shared" si="1"/>
        <v>2131056</v>
      </c>
      <c r="AB25">
        <f t="shared" si="1"/>
        <v>2131056</v>
      </c>
      <c r="AC25">
        <f t="shared" si="1"/>
        <v>2131056</v>
      </c>
      <c r="AD25">
        <f t="shared" si="1"/>
        <v>2131056</v>
      </c>
      <c r="AE25">
        <f t="shared" si="1"/>
        <v>2131056</v>
      </c>
      <c r="AF25">
        <f t="shared" si="1"/>
        <v>2131056</v>
      </c>
    </row>
    <row r="26" spans="1:33" ht="15" customHeight="1">
      <c r="B26" t="s">
        <v>450</v>
      </c>
      <c r="C26">
        <f>SUM(C22:C25)</f>
        <v>14903649</v>
      </c>
      <c r="D26">
        <f t="shared" ref="D26:AF26" si="3">SUM(D22:D25)</f>
        <v>48400379</v>
      </c>
      <c r="E26">
        <f t="shared" si="3"/>
        <v>50070027</v>
      </c>
      <c r="F26">
        <f t="shared" si="3"/>
        <v>51686921</v>
      </c>
      <c r="G26">
        <f t="shared" si="3"/>
        <v>53329663</v>
      </c>
      <c r="H26">
        <f t="shared" si="3"/>
        <v>55001159</v>
      </c>
      <c r="I26">
        <f t="shared" si="3"/>
        <v>56719844</v>
      </c>
      <c r="J26">
        <f t="shared" si="3"/>
        <v>58488489</v>
      </c>
      <c r="K26">
        <f t="shared" si="3"/>
        <v>60289626</v>
      </c>
      <c r="L26">
        <f t="shared" si="3"/>
        <v>62124163</v>
      </c>
      <c r="M26">
        <f t="shared" si="3"/>
        <v>64015994</v>
      </c>
      <c r="N26">
        <f t="shared" si="3"/>
        <v>65964483</v>
      </c>
      <c r="O26">
        <f t="shared" si="3"/>
        <v>67975428</v>
      </c>
      <c r="P26">
        <f t="shared" si="3"/>
        <v>70047199</v>
      </c>
      <c r="Q26">
        <f t="shared" si="3"/>
        <v>72180910</v>
      </c>
      <c r="R26">
        <f t="shared" si="3"/>
        <v>74373233</v>
      </c>
      <c r="S26">
        <f t="shared" si="3"/>
        <v>76621343</v>
      </c>
      <c r="T26">
        <f t="shared" si="3"/>
        <v>78917563</v>
      </c>
      <c r="U26">
        <f t="shared" si="3"/>
        <v>81255488</v>
      </c>
      <c r="V26">
        <f t="shared" si="3"/>
        <v>83624543</v>
      </c>
      <c r="W26">
        <f t="shared" si="3"/>
        <v>83624543</v>
      </c>
      <c r="X26">
        <f t="shared" si="3"/>
        <v>83624543</v>
      </c>
      <c r="Y26">
        <f t="shared" si="3"/>
        <v>83624543</v>
      </c>
      <c r="Z26">
        <f t="shared" si="3"/>
        <v>83624543</v>
      </c>
      <c r="AA26">
        <f t="shared" si="3"/>
        <v>83624543</v>
      </c>
      <c r="AB26">
        <f t="shared" si="3"/>
        <v>83624543</v>
      </c>
      <c r="AC26">
        <f t="shared" si="3"/>
        <v>83624543</v>
      </c>
      <c r="AD26">
        <f t="shared" si="3"/>
        <v>83624543</v>
      </c>
      <c r="AE26">
        <f t="shared" si="3"/>
        <v>83624543</v>
      </c>
      <c r="AF26">
        <f t="shared" si="3"/>
        <v>83624543</v>
      </c>
      <c r="AG26">
        <f>AF22/AF26</f>
        <v>0.6370940287231226</v>
      </c>
    </row>
    <row r="27" spans="1:33" ht="15" customHeight="1">
      <c r="C27" t="b">
        <f t="shared" ref="C27:AE27" si="4">C26=C19</f>
        <v>1</v>
      </c>
      <c r="D27" t="b">
        <f t="shared" si="4"/>
        <v>1</v>
      </c>
      <c r="E27" t="b">
        <f t="shared" si="4"/>
        <v>1</v>
      </c>
      <c r="F27" t="b">
        <f t="shared" si="4"/>
        <v>1</v>
      </c>
      <c r="G27" t="b">
        <f t="shared" si="4"/>
        <v>1</v>
      </c>
      <c r="H27" t="b">
        <f t="shared" si="4"/>
        <v>1</v>
      </c>
      <c r="I27" t="b">
        <f t="shared" si="4"/>
        <v>1</v>
      </c>
      <c r="J27" t="b">
        <f t="shared" si="4"/>
        <v>1</v>
      </c>
      <c r="K27" t="b">
        <f t="shared" si="4"/>
        <v>1</v>
      </c>
      <c r="L27" t="b">
        <f t="shared" si="4"/>
        <v>1</v>
      </c>
      <c r="M27" t="b">
        <f t="shared" si="4"/>
        <v>1</v>
      </c>
      <c r="N27" t="b">
        <f t="shared" si="4"/>
        <v>1</v>
      </c>
      <c r="O27" t="b">
        <f t="shared" si="4"/>
        <v>1</v>
      </c>
      <c r="P27" t="b">
        <f t="shared" si="4"/>
        <v>1</v>
      </c>
      <c r="Q27" t="b">
        <f t="shared" si="4"/>
        <v>1</v>
      </c>
      <c r="R27" t="b">
        <f t="shared" si="4"/>
        <v>1</v>
      </c>
      <c r="S27" t="b">
        <f t="shared" si="4"/>
        <v>1</v>
      </c>
      <c r="T27" t="b">
        <f t="shared" si="4"/>
        <v>1</v>
      </c>
      <c r="U27" t="b">
        <f t="shared" si="4"/>
        <v>1</v>
      </c>
      <c r="V27" t="b">
        <f t="shared" si="4"/>
        <v>1</v>
      </c>
      <c r="W27" t="b">
        <f t="shared" si="4"/>
        <v>1</v>
      </c>
      <c r="X27" t="b">
        <f t="shared" si="4"/>
        <v>1</v>
      </c>
      <c r="Y27" t="b">
        <f t="shared" si="4"/>
        <v>1</v>
      </c>
      <c r="Z27" t="b">
        <f t="shared" si="4"/>
        <v>1</v>
      </c>
      <c r="AA27" t="b">
        <f t="shared" si="4"/>
        <v>1</v>
      </c>
      <c r="AB27" t="b">
        <f t="shared" si="4"/>
        <v>1</v>
      </c>
      <c r="AC27" t="b">
        <f t="shared" si="4"/>
        <v>1</v>
      </c>
      <c r="AD27" t="b">
        <f t="shared" si="4"/>
        <v>1</v>
      </c>
      <c r="AE27" t="b">
        <f t="shared" si="4"/>
        <v>1</v>
      </c>
      <c r="AF27" t="b">
        <f>AF26=AF19</f>
        <v>1</v>
      </c>
    </row>
    <row r="42" spans="1:31" ht="15" customHeight="1">
      <c r="B42">
        <v>1000</v>
      </c>
    </row>
    <row r="43" spans="1:31" ht="15" customHeight="1">
      <c r="B43">
        <v>-1</v>
      </c>
    </row>
    <row r="44" spans="1:31" ht="15" customHeight="1">
      <c r="A44" t="s">
        <v>872</v>
      </c>
      <c r="B44">
        <v>14134414.460046701</v>
      </c>
      <c r="C44">
        <v>32918691.465159398</v>
      </c>
      <c r="D44">
        <v>33447769.556300599</v>
      </c>
      <c r="E44">
        <v>33960929.929941796</v>
      </c>
      <c r="F44">
        <v>34481211.901082993</v>
      </c>
      <c r="G44">
        <v>35068734.294424206</v>
      </c>
      <c r="H44">
        <v>35615160.598065399</v>
      </c>
      <c r="I44">
        <v>36176476.209206603</v>
      </c>
      <c r="J44">
        <v>36748452.810347803</v>
      </c>
      <c r="K44">
        <v>37332649.463988997</v>
      </c>
      <c r="L44">
        <v>38029327.796518192</v>
      </c>
      <c r="M44">
        <v>38649354.077659398</v>
      </c>
      <c r="N44">
        <v>39291157.9113006</v>
      </c>
      <c r="O44">
        <v>39951427.34244179</v>
      </c>
      <c r="P44">
        <v>40631877.623583004</v>
      </c>
      <c r="Q44">
        <v>41390723.649424203</v>
      </c>
      <c r="R44">
        <v>42108504.360565394</v>
      </c>
      <c r="S44">
        <v>42842021.641706601</v>
      </c>
      <c r="T44">
        <v>43590469.565347798</v>
      </c>
      <c r="U44">
        <v>44347697.926489003</v>
      </c>
      <c r="V44">
        <v>44427101.489018202</v>
      </c>
      <c r="W44">
        <v>44412708.712659404</v>
      </c>
      <c r="X44">
        <v>44396948.993800603</v>
      </c>
      <c r="Y44">
        <v>44381189.274941802</v>
      </c>
      <c r="Z44">
        <v>44366796.498583004</v>
      </c>
      <c r="AA44">
        <v>44408914.211924203</v>
      </c>
      <c r="AB44">
        <v>44393154.493065402</v>
      </c>
      <c r="AC44">
        <v>44378761.716706604</v>
      </c>
      <c r="AD44">
        <v>44363001.99784781</v>
      </c>
      <c r="AE44">
        <v>44347242.278989002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29">
    <tabColor theme="1"/>
  </sheetPr>
  <dimension ref="A3:D39"/>
  <sheetViews>
    <sheetView workbookViewId="0"/>
  </sheetViews>
  <sheetFormatPr defaultColWidth="10.88671875" defaultRowHeight="15.6"/>
  <cols>
    <col min="1" max="1" width="50.77734375" customWidth="1"/>
    <col min="2" max="2" width="23.21875" style="404" customWidth="1"/>
    <col min="4" max="4" width="13.77734375" customWidth="1"/>
  </cols>
  <sheetData>
    <row r="3" spans="1:4">
      <c r="A3" s="413" t="s">
        <v>873</v>
      </c>
      <c r="B3" s="421" t="s">
        <v>874</v>
      </c>
    </row>
    <row r="4" spans="1:4">
      <c r="A4" s="415" t="s">
        <v>410</v>
      </c>
      <c r="B4" s="421">
        <v>19492000</v>
      </c>
    </row>
    <row r="5" spans="1:4">
      <c r="A5" s="416" t="s">
        <v>381</v>
      </c>
      <c r="B5" s="422">
        <v>14103672</v>
      </c>
    </row>
    <row r="6" spans="1:4">
      <c r="A6" s="416" t="s">
        <v>875</v>
      </c>
      <c r="B6" s="422">
        <v>10194927.600000001</v>
      </c>
    </row>
    <row r="7" spans="1:4">
      <c r="A7" s="416" t="s">
        <v>431</v>
      </c>
      <c r="B7" s="422">
        <v>9900000</v>
      </c>
    </row>
    <row r="8" spans="1:4">
      <c r="A8" s="416" t="s">
        <v>352</v>
      </c>
      <c r="B8" s="422">
        <v>9195731.7738000005</v>
      </c>
    </row>
    <row r="9" spans="1:4">
      <c r="A9" s="416" t="s">
        <v>430</v>
      </c>
      <c r="B9" s="422">
        <v>7143400.0000000019</v>
      </c>
    </row>
    <row r="10" spans="1:4">
      <c r="A10" s="416" t="s">
        <v>425</v>
      </c>
      <c r="B10" s="422">
        <v>6105000</v>
      </c>
    </row>
    <row r="11" spans="1:4">
      <c r="A11" s="416" t="s">
        <v>409</v>
      </c>
      <c r="B11" s="422">
        <v>5376201.6000000015</v>
      </c>
    </row>
    <row r="12" spans="1:4">
      <c r="A12" s="416" t="s">
        <v>412</v>
      </c>
      <c r="B12" s="422">
        <v>5042400</v>
      </c>
      <c r="D12" s="416"/>
    </row>
    <row r="13" spans="1:4">
      <c r="A13" s="416" t="s">
        <v>437</v>
      </c>
      <c r="B13" s="422">
        <v>4950000</v>
      </c>
    </row>
    <row r="14" spans="1:4">
      <c r="A14" s="416" t="s">
        <v>400</v>
      </c>
      <c r="B14" s="422">
        <v>4946462.4000000004</v>
      </c>
    </row>
    <row r="15" spans="1:4">
      <c r="A15" s="416" t="s">
        <v>398</v>
      </c>
      <c r="B15" s="422">
        <v>4529226.24</v>
      </c>
    </row>
    <row r="16" spans="1:4">
      <c r="A16" s="416" t="s">
        <v>396</v>
      </c>
      <c r="B16" s="422">
        <v>3939170.4</v>
      </c>
    </row>
    <row r="17" spans="1:2">
      <c r="A17" s="416" t="s">
        <v>435</v>
      </c>
      <c r="B17" s="422">
        <v>3430765.14</v>
      </c>
    </row>
    <row r="18" spans="1:2">
      <c r="A18" s="416" t="s">
        <v>385</v>
      </c>
      <c r="B18" s="422">
        <v>2540400.588</v>
      </c>
    </row>
    <row r="19" spans="1:2">
      <c r="A19" s="416" t="s">
        <v>406</v>
      </c>
      <c r="B19" s="422">
        <v>2347494.6000000006</v>
      </c>
    </row>
    <row r="20" spans="1:2">
      <c r="A20" s="416" t="s">
        <v>362</v>
      </c>
      <c r="B20" s="422">
        <v>1312420.8020000001</v>
      </c>
    </row>
    <row r="21" spans="1:2">
      <c r="A21" s="416" t="s">
        <v>383</v>
      </c>
      <c r="B21" s="422">
        <v>1094209.1160000002</v>
      </c>
    </row>
    <row r="22" spans="1:2">
      <c r="A22" s="416" t="s">
        <v>404</v>
      </c>
      <c r="B22" s="422">
        <v>990000</v>
      </c>
    </row>
    <row r="23" spans="1:2">
      <c r="A23" s="416" t="s">
        <v>394</v>
      </c>
      <c r="B23" s="422">
        <v>693000</v>
      </c>
    </row>
    <row r="24" spans="1:2">
      <c r="A24" s="416" t="s">
        <v>422</v>
      </c>
      <c r="B24" s="422">
        <v>646800</v>
      </c>
    </row>
    <row r="25" spans="1:2">
      <c r="A25" s="416" t="s">
        <v>377</v>
      </c>
      <c r="B25" s="422">
        <v>555852.00000000012</v>
      </c>
    </row>
    <row r="26" spans="1:2">
      <c r="A26" s="416" t="s">
        <v>427</v>
      </c>
      <c r="B26" s="422">
        <v>495000.00000000006</v>
      </c>
    </row>
    <row r="27" spans="1:2">
      <c r="A27" s="416" t="s">
        <v>408</v>
      </c>
      <c r="B27" s="422">
        <v>435600.00000000006</v>
      </c>
    </row>
    <row r="28" spans="1:2">
      <c r="A28" s="416" t="s">
        <v>434</v>
      </c>
      <c r="B28" s="422">
        <v>330000</v>
      </c>
    </row>
    <row r="29" spans="1:2">
      <c r="A29" s="416" t="s">
        <v>432</v>
      </c>
      <c r="B29" s="422">
        <v>275000</v>
      </c>
    </row>
    <row r="30" spans="1:2">
      <c r="A30" s="416" t="s">
        <v>413</v>
      </c>
      <c r="B30" s="422">
        <v>266475.00000000006</v>
      </c>
    </row>
    <row r="31" spans="1:2">
      <c r="A31" s="416" t="s">
        <v>419</v>
      </c>
      <c r="B31" s="422">
        <v>248930.00000000003</v>
      </c>
    </row>
    <row r="32" spans="1:2">
      <c r="A32" s="416" t="s">
        <v>357</v>
      </c>
      <c r="B32" s="422">
        <v>153120.00000000003</v>
      </c>
    </row>
    <row r="33" spans="1:2">
      <c r="A33" s="416" t="s">
        <v>436</v>
      </c>
      <c r="B33" s="422">
        <v>148500</v>
      </c>
    </row>
    <row r="34" spans="1:2">
      <c r="A34" s="416" t="s">
        <v>367</v>
      </c>
      <c r="B34" s="422">
        <v>84911.2</v>
      </c>
    </row>
    <row r="35" spans="1:2">
      <c r="A35" s="416" t="s">
        <v>364</v>
      </c>
      <c r="B35" s="422">
        <v>82230.39</v>
      </c>
    </row>
    <row r="36" spans="1:2">
      <c r="A36" s="416" t="s">
        <v>363</v>
      </c>
      <c r="B36" s="422">
        <v>67081.607999999993</v>
      </c>
    </row>
    <row r="37" spans="1:2">
      <c r="A37" s="416" t="s">
        <v>379</v>
      </c>
      <c r="B37" s="422">
        <v>27500</v>
      </c>
    </row>
    <row r="38" spans="1:2">
      <c r="A38" s="416" t="s">
        <v>416</v>
      </c>
      <c r="B38" s="422">
        <v>8500.8000000000011</v>
      </c>
    </row>
    <row r="39" spans="1:2">
      <c r="A39" s="417" t="s">
        <v>876</v>
      </c>
      <c r="B39" s="423">
        <v>121151983.25780001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ilha30">
    <tabColor theme="1"/>
  </sheetPr>
  <dimension ref="A3:B11"/>
  <sheetViews>
    <sheetView zoomScale="175" workbookViewId="0"/>
  </sheetViews>
  <sheetFormatPr defaultColWidth="10.88671875" defaultRowHeight="15.6"/>
  <cols>
    <col min="1" max="1" width="22.77734375" bestFit="1" customWidth="1"/>
    <col min="2" max="2" width="17.21875" bestFit="1" customWidth="1"/>
  </cols>
  <sheetData>
    <row r="3" spans="1:2">
      <c r="A3" s="413" t="s">
        <v>873</v>
      </c>
      <c r="B3" s="414" t="s">
        <v>874</v>
      </c>
    </row>
    <row r="4" spans="1:2">
      <c r="A4" s="415" t="s">
        <v>359</v>
      </c>
      <c r="B4" s="421">
        <v>70852181.202000007</v>
      </c>
    </row>
    <row r="5" spans="1:2">
      <c r="A5" s="416" t="s">
        <v>378</v>
      </c>
      <c r="B5" s="422">
        <v>24238156.800000001</v>
      </c>
    </row>
    <row r="6" spans="1:2">
      <c r="A6" s="416" t="s">
        <v>354</v>
      </c>
      <c r="B6" s="422">
        <v>12883927.713800002</v>
      </c>
    </row>
    <row r="7" spans="1:2">
      <c r="A7" s="416" t="s">
        <v>366</v>
      </c>
      <c r="B7" s="422">
        <v>9153835.9440000001</v>
      </c>
    </row>
    <row r="8" spans="1:2">
      <c r="A8" s="416" t="s">
        <v>371</v>
      </c>
      <c r="B8" s="422">
        <v>2347494.6000000006</v>
      </c>
    </row>
    <row r="9" spans="1:2">
      <c r="A9" s="416" t="s">
        <v>171</v>
      </c>
      <c r="B9" s="422">
        <v>1181386.9980000001</v>
      </c>
    </row>
    <row r="10" spans="1:2">
      <c r="A10" s="416" t="s">
        <v>361</v>
      </c>
      <c r="B10" s="422">
        <v>495000.00000000006</v>
      </c>
    </row>
    <row r="11" spans="1:2">
      <c r="A11" s="417" t="s">
        <v>876</v>
      </c>
      <c r="B11" s="423">
        <v>121151983.2578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tabColor rgb="FFA8D08D"/>
  </sheetPr>
  <dimension ref="A1:AI418"/>
  <sheetViews>
    <sheetView zoomScale="90" zoomScaleNormal="90" workbookViewId="0">
      <pane xSplit="1" topLeftCell="B1" activePane="topRight" state="frozen"/>
      <selection pane="topRight"/>
    </sheetView>
  </sheetViews>
  <sheetFormatPr defaultColWidth="11.44140625" defaultRowHeight="15" customHeight="1"/>
  <cols>
    <col min="1" max="1" width="55.5546875" customWidth="1"/>
    <col min="2" max="2" width="13.44140625" customWidth="1"/>
    <col min="3" max="23" width="12.44140625" customWidth="1"/>
    <col min="24" max="24" width="15.44140625" customWidth="1"/>
    <col min="25" max="25" width="14" customWidth="1"/>
    <col min="26" max="31" width="10.5546875" customWidth="1"/>
    <col min="32" max="32" width="70" customWidth="1"/>
  </cols>
  <sheetData>
    <row r="1" spans="1:32" ht="15.6">
      <c r="A1" s="484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98"/>
      <c r="X1" s="298"/>
      <c r="Y1" s="298"/>
      <c r="Z1" s="298"/>
      <c r="AA1" s="298"/>
      <c r="AB1" s="298"/>
      <c r="AC1" s="298"/>
      <c r="AD1" s="298"/>
      <c r="AE1" s="298"/>
      <c r="AF1" s="298"/>
    </row>
    <row r="2" spans="1:32" ht="15.6">
      <c r="A2" s="298"/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</row>
    <row r="3" spans="1:32" ht="27.75" customHeight="1">
      <c r="A3" s="758" t="s">
        <v>40</v>
      </c>
      <c r="B3" s="761" t="s">
        <v>41</v>
      </c>
      <c r="C3" s="298"/>
      <c r="D3" s="298"/>
      <c r="E3" s="485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8"/>
      <c r="U3" s="298"/>
      <c r="V3" s="298"/>
      <c r="W3" s="298"/>
      <c r="X3" s="298"/>
      <c r="Y3" s="298"/>
      <c r="Z3" s="298"/>
      <c r="AA3" s="298"/>
      <c r="AB3" s="298"/>
      <c r="AC3" s="298"/>
      <c r="AD3" s="298"/>
      <c r="AE3" s="298"/>
      <c r="AF3" s="298"/>
    </row>
    <row r="4" spans="1:32" ht="27.75" customHeight="1">
      <c r="A4" s="813"/>
      <c r="B4" s="815"/>
      <c r="C4" s="298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</row>
    <row r="5" spans="1:32" ht="24" customHeight="1">
      <c r="A5" s="5" t="s">
        <v>42</v>
      </c>
      <c r="B5" s="6">
        <f>'Painel de controle'!B28*(1+CorrDemanda)</f>
        <v>1190594.7</v>
      </c>
      <c r="C5" s="298"/>
      <c r="D5" s="486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</row>
    <row r="6" spans="1:32" ht="24" customHeight="1">
      <c r="A6" s="5" t="s">
        <v>43</v>
      </c>
      <c r="B6" s="7" t="str">
        <f>'Painel de controle'!B9</f>
        <v>PESSIMISTA</v>
      </c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</row>
    <row r="7" spans="1:32" ht="24" customHeight="1">
      <c r="A7" s="298"/>
      <c r="B7" s="298"/>
      <c r="C7" s="298"/>
      <c r="D7" s="298"/>
      <c r="E7" s="298"/>
      <c r="F7" s="298"/>
      <c r="G7" s="298"/>
      <c r="H7" s="298"/>
      <c r="I7" s="298"/>
      <c r="J7" s="298"/>
      <c r="K7" s="298"/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8"/>
      <c r="AE7" s="298"/>
      <c r="AF7" s="298"/>
    </row>
    <row r="8" spans="1:32" ht="24" customHeight="1">
      <c r="A8" s="487" t="s">
        <v>44</v>
      </c>
      <c r="B8" s="298"/>
      <c r="C8" s="298"/>
      <c r="D8" s="298"/>
      <c r="E8" s="298"/>
      <c r="F8" s="298"/>
      <c r="G8" s="298"/>
      <c r="H8" s="298"/>
      <c r="I8" s="298"/>
      <c r="J8" s="298"/>
      <c r="K8" s="298"/>
      <c r="L8" s="298"/>
      <c r="M8" s="298"/>
      <c r="N8" s="298"/>
      <c r="O8" s="298"/>
      <c r="P8" s="298"/>
      <c r="Q8" s="298"/>
      <c r="R8" s="298"/>
      <c r="S8" s="298"/>
      <c r="T8" s="298"/>
      <c r="U8" s="298"/>
      <c r="V8" s="298"/>
      <c r="W8" s="298"/>
      <c r="X8" s="298"/>
      <c r="Y8" s="298"/>
      <c r="Z8" s="298"/>
      <c r="AA8" s="298"/>
      <c r="AB8" s="298"/>
      <c r="AC8" s="298"/>
      <c r="AD8" s="298"/>
      <c r="AE8" s="298"/>
      <c r="AF8" s="298"/>
    </row>
    <row r="9" spans="1:32" ht="15.6">
      <c r="A9" s="758" t="s">
        <v>45</v>
      </c>
      <c r="B9" s="759" t="s">
        <v>46</v>
      </c>
      <c r="C9" s="813"/>
      <c r="D9" s="813"/>
      <c r="E9" s="813"/>
      <c r="F9" s="813"/>
      <c r="G9" s="813"/>
      <c r="H9" s="813"/>
      <c r="I9" s="813"/>
      <c r="J9" s="813"/>
      <c r="K9" s="813"/>
      <c r="L9" s="813"/>
      <c r="M9" s="813"/>
      <c r="N9" s="813"/>
      <c r="O9" s="813"/>
      <c r="P9" s="813"/>
      <c r="Q9" s="813"/>
      <c r="R9" s="813"/>
      <c r="S9" s="813"/>
      <c r="T9" s="813"/>
      <c r="U9" s="813"/>
      <c r="V9" s="813"/>
      <c r="W9" s="813"/>
      <c r="X9" s="813"/>
      <c r="Y9" s="813"/>
      <c r="Z9" s="813"/>
      <c r="AA9" s="813"/>
      <c r="AB9" s="813"/>
      <c r="AC9" s="813"/>
      <c r="AD9" s="813"/>
      <c r="AE9" s="813"/>
      <c r="AF9" s="298"/>
    </row>
    <row r="10" spans="1:32" ht="13.5" customHeight="1">
      <c r="A10" s="813"/>
      <c r="B10" s="488">
        <v>1</v>
      </c>
      <c r="C10" s="488">
        <v>2</v>
      </c>
      <c r="D10" s="488">
        <v>3</v>
      </c>
      <c r="E10" s="488">
        <v>4</v>
      </c>
      <c r="F10" s="488">
        <v>5</v>
      </c>
      <c r="G10" s="488">
        <v>6</v>
      </c>
      <c r="H10" s="488">
        <v>7</v>
      </c>
      <c r="I10" s="488">
        <v>8</v>
      </c>
      <c r="J10" s="488">
        <v>9</v>
      </c>
      <c r="K10" s="488">
        <v>10</v>
      </c>
      <c r="L10" s="488">
        <v>11</v>
      </c>
      <c r="M10" s="488">
        <v>12</v>
      </c>
      <c r="N10" s="488">
        <v>13</v>
      </c>
      <c r="O10" s="488">
        <v>14</v>
      </c>
      <c r="P10" s="488">
        <v>15</v>
      </c>
      <c r="Q10" s="488">
        <v>16</v>
      </c>
      <c r="R10" s="488">
        <v>17</v>
      </c>
      <c r="S10" s="488">
        <v>18</v>
      </c>
      <c r="T10" s="488">
        <v>19</v>
      </c>
      <c r="U10" s="488">
        <v>20</v>
      </c>
      <c r="V10" s="488">
        <v>21</v>
      </c>
      <c r="W10" s="488">
        <v>22</v>
      </c>
      <c r="X10" s="488">
        <v>23</v>
      </c>
      <c r="Y10" s="488">
        <v>24</v>
      </c>
      <c r="Z10" s="488">
        <v>25</v>
      </c>
      <c r="AA10" s="488">
        <v>26</v>
      </c>
      <c r="AB10" s="488">
        <v>27</v>
      </c>
      <c r="AC10" s="488">
        <v>28</v>
      </c>
      <c r="AD10" s="488">
        <v>29</v>
      </c>
      <c r="AE10" s="488">
        <v>30</v>
      </c>
      <c r="AF10" s="298"/>
    </row>
    <row r="11" spans="1:32" ht="25.5" customHeight="1">
      <c r="A11" s="8" t="s">
        <v>47</v>
      </c>
      <c r="B11" s="9">
        <v>-0.11372716749053324</v>
      </c>
      <c r="C11" s="9">
        <v>4.3573822967787335E-2</v>
      </c>
      <c r="D11" s="9">
        <v>4.3668657214838591E-2</v>
      </c>
      <c r="E11" s="9">
        <v>4.1382922739230166E-2</v>
      </c>
      <c r="F11" s="9">
        <v>4.0935004224414762E-2</v>
      </c>
      <c r="G11" s="9">
        <v>4.0440258331600587E-2</v>
      </c>
      <c r="H11" s="9">
        <v>4.0388840658411418E-2</v>
      </c>
      <c r="I11" s="9">
        <v>4.0289030633690492E-2</v>
      </c>
      <c r="J11" s="9">
        <v>3.992609688566584E-2</v>
      </c>
      <c r="K11" s="9">
        <v>3.9538366128350599E-2</v>
      </c>
      <c r="L11" s="9">
        <v>3.9583346511027795E-2</v>
      </c>
      <c r="M11" s="9">
        <v>3.9551506739140097E-2</v>
      </c>
      <c r="N11" s="9">
        <v>3.9609246170422274E-2</v>
      </c>
      <c r="O11" s="9">
        <v>3.9590684595931069E-2</v>
      </c>
      <c r="P11" s="9">
        <v>3.958661524935625E-2</v>
      </c>
      <c r="Q11" s="9">
        <v>3.948946841526757E-2</v>
      </c>
      <c r="R11" s="9">
        <v>3.9350222568315552E-2</v>
      </c>
      <c r="S11" s="9">
        <v>3.9082037805561187E-2</v>
      </c>
      <c r="T11" s="9">
        <v>3.8746166304949536E-2</v>
      </c>
      <c r="U11" s="9">
        <v>3.8271990998467675E-2</v>
      </c>
      <c r="V11" s="9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298"/>
    </row>
    <row r="12" spans="1:32" ht="25.5" customHeight="1">
      <c r="A12" s="10" t="s">
        <v>19</v>
      </c>
      <c r="B12" s="9">
        <v>-0.12155687100213797</v>
      </c>
      <c r="C12" s="9">
        <v>3.4499062696517591E-2</v>
      </c>
      <c r="D12" s="9">
        <v>3.4492812855944077E-2</v>
      </c>
      <c r="E12" s="9">
        <v>3.2295747914586226E-2</v>
      </c>
      <c r="F12" s="9">
        <v>3.1781546517412496E-2</v>
      </c>
      <c r="G12" s="9">
        <v>3.1342808331886518E-2</v>
      </c>
      <c r="H12" s="9">
        <v>3.1246711945525973E-2</v>
      </c>
      <c r="I12" s="9">
        <v>3.1183605044350138E-2</v>
      </c>
      <c r="J12" s="9">
        <v>3.0792051931278541E-2</v>
      </c>
      <c r="K12" s="9">
        <v>3.0429466705230057E-2</v>
      </c>
      <c r="L12" s="9">
        <v>3.0454501294794767E-2</v>
      </c>
      <c r="M12" s="9">
        <v>3.0438920789995549E-2</v>
      </c>
      <c r="N12" s="9">
        <v>3.0483260799390566E-2</v>
      </c>
      <c r="O12" s="9">
        <v>3.0475564091119178E-2</v>
      </c>
      <c r="P12" s="9">
        <v>3.0462681669917391E-2</v>
      </c>
      <c r="Q12" s="9">
        <v>3.0373028266367452E-2</v>
      </c>
      <c r="R12" s="9">
        <v>3.0228307164215096E-2</v>
      </c>
      <c r="S12" s="9">
        <v>2.996569381144476E-2</v>
      </c>
      <c r="T12" s="9">
        <v>2.9626868089114522E-2</v>
      </c>
      <c r="U12" s="9">
        <v>2.9157235099287693E-2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298"/>
    </row>
    <row r="13" spans="1:32" ht="25.5" customHeight="1">
      <c r="A13" s="11" t="s">
        <v>48</v>
      </c>
      <c r="B13" s="9">
        <v>-0.10586907088317621</v>
      </c>
      <c r="C13" s="9">
        <v>5.2667155346655337E-2</v>
      </c>
      <c r="D13" s="9">
        <v>5.2874360857109615E-2</v>
      </c>
      <c r="E13" s="9">
        <v>5.0491942637654441E-2</v>
      </c>
      <c r="F13" s="9">
        <v>5.0116271448107153E-2</v>
      </c>
      <c r="G13" s="9">
        <v>4.956138174199709E-2</v>
      </c>
      <c r="H13" s="9">
        <v>4.9557584841896762E-2</v>
      </c>
      <c r="I13" s="9">
        <v>4.9419133721221087E-2</v>
      </c>
      <c r="J13" s="9">
        <v>4.9086089815707501E-2</v>
      </c>
      <c r="K13" s="9">
        <v>4.8672468511817168E-2</v>
      </c>
      <c r="L13" s="9">
        <v>4.8737787498321694E-2</v>
      </c>
      <c r="M13" s="9">
        <v>4.8689564612938829E-2</v>
      </c>
      <c r="N13" s="9">
        <v>4.8760653188230307E-2</v>
      </c>
      <c r="O13" s="9">
        <v>4.8731398934098502E-2</v>
      </c>
      <c r="P13" s="9">
        <v>4.8735898501481856E-2</v>
      </c>
      <c r="Q13" s="9">
        <v>4.863154453035623E-2</v>
      </c>
      <c r="R13" s="9">
        <v>4.8497470224122541E-2</v>
      </c>
      <c r="S13" s="9">
        <v>4.822401886143779E-2</v>
      </c>
      <c r="T13" s="9">
        <v>4.7890805834801098E-2</v>
      </c>
      <c r="U13" s="9">
        <v>4.7412366197072231E-2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298"/>
    </row>
    <row r="14" spans="1:32" ht="24" customHeight="1">
      <c r="A14" s="298"/>
      <c r="B14" s="298"/>
      <c r="C14" s="29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8"/>
      <c r="Q14" s="298"/>
      <c r="R14" s="298"/>
      <c r="S14" s="298"/>
      <c r="T14" s="298"/>
      <c r="U14" s="298"/>
      <c r="V14" s="298"/>
      <c r="W14" s="298"/>
      <c r="X14" s="298"/>
      <c r="Y14" s="298"/>
      <c r="Z14" s="298"/>
      <c r="AA14" s="298"/>
      <c r="AB14" s="298"/>
      <c r="AC14" s="298"/>
      <c r="AD14" s="298"/>
      <c r="AE14" s="298"/>
      <c r="AF14" s="298"/>
    </row>
    <row r="15" spans="1:32" ht="15.6">
      <c r="A15" s="484" t="s">
        <v>49</v>
      </c>
      <c r="B15" s="298"/>
      <c r="C15" s="298"/>
      <c r="D15" s="298"/>
      <c r="E15" s="298"/>
      <c r="F15" s="298"/>
      <c r="G15" s="298"/>
      <c r="H15" s="298"/>
      <c r="I15" s="298"/>
      <c r="J15" s="298"/>
      <c r="K15" s="298"/>
      <c r="L15" s="298"/>
      <c r="M15" s="298"/>
      <c r="N15" s="298"/>
      <c r="O15" s="298"/>
      <c r="P15" s="298"/>
      <c r="Q15" s="298"/>
      <c r="R15" s="298"/>
      <c r="S15" s="298"/>
      <c r="T15" s="298"/>
      <c r="U15" s="298"/>
      <c r="V15" s="298"/>
      <c r="W15" s="298"/>
      <c r="X15" s="298"/>
      <c r="Y15" s="298"/>
      <c r="Z15" s="298"/>
      <c r="AA15" s="298"/>
      <c r="AB15" s="298"/>
      <c r="AC15" s="298"/>
      <c r="AD15" s="298"/>
      <c r="AE15" s="298"/>
      <c r="AF15" s="298"/>
    </row>
    <row r="16" spans="1:32" ht="15.6">
      <c r="A16" s="298"/>
      <c r="B16" s="298"/>
      <c r="C16" s="298"/>
      <c r="D16" s="298"/>
      <c r="E16" s="298"/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/>
      <c r="Q16" s="298"/>
      <c r="R16" s="298"/>
      <c r="S16" s="298"/>
      <c r="T16" s="298"/>
      <c r="U16" s="298"/>
      <c r="V16" s="298"/>
      <c r="W16" s="298"/>
      <c r="X16" s="298"/>
      <c r="Y16" s="298"/>
      <c r="Z16" s="298"/>
      <c r="AA16" s="298"/>
      <c r="AB16" s="298"/>
      <c r="AC16" s="298"/>
      <c r="AD16" s="298"/>
      <c r="AE16" s="298"/>
      <c r="AF16" s="298"/>
    </row>
    <row r="17" spans="1:32" ht="15.6">
      <c r="A17" s="758" t="s">
        <v>50</v>
      </c>
      <c r="B17" s="759" t="s">
        <v>51</v>
      </c>
      <c r="C17" s="813"/>
      <c r="D17" s="813"/>
      <c r="E17" s="813"/>
      <c r="F17" s="813"/>
      <c r="G17" s="813"/>
      <c r="H17" s="813"/>
      <c r="I17" s="813"/>
      <c r="J17" s="813"/>
      <c r="K17" s="813"/>
      <c r="L17" s="813"/>
      <c r="M17" s="813"/>
      <c r="N17" s="762" t="s">
        <v>52</v>
      </c>
      <c r="O17" s="759" t="s">
        <v>53</v>
      </c>
      <c r="P17" s="813"/>
      <c r="Q17" s="813"/>
      <c r="R17" s="813"/>
      <c r="S17" s="813"/>
      <c r="T17" s="813"/>
      <c r="U17" s="813"/>
      <c r="V17" s="762" t="s">
        <v>52</v>
      </c>
      <c r="W17" s="761" t="s">
        <v>54</v>
      </c>
      <c r="X17" s="761" t="s">
        <v>55</v>
      </c>
      <c r="Y17" s="761" t="s">
        <v>56</v>
      </c>
      <c r="Z17" s="761" t="s">
        <v>57</v>
      </c>
      <c r="AA17" s="761" t="s">
        <v>58</v>
      </c>
      <c r="AB17" s="298"/>
      <c r="AC17" s="298"/>
      <c r="AD17" s="298"/>
      <c r="AE17" s="298"/>
      <c r="AF17" s="298"/>
    </row>
    <row r="18" spans="1:32" ht="15" customHeight="1">
      <c r="A18" s="813"/>
      <c r="B18" s="489" t="s">
        <v>59</v>
      </c>
      <c r="C18" s="489" t="s">
        <v>60</v>
      </c>
      <c r="D18" s="489" t="s">
        <v>61</v>
      </c>
      <c r="E18" s="489" t="s">
        <v>62</v>
      </c>
      <c r="F18" s="489" t="s">
        <v>63</v>
      </c>
      <c r="G18" s="489" t="s">
        <v>64</v>
      </c>
      <c r="H18" s="489" t="s">
        <v>65</v>
      </c>
      <c r="I18" s="489" t="s">
        <v>66</v>
      </c>
      <c r="J18" s="489" t="s">
        <v>67</v>
      </c>
      <c r="K18" s="489" t="s">
        <v>68</v>
      </c>
      <c r="L18" s="489" t="s">
        <v>69</v>
      </c>
      <c r="M18" s="489" t="s">
        <v>70</v>
      </c>
      <c r="N18" s="813"/>
      <c r="O18" s="489" t="s">
        <v>71</v>
      </c>
      <c r="P18" s="489" t="s">
        <v>72</v>
      </c>
      <c r="Q18" s="489" t="s">
        <v>73</v>
      </c>
      <c r="R18" s="489" t="s">
        <v>74</v>
      </c>
      <c r="S18" s="489" t="s">
        <v>75</v>
      </c>
      <c r="T18" s="489" t="s">
        <v>76</v>
      </c>
      <c r="U18" s="489" t="s">
        <v>77</v>
      </c>
      <c r="V18" s="813"/>
      <c r="W18" s="815"/>
      <c r="X18" s="815"/>
      <c r="Y18" s="815"/>
      <c r="Z18" s="815"/>
      <c r="AA18" s="815"/>
      <c r="AB18" s="298"/>
      <c r="AC18" s="298"/>
      <c r="AD18" s="298"/>
      <c r="AE18" s="298"/>
      <c r="AF18" s="298"/>
    </row>
    <row r="19" spans="1:32" ht="15.6">
      <c r="A19" s="12" t="s">
        <v>78</v>
      </c>
      <c r="B19" s="9">
        <v>8.3333333333333329E-2</v>
      </c>
      <c r="C19" s="9">
        <v>8.3333333333333329E-2</v>
      </c>
      <c r="D19" s="9">
        <v>8.3333333333333329E-2</v>
      </c>
      <c r="E19" s="9">
        <v>8.3333333333333329E-2</v>
      </c>
      <c r="F19" s="9">
        <v>8.3333333333333329E-2</v>
      </c>
      <c r="G19" s="9">
        <v>8.3333333333333329E-2</v>
      </c>
      <c r="H19" s="9">
        <v>8.3333333333333329E-2</v>
      </c>
      <c r="I19" s="9">
        <v>8.3333333333333329E-2</v>
      </c>
      <c r="J19" s="9">
        <v>8.3333333333333329E-2</v>
      </c>
      <c r="K19" s="9">
        <v>8.3333333333333329E-2</v>
      </c>
      <c r="L19" s="9">
        <v>8.3333333333333329E-2</v>
      </c>
      <c r="M19" s="9">
        <v>8.3333333333333329E-2</v>
      </c>
      <c r="N19" s="9">
        <f t="shared" ref="N19:N39" si="0">SUM(B19:M19)</f>
        <v>1</v>
      </c>
      <c r="O19" s="9">
        <v>0.14285714285714285</v>
      </c>
      <c r="P19" s="9">
        <v>0.14285714285714285</v>
      </c>
      <c r="Q19" s="9">
        <v>0.14285714285714285</v>
      </c>
      <c r="R19" s="9">
        <v>0.14285714285714285</v>
      </c>
      <c r="S19" s="9">
        <v>0.14285714285714285</v>
      </c>
      <c r="T19" s="9">
        <v>0.14285714285714285</v>
      </c>
      <c r="U19" s="9">
        <v>0.14285714285714285</v>
      </c>
      <c r="V19" s="9">
        <f t="shared" ref="V19:V39" si="1">SUM(O19:U19)</f>
        <v>0.99999999999999978</v>
      </c>
      <c r="W19" s="13"/>
      <c r="X19" s="13"/>
      <c r="Y19" s="13"/>
      <c r="Z19" s="13"/>
      <c r="AA19" s="13"/>
      <c r="AB19" s="425"/>
      <c r="AC19" s="425"/>
      <c r="AD19" s="425"/>
      <c r="AE19" s="425"/>
      <c r="AF19" s="425"/>
    </row>
    <row r="20" spans="1:32" ht="15.6">
      <c r="A20" s="14" t="s">
        <v>79</v>
      </c>
      <c r="B20" s="9">
        <v>8.3333333333333329E-2</v>
      </c>
      <c r="C20" s="9">
        <v>8.3333333333333329E-2</v>
      </c>
      <c r="D20" s="9">
        <v>8.3333333333333329E-2</v>
      </c>
      <c r="E20" s="9">
        <v>8.3333333333333329E-2</v>
      </c>
      <c r="F20" s="9">
        <v>8.3333333333333329E-2</v>
      </c>
      <c r="G20" s="9">
        <v>8.3333333333333329E-2</v>
      </c>
      <c r="H20" s="9">
        <v>8.3333333333333329E-2</v>
      </c>
      <c r="I20" s="9">
        <v>8.3333333333333329E-2</v>
      </c>
      <c r="J20" s="9">
        <v>8.3333333333333329E-2</v>
      </c>
      <c r="K20" s="9">
        <v>8.3333333333333329E-2</v>
      </c>
      <c r="L20" s="9">
        <v>8.3333333333333329E-2</v>
      </c>
      <c r="M20" s="9">
        <v>8.3333333333333329E-2</v>
      </c>
      <c r="N20" s="9">
        <f t="shared" si="0"/>
        <v>1</v>
      </c>
      <c r="O20" s="9">
        <v>0.14285714285714285</v>
      </c>
      <c r="P20" s="9">
        <v>0.14285714285714285</v>
      </c>
      <c r="Q20" s="9">
        <v>0.14285714285714285</v>
      </c>
      <c r="R20" s="9">
        <v>0.14285714285714285</v>
      </c>
      <c r="S20" s="9">
        <v>0.14285714285714285</v>
      </c>
      <c r="T20" s="9">
        <v>0.14285714285714285</v>
      </c>
      <c r="U20" s="9">
        <v>0.14285714285714285</v>
      </c>
      <c r="V20" s="9">
        <f t="shared" si="1"/>
        <v>0.99999999999999978</v>
      </c>
      <c r="W20" s="4"/>
      <c r="X20" s="4" t="s">
        <v>80</v>
      </c>
      <c r="Y20" s="4" t="s">
        <v>81</v>
      </c>
      <c r="Z20" s="15">
        <v>0.5</v>
      </c>
      <c r="AA20" s="16" t="s">
        <v>82</v>
      </c>
      <c r="AB20" s="490">
        <f t="shared" ref="AB20:AB39" si="2">IF(AA20="Sim",1,0)</f>
        <v>1</v>
      </c>
      <c r="AC20" s="425"/>
      <c r="AD20" s="425"/>
      <c r="AE20" s="425"/>
      <c r="AF20" s="425"/>
    </row>
    <row r="21" spans="1:32" ht="15.75" customHeight="1">
      <c r="A21" s="14" t="s">
        <v>83</v>
      </c>
      <c r="B21" s="9">
        <v>8.3333333333333329E-2</v>
      </c>
      <c r="C21" s="9">
        <v>8.3333333333333329E-2</v>
      </c>
      <c r="D21" s="9">
        <v>8.3333333333333329E-2</v>
      </c>
      <c r="E21" s="9">
        <v>8.3333333333333329E-2</v>
      </c>
      <c r="F21" s="9">
        <v>8.3333333333333329E-2</v>
      </c>
      <c r="G21" s="9">
        <v>8.3333333333333329E-2</v>
      </c>
      <c r="H21" s="9">
        <v>8.3333333333333329E-2</v>
      </c>
      <c r="I21" s="9">
        <v>8.3333333333333329E-2</v>
      </c>
      <c r="J21" s="9">
        <v>8.3333333333333329E-2</v>
      </c>
      <c r="K21" s="9">
        <v>8.3333333333333329E-2</v>
      </c>
      <c r="L21" s="9">
        <v>8.3333333333333329E-2</v>
      </c>
      <c r="M21" s="9">
        <v>8.3333333333333329E-2</v>
      </c>
      <c r="N21" s="9">
        <f t="shared" si="0"/>
        <v>1</v>
      </c>
      <c r="O21" s="9">
        <v>0.14285714285714285</v>
      </c>
      <c r="P21" s="9">
        <v>0.14285714285714285</v>
      </c>
      <c r="Q21" s="9">
        <v>0.14285714285714285</v>
      </c>
      <c r="R21" s="9">
        <v>0.14285714285714285</v>
      </c>
      <c r="S21" s="9">
        <v>0.14285714285714285</v>
      </c>
      <c r="T21" s="9">
        <v>0.14285714285714285</v>
      </c>
      <c r="U21" s="9">
        <v>0.14285714285714285</v>
      </c>
      <c r="V21" s="9">
        <f t="shared" si="1"/>
        <v>0.99999999999999978</v>
      </c>
      <c r="W21" s="4"/>
      <c r="X21" s="4" t="s">
        <v>84</v>
      </c>
      <c r="Y21" s="4" t="s">
        <v>84</v>
      </c>
      <c r="Z21" s="15">
        <v>0</v>
      </c>
      <c r="AA21" s="16" t="s">
        <v>82</v>
      </c>
      <c r="AB21" s="490">
        <f t="shared" si="2"/>
        <v>1</v>
      </c>
      <c r="AC21" s="425"/>
      <c r="AD21" s="425"/>
      <c r="AE21" s="425"/>
      <c r="AF21" s="425"/>
    </row>
    <row r="22" spans="1:32" ht="15.75" customHeight="1">
      <c r="A22" s="14" t="s">
        <v>85</v>
      </c>
      <c r="B22" s="9">
        <v>8.3333333333333329E-2</v>
      </c>
      <c r="C22" s="9">
        <v>8.3333333333333329E-2</v>
      </c>
      <c r="D22" s="9">
        <v>8.3333333333333329E-2</v>
      </c>
      <c r="E22" s="9">
        <v>8.3333333333333329E-2</v>
      </c>
      <c r="F22" s="9">
        <v>8.3333333333333329E-2</v>
      </c>
      <c r="G22" s="9">
        <v>8.3333333333333329E-2</v>
      </c>
      <c r="H22" s="9">
        <v>8.3333333333333329E-2</v>
      </c>
      <c r="I22" s="9">
        <v>8.3333333333333329E-2</v>
      </c>
      <c r="J22" s="9">
        <v>8.3333333333333329E-2</v>
      </c>
      <c r="K22" s="9">
        <v>8.3333333333333329E-2</v>
      </c>
      <c r="L22" s="9">
        <v>8.3333333333333329E-2</v>
      </c>
      <c r="M22" s="9">
        <v>8.3333333333333329E-2</v>
      </c>
      <c r="N22" s="9">
        <f t="shared" si="0"/>
        <v>1</v>
      </c>
      <c r="O22" s="9">
        <v>0.14285714285714285</v>
      </c>
      <c r="P22" s="9">
        <v>0.14285714285714285</v>
      </c>
      <c r="Q22" s="9">
        <v>0.14285714285714285</v>
      </c>
      <c r="R22" s="9">
        <v>0.14285714285714285</v>
      </c>
      <c r="S22" s="9">
        <v>0.14285714285714285</v>
      </c>
      <c r="T22" s="9">
        <v>0.14285714285714285</v>
      </c>
      <c r="U22" s="9">
        <v>0.14285714285714285</v>
      </c>
      <c r="V22" s="9">
        <f t="shared" si="1"/>
        <v>0.99999999999999978</v>
      </c>
      <c r="W22" s="4"/>
      <c r="X22" s="4" t="s">
        <v>86</v>
      </c>
      <c r="Y22" s="4" t="s">
        <v>86</v>
      </c>
      <c r="Z22" s="15">
        <v>0</v>
      </c>
      <c r="AA22" s="16" t="s">
        <v>82</v>
      </c>
      <c r="AB22" s="490">
        <f t="shared" si="2"/>
        <v>1</v>
      </c>
      <c r="AC22" s="425"/>
      <c r="AD22" s="425"/>
      <c r="AE22" s="425"/>
      <c r="AF22" s="425"/>
    </row>
    <row r="23" spans="1:32" ht="15.75" customHeight="1">
      <c r="A23" s="14" t="s">
        <v>87</v>
      </c>
      <c r="B23" s="9">
        <v>8.3333333333333329E-2</v>
      </c>
      <c r="C23" s="9">
        <v>8.3333333333333329E-2</v>
      </c>
      <c r="D23" s="9">
        <v>8.3333333333333329E-2</v>
      </c>
      <c r="E23" s="9">
        <v>8.3333333333333329E-2</v>
      </c>
      <c r="F23" s="9">
        <v>8.3333333333333329E-2</v>
      </c>
      <c r="G23" s="9">
        <v>8.3333333333333329E-2</v>
      </c>
      <c r="H23" s="9">
        <v>8.3333333333333329E-2</v>
      </c>
      <c r="I23" s="9">
        <v>8.3333333333333329E-2</v>
      </c>
      <c r="J23" s="9">
        <v>8.3333333333333329E-2</v>
      </c>
      <c r="K23" s="9">
        <v>8.3333333333333329E-2</v>
      </c>
      <c r="L23" s="9">
        <v>8.3333333333333329E-2</v>
      </c>
      <c r="M23" s="9">
        <v>8.3333333333333329E-2</v>
      </c>
      <c r="N23" s="9">
        <f t="shared" si="0"/>
        <v>1</v>
      </c>
      <c r="O23" s="9">
        <v>0.14285714285714285</v>
      </c>
      <c r="P23" s="9">
        <v>0.14285714285714285</v>
      </c>
      <c r="Q23" s="9">
        <v>0.14285714285714285</v>
      </c>
      <c r="R23" s="9">
        <v>0.14285714285714285</v>
      </c>
      <c r="S23" s="9">
        <v>0.14285714285714285</v>
      </c>
      <c r="T23" s="9">
        <v>0.14285714285714285</v>
      </c>
      <c r="U23" s="9">
        <v>0.14285714285714285</v>
      </c>
      <c r="V23" s="9">
        <f t="shared" si="1"/>
        <v>0.99999999999999978</v>
      </c>
      <c r="W23" s="4"/>
      <c r="X23" s="4" t="s">
        <v>80</v>
      </c>
      <c r="Y23" s="4" t="s">
        <v>81</v>
      </c>
      <c r="Z23" s="15">
        <v>0</v>
      </c>
      <c r="AA23" s="16" t="s">
        <v>82</v>
      </c>
      <c r="AB23" s="490">
        <f t="shared" si="2"/>
        <v>1</v>
      </c>
      <c r="AC23" s="425"/>
      <c r="AD23" s="425"/>
      <c r="AE23" s="425"/>
      <c r="AF23" s="425"/>
    </row>
    <row r="24" spans="1:32" ht="15.75" customHeight="1">
      <c r="A24" s="14" t="s">
        <v>88</v>
      </c>
      <c r="B24" s="9">
        <v>8.3333333333333329E-2</v>
      </c>
      <c r="C24" s="9">
        <v>8.3333333333333329E-2</v>
      </c>
      <c r="D24" s="9">
        <v>8.3333333333333329E-2</v>
      </c>
      <c r="E24" s="9">
        <v>8.3333333333333329E-2</v>
      </c>
      <c r="F24" s="9">
        <v>8.3333333333333329E-2</v>
      </c>
      <c r="G24" s="9">
        <v>8.3333333333333329E-2</v>
      </c>
      <c r="H24" s="9">
        <v>8.3333333333333329E-2</v>
      </c>
      <c r="I24" s="9">
        <v>8.3333333333333329E-2</v>
      </c>
      <c r="J24" s="9">
        <v>8.3333333333333329E-2</v>
      </c>
      <c r="K24" s="9">
        <v>8.3333333333333329E-2</v>
      </c>
      <c r="L24" s="9">
        <v>8.3333333333333329E-2</v>
      </c>
      <c r="M24" s="9">
        <v>8.3333333333333329E-2</v>
      </c>
      <c r="N24" s="9">
        <f t="shared" si="0"/>
        <v>1</v>
      </c>
      <c r="O24" s="9">
        <v>0.14285714285714285</v>
      </c>
      <c r="P24" s="9">
        <v>0.14285714285714285</v>
      </c>
      <c r="Q24" s="9">
        <v>0.14285714285714285</v>
      </c>
      <c r="R24" s="9">
        <v>0.14285714285714285</v>
      </c>
      <c r="S24" s="9">
        <v>0.14285714285714285</v>
      </c>
      <c r="T24" s="9">
        <v>0.14285714285714285</v>
      </c>
      <c r="U24" s="9">
        <v>0.14285714285714285</v>
      </c>
      <c r="V24" s="9">
        <f t="shared" si="1"/>
        <v>0.99999999999999978</v>
      </c>
      <c r="W24" s="4"/>
      <c r="X24" s="4" t="s">
        <v>84</v>
      </c>
      <c r="Y24" s="4" t="s">
        <v>84</v>
      </c>
      <c r="Z24" s="15">
        <v>0</v>
      </c>
      <c r="AA24" s="16" t="s">
        <v>82</v>
      </c>
      <c r="AB24" s="490">
        <f t="shared" si="2"/>
        <v>1</v>
      </c>
      <c r="AC24" s="425"/>
      <c r="AD24" s="425"/>
      <c r="AE24" s="425"/>
      <c r="AF24" s="425"/>
    </row>
    <row r="25" spans="1:32" ht="15.75" customHeight="1">
      <c r="A25" s="14" t="s">
        <v>89</v>
      </c>
      <c r="B25" s="9">
        <v>8.3333333333333329E-2</v>
      </c>
      <c r="C25" s="9">
        <v>8.3333333333333329E-2</v>
      </c>
      <c r="D25" s="9">
        <v>8.3333333333333329E-2</v>
      </c>
      <c r="E25" s="9">
        <v>8.3333333333333329E-2</v>
      </c>
      <c r="F25" s="9">
        <v>8.3333333333333329E-2</v>
      </c>
      <c r="G25" s="9">
        <v>8.3333333333333329E-2</v>
      </c>
      <c r="H25" s="9">
        <v>8.3333333333333329E-2</v>
      </c>
      <c r="I25" s="9">
        <v>8.3333333333333329E-2</v>
      </c>
      <c r="J25" s="9">
        <v>8.3333333333333329E-2</v>
      </c>
      <c r="K25" s="9">
        <v>8.3333333333333329E-2</v>
      </c>
      <c r="L25" s="9">
        <v>8.3333333333333329E-2</v>
      </c>
      <c r="M25" s="9">
        <v>8.3333333333333329E-2</v>
      </c>
      <c r="N25" s="9">
        <f t="shared" si="0"/>
        <v>1</v>
      </c>
      <c r="O25" s="9">
        <v>0.14285714285714285</v>
      </c>
      <c r="P25" s="9">
        <v>0.14285714285714285</v>
      </c>
      <c r="Q25" s="9">
        <v>0.14285714285714285</v>
      </c>
      <c r="R25" s="9">
        <v>0.14285714285714285</v>
      </c>
      <c r="S25" s="9">
        <v>0.14285714285714285</v>
      </c>
      <c r="T25" s="9">
        <v>0.14285714285714285</v>
      </c>
      <c r="U25" s="9">
        <v>0.14285714285714285</v>
      </c>
      <c r="V25" s="9">
        <f t="shared" si="1"/>
        <v>0.99999999999999978</v>
      </c>
      <c r="W25" s="4"/>
      <c r="X25" s="4" t="s">
        <v>86</v>
      </c>
      <c r="Y25" s="4" t="s">
        <v>86</v>
      </c>
      <c r="Z25" s="15">
        <v>0</v>
      </c>
      <c r="AA25" s="16" t="s">
        <v>82</v>
      </c>
      <c r="AB25" s="490">
        <f t="shared" si="2"/>
        <v>1</v>
      </c>
      <c r="AC25" s="425"/>
      <c r="AD25" s="425"/>
      <c r="AE25" s="425"/>
      <c r="AF25" s="425"/>
    </row>
    <row r="26" spans="1:32" ht="15.75" customHeight="1">
      <c r="A26" s="14" t="s">
        <v>90</v>
      </c>
      <c r="B26" s="9">
        <v>8.3333333333333329E-2</v>
      </c>
      <c r="C26" s="9">
        <v>8.3333333333333329E-2</v>
      </c>
      <c r="D26" s="9">
        <v>8.3333333333333329E-2</v>
      </c>
      <c r="E26" s="9">
        <v>8.3333333333333329E-2</v>
      </c>
      <c r="F26" s="9">
        <v>8.3333333333333329E-2</v>
      </c>
      <c r="G26" s="9">
        <v>8.3333333333333329E-2</v>
      </c>
      <c r="H26" s="9">
        <v>8.3333333333333329E-2</v>
      </c>
      <c r="I26" s="9">
        <v>8.3333333333333329E-2</v>
      </c>
      <c r="J26" s="9">
        <v>8.3333333333333329E-2</v>
      </c>
      <c r="K26" s="9">
        <v>8.3333333333333329E-2</v>
      </c>
      <c r="L26" s="9">
        <v>8.3333333333333329E-2</v>
      </c>
      <c r="M26" s="9">
        <v>8.3333333333333329E-2</v>
      </c>
      <c r="N26" s="9">
        <f t="shared" si="0"/>
        <v>1</v>
      </c>
      <c r="O26" s="9">
        <v>0.14285714285714285</v>
      </c>
      <c r="P26" s="9">
        <v>0.14285714285714285</v>
      </c>
      <c r="Q26" s="9">
        <v>0.14285714285714285</v>
      </c>
      <c r="R26" s="9">
        <v>0.14285714285714285</v>
      </c>
      <c r="S26" s="9">
        <v>0.14285714285714285</v>
      </c>
      <c r="T26" s="9">
        <v>0.14285714285714285</v>
      </c>
      <c r="U26" s="9">
        <v>0.14285714285714285</v>
      </c>
      <c r="V26" s="9">
        <f t="shared" si="1"/>
        <v>0.99999999999999978</v>
      </c>
      <c r="W26" s="4"/>
      <c r="X26" s="4" t="s">
        <v>84</v>
      </c>
      <c r="Y26" s="4" t="s">
        <v>84</v>
      </c>
      <c r="Z26" s="15">
        <v>0</v>
      </c>
      <c r="AA26" s="16" t="s">
        <v>82</v>
      </c>
      <c r="AB26" s="490">
        <f t="shared" si="2"/>
        <v>1</v>
      </c>
      <c r="AC26" s="425"/>
      <c r="AD26" s="425"/>
      <c r="AE26" s="425"/>
      <c r="AF26" s="425"/>
    </row>
    <row r="27" spans="1:32" ht="15.75" customHeight="1">
      <c r="A27" s="14" t="s">
        <v>91</v>
      </c>
      <c r="B27" s="9">
        <v>8.3333333333333329E-2</v>
      </c>
      <c r="C27" s="9">
        <v>8.3333333333333329E-2</v>
      </c>
      <c r="D27" s="9">
        <v>8.3333333333333329E-2</v>
      </c>
      <c r="E27" s="9">
        <v>8.3333333333333329E-2</v>
      </c>
      <c r="F27" s="9">
        <v>8.3333333333333329E-2</v>
      </c>
      <c r="G27" s="9">
        <v>8.3333333333333329E-2</v>
      </c>
      <c r="H27" s="9">
        <v>8.3333333333333329E-2</v>
      </c>
      <c r="I27" s="9">
        <v>8.3333333333333329E-2</v>
      </c>
      <c r="J27" s="9">
        <v>8.3333333333333329E-2</v>
      </c>
      <c r="K27" s="9">
        <v>8.3333333333333329E-2</v>
      </c>
      <c r="L27" s="9">
        <v>8.3333333333333329E-2</v>
      </c>
      <c r="M27" s="9">
        <v>8.3333333333333329E-2</v>
      </c>
      <c r="N27" s="9">
        <f t="shared" si="0"/>
        <v>1</v>
      </c>
      <c r="O27" s="9">
        <v>0.14285714285714285</v>
      </c>
      <c r="P27" s="9">
        <v>0.14285714285714285</v>
      </c>
      <c r="Q27" s="9">
        <v>0.14285714285714285</v>
      </c>
      <c r="R27" s="9">
        <v>0.14285714285714285</v>
      </c>
      <c r="S27" s="9">
        <v>0.14285714285714285</v>
      </c>
      <c r="T27" s="9">
        <v>0.14285714285714285</v>
      </c>
      <c r="U27" s="9">
        <v>0.14285714285714285</v>
      </c>
      <c r="V27" s="9">
        <f t="shared" si="1"/>
        <v>0.99999999999999978</v>
      </c>
      <c r="W27" s="4"/>
      <c r="X27" s="4" t="s">
        <v>86</v>
      </c>
      <c r="Y27" s="4" t="s">
        <v>86</v>
      </c>
      <c r="Z27" s="15">
        <v>0</v>
      </c>
      <c r="AA27" s="16" t="s">
        <v>82</v>
      </c>
      <c r="AB27" s="490">
        <f t="shared" si="2"/>
        <v>1</v>
      </c>
      <c r="AC27" s="425"/>
      <c r="AD27" s="425"/>
      <c r="AE27" s="425"/>
      <c r="AF27" s="425"/>
    </row>
    <row r="28" spans="1:32" ht="15.75" customHeight="1">
      <c r="A28" s="14" t="s">
        <v>92</v>
      </c>
      <c r="B28" s="9">
        <v>8.3333333333333329E-2</v>
      </c>
      <c r="C28" s="9">
        <v>8.3333333333333329E-2</v>
      </c>
      <c r="D28" s="9">
        <v>8.3333333333333329E-2</v>
      </c>
      <c r="E28" s="9">
        <v>8.3333333333333329E-2</v>
      </c>
      <c r="F28" s="9">
        <v>8.3333333333333329E-2</v>
      </c>
      <c r="G28" s="9">
        <v>8.3333333333333329E-2</v>
      </c>
      <c r="H28" s="9">
        <v>8.3333333333333329E-2</v>
      </c>
      <c r="I28" s="9">
        <v>8.3333333333333329E-2</v>
      </c>
      <c r="J28" s="9">
        <v>8.3333333333333329E-2</v>
      </c>
      <c r="K28" s="9">
        <v>8.3333333333333329E-2</v>
      </c>
      <c r="L28" s="9">
        <v>8.3333333333333329E-2</v>
      </c>
      <c r="M28" s="9">
        <v>8.3333333333333329E-2</v>
      </c>
      <c r="N28" s="9">
        <f t="shared" si="0"/>
        <v>1</v>
      </c>
      <c r="O28" s="9">
        <v>0.14285714285714285</v>
      </c>
      <c r="P28" s="9">
        <v>0.14285714285714285</v>
      </c>
      <c r="Q28" s="9">
        <v>0.14285714285714285</v>
      </c>
      <c r="R28" s="9">
        <v>0.14285714285714285</v>
      </c>
      <c r="S28" s="9">
        <v>0.14285714285714285</v>
      </c>
      <c r="T28" s="9">
        <v>0.14285714285714285</v>
      </c>
      <c r="U28" s="9">
        <v>0.14285714285714285</v>
      </c>
      <c r="V28" s="9">
        <f t="shared" si="1"/>
        <v>0.99999999999999978</v>
      </c>
      <c r="W28" s="4"/>
      <c r="X28" s="4" t="s">
        <v>80</v>
      </c>
      <c r="Y28" s="4" t="s">
        <v>81</v>
      </c>
      <c r="Z28" s="17">
        <v>0</v>
      </c>
      <c r="AA28" s="18" t="s">
        <v>82</v>
      </c>
      <c r="AB28" s="490">
        <f t="shared" si="2"/>
        <v>1</v>
      </c>
      <c r="AC28" s="425"/>
      <c r="AD28" s="425"/>
      <c r="AE28" s="425"/>
      <c r="AF28" s="425"/>
    </row>
    <row r="29" spans="1:32" ht="15.75" customHeight="1">
      <c r="A29" s="14" t="s">
        <v>93</v>
      </c>
      <c r="B29" s="9">
        <v>8.3333333333333329E-2</v>
      </c>
      <c r="C29" s="9">
        <v>8.3333333333333329E-2</v>
      </c>
      <c r="D29" s="9">
        <v>8.3333333333333329E-2</v>
      </c>
      <c r="E29" s="9">
        <v>8.3333333333333329E-2</v>
      </c>
      <c r="F29" s="9">
        <v>8.3333333333333329E-2</v>
      </c>
      <c r="G29" s="9">
        <v>8.3333333333333329E-2</v>
      </c>
      <c r="H29" s="9">
        <v>8.3333333333333329E-2</v>
      </c>
      <c r="I29" s="9">
        <v>8.3333333333333329E-2</v>
      </c>
      <c r="J29" s="9">
        <v>8.3333333333333329E-2</v>
      </c>
      <c r="K29" s="9">
        <v>8.3333333333333329E-2</v>
      </c>
      <c r="L29" s="9">
        <v>8.3333333333333329E-2</v>
      </c>
      <c r="M29" s="9">
        <v>8.3333333333333329E-2</v>
      </c>
      <c r="N29" s="9">
        <f t="shared" si="0"/>
        <v>1</v>
      </c>
      <c r="O29" s="9">
        <v>0.14285714285714285</v>
      </c>
      <c r="P29" s="9">
        <v>0.14285714285714285</v>
      </c>
      <c r="Q29" s="9">
        <v>0.14285714285714285</v>
      </c>
      <c r="R29" s="9">
        <v>0.14285714285714285</v>
      </c>
      <c r="S29" s="9">
        <v>0.14285714285714285</v>
      </c>
      <c r="T29" s="9">
        <v>0.14285714285714285</v>
      </c>
      <c r="U29" s="9">
        <v>0.14285714285714285</v>
      </c>
      <c r="V29" s="9">
        <f t="shared" si="1"/>
        <v>0.99999999999999978</v>
      </c>
      <c r="W29" s="4"/>
      <c r="X29" s="4" t="s">
        <v>84</v>
      </c>
      <c r="Y29" s="4" t="s">
        <v>84</v>
      </c>
      <c r="Z29" s="15">
        <v>0</v>
      </c>
      <c r="AA29" s="16" t="s">
        <v>82</v>
      </c>
      <c r="AB29" s="490">
        <f t="shared" si="2"/>
        <v>1</v>
      </c>
      <c r="AC29" s="425"/>
      <c r="AD29" s="425"/>
      <c r="AE29" s="425"/>
      <c r="AF29" s="425"/>
    </row>
    <row r="30" spans="1:32" ht="15.75" customHeight="1">
      <c r="A30" s="14" t="s">
        <v>94</v>
      </c>
      <c r="B30" s="9">
        <v>8.3333333333333329E-2</v>
      </c>
      <c r="C30" s="9">
        <v>8.3333333333333329E-2</v>
      </c>
      <c r="D30" s="9">
        <v>8.3333333333333329E-2</v>
      </c>
      <c r="E30" s="9">
        <v>8.3333333333333329E-2</v>
      </c>
      <c r="F30" s="9">
        <v>8.3333333333333329E-2</v>
      </c>
      <c r="G30" s="9">
        <v>8.3333333333333329E-2</v>
      </c>
      <c r="H30" s="9">
        <v>8.3333333333333329E-2</v>
      </c>
      <c r="I30" s="9">
        <v>8.3333333333333329E-2</v>
      </c>
      <c r="J30" s="9">
        <v>8.3333333333333329E-2</v>
      </c>
      <c r="K30" s="9">
        <v>8.3333333333333329E-2</v>
      </c>
      <c r="L30" s="9">
        <v>8.3333333333333329E-2</v>
      </c>
      <c r="M30" s="9">
        <v>8.3333333333333329E-2</v>
      </c>
      <c r="N30" s="9">
        <f t="shared" si="0"/>
        <v>1</v>
      </c>
      <c r="O30" s="9">
        <v>0.14285714285714285</v>
      </c>
      <c r="P30" s="9">
        <v>0.14285714285714285</v>
      </c>
      <c r="Q30" s="9">
        <v>0.14285714285714285</v>
      </c>
      <c r="R30" s="9">
        <v>0.14285714285714285</v>
      </c>
      <c r="S30" s="9">
        <v>0.14285714285714285</v>
      </c>
      <c r="T30" s="9">
        <v>0.14285714285714285</v>
      </c>
      <c r="U30" s="9">
        <v>0.14285714285714285</v>
      </c>
      <c r="V30" s="9">
        <f t="shared" si="1"/>
        <v>0.99999999999999978</v>
      </c>
      <c r="W30" s="4"/>
      <c r="X30" s="4" t="s">
        <v>86</v>
      </c>
      <c r="Y30" s="4" t="s">
        <v>86</v>
      </c>
      <c r="Z30" s="15">
        <v>0</v>
      </c>
      <c r="AA30" s="16" t="s">
        <v>82</v>
      </c>
      <c r="AB30" s="490">
        <f t="shared" si="2"/>
        <v>1</v>
      </c>
      <c r="AC30" s="425"/>
      <c r="AD30" s="425"/>
      <c r="AE30" s="425"/>
      <c r="AF30" s="425"/>
    </row>
    <row r="31" spans="1:32" ht="15.75" customHeight="1">
      <c r="A31" s="14" t="s">
        <v>95</v>
      </c>
      <c r="B31" s="9">
        <v>8.3333333333333329E-2</v>
      </c>
      <c r="C31" s="9">
        <v>8.3333333333333329E-2</v>
      </c>
      <c r="D31" s="9">
        <v>8.3333333333333329E-2</v>
      </c>
      <c r="E31" s="9">
        <v>8.3333333333333329E-2</v>
      </c>
      <c r="F31" s="9">
        <v>8.3333333333333329E-2</v>
      </c>
      <c r="G31" s="9">
        <v>8.3333333333333329E-2</v>
      </c>
      <c r="H31" s="9">
        <v>8.3333333333333329E-2</v>
      </c>
      <c r="I31" s="9">
        <v>8.3333333333333329E-2</v>
      </c>
      <c r="J31" s="9">
        <v>8.3333333333333329E-2</v>
      </c>
      <c r="K31" s="9">
        <v>8.3333333333333329E-2</v>
      </c>
      <c r="L31" s="9">
        <v>8.3333333333333329E-2</v>
      </c>
      <c r="M31" s="9">
        <v>8.3333333333333329E-2</v>
      </c>
      <c r="N31" s="9">
        <f t="shared" si="0"/>
        <v>1</v>
      </c>
      <c r="O31" s="9">
        <v>0.14285714285714285</v>
      </c>
      <c r="P31" s="9">
        <v>0.14285714285714285</v>
      </c>
      <c r="Q31" s="9">
        <v>0.14285714285714285</v>
      </c>
      <c r="R31" s="9">
        <v>0.14285714285714285</v>
      </c>
      <c r="S31" s="9">
        <v>0.14285714285714285</v>
      </c>
      <c r="T31" s="9">
        <v>0.14285714285714285</v>
      </c>
      <c r="U31" s="9">
        <v>0.14285714285714285</v>
      </c>
      <c r="V31" s="9">
        <f t="shared" si="1"/>
        <v>0.99999999999999978</v>
      </c>
      <c r="W31" s="4"/>
      <c r="X31" s="4" t="s">
        <v>84</v>
      </c>
      <c r="Y31" s="4" t="s">
        <v>84</v>
      </c>
      <c r="Z31" s="15">
        <v>0</v>
      </c>
      <c r="AA31" s="16" t="s">
        <v>82</v>
      </c>
      <c r="AB31" s="490">
        <f t="shared" si="2"/>
        <v>1</v>
      </c>
      <c r="AC31" s="425"/>
      <c r="AD31" s="425"/>
      <c r="AE31" s="425"/>
      <c r="AF31" s="425"/>
    </row>
    <row r="32" spans="1:32" ht="15.75" customHeight="1">
      <c r="A32" s="14" t="s">
        <v>96</v>
      </c>
      <c r="B32" s="9">
        <v>8.3333333333333329E-2</v>
      </c>
      <c r="C32" s="9">
        <v>8.3333333333333329E-2</v>
      </c>
      <c r="D32" s="9">
        <v>8.3333333333333329E-2</v>
      </c>
      <c r="E32" s="9">
        <v>8.3333333333333329E-2</v>
      </c>
      <c r="F32" s="9">
        <v>8.3333333333333329E-2</v>
      </c>
      <c r="G32" s="9">
        <v>8.3333333333333329E-2</v>
      </c>
      <c r="H32" s="9">
        <v>8.3333333333333329E-2</v>
      </c>
      <c r="I32" s="9">
        <v>8.3333333333333329E-2</v>
      </c>
      <c r="J32" s="9">
        <v>8.3333333333333329E-2</v>
      </c>
      <c r="K32" s="9">
        <v>8.3333333333333329E-2</v>
      </c>
      <c r="L32" s="9">
        <v>8.3333333333333329E-2</v>
      </c>
      <c r="M32" s="9">
        <v>8.3333333333333329E-2</v>
      </c>
      <c r="N32" s="9">
        <f t="shared" si="0"/>
        <v>1</v>
      </c>
      <c r="O32" s="9">
        <v>0.14285714285714285</v>
      </c>
      <c r="P32" s="9">
        <v>0.14285714285714285</v>
      </c>
      <c r="Q32" s="9">
        <v>0.14285714285714285</v>
      </c>
      <c r="R32" s="9">
        <v>0.14285714285714285</v>
      </c>
      <c r="S32" s="9">
        <v>0.14285714285714285</v>
      </c>
      <c r="T32" s="9">
        <v>0.14285714285714285</v>
      </c>
      <c r="U32" s="9">
        <v>0.14285714285714285</v>
      </c>
      <c r="V32" s="9">
        <f t="shared" si="1"/>
        <v>0.99999999999999978</v>
      </c>
      <c r="W32" s="4"/>
      <c r="X32" s="4" t="s">
        <v>86</v>
      </c>
      <c r="Y32" s="4" t="s">
        <v>86</v>
      </c>
      <c r="Z32" s="15">
        <v>0</v>
      </c>
      <c r="AA32" s="16" t="s">
        <v>82</v>
      </c>
      <c r="AB32" s="490">
        <f t="shared" si="2"/>
        <v>1</v>
      </c>
      <c r="AC32" s="425"/>
      <c r="AD32" s="425"/>
      <c r="AE32" s="425"/>
      <c r="AF32" s="425"/>
    </row>
    <row r="33" spans="1:32" ht="15.75" customHeight="1">
      <c r="A33" s="14" t="s">
        <v>97</v>
      </c>
      <c r="B33" s="9">
        <v>8.3333333333333329E-2</v>
      </c>
      <c r="C33" s="9">
        <v>8.3333333333333329E-2</v>
      </c>
      <c r="D33" s="9">
        <v>8.3333333333333329E-2</v>
      </c>
      <c r="E33" s="9">
        <v>8.3333333333333329E-2</v>
      </c>
      <c r="F33" s="9">
        <v>8.3333333333333329E-2</v>
      </c>
      <c r="G33" s="9">
        <v>8.3333333333333329E-2</v>
      </c>
      <c r="H33" s="9">
        <v>8.3333333333333329E-2</v>
      </c>
      <c r="I33" s="9">
        <v>8.3333333333333329E-2</v>
      </c>
      <c r="J33" s="9">
        <v>8.3333333333333329E-2</v>
      </c>
      <c r="K33" s="9">
        <v>8.3333333333333329E-2</v>
      </c>
      <c r="L33" s="9">
        <v>8.3333333333333329E-2</v>
      </c>
      <c r="M33" s="9">
        <v>8.3333333333333329E-2</v>
      </c>
      <c r="N33" s="9">
        <f t="shared" si="0"/>
        <v>1</v>
      </c>
      <c r="O33" s="9">
        <v>0.14285714285714285</v>
      </c>
      <c r="P33" s="9">
        <v>0.14285714285714285</v>
      </c>
      <c r="Q33" s="9">
        <v>0.14285714285714285</v>
      </c>
      <c r="R33" s="9">
        <v>0.14285714285714285</v>
      </c>
      <c r="S33" s="9">
        <v>0.14285714285714285</v>
      </c>
      <c r="T33" s="9">
        <v>0.14285714285714285</v>
      </c>
      <c r="U33" s="9">
        <v>0.14285714285714285</v>
      </c>
      <c r="V33" s="9">
        <f t="shared" si="1"/>
        <v>0.99999999999999978</v>
      </c>
      <c r="W33" s="4"/>
      <c r="X33" s="4" t="s">
        <v>84</v>
      </c>
      <c r="Y33" s="4" t="s">
        <v>84</v>
      </c>
      <c r="Z33" s="15">
        <v>0</v>
      </c>
      <c r="AA33" s="16" t="s">
        <v>82</v>
      </c>
      <c r="AB33" s="490">
        <f t="shared" si="2"/>
        <v>1</v>
      </c>
      <c r="AC33" s="425"/>
      <c r="AD33" s="425"/>
      <c r="AE33" s="425"/>
      <c r="AF33" s="425"/>
    </row>
    <row r="34" spans="1:32" ht="15.75" customHeight="1">
      <c r="A34" s="14" t="s">
        <v>98</v>
      </c>
      <c r="B34" s="9">
        <v>8.3333333333333329E-2</v>
      </c>
      <c r="C34" s="9">
        <v>8.3333333333333329E-2</v>
      </c>
      <c r="D34" s="9">
        <v>8.3333333333333329E-2</v>
      </c>
      <c r="E34" s="9">
        <v>8.3333333333333329E-2</v>
      </c>
      <c r="F34" s="9">
        <v>8.3333333333333329E-2</v>
      </c>
      <c r="G34" s="9">
        <v>8.3333333333333329E-2</v>
      </c>
      <c r="H34" s="9">
        <v>8.3333333333333329E-2</v>
      </c>
      <c r="I34" s="9">
        <v>8.3333333333333329E-2</v>
      </c>
      <c r="J34" s="9">
        <v>8.3333333333333329E-2</v>
      </c>
      <c r="K34" s="9">
        <v>8.3333333333333329E-2</v>
      </c>
      <c r="L34" s="9">
        <v>8.3333333333333329E-2</v>
      </c>
      <c r="M34" s="9">
        <v>8.3333333333333329E-2</v>
      </c>
      <c r="N34" s="9">
        <f t="shared" si="0"/>
        <v>1</v>
      </c>
      <c r="O34" s="9">
        <v>0.14285714285714285</v>
      </c>
      <c r="P34" s="9">
        <v>0.14285714285714285</v>
      </c>
      <c r="Q34" s="9">
        <v>0.14285714285714285</v>
      </c>
      <c r="R34" s="9">
        <v>0.14285714285714285</v>
      </c>
      <c r="S34" s="9">
        <v>0.14285714285714285</v>
      </c>
      <c r="T34" s="9">
        <v>0.14285714285714285</v>
      </c>
      <c r="U34" s="9">
        <v>0.14285714285714285</v>
      </c>
      <c r="V34" s="9">
        <f t="shared" si="1"/>
        <v>0.99999999999999978</v>
      </c>
      <c r="W34" s="4"/>
      <c r="X34" s="19" t="s">
        <v>99</v>
      </c>
      <c r="Y34" s="19" t="s">
        <v>99</v>
      </c>
      <c r="Z34" s="17">
        <v>0</v>
      </c>
      <c r="AA34" s="18" t="s">
        <v>82</v>
      </c>
      <c r="AB34" s="490">
        <f t="shared" si="2"/>
        <v>1</v>
      </c>
      <c r="AC34" s="425"/>
      <c r="AD34" s="425"/>
      <c r="AE34" s="425"/>
      <c r="AF34" s="425"/>
    </row>
    <row r="35" spans="1:32" ht="15.75" customHeight="1">
      <c r="A35" s="14" t="s">
        <v>100</v>
      </c>
      <c r="B35" s="9">
        <v>8.3333333333333329E-2</v>
      </c>
      <c r="C35" s="9">
        <v>8.3333333333333329E-2</v>
      </c>
      <c r="D35" s="9">
        <v>8.3333333333333329E-2</v>
      </c>
      <c r="E35" s="9">
        <v>8.3333333333333329E-2</v>
      </c>
      <c r="F35" s="9">
        <v>8.3333333333333329E-2</v>
      </c>
      <c r="G35" s="9">
        <v>8.3333333333333329E-2</v>
      </c>
      <c r="H35" s="9">
        <v>8.3333333333333329E-2</v>
      </c>
      <c r="I35" s="9">
        <v>8.3333333333333329E-2</v>
      </c>
      <c r="J35" s="9">
        <v>8.3333333333333329E-2</v>
      </c>
      <c r="K35" s="9">
        <v>8.3333333333333329E-2</v>
      </c>
      <c r="L35" s="9">
        <v>8.3333333333333329E-2</v>
      </c>
      <c r="M35" s="9">
        <v>8.3333333333333329E-2</v>
      </c>
      <c r="N35" s="9">
        <f t="shared" si="0"/>
        <v>1</v>
      </c>
      <c r="O35" s="9">
        <v>0.14285714285714285</v>
      </c>
      <c r="P35" s="9">
        <v>0.14285714285714285</v>
      </c>
      <c r="Q35" s="9">
        <v>0.14285714285714285</v>
      </c>
      <c r="R35" s="9">
        <v>0.14285714285714285</v>
      </c>
      <c r="S35" s="9">
        <v>0.14285714285714285</v>
      </c>
      <c r="T35" s="9">
        <v>0.14285714285714285</v>
      </c>
      <c r="U35" s="9">
        <v>0.14285714285714285</v>
      </c>
      <c r="V35" s="9">
        <f t="shared" si="1"/>
        <v>0.99999999999999978</v>
      </c>
      <c r="W35" s="4"/>
      <c r="X35" s="4" t="s">
        <v>84</v>
      </c>
      <c r="Y35" s="4" t="s">
        <v>84</v>
      </c>
      <c r="Z35" s="15">
        <v>0</v>
      </c>
      <c r="AA35" s="16" t="s">
        <v>82</v>
      </c>
      <c r="AB35" s="490">
        <f t="shared" si="2"/>
        <v>1</v>
      </c>
      <c r="AC35" s="425"/>
      <c r="AD35" s="425"/>
      <c r="AE35" s="425"/>
      <c r="AF35" s="425"/>
    </row>
    <row r="36" spans="1:32" ht="15.75" customHeight="1">
      <c r="A36" s="14" t="s">
        <v>101</v>
      </c>
      <c r="B36" s="9">
        <v>8.3333333333333329E-2</v>
      </c>
      <c r="C36" s="9">
        <v>8.3333333333333329E-2</v>
      </c>
      <c r="D36" s="9">
        <v>8.3333333333333329E-2</v>
      </c>
      <c r="E36" s="9">
        <v>8.3333333333333329E-2</v>
      </c>
      <c r="F36" s="9">
        <v>8.3333333333333329E-2</v>
      </c>
      <c r="G36" s="9">
        <v>8.3333333333333329E-2</v>
      </c>
      <c r="H36" s="9">
        <v>8.3333333333333329E-2</v>
      </c>
      <c r="I36" s="9">
        <v>8.3333333333333329E-2</v>
      </c>
      <c r="J36" s="9">
        <v>8.3333333333333329E-2</v>
      </c>
      <c r="K36" s="9">
        <v>8.3333333333333329E-2</v>
      </c>
      <c r="L36" s="9">
        <v>8.3333333333333329E-2</v>
      </c>
      <c r="M36" s="9">
        <v>8.3333333333333329E-2</v>
      </c>
      <c r="N36" s="9">
        <f t="shared" si="0"/>
        <v>1</v>
      </c>
      <c r="O36" s="9">
        <v>0.14285714285714285</v>
      </c>
      <c r="P36" s="9">
        <v>0.14285714285714285</v>
      </c>
      <c r="Q36" s="9">
        <v>0.14285714285714285</v>
      </c>
      <c r="R36" s="9">
        <v>0.14285714285714285</v>
      </c>
      <c r="S36" s="9">
        <v>0.14285714285714285</v>
      </c>
      <c r="T36" s="9">
        <v>0.14285714285714285</v>
      </c>
      <c r="U36" s="9">
        <v>0.14285714285714285</v>
      </c>
      <c r="V36" s="9">
        <f t="shared" si="1"/>
        <v>0.99999999999999978</v>
      </c>
      <c r="W36" s="4"/>
      <c r="X36" s="4" t="s">
        <v>80</v>
      </c>
      <c r="Y36" s="4" t="s">
        <v>81</v>
      </c>
      <c r="Z36" s="15">
        <v>0</v>
      </c>
      <c r="AA36" s="16" t="s">
        <v>82</v>
      </c>
      <c r="AB36" s="490">
        <f t="shared" si="2"/>
        <v>1</v>
      </c>
      <c r="AC36" s="425"/>
      <c r="AD36" s="425"/>
      <c r="AE36" s="425"/>
      <c r="AF36" s="425"/>
    </row>
    <row r="37" spans="1:32" ht="15.75" customHeight="1">
      <c r="A37" s="14" t="s">
        <v>102</v>
      </c>
      <c r="B37" s="9">
        <v>8.3333333333333329E-2</v>
      </c>
      <c r="C37" s="9">
        <v>8.3333333333333329E-2</v>
      </c>
      <c r="D37" s="9">
        <v>8.3333333333333329E-2</v>
      </c>
      <c r="E37" s="9">
        <v>8.3333333333333329E-2</v>
      </c>
      <c r="F37" s="9">
        <v>8.3333333333333329E-2</v>
      </c>
      <c r="G37" s="9">
        <v>8.3333333333333329E-2</v>
      </c>
      <c r="H37" s="9">
        <v>8.3333333333333329E-2</v>
      </c>
      <c r="I37" s="9">
        <v>8.3333333333333329E-2</v>
      </c>
      <c r="J37" s="9">
        <v>8.3333333333333329E-2</v>
      </c>
      <c r="K37" s="9">
        <v>8.3333333333333329E-2</v>
      </c>
      <c r="L37" s="9">
        <v>8.3333333333333329E-2</v>
      </c>
      <c r="M37" s="9">
        <v>8.3333333333333329E-2</v>
      </c>
      <c r="N37" s="9">
        <f t="shared" si="0"/>
        <v>1</v>
      </c>
      <c r="O37" s="9">
        <v>0.14285714285714285</v>
      </c>
      <c r="P37" s="9">
        <v>0.14285714285714285</v>
      </c>
      <c r="Q37" s="9">
        <v>0.14285714285714285</v>
      </c>
      <c r="R37" s="9">
        <v>0.14285714285714285</v>
      </c>
      <c r="S37" s="9">
        <v>0.14285714285714285</v>
      </c>
      <c r="T37" s="9">
        <v>0.14285714285714285</v>
      </c>
      <c r="U37" s="9">
        <v>0.14285714285714285</v>
      </c>
      <c r="V37" s="9">
        <f t="shared" si="1"/>
        <v>0.99999999999999978</v>
      </c>
      <c r="W37" s="4"/>
      <c r="X37" s="4" t="s">
        <v>80</v>
      </c>
      <c r="Y37" s="4" t="s">
        <v>81</v>
      </c>
      <c r="Z37" s="15">
        <v>0</v>
      </c>
      <c r="AA37" s="16" t="s">
        <v>82</v>
      </c>
      <c r="AB37" s="490">
        <f t="shared" si="2"/>
        <v>1</v>
      </c>
      <c r="AC37" s="425"/>
      <c r="AD37" s="425"/>
      <c r="AE37" s="425"/>
      <c r="AF37" s="425"/>
    </row>
    <row r="38" spans="1:32" ht="15.75" customHeight="1">
      <c r="A38" s="14"/>
      <c r="B38" s="9">
        <v>8.3333333333333329E-2</v>
      </c>
      <c r="C38" s="9">
        <v>8.3333333333333329E-2</v>
      </c>
      <c r="D38" s="9">
        <v>8.3333333333333329E-2</v>
      </c>
      <c r="E38" s="9">
        <v>8.3333333333333329E-2</v>
      </c>
      <c r="F38" s="9">
        <v>8.3333333333333329E-2</v>
      </c>
      <c r="G38" s="9">
        <v>8.3333333333333329E-2</v>
      </c>
      <c r="H38" s="9">
        <v>8.3333333333333329E-2</v>
      </c>
      <c r="I38" s="9">
        <v>8.3333333333333329E-2</v>
      </c>
      <c r="J38" s="9">
        <v>8.3333333333333329E-2</v>
      </c>
      <c r="K38" s="9">
        <v>8.3333333333333329E-2</v>
      </c>
      <c r="L38" s="9">
        <v>8.3333333333333329E-2</v>
      </c>
      <c r="M38" s="9">
        <v>8.3333333333333329E-2</v>
      </c>
      <c r="N38" s="9">
        <f t="shared" si="0"/>
        <v>1</v>
      </c>
      <c r="O38" s="9">
        <v>0.14285714285714285</v>
      </c>
      <c r="P38" s="9">
        <v>0.14285714285714285</v>
      </c>
      <c r="Q38" s="9">
        <v>0.14285714285714285</v>
      </c>
      <c r="R38" s="9">
        <v>0.14285714285714285</v>
      </c>
      <c r="S38" s="9">
        <v>0.14285714285714285</v>
      </c>
      <c r="T38" s="9">
        <v>0.14285714285714285</v>
      </c>
      <c r="U38" s="9">
        <v>0.14285714285714285</v>
      </c>
      <c r="V38" s="9">
        <f t="shared" si="1"/>
        <v>0.99999999999999978</v>
      </c>
      <c r="W38" s="4"/>
      <c r="X38" s="4"/>
      <c r="Y38" s="4"/>
      <c r="Z38" s="15"/>
      <c r="AA38" s="16"/>
      <c r="AB38" s="490">
        <f t="shared" si="2"/>
        <v>0</v>
      </c>
      <c r="AC38" s="425"/>
      <c r="AD38" s="425"/>
      <c r="AE38" s="425"/>
      <c r="AF38" s="425"/>
    </row>
    <row r="39" spans="1:32" ht="15.75" customHeight="1">
      <c r="A39" s="14"/>
      <c r="B39" s="9">
        <v>8.3333333333333329E-2</v>
      </c>
      <c r="C39" s="9">
        <v>8.3333333333333329E-2</v>
      </c>
      <c r="D39" s="9">
        <v>8.3333333333333329E-2</v>
      </c>
      <c r="E39" s="9">
        <v>8.3333333333333329E-2</v>
      </c>
      <c r="F39" s="9">
        <v>8.3333333333333329E-2</v>
      </c>
      <c r="G39" s="9">
        <v>8.3333333333333329E-2</v>
      </c>
      <c r="H39" s="9">
        <v>8.3333333333333329E-2</v>
      </c>
      <c r="I39" s="9">
        <v>8.3333333333333329E-2</v>
      </c>
      <c r="J39" s="9">
        <v>8.3333333333333329E-2</v>
      </c>
      <c r="K39" s="9">
        <v>8.3333333333333329E-2</v>
      </c>
      <c r="L39" s="9">
        <v>8.3333333333333329E-2</v>
      </c>
      <c r="M39" s="9">
        <v>8.3333333333333329E-2</v>
      </c>
      <c r="N39" s="9">
        <f t="shared" si="0"/>
        <v>1</v>
      </c>
      <c r="O39" s="9">
        <v>0.14285714285714285</v>
      </c>
      <c r="P39" s="9">
        <v>0.14285714285714285</v>
      </c>
      <c r="Q39" s="9">
        <v>0.14285714285714285</v>
      </c>
      <c r="R39" s="9">
        <v>0.14285714285714285</v>
      </c>
      <c r="S39" s="9">
        <v>0.14285714285714285</v>
      </c>
      <c r="T39" s="9">
        <v>0.14285714285714285</v>
      </c>
      <c r="U39" s="9">
        <v>0.14285714285714285</v>
      </c>
      <c r="V39" s="9">
        <f t="shared" si="1"/>
        <v>0.99999999999999978</v>
      </c>
      <c r="W39" s="4"/>
      <c r="X39" s="4"/>
      <c r="Y39" s="4"/>
      <c r="Z39" s="15"/>
      <c r="AA39" s="16"/>
      <c r="AB39" s="490">
        <f t="shared" si="2"/>
        <v>0</v>
      </c>
      <c r="AC39" s="425"/>
      <c r="AD39" s="425"/>
      <c r="AE39" s="425"/>
      <c r="AF39" s="425"/>
    </row>
    <row r="40" spans="1:32" ht="15.75" customHeight="1">
      <c r="A40" s="298"/>
      <c r="B40" s="298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</row>
    <row r="41" spans="1:32" ht="15.75" customHeight="1">
      <c r="A41" s="476" t="s">
        <v>103</v>
      </c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</row>
    <row r="42" spans="1:32" ht="15.75" customHeight="1">
      <c r="A42" s="758" t="str">
        <f>A3</f>
        <v>Demanda</v>
      </c>
      <c r="B42" s="759" t="s">
        <v>104</v>
      </c>
      <c r="C42" s="813"/>
      <c r="D42" s="813"/>
      <c r="E42" s="813"/>
      <c r="F42" s="813"/>
      <c r="G42" s="813"/>
      <c r="H42" s="813"/>
      <c r="I42" s="813"/>
      <c r="J42" s="813"/>
      <c r="K42" s="813"/>
      <c r="L42" s="813"/>
      <c r="M42" s="813"/>
      <c r="N42" s="813"/>
      <c r="O42" s="813"/>
      <c r="P42" s="813"/>
      <c r="Q42" s="813"/>
      <c r="R42" s="813"/>
      <c r="S42" s="813"/>
      <c r="T42" s="813"/>
      <c r="U42" s="813"/>
      <c r="V42" s="813"/>
      <c r="W42" s="813"/>
      <c r="X42" s="813"/>
      <c r="Y42" s="813"/>
      <c r="Z42" s="813"/>
      <c r="AA42" s="813"/>
      <c r="AB42" s="813"/>
      <c r="AC42" s="813"/>
      <c r="AD42" s="813"/>
      <c r="AE42" s="813"/>
      <c r="AF42" s="298"/>
    </row>
    <row r="43" spans="1:32" ht="13.5" customHeight="1">
      <c r="A43" s="813"/>
      <c r="B43" s="488">
        <v>1</v>
      </c>
      <c r="C43" s="488">
        <v>2</v>
      </c>
      <c r="D43" s="488">
        <v>3</v>
      </c>
      <c r="E43" s="488">
        <v>4</v>
      </c>
      <c r="F43" s="488">
        <v>5</v>
      </c>
      <c r="G43" s="488">
        <v>6</v>
      </c>
      <c r="H43" s="488">
        <v>7</v>
      </c>
      <c r="I43" s="488">
        <v>8</v>
      </c>
      <c r="J43" s="488">
        <v>9</v>
      </c>
      <c r="K43" s="488">
        <v>10</v>
      </c>
      <c r="L43" s="488">
        <v>11</v>
      </c>
      <c r="M43" s="488">
        <v>12</v>
      </c>
      <c r="N43" s="488">
        <v>13</v>
      </c>
      <c r="O43" s="488">
        <v>14</v>
      </c>
      <c r="P43" s="488">
        <v>15</v>
      </c>
      <c r="Q43" s="488">
        <v>16</v>
      </c>
      <c r="R43" s="488">
        <v>17</v>
      </c>
      <c r="S43" s="488">
        <v>18</v>
      </c>
      <c r="T43" s="488">
        <v>19</v>
      </c>
      <c r="U43" s="488">
        <v>20</v>
      </c>
      <c r="V43" s="488">
        <v>21</v>
      </c>
      <c r="W43" s="488">
        <v>22</v>
      </c>
      <c r="X43" s="488">
        <v>23</v>
      </c>
      <c r="Y43" s="488">
        <v>24</v>
      </c>
      <c r="Z43" s="488">
        <v>25</v>
      </c>
      <c r="AA43" s="488">
        <v>26</v>
      </c>
      <c r="AB43" s="488">
        <v>27</v>
      </c>
      <c r="AC43" s="488">
        <v>28</v>
      </c>
      <c r="AD43" s="488">
        <v>29</v>
      </c>
      <c r="AE43" s="488">
        <v>30</v>
      </c>
      <c r="AF43" s="298"/>
    </row>
    <row r="44" spans="1:32" ht="15.75" customHeight="1">
      <c r="A44" s="12" t="s">
        <v>105</v>
      </c>
      <c r="B44" s="20">
        <f t="shared" ref="B44:AE44" si="3">IF(CenarioSel="MODERADA",B97,IF(CenarioSel="PESSIMISTA",B122,B147))</f>
        <v>1</v>
      </c>
      <c r="C44" s="20">
        <f t="shared" si="3"/>
        <v>1</v>
      </c>
      <c r="D44" s="20">
        <f t="shared" si="3"/>
        <v>1</v>
      </c>
      <c r="E44" s="20">
        <f t="shared" si="3"/>
        <v>1</v>
      </c>
      <c r="F44" s="20">
        <f t="shared" si="3"/>
        <v>1</v>
      </c>
      <c r="G44" s="20">
        <f t="shared" si="3"/>
        <v>1</v>
      </c>
      <c r="H44" s="20">
        <f t="shared" si="3"/>
        <v>1</v>
      </c>
      <c r="I44" s="20">
        <f t="shared" si="3"/>
        <v>1</v>
      </c>
      <c r="J44" s="20">
        <f t="shared" si="3"/>
        <v>1</v>
      </c>
      <c r="K44" s="20">
        <f t="shared" si="3"/>
        <v>1</v>
      </c>
      <c r="L44" s="20">
        <f t="shared" si="3"/>
        <v>1</v>
      </c>
      <c r="M44" s="20">
        <f t="shared" si="3"/>
        <v>1</v>
      </c>
      <c r="N44" s="20">
        <f t="shared" si="3"/>
        <v>1</v>
      </c>
      <c r="O44" s="20">
        <f t="shared" si="3"/>
        <v>1</v>
      </c>
      <c r="P44" s="20">
        <f t="shared" si="3"/>
        <v>1</v>
      </c>
      <c r="Q44" s="20">
        <f t="shared" si="3"/>
        <v>1</v>
      </c>
      <c r="R44" s="20">
        <f t="shared" si="3"/>
        <v>1</v>
      </c>
      <c r="S44" s="20">
        <f t="shared" si="3"/>
        <v>1</v>
      </c>
      <c r="T44" s="20">
        <f t="shared" si="3"/>
        <v>1</v>
      </c>
      <c r="U44" s="20">
        <f t="shared" si="3"/>
        <v>1</v>
      </c>
      <c r="V44" s="20">
        <f t="shared" si="3"/>
        <v>1</v>
      </c>
      <c r="W44" s="20">
        <f t="shared" si="3"/>
        <v>1</v>
      </c>
      <c r="X44" s="20">
        <f t="shared" si="3"/>
        <v>1</v>
      </c>
      <c r="Y44" s="20">
        <f t="shared" si="3"/>
        <v>1</v>
      </c>
      <c r="Z44" s="20">
        <f t="shared" si="3"/>
        <v>1</v>
      </c>
      <c r="AA44" s="20">
        <f t="shared" si="3"/>
        <v>1</v>
      </c>
      <c r="AB44" s="20">
        <f t="shared" si="3"/>
        <v>1</v>
      </c>
      <c r="AC44" s="20">
        <f t="shared" si="3"/>
        <v>1</v>
      </c>
      <c r="AD44" s="20">
        <f t="shared" si="3"/>
        <v>1</v>
      </c>
      <c r="AE44" s="20">
        <f t="shared" si="3"/>
        <v>1</v>
      </c>
      <c r="AF44" s="298"/>
    </row>
    <row r="45" spans="1:32" ht="15.75" customHeight="1">
      <c r="A45" s="12" t="str">
        <f t="shared" ref="A45:A64" si="4">A20</f>
        <v>Ingresso</v>
      </c>
      <c r="B45" s="20">
        <f t="shared" ref="B45:AE45" si="5">IF(CenarioSel="MODERADA",B98,IF(CenarioSel="PESSIMISTA",B123,B148))</f>
        <v>1</v>
      </c>
      <c r="C45" s="20">
        <f t="shared" si="5"/>
        <v>1</v>
      </c>
      <c r="D45" s="20">
        <f t="shared" si="5"/>
        <v>1</v>
      </c>
      <c r="E45" s="20">
        <f t="shared" si="5"/>
        <v>1</v>
      </c>
      <c r="F45" s="20">
        <f t="shared" si="5"/>
        <v>1</v>
      </c>
      <c r="G45" s="20">
        <f t="shared" si="5"/>
        <v>1</v>
      </c>
      <c r="H45" s="20">
        <f t="shared" si="5"/>
        <v>1</v>
      </c>
      <c r="I45" s="20">
        <f t="shared" si="5"/>
        <v>1</v>
      </c>
      <c r="J45" s="20">
        <f t="shared" si="5"/>
        <v>1</v>
      </c>
      <c r="K45" s="20">
        <f t="shared" si="5"/>
        <v>1</v>
      </c>
      <c r="L45" s="20">
        <f t="shared" si="5"/>
        <v>1</v>
      </c>
      <c r="M45" s="20">
        <f t="shared" si="5"/>
        <v>1</v>
      </c>
      <c r="N45" s="20">
        <f t="shared" si="5"/>
        <v>1</v>
      </c>
      <c r="O45" s="20">
        <f t="shared" si="5"/>
        <v>1</v>
      </c>
      <c r="P45" s="20">
        <f t="shared" si="5"/>
        <v>1</v>
      </c>
      <c r="Q45" s="20">
        <f t="shared" si="5"/>
        <v>1</v>
      </c>
      <c r="R45" s="20">
        <f t="shared" si="5"/>
        <v>1</v>
      </c>
      <c r="S45" s="20">
        <f t="shared" si="5"/>
        <v>1</v>
      </c>
      <c r="T45" s="20">
        <f t="shared" si="5"/>
        <v>1</v>
      </c>
      <c r="U45" s="20">
        <f t="shared" si="5"/>
        <v>1</v>
      </c>
      <c r="V45" s="20">
        <f t="shared" si="5"/>
        <v>1</v>
      </c>
      <c r="W45" s="20">
        <f t="shared" si="5"/>
        <v>1</v>
      </c>
      <c r="X45" s="20">
        <f t="shared" si="5"/>
        <v>1</v>
      </c>
      <c r="Y45" s="20">
        <f t="shared" si="5"/>
        <v>1</v>
      </c>
      <c r="Z45" s="20">
        <f t="shared" si="5"/>
        <v>1</v>
      </c>
      <c r="AA45" s="20">
        <f t="shared" si="5"/>
        <v>1</v>
      </c>
      <c r="AB45" s="20">
        <f t="shared" si="5"/>
        <v>1</v>
      </c>
      <c r="AC45" s="20">
        <f t="shared" si="5"/>
        <v>1</v>
      </c>
      <c r="AD45" s="20">
        <f t="shared" si="5"/>
        <v>1</v>
      </c>
      <c r="AE45" s="20">
        <f t="shared" si="5"/>
        <v>1</v>
      </c>
      <c r="AF45" s="298"/>
    </row>
    <row r="46" spans="1:32" ht="15.75" customHeight="1">
      <c r="A46" s="12" t="str">
        <f t="shared" si="4"/>
        <v>Preá - Alimentação</v>
      </c>
      <c r="B46" s="20">
        <f t="shared" ref="B46:AE46" si="6">IF(CenarioSel="MODERADA",B99,IF(CenarioSel="PESSIMISTA",B124,B149))</f>
        <v>0.08</v>
      </c>
      <c r="C46" s="20">
        <f t="shared" si="6"/>
        <v>0.08</v>
      </c>
      <c r="D46" s="20">
        <f t="shared" si="6"/>
        <v>0.08</v>
      </c>
      <c r="E46" s="20">
        <f t="shared" si="6"/>
        <v>0.08</v>
      </c>
      <c r="F46" s="20">
        <f t="shared" si="6"/>
        <v>0.08</v>
      </c>
      <c r="G46" s="20">
        <f t="shared" si="6"/>
        <v>0.08</v>
      </c>
      <c r="H46" s="20">
        <f t="shared" si="6"/>
        <v>0.08</v>
      </c>
      <c r="I46" s="20">
        <f t="shared" si="6"/>
        <v>0.08</v>
      </c>
      <c r="J46" s="20">
        <f t="shared" si="6"/>
        <v>0.08</v>
      </c>
      <c r="K46" s="20">
        <f t="shared" si="6"/>
        <v>0.08</v>
      </c>
      <c r="L46" s="20">
        <f t="shared" si="6"/>
        <v>0.08</v>
      </c>
      <c r="M46" s="20">
        <f t="shared" si="6"/>
        <v>0.08</v>
      </c>
      <c r="N46" s="20">
        <f t="shared" si="6"/>
        <v>0.08</v>
      </c>
      <c r="O46" s="20">
        <f t="shared" si="6"/>
        <v>0.08</v>
      </c>
      <c r="P46" s="20">
        <f t="shared" si="6"/>
        <v>0.08</v>
      </c>
      <c r="Q46" s="20">
        <f t="shared" si="6"/>
        <v>0.08</v>
      </c>
      <c r="R46" s="20">
        <f t="shared" si="6"/>
        <v>0.08</v>
      </c>
      <c r="S46" s="20">
        <f t="shared" si="6"/>
        <v>0.08</v>
      </c>
      <c r="T46" s="20">
        <f t="shared" si="6"/>
        <v>0.08</v>
      </c>
      <c r="U46" s="20">
        <f t="shared" si="6"/>
        <v>0.08</v>
      </c>
      <c r="V46" s="20">
        <f t="shared" si="6"/>
        <v>0.08</v>
      </c>
      <c r="W46" s="20">
        <f t="shared" si="6"/>
        <v>0.08</v>
      </c>
      <c r="X46" s="20">
        <f t="shared" si="6"/>
        <v>0.08</v>
      </c>
      <c r="Y46" s="20">
        <f t="shared" si="6"/>
        <v>0.08</v>
      </c>
      <c r="Z46" s="20">
        <f t="shared" si="6"/>
        <v>0.08</v>
      </c>
      <c r="AA46" s="20">
        <f t="shared" si="6"/>
        <v>0.08</v>
      </c>
      <c r="AB46" s="20">
        <f t="shared" si="6"/>
        <v>0.08</v>
      </c>
      <c r="AC46" s="20">
        <f t="shared" si="6"/>
        <v>0.08</v>
      </c>
      <c r="AD46" s="20">
        <f t="shared" si="6"/>
        <v>0.08</v>
      </c>
      <c r="AE46" s="20">
        <f t="shared" si="6"/>
        <v>0.08</v>
      </c>
      <c r="AF46" s="298"/>
    </row>
    <row r="47" spans="1:32" ht="15.75" customHeight="1">
      <c r="A47" s="12" t="str">
        <f t="shared" si="4"/>
        <v>Preá - Comércio</v>
      </c>
      <c r="B47" s="20">
        <f t="shared" ref="B47:AE47" si="7">IF(CenarioSel="MODERADA",B100,IF(CenarioSel="PESSIMISTA",B125,B150))</f>
        <v>1.3333333333333332E-2</v>
      </c>
      <c r="C47" s="20">
        <f t="shared" si="7"/>
        <v>1.3333333333333332E-2</v>
      </c>
      <c r="D47" s="20">
        <f t="shared" si="7"/>
        <v>1.3333333333333332E-2</v>
      </c>
      <c r="E47" s="20">
        <f t="shared" si="7"/>
        <v>1.3333333333333332E-2</v>
      </c>
      <c r="F47" s="20">
        <f t="shared" si="7"/>
        <v>1.3333333333333332E-2</v>
      </c>
      <c r="G47" s="20">
        <f t="shared" si="7"/>
        <v>1.3333333333333332E-2</v>
      </c>
      <c r="H47" s="20">
        <f t="shared" si="7"/>
        <v>1.3333333333333332E-2</v>
      </c>
      <c r="I47" s="20">
        <f t="shared" si="7"/>
        <v>1.3333333333333332E-2</v>
      </c>
      <c r="J47" s="20">
        <f t="shared" si="7"/>
        <v>1.3333333333333332E-2</v>
      </c>
      <c r="K47" s="20">
        <f t="shared" si="7"/>
        <v>1.3333333333333332E-2</v>
      </c>
      <c r="L47" s="20">
        <f t="shared" si="7"/>
        <v>1.3333333333333332E-2</v>
      </c>
      <c r="M47" s="20">
        <f t="shared" si="7"/>
        <v>1.3333333333333332E-2</v>
      </c>
      <c r="N47" s="20">
        <f t="shared" si="7"/>
        <v>1.3333333333333332E-2</v>
      </c>
      <c r="O47" s="20">
        <f t="shared" si="7"/>
        <v>1.3333333333333332E-2</v>
      </c>
      <c r="P47" s="20">
        <f t="shared" si="7"/>
        <v>1.3333333333333332E-2</v>
      </c>
      <c r="Q47" s="20">
        <f t="shared" si="7"/>
        <v>1.3333333333333332E-2</v>
      </c>
      <c r="R47" s="20">
        <f t="shared" si="7"/>
        <v>1.3333333333333332E-2</v>
      </c>
      <c r="S47" s="20">
        <f t="shared" si="7"/>
        <v>1.3333333333333332E-2</v>
      </c>
      <c r="T47" s="20">
        <f t="shared" si="7"/>
        <v>1.3333333333333332E-2</v>
      </c>
      <c r="U47" s="20">
        <f t="shared" si="7"/>
        <v>1.3333333333333332E-2</v>
      </c>
      <c r="V47" s="20">
        <f t="shared" si="7"/>
        <v>1.3333333333333332E-2</v>
      </c>
      <c r="W47" s="20">
        <f t="shared" si="7"/>
        <v>1.3333333333333332E-2</v>
      </c>
      <c r="X47" s="20">
        <f t="shared" si="7"/>
        <v>1.3333333333333332E-2</v>
      </c>
      <c r="Y47" s="20">
        <f t="shared" si="7"/>
        <v>1.3333333333333332E-2</v>
      </c>
      <c r="Z47" s="20">
        <f t="shared" si="7"/>
        <v>1.3333333333333332E-2</v>
      </c>
      <c r="AA47" s="20">
        <f t="shared" si="7"/>
        <v>1.3333333333333332E-2</v>
      </c>
      <c r="AB47" s="20">
        <f t="shared" si="7"/>
        <v>1.3333333333333332E-2</v>
      </c>
      <c r="AC47" s="20">
        <f t="shared" si="7"/>
        <v>1.3333333333333332E-2</v>
      </c>
      <c r="AD47" s="20">
        <f t="shared" si="7"/>
        <v>1.3333333333333332E-2</v>
      </c>
      <c r="AE47" s="20">
        <f t="shared" si="7"/>
        <v>1.3333333333333332E-2</v>
      </c>
      <c r="AF47" s="298"/>
    </row>
    <row r="48" spans="1:32" ht="15.75" customHeight="1">
      <c r="A48" s="12" t="str">
        <f t="shared" si="4"/>
        <v>Preá - Estacionamento</v>
      </c>
      <c r="B48" s="20">
        <f t="shared" ref="B48:AE48" si="8">IF(CenarioSel="MODERADA",B101,IF(CenarioSel="PESSIMISTA",B126,B151))</f>
        <v>0.02</v>
      </c>
      <c r="C48" s="20">
        <f t="shared" si="8"/>
        <v>0.02</v>
      </c>
      <c r="D48" s="20">
        <f t="shared" si="8"/>
        <v>0.02</v>
      </c>
      <c r="E48" s="20">
        <f t="shared" si="8"/>
        <v>0.02</v>
      </c>
      <c r="F48" s="20">
        <f t="shared" si="8"/>
        <v>0.02</v>
      </c>
      <c r="G48" s="20">
        <f t="shared" si="8"/>
        <v>0.02</v>
      </c>
      <c r="H48" s="20">
        <f t="shared" si="8"/>
        <v>0.02</v>
      </c>
      <c r="I48" s="20">
        <f t="shared" si="8"/>
        <v>0.02</v>
      </c>
      <c r="J48" s="20">
        <f t="shared" si="8"/>
        <v>0.02</v>
      </c>
      <c r="K48" s="20">
        <f t="shared" si="8"/>
        <v>0.02</v>
      </c>
      <c r="L48" s="20">
        <f t="shared" si="8"/>
        <v>0.02</v>
      </c>
      <c r="M48" s="20">
        <f t="shared" si="8"/>
        <v>0.02</v>
      </c>
      <c r="N48" s="20">
        <f t="shared" si="8"/>
        <v>0.02</v>
      </c>
      <c r="O48" s="20">
        <f t="shared" si="8"/>
        <v>0.02</v>
      </c>
      <c r="P48" s="20">
        <f t="shared" si="8"/>
        <v>0.02</v>
      </c>
      <c r="Q48" s="20">
        <f t="shared" si="8"/>
        <v>0.02</v>
      </c>
      <c r="R48" s="20">
        <f t="shared" si="8"/>
        <v>0.02</v>
      </c>
      <c r="S48" s="20">
        <f t="shared" si="8"/>
        <v>0.02</v>
      </c>
      <c r="T48" s="20">
        <f t="shared" si="8"/>
        <v>0.02</v>
      </c>
      <c r="U48" s="20">
        <f t="shared" si="8"/>
        <v>0.02</v>
      </c>
      <c r="V48" s="20">
        <f t="shared" si="8"/>
        <v>0.02</v>
      </c>
      <c r="W48" s="20">
        <f t="shared" si="8"/>
        <v>0.02</v>
      </c>
      <c r="X48" s="20">
        <f t="shared" si="8"/>
        <v>0.02</v>
      </c>
      <c r="Y48" s="20">
        <f t="shared" si="8"/>
        <v>0.02</v>
      </c>
      <c r="Z48" s="20">
        <f t="shared" si="8"/>
        <v>0.02</v>
      </c>
      <c r="AA48" s="20">
        <f t="shared" si="8"/>
        <v>0.02</v>
      </c>
      <c r="AB48" s="20">
        <f t="shared" si="8"/>
        <v>0.02</v>
      </c>
      <c r="AC48" s="20">
        <f t="shared" si="8"/>
        <v>0.02</v>
      </c>
      <c r="AD48" s="20">
        <f t="shared" si="8"/>
        <v>0.02</v>
      </c>
      <c r="AE48" s="20">
        <f t="shared" si="8"/>
        <v>0.02</v>
      </c>
      <c r="AF48" s="298"/>
    </row>
    <row r="49" spans="1:32" ht="15.75" customHeight="1">
      <c r="A49" s="12" t="str">
        <f t="shared" si="4"/>
        <v>Árvore da Preguiça - Alimentação</v>
      </c>
      <c r="B49" s="20">
        <f t="shared" ref="B49:AE49" si="9">IF(CenarioSel="MODERADA",B102,IF(CenarioSel="PESSIMISTA",B127,B152))</f>
        <v>0.08</v>
      </c>
      <c r="C49" s="20">
        <f t="shared" si="9"/>
        <v>0.08</v>
      </c>
      <c r="D49" s="20">
        <f t="shared" si="9"/>
        <v>0.08</v>
      </c>
      <c r="E49" s="20">
        <f t="shared" si="9"/>
        <v>0.08</v>
      </c>
      <c r="F49" s="20">
        <f t="shared" si="9"/>
        <v>0.08</v>
      </c>
      <c r="G49" s="20">
        <f t="shared" si="9"/>
        <v>0.08</v>
      </c>
      <c r="H49" s="20">
        <f t="shared" si="9"/>
        <v>0.08</v>
      </c>
      <c r="I49" s="20">
        <f t="shared" si="9"/>
        <v>0.08</v>
      </c>
      <c r="J49" s="20">
        <f t="shared" si="9"/>
        <v>0.08</v>
      </c>
      <c r="K49" s="20">
        <f t="shared" si="9"/>
        <v>0.08</v>
      </c>
      <c r="L49" s="20">
        <f t="shared" si="9"/>
        <v>0.08</v>
      </c>
      <c r="M49" s="20">
        <f t="shared" si="9"/>
        <v>0.08</v>
      </c>
      <c r="N49" s="20">
        <f t="shared" si="9"/>
        <v>0.08</v>
      </c>
      <c r="O49" s="20">
        <f t="shared" si="9"/>
        <v>0.08</v>
      </c>
      <c r="P49" s="20">
        <f t="shared" si="9"/>
        <v>0.08</v>
      </c>
      <c r="Q49" s="20">
        <f t="shared" si="9"/>
        <v>0.08</v>
      </c>
      <c r="R49" s="20">
        <f t="shared" si="9"/>
        <v>0.08</v>
      </c>
      <c r="S49" s="20">
        <f t="shared" si="9"/>
        <v>0.08</v>
      </c>
      <c r="T49" s="20">
        <f t="shared" si="9"/>
        <v>0.08</v>
      </c>
      <c r="U49" s="20">
        <f t="shared" si="9"/>
        <v>0.08</v>
      </c>
      <c r="V49" s="20">
        <f t="shared" si="9"/>
        <v>0.08</v>
      </c>
      <c r="W49" s="20">
        <f t="shared" si="9"/>
        <v>0.08</v>
      </c>
      <c r="X49" s="20">
        <f t="shared" si="9"/>
        <v>0.08</v>
      </c>
      <c r="Y49" s="20">
        <f t="shared" si="9"/>
        <v>0.08</v>
      </c>
      <c r="Z49" s="20">
        <f t="shared" si="9"/>
        <v>0.08</v>
      </c>
      <c r="AA49" s="20">
        <f t="shared" si="9"/>
        <v>0.08</v>
      </c>
      <c r="AB49" s="20">
        <f t="shared" si="9"/>
        <v>0.08</v>
      </c>
      <c r="AC49" s="20">
        <f t="shared" si="9"/>
        <v>0.08</v>
      </c>
      <c r="AD49" s="20">
        <f t="shared" si="9"/>
        <v>0.08</v>
      </c>
      <c r="AE49" s="20">
        <f t="shared" si="9"/>
        <v>0.08</v>
      </c>
      <c r="AF49" s="298"/>
    </row>
    <row r="50" spans="1:32" ht="15.75" customHeight="1">
      <c r="A50" s="12" t="str">
        <f t="shared" si="4"/>
        <v>Árvore da Preguiça - Comércio</v>
      </c>
      <c r="B50" s="20">
        <f t="shared" ref="B50:AE50" si="10">IF(CenarioSel="MODERADA",B103,IF(CenarioSel="PESSIMISTA",B128,B153))</f>
        <v>1.3333333333333332E-2</v>
      </c>
      <c r="C50" s="20">
        <f t="shared" si="10"/>
        <v>1.3333333333333332E-2</v>
      </c>
      <c r="D50" s="20">
        <f t="shared" si="10"/>
        <v>1.3333333333333332E-2</v>
      </c>
      <c r="E50" s="20">
        <f t="shared" si="10"/>
        <v>1.3333333333333332E-2</v>
      </c>
      <c r="F50" s="20">
        <f t="shared" si="10"/>
        <v>1.3333333333333332E-2</v>
      </c>
      <c r="G50" s="20">
        <f t="shared" si="10"/>
        <v>1.3333333333333332E-2</v>
      </c>
      <c r="H50" s="20">
        <f t="shared" si="10"/>
        <v>1.3333333333333332E-2</v>
      </c>
      <c r="I50" s="20">
        <f t="shared" si="10"/>
        <v>1.3333333333333332E-2</v>
      </c>
      <c r="J50" s="20">
        <f t="shared" si="10"/>
        <v>1.3333333333333332E-2</v>
      </c>
      <c r="K50" s="20">
        <f t="shared" si="10"/>
        <v>1.3333333333333332E-2</v>
      </c>
      <c r="L50" s="20">
        <f t="shared" si="10"/>
        <v>1.3333333333333332E-2</v>
      </c>
      <c r="M50" s="20">
        <f t="shared" si="10"/>
        <v>1.3333333333333332E-2</v>
      </c>
      <c r="N50" s="20">
        <f t="shared" si="10"/>
        <v>1.3333333333333332E-2</v>
      </c>
      <c r="O50" s="20">
        <f t="shared" si="10"/>
        <v>1.3333333333333332E-2</v>
      </c>
      <c r="P50" s="20">
        <f t="shared" si="10"/>
        <v>1.3333333333333332E-2</v>
      </c>
      <c r="Q50" s="20">
        <f t="shared" si="10"/>
        <v>1.3333333333333332E-2</v>
      </c>
      <c r="R50" s="20">
        <f t="shared" si="10"/>
        <v>1.3333333333333332E-2</v>
      </c>
      <c r="S50" s="20">
        <f t="shared" si="10"/>
        <v>1.3333333333333332E-2</v>
      </c>
      <c r="T50" s="20">
        <f t="shared" si="10"/>
        <v>1.3333333333333332E-2</v>
      </c>
      <c r="U50" s="20">
        <f t="shared" si="10"/>
        <v>1.3333333333333332E-2</v>
      </c>
      <c r="V50" s="20">
        <f t="shared" si="10"/>
        <v>1.3333333333333332E-2</v>
      </c>
      <c r="W50" s="20">
        <f t="shared" si="10"/>
        <v>1.3333333333333332E-2</v>
      </c>
      <c r="X50" s="20">
        <f t="shared" si="10"/>
        <v>1.3333333333333332E-2</v>
      </c>
      <c r="Y50" s="20">
        <f t="shared" si="10"/>
        <v>1.3333333333333332E-2</v>
      </c>
      <c r="Z50" s="20">
        <f t="shared" si="10"/>
        <v>1.3333333333333332E-2</v>
      </c>
      <c r="AA50" s="20">
        <f t="shared" si="10"/>
        <v>1.3333333333333332E-2</v>
      </c>
      <c r="AB50" s="20">
        <f t="shared" si="10"/>
        <v>1.3333333333333332E-2</v>
      </c>
      <c r="AC50" s="20">
        <f t="shared" si="10"/>
        <v>1.3333333333333332E-2</v>
      </c>
      <c r="AD50" s="20">
        <f t="shared" si="10"/>
        <v>1.3333333333333332E-2</v>
      </c>
      <c r="AE50" s="20">
        <f t="shared" si="10"/>
        <v>1.3333333333333332E-2</v>
      </c>
      <c r="AF50" s="298"/>
    </row>
    <row r="51" spans="1:32" ht="15.75" customHeight="1">
      <c r="A51" s="12" t="str">
        <f t="shared" si="4"/>
        <v>Silveira - Alimentação</v>
      </c>
      <c r="B51" s="20">
        <f t="shared" ref="B51:AE51" si="11">IF(CenarioSel="MODERADA",B104,IF(CenarioSel="PESSIMISTA",B129,B154))</f>
        <v>0.08</v>
      </c>
      <c r="C51" s="20">
        <f t="shared" si="11"/>
        <v>0.08</v>
      </c>
      <c r="D51" s="20">
        <f t="shared" si="11"/>
        <v>0.08</v>
      </c>
      <c r="E51" s="20">
        <f t="shared" si="11"/>
        <v>0.08</v>
      </c>
      <c r="F51" s="20">
        <f t="shared" si="11"/>
        <v>0.08</v>
      </c>
      <c r="G51" s="20">
        <f t="shared" si="11"/>
        <v>0.08</v>
      </c>
      <c r="H51" s="20">
        <f t="shared" si="11"/>
        <v>0.08</v>
      </c>
      <c r="I51" s="20">
        <f t="shared" si="11"/>
        <v>0.08</v>
      </c>
      <c r="J51" s="20">
        <f t="shared" si="11"/>
        <v>0.08</v>
      </c>
      <c r="K51" s="20">
        <f t="shared" si="11"/>
        <v>0.08</v>
      </c>
      <c r="L51" s="20">
        <f t="shared" si="11"/>
        <v>0.08</v>
      </c>
      <c r="M51" s="20">
        <f t="shared" si="11"/>
        <v>0.08</v>
      </c>
      <c r="N51" s="20">
        <f t="shared" si="11"/>
        <v>0.08</v>
      </c>
      <c r="O51" s="20">
        <f t="shared" si="11"/>
        <v>0.08</v>
      </c>
      <c r="P51" s="20">
        <f t="shared" si="11"/>
        <v>0.08</v>
      </c>
      <c r="Q51" s="20">
        <f t="shared" si="11"/>
        <v>0.08</v>
      </c>
      <c r="R51" s="20">
        <f t="shared" si="11"/>
        <v>0.08</v>
      </c>
      <c r="S51" s="20">
        <f t="shared" si="11"/>
        <v>0.08</v>
      </c>
      <c r="T51" s="20">
        <f t="shared" si="11"/>
        <v>0.08</v>
      </c>
      <c r="U51" s="20">
        <f t="shared" si="11"/>
        <v>0.08</v>
      </c>
      <c r="V51" s="20">
        <f t="shared" si="11"/>
        <v>0.08</v>
      </c>
      <c r="W51" s="20">
        <f t="shared" si="11"/>
        <v>0.08</v>
      </c>
      <c r="X51" s="20">
        <f t="shared" si="11"/>
        <v>0.08</v>
      </c>
      <c r="Y51" s="20">
        <f t="shared" si="11"/>
        <v>0.08</v>
      </c>
      <c r="Z51" s="20">
        <f t="shared" si="11"/>
        <v>0.08</v>
      </c>
      <c r="AA51" s="20">
        <f t="shared" si="11"/>
        <v>0.08</v>
      </c>
      <c r="AB51" s="20">
        <f t="shared" si="11"/>
        <v>0.08</v>
      </c>
      <c r="AC51" s="20">
        <f t="shared" si="11"/>
        <v>0.08</v>
      </c>
      <c r="AD51" s="20">
        <f t="shared" si="11"/>
        <v>0.08</v>
      </c>
      <c r="AE51" s="20">
        <f t="shared" si="11"/>
        <v>0.08</v>
      </c>
      <c r="AF51" s="298"/>
    </row>
    <row r="52" spans="1:32" ht="15.75" customHeight="1">
      <c r="A52" s="12" t="str">
        <f t="shared" si="4"/>
        <v>Silveira - Comércio + Locação + Atividades</v>
      </c>
      <c r="B52" s="20">
        <f t="shared" ref="B52:AE52" si="12">IF(CenarioSel="MODERADA",B105,IF(CenarioSel="PESSIMISTA",B130,B155))</f>
        <v>1.3333333333333332E-2</v>
      </c>
      <c r="C52" s="20">
        <f t="shared" si="12"/>
        <v>1.3333333333333332E-2</v>
      </c>
      <c r="D52" s="20">
        <f t="shared" si="12"/>
        <v>1.3333333333333332E-2</v>
      </c>
      <c r="E52" s="20">
        <f t="shared" si="12"/>
        <v>1.3333333333333332E-2</v>
      </c>
      <c r="F52" s="20">
        <f t="shared" si="12"/>
        <v>1.3333333333333332E-2</v>
      </c>
      <c r="G52" s="20">
        <f t="shared" si="12"/>
        <v>1.3333333333333332E-2</v>
      </c>
      <c r="H52" s="20">
        <f t="shared" si="12"/>
        <v>1.3333333333333332E-2</v>
      </c>
      <c r="I52" s="20">
        <f t="shared" si="12"/>
        <v>1.3333333333333332E-2</v>
      </c>
      <c r="J52" s="20">
        <f t="shared" si="12"/>
        <v>1.3333333333333332E-2</v>
      </c>
      <c r="K52" s="20">
        <f t="shared" si="12"/>
        <v>1.3333333333333332E-2</v>
      </c>
      <c r="L52" s="20">
        <f t="shared" si="12"/>
        <v>1.3333333333333332E-2</v>
      </c>
      <c r="M52" s="20">
        <f t="shared" si="12"/>
        <v>1.3333333333333332E-2</v>
      </c>
      <c r="N52" s="20">
        <f t="shared" si="12"/>
        <v>1.3333333333333332E-2</v>
      </c>
      <c r="O52" s="20">
        <f t="shared" si="12"/>
        <v>1.3333333333333332E-2</v>
      </c>
      <c r="P52" s="20">
        <f t="shared" si="12"/>
        <v>1.3333333333333332E-2</v>
      </c>
      <c r="Q52" s="20">
        <f t="shared" si="12"/>
        <v>1.3333333333333332E-2</v>
      </c>
      <c r="R52" s="20">
        <f t="shared" si="12"/>
        <v>1.3333333333333332E-2</v>
      </c>
      <c r="S52" s="20">
        <f t="shared" si="12"/>
        <v>1.3333333333333332E-2</v>
      </c>
      <c r="T52" s="20">
        <f t="shared" si="12"/>
        <v>1.3333333333333332E-2</v>
      </c>
      <c r="U52" s="20">
        <f t="shared" si="12"/>
        <v>1.3333333333333332E-2</v>
      </c>
      <c r="V52" s="20">
        <f t="shared" si="12"/>
        <v>1.3333333333333332E-2</v>
      </c>
      <c r="W52" s="20">
        <f t="shared" si="12"/>
        <v>1.3333333333333332E-2</v>
      </c>
      <c r="X52" s="20">
        <f t="shared" si="12"/>
        <v>1.3333333333333332E-2</v>
      </c>
      <c r="Y52" s="20">
        <f t="shared" si="12"/>
        <v>1.3333333333333332E-2</v>
      </c>
      <c r="Z52" s="20">
        <f t="shared" si="12"/>
        <v>1.3333333333333332E-2</v>
      </c>
      <c r="AA52" s="20">
        <f t="shared" si="12"/>
        <v>1.3333333333333332E-2</v>
      </c>
      <c r="AB52" s="20">
        <f t="shared" si="12"/>
        <v>1.3333333333333332E-2</v>
      </c>
      <c r="AC52" s="20">
        <f t="shared" si="12"/>
        <v>1.3333333333333332E-2</v>
      </c>
      <c r="AD52" s="20">
        <f t="shared" si="12"/>
        <v>1.3333333333333332E-2</v>
      </c>
      <c r="AE52" s="20">
        <f t="shared" si="12"/>
        <v>1.3333333333333332E-2</v>
      </c>
      <c r="AF52" s="298"/>
    </row>
    <row r="53" spans="1:32" ht="15.75" customHeight="1">
      <c r="A53" s="12" t="str">
        <f t="shared" si="4"/>
        <v>Silveira - Hospedagem</v>
      </c>
      <c r="B53" s="20">
        <f t="shared" ref="B53:AE53" si="13">IF(CenarioSel="MODERADA",B106,IF(CenarioSel="PESSIMISTA",B131,B156))</f>
        <v>0.01</v>
      </c>
      <c r="C53" s="20">
        <f t="shared" si="13"/>
        <v>0.01</v>
      </c>
      <c r="D53" s="20">
        <f t="shared" si="13"/>
        <v>0.01</v>
      </c>
      <c r="E53" s="20">
        <f t="shared" si="13"/>
        <v>0.01</v>
      </c>
      <c r="F53" s="20">
        <f t="shared" si="13"/>
        <v>0.01</v>
      </c>
      <c r="G53" s="20">
        <f t="shared" si="13"/>
        <v>0.01</v>
      </c>
      <c r="H53" s="20">
        <f t="shared" si="13"/>
        <v>0.01</v>
      </c>
      <c r="I53" s="20">
        <f t="shared" si="13"/>
        <v>0.01</v>
      </c>
      <c r="J53" s="20">
        <f t="shared" si="13"/>
        <v>0.01</v>
      </c>
      <c r="K53" s="20">
        <f t="shared" si="13"/>
        <v>0.01</v>
      </c>
      <c r="L53" s="20">
        <f t="shared" si="13"/>
        <v>0.01</v>
      </c>
      <c r="M53" s="20">
        <f t="shared" si="13"/>
        <v>0.01</v>
      </c>
      <c r="N53" s="20">
        <f t="shared" si="13"/>
        <v>0.01</v>
      </c>
      <c r="O53" s="20">
        <f t="shared" si="13"/>
        <v>0.01</v>
      </c>
      <c r="P53" s="20">
        <f t="shared" si="13"/>
        <v>0.01</v>
      </c>
      <c r="Q53" s="20">
        <f t="shared" si="13"/>
        <v>0.01</v>
      </c>
      <c r="R53" s="20">
        <f t="shared" si="13"/>
        <v>0.01</v>
      </c>
      <c r="S53" s="20">
        <f t="shared" si="13"/>
        <v>0.01</v>
      </c>
      <c r="T53" s="20">
        <f t="shared" si="13"/>
        <v>0.01</v>
      </c>
      <c r="U53" s="20">
        <f t="shared" si="13"/>
        <v>0.01</v>
      </c>
      <c r="V53" s="20">
        <f t="shared" si="13"/>
        <v>0.01</v>
      </c>
      <c r="W53" s="20">
        <f t="shared" si="13"/>
        <v>0.01</v>
      </c>
      <c r="X53" s="20">
        <f t="shared" si="13"/>
        <v>0.01</v>
      </c>
      <c r="Y53" s="20">
        <f t="shared" si="13"/>
        <v>0.01</v>
      </c>
      <c r="Z53" s="20">
        <f t="shared" si="13"/>
        <v>0.01</v>
      </c>
      <c r="AA53" s="20">
        <f t="shared" si="13"/>
        <v>0.01</v>
      </c>
      <c r="AB53" s="20">
        <f t="shared" si="13"/>
        <v>0.01</v>
      </c>
      <c r="AC53" s="20">
        <f t="shared" si="13"/>
        <v>0.01</v>
      </c>
      <c r="AD53" s="20">
        <f t="shared" si="13"/>
        <v>0.01</v>
      </c>
      <c r="AE53" s="20">
        <f t="shared" si="13"/>
        <v>0.01</v>
      </c>
      <c r="AF53" s="298"/>
    </row>
    <row r="54" spans="1:32" ht="15.75" customHeight="1">
      <c r="A54" s="12" t="str">
        <f t="shared" si="4"/>
        <v>Pedra Furada - Alimentação</v>
      </c>
      <c r="B54" s="20">
        <f t="shared" ref="B54:AE54" si="14">IF(CenarioSel="MODERADA",B107,IF(CenarioSel="PESSIMISTA",B132,B157))</f>
        <v>0.08</v>
      </c>
      <c r="C54" s="20">
        <f t="shared" si="14"/>
        <v>0.08</v>
      </c>
      <c r="D54" s="20">
        <f t="shared" si="14"/>
        <v>0.08</v>
      </c>
      <c r="E54" s="20">
        <f t="shared" si="14"/>
        <v>0.08</v>
      </c>
      <c r="F54" s="20">
        <f t="shared" si="14"/>
        <v>0.08</v>
      </c>
      <c r="G54" s="20">
        <f t="shared" si="14"/>
        <v>0.08</v>
      </c>
      <c r="H54" s="20">
        <f t="shared" si="14"/>
        <v>0.08</v>
      </c>
      <c r="I54" s="20">
        <f t="shared" si="14"/>
        <v>0.08</v>
      </c>
      <c r="J54" s="20">
        <f t="shared" si="14"/>
        <v>0.08</v>
      </c>
      <c r="K54" s="20">
        <f t="shared" si="14"/>
        <v>0.08</v>
      </c>
      <c r="L54" s="20">
        <f t="shared" si="14"/>
        <v>0.08</v>
      </c>
      <c r="M54" s="20">
        <f t="shared" si="14"/>
        <v>0.08</v>
      </c>
      <c r="N54" s="20">
        <f t="shared" si="14"/>
        <v>0.08</v>
      </c>
      <c r="O54" s="20">
        <f t="shared" si="14"/>
        <v>0.08</v>
      </c>
      <c r="P54" s="20">
        <f t="shared" si="14"/>
        <v>0.08</v>
      </c>
      <c r="Q54" s="20">
        <f t="shared" si="14"/>
        <v>0.08</v>
      </c>
      <c r="R54" s="20">
        <f t="shared" si="14"/>
        <v>0.08</v>
      </c>
      <c r="S54" s="20">
        <f t="shared" si="14"/>
        <v>0.08</v>
      </c>
      <c r="T54" s="20">
        <f t="shared" si="14"/>
        <v>0.08</v>
      </c>
      <c r="U54" s="20">
        <f t="shared" si="14"/>
        <v>0.08</v>
      </c>
      <c r="V54" s="20">
        <f t="shared" si="14"/>
        <v>0.08</v>
      </c>
      <c r="W54" s="20">
        <f t="shared" si="14"/>
        <v>0.08</v>
      </c>
      <c r="X54" s="20">
        <f t="shared" si="14"/>
        <v>0.08</v>
      </c>
      <c r="Y54" s="20">
        <f t="shared" si="14"/>
        <v>0.08</v>
      </c>
      <c r="Z54" s="20">
        <f t="shared" si="14"/>
        <v>0.08</v>
      </c>
      <c r="AA54" s="20">
        <f t="shared" si="14"/>
        <v>0.08</v>
      </c>
      <c r="AB54" s="20">
        <f t="shared" si="14"/>
        <v>0.08</v>
      </c>
      <c r="AC54" s="20">
        <f t="shared" si="14"/>
        <v>0.08</v>
      </c>
      <c r="AD54" s="20">
        <f t="shared" si="14"/>
        <v>0.08</v>
      </c>
      <c r="AE54" s="20">
        <f t="shared" si="14"/>
        <v>0.08</v>
      </c>
      <c r="AF54" s="298"/>
    </row>
    <row r="55" spans="1:32" ht="15.75" customHeight="1">
      <c r="A55" s="12" t="str">
        <f t="shared" si="4"/>
        <v>Pedra Furada - Comércio</v>
      </c>
      <c r="B55" s="20">
        <f t="shared" ref="B55:AE55" si="15">IF(CenarioSel="MODERADA",B108,IF(CenarioSel="PESSIMISTA",B133,B158))</f>
        <v>1.3333333333333332E-2</v>
      </c>
      <c r="C55" s="20">
        <f t="shared" si="15"/>
        <v>1.3333333333333332E-2</v>
      </c>
      <c r="D55" s="20">
        <f t="shared" si="15"/>
        <v>1.3333333333333332E-2</v>
      </c>
      <c r="E55" s="20">
        <f t="shared" si="15"/>
        <v>1.3333333333333332E-2</v>
      </c>
      <c r="F55" s="20">
        <f t="shared" si="15"/>
        <v>1.3333333333333332E-2</v>
      </c>
      <c r="G55" s="20">
        <f t="shared" si="15"/>
        <v>1.3333333333333332E-2</v>
      </c>
      <c r="H55" s="20">
        <f t="shared" si="15"/>
        <v>1.3333333333333332E-2</v>
      </c>
      <c r="I55" s="20">
        <f t="shared" si="15"/>
        <v>1.3333333333333332E-2</v>
      </c>
      <c r="J55" s="20">
        <f t="shared" si="15"/>
        <v>1.3333333333333332E-2</v>
      </c>
      <c r="K55" s="20">
        <f t="shared" si="15"/>
        <v>1.3333333333333332E-2</v>
      </c>
      <c r="L55" s="20">
        <f t="shared" si="15"/>
        <v>1.3333333333333332E-2</v>
      </c>
      <c r="M55" s="20">
        <f t="shared" si="15"/>
        <v>1.3333333333333332E-2</v>
      </c>
      <c r="N55" s="20">
        <f t="shared" si="15"/>
        <v>1.3333333333333332E-2</v>
      </c>
      <c r="O55" s="20">
        <f t="shared" si="15"/>
        <v>1.3333333333333332E-2</v>
      </c>
      <c r="P55" s="20">
        <f t="shared" si="15"/>
        <v>1.3333333333333332E-2</v>
      </c>
      <c r="Q55" s="20">
        <f t="shared" si="15"/>
        <v>1.3333333333333332E-2</v>
      </c>
      <c r="R55" s="20">
        <f t="shared" si="15"/>
        <v>1.3333333333333332E-2</v>
      </c>
      <c r="S55" s="20">
        <f t="shared" si="15"/>
        <v>1.3333333333333332E-2</v>
      </c>
      <c r="T55" s="20">
        <f t="shared" si="15"/>
        <v>1.3333333333333332E-2</v>
      </c>
      <c r="U55" s="20">
        <f t="shared" si="15"/>
        <v>1.3333333333333332E-2</v>
      </c>
      <c r="V55" s="20">
        <f t="shared" si="15"/>
        <v>1.3333333333333332E-2</v>
      </c>
      <c r="W55" s="20">
        <f t="shared" si="15"/>
        <v>1.3333333333333332E-2</v>
      </c>
      <c r="X55" s="20">
        <f t="shared" si="15"/>
        <v>1.3333333333333332E-2</v>
      </c>
      <c r="Y55" s="20">
        <f t="shared" si="15"/>
        <v>1.3333333333333332E-2</v>
      </c>
      <c r="Z55" s="20">
        <f t="shared" si="15"/>
        <v>1.3333333333333332E-2</v>
      </c>
      <c r="AA55" s="20">
        <f t="shared" si="15"/>
        <v>1.3333333333333332E-2</v>
      </c>
      <c r="AB55" s="20">
        <f t="shared" si="15"/>
        <v>1.3333333333333332E-2</v>
      </c>
      <c r="AC55" s="20">
        <f t="shared" si="15"/>
        <v>1.3333333333333332E-2</v>
      </c>
      <c r="AD55" s="20">
        <f t="shared" si="15"/>
        <v>1.3333333333333332E-2</v>
      </c>
      <c r="AE55" s="20">
        <f t="shared" si="15"/>
        <v>1.3333333333333332E-2</v>
      </c>
      <c r="AF55" s="298"/>
    </row>
    <row r="56" spans="1:32" ht="15.75" customHeight="1">
      <c r="A56" s="12" t="str">
        <f t="shared" si="4"/>
        <v>Serrote - Alimentação</v>
      </c>
      <c r="B56" s="20">
        <f t="shared" ref="B56:AE56" si="16">IF(CenarioSel="MODERADA",B109,IF(CenarioSel="PESSIMISTA",B134,B159))</f>
        <v>0.08</v>
      </c>
      <c r="C56" s="20">
        <f t="shared" si="16"/>
        <v>0.08</v>
      </c>
      <c r="D56" s="20">
        <f t="shared" si="16"/>
        <v>0.08</v>
      </c>
      <c r="E56" s="20">
        <f t="shared" si="16"/>
        <v>0.08</v>
      </c>
      <c r="F56" s="20">
        <f t="shared" si="16"/>
        <v>0.08</v>
      </c>
      <c r="G56" s="20">
        <f t="shared" si="16"/>
        <v>0.08</v>
      </c>
      <c r="H56" s="20">
        <f t="shared" si="16"/>
        <v>0.08</v>
      </c>
      <c r="I56" s="20">
        <f t="shared" si="16"/>
        <v>0.08</v>
      </c>
      <c r="J56" s="20">
        <f t="shared" si="16"/>
        <v>0.08</v>
      </c>
      <c r="K56" s="20">
        <f t="shared" si="16"/>
        <v>0.08</v>
      </c>
      <c r="L56" s="20">
        <f t="shared" si="16"/>
        <v>0.08</v>
      </c>
      <c r="M56" s="20">
        <f t="shared" si="16"/>
        <v>0.08</v>
      </c>
      <c r="N56" s="20">
        <f t="shared" si="16"/>
        <v>0.08</v>
      </c>
      <c r="O56" s="20">
        <f t="shared" si="16"/>
        <v>0.08</v>
      </c>
      <c r="P56" s="20">
        <f t="shared" si="16"/>
        <v>0.08</v>
      </c>
      <c r="Q56" s="20">
        <f t="shared" si="16"/>
        <v>0.08</v>
      </c>
      <c r="R56" s="20">
        <f t="shared" si="16"/>
        <v>0.08</v>
      </c>
      <c r="S56" s="20">
        <f t="shared" si="16"/>
        <v>0.08</v>
      </c>
      <c r="T56" s="20">
        <f t="shared" si="16"/>
        <v>0.08</v>
      </c>
      <c r="U56" s="20">
        <f t="shared" si="16"/>
        <v>0.08</v>
      </c>
      <c r="V56" s="20">
        <f t="shared" si="16"/>
        <v>0.08</v>
      </c>
      <c r="W56" s="20">
        <f t="shared" si="16"/>
        <v>0.08</v>
      </c>
      <c r="X56" s="20">
        <f t="shared" si="16"/>
        <v>0.08</v>
      </c>
      <c r="Y56" s="20">
        <f t="shared" si="16"/>
        <v>0.08</v>
      </c>
      <c r="Z56" s="20">
        <f t="shared" si="16"/>
        <v>0.08</v>
      </c>
      <c r="AA56" s="20">
        <f t="shared" si="16"/>
        <v>0.08</v>
      </c>
      <c r="AB56" s="20">
        <f t="shared" si="16"/>
        <v>0.08</v>
      </c>
      <c r="AC56" s="20">
        <f t="shared" si="16"/>
        <v>0.08</v>
      </c>
      <c r="AD56" s="20">
        <f t="shared" si="16"/>
        <v>0.08</v>
      </c>
      <c r="AE56" s="20">
        <f t="shared" si="16"/>
        <v>0.08</v>
      </c>
      <c r="AF56" s="298"/>
    </row>
    <row r="57" spans="1:32" ht="15.75" customHeight="1">
      <c r="A57" s="12" t="str">
        <f t="shared" si="4"/>
        <v>Serrote - Comércio</v>
      </c>
      <c r="B57" s="20">
        <f t="shared" ref="B57:AE57" si="17">IF(CenarioSel="MODERADA",B110,IF(CenarioSel="PESSIMISTA",B135,B160))</f>
        <v>1.3333333333333332E-2</v>
      </c>
      <c r="C57" s="20">
        <f t="shared" si="17"/>
        <v>1.3333333333333332E-2</v>
      </c>
      <c r="D57" s="20">
        <f t="shared" si="17"/>
        <v>1.3333333333333332E-2</v>
      </c>
      <c r="E57" s="20">
        <f t="shared" si="17"/>
        <v>1.3333333333333332E-2</v>
      </c>
      <c r="F57" s="20">
        <f t="shared" si="17"/>
        <v>1.3333333333333332E-2</v>
      </c>
      <c r="G57" s="20">
        <f t="shared" si="17"/>
        <v>1.3333333333333332E-2</v>
      </c>
      <c r="H57" s="20">
        <f t="shared" si="17"/>
        <v>1.3333333333333332E-2</v>
      </c>
      <c r="I57" s="20">
        <f t="shared" si="17"/>
        <v>1.3333333333333332E-2</v>
      </c>
      <c r="J57" s="20">
        <f t="shared" si="17"/>
        <v>1.3333333333333332E-2</v>
      </c>
      <c r="K57" s="20">
        <f t="shared" si="17"/>
        <v>1.3333333333333332E-2</v>
      </c>
      <c r="L57" s="20">
        <f t="shared" si="17"/>
        <v>1.3333333333333332E-2</v>
      </c>
      <c r="M57" s="20">
        <f t="shared" si="17"/>
        <v>1.3333333333333332E-2</v>
      </c>
      <c r="N57" s="20">
        <f t="shared" si="17"/>
        <v>1.3333333333333332E-2</v>
      </c>
      <c r="O57" s="20">
        <f t="shared" si="17"/>
        <v>1.3333333333333332E-2</v>
      </c>
      <c r="P57" s="20">
        <f t="shared" si="17"/>
        <v>1.3333333333333332E-2</v>
      </c>
      <c r="Q57" s="20">
        <f t="shared" si="17"/>
        <v>1.3333333333333332E-2</v>
      </c>
      <c r="R57" s="20">
        <f t="shared" si="17"/>
        <v>1.3333333333333332E-2</v>
      </c>
      <c r="S57" s="20">
        <f t="shared" si="17"/>
        <v>1.3333333333333332E-2</v>
      </c>
      <c r="T57" s="20">
        <f t="shared" si="17"/>
        <v>1.3333333333333332E-2</v>
      </c>
      <c r="U57" s="20">
        <f t="shared" si="17"/>
        <v>1.3333333333333332E-2</v>
      </c>
      <c r="V57" s="20">
        <f t="shared" si="17"/>
        <v>1.3333333333333332E-2</v>
      </c>
      <c r="W57" s="20">
        <f t="shared" si="17"/>
        <v>1.3333333333333332E-2</v>
      </c>
      <c r="X57" s="20">
        <f t="shared" si="17"/>
        <v>1.3333333333333332E-2</v>
      </c>
      <c r="Y57" s="20">
        <f t="shared" si="17"/>
        <v>1.3333333333333332E-2</v>
      </c>
      <c r="Z57" s="20">
        <f t="shared" si="17"/>
        <v>1.3333333333333332E-2</v>
      </c>
      <c r="AA57" s="20">
        <f t="shared" si="17"/>
        <v>1.3333333333333332E-2</v>
      </c>
      <c r="AB57" s="20">
        <f t="shared" si="17"/>
        <v>1.3333333333333332E-2</v>
      </c>
      <c r="AC57" s="20">
        <f t="shared" si="17"/>
        <v>1.3333333333333332E-2</v>
      </c>
      <c r="AD57" s="20">
        <f t="shared" si="17"/>
        <v>1.3333333333333332E-2</v>
      </c>
      <c r="AE57" s="20">
        <f t="shared" si="17"/>
        <v>1.3333333333333332E-2</v>
      </c>
      <c r="AF57" s="298"/>
    </row>
    <row r="58" spans="1:32" ht="15.75" customHeight="1">
      <c r="A58" s="12" t="str">
        <f t="shared" si="4"/>
        <v>Paraíso - Alimentação</v>
      </c>
      <c r="B58" s="20">
        <f t="shared" ref="B58:AE58" si="18">IF(CenarioSel="MODERADA",B111,IF(CenarioSel="PESSIMISTA",B136,B161))</f>
        <v>0.08</v>
      </c>
      <c r="C58" s="20">
        <f t="shared" si="18"/>
        <v>0.08</v>
      </c>
      <c r="D58" s="20">
        <f t="shared" si="18"/>
        <v>0.08</v>
      </c>
      <c r="E58" s="20">
        <f t="shared" si="18"/>
        <v>0.08</v>
      </c>
      <c r="F58" s="20">
        <f t="shared" si="18"/>
        <v>0.08</v>
      </c>
      <c r="G58" s="20">
        <f t="shared" si="18"/>
        <v>0.08</v>
      </c>
      <c r="H58" s="20">
        <f t="shared" si="18"/>
        <v>0.08</v>
      </c>
      <c r="I58" s="20">
        <f t="shared" si="18"/>
        <v>0.08</v>
      </c>
      <c r="J58" s="20">
        <f t="shared" si="18"/>
        <v>0.08</v>
      </c>
      <c r="K58" s="20">
        <f t="shared" si="18"/>
        <v>0.08</v>
      </c>
      <c r="L58" s="20">
        <f t="shared" si="18"/>
        <v>0.08</v>
      </c>
      <c r="M58" s="20">
        <f t="shared" si="18"/>
        <v>0.08</v>
      </c>
      <c r="N58" s="20">
        <f t="shared" si="18"/>
        <v>0.08</v>
      </c>
      <c r="O58" s="20">
        <f t="shared" si="18"/>
        <v>0.08</v>
      </c>
      <c r="P58" s="20">
        <f t="shared" si="18"/>
        <v>0.08</v>
      </c>
      <c r="Q58" s="20">
        <f t="shared" si="18"/>
        <v>0.08</v>
      </c>
      <c r="R58" s="20">
        <f t="shared" si="18"/>
        <v>0.08</v>
      </c>
      <c r="S58" s="20">
        <f t="shared" si="18"/>
        <v>0.08</v>
      </c>
      <c r="T58" s="20">
        <f t="shared" si="18"/>
        <v>0.08</v>
      </c>
      <c r="U58" s="20">
        <f t="shared" si="18"/>
        <v>0.08</v>
      </c>
      <c r="V58" s="20">
        <f t="shared" si="18"/>
        <v>0.08</v>
      </c>
      <c r="W58" s="20">
        <f t="shared" si="18"/>
        <v>0.08</v>
      </c>
      <c r="X58" s="20">
        <f t="shared" si="18"/>
        <v>0.08</v>
      </c>
      <c r="Y58" s="20">
        <f t="shared" si="18"/>
        <v>0.08</v>
      </c>
      <c r="Z58" s="20">
        <f t="shared" si="18"/>
        <v>0.08</v>
      </c>
      <c r="AA58" s="20">
        <f t="shared" si="18"/>
        <v>0.08</v>
      </c>
      <c r="AB58" s="20">
        <f t="shared" si="18"/>
        <v>0.08</v>
      </c>
      <c r="AC58" s="20">
        <f t="shared" si="18"/>
        <v>0.08</v>
      </c>
      <c r="AD58" s="20">
        <f t="shared" si="18"/>
        <v>0.08</v>
      </c>
      <c r="AE58" s="20">
        <f t="shared" si="18"/>
        <v>0.08</v>
      </c>
      <c r="AF58" s="298"/>
    </row>
    <row r="59" spans="1:32" ht="15.75" customHeight="1">
      <c r="A59" s="12" t="str">
        <f t="shared" si="4"/>
        <v>Paraíso - Comércio + Locação + Atividades</v>
      </c>
      <c r="B59" s="20">
        <f t="shared" ref="B59:AE59" si="19">IF(CenarioSel="MODERADA",B112,IF(CenarioSel="PESSIMISTA",B137,B162))</f>
        <v>1.3333333333333332E-2</v>
      </c>
      <c r="C59" s="20">
        <f t="shared" si="19"/>
        <v>1.3333333333333332E-2</v>
      </c>
      <c r="D59" s="20">
        <f t="shared" si="19"/>
        <v>1.3333333333333332E-2</v>
      </c>
      <c r="E59" s="20">
        <f t="shared" si="19"/>
        <v>1.3333333333333332E-2</v>
      </c>
      <c r="F59" s="20">
        <f t="shared" si="19"/>
        <v>1.3333333333333332E-2</v>
      </c>
      <c r="G59" s="20">
        <f t="shared" si="19"/>
        <v>1.3333333333333332E-2</v>
      </c>
      <c r="H59" s="20">
        <f t="shared" si="19"/>
        <v>1.3333333333333332E-2</v>
      </c>
      <c r="I59" s="20">
        <f t="shared" si="19"/>
        <v>1.3333333333333332E-2</v>
      </c>
      <c r="J59" s="20">
        <f t="shared" si="19"/>
        <v>1.3333333333333332E-2</v>
      </c>
      <c r="K59" s="20">
        <f t="shared" si="19"/>
        <v>1.3333333333333332E-2</v>
      </c>
      <c r="L59" s="20">
        <f t="shared" si="19"/>
        <v>1.3333333333333332E-2</v>
      </c>
      <c r="M59" s="20">
        <f t="shared" si="19"/>
        <v>1.3333333333333332E-2</v>
      </c>
      <c r="N59" s="20">
        <f t="shared" si="19"/>
        <v>1.3333333333333332E-2</v>
      </c>
      <c r="O59" s="20">
        <f t="shared" si="19"/>
        <v>1.3333333333333332E-2</v>
      </c>
      <c r="P59" s="20">
        <f t="shared" si="19"/>
        <v>1.3333333333333332E-2</v>
      </c>
      <c r="Q59" s="20">
        <f t="shared" si="19"/>
        <v>1.3333333333333332E-2</v>
      </c>
      <c r="R59" s="20">
        <f t="shared" si="19"/>
        <v>1.3333333333333332E-2</v>
      </c>
      <c r="S59" s="20">
        <f t="shared" si="19"/>
        <v>1.3333333333333332E-2</v>
      </c>
      <c r="T59" s="20">
        <f t="shared" si="19"/>
        <v>1.3333333333333332E-2</v>
      </c>
      <c r="U59" s="20">
        <f t="shared" si="19"/>
        <v>1.3333333333333332E-2</v>
      </c>
      <c r="V59" s="20">
        <f t="shared" si="19"/>
        <v>1.3333333333333332E-2</v>
      </c>
      <c r="W59" s="20">
        <f t="shared" si="19"/>
        <v>1.3333333333333332E-2</v>
      </c>
      <c r="X59" s="20">
        <f t="shared" si="19"/>
        <v>1.3333333333333332E-2</v>
      </c>
      <c r="Y59" s="20">
        <f t="shared" si="19"/>
        <v>1.3333333333333332E-2</v>
      </c>
      <c r="Z59" s="20">
        <f t="shared" si="19"/>
        <v>1.3333333333333332E-2</v>
      </c>
      <c r="AA59" s="20">
        <f t="shared" si="19"/>
        <v>1.3333333333333332E-2</v>
      </c>
      <c r="AB59" s="20">
        <f t="shared" si="19"/>
        <v>1.3333333333333332E-2</v>
      </c>
      <c r="AC59" s="20">
        <f t="shared" si="19"/>
        <v>1.3333333333333332E-2</v>
      </c>
      <c r="AD59" s="20">
        <f t="shared" si="19"/>
        <v>1.3333333333333332E-2</v>
      </c>
      <c r="AE59" s="20">
        <f t="shared" si="19"/>
        <v>1.3333333333333332E-2</v>
      </c>
      <c r="AF59" s="298"/>
    </row>
    <row r="60" spans="1:32" ht="15.75" customHeight="1">
      <c r="A60" s="12" t="str">
        <f t="shared" si="4"/>
        <v>Geral - Unidade móvel - Alimentação</v>
      </c>
      <c r="B60" s="20">
        <f t="shared" ref="B60:AE60" si="20">IF(CenarioSel="MODERADA",B113,IF(CenarioSel="PESSIMISTA",B138,B163))</f>
        <v>0.02</v>
      </c>
      <c r="C60" s="20">
        <f t="shared" si="20"/>
        <v>0.02</v>
      </c>
      <c r="D60" s="20">
        <f t="shared" si="20"/>
        <v>0.02</v>
      </c>
      <c r="E60" s="20">
        <f t="shared" si="20"/>
        <v>0.02</v>
      </c>
      <c r="F60" s="20">
        <f t="shared" si="20"/>
        <v>0.02</v>
      </c>
      <c r="G60" s="20">
        <f t="shared" si="20"/>
        <v>0.02</v>
      </c>
      <c r="H60" s="20">
        <f t="shared" si="20"/>
        <v>0.02</v>
      </c>
      <c r="I60" s="20">
        <f t="shared" si="20"/>
        <v>0.02</v>
      </c>
      <c r="J60" s="20">
        <f t="shared" si="20"/>
        <v>0.02</v>
      </c>
      <c r="K60" s="20">
        <f t="shared" si="20"/>
        <v>0.02</v>
      </c>
      <c r="L60" s="20">
        <f t="shared" si="20"/>
        <v>0.02</v>
      </c>
      <c r="M60" s="20">
        <f t="shared" si="20"/>
        <v>0.02</v>
      </c>
      <c r="N60" s="20">
        <f t="shared" si="20"/>
        <v>0.02</v>
      </c>
      <c r="O60" s="20">
        <f t="shared" si="20"/>
        <v>0.02</v>
      </c>
      <c r="P60" s="20">
        <f t="shared" si="20"/>
        <v>0.02</v>
      </c>
      <c r="Q60" s="20">
        <f t="shared" si="20"/>
        <v>0.02</v>
      </c>
      <c r="R60" s="20">
        <f t="shared" si="20"/>
        <v>0.02</v>
      </c>
      <c r="S60" s="20">
        <f t="shared" si="20"/>
        <v>0.02</v>
      </c>
      <c r="T60" s="20">
        <f t="shared" si="20"/>
        <v>0.02</v>
      </c>
      <c r="U60" s="20">
        <f t="shared" si="20"/>
        <v>0.02</v>
      </c>
      <c r="V60" s="20">
        <f t="shared" si="20"/>
        <v>0.02</v>
      </c>
      <c r="W60" s="20">
        <f t="shared" si="20"/>
        <v>0.02</v>
      </c>
      <c r="X60" s="20">
        <f t="shared" si="20"/>
        <v>0.02</v>
      </c>
      <c r="Y60" s="20">
        <f t="shared" si="20"/>
        <v>0.02</v>
      </c>
      <c r="Z60" s="20">
        <f t="shared" si="20"/>
        <v>0.02</v>
      </c>
      <c r="AA60" s="20">
        <f t="shared" si="20"/>
        <v>0.02</v>
      </c>
      <c r="AB60" s="20">
        <f t="shared" si="20"/>
        <v>0.02</v>
      </c>
      <c r="AC60" s="20">
        <f t="shared" si="20"/>
        <v>0.02</v>
      </c>
      <c r="AD60" s="20">
        <f t="shared" si="20"/>
        <v>0.02</v>
      </c>
      <c r="AE60" s="20">
        <f t="shared" si="20"/>
        <v>0.02</v>
      </c>
      <c r="AF60" s="298"/>
    </row>
    <row r="61" spans="1:32" ht="15.75" customHeight="1">
      <c r="A61" s="12" t="str">
        <f t="shared" si="4"/>
        <v>Mangue Seco - Estacionamento</v>
      </c>
      <c r="B61" s="20">
        <f t="shared" ref="B61:AE61" si="21">IF(CenarioSel="MODERADA",B114,IF(CenarioSel="PESSIMISTA",B139,B164))</f>
        <v>2.5000000000000001E-3</v>
      </c>
      <c r="C61" s="20">
        <f t="shared" si="21"/>
        <v>2.5000000000000001E-3</v>
      </c>
      <c r="D61" s="20">
        <f t="shared" si="21"/>
        <v>2.5000000000000001E-3</v>
      </c>
      <c r="E61" s="20">
        <f t="shared" si="21"/>
        <v>2.5000000000000001E-3</v>
      </c>
      <c r="F61" s="20">
        <f t="shared" si="21"/>
        <v>2.5000000000000001E-3</v>
      </c>
      <c r="G61" s="20">
        <f t="shared" si="21"/>
        <v>2.5000000000000001E-3</v>
      </c>
      <c r="H61" s="20">
        <f t="shared" si="21"/>
        <v>2.5000000000000001E-3</v>
      </c>
      <c r="I61" s="20">
        <f t="shared" si="21"/>
        <v>2.5000000000000001E-3</v>
      </c>
      <c r="J61" s="20">
        <f t="shared" si="21"/>
        <v>2.5000000000000001E-3</v>
      </c>
      <c r="K61" s="20">
        <f t="shared" si="21"/>
        <v>2.5000000000000001E-3</v>
      </c>
      <c r="L61" s="20">
        <f t="shared" si="21"/>
        <v>2.5000000000000001E-3</v>
      </c>
      <c r="M61" s="20">
        <f t="shared" si="21"/>
        <v>2.5000000000000001E-3</v>
      </c>
      <c r="N61" s="20">
        <f t="shared" si="21"/>
        <v>2.5000000000000001E-3</v>
      </c>
      <c r="O61" s="20">
        <f t="shared" si="21"/>
        <v>2.5000000000000001E-3</v>
      </c>
      <c r="P61" s="20">
        <f t="shared" si="21"/>
        <v>2.5000000000000001E-3</v>
      </c>
      <c r="Q61" s="20">
        <f t="shared" si="21"/>
        <v>2.5000000000000001E-3</v>
      </c>
      <c r="R61" s="20">
        <f t="shared" si="21"/>
        <v>2.5000000000000001E-3</v>
      </c>
      <c r="S61" s="20">
        <f t="shared" si="21"/>
        <v>2.5000000000000001E-3</v>
      </c>
      <c r="T61" s="20">
        <f t="shared" si="21"/>
        <v>2.5000000000000001E-3</v>
      </c>
      <c r="U61" s="20">
        <f t="shared" si="21"/>
        <v>2.5000000000000001E-3</v>
      </c>
      <c r="V61" s="20">
        <f t="shared" si="21"/>
        <v>2.5000000000000001E-3</v>
      </c>
      <c r="W61" s="20">
        <f t="shared" si="21"/>
        <v>2.5000000000000001E-3</v>
      </c>
      <c r="X61" s="20">
        <f t="shared" si="21"/>
        <v>2.5000000000000001E-3</v>
      </c>
      <c r="Y61" s="20">
        <f t="shared" si="21"/>
        <v>2.5000000000000001E-3</v>
      </c>
      <c r="Z61" s="20">
        <f t="shared" si="21"/>
        <v>2.5000000000000001E-3</v>
      </c>
      <c r="AA61" s="20">
        <f t="shared" si="21"/>
        <v>2.5000000000000001E-3</v>
      </c>
      <c r="AB61" s="20">
        <f t="shared" si="21"/>
        <v>2.5000000000000001E-3</v>
      </c>
      <c r="AC61" s="20">
        <f t="shared" si="21"/>
        <v>2.5000000000000001E-3</v>
      </c>
      <c r="AD61" s="20">
        <f t="shared" si="21"/>
        <v>2.5000000000000001E-3</v>
      </c>
      <c r="AE61" s="20">
        <f t="shared" si="21"/>
        <v>2.5000000000000001E-3</v>
      </c>
      <c r="AF61" s="298"/>
    </row>
    <row r="62" spans="1:32" ht="15.75" customHeight="1">
      <c r="A62" s="12" t="str">
        <f t="shared" si="4"/>
        <v>Lagoa Grande - Estacionamento</v>
      </c>
      <c r="B62" s="20">
        <f t="shared" ref="B62:AE62" si="22">IF(CenarioSel="MODERADA",B115,IF(CenarioSel="PESSIMISTA",B140,B165))</f>
        <v>2.5000000000000001E-3</v>
      </c>
      <c r="C62" s="20">
        <f t="shared" si="22"/>
        <v>2.5000000000000001E-3</v>
      </c>
      <c r="D62" s="20">
        <f t="shared" si="22"/>
        <v>2.5000000000000001E-3</v>
      </c>
      <c r="E62" s="20">
        <f t="shared" si="22"/>
        <v>2.5000000000000001E-3</v>
      </c>
      <c r="F62" s="20">
        <f t="shared" si="22"/>
        <v>2.5000000000000001E-3</v>
      </c>
      <c r="G62" s="20">
        <f t="shared" si="22"/>
        <v>2.5000000000000001E-3</v>
      </c>
      <c r="H62" s="20">
        <f t="shared" si="22"/>
        <v>2.5000000000000001E-3</v>
      </c>
      <c r="I62" s="20">
        <f t="shared" si="22"/>
        <v>2.5000000000000001E-3</v>
      </c>
      <c r="J62" s="20">
        <f t="shared" si="22"/>
        <v>2.5000000000000001E-3</v>
      </c>
      <c r="K62" s="20">
        <f t="shared" si="22"/>
        <v>2.5000000000000001E-3</v>
      </c>
      <c r="L62" s="20">
        <f t="shared" si="22"/>
        <v>2.5000000000000001E-3</v>
      </c>
      <c r="M62" s="20">
        <f t="shared" si="22"/>
        <v>2.5000000000000001E-3</v>
      </c>
      <c r="N62" s="20">
        <f t="shared" si="22"/>
        <v>2.5000000000000001E-3</v>
      </c>
      <c r="O62" s="20">
        <f t="shared" si="22"/>
        <v>2.5000000000000001E-3</v>
      </c>
      <c r="P62" s="20">
        <f t="shared" si="22"/>
        <v>2.5000000000000001E-3</v>
      </c>
      <c r="Q62" s="20">
        <f t="shared" si="22"/>
        <v>2.5000000000000001E-3</v>
      </c>
      <c r="R62" s="20">
        <f t="shared" si="22"/>
        <v>2.5000000000000001E-3</v>
      </c>
      <c r="S62" s="20">
        <f t="shared" si="22"/>
        <v>2.5000000000000001E-3</v>
      </c>
      <c r="T62" s="20">
        <f t="shared" si="22"/>
        <v>2.5000000000000001E-3</v>
      </c>
      <c r="U62" s="20">
        <f t="shared" si="22"/>
        <v>2.5000000000000001E-3</v>
      </c>
      <c r="V62" s="20">
        <f t="shared" si="22"/>
        <v>2.5000000000000001E-3</v>
      </c>
      <c r="W62" s="20">
        <f t="shared" si="22"/>
        <v>2.5000000000000001E-3</v>
      </c>
      <c r="X62" s="20">
        <f t="shared" si="22"/>
        <v>2.5000000000000001E-3</v>
      </c>
      <c r="Y62" s="20">
        <f t="shared" si="22"/>
        <v>2.5000000000000001E-3</v>
      </c>
      <c r="Z62" s="20">
        <f t="shared" si="22"/>
        <v>2.5000000000000001E-3</v>
      </c>
      <c r="AA62" s="20">
        <f t="shared" si="22"/>
        <v>2.5000000000000001E-3</v>
      </c>
      <c r="AB62" s="20">
        <f t="shared" si="22"/>
        <v>2.5000000000000001E-3</v>
      </c>
      <c r="AC62" s="20">
        <f t="shared" si="22"/>
        <v>2.5000000000000001E-3</v>
      </c>
      <c r="AD62" s="20">
        <f t="shared" si="22"/>
        <v>2.5000000000000001E-3</v>
      </c>
      <c r="AE62" s="20">
        <f t="shared" si="22"/>
        <v>2.5000000000000001E-3</v>
      </c>
      <c r="AF62" s="298"/>
    </row>
    <row r="63" spans="1:32" ht="15.75" customHeight="1">
      <c r="A63" s="12">
        <f t="shared" si="4"/>
        <v>0</v>
      </c>
      <c r="B63" s="20">
        <f t="shared" ref="B63:AE63" si="23">IF(CenarioSel="MODERADA",B116,IF(CenarioSel="PESSIMISTA",B141,B166))</f>
        <v>0</v>
      </c>
      <c r="C63" s="20">
        <f t="shared" si="23"/>
        <v>0</v>
      </c>
      <c r="D63" s="20">
        <f t="shared" si="23"/>
        <v>0</v>
      </c>
      <c r="E63" s="20">
        <f t="shared" si="23"/>
        <v>0</v>
      </c>
      <c r="F63" s="20">
        <f t="shared" si="23"/>
        <v>0</v>
      </c>
      <c r="G63" s="20">
        <f t="shared" si="23"/>
        <v>0</v>
      </c>
      <c r="H63" s="20">
        <f t="shared" si="23"/>
        <v>0</v>
      </c>
      <c r="I63" s="20">
        <f t="shared" si="23"/>
        <v>0</v>
      </c>
      <c r="J63" s="20">
        <f t="shared" si="23"/>
        <v>0</v>
      </c>
      <c r="K63" s="20">
        <f t="shared" si="23"/>
        <v>0</v>
      </c>
      <c r="L63" s="20">
        <f t="shared" si="23"/>
        <v>0</v>
      </c>
      <c r="M63" s="20">
        <f t="shared" si="23"/>
        <v>0</v>
      </c>
      <c r="N63" s="20">
        <f t="shared" si="23"/>
        <v>0</v>
      </c>
      <c r="O63" s="20">
        <f t="shared" si="23"/>
        <v>0</v>
      </c>
      <c r="P63" s="20">
        <f t="shared" si="23"/>
        <v>0</v>
      </c>
      <c r="Q63" s="20">
        <f t="shared" si="23"/>
        <v>0</v>
      </c>
      <c r="R63" s="20">
        <f t="shared" si="23"/>
        <v>0</v>
      </c>
      <c r="S63" s="20">
        <f t="shared" si="23"/>
        <v>0</v>
      </c>
      <c r="T63" s="20">
        <f t="shared" si="23"/>
        <v>0</v>
      </c>
      <c r="U63" s="20">
        <f t="shared" si="23"/>
        <v>0</v>
      </c>
      <c r="V63" s="20">
        <f t="shared" si="23"/>
        <v>0</v>
      </c>
      <c r="W63" s="20">
        <f t="shared" si="23"/>
        <v>0</v>
      </c>
      <c r="X63" s="20">
        <f t="shared" si="23"/>
        <v>0</v>
      </c>
      <c r="Y63" s="20">
        <f t="shared" si="23"/>
        <v>0</v>
      </c>
      <c r="Z63" s="20">
        <f t="shared" si="23"/>
        <v>0</v>
      </c>
      <c r="AA63" s="20">
        <f t="shared" si="23"/>
        <v>0</v>
      </c>
      <c r="AB63" s="20">
        <f t="shared" si="23"/>
        <v>0</v>
      </c>
      <c r="AC63" s="20">
        <f t="shared" si="23"/>
        <v>0</v>
      </c>
      <c r="AD63" s="20">
        <f t="shared" si="23"/>
        <v>0</v>
      </c>
      <c r="AE63" s="20">
        <f t="shared" si="23"/>
        <v>0</v>
      </c>
      <c r="AF63" s="298"/>
    </row>
    <row r="64" spans="1:32" ht="15.75" customHeight="1">
      <c r="A64" s="12">
        <f t="shared" si="4"/>
        <v>0</v>
      </c>
      <c r="B64" s="20">
        <f t="shared" ref="B64:AE64" si="24">IF(CenarioSel="MODERADA",B117,IF(CenarioSel="PESSIMISTA",B142,B167))</f>
        <v>0</v>
      </c>
      <c r="C64" s="20">
        <f t="shared" si="24"/>
        <v>0</v>
      </c>
      <c r="D64" s="20">
        <f t="shared" si="24"/>
        <v>0</v>
      </c>
      <c r="E64" s="20">
        <f t="shared" si="24"/>
        <v>0</v>
      </c>
      <c r="F64" s="20">
        <f t="shared" si="24"/>
        <v>0</v>
      </c>
      <c r="G64" s="20">
        <f t="shared" si="24"/>
        <v>0</v>
      </c>
      <c r="H64" s="20">
        <f t="shared" si="24"/>
        <v>0</v>
      </c>
      <c r="I64" s="20">
        <f t="shared" si="24"/>
        <v>0</v>
      </c>
      <c r="J64" s="20">
        <f t="shared" si="24"/>
        <v>0</v>
      </c>
      <c r="K64" s="20">
        <f t="shared" si="24"/>
        <v>0</v>
      </c>
      <c r="L64" s="20">
        <f t="shared" si="24"/>
        <v>0</v>
      </c>
      <c r="M64" s="20">
        <f t="shared" si="24"/>
        <v>0</v>
      </c>
      <c r="N64" s="20">
        <f t="shared" si="24"/>
        <v>0</v>
      </c>
      <c r="O64" s="20">
        <f t="shared" si="24"/>
        <v>0</v>
      </c>
      <c r="P64" s="20">
        <f t="shared" si="24"/>
        <v>0</v>
      </c>
      <c r="Q64" s="20">
        <f t="shared" si="24"/>
        <v>0</v>
      </c>
      <c r="R64" s="20">
        <f t="shared" si="24"/>
        <v>0</v>
      </c>
      <c r="S64" s="20">
        <f t="shared" si="24"/>
        <v>0</v>
      </c>
      <c r="T64" s="20">
        <f t="shared" si="24"/>
        <v>0</v>
      </c>
      <c r="U64" s="20">
        <f t="shared" si="24"/>
        <v>0</v>
      </c>
      <c r="V64" s="20">
        <f t="shared" si="24"/>
        <v>0</v>
      </c>
      <c r="W64" s="20">
        <f t="shared" si="24"/>
        <v>0</v>
      </c>
      <c r="X64" s="20">
        <f t="shared" si="24"/>
        <v>0</v>
      </c>
      <c r="Y64" s="20">
        <f t="shared" si="24"/>
        <v>0</v>
      </c>
      <c r="Z64" s="20">
        <f t="shared" si="24"/>
        <v>0</v>
      </c>
      <c r="AA64" s="20">
        <f t="shared" si="24"/>
        <v>0</v>
      </c>
      <c r="AB64" s="20">
        <f t="shared" si="24"/>
        <v>0</v>
      </c>
      <c r="AC64" s="20">
        <f t="shared" si="24"/>
        <v>0</v>
      </c>
      <c r="AD64" s="20">
        <f t="shared" si="24"/>
        <v>0</v>
      </c>
      <c r="AE64" s="20">
        <f t="shared" si="24"/>
        <v>0</v>
      </c>
      <c r="AF64" s="298"/>
    </row>
    <row r="65" spans="1:35" ht="15.75" customHeight="1">
      <c r="A65" s="298"/>
      <c r="B65" s="298"/>
      <c r="C65" s="298"/>
      <c r="D65" s="298"/>
      <c r="E65" s="298"/>
      <c r="F65" s="298"/>
      <c r="G65" s="298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</row>
    <row r="66" spans="1:35" ht="15.75" customHeight="1">
      <c r="A66" s="491" t="s">
        <v>106</v>
      </c>
      <c r="B66" s="298"/>
      <c r="C66" s="492"/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492"/>
      <c r="P66" s="492"/>
      <c r="Q66" s="492"/>
      <c r="R66" s="492"/>
      <c r="S66" s="492"/>
      <c r="T66" s="492"/>
      <c r="U66" s="492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</row>
    <row r="67" spans="1:35" ht="15.75" customHeight="1">
      <c r="A67" s="298"/>
      <c r="B67" s="298"/>
      <c r="C67" s="493">
        <f t="shared" ref="C67:U67" si="25">C71-B71</f>
        <v>559016</v>
      </c>
      <c r="D67" s="493">
        <f t="shared" si="25"/>
        <v>37320</v>
      </c>
      <c r="E67" s="493">
        <f t="shared" si="25"/>
        <v>36147</v>
      </c>
      <c r="F67" s="493">
        <f t="shared" si="25"/>
        <v>36721</v>
      </c>
      <c r="G67" s="493">
        <f t="shared" si="25"/>
        <v>37365</v>
      </c>
      <c r="H67" s="493">
        <f t="shared" si="25"/>
        <v>38418</v>
      </c>
      <c r="I67" s="493">
        <f t="shared" si="25"/>
        <v>39539</v>
      </c>
      <c r="J67" s="493">
        <f t="shared" si="25"/>
        <v>40259</v>
      </c>
      <c r="K67" s="493">
        <f t="shared" si="25"/>
        <v>41011</v>
      </c>
      <c r="L67" s="493">
        <f t="shared" si="25"/>
        <v>42293</v>
      </c>
      <c r="M67" s="493">
        <f t="shared" si="25"/>
        <v>43559</v>
      </c>
      <c r="N67" s="493">
        <f t="shared" si="25"/>
        <v>44950</v>
      </c>
      <c r="O67" s="493">
        <f t="shared" si="25"/>
        <v>46308</v>
      </c>
      <c r="P67" s="493">
        <f t="shared" si="25"/>
        <v>47700</v>
      </c>
      <c r="Q67" s="493">
        <f t="shared" si="25"/>
        <v>49008</v>
      </c>
      <c r="R67" s="493">
        <f t="shared" si="25"/>
        <v>50256</v>
      </c>
      <c r="S67" s="493">
        <f t="shared" si="25"/>
        <v>51326</v>
      </c>
      <c r="T67" s="493">
        <f t="shared" si="25"/>
        <v>52265</v>
      </c>
      <c r="U67" s="493">
        <f t="shared" si="25"/>
        <v>52961</v>
      </c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  <c r="AI67">
        <f>2.8/1.3</f>
        <v>2.1538461538461537</v>
      </c>
    </row>
    <row r="68" spans="1:35" ht="15.75" customHeight="1">
      <c r="A68" s="494" t="str">
        <f>A171</f>
        <v>Unidades Geradoras de Caixa (UGC)</v>
      </c>
      <c r="B68" s="759" t="s">
        <v>107</v>
      </c>
      <c r="C68" s="813"/>
      <c r="D68" s="813"/>
      <c r="E68" s="813"/>
      <c r="F68" s="813"/>
      <c r="G68" s="813"/>
      <c r="H68" s="813"/>
      <c r="I68" s="813"/>
      <c r="J68" s="813"/>
      <c r="K68" s="813"/>
      <c r="L68" s="813"/>
      <c r="M68" s="813"/>
      <c r="N68" s="813"/>
      <c r="O68" s="813"/>
      <c r="P68" s="813"/>
      <c r="Q68" s="813"/>
      <c r="R68" s="813"/>
      <c r="S68" s="813"/>
      <c r="T68" s="813"/>
      <c r="U68" s="813"/>
      <c r="V68" s="813"/>
      <c r="W68" s="813"/>
      <c r="X68" s="813"/>
      <c r="Y68" s="813"/>
      <c r="Z68" s="813"/>
      <c r="AA68" s="813"/>
      <c r="AB68" s="813"/>
      <c r="AC68" s="813"/>
      <c r="AD68" s="813"/>
      <c r="AE68" s="813"/>
      <c r="AF68" s="298"/>
    </row>
    <row r="69" spans="1:35" ht="13.5" customHeight="1">
      <c r="A69" s="494"/>
      <c r="B69" s="488">
        <v>1</v>
      </c>
      <c r="C69" s="488">
        <v>2</v>
      </c>
      <c r="D69" s="488">
        <v>3</v>
      </c>
      <c r="E69" s="488">
        <v>4</v>
      </c>
      <c r="F69" s="488">
        <v>5</v>
      </c>
      <c r="G69" s="488">
        <v>6</v>
      </c>
      <c r="H69" s="488">
        <v>7</v>
      </c>
      <c r="I69" s="488">
        <v>8</v>
      </c>
      <c r="J69" s="488">
        <v>9</v>
      </c>
      <c r="K69" s="488">
        <v>10</v>
      </c>
      <c r="L69" s="488">
        <v>11</v>
      </c>
      <c r="M69" s="488">
        <v>12</v>
      </c>
      <c r="N69" s="488">
        <v>13</v>
      </c>
      <c r="O69" s="488">
        <v>14</v>
      </c>
      <c r="P69" s="488">
        <v>15</v>
      </c>
      <c r="Q69" s="488">
        <v>16</v>
      </c>
      <c r="R69" s="488">
        <v>17</v>
      </c>
      <c r="S69" s="488">
        <v>18</v>
      </c>
      <c r="T69" s="488">
        <v>19</v>
      </c>
      <c r="U69" s="488">
        <v>20</v>
      </c>
      <c r="V69" s="488">
        <v>21</v>
      </c>
      <c r="W69" s="488">
        <v>22</v>
      </c>
      <c r="X69" s="488">
        <v>23</v>
      </c>
      <c r="Y69" s="488">
        <v>24</v>
      </c>
      <c r="Z69" s="488">
        <v>25</v>
      </c>
      <c r="AA69" s="488">
        <v>26</v>
      </c>
      <c r="AB69" s="488">
        <v>27</v>
      </c>
      <c r="AC69" s="488">
        <v>28</v>
      </c>
      <c r="AD69" s="488">
        <v>29</v>
      </c>
      <c r="AE69" s="488">
        <v>30</v>
      </c>
      <c r="AF69" s="298"/>
    </row>
    <row r="70" spans="1:35" ht="15.75" customHeight="1">
      <c r="A70" s="21" t="str">
        <f t="shared" ref="A70:A90" si="26">A174</f>
        <v>Demanda de visitação TOTAL</v>
      </c>
      <c r="B70" s="22">
        <f t="shared" ref="B70:AE70" si="27">ROUND(B174-(B174*B200),0)</f>
        <v>1045870</v>
      </c>
      <c r="C70" s="22">
        <f t="shared" si="27"/>
        <v>1081951</v>
      </c>
      <c r="D70" s="22">
        <f t="shared" si="27"/>
        <v>1119271</v>
      </c>
      <c r="E70" s="22">
        <f t="shared" si="27"/>
        <v>1155418</v>
      </c>
      <c r="F70" s="22">
        <f t="shared" si="27"/>
        <v>1192139</v>
      </c>
      <c r="G70" s="22">
        <f t="shared" si="27"/>
        <v>1229504</v>
      </c>
      <c r="H70" s="22">
        <f t="shared" si="27"/>
        <v>1267922</v>
      </c>
      <c r="I70" s="22">
        <f t="shared" si="27"/>
        <v>1307461</v>
      </c>
      <c r="J70" s="22">
        <f t="shared" si="27"/>
        <v>1347720</v>
      </c>
      <c r="K70" s="22">
        <f t="shared" si="27"/>
        <v>1388731</v>
      </c>
      <c r="L70" s="22">
        <f t="shared" si="27"/>
        <v>1431024</v>
      </c>
      <c r="M70" s="22">
        <f t="shared" si="27"/>
        <v>1474583</v>
      </c>
      <c r="N70" s="22">
        <f t="shared" si="27"/>
        <v>1519533</v>
      </c>
      <c r="O70" s="22">
        <f t="shared" si="27"/>
        <v>1565841</v>
      </c>
      <c r="P70" s="22">
        <f t="shared" si="27"/>
        <v>1613541</v>
      </c>
      <c r="Q70" s="22">
        <f t="shared" si="27"/>
        <v>1662549</v>
      </c>
      <c r="R70" s="22">
        <f t="shared" si="27"/>
        <v>1712805</v>
      </c>
      <c r="S70" s="22">
        <f t="shared" si="27"/>
        <v>1764131</v>
      </c>
      <c r="T70" s="22">
        <f t="shared" si="27"/>
        <v>1816396</v>
      </c>
      <c r="U70" s="22">
        <f t="shared" si="27"/>
        <v>1869357</v>
      </c>
      <c r="V70" s="22">
        <f t="shared" si="27"/>
        <v>1869357</v>
      </c>
      <c r="W70" s="22">
        <f t="shared" si="27"/>
        <v>1869357</v>
      </c>
      <c r="X70" s="22">
        <f t="shared" si="27"/>
        <v>1869357</v>
      </c>
      <c r="Y70" s="22">
        <f t="shared" si="27"/>
        <v>1869357</v>
      </c>
      <c r="Z70" s="22">
        <f t="shared" si="27"/>
        <v>1869357</v>
      </c>
      <c r="AA70" s="22">
        <f t="shared" si="27"/>
        <v>1869357</v>
      </c>
      <c r="AB70" s="22">
        <f t="shared" si="27"/>
        <v>1869357</v>
      </c>
      <c r="AC70" s="22">
        <f t="shared" si="27"/>
        <v>1869357</v>
      </c>
      <c r="AD70" s="22">
        <f t="shared" si="27"/>
        <v>1869357</v>
      </c>
      <c r="AE70" s="22">
        <f t="shared" si="27"/>
        <v>1869357</v>
      </c>
      <c r="AF70" s="425"/>
    </row>
    <row r="71" spans="1:35" ht="15.75" customHeight="1">
      <c r="A71" s="23" t="str">
        <f t="shared" si="26"/>
        <v>Ingresso</v>
      </c>
      <c r="B71" s="24">
        <f t="shared" ref="B71:B90" si="28">IFERROR(ROUND(B$70*B45-(B175*B201),0)*Z20,0)</f>
        <v>522935</v>
      </c>
      <c r="C71" s="24">
        <f t="shared" ref="C71:AE71" si="29">IFERROR(ROUND(C$70*C45-(C175*C201),0),0)</f>
        <v>1081951</v>
      </c>
      <c r="D71" s="24">
        <f t="shared" si="29"/>
        <v>1119271</v>
      </c>
      <c r="E71" s="24">
        <f t="shared" si="29"/>
        <v>1155418</v>
      </c>
      <c r="F71" s="24">
        <f t="shared" si="29"/>
        <v>1192139</v>
      </c>
      <c r="G71" s="24">
        <f t="shared" si="29"/>
        <v>1229504</v>
      </c>
      <c r="H71" s="24">
        <f t="shared" si="29"/>
        <v>1267922</v>
      </c>
      <c r="I71" s="24">
        <f t="shared" si="29"/>
        <v>1307461</v>
      </c>
      <c r="J71" s="24">
        <f t="shared" si="29"/>
        <v>1347720</v>
      </c>
      <c r="K71" s="24">
        <f t="shared" si="29"/>
        <v>1388731</v>
      </c>
      <c r="L71" s="24">
        <f t="shared" si="29"/>
        <v>1431024</v>
      </c>
      <c r="M71" s="24">
        <f t="shared" si="29"/>
        <v>1474583</v>
      </c>
      <c r="N71" s="24">
        <f t="shared" si="29"/>
        <v>1519533</v>
      </c>
      <c r="O71" s="24">
        <f t="shared" si="29"/>
        <v>1565841</v>
      </c>
      <c r="P71" s="24">
        <f t="shared" si="29"/>
        <v>1613541</v>
      </c>
      <c r="Q71" s="24">
        <f t="shared" si="29"/>
        <v>1662549</v>
      </c>
      <c r="R71" s="24">
        <f t="shared" si="29"/>
        <v>1712805</v>
      </c>
      <c r="S71" s="24">
        <f t="shared" si="29"/>
        <v>1764131</v>
      </c>
      <c r="T71" s="24">
        <f t="shared" si="29"/>
        <v>1816396</v>
      </c>
      <c r="U71" s="24">
        <f t="shared" si="29"/>
        <v>1869357</v>
      </c>
      <c r="V71" s="24">
        <f t="shared" si="29"/>
        <v>1869357</v>
      </c>
      <c r="W71" s="24">
        <f t="shared" si="29"/>
        <v>1869357</v>
      </c>
      <c r="X71" s="24">
        <f t="shared" si="29"/>
        <v>1869357</v>
      </c>
      <c r="Y71" s="24">
        <f t="shared" si="29"/>
        <v>1869357</v>
      </c>
      <c r="Z71" s="24">
        <f t="shared" si="29"/>
        <v>1869357</v>
      </c>
      <c r="AA71" s="24">
        <f t="shared" si="29"/>
        <v>1869357</v>
      </c>
      <c r="AB71" s="24">
        <f t="shared" si="29"/>
        <v>1869357</v>
      </c>
      <c r="AC71" s="24">
        <f t="shared" si="29"/>
        <v>1869357</v>
      </c>
      <c r="AD71" s="24">
        <f t="shared" si="29"/>
        <v>1869357</v>
      </c>
      <c r="AE71" s="24">
        <f t="shared" si="29"/>
        <v>1869357</v>
      </c>
      <c r="AF71" s="298"/>
    </row>
    <row r="72" spans="1:35" ht="15.75" customHeight="1">
      <c r="A72" s="23" t="str">
        <f t="shared" si="26"/>
        <v>Preá - Alimentação</v>
      </c>
      <c r="B72" s="24">
        <f t="shared" si="28"/>
        <v>0</v>
      </c>
      <c r="C72" s="24">
        <f t="shared" ref="C72:AE72" si="30">IFERROR(ROUND(C$70*C46-(C176*C202),0),0)</f>
        <v>86556</v>
      </c>
      <c r="D72" s="24">
        <f t="shared" si="30"/>
        <v>89542</v>
      </c>
      <c r="E72" s="24">
        <f t="shared" si="30"/>
        <v>92433</v>
      </c>
      <c r="F72" s="24">
        <f t="shared" si="30"/>
        <v>95371</v>
      </c>
      <c r="G72" s="24">
        <f t="shared" si="30"/>
        <v>98360</v>
      </c>
      <c r="H72" s="24">
        <f t="shared" si="30"/>
        <v>101434</v>
      </c>
      <c r="I72" s="24">
        <f t="shared" si="30"/>
        <v>104597</v>
      </c>
      <c r="J72" s="24">
        <f t="shared" si="30"/>
        <v>107818</v>
      </c>
      <c r="K72" s="24">
        <f t="shared" si="30"/>
        <v>111098</v>
      </c>
      <c r="L72" s="24">
        <f t="shared" si="30"/>
        <v>114482</v>
      </c>
      <c r="M72" s="24">
        <f t="shared" si="30"/>
        <v>117967</v>
      </c>
      <c r="N72" s="24">
        <f t="shared" si="30"/>
        <v>121563</v>
      </c>
      <c r="O72" s="24">
        <f t="shared" si="30"/>
        <v>125267</v>
      </c>
      <c r="P72" s="24">
        <f t="shared" si="30"/>
        <v>129083</v>
      </c>
      <c r="Q72" s="24">
        <f t="shared" si="30"/>
        <v>133004</v>
      </c>
      <c r="R72" s="24">
        <f t="shared" si="30"/>
        <v>137024</v>
      </c>
      <c r="S72" s="24">
        <f t="shared" si="30"/>
        <v>141130</v>
      </c>
      <c r="T72" s="24">
        <f t="shared" si="30"/>
        <v>145312</v>
      </c>
      <c r="U72" s="24">
        <f t="shared" si="30"/>
        <v>149549</v>
      </c>
      <c r="V72" s="24">
        <f t="shared" si="30"/>
        <v>149549</v>
      </c>
      <c r="W72" s="24">
        <f t="shared" si="30"/>
        <v>149549</v>
      </c>
      <c r="X72" s="24">
        <f t="shared" si="30"/>
        <v>149549</v>
      </c>
      <c r="Y72" s="24">
        <f t="shared" si="30"/>
        <v>149549</v>
      </c>
      <c r="Z72" s="24">
        <f t="shared" si="30"/>
        <v>149549</v>
      </c>
      <c r="AA72" s="24">
        <f t="shared" si="30"/>
        <v>149549</v>
      </c>
      <c r="AB72" s="24">
        <f t="shared" si="30"/>
        <v>149549</v>
      </c>
      <c r="AC72" s="24">
        <f t="shared" si="30"/>
        <v>149549</v>
      </c>
      <c r="AD72" s="24">
        <f t="shared" si="30"/>
        <v>149549</v>
      </c>
      <c r="AE72" s="24">
        <f t="shared" si="30"/>
        <v>149549</v>
      </c>
      <c r="AF72" s="298"/>
    </row>
    <row r="73" spans="1:35" ht="15.75" customHeight="1">
      <c r="A73" s="23" t="str">
        <f t="shared" si="26"/>
        <v>Preá - Comércio</v>
      </c>
      <c r="B73" s="24">
        <f t="shared" si="28"/>
        <v>0</v>
      </c>
      <c r="C73" s="24">
        <f t="shared" ref="C73:AE73" si="31">IFERROR(ROUND(C$70*C47-(C177*C203),0),0)</f>
        <v>14426</v>
      </c>
      <c r="D73" s="24">
        <f t="shared" si="31"/>
        <v>14924</v>
      </c>
      <c r="E73" s="24">
        <f t="shared" si="31"/>
        <v>15406</v>
      </c>
      <c r="F73" s="24">
        <f t="shared" si="31"/>
        <v>15895</v>
      </c>
      <c r="G73" s="24">
        <f t="shared" si="31"/>
        <v>16393</v>
      </c>
      <c r="H73" s="24">
        <f t="shared" si="31"/>
        <v>16906</v>
      </c>
      <c r="I73" s="24">
        <f t="shared" si="31"/>
        <v>17433</v>
      </c>
      <c r="J73" s="24">
        <f t="shared" si="31"/>
        <v>17970</v>
      </c>
      <c r="K73" s="24">
        <f t="shared" si="31"/>
        <v>18516</v>
      </c>
      <c r="L73" s="24">
        <f t="shared" si="31"/>
        <v>19080</v>
      </c>
      <c r="M73" s="24">
        <f t="shared" si="31"/>
        <v>19661</v>
      </c>
      <c r="N73" s="24">
        <f t="shared" si="31"/>
        <v>20260</v>
      </c>
      <c r="O73" s="24">
        <f t="shared" si="31"/>
        <v>20878</v>
      </c>
      <c r="P73" s="24">
        <f t="shared" si="31"/>
        <v>21514</v>
      </c>
      <c r="Q73" s="24">
        <f t="shared" si="31"/>
        <v>22167</v>
      </c>
      <c r="R73" s="24">
        <f t="shared" si="31"/>
        <v>22837</v>
      </c>
      <c r="S73" s="24">
        <f t="shared" si="31"/>
        <v>23522</v>
      </c>
      <c r="T73" s="24">
        <f t="shared" si="31"/>
        <v>24219</v>
      </c>
      <c r="U73" s="24">
        <f t="shared" si="31"/>
        <v>24925</v>
      </c>
      <c r="V73" s="24">
        <f t="shared" si="31"/>
        <v>24925</v>
      </c>
      <c r="W73" s="24">
        <f t="shared" si="31"/>
        <v>24925</v>
      </c>
      <c r="X73" s="24">
        <f t="shared" si="31"/>
        <v>24925</v>
      </c>
      <c r="Y73" s="24">
        <f t="shared" si="31"/>
        <v>24925</v>
      </c>
      <c r="Z73" s="24">
        <f t="shared" si="31"/>
        <v>24925</v>
      </c>
      <c r="AA73" s="24">
        <f t="shared" si="31"/>
        <v>24925</v>
      </c>
      <c r="AB73" s="24">
        <f t="shared" si="31"/>
        <v>24925</v>
      </c>
      <c r="AC73" s="24">
        <f t="shared" si="31"/>
        <v>24925</v>
      </c>
      <c r="AD73" s="24">
        <f t="shared" si="31"/>
        <v>24925</v>
      </c>
      <c r="AE73" s="24">
        <f t="shared" si="31"/>
        <v>24925</v>
      </c>
      <c r="AF73" s="298"/>
    </row>
    <row r="74" spans="1:35" ht="15.75" customHeight="1">
      <c r="A74" s="23" t="str">
        <f t="shared" si="26"/>
        <v>Preá - Estacionamento</v>
      </c>
      <c r="B74" s="24">
        <f t="shared" si="28"/>
        <v>0</v>
      </c>
      <c r="C74" s="24">
        <f t="shared" ref="C74:AE74" si="32">IFERROR(ROUND(C$70*C48-(C178*C204),0),0)</f>
        <v>21639</v>
      </c>
      <c r="D74" s="24">
        <f t="shared" si="32"/>
        <v>22385</v>
      </c>
      <c r="E74" s="24">
        <f t="shared" si="32"/>
        <v>23108</v>
      </c>
      <c r="F74" s="24">
        <f t="shared" si="32"/>
        <v>23843</v>
      </c>
      <c r="G74" s="24">
        <f t="shared" si="32"/>
        <v>24590</v>
      </c>
      <c r="H74" s="24">
        <f t="shared" si="32"/>
        <v>25358</v>
      </c>
      <c r="I74" s="24">
        <f t="shared" si="32"/>
        <v>26149</v>
      </c>
      <c r="J74" s="24">
        <f t="shared" si="32"/>
        <v>26954</v>
      </c>
      <c r="K74" s="24">
        <f t="shared" si="32"/>
        <v>27775</v>
      </c>
      <c r="L74" s="24">
        <f t="shared" si="32"/>
        <v>28620</v>
      </c>
      <c r="M74" s="24">
        <f t="shared" si="32"/>
        <v>29492</v>
      </c>
      <c r="N74" s="24">
        <f t="shared" si="32"/>
        <v>30391</v>
      </c>
      <c r="O74" s="24">
        <f t="shared" si="32"/>
        <v>31317</v>
      </c>
      <c r="P74" s="24">
        <f t="shared" si="32"/>
        <v>32271</v>
      </c>
      <c r="Q74" s="24">
        <f t="shared" si="32"/>
        <v>33251</v>
      </c>
      <c r="R74" s="24">
        <f t="shared" si="32"/>
        <v>34256</v>
      </c>
      <c r="S74" s="24">
        <f t="shared" si="32"/>
        <v>35283</v>
      </c>
      <c r="T74" s="24">
        <f t="shared" si="32"/>
        <v>36328</v>
      </c>
      <c r="U74" s="24">
        <f t="shared" si="32"/>
        <v>37387</v>
      </c>
      <c r="V74" s="24">
        <f t="shared" si="32"/>
        <v>37387</v>
      </c>
      <c r="W74" s="24">
        <f t="shared" si="32"/>
        <v>37387</v>
      </c>
      <c r="X74" s="24">
        <f t="shared" si="32"/>
        <v>37387</v>
      </c>
      <c r="Y74" s="24">
        <f t="shared" si="32"/>
        <v>37387</v>
      </c>
      <c r="Z74" s="24">
        <f t="shared" si="32"/>
        <v>37387</v>
      </c>
      <c r="AA74" s="24">
        <f t="shared" si="32"/>
        <v>37387</v>
      </c>
      <c r="AB74" s="24">
        <f t="shared" si="32"/>
        <v>37387</v>
      </c>
      <c r="AC74" s="24">
        <f t="shared" si="32"/>
        <v>37387</v>
      </c>
      <c r="AD74" s="24">
        <f t="shared" si="32"/>
        <v>37387</v>
      </c>
      <c r="AE74" s="24">
        <f t="shared" si="32"/>
        <v>37387</v>
      </c>
      <c r="AF74" s="298"/>
    </row>
    <row r="75" spans="1:35" ht="15.75" customHeight="1">
      <c r="A75" s="23" t="str">
        <f t="shared" si="26"/>
        <v>Árvore da Preguiça - Alimentação</v>
      </c>
      <c r="B75" s="24">
        <f t="shared" si="28"/>
        <v>0</v>
      </c>
      <c r="C75" s="24">
        <f t="shared" ref="C75:AE75" si="33">IFERROR(ROUND(C$70*C49-(C179*C205),0),0)</f>
        <v>86556</v>
      </c>
      <c r="D75" s="24">
        <f t="shared" si="33"/>
        <v>89542</v>
      </c>
      <c r="E75" s="24">
        <f t="shared" si="33"/>
        <v>92433</v>
      </c>
      <c r="F75" s="24">
        <f t="shared" si="33"/>
        <v>95371</v>
      </c>
      <c r="G75" s="24">
        <f t="shared" si="33"/>
        <v>98360</v>
      </c>
      <c r="H75" s="24">
        <f t="shared" si="33"/>
        <v>101434</v>
      </c>
      <c r="I75" s="24">
        <f t="shared" si="33"/>
        <v>104597</v>
      </c>
      <c r="J75" s="24">
        <f t="shared" si="33"/>
        <v>107818</v>
      </c>
      <c r="K75" s="24">
        <f t="shared" si="33"/>
        <v>111098</v>
      </c>
      <c r="L75" s="24">
        <f t="shared" si="33"/>
        <v>114482</v>
      </c>
      <c r="M75" s="24">
        <f t="shared" si="33"/>
        <v>117967</v>
      </c>
      <c r="N75" s="24">
        <f t="shared" si="33"/>
        <v>121563</v>
      </c>
      <c r="O75" s="24">
        <f t="shared" si="33"/>
        <v>125267</v>
      </c>
      <c r="P75" s="24">
        <f t="shared" si="33"/>
        <v>129083</v>
      </c>
      <c r="Q75" s="24">
        <f t="shared" si="33"/>
        <v>133004</v>
      </c>
      <c r="R75" s="24">
        <f t="shared" si="33"/>
        <v>137024</v>
      </c>
      <c r="S75" s="24">
        <f t="shared" si="33"/>
        <v>141130</v>
      </c>
      <c r="T75" s="24">
        <f t="shared" si="33"/>
        <v>145312</v>
      </c>
      <c r="U75" s="24">
        <f t="shared" si="33"/>
        <v>149549</v>
      </c>
      <c r="V75" s="24">
        <f t="shared" si="33"/>
        <v>149549</v>
      </c>
      <c r="W75" s="24">
        <f t="shared" si="33"/>
        <v>149549</v>
      </c>
      <c r="X75" s="24">
        <f t="shared" si="33"/>
        <v>149549</v>
      </c>
      <c r="Y75" s="24">
        <f t="shared" si="33"/>
        <v>149549</v>
      </c>
      <c r="Z75" s="24">
        <f t="shared" si="33"/>
        <v>149549</v>
      </c>
      <c r="AA75" s="24">
        <f t="shared" si="33"/>
        <v>149549</v>
      </c>
      <c r="AB75" s="24">
        <f t="shared" si="33"/>
        <v>149549</v>
      </c>
      <c r="AC75" s="24">
        <f t="shared" si="33"/>
        <v>149549</v>
      </c>
      <c r="AD75" s="24">
        <f t="shared" si="33"/>
        <v>149549</v>
      </c>
      <c r="AE75" s="24">
        <f t="shared" si="33"/>
        <v>149549</v>
      </c>
      <c r="AF75" s="298"/>
    </row>
    <row r="76" spans="1:35" ht="15.75" customHeight="1">
      <c r="A76" s="23" t="str">
        <f t="shared" si="26"/>
        <v>Árvore da Preguiça - Comércio</v>
      </c>
      <c r="B76" s="24">
        <f t="shared" si="28"/>
        <v>0</v>
      </c>
      <c r="C76" s="24">
        <f t="shared" ref="C76:AE76" si="34">IFERROR(ROUND(C$70*C50-(C180*C206),0),0)</f>
        <v>14426</v>
      </c>
      <c r="D76" s="24">
        <f t="shared" si="34"/>
        <v>14924</v>
      </c>
      <c r="E76" s="24">
        <f t="shared" si="34"/>
        <v>15406</v>
      </c>
      <c r="F76" s="24">
        <f t="shared" si="34"/>
        <v>15895</v>
      </c>
      <c r="G76" s="24">
        <f t="shared" si="34"/>
        <v>16393</v>
      </c>
      <c r="H76" s="24">
        <f t="shared" si="34"/>
        <v>16906</v>
      </c>
      <c r="I76" s="24">
        <f t="shared" si="34"/>
        <v>17433</v>
      </c>
      <c r="J76" s="24">
        <f t="shared" si="34"/>
        <v>17970</v>
      </c>
      <c r="K76" s="24">
        <f t="shared" si="34"/>
        <v>18516</v>
      </c>
      <c r="L76" s="24">
        <f t="shared" si="34"/>
        <v>19080</v>
      </c>
      <c r="M76" s="24">
        <f t="shared" si="34"/>
        <v>19661</v>
      </c>
      <c r="N76" s="24">
        <f t="shared" si="34"/>
        <v>20260</v>
      </c>
      <c r="O76" s="24">
        <f t="shared" si="34"/>
        <v>20878</v>
      </c>
      <c r="P76" s="24">
        <f t="shared" si="34"/>
        <v>21514</v>
      </c>
      <c r="Q76" s="24">
        <f t="shared" si="34"/>
        <v>22167</v>
      </c>
      <c r="R76" s="24">
        <f t="shared" si="34"/>
        <v>22837</v>
      </c>
      <c r="S76" s="24">
        <f t="shared" si="34"/>
        <v>23522</v>
      </c>
      <c r="T76" s="24">
        <f t="shared" si="34"/>
        <v>24219</v>
      </c>
      <c r="U76" s="24">
        <f t="shared" si="34"/>
        <v>24925</v>
      </c>
      <c r="V76" s="24">
        <f t="shared" si="34"/>
        <v>24925</v>
      </c>
      <c r="W76" s="24">
        <f t="shared" si="34"/>
        <v>24925</v>
      </c>
      <c r="X76" s="24">
        <f t="shared" si="34"/>
        <v>24925</v>
      </c>
      <c r="Y76" s="24">
        <f t="shared" si="34"/>
        <v>24925</v>
      </c>
      <c r="Z76" s="24">
        <f t="shared" si="34"/>
        <v>24925</v>
      </c>
      <c r="AA76" s="24">
        <f t="shared" si="34"/>
        <v>24925</v>
      </c>
      <c r="AB76" s="24">
        <f t="shared" si="34"/>
        <v>24925</v>
      </c>
      <c r="AC76" s="24">
        <f t="shared" si="34"/>
        <v>24925</v>
      </c>
      <c r="AD76" s="24">
        <f t="shared" si="34"/>
        <v>24925</v>
      </c>
      <c r="AE76" s="24">
        <f t="shared" si="34"/>
        <v>24925</v>
      </c>
      <c r="AF76" s="298"/>
    </row>
    <row r="77" spans="1:35" ht="15.75" customHeight="1">
      <c r="A77" s="23" t="str">
        <f t="shared" si="26"/>
        <v>Silveira - Alimentação</v>
      </c>
      <c r="B77" s="24">
        <f t="shared" si="28"/>
        <v>0</v>
      </c>
      <c r="C77" s="24">
        <f t="shared" ref="C77:AE77" si="35">IFERROR(ROUND(C$70*C51-(C181*C207),0),0)</f>
        <v>86556</v>
      </c>
      <c r="D77" s="24">
        <f t="shared" si="35"/>
        <v>89542</v>
      </c>
      <c r="E77" s="24">
        <f t="shared" si="35"/>
        <v>92433</v>
      </c>
      <c r="F77" s="24">
        <f t="shared" si="35"/>
        <v>95371</v>
      </c>
      <c r="G77" s="24">
        <f t="shared" si="35"/>
        <v>98360</v>
      </c>
      <c r="H77" s="24">
        <f t="shared" si="35"/>
        <v>101434</v>
      </c>
      <c r="I77" s="24">
        <f t="shared" si="35"/>
        <v>104597</v>
      </c>
      <c r="J77" s="24">
        <f t="shared" si="35"/>
        <v>107818</v>
      </c>
      <c r="K77" s="24">
        <f t="shared" si="35"/>
        <v>111098</v>
      </c>
      <c r="L77" s="24">
        <f t="shared" si="35"/>
        <v>114482</v>
      </c>
      <c r="M77" s="24">
        <f t="shared" si="35"/>
        <v>117967</v>
      </c>
      <c r="N77" s="24">
        <f t="shared" si="35"/>
        <v>121563</v>
      </c>
      <c r="O77" s="24">
        <f t="shared" si="35"/>
        <v>125267</v>
      </c>
      <c r="P77" s="24">
        <f t="shared" si="35"/>
        <v>129083</v>
      </c>
      <c r="Q77" s="24">
        <f t="shared" si="35"/>
        <v>133004</v>
      </c>
      <c r="R77" s="24">
        <f t="shared" si="35"/>
        <v>137024</v>
      </c>
      <c r="S77" s="24">
        <f t="shared" si="35"/>
        <v>141130</v>
      </c>
      <c r="T77" s="24">
        <f t="shared" si="35"/>
        <v>145312</v>
      </c>
      <c r="U77" s="24">
        <f t="shared" si="35"/>
        <v>149549</v>
      </c>
      <c r="V77" s="24">
        <f t="shared" si="35"/>
        <v>149549</v>
      </c>
      <c r="W77" s="24">
        <f t="shared" si="35"/>
        <v>149549</v>
      </c>
      <c r="X77" s="24">
        <f t="shared" si="35"/>
        <v>149549</v>
      </c>
      <c r="Y77" s="24">
        <f t="shared" si="35"/>
        <v>149549</v>
      </c>
      <c r="Z77" s="24">
        <f t="shared" si="35"/>
        <v>149549</v>
      </c>
      <c r="AA77" s="24">
        <f t="shared" si="35"/>
        <v>149549</v>
      </c>
      <c r="AB77" s="24">
        <f t="shared" si="35"/>
        <v>149549</v>
      </c>
      <c r="AC77" s="24">
        <f t="shared" si="35"/>
        <v>149549</v>
      </c>
      <c r="AD77" s="24">
        <f t="shared" si="35"/>
        <v>149549</v>
      </c>
      <c r="AE77" s="24">
        <f t="shared" si="35"/>
        <v>149549</v>
      </c>
      <c r="AF77" s="298"/>
    </row>
    <row r="78" spans="1:35" ht="15.75" customHeight="1">
      <c r="A78" s="23" t="str">
        <f t="shared" si="26"/>
        <v>Silveira - Comércio + Locação + Atividades</v>
      </c>
      <c r="B78" s="24">
        <f t="shared" si="28"/>
        <v>0</v>
      </c>
      <c r="C78" s="24">
        <f t="shared" ref="C78:AE78" si="36">IFERROR(ROUND(C$70*C52-(C182*C208),0),0)</f>
        <v>14426</v>
      </c>
      <c r="D78" s="24">
        <f t="shared" si="36"/>
        <v>14924</v>
      </c>
      <c r="E78" s="24">
        <f t="shared" si="36"/>
        <v>15406</v>
      </c>
      <c r="F78" s="24">
        <f t="shared" si="36"/>
        <v>15895</v>
      </c>
      <c r="G78" s="24">
        <f t="shared" si="36"/>
        <v>16393</v>
      </c>
      <c r="H78" s="24">
        <f t="shared" si="36"/>
        <v>16906</v>
      </c>
      <c r="I78" s="24">
        <f t="shared" si="36"/>
        <v>17433</v>
      </c>
      <c r="J78" s="24">
        <f t="shared" si="36"/>
        <v>17970</v>
      </c>
      <c r="K78" s="24">
        <f t="shared" si="36"/>
        <v>18516</v>
      </c>
      <c r="L78" s="24">
        <f t="shared" si="36"/>
        <v>19080</v>
      </c>
      <c r="M78" s="24">
        <f t="shared" si="36"/>
        <v>19661</v>
      </c>
      <c r="N78" s="24">
        <f t="shared" si="36"/>
        <v>20260</v>
      </c>
      <c r="O78" s="24">
        <f t="shared" si="36"/>
        <v>20878</v>
      </c>
      <c r="P78" s="24">
        <f t="shared" si="36"/>
        <v>21514</v>
      </c>
      <c r="Q78" s="24">
        <f t="shared" si="36"/>
        <v>22167</v>
      </c>
      <c r="R78" s="24">
        <f t="shared" si="36"/>
        <v>22837</v>
      </c>
      <c r="S78" s="24">
        <f t="shared" si="36"/>
        <v>23522</v>
      </c>
      <c r="T78" s="24">
        <f t="shared" si="36"/>
        <v>24219</v>
      </c>
      <c r="U78" s="24">
        <f t="shared" si="36"/>
        <v>24925</v>
      </c>
      <c r="V78" s="24">
        <f t="shared" si="36"/>
        <v>24925</v>
      </c>
      <c r="W78" s="24">
        <f t="shared" si="36"/>
        <v>24925</v>
      </c>
      <c r="X78" s="24">
        <f t="shared" si="36"/>
        <v>24925</v>
      </c>
      <c r="Y78" s="24">
        <f t="shared" si="36"/>
        <v>24925</v>
      </c>
      <c r="Z78" s="24">
        <f t="shared" si="36"/>
        <v>24925</v>
      </c>
      <c r="AA78" s="24">
        <f t="shared" si="36"/>
        <v>24925</v>
      </c>
      <c r="AB78" s="24">
        <f t="shared" si="36"/>
        <v>24925</v>
      </c>
      <c r="AC78" s="24">
        <f t="shared" si="36"/>
        <v>24925</v>
      </c>
      <c r="AD78" s="24">
        <f t="shared" si="36"/>
        <v>24925</v>
      </c>
      <c r="AE78" s="24">
        <f t="shared" si="36"/>
        <v>24925</v>
      </c>
      <c r="AF78" s="298"/>
    </row>
    <row r="79" spans="1:35" ht="15.75" customHeight="1">
      <c r="A79" s="23" t="str">
        <f t="shared" si="26"/>
        <v>Silveira - Hospedagem</v>
      </c>
      <c r="B79" s="24">
        <f t="shared" si="28"/>
        <v>0</v>
      </c>
      <c r="C79" s="24">
        <f t="shared" ref="C79:AE79" si="37">IFERROR(ROUND(C$70*C53-(C183*C209),0),0)</f>
        <v>10820</v>
      </c>
      <c r="D79" s="24">
        <f t="shared" si="37"/>
        <v>11193</v>
      </c>
      <c r="E79" s="24">
        <f t="shared" si="37"/>
        <v>11554</v>
      </c>
      <c r="F79" s="24">
        <f t="shared" si="37"/>
        <v>11921</v>
      </c>
      <c r="G79" s="24">
        <f t="shared" si="37"/>
        <v>12295</v>
      </c>
      <c r="H79" s="24">
        <f t="shared" si="37"/>
        <v>12679</v>
      </c>
      <c r="I79" s="24">
        <f t="shared" si="37"/>
        <v>13075</v>
      </c>
      <c r="J79" s="24">
        <f t="shared" si="37"/>
        <v>13477</v>
      </c>
      <c r="K79" s="24">
        <f t="shared" si="37"/>
        <v>13887</v>
      </c>
      <c r="L79" s="24">
        <f t="shared" si="37"/>
        <v>14310</v>
      </c>
      <c r="M79" s="24">
        <f t="shared" si="37"/>
        <v>14746</v>
      </c>
      <c r="N79" s="24">
        <f t="shared" si="37"/>
        <v>15195</v>
      </c>
      <c r="O79" s="24">
        <f t="shared" si="37"/>
        <v>15658</v>
      </c>
      <c r="P79" s="24">
        <f t="shared" si="37"/>
        <v>16135</v>
      </c>
      <c r="Q79" s="24">
        <f t="shared" si="37"/>
        <v>16625</v>
      </c>
      <c r="R79" s="24">
        <f t="shared" si="37"/>
        <v>17128</v>
      </c>
      <c r="S79" s="24">
        <f t="shared" si="37"/>
        <v>17641</v>
      </c>
      <c r="T79" s="24">
        <f t="shared" si="37"/>
        <v>18164</v>
      </c>
      <c r="U79" s="24">
        <f t="shared" si="37"/>
        <v>18694</v>
      </c>
      <c r="V79" s="24">
        <f t="shared" si="37"/>
        <v>18694</v>
      </c>
      <c r="W79" s="24">
        <f t="shared" si="37"/>
        <v>18694</v>
      </c>
      <c r="X79" s="24">
        <f t="shared" si="37"/>
        <v>18694</v>
      </c>
      <c r="Y79" s="24">
        <f t="shared" si="37"/>
        <v>18694</v>
      </c>
      <c r="Z79" s="24">
        <f t="shared" si="37"/>
        <v>18694</v>
      </c>
      <c r="AA79" s="24">
        <f t="shared" si="37"/>
        <v>18694</v>
      </c>
      <c r="AB79" s="24">
        <f t="shared" si="37"/>
        <v>18694</v>
      </c>
      <c r="AC79" s="24">
        <f t="shared" si="37"/>
        <v>18694</v>
      </c>
      <c r="AD79" s="24">
        <f t="shared" si="37"/>
        <v>18694</v>
      </c>
      <c r="AE79" s="24">
        <f t="shared" si="37"/>
        <v>18694</v>
      </c>
      <c r="AF79" s="298"/>
    </row>
    <row r="80" spans="1:35" ht="15.75" customHeight="1">
      <c r="A80" s="23" t="str">
        <f t="shared" si="26"/>
        <v>Pedra Furada - Alimentação</v>
      </c>
      <c r="B80" s="24">
        <f t="shared" si="28"/>
        <v>0</v>
      </c>
      <c r="C80" s="24">
        <f t="shared" ref="C80:AE80" si="38">IFERROR(ROUND(C$70*C54-(C184*C210),0),0)</f>
        <v>86556</v>
      </c>
      <c r="D80" s="24">
        <f t="shared" si="38"/>
        <v>89542</v>
      </c>
      <c r="E80" s="24">
        <f t="shared" si="38"/>
        <v>92433</v>
      </c>
      <c r="F80" s="24">
        <f t="shared" si="38"/>
        <v>95371</v>
      </c>
      <c r="G80" s="24">
        <f t="shared" si="38"/>
        <v>98360</v>
      </c>
      <c r="H80" s="24">
        <f t="shared" si="38"/>
        <v>101434</v>
      </c>
      <c r="I80" s="24">
        <f t="shared" si="38"/>
        <v>104597</v>
      </c>
      <c r="J80" s="24">
        <f t="shared" si="38"/>
        <v>107818</v>
      </c>
      <c r="K80" s="24">
        <f t="shared" si="38"/>
        <v>111098</v>
      </c>
      <c r="L80" s="24">
        <f t="shared" si="38"/>
        <v>114482</v>
      </c>
      <c r="M80" s="24">
        <f t="shared" si="38"/>
        <v>117967</v>
      </c>
      <c r="N80" s="24">
        <f t="shared" si="38"/>
        <v>121563</v>
      </c>
      <c r="O80" s="24">
        <f t="shared" si="38"/>
        <v>125267</v>
      </c>
      <c r="P80" s="24">
        <f t="shared" si="38"/>
        <v>129083</v>
      </c>
      <c r="Q80" s="24">
        <f t="shared" si="38"/>
        <v>133004</v>
      </c>
      <c r="R80" s="24">
        <f t="shared" si="38"/>
        <v>137024</v>
      </c>
      <c r="S80" s="24">
        <f t="shared" si="38"/>
        <v>141130</v>
      </c>
      <c r="T80" s="24">
        <f t="shared" si="38"/>
        <v>145312</v>
      </c>
      <c r="U80" s="24">
        <f t="shared" si="38"/>
        <v>149549</v>
      </c>
      <c r="V80" s="24">
        <f t="shared" si="38"/>
        <v>149549</v>
      </c>
      <c r="W80" s="24">
        <f t="shared" si="38"/>
        <v>149549</v>
      </c>
      <c r="X80" s="24">
        <f t="shared" si="38"/>
        <v>149549</v>
      </c>
      <c r="Y80" s="24">
        <f t="shared" si="38"/>
        <v>149549</v>
      </c>
      <c r="Z80" s="24">
        <f t="shared" si="38"/>
        <v>149549</v>
      </c>
      <c r="AA80" s="24">
        <f t="shared" si="38"/>
        <v>149549</v>
      </c>
      <c r="AB80" s="24">
        <f t="shared" si="38"/>
        <v>149549</v>
      </c>
      <c r="AC80" s="24">
        <f t="shared" si="38"/>
        <v>149549</v>
      </c>
      <c r="AD80" s="24">
        <f t="shared" si="38"/>
        <v>149549</v>
      </c>
      <c r="AE80" s="24">
        <f t="shared" si="38"/>
        <v>149549</v>
      </c>
      <c r="AF80" s="298"/>
    </row>
    <row r="81" spans="1:32" ht="15.75" customHeight="1">
      <c r="A81" s="23" t="str">
        <f t="shared" si="26"/>
        <v>Pedra Furada - Comércio</v>
      </c>
      <c r="B81" s="24">
        <f t="shared" si="28"/>
        <v>0</v>
      </c>
      <c r="C81" s="24">
        <f t="shared" ref="C81:AE81" si="39">IFERROR(ROUND(C$70*C55-(C185*C211),0),0)</f>
        <v>14426</v>
      </c>
      <c r="D81" s="24">
        <f t="shared" si="39"/>
        <v>14924</v>
      </c>
      <c r="E81" s="24">
        <f t="shared" si="39"/>
        <v>15406</v>
      </c>
      <c r="F81" s="24">
        <f t="shared" si="39"/>
        <v>15895</v>
      </c>
      <c r="G81" s="24">
        <f t="shared" si="39"/>
        <v>16393</v>
      </c>
      <c r="H81" s="24">
        <f t="shared" si="39"/>
        <v>16906</v>
      </c>
      <c r="I81" s="24">
        <f t="shared" si="39"/>
        <v>17433</v>
      </c>
      <c r="J81" s="24">
        <f t="shared" si="39"/>
        <v>17970</v>
      </c>
      <c r="K81" s="24">
        <f t="shared" si="39"/>
        <v>18516</v>
      </c>
      <c r="L81" s="24">
        <f t="shared" si="39"/>
        <v>19080</v>
      </c>
      <c r="M81" s="24">
        <f t="shared" si="39"/>
        <v>19661</v>
      </c>
      <c r="N81" s="24">
        <f t="shared" si="39"/>
        <v>20260</v>
      </c>
      <c r="O81" s="24">
        <f t="shared" si="39"/>
        <v>20878</v>
      </c>
      <c r="P81" s="24">
        <f t="shared" si="39"/>
        <v>21514</v>
      </c>
      <c r="Q81" s="24">
        <f t="shared" si="39"/>
        <v>22167</v>
      </c>
      <c r="R81" s="24">
        <f t="shared" si="39"/>
        <v>22837</v>
      </c>
      <c r="S81" s="24">
        <f t="shared" si="39"/>
        <v>23522</v>
      </c>
      <c r="T81" s="24">
        <f t="shared" si="39"/>
        <v>24219</v>
      </c>
      <c r="U81" s="24">
        <f t="shared" si="39"/>
        <v>24925</v>
      </c>
      <c r="V81" s="24">
        <f t="shared" si="39"/>
        <v>24925</v>
      </c>
      <c r="W81" s="24">
        <f t="shared" si="39"/>
        <v>24925</v>
      </c>
      <c r="X81" s="24">
        <f t="shared" si="39"/>
        <v>24925</v>
      </c>
      <c r="Y81" s="24">
        <f t="shared" si="39"/>
        <v>24925</v>
      </c>
      <c r="Z81" s="24">
        <f t="shared" si="39"/>
        <v>24925</v>
      </c>
      <c r="AA81" s="24">
        <f t="shared" si="39"/>
        <v>24925</v>
      </c>
      <c r="AB81" s="24">
        <f t="shared" si="39"/>
        <v>24925</v>
      </c>
      <c r="AC81" s="24">
        <f t="shared" si="39"/>
        <v>24925</v>
      </c>
      <c r="AD81" s="24">
        <f t="shared" si="39"/>
        <v>24925</v>
      </c>
      <c r="AE81" s="24">
        <f t="shared" si="39"/>
        <v>24925</v>
      </c>
      <c r="AF81" s="298"/>
    </row>
    <row r="82" spans="1:32" ht="15.75" customHeight="1">
      <c r="A82" s="23" t="str">
        <f t="shared" si="26"/>
        <v>Serrote - Alimentação</v>
      </c>
      <c r="B82" s="24">
        <f t="shared" si="28"/>
        <v>0</v>
      </c>
      <c r="C82" s="24">
        <f t="shared" ref="C82:AE82" si="40">IFERROR(ROUND(C$70*C56-(C186*C212),0),0)</f>
        <v>86556</v>
      </c>
      <c r="D82" s="24">
        <f t="shared" si="40"/>
        <v>89542</v>
      </c>
      <c r="E82" s="24">
        <f t="shared" si="40"/>
        <v>92433</v>
      </c>
      <c r="F82" s="24">
        <f t="shared" si="40"/>
        <v>95371</v>
      </c>
      <c r="G82" s="24">
        <f t="shared" si="40"/>
        <v>98360</v>
      </c>
      <c r="H82" s="24">
        <f t="shared" si="40"/>
        <v>101434</v>
      </c>
      <c r="I82" s="24">
        <f t="shared" si="40"/>
        <v>104597</v>
      </c>
      <c r="J82" s="24">
        <f t="shared" si="40"/>
        <v>107818</v>
      </c>
      <c r="K82" s="24">
        <f t="shared" si="40"/>
        <v>111098</v>
      </c>
      <c r="L82" s="24">
        <f t="shared" si="40"/>
        <v>114482</v>
      </c>
      <c r="M82" s="24">
        <f t="shared" si="40"/>
        <v>117967</v>
      </c>
      <c r="N82" s="24">
        <f t="shared" si="40"/>
        <v>121563</v>
      </c>
      <c r="O82" s="24">
        <f t="shared" si="40"/>
        <v>125267</v>
      </c>
      <c r="P82" s="24">
        <f t="shared" si="40"/>
        <v>129083</v>
      </c>
      <c r="Q82" s="24">
        <f t="shared" si="40"/>
        <v>133004</v>
      </c>
      <c r="R82" s="24">
        <f t="shared" si="40"/>
        <v>137024</v>
      </c>
      <c r="S82" s="24">
        <f t="shared" si="40"/>
        <v>141130</v>
      </c>
      <c r="T82" s="24">
        <f t="shared" si="40"/>
        <v>145312</v>
      </c>
      <c r="U82" s="24">
        <f t="shared" si="40"/>
        <v>149549</v>
      </c>
      <c r="V82" s="24">
        <f t="shared" si="40"/>
        <v>149549</v>
      </c>
      <c r="W82" s="24">
        <f t="shared" si="40"/>
        <v>149549</v>
      </c>
      <c r="X82" s="24">
        <f t="shared" si="40"/>
        <v>149549</v>
      </c>
      <c r="Y82" s="24">
        <f t="shared" si="40"/>
        <v>149549</v>
      </c>
      <c r="Z82" s="24">
        <f t="shared" si="40"/>
        <v>149549</v>
      </c>
      <c r="AA82" s="24">
        <f t="shared" si="40"/>
        <v>149549</v>
      </c>
      <c r="AB82" s="24">
        <f t="shared" si="40"/>
        <v>149549</v>
      </c>
      <c r="AC82" s="24">
        <f t="shared" si="40"/>
        <v>149549</v>
      </c>
      <c r="AD82" s="24">
        <f t="shared" si="40"/>
        <v>149549</v>
      </c>
      <c r="AE82" s="24">
        <f t="shared" si="40"/>
        <v>149549</v>
      </c>
      <c r="AF82" s="298"/>
    </row>
    <row r="83" spans="1:32" ht="15.75" customHeight="1">
      <c r="A83" s="23" t="str">
        <f t="shared" si="26"/>
        <v>Serrote - Comércio</v>
      </c>
      <c r="B83" s="24">
        <f t="shared" si="28"/>
        <v>0</v>
      </c>
      <c r="C83" s="24">
        <f t="shared" ref="C83:AE83" si="41">IFERROR(ROUND(C$70*C57-(C187*C213),0),0)</f>
        <v>14426</v>
      </c>
      <c r="D83" s="24">
        <f t="shared" si="41"/>
        <v>14924</v>
      </c>
      <c r="E83" s="24">
        <f t="shared" si="41"/>
        <v>15406</v>
      </c>
      <c r="F83" s="24">
        <f t="shared" si="41"/>
        <v>15895</v>
      </c>
      <c r="G83" s="24">
        <f t="shared" si="41"/>
        <v>16393</v>
      </c>
      <c r="H83" s="24">
        <f t="shared" si="41"/>
        <v>16906</v>
      </c>
      <c r="I83" s="24">
        <f t="shared" si="41"/>
        <v>17433</v>
      </c>
      <c r="J83" s="24">
        <f t="shared" si="41"/>
        <v>17970</v>
      </c>
      <c r="K83" s="24">
        <f t="shared" si="41"/>
        <v>18516</v>
      </c>
      <c r="L83" s="24">
        <f t="shared" si="41"/>
        <v>19080</v>
      </c>
      <c r="M83" s="24">
        <f t="shared" si="41"/>
        <v>19661</v>
      </c>
      <c r="N83" s="24">
        <f t="shared" si="41"/>
        <v>20260</v>
      </c>
      <c r="O83" s="24">
        <f t="shared" si="41"/>
        <v>20878</v>
      </c>
      <c r="P83" s="24">
        <f t="shared" si="41"/>
        <v>21514</v>
      </c>
      <c r="Q83" s="24">
        <f t="shared" si="41"/>
        <v>22167</v>
      </c>
      <c r="R83" s="24">
        <f t="shared" si="41"/>
        <v>22837</v>
      </c>
      <c r="S83" s="24">
        <f t="shared" si="41"/>
        <v>23522</v>
      </c>
      <c r="T83" s="24">
        <f t="shared" si="41"/>
        <v>24219</v>
      </c>
      <c r="U83" s="24">
        <f t="shared" si="41"/>
        <v>24925</v>
      </c>
      <c r="V83" s="24">
        <f t="shared" si="41"/>
        <v>24925</v>
      </c>
      <c r="W83" s="24">
        <f t="shared" si="41"/>
        <v>24925</v>
      </c>
      <c r="X83" s="24">
        <f t="shared" si="41"/>
        <v>24925</v>
      </c>
      <c r="Y83" s="24">
        <f t="shared" si="41"/>
        <v>24925</v>
      </c>
      <c r="Z83" s="24">
        <f t="shared" si="41"/>
        <v>24925</v>
      </c>
      <c r="AA83" s="24">
        <f t="shared" si="41"/>
        <v>24925</v>
      </c>
      <c r="AB83" s="24">
        <f t="shared" si="41"/>
        <v>24925</v>
      </c>
      <c r="AC83" s="24">
        <f t="shared" si="41"/>
        <v>24925</v>
      </c>
      <c r="AD83" s="24">
        <f t="shared" si="41"/>
        <v>24925</v>
      </c>
      <c r="AE83" s="24">
        <f t="shared" si="41"/>
        <v>24925</v>
      </c>
      <c r="AF83" s="298"/>
    </row>
    <row r="84" spans="1:32" ht="15.75" customHeight="1">
      <c r="A84" s="23" t="str">
        <f t="shared" si="26"/>
        <v>Paraíso - Alimentação</v>
      </c>
      <c r="B84" s="24">
        <f t="shared" si="28"/>
        <v>0</v>
      </c>
      <c r="C84" s="24">
        <f t="shared" ref="C84:AE84" si="42">IFERROR(ROUND(C$70*C58-(C188*C214),0),0)</f>
        <v>86556</v>
      </c>
      <c r="D84" s="24">
        <f t="shared" si="42"/>
        <v>89542</v>
      </c>
      <c r="E84" s="24">
        <f t="shared" si="42"/>
        <v>92433</v>
      </c>
      <c r="F84" s="24">
        <f t="shared" si="42"/>
        <v>95371</v>
      </c>
      <c r="G84" s="24">
        <f t="shared" si="42"/>
        <v>98360</v>
      </c>
      <c r="H84" s="24">
        <f t="shared" si="42"/>
        <v>101434</v>
      </c>
      <c r="I84" s="24">
        <f t="shared" si="42"/>
        <v>104597</v>
      </c>
      <c r="J84" s="24">
        <f t="shared" si="42"/>
        <v>107818</v>
      </c>
      <c r="K84" s="24">
        <f t="shared" si="42"/>
        <v>111098</v>
      </c>
      <c r="L84" s="24">
        <f t="shared" si="42"/>
        <v>114482</v>
      </c>
      <c r="M84" s="24">
        <f t="shared" si="42"/>
        <v>117967</v>
      </c>
      <c r="N84" s="24">
        <f t="shared" si="42"/>
        <v>121563</v>
      </c>
      <c r="O84" s="24">
        <f t="shared" si="42"/>
        <v>125267</v>
      </c>
      <c r="P84" s="24">
        <f t="shared" si="42"/>
        <v>129083</v>
      </c>
      <c r="Q84" s="24">
        <f t="shared" si="42"/>
        <v>133004</v>
      </c>
      <c r="R84" s="24">
        <f t="shared" si="42"/>
        <v>137024</v>
      </c>
      <c r="S84" s="24">
        <f t="shared" si="42"/>
        <v>141130</v>
      </c>
      <c r="T84" s="24">
        <f t="shared" si="42"/>
        <v>145312</v>
      </c>
      <c r="U84" s="24">
        <f t="shared" si="42"/>
        <v>149549</v>
      </c>
      <c r="V84" s="24">
        <f t="shared" si="42"/>
        <v>149549</v>
      </c>
      <c r="W84" s="24">
        <f t="shared" si="42"/>
        <v>149549</v>
      </c>
      <c r="X84" s="24">
        <f t="shared" si="42"/>
        <v>149549</v>
      </c>
      <c r="Y84" s="24">
        <f t="shared" si="42"/>
        <v>149549</v>
      </c>
      <c r="Z84" s="24">
        <f t="shared" si="42"/>
        <v>149549</v>
      </c>
      <c r="AA84" s="24">
        <f t="shared" si="42"/>
        <v>149549</v>
      </c>
      <c r="AB84" s="24">
        <f t="shared" si="42"/>
        <v>149549</v>
      </c>
      <c r="AC84" s="24">
        <f t="shared" si="42"/>
        <v>149549</v>
      </c>
      <c r="AD84" s="24">
        <f t="shared" si="42"/>
        <v>149549</v>
      </c>
      <c r="AE84" s="24">
        <f t="shared" si="42"/>
        <v>149549</v>
      </c>
      <c r="AF84" s="298"/>
    </row>
    <row r="85" spans="1:32" ht="15.75" customHeight="1">
      <c r="A85" s="23" t="str">
        <f t="shared" si="26"/>
        <v>Paraíso - Comércio + Locação + Atividades</v>
      </c>
      <c r="B85" s="24">
        <f t="shared" si="28"/>
        <v>0</v>
      </c>
      <c r="C85" s="24">
        <f t="shared" ref="C85:AE85" si="43">IFERROR(ROUND(C$70*C59-(C189*C215),0),0)</f>
        <v>14426</v>
      </c>
      <c r="D85" s="24">
        <f t="shared" si="43"/>
        <v>14924</v>
      </c>
      <c r="E85" s="24">
        <f t="shared" si="43"/>
        <v>15406</v>
      </c>
      <c r="F85" s="24">
        <f t="shared" si="43"/>
        <v>15895</v>
      </c>
      <c r="G85" s="24">
        <f t="shared" si="43"/>
        <v>16393</v>
      </c>
      <c r="H85" s="24">
        <f t="shared" si="43"/>
        <v>16906</v>
      </c>
      <c r="I85" s="24">
        <f t="shared" si="43"/>
        <v>17433</v>
      </c>
      <c r="J85" s="24">
        <f t="shared" si="43"/>
        <v>17970</v>
      </c>
      <c r="K85" s="24">
        <f t="shared" si="43"/>
        <v>18516</v>
      </c>
      <c r="L85" s="24">
        <f t="shared" si="43"/>
        <v>19080</v>
      </c>
      <c r="M85" s="24">
        <f t="shared" si="43"/>
        <v>19661</v>
      </c>
      <c r="N85" s="24">
        <f t="shared" si="43"/>
        <v>20260</v>
      </c>
      <c r="O85" s="24">
        <f t="shared" si="43"/>
        <v>20878</v>
      </c>
      <c r="P85" s="24">
        <f t="shared" si="43"/>
        <v>21514</v>
      </c>
      <c r="Q85" s="24">
        <f t="shared" si="43"/>
        <v>22167</v>
      </c>
      <c r="R85" s="24">
        <f t="shared" si="43"/>
        <v>22837</v>
      </c>
      <c r="S85" s="24">
        <f t="shared" si="43"/>
        <v>23522</v>
      </c>
      <c r="T85" s="24">
        <f t="shared" si="43"/>
        <v>24219</v>
      </c>
      <c r="U85" s="24">
        <f t="shared" si="43"/>
        <v>24925</v>
      </c>
      <c r="V85" s="24">
        <f t="shared" si="43"/>
        <v>24925</v>
      </c>
      <c r="W85" s="24">
        <f t="shared" si="43"/>
        <v>24925</v>
      </c>
      <c r="X85" s="24">
        <f t="shared" si="43"/>
        <v>24925</v>
      </c>
      <c r="Y85" s="24">
        <f t="shared" si="43"/>
        <v>24925</v>
      </c>
      <c r="Z85" s="24">
        <f t="shared" si="43"/>
        <v>24925</v>
      </c>
      <c r="AA85" s="24">
        <f t="shared" si="43"/>
        <v>24925</v>
      </c>
      <c r="AB85" s="24">
        <f t="shared" si="43"/>
        <v>24925</v>
      </c>
      <c r="AC85" s="24">
        <f t="shared" si="43"/>
        <v>24925</v>
      </c>
      <c r="AD85" s="24">
        <f t="shared" si="43"/>
        <v>24925</v>
      </c>
      <c r="AE85" s="24">
        <f t="shared" si="43"/>
        <v>24925</v>
      </c>
      <c r="AF85" s="298"/>
    </row>
    <row r="86" spans="1:32" ht="15.75" customHeight="1">
      <c r="A86" s="23" t="str">
        <f t="shared" si="26"/>
        <v>Geral - Unidade móvel - Alimentação</v>
      </c>
      <c r="B86" s="24">
        <f t="shared" si="28"/>
        <v>0</v>
      </c>
      <c r="C86" s="24">
        <f t="shared" ref="C86:AE86" si="44">IFERROR(ROUND(C$70*C60-(C190*C216),0),0)</f>
        <v>21639</v>
      </c>
      <c r="D86" s="24">
        <f t="shared" si="44"/>
        <v>22385</v>
      </c>
      <c r="E86" s="24">
        <f t="shared" si="44"/>
        <v>23108</v>
      </c>
      <c r="F86" s="24">
        <f t="shared" si="44"/>
        <v>23843</v>
      </c>
      <c r="G86" s="24">
        <f t="shared" si="44"/>
        <v>24590</v>
      </c>
      <c r="H86" s="24">
        <f t="shared" si="44"/>
        <v>25358</v>
      </c>
      <c r="I86" s="24">
        <f t="shared" si="44"/>
        <v>26149</v>
      </c>
      <c r="J86" s="24">
        <f t="shared" si="44"/>
        <v>26954</v>
      </c>
      <c r="K86" s="24">
        <f t="shared" si="44"/>
        <v>27775</v>
      </c>
      <c r="L86" s="24">
        <f t="shared" si="44"/>
        <v>28620</v>
      </c>
      <c r="M86" s="24">
        <f t="shared" si="44"/>
        <v>29492</v>
      </c>
      <c r="N86" s="24">
        <f t="shared" si="44"/>
        <v>30391</v>
      </c>
      <c r="O86" s="24">
        <f t="shared" si="44"/>
        <v>31317</v>
      </c>
      <c r="P86" s="24">
        <f t="shared" si="44"/>
        <v>32271</v>
      </c>
      <c r="Q86" s="24">
        <f t="shared" si="44"/>
        <v>33251</v>
      </c>
      <c r="R86" s="24">
        <f t="shared" si="44"/>
        <v>34256</v>
      </c>
      <c r="S86" s="24">
        <f t="shared" si="44"/>
        <v>35283</v>
      </c>
      <c r="T86" s="24">
        <f t="shared" si="44"/>
        <v>36328</v>
      </c>
      <c r="U86" s="24">
        <f t="shared" si="44"/>
        <v>37387</v>
      </c>
      <c r="V86" s="24">
        <f t="shared" si="44"/>
        <v>37387</v>
      </c>
      <c r="W86" s="24">
        <f t="shared" si="44"/>
        <v>37387</v>
      </c>
      <c r="X86" s="24">
        <f t="shared" si="44"/>
        <v>37387</v>
      </c>
      <c r="Y86" s="24">
        <f t="shared" si="44"/>
        <v>37387</v>
      </c>
      <c r="Z86" s="24">
        <f t="shared" si="44"/>
        <v>37387</v>
      </c>
      <c r="AA86" s="24">
        <f t="shared" si="44"/>
        <v>37387</v>
      </c>
      <c r="AB86" s="24">
        <f t="shared" si="44"/>
        <v>37387</v>
      </c>
      <c r="AC86" s="24">
        <f t="shared" si="44"/>
        <v>37387</v>
      </c>
      <c r="AD86" s="24">
        <f t="shared" si="44"/>
        <v>37387</v>
      </c>
      <c r="AE86" s="24">
        <f t="shared" si="44"/>
        <v>37387</v>
      </c>
      <c r="AF86" s="298"/>
    </row>
    <row r="87" spans="1:32" ht="15.75" customHeight="1">
      <c r="A87" s="23" t="str">
        <f t="shared" si="26"/>
        <v>Mangue Seco - Estacionamento</v>
      </c>
      <c r="B87" s="24">
        <f t="shared" si="28"/>
        <v>0</v>
      </c>
      <c r="C87" s="24">
        <f t="shared" ref="C87:AE87" si="45">IFERROR(ROUND(C$70*C61-(C191*C217),0),0)</f>
        <v>2705</v>
      </c>
      <c r="D87" s="24">
        <f t="shared" si="45"/>
        <v>2798</v>
      </c>
      <c r="E87" s="24">
        <f t="shared" si="45"/>
        <v>2889</v>
      </c>
      <c r="F87" s="24">
        <f t="shared" si="45"/>
        <v>2980</v>
      </c>
      <c r="G87" s="24">
        <f t="shared" si="45"/>
        <v>3074</v>
      </c>
      <c r="H87" s="24">
        <f t="shared" si="45"/>
        <v>3170</v>
      </c>
      <c r="I87" s="24">
        <f t="shared" si="45"/>
        <v>3269</v>
      </c>
      <c r="J87" s="24">
        <f t="shared" si="45"/>
        <v>3369</v>
      </c>
      <c r="K87" s="24">
        <f t="shared" si="45"/>
        <v>3472</v>
      </c>
      <c r="L87" s="24">
        <f t="shared" si="45"/>
        <v>3578</v>
      </c>
      <c r="M87" s="24">
        <f t="shared" si="45"/>
        <v>3686</v>
      </c>
      <c r="N87" s="24">
        <f t="shared" si="45"/>
        <v>3799</v>
      </c>
      <c r="O87" s="24">
        <f t="shared" si="45"/>
        <v>3915</v>
      </c>
      <c r="P87" s="24">
        <f t="shared" si="45"/>
        <v>4034</v>
      </c>
      <c r="Q87" s="24">
        <f t="shared" si="45"/>
        <v>4156</v>
      </c>
      <c r="R87" s="24">
        <f t="shared" si="45"/>
        <v>4282</v>
      </c>
      <c r="S87" s="24">
        <f t="shared" si="45"/>
        <v>4410</v>
      </c>
      <c r="T87" s="24">
        <f t="shared" si="45"/>
        <v>4541</v>
      </c>
      <c r="U87" s="24">
        <f t="shared" si="45"/>
        <v>4673</v>
      </c>
      <c r="V87" s="24">
        <f t="shared" si="45"/>
        <v>4673</v>
      </c>
      <c r="W87" s="24">
        <f t="shared" si="45"/>
        <v>4673</v>
      </c>
      <c r="X87" s="24">
        <f t="shared" si="45"/>
        <v>4673</v>
      </c>
      <c r="Y87" s="24">
        <f t="shared" si="45"/>
        <v>4673</v>
      </c>
      <c r="Z87" s="24">
        <f t="shared" si="45"/>
        <v>4673</v>
      </c>
      <c r="AA87" s="24">
        <f t="shared" si="45"/>
        <v>4673</v>
      </c>
      <c r="AB87" s="24">
        <f t="shared" si="45"/>
        <v>4673</v>
      </c>
      <c r="AC87" s="24">
        <f t="shared" si="45"/>
        <v>4673</v>
      </c>
      <c r="AD87" s="24">
        <f t="shared" si="45"/>
        <v>4673</v>
      </c>
      <c r="AE87" s="24">
        <f t="shared" si="45"/>
        <v>4673</v>
      </c>
      <c r="AF87" s="298"/>
    </row>
    <row r="88" spans="1:32" ht="15.75" customHeight="1">
      <c r="A88" s="23" t="str">
        <f t="shared" si="26"/>
        <v>Lagoa Grande - Estacionamento</v>
      </c>
      <c r="B88" s="24">
        <f t="shared" si="28"/>
        <v>0</v>
      </c>
      <c r="C88" s="24">
        <f t="shared" ref="C88:AE88" si="46">IFERROR(ROUND(C$70*C62-(C192*C218),0),0)</f>
        <v>2705</v>
      </c>
      <c r="D88" s="24">
        <f t="shared" si="46"/>
        <v>2798</v>
      </c>
      <c r="E88" s="24">
        <f t="shared" si="46"/>
        <v>2889</v>
      </c>
      <c r="F88" s="24">
        <f t="shared" si="46"/>
        <v>2980</v>
      </c>
      <c r="G88" s="24">
        <f t="shared" si="46"/>
        <v>3074</v>
      </c>
      <c r="H88" s="24">
        <f t="shared" si="46"/>
        <v>3170</v>
      </c>
      <c r="I88" s="24">
        <f t="shared" si="46"/>
        <v>3269</v>
      </c>
      <c r="J88" s="24">
        <f t="shared" si="46"/>
        <v>3369</v>
      </c>
      <c r="K88" s="24">
        <f t="shared" si="46"/>
        <v>3472</v>
      </c>
      <c r="L88" s="24">
        <f t="shared" si="46"/>
        <v>3578</v>
      </c>
      <c r="M88" s="24">
        <f t="shared" si="46"/>
        <v>3686</v>
      </c>
      <c r="N88" s="24">
        <f t="shared" si="46"/>
        <v>3799</v>
      </c>
      <c r="O88" s="24">
        <f t="shared" si="46"/>
        <v>3915</v>
      </c>
      <c r="P88" s="24">
        <f t="shared" si="46"/>
        <v>4034</v>
      </c>
      <c r="Q88" s="24">
        <f t="shared" si="46"/>
        <v>4156</v>
      </c>
      <c r="R88" s="24">
        <f t="shared" si="46"/>
        <v>4282</v>
      </c>
      <c r="S88" s="24">
        <f t="shared" si="46"/>
        <v>4410</v>
      </c>
      <c r="T88" s="24">
        <f t="shared" si="46"/>
        <v>4541</v>
      </c>
      <c r="U88" s="24">
        <f t="shared" si="46"/>
        <v>4673</v>
      </c>
      <c r="V88" s="24">
        <f t="shared" si="46"/>
        <v>4673</v>
      </c>
      <c r="W88" s="24">
        <f t="shared" si="46"/>
        <v>4673</v>
      </c>
      <c r="X88" s="24">
        <f t="shared" si="46"/>
        <v>4673</v>
      </c>
      <c r="Y88" s="24">
        <f t="shared" si="46"/>
        <v>4673</v>
      </c>
      <c r="Z88" s="24">
        <f t="shared" si="46"/>
        <v>4673</v>
      </c>
      <c r="AA88" s="24">
        <f t="shared" si="46"/>
        <v>4673</v>
      </c>
      <c r="AB88" s="24">
        <f t="shared" si="46"/>
        <v>4673</v>
      </c>
      <c r="AC88" s="24">
        <f t="shared" si="46"/>
        <v>4673</v>
      </c>
      <c r="AD88" s="24">
        <f t="shared" si="46"/>
        <v>4673</v>
      </c>
      <c r="AE88" s="24">
        <f t="shared" si="46"/>
        <v>4673</v>
      </c>
      <c r="AF88" s="298"/>
    </row>
    <row r="89" spans="1:32" ht="15.75" customHeight="1">
      <c r="A89" s="23">
        <f t="shared" si="26"/>
        <v>0</v>
      </c>
      <c r="B89" s="24">
        <f t="shared" si="28"/>
        <v>0</v>
      </c>
      <c r="C89" s="24">
        <f t="shared" ref="C89:AE89" si="47">IFERROR(ROUND(C$70*C63-(C193*C219),0),0)</f>
        <v>0</v>
      </c>
      <c r="D89" s="24">
        <f t="shared" si="47"/>
        <v>0</v>
      </c>
      <c r="E89" s="24">
        <f t="shared" si="47"/>
        <v>0</v>
      </c>
      <c r="F89" s="24">
        <f t="shared" si="47"/>
        <v>0</v>
      </c>
      <c r="G89" s="24">
        <f t="shared" si="47"/>
        <v>0</v>
      </c>
      <c r="H89" s="24">
        <f t="shared" si="47"/>
        <v>0</v>
      </c>
      <c r="I89" s="24">
        <f t="shared" si="47"/>
        <v>0</v>
      </c>
      <c r="J89" s="24">
        <f t="shared" si="47"/>
        <v>0</v>
      </c>
      <c r="K89" s="24">
        <f t="shared" si="47"/>
        <v>0</v>
      </c>
      <c r="L89" s="24">
        <f t="shared" si="47"/>
        <v>0</v>
      </c>
      <c r="M89" s="24">
        <f t="shared" si="47"/>
        <v>0</v>
      </c>
      <c r="N89" s="24">
        <f t="shared" si="47"/>
        <v>0</v>
      </c>
      <c r="O89" s="24">
        <f t="shared" si="47"/>
        <v>0</v>
      </c>
      <c r="P89" s="24">
        <f t="shared" si="47"/>
        <v>0</v>
      </c>
      <c r="Q89" s="24">
        <f t="shared" si="47"/>
        <v>0</v>
      </c>
      <c r="R89" s="24">
        <f t="shared" si="47"/>
        <v>0</v>
      </c>
      <c r="S89" s="24">
        <f t="shared" si="47"/>
        <v>0</v>
      </c>
      <c r="T89" s="24">
        <f t="shared" si="47"/>
        <v>0</v>
      </c>
      <c r="U89" s="24">
        <f t="shared" si="47"/>
        <v>0</v>
      </c>
      <c r="V89" s="24">
        <f t="shared" si="47"/>
        <v>0</v>
      </c>
      <c r="W89" s="24">
        <f t="shared" si="47"/>
        <v>0</v>
      </c>
      <c r="X89" s="24">
        <f t="shared" si="47"/>
        <v>0</v>
      </c>
      <c r="Y89" s="24">
        <f t="shared" si="47"/>
        <v>0</v>
      </c>
      <c r="Z89" s="24">
        <f t="shared" si="47"/>
        <v>0</v>
      </c>
      <c r="AA89" s="24">
        <f t="shared" si="47"/>
        <v>0</v>
      </c>
      <c r="AB89" s="24">
        <f t="shared" si="47"/>
        <v>0</v>
      </c>
      <c r="AC89" s="24">
        <f t="shared" si="47"/>
        <v>0</v>
      </c>
      <c r="AD89" s="24">
        <f t="shared" si="47"/>
        <v>0</v>
      </c>
      <c r="AE89" s="24">
        <f t="shared" si="47"/>
        <v>0</v>
      </c>
      <c r="AF89" s="298"/>
    </row>
    <row r="90" spans="1:32" ht="15.75" customHeight="1">
      <c r="A90" s="23">
        <f t="shared" si="26"/>
        <v>0</v>
      </c>
      <c r="B90" s="24">
        <f t="shared" si="28"/>
        <v>0</v>
      </c>
      <c r="C90" s="24">
        <f t="shared" ref="C90:AE90" si="48">IFERROR(ROUND(C$70*C64-(C194*C220),0),0)</f>
        <v>0</v>
      </c>
      <c r="D90" s="24">
        <f t="shared" si="48"/>
        <v>0</v>
      </c>
      <c r="E90" s="24">
        <f t="shared" si="48"/>
        <v>0</v>
      </c>
      <c r="F90" s="24">
        <f t="shared" si="48"/>
        <v>0</v>
      </c>
      <c r="G90" s="24">
        <f t="shared" si="48"/>
        <v>0</v>
      </c>
      <c r="H90" s="24">
        <f t="shared" si="48"/>
        <v>0</v>
      </c>
      <c r="I90" s="24">
        <f t="shared" si="48"/>
        <v>0</v>
      </c>
      <c r="J90" s="24">
        <f t="shared" si="48"/>
        <v>0</v>
      </c>
      <c r="K90" s="24">
        <f t="shared" si="48"/>
        <v>0</v>
      </c>
      <c r="L90" s="24">
        <f t="shared" si="48"/>
        <v>0</v>
      </c>
      <c r="M90" s="24">
        <f t="shared" si="48"/>
        <v>0</v>
      </c>
      <c r="N90" s="24">
        <f t="shared" si="48"/>
        <v>0</v>
      </c>
      <c r="O90" s="24">
        <f t="shared" si="48"/>
        <v>0</v>
      </c>
      <c r="P90" s="24">
        <f t="shared" si="48"/>
        <v>0</v>
      </c>
      <c r="Q90" s="24">
        <f t="shared" si="48"/>
        <v>0</v>
      </c>
      <c r="R90" s="24">
        <f t="shared" si="48"/>
        <v>0</v>
      </c>
      <c r="S90" s="24">
        <f t="shared" si="48"/>
        <v>0</v>
      </c>
      <c r="T90" s="24">
        <f t="shared" si="48"/>
        <v>0</v>
      </c>
      <c r="U90" s="24">
        <f t="shared" si="48"/>
        <v>0</v>
      </c>
      <c r="V90" s="24">
        <f t="shared" si="48"/>
        <v>0</v>
      </c>
      <c r="W90" s="24">
        <f t="shared" si="48"/>
        <v>0</v>
      </c>
      <c r="X90" s="24">
        <f t="shared" si="48"/>
        <v>0</v>
      </c>
      <c r="Y90" s="24">
        <f t="shared" si="48"/>
        <v>0</v>
      </c>
      <c r="Z90" s="24">
        <f t="shared" si="48"/>
        <v>0</v>
      </c>
      <c r="AA90" s="24">
        <f t="shared" si="48"/>
        <v>0</v>
      </c>
      <c r="AB90" s="24">
        <f t="shared" si="48"/>
        <v>0</v>
      </c>
      <c r="AC90" s="24">
        <f t="shared" si="48"/>
        <v>0</v>
      </c>
      <c r="AD90" s="24">
        <f t="shared" si="48"/>
        <v>0</v>
      </c>
      <c r="AE90" s="24">
        <f t="shared" si="48"/>
        <v>0</v>
      </c>
      <c r="AF90" s="298"/>
    </row>
    <row r="91" spans="1:32" ht="15.75" customHeight="1">
      <c r="A91" s="298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</row>
    <row r="92" spans="1:32" ht="15.75" customHeight="1">
      <c r="A92" s="484" t="s">
        <v>108</v>
      </c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</row>
    <row r="93" spans="1:32" ht="15.75" customHeight="1">
      <c r="A93" s="298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</row>
    <row r="94" spans="1:32" ht="15.75" customHeight="1">
      <c r="A94" s="495" t="s">
        <v>47</v>
      </c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</row>
    <row r="95" spans="1:32" ht="15.75" customHeight="1">
      <c r="A95" s="758" t="str">
        <f>A17</f>
        <v>Unidades Geradoras de Caixa (UGC)</v>
      </c>
      <c r="B95" s="759" t="s">
        <v>104</v>
      </c>
      <c r="C95" s="813"/>
      <c r="D95" s="813"/>
      <c r="E95" s="813"/>
      <c r="F95" s="813"/>
      <c r="G95" s="813"/>
      <c r="H95" s="813"/>
      <c r="I95" s="813"/>
      <c r="J95" s="813"/>
      <c r="K95" s="813"/>
      <c r="L95" s="813"/>
      <c r="M95" s="813"/>
      <c r="N95" s="813"/>
      <c r="O95" s="813"/>
      <c r="P95" s="813"/>
      <c r="Q95" s="813"/>
      <c r="R95" s="813"/>
      <c r="S95" s="813"/>
      <c r="T95" s="813"/>
      <c r="U95" s="813"/>
      <c r="V95" s="813"/>
      <c r="W95" s="813"/>
      <c r="X95" s="813"/>
      <c r="Y95" s="813"/>
      <c r="Z95" s="813"/>
      <c r="AA95" s="813"/>
      <c r="AB95" s="813"/>
      <c r="AC95" s="813"/>
      <c r="AD95" s="813"/>
      <c r="AE95" s="813"/>
      <c r="AF95" s="760" t="s">
        <v>109</v>
      </c>
    </row>
    <row r="96" spans="1:32" ht="13.5" customHeight="1">
      <c r="A96" s="813"/>
      <c r="B96" s="488">
        <v>1</v>
      </c>
      <c r="C96" s="488">
        <v>2</v>
      </c>
      <c r="D96" s="488">
        <v>3</v>
      </c>
      <c r="E96" s="488">
        <v>4</v>
      </c>
      <c r="F96" s="488">
        <v>5</v>
      </c>
      <c r="G96" s="488">
        <v>6</v>
      </c>
      <c r="H96" s="488">
        <v>7</v>
      </c>
      <c r="I96" s="488">
        <v>8</v>
      </c>
      <c r="J96" s="488">
        <v>9</v>
      </c>
      <c r="K96" s="488">
        <v>10</v>
      </c>
      <c r="L96" s="488">
        <v>11</v>
      </c>
      <c r="M96" s="488">
        <v>12</v>
      </c>
      <c r="N96" s="488">
        <v>13</v>
      </c>
      <c r="O96" s="488">
        <v>14</v>
      </c>
      <c r="P96" s="488">
        <v>15</v>
      </c>
      <c r="Q96" s="488">
        <v>16</v>
      </c>
      <c r="R96" s="488">
        <v>17</v>
      </c>
      <c r="S96" s="488">
        <v>18</v>
      </c>
      <c r="T96" s="488">
        <v>19</v>
      </c>
      <c r="U96" s="488">
        <v>20</v>
      </c>
      <c r="V96" s="488">
        <v>21</v>
      </c>
      <c r="W96" s="488">
        <v>22</v>
      </c>
      <c r="X96" s="488">
        <v>23</v>
      </c>
      <c r="Y96" s="488">
        <v>24</v>
      </c>
      <c r="Z96" s="488">
        <v>25</v>
      </c>
      <c r="AA96" s="488">
        <v>26</v>
      </c>
      <c r="AB96" s="488">
        <v>27</v>
      </c>
      <c r="AC96" s="488">
        <v>28</v>
      </c>
      <c r="AD96" s="488">
        <v>29</v>
      </c>
      <c r="AE96" s="488">
        <v>30</v>
      </c>
      <c r="AF96" s="816"/>
    </row>
    <row r="97" spans="1:32" ht="15.75" customHeight="1">
      <c r="A97" s="12" t="s">
        <v>105</v>
      </c>
      <c r="B97" s="9">
        <v>1</v>
      </c>
      <c r="C97" s="9">
        <v>1</v>
      </c>
      <c r="D97" s="9">
        <v>1</v>
      </c>
      <c r="E97" s="9">
        <v>1</v>
      </c>
      <c r="F97" s="9">
        <v>1</v>
      </c>
      <c r="G97" s="9">
        <v>1</v>
      </c>
      <c r="H97" s="9">
        <v>1</v>
      </c>
      <c r="I97" s="9">
        <v>1</v>
      </c>
      <c r="J97" s="9">
        <v>1</v>
      </c>
      <c r="K97" s="9">
        <v>1</v>
      </c>
      <c r="L97" s="9">
        <v>1</v>
      </c>
      <c r="M97" s="9">
        <v>1</v>
      </c>
      <c r="N97" s="9">
        <v>1</v>
      </c>
      <c r="O97" s="9">
        <v>1</v>
      </c>
      <c r="P97" s="9">
        <v>1</v>
      </c>
      <c r="Q97" s="9">
        <v>1</v>
      </c>
      <c r="R97" s="9">
        <v>1</v>
      </c>
      <c r="S97" s="9">
        <v>1</v>
      </c>
      <c r="T97" s="9">
        <v>1</v>
      </c>
      <c r="U97" s="9">
        <v>1</v>
      </c>
      <c r="V97" s="9">
        <v>1</v>
      </c>
      <c r="W97" s="9">
        <v>1</v>
      </c>
      <c r="X97" s="9">
        <v>1</v>
      </c>
      <c r="Y97" s="9">
        <v>1</v>
      </c>
      <c r="Z97" s="9">
        <v>1</v>
      </c>
      <c r="AA97" s="9">
        <v>1</v>
      </c>
      <c r="AB97" s="9">
        <v>1</v>
      </c>
      <c r="AC97" s="9">
        <v>1</v>
      </c>
      <c r="AD97" s="9">
        <v>1</v>
      </c>
      <c r="AE97" s="9">
        <v>1</v>
      </c>
      <c r="AF97" s="25"/>
    </row>
    <row r="98" spans="1:32" ht="15.75" customHeight="1">
      <c r="A98" s="12" t="str">
        <f t="shared" ref="A98:A117" si="49">A20</f>
        <v>Ingresso</v>
      </c>
      <c r="B98" s="9">
        <v>1</v>
      </c>
      <c r="C98" s="9">
        <f t="shared" ref="C98:AE98" si="50">B98</f>
        <v>1</v>
      </c>
      <c r="D98" s="9">
        <f t="shared" si="50"/>
        <v>1</v>
      </c>
      <c r="E98" s="9">
        <f t="shared" si="50"/>
        <v>1</v>
      </c>
      <c r="F98" s="9">
        <f t="shared" si="50"/>
        <v>1</v>
      </c>
      <c r="G98" s="9">
        <f t="shared" si="50"/>
        <v>1</v>
      </c>
      <c r="H98" s="9">
        <f t="shared" si="50"/>
        <v>1</v>
      </c>
      <c r="I98" s="9">
        <f t="shared" si="50"/>
        <v>1</v>
      </c>
      <c r="J98" s="9">
        <f t="shared" si="50"/>
        <v>1</v>
      </c>
      <c r="K98" s="9">
        <f t="shared" si="50"/>
        <v>1</v>
      </c>
      <c r="L98" s="9">
        <f t="shared" si="50"/>
        <v>1</v>
      </c>
      <c r="M98" s="9">
        <f t="shared" si="50"/>
        <v>1</v>
      </c>
      <c r="N98" s="9">
        <f t="shared" si="50"/>
        <v>1</v>
      </c>
      <c r="O98" s="9">
        <f t="shared" si="50"/>
        <v>1</v>
      </c>
      <c r="P98" s="9">
        <f t="shared" si="50"/>
        <v>1</v>
      </c>
      <c r="Q98" s="9">
        <f t="shared" si="50"/>
        <v>1</v>
      </c>
      <c r="R98" s="9">
        <f t="shared" si="50"/>
        <v>1</v>
      </c>
      <c r="S98" s="9">
        <f t="shared" si="50"/>
        <v>1</v>
      </c>
      <c r="T98" s="9">
        <f t="shared" si="50"/>
        <v>1</v>
      </c>
      <c r="U98" s="9">
        <f t="shared" si="50"/>
        <v>1</v>
      </c>
      <c r="V98" s="9">
        <f t="shared" si="50"/>
        <v>1</v>
      </c>
      <c r="W98" s="9">
        <f t="shared" si="50"/>
        <v>1</v>
      </c>
      <c r="X98" s="9">
        <f t="shared" si="50"/>
        <v>1</v>
      </c>
      <c r="Y98" s="9">
        <f t="shared" si="50"/>
        <v>1</v>
      </c>
      <c r="Z98" s="9">
        <f t="shared" si="50"/>
        <v>1</v>
      </c>
      <c r="AA98" s="9">
        <f t="shared" si="50"/>
        <v>1</v>
      </c>
      <c r="AB98" s="9">
        <f t="shared" si="50"/>
        <v>1</v>
      </c>
      <c r="AC98" s="9">
        <f t="shared" si="50"/>
        <v>1</v>
      </c>
      <c r="AD98" s="9">
        <f t="shared" si="50"/>
        <v>1</v>
      </c>
      <c r="AE98" s="9">
        <f t="shared" si="50"/>
        <v>1</v>
      </c>
      <c r="AF98" s="25" t="s">
        <v>110</v>
      </c>
    </row>
    <row r="99" spans="1:32" ht="15.75" customHeight="1">
      <c r="A99" s="12" t="str">
        <f t="shared" si="49"/>
        <v>Preá - Alimentação</v>
      </c>
      <c r="B99" s="9">
        <v>0.08</v>
      </c>
      <c r="C99" s="9">
        <f t="shared" ref="C99:AE99" si="51">B99</f>
        <v>0.08</v>
      </c>
      <c r="D99" s="9">
        <f t="shared" si="51"/>
        <v>0.08</v>
      </c>
      <c r="E99" s="9">
        <f t="shared" si="51"/>
        <v>0.08</v>
      </c>
      <c r="F99" s="9">
        <f t="shared" si="51"/>
        <v>0.08</v>
      </c>
      <c r="G99" s="9">
        <f t="shared" si="51"/>
        <v>0.08</v>
      </c>
      <c r="H99" s="9">
        <f t="shared" si="51"/>
        <v>0.08</v>
      </c>
      <c r="I99" s="9">
        <f t="shared" si="51"/>
        <v>0.08</v>
      </c>
      <c r="J99" s="9">
        <f t="shared" si="51"/>
        <v>0.08</v>
      </c>
      <c r="K99" s="9">
        <f t="shared" si="51"/>
        <v>0.08</v>
      </c>
      <c r="L99" s="9">
        <f t="shared" si="51"/>
        <v>0.08</v>
      </c>
      <c r="M99" s="9">
        <f t="shared" si="51"/>
        <v>0.08</v>
      </c>
      <c r="N99" s="9">
        <f t="shared" si="51"/>
        <v>0.08</v>
      </c>
      <c r="O99" s="9">
        <f t="shared" si="51"/>
        <v>0.08</v>
      </c>
      <c r="P99" s="9">
        <f t="shared" si="51"/>
        <v>0.08</v>
      </c>
      <c r="Q99" s="9">
        <f t="shared" si="51"/>
        <v>0.08</v>
      </c>
      <c r="R99" s="9">
        <f t="shared" si="51"/>
        <v>0.08</v>
      </c>
      <c r="S99" s="9">
        <f t="shared" si="51"/>
        <v>0.08</v>
      </c>
      <c r="T99" s="9">
        <f t="shared" si="51"/>
        <v>0.08</v>
      </c>
      <c r="U99" s="9">
        <f t="shared" si="51"/>
        <v>0.08</v>
      </c>
      <c r="V99" s="9">
        <f t="shared" si="51"/>
        <v>0.08</v>
      </c>
      <c r="W99" s="9">
        <f t="shared" si="51"/>
        <v>0.08</v>
      </c>
      <c r="X99" s="9">
        <f t="shared" si="51"/>
        <v>0.08</v>
      </c>
      <c r="Y99" s="9">
        <f t="shared" si="51"/>
        <v>0.08</v>
      </c>
      <c r="Z99" s="9">
        <f t="shared" si="51"/>
        <v>0.08</v>
      </c>
      <c r="AA99" s="9">
        <f t="shared" si="51"/>
        <v>0.08</v>
      </c>
      <c r="AB99" s="9">
        <f t="shared" si="51"/>
        <v>0.08</v>
      </c>
      <c r="AC99" s="9">
        <f t="shared" si="51"/>
        <v>0.08</v>
      </c>
      <c r="AD99" s="9">
        <f t="shared" si="51"/>
        <v>0.08</v>
      </c>
      <c r="AE99" s="9">
        <f t="shared" si="51"/>
        <v>0.08</v>
      </c>
      <c r="AF99" s="25" t="s">
        <v>110</v>
      </c>
    </row>
    <row r="100" spans="1:32" ht="15.75" customHeight="1">
      <c r="A100" s="12" t="str">
        <f t="shared" si="49"/>
        <v>Preá - Comércio</v>
      </c>
      <c r="B100" s="9">
        <v>1.3333333333333332E-2</v>
      </c>
      <c r="C100" s="9">
        <f t="shared" ref="C100:AE100" si="52">B100</f>
        <v>1.3333333333333332E-2</v>
      </c>
      <c r="D100" s="9">
        <f t="shared" si="52"/>
        <v>1.3333333333333332E-2</v>
      </c>
      <c r="E100" s="9">
        <f t="shared" si="52"/>
        <v>1.3333333333333332E-2</v>
      </c>
      <c r="F100" s="9">
        <f t="shared" si="52"/>
        <v>1.3333333333333332E-2</v>
      </c>
      <c r="G100" s="9">
        <f t="shared" si="52"/>
        <v>1.3333333333333332E-2</v>
      </c>
      <c r="H100" s="9">
        <f t="shared" si="52"/>
        <v>1.3333333333333332E-2</v>
      </c>
      <c r="I100" s="9">
        <f t="shared" si="52"/>
        <v>1.3333333333333332E-2</v>
      </c>
      <c r="J100" s="9">
        <f t="shared" si="52"/>
        <v>1.3333333333333332E-2</v>
      </c>
      <c r="K100" s="9">
        <f t="shared" si="52"/>
        <v>1.3333333333333332E-2</v>
      </c>
      <c r="L100" s="9">
        <f t="shared" si="52"/>
        <v>1.3333333333333332E-2</v>
      </c>
      <c r="M100" s="9">
        <f t="shared" si="52"/>
        <v>1.3333333333333332E-2</v>
      </c>
      <c r="N100" s="9">
        <f t="shared" si="52"/>
        <v>1.3333333333333332E-2</v>
      </c>
      <c r="O100" s="9">
        <f t="shared" si="52"/>
        <v>1.3333333333333332E-2</v>
      </c>
      <c r="P100" s="9">
        <f t="shared" si="52"/>
        <v>1.3333333333333332E-2</v>
      </c>
      <c r="Q100" s="9">
        <f t="shared" si="52"/>
        <v>1.3333333333333332E-2</v>
      </c>
      <c r="R100" s="9">
        <f t="shared" si="52"/>
        <v>1.3333333333333332E-2</v>
      </c>
      <c r="S100" s="9">
        <f t="shared" si="52"/>
        <v>1.3333333333333332E-2</v>
      </c>
      <c r="T100" s="9">
        <f t="shared" si="52"/>
        <v>1.3333333333333332E-2</v>
      </c>
      <c r="U100" s="9">
        <f t="shared" si="52"/>
        <v>1.3333333333333332E-2</v>
      </c>
      <c r="V100" s="9">
        <f t="shared" si="52"/>
        <v>1.3333333333333332E-2</v>
      </c>
      <c r="W100" s="9">
        <f t="shared" si="52"/>
        <v>1.3333333333333332E-2</v>
      </c>
      <c r="X100" s="9">
        <f t="shared" si="52"/>
        <v>1.3333333333333332E-2</v>
      </c>
      <c r="Y100" s="9">
        <f t="shared" si="52"/>
        <v>1.3333333333333332E-2</v>
      </c>
      <c r="Z100" s="9">
        <f t="shared" si="52"/>
        <v>1.3333333333333332E-2</v>
      </c>
      <c r="AA100" s="9">
        <f t="shared" si="52"/>
        <v>1.3333333333333332E-2</v>
      </c>
      <c r="AB100" s="9">
        <f t="shared" si="52"/>
        <v>1.3333333333333332E-2</v>
      </c>
      <c r="AC100" s="9">
        <f t="shared" si="52"/>
        <v>1.3333333333333332E-2</v>
      </c>
      <c r="AD100" s="9">
        <f t="shared" si="52"/>
        <v>1.3333333333333332E-2</v>
      </c>
      <c r="AE100" s="9">
        <f t="shared" si="52"/>
        <v>1.3333333333333332E-2</v>
      </c>
      <c r="AF100" s="25" t="s">
        <v>110</v>
      </c>
    </row>
    <row r="101" spans="1:32" ht="15.75" customHeight="1">
      <c r="A101" s="12" t="str">
        <f t="shared" si="49"/>
        <v>Preá - Estacionamento</v>
      </c>
      <c r="B101" s="9">
        <f>60%*10%/3</f>
        <v>0.02</v>
      </c>
      <c r="C101" s="9">
        <f t="shared" ref="C101:AE101" si="53">B101</f>
        <v>0.02</v>
      </c>
      <c r="D101" s="9">
        <f t="shared" si="53"/>
        <v>0.02</v>
      </c>
      <c r="E101" s="9">
        <f t="shared" si="53"/>
        <v>0.02</v>
      </c>
      <c r="F101" s="9">
        <f t="shared" si="53"/>
        <v>0.02</v>
      </c>
      <c r="G101" s="9">
        <f t="shared" si="53"/>
        <v>0.02</v>
      </c>
      <c r="H101" s="9">
        <f t="shared" si="53"/>
        <v>0.02</v>
      </c>
      <c r="I101" s="9">
        <f t="shared" si="53"/>
        <v>0.02</v>
      </c>
      <c r="J101" s="9">
        <f t="shared" si="53"/>
        <v>0.02</v>
      </c>
      <c r="K101" s="9">
        <f t="shared" si="53"/>
        <v>0.02</v>
      </c>
      <c r="L101" s="9">
        <f t="shared" si="53"/>
        <v>0.02</v>
      </c>
      <c r="M101" s="9">
        <f t="shared" si="53"/>
        <v>0.02</v>
      </c>
      <c r="N101" s="9">
        <f t="shared" si="53"/>
        <v>0.02</v>
      </c>
      <c r="O101" s="9">
        <f t="shared" si="53"/>
        <v>0.02</v>
      </c>
      <c r="P101" s="9">
        <f t="shared" si="53"/>
        <v>0.02</v>
      </c>
      <c r="Q101" s="9">
        <f t="shared" si="53"/>
        <v>0.02</v>
      </c>
      <c r="R101" s="9">
        <f t="shared" si="53"/>
        <v>0.02</v>
      </c>
      <c r="S101" s="9">
        <f t="shared" si="53"/>
        <v>0.02</v>
      </c>
      <c r="T101" s="9">
        <f t="shared" si="53"/>
        <v>0.02</v>
      </c>
      <c r="U101" s="9">
        <f t="shared" si="53"/>
        <v>0.02</v>
      </c>
      <c r="V101" s="9">
        <f t="shared" si="53"/>
        <v>0.02</v>
      </c>
      <c r="W101" s="9">
        <f t="shared" si="53"/>
        <v>0.02</v>
      </c>
      <c r="X101" s="9">
        <f t="shared" si="53"/>
        <v>0.02</v>
      </c>
      <c r="Y101" s="9">
        <f t="shared" si="53"/>
        <v>0.02</v>
      </c>
      <c r="Z101" s="9">
        <f t="shared" si="53"/>
        <v>0.02</v>
      </c>
      <c r="AA101" s="9">
        <f t="shared" si="53"/>
        <v>0.02</v>
      </c>
      <c r="AB101" s="9">
        <f t="shared" si="53"/>
        <v>0.02</v>
      </c>
      <c r="AC101" s="9">
        <f t="shared" si="53"/>
        <v>0.02</v>
      </c>
      <c r="AD101" s="9">
        <f t="shared" si="53"/>
        <v>0.02</v>
      </c>
      <c r="AE101" s="9">
        <f t="shared" si="53"/>
        <v>0.02</v>
      </c>
      <c r="AF101" s="25" t="s">
        <v>111</v>
      </c>
    </row>
    <row r="102" spans="1:32" ht="15.75" customHeight="1">
      <c r="A102" s="12" t="str">
        <f t="shared" si="49"/>
        <v>Árvore da Preguiça - Alimentação</v>
      </c>
      <c r="B102" s="9">
        <v>0.08</v>
      </c>
      <c r="C102" s="9">
        <f t="shared" ref="C102:AE102" si="54">B102</f>
        <v>0.08</v>
      </c>
      <c r="D102" s="9">
        <f t="shared" si="54"/>
        <v>0.08</v>
      </c>
      <c r="E102" s="9">
        <f t="shared" si="54"/>
        <v>0.08</v>
      </c>
      <c r="F102" s="9">
        <f t="shared" si="54"/>
        <v>0.08</v>
      </c>
      <c r="G102" s="9">
        <f t="shared" si="54"/>
        <v>0.08</v>
      </c>
      <c r="H102" s="9">
        <f t="shared" si="54"/>
        <v>0.08</v>
      </c>
      <c r="I102" s="9">
        <f t="shared" si="54"/>
        <v>0.08</v>
      </c>
      <c r="J102" s="9">
        <f t="shared" si="54"/>
        <v>0.08</v>
      </c>
      <c r="K102" s="9">
        <f t="shared" si="54"/>
        <v>0.08</v>
      </c>
      <c r="L102" s="9">
        <f t="shared" si="54"/>
        <v>0.08</v>
      </c>
      <c r="M102" s="9">
        <f t="shared" si="54"/>
        <v>0.08</v>
      </c>
      <c r="N102" s="9">
        <f t="shared" si="54"/>
        <v>0.08</v>
      </c>
      <c r="O102" s="9">
        <f t="shared" si="54"/>
        <v>0.08</v>
      </c>
      <c r="P102" s="9">
        <f t="shared" si="54"/>
        <v>0.08</v>
      </c>
      <c r="Q102" s="9">
        <f t="shared" si="54"/>
        <v>0.08</v>
      </c>
      <c r="R102" s="9">
        <f t="shared" si="54"/>
        <v>0.08</v>
      </c>
      <c r="S102" s="9">
        <f t="shared" si="54"/>
        <v>0.08</v>
      </c>
      <c r="T102" s="9">
        <f t="shared" si="54"/>
        <v>0.08</v>
      </c>
      <c r="U102" s="9">
        <f t="shared" si="54"/>
        <v>0.08</v>
      </c>
      <c r="V102" s="9">
        <f t="shared" si="54"/>
        <v>0.08</v>
      </c>
      <c r="W102" s="9">
        <f t="shared" si="54"/>
        <v>0.08</v>
      </c>
      <c r="X102" s="9">
        <f t="shared" si="54"/>
        <v>0.08</v>
      </c>
      <c r="Y102" s="9">
        <f t="shared" si="54"/>
        <v>0.08</v>
      </c>
      <c r="Z102" s="9">
        <f t="shared" si="54"/>
        <v>0.08</v>
      </c>
      <c r="AA102" s="9">
        <f t="shared" si="54"/>
        <v>0.08</v>
      </c>
      <c r="AB102" s="9">
        <f t="shared" si="54"/>
        <v>0.08</v>
      </c>
      <c r="AC102" s="9">
        <f t="shared" si="54"/>
        <v>0.08</v>
      </c>
      <c r="AD102" s="9">
        <f t="shared" si="54"/>
        <v>0.08</v>
      </c>
      <c r="AE102" s="9">
        <f t="shared" si="54"/>
        <v>0.08</v>
      </c>
      <c r="AF102" s="25" t="s">
        <v>110</v>
      </c>
    </row>
    <row r="103" spans="1:32" ht="15.75" customHeight="1">
      <c r="A103" s="12" t="str">
        <f t="shared" si="49"/>
        <v>Árvore da Preguiça - Comércio</v>
      </c>
      <c r="B103" s="9">
        <v>1.3333333333333332E-2</v>
      </c>
      <c r="C103" s="9">
        <f t="shared" ref="C103:AE103" si="55">B103</f>
        <v>1.3333333333333332E-2</v>
      </c>
      <c r="D103" s="9">
        <f t="shared" si="55"/>
        <v>1.3333333333333332E-2</v>
      </c>
      <c r="E103" s="9">
        <f t="shared" si="55"/>
        <v>1.3333333333333332E-2</v>
      </c>
      <c r="F103" s="9">
        <f t="shared" si="55"/>
        <v>1.3333333333333332E-2</v>
      </c>
      <c r="G103" s="9">
        <f t="shared" si="55"/>
        <v>1.3333333333333332E-2</v>
      </c>
      <c r="H103" s="9">
        <f t="shared" si="55"/>
        <v>1.3333333333333332E-2</v>
      </c>
      <c r="I103" s="9">
        <f t="shared" si="55"/>
        <v>1.3333333333333332E-2</v>
      </c>
      <c r="J103" s="9">
        <f t="shared" si="55"/>
        <v>1.3333333333333332E-2</v>
      </c>
      <c r="K103" s="9">
        <f t="shared" si="55"/>
        <v>1.3333333333333332E-2</v>
      </c>
      <c r="L103" s="9">
        <f t="shared" si="55"/>
        <v>1.3333333333333332E-2</v>
      </c>
      <c r="M103" s="9">
        <f t="shared" si="55"/>
        <v>1.3333333333333332E-2</v>
      </c>
      <c r="N103" s="9">
        <f t="shared" si="55"/>
        <v>1.3333333333333332E-2</v>
      </c>
      <c r="O103" s="9">
        <f t="shared" si="55"/>
        <v>1.3333333333333332E-2</v>
      </c>
      <c r="P103" s="9">
        <f t="shared" si="55"/>
        <v>1.3333333333333332E-2</v>
      </c>
      <c r="Q103" s="9">
        <f t="shared" si="55"/>
        <v>1.3333333333333332E-2</v>
      </c>
      <c r="R103" s="9">
        <f t="shared" si="55"/>
        <v>1.3333333333333332E-2</v>
      </c>
      <c r="S103" s="9">
        <f t="shared" si="55"/>
        <v>1.3333333333333332E-2</v>
      </c>
      <c r="T103" s="9">
        <f t="shared" si="55"/>
        <v>1.3333333333333332E-2</v>
      </c>
      <c r="U103" s="9">
        <f t="shared" si="55"/>
        <v>1.3333333333333332E-2</v>
      </c>
      <c r="V103" s="9">
        <f t="shared" si="55"/>
        <v>1.3333333333333332E-2</v>
      </c>
      <c r="W103" s="9">
        <f t="shared" si="55"/>
        <v>1.3333333333333332E-2</v>
      </c>
      <c r="X103" s="9">
        <f t="shared" si="55"/>
        <v>1.3333333333333332E-2</v>
      </c>
      <c r="Y103" s="9">
        <f t="shared" si="55"/>
        <v>1.3333333333333332E-2</v>
      </c>
      <c r="Z103" s="9">
        <f t="shared" si="55"/>
        <v>1.3333333333333332E-2</v>
      </c>
      <c r="AA103" s="9">
        <f t="shared" si="55"/>
        <v>1.3333333333333332E-2</v>
      </c>
      <c r="AB103" s="9">
        <f t="shared" si="55"/>
        <v>1.3333333333333332E-2</v>
      </c>
      <c r="AC103" s="9">
        <f t="shared" si="55"/>
        <v>1.3333333333333332E-2</v>
      </c>
      <c r="AD103" s="9">
        <f t="shared" si="55"/>
        <v>1.3333333333333332E-2</v>
      </c>
      <c r="AE103" s="9">
        <f t="shared" si="55"/>
        <v>1.3333333333333332E-2</v>
      </c>
      <c r="AF103" s="25" t="s">
        <v>110</v>
      </c>
    </row>
    <row r="104" spans="1:32" ht="15.75" customHeight="1">
      <c r="A104" s="12" t="str">
        <f t="shared" si="49"/>
        <v>Silveira - Alimentação</v>
      </c>
      <c r="B104" s="9">
        <v>0.08</v>
      </c>
      <c r="C104" s="9">
        <f t="shared" ref="C104:AE104" si="56">B104</f>
        <v>0.08</v>
      </c>
      <c r="D104" s="9">
        <f t="shared" si="56"/>
        <v>0.08</v>
      </c>
      <c r="E104" s="9">
        <f t="shared" si="56"/>
        <v>0.08</v>
      </c>
      <c r="F104" s="9">
        <f t="shared" si="56"/>
        <v>0.08</v>
      </c>
      <c r="G104" s="9">
        <f t="shared" si="56"/>
        <v>0.08</v>
      </c>
      <c r="H104" s="9">
        <f t="shared" si="56"/>
        <v>0.08</v>
      </c>
      <c r="I104" s="9">
        <f t="shared" si="56"/>
        <v>0.08</v>
      </c>
      <c r="J104" s="9">
        <f t="shared" si="56"/>
        <v>0.08</v>
      </c>
      <c r="K104" s="9">
        <f t="shared" si="56"/>
        <v>0.08</v>
      </c>
      <c r="L104" s="9">
        <f t="shared" si="56"/>
        <v>0.08</v>
      </c>
      <c r="M104" s="9">
        <f t="shared" si="56"/>
        <v>0.08</v>
      </c>
      <c r="N104" s="9">
        <f t="shared" si="56"/>
        <v>0.08</v>
      </c>
      <c r="O104" s="9">
        <f t="shared" si="56"/>
        <v>0.08</v>
      </c>
      <c r="P104" s="9">
        <f t="shared" si="56"/>
        <v>0.08</v>
      </c>
      <c r="Q104" s="9">
        <f t="shared" si="56"/>
        <v>0.08</v>
      </c>
      <c r="R104" s="9">
        <f t="shared" si="56"/>
        <v>0.08</v>
      </c>
      <c r="S104" s="9">
        <f t="shared" si="56"/>
        <v>0.08</v>
      </c>
      <c r="T104" s="9">
        <f t="shared" si="56"/>
        <v>0.08</v>
      </c>
      <c r="U104" s="9">
        <f t="shared" si="56"/>
        <v>0.08</v>
      </c>
      <c r="V104" s="9">
        <f t="shared" si="56"/>
        <v>0.08</v>
      </c>
      <c r="W104" s="9">
        <f t="shared" si="56"/>
        <v>0.08</v>
      </c>
      <c r="X104" s="9">
        <f t="shared" si="56"/>
        <v>0.08</v>
      </c>
      <c r="Y104" s="9">
        <f t="shared" si="56"/>
        <v>0.08</v>
      </c>
      <c r="Z104" s="9">
        <f t="shared" si="56"/>
        <v>0.08</v>
      </c>
      <c r="AA104" s="9">
        <f t="shared" si="56"/>
        <v>0.08</v>
      </c>
      <c r="AB104" s="9">
        <f t="shared" si="56"/>
        <v>0.08</v>
      </c>
      <c r="AC104" s="9">
        <f t="shared" si="56"/>
        <v>0.08</v>
      </c>
      <c r="AD104" s="9">
        <f t="shared" si="56"/>
        <v>0.08</v>
      </c>
      <c r="AE104" s="9">
        <f t="shared" si="56"/>
        <v>0.08</v>
      </c>
      <c r="AF104" s="25" t="s">
        <v>110</v>
      </c>
    </row>
    <row r="105" spans="1:32" ht="15.75" customHeight="1">
      <c r="A105" s="12" t="str">
        <f t="shared" si="49"/>
        <v>Silveira - Comércio + Locação + Atividades</v>
      </c>
      <c r="B105" s="9">
        <v>1.3333333333333332E-2</v>
      </c>
      <c r="C105" s="9">
        <f t="shared" ref="C105:AE105" si="57">B105</f>
        <v>1.3333333333333332E-2</v>
      </c>
      <c r="D105" s="9">
        <f t="shared" si="57"/>
        <v>1.3333333333333332E-2</v>
      </c>
      <c r="E105" s="9">
        <f t="shared" si="57"/>
        <v>1.3333333333333332E-2</v>
      </c>
      <c r="F105" s="9">
        <f t="shared" si="57"/>
        <v>1.3333333333333332E-2</v>
      </c>
      <c r="G105" s="9">
        <f t="shared" si="57"/>
        <v>1.3333333333333332E-2</v>
      </c>
      <c r="H105" s="9">
        <f t="shared" si="57"/>
        <v>1.3333333333333332E-2</v>
      </c>
      <c r="I105" s="9">
        <f t="shared" si="57"/>
        <v>1.3333333333333332E-2</v>
      </c>
      <c r="J105" s="9">
        <f t="shared" si="57"/>
        <v>1.3333333333333332E-2</v>
      </c>
      <c r="K105" s="9">
        <f t="shared" si="57"/>
        <v>1.3333333333333332E-2</v>
      </c>
      <c r="L105" s="9">
        <f t="shared" si="57"/>
        <v>1.3333333333333332E-2</v>
      </c>
      <c r="M105" s="9">
        <f t="shared" si="57"/>
        <v>1.3333333333333332E-2</v>
      </c>
      <c r="N105" s="9">
        <f t="shared" si="57"/>
        <v>1.3333333333333332E-2</v>
      </c>
      <c r="O105" s="9">
        <f t="shared" si="57"/>
        <v>1.3333333333333332E-2</v>
      </c>
      <c r="P105" s="9">
        <f t="shared" si="57"/>
        <v>1.3333333333333332E-2</v>
      </c>
      <c r="Q105" s="9">
        <f t="shared" si="57"/>
        <v>1.3333333333333332E-2</v>
      </c>
      <c r="R105" s="9">
        <f t="shared" si="57"/>
        <v>1.3333333333333332E-2</v>
      </c>
      <c r="S105" s="9">
        <f t="shared" si="57"/>
        <v>1.3333333333333332E-2</v>
      </c>
      <c r="T105" s="9">
        <f t="shared" si="57"/>
        <v>1.3333333333333332E-2</v>
      </c>
      <c r="U105" s="9">
        <f t="shared" si="57"/>
        <v>1.3333333333333332E-2</v>
      </c>
      <c r="V105" s="9">
        <f t="shared" si="57"/>
        <v>1.3333333333333332E-2</v>
      </c>
      <c r="W105" s="9">
        <f t="shared" si="57"/>
        <v>1.3333333333333332E-2</v>
      </c>
      <c r="X105" s="9">
        <f t="shared" si="57"/>
        <v>1.3333333333333332E-2</v>
      </c>
      <c r="Y105" s="9">
        <f t="shared" si="57"/>
        <v>1.3333333333333332E-2</v>
      </c>
      <c r="Z105" s="9">
        <f t="shared" si="57"/>
        <v>1.3333333333333332E-2</v>
      </c>
      <c r="AA105" s="9">
        <f t="shared" si="57"/>
        <v>1.3333333333333332E-2</v>
      </c>
      <c r="AB105" s="9">
        <f t="shared" si="57"/>
        <v>1.3333333333333332E-2</v>
      </c>
      <c r="AC105" s="9">
        <f t="shared" si="57"/>
        <v>1.3333333333333332E-2</v>
      </c>
      <c r="AD105" s="9">
        <f t="shared" si="57"/>
        <v>1.3333333333333332E-2</v>
      </c>
      <c r="AE105" s="9">
        <f t="shared" si="57"/>
        <v>1.3333333333333332E-2</v>
      </c>
      <c r="AF105" s="25" t="s">
        <v>110</v>
      </c>
    </row>
    <row r="106" spans="1:32" ht="15.75" customHeight="1">
      <c r="A106" s="12" t="str">
        <f t="shared" si="49"/>
        <v>Silveira - Hospedagem</v>
      </c>
      <c r="B106" s="9">
        <v>0.01</v>
      </c>
      <c r="C106" s="9">
        <f t="shared" ref="C106:AE106" si="58">B106</f>
        <v>0.01</v>
      </c>
      <c r="D106" s="9">
        <f t="shared" si="58"/>
        <v>0.01</v>
      </c>
      <c r="E106" s="9">
        <f t="shared" si="58"/>
        <v>0.01</v>
      </c>
      <c r="F106" s="9">
        <f t="shared" si="58"/>
        <v>0.01</v>
      </c>
      <c r="G106" s="9">
        <f t="shared" si="58"/>
        <v>0.01</v>
      </c>
      <c r="H106" s="9">
        <f t="shared" si="58"/>
        <v>0.01</v>
      </c>
      <c r="I106" s="9">
        <f t="shared" si="58"/>
        <v>0.01</v>
      </c>
      <c r="J106" s="9">
        <f t="shared" si="58"/>
        <v>0.01</v>
      </c>
      <c r="K106" s="9">
        <f t="shared" si="58"/>
        <v>0.01</v>
      </c>
      <c r="L106" s="9">
        <f t="shared" si="58"/>
        <v>0.01</v>
      </c>
      <c r="M106" s="9">
        <f t="shared" si="58"/>
        <v>0.01</v>
      </c>
      <c r="N106" s="9">
        <f t="shared" si="58"/>
        <v>0.01</v>
      </c>
      <c r="O106" s="9">
        <f t="shared" si="58"/>
        <v>0.01</v>
      </c>
      <c r="P106" s="9">
        <f t="shared" si="58"/>
        <v>0.01</v>
      </c>
      <c r="Q106" s="9">
        <f t="shared" si="58"/>
        <v>0.01</v>
      </c>
      <c r="R106" s="9">
        <f t="shared" si="58"/>
        <v>0.01</v>
      </c>
      <c r="S106" s="9">
        <f t="shared" si="58"/>
        <v>0.01</v>
      </c>
      <c r="T106" s="9">
        <f t="shared" si="58"/>
        <v>0.01</v>
      </c>
      <c r="U106" s="9">
        <f t="shared" si="58"/>
        <v>0.01</v>
      </c>
      <c r="V106" s="9">
        <f t="shared" si="58"/>
        <v>0.01</v>
      </c>
      <c r="W106" s="9">
        <f t="shared" si="58"/>
        <v>0.01</v>
      </c>
      <c r="X106" s="9">
        <f t="shared" si="58"/>
        <v>0.01</v>
      </c>
      <c r="Y106" s="9">
        <f t="shared" si="58"/>
        <v>0.01</v>
      </c>
      <c r="Z106" s="9">
        <f t="shared" si="58"/>
        <v>0.01</v>
      </c>
      <c r="AA106" s="9">
        <f t="shared" si="58"/>
        <v>0.01</v>
      </c>
      <c r="AB106" s="9">
        <f t="shared" si="58"/>
        <v>0.01</v>
      </c>
      <c r="AC106" s="9">
        <f t="shared" si="58"/>
        <v>0.01</v>
      </c>
      <c r="AD106" s="9">
        <f t="shared" si="58"/>
        <v>0.01</v>
      </c>
      <c r="AE106" s="9">
        <f t="shared" si="58"/>
        <v>0.01</v>
      </c>
      <c r="AF106" s="25" t="s">
        <v>110</v>
      </c>
    </row>
    <row r="107" spans="1:32" ht="15.75" customHeight="1">
      <c r="A107" s="12" t="str">
        <f t="shared" si="49"/>
        <v>Pedra Furada - Alimentação</v>
      </c>
      <c r="B107" s="9">
        <v>0.08</v>
      </c>
      <c r="C107" s="9">
        <f t="shared" ref="C107:AE107" si="59">B107</f>
        <v>0.08</v>
      </c>
      <c r="D107" s="9">
        <f t="shared" si="59"/>
        <v>0.08</v>
      </c>
      <c r="E107" s="9">
        <f t="shared" si="59"/>
        <v>0.08</v>
      </c>
      <c r="F107" s="9">
        <f t="shared" si="59"/>
        <v>0.08</v>
      </c>
      <c r="G107" s="9">
        <f t="shared" si="59"/>
        <v>0.08</v>
      </c>
      <c r="H107" s="9">
        <f t="shared" si="59"/>
        <v>0.08</v>
      </c>
      <c r="I107" s="9">
        <f t="shared" si="59"/>
        <v>0.08</v>
      </c>
      <c r="J107" s="9">
        <f t="shared" si="59"/>
        <v>0.08</v>
      </c>
      <c r="K107" s="9">
        <f t="shared" si="59"/>
        <v>0.08</v>
      </c>
      <c r="L107" s="9">
        <f t="shared" si="59"/>
        <v>0.08</v>
      </c>
      <c r="M107" s="9">
        <f t="shared" si="59"/>
        <v>0.08</v>
      </c>
      <c r="N107" s="9">
        <f t="shared" si="59"/>
        <v>0.08</v>
      </c>
      <c r="O107" s="9">
        <f t="shared" si="59"/>
        <v>0.08</v>
      </c>
      <c r="P107" s="9">
        <f t="shared" si="59"/>
        <v>0.08</v>
      </c>
      <c r="Q107" s="9">
        <f t="shared" si="59"/>
        <v>0.08</v>
      </c>
      <c r="R107" s="9">
        <f t="shared" si="59"/>
        <v>0.08</v>
      </c>
      <c r="S107" s="9">
        <f t="shared" si="59"/>
        <v>0.08</v>
      </c>
      <c r="T107" s="9">
        <f t="shared" si="59"/>
        <v>0.08</v>
      </c>
      <c r="U107" s="9">
        <f t="shared" si="59"/>
        <v>0.08</v>
      </c>
      <c r="V107" s="9">
        <f t="shared" si="59"/>
        <v>0.08</v>
      </c>
      <c r="W107" s="9">
        <f t="shared" si="59"/>
        <v>0.08</v>
      </c>
      <c r="X107" s="9">
        <f t="shared" si="59"/>
        <v>0.08</v>
      </c>
      <c r="Y107" s="9">
        <f t="shared" si="59"/>
        <v>0.08</v>
      </c>
      <c r="Z107" s="9">
        <f t="shared" si="59"/>
        <v>0.08</v>
      </c>
      <c r="AA107" s="9">
        <f t="shared" si="59"/>
        <v>0.08</v>
      </c>
      <c r="AB107" s="9">
        <f t="shared" si="59"/>
        <v>0.08</v>
      </c>
      <c r="AC107" s="9">
        <f t="shared" si="59"/>
        <v>0.08</v>
      </c>
      <c r="AD107" s="9">
        <f t="shared" si="59"/>
        <v>0.08</v>
      </c>
      <c r="AE107" s="9">
        <f t="shared" si="59"/>
        <v>0.08</v>
      </c>
      <c r="AF107" s="25" t="s">
        <v>110</v>
      </c>
    </row>
    <row r="108" spans="1:32" ht="15.75" customHeight="1">
      <c r="A108" s="12" t="str">
        <f t="shared" si="49"/>
        <v>Pedra Furada - Comércio</v>
      </c>
      <c r="B108" s="9">
        <v>1.3333333333333332E-2</v>
      </c>
      <c r="C108" s="9">
        <f t="shared" ref="C108:AE108" si="60">B108</f>
        <v>1.3333333333333332E-2</v>
      </c>
      <c r="D108" s="9">
        <f t="shared" si="60"/>
        <v>1.3333333333333332E-2</v>
      </c>
      <c r="E108" s="9">
        <f t="shared" si="60"/>
        <v>1.3333333333333332E-2</v>
      </c>
      <c r="F108" s="9">
        <f t="shared" si="60"/>
        <v>1.3333333333333332E-2</v>
      </c>
      <c r="G108" s="9">
        <f t="shared" si="60"/>
        <v>1.3333333333333332E-2</v>
      </c>
      <c r="H108" s="9">
        <f t="shared" si="60"/>
        <v>1.3333333333333332E-2</v>
      </c>
      <c r="I108" s="9">
        <f t="shared" si="60"/>
        <v>1.3333333333333332E-2</v>
      </c>
      <c r="J108" s="9">
        <f t="shared" si="60"/>
        <v>1.3333333333333332E-2</v>
      </c>
      <c r="K108" s="9">
        <f t="shared" si="60"/>
        <v>1.3333333333333332E-2</v>
      </c>
      <c r="L108" s="9">
        <f t="shared" si="60"/>
        <v>1.3333333333333332E-2</v>
      </c>
      <c r="M108" s="9">
        <f t="shared" si="60"/>
        <v>1.3333333333333332E-2</v>
      </c>
      <c r="N108" s="9">
        <f t="shared" si="60"/>
        <v>1.3333333333333332E-2</v>
      </c>
      <c r="O108" s="9">
        <f t="shared" si="60"/>
        <v>1.3333333333333332E-2</v>
      </c>
      <c r="P108" s="9">
        <f t="shared" si="60"/>
        <v>1.3333333333333332E-2</v>
      </c>
      <c r="Q108" s="9">
        <f t="shared" si="60"/>
        <v>1.3333333333333332E-2</v>
      </c>
      <c r="R108" s="9">
        <f t="shared" si="60"/>
        <v>1.3333333333333332E-2</v>
      </c>
      <c r="S108" s="9">
        <f t="shared" si="60"/>
        <v>1.3333333333333332E-2</v>
      </c>
      <c r="T108" s="9">
        <f t="shared" si="60"/>
        <v>1.3333333333333332E-2</v>
      </c>
      <c r="U108" s="9">
        <f t="shared" si="60"/>
        <v>1.3333333333333332E-2</v>
      </c>
      <c r="V108" s="9">
        <f t="shared" si="60"/>
        <v>1.3333333333333332E-2</v>
      </c>
      <c r="W108" s="9">
        <f t="shared" si="60"/>
        <v>1.3333333333333332E-2</v>
      </c>
      <c r="X108" s="9">
        <f t="shared" si="60"/>
        <v>1.3333333333333332E-2</v>
      </c>
      <c r="Y108" s="9">
        <f t="shared" si="60"/>
        <v>1.3333333333333332E-2</v>
      </c>
      <c r="Z108" s="9">
        <f t="shared" si="60"/>
        <v>1.3333333333333332E-2</v>
      </c>
      <c r="AA108" s="9">
        <f t="shared" si="60"/>
        <v>1.3333333333333332E-2</v>
      </c>
      <c r="AB108" s="9">
        <f t="shared" si="60"/>
        <v>1.3333333333333332E-2</v>
      </c>
      <c r="AC108" s="9">
        <f t="shared" si="60"/>
        <v>1.3333333333333332E-2</v>
      </c>
      <c r="AD108" s="9">
        <f t="shared" si="60"/>
        <v>1.3333333333333332E-2</v>
      </c>
      <c r="AE108" s="9">
        <f t="shared" si="60"/>
        <v>1.3333333333333332E-2</v>
      </c>
      <c r="AF108" s="25" t="s">
        <v>110</v>
      </c>
    </row>
    <row r="109" spans="1:32" ht="15.75" customHeight="1">
      <c r="A109" s="12" t="str">
        <f t="shared" si="49"/>
        <v>Serrote - Alimentação</v>
      </c>
      <c r="B109" s="9">
        <v>0.08</v>
      </c>
      <c r="C109" s="9">
        <f t="shared" ref="C109:AE109" si="61">B109</f>
        <v>0.08</v>
      </c>
      <c r="D109" s="9">
        <f t="shared" si="61"/>
        <v>0.08</v>
      </c>
      <c r="E109" s="9">
        <f t="shared" si="61"/>
        <v>0.08</v>
      </c>
      <c r="F109" s="9">
        <f t="shared" si="61"/>
        <v>0.08</v>
      </c>
      <c r="G109" s="9">
        <f t="shared" si="61"/>
        <v>0.08</v>
      </c>
      <c r="H109" s="9">
        <f t="shared" si="61"/>
        <v>0.08</v>
      </c>
      <c r="I109" s="9">
        <f t="shared" si="61"/>
        <v>0.08</v>
      </c>
      <c r="J109" s="9">
        <f t="shared" si="61"/>
        <v>0.08</v>
      </c>
      <c r="K109" s="9">
        <f t="shared" si="61"/>
        <v>0.08</v>
      </c>
      <c r="L109" s="9">
        <f t="shared" si="61"/>
        <v>0.08</v>
      </c>
      <c r="M109" s="9">
        <f t="shared" si="61"/>
        <v>0.08</v>
      </c>
      <c r="N109" s="9">
        <f t="shared" si="61"/>
        <v>0.08</v>
      </c>
      <c r="O109" s="9">
        <f t="shared" si="61"/>
        <v>0.08</v>
      </c>
      <c r="P109" s="9">
        <f t="shared" si="61"/>
        <v>0.08</v>
      </c>
      <c r="Q109" s="9">
        <f t="shared" si="61"/>
        <v>0.08</v>
      </c>
      <c r="R109" s="9">
        <f t="shared" si="61"/>
        <v>0.08</v>
      </c>
      <c r="S109" s="9">
        <f t="shared" si="61"/>
        <v>0.08</v>
      </c>
      <c r="T109" s="9">
        <f t="shared" si="61"/>
        <v>0.08</v>
      </c>
      <c r="U109" s="9">
        <f t="shared" si="61"/>
        <v>0.08</v>
      </c>
      <c r="V109" s="9">
        <f t="shared" si="61"/>
        <v>0.08</v>
      </c>
      <c r="W109" s="9">
        <f t="shared" si="61"/>
        <v>0.08</v>
      </c>
      <c r="X109" s="9">
        <f t="shared" si="61"/>
        <v>0.08</v>
      </c>
      <c r="Y109" s="9">
        <f t="shared" si="61"/>
        <v>0.08</v>
      </c>
      <c r="Z109" s="9">
        <f t="shared" si="61"/>
        <v>0.08</v>
      </c>
      <c r="AA109" s="9">
        <f t="shared" si="61"/>
        <v>0.08</v>
      </c>
      <c r="AB109" s="9">
        <f t="shared" si="61"/>
        <v>0.08</v>
      </c>
      <c r="AC109" s="9">
        <f t="shared" si="61"/>
        <v>0.08</v>
      </c>
      <c r="AD109" s="9">
        <f t="shared" si="61"/>
        <v>0.08</v>
      </c>
      <c r="AE109" s="9">
        <f t="shared" si="61"/>
        <v>0.08</v>
      </c>
      <c r="AF109" s="25" t="s">
        <v>110</v>
      </c>
    </row>
    <row r="110" spans="1:32" ht="15.75" customHeight="1">
      <c r="A110" s="12" t="str">
        <f t="shared" si="49"/>
        <v>Serrote - Comércio</v>
      </c>
      <c r="B110" s="9">
        <v>1.3333333333333332E-2</v>
      </c>
      <c r="C110" s="9">
        <f t="shared" ref="C110:AE110" si="62">B110</f>
        <v>1.3333333333333332E-2</v>
      </c>
      <c r="D110" s="9">
        <f t="shared" si="62"/>
        <v>1.3333333333333332E-2</v>
      </c>
      <c r="E110" s="9">
        <f t="shared" si="62"/>
        <v>1.3333333333333332E-2</v>
      </c>
      <c r="F110" s="9">
        <f t="shared" si="62"/>
        <v>1.3333333333333332E-2</v>
      </c>
      <c r="G110" s="9">
        <f t="shared" si="62"/>
        <v>1.3333333333333332E-2</v>
      </c>
      <c r="H110" s="9">
        <f t="shared" si="62"/>
        <v>1.3333333333333332E-2</v>
      </c>
      <c r="I110" s="9">
        <f t="shared" si="62"/>
        <v>1.3333333333333332E-2</v>
      </c>
      <c r="J110" s="9">
        <f t="shared" si="62"/>
        <v>1.3333333333333332E-2</v>
      </c>
      <c r="K110" s="9">
        <f t="shared" si="62"/>
        <v>1.3333333333333332E-2</v>
      </c>
      <c r="L110" s="9">
        <f t="shared" si="62"/>
        <v>1.3333333333333332E-2</v>
      </c>
      <c r="M110" s="9">
        <f t="shared" si="62"/>
        <v>1.3333333333333332E-2</v>
      </c>
      <c r="N110" s="9">
        <f t="shared" si="62"/>
        <v>1.3333333333333332E-2</v>
      </c>
      <c r="O110" s="9">
        <f t="shared" si="62"/>
        <v>1.3333333333333332E-2</v>
      </c>
      <c r="P110" s="9">
        <f t="shared" si="62"/>
        <v>1.3333333333333332E-2</v>
      </c>
      <c r="Q110" s="9">
        <f t="shared" si="62"/>
        <v>1.3333333333333332E-2</v>
      </c>
      <c r="R110" s="9">
        <f t="shared" si="62"/>
        <v>1.3333333333333332E-2</v>
      </c>
      <c r="S110" s="9">
        <f t="shared" si="62"/>
        <v>1.3333333333333332E-2</v>
      </c>
      <c r="T110" s="9">
        <f t="shared" si="62"/>
        <v>1.3333333333333332E-2</v>
      </c>
      <c r="U110" s="9">
        <f t="shared" si="62"/>
        <v>1.3333333333333332E-2</v>
      </c>
      <c r="V110" s="9">
        <f t="shared" si="62"/>
        <v>1.3333333333333332E-2</v>
      </c>
      <c r="W110" s="9">
        <f t="shared" si="62"/>
        <v>1.3333333333333332E-2</v>
      </c>
      <c r="X110" s="9">
        <f t="shared" si="62"/>
        <v>1.3333333333333332E-2</v>
      </c>
      <c r="Y110" s="9">
        <f t="shared" si="62"/>
        <v>1.3333333333333332E-2</v>
      </c>
      <c r="Z110" s="9">
        <f t="shared" si="62"/>
        <v>1.3333333333333332E-2</v>
      </c>
      <c r="AA110" s="9">
        <f t="shared" si="62"/>
        <v>1.3333333333333332E-2</v>
      </c>
      <c r="AB110" s="9">
        <f t="shared" si="62"/>
        <v>1.3333333333333332E-2</v>
      </c>
      <c r="AC110" s="9">
        <f t="shared" si="62"/>
        <v>1.3333333333333332E-2</v>
      </c>
      <c r="AD110" s="9">
        <f t="shared" si="62"/>
        <v>1.3333333333333332E-2</v>
      </c>
      <c r="AE110" s="9">
        <f t="shared" si="62"/>
        <v>1.3333333333333332E-2</v>
      </c>
      <c r="AF110" s="25" t="s">
        <v>110</v>
      </c>
    </row>
    <row r="111" spans="1:32" ht="15.75" customHeight="1">
      <c r="A111" s="12" t="str">
        <f t="shared" si="49"/>
        <v>Paraíso - Alimentação</v>
      </c>
      <c r="B111" s="9">
        <v>0.08</v>
      </c>
      <c r="C111" s="9">
        <f t="shared" ref="C111:AE111" si="63">B111</f>
        <v>0.08</v>
      </c>
      <c r="D111" s="9">
        <f t="shared" si="63"/>
        <v>0.08</v>
      </c>
      <c r="E111" s="9">
        <f t="shared" si="63"/>
        <v>0.08</v>
      </c>
      <c r="F111" s="9">
        <f t="shared" si="63"/>
        <v>0.08</v>
      </c>
      <c r="G111" s="9">
        <f t="shared" si="63"/>
        <v>0.08</v>
      </c>
      <c r="H111" s="9">
        <f t="shared" si="63"/>
        <v>0.08</v>
      </c>
      <c r="I111" s="9">
        <f t="shared" si="63"/>
        <v>0.08</v>
      </c>
      <c r="J111" s="9">
        <f t="shared" si="63"/>
        <v>0.08</v>
      </c>
      <c r="K111" s="9">
        <f t="shared" si="63"/>
        <v>0.08</v>
      </c>
      <c r="L111" s="9">
        <f t="shared" si="63"/>
        <v>0.08</v>
      </c>
      <c r="M111" s="9">
        <f t="shared" si="63"/>
        <v>0.08</v>
      </c>
      <c r="N111" s="9">
        <f t="shared" si="63"/>
        <v>0.08</v>
      </c>
      <c r="O111" s="9">
        <f t="shared" si="63"/>
        <v>0.08</v>
      </c>
      <c r="P111" s="9">
        <f t="shared" si="63"/>
        <v>0.08</v>
      </c>
      <c r="Q111" s="9">
        <f t="shared" si="63"/>
        <v>0.08</v>
      </c>
      <c r="R111" s="9">
        <f t="shared" si="63"/>
        <v>0.08</v>
      </c>
      <c r="S111" s="9">
        <f t="shared" si="63"/>
        <v>0.08</v>
      </c>
      <c r="T111" s="9">
        <f t="shared" si="63"/>
        <v>0.08</v>
      </c>
      <c r="U111" s="9">
        <f t="shared" si="63"/>
        <v>0.08</v>
      </c>
      <c r="V111" s="9">
        <f t="shared" si="63"/>
        <v>0.08</v>
      </c>
      <c r="W111" s="9">
        <f t="shared" si="63"/>
        <v>0.08</v>
      </c>
      <c r="X111" s="9">
        <f t="shared" si="63"/>
        <v>0.08</v>
      </c>
      <c r="Y111" s="9">
        <f t="shared" si="63"/>
        <v>0.08</v>
      </c>
      <c r="Z111" s="9">
        <f t="shared" si="63"/>
        <v>0.08</v>
      </c>
      <c r="AA111" s="9">
        <f t="shared" si="63"/>
        <v>0.08</v>
      </c>
      <c r="AB111" s="9">
        <f t="shared" si="63"/>
        <v>0.08</v>
      </c>
      <c r="AC111" s="9">
        <f t="shared" si="63"/>
        <v>0.08</v>
      </c>
      <c r="AD111" s="9">
        <f t="shared" si="63"/>
        <v>0.08</v>
      </c>
      <c r="AE111" s="9">
        <f t="shared" si="63"/>
        <v>0.08</v>
      </c>
      <c r="AF111" s="25" t="s">
        <v>110</v>
      </c>
    </row>
    <row r="112" spans="1:32" ht="15.75" customHeight="1">
      <c r="A112" s="12" t="str">
        <f t="shared" si="49"/>
        <v>Paraíso - Comércio + Locação + Atividades</v>
      </c>
      <c r="B112" s="9">
        <v>1.3333333333333332E-2</v>
      </c>
      <c r="C112" s="9">
        <f t="shared" ref="C112:AE112" si="64">B112</f>
        <v>1.3333333333333332E-2</v>
      </c>
      <c r="D112" s="9">
        <f t="shared" si="64"/>
        <v>1.3333333333333332E-2</v>
      </c>
      <c r="E112" s="9">
        <f t="shared" si="64"/>
        <v>1.3333333333333332E-2</v>
      </c>
      <c r="F112" s="9">
        <f t="shared" si="64"/>
        <v>1.3333333333333332E-2</v>
      </c>
      <c r="G112" s="9">
        <f t="shared" si="64"/>
        <v>1.3333333333333332E-2</v>
      </c>
      <c r="H112" s="9">
        <f t="shared" si="64"/>
        <v>1.3333333333333332E-2</v>
      </c>
      <c r="I112" s="9">
        <f t="shared" si="64"/>
        <v>1.3333333333333332E-2</v>
      </c>
      <c r="J112" s="9">
        <f t="shared" si="64"/>
        <v>1.3333333333333332E-2</v>
      </c>
      <c r="K112" s="9">
        <f t="shared" si="64"/>
        <v>1.3333333333333332E-2</v>
      </c>
      <c r="L112" s="9">
        <f t="shared" si="64"/>
        <v>1.3333333333333332E-2</v>
      </c>
      <c r="M112" s="9">
        <f t="shared" si="64"/>
        <v>1.3333333333333332E-2</v>
      </c>
      <c r="N112" s="9">
        <f t="shared" si="64"/>
        <v>1.3333333333333332E-2</v>
      </c>
      <c r="O112" s="9">
        <f t="shared" si="64"/>
        <v>1.3333333333333332E-2</v>
      </c>
      <c r="P112" s="9">
        <f t="shared" si="64"/>
        <v>1.3333333333333332E-2</v>
      </c>
      <c r="Q112" s="9">
        <f t="shared" si="64"/>
        <v>1.3333333333333332E-2</v>
      </c>
      <c r="R112" s="9">
        <f t="shared" si="64"/>
        <v>1.3333333333333332E-2</v>
      </c>
      <c r="S112" s="9">
        <f t="shared" si="64"/>
        <v>1.3333333333333332E-2</v>
      </c>
      <c r="T112" s="9">
        <f t="shared" si="64"/>
        <v>1.3333333333333332E-2</v>
      </c>
      <c r="U112" s="9">
        <f t="shared" si="64"/>
        <v>1.3333333333333332E-2</v>
      </c>
      <c r="V112" s="9">
        <f t="shared" si="64"/>
        <v>1.3333333333333332E-2</v>
      </c>
      <c r="W112" s="9">
        <f t="shared" si="64"/>
        <v>1.3333333333333332E-2</v>
      </c>
      <c r="X112" s="9">
        <f t="shared" si="64"/>
        <v>1.3333333333333332E-2</v>
      </c>
      <c r="Y112" s="9">
        <f t="shared" si="64"/>
        <v>1.3333333333333332E-2</v>
      </c>
      <c r="Z112" s="9">
        <f t="shared" si="64"/>
        <v>1.3333333333333332E-2</v>
      </c>
      <c r="AA112" s="9">
        <f t="shared" si="64"/>
        <v>1.3333333333333332E-2</v>
      </c>
      <c r="AB112" s="9">
        <f t="shared" si="64"/>
        <v>1.3333333333333332E-2</v>
      </c>
      <c r="AC112" s="9">
        <f t="shared" si="64"/>
        <v>1.3333333333333332E-2</v>
      </c>
      <c r="AD112" s="9">
        <f t="shared" si="64"/>
        <v>1.3333333333333332E-2</v>
      </c>
      <c r="AE112" s="9">
        <f t="shared" si="64"/>
        <v>1.3333333333333332E-2</v>
      </c>
      <c r="AF112" s="25" t="s">
        <v>110</v>
      </c>
    </row>
    <row r="113" spans="1:32" ht="15.75" customHeight="1">
      <c r="A113" s="12" t="str">
        <f t="shared" si="49"/>
        <v>Geral - Unidade móvel - Alimentação</v>
      </c>
      <c r="B113" s="9">
        <v>0.02</v>
      </c>
      <c r="C113" s="9">
        <f t="shared" ref="C113:AE113" si="65">B113</f>
        <v>0.02</v>
      </c>
      <c r="D113" s="9">
        <f t="shared" si="65"/>
        <v>0.02</v>
      </c>
      <c r="E113" s="9">
        <f t="shared" si="65"/>
        <v>0.02</v>
      </c>
      <c r="F113" s="9">
        <f t="shared" si="65"/>
        <v>0.02</v>
      </c>
      <c r="G113" s="9">
        <f t="shared" si="65"/>
        <v>0.02</v>
      </c>
      <c r="H113" s="9">
        <f t="shared" si="65"/>
        <v>0.02</v>
      </c>
      <c r="I113" s="9">
        <f t="shared" si="65"/>
        <v>0.02</v>
      </c>
      <c r="J113" s="9">
        <f t="shared" si="65"/>
        <v>0.02</v>
      </c>
      <c r="K113" s="9">
        <f t="shared" si="65"/>
        <v>0.02</v>
      </c>
      <c r="L113" s="9">
        <f t="shared" si="65"/>
        <v>0.02</v>
      </c>
      <c r="M113" s="9">
        <f t="shared" si="65"/>
        <v>0.02</v>
      </c>
      <c r="N113" s="9">
        <f t="shared" si="65"/>
        <v>0.02</v>
      </c>
      <c r="O113" s="9">
        <f t="shared" si="65"/>
        <v>0.02</v>
      </c>
      <c r="P113" s="9">
        <f t="shared" si="65"/>
        <v>0.02</v>
      </c>
      <c r="Q113" s="9">
        <f t="shared" si="65"/>
        <v>0.02</v>
      </c>
      <c r="R113" s="9">
        <f t="shared" si="65"/>
        <v>0.02</v>
      </c>
      <c r="S113" s="9">
        <f t="shared" si="65"/>
        <v>0.02</v>
      </c>
      <c r="T113" s="9">
        <f t="shared" si="65"/>
        <v>0.02</v>
      </c>
      <c r="U113" s="9">
        <f t="shared" si="65"/>
        <v>0.02</v>
      </c>
      <c r="V113" s="9">
        <f t="shared" si="65"/>
        <v>0.02</v>
      </c>
      <c r="W113" s="9">
        <f t="shared" si="65"/>
        <v>0.02</v>
      </c>
      <c r="X113" s="9">
        <f t="shared" si="65"/>
        <v>0.02</v>
      </c>
      <c r="Y113" s="9">
        <f t="shared" si="65"/>
        <v>0.02</v>
      </c>
      <c r="Z113" s="9">
        <f t="shared" si="65"/>
        <v>0.02</v>
      </c>
      <c r="AA113" s="9">
        <f t="shared" si="65"/>
        <v>0.02</v>
      </c>
      <c r="AB113" s="9">
        <f t="shared" si="65"/>
        <v>0.02</v>
      </c>
      <c r="AC113" s="9">
        <f t="shared" si="65"/>
        <v>0.02</v>
      </c>
      <c r="AD113" s="9">
        <f t="shared" si="65"/>
        <v>0.02</v>
      </c>
      <c r="AE113" s="9">
        <f t="shared" si="65"/>
        <v>0.02</v>
      </c>
      <c r="AF113" s="25" t="s">
        <v>110</v>
      </c>
    </row>
    <row r="114" spans="1:32" ht="15.75" customHeight="1">
      <c r="A114" s="12" t="str">
        <f t="shared" si="49"/>
        <v>Mangue Seco - Estacionamento</v>
      </c>
      <c r="B114" s="9">
        <f t="shared" ref="B114:B115" si="66">7.5%*10%/3</f>
        <v>2.5000000000000001E-3</v>
      </c>
      <c r="C114" s="9">
        <f t="shared" ref="C114:AE114" si="67">B114</f>
        <v>2.5000000000000001E-3</v>
      </c>
      <c r="D114" s="9">
        <f t="shared" si="67"/>
        <v>2.5000000000000001E-3</v>
      </c>
      <c r="E114" s="9">
        <f t="shared" si="67"/>
        <v>2.5000000000000001E-3</v>
      </c>
      <c r="F114" s="9">
        <f t="shared" si="67"/>
        <v>2.5000000000000001E-3</v>
      </c>
      <c r="G114" s="9">
        <f t="shared" si="67"/>
        <v>2.5000000000000001E-3</v>
      </c>
      <c r="H114" s="9">
        <f t="shared" si="67"/>
        <v>2.5000000000000001E-3</v>
      </c>
      <c r="I114" s="9">
        <f t="shared" si="67"/>
        <v>2.5000000000000001E-3</v>
      </c>
      <c r="J114" s="9">
        <f t="shared" si="67"/>
        <v>2.5000000000000001E-3</v>
      </c>
      <c r="K114" s="9">
        <f t="shared" si="67"/>
        <v>2.5000000000000001E-3</v>
      </c>
      <c r="L114" s="9">
        <f t="shared" si="67"/>
        <v>2.5000000000000001E-3</v>
      </c>
      <c r="M114" s="9">
        <f t="shared" si="67"/>
        <v>2.5000000000000001E-3</v>
      </c>
      <c r="N114" s="9">
        <f t="shared" si="67"/>
        <v>2.5000000000000001E-3</v>
      </c>
      <c r="O114" s="9">
        <f t="shared" si="67"/>
        <v>2.5000000000000001E-3</v>
      </c>
      <c r="P114" s="9">
        <f t="shared" si="67"/>
        <v>2.5000000000000001E-3</v>
      </c>
      <c r="Q114" s="9">
        <f t="shared" si="67"/>
        <v>2.5000000000000001E-3</v>
      </c>
      <c r="R114" s="9">
        <f t="shared" si="67"/>
        <v>2.5000000000000001E-3</v>
      </c>
      <c r="S114" s="9">
        <f t="shared" si="67"/>
        <v>2.5000000000000001E-3</v>
      </c>
      <c r="T114" s="9">
        <f t="shared" si="67"/>
        <v>2.5000000000000001E-3</v>
      </c>
      <c r="U114" s="9">
        <f t="shared" si="67"/>
        <v>2.5000000000000001E-3</v>
      </c>
      <c r="V114" s="9">
        <f t="shared" si="67"/>
        <v>2.5000000000000001E-3</v>
      </c>
      <c r="W114" s="9">
        <f t="shared" si="67"/>
        <v>2.5000000000000001E-3</v>
      </c>
      <c r="X114" s="9">
        <f t="shared" si="67"/>
        <v>2.5000000000000001E-3</v>
      </c>
      <c r="Y114" s="9">
        <f t="shared" si="67"/>
        <v>2.5000000000000001E-3</v>
      </c>
      <c r="Z114" s="9">
        <f t="shared" si="67"/>
        <v>2.5000000000000001E-3</v>
      </c>
      <c r="AA114" s="9">
        <f t="shared" si="67"/>
        <v>2.5000000000000001E-3</v>
      </c>
      <c r="AB114" s="9">
        <f t="shared" si="67"/>
        <v>2.5000000000000001E-3</v>
      </c>
      <c r="AC114" s="9">
        <f t="shared" si="67"/>
        <v>2.5000000000000001E-3</v>
      </c>
      <c r="AD114" s="9">
        <f t="shared" si="67"/>
        <v>2.5000000000000001E-3</v>
      </c>
      <c r="AE114" s="9">
        <f t="shared" si="67"/>
        <v>2.5000000000000001E-3</v>
      </c>
      <c r="AF114" s="25" t="s">
        <v>112</v>
      </c>
    </row>
    <row r="115" spans="1:32" ht="15.75" customHeight="1">
      <c r="A115" s="12" t="str">
        <f t="shared" si="49"/>
        <v>Lagoa Grande - Estacionamento</v>
      </c>
      <c r="B115" s="9">
        <f t="shared" si="66"/>
        <v>2.5000000000000001E-3</v>
      </c>
      <c r="C115" s="9">
        <f t="shared" ref="C115:AE115" si="68">B115</f>
        <v>2.5000000000000001E-3</v>
      </c>
      <c r="D115" s="9">
        <f t="shared" si="68"/>
        <v>2.5000000000000001E-3</v>
      </c>
      <c r="E115" s="9">
        <f t="shared" si="68"/>
        <v>2.5000000000000001E-3</v>
      </c>
      <c r="F115" s="9">
        <f t="shared" si="68"/>
        <v>2.5000000000000001E-3</v>
      </c>
      <c r="G115" s="9">
        <f t="shared" si="68"/>
        <v>2.5000000000000001E-3</v>
      </c>
      <c r="H115" s="9">
        <f t="shared" si="68"/>
        <v>2.5000000000000001E-3</v>
      </c>
      <c r="I115" s="9">
        <f t="shared" si="68"/>
        <v>2.5000000000000001E-3</v>
      </c>
      <c r="J115" s="9">
        <f t="shared" si="68"/>
        <v>2.5000000000000001E-3</v>
      </c>
      <c r="K115" s="9">
        <f t="shared" si="68"/>
        <v>2.5000000000000001E-3</v>
      </c>
      <c r="L115" s="9">
        <f t="shared" si="68"/>
        <v>2.5000000000000001E-3</v>
      </c>
      <c r="M115" s="9">
        <f t="shared" si="68"/>
        <v>2.5000000000000001E-3</v>
      </c>
      <c r="N115" s="9">
        <f t="shared" si="68"/>
        <v>2.5000000000000001E-3</v>
      </c>
      <c r="O115" s="9">
        <f t="shared" si="68"/>
        <v>2.5000000000000001E-3</v>
      </c>
      <c r="P115" s="9">
        <f t="shared" si="68"/>
        <v>2.5000000000000001E-3</v>
      </c>
      <c r="Q115" s="9">
        <f t="shared" si="68"/>
        <v>2.5000000000000001E-3</v>
      </c>
      <c r="R115" s="9">
        <f t="shared" si="68"/>
        <v>2.5000000000000001E-3</v>
      </c>
      <c r="S115" s="9">
        <f t="shared" si="68"/>
        <v>2.5000000000000001E-3</v>
      </c>
      <c r="T115" s="9">
        <f t="shared" si="68"/>
        <v>2.5000000000000001E-3</v>
      </c>
      <c r="U115" s="9">
        <f t="shared" si="68"/>
        <v>2.5000000000000001E-3</v>
      </c>
      <c r="V115" s="9">
        <f t="shared" si="68"/>
        <v>2.5000000000000001E-3</v>
      </c>
      <c r="W115" s="9">
        <f t="shared" si="68"/>
        <v>2.5000000000000001E-3</v>
      </c>
      <c r="X115" s="9">
        <f t="shared" si="68"/>
        <v>2.5000000000000001E-3</v>
      </c>
      <c r="Y115" s="9">
        <f t="shared" si="68"/>
        <v>2.5000000000000001E-3</v>
      </c>
      <c r="Z115" s="9">
        <f t="shared" si="68"/>
        <v>2.5000000000000001E-3</v>
      </c>
      <c r="AA115" s="9">
        <f t="shared" si="68"/>
        <v>2.5000000000000001E-3</v>
      </c>
      <c r="AB115" s="9">
        <f t="shared" si="68"/>
        <v>2.5000000000000001E-3</v>
      </c>
      <c r="AC115" s="9">
        <f t="shared" si="68"/>
        <v>2.5000000000000001E-3</v>
      </c>
      <c r="AD115" s="9">
        <f t="shared" si="68"/>
        <v>2.5000000000000001E-3</v>
      </c>
      <c r="AE115" s="9">
        <f t="shared" si="68"/>
        <v>2.5000000000000001E-3</v>
      </c>
      <c r="AF115" s="25" t="s">
        <v>112</v>
      </c>
    </row>
    <row r="116" spans="1:32" ht="15.75" customHeight="1">
      <c r="A116" s="12">
        <f t="shared" si="49"/>
        <v>0</v>
      </c>
      <c r="B116" s="9">
        <v>0</v>
      </c>
      <c r="C116" s="9">
        <f t="shared" ref="C116:AE116" si="69">B116</f>
        <v>0</v>
      </c>
      <c r="D116" s="9">
        <f t="shared" si="69"/>
        <v>0</v>
      </c>
      <c r="E116" s="9">
        <f t="shared" si="69"/>
        <v>0</v>
      </c>
      <c r="F116" s="9">
        <f t="shared" si="69"/>
        <v>0</v>
      </c>
      <c r="G116" s="9">
        <f t="shared" si="69"/>
        <v>0</v>
      </c>
      <c r="H116" s="9">
        <f t="shared" si="69"/>
        <v>0</v>
      </c>
      <c r="I116" s="9">
        <f t="shared" si="69"/>
        <v>0</v>
      </c>
      <c r="J116" s="9">
        <f t="shared" si="69"/>
        <v>0</v>
      </c>
      <c r="K116" s="9">
        <f t="shared" si="69"/>
        <v>0</v>
      </c>
      <c r="L116" s="9">
        <f t="shared" si="69"/>
        <v>0</v>
      </c>
      <c r="M116" s="9">
        <f t="shared" si="69"/>
        <v>0</v>
      </c>
      <c r="N116" s="9">
        <f t="shared" si="69"/>
        <v>0</v>
      </c>
      <c r="O116" s="9">
        <f t="shared" si="69"/>
        <v>0</v>
      </c>
      <c r="P116" s="9">
        <f t="shared" si="69"/>
        <v>0</v>
      </c>
      <c r="Q116" s="9">
        <f t="shared" si="69"/>
        <v>0</v>
      </c>
      <c r="R116" s="9">
        <f t="shared" si="69"/>
        <v>0</v>
      </c>
      <c r="S116" s="9">
        <f t="shared" si="69"/>
        <v>0</v>
      </c>
      <c r="T116" s="9">
        <f t="shared" si="69"/>
        <v>0</v>
      </c>
      <c r="U116" s="9">
        <f t="shared" si="69"/>
        <v>0</v>
      </c>
      <c r="V116" s="9">
        <f t="shared" si="69"/>
        <v>0</v>
      </c>
      <c r="W116" s="9">
        <f t="shared" si="69"/>
        <v>0</v>
      </c>
      <c r="X116" s="9">
        <f t="shared" si="69"/>
        <v>0</v>
      </c>
      <c r="Y116" s="9">
        <f t="shared" si="69"/>
        <v>0</v>
      </c>
      <c r="Z116" s="9">
        <f t="shared" si="69"/>
        <v>0</v>
      </c>
      <c r="AA116" s="9">
        <f t="shared" si="69"/>
        <v>0</v>
      </c>
      <c r="AB116" s="9">
        <f t="shared" si="69"/>
        <v>0</v>
      </c>
      <c r="AC116" s="9">
        <f t="shared" si="69"/>
        <v>0</v>
      </c>
      <c r="AD116" s="9">
        <f t="shared" si="69"/>
        <v>0</v>
      </c>
      <c r="AE116" s="9">
        <f t="shared" si="69"/>
        <v>0</v>
      </c>
      <c r="AF116" s="25"/>
    </row>
    <row r="117" spans="1:32" ht="15.75" customHeight="1">
      <c r="A117" s="12">
        <f t="shared" si="49"/>
        <v>0</v>
      </c>
      <c r="B117" s="9">
        <v>0</v>
      </c>
      <c r="C117" s="9">
        <f t="shared" ref="C117:AE117" si="70">B117</f>
        <v>0</v>
      </c>
      <c r="D117" s="9">
        <f t="shared" si="70"/>
        <v>0</v>
      </c>
      <c r="E117" s="9">
        <f t="shared" si="70"/>
        <v>0</v>
      </c>
      <c r="F117" s="9">
        <f t="shared" si="70"/>
        <v>0</v>
      </c>
      <c r="G117" s="9">
        <f t="shared" si="70"/>
        <v>0</v>
      </c>
      <c r="H117" s="9">
        <f t="shared" si="70"/>
        <v>0</v>
      </c>
      <c r="I117" s="9">
        <f t="shared" si="70"/>
        <v>0</v>
      </c>
      <c r="J117" s="9">
        <f t="shared" si="70"/>
        <v>0</v>
      </c>
      <c r="K117" s="9">
        <f t="shared" si="70"/>
        <v>0</v>
      </c>
      <c r="L117" s="9">
        <f t="shared" si="70"/>
        <v>0</v>
      </c>
      <c r="M117" s="9">
        <f t="shared" si="70"/>
        <v>0</v>
      </c>
      <c r="N117" s="9">
        <f t="shared" si="70"/>
        <v>0</v>
      </c>
      <c r="O117" s="9">
        <f t="shared" si="70"/>
        <v>0</v>
      </c>
      <c r="P117" s="9">
        <f t="shared" si="70"/>
        <v>0</v>
      </c>
      <c r="Q117" s="9">
        <f t="shared" si="70"/>
        <v>0</v>
      </c>
      <c r="R117" s="9">
        <f t="shared" si="70"/>
        <v>0</v>
      </c>
      <c r="S117" s="9">
        <f t="shared" si="70"/>
        <v>0</v>
      </c>
      <c r="T117" s="9">
        <f t="shared" si="70"/>
        <v>0</v>
      </c>
      <c r="U117" s="9">
        <f t="shared" si="70"/>
        <v>0</v>
      </c>
      <c r="V117" s="9">
        <f t="shared" si="70"/>
        <v>0</v>
      </c>
      <c r="W117" s="9">
        <f t="shared" si="70"/>
        <v>0</v>
      </c>
      <c r="X117" s="9">
        <f t="shared" si="70"/>
        <v>0</v>
      </c>
      <c r="Y117" s="9">
        <f t="shared" si="70"/>
        <v>0</v>
      </c>
      <c r="Z117" s="9">
        <f t="shared" si="70"/>
        <v>0</v>
      </c>
      <c r="AA117" s="9">
        <f t="shared" si="70"/>
        <v>0</v>
      </c>
      <c r="AB117" s="9">
        <f t="shared" si="70"/>
        <v>0</v>
      </c>
      <c r="AC117" s="9">
        <f t="shared" si="70"/>
        <v>0</v>
      </c>
      <c r="AD117" s="9">
        <f t="shared" si="70"/>
        <v>0</v>
      </c>
      <c r="AE117" s="9">
        <f t="shared" si="70"/>
        <v>0</v>
      </c>
      <c r="AF117" s="25"/>
    </row>
    <row r="118" spans="1:32" ht="15.75" customHeight="1">
      <c r="A118" s="298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</row>
    <row r="119" spans="1:32" ht="15.75" customHeight="1">
      <c r="A119" s="496" t="s">
        <v>19</v>
      </c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</row>
    <row r="120" spans="1:32" ht="15.75" customHeight="1">
      <c r="A120" s="758" t="str">
        <f>A17</f>
        <v>Unidades Geradoras de Caixa (UGC)</v>
      </c>
      <c r="B120" s="759" t="s">
        <v>104</v>
      </c>
      <c r="C120" s="813"/>
      <c r="D120" s="813"/>
      <c r="E120" s="813"/>
      <c r="F120" s="813"/>
      <c r="G120" s="813"/>
      <c r="H120" s="813"/>
      <c r="I120" s="813"/>
      <c r="J120" s="813"/>
      <c r="K120" s="813"/>
      <c r="L120" s="813"/>
      <c r="M120" s="813"/>
      <c r="N120" s="813"/>
      <c r="O120" s="813"/>
      <c r="P120" s="813"/>
      <c r="Q120" s="813"/>
      <c r="R120" s="813"/>
      <c r="S120" s="813"/>
      <c r="T120" s="813"/>
      <c r="U120" s="813"/>
      <c r="V120" s="813"/>
      <c r="W120" s="813"/>
      <c r="X120" s="813"/>
      <c r="Y120" s="813"/>
      <c r="Z120" s="813"/>
      <c r="AA120" s="813"/>
      <c r="AB120" s="813"/>
      <c r="AC120" s="813"/>
      <c r="AD120" s="813"/>
      <c r="AE120" s="813"/>
      <c r="AF120" s="760" t="s">
        <v>109</v>
      </c>
    </row>
    <row r="121" spans="1:32" ht="15.75" customHeight="1">
      <c r="A121" s="813"/>
      <c r="B121" s="488">
        <v>1</v>
      </c>
      <c r="C121" s="488">
        <v>2</v>
      </c>
      <c r="D121" s="488">
        <v>3</v>
      </c>
      <c r="E121" s="488">
        <v>4</v>
      </c>
      <c r="F121" s="488">
        <v>5</v>
      </c>
      <c r="G121" s="488">
        <v>6</v>
      </c>
      <c r="H121" s="488">
        <v>7</v>
      </c>
      <c r="I121" s="488">
        <v>8</v>
      </c>
      <c r="J121" s="488">
        <v>9</v>
      </c>
      <c r="K121" s="488">
        <v>10</v>
      </c>
      <c r="L121" s="488">
        <v>11</v>
      </c>
      <c r="M121" s="488">
        <v>12</v>
      </c>
      <c r="N121" s="488">
        <v>13</v>
      </c>
      <c r="O121" s="488">
        <v>14</v>
      </c>
      <c r="P121" s="488">
        <v>15</v>
      </c>
      <c r="Q121" s="488">
        <v>16</v>
      </c>
      <c r="R121" s="488">
        <v>17</v>
      </c>
      <c r="S121" s="488">
        <v>18</v>
      </c>
      <c r="T121" s="488">
        <v>19</v>
      </c>
      <c r="U121" s="488">
        <v>20</v>
      </c>
      <c r="V121" s="488">
        <v>21</v>
      </c>
      <c r="W121" s="488">
        <v>22</v>
      </c>
      <c r="X121" s="488">
        <v>23</v>
      </c>
      <c r="Y121" s="488">
        <v>24</v>
      </c>
      <c r="Z121" s="488">
        <v>25</v>
      </c>
      <c r="AA121" s="488">
        <v>26</v>
      </c>
      <c r="AB121" s="488">
        <v>27</v>
      </c>
      <c r="AC121" s="488">
        <v>28</v>
      </c>
      <c r="AD121" s="488">
        <v>29</v>
      </c>
      <c r="AE121" s="488">
        <v>30</v>
      </c>
      <c r="AF121" s="816"/>
    </row>
    <row r="122" spans="1:32" ht="15.75" customHeight="1">
      <c r="A122" s="12" t="str">
        <f t="shared" ref="A122:A142" si="71">A97</f>
        <v>Demanda de visitação TOTAL</v>
      </c>
      <c r="B122" s="9">
        <v>1</v>
      </c>
      <c r="C122" s="9">
        <v>1</v>
      </c>
      <c r="D122" s="9">
        <v>1</v>
      </c>
      <c r="E122" s="9">
        <v>1</v>
      </c>
      <c r="F122" s="9">
        <v>1</v>
      </c>
      <c r="G122" s="9">
        <v>1</v>
      </c>
      <c r="H122" s="9">
        <v>1</v>
      </c>
      <c r="I122" s="9">
        <v>1</v>
      </c>
      <c r="J122" s="9">
        <v>1</v>
      </c>
      <c r="K122" s="9">
        <v>1</v>
      </c>
      <c r="L122" s="9">
        <v>1</v>
      </c>
      <c r="M122" s="9">
        <v>1</v>
      </c>
      <c r="N122" s="9">
        <v>1</v>
      </c>
      <c r="O122" s="9">
        <v>1</v>
      </c>
      <c r="P122" s="9">
        <v>1</v>
      </c>
      <c r="Q122" s="9">
        <v>1</v>
      </c>
      <c r="R122" s="9">
        <v>1</v>
      </c>
      <c r="S122" s="9">
        <v>1</v>
      </c>
      <c r="T122" s="9">
        <v>1</v>
      </c>
      <c r="U122" s="9">
        <v>1</v>
      </c>
      <c r="V122" s="9">
        <v>1</v>
      </c>
      <c r="W122" s="9">
        <v>1</v>
      </c>
      <c r="X122" s="9">
        <v>1</v>
      </c>
      <c r="Y122" s="9">
        <v>1</v>
      </c>
      <c r="Z122" s="9">
        <v>1</v>
      </c>
      <c r="AA122" s="9">
        <v>1</v>
      </c>
      <c r="AB122" s="9">
        <v>1</v>
      </c>
      <c r="AC122" s="9">
        <v>1</v>
      </c>
      <c r="AD122" s="9">
        <v>1</v>
      </c>
      <c r="AE122" s="9">
        <v>1</v>
      </c>
      <c r="AF122" s="25"/>
    </row>
    <row r="123" spans="1:32" ht="15.75" customHeight="1">
      <c r="A123" s="12" t="str">
        <f t="shared" si="71"/>
        <v>Ingresso</v>
      </c>
      <c r="B123" s="9">
        <v>1</v>
      </c>
      <c r="C123" s="9">
        <f t="shared" ref="C123:AE123" si="72">B123</f>
        <v>1</v>
      </c>
      <c r="D123" s="9">
        <f t="shared" si="72"/>
        <v>1</v>
      </c>
      <c r="E123" s="9">
        <f t="shared" si="72"/>
        <v>1</v>
      </c>
      <c r="F123" s="9">
        <f t="shared" si="72"/>
        <v>1</v>
      </c>
      <c r="G123" s="9">
        <f t="shared" si="72"/>
        <v>1</v>
      </c>
      <c r="H123" s="9">
        <f t="shared" si="72"/>
        <v>1</v>
      </c>
      <c r="I123" s="9">
        <f t="shared" si="72"/>
        <v>1</v>
      </c>
      <c r="J123" s="9">
        <f t="shared" si="72"/>
        <v>1</v>
      </c>
      <c r="K123" s="9">
        <f t="shared" si="72"/>
        <v>1</v>
      </c>
      <c r="L123" s="9">
        <f t="shared" si="72"/>
        <v>1</v>
      </c>
      <c r="M123" s="9">
        <f t="shared" si="72"/>
        <v>1</v>
      </c>
      <c r="N123" s="9">
        <f t="shared" si="72"/>
        <v>1</v>
      </c>
      <c r="O123" s="9">
        <f t="shared" si="72"/>
        <v>1</v>
      </c>
      <c r="P123" s="9">
        <f t="shared" si="72"/>
        <v>1</v>
      </c>
      <c r="Q123" s="9">
        <f t="shared" si="72"/>
        <v>1</v>
      </c>
      <c r="R123" s="9">
        <f t="shared" si="72"/>
        <v>1</v>
      </c>
      <c r="S123" s="9">
        <f t="shared" si="72"/>
        <v>1</v>
      </c>
      <c r="T123" s="9">
        <f t="shared" si="72"/>
        <v>1</v>
      </c>
      <c r="U123" s="9">
        <f t="shared" si="72"/>
        <v>1</v>
      </c>
      <c r="V123" s="9">
        <f t="shared" si="72"/>
        <v>1</v>
      </c>
      <c r="W123" s="9">
        <f t="shared" si="72"/>
        <v>1</v>
      </c>
      <c r="X123" s="9">
        <f t="shared" si="72"/>
        <v>1</v>
      </c>
      <c r="Y123" s="9">
        <f t="shared" si="72"/>
        <v>1</v>
      </c>
      <c r="Z123" s="9">
        <f t="shared" si="72"/>
        <v>1</v>
      </c>
      <c r="AA123" s="9">
        <f t="shared" si="72"/>
        <v>1</v>
      </c>
      <c r="AB123" s="9">
        <f t="shared" si="72"/>
        <v>1</v>
      </c>
      <c r="AC123" s="9">
        <f t="shared" si="72"/>
        <v>1</v>
      </c>
      <c r="AD123" s="9">
        <f t="shared" si="72"/>
        <v>1</v>
      </c>
      <c r="AE123" s="9">
        <f t="shared" si="72"/>
        <v>1</v>
      </c>
      <c r="AF123" s="25" t="s">
        <v>110</v>
      </c>
    </row>
    <row r="124" spans="1:32" ht="15.75" customHeight="1">
      <c r="A124" s="12" t="str">
        <f t="shared" si="71"/>
        <v>Preá - Alimentação</v>
      </c>
      <c r="B124" s="9">
        <f t="shared" ref="B124:B142" si="73">B99</f>
        <v>0.08</v>
      </c>
      <c r="C124" s="9">
        <f t="shared" ref="C124:AE124" si="74">B124</f>
        <v>0.08</v>
      </c>
      <c r="D124" s="9">
        <f t="shared" si="74"/>
        <v>0.08</v>
      </c>
      <c r="E124" s="9">
        <f t="shared" si="74"/>
        <v>0.08</v>
      </c>
      <c r="F124" s="9">
        <f t="shared" si="74"/>
        <v>0.08</v>
      </c>
      <c r="G124" s="9">
        <f t="shared" si="74"/>
        <v>0.08</v>
      </c>
      <c r="H124" s="9">
        <f t="shared" si="74"/>
        <v>0.08</v>
      </c>
      <c r="I124" s="9">
        <f t="shared" si="74"/>
        <v>0.08</v>
      </c>
      <c r="J124" s="9">
        <f t="shared" si="74"/>
        <v>0.08</v>
      </c>
      <c r="K124" s="9">
        <f t="shared" si="74"/>
        <v>0.08</v>
      </c>
      <c r="L124" s="9">
        <f t="shared" si="74"/>
        <v>0.08</v>
      </c>
      <c r="M124" s="9">
        <f t="shared" si="74"/>
        <v>0.08</v>
      </c>
      <c r="N124" s="9">
        <f t="shared" si="74"/>
        <v>0.08</v>
      </c>
      <c r="O124" s="9">
        <f t="shared" si="74"/>
        <v>0.08</v>
      </c>
      <c r="P124" s="9">
        <f t="shared" si="74"/>
        <v>0.08</v>
      </c>
      <c r="Q124" s="9">
        <f t="shared" si="74"/>
        <v>0.08</v>
      </c>
      <c r="R124" s="9">
        <f t="shared" si="74"/>
        <v>0.08</v>
      </c>
      <c r="S124" s="9">
        <f t="shared" si="74"/>
        <v>0.08</v>
      </c>
      <c r="T124" s="9">
        <f t="shared" si="74"/>
        <v>0.08</v>
      </c>
      <c r="U124" s="9">
        <f t="shared" si="74"/>
        <v>0.08</v>
      </c>
      <c r="V124" s="9">
        <f t="shared" si="74"/>
        <v>0.08</v>
      </c>
      <c r="W124" s="9">
        <f t="shared" si="74"/>
        <v>0.08</v>
      </c>
      <c r="X124" s="9">
        <f t="shared" si="74"/>
        <v>0.08</v>
      </c>
      <c r="Y124" s="9">
        <f t="shared" si="74"/>
        <v>0.08</v>
      </c>
      <c r="Z124" s="9">
        <f t="shared" si="74"/>
        <v>0.08</v>
      </c>
      <c r="AA124" s="9">
        <f t="shared" si="74"/>
        <v>0.08</v>
      </c>
      <c r="AB124" s="9">
        <f t="shared" si="74"/>
        <v>0.08</v>
      </c>
      <c r="AC124" s="9">
        <f t="shared" si="74"/>
        <v>0.08</v>
      </c>
      <c r="AD124" s="9">
        <f t="shared" si="74"/>
        <v>0.08</v>
      </c>
      <c r="AE124" s="9">
        <f t="shared" si="74"/>
        <v>0.08</v>
      </c>
      <c r="AF124" s="25" t="s">
        <v>110</v>
      </c>
    </row>
    <row r="125" spans="1:32" ht="15.75" customHeight="1">
      <c r="A125" s="12" t="str">
        <f t="shared" si="71"/>
        <v>Preá - Comércio</v>
      </c>
      <c r="B125" s="9">
        <f t="shared" si="73"/>
        <v>1.3333333333333332E-2</v>
      </c>
      <c r="C125" s="9">
        <f t="shared" ref="C125:AE125" si="75">B125</f>
        <v>1.3333333333333332E-2</v>
      </c>
      <c r="D125" s="9">
        <f t="shared" si="75"/>
        <v>1.3333333333333332E-2</v>
      </c>
      <c r="E125" s="9">
        <f t="shared" si="75"/>
        <v>1.3333333333333332E-2</v>
      </c>
      <c r="F125" s="9">
        <f t="shared" si="75"/>
        <v>1.3333333333333332E-2</v>
      </c>
      <c r="G125" s="9">
        <f t="shared" si="75"/>
        <v>1.3333333333333332E-2</v>
      </c>
      <c r="H125" s="9">
        <f t="shared" si="75"/>
        <v>1.3333333333333332E-2</v>
      </c>
      <c r="I125" s="9">
        <f t="shared" si="75"/>
        <v>1.3333333333333332E-2</v>
      </c>
      <c r="J125" s="9">
        <f t="shared" si="75"/>
        <v>1.3333333333333332E-2</v>
      </c>
      <c r="K125" s="9">
        <f t="shared" si="75"/>
        <v>1.3333333333333332E-2</v>
      </c>
      <c r="L125" s="9">
        <f t="shared" si="75"/>
        <v>1.3333333333333332E-2</v>
      </c>
      <c r="M125" s="9">
        <f t="shared" si="75"/>
        <v>1.3333333333333332E-2</v>
      </c>
      <c r="N125" s="9">
        <f t="shared" si="75"/>
        <v>1.3333333333333332E-2</v>
      </c>
      <c r="O125" s="9">
        <f t="shared" si="75"/>
        <v>1.3333333333333332E-2</v>
      </c>
      <c r="P125" s="9">
        <f t="shared" si="75"/>
        <v>1.3333333333333332E-2</v>
      </c>
      <c r="Q125" s="9">
        <f t="shared" si="75"/>
        <v>1.3333333333333332E-2</v>
      </c>
      <c r="R125" s="9">
        <f t="shared" si="75"/>
        <v>1.3333333333333332E-2</v>
      </c>
      <c r="S125" s="9">
        <f t="shared" si="75"/>
        <v>1.3333333333333332E-2</v>
      </c>
      <c r="T125" s="9">
        <f t="shared" si="75"/>
        <v>1.3333333333333332E-2</v>
      </c>
      <c r="U125" s="9">
        <f t="shared" si="75"/>
        <v>1.3333333333333332E-2</v>
      </c>
      <c r="V125" s="9">
        <f t="shared" si="75"/>
        <v>1.3333333333333332E-2</v>
      </c>
      <c r="W125" s="9">
        <f t="shared" si="75"/>
        <v>1.3333333333333332E-2</v>
      </c>
      <c r="X125" s="9">
        <f t="shared" si="75"/>
        <v>1.3333333333333332E-2</v>
      </c>
      <c r="Y125" s="9">
        <f t="shared" si="75"/>
        <v>1.3333333333333332E-2</v>
      </c>
      <c r="Z125" s="9">
        <f t="shared" si="75"/>
        <v>1.3333333333333332E-2</v>
      </c>
      <c r="AA125" s="9">
        <f t="shared" si="75"/>
        <v>1.3333333333333332E-2</v>
      </c>
      <c r="AB125" s="9">
        <f t="shared" si="75"/>
        <v>1.3333333333333332E-2</v>
      </c>
      <c r="AC125" s="9">
        <f t="shared" si="75"/>
        <v>1.3333333333333332E-2</v>
      </c>
      <c r="AD125" s="9">
        <f t="shared" si="75"/>
        <v>1.3333333333333332E-2</v>
      </c>
      <c r="AE125" s="9">
        <f t="shared" si="75"/>
        <v>1.3333333333333332E-2</v>
      </c>
      <c r="AF125" s="25" t="s">
        <v>110</v>
      </c>
    </row>
    <row r="126" spans="1:32" ht="15.75" customHeight="1">
      <c r="A126" s="12" t="str">
        <f t="shared" si="71"/>
        <v>Preá - Estacionamento</v>
      </c>
      <c r="B126" s="9">
        <f t="shared" si="73"/>
        <v>0.02</v>
      </c>
      <c r="C126" s="9">
        <f t="shared" ref="C126:AE126" si="76">C101</f>
        <v>0.02</v>
      </c>
      <c r="D126" s="9">
        <f t="shared" si="76"/>
        <v>0.02</v>
      </c>
      <c r="E126" s="9">
        <f t="shared" si="76"/>
        <v>0.02</v>
      </c>
      <c r="F126" s="9">
        <f t="shared" si="76"/>
        <v>0.02</v>
      </c>
      <c r="G126" s="9">
        <f t="shared" si="76"/>
        <v>0.02</v>
      </c>
      <c r="H126" s="9">
        <f t="shared" si="76"/>
        <v>0.02</v>
      </c>
      <c r="I126" s="9">
        <f t="shared" si="76"/>
        <v>0.02</v>
      </c>
      <c r="J126" s="9">
        <f t="shared" si="76"/>
        <v>0.02</v>
      </c>
      <c r="K126" s="9">
        <f t="shared" si="76"/>
        <v>0.02</v>
      </c>
      <c r="L126" s="9">
        <f t="shared" si="76"/>
        <v>0.02</v>
      </c>
      <c r="M126" s="9">
        <f t="shared" si="76"/>
        <v>0.02</v>
      </c>
      <c r="N126" s="9">
        <f t="shared" si="76"/>
        <v>0.02</v>
      </c>
      <c r="O126" s="9">
        <f t="shared" si="76"/>
        <v>0.02</v>
      </c>
      <c r="P126" s="9">
        <f t="shared" si="76"/>
        <v>0.02</v>
      </c>
      <c r="Q126" s="9">
        <f t="shared" si="76"/>
        <v>0.02</v>
      </c>
      <c r="R126" s="9">
        <f t="shared" si="76"/>
        <v>0.02</v>
      </c>
      <c r="S126" s="9">
        <f t="shared" si="76"/>
        <v>0.02</v>
      </c>
      <c r="T126" s="9">
        <f t="shared" si="76"/>
        <v>0.02</v>
      </c>
      <c r="U126" s="9">
        <f t="shared" si="76"/>
        <v>0.02</v>
      </c>
      <c r="V126" s="9">
        <f t="shared" si="76"/>
        <v>0.02</v>
      </c>
      <c r="W126" s="9">
        <f t="shared" si="76"/>
        <v>0.02</v>
      </c>
      <c r="X126" s="9">
        <f t="shared" si="76"/>
        <v>0.02</v>
      </c>
      <c r="Y126" s="9">
        <f t="shared" si="76"/>
        <v>0.02</v>
      </c>
      <c r="Z126" s="9">
        <f t="shared" si="76"/>
        <v>0.02</v>
      </c>
      <c r="AA126" s="9">
        <f t="shared" si="76"/>
        <v>0.02</v>
      </c>
      <c r="AB126" s="9">
        <f t="shared" si="76"/>
        <v>0.02</v>
      </c>
      <c r="AC126" s="9">
        <f t="shared" si="76"/>
        <v>0.02</v>
      </c>
      <c r="AD126" s="9">
        <f t="shared" si="76"/>
        <v>0.02</v>
      </c>
      <c r="AE126" s="9">
        <f t="shared" si="76"/>
        <v>0.02</v>
      </c>
      <c r="AF126" s="25" t="s">
        <v>110</v>
      </c>
    </row>
    <row r="127" spans="1:32" ht="15.75" customHeight="1">
      <c r="A127" s="12" t="str">
        <f t="shared" si="71"/>
        <v>Árvore da Preguiça - Alimentação</v>
      </c>
      <c r="B127" s="9">
        <f t="shared" si="73"/>
        <v>0.08</v>
      </c>
      <c r="C127" s="9">
        <f t="shared" ref="C127:AE127" si="77">C102</f>
        <v>0.08</v>
      </c>
      <c r="D127" s="9">
        <f t="shared" si="77"/>
        <v>0.08</v>
      </c>
      <c r="E127" s="9">
        <f t="shared" si="77"/>
        <v>0.08</v>
      </c>
      <c r="F127" s="9">
        <f t="shared" si="77"/>
        <v>0.08</v>
      </c>
      <c r="G127" s="9">
        <f t="shared" si="77"/>
        <v>0.08</v>
      </c>
      <c r="H127" s="9">
        <f t="shared" si="77"/>
        <v>0.08</v>
      </c>
      <c r="I127" s="9">
        <f t="shared" si="77"/>
        <v>0.08</v>
      </c>
      <c r="J127" s="9">
        <f t="shared" si="77"/>
        <v>0.08</v>
      </c>
      <c r="K127" s="9">
        <f t="shared" si="77"/>
        <v>0.08</v>
      </c>
      <c r="L127" s="9">
        <f t="shared" si="77"/>
        <v>0.08</v>
      </c>
      <c r="M127" s="9">
        <f t="shared" si="77"/>
        <v>0.08</v>
      </c>
      <c r="N127" s="9">
        <f t="shared" si="77"/>
        <v>0.08</v>
      </c>
      <c r="O127" s="9">
        <f t="shared" si="77"/>
        <v>0.08</v>
      </c>
      <c r="P127" s="9">
        <f t="shared" si="77"/>
        <v>0.08</v>
      </c>
      <c r="Q127" s="9">
        <f t="shared" si="77"/>
        <v>0.08</v>
      </c>
      <c r="R127" s="9">
        <f t="shared" si="77"/>
        <v>0.08</v>
      </c>
      <c r="S127" s="9">
        <f t="shared" si="77"/>
        <v>0.08</v>
      </c>
      <c r="T127" s="9">
        <f t="shared" si="77"/>
        <v>0.08</v>
      </c>
      <c r="U127" s="9">
        <f t="shared" si="77"/>
        <v>0.08</v>
      </c>
      <c r="V127" s="9">
        <f t="shared" si="77"/>
        <v>0.08</v>
      </c>
      <c r="W127" s="9">
        <f t="shared" si="77"/>
        <v>0.08</v>
      </c>
      <c r="X127" s="9">
        <f t="shared" si="77"/>
        <v>0.08</v>
      </c>
      <c r="Y127" s="9">
        <f t="shared" si="77"/>
        <v>0.08</v>
      </c>
      <c r="Z127" s="9">
        <f t="shared" si="77"/>
        <v>0.08</v>
      </c>
      <c r="AA127" s="9">
        <f t="shared" si="77"/>
        <v>0.08</v>
      </c>
      <c r="AB127" s="9">
        <f t="shared" si="77"/>
        <v>0.08</v>
      </c>
      <c r="AC127" s="9">
        <f t="shared" si="77"/>
        <v>0.08</v>
      </c>
      <c r="AD127" s="9">
        <f t="shared" si="77"/>
        <v>0.08</v>
      </c>
      <c r="AE127" s="9">
        <f t="shared" si="77"/>
        <v>0.08</v>
      </c>
      <c r="AF127" s="25" t="s">
        <v>110</v>
      </c>
    </row>
    <row r="128" spans="1:32" ht="15.75" customHeight="1">
      <c r="A128" s="12" t="str">
        <f t="shared" si="71"/>
        <v>Árvore da Preguiça - Comércio</v>
      </c>
      <c r="B128" s="9">
        <f t="shared" si="73"/>
        <v>1.3333333333333332E-2</v>
      </c>
      <c r="C128" s="9">
        <f t="shared" ref="C128:AE128" si="78">C103</f>
        <v>1.3333333333333332E-2</v>
      </c>
      <c r="D128" s="9">
        <f t="shared" si="78"/>
        <v>1.3333333333333332E-2</v>
      </c>
      <c r="E128" s="9">
        <f t="shared" si="78"/>
        <v>1.3333333333333332E-2</v>
      </c>
      <c r="F128" s="9">
        <f t="shared" si="78"/>
        <v>1.3333333333333332E-2</v>
      </c>
      <c r="G128" s="9">
        <f t="shared" si="78"/>
        <v>1.3333333333333332E-2</v>
      </c>
      <c r="H128" s="9">
        <f t="shared" si="78"/>
        <v>1.3333333333333332E-2</v>
      </c>
      <c r="I128" s="9">
        <f t="shared" si="78"/>
        <v>1.3333333333333332E-2</v>
      </c>
      <c r="J128" s="9">
        <f t="shared" si="78"/>
        <v>1.3333333333333332E-2</v>
      </c>
      <c r="K128" s="9">
        <f t="shared" si="78"/>
        <v>1.3333333333333332E-2</v>
      </c>
      <c r="L128" s="9">
        <f t="shared" si="78"/>
        <v>1.3333333333333332E-2</v>
      </c>
      <c r="M128" s="9">
        <f t="shared" si="78"/>
        <v>1.3333333333333332E-2</v>
      </c>
      <c r="N128" s="9">
        <f t="shared" si="78"/>
        <v>1.3333333333333332E-2</v>
      </c>
      <c r="O128" s="9">
        <f t="shared" si="78"/>
        <v>1.3333333333333332E-2</v>
      </c>
      <c r="P128" s="9">
        <f t="shared" si="78"/>
        <v>1.3333333333333332E-2</v>
      </c>
      <c r="Q128" s="9">
        <f t="shared" si="78"/>
        <v>1.3333333333333332E-2</v>
      </c>
      <c r="R128" s="9">
        <f t="shared" si="78"/>
        <v>1.3333333333333332E-2</v>
      </c>
      <c r="S128" s="9">
        <f t="shared" si="78"/>
        <v>1.3333333333333332E-2</v>
      </c>
      <c r="T128" s="9">
        <f t="shared" si="78"/>
        <v>1.3333333333333332E-2</v>
      </c>
      <c r="U128" s="9">
        <f t="shared" si="78"/>
        <v>1.3333333333333332E-2</v>
      </c>
      <c r="V128" s="9">
        <f t="shared" si="78"/>
        <v>1.3333333333333332E-2</v>
      </c>
      <c r="W128" s="9">
        <f t="shared" si="78"/>
        <v>1.3333333333333332E-2</v>
      </c>
      <c r="X128" s="9">
        <f t="shared" si="78"/>
        <v>1.3333333333333332E-2</v>
      </c>
      <c r="Y128" s="9">
        <f t="shared" si="78"/>
        <v>1.3333333333333332E-2</v>
      </c>
      <c r="Z128" s="9">
        <f t="shared" si="78"/>
        <v>1.3333333333333332E-2</v>
      </c>
      <c r="AA128" s="9">
        <f t="shared" si="78"/>
        <v>1.3333333333333332E-2</v>
      </c>
      <c r="AB128" s="9">
        <f t="shared" si="78"/>
        <v>1.3333333333333332E-2</v>
      </c>
      <c r="AC128" s="9">
        <f t="shared" si="78"/>
        <v>1.3333333333333332E-2</v>
      </c>
      <c r="AD128" s="9">
        <f t="shared" si="78"/>
        <v>1.3333333333333332E-2</v>
      </c>
      <c r="AE128" s="9">
        <f t="shared" si="78"/>
        <v>1.3333333333333332E-2</v>
      </c>
      <c r="AF128" s="25" t="s">
        <v>110</v>
      </c>
    </row>
    <row r="129" spans="1:32" ht="15.75" customHeight="1">
      <c r="A129" s="12" t="str">
        <f t="shared" si="71"/>
        <v>Silveira - Alimentação</v>
      </c>
      <c r="B129" s="9">
        <f t="shared" si="73"/>
        <v>0.08</v>
      </c>
      <c r="C129" s="9">
        <f t="shared" ref="C129:AE129" si="79">C104</f>
        <v>0.08</v>
      </c>
      <c r="D129" s="9">
        <f t="shared" si="79"/>
        <v>0.08</v>
      </c>
      <c r="E129" s="9">
        <f t="shared" si="79"/>
        <v>0.08</v>
      </c>
      <c r="F129" s="9">
        <f t="shared" si="79"/>
        <v>0.08</v>
      </c>
      <c r="G129" s="9">
        <f t="shared" si="79"/>
        <v>0.08</v>
      </c>
      <c r="H129" s="9">
        <f t="shared" si="79"/>
        <v>0.08</v>
      </c>
      <c r="I129" s="9">
        <f t="shared" si="79"/>
        <v>0.08</v>
      </c>
      <c r="J129" s="9">
        <f t="shared" si="79"/>
        <v>0.08</v>
      </c>
      <c r="K129" s="9">
        <f t="shared" si="79"/>
        <v>0.08</v>
      </c>
      <c r="L129" s="9">
        <f t="shared" si="79"/>
        <v>0.08</v>
      </c>
      <c r="M129" s="9">
        <f t="shared" si="79"/>
        <v>0.08</v>
      </c>
      <c r="N129" s="9">
        <f t="shared" si="79"/>
        <v>0.08</v>
      </c>
      <c r="O129" s="9">
        <f t="shared" si="79"/>
        <v>0.08</v>
      </c>
      <c r="P129" s="9">
        <f t="shared" si="79"/>
        <v>0.08</v>
      </c>
      <c r="Q129" s="9">
        <f t="shared" si="79"/>
        <v>0.08</v>
      </c>
      <c r="R129" s="9">
        <f t="shared" si="79"/>
        <v>0.08</v>
      </c>
      <c r="S129" s="9">
        <f t="shared" si="79"/>
        <v>0.08</v>
      </c>
      <c r="T129" s="9">
        <f t="shared" si="79"/>
        <v>0.08</v>
      </c>
      <c r="U129" s="9">
        <f t="shared" si="79"/>
        <v>0.08</v>
      </c>
      <c r="V129" s="9">
        <f t="shared" si="79"/>
        <v>0.08</v>
      </c>
      <c r="W129" s="9">
        <f t="shared" si="79"/>
        <v>0.08</v>
      </c>
      <c r="X129" s="9">
        <f t="shared" si="79"/>
        <v>0.08</v>
      </c>
      <c r="Y129" s="9">
        <f t="shared" si="79"/>
        <v>0.08</v>
      </c>
      <c r="Z129" s="9">
        <f t="shared" si="79"/>
        <v>0.08</v>
      </c>
      <c r="AA129" s="9">
        <f t="shared" si="79"/>
        <v>0.08</v>
      </c>
      <c r="AB129" s="9">
        <f t="shared" si="79"/>
        <v>0.08</v>
      </c>
      <c r="AC129" s="9">
        <f t="shared" si="79"/>
        <v>0.08</v>
      </c>
      <c r="AD129" s="9">
        <f t="shared" si="79"/>
        <v>0.08</v>
      </c>
      <c r="AE129" s="9">
        <f t="shared" si="79"/>
        <v>0.08</v>
      </c>
      <c r="AF129" s="25" t="s">
        <v>110</v>
      </c>
    </row>
    <row r="130" spans="1:32" ht="15.75" customHeight="1">
      <c r="A130" s="12" t="str">
        <f t="shared" si="71"/>
        <v>Silveira - Comércio + Locação + Atividades</v>
      </c>
      <c r="B130" s="9">
        <f t="shared" si="73"/>
        <v>1.3333333333333332E-2</v>
      </c>
      <c r="C130" s="9">
        <f t="shared" ref="C130:AE130" si="80">C105</f>
        <v>1.3333333333333332E-2</v>
      </c>
      <c r="D130" s="9">
        <f t="shared" si="80"/>
        <v>1.3333333333333332E-2</v>
      </c>
      <c r="E130" s="9">
        <f t="shared" si="80"/>
        <v>1.3333333333333332E-2</v>
      </c>
      <c r="F130" s="9">
        <f t="shared" si="80"/>
        <v>1.3333333333333332E-2</v>
      </c>
      <c r="G130" s="9">
        <f t="shared" si="80"/>
        <v>1.3333333333333332E-2</v>
      </c>
      <c r="H130" s="9">
        <f t="shared" si="80"/>
        <v>1.3333333333333332E-2</v>
      </c>
      <c r="I130" s="9">
        <f t="shared" si="80"/>
        <v>1.3333333333333332E-2</v>
      </c>
      <c r="J130" s="9">
        <f t="shared" si="80"/>
        <v>1.3333333333333332E-2</v>
      </c>
      <c r="K130" s="9">
        <f t="shared" si="80"/>
        <v>1.3333333333333332E-2</v>
      </c>
      <c r="L130" s="9">
        <f t="shared" si="80"/>
        <v>1.3333333333333332E-2</v>
      </c>
      <c r="M130" s="9">
        <f t="shared" si="80"/>
        <v>1.3333333333333332E-2</v>
      </c>
      <c r="N130" s="9">
        <f t="shared" si="80"/>
        <v>1.3333333333333332E-2</v>
      </c>
      <c r="O130" s="9">
        <f t="shared" si="80"/>
        <v>1.3333333333333332E-2</v>
      </c>
      <c r="P130" s="9">
        <f t="shared" si="80"/>
        <v>1.3333333333333332E-2</v>
      </c>
      <c r="Q130" s="9">
        <f t="shared" si="80"/>
        <v>1.3333333333333332E-2</v>
      </c>
      <c r="R130" s="9">
        <f t="shared" si="80"/>
        <v>1.3333333333333332E-2</v>
      </c>
      <c r="S130" s="9">
        <f t="shared" si="80"/>
        <v>1.3333333333333332E-2</v>
      </c>
      <c r="T130" s="9">
        <f t="shared" si="80"/>
        <v>1.3333333333333332E-2</v>
      </c>
      <c r="U130" s="9">
        <f t="shared" si="80"/>
        <v>1.3333333333333332E-2</v>
      </c>
      <c r="V130" s="9">
        <f t="shared" si="80"/>
        <v>1.3333333333333332E-2</v>
      </c>
      <c r="W130" s="9">
        <f t="shared" si="80"/>
        <v>1.3333333333333332E-2</v>
      </c>
      <c r="X130" s="9">
        <f t="shared" si="80"/>
        <v>1.3333333333333332E-2</v>
      </c>
      <c r="Y130" s="9">
        <f t="shared" si="80"/>
        <v>1.3333333333333332E-2</v>
      </c>
      <c r="Z130" s="9">
        <f t="shared" si="80"/>
        <v>1.3333333333333332E-2</v>
      </c>
      <c r="AA130" s="9">
        <f t="shared" si="80"/>
        <v>1.3333333333333332E-2</v>
      </c>
      <c r="AB130" s="9">
        <f t="shared" si="80"/>
        <v>1.3333333333333332E-2</v>
      </c>
      <c r="AC130" s="9">
        <f t="shared" si="80"/>
        <v>1.3333333333333332E-2</v>
      </c>
      <c r="AD130" s="9">
        <f t="shared" si="80"/>
        <v>1.3333333333333332E-2</v>
      </c>
      <c r="AE130" s="9">
        <f t="shared" si="80"/>
        <v>1.3333333333333332E-2</v>
      </c>
      <c r="AF130" s="25" t="s">
        <v>110</v>
      </c>
    </row>
    <row r="131" spans="1:32" ht="15.75" customHeight="1">
      <c r="A131" s="12" t="str">
        <f t="shared" si="71"/>
        <v>Silveira - Hospedagem</v>
      </c>
      <c r="B131" s="9">
        <f t="shared" si="73"/>
        <v>0.01</v>
      </c>
      <c r="C131" s="9">
        <f t="shared" ref="C131:AE131" si="81">C106</f>
        <v>0.01</v>
      </c>
      <c r="D131" s="9">
        <f t="shared" si="81"/>
        <v>0.01</v>
      </c>
      <c r="E131" s="9">
        <f t="shared" si="81"/>
        <v>0.01</v>
      </c>
      <c r="F131" s="9">
        <f t="shared" si="81"/>
        <v>0.01</v>
      </c>
      <c r="G131" s="9">
        <f t="shared" si="81"/>
        <v>0.01</v>
      </c>
      <c r="H131" s="9">
        <f t="shared" si="81"/>
        <v>0.01</v>
      </c>
      <c r="I131" s="9">
        <f t="shared" si="81"/>
        <v>0.01</v>
      </c>
      <c r="J131" s="9">
        <f t="shared" si="81"/>
        <v>0.01</v>
      </c>
      <c r="K131" s="9">
        <f t="shared" si="81"/>
        <v>0.01</v>
      </c>
      <c r="L131" s="9">
        <f t="shared" si="81"/>
        <v>0.01</v>
      </c>
      <c r="M131" s="9">
        <f t="shared" si="81"/>
        <v>0.01</v>
      </c>
      <c r="N131" s="9">
        <f t="shared" si="81"/>
        <v>0.01</v>
      </c>
      <c r="O131" s="9">
        <f t="shared" si="81"/>
        <v>0.01</v>
      </c>
      <c r="P131" s="9">
        <f t="shared" si="81"/>
        <v>0.01</v>
      </c>
      <c r="Q131" s="9">
        <f t="shared" si="81"/>
        <v>0.01</v>
      </c>
      <c r="R131" s="9">
        <f t="shared" si="81"/>
        <v>0.01</v>
      </c>
      <c r="S131" s="9">
        <f t="shared" si="81"/>
        <v>0.01</v>
      </c>
      <c r="T131" s="9">
        <f t="shared" si="81"/>
        <v>0.01</v>
      </c>
      <c r="U131" s="9">
        <f t="shared" si="81"/>
        <v>0.01</v>
      </c>
      <c r="V131" s="9">
        <f t="shared" si="81"/>
        <v>0.01</v>
      </c>
      <c r="W131" s="9">
        <f t="shared" si="81"/>
        <v>0.01</v>
      </c>
      <c r="X131" s="9">
        <f t="shared" si="81"/>
        <v>0.01</v>
      </c>
      <c r="Y131" s="9">
        <f t="shared" si="81"/>
        <v>0.01</v>
      </c>
      <c r="Z131" s="9">
        <f t="shared" si="81"/>
        <v>0.01</v>
      </c>
      <c r="AA131" s="9">
        <f t="shared" si="81"/>
        <v>0.01</v>
      </c>
      <c r="AB131" s="9">
        <f t="shared" si="81"/>
        <v>0.01</v>
      </c>
      <c r="AC131" s="9">
        <f t="shared" si="81"/>
        <v>0.01</v>
      </c>
      <c r="AD131" s="9">
        <f t="shared" si="81"/>
        <v>0.01</v>
      </c>
      <c r="AE131" s="9">
        <f t="shared" si="81"/>
        <v>0.01</v>
      </c>
      <c r="AF131" s="25" t="s">
        <v>110</v>
      </c>
    </row>
    <row r="132" spans="1:32" ht="15.75" customHeight="1">
      <c r="A132" s="12" t="str">
        <f t="shared" si="71"/>
        <v>Pedra Furada - Alimentação</v>
      </c>
      <c r="B132" s="9">
        <f t="shared" si="73"/>
        <v>0.08</v>
      </c>
      <c r="C132" s="9">
        <f t="shared" ref="C132:AE132" si="82">C107</f>
        <v>0.08</v>
      </c>
      <c r="D132" s="9">
        <f t="shared" si="82"/>
        <v>0.08</v>
      </c>
      <c r="E132" s="9">
        <f t="shared" si="82"/>
        <v>0.08</v>
      </c>
      <c r="F132" s="9">
        <f t="shared" si="82"/>
        <v>0.08</v>
      </c>
      <c r="G132" s="9">
        <f t="shared" si="82"/>
        <v>0.08</v>
      </c>
      <c r="H132" s="9">
        <f t="shared" si="82"/>
        <v>0.08</v>
      </c>
      <c r="I132" s="9">
        <f t="shared" si="82"/>
        <v>0.08</v>
      </c>
      <c r="J132" s="9">
        <f t="shared" si="82"/>
        <v>0.08</v>
      </c>
      <c r="K132" s="9">
        <f t="shared" si="82"/>
        <v>0.08</v>
      </c>
      <c r="L132" s="9">
        <f t="shared" si="82"/>
        <v>0.08</v>
      </c>
      <c r="M132" s="9">
        <f t="shared" si="82"/>
        <v>0.08</v>
      </c>
      <c r="N132" s="9">
        <f t="shared" si="82"/>
        <v>0.08</v>
      </c>
      <c r="O132" s="9">
        <f t="shared" si="82"/>
        <v>0.08</v>
      </c>
      <c r="P132" s="9">
        <f t="shared" si="82"/>
        <v>0.08</v>
      </c>
      <c r="Q132" s="9">
        <f t="shared" si="82"/>
        <v>0.08</v>
      </c>
      <c r="R132" s="9">
        <f t="shared" si="82"/>
        <v>0.08</v>
      </c>
      <c r="S132" s="9">
        <f t="shared" si="82"/>
        <v>0.08</v>
      </c>
      <c r="T132" s="9">
        <f t="shared" si="82"/>
        <v>0.08</v>
      </c>
      <c r="U132" s="9">
        <f t="shared" si="82"/>
        <v>0.08</v>
      </c>
      <c r="V132" s="9">
        <f t="shared" si="82"/>
        <v>0.08</v>
      </c>
      <c r="W132" s="9">
        <f t="shared" si="82"/>
        <v>0.08</v>
      </c>
      <c r="X132" s="9">
        <f t="shared" si="82"/>
        <v>0.08</v>
      </c>
      <c r="Y132" s="9">
        <f t="shared" si="82"/>
        <v>0.08</v>
      </c>
      <c r="Z132" s="9">
        <f t="shared" si="82"/>
        <v>0.08</v>
      </c>
      <c r="AA132" s="9">
        <f t="shared" si="82"/>
        <v>0.08</v>
      </c>
      <c r="AB132" s="9">
        <f t="shared" si="82"/>
        <v>0.08</v>
      </c>
      <c r="AC132" s="9">
        <f t="shared" si="82"/>
        <v>0.08</v>
      </c>
      <c r="AD132" s="9">
        <f t="shared" si="82"/>
        <v>0.08</v>
      </c>
      <c r="AE132" s="9">
        <f t="shared" si="82"/>
        <v>0.08</v>
      </c>
      <c r="AF132" s="25" t="s">
        <v>110</v>
      </c>
    </row>
    <row r="133" spans="1:32" ht="15.75" customHeight="1">
      <c r="A133" s="12" t="str">
        <f t="shared" si="71"/>
        <v>Pedra Furada - Comércio</v>
      </c>
      <c r="B133" s="9">
        <f t="shared" si="73"/>
        <v>1.3333333333333332E-2</v>
      </c>
      <c r="C133" s="9">
        <f t="shared" ref="C133:AE133" si="83">C108</f>
        <v>1.3333333333333332E-2</v>
      </c>
      <c r="D133" s="9">
        <f t="shared" si="83"/>
        <v>1.3333333333333332E-2</v>
      </c>
      <c r="E133" s="9">
        <f t="shared" si="83"/>
        <v>1.3333333333333332E-2</v>
      </c>
      <c r="F133" s="9">
        <f t="shared" si="83"/>
        <v>1.3333333333333332E-2</v>
      </c>
      <c r="G133" s="9">
        <f t="shared" si="83"/>
        <v>1.3333333333333332E-2</v>
      </c>
      <c r="H133" s="9">
        <f t="shared" si="83"/>
        <v>1.3333333333333332E-2</v>
      </c>
      <c r="I133" s="9">
        <f t="shared" si="83"/>
        <v>1.3333333333333332E-2</v>
      </c>
      <c r="J133" s="9">
        <f t="shared" si="83"/>
        <v>1.3333333333333332E-2</v>
      </c>
      <c r="K133" s="9">
        <f t="shared" si="83"/>
        <v>1.3333333333333332E-2</v>
      </c>
      <c r="L133" s="9">
        <f t="shared" si="83"/>
        <v>1.3333333333333332E-2</v>
      </c>
      <c r="M133" s="9">
        <f t="shared" si="83"/>
        <v>1.3333333333333332E-2</v>
      </c>
      <c r="N133" s="9">
        <f t="shared" si="83"/>
        <v>1.3333333333333332E-2</v>
      </c>
      <c r="O133" s="9">
        <f t="shared" si="83"/>
        <v>1.3333333333333332E-2</v>
      </c>
      <c r="P133" s="9">
        <f t="shared" si="83"/>
        <v>1.3333333333333332E-2</v>
      </c>
      <c r="Q133" s="9">
        <f t="shared" si="83"/>
        <v>1.3333333333333332E-2</v>
      </c>
      <c r="R133" s="9">
        <f t="shared" si="83"/>
        <v>1.3333333333333332E-2</v>
      </c>
      <c r="S133" s="9">
        <f t="shared" si="83"/>
        <v>1.3333333333333332E-2</v>
      </c>
      <c r="T133" s="9">
        <f t="shared" si="83"/>
        <v>1.3333333333333332E-2</v>
      </c>
      <c r="U133" s="9">
        <f t="shared" si="83"/>
        <v>1.3333333333333332E-2</v>
      </c>
      <c r="V133" s="9">
        <f t="shared" si="83"/>
        <v>1.3333333333333332E-2</v>
      </c>
      <c r="W133" s="9">
        <f t="shared" si="83"/>
        <v>1.3333333333333332E-2</v>
      </c>
      <c r="X133" s="9">
        <f t="shared" si="83"/>
        <v>1.3333333333333332E-2</v>
      </c>
      <c r="Y133" s="9">
        <f t="shared" si="83"/>
        <v>1.3333333333333332E-2</v>
      </c>
      <c r="Z133" s="9">
        <f t="shared" si="83"/>
        <v>1.3333333333333332E-2</v>
      </c>
      <c r="AA133" s="9">
        <f t="shared" si="83"/>
        <v>1.3333333333333332E-2</v>
      </c>
      <c r="AB133" s="9">
        <f t="shared" si="83"/>
        <v>1.3333333333333332E-2</v>
      </c>
      <c r="AC133" s="9">
        <f t="shared" si="83"/>
        <v>1.3333333333333332E-2</v>
      </c>
      <c r="AD133" s="9">
        <f t="shared" si="83"/>
        <v>1.3333333333333332E-2</v>
      </c>
      <c r="AE133" s="9">
        <f t="shared" si="83"/>
        <v>1.3333333333333332E-2</v>
      </c>
      <c r="AF133" s="25" t="s">
        <v>110</v>
      </c>
    </row>
    <row r="134" spans="1:32" ht="15.75" customHeight="1">
      <c r="A134" s="12" t="str">
        <f t="shared" si="71"/>
        <v>Serrote - Alimentação</v>
      </c>
      <c r="B134" s="9">
        <f t="shared" si="73"/>
        <v>0.08</v>
      </c>
      <c r="C134" s="9">
        <f t="shared" ref="C134:AE134" si="84">C109</f>
        <v>0.08</v>
      </c>
      <c r="D134" s="9">
        <f t="shared" si="84"/>
        <v>0.08</v>
      </c>
      <c r="E134" s="9">
        <f t="shared" si="84"/>
        <v>0.08</v>
      </c>
      <c r="F134" s="9">
        <f t="shared" si="84"/>
        <v>0.08</v>
      </c>
      <c r="G134" s="9">
        <f t="shared" si="84"/>
        <v>0.08</v>
      </c>
      <c r="H134" s="9">
        <f t="shared" si="84"/>
        <v>0.08</v>
      </c>
      <c r="I134" s="9">
        <f t="shared" si="84"/>
        <v>0.08</v>
      </c>
      <c r="J134" s="9">
        <f t="shared" si="84"/>
        <v>0.08</v>
      </c>
      <c r="K134" s="9">
        <f t="shared" si="84"/>
        <v>0.08</v>
      </c>
      <c r="L134" s="9">
        <f t="shared" si="84"/>
        <v>0.08</v>
      </c>
      <c r="M134" s="9">
        <f t="shared" si="84"/>
        <v>0.08</v>
      </c>
      <c r="N134" s="9">
        <f t="shared" si="84"/>
        <v>0.08</v>
      </c>
      <c r="O134" s="9">
        <f t="shared" si="84"/>
        <v>0.08</v>
      </c>
      <c r="P134" s="9">
        <f t="shared" si="84"/>
        <v>0.08</v>
      </c>
      <c r="Q134" s="9">
        <f t="shared" si="84"/>
        <v>0.08</v>
      </c>
      <c r="R134" s="9">
        <f t="shared" si="84"/>
        <v>0.08</v>
      </c>
      <c r="S134" s="9">
        <f t="shared" si="84"/>
        <v>0.08</v>
      </c>
      <c r="T134" s="9">
        <f t="shared" si="84"/>
        <v>0.08</v>
      </c>
      <c r="U134" s="9">
        <f t="shared" si="84"/>
        <v>0.08</v>
      </c>
      <c r="V134" s="9">
        <f t="shared" si="84"/>
        <v>0.08</v>
      </c>
      <c r="W134" s="9">
        <f t="shared" si="84"/>
        <v>0.08</v>
      </c>
      <c r="X134" s="9">
        <f t="shared" si="84"/>
        <v>0.08</v>
      </c>
      <c r="Y134" s="9">
        <f t="shared" si="84"/>
        <v>0.08</v>
      </c>
      <c r="Z134" s="9">
        <f t="shared" si="84"/>
        <v>0.08</v>
      </c>
      <c r="AA134" s="9">
        <f t="shared" si="84"/>
        <v>0.08</v>
      </c>
      <c r="AB134" s="9">
        <f t="shared" si="84"/>
        <v>0.08</v>
      </c>
      <c r="AC134" s="9">
        <f t="shared" si="84"/>
        <v>0.08</v>
      </c>
      <c r="AD134" s="9">
        <f t="shared" si="84"/>
        <v>0.08</v>
      </c>
      <c r="AE134" s="9">
        <f t="shared" si="84"/>
        <v>0.08</v>
      </c>
      <c r="AF134" s="25" t="s">
        <v>110</v>
      </c>
    </row>
    <row r="135" spans="1:32" ht="15.75" customHeight="1">
      <c r="A135" s="12" t="str">
        <f t="shared" si="71"/>
        <v>Serrote - Comércio</v>
      </c>
      <c r="B135" s="9">
        <f t="shared" si="73"/>
        <v>1.3333333333333332E-2</v>
      </c>
      <c r="C135" s="9">
        <f t="shared" ref="C135:AE135" si="85">C110</f>
        <v>1.3333333333333332E-2</v>
      </c>
      <c r="D135" s="9">
        <f t="shared" si="85"/>
        <v>1.3333333333333332E-2</v>
      </c>
      <c r="E135" s="9">
        <f t="shared" si="85"/>
        <v>1.3333333333333332E-2</v>
      </c>
      <c r="F135" s="9">
        <f t="shared" si="85"/>
        <v>1.3333333333333332E-2</v>
      </c>
      <c r="G135" s="9">
        <f t="shared" si="85"/>
        <v>1.3333333333333332E-2</v>
      </c>
      <c r="H135" s="9">
        <f t="shared" si="85"/>
        <v>1.3333333333333332E-2</v>
      </c>
      <c r="I135" s="9">
        <f t="shared" si="85"/>
        <v>1.3333333333333332E-2</v>
      </c>
      <c r="J135" s="9">
        <f t="shared" si="85"/>
        <v>1.3333333333333332E-2</v>
      </c>
      <c r="K135" s="9">
        <f t="shared" si="85"/>
        <v>1.3333333333333332E-2</v>
      </c>
      <c r="L135" s="9">
        <f t="shared" si="85"/>
        <v>1.3333333333333332E-2</v>
      </c>
      <c r="M135" s="9">
        <f t="shared" si="85"/>
        <v>1.3333333333333332E-2</v>
      </c>
      <c r="N135" s="9">
        <f t="shared" si="85"/>
        <v>1.3333333333333332E-2</v>
      </c>
      <c r="O135" s="9">
        <f t="shared" si="85"/>
        <v>1.3333333333333332E-2</v>
      </c>
      <c r="P135" s="9">
        <f t="shared" si="85"/>
        <v>1.3333333333333332E-2</v>
      </c>
      <c r="Q135" s="9">
        <f t="shared" si="85"/>
        <v>1.3333333333333332E-2</v>
      </c>
      <c r="R135" s="9">
        <f t="shared" si="85"/>
        <v>1.3333333333333332E-2</v>
      </c>
      <c r="S135" s="9">
        <f t="shared" si="85"/>
        <v>1.3333333333333332E-2</v>
      </c>
      <c r="T135" s="9">
        <f t="shared" si="85"/>
        <v>1.3333333333333332E-2</v>
      </c>
      <c r="U135" s="9">
        <f t="shared" si="85"/>
        <v>1.3333333333333332E-2</v>
      </c>
      <c r="V135" s="9">
        <f t="shared" si="85"/>
        <v>1.3333333333333332E-2</v>
      </c>
      <c r="W135" s="9">
        <f t="shared" si="85"/>
        <v>1.3333333333333332E-2</v>
      </c>
      <c r="X135" s="9">
        <f t="shared" si="85"/>
        <v>1.3333333333333332E-2</v>
      </c>
      <c r="Y135" s="9">
        <f t="shared" si="85"/>
        <v>1.3333333333333332E-2</v>
      </c>
      <c r="Z135" s="9">
        <f t="shared" si="85"/>
        <v>1.3333333333333332E-2</v>
      </c>
      <c r="AA135" s="9">
        <f t="shared" si="85"/>
        <v>1.3333333333333332E-2</v>
      </c>
      <c r="AB135" s="9">
        <f t="shared" si="85"/>
        <v>1.3333333333333332E-2</v>
      </c>
      <c r="AC135" s="9">
        <f t="shared" si="85"/>
        <v>1.3333333333333332E-2</v>
      </c>
      <c r="AD135" s="9">
        <f t="shared" si="85"/>
        <v>1.3333333333333332E-2</v>
      </c>
      <c r="AE135" s="9">
        <f t="shared" si="85"/>
        <v>1.3333333333333332E-2</v>
      </c>
      <c r="AF135" s="25"/>
    </row>
    <row r="136" spans="1:32" ht="15.75" customHeight="1">
      <c r="A136" s="12" t="str">
        <f t="shared" si="71"/>
        <v>Paraíso - Alimentação</v>
      </c>
      <c r="B136" s="9">
        <f t="shared" si="73"/>
        <v>0.08</v>
      </c>
      <c r="C136" s="9">
        <f t="shared" ref="C136:AE136" si="86">C111</f>
        <v>0.08</v>
      </c>
      <c r="D136" s="9">
        <f t="shared" si="86"/>
        <v>0.08</v>
      </c>
      <c r="E136" s="9">
        <f t="shared" si="86"/>
        <v>0.08</v>
      </c>
      <c r="F136" s="9">
        <f t="shared" si="86"/>
        <v>0.08</v>
      </c>
      <c r="G136" s="9">
        <f t="shared" si="86"/>
        <v>0.08</v>
      </c>
      <c r="H136" s="9">
        <f t="shared" si="86"/>
        <v>0.08</v>
      </c>
      <c r="I136" s="9">
        <f t="shared" si="86"/>
        <v>0.08</v>
      </c>
      <c r="J136" s="9">
        <f t="shared" si="86"/>
        <v>0.08</v>
      </c>
      <c r="K136" s="9">
        <f t="shared" si="86"/>
        <v>0.08</v>
      </c>
      <c r="L136" s="9">
        <f t="shared" si="86"/>
        <v>0.08</v>
      </c>
      <c r="M136" s="9">
        <f t="shared" si="86"/>
        <v>0.08</v>
      </c>
      <c r="N136" s="9">
        <f t="shared" si="86"/>
        <v>0.08</v>
      </c>
      <c r="O136" s="9">
        <f t="shared" si="86"/>
        <v>0.08</v>
      </c>
      <c r="P136" s="9">
        <f t="shared" si="86"/>
        <v>0.08</v>
      </c>
      <c r="Q136" s="9">
        <f t="shared" si="86"/>
        <v>0.08</v>
      </c>
      <c r="R136" s="9">
        <f t="shared" si="86"/>
        <v>0.08</v>
      </c>
      <c r="S136" s="9">
        <f t="shared" si="86"/>
        <v>0.08</v>
      </c>
      <c r="T136" s="9">
        <f t="shared" si="86"/>
        <v>0.08</v>
      </c>
      <c r="U136" s="9">
        <f t="shared" si="86"/>
        <v>0.08</v>
      </c>
      <c r="V136" s="9">
        <f t="shared" si="86"/>
        <v>0.08</v>
      </c>
      <c r="W136" s="9">
        <f t="shared" si="86"/>
        <v>0.08</v>
      </c>
      <c r="X136" s="9">
        <f t="shared" si="86"/>
        <v>0.08</v>
      </c>
      <c r="Y136" s="9">
        <f t="shared" si="86"/>
        <v>0.08</v>
      </c>
      <c r="Z136" s="9">
        <f t="shared" si="86"/>
        <v>0.08</v>
      </c>
      <c r="AA136" s="9">
        <f t="shared" si="86"/>
        <v>0.08</v>
      </c>
      <c r="AB136" s="9">
        <f t="shared" si="86"/>
        <v>0.08</v>
      </c>
      <c r="AC136" s="9">
        <f t="shared" si="86"/>
        <v>0.08</v>
      </c>
      <c r="AD136" s="9">
        <f t="shared" si="86"/>
        <v>0.08</v>
      </c>
      <c r="AE136" s="9">
        <f t="shared" si="86"/>
        <v>0.08</v>
      </c>
      <c r="AF136" s="25"/>
    </row>
    <row r="137" spans="1:32" ht="15.75" customHeight="1">
      <c r="A137" s="12" t="str">
        <f t="shared" si="71"/>
        <v>Paraíso - Comércio + Locação + Atividades</v>
      </c>
      <c r="B137" s="9">
        <f t="shared" si="73"/>
        <v>1.3333333333333332E-2</v>
      </c>
      <c r="C137" s="9">
        <f t="shared" ref="C137:AE137" si="87">C112</f>
        <v>1.3333333333333332E-2</v>
      </c>
      <c r="D137" s="9">
        <f t="shared" si="87"/>
        <v>1.3333333333333332E-2</v>
      </c>
      <c r="E137" s="9">
        <f t="shared" si="87"/>
        <v>1.3333333333333332E-2</v>
      </c>
      <c r="F137" s="9">
        <f t="shared" si="87"/>
        <v>1.3333333333333332E-2</v>
      </c>
      <c r="G137" s="9">
        <f t="shared" si="87"/>
        <v>1.3333333333333332E-2</v>
      </c>
      <c r="H137" s="9">
        <f t="shared" si="87"/>
        <v>1.3333333333333332E-2</v>
      </c>
      <c r="I137" s="9">
        <f t="shared" si="87"/>
        <v>1.3333333333333332E-2</v>
      </c>
      <c r="J137" s="9">
        <f t="shared" si="87"/>
        <v>1.3333333333333332E-2</v>
      </c>
      <c r="K137" s="9">
        <f t="shared" si="87"/>
        <v>1.3333333333333332E-2</v>
      </c>
      <c r="L137" s="9">
        <f t="shared" si="87"/>
        <v>1.3333333333333332E-2</v>
      </c>
      <c r="M137" s="9">
        <f t="shared" si="87"/>
        <v>1.3333333333333332E-2</v>
      </c>
      <c r="N137" s="9">
        <f t="shared" si="87"/>
        <v>1.3333333333333332E-2</v>
      </c>
      <c r="O137" s="9">
        <f t="shared" si="87"/>
        <v>1.3333333333333332E-2</v>
      </c>
      <c r="P137" s="9">
        <f t="shared" si="87"/>
        <v>1.3333333333333332E-2</v>
      </c>
      <c r="Q137" s="9">
        <f t="shared" si="87"/>
        <v>1.3333333333333332E-2</v>
      </c>
      <c r="R137" s="9">
        <f t="shared" si="87"/>
        <v>1.3333333333333332E-2</v>
      </c>
      <c r="S137" s="9">
        <f t="shared" si="87"/>
        <v>1.3333333333333332E-2</v>
      </c>
      <c r="T137" s="9">
        <f t="shared" si="87"/>
        <v>1.3333333333333332E-2</v>
      </c>
      <c r="U137" s="9">
        <f t="shared" si="87"/>
        <v>1.3333333333333332E-2</v>
      </c>
      <c r="V137" s="9">
        <f t="shared" si="87"/>
        <v>1.3333333333333332E-2</v>
      </c>
      <c r="W137" s="9">
        <f t="shared" si="87"/>
        <v>1.3333333333333332E-2</v>
      </c>
      <c r="X137" s="9">
        <f t="shared" si="87"/>
        <v>1.3333333333333332E-2</v>
      </c>
      <c r="Y137" s="9">
        <f t="shared" si="87"/>
        <v>1.3333333333333332E-2</v>
      </c>
      <c r="Z137" s="9">
        <f t="shared" si="87"/>
        <v>1.3333333333333332E-2</v>
      </c>
      <c r="AA137" s="9">
        <f t="shared" si="87"/>
        <v>1.3333333333333332E-2</v>
      </c>
      <c r="AB137" s="9">
        <f t="shared" si="87"/>
        <v>1.3333333333333332E-2</v>
      </c>
      <c r="AC137" s="9">
        <f t="shared" si="87"/>
        <v>1.3333333333333332E-2</v>
      </c>
      <c r="AD137" s="9">
        <f t="shared" si="87"/>
        <v>1.3333333333333332E-2</v>
      </c>
      <c r="AE137" s="9">
        <f t="shared" si="87"/>
        <v>1.3333333333333332E-2</v>
      </c>
      <c r="AF137" s="25"/>
    </row>
    <row r="138" spans="1:32" ht="15.75" customHeight="1">
      <c r="A138" s="12" t="str">
        <f t="shared" si="71"/>
        <v>Geral - Unidade móvel - Alimentação</v>
      </c>
      <c r="B138" s="9">
        <f t="shared" si="73"/>
        <v>0.02</v>
      </c>
      <c r="C138" s="9">
        <f t="shared" ref="C138:AE138" si="88">C113</f>
        <v>0.02</v>
      </c>
      <c r="D138" s="9">
        <f t="shared" si="88"/>
        <v>0.02</v>
      </c>
      <c r="E138" s="9">
        <f t="shared" si="88"/>
        <v>0.02</v>
      </c>
      <c r="F138" s="9">
        <f t="shared" si="88"/>
        <v>0.02</v>
      </c>
      <c r="G138" s="9">
        <f t="shared" si="88"/>
        <v>0.02</v>
      </c>
      <c r="H138" s="9">
        <f t="shared" si="88"/>
        <v>0.02</v>
      </c>
      <c r="I138" s="9">
        <f t="shared" si="88"/>
        <v>0.02</v>
      </c>
      <c r="J138" s="9">
        <f t="shared" si="88"/>
        <v>0.02</v>
      </c>
      <c r="K138" s="9">
        <f t="shared" si="88"/>
        <v>0.02</v>
      </c>
      <c r="L138" s="9">
        <f t="shared" si="88"/>
        <v>0.02</v>
      </c>
      <c r="M138" s="9">
        <f t="shared" si="88"/>
        <v>0.02</v>
      </c>
      <c r="N138" s="9">
        <f t="shared" si="88"/>
        <v>0.02</v>
      </c>
      <c r="O138" s="9">
        <f t="shared" si="88"/>
        <v>0.02</v>
      </c>
      <c r="P138" s="9">
        <f t="shared" si="88"/>
        <v>0.02</v>
      </c>
      <c r="Q138" s="9">
        <f t="shared" si="88"/>
        <v>0.02</v>
      </c>
      <c r="R138" s="9">
        <f t="shared" si="88"/>
        <v>0.02</v>
      </c>
      <c r="S138" s="9">
        <f t="shared" si="88"/>
        <v>0.02</v>
      </c>
      <c r="T138" s="9">
        <f t="shared" si="88"/>
        <v>0.02</v>
      </c>
      <c r="U138" s="9">
        <f t="shared" si="88"/>
        <v>0.02</v>
      </c>
      <c r="V138" s="9">
        <f t="shared" si="88"/>
        <v>0.02</v>
      </c>
      <c r="W138" s="9">
        <f t="shared" si="88"/>
        <v>0.02</v>
      </c>
      <c r="X138" s="9">
        <f t="shared" si="88"/>
        <v>0.02</v>
      </c>
      <c r="Y138" s="9">
        <f t="shared" si="88"/>
        <v>0.02</v>
      </c>
      <c r="Z138" s="9">
        <f t="shared" si="88"/>
        <v>0.02</v>
      </c>
      <c r="AA138" s="9">
        <f t="shared" si="88"/>
        <v>0.02</v>
      </c>
      <c r="AB138" s="9">
        <f t="shared" si="88"/>
        <v>0.02</v>
      </c>
      <c r="AC138" s="9">
        <f t="shared" si="88"/>
        <v>0.02</v>
      </c>
      <c r="AD138" s="9">
        <f t="shared" si="88"/>
        <v>0.02</v>
      </c>
      <c r="AE138" s="9">
        <f t="shared" si="88"/>
        <v>0.02</v>
      </c>
      <c r="AF138" s="25"/>
    </row>
    <row r="139" spans="1:32" ht="15.75" customHeight="1">
      <c r="A139" s="12" t="str">
        <f t="shared" si="71"/>
        <v>Mangue Seco - Estacionamento</v>
      </c>
      <c r="B139" s="9">
        <f t="shared" si="73"/>
        <v>2.5000000000000001E-3</v>
      </c>
      <c r="C139" s="9">
        <f t="shared" ref="C139:AE139" si="89">C114</f>
        <v>2.5000000000000001E-3</v>
      </c>
      <c r="D139" s="9">
        <f t="shared" si="89"/>
        <v>2.5000000000000001E-3</v>
      </c>
      <c r="E139" s="9">
        <f t="shared" si="89"/>
        <v>2.5000000000000001E-3</v>
      </c>
      <c r="F139" s="9">
        <f t="shared" si="89"/>
        <v>2.5000000000000001E-3</v>
      </c>
      <c r="G139" s="9">
        <f t="shared" si="89"/>
        <v>2.5000000000000001E-3</v>
      </c>
      <c r="H139" s="9">
        <f t="shared" si="89"/>
        <v>2.5000000000000001E-3</v>
      </c>
      <c r="I139" s="9">
        <f t="shared" si="89"/>
        <v>2.5000000000000001E-3</v>
      </c>
      <c r="J139" s="9">
        <f t="shared" si="89"/>
        <v>2.5000000000000001E-3</v>
      </c>
      <c r="K139" s="9">
        <f t="shared" si="89"/>
        <v>2.5000000000000001E-3</v>
      </c>
      <c r="L139" s="9">
        <f t="shared" si="89"/>
        <v>2.5000000000000001E-3</v>
      </c>
      <c r="M139" s="9">
        <f t="shared" si="89"/>
        <v>2.5000000000000001E-3</v>
      </c>
      <c r="N139" s="9">
        <f t="shared" si="89"/>
        <v>2.5000000000000001E-3</v>
      </c>
      <c r="O139" s="9">
        <f t="shared" si="89"/>
        <v>2.5000000000000001E-3</v>
      </c>
      <c r="P139" s="9">
        <f t="shared" si="89"/>
        <v>2.5000000000000001E-3</v>
      </c>
      <c r="Q139" s="9">
        <f t="shared" si="89"/>
        <v>2.5000000000000001E-3</v>
      </c>
      <c r="R139" s="9">
        <f t="shared" si="89"/>
        <v>2.5000000000000001E-3</v>
      </c>
      <c r="S139" s="9">
        <f t="shared" si="89"/>
        <v>2.5000000000000001E-3</v>
      </c>
      <c r="T139" s="9">
        <f t="shared" si="89"/>
        <v>2.5000000000000001E-3</v>
      </c>
      <c r="U139" s="9">
        <f t="shared" si="89"/>
        <v>2.5000000000000001E-3</v>
      </c>
      <c r="V139" s="9">
        <f t="shared" si="89"/>
        <v>2.5000000000000001E-3</v>
      </c>
      <c r="W139" s="9">
        <f t="shared" si="89"/>
        <v>2.5000000000000001E-3</v>
      </c>
      <c r="X139" s="9">
        <f t="shared" si="89"/>
        <v>2.5000000000000001E-3</v>
      </c>
      <c r="Y139" s="9">
        <f t="shared" si="89"/>
        <v>2.5000000000000001E-3</v>
      </c>
      <c r="Z139" s="9">
        <f t="shared" si="89"/>
        <v>2.5000000000000001E-3</v>
      </c>
      <c r="AA139" s="9">
        <f t="shared" si="89"/>
        <v>2.5000000000000001E-3</v>
      </c>
      <c r="AB139" s="9">
        <f t="shared" si="89"/>
        <v>2.5000000000000001E-3</v>
      </c>
      <c r="AC139" s="9">
        <f t="shared" si="89"/>
        <v>2.5000000000000001E-3</v>
      </c>
      <c r="AD139" s="9">
        <f t="shared" si="89"/>
        <v>2.5000000000000001E-3</v>
      </c>
      <c r="AE139" s="9">
        <f t="shared" si="89"/>
        <v>2.5000000000000001E-3</v>
      </c>
      <c r="AF139" s="25"/>
    </row>
    <row r="140" spans="1:32" ht="15.75" customHeight="1">
      <c r="A140" s="12" t="str">
        <f t="shared" si="71"/>
        <v>Lagoa Grande - Estacionamento</v>
      </c>
      <c r="B140" s="9">
        <f t="shared" si="73"/>
        <v>2.5000000000000001E-3</v>
      </c>
      <c r="C140" s="9">
        <f t="shared" ref="C140:AE140" si="90">C115</f>
        <v>2.5000000000000001E-3</v>
      </c>
      <c r="D140" s="9">
        <f t="shared" si="90"/>
        <v>2.5000000000000001E-3</v>
      </c>
      <c r="E140" s="9">
        <f t="shared" si="90"/>
        <v>2.5000000000000001E-3</v>
      </c>
      <c r="F140" s="9">
        <f t="shared" si="90"/>
        <v>2.5000000000000001E-3</v>
      </c>
      <c r="G140" s="9">
        <f t="shared" si="90"/>
        <v>2.5000000000000001E-3</v>
      </c>
      <c r="H140" s="9">
        <f t="shared" si="90"/>
        <v>2.5000000000000001E-3</v>
      </c>
      <c r="I140" s="9">
        <f t="shared" si="90"/>
        <v>2.5000000000000001E-3</v>
      </c>
      <c r="J140" s="9">
        <f t="shared" si="90"/>
        <v>2.5000000000000001E-3</v>
      </c>
      <c r="K140" s="9">
        <f t="shared" si="90"/>
        <v>2.5000000000000001E-3</v>
      </c>
      <c r="L140" s="9">
        <f t="shared" si="90"/>
        <v>2.5000000000000001E-3</v>
      </c>
      <c r="M140" s="9">
        <f t="shared" si="90"/>
        <v>2.5000000000000001E-3</v>
      </c>
      <c r="N140" s="9">
        <f t="shared" si="90"/>
        <v>2.5000000000000001E-3</v>
      </c>
      <c r="O140" s="9">
        <f t="shared" si="90"/>
        <v>2.5000000000000001E-3</v>
      </c>
      <c r="P140" s="9">
        <f t="shared" si="90"/>
        <v>2.5000000000000001E-3</v>
      </c>
      <c r="Q140" s="9">
        <f t="shared" si="90"/>
        <v>2.5000000000000001E-3</v>
      </c>
      <c r="R140" s="9">
        <f t="shared" si="90"/>
        <v>2.5000000000000001E-3</v>
      </c>
      <c r="S140" s="9">
        <f t="shared" si="90"/>
        <v>2.5000000000000001E-3</v>
      </c>
      <c r="T140" s="9">
        <f t="shared" si="90"/>
        <v>2.5000000000000001E-3</v>
      </c>
      <c r="U140" s="9">
        <f t="shared" si="90"/>
        <v>2.5000000000000001E-3</v>
      </c>
      <c r="V140" s="9">
        <f t="shared" si="90"/>
        <v>2.5000000000000001E-3</v>
      </c>
      <c r="W140" s="9">
        <f t="shared" si="90"/>
        <v>2.5000000000000001E-3</v>
      </c>
      <c r="X140" s="9">
        <f t="shared" si="90"/>
        <v>2.5000000000000001E-3</v>
      </c>
      <c r="Y140" s="9">
        <f t="shared" si="90"/>
        <v>2.5000000000000001E-3</v>
      </c>
      <c r="Z140" s="9">
        <f t="shared" si="90"/>
        <v>2.5000000000000001E-3</v>
      </c>
      <c r="AA140" s="9">
        <f t="shared" si="90"/>
        <v>2.5000000000000001E-3</v>
      </c>
      <c r="AB140" s="9">
        <f t="shared" si="90"/>
        <v>2.5000000000000001E-3</v>
      </c>
      <c r="AC140" s="9">
        <f t="shared" si="90"/>
        <v>2.5000000000000001E-3</v>
      </c>
      <c r="AD140" s="9">
        <f t="shared" si="90"/>
        <v>2.5000000000000001E-3</v>
      </c>
      <c r="AE140" s="9">
        <f t="shared" si="90"/>
        <v>2.5000000000000001E-3</v>
      </c>
      <c r="AF140" s="25"/>
    </row>
    <row r="141" spans="1:32" ht="15.75" customHeight="1">
      <c r="A141" s="12">
        <f t="shared" si="71"/>
        <v>0</v>
      </c>
      <c r="B141" s="9">
        <f t="shared" si="73"/>
        <v>0</v>
      </c>
      <c r="C141" s="9">
        <f t="shared" ref="C141:AE141" si="91">C116</f>
        <v>0</v>
      </c>
      <c r="D141" s="9">
        <f t="shared" si="91"/>
        <v>0</v>
      </c>
      <c r="E141" s="9">
        <f t="shared" si="91"/>
        <v>0</v>
      </c>
      <c r="F141" s="9">
        <f t="shared" si="91"/>
        <v>0</v>
      </c>
      <c r="G141" s="9">
        <f t="shared" si="91"/>
        <v>0</v>
      </c>
      <c r="H141" s="9">
        <f t="shared" si="91"/>
        <v>0</v>
      </c>
      <c r="I141" s="9">
        <f t="shared" si="91"/>
        <v>0</v>
      </c>
      <c r="J141" s="9">
        <f t="shared" si="91"/>
        <v>0</v>
      </c>
      <c r="K141" s="9">
        <f t="shared" si="91"/>
        <v>0</v>
      </c>
      <c r="L141" s="9">
        <f t="shared" si="91"/>
        <v>0</v>
      </c>
      <c r="M141" s="9">
        <f t="shared" si="91"/>
        <v>0</v>
      </c>
      <c r="N141" s="9">
        <f t="shared" si="91"/>
        <v>0</v>
      </c>
      <c r="O141" s="9">
        <f t="shared" si="91"/>
        <v>0</v>
      </c>
      <c r="P141" s="9">
        <f t="shared" si="91"/>
        <v>0</v>
      </c>
      <c r="Q141" s="9">
        <f t="shared" si="91"/>
        <v>0</v>
      </c>
      <c r="R141" s="9">
        <f t="shared" si="91"/>
        <v>0</v>
      </c>
      <c r="S141" s="9">
        <f t="shared" si="91"/>
        <v>0</v>
      </c>
      <c r="T141" s="9">
        <f t="shared" si="91"/>
        <v>0</v>
      </c>
      <c r="U141" s="9">
        <f t="shared" si="91"/>
        <v>0</v>
      </c>
      <c r="V141" s="9">
        <f t="shared" si="91"/>
        <v>0</v>
      </c>
      <c r="W141" s="9">
        <f t="shared" si="91"/>
        <v>0</v>
      </c>
      <c r="X141" s="9">
        <f t="shared" si="91"/>
        <v>0</v>
      </c>
      <c r="Y141" s="9">
        <f t="shared" si="91"/>
        <v>0</v>
      </c>
      <c r="Z141" s="9">
        <f t="shared" si="91"/>
        <v>0</v>
      </c>
      <c r="AA141" s="9">
        <f t="shared" si="91"/>
        <v>0</v>
      </c>
      <c r="AB141" s="9">
        <f t="shared" si="91"/>
        <v>0</v>
      </c>
      <c r="AC141" s="9">
        <f t="shared" si="91"/>
        <v>0</v>
      </c>
      <c r="AD141" s="9">
        <f t="shared" si="91"/>
        <v>0</v>
      </c>
      <c r="AE141" s="9">
        <f t="shared" si="91"/>
        <v>0</v>
      </c>
      <c r="AF141" s="25"/>
    </row>
    <row r="142" spans="1:32" ht="15.75" customHeight="1">
      <c r="A142" s="12">
        <f t="shared" si="71"/>
        <v>0</v>
      </c>
      <c r="B142" s="9">
        <f t="shared" si="73"/>
        <v>0</v>
      </c>
      <c r="C142" s="9">
        <f t="shared" ref="C142:AE142" si="92">C117</f>
        <v>0</v>
      </c>
      <c r="D142" s="9">
        <f t="shared" si="92"/>
        <v>0</v>
      </c>
      <c r="E142" s="9">
        <f t="shared" si="92"/>
        <v>0</v>
      </c>
      <c r="F142" s="9">
        <f t="shared" si="92"/>
        <v>0</v>
      </c>
      <c r="G142" s="9">
        <f t="shared" si="92"/>
        <v>0</v>
      </c>
      <c r="H142" s="9">
        <f t="shared" si="92"/>
        <v>0</v>
      </c>
      <c r="I142" s="9">
        <f t="shared" si="92"/>
        <v>0</v>
      </c>
      <c r="J142" s="9">
        <f t="shared" si="92"/>
        <v>0</v>
      </c>
      <c r="K142" s="9">
        <f t="shared" si="92"/>
        <v>0</v>
      </c>
      <c r="L142" s="9">
        <f t="shared" si="92"/>
        <v>0</v>
      </c>
      <c r="M142" s="9">
        <f t="shared" si="92"/>
        <v>0</v>
      </c>
      <c r="N142" s="9">
        <f t="shared" si="92"/>
        <v>0</v>
      </c>
      <c r="O142" s="9">
        <f t="shared" si="92"/>
        <v>0</v>
      </c>
      <c r="P142" s="9">
        <f t="shared" si="92"/>
        <v>0</v>
      </c>
      <c r="Q142" s="9">
        <f t="shared" si="92"/>
        <v>0</v>
      </c>
      <c r="R142" s="9">
        <f t="shared" si="92"/>
        <v>0</v>
      </c>
      <c r="S142" s="9">
        <f t="shared" si="92"/>
        <v>0</v>
      </c>
      <c r="T142" s="9">
        <f t="shared" si="92"/>
        <v>0</v>
      </c>
      <c r="U142" s="9">
        <f t="shared" si="92"/>
        <v>0</v>
      </c>
      <c r="V142" s="9">
        <f t="shared" si="92"/>
        <v>0</v>
      </c>
      <c r="W142" s="9">
        <f t="shared" si="92"/>
        <v>0</v>
      </c>
      <c r="X142" s="9">
        <f t="shared" si="92"/>
        <v>0</v>
      </c>
      <c r="Y142" s="9">
        <f t="shared" si="92"/>
        <v>0</v>
      </c>
      <c r="Z142" s="9">
        <f t="shared" si="92"/>
        <v>0</v>
      </c>
      <c r="AA142" s="9">
        <f t="shared" si="92"/>
        <v>0</v>
      </c>
      <c r="AB142" s="9">
        <f t="shared" si="92"/>
        <v>0</v>
      </c>
      <c r="AC142" s="9">
        <f t="shared" si="92"/>
        <v>0</v>
      </c>
      <c r="AD142" s="9">
        <f t="shared" si="92"/>
        <v>0</v>
      </c>
      <c r="AE142" s="9">
        <f t="shared" si="92"/>
        <v>0</v>
      </c>
      <c r="AF142" s="25"/>
    </row>
    <row r="143" spans="1:32" ht="15.75" customHeight="1">
      <c r="A143" s="298"/>
      <c r="B143" s="298"/>
      <c r="C143" s="298"/>
      <c r="D143" s="298"/>
      <c r="E143" s="298"/>
      <c r="F143" s="298"/>
      <c r="G143" s="298"/>
      <c r="H143" s="298"/>
      <c r="I143" s="298"/>
      <c r="J143" s="298"/>
      <c r="K143" s="298"/>
      <c r="L143" s="298"/>
      <c r="M143" s="298"/>
      <c r="N143" s="298"/>
      <c r="O143" s="298"/>
      <c r="P143" s="298"/>
      <c r="Q143" s="298"/>
      <c r="R143" s="298"/>
      <c r="S143" s="298"/>
      <c r="T143" s="298"/>
      <c r="U143" s="298"/>
      <c r="V143" s="298"/>
      <c r="W143" s="298"/>
      <c r="X143" s="298"/>
      <c r="Y143" s="298"/>
      <c r="Z143" s="298"/>
      <c r="AA143" s="298"/>
      <c r="AB143" s="298"/>
      <c r="AC143" s="298"/>
      <c r="AD143" s="298"/>
      <c r="AE143" s="298"/>
      <c r="AF143" s="298"/>
    </row>
    <row r="144" spans="1:32" ht="15.75" customHeight="1">
      <c r="A144" s="497" t="s">
        <v>48</v>
      </c>
      <c r="B144" s="298"/>
      <c r="C144" s="298"/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8"/>
      <c r="R144" s="298"/>
      <c r="S144" s="298"/>
      <c r="T144" s="298"/>
      <c r="U144" s="298"/>
      <c r="V144" s="298"/>
      <c r="W144" s="298"/>
      <c r="X144" s="298"/>
      <c r="Y144" s="298"/>
      <c r="Z144" s="298"/>
      <c r="AA144" s="298"/>
      <c r="AB144" s="298"/>
      <c r="AC144" s="298"/>
      <c r="AD144" s="298"/>
      <c r="AE144" s="298"/>
      <c r="AF144" s="298"/>
    </row>
    <row r="145" spans="1:32" ht="15.75" customHeight="1">
      <c r="A145" s="758" t="str">
        <f>A17</f>
        <v>Unidades Geradoras de Caixa (UGC)</v>
      </c>
      <c r="B145" s="759" t="s">
        <v>104</v>
      </c>
      <c r="C145" s="813"/>
      <c r="D145" s="813"/>
      <c r="E145" s="813"/>
      <c r="F145" s="813"/>
      <c r="G145" s="813"/>
      <c r="H145" s="813"/>
      <c r="I145" s="813"/>
      <c r="J145" s="813"/>
      <c r="K145" s="813"/>
      <c r="L145" s="813"/>
      <c r="M145" s="813"/>
      <c r="N145" s="813"/>
      <c r="O145" s="813"/>
      <c r="P145" s="813"/>
      <c r="Q145" s="813"/>
      <c r="R145" s="813"/>
      <c r="S145" s="813"/>
      <c r="T145" s="813"/>
      <c r="U145" s="813"/>
      <c r="V145" s="813"/>
      <c r="W145" s="813"/>
      <c r="X145" s="813"/>
      <c r="Y145" s="813"/>
      <c r="Z145" s="813"/>
      <c r="AA145" s="813"/>
      <c r="AB145" s="813"/>
      <c r="AC145" s="813"/>
      <c r="AD145" s="813"/>
      <c r="AE145" s="813"/>
      <c r="AF145" s="760" t="s">
        <v>109</v>
      </c>
    </row>
    <row r="146" spans="1:32" ht="15.75" customHeight="1">
      <c r="A146" s="813"/>
      <c r="B146" s="488">
        <v>1</v>
      </c>
      <c r="C146" s="488">
        <v>2</v>
      </c>
      <c r="D146" s="488">
        <v>3</v>
      </c>
      <c r="E146" s="488">
        <v>4</v>
      </c>
      <c r="F146" s="488">
        <v>5</v>
      </c>
      <c r="G146" s="488">
        <v>6</v>
      </c>
      <c r="H146" s="488">
        <v>7</v>
      </c>
      <c r="I146" s="488">
        <v>8</v>
      </c>
      <c r="J146" s="488">
        <v>9</v>
      </c>
      <c r="K146" s="488">
        <v>10</v>
      </c>
      <c r="L146" s="488">
        <v>11</v>
      </c>
      <c r="M146" s="488">
        <v>12</v>
      </c>
      <c r="N146" s="488">
        <v>13</v>
      </c>
      <c r="O146" s="488">
        <v>14</v>
      </c>
      <c r="P146" s="488">
        <v>15</v>
      </c>
      <c r="Q146" s="488">
        <v>16</v>
      </c>
      <c r="R146" s="488">
        <v>17</v>
      </c>
      <c r="S146" s="488">
        <v>18</v>
      </c>
      <c r="T146" s="488">
        <v>19</v>
      </c>
      <c r="U146" s="488">
        <v>20</v>
      </c>
      <c r="V146" s="488">
        <v>21</v>
      </c>
      <c r="W146" s="488">
        <v>22</v>
      </c>
      <c r="X146" s="488">
        <v>23</v>
      </c>
      <c r="Y146" s="488">
        <v>24</v>
      </c>
      <c r="Z146" s="488">
        <v>25</v>
      </c>
      <c r="AA146" s="488">
        <v>26</v>
      </c>
      <c r="AB146" s="488">
        <v>27</v>
      </c>
      <c r="AC146" s="488">
        <v>28</v>
      </c>
      <c r="AD146" s="488">
        <v>29</v>
      </c>
      <c r="AE146" s="488">
        <v>30</v>
      </c>
      <c r="AF146" s="816"/>
    </row>
    <row r="147" spans="1:32" ht="15.75" customHeight="1">
      <c r="A147" s="12" t="str">
        <f t="shared" ref="A147:A167" si="93">A122</f>
        <v>Demanda de visitação TOTAL</v>
      </c>
      <c r="B147" s="9">
        <v>1</v>
      </c>
      <c r="C147" s="9">
        <v>1</v>
      </c>
      <c r="D147" s="9">
        <v>1</v>
      </c>
      <c r="E147" s="9">
        <v>1</v>
      </c>
      <c r="F147" s="9">
        <v>1</v>
      </c>
      <c r="G147" s="9">
        <v>1</v>
      </c>
      <c r="H147" s="9">
        <v>1</v>
      </c>
      <c r="I147" s="9">
        <v>1</v>
      </c>
      <c r="J147" s="9">
        <v>1</v>
      </c>
      <c r="K147" s="9">
        <v>1</v>
      </c>
      <c r="L147" s="9">
        <v>1</v>
      </c>
      <c r="M147" s="9">
        <v>1</v>
      </c>
      <c r="N147" s="9">
        <v>1</v>
      </c>
      <c r="O147" s="9">
        <v>1</v>
      </c>
      <c r="P147" s="9">
        <v>1</v>
      </c>
      <c r="Q147" s="9">
        <v>1</v>
      </c>
      <c r="R147" s="9">
        <v>1</v>
      </c>
      <c r="S147" s="9">
        <v>1</v>
      </c>
      <c r="T147" s="9">
        <v>1</v>
      </c>
      <c r="U147" s="9">
        <v>1</v>
      </c>
      <c r="V147" s="9">
        <v>1</v>
      </c>
      <c r="W147" s="9">
        <v>1</v>
      </c>
      <c r="X147" s="9">
        <v>1</v>
      </c>
      <c r="Y147" s="9">
        <v>1</v>
      </c>
      <c r="Z147" s="9">
        <v>1</v>
      </c>
      <c r="AA147" s="9">
        <v>1</v>
      </c>
      <c r="AB147" s="9">
        <v>1</v>
      </c>
      <c r="AC147" s="9">
        <v>1</v>
      </c>
      <c r="AD147" s="9">
        <v>1</v>
      </c>
      <c r="AE147" s="9">
        <v>1</v>
      </c>
      <c r="AF147" s="25"/>
    </row>
    <row r="148" spans="1:32" ht="15.75" customHeight="1">
      <c r="A148" s="12" t="str">
        <f t="shared" si="93"/>
        <v>Ingresso</v>
      </c>
      <c r="B148" s="9">
        <v>1</v>
      </c>
      <c r="C148" s="9">
        <f t="shared" ref="C148:AE148" si="94">B148</f>
        <v>1</v>
      </c>
      <c r="D148" s="9">
        <f t="shared" si="94"/>
        <v>1</v>
      </c>
      <c r="E148" s="9">
        <f t="shared" si="94"/>
        <v>1</v>
      </c>
      <c r="F148" s="9">
        <f t="shared" si="94"/>
        <v>1</v>
      </c>
      <c r="G148" s="9">
        <f t="shared" si="94"/>
        <v>1</v>
      </c>
      <c r="H148" s="9">
        <f t="shared" si="94"/>
        <v>1</v>
      </c>
      <c r="I148" s="9">
        <f t="shared" si="94"/>
        <v>1</v>
      </c>
      <c r="J148" s="9">
        <f t="shared" si="94"/>
        <v>1</v>
      </c>
      <c r="K148" s="9">
        <f t="shared" si="94"/>
        <v>1</v>
      </c>
      <c r="L148" s="9">
        <f t="shared" si="94"/>
        <v>1</v>
      </c>
      <c r="M148" s="9">
        <f t="shared" si="94"/>
        <v>1</v>
      </c>
      <c r="N148" s="9">
        <f t="shared" si="94"/>
        <v>1</v>
      </c>
      <c r="O148" s="9">
        <f t="shared" si="94"/>
        <v>1</v>
      </c>
      <c r="P148" s="9">
        <f t="shared" si="94"/>
        <v>1</v>
      </c>
      <c r="Q148" s="9">
        <f t="shared" si="94"/>
        <v>1</v>
      </c>
      <c r="R148" s="9">
        <f t="shared" si="94"/>
        <v>1</v>
      </c>
      <c r="S148" s="9">
        <f t="shared" si="94"/>
        <v>1</v>
      </c>
      <c r="T148" s="9">
        <f t="shared" si="94"/>
        <v>1</v>
      </c>
      <c r="U148" s="9">
        <f t="shared" si="94"/>
        <v>1</v>
      </c>
      <c r="V148" s="9">
        <f t="shared" si="94"/>
        <v>1</v>
      </c>
      <c r="W148" s="9">
        <f t="shared" si="94"/>
        <v>1</v>
      </c>
      <c r="X148" s="9">
        <f t="shared" si="94"/>
        <v>1</v>
      </c>
      <c r="Y148" s="9">
        <f t="shared" si="94"/>
        <v>1</v>
      </c>
      <c r="Z148" s="9">
        <f t="shared" si="94"/>
        <v>1</v>
      </c>
      <c r="AA148" s="9">
        <f t="shared" si="94"/>
        <v>1</v>
      </c>
      <c r="AB148" s="9">
        <f t="shared" si="94"/>
        <v>1</v>
      </c>
      <c r="AC148" s="9">
        <f t="shared" si="94"/>
        <v>1</v>
      </c>
      <c r="AD148" s="9">
        <f t="shared" si="94"/>
        <v>1</v>
      </c>
      <c r="AE148" s="9">
        <f t="shared" si="94"/>
        <v>1</v>
      </c>
      <c r="AF148" s="25" t="s">
        <v>110</v>
      </c>
    </row>
    <row r="149" spans="1:32" ht="15.75" customHeight="1">
      <c r="A149" s="12" t="str">
        <f t="shared" si="93"/>
        <v>Preá - Alimentação</v>
      </c>
      <c r="B149" s="9">
        <f t="shared" ref="B149:B167" si="95">B99</f>
        <v>0.08</v>
      </c>
      <c r="C149" s="9">
        <f t="shared" ref="C149:AE149" si="96">B149</f>
        <v>0.08</v>
      </c>
      <c r="D149" s="9">
        <f t="shared" si="96"/>
        <v>0.08</v>
      </c>
      <c r="E149" s="9">
        <f t="shared" si="96"/>
        <v>0.08</v>
      </c>
      <c r="F149" s="9">
        <f t="shared" si="96"/>
        <v>0.08</v>
      </c>
      <c r="G149" s="9">
        <f t="shared" si="96"/>
        <v>0.08</v>
      </c>
      <c r="H149" s="9">
        <f t="shared" si="96"/>
        <v>0.08</v>
      </c>
      <c r="I149" s="9">
        <f t="shared" si="96"/>
        <v>0.08</v>
      </c>
      <c r="J149" s="9">
        <f t="shared" si="96"/>
        <v>0.08</v>
      </c>
      <c r="K149" s="9">
        <f t="shared" si="96"/>
        <v>0.08</v>
      </c>
      <c r="L149" s="9">
        <f t="shared" si="96"/>
        <v>0.08</v>
      </c>
      <c r="M149" s="9">
        <f t="shared" si="96"/>
        <v>0.08</v>
      </c>
      <c r="N149" s="9">
        <f t="shared" si="96"/>
        <v>0.08</v>
      </c>
      <c r="O149" s="9">
        <f t="shared" si="96"/>
        <v>0.08</v>
      </c>
      <c r="P149" s="9">
        <f t="shared" si="96"/>
        <v>0.08</v>
      </c>
      <c r="Q149" s="9">
        <f t="shared" si="96"/>
        <v>0.08</v>
      </c>
      <c r="R149" s="9">
        <f t="shared" si="96"/>
        <v>0.08</v>
      </c>
      <c r="S149" s="9">
        <f t="shared" si="96"/>
        <v>0.08</v>
      </c>
      <c r="T149" s="9">
        <f t="shared" si="96"/>
        <v>0.08</v>
      </c>
      <c r="U149" s="9">
        <f t="shared" si="96"/>
        <v>0.08</v>
      </c>
      <c r="V149" s="9">
        <f t="shared" si="96"/>
        <v>0.08</v>
      </c>
      <c r="W149" s="9">
        <f t="shared" si="96"/>
        <v>0.08</v>
      </c>
      <c r="X149" s="9">
        <f t="shared" si="96"/>
        <v>0.08</v>
      </c>
      <c r="Y149" s="9">
        <f t="shared" si="96"/>
        <v>0.08</v>
      </c>
      <c r="Z149" s="9">
        <f t="shared" si="96"/>
        <v>0.08</v>
      </c>
      <c r="AA149" s="9">
        <f t="shared" si="96"/>
        <v>0.08</v>
      </c>
      <c r="AB149" s="9">
        <f t="shared" si="96"/>
        <v>0.08</v>
      </c>
      <c r="AC149" s="9">
        <f t="shared" si="96"/>
        <v>0.08</v>
      </c>
      <c r="AD149" s="9">
        <f t="shared" si="96"/>
        <v>0.08</v>
      </c>
      <c r="AE149" s="9">
        <f t="shared" si="96"/>
        <v>0.08</v>
      </c>
      <c r="AF149" s="25" t="s">
        <v>110</v>
      </c>
    </row>
    <row r="150" spans="1:32" ht="15.75" customHeight="1">
      <c r="A150" s="12" t="str">
        <f t="shared" si="93"/>
        <v>Preá - Comércio</v>
      </c>
      <c r="B150" s="9">
        <f t="shared" si="95"/>
        <v>1.3333333333333332E-2</v>
      </c>
      <c r="C150" s="9">
        <f t="shared" ref="C150:AE150" si="97">B150</f>
        <v>1.3333333333333332E-2</v>
      </c>
      <c r="D150" s="9">
        <f t="shared" si="97"/>
        <v>1.3333333333333332E-2</v>
      </c>
      <c r="E150" s="9">
        <f t="shared" si="97"/>
        <v>1.3333333333333332E-2</v>
      </c>
      <c r="F150" s="9">
        <f t="shared" si="97"/>
        <v>1.3333333333333332E-2</v>
      </c>
      <c r="G150" s="9">
        <f t="shared" si="97"/>
        <v>1.3333333333333332E-2</v>
      </c>
      <c r="H150" s="9">
        <f t="shared" si="97"/>
        <v>1.3333333333333332E-2</v>
      </c>
      <c r="I150" s="9">
        <f t="shared" si="97"/>
        <v>1.3333333333333332E-2</v>
      </c>
      <c r="J150" s="9">
        <f t="shared" si="97"/>
        <v>1.3333333333333332E-2</v>
      </c>
      <c r="K150" s="9">
        <f t="shared" si="97"/>
        <v>1.3333333333333332E-2</v>
      </c>
      <c r="L150" s="9">
        <f t="shared" si="97"/>
        <v>1.3333333333333332E-2</v>
      </c>
      <c r="M150" s="9">
        <f t="shared" si="97"/>
        <v>1.3333333333333332E-2</v>
      </c>
      <c r="N150" s="9">
        <f t="shared" si="97"/>
        <v>1.3333333333333332E-2</v>
      </c>
      <c r="O150" s="9">
        <f t="shared" si="97"/>
        <v>1.3333333333333332E-2</v>
      </c>
      <c r="P150" s="9">
        <f t="shared" si="97"/>
        <v>1.3333333333333332E-2</v>
      </c>
      <c r="Q150" s="9">
        <f t="shared" si="97"/>
        <v>1.3333333333333332E-2</v>
      </c>
      <c r="R150" s="9">
        <f t="shared" si="97"/>
        <v>1.3333333333333332E-2</v>
      </c>
      <c r="S150" s="9">
        <f t="shared" si="97"/>
        <v>1.3333333333333332E-2</v>
      </c>
      <c r="T150" s="9">
        <f t="shared" si="97"/>
        <v>1.3333333333333332E-2</v>
      </c>
      <c r="U150" s="9">
        <f t="shared" si="97"/>
        <v>1.3333333333333332E-2</v>
      </c>
      <c r="V150" s="9">
        <f t="shared" si="97"/>
        <v>1.3333333333333332E-2</v>
      </c>
      <c r="W150" s="9">
        <f t="shared" si="97"/>
        <v>1.3333333333333332E-2</v>
      </c>
      <c r="X150" s="9">
        <f t="shared" si="97"/>
        <v>1.3333333333333332E-2</v>
      </c>
      <c r="Y150" s="9">
        <f t="shared" si="97"/>
        <v>1.3333333333333332E-2</v>
      </c>
      <c r="Z150" s="9">
        <f t="shared" si="97"/>
        <v>1.3333333333333332E-2</v>
      </c>
      <c r="AA150" s="9">
        <f t="shared" si="97"/>
        <v>1.3333333333333332E-2</v>
      </c>
      <c r="AB150" s="9">
        <f t="shared" si="97"/>
        <v>1.3333333333333332E-2</v>
      </c>
      <c r="AC150" s="9">
        <f t="shared" si="97"/>
        <v>1.3333333333333332E-2</v>
      </c>
      <c r="AD150" s="9">
        <f t="shared" si="97"/>
        <v>1.3333333333333332E-2</v>
      </c>
      <c r="AE150" s="9">
        <f t="shared" si="97"/>
        <v>1.3333333333333332E-2</v>
      </c>
      <c r="AF150" s="25" t="s">
        <v>110</v>
      </c>
    </row>
    <row r="151" spans="1:32" ht="15.75" customHeight="1">
      <c r="A151" s="12" t="str">
        <f t="shared" si="93"/>
        <v>Preá - Estacionamento</v>
      </c>
      <c r="B151" s="9">
        <f t="shared" si="95"/>
        <v>0.02</v>
      </c>
      <c r="C151" s="9">
        <f t="shared" ref="C151:AE151" si="98">C101</f>
        <v>0.02</v>
      </c>
      <c r="D151" s="9">
        <f t="shared" si="98"/>
        <v>0.02</v>
      </c>
      <c r="E151" s="9">
        <f t="shared" si="98"/>
        <v>0.02</v>
      </c>
      <c r="F151" s="9">
        <f t="shared" si="98"/>
        <v>0.02</v>
      </c>
      <c r="G151" s="9">
        <f t="shared" si="98"/>
        <v>0.02</v>
      </c>
      <c r="H151" s="9">
        <f t="shared" si="98"/>
        <v>0.02</v>
      </c>
      <c r="I151" s="9">
        <f t="shared" si="98"/>
        <v>0.02</v>
      </c>
      <c r="J151" s="9">
        <f t="shared" si="98"/>
        <v>0.02</v>
      </c>
      <c r="K151" s="9">
        <f t="shared" si="98"/>
        <v>0.02</v>
      </c>
      <c r="L151" s="9">
        <f t="shared" si="98"/>
        <v>0.02</v>
      </c>
      <c r="M151" s="9">
        <f t="shared" si="98"/>
        <v>0.02</v>
      </c>
      <c r="N151" s="9">
        <f t="shared" si="98"/>
        <v>0.02</v>
      </c>
      <c r="O151" s="9">
        <f t="shared" si="98"/>
        <v>0.02</v>
      </c>
      <c r="P151" s="9">
        <f t="shared" si="98"/>
        <v>0.02</v>
      </c>
      <c r="Q151" s="9">
        <f t="shared" si="98"/>
        <v>0.02</v>
      </c>
      <c r="R151" s="9">
        <f t="shared" si="98"/>
        <v>0.02</v>
      </c>
      <c r="S151" s="9">
        <f t="shared" si="98"/>
        <v>0.02</v>
      </c>
      <c r="T151" s="9">
        <f t="shared" si="98"/>
        <v>0.02</v>
      </c>
      <c r="U151" s="9">
        <f t="shared" si="98"/>
        <v>0.02</v>
      </c>
      <c r="V151" s="9">
        <f t="shared" si="98"/>
        <v>0.02</v>
      </c>
      <c r="W151" s="9">
        <f t="shared" si="98"/>
        <v>0.02</v>
      </c>
      <c r="X151" s="9">
        <f t="shared" si="98"/>
        <v>0.02</v>
      </c>
      <c r="Y151" s="9">
        <f t="shared" si="98"/>
        <v>0.02</v>
      </c>
      <c r="Z151" s="9">
        <f t="shared" si="98"/>
        <v>0.02</v>
      </c>
      <c r="AA151" s="9">
        <f t="shared" si="98"/>
        <v>0.02</v>
      </c>
      <c r="AB151" s="9">
        <f t="shared" si="98"/>
        <v>0.02</v>
      </c>
      <c r="AC151" s="9">
        <f t="shared" si="98"/>
        <v>0.02</v>
      </c>
      <c r="AD151" s="9">
        <f t="shared" si="98"/>
        <v>0.02</v>
      </c>
      <c r="AE151" s="9">
        <f t="shared" si="98"/>
        <v>0.02</v>
      </c>
      <c r="AF151" s="25" t="s">
        <v>110</v>
      </c>
    </row>
    <row r="152" spans="1:32" ht="15.75" customHeight="1">
      <c r="A152" s="12" t="str">
        <f t="shared" si="93"/>
        <v>Árvore da Preguiça - Alimentação</v>
      </c>
      <c r="B152" s="9">
        <f t="shared" si="95"/>
        <v>0.08</v>
      </c>
      <c r="C152" s="9">
        <f t="shared" ref="C152:AE152" si="99">C102</f>
        <v>0.08</v>
      </c>
      <c r="D152" s="9">
        <f t="shared" si="99"/>
        <v>0.08</v>
      </c>
      <c r="E152" s="9">
        <f t="shared" si="99"/>
        <v>0.08</v>
      </c>
      <c r="F152" s="9">
        <f t="shared" si="99"/>
        <v>0.08</v>
      </c>
      <c r="G152" s="9">
        <f t="shared" si="99"/>
        <v>0.08</v>
      </c>
      <c r="H152" s="9">
        <f t="shared" si="99"/>
        <v>0.08</v>
      </c>
      <c r="I152" s="9">
        <f t="shared" si="99"/>
        <v>0.08</v>
      </c>
      <c r="J152" s="9">
        <f t="shared" si="99"/>
        <v>0.08</v>
      </c>
      <c r="K152" s="9">
        <f t="shared" si="99"/>
        <v>0.08</v>
      </c>
      <c r="L152" s="9">
        <f t="shared" si="99"/>
        <v>0.08</v>
      </c>
      <c r="M152" s="9">
        <f t="shared" si="99"/>
        <v>0.08</v>
      </c>
      <c r="N152" s="9">
        <f t="shared" si="99"/>
        <v>0.08</v>
      </c>
      <c r="O152" s="9">
        <f t="shared" si="99"/>
        <v>0.08</v>
      </c>
      <c r="P152" s="9">
        <f t="shared" si="99"/>
        <v>0.08</v>
      </c>
      <c r="Q152" s="9">
        <f t="shared" si="99"/>
        <v>0.08</v>
      </c>
      <c r="R152" s="9">
        <f t="shared" si="99"/>
        <v>0.08</v>
      </c>
      <c r="S152" s="9">
        <f t="shared" si="99"/>
        <v>0.08</v>
      </c>
      <c r="T152" s="9">
        <f t="shared" si="99"/>
        <v>0.08</v>
      </c>
      <c r="U152" s="9">
        <f t="shared" si="99"/>
        <v>0.08</v>
      </c>
      <c r="V152" s="9">
        <f t="shared" si="99"/>
        <v>0.08</v>
      </c>
      <c r="W152" s="9">
        <f t="shared" si="99"/>
        <v>0.08</v>
      </c>
      <c r="X152" s="9">
        <f t="shared" si="99"/>
        <v>0.08</v>
      </c>
      <c r="Y152" s="9">
        <f t="shared" si="99"/>
        <v>0.08</v>
      </c>
      <c r="Z152" s="9">
        <f t="shared" si="99"/>
        <v>0.08</v>
      </c>
      <c r="AA152" s="9">
        <f t="shared" si="99"/>
        <v>0.08</v>
      </c>
      <c r="AB152" s="9">
        <f t="shared" si="99"/>
        <v>0.08</v>
      </c>
      <c r="AC152" s="9">
        <f t="shared" si="99"/>
        <v>0.08</v>
      </c>
      <c r="AD152" s="9">
        <f t="shared" si="99"/>
        <v>0.08</v>
      </c>
      <c r="AE152" s="9">
        <f t="shared" si="99"/>
        <v>0.08</v>
      </c>
      <c r="AF152" s="25" t="s">
        <v>110</v>
      </c>
    </row>
    <row r="153" spans="1:32" ht="15.75" customHeight="1">
      <c r="A153" s="12" t="str">
        <f t="shared" si="93"/>
        <v>Árvore da Preguiça - Comércio</v>
      </c>
      <c r="B153" s="9">
        <f t="shared" si="95"/>
        <v>1.3333333333333332E-2</v>
      </c>
      <c r="C153" s="9">
        <f t="shared" ref="C153:AE153" si="100">C103</f>
        <v>1.3333333333333332E-2</v>
      </c>
      <c r="D153" s="9">
        <f t="shared" si="100"/>
        <v>1.3333333333333332E-2</v>
      </c>
      <c r="E153" s="9">
        <f t="shared" si="100"/>
        <v>1.3333333333333332E-2</v>
      </c>
      <c r="F153" s="9">
        <f t="shared" si="100"/>
        <v>1.3333333333333332E-2</v>
      </c>
      <c r="G153" s="9">
        <f t="shared" si="100"/>
        <v>1.3333333333333332E-2</v>
      </c>
      <c r="H153" s="9">
        <f t="shared" si="100"/>
        <v>1.3333333333333332E-2</v>
      </c>
      <c r="I153" s="9">
        <f t="shared" si="100"/>
        <v>1.3333333333333332E-2</v>
      </c>
      <c r="J153" s="9">
        <f t="shared" si="100"/>
        <v>1.3333333333333332E-2</v>
      </c>
      <c r="K153" s="9">
        <f t="shared" si="100"/>
        <v>1.3333333333333332E-2</v>
      </c>
      <c r="L153" s="9">
        <f t="shared" si="100"/>
        <v>1.3333333333333332E-2</v>
      </c>
      <c r="M153" s="9">
        <f t="shared" si="100"/>
        <v>1.3333333333333332E-2</v>
      </c>
      <c r="N153" s="9">
        <f t="shared" si="100"/>
        <v>1.3333333333333332E-2</v>
      </c>
      <c r="O153" s="9">
        <f t="shared" si="100"/>
        <v>1.3333333333333332E-2</v>
      </c>
      <c r="P153" s="9">
        <f t="shared" si="100"/>
        <v>1.3333333333333332E-2</v>
      </c>
      <c r="Q153" s="9">
        <f t="shared" si="100"/>
        <v>1.3333333333333332E-2</v>
      </c>
      <c r="R153" s="9">
        <f t="shared" si="100"/>
        <v>1.3333333333333332E-2</v>
      </c>
      <c r="S153" s="9">
        <f t="shared" si="100"/>
        <v>1.3333333333333332E-2</v>
      </c>
      <c r="T153" s="9">
        <f t="shared" si="100"/>
        <v>1.3333333333333332E-2</v>
      </c>
      <c r="U153" s="9">
        <f t="shared" si="100"/>
        <v>1.3333333333333332E-2</v>
      </c>
      <c r="V153" s="9">
        <f t="shared" si="100"/>
        <v>1.3333333333333332E-2</v>
      </c>
      <c r="W153" s="9">
        <f t="shared" si="100"/>
        <v>1.3333333333333332E-2</v>
      </c>
      <c r="X153" s="9">
        <f t="shared" si="100"/>
        <v>1.3333333333333332E-2</v>
      </c>
      <c r="Y153" s="9">
        <f t="shared" si="100"/>
        <v>1.3333333333333332E-2</v>
      </c>
      <c r="Z153" s="9">
        <f t="shared" si="100"/>
        <v>1.3333333333333332E-2</v>
      </c>
      <c r="AA153" s="9">
        <f t="shared" si="100"/>
        <v>1.3333333333333332E-2</v>
      </c>
      <c r="AB153" s="9">
        <f t="shared" si="100"/>
        <v>1.3333333333333332E-2</v>
      </c>
      <c r="AC153" s="9">
        <f t="shared" si="100"/>
        <v>1.3333333333333332E-2</v>
      </c>
      <c r="AD153" s="9">
        <f t="shared" si="100"/>
        <v>1.3333333333333332E-2</v>
      </c>
      <c r="AE153" s="9">
        <f t="shared" si="100"/>
        <v>1.3333333333333332E-2</v>
      </c>
      <c r="AF153" s="25" t="s">
        <v>110</v>
      </c>
    </row>
    <row r="154" spans="1:32" ht="15.75" customHeight="1">
      <c r="A154" s="12" t="str">
        <f t="shared" si="93"/>
        <v>Silveira - Alimentação</v>
      </c>
      <c r="B154" s="9">
        <f t="shared" si="95"/>
        <v>0.08</v>
      </c>
      <c r="C154" s="9">
        <f t="shared" ref="C154:AE154" si="101">C104</f>
        <v>0.08</v>
      </c>
      <c r="D154" s="9">
        <f t="shared" si="101"/>
        <v>0.08</v>
      </c>
      <c r="E154" s="9">
        <f t="shared" si="101"/>
        <v>0.08</v>
      </c>
      <c r="F154" s="9">
        <f t="shared" si="101"/>
        <v>0.08</v>
      </c>
      <c r="G154" s="9">
        <f t="shared" si="101"/>
        <v>0.08</v>
      </c>
      <c r="H154" s="9">
        <f t="shared" si="101"/>
        <v>0.08</v>
      </c>
      <c r="I154" s="9">
        <f t="shared" si="101"/>
        <v>0.08</v>
      </c>
      <c r="J154" s="9">
        <f t="shared" si="101"/>
        <v>0.08</v>
      </c>
      <c r="K154" s="9">
        <f t="shared" si="101"/>
        <v>0.08</v>
      </c>
      <c r="L154" s="9">
        <f t="shared" si="101"/>
        <v>0.08</v>
      </c>
      <c r="M154" s="9">
        <f t="shared" si="101"/>
        <v>0.08</v>
      </c>
      <c r="N154" s="9">
        <f t="shared" si="101"/>
        <v>0.08</v>
      </c>
      <c r="O154" s="9">
        <f t="shared" si="101"/>
        <v>0.08</v>
      </c>
      <c r="P154" s="9">
        <f t="shared" si="101"/>
        <v>0.08</v>
      </c>
      <c r="Q154" s="9">
        <f t="shared" si="101"/>
        <v>0.08</v>
      </c>
      <c r="R154" s="9">
        <f t="shared" si="101"/>
        <v>0.08</v>
      </c>
      <c r="S154" s="9">
        <f t="shared" si="101"/>
        <v>0.08</v>
      </c>
      <c r="T154" s="9">
        <f t="shared" si="101"/>
        <v>0.08</v>
      </c>
      <c r="U154" s="9">
        <f t="shared" si="101"/>
        <v>0.08</v>
      </c>
      <c r="V154" s="9">
        <f t="shared" si="101"/>
        <v>0.08</v>
      </c>
      <c r="W154" s="9">
        <f t="shared" si="101"/>
        <v>0.08</v>
      </c>
      <c r="X154" s="9">
        <f t="shared" si="101"/>
        <v>0.08</v>
      </c>
      <c r="Y154" s="9">
        <f t="shared" si="101"/>
        <v>0.08</v>
      </c>
      <c r="Z154" s="9">
        <f t="shared" si="101"/>
        <v>0.08</v>
      </c>
      <c r="AA154" s="9">
        <f t="shared" si="101"/>
        <v>0.08</v>
      </c>
      <c r="AB154" s="9">
        <f t="shared" si="101"/>
        <v>0.08</v>
      </c>
      <c r="AC154" s="9">
        <f t="shared" si="101"/>
        <v>0.08</v>
      </c>
      <c r="AD154" s="9">
        <f t="shared" si="101"/>
        <v>0.08</v>
      </c>
      <c r="AE154" s="9">
        <f t="shared" si="101"/>
        <v>0.08</v>
      </c>
      <c r="AF154" s="25" t="s">
        <v>110</v>
      </c>
    </row>
    <row r="155" spans="1:32" ht="15.75" customHeight="1">
      <c r="A155" s="12" t="str">
        <f t="shared" si="93"/>
        <v>Silveira - Comércio + Locação + Atividades</v>
      </c>
      <c r="B155" s="9">
        <f t="shared" si="95"/>
        <v>1.3333333333333332E-2</v>
      </c>
      <c r="C155" s="9">
        <f t="shared" ref="C155:AE155" si="102">C105</f>
        <v>1.3333333333333332E-2</v>
      </c>
      <c r="D155" s="9">
        <f t="shared" si="102"/>
        <v>1.3333333333333332E-2</v>
      </c>
      <c r="E155" s="9">
        <f t="shared" si="102"/>
        <v>1.3333333333333332E-2</v>
      </c>
      <c r="F155" s="9">
        <f t="shared" si="102"/>
        <v>1.3333333333333332E-2</v>
      </c>
      <c r="G155" s="9">
        <f t="shared" si="102"/>
        <v>1.3333333333333332E-2</v>
      </c>
      <c r="H155" s="9">
        <f t="shared" si="102"/>
        <v>1.3333333333333332E-2</v>
      </c>
      <c r="I155" s="9">
        <f t="shared" si="102"/>
        <v>1.3333333333333332E-2</v>
      </c>
      <c r="J155" s="9">
        <f t="shared" si="102"/>
        <v>1.3333333333333332E-2</v>
      </c>
      <c r="K155" s="9">
        <f t="shared" si="102"/>
        <v>1.3333333333333332E-2</v>
      </c>
      <c r="L155" s="9">
        <f t="shared" si="102"/>
        <v>1.3333333333333332E-2</v>
      </c>
      <c r="M155" s="9">
        <f t="shared" si="102"/>
        <v>1.3333333333333332E-2</v>
      </c>
      <c r="N155" s="9">
        <f t="shared" si="102"/>
        <v>1.3333333333333332E-2</v>
      </c>
      <c r="O155" s="9">
        <f t="shared" si="102"/>
        <v>1.3333333333333332E-2</v>
      </c>
      <c r="P155" s="9">
        <f t="shared" si="102"/>
        <v>1.3333333333333332E-2</v>
      </c>
      <c r="Q155" s="9">
        <f t="shared" si="102"/>
        <v>1.3333333333333332E-2</v>
      </c>
      <c r="R155" s="9">
        <f t="shared" si="102"/>
        <v>1.3333333333333332E-2</v>
      </c>
      <c r="S155" s="9">
        <f t="shared" si="102"/>
        <v>1.3333333333333332E-2</v>
      </c>
      <c r="T155" s="9">
        <f t="shared" si="102"/>
        <v>1.3333333333333332E-2</v>
      </c>
      <c r="U155" s="9">
        <f t="shared" si="102"/>
        <v>1.3333333333333332E-2</v>
      </c>
      <c r="V155" s="9">
        <f t="shared" si="102"/>
        <v>1.3333333333333332E-2</v>
      </c>
      <c r="W155" s="9">
        <f t="shared" si="102"/>
        <v>1.3333333333333332E-2</v>
      </c>
      <c r="X155" s="9">
        <f t="shared" si="102"/>
        <v>1.3333333333333332E-2</v>
      </c>
      <c r="Y155" s="9">
        <f t="shared" si="102"/>
        <v>1.3333333333333332E-2</v>
      </c>
      <c r="Z155" s="9">
        <f t="shared" si="102"/>
        <v>1.3333333333333332E-2</v>
      </c>
      <c r="AA155" s="9">
        <f t="shared" si="102"/>
        <v>1.3333333333333332E-2</v>
      </c>
      <c r="AB155" s="9">
        <f t="shared" si="102"/>
        <v>1.3333333333333332E-2</v>
      </c>
      <c r="AC155" s="9">
        <f t="shared" si="102"/>
        <v>1.3333333333333332E-2</v>
      </c>
      <c r="AD155" s="9">
        <f t="shared" si="102"/>
        <v>1.3333333333333332E-2</v>
      </c>
      <c r="AE155" s="9">
        <f t="shared" si="102"/>
        <v>1.3333333333333332E-2</v>
      </c>
      <c r="AF155" s="25" t="s">
        <v>110</v>
      </c>
    </row>
    <row r="156" spans="1:32" ht="15.75" customHeight="1">
      <c r="A156" s="12" t="str">
        <f t="shared" si="93"/>
        <v>Silveira - Hospedagem</v>
      </c>
      <c r="B156" s="9">
        <f t="shared" si="95"/>
        <v>0.01</v>
      </c>
      <c r="C156" s="9">
        <f t="shared" ref="C156:AE156" si="103">C106</f>
        <v>0.01</v>
      </c>
      <c r="D156" s="9">
        <f t="shared" si="103"/>
        <v>0.01</v>
      </c>
      <c r="E156" s="9">
        <f t="shared" si="103"/>
        <v>0.01</v>
      </c>
      <c r="F156" s="9">
        <f t="shared" si="103"/>
        <v>0.01</v>
      </c>
      <c r="G156" s="9">
        <f t="shared" si="103"/>
        <v>0.01</v>
      </c>
      <c r="H156" s="9">
        <f t="shared" si="103"/>
        <v>0.01</v>
      </c>
      <c r="I156" s="9">
        <f t="shared" si="103"/>
        <v>0.01</v>
      </c>
      <c r="J156" s="9">
        <f t="shared" si="103"/>
        <v>0.01</v>
      </c>
      <c r="K156" s="9">
        <f t="shared" si="103"/>
        <v>0.01</v>
      </c>
      <c r="L156" s="9">
        <f t="shared" si="103"/>
        <v>0.01</v>
      </c>
      <c r="M156" s="9">
        <f t="shared" si="103"/>
        <v>0.01</v>
      </c>
      <c r="N156" s="9">
        <f t="shared" si="103"/>
        <v>0.01</v>
      </c>
      <c r="O156" s="9">
        <f t="shared" si="103"/>
        <v>0.01</v>
      </c>
      <c r="P156" s="9">
        <f t="shared" si="103"/>
        <v>0.01</v>
      </c>
      <c r="Q156" s="9">
        <f t="shared" si="103"/>
        <v>0.01</v>
      </c>
      <c r="R156" s="9">
        <f t="shared" si="103"/>
        <v>0.01</v>
      </c>
      <c r="S156" s="9">
        <f t="shared" si="103"/>
        <v>0.01</v>
      </c>
      <c r="T156" s="9">
        <f t="shared" si="103"/>
        <v>0.01</v>
      </c>
      <c r="U156" s="9">
        <f t="shared" si="103"/>
        <v>0.01</v>
      </c>
      <c r="V156" s="9">
        <f t="shared" si="103"/>
        <v>0.01</v>
      </c>
      <c r="W156" s="9">
        <f t="shared" si="103"/>
        <v>0.01</v>
      </c>
      <c r="X156" s="9">
        <f t="shared" si="103"/>
        <v>0.01</v>
      </c>
      <c r="Y156" s="9">
        <f t="shared" si="103"/>
        <v>0.01</v>
      </c>
      <c r="Z156" s="9">
        <f t="shared" si="103"/>
        <v>0.01</v>
      </c>
      <c r="AA156" s="9">
        <f t="shared" si="103"/>
        <v>0.01</v>
      </c>
      <c r="AB156" s="9">
        <f t="shared" si="103"/>
        <v>0.01</v>
      </c>
      <c r="AC156" s="9">
        <f t="shared" si="103"/>
        <v>0.01</v>
      </c>
      <c r="AD156" s="9">
        <f t="shared" si="103"/>
        <v>0.01</v>
      </c>
      <c r="AE156" s="9">
        <f t="shared" si="103"/>
        <v>0.01</v>
      </c>
      <c r="AF156" s="25" t="s">
        <v>110</v>
      </c>
    </row>
    <row r="157" spans="1:32" ht="15.75" customHeight="1">
      <c r="A157" s="12" t="str">
        <f t="shared" si="93"/>
        <v>Pedra Furada - Alimentação</v>
      </c>
      <c r="B157" s="9">
        <f t="shared" si="95"/>
        <v>0.08</v>
      </c>
      <c r="C157" s="9">
        <f t="shared" ref="C157:AE157" si="104">C107</f>
        <v>0.08</v>
      </c>
      <c r="D157" s="9">
        <f t="shared" si="104"/>
        <v>0.08</v>
      </c>
      <c r="E157" s="9">
        <f t="shared" si="104"/>
        <v>0.08</v>
      </c>
      <c r="F157" s="9">
        <f t="shared" si="104"/>
        <v>0.08</v>
      </c>
      <c r="G157" s="9">
        <f t="shared" si="104"/>
        <v>0.08</v>
      </c>
      <c r="H157" s="9">
        <f t="shared" si="104"/>
        <v>0.08</v>
      </c>
      <c r="I157" s="9">
        <f t="shared" si="104"/>
        <v>0.08</v>
      </c>
      <c r="J157" s="9">
        <f t="shared" si="104"/>
        <v>0.08</v>
      </c>
      <c r="K157" s="9">
        <f t="shared" si="104"/>
        <v>0.08</v>
      </c>
      <c r="L157" s="9">
        <f t="shared" si="104"/>
        <v>0.08</v>
      </c>
      <c r="M157" s="9">
        <f t="shared" si="104"/>
        <v>0.08</v>
      </c>
      <c r="N157" s="9">
        <f t="shared" si="104"/>
        <v>0.08</v>
      </c>
      <c r="O157" s="9">
        <f t="shared" si="104"/>
        <v>0.08</v>
      </c>
      <c r="P157" s="9">
        <f t="shared" si="104"/>
        <v>0.08</v>
      </c>
      <c r="Q157" s="9">
        <f t="shared" si="104"/>
        <v>0.08</v>
      </c>
      <c r="R157" s="9">
        <f t="shared" si="104"/>
        <v>0.08</v>
      </c>
      <c r="S157" s="9">
        <f t="shared" si="104"/>
        <v>0.08</v>
      </c>
      <c r="T157" s="9">
        <f t="shared" si="104"/>
        <v>0.08</v>
      </c>
      <c r="U157" s="9">
        <f t="shared" si="104"/>
        <v>0.08</v>
      </c>
      <c r="V157" s="9">
        <f t="shared" si="104"/>
        <v>0.08</v>
      </c>
      <c r="W157" s="9">
        <f t="shared" si="104"/>
        <v>0.08</v>
      </c>
      <c r="X157" s="9">
        <f t="shared" si="104"/>
        <v>0.08</v>
      </c>
      <c r="Y157" s="9">
        <f t="shared" si="104"/>
        <v>0.08</v>
      </c>
      <c r="Z157" s="9">
        <f t="shared" si="104"/>
        <v>0.08</v>
      </c>
      <c r="AA157" s="9">
        <f t="shared" si="104"/>
        <v>0.08</v>
      </c>
      <c r="AB157" s="9">
        <f t="shared" si="104"/>
        <v>0.08</v>
      </c>
      <c r="AC157" s="9">
        <f t="shared" si="104"/>
        <v>0.08</v>
      </c>
      <c r="AD157" s="9">
        <f t="shared" si="104"/>
        <v>0.08</v>
      </c>
      <c r="AE157" s="9">
        <f t="shared" si="104"/>
        <v>0.08</v>
      </c>
      <c r="AF157" s="25" t="s">
        <v>110</v>
      </c>
    </row>
    <row r="158" spans="1:32" ht="15.75" customHeight="1">
      <c r="A158" s="12" t="str">
        <f t="shared" si="93"/>
        <v>Pedra Furada - Comércio</v>
      </c>
      <c r="B158" s="9">
        <f t="shared" si="95"/>
        <v>1.3333333333333332E-2</v>
      </c>
      <c r="C158" s="9">
        <f t="shared" ref="C158:AE158" si="105">C108</f>
        <v>1.3333333333333332E-2</v>
      </c>
      <c r="D158" s="9">
        <f t="shared" si="105"/>
        <v>1.3333333333333332E-2</v>
      </c>
      <c r="E158" s="9">
        <f t="shared" si="105"/>
        <v>1.3333333333333332E-2</v>
      </c>
      <c r="F158" s="9">
        <f t="shared" si="105"/>
        <v>1.3333333333333332E-2</v>
      </c>
      <c r="G158" s="9">
        <f t="shared" si="105"/>
        <v>1.3333333333333332E-2</v>
      </c>
      <c r="H158" s="9">
        <f t="shared" si="105"/>
        <v>1.3333333333333332E-2</v>
      </c>
      <c r="I158" s="9">
        <f t="shared" si="105"/>
        <v>1.3333333333333332E-2</v>
      </c>
      <c r="J158" s="9">
        <f t="shared" si="105"/>
        <v>1.3333333333333332E-2</v>
      </c>
      <c r="K158" s="9">
        <f t="shared" si="105"/>
        <v>1.3333333333333332E-2</v>
      </c>
      <c r="L158" s="9">
        <f t="shared" si="105"/>
        <v>1.3333333333333332E-2</v>
      </c>
      <c r="M158" s="9">
        <f t="shared" si="105"/>
        <v>1.3333333333333332E-2</v>
      </c>
      <c r="N158" s="9">
        <f t="shared" si="105"/>
        <v>1.3333333333333332E-2</v>
      </c>
      <c r="O158" s="9">
        <f t="shared" si="105"/>
        <v>1.3333333333333332E-2</v>
      </c>
      <c r="P158" s="9">
        <f t="shared" si="105"/>
        <v>1.3333333333333332E-2</v>
      </c>
      <c r="Q158" s="9">
        <f t="shared" si="105"/>
        <v>1.3333333333333332E-2</v>
      </c>
      <c r="R158" s="9">
        <f t="shared" si="105"/>
        <v>1.3333333333333332E-2</v>
      </c>
      <c r="S158" s="9">
        <f t="shared" si="105"/>
        <v>1.3333333333333332E-2</v>
      </c>
      <c r="T158" s="9">
        <f t="shared" si="105"/>
        <v>1.3333333333333332E-2</v>
      </c>
      <c r="U158" s="9">
        <f t="shared" si="105"/>
        <v>1.3333333333333332E-2</v>
      </c>
      <c r="V158" s="9">
        <f t="shared" si="105"/>
        <v>1.3333333333333332E-2</v>
      </c>
      <c r="W158" s="9">
        <f t="shared" si="105"/>
        <v>1.3333333333333332E-2</v>
      </c>
      <c r="X158" s="9">
        <f t="shared" si="105"/>
        <v>1.3333333333333332E-2</v>
      </c>
      <c r="Y158" s="9">
        <f t="shared" si="105"/>
        <v>1.3333333333333332E-2</v>
      </c>
      <c r="Z158" s="9">
        <f t="shared" si="105"/>
        <v>1.3333333333333332E-2</v>
      </c>
      <c r="AA158" s="9">
        <f t="shared" si="105"/>
        <v>1.3333333333333332E-2</v>
      </c>
      <c r="AB158" s="9">
        <f t="shared" si="105"/>
        <v>1.3333333333333332E-2</v>
      </c>
      <c r="AC158" s="9">
        <f t="shared" si="105"/>
        <v>1.3333333333333332E-2</v>
      </c>
      <c r="AD158" s="9">
        <f t="shared" si="105"/>
        <v>1.3333333333333332E-2</v>
      </c>
      <c r="AE158" s="9">
        <f t="shared" si="105"/>
        <v>1.3333333333333332E-2</v>
      </c>
      <c r="AF158" s="25" t="s">
        <v>110</v>
      </c>
    </row>
    <row r="159" spans="1:32" ht="15.75" customHeight="1">
      <c r="A159" s="12" t="str">
        <f t="shared" si="93"/>
        <v>Serrote - Alimentação</v>
      </c>
      <c r="B159" s="9">
        <f t="shared" si="95"/>
        <v>0.08</v>
      </c>
      <c r="C159" s="9">
        <f t="shared" ref="C159:AE159" si="106">C109</f>
        <v>0.08</v>
      </c>
      <c r="D159" s="9">
        <f t="shared" si="106"/>
        <v>0.08</v>
      </c>
      <c r="E159" s="9">
        <f t="shared" si="106"/>
        <v>0.08</v>
      </c>
      <c r="F159" s="9">
        <f t="shared" si="106"/>
        <v>0.08</v>
      </c>
      <c r="G159" s="9">
        <f t="shared" si="106"/>
        <v>0.08</v>
      </c>
      <c r="H159" s="9">
        <f t="shared" si="106"/>
        <v>0.08</v>
      </c>
      <c r="I159" s="9">
        <f t="shared" si="106"/>
        <v>0.08</v>
      </c>
      <c r="J159" s="9">
        <f t="shared" si="106"/>
        <v>0.08</v>
      </c>
      <c r="K159" s="9">
        <f t="shared" si="106"/>
        <v>0.08</v>
      </c>
      <c r="L159" s="9">
        <f t="shared" si="106"/>
        <v>0.08</v>
      </c>
      <c r="M159" s="9">
        <f t="shared" si="106"/>
        <v>0.08</v>
      </c>
      <c r="N159" s="9">
        <f t="shared" si="106"/>
        <v>0.08</v>
      </c>
      <c r="O159" s="9">
        <f t="shared" si="106"/>
        <v>0.08</v>
      </c>
      <c r="P159" s="9">
        <f t="shared" si="106"/>
        <v>0.08</v>
      </c>
      <c r="Q159" s="9">
        <f t="shared" si="106"/>
        <v>0.08</v>
      </c>
      <c r="R159" s="9">
        <f t="shared" si="106"/>
        <v>0.08</v>
      </c>
      <c r="S159" s="9">
        <f t="shared" si="106"/>
        <v>0.08</v>
      </c>
      <c r="T159" s="9">
        <f t="shared" si="106"/>
        <v>0.08</v>
      </c>
      <c r="U159" s="9">
        <f t="shared" si="106"/>
        <v>0.08</v>
      </c>
      <c r="V159" s="9">
        <f t="shared" si="106"/>
        <v>0.08</v>
      </c>
      <c r="W159" s="9">
        <f t="shared" si="106"/>
        <v>0.08</v>
      </c>
      <c r="X159" s="9">
        <f t="shared" si="106"/>
        <v>0.08</v>
      </c>
      <c r="Y159" s="9">
        <f t="shared" si="106"/>
        <v>0.08</v>
      </c>
      <c r="Z159" s="9">
        <f t="shared" si="106"/>
        <v>0.08</v>
      </c>
      <c r="AA159" s="9">
        <f t="shared" si="106"/>
        <v>0.08</v>
      </c>
      <c r="AB159" s="9">
        <f t="shared" si="106"/>
        <v>0.08</v>
      </c>
      <c r="AC159" s="9">
        <f t="shared" si="106"/>
        <v>0.08</v>
      </c>
      <c r="AD159" s="9">
        <f t="shared" si="106"/>
        <v>0.08</v>
      </c>
      <c r="AE159" s="9">
        <f t="shared" si="106"/>
        <v>0.08</v>
      </c>
      <c r="AF159" s="25" t="s">
        <v>110</v>
      </c>
    </row>
    <row r="160" spans="1:32" ht="15.75" customHeight="1">
      <c r="A160" s="12" t="str">
        <f t="shared" si="93"/>
        <v>Serrote - Comércio</v>
      </c>
      <c r="B160" s="9">
        <f t="shared" si="95"/>
        <v>1.3333333333333332E-2</v>
      </c>
      <c r="C160" s="9">
        <f t="shared" ref="C160:AE160" si="107">C110</f>
        <v>1.3333333333333332E-2</v>
      </c>
      <c r="D160" s="9">
        <f t="shared" si="107"/>
        <v>1.3333333333333332E-2</v>
      </c>
      <c r="E160" s="9">
        <f t="shared" si="107"/>
        <v>1.3333333333333332E-2</v>
      </c>
      <c r="F160" s="9">
        <f t="shared" si="107"/>
        <v>1.3333333333333332E-2</v>
      </c>
      <c r="G160" s="9">
        <f t="shared" si="107"/>
        <v>1.3333333333333332E-2</v>
      </c>
      <c r="H160" s="9">
        <f t="shared" si="107"/>
        <v>1.3333333333333332E-2</v>
      </c>
      <c r="I160" s="9">
        <f t="shared" si="107"/>
        <v>1.3333333333333332E-2</v>
      </c>
      <c r="J160" s="9">
        <f t="shared" si="107"/>
        <v>1.3333333333333332E-2</v>
      </c>
      <c r="K160" s="9">
        <f t="shared" si="107"/>
        <v>1.3333333333333332E-2</v>
      </c>
      <c r="L160" s="9">
        <f t="shared" si="107"/>
        <v>1.3333333333333332E-2</v>
      </c>
      <c r="M160" s="9">
        <f t="shared" si="107"/>
        <v>1.3333333333333332E-2</v>
      </c>
      <c r="N160" s="9">
        <f t="shared" si="107"/>
        <v>1.3333333333333332E-2</v>
      </c>
      <c r="O160" s="9">
        <f t="shared" si="107"/>
        <v>1.3333333333333332E-2</v>
      </c>
      <c r="P160" s="9">
        <f t="shared" si="107"/>
        <v>1.3333333333333332E-2</v>
      </c>
      <c r="Q160" s="9">
        <f t="shared" si="107"/>
        <v>1.3333333333333332E-2</v>
      </c>
      <c r="R160" s="9">
        <f t="shared" si="107"/>
        <v>1.3333333333333332E-2</v>
      </c>
      <c r="S160" s="9">
        <f t="shared" si="107"/>
        <v>1.3333333333333332E-2</v>
      </c>
      <c r="T160" s="9">
        <f t="shared" si="107"/>
        <v>1.3333333333333332E-2</v>
      </c>
      <c r="U160" s="9">
        <f t="shared" si="107"/>
        <v>1.3333333333333332E-2</v>
      </c>
      <c r="V160" s="9">
        <f t="shared" si="107"/>
        <v>1.3333333333333332E-2</v>
      </c>
      <c r="W160" s="9">
        <f t="shared" si="107"/>
        <v>1.3333333333333332E-2</v>
      </c>
      <c r="X160" s="9">
        <f t="shared" si="107"/>
        <v>1.3333333333333332E-2</v>
      </c>
      <c r="Y160" s="9">
        <f t="shared" si="107"/>
        <v>1.3333333333333332E-2</v>
      </c>
      <c r="Z160" s="9">
        <f t="shared" si="107"/>
        <v>1.3333333333333332E-2</v>
      </c>
      <c r="AA160" s="9">
        <f t="shared" si="107"/>
        <v>1.3333333333333332E-2</v>
      </c>
      <c r="AB160" s="9">
        <f t="shared" si="107"/>
        <v>1.3333333333333332E-2</v>
      </c>
      <c r="AC160" s="9">
        <f t="shared" si="107"/>
        <v>1.3333333333333332E-2</v>
      </c>
      <c r="AD160" s="9">
        <f t="shared" si="107"/>
        <v>1.3333333333333332E-2</v>
      </c>
      <c r="AE160" s="9">
        <f t="shared" si="107"/>
        <v>1.3333333333333332E-2</v>
      </c>
      <c r="AF160" s="25"/>
    </row>
    <row r="161" spans="1:32" ht="15.75" customHeight="1">
      <c r="A161" s="12" t="str">
        <f t="shared" si="93"/>
        <v>Paraíso - Alimentação</v>
      </c>
      <c r="B161" s="9">
        <f t="shared" si="95"/>
        <v>0.08</v>
      </c>
      <c r="C161" s="9">
        <f t="shared" ref="C161:AE161" si="108">C111</f>
        <v>0.08</v>
      </c>
      <c r="D161" s="9">
        <f t="shared" si="108"/>
        <v>0.08</v>
      </c>
      <c r="E161" s="9">
        <f t="shared" si="108"/>
        <v>0.08</v>
      </c>
      <c r="F161" s="9">
        <f t="shared" si="108"/>
        <v>0.08</v>
      </c>
      <c r="G161" s="9">
        <f t="shared" si="108"/>
        <v>0.08</v>
      </c>
      <c r="H161" s="9">
        <f t="shared" si="108"/>
        <v>0.08</v>
      </c>
      <c r="I161" s="9">
        <f t="shared" si="108"/>
        <v>0.08</v>
      </c>
      <c r="J161" s="9">
        <f t="shared" si="108"/>
        <v>0.08</v>
      </c>
      <c r="K161" s="9">
        <f t="shared" si="108"/>
        <v>0.08</v>
      </c>
      <c r="L161" s="9">
        <f t="shared" si="108"/>
        <v>0.08</v>
      </c>
      <c r="M161" s="9">
        <f t="shared" si="108"/>
        <v>0.08</v>
      </c>
      <c r="N161" s="9">
        <f t="shared" si="108"/>
        <v>0.08</v>
      </c>
      <c r="O161" s="9">
        <f t="shared" si="108"/>
        <v>0.08</v>
      </c>
      <c r="P161" s="9">
        <f t="shared" si="108"/>
        <v>0.08</v>
      </c>
      <c r="Q161" s="9">
        <f t="shared" si="108"/>
        <v>0.08</v>
      </c>
      <c r="R161" s="9">
        <f t="shared" si="108"/>
        <v>0.08</v>
      </c>
      <c r="S161" s="9">
        <f t="shared" si="108"/>
        <v>0.08</v>
      </c>
      <c r="T161" s="9">
        <f t="shared" si="108"/>
        <v>0.08</v>
      </c>
      <c r="U161" s="9">
        <f t="shared" si="108"/>
        <v>0.08</v>
      </c>
      <c r="V161" s="9">
        <f t="shared" si="108"/>
        <v>0.08</v>
      </c>
      <c r="W161" s="9">
        <f t="shared" si="108"/>
        <v>0.08</v>
      </c>
      <c r="X161" s="9">
        <f t="shared" si="108"/>
        <v>0.08</v>
      </c>
      <c r="Y161" s="9">
        <f t="shared" si="108"/>
        <v>0.08</v>
      </c>
      <c r="Z161" s="9">
        <f t="shared" si="108"/>
        <v>0.08</v>
      </c>
      <c r="AA161" s="9">
        <f t="shared" si="108"/>
        <v>0.08</v>
      </c>
      <c r="AB161" s="9">
        <f t="shared" si="108"/>
        <v>0.08</v>
      </c>
      <c r="AC161" s="9">
        <f t="shared" si="108"/>
        <v>0.08</v>
      </c>
      <c r="AD161" s="9">
        <f t="shared" si="108"/>
        <v>0.08</v>
      </c>
      <c r="AE161" s="9">
        <f t="shared" si="108"/>
        <v>0.08</v>
      </c>
      <c r="AF161" s="25"/>
    </row>
    <row r="162" spans="1:32" ht="15.75" customHeight="1">
      <c r="A162" s="12" t="str">
        <f t="shared" si="93"/>
        <v>Paraíso - Comércio + Locação + Atividades</v>
      </c>
      <c r="B162" s="9">
        <f t="shared" si="95"/>
        <v>1.3333333333333332E-2</v>
      </c>
      <c r="C162" s="9">
        <f t="shared" ref="C162:AE162" si="109">C112</f>
        <v>1.3333333333333332E-2</v>
      </c>
      <c r="D162" s="9">
        <f t="shared" si="109"/>
        <v>1.3333333333333332E-2</v>
      </c>
      <c r="E162" s="9">
        <f t="shared" si="109"/>
        <v>1.3333333333333332E-2</v>
      </c>
      <c r="F162" s="9">
        <f t="shared" si="109"/>
        <v>1.3333333333333332E-2</v>
      </c>
      <c r="G162" s="9">
        <f t="shared" si="109"/>
        <v>1.3333333333333332E-2</v>
      </c>
      <c r="H162" s="9">
        <f t="shared" si="109"/>
        <v>1.3333333333333332E-2</v>
      </c>
      <c r="I162" s="9">
        <f t="shared" si="109"/>
        <v>1.3333333333333332E-2</v>
      </c>
      <c r="J162" s="9">
        <f t="shared" si="109"/>
        <v>1.3333333333333332E-2</v>
      </c>
      <c r="K162" s="9">
        <f t="shared" si="109"/>
        <v>1.3333333333333332E-2</v>
      </c>
      <c r="L162" s="9">
        <f t="shared" si="109"/>
        <v>1.3333333333333332E-2</v>
      </c>
      <c r="M162" s="9">
        <f t="shared" si="109"/>
        <v>1.3333333333333332E-2</v>
      </c>
      <c r="N162" s="9">
        <f t="shared" si="109"/>
        <v>1.3333333333333332E-2</v>
      </c>
      <c r="O162" s="9">
        <f t="shared" si="109"/>
        <v>1.3333333333333332E-2</v>
      </c>
      <c r="P162" s="9">
        <f t="shared" si="109"/>
        <v>1.3333333333333332E-2</v>
      </c>
      <c r="Q162" s="9">
        <f t="shared" si="109"/>
        <v>1.3333333333333332E-2</v>
      </c>
      <c r="R162" s="9">
        <f t="shared" si="109"/>
        <v>1.3333333333333332E-2</v>
      </c>
      <c r="S162" s="9">
        <f t="shared" si="109"/>
        <v>1.3333333333333332E-2</v>
      </c>
      <c r="T162" s="9">
        <f t="shared" si="109"/>
        <v>1.3333333333333332E-2</v>
      </c>
      <c r="U162" s="9">
        <f t="shared" si="109"/>
        <v>1.3333333333333332E-2</v>
      </c>
      <c r="V162" s="9">
        <f t="shared" si="109"/>
        <v>1.3333333333333332E-2</v>
      </c>
      <c r="W162" s="9">
        <f t="shared" si="109"/>
        <v>1.3333333333333332E-2</v>
      </c>
      <c r="X162" s="9">
        <f t="shared" si="109"/>
        <v>1.3333333333333332E-2</v>
      </c>
      <c r="Y162" s="9">
        <f t="shared" si="109"/>
        <v>1.3333333333333332E-2</v>
      </c>
      <c r="Z162" s="9">
        <f t="shared" si="109"/>
        <v>1.3333333333333332E-2</v>
      </c>
      <c r="AA162" s="9">
        <f t="shared" si="109"/>
        <v>1.3333333333333332E-2</v>
      </c>
      <c r="AB162" s="9">
        <f t="shared" si="109"/>
        <v>1.3333333333333332E-2</v>
      </c>
      <c r="AC162" s="9">
        <f t="shared" si="109"/>
        <v>1.3333333333333332E-2</v>
      </c>
      <c r="AD162" s="9">
        <f t="shared" si="109"/>
        <v>1.3333333333333332E-2</v>
      </c>
      <c r="AE162" s="9">
        <f t="shared" si="109"/>
        <v>1.3333333333333332E-2</v>
      </c>
      <c r="AF162" s="25"/>
    </row>
    <row r="163" spans="1:32" ht="15.75" customHeight="1">
      <c r="A163" s="12" t="str">
        <f t="shared" si="93"/>
        <v>Geral - Unidade móvel - Alimentação</v>
      </c>
      <c r="B163" s="9">
        <f t="shared" si="95"/>
        <v>0.02</v>
      </c>
      <c r="C163" s="9">
        <f t="shared" ref="C163:AE163" si="110">C113</f>
        <v>0.02</v>
      </c>
      <c r="D163" s="9">
        <f t="shared" si="110"/>
        <v>0.02</v>
      </c>
      <c r="E163" s="9">
        <f t="shared" si="110"/>
        <v>0.02</v>
      </c>
      <c r="F163" s="9">
        <f t="shared" si="110"/>
        <v>0.02</v>
      </c>
      <c r="G163" s="9">
        <f t="shared" si="110"/>
        <v>0.02</v>
      </c>
      <c r="H163" s="9">
        <f t="shared" si="110"/>
        <v>0.02</v>
      </c>
      <c r="I163" s="9">
        <f t="shared" si="110"/>
        <v>0.02</v>
      </c>
      <c r="J163" s="9">
        <f t="shared" si="110"/>
        <v>0.02</v>
      </c>
      <c r="K163" s="9">
        <f t="shared" si="110"/>
        <v>0.02</v>
      </c>
      <c r="L163" s="9">
        <f t="shared" si="110"/>
        <v>0.02</v>
      </c>
      <c r="M163" s="9">
        <f t="shared" si="110"/>
        <v>0.02</v>
      </c>
      <c r="N163" s="9">
        <f t="shared" si="110"/>
        <v>0.02</v>
      </c>
      <c r="O163" s="9">
        <f t="shared" si="110"/>
        <v>0.02</v>
      </c>
      <c r="P163" s="9">
        <f t="shared" si="110"/>
        <v>0.02</v>
      </c>
      <c r="Q163" s="9">
        <f t="shared" si="110"/>
        <v>0.02</v>
      </c>
      <c r="R163" s="9">
        <f t="shared" si="110"/>
        <v>0.02</v>
      </c>
      <c r="S163" s="9">
        <f t="shared" si="110"/>
        <v>0.02</v>
      </c>
      <c r="T163" s="9">
        <f t="shared" si="110"/>
        <v>0.02</v>
      </c>
      <c r="U163" s="9">
        <f t="shared" si="110"/>
        <v>0.02</v>
      </c>
      <c r="V163" s="9">
        <f t="shared" si="110"/>
        <v>0.02</v>
      </c>
      <c r="W163" s="9">
        <f t="shared" si="110"/>
        <v>0.02</v>
      </c>
      <c r="X163" s="9">
        <f t="shared" si="110"/>
        <v>0.02</v>
      </c>
      <c r="Y163" s="9">
        <f t="shared" si="110"/>
        <v>0.02</v>
      </c>
      <c r="Z163" s="9">
        <f t="shared" si="110"/>
        <v>0.02</v>
      </c>
      <c r="AA163" s="9">
        <f t="shared" si="110"/>
        <v>0.02</v>
      </c>
      <c r="AB163" s="9">
        <f t="shared" si="110"/>
        <v>0.02</v>
      </c>
      <c r="AC163" s="9">
        <f t="shared" si="110"/>
        <v>0.02</v>
      </c>
      <c r="AD163" s="9">
        <f t="shared" si="110"/>
        <v>0.02</v>
      </c>
      <c r="AE163" s="9">
        <f t="shared" si="110"/>
        <v>0.02</v>
      </c>
      <c r="AF163" s="25"/>
    </row>
    <row r="164" spans="1:32" ht="15.75" customHeight="1">
      <c r="A164" s="12" t="str">
        <f t="shared" si="93"/>
        <v>Mangue Seco - Estacionamento</v>
      </c>
      <c r="B164" s="9">
        <f t="shared" si="95"/>
        <v>2.5000000000000001E-3</v>
      </c>
      <c r="C164" s="9">
        <f t="shared" ref="C164:AE164" si="111">C114</f>
        <v>2.5000000000000001E-3</v>
      </c>
      <c r="D164" s="9">
        <f t="shared" si="111"/>
        <v>2.5000000000000001E-3</v>
      </c>
      <c r="E164" s="9">
        <f t="shared" si="111"/>
        <v>2.5000000000000001E-3</v>
      </c>
      <c r="F164" s="9">
        <f t="shared" si="111"/>
        <v>2.5000000000000001E-3</v>
      </c>
      <c r="G164" s="9">
        <f t="shared" si="111"/>
        <v>2.5000000000000001E-3</v>
      </c>
      <c r="H164" s="9">
        <f t="shared" si="111"/>
        <v>2.5000000000000001E-3</v>
      </c>
      <c r="I164" s="9">
        <f t="shared" si="111"/>
        <v>2.5000000000000001E-3</v>
      </c>
      <c r="J164" s="9">
        <f t="shared" si="111"/>
        <v>2.5000000000000001E-3</v>
      </c>
      <c r="K164" s="9">
        <f t="shared" si="111"/>
        <v>2.5000000000000001E-3</v>
      </c>
      <c r="L164" s="9">
        <f t="shared" si="111"/>
        <v>2.5000000000000001E-3</v>
      </c>
      <c r="M164" s="9">
        <f t="shared" si="111"/>
        <v>2.5000000000000001E-3</v>
      </c>
      <c r="N164" s="9">
        <f t="shared" si="111"/>
        <v>2.5000000000000001E-3</v>
      </c>
      <c r="O164" s="9">
        <f t="shared" si="111"/>
        <v>2.5000000000000001E-3</v>
      </c>
      <c r="P164" s="9">
        <f t="shared" si="111"/>
        <v>2.5000000000000001E-3</v>
      </c>
      <c r="Q164" s="9">
        <f t="shared" si="111"/>
        <v>2.5000000000000001E-3</v>
      </c>
      <c r="R164" s="9">
        <f t="shared" si="111"/>
        <v>2.5000000000000001E-3</v>
      </c>
      <c r="S164" s="9">
        <f t="shared" si="111"/>
        <v>2.5000000000000001E-3</v>
      </c>
      <c r="T164" s="9">
        <f t="shared" si="111"/>
        <v>2.5000000000000001E-3</v>
      </c>
      <c r="U164" s="9">
        <f t="shared" si="111"/>
        <v>2.5000000000000001E-3</v>
      </c>
      <c r="V164" s="9">
        <f t="shared" si="111"/>
        <v>2.5000000000000001E-3</v>
      </c>
      <c r="W164" s="9">
        <f t="shared" si="111"/>
        <v>2.5000000000000001E-3</v>
      </c>
      <c r="X164" s="9">
        <f t="shared" si="111"/>
        <v>2.5000000000000001E-3</v>
      </c>
      <c r="Y164" s="9">
        <f t="shared" si="111"/>
        <v>2.5000000000000001E-3</v>
      </c>
      <c r="Z164" s="9">
        <f t="shared" si="111"/>
        <v>2.5000000000000001E-3</v>
      </c>
      <c r="AA164" s="9">
        <f t="shared" si="111"/>
        <v>2.5000000000000001E-3</v>
      </c>
      <c r="AB164" s="9">
        <f t="shared" si="111"/>
        <v>2.5000000000000001E-3</v>
      </c>
      <c r="AC164" s="9">
        <f t="shared" si="111"/>
        <v>2.5000000000000001E-3</v>
      </c>
      <c r="AD164" s="9">
        <f t="shared" si="111"/>
        <v>2.5000000000000001E-3</v>
      </c>
      <c r="AE164" s="9">
        <f t="shared" si="111"/>
        <v>2.5000000000000001E-3</v>
      </c>
      <c r="AF164" s="25"/>
    </row>
    <row r="165" spans="1:32" ht="15.75" customHeight="1">
      <c r="A165" s="12" t="str">
        <f t="shared" si="93"/>
        <v>Lagoa Grande - Estacionamento</v>
      </c>
      <c r="B165" s="9">
        <f t="shared" si="95"/>
        <v>2.5000000000000001E-3</v>
      </c>
      <c r="C165" s="9">
        <f t="shared" ref="C165:AE165" si="112">C115</f>
        <v>2.5000000000000001E-3</v>
      </c>
      <c r="D165" s="9">
        <f t="shared" si="112"/>
        <v>2.5000000000000001E-3</v>
      </c>
      <c r="E165" s="9">
        <f t="shared" si="112"/>
        <v>2.5000000000000001E-3</v>
      </c>
      <c r="F165" s="9">
        <f t="shared" si="112"/>
        <v>2.5000000000000001E-3</v>
      </c>
      <c r="G165" s="9">
        <f t="shared" si="112"/>
        <v>2.5000000000000001E-3</v>
      </c>
      <c r="H165" s="9">
        <f t="shared" si="112"/>
        <v>2.5000000000000001E-3</v>
      </c>
      <c r="I165" s="9">
        <f t="shared" si="112"/>
        <v>2.5000000000000001E-3</v>
      </c>
      <c r="J165" s="9">
        <f t="shared" si="112"/>
        <v>2.5000000000000001E-3</v>
      </c>
      <c r="K165" s="9">
        <f t="shared" si="112"/>
        <v>2.5000000000000001E-3</v>
      </c>
      <c r="L165" s="9">
        <f t="shared" si="112"/>
        <v>2.5000000000000001E-3</v>
      </c>
      <c r="M165" s="9">
        <f t="shared" si="112"/>
        <v>2.5000000000000001E-3</v>
      </c>
      <c r="N165" s="9">
        <f t="shared" si="112"/>
        <v>2.5000000000000001E-3</v>
      </c>
      <c r="O165" s="9">
        <f t="shared" si="112"/>
        <v>2.5000000000000001E-3</v>
      </c>
      <c r="P165" s="9">
        <f t="shared" si="112"/>
        <v>2.5000000000000001E-3</v>
      </c>
      <c r="Q165" s="9">
        <f t="shared" si="112"/>
        <v>2.5000000000000001E-3</v>
      </c>
      <c r="R165" s="9">
        <f t="shared" si="112"/>
        <v>2.5000000000000001E-3</v>
      </c>
      <c r="S165" s="9">
        <f t="shared" si="112"/>
        <v>2.5000000000000001E-3</v>
      </c>
      <c r="T165" s="9">
        <f t="shared" si="112"/>
        <v>2.5000000000000001E-3</v>
      </c>
      <c r="U165" s="9">
        <f t="shared" si="112"/>
        <v>2.5000000000000001E-3</v>
      </c>
      <c r="V165" s="9">
        <f t="shared" si="112"/>
        <v>2.5000000000000001E-3</v>
      </c>
      <c r="W165" s="9">
        <f t="shared" si="112"/>
        <v>2.5000000000000001E-3</v>
      </c>
      <c r="X165" s="9">
        <f t="shared" si="112"/>
        <v>2.5000000000000001E-3</v>
      </c>
      <c r="Y165" s="9">
        <f t="shared" si="112"/>
        <v>2.5000000000000001E-3</v>
      </c>
      <c r="Z165" s="9">
        <f t="shared" si="112"/>
        <v>2.5000000000000001E-3</v>
      </c>
      <c r="AA165" s="9">
        <f t="shared" si="112"/>
        <v>2.5000000000000001E-3</v>
      </c>
      <c r="AB165" s="9">
        <f t="shared" si="112"/>
        <v>2.5000000000000001E-3</v>
      </c>
      <c r="AC165" s="9">
        <f t="shared" si="112"/>
        <v>2.5000000000000001E-3</v>
      </c>
      <c r="AD165" s="9">
        <f t="shared" si="112"/>
        <v>2.5000000000000001E-3</v>
      </c>
      <c r="AE165" s="9">
        <f t="shared" si="112"/>
        <v>2.5000000000000001E-3</v>
      </c>
      <c r="AF165" s="25"/>
    </row>
    <row r="166" spans="1:32" ht="15.75" customHeight="1">
      <c r="A166" s="12">
        <f t="shared" si="93"/>
        <v>0</v>
      </c>
      <c r="B166" s="9">
        <f t="shared" si="95"/>
        <v>0</v>
      </c>
      <c r="C166" s="9">
        <f t="shared" ref="C166:AE166" si="113">C116</f>
        <v>0</v>
      </c>
      <c r="D166" s="9">
        <f t="shared" si="113"/>
        <v>0</v>
      </c>
      <c r="E166" s="9">
        <f t="shared" si="113"/>
        <v>0</v>
      </c>
      <c r="F166" s="9">
        <f t="shared" si="113"/>
        <v>0</v>
      </c>
      <c r="G166" s="9">
        <f t="shared" si="113"/>
        <v>0</v>
      </c>
      <c r="H166" s="9">
        <f t="shared" si="113"/>
        <v>0</v>
      </c>
      <c r="I166" s="9">
        <f t="shared" si="113"/>
        <v>0</v>
      </c>
      <c r="J166" s="9">
        <f t="shared" si="113"/>
        <v>0</v>
      </c>
      <c r="K166" s="9">
        <f t="shared" si="113"/>
        <v>0</v>
      </c>
      <c r="L166" s="9">
        <f t="shared" si="113"/>
        <v>0</v>
      </c>
      <c r="M166" s="9">
        <f t="shared" si="113"/>
        <v>0</v>
      </c>
      <c r="N166" s="9">
        <f t="shared" si="113"/>
        <v>0</v>
      </c>
      <c r="O166" s="9">
        <f t="shared" si="113"/>
        <v>0</v>
      </c>
      <c r="P166" s="9">
        <f t="shared" si="113"/>
        <v>0</v>
      </c>
      <c r="Q166" s="9">
        <f t="shared" si="113"/>
        <v>0</v>
      </c>
      <c r="R166" s="9">
        <f t="shared" si="113"/>
        <v>0</v>
      </c>
      <c r="S166" s="9">
        <f t="shared" si="113"/>
        <v>0</v>
      </c>
      <c r="T166" s="9">
        <f t="shared" si="113"/>
        <v>0</v>
      </c>
      <c r="U166" s="9">
        <f t="shared" si="113"/>
        <v>0</v>
      </c>
      <c r="V166" s="9">
        <f t="shared" si="113"/>
        <v>0</v>
      </c>
      <c r="W166" s="9">
        <f t="shared" si="113"/>
        <v>0</v>
      </c>
      <c r="X166" s="9">
        <f t="shared" si="113"/>
        <v>0</v>
      </c>
      <c r="Y166" s="9">
        <f t="shared" si="113"/>
        <v>0</v>
      </c>
      <c r="Z166" s="9">
        <f t="shared" si="113"/>
        <v>0</v>
      </c>
      <c r="AA166" s="9">
        <f t="shared" si="113"/>
        <v>0</v>
      </c>
      <c r="AB166" s="9">
        <f t="shared" si="113"/>
        <v>0</v>
      </c>
      <c r="AC166" s="9">
        <f t="shared" si="113"/>
        <v>0</v>
      </c>
      <c r="AD166" s="9">
        <f t="shared" si="113"/>
        <v>0</v>
      </c>
      <c r="AE166" s="9">
        <f t="shared" si="113"/>
        <v>0</v>
      </c>
      <c r="AF166" s="25"/>
    </row>
    <row r="167" spans="1:32" ht="15.75" customHeight="1">
      <c r="A167" s="12">
        <f t="shared" si="93"/>
        <v>0</v>
      </c>
      <c r="B167" s="9">
        <f t="shared" si="95"/>
        <v>0</v>
      </c>
      <c r="C167" s="9">
        <f t="shared" ref="C167:AE167" si="114">C117</f>
        <v>0</v>
      </c>
      <c r="D167" s="9">
        <f t="shared" si="114"/>
        <v>0</v>
      </c>
      <c r="E167" s="9">
        <f t="shared" si="114"/>
        <v>0</v>
      </c>
      <c r="F167" s="9">
        <f t="shared" si="114"/>
        <v>0</v>
      </c>
      <c r="G167" s="9">
        <f t="shared" si="114"/>
        <v>0</v>
      </c>
      <c r="H167" s="9">
        <f t="shared" si="114"/>
        <v>0</v>
      </c>
      <c r="I167" s="9">
        <f t="shared" si="114"/>
        <v>0</v>
      </c>
      <c r="J167" s="9">
        <f t="shared" si="114"/>
        <v>0</v>
      </c>
      <c r="K167" s="9">
        <f t="shared" si="114"/>
        <v>0</v>
      </c>
      <c r="L167" s="9">
        <f t="shared" si="114"/>
        <v>0</v>
      </c>
      <c r="M167" s="9">
        <f t="shared" si="114"/>
        <v>0</v>
      </c>
      <c r="N167" s="9">
        <f t="shared" si="114"/>
        <v>0</v>
      </c>
      <c r="O167" s="9">
        <f t="shared" si="114"/>
        <v>0</v>
      </c>
      <c r="P167" s="9">
        <f t="shared" si="114"/>
        <v>0</v>
      </c>
      <c r="Q167" s="9">
        <f t="shared" si="114"/>
        <v>0</v>
      </c>
      <c r="R167" s="9">
        <f t="shared" si="114"/>
        <v>0</v>
      </c>
      <c r="S167" s="9">
        <f t="shared" si="114"/>
        <v>0</v>
      </c>
      <c r="T167" s="9">
        <f t="shared" si="114"/>
        <v>0</v>
      </c>
      <c r="U167" s="9">
        <f t="shared" si="114"/>
        <v>0</v>
      </c>
      <c r="V167" s="9">
        <f t="shared" si="114"/>
        <v>0</v>
      </c>
      <c r="W167" s="9">
        <f t="shared" si="114"/>
        <v>0</v>
      </c>
      <c r="X167" s="9">
        <f t="shared" si="114"/>
        <v>0</v>
      </c>
      <c r="Y167" s="9">
        <f t="shared" si="114"/>
        <v>0</v>
      </c>
      <c r="Z167" s="9">
        <f t="shared" si="114"/>
        <v>0</v>
      </c>
      <c r="AA167" s="9">
        <f t="shared" si="114"/>
        <v>0</v>
      </c>
      <c r="AB167" s="9">
        <f t="shared" si="114"/>
        <v>0</v>
      </c>
      <c r="AC167" s="9">
        <f t="shared" si="114"/>
        <v>0</v>
      </c>
      <c r="AD167" s="9">
        <f t="shared" si="114"/>
        <v>0</v>
      </c>
      <c r="AE167" s="9">
        <f t="shared" si="114"/>
        <v>0</v>
      </c>
      <c r="AF167" s="25"/>
    </row>
    <row r="168" spans="1:32" ht="15.75" customHeight="1">
      <c r="A168" s="298"/>
      <c r="B168" s="298"/>
      <c r="C168" s="298"/>
      <c r="D168" s="298"/>
      <c r="E168" s="298"/>
      <c r="F168" s="298"/>
      <c r="G168" s="298"/>
      <c r="H168" s="298"/>
      <c r="I168" s="298"/>
      <c r="J168" s="298"/>
      <c r="K168" s="298"/>
      <c r="L168" s="298"/>
      <c r="M168" s="298"/>
      <c r="N168" s="298"/>
      <c r="O168" s="298"/>
      <c r="P168" s="298"/>
      <c r="Q168" s="298"/>
      <c r="R168" s="298"/>
      <c r="S168" s="298"/>
      <c r="T168" s="298"/>
      <c r="U168" s="298"/>
      <c r="V168" s="298"/>
      <c r="W168" s="298"/>
      <c r="X168" s="298"/>
      <c r="Y168" s="298"/>
      <c r="Z168" s="298"/>
      <c r="AA168" s="298"/>
      <c r="AB168" s="298"/>
      <c r="AC168" s="298"/>
      <c r="AD168" s="298"/>
      <c r="AE168" s="298"/>
      <c r="AF168" s="298"/>
    </row>
    <row r="169" spans="1:32" ht="15.75" customHeight="1">
      <c r="A169" s="484" t="s">
        <v>113</v>
      </c>
      <c r="B169" s="298"/>
      <c r="C169" s="298"/>
      <c r="D169" s="298"/>
      <c r="E169" s="298"/>
      <c r="F169" s="298"/>
      <c r="G169" s="298"/>
      <c r="H169" s="298"/>
      <c r="I169" s="298"/>
      <c r="J169" s="298"/>
      <c r="K169" s="298"/>
      <c r="L169" s="298"/>
      <c r="M169" s="298"/>
      <c r="N169" s="298"/>
      <c r="O169" s="298"/>
      <c r="P169" s="298"/>
      <c r="Q169" s="298"/>
      <c r="R169" s="298"/>
      <c r="S169" s="298"/>
      <c r="T169" s="298"/>
      <c r="U169" s="298"/>
      <c r="V169" s="298"/>
      <c r="W169" s="298"/>
      <c r="X169" s="298"/>
      <c r="Y169" s="298"/>
      <c r="Z169" s="298"/>
      <c r="AA169" s="298"/>
      <c r="AB169" s="298"/>
      <c r="AC169" s="298"/>
      <c r="AD169" s="298"/>
      <c r="AE169" s="298"/>
      <c r="AF169" s="298"/>
    </row>
    <row r="170" spans="1:32" ht="15.75" customHeight="1">
      <c r="A170" s="298"/>
      <c r="B170" s="298"/>
      <c r="C170" s="298"/>
      <c r="D170" s="298"/>
      <c r="E170" s="298"/>
      <c r="F170" s="298"/>
      <c r="G170" s="298"/>
      <c r="H170" s="298"/>
      <c r="I170" s="298"/>
      <c r="J170" s="298"/>
      <c r="K170" s="298"/>
      <c r="L170" s="298"/>
      <c r="M170" s="298"/>
      <c r="N170" s="298"/>
      <c r="O170" s="298"/>
      <c r="P170" s="298"/>
      <c r="Q170" s="298"/>
      <c r="R170" s="298"/>
      <c r="S170" s="298"/>
      <c r="T170" s="298"/>
      <c r="U170" s="298"/>
      <c r="V170" s="298"/>
      <c r="W170" s="298"/>
      <c r="X170" s="298"/>
      <c r="Y170" s="298"/>
      <c r="Z170" s="298"/>
      <c r="AA170" s="298"/>
      <c r="AB170" s="298"/>
      <c r="AC170" s="298"/>
      <c r="AD170" s="298"/>
      <c r="AE170" s="298"/>
      <c r="AF170" s="298"/>
    </row>
    <row r="171" spans="1:32" ht="15.75" customHeight="1">
      <c r="A171" s="758" t="str">
        <f>A17</f>
        <v>Unidades Geradoras de Caixa (UGC)</v>
      </c>
      <c r="B171" s="759" t="s">
        <v>107</v>
      </c>
      <c r="C171" s="813"/>
      <c r="D171" s="813"/>
      <c r="E171" s="813"/>
      <c r="F171" s="813"/>
      <c r="G171" s="813"/>
      <c r="H171" s="813"/>
      <c r="I171" s="813"/>
      <c r="J171" s="813"/>
      <c r="K171" s="813"/>
      <c r="L171" s="813"/>
      <c r="M171" s="813"/>
      <c r="N171" s="813"/>
      <c r="O171" s="813"/>
      <c r="P171" s="813"/>
      <c r="Q171" s="813"/>
      <c r="R171" s="813"/>
      <c r="S171" s="813"/>
      <c r="T171" s="813"/>
      <c r="U171" s="813"/>
      <c r="V171" s="813"/>
      <c r="W171" s="813"/>
      <c r="X171" s="813"/>
      <c r="Y171" s="813"/>
      <c r="Z171" s="813"/>
      <c r="AA171" s="813"/>
      <c r="AB171" s="813"/>
      <c r="AC171" s="813"/>
      <c r="AD171" s="813"/>
      <c r="AE171" s="813"/>
      <c r="AF171" s="298"/>
    </row>
    <row r="172" spans="1:32" ht="13.5" customHeight="1">
      <c r="A172" s="813"/>
      <c r="B172" s="488">
        <v>1</v>
      </c>
      <c r="C172" s="488">
        <v>2</v>
      </c>
      <c r="D172" s="488">
        <v>3</v>
      </c>
      <c r="E172" s="488">
        <v>4</v>
      </c>
      <c r="F172" s="488">
        <v>5</v>
      </c>
      <c r="G172" s="488">
        <v>6</v>
      </c>
      <c r="H172" s="488">
        <v>7</v>
      </c>
      <c r="I172" s="488">
        <v>8</v>
      </c>
      <c r="J172" s="488">
        <v>9</v>
      </c>
      <c r="K172" s="488">
        <v>10</v>
      </c>
      <c r="L172" s="488">
        <v>11</v>
      </c>
      <c r="M172" s="488">
        <v>12</v>
      </c>
      <c r="N172" s="488">
        <v>13</v>
      </c>
      <c r="O172" s="488">
        <v>14</v>
      </c>
      <c r="P172" s="488">
        <v>15</v>
      </c>
      <c r="Q172" s="488">
        <v>16</v>
      </c>
      <c r="R172" s="488">
        <v>17</v>
      </c>
      <c r="S172" s="488">
        <v>18</v>
      </c>
      <c r="T172" s="488">
        <v>19</v>
      </c>
      <c r="U172" s="488">
        <v>20</v>
      </c>
      <c r="V172" s="488">
        <v>21</v>
      </c>
      <c r="W172" s="488">
        <v>22</v>
      </c>
      <c r="X172" s="488">
        <v>23</v>
      </c>
      <c r="Y172" s="488">
        <v>24</v>
      </c>
      <c r="Z172" s="488">
        <v>25</v>
      </c>
      <c r="AA172" s="488">
        <v>26</v>
      </c>
      <c r="AB172" s="488">
        <v>27</v>
      </c>
      <c r="AC172" s="488">
        <v>28</v>
      </c>
      <c r="AD172" s="488">
        <v>29</v>
      </c>
      <c r="AE172" s="488">
        <v>30</v>
      </c>
      <c r="AF172" s="298"/>
    </row>
    <row r="173" spans="1:32" ht="15.75" customHeight="1">
      <c r="A173" s="26" t="str">
        <f>A19</f>
        <v>Demanda de visitação REGIONAL/TOTAL</v>
      </c>
      <c r="B173" s="27">
        <f>DemandaBase*(1+VLOOKUP(CenarioSel,Cenarios,B$10+1,0))</f>
        <v>1045869.7336362709</v>
      </c>
      <c r="C173" s="27">
        <f t="shared" ref="C173:AE173" si="115">B173*(1+VLOOKUP(CenarioSel,Cenarios,C$10+1,0))</f>
        <v>1081951.2591493786</v>
      </c>
      <c r="D173" s="27">
        <f t="shared" si="115"/>
        <v>1119270.8014504712</v>
      </c>
      <c r="E173" s="27">
        <f t="shared" si="115"/>
        <v>1155418.4891022725</v>
      </c>
      <c r="F173" s="27">
        <f t="shared" si="115"/>
        <v>1192139.475560755</v>
      </c>
      <c r="G173" s="27">
        <f t="shared" si="115"/>
        <v>1229504.4746481315</v>
      </c>
      <c r="H173" s="27">
        <f t="shared" si="115"/>
        <v>1267922.446803197</v>
      </c>
      <c r="I173" s="27">
        <f t="shared" si="115"/>
        <v>1307460.8396111741</v>
      </c>
      <c r="J173" s="27">
        <f t="shared" si="115"/>
        <v>1347720.2416825944</v>
      </c>
      <c r="K173" s="27">
        <f t="shared" si="115"/>
        <v>1388730.6499048395</v>
      </c>
      <c r="L173" s="27">
        <f t="shared" si="115"/>
        <v>1431023.7492804877</v>
      </c>
      <c r="M173" s="27">
        <f t="shared" si="115"/>
        <v>1474582.567833439</v>
      </c>
      <c r="N173" s="27">
        <f t="shared" si="115"/>
        <v>1519532.6528189408</v>
      </c>
      <c r="O173" s="27">
        <f t="shared" si="115"/>
        <v>1565841.2675684728</v>
      </c>
      <c r="P173" s="27">
        <f t="shared" si="115"/>
        <v>1613540.9916480312</v>
      </c>
      <c r="Q173" s="27">
        <f t="shared" si="115"/>
        <v>1662549.1177962993</v>
      </c>
      <c r="R173" s="27">
        <f t="shared" si="115"/>
        <v>1712805.1632046406</v>
      </c>
      <c r="S173" s="27">
        <f t="shared" si="115"/>
        <v>1764130.5582838925</v>
      </c>
      <c r="T173" s="27">
        <f t="shared" si="115"/>
        <v>1816396.2216261453</v>
      </c>
      <c r="U173" s="27">
        <f t="shared" si="115"/>
        <v>1869357.3132935567</v>
      </c>
      <c r="V173" s="27">
        <f t="shared" si="115"/>
        <v>1869357.3132935567</v>
      </c>
      <c r="W173" s="27">
        <f t="shared" si="115"/>
        <v>1869357.3132935567</v>
      </c>
      <c r="X173" s="27">
        <f t="shared" si="115"/>
        <v>1869357.3132935567</v>
      </c>
      <c r="Y173" s="27">
        <f t="shared" si="115"/>
        <v>1869357.3132935567</v>
      </c>
      <c r="Z173" s="27">
        <f t="shared" si="115"/>
        <v>1869357.3132935567</v>
      </c>
      <c r="AA173" s="27">
        <f t="shared" si="115"/>
        <v>1869357.3132935567</v>
      </c>
      <c r="AB173" s="27">
        <f t="shared" si="115"/>
        <v>1869357.3132935567</v>
      </c>
      <c r="AC173" s="27">
        <f t="shared" si="115"/>
        <v>1869357.3132935567</v>
      </c>
      <c r="AD173" s="27">
        <f t="shared" si="115"/>
        <v>1869357.3132935567</v>
      </c>
      <c r="AE173" s="27">
        <f t="shared" si="115"/>
        <v>1869357.3132935567</v>
      </c>
      <c r="AF173" s="425"/>
    </row>
    <row r="174" spans="1:32" ht="15.75" customHeight="1">
      <c r="A174" s="23" t="str">
        <f>A97</f>
        <v>Demanda de visitação TOTAL</v>
      </c>
      <c r="B174" s="24">
        <f t="shared" ref="B174:AE174" si="116">B173*B44</f>
        <v>1045869.7336362709</v>
      </c>
      <c r="C174" s="24">
        <f t="shared" si="116"/>
        <v>1081951.2591493786</v>
      </c>
      <c r="D174" s="24">
        <f t="shared" si="116"/>
        <v>1119270.8014504712</v>
      </c>
      <c r="E174" s="24">
        <f t="shared" si="116"/>
        <v>1155418.4891022725</v>
      </c>
      <c r="F174" s="24">
        <f t="shared" si="116"/>
        <v>1192139.475560755</v>
      </c>
      <c r="G174" s="24">
        <f t="shared" si="116"/>
        <v>1229504.4746481315</v>
      </c>
      <c r="H174" s="24">
        <f t="shared" si="116"/>
        <v>1267922.446803197</v>
      </c>
      <c r="I174" s="24">
        <f t="shared" si="116"/>
        <v>1307460.8396111741</v>
      </c>
      <c r="J174" s="24">
        <f t="shared" si="116"/>
        <v>1347720.2416825944</v>
      </c>
      <c r="K174" s="24">
        <f t="shared" si="116"/>
        <v>1388730.6499048395</v>
      </c>
      <c r="L174" s="24">
        <f t="shared" si="116"/>
        <v>1431023.7492804877</v>
      </c>
      <c r="M174" s="24">
        <f t="shared" si="116"/>
        <v>1474582.567833439</v>
      </c>
      <c r="N174" s="24">
        <f t="shared" si="116"/>
        <v>1519532.6528189408</v>
      </c>
      <c r="O174" s="24">
        <f t="shared" si="116"/>
        <v>1565841.2675684728</v>
      </c>
      <c r="P174" s="24">
        <f t="shared" si="116"/>
        <v>1613540.9916480312</v>
      </c>
      <c r="Q174" s="24">
        <f t="shared" si="116"/>
        <v>1662549.1177962993</v>
      </c>
      <c r="R174" s="24">
        <f t="shared" si="116"/>
        <v>1712805.1632046406</v>
      </c>
      <c r="S174" s="24">
        <f t="shared" si="116"/>
        <v>1764130.5582838925</v>
      </c>
      <c r="T174" s="24">
        <f t="shared" si="116"/>
        <v>1816396.2216261453</v>
      </c>
      <c r="U174" s="24">
        <f t="shared" si="116"/>
        <v>1869357.3132935567</v>
      </c>
      <c r="V174" s="24">
        <f t="shared" si="116"/>
        <v>1869357.3132935567</v>
      </c>
      <c r="W174" s="24">
        <f t="shared" si="116"/>
        <v>1869357.3132935567</v>
      </c>
      <c r="X174" s="24">
        <f t="shared" si="116"/>
        <v>1869357.3132935567</v>
      </c>
      <c r="Y174" s="24">
        <f t="shared" si="116"/>
        <v>1869357.3132935567</v>
      </c>
      <c r="Z174" s="24">
        <f t="shared" si="116"/>
        <v>1869357.3132935567</v>
      </c>
      <c r="AA174" s="24">
        <f t="shared" si="116"/>
        <v>1869357.3132935567</v>
      </c>
      <c r="AB174" s="24">
        <f t="shared" si="116"/>
        <v>1869357.3132935567</v>
      </c>
      <c r="AC174" s="24">
        <f t="shared" si="116"/>
        <v>1869357.3132935567</v>
      </c>
      <c r="AD174" s="24">
        <f t="shared" si="116"/>
        <v>1869357.3132935567</v>
      </c>
      <c r="AE174" s="24">
        <f t="shared" si="116"/>
        <v>1869357.3132935567</v>
      </c>
      <c r="AF174" s="425"/>
    </row>
    <row r="175" spans="1:32" ht="15.75" customHeight="1">
      <c r="A175" s="23" t="str">
        <f t="shared" ref="A175:A194" si="117">A20</f>
        <v>Ingresso</v>
      </c>
      <c r="B175" s="24">
        <f t="shared" ref="B175:AE175" si="118">B$174*B45</f>
        <v>1045869.7336362709</v>
      </c>
      <c r="C175" s="24">
        <f t="shared" si="118"/>
        <v>1081951.2591493786</v>
      </c>
      <c r="D175" s="24">
        <f t="shared" si="118"/>
        <v>1119270.8014504712</v>
      </c>
      <c r="E175" s="24">
        <f t="shared" si="118"/>
        <v>1155418.4891022725</v>
      </c>
      <c r="F175" s="24">
        <f t="shared" si="118"/>
        <v>1192139.475560755</v>
      </c>
      <c r="G175" s="24">
        <f t="shared" si="118"/>
        <v>1229504.4746481315</v>
      </c>
      <c r="H175" s="24">
        <f t="shared" si="118"/>
        <v>1267922.446803197</v>
      </c>
      <c r="I175" s="24">
        <f t="shared" si="118"/>
        <v>1307460.8396111741</v>
      </c>
      <c r="J175" s="24">
        <f t="shared" si="118"/>
        <v>1347720.2416825944</v>
      </c>
      <c r="K175" s="24">
        <f t="shared" si="118"/>
        <v>1388730.6499048395</v>
      </c>
      <c r="L175" s="24">
        <f t="shared" si="118"/>
        <v>1431023.7492804877</v>
      </c>
      <c r="M175" s="24">
        <f t="shared" si="118"/>
        <v>1474582.567833439</v>
      </c>
      <c r="N175" s="24">
        <f t="shared" si="118"/>
        <v>1519532.6528189408</v>
      </c>
      <c r="O175" s="24">
        <f t="shared" si="118"/>
        <v>1565841.2675684728</v>
      </c>
      <c r="P175" s="24">
        <f t="shared" si="118"/>
        <v>1613540.9916480312</v>
      </c>
      <c r="Q175" s="24">
        <f t="shared" si="118"/>
        <v>1662549.1177962993</v>
      </c>
      <c r="R175" s="24">
        <f t="shared" si="118"/>
        <v>1712805.1632046406</v>
      </c>
      <c r="S175" s="24">
        <f t="shared" si="118"/>
        <v>1764130.5582838925</v>
      </c>
      <c r="T175" s="24">
        <f t="shared" si="118"/>
        <v>1816396.2216261453</v>
      </c>
      <c r="U175" s="24">
        <f t="shared" si="118"/>
        <v>1869357.3132935567</v>
      </c>
      <c r="V175" s="24">
        <f t="shared" si="118"/>
        <v>1869357.3132935567</v>
      </c>
      <c r="W175" s="24">
        <f t="shared" si="118"/>
        <v>1869357.3132935567</v>
      </c>
      <c r="X175" s="24">
        <f t="shared" si="118"/>
        <v>1869357.3132935567</v>
      </c>
      <c r="Y175" s="24">
        <f t="shared" si="118"/>
        <v>1869357.3132935567</v>
      </c>
      <c r="Z175" s="24">
        <f t="shared" si="118"/>
        <v>1869357.3132935567</v>
      </c>
      <c r="AA175" s="24">
        <f t="shared" si="118"/>
        <v>1869357.3132935567</v>
      </c>
      <c r="AB175" s="24">
        <f t="shared" si="118"/>
        <v>1869357.3132935567</v>
      </c>
      <c r="AC175" s="24">
        <f t="shared" si="118"/>
        <v>1869357.3132935567</v>
      </c>
      <c r="AD175" s="24">
        <f t="shared" si="118"/>
        <v>1869357.3132935567</v>
      </c>
      <c r="AE175" s="24">
        <f t="shared" si="118"/>
        <v>1869357.3132935567</v>
      </c>
      <c r="AF175" s="298"/>
    </row>
    <row r="176" spans="1:32" ht="15.75" customHeight="1">
      <c r="A176" s="23" t="str">
        <f t="shared" si="117"/>
        <v>Preá - Alimentação</v>
      </c>
      <c r="B176" s="24">
        <f t="shared" ref="B176:AE176" si="119">B$174*B46</f>
        <v>83669.578690901675</v>
      </c>
      <c r="C176" s="24">
        <f t="shared" si="119"/>
        <v>86556.100731950297</v>
      </c>
      <c r="D176" s="24">
        <f t="shared" si="119"/>
        <v>89541.664116037689</v>
      </c>
      <c r="E176" s="24">
        <f t="shared" si="119"/>
        <v>92433.479128181803</v>
      </c>
      <c r="F176" s="24">
        <f t="shared" si="119"/>
        <v>95371.158044860407</v>
      </c>
      <c r="G176" s="24">
        <f t="shared" si="119"/>
        <v>98360.357971850521</v>
      </c>
      <c r="H176" s="24">
        <f t="shared" si="119"/>
        <v>101433.79574425577</v>
      </c>
      <c r="I176" s="24">
        <f t="shared" si="119"/>
        <v>104596.86716889392</v>
      </c>
      <c r="J176" s="24">
        <f t="shared" si="119"/>
        <v>107817.61933460756</v>
      </c>
      <c r="K176" s="24">
        <f t="shared" si="119"/>
        <v>111098.45199238716</v>
      </c>
      <c r="L176" s="24">
        <f t="shared" si="119"/>
        <v>114481.89994243902</v>
      </c>
      <c r="M176" s="24">
        <f t="shared" si="119"/>
        <v>117966.60542667512</v>
      </c>
      <c r="N176" s="24">
        <f t="shared" si="119"/>
        <v>121562.61222551527</v>
      </c>
      <c r="O176" s="24">
        <f t="shared" si="119"/>
        <v>125267.30140547782</v>
      </c>
      <c r="P176" s="24">
        <f t="shared" si="119"/>
        <v>129083.2793318425</v>
      </c>
      <c r="Q176" s="24">
        <f t="shared" si="119"/>
        <v>133003.92942370396</v>
      </c>
      <c r="R176" s="24">
        <f t="shared" si="119"/>
        <v>137024.41305637124</v>
      </c>
      <c r="S176" s="24">
        <f t="shared" si="119"/>
        <v>141130.44466271141</v>
      </c>
      <c r="T176" s="24">
        <f t="shared" si="119"/>
        <v>145311.69773009163</v>
      </c>
      <c r="U176" s="24">
        <f t="shared" si="119"/>
        <v>149548.58506348453</v>
      </c>
      <c r="V176" s="24">
        <f t="shared" si="119"/>
        <v>149548.58506348453</v>
      </c>
      <c r="W176" s="24">
        <f t="shared" si="119"/>
        <v>149548.58506348453</v>
      </c>
      <c r="X176" s="24">
        <f t="shared" si="119"/>
        <v>149548.58506348453</v>
      </c>
      <c r="Y176" s="24">
        <f t="shared" si="119"/>
        <v>149548.58506348453</v>
      </c>
      <c r="Z176" s="24">
        <f t="shared" si="119"/>
        <v>149548.58506348453</v>
      </c>
      <c r="AA176" s="24">
        <f t="shared" si="119"/>
        <v>149548.58506348453</v>
      </c>
      <c r="AB176" s="24">
        <f t="shared" si="119"/>
        <v>149548.58506348453</v>
      </c>
      <c r="AC176" s="24">
        <f t="shared" si="119"/>
        <v>149548.58506348453</v>
      </c>
      <c r="AD176" s="24">
        <f t="shared" si="119"/>
        <v>149548.58506348453</v>
      </c>
      <c r="AE176" s="24">
        <f t="shared" si="119"/>
        <v>149548.58506348453</v>
      </c>
      <c r="AF176" s="298"/>
    </row>
    <row r="177" spans="1:32" ht="15.75" customHeight="1">
      <c r="A177" s="23" t="str">
        <f t="shared" si="117"/>
        <v>Preá - Comércio</v>
      </c>
      <c r="B177" s="24">
        <f t="shared" ref="B177:AE177" si="120">B$174*B47</f>
        <v>13944.929781816943</v>
      </c>
      <c r="C177" s="24">
        <f t="shared" si="120"/>
        <v>14426.01678865838</v>
      </c>
      <c r="D177" s="24">
        <f t="shared" si="120"/>
        <v>14923.610686006281</v>
      </c>
      <c r="E177" s="24">
        <f t="shared" si="120"/>
        <v>15405.579854696965</v>
      </c>
      <c r="F177" s="24">
        <f t="shared" si="120"/>
        <v>15895.193007476732</v>
      </c>
      <c r="G177" s="24">
        <f t="shared" si="120"/>
        <v>16393.392995308419</v>
      </c>
      <c r="H177" s="24">
        <f t="shared" si="120"/>
        <v>16905.632624042624</v>
      </c>
      <c r="I177" s="24">
        <f t="shared" si="120"/>
        <v>17432.811194815655</v>
      </c>
      <c r="J177" s="24">
        <f t="shared" si="120"/>
        <v>17969.603222434591</v>
      </c>
      <c r="K177" s="24">
        <f t="shared" si="120"/>
        <v>18516.408665397859</v>
      </c>
      <c r="L177" s="24">
        <f t="shared" si="120"/>
        <v>19080.316657073166</v>
      </c>
      <c r="M177" s="24">
        <f t="shared" si="120"/>
        <v>19661.100904445851</v>
      </c>
      <c r="N177" s="24">
        <f t="shared" si="120"/>
        <v>20260.435370919211</v>
      </c>
      <c r="O177" s="24">
        <f t="shared" si="120"/>
        <v>20877.883567579636</v>
      </c>
      <c r="P177" s="24">
        <f t="shared" si="120"/>
        <v>21513.879888640415</v>
      </c>
      <c r="Q177" s="24">
        <f t="shared" si="120"/>
        <v>22167.321570617321</v>
      </c>
      <c r="R177" s="24">
        <f t="shared" si="120"/>
        <v>22837.402176061874</v>
      </c>
      <c r="S177" s="24">
        <f t="shared" si="120"/>
        <v>23521.740777118564</v>
      </c>
      <c r="T177" s="24">
        <f t="shared" si="120"/>
        <v>24218.616288348603</v>
      </c>
      <c r="U177" s="24">
        <f t="shared" si="120"/>
        <v>24924.76417724742</v>
      </c>
      <c r="V177" s="24">
        <f t="shared" si="120"/>
        <v>24924.76417724742</v>
      </c>
      <c r="W177" s="24">
        <f t="shared" si="120"/>
        <v>24924.76417724742</v>
      </c>
      <c r="X177" s="24">
        <f t="shared" si="120"/>
        <v>24924.76417724742</v>
      </c>
      <c r="Y177" s="24">
        <f t="shared" si="120"/>
        <v>24924.76417724742</v>
      </c>
      <c r="Z177" s="24">
        <f t="shared" si="120"/>
        <v>24924.76417724742</v>
      </c>
      <c r="AA177" s="24">
        <f t="shared" si="120"/>
        <v>24924.76417724742</v>
      </c>
      <c r="AB177" s="24">
        <f t="shared" si="120"/>
        <v>24924.76417724742</v>
      </c>
      <c r="AC177" s="24">
        <f t="shared" si="120"/>
        <v>24924.76417724742</v>
      </c>
      <c r="AD177" s="24">
        <f t="shared" si="120"/>
        <v>24924.76417724742</v>
      </c>
      <c r="AE177" s="24">
        <f t="shared" si="120"/>
        <v>24924.76417724742</v>
      </c>
      <c r="AF177" s="298"/>
    </row>
    <row r="178" spans="1:32" ht="15.75" customHeight="1">
      <c r="A178" s="23" t="str">
        <f t="shared" si="117"/>
        <v>Preá - Estacionamento</v>
      </c>
      <c r="B178" s="24">
        <f t="shared" ref="B178:AE178" si="121">B$174*B48</f>
        <v>20917.394672725419</v>
      </c>
      <c r="C178" s="24">
        <f t="shared" si="121"/>
        <v>21639.025182987574</v>
      </c>
      <c r="D178" s="24">
        <f t="shared" si="121"/>
        <v>22385.416029009422</v>
      </c>
      <c r="E178" s="24">
        <f t="shared" si="121"/>
        <v>23108.369782045451</v>
      </c>
      <c r="F178" s="24">
        <f t="shared" si="121"/>
        <v>23842.789511215102</v>
      </c>
      <c r="G178" s="24">
        <f t="shared" si="121"/>
        <v>24590.08949296263</v>
      </c>
      <c r="H178" s="24">
        <f t="shared" si="121"/>
        <v>25358.448936063942</v>
      </c>
      <c r="I178" s="24">
        <f t="shared" si="121"/>
        <v>26149.21679222348</v>
      </c>
      <c r="J178" s="24">
        <f t="shared" si="121"/>
        <v>26954.40483365189</v>
      </c>
      <c r="K178" s="24">
        <f t="shared" si="121"/>
        <v>27774.612998096789</v>
      </c>
      <c r="L178" s="24">
        <f t="shared" si="121"/>
        <v>28620.474985609755</v>
      </c>
      <c r="M178" s="24">
        <f t="shared" si="121"/>
        <v>29491.651356668779</v>
      </c>
      <c r="N178" s="24">
        <f t="shared" si="121"/>
        <v>30390.653056378818</v>
      </c>
      <c r="O178" s="24">
        <f t="shared" si="121"/>
        <v>31316.825351369454</v>
      </c>
      <c r="P178" s="24">
        <f t="shared" si="121"/>
        <v>32270.819832960624</v>
      </c>
      <c r="Q178" s="24">
        <f t="shared" si="121"/>
        <v>33250.982355925989</v>
      </c>
      <c r="R178" s="24">
        <f t="shared" si="121"/>
        <v>34256.10326409281</v>
      </c>
      <c r="S178" s="24">
        <f t="shared" si="121"/>
        <v>35282.611165677852</v>
      </c>
      <c r="T178" s="24">
        <f t="shared" si="121"/>
        <v>36327.924432522908</v>
      </c>
      <c r="U178" s="24">
        <f t="shared" si="121"/>
        <v>37387.146265871132</v>
      </c>
      <c r="V178" s="24">
        <f t="shared" si="121"/>
        <v>37387.146265871132</v>
      </c>
      <c r="W178" s="24">
        <f t="shared" si="121"/>
        <v>37387.146265871132</v>
      </c>
      <c r="X178" s="24">
        <f t="shared" si="121"/>
        <v>37387.146265871132</v>
      </c>
      <c r="Y178" s="24">
        <f t="shared" si="121"/>
        <v>37387.146265871132</v>
      </c>
      <c r="Z178" s="24">
        <f t="shared" si="121"/>
        <v>37387.146265871132</v>
      </c>
      <c r="AA178" s="24">
        <f t="shared" si="121"/>
        <v>37387.146265871132</v>
      </c>
      <c r="AB178" s="24">
        <f t="shared" si="121"/>
        <v>37387.146265871132</v>
      </c>
      <c r="AC178" s="24">
        <f t="shared" si="121"/>
        <v>37387.146265871132</v>
      </c>
      <c r="AD178" s="24">
        <f t="shared" si="121"/>
        <v>37387.146265871132</v>
      </c>
      <c r="AE178" s="24">
        <f t="shared" si="121"/>
        <v>37387.146265871132</v>
      </c>
      <c r="AF178" s="298"/>
    </row>
    <row r="179" spans="1:32" ht="15.75" customHeight="1">
      <c r="A179" s="23" t="str">
        <f t="shared" si="117"/>
        <v>Árvore da Preguiça - Alimentação</v>
      </c>
      <c r="B179" s="24">
        <f t="shared" ref="B179:AE179" si="122">B$174*B49</f>
        <v>83669.578690901675</v>
      </c>
      <c r="C179" s="24">
        <f t="shared" si="122"/>
        <v>86556.100731950297</v>
      </c>
      <c r="D179" s="24">
        <f t="shared" si="122"/>
        <v>89541.664116037689</v>
      </c>
      <c r="E179" s="24">
        <f t="shared" si="122"/>
        <v>92433.479128181803</v>
      </c>
      <c r="F179" s="24">
        <f t="shared" si="122"/>
        <v>95371.158044860407</v>
      </c>
      <c r="G179" s="24">
        <f t="shared" si="122"/>
        <v>98360.357971850521</v>
      </c>
      <c r="H179" s="24">
        <f t="shared" si="122"/>
        <v>101433.79574425577</v>
      </c>
      <c r="I179" s="24">
        <f t="shared" si="122"/>
        <v>104596.86716889392</v>
      </c>
      <c r="J179" s="24">
        <f t="shared" si="122"/>
        <v>107817.61933460756</v>
      </c>
      <c r="K179" s="24">
        <f t="shared" si="122"/>
        <v>111098.45199238716</v>
      </c>
      <c r="L179" s="24">
        <f t="shared" si="122"/>
        <v>114481.89994243902</v>
      </c>
      <c r="M179" s="24">
        <f t="shared" si="122"/>
        <v>117966.60542667512</v>
      </c>
      <c r="N179" s="24">
        <f t="shared" si="122"/>
        <v>121562.61222551527</v>
      </c>
      <c r="O179" s="24">
        <f t="shared" si="122"/>
        <v>125267.30140547782</v>
      </c>
      <c r="P179" s="24">
        <f t="shared" si="122"/>
        <v>129083.2793318425</v>
      </c>
      <c r="Q179" s="24">
        <f t="shared" si="122"/>
        <v>133003.92942370396</v>
      </c>
      <c r="R179" s="24">
        <f t="shared" si="122"/>
        <v>137024.41305637124</v>
      </c>
      <c r="S179" s="24">
        <f t="shared" si="122"/>
        <v>141130.44466271141</v>
      </c>
      <c r="T179" s="24">
        <f t="shared" si="122"/>
        <v>145311.69773009163</v>
      </c>
      <c r="U179" s="24">
        <f t="shared" si="122"/>
        <v>149548.58506348453</v>
      </c>
      <c r="V179" s="24">
        <f t="shared" si="122"/>
        <v>149548.58506348453</v>
      </c>
      <c r="W179" s="24">
        <f t="shared" si="122"/>
        <v>149548.58506348453</v>
      </c>
      <c r="X179" s="24">
        <f t="shared" si="122"/>
        <v>149548.58506348453</v>
      </c>
      <c r="Y179" s="24">
        <f t="shared" si="122"/>
        <v>149548.58506348453</v>
      </c>
      <c r="Z179" s="24">
        <f t="shared" si="122"/>
        <v>149548.58506348453</v>
      </c>
      <c r="AA179" s="24">
        <f t="shared" si="122"/>
        <v>149548.58506348453</v>
      </c>
      <c r="AB179" s="24">
        <f t="shared" si="122"/>
        <v>149548.58506348453</v>
      </c>
      <c r="AC179" s="24">
        <f t="shared" si="122"/>
        <v>149548.58506348453</v>
      </c>
      <c r="AD179" s="24">
        <f t="shared" si="122"/>
        <v>149548.58506348453</v>
      </c>
      <c r="AE179" s="24">
        <f t="shared" si="122"/>
        <v>149548.58506348453</v>
      </c>
      <c r="AF179" s="298"/>
    </row>
    <row r="180" spans="1:32" ht="15.75" customHeight="1">
      <c r="A180" s="23" t="str">
        <f t="shared" si="117"/>
        <v>Árvore da Preguiça - Comércio</v>
      </c>
      <c r="B180" s="24">
        <f t="shared" ref="B180:AE180" si="123">B$174*B50</f>
        <v>13944.929781816943</v>
      </c>
      <c r="C180" s="24">
        <f t="shared" si="123"/>
        <v>14426.01678865838</v>
      </c>
      <c r="D180" s="24">
        <f t="shared" si="123"/>
        <v>14923.610686006281</v>
      </c>
      <c r="E180" s="24">
        <f t="shared" si="123"/>
        <v>15405.579854696965</v>
      </c>
      <c r="F180" s="24">
        <f t="shared" si="123"/>
        <v>15895.193007476732</v>
      </c>
      <c r="G180" s="24">
        <f t="shared" si="123"/>
        <v>16393.392995308419</v>
      </c>
      <c r="H180" s="24">
        <f t="shared" si="123"/>
        <v>16905.632624042624</v>
      </c>
      <c r="I180" s="24">
        <f t="shared" si="123"/>
        <v>17432.811194815655</v>
      </c>
      <c r="J180" s="24">
        <f t="shared" si="123"/>
        <v>17969.603222434591</v>
      </c>
      <c r="K180" s="24">
        <f t="shared" si="123"/>
        <v>18516.408665397859</v>
      </c>
      <c r="L180" s="24">
        <f t="shared" si="123"/>
        <v>19080.316657073166</v>
      </c>
      <c r="M180" s="24">
        <f t="shared" si="123"/>
        <v>19661.100904445851</v>
      </c>
      <c r="N180" s="24">
        <f t="shared" si="123"/>
        <v>20260.435370919211</v>
      </c>
      <c r="O180" s="24">
        <f t="shared" si="123"/>
        <v>20877.883567579636</v>
      </c>
      <c r="P180" s="24">
        <f t="shared" si="123"/>
        <v>21513.879888640415</v>
      </c>
      <c r="Q180" s="24">
        <f t="shared" si="123"/>
        <v>22167.321570617321</v>
      </c>
      <c r="R180" s="24">
        <f t="shared" si="123"/>
        <v>22837.402176061874</v>
      </c>
      <c r="S180" s="24">
        <f t="shared" si="123"/>
        <v>23521.740777118564</v>
      </c>
      <c r="T180" s="24">
        <f t="shared" si="123"/>
        <v>24218.616288348603</v>
      </c>
      <c r="U180" s="24">
        <f t="shared" si="123"/>
        <v>24924.76417724742</v>
      </c>
      <c r="V180" s="24">
        <f t="shared" si="123"/>
        <v>24924.76417724742</v>
      </c>
      <c r="W180" s="24">
        <f t="shared" si="123"/>
        <v>24924.76417724742</v>
      </c>
      <c r="X180" s="24">
        <f t="shared" si="123"/>
        <v>24924.76417724742</v>
      </c>
      <c r="Y180" s="24">
        <f t="shared" si="123"/>
        <v>24924.76417724742</v>
      </c>
      <c r="Z180" s="24">
        <f t="shared" si="123"/>
        <v>24924.76417724742</v>
      </c>
      <c r="AA180" s="24">
        <f t="shared" si="123"/>
        <v>24924.76417724742</v>
      </c>
      <c r="AB180" s="24">
        <f t="shared" si="123"/>
        <v>24924.76417724742</v>
      </c>
      <c r="AC180" s="24">
        <f t="shared" si="123"/>
        <v>24924.76417724742</v>
      </c>
      <c r="AD180" s="24">
        <f t="shared" si="123"/>
        <v>24924.76417724742</v>
      </c>
      <c r="AE180" s="24">
        <f t="shared" si="123"/>
        <v>24924.76417724742</v>
      </c>
      <c r="AF180" s="298"/>
    </row>
    <row r="181" spans="1:32" ht="15.75" customHeight="1">
      <c r="A181" s="23" t="str">
        <f t="shared" si="117"/>
        <v>Silveira - Alimentação</v>
      </c>
      <c r="B181" s="24">
        <f t="shared" ref="B181:AE181" si="124">B$174*B51</f>
        <v>83669.578690901675</v>
      </c>
      <c r="C181" s="24">
        <f t="shared" si="124"/>
        <v>86556.100731950297</v>
      </c>
      <c r="D181" s="24">
        <f t="shared" si="124"/>
        <v>89541.664116037689</v>
      </c>
      <c r="E181" s="24">
        <f t="shared" si="124"/>
        <v>92433.479128181803</v>
      </c>
      <c r="F181" s="24">
        <f t="shared" si="124"/>
        <v>95371.158044860407</v>
      </c>
      <c r="G181" s="24">
        <f t="shared" si="124"/>
        <v>98360.357971850521</v>
      </c>
      <c r="H181" s="24">
        <f t="shared" si="124"/>
        <v>101433.79574425577</v>
      </c>
      <c r="I181" s="24">
        <f t="shared" si="124"/>
        <v>104596.86716889392</v>
      </c>
      <c r="J181" s="24">
        <f t="shared" si="124"/>
        <v>107817.61933460756</v>
      </c>
      <c r="K181" s="24">
        <f t="shared" si="124"/>
        <v>111098.45199238716</v>
      </c>
      <c r="L181" s="24">
        <f t="shared" si="124"/>
        <v>114481.89994243902</v>
      </c>
      <c r="M181" s="24">
        <f t="shared" si="124"/>
        <v>117966.60542667512</v>
      </c>
      <c r="N181" s="24">
        <f t="shared" si="124"/>
        <v>121562.61222551527</v>
      </c>
      <c r="O181" s="24">
        <f t="shared" si="124"/>
        <v>125267.30140547782</v>
      </c>
      <c r="P181" s="24">
        <f t="shared" si="124"/>
        <v>129083.2793318425</v>
      </c>
      <c r="Q181" s="24">
        <f t="shared" si="124"/>
        <v>133003.92942370396</v>
      </c>
      <c r="R181" s="24">
        <f t="shared" si="124"/>
        <v>137024.41305637124</v>
      </c>
      <c r="S181" s="24">
        <f t="shared" si="124"/>
        <v>141130.44466271141</v>
      </c>
      <c r="T181" s="24">
        <f t="shared" si="124"/>
        <v>145311.69773009163</v>
      </c>
      <c r="U181" s="24">
        <f t="shared" si="124"/>
        <v>149548.58506348453</v>
      </c>
      <c r="V181" s="24">
        <f t="shared" si="124"/>
        <v>149548.58506348453</v>
      </c>
      <c r="W181" s="24">
        <f t="shared" si="124"/>
        <v>149548.58506348453</v>
      </c>
      <c r="X181" s="24">
        <f t="shared" si="124"/>
        <v>149548.58506348453</v>
      </c>
      <c r="Y181" s="24">
        <f t="shared" si="124"/>
        <v>149548.58506348453</v>
      </c>
      <c r="Z181" s="24">
        <f t="shared" si="124"/>
        <v>149548.58506348453</v>
      </c>
      <c r="AA181" s="24">
        <f t="shared" si="124"/>
        <v>149548.58506348453</v>
      </c>
      <c r="AB181" s="24">
        <f t="shared" si="124"/>
        <v>149548.58506348453</v>
      </c>
      <c r="AC181" s="24">
        <f t="shared" si="124"/>
        <v>149548.58506348453</v>
      </c>
      <c r="AD181" s="24">
        <f t="shared" si="124"/>
        <v>149548.58506348453</v>
      </c>
      <c r="AE181" s="24">
        <f t="shared" si="124"/>
        <v>149548.58506348453</v>
      </c>
      <c r="AF181" s="298"/>
    </row>
    <row r="182" spans="1:32" ht="15.75" customHeight="1">
      <c r="A182" s="23" t="str">
        <f t="shared" si="117"/>
        <v>Silveira - Comércio + Locação + Atividades</v>
      </c>
      <c r="B182" s="24">
        <f t="shared" ref="B182:AE182" si="125">B$174*B52</f>
        <v>13944.929781816943</v>
      </c>
      <c r="C182" s="24">
        <f t="shared" si="125"/>
        <v>14426.01678865838</v>
      </c>
      <c r="D182" s="24">
        <f t="shared" si="125"/>
        <v>14923.610686006281</v>
      </c>
      <c r="E182" s="24">
        <f t="shared" si="125"/>
        <v>15405.579854696965</v>
      </c>
      <c r="F182" s="24">
        <f t="shared" si="125"/>
        <v>15895.193007476732</v>
      </c>
      <c r="G182" s="24">
        <f t="shared" si="125"/>
        <v>16393.392995308419</v>
      </c>
      <c r="H182" s="24">
        <f t="shared" si="125"/>
        <v>16905.632624042624</v>
      </c>
      <c r="I182" s="24">
        <f t="shared" si="125"/>
        <v>17432.811194815655</v>
      </c>
      <c r="J182" s="24">
        <f t="shared" si="125"/>
        <v>17969.603222434591</v>
      </c>
      <c r="K182" s="24">
        <f t="shared" si="125"/>
        <v>18516.408665397859</v>
      </c>
      <c r="L182" s="24">
        <f t="shared" si="125"/>
        <v>19080.316657073166</v>
      </c>
      <c r="M182" s="24">
        <f t="shared" si="125"/>
        <v>19661.100904445851</v>
      </c>
      <c r="N182" s="24">
        <f t="shared" si="125"/>
        <v>20260.435370919211</v>
      </c>
      <c r="O182" s="24">
        <f t="shared" si="125"/>
        <v>20877.883567579636</v>
      </c>
      <c r="P182" s="24">
        <f t="shared" si="125"/>
        <v>21513.879888640415</v>
      </c>
      <c r="Q182" s="24">
        <f t="shared" si="125"/>
        <v>22167.321570617321</v>
      </c>
      <c r="R182" s="24">
        <f t="shared" si="125"/>
        <v>22837.402176061874</v>
      </c>
      <c r="S182" s="24">
        <f t="shared" si="125"/>
        <v>23521.740777118564</v>
      </c>
      <c r="T182" s="24">
        <f t="shared" si="125"/>
        <v>24218.616288348603</v>
      </c>
      <c r="U182" s="24">
        <f t="shared" si="125"/>
        <v>24924.76417724742</v>
      </c>
      <c r="V182" s="24">
        <f t="shared" si="125"/>
        <v>24924.76417724742</v>
      </c>
      <c r="W182" s="24">
        <f t="shared" si="125"/>
        <v>24924.76417724742</v>
      </c>
      <c r="X182" s="24">
        <f t="shared" si="125"/>
        <v>24924.76417724742</v>
      </c>
      <c r="Y182" s="24">
        <f t="shared" si="125"/>
        <v>24924.76417724742</v>
      </c>
      <c r="Z182" s="24">
        <f t="shared" si="125"/>
        <v>24924.76417724742</v>
      </c>
      <c r="AA182" s="24">
        <f t="shared" si="125"/>
        <v>24924.76417724742</v>
      </c>
      <c r="AB182" s="24">
        <f t="shared" si="125"/>
        <v>24924.76417724742</v>
      </c>
      <c r="AC182" s="24">
        <f t="shared" si="125"/>
        <v>24924.76417724742</v>
      </c>
      <c r="AD182" s="24">
        <f t="shared" si="125"/>
        <v>24924.76417724742</v>
      </c>
      <c r="AE182" s="24">
        <f t="shared" si="125"/>
        <v>24924.76417724742</v>
      </c>
      <c r="AF182" s="298"/>
    </row>
    <row r="183" spans="1:32" ht="15.75" customHeight="1">
      <c r="A183" s="23" t="str">
        <f t="shared" si="117"/>
        <v>Silveira - Hospedagem</v>
      </c>
      <c r="B183" s="24">
        <f t="shared" ref="B183:AE183" si="126">B$174*B53</f>
        <v>10458.697336362709</v>
      </c>
      <c r="C183" s="24">
        <f t="shared" si="126"/>
        <v>10819.512591493787</v>
      </c>
      <c r="D183" s="24">
        <f t="shared" si="126"/>
        <v>11192.708014504711</v>
      </c>
      <c r="E183" s="24">
        <f t="shared" si="126"/>
        <v>11554.184891022725</v>
      </c>
      <c r="F183" s="24">
        <f t="shared" si="126"/>
        <v>11921.394755607551</v>
      </c>
      <c r="G183" s="24">
        <f t="shared" si="126"/>
        <v>12295.044746481315</v>
      </c>
      <c r="H183" s="24">
        <f t="shared" si="126"/>
        <v>12679.224468031971</v>
      </c>
      <c r="I183" s="24">
        <f t="shared" si="126"/>
        <v>13074.60839611174</v>
      </c>
      <c r="J183" s="24">
        <f t="shared" si="126"/>
        <v>13477.202416825945</v>
      </c>
      <c r="K183" s="24">
        <f t="shared" si="126"/>
        <v>13887.306499048394</v>
      </c>
      <c r="L183" s="24">
        <f t="shared" si="126"/>
        <v>14310.237492804878</v>
      </c>
      <c r="M183" s="24">
        <f t="shared" si="126"/>
        <v>14745.82567833439</v>
      </c>
      <c r="N183" s="24">
        <f t="shared" si="126"/>
        <v>15195.326528189409</v>
      </c>
      <c r="O183" s="24">
        <f t="shared" si="126"/>
        <v>15658.412675684727</v>
      </c>
      <c r="P183" s="24">
        <f t="shared" si="126"/>
        <v>16135.409916480312</v>
      </c>
      <c r="Q183" s="24">
        <f t="shared" si="126"/>
        <v>16625.491177962995</v>
      </c>
      <c r="R183" s="24">
        <f t="shared" si="126"/>
        <v>17128.051632046405</v>
      </c>
      <c r="S183" s="24">
        <f t="shared" si="126"/>
        <v>17641.305582838926</v>
      </c>
      <c r="T183" s="24">
        <f t="shared" si="126"/>
        <v>18163.962216261454</v>
      </c>
      <c r="U183" s="24">
        <f t="shared" si="126"/>
        <v>18693.573132935566</v>
      </c>
      <c r="V183" s="24">
        <f t="shared" si="126"/>
        <v>18693.573132935566</v>
      </c>
      <c r="W183" s="24">
        <f t="shared" si="126"/>
        <v>18693.573132935566</v>
      </c>
      <c r="X183" s="24">
        <f t="shared" si="126"/>
        <v>18693.573132935566</v>
      </c>
      <c r="Y183" s="24">
        <f t="shared" si="126"/>
        <v>18693.573132935566</v>
      </c>
      <c r="Z183" s="24">
        <f t="shared" si="126"/>
        <v>18693.573132935566</v>
      </c>
      <c r="AA183" s="24">
        <f t="shared" si="126"/>
        <v>18693.573132935566</v>
      </c>
      <c r="AB183" s="24">
        <f t="shared" si="126"/>
        <v>18693.573132935566</v>
      </c>
      <c r="AC183" s="24">
        <f t="shared" si="126"/>
        <v>18693.573132935566</v>
      </c>
      <c r="AD183" s="24">
        <f t="shared" si="126"/>
        <v>18693.573132935566</v>
      </c>
      <c r="AE183" s="24">
        <f t="shared" si="126"/>
        <v>18693.573132935566</v>
      </c>
      <c r="AF183" s="298"/>
    </row>
    <row r="184" spans="1:32" ht="15.75" customHeight="1">
      <c r="A184" s="23" t="str">
        <f t="shared" si="117"/>
        <v>Pedra Furada - Alimentação</v>
      </c>
      <c r="B184" s="24">
        <f t="shared" ref="B184:AE184" si="127">B$174*B54</f>
        <v>83669.578690901675</v>
      </c>
      <c r="C184" s="24">
        <f t="shared" si="127"/>
        <v>86556.100731950297</v>
      </c>
      <c r="D184" s="24">
        <f t="shared" si="127"/>
        <v>89541.664116037689</v>
      </c>
      <c r="E184" s="24">
        <f t="shared" si="127"/>
        <v>92433.479128181803</v>
      </c>
      <c r="F184" s="24">
        <f t="shared" si="127"/>
        <v>95371.158044860407</v>
      </c>
      <c r="G184" s="24">
        <f t="shared" si="127"/>
        <v>98360.357971850521</v>
      </c>
      <c r="H184" s="24">
        <f t="shared" si="127"/>
        <v>101433.79574425577</v>
      </c>
      <c r="I184" s="24">
        <f t="shared" si="127"/>
        <v>104596.86716889392</v>
      </c>
      <c r="J184" s="24">
        <f t="shared" si="127"/>
        <v>107817.61933460756</v>
      </c>
      <c r="K184" s="24">
        <f t="shared" si="127"/>
        <v>111098.45199238716</v>
      </c>
      <c r="L184" s="24">
        <f t="shared" si="127"/>
        <v>114481.89994243902</v>
      </c>
      <c r="M184" s="24">
        <f t="shared" si="127"/>
        <v>117966.60542667512</v>
      </c>
      <c r="N184" s="24">
        <f t="shared" si="127"/>
        <v>121562.61222551527</v>
      </c>
      <c r="O184" s="24">
        <f t="shared" si="127"/>
        <v>125267.30140547782</v>
      </c>
      <c r="P184" s="24">
        <f t="shared" si="127"/>
        <v>129083.2793318425</v>
      </c>
      <c r="Q184" s="24">
        <f t="shared" si="127"/>
        <v>133003.92942370396</v>
      </c>
      <c r="R184" s="24">
        <f t="shared" si="127"/>
        <v>137024.41305637124</v>
      </c>
      <c r="S184" s="24">
        <f t="shared" si="127"/>
        <v>141130.44466271141</v>
      </c>
      <c r="T184" s="24">
        <f t="shared" si="127"/>
        <v>145311.69773009163</v>
      </c>
      <c r="U184" s="24">
        <f t="shared" si="127"/>
        <v>149548.58506348453</v>
      </c>
      <c r="V184" s="24">
        <f t="shared" si="127"/>
        <v>149548.58506348453</v>
      </c>
      <c r="W184" s="24">
        <f t="shared" si="127"/>
        <v>149548.58506348453</v>
      </c>
      <c r="X184" s="24">
        <f t="shared" si="127"/>
        <v>149548.58506348453</v>
      </c>
      <c r="Y184" s="24">
        <f t="shared" si="127"/>
        <v>149548.58506348453</v>
      </c>
      <c r="Z184" s="24">
        <f t="shared" si="127"/>
        <v>149548.58506348453</v>
      </c>
      <c r="AA184" s="24">
        <f t="shared" si="127"/>
        <v>149548.58506348453</v>
      </c>
      <c r="AB184" s="24">
        <f t="shared" si="127"/>
        <v>149548.58506348453</v>
      </c>
      <c r="AC184" s="24">
        <f t="shared" si="127"/>
        <v>149548.58506348453</v>
      </c>
      <c r="AD184" s="24">
        <f t="shared" si="127"/>
        <v>149548.58506348453</v>
      </c>
      <c r="AE184" s="24">
        <f t="shared" si="127"/>
        <v>149548.58506348453</v>
      </c>
      <c r="AF184" s="298"/>
    </row>
    <row r="185" spans="1:32" ht="15.75" customHeight="1">
      <c r="A185" s="23" t="str">
        <f t="shared" si="117"/>
        <v>Pedra Furada - Comércio</v>
      </c>
      <c r="B185" s="24">
        <f t="shared" ref="B185:AE185" si="128">B$174*B55</f>
        <v>13944.929781816943</v>
      </c>
      <c r="C185" s="24">
        <f t="shared" si="128"/>
        <v>14426.01678865838</v>
      </c>
      <c r="D185" s="24">
        <f t="shared" si="128"/>
        <v>14923.610686006281</v>
      </c>
      <c r="E185" s="24">
        <f t="shared" si="128"/>
        <v>15405.579854696965</v>
      </c>
      <c r="F185" s="24">
        <f t="shared" si="128"/>
        <v>15895.193007476732</v>
      </c>
      <c r="G185" s="24">
        <f t="shared" si="128"/>
        <v>16393.392995308419</v>
      </c>
      <c r="H185" s="24">
        <f t="shared" si="128"/>
        <v>16905.632624042624</v>
      </c>
      <c r="I185" s="24">
        <f t="shared" si="128"/>
        <v>17432.811194815655</v>
      </c>
      <c r="J185" s="24">
        <f t="shared" si="128"/>
        <v>17969.603222434591</v>
      </c>
      <c r="K185" s="24">
        <f t="shared" si="128"/>
        <v>18516.408665397859</v>
      </c>
      <c r="L185" s="24">
        <f t="shared" si="128"/>
        <v>19080.316657073166</v>
      </c>
      <c r="M185" s="24">
        <f t="shared" si="128"/>
        <v>19661.100904445851</v>
      </c>
      <c r="N185" s="24">
        <f t="shared" si="128"/>
        <v>20260.435370919211</v>
      </c>
      <c r="O185" s="24">
        <f t="shared" si="128"/>
        <v>20877.883567579636</v>
      </c>
      <c r="P185" s="24">
        <f t="shared" si="128"/>
        <v>21513.879888640415</v>
      </c>
      <c r="Q185" s="24">
        <f t="shared" si="128"/>
        <v>22167.321570617321</v>
      </c>
      <c r="R185" s="24">
        <f t="shared" si="128"/>
        <v>22837.402176061874</v>
      </c>
      <c r="S185" s="24">
        <f t="shared" si="128"/>
        <v>23521.740777118564</v>
      </c>
      <c r="T185" s="24">
        <f t="shared" si="128"/>
        <v>24218.616288348603</v>
      </c>
      <c r="U185" s="24">
        <f t="shared" si="128"/>
        <v>24924.76417724742</v>
      </c>
      <c r="V185" s="24">
        <f t="shared" si="128"/>
        <v>24924.76417724742</v>
      </c>
      <c r="W185" s="24">
        <f t="shared" si="128"/>
        <v>24924.76417724742</v>
      </c>
      <c r="X185" s="24">
        <f t="shared" si="128"/>
        <v>24924.76417724742</v>
      </c>
      <c r="Y185" s="24">
        <f t="shared" si="128"/>
        <v>24924.76417724742</v>
      </c>
      <c r="Z185" s="24">
        <f t="shared" si="128"/>
        <v>24924.76417724742</v>
      </c>
      <c r="AA185" s="24">
        <f t="shared" si="128"/>
        <v>24924.76417724742</v>
      </c>
      <c r="AB185" s="24">
        <f t="shared" si="128"/>
        <v>24924.76417724742</v>
      </c>
      <c r="AC185" s="24">
        <f t="shared" si="128"/>
        <v>24924.76417724742</v>
      </c>
      <c r="AD185" s="24">
        <f t="shared" si="128"/>
        <v>24924.76417724742</v>
      </c>
      <c r="AE185" s="24">
        <f t="shared" si="128"/>
        <v>24924.76417724742</v>
      </c>
      <c r="AF185" s="298"/>
    </row>
    <row r="186" spans="1:32" ht="15.75" customHeight="1">
      <c r="A186" s="23" t="str">
        <f t="shared" si="117"/>
        <v>Serrote - Alimentação</v>
      </c>
      <c r="B186" s="24">
        <f t="shared" ref="B186:AE186" si="129">B$174*B56</f>
        <v>83669.578690901675</v>
      </c>
      <c r="C186" s="24">
        <f t="shared" si="129"/>
        <v>86556.100731950297</v>
      </c>
      <c r="D186" s="24">
        <f t="shared" si="129"/>
        <v>89541.664116037689</v>
      </c>
      <c r="E186" s="24">
        <f t="shared" si="129"/>
        <v>92433.479128181803</v>
      </c>
      <c r="F186" s="24">
        <f t="shared" si="129"/>
        <v>95371.158044860407</v>
      </c>
      <c r="G186" s="24">
        <f t="shared" si="129"/>
        <v>98360.357971850521</v>
      </c>
      <c r="H186" s="24">
        <f t="shared" si="129"/>
        <v>101433.79574425577</v>
      </c>
      <c r="I186" s="24">
        <f t="shared" si="129"/>
        <v>104596.86716889392</v>
      </c>
      <c r="J186" s="24">
        <f t="shared" si="129"/>
        <v>107817.61933460756</v>
      </c>
      <c r="K186" s="24">
        <f t="shared" si="129"/>
        <v>111098.45199238716</v>
      </c>
      <c r="L186" s="24">
        <f t="shared" si="129"/>
        <v>114481.89994243902</v>
      </c>
      <c r="M186" s="24">
        <f t="shared" si="129"/>
        <v>117966.60542667512</v>
      </c>
      <c r="N186" s="24">
        <f t="shared" si="129"/>
        <v>121562.61222551527</v>
      </c>
      <c r="O186" s="24">
        <f t="shared" si="129"/>
        <v>125267.30140547782</v>
      </c>
      <c r="P186" s="24">
        <f t="shared" si="129"/>
        <v>129083.2793318425</v>
      </c>
      <c r="Q186" s="24">
        <f t="shared" si="129"/>
        <v>133003.92942370396</v>
      </c>
      <c r="R186" s="24">
        <f t="shared" si="129"/>
        <v>137024.41305637124</v>
      </c>
      <c r="S186" s="24">
        <f t="shared" si="129"/>
        <v>141130.44466271141</v>
      </c>
      <c r="T186" s="24">
        <f t="shared" si="129"/>
        <v>145311.69773009163</v>
      </c>
      <c r="U186" s="24">
        <f t="shared" si="129"/>
        <v>149548.58506348453</v>
      </c>
      <c r="V186" s="24">
        <f t="shared" si="129"/>
        <v>149548.58506348453</v>
      </c>
      <c r="W186" s="24">
        <f t="shared" si="129"/>
        <v>149548.58506348453</v>
      </c>
      <c r="X186" s="24">
        <f t="shared" si="129"/>
        <v>149548.58506348453</v>
      </c>
      <c r="Y186" s="24">
        <f t="shared" si="129"/>
        <v>149548.58506348453</v>
      </c>
      <c r="Z186" s="24">
        <f t="shared" si="129"/>
        <v>149548.58506348453</v>
      </c>
      <c r="AA186" s="24">
        <f t="shared" si="129"/>
        <v>149548.58506348453</v>
      </c>
      <c r="AB186" s="24">
        <f t="shared" si="129"/>
        <v>149548.58506348453</v>
      </c>
      <c r="AC186" s="24">
        <f t="shared" si="129"/>
        <v>149548.58506348453</v>
      </c>
      <c r="AD186" s="24">
        <f t="shared" si="129"/>
        <v>149548.58506348453</v>
      </c>
      <c r="AE186" s="24">
        <f t="shared" si="129"/>
        <v>149548.58506348453</v>
      </c>
      <c r="AF186" s="298"/>
    </row>
    <row r="187" spans="1:32" ht="15.75" customHeight="1">
      <c r="A187" s="23" t="str">
        <f t="shared" si="117"/>
        <v>Serrote - Comércio</v>
      </c>
      <c r="B187" s="24">
        <f t="shared" ref="B187:AE187" si="130">B$174*B57</f>
        <v>13944.929781816943</v>
      </c>
      <c r="C187" s="24">
        <f t="shared" si="130"/>
        <v>14426.01678865838</v>
      </c>
      <c r="D187" s="24">
        <f t="shared" si="130"/>
        <v>14923.610686006281</v>
      </c>
      <c r="E187" s="24">
        <f t="shared" si="130"/>
        <v>15405.579854696965</v>
      </c>
      <c r="F187" s="24">
        <f t="shared" si="130"/>
        <v>15895.193007476732</v>
      </c>
      <c r="G187" s="24">
        <f t="shared" si="130"/>
        <v>16393.392995308419</v>
      </c>
      <c r="H187" s="24">
        <f t="shared" si="130"/>
        <v>16905.632624042624</v>
      </c>
      <c r="I187" s="24">
        <f t="shared" si="130"/>
        <v>17432.811194815655</v>
      </c>
      <c r="J187" s="24">
        <f t="shared" si="130"/>
        <v>17969.603222434591</v>
      </c>
      <c r="K187" s="24">
        <f t="shared" si="130"/>
        <v>18516.408665397859</v>
      </c>
      <c r="L187" s="24">
        <f t="shared" si="130"/>
        <v>19080.316657073166</v>
      </c>
      <c r="M187" s="24">
        <f t="shared" si="130"/>
        <v>19661.100904445851</v>
      </c>
      <c r="N187" s="24">
        <f t="shared" si="130"/>
        <v>20260.435370919211</v>
      </c>
      <c r="O187" s="24">
        <f t="shared" si="130"/>
        <v>20877.883567579636</v>
      </c>
      <c r="P187" s="24">
        <f t="shared" si="130"/>
        <v>21513.879888640415</v>
      </c>
      <c r="Q187" s="24">
        <f t="shared" si="130"/>
        <v>22167.321570617321</v>
      </c>
      <c r="R187" s="24">
        <f t="shared" si="130"/>
        <v>22837.402176061874</v>
      </c>
      <c r="S187" s="24">
        <f t="shared" si="130"/>
        <v>23521.740777118564</v>
      </c>
      <c r="T187" s="24">
        <f t="shared" si="130"/>
        <v>24218.616288348603</v>
      </c>
      <c r="U187" s="24">
        <f t="shared" si="130"/>
        <v>24924.76417724742</v>
      </c>
      <c r="V187" s="24">
        <f t="shared" si="130"/>
        <v>24924.76417724742</v>
      </c>
      <c r="W187" s="24">
        <f t="shared" si="130"/>
        <v>24924.76417724742</v>
      </c>
      <c r="X187" s="24">
        <f t="shared" si="130"/>
        <v>24924.76417724742</v>
      </c>
      <c r="Y187" s="24">
        <f t="shared" si="130"/>
        <v>24924.76417724742</v>
      </c>
      <c r="Z187" s="24">
        <f t="shared" si="130"/>
        <v>24924.76417724742</v>
      </c>
      <c r="AA187" s="24">
        <f t="shared" si="130"/>
        <v>24924.76417724742</v>
      </c>
      <c r="AB187" s="24">
        <f t="shared" si="130"/>
        <v>24924.76417724742</v>
      </c>
      <c r="AC187" s="24">
        <f t="shared" si="130"/>
        <v>24924.76417724742</v>
      </c>
      <c r="AD187" s="24">
        <f t="shared" si="130"/>
        <v>24924.76417724742</v>
      </c>
      <c r="AE187" s="24">
        <f t="shared" si="130"/>
        <v>24924.76417724742</v>
      </c>
      <c r="AF187" s="298"/>
    </row>
    <row r="188" spans="1:32" ht="15.75" customHeight="1">
      <c r="A188" s="23" t="str">
        <f t="shared" si="117"/>
        <v>Paraíso - Alimentação</v>
      </c>
      <c r="B188" s="24">
        <f t="shared" ref="B188:AE188" si="131">B$174*B58</f>
        <v>83669.578690901675</v>
      </c>
      <c r="C188" s="24">
        <f t="shared" si="131"/>
        <v>86556.100731950297</v>
      </c>
      <c r="D188" s="24">
        <f t="shared" si="131"/>
        <v>89541.664116037689</v>
      </c>
      <c r="E188" s="24">
        <f t="shared" si="131"/>
        <v>92433.479128181803</v>
      </c>
      <c r="F188" s="24">
        <f t="shared" si="131"/>
        <v>95371.158044860407</v>
      </c>
      <c r="G188" s="24">
        <f t="shared" si="131"/>
        <v>98360.357971850521</v>
      </c>
      <c r="H188" s="24">
        <f t="shared" si="131"/>
        <v>101433.79574425577</v>
      </c>
      <c r="I188" s="24">
        <f t="shared" si="131"/>
        <v>104596.86716889392</v>
      </c>
      <c r="J188" s="24">
        <f t="shared" si="131"/>
        <v>107817.61933460756</v>
      </c>
      <c r="K188" s="24">
        <f t="shared" si="131"/>
        <v>111098.45199238716</v>
      </c>
      <c r="L188" s="24">
        <f t="shared" si="131"/>
        <v>114481.89994243902</v>
      </c>
      <c r="M188" s="24">
        <f t="shared" si="131"/>
        <v>117966.60542667512</v>
      </c>
      <c r="N188" s="24">
        <f t="shared" si="131"/>
        <v>121562.61222551527</v>
      </c>
      <c r="O188" s="24">
        <f t="shared" si="131"/>
        <v>125267.30140547782</v>
      </c>
      <c r="P188" s="24">
        <f t="shared" si="131"/>
        <v>129083.2793318425</v>
      </c>
      <c r="Q188" s="24">
        <f t="shared" si="131"/>
        <v>133003.92942370396</v>
      </c>
      <c r="R188" s="24">
        <f t="shared" si="131"/>
        <v>137024.41305637124</v>
      </c>
      <c r="S188" s="24">
        <f t="shared" si="131"/>
        <v>141130.44466271141</v>
      </c>
      <c r="T188" s="24">
        <f t="shared" si="131"/>
        <v>145311.69773009163</v>
      </c>
      <c r="U188" s="24">
        <f t="shared" si="131"/>
        <v>149548.58506348453</v>
      </c>
      <c r="V188" s="24">
        <f t="shared" si="131"/>
        <v>149548.58506348453</v>
      </c>
      <c r="W188" s="24">
        <f t="shared" si="131"/>
        <v>149548.58506348453</v>
      </c>
      <c r="X188" s="24">
        <f t="shared" si="131"/>
        <v>149548.58506348453</v>
      </c>
      <c r="Y188" s="24">
        <f t="shared" si="131"/>
        <v>149548.58506348453</v>
      </c>
      <c r="Z188" s="24">
        <f t="shared" si="131"/>
        <v>149548.58506348453</v>
      </c>
      <c r="AA188" s="24">
        <f t="shared" si="131"/>
        <v>149548.58506348453</v>
      </c>
      <c r="AB188" s="24">
        <f t="shared" si="131"/>
        <v>149548.58506348453</v>
      </c>
      <c r="AC188" s="24">
        <f t="shared" si="131"/>
        <v>149548.58506348453</v>
      </c>
      <c r="AD188" s="24">
        <f t="shared" si="131"/>
        <v>149548.58506348453</v>
      </c>
      <c r="AE188" s="24">
        <f t="shared" si="131"/>
        <v>149548.58506348453</v>
      </c>
      <c r="AF188" s="298"/>
    </row>
    <row r="189" spans="1:32" ht="15.75" customHeight="1">
      <c r="A189" s="23" t="str">
        <f t="shared" si="117"/>
        <v>Paraíso - Comércio + Locação + Atividades</v>
      </c>
      <c r="B189" s="24">
        <f t="shared" ref="B189:AE189" si="132">B$174*B59</f>
        <v>13944.929781816943</v>
      </c>
      <c r="C189" s="24">
        <f t="shared" si="132"/>
        <v>14426.01678865838</v>
      </c>
      <c r="D189" s="24">
        <f t="shared" si="132"/>
        <v>14923.610686006281</v>
      </c>
      <c r="E189" s="24">
        <f t="shared" si="132"/>
        <v>15405.579854696965</v>
      </c>
      <c r="F189" s="24">
        <f t="shared" si="132"/>
        <v>15895.193007476732</v>
      </c>
      <c r="G189" s="24">
        <f t="shared" si="132"/>
        <v>16393.392995308419</v>
      </c>
      <c r="H189" s="24">
        <f t="shared" si="132"/>
        <v>16905.632624042624</v>
      </c>
      <c r="I189" s="24">
        <f t="shared" si="132"/>
        <v>17432.811194815655</v>
      </c>
      <c r="J189" s="24">
        <f t="shared" si="132"/>
        <v>17969.603222434591</v>
      </c>
      <c r="K189" s="24">
        <f t="shared" si="132"/>
        <v>18516.408665397859</v>
      </c>
      <c r="L189" s="24">
        <f t="shared" si="132"/>
        <v>19080.316657073166</v>
      </c>
      <c r="M189" s="24">
        <f t="shared" si="132"/>
        <v>19661.100904445851</v>
      </c>
      <c r="N189" s="24">
        <f t="shared" si="132"/>
        <v>20260.435370919211</v>
      </c>
      <c r="O189" s="24">
        <f t="shared" si="132"/>
        <v>20877.883567579636</v>
      </c>
      <c r="P189" s="24">
        <f t="shared" si="132"/>
        <v>21513.879888640415</v>
      </c>
      <c r="Q189" s="24">
        <f t="shared" si="132"/>
        <v>22167.321570617321</v>
      </c>
      <c r="R189" s="24">
        <f t="shared" si="132"/>
        <v>22837.402176061874</v>
      </c>
      <c r="S189" s="24">
        <f t="shared" si="132"/>
        <v>23521.740777118564</v>
      </c>
      <c r="T189" s="24">
        <f t="shared" si="132"/>
        <v>24218.616288348603</v>
      </c>
      <c r="U189" s="24">
        <f t="shared" si="132"/>
        <v>24924.76417724742</v>
      </c>
      <c r="V189" s="24">
        <f t="shared" si="132"/>
        <v>24924.76417724742</v>
      </c>
      <c r="W189" s="24">
        <f t="shared" si="132"/>
        <v>24924.76417724742</v>
      </c>
      <c r="X189" s="24">
        <f t="shared" si="132"/>
        <v>24924.76417724742</v>
      </c>
      <c r="Y189" s="24">
        <f t="shared" si="132"/>
        <v>24924.76417724742</v>
      </c>
      <c r="Z189" s="24">
        <f t="shared" si="132"/>
        <v>24924.76417724742</v>
      </c>
      <c r="AA189" s="24">
        <f t="shared" si="132"/>
        <v>24924.76417724742</v>
      </c>
      <c r="AB189" s="24">
        <f t="shared" si="132"/>
        <v>24924.76417724742</v>
      </c>
      <c r="AC189" s="24">
        <f t="shared" si="132"/>
        <v>24924.76417724742</v>
      </c>
      <c r="AD189" s="24">
        <f t="shared" si="132"/>
        <v>24924.76417724742</v>
      </c>
      <c r="AE189" s="24">
        <f t="shared" si="132"/>
        <v>24924.76417724742</v>
      </c>
      <c r="AF189" s="298"/>
    </row>
    <row r="190" spans="1:32" ht="15.75" customHeight="1">
      <c r="A190" s="23" t="str">
        <f t="shared" si="117"/>
        <v>Geral - Unidade móvel - Alimentação</v>
      </c>
      <c r="B190" s="24">
        <f t="shared" ref="B190:AE190" si="133">B$174*B60</f>
        <v>20917.394672725419</v>
      </c>
      <c r="C190" s="24">
        <f t="shared" si="133"/>
        <v>21639.025182987574</v>
      </c>
      <c r="D190" s="24">
        <f t="shared" si="133"/>
        <v>22385.416029009422</v>
      </c>
      <c r="E190" s="24">
        <f t="shared" si="133"/>
        <v>23108.369782045451</v>
      </c>
      <c r="F190" s="24">
        <f t="shared" si="133"/>
        <v>23842.789511215102</v>
      </c>
      <c r="G190" s="24">
        <f t="shared" si="133"/>
        <v>24590.08949296263</v>
      </c>
      <c r="H190" s="24">
        <f t="shared" si="133"/>
        <v>25358.448936063942</v>
      </c>
      <c r="I190" s="24">
        <f t="shared" si="133"/>
        <v>26149.21679222348</v>
      </c>
      <c r="J190" s="24">
        <f t="shared" si="133"/>
        <v>26954.40483365189</v>
      </c>
      <c r="K190" s="24">
        <f t="shared" si="133"/>
        <v>27774.612998096789</v>
      </c>
      <c r="L190" s="24">
        <f t="shared" si="133"/>
        <v>28620.474985609755</v>
      </c>
      <c r="M190" s="24">
        <f t="shared" si="133"/>
        <v>29491.651356668779</v>
      </c>
      <c r="N190" s="24">
        <f t="shared" si="133"/>
        <v>30390.653056378818</v>
      </c>
      <c r="O190" s="24">
        <f t="shared" si="133"/>
        <v>31316.825351369454</v>
      </c>
      <c r="P190" s="24">
        <f t="shared" si="133"/>
        <v>32270.819832960624</v>
      </c>
      <c r="Q190" s="24">
        <f t="shared" si="133"/>
        <v>33250.982355925989</v>
      </c>
      <c r="R190" s="24">
        <f t="shared" si="133"/>
        <v>34256.10326409281</v>
      </c>
      <c r="S190" s="24">
        <f t="shared" si="133"/>
        <v>35282.611165677852</v>
      </c>
      <c r="T190" s="24">
        <f t="shared" si="133"/>
        <v>36327.924432522908</v>
      </c>
      <c r="U190" s="24">
        <f t="shared" si="133"/>
        <v>37387.146265871132</v>
      </c>
      <c r="V190" s="24">
        <f t="shared" si="133"/>
        <v>37387.146265871132</v>
      </c>
      <c r="W190" s="24">
        <f t="shared" si="133"/>
        <v>37387.146265871132</v>
      </c>
      <c r="X190" s="24">
        <f t="shared" si="133"/>
        <v>37387.146265871132</v>
      </c>
      <c r="Y190" s="24">
        <f t="shared" si="133"/>
        <v>37387.146265871132</v>
      </c>
      <c r="Z190" s="24">
        <f t="shared" si="133"/>
        <v>37387.146265871132</v>
      </c>
      <c r="AA190" s="24">
        <f t="shared" si="133"/>
        <v>37387.146265871132</v>
      </c>
      <c r="AB190" s="24">
        <f t="shared" si="133"/>
        <v>37387.146265871132</v>
      </c>
      <c r="AC190" s="24">
        <f t="shared" si="133"/>
        <v>37387.146265871132</v>
      </c>
      <c r="AD190" s="24">
        <f t="shared" si="133"/>
        <v>37387.146265871132</v>
      </c>
      <c r="AE190" s="24">
        <f t="shared" si="133"/>
        <v>37387.146265871132</v>
      </c>
      <c r="AF190" s="298"/>
    </row>
    <row r="191" spans="1:32" ht="15.75" customHeight="1">
      <c r="A191" s="23" t="str">
        <f t="shared" si="117"/>
        <v>Mangue Seco - Estacionamento</v>
      </c>
      <c r="B191" s="24">
        <f t="shared" ref="B191:AE191" si="134">B$174*B61</f>
        <v>2614.6743340906773</v>
      </c>
      <c r="C191" s="24">
        <f t="shared" si="134"/>
        <v>2704.8781478734468</v>
      </c>
      <c r="D191" s="24">
        <f t="shared" si="134"/>
        <v>2798.1770036261778</v>
      </c>
      <c r="E191" s="24">
        <f t="shared" si="134"/>
        <v>2888.5462227556814</v>
      </c>
      <c r="F191" s="24">
        <f t="shared" si="134"/>
        <v>2980.3486889018877</v>
      </c>
      <c r="G191" s="24">
        <f t="shared" si="134"/>
        <v>3073.7611866203288</v>
      </c>
      <c r="H191" s="24">
        <f t="shared" si="134"/>
        <v>3169.8061170079927</v>
      </c>
      <c r="I191" s="24">
        <f t="shared" si="134"/>
        <v>3268.652099027935</v>
      </c>
      <c r="J191" s="24">
        <f t="shared" si="134"/>
        <v>3369.3006042064862</v>
      </c>
      <c r="K191" s="24">
        <f t="shared" si="134"/>
        <v>3471.8266247620986</v>
      </c>
      <c r="L191" s="24">
        <f t="shared" si="134"/>
        <v>3577.5593732012194</v>
      </c>
      <c r="M191" s="24">
        <f t="shared" si="134"/>
        <v>3686.4564195835974</v>
      </c>
      <c r="N191" s="24">
        <f t="shared" si="134"/>
        <v>3798.8316320473523</v>
      </c>
      <c r="O191" s="24">
        <f t="shared" si="134"/>
        <v>3914.6031689211818</v>
      </c>
      <c r="P191" s="24">
        <f t="shared" si="134"/>
        <v>4033.852479120078</v>
      </c>
      <c r="Q191" s="24">
        <f t="shared" si="134"/>
        <v>4156.3727944907487</v>
      </c>
      <c r="R191" s="24">
        <f t="shared" si="134"/>
        <v>4282.0129080116012</v>
      </c>
      <c r="S191" s="24">
        <f t="shared" si="134"/>
        <v>4410.3263957097315</v>
      </c>
      <c r="T191" s="24">
        <f t="shared" si="134"/>
        <v>4540.9905540653635</v>
      </c>
      <c r="U191" s="24">
        <f t="shared" si="134"/>
        <v>4673.3932832338915</v>
      </c>
      <c r="V191" s="24">
        <f t="shared" si="134"/>
        <v>4673.3932832338915</v>
      </c>
      <c r="W191" s="24">
        <f t="shared" si="134"/>
        <v>4673.3932832338915</v>
      </c>
      <c r="X191" s="24">
        <f t="shared" si="134"/>
        <v>4673.3932832338915</v>
      </c>
      <c r="Y191" s="24">
        <f t="shared" si="134"/>
        <v>4673.3932832338915</v>
      </c>
      <c r="Z191" s="24">
        <f t="shared" si="134"/>
        <v>4673.3932832338915</v>
      </c>
      <c r="AA191" s="24">
        <f t="shared" si="134"/>
        <v>4673.3932832338915</v>
      </c>
      <c r="AB191" s="24">
        <f t="shared" si="134"/>
        <v>4673.3932832338915</v>
      </c>
      <c r="AC191" s="24">
        <f t="shared" si="134"/>
        <v>4673.3932832338915</v>
      </c>
      <c r="AD191" s="24">
        <f t="shared" si="134"/>
        <v>4673.3932832338915</v>
      </c>
      <c r="AE191" s="24">
        <f t="shared" si="134"/>
        <v>4673.3932832338915</v>
      </c>
      <c r="AF191" s="298"/>
    </row>
    <row r="192" spans="1:32" ht="15.75" customHeight="1">
      <c r="A192" s="23" t="str">
        <f t="shared" si="117"/>
        <v>Lagoa Grande - Estacionamento</v>
      </c>
      <c r="B192" s="24">
        <f t="shared" ref="B192:AE192" si="135">B$174*B62</f>
        <v>2614.6743340906773</v>
      </c>
      <c r="C192" s="24">
        <f t="shared" si="135"/>
        <v>2704.8781478734468</v>
      </c>
      <c r="D192" s="24">
        <f t="shared" si="135"/>
        <v>2798.1770036261778</v>
      </c>
      <c r="E192" s="24">
        <f t="shared" si="135"/>
        <v>2888.5462227556814</v>
      </c>
      <c r="F192" s="24">
        <f t="shared" si="135"/>
        <v>2980.3486889018877</v>
      </c>
      <c r="G192" s="24">
        <f t="shared" si="135"/>
        <v>3073.7611866203288</v>
      </c>
      <c r="H192" s="24">
        <f t="shared" si="135"/>
        <v>3169.8061170079927</v>
      </c>
      <c r="I192" s="24">
        <f t="shared" si="135"/>
        <v>3268.652099027935</v>
      </c>
      <c r="J192" s="24">
        <f t="shared" si="135"/>
        <v>3369.3006042064862</v>
      </c>
      <c r="K192" s="24">
        <f t="shared" si="135"/>
        <v>3471.8266247620986</v>
      </c>
      <c r="L192" s="24">
        <f t="shared" si="135"/>
        <v>3577.5593732012194</v>
      </c>
      <c r="M192" s="24">
        <f t="shared" si="135"/>
        <v>3686.4564195835974</v>
      </c>
      <c r="N192" s="24">
        <f t="shared" si="135"/>
        <v>3798.8316320473523</v>
      </c>
      <c r="O192" s="24">
        <f t="shared" si="135"/>
        <v>3914.6031689211818</v>
      </c>
      <c r="P192" s="24">
        <f t="shared" si="135"/>
        <v>4033.852479120078</v>
      </c>
      <c r="Q192" s="24">
        <f t="shared" si="135"/>
        <v>4156.3727944907487</v>
      </c>
      <c r="R192" s="24">
        <f t="shared" si="135"/>
        <v>4282.0129080116012</v>
      </c>
      <c r="S192" s="24">
        <f t="shared" si="135"/>
        <v>4410.3263957097315</v>
      </c>
      <c r="T192" s="24">
        <f t="shared" si="135"/>
        <v>4540.9905540653635</v>
      </c>
      <c r="U192" s="24">
        <f t="shared" si="135"/>
        <v>4673.3932832338915</v>
      </c>
      <c r="V192" s="24">
        <f t="shared" si="135"/>
        <v>4673.3932832338915</v>
      </c>
      <c r="W192" s="24">
        <f t="shared" si="135"/>
        <v>4673.3932832338915</v>
      </c>
      <c r="X192" s="24">
        <f t="shared" si="135"/>
        <v>4673.3932832338915</v>
      </c>
      <c r="Y192" s="24">
        <f t="shared" si="135"/>
        <v>4673.3932832338915</v>
      </c>
      <c r="Z192" s="24">
        <f t="shared" si="135"/>
        <v>4673.3932832338915</v>
      </c>
      <c r="AA192" s="24">
        <f t="shared" si="135"/>
        <v>4673.3932832338915</v>
      </c>
      <c r="AB192" s="24">
        <f t="shared" si="135"/>
        <v>4673.3932832338915</v>
      </c>
      <c r="AC192" s="24">
        <f t="shared" si="135"/>
        <v>4673.3932832338915</v>
      </c>
      <c r="AD192" s="24">
        <f t="shared" si="135"/>
        <v>4673.3932832338915</v>
      </c>
      <c r="AE192" s="24">
        <f t="shared" si="135"/>
        <v>4673.3932832338915</v>
      </c>
      <c r="AF192" s="298"/>
    </row>
    <row r="193" spans="1:32" ht="15.75" customHeight="1">
      <c r="A193" s="23">
        <f t="shared" si="117"/>
        <v>0</v>
      </c>
      <c r="B193" s="24">
        <f t="shared" ref="B193:AE193" si="136">B$174*B63</f>
        <v>0</v>
      </c>
      <c r="C193" s="24">
        <f t="shared" si="136"/>
        <v>0</v>
      </c>
      <c r="D193" s="24">
        <f t="shared" si="136"/>
        <v>0</v>
      </c>
      <c r="E193" s="24">
        <f t="shared" si="136"/>
        <v>0</v>
      </c>
      <c r="F193" s="24">
        <f t="shared" si="136"/>
        <v>0</v>
      </c>
      <c r="G193" s="24">
        <f t="shared" si="136"/>
        <v>0</v>
      </c>
      <c r="H193" s="24">
        <f t="shared" si="136"/>
        <v>0</v>
      </c>
      <c r="I193" s="24">
        <f t="shared" si="136"/>
        <v>0</v>
      </c>
      <c r="J193" s="24">
        <f t="shared" si="136"/>
        <v>0</v>
      </c>
      <c r="K193" s="24">
        <f t="shared" si="136"/>
        <v>0</v>
      </c>
      <c r="L193" s="24">
        <f t="shared" si="136"/>
        <v>0</v>
      </c>
      <c r="M193" s="24">
        <f t="shared" si="136"/>
        <v>0</v>
      </c>
      <c r="N193" s="24">
        <f t="shared" si="136"/>
        <v>0</v>
      </c>
      <c r="O193" s="24">
        <f t="shared" si="136"/>
        <v>0</v>
      </c>
      <c r="P193" s="24">
        <f t="shared" si="136"/>
        <v>0</v>
      </c>
      <c r="Q193" s="24">
        <f t="shared" si="136"/>
        <v>0</v>
      </c>
      <c r="R193" s="24">
        <f t="shared" si="136"/>
        <v>0</v>
      </c>
      <c r="S193" s="24">
        <f t="shared" si="136"/>
        <v>0</v>
      </c>
      <c r="T193" s="24">
        <f t="shared" si="136"/>
        <v>0</v>
      </c>
      <c r="U193" s="24">
        <f t="shared" si="136"/>
        <v>0</v>
      </c>
      <c r="V193" s="24">
        <f t="shared" si="136"/>
        <v>0</v>
      </c>
      <c r="W193" s="24">
        <f t="shared" si="136"/>
        <v>0</v>
      </c>
      <c r="X193" s="24">
        <f t="shared" si="136"/>
        <v>0</v>
      </c>
      <c r="Y193" s="24">
        <f t="shared" si="136"/>
        <v>0</v>
      </c>
      <c r="Z193" s="24">
        <f t="shared" si="136"/>
        <v>0</v>
      </c>
      <c r="AA193" s="24">
        <f t="shared" si="136"/>
        <v>0</v>
      </c>
      <c r="AB193" s="24">
        <f t="shared" si="136"/>
        <v>0</v>
      </c>
      <c r="AC193" s="24">
        <f t="shared" si="136"/>
        <v>0</v>
      </c>
      <c r="AD193" s="24">
        <f t="shared" si="136"/>
        <v>0</v>
      </c>
      <c r="AE193" s="24">
        <f t="shared" si="136"/>
        <v>0</v>
      </c>
      <c r="AF193" s="298"/>
    </row>
    <row r="194" spans="1:32" ht="15.75" customHeight="1">
      <c r="A194" s="23">
        <f t="shared" si="117"/>
        <v>0</v>
      </c>
      <c r="B194" s="24">
        <f t="shared" ref="B194:AE194" si="137">B$174*B64</f>
        <v>0</v>
      </c>
      <c r="C194" s="24">
        <f t="shared" si="137"/>
        <v>0</v>
      </c>
      <c r="D194" s="24">
        <f t="shared" si="137"/>
        <v>0</v>
      </c>
      <c r="E194" s="24">
        <f t="shared" si="137"/>
        <v>0</v>
      </c>
      <c r="F194" s="24">
        <f t="shared" si="137"/>
        <v>0</v>
      </c>
      <c r="G194" s="24">
        <f t="shared" si="137"/>
        <v>0</v>
      </c>
      <c r="H194" s="24">
        <f t="shared" si="137"/>
        <v>0</v>
      </c>
      <c r="I194" s="24">
        <f t="shared" si="137"/>
        <v>0</v>
      </c>
      <c r="J194" s="24">
        <f t="shared" si="137"/>
        <v>0</v>
      </c>
      <c r="K194" s="24">
        <f t="shared" si="137"/>
        <v>0</v>
      </c>
      <c r="L194" s="24">
        <f t="shared" si="137"/>
        <v>0</v>
      </c>
      <c r="M194" s="24">
        <f t="shared" si="137"/>
        <v>0</v>
      </c>
      <c r="N194" s="24">
        <f t="shared" si="137"/>
        <v>0</v>
      </c>
      <c r="O194" s="24">
        <f t="shared" si="137"/>
        <v>0</v>
      </c>
      <c r="P194" s="24">
        <f t="shared" si="137"/>
        <v>0</v>
      </c>
      <c r="Q194" s="24">
        <f t="shared" si="137"/>
        <v>0</v>
      </c>
      <c r="R194" s="24">
        <f t="shared" si="137"/>
        <v>0</v>
      </c>
      <c r="S194" s="24">
        <f t="shared" si="137"/>
        <v>0</v>
      </c>
      <c r="T194" s="24">
        <f t="shared" si="137"/>
        <v>0</v>
      </c>
      <c r="U194" s="24">
        <f t="shared" si="137"/>
        <v>0</v>
      </c>
      <c r="V194" s="24">
        <f t="shared" si="137"/>
        <v>0</v>
      </c>
      <c r="W194" s="24">
        <f t="shared" si="137"/>
        <v>0</v>
      </c>
      <c r="X194" s="24">
        <f t="shared" si="137"/>
        <v>0</v>
      </c>
      <c r="Y194" s="24">
        <f t="shared" si="137"/>
        <v>0</v>
      </c>
      <c r="Z194" s="24">
        <f t="shared" si="137"/>
        <v>0</v>
      </c>
      <c r="AA194" s="24">
        <f t="shared" si="137"/>
        <v>0</v>
      </c>
      <c r="AB194" s="24">
        <f t="shared" si="137"/>
        <v>0</v>
      </c>
      <c r="AC194" s="24">
        <f t="shared" si="137"/>
        <v>0</v>
      </c>
      <c r="AD194" s="24">
        <f t="shared" si="137"/>
        <v>0</v>
      </c>
      <c r="AE194" s="24">
        <f t="shared" si="137"/>
        <v>0</v>
      </c>
      <c r="AF194" s="298"/>
    </row>
    <row r="195" spans="1:32" ht="15.75" customHeight="1">
      <c r="A195" s="298"/>
      <c r="B195" s="298"/>
      <c r="C195" s="298"/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8"/>
      <c r="R195" s="298"/>
      <c r="S195" s="298"/>
      <c r="T195" s="298"/>
      <c r="U195" s="298"/>
      <c r="V195" s="298"/>
      <c r="W195" s="298"/>
      <c r="X195" s="298"/>
      <c r="Y195" s="298"/>
      <c r="Z195" s="298"/>
      <c r="AA195" s="298"/>
      <c r="AB195" s="298"/>
      <c r="AC195" s="298"/>
      <c r="AD195" s="298"/>
      <c r="AE195" s="298"/>
      <c r="AF195" s="298"/>
    </row>
    <row r="196" spans="1:32" ht="15.75" customHeight="1">
      <c r="A196" s="484" t="s">
        <v>114</v>
      </c>
      <c r="B196" s="298"/>
      <c r="C196" s="298"/>
      <c r="D196" s="298"/>
      <c r="E196" s="298"/>
      <c r="F196" s="298"/>
      <c r="G196" s="298"/>
      <c r="H196" s="298"/>
      <c r="I196" s="298"/>
      <c r="J196" s="298"/>
      <c r="K196" s="298"/>
      <c r="L196" s="486"/>
      <c r="M196" s="298"/>
      <c r="N196" s="298"/>
      <c r="O196" s="298"/>
      <c r="P196" s="298"/>
      <c r="Q196" s="298"/>
      <c r="R196" s="298"/>
      <c r="S196" s="298"/>
      <c r="T196" s="298"/>
      <c r="U196" s="298"/>
      <c r="V196" s="298"/>
      <c r="W196" s="298"/>
      <c r="X196" s="298"/>
      <c r="Y196" s="298"/>
      <c r="Z196" s="298"/>
      <c r="AA196" s="298"/>
      <c r="AB196" s="298"/>
      <c r="AC196" s="298"/>
      <c r="AD196" s="298"/>
      <c r="AE196" s="298"/>
      <c r="AF196" s="298"/>
    </row>
    <row r="197" spans="1:32" ht="15.75" customHeight="1">
      <c r="A197" s="298"/>
      <c r="B197" s="298"/>
      <c r="C197" s="298"/>
      <c r="D197" s="298"/>
      <c r="E197" s="298"/>
      <c r="F197" s="298"/>
      <c r="G197" s="298"/>
      <c r="H197" s="298"/>
      <c r="I197" s="298"/>
      <c r="J197" s="298"/>
      <c r="K197" s="298"/>
      <c r="L197" s="298"/>
      <c r="M197" s="298"/>
      <c r="N197" s="298"/>
      <c r="O197" s="298"/>
      <c r="P197" s="298"/>
      <c r="Q197" s="298"/>
      <c r="R197" s="298"/>
      <c r="S197" s="298"/>
      <c r="T197" s="298"/>
      <c r="U197" s="298"/>
      <c r="V197" s="298"/>
      <c r="W197" s="298"/>
      <c r="X197" s="298"/>
      <c r="Y197" s="298"/>
      <c r="Z197" s="298"/>
      <c r="AA197" s="298"/>
      <c r="AB197" s="298"/>
      <c r="AC197" s="298"/>
      <c r="AD197" s="298"/>
      <c r="AE197" s="298"/>
      <c r="AF197" s="298"/>
    </row>
    <row r="198" spans="1:32" ht="15.75" customHeight="1">
      <c r="A198" s="758" t="str">
        <f>A68</f>
        <v>Unidades Geradoras de Caixa (UGC)</v>
      </c>
      <c r="B198" s="759" t="s">
        <v>104</v>
      </c>
      <c r="C198" s="813"/>
      <c r="D198" s="813"/>
      <c r="E198" s="813"/>
      <c r="F198" s="813"/>
      <c r="G198" s="813"/>
      <c r="H198" s="813"/>
      <c r="I198" s="813"/>
      <c r="J198" s="813"/>
      <c r="K198" s="813"/>
      <c r="L198" s="813"/>
      <c r="M198" s="813"/>
      <c r="N198" s="813"/>
      <c r="O198" s="813"/>
      <c r="P198" s="813"/>
      <c r="Q198" s="813"/>
      <c r="R198" s="813"/>
      <c r="S198" s="813"/>
      <c r="T198" s="813"/>
      <c r="U198" s="813"/>
      <c r="V198" s="813"/>
      <c r="W198" s="813"/>
      <c r="X198" s="813"/>
      <c r="Y198" s="813"/>
      <c r="Z198" s="813"/>
      <c r="AA198" s="813"/>
      <c r="AB198" s="813"/>
      <c r="AC198" s="813"/>
      <c r="AD198" s="813"/>
      <c r="AE198" s="813"/>
      <c r="AF198" s="298"/>
    </row>
    <row r="199" spans="1:32" ht="13.5" customHeight="1">
      <c r="A199" s="813"/>
      <c r="B199" s="488">
        <v>1</v>
      </c>
      <c r="C199" s="488">
        <v>2</v>
      </c>
      <c r="D199" s="488">
        <v>3</v>
      </c>
      <c r="E199" s="488">
        <v>4</v>
      </c>
      <c r="F199" s="488">
        <v>5</v>
      </c>
      <c r="G199" s="488">
        <v>6</v>
      </c>
      <c r="H199" s="488">
        <v>7</v>
      </c>
      <c r="I199" s="488">
        <v>8</v>
      </c>
      <c r="J199" s="488">
        <v>9</v>
      </c>
      <c r="K199" s="488">
        <v>10</v>
      </c>
      <c r="L199" s="488">
        <v>11</v>
      </c>
      <c r="M199" s="488">
        <v>12</v>
      </c>
      <c r="N199" s="488">
        <v>13</v>
      </c>
      <c r="O199" s="488">
        <v>14</v>
      </c>
      <c r="P199" s="488">
        <v>15</v>
      </c>
      <c r="Q199" s="488">
        <v>16</v>
      </c>
      <c r="R199" s="488">
        <v>17</v>
      </c>
      <c r="S199" s="488">
        <v>18</v>
      </c>
      <c r="T199" s="488">
        <v>19</v>
      </c>
      <c r="U199" s="488">
        <v>20</v>
      </c>
      <c r="V199" s="488">
        <v>21</v>
      </c>
      <c r="W199" s="488">
        <v>22</v>
      </c>
      <c r="X199" s="488">
        <v>23</v>
      </c>
      <c r="Y199" s="488">
        <v>24</v>
      </c>
      <c r="Z199" s="488">
        <v>25</v>
      </c>
      <c r="AA199" s="488">
        <v>26</v>
      </c>
      <c r="AB199" s="488">
        <v>27</v>
      </c>
      <c r="AC199" s="488">
        <v>28</v>
      </c>
      <c r="AD199" s="488">
        <v>29</v>
      </c>
      <c r="AE199" s="488">
        <v>30</v>
      </c>
      <c r="AF199" s="298"/>
    </row>
    <row r="200" spans="1:32" ht="15.75" customHeight="1">
      <c r="A200" s="23" t="str">
        <f t="shared" ref="A200:A220" si="138">A174</f>
        <v>Demanda de visitação TOTAL</v>
      </c>
      <c r="B200" s="28">
        <f t="shared" ref="B200:AE200" si="139">IF(ISBLANK(CAP_00),0,(SUMIF($B252:$M258,"&gt;"&amp;B225)*(365/12/7))-(COUNTIF($B252:$M258,"&gt;"&amp;B225)*(365/12/7))*B225)</f>
        <v>0</v>
      </c>
      <c r="C200" s="28">
        <f t="shared" si="139"/>
        <v>0</v>
      </c>
      <c r="D200" s="28">
        <f t="shared" si="139"/>
        <v>0</v>
      </c>
      <c r="E200" s="28">
        <f t="shared" si="139"/>
        <v>0</v>
      </c>
      <c r="F200" s="28">
        <f t="shared" si="139"/>
        <v>0</v>
      </c>
      <c r="G200" s="28">
        <f t="shared" si="139"/>
        <v>0</v>
      </c>
      <c r="H200" s="28">
        <f t="shared" si="139"/>
        <v>0</v>
      </c>
      <c r="I200" s="28">
        <f t="shared" si="139"/>
        <v>0</v>
      </c>
      <c r="J200" s="28">
        <f t="shared" si="139"/>
        <v>0</v>
      </c>
      <c r="K200" s="28">
        <f t="shared" si="139"/>
        <v>0</v>
      </c>
      <c r="L200" s="28">
        <f t="shared" si="139"/>
        <v>0</v>
      </c>
      <c r="M200" s="28">
        <f t="shared" si="139"/>
        <v>0</v>
      </c>
      <c r="N200" s="28">
        <f t="shared" si="139"/>
        <v>0</v>
      </c>
      <c r="O200" s="28">
        <f t="shared" si="139"/>
        <v>0</v>
      </c>
      <c r="P200" s="28">
        <f t="shared" si="139"/>
        <v>0</v>
      </c>
      <c r="Q200" s="28">
        <f t="shared" si="139"/>
        <v>0</v>
      </c>
      <c r="R200" s="28">
        <f t="shared" si="139"/>
        <v>0</v>
      </c>
      <c r="S200" s="28">
        <f t="shared" si="139"/>
        <v>0</v>
      </c>
      <c r="T200" s="28">
        <f t="shared" si="139"/>
        <v>0</v>
      </c>
      <c r="U200" s="28">
        <f t="shared" si="139"/>
        <v>0</v>
      </c>
      <c r="V200" s="28">
        <f t="shared" si="139"/>
        <v>0</v>
      </c>
      <c r="W200" s="28">
        <f t="shared" si="139"/>
        <v>0</v>
      </c>
      <c r="X200" s="28">
        <f t="shared" si="139"/>
        <v>0</v>
      </c>
      <c r="Y200" s="28">
        <f t="shared" si="139"/>
        <v>0</v>
      </c>
      <c r="Z200" s="28">
        <f t="shared" si="139"/>
        <v>0</v>
      </c>
      <c r="AA200" s="28">
        <f t="shared" si="139"/>
        <v>0</v>
      </c>
      <c r="AB200" s="28">
        <f t="shared" si="139"/>
        <v>0</v>
      </c>
      <c r="AC200" s="28">
        <f t="shared" si="139"/>
        <v>0</v>
      </c>
      <c r="AD200" s="28">
        <f t="shared" si="139"/>
        <v>0</v>
      </c>
      <c r="AE200" s="28">
        <f t="shared" si="139"/>
        <v>0</v>
      </c>
      <c r="AF200" s="425"/>
    </row>
    <row r="201" spans="1:32" ht="15.75" customHeight="1">
      <c r="A201" s="23" t="str">
        <f t="shared" si="138"/>
        <v>Ingresso</v>
      </c>
      <c r="B201" s="28">
        <f t="shared" ref="B201:AE201" si="140">IF(ISBLANK(CAP_01),0,(SUMIF($B260:$M266,"&gt;"&amp;B226)*(365/12/7))-(COUNTIF($B260:$M266,"&gt;"&amp;B226)*(365/12/7))*B226)</f>
        <v>0</v>
      </c>
      <c r="C201" s="28">
        <f t="shared" si="140"/>
        <v>0</v>
      </c>
      <c r="D201" s="28">
        <f t="shared" si="140"/>
        <v>0</v>
      </c>
      <c r="E201" s="28">
        <f t="shared" si="140"/>
        <v>0</v>
      </c>
      <c r="F201" s="28">
        <f t="shared" si="140"/>
        <v>0</v>
      </c>
      <c r="G201" s="28">
        <f t="shared" si="140"/>
        <v>0</v>
      </c>
      <c r="H201" s="28">
        <f t="shared" si="140"/>
        <v>0</v>
      </c>
      <c r="I201" s="28">
        <f t="shared" si="140"/>
        <v>0</v>
      </c>
      <c r="J201" s="28">
        <f t="shared" si="140"/>
        <v>0</v>
      </c>
      <c r="K201" s="28">
        <f t="shared" si="140"/>
        <v>0</v>
      </c>
      <c r="L201" s="28">
        <f t="shared" si="140"/>
        <v>0</v>
      </c>
      <c r="M201" s="28">
        <f t="shared" si="140"/>
        <v>0</v>
      </c>
      <c r="N201" s="28">
        <f t="shared" si="140"/>
        <v>0</v>
      </c>
      <c r="O201" s="28">
        <f t="shared" si="140"/>
        <v>0</v>
      </c>
      <c r="P201" s="28">
        <f t="shared" si="140"/>
        <v>0</v>
      </c>
      <c r="Q201" s="28">
        <f t="shared" si="140"/>
        <v>0</v>
      </c>
      <c r="R201" s="28">
        <f t="shared" si="140"/>
        <v>0</v>
      </c>
      <c r="S201" s="28">
        <f t="shared" si="140"/>
        <v>0</v>
      </c>
      <c r="T201" s="28">
        <f t="shared" si="140"/>
        <v>0</v>
      </c>
      <c r="U201" s="28">
        <f t="shared" si="140"/>
        <v>0</v>
      </c>
      <c r="V201" s="28">
        <f t="shared" si="140"/>
        <v>0</v>
      </c>
      <c r="W201" s="28">
        <f t="shared" si="140"/>
        <v>0</v>
      </c>
      <c r="X201" s="28">
        <f t="shared" si="140"/>
        <v>0</v>
      </c>
      <c r="Y201" s="28">
        <f t="shared" si="140"/>
        <v>0</v>
      </c>
      <c r="Z201" s="28">
        <f t="shared" si="140"/>
        <v>0</v>
      </c>
      <c r="AA201" s="28">
        <f t="shared" si="140"/>
        <v>0</v>
      </c>
      <c r="AB201" s="28">
        <f t="shared" si="140"/>
        <v>0</v>
      </c>
      <c r="AC201" s="28">
        <f t="shared" si="140"/>
        <v>0</v>
      </c>
      <c r="AD201" s="28">
        <f t="shared" si="140"/>
        <v>0</v>
      </c>
      <c r="AE201" s="28">
        <f t="shared" si="140"/>
        <v>0</v>
      </c>
      <c r="AF201" s="298"/>
    </row>
    <row r="202" spans="1:32" ht="15.75" customHeight="1">
      <c r="A202" s="23" t="str">
        <f t="shared" si="138"/>
        <v>Preá - Alimentação</v>
      </c>
      <c r="B202" s="28">
        <f t="shared" ref="B202:AE202" si="141">IF(ISBLANK(CAP_02),0,(SUMIF($B268:$M274,"&gt;"&amp;B227)*(365/12/7))-(COUNTIF($B268:$M274,"&gt;"&amp;B227)*(365/12/7))*B227)</f>
        <v>0</v>
      </c>
      <c r="C202" s="28">
        <f t="shared" si="141"/>
        <v>0</v>
      </c>
      <c r="D202" s="28">
        <f t="shared" si="141"/>
        <v>0</v>
      </c>
      <c r="E202" s="28">
        <f t="shared" si="141"/>
        <v>0</v>
      </c>
      <c r="F202" s="28">
        <f t="shared" si="141"/>
        <v>0</v>
      </c>
      <c r="G202" s="28">
        <f t="shared" si="141"/>
        <v>0</v>
      </c>
      <c r="H202" s="28">
        <f t="shared" si="141"/>
        <v>0</v>
      </c>
      <c r="I202" s="28">
        <f t="shared" si="141"/>
        <v>0</v>
      </c>
      <c r="J202" s="28">
        <f t="shared" si="141"/>
        <v>0</v>
      </c>
      <c r="K202" s="28">
        <f t="shared" si="141"/>
        <v>0</v>
      </c>
      <c r="L202" s="28">
        <f t="shared" si="141"/>
        <v>0</v>
      </c>
      <c r="M202" s="28">
        <f t="shared" si="141"/>
        <v>0</v>
      </c>
      <c r="N202" s="28">
        <f t="shared" si="141"/>
        <v>0</v>
      </c>
      <c r="O202" s="28">
        <f t="shared" si="141"/>
        <v>0</v>
      </c>
      <c r="P202" s="28">
        <f t="shared" si="141"/>
        <v>0</v>
      </c>
      <c r="Q202" s="28">
        <f t="shared" si="141"/>
        <v>0</v>
      </c>
      <c r="R202" s="28">
        <f t="shared" si="141"/>
        <v>0</v>
      </c>
      <c r="S202" s="28">
        <f t="shared" si="141"/>
        <v>0</v>
      </c>
      <c r="T202" s="28">
        <f t="shared" si="141"/>
        <v>0</v>
      </c>
      <c r="U202" s="28">
        <f t="shared" si="141"/>
        <v>0</v>
      </c>
      <c r="V202" s="28">
        <f t="shared" si="141"/>
        <v>0</v>
      </c>
      <c r="W202" s="28">
        <f t="shared" si="141"/>
        <v>0</v>
      </c>
      <c r="X202" s="28">
        <f t="shared" si="141"/>
        <v>0</v>
      </c>
      <c r="Y202" s="28">
        <f t="shared" si="141"/>
        <v>0</v>
      </c>
      <c r="Z202" s="28">
        <f t="shared" si="141"/>
        <v>0</v>
      </c>
      <c r="AA202" s="28">
        <f t="shared" si="141"/>
        <v>0</v>
      </c>
      <c r="AB202" s="28">
        <f t="shared" si="141"/>
        <v>0</v>
      </c>
      <c r="AC202" s="28">
        <f t="shared" si="141"/>
        <v>0</v>
      </c>
      <c r="AD202" s="28">
        <f t="shared" si="141"/>
        <v>0</v>
      </c>
      <c r="AE202" s="28">
        <f t="shared" si="141"/>
        <v>0</v>
      </c>
      <c r="AF202" s="298"/>
    </row>
    <row r="203" spans="1:32" ht="15.75" customHeight="1">
      <c r="A203" s="23" t="str">
        <f t="shared" si="138"/>
        <v>Preá - Comércio</v>
      </c>
      <c r="B203" s="28">
        <f t="shared" ref="B203:AE203" si="142">IF(ISBLANK(CAP_03),0,(SUMIF($B276:$M282,"&gt;"&amp;B$228)*(365/12/7))-(COUNTIF($B276:$M282,"&gt;"&amp;B$228)*(365/12/7))*B228)</f>
        <v>0</v>
      </c>
      <c r="C203" s="28">
        <f t="shared" si="142"/>
        <v>0</v>
      </c>
      <c r="D203" s="28">
        <f t="shared" si="142"/>
        <v>0</v>
      </c>
      <c r="E203" s="28">
        <f t="shared" si="142"/>
        <v>0</v>
      </c>
      <c r="F203" s="28">
        <f t="shared" si="142"/>
        <v>0</v>
      </c>
      <c r="G203" s="28">
        <f t="shared" si="142"/>
        <v>0</v>
      </c>
      <c r="H203" s="28">
        <f t="shared" si="142"/>
        <v>0</v>
      </c>
      <c r="I203" s="28">
        <f t="shared" si="142"/>
        <v>0</v>
      </c>
      <c r="J203" s="28">
        <f t="shared" si="142"/>
        <v>0</v>
      </c>
      <c r="K203" s="28">
        <f t="shared" si="142"/>
        <v>0</v>
      </c>
      <c r="L203" s="28">
        <f t="shared" si="142"/>
        <v>0</v>
      </c>
      <c r="M203" s="28">
        <f t="shared" si="142"/>
        <v>0</v>
      </c>
      <c r="N203" s="28">
        <f t="shared" si="142"/>
        <v>0</v>
      </c>
      <c r="O203" s="28">
        <f t="shared" si="142"/>
        <v>0</v>
      </c>
      <c r="P203" s="28">
        <f t="shared" si="142"/>
        <v>0</v>
      </c>
      <c r="Q203" s="28">
        <f t="shared" si="142"/>
        <v>0</v>
      </c>
      <c r="R203" s="28">
        <f t="shared" si="142"/>
        <v>0</v>
      </c>
      <c r="S203" s="28">
        <f t="shared" si="142"/>
        <v>0</v>
      </c>
      <c r="T203" s="28">
        <f t="shared" si="142"/>
        <v>0</v>
      </c>
      <c r="U203" s="28">
        <f t="shared" si="142"/>
        <v>0</v>
      </c>
      <c r="V203" s="28">
        <f t="shared" si="142"/>
        <v>0</v>
      </c>
      <c r="W203" s="28">
        <f t="shared" si="142"/>
        <v>0</v>
      </c>
      <c r="X203" s="28">
        <f t="shared" si="142"/>
        <v>0</v>
      </c>
      <c r="Y203" s="28">
        <f t="shared" si="142"/>
        <v>0</v>
      </c>
      <c r="Z203" s="28">
        <f t="shared" si="142"/>
        <v>0</v>
      </c>
      <c r="AA203" s="28">
        <f t="shared" si="142"/>
        <v>0</v>
      </c>
      <c r="AB203" s="28">
        <f t="shared" si="142"/>
        <v>0</v>
      </c>
      <c r="AC203" s="28">
        <f t="shared" si="142"/>
        <v>0</v>
      </c>
      <c r="AD203" s="28">
        <f t="shared" si="142"/>
        <v>0</v>
      </c>
      <c r="AE203" s="28">
        <f t="shared" si="142"/>
        <v>0</v>
      </c>
      <c r="AF203" s="298"/>
    </row>
    <row r="204" spans="1:32" ht="15.75" customHeight="1">
      <c r="A204" s="23" t="str">
        <f t="shared" si="138"/>
        <v>Preá - Estacionamento</v>
      </c>
      <c r="B204" s="28">
        <f t="shared" ref="B204:AE204" si="143">IF(ISBLANK(CAP_04),0,(SUMIF($B284:$M290,"&gt;"&amp;B229)*(365/12/7))-(COUNTIF($B284:$M290,"&gt;"&amp;B229)*(365/12/7))*B229)</f>
        <v>0</v>
      </c>
      <c r="C204" s="28">
        <f t="shared" si="143"/>
        <v>0</v>
      </c>
      <c r="D204" s="28">
        <f t="shared" si="143"/>
        <v>0</v>
      </c>
      <c r="E204" s="28">
        <f t="shared" si="143"/>
        <v>0</v>
      </c>
      <c r="F204" s="28">
        <f t="shared" si="143"/>
        <v>0</v>
      </c>
      <c r="G204" s="28">
        <f t="shared" si="143"/>
        <v>0</v>
      </c>
      <c r="H204" s="28">
        <f t="shared" si="143"/>
        <v>0</v>
      </c>
      <c r="I204" s="28">
        <f t="shared" si="143"/>
        <v>0</v>
      </c>
      <c r="J204" s="28">
        <f t="shared" si="143"/>
        <v>0</v>
      </c>
      <c r="K204" s="28">
        <f t="shared" si="143"/>
        <v>0</v>
      </c>
      <c r="L204" s="28">
        <f t="shared" si="143"/>
        <v>0</v>
      </c>
      <c r="M204" s="28">
        <f t="shared" si="143"/>
        <v>0</v>
      </c>
      <c r="N204" s="28">
        <f t="shared" si="143"/>
        <v>0</v>
      </c>
      <c r="O204" s="28">
        <f t="shared" si="143"/>
        <v>0</v>
      </c>
      <c r="P204" s="28">
        <f t="shared" si="143"/>
        <v>0</v>
      </c>
      <c r="Q204" s="28">
        <f t="shared" si="143"/>
        <v>0</v>
      </c>
      <c r="R204" s="28">
        <f t="shared" si="143"/>
        <v>0</v>
      </c>
      <c r="S204" s="28">
        <f t="shared" si="143"/>
        <v>0</v>
      </c>
      <c r="T204" s="28">
        <f t="shared" si="143"/>
        <v>0</v>
      </c>
      <c r="U204" s="28">
        <f t="shared" si="143"/>
        <v>0</v>
      </c>
      <c r="V204" s="28">
        <f t="shared" si="143"/>
        <v>0</v>
      </c>
      <c r="W204" s="28">
        <f t="shared" si="143"/>
        <v>0</v>
      </c>
      <c r="X204" s="28">
        <f t="shared" si="143"/>
        <v>0</v>
      </c>
      <c r="Y204" s="28">
        <f t="shared" si="143"/>
        <v>0</v>
      </c>
      <c r="Z204" s="28">
        <f t="shared" si="143"/>
        <v>0</v>
      </c>
      <c r="AA204" s="28">
        <f t="shared" si="143"/>
        <v>0</v>
      </c>
      <c r="AB204" s="28">
        <f t="shared" si="143"/>
        <v>0</v>
      </c>
      <c r="AC204" s="28">
        <f t="shared" si="143"/>
        <v>0</v>
      </c>
      <c r="AD204" s="28">
        <f t="shared" si="143"/>
        <v>0</v>
      </c>
      <c r="AE204" s="28">
        <f t="shared" si="143"/>
        <v>0</v>
      </c>
      <c r="AF204" s="298"/>
    </row>
    <row r="205" spans="1:32" ht="15.75" customHeight="1">
      <c r="A205" s="23" t="str">
        <f t="shared" si="138"/>
        <v>Árvore da Preguiça - Alimentação</v>
      </c>
      <c r="B205" s="28">
        <f t="shared" ref="B205:AE205" si="144">IF(ISBLANK(CAP_05),0,(SUMIF($B292:$M298,"&gt;"&amp;B230)*(365/12/7))-(COUNTIF($B292:$M298,"&gt;"&amp;B230)*(365/12/7))*B230)</f>
        <v>0</v>
      </c>
      <c r="C205" s="28">
        <f t="shared" si="144"/>
        <v>0</v>
      </c>
      <c r="D205" s="28">
        <f t="shared" si="144"/>
        <v>0</v>
      </c>
      <c r="E205" s="28">
        <f t="shared" si="144"/>
        <v>0</v>
      </c>
      <c r="F205" s="28">
        <f t="shared" si="144"/>
        <v>0</v>
      </c>
      <c r="G205" s="28">
        <f t="shared" si="144"/>
        <v>0</v>
      </c>
      <c r="H205" s="28">
        <f t="shared" si="144"/>
        <v>0</v>
      </c>
      <c r="I205" s="28">
        <f t="shared" si="144"/>
        <v>0</v>
      </c>
      <c r="J205" s="28">
        <f t="shared" si="144"/>
        <v>0</v>
      </c>
      <c r="K205" s="28">
        <f t="shared" si="144"/>
        <v>0</v>
      </c>
      <c r="L205" s="28">
        <f t="shared" si="144"/>
        <v>0</v>
      </c>
      <c r="M205" s="28">
        <f t="shared" si="144"/>
        <v>0</v>
      </c>
      <c r="N205" s="28">
        <f t="shared" si="144"/>
        <v>0</v>
      </c>
      <c r="O205" s="28">
        <f t="shared" si="144"/>
        <v>0</v>
      </c>
      <c r="P205" s="28">
        <f t="shared" si="144"/>
        <v>0</v>
      </c>
      <c r="Q205" s="28">
        <f t="shared" si="144"/>
        <v>0</v>
      </c>
      <c r="R205" s="28">
        <f t="shared" si="144"/>
        <v>0</v>
      </c>
      <c r="S205" s="28">
        <f t="shared" si="144"/>
        <v>0</v>
      </c>
      <c r="T205" s="28">
        <f t="shared" si="144"/>
        <v>0</v>
      </c>
      <c r="U205" s="28">
        <f t="shared" si="144"/>
        <v>0</v>
      </c>
      <c r="V205" s="28">
        <f t="shared" si="144"/>
        <v>0</v>
      </c>
      <c r="W205" s="28">
        <f t="shared" si="144"/>
        <v>0</v>
      </c>
      <c r="X205" s="28">
        <f t="shared" si="144"/>
        <v>0</v>
      </c>
      <c r="Y205" s="28">
        <f t="shared" si="144"/>
        <v>0</v>
      </c>
      <c r="Z205" s="28">
        <f t="shared" si="144"/>
        <v>0</v>
      </c>
      <c r="AA205" s="28">
        <f t="shared" si="144"/>
        <v>0</v>
      </c>
      <c r="AB205" s="28">
        <f t="shared" si="144"/>
        <v>0</v>
      </c>
      <c r="AC205" s="28">
        <f t="shared" si="144"/>
        <v>0</v>
      </c>
      <c r="AD205" s="28">
        <f t="shared" si="144"/>
        <v>0</v>
      </c>
      <c r="AE205" s="28">
        <f t="shared" si="144"/>
        <v>0</v>
      </c>
      <c r="AF205" s="298"/>
    </row>
    <row r="206" spans="1:32" ht="15.75" customHeight="1">
      <c r="A206" s="23" t="str">
        <f t="shared" si="138"/>
        <v>Árvore da Preguiça - Comércio</v>
      </c>
      <c r="B206" s="28">
        <f t="shared" ref="B206:AE206" si="145">IF(ISBLANK(CAP_06),0,(SUMIF($B300:$M306,"&gt;"&amp;B231)*(365/12/7))-(COUNTIF($B300:$M306,"&gt;"&amp;B231)*(365/12/7))*B231)</f>
        <v>0</v>
      </c>
      <c r="C206" s="28">
        <f t="shared" si="145"/>
        <v>0</v>
      </c>
      <c r="D206" s="28">
        <f t="shared" si="145"/>
        <v>0</v>
      </c>
      <c r="E206" s="28">
        <f t="shared" si="145"/>
        <v>0</v>
      </c>
      <c r="F206" s="28">
        <f t="shared" si="145"/>
        <v>0</v>
      </c>
      <c r="G206" s="28">
        <f t="shared" si="145"/>
        <v>0</v>
      </c>
      <c r="H206" s="28">
        <f t="shared" si="145"/>
        <v>0</v>
      </c>
      <c r="I206" s="28">
        <f t="shared" si="145"/>
        <v>0</v>
      </c>
      <c r="J206" s="28">
        <f t="shared" si="145"/>
        <v>0</v>
      </c>
      <c r="K206" s="28">
        <f t="shared" si="145"/>
        <v>0</v>
      </c>
      <c r="L206" s="28">
        <f t="shared" si="145"/>
        <v>0</v>
      </c>
      <c r="M206" s="28">
        <f t="shared" si="145"/>
        <v>0</v>
      </c>
      <c r="N206" s="28">
        <f t="shared" si="145"/>
        <v>0</v>
      </c>
      <c r="O206" s="28">
        <f t="shared" si="145"/>
        <v>0</v>
      </c>
      <c r="P206" s="28">
        <f t="shared" si="145"/>
        <v>0</v>
      </c>
      <c r="Q206" s="28">
        <f t="shared" si="145"/>
        <v>0</v>
      </c>
      <c r="R206" s="28">
        <f t="shared" si="145"/>
        <v>0</v>
      </c>
      <c r="S206" s="28">
        <f t="shared" si="145"/>
        <v>0</v>
      </c>
      <c r="T206" s="28">
        <f t="shared" si="145"/>
        <v>0</v>
      </c>
      <c r="U206" s="28">
        <f t="shared" si="145"/>
        <v>0</v>
      </c>
      <c r="V206" s="28">
        <f t="shared" si="145"/>
        <v>0</v>
      </c>
      <c r="W206" s="28">
        <f t="shared" si="145"/>
        <v>0</v>
      </c>
      <c r="X206" s="28">
        <f t="shared" si="145"/>
        <v>0</v>
      </c>
      <c r="Y206" s="28">
        <f t="shared" si="145"/>
        <v>0</v>
      </c>
      <c r="Z206" s="28">
        <f t="shared" si="145"/>
        <v>0</v>
      </c>
      <c r="AA206" s="28">
        <f t="shared" si="145"/>
        <v>0</v>
      </c>
      <c r="AB206" s="28">
        <f t="shared" si="145"/>
        <v>0</v>
      </c>
      <c r="AC206" s="28">
        <f t="shared" si="145"/>
        <v>0</v>
      </c>
      <c r="AD206" s="28">
        <f t="shared" si="145"/>
        <v>0</v>
      </c>
      <c r="AE206" s="28">
        <f t="shared" si="145"/>
        <v>0</v>
      </c>
      <c r="AF206" s="298"/>
    </row>
    <row r="207" spans="1:32" ht="15.75" customHeight="1">
      <c r="A207" s="23" t="str">
        <f t="shared" si="138"/>
        <v>Silveira - Alimentação</v>
      </c>
      <c r="B207" s="28">
        <f t="shared" ref="B207:AE207" si="146">IF(ISBLANK(CAP_07),0,(SUMIF($B308:$M314,"&gt;"&amp;B232)*(365/12/7))-(COUNTIF($B308:$M314,"&gt;"&amp;B232)*(365/12/7))*B232)</f>
        <v>0</v>
      </c>
      <c r="C207" s="28">
        <f t="shared" si="146"/>
        <v>0</v>
      </c>
      <c r="D207" s="28">
        <f t="shared" si="146"/>
        <v>0</v>
      </c>
      <c r="E207" s="28">
        <f t="shared" si="146"/>
        <v>0</v>
      </c>
      <c r="F207" s="28">
        <f t="shared" si="146"/>
        <v>0</v>
      </c>
      <c r="G207" s="28">
        <f t="shared" si="146"/>
        <v>0</v>
      </c>
      <c r="H207" s="28">
        <f t="shared" si="146"/>
        <v>0</v>
      </c>
      <c r="I207" s="28">
        <f t="shared" si="146"/>
        <v>0</v>
      </c>
      <c r="J207" s="28">
        <f t="shared" si="146"/>
        <v>0</v>
      </c>
      <c r="K207" s="28">
        <f t="shared" si="146"/>
        <v>0</v>
      </c>
      <c r="L207" s="28">
        <f t="shared" si="146"/>
        <v>0</v>
      </c>
      <c r="M207" s="28">
        <f t="shared" si="146"/>
        <v>0</v>
      </c>
      <c r="N207" s="28">
        <f t="shared" si="146"/>
        <v>0</v>
      </c>
      <c r="O207" s="28">
        <f t="shared" si="146"/>
        <v>0</v>
      </c>
      <c r="P207" s="28">
        <f t="shared" si="146"/>
        <v>0</v>
      </c>
      <c r="Q207" s="28">
        <f t="shared" si="146"/>
        <v>0</v>
      </c>
      <c r="R207" s="28">
        <f t="shared" si="146"/>
        <v>0</v>
      </c>
      <c r="S207" s="28">
        <f t="shared" si="146"/>
        <v>0</v>
      </c>
      <c r="T207" s="28">
        <f t="shared" si="146"/>
        <v>0</v>
      </c>
      <c r="U207" s="28">
        <f t="shared" si="146"/>
        <v>0</v>
      </c>
      <c r="V207" s="28">
        <f t="shared" si="146"/>
        <v>0</v>
      </c>
      <c r="W207" s="28">
        <f t="shared" si="146"/>
        <v>0</v>
      </c>
      <c r="X207" s="28">
        <f t="shared" si="146"/>
        <v>0</v>
      </c>
      <c r="Y207" s="28">
        <f t="shared" si="146"/>
        <v>0</v>
      </c>
      <c r="Z207" s="28">
        <f t="shared" si="146"/>
        <v>0</v>
      </c>
      <c r="AA207" s="28">
        <f t="shared" si="146"/>
        <v>0</v>
      </c>
      <c r="AB207" s="28">
        <f t="shared" si="146"/>
        <v>0</v>
      </c>
      <c r="AC207" s="28">
        <f t="shared" si="146"/>
        <v>0</v>
      </c>
      <c r="AD207" s="28">
        <f t="shared" si="146"/>
        <v>0</v>
      </c>
      <c r="AE207" s="28">
        <f t="shared" si="146"/>
        <v>0</v>
      </c>
      <c r="AF207" s="298"/>
    </row>
    <row r="208" spans="1:32" ht="15.75" customHeight="1">
      <c r="A208" s="23" t="str">
        <f t="shared" si="138"/>
        <v>Silveira - Comércio + Locação + Atividades</v>
      </c>
      <c r="B208" s="28">
        <f t="shared" ref="B208:AE208" si="147">IF(ISBLANK(CAP_08),0,(SUMIF($B316:$M322,"&gt;"&amp;B233)*(365/12/7))-(COUNTIF($B316:$M322,"&gt;"&amp;B233)*(365/12/7))*B233)</f>
        <v>0</v>
      </c>
      <c r="C208" s="28">
        <f t="shared" si="147"/>
        <v>0</v>
      </c>
      <c r="D208" s="28">
        <f t="shared" si="147"/>
        <v>0</v>
      </c>
      <c r="E208" s="28">
        <f t="shared" si="147"/>
        <v>0</v>
      </c>
      <c r="F208" s="28">
        <f t="shared" si="147"/>
        <v>0</v>
      </c>
      <c r="G208" s="28">
        <f t="shared" si="147"/>
        <v>0</v>
      </c>
      <c r="H208" s="28">
        <f t="shared" si="147"/>
        <v>0</v>
      </c>
      <c r="I208" s="28">
        <f t="shared" si="147"/>
        <v>0</v>
      </c>
      <c r="J208" s="28">
        <f t="shared" si="147"/>
        <v>0</v>
      </c>
      <c r="K208" s="28">
        <f t="shared" si="147"/>
        <v>0</v>
      </c>
      <c r="L208" s="28">
        <f t="shared" si="147"/>
        <v>0</v>
      </c>
      <c r="M208" s="28">
        <f t="shared" si="147"/>
        <v>0</v>
      </c>
      <c r="N208" s="28">
        <f t="shared" si="147"/>
        <v>0</v>
      </c>
      <c r="O208" s="28">
        <f t="shared" si="147"/>
        <v>0</v>
      </c>
      <c r="P208" s="28">
        <f t="shared" si="147"/>
        <v>0</v>
      </c>
      <c r="Q208" s="28">
        <f t="shared" si="147"/>
        <v>0</v>
      </c>
      <c r="R208" s="28">
        <f t="shared" si="147"/>
        <v>0</v>
      </c>
      <c r="S208" s="28">
        <f t="shared" si="147"/>
        <v>0</v>
      </c>
      <c r="T208" s="28">
        <f t="shared" si="147"/>
        <v>0</v>
      </c>
      <c r="U208" s="28">
        <f t="shared" si="147"/>
        <v>0</v>
      </c>
      <c r="V208" s="28">
        <f t="shared" si="147"/>
        <v>0</v>
      </c>
      <c r="W208" s="28">
        <f t="shared" si="147"/>
        <v>0</v>
      </c>
      <c r="X208" s="28">
        <f t="shared" si="147"/>
        <v>0</v>
      </c>
      <c r="Y208" s="28">
        <f t="shared" si="147"/>
        <v>0</v>
      </c>
      <c r="Z208" s="28">
        <f t="shared" si="147"/>
        <v>0</v>
      </c>
      <c r="AA208" s="28">
        <f t="shared" si="147"/>
        <v>0</v>
      </c>
      <c r="AB208" s="28">
        <f t="shared" si="147"/>
        <v>0</v>
      </c>
      <c r="AC208" s="28">
        <f t="shared" si="147"/>
        <v>0</v>
      </c>
      <c r="AD208" s="28">
        <f t="shared" si="147"/>
        <v>0</v>
      </c>
      <c r="AE208" s="28">
        <f t="shared" si="147"/>
        <v>0</v>
      </c>
      <c r="AF208" s="298"/>
    </row>
    <row r="209" spans="1:32" ht="15.75" customHeight="1">
      <c r="A209" s="23" t="str">
        <f t="shared" si="138"/>
        <v>Silveira - Hospedagem</v>
      </c>
      <c r="B209" s="28">
        <f t="shared" ref="B209:AE209" si="148">IF(ISBLANK(CAP_09),0,(SUMIF($B324:$M330,"&gt;"&amp;B234)*(365/12/7))-(COUNTIF($B324:$M330,"&gt;"&amp;B234)*(365/12/7))*B234)</f>
        <v>0</v>
      </c>
      <c r="C209" s="28">
        <f t="shared" si="148"/>
        <v>0</v>
      </c>
      <c r="D209" s="28">
        <f t="shared" si="148"/>
        <v>0</v>
      </c>
      <c r="E209" s="28">
        <f t="shared" si="148"/>
        <v>0</v>
      </c>
      <c r="F209" s="28">
        <f t="shared" si="148"/>
        <v>0</v>
      </c>
      <c r="G209" s="28">
        <f t="shared" si="148"/>
        <v>0</v>
      </c>
      <c r="H209" s="28">
        <f t="shared" si="148"/>
        <v>0</v>
      </c>
      <c r="I209" s="28">
        <f t="shared" si="148"/>
        <v>0</v>
      </c>
      <c r="J209" s="28">
        <f t="shared" si="148"/>
        <v>0</v>
      </c>
      <c r="K209" s="28">
        <f t="shared" si="148"/>
        <v>0</v>
      </c>
      <c r="L209" s="28">
        <f t="shared" si="148"/>
        <v>0</v>
      </c>
      <c r="M209" s="28">
        <f t="shared" si="148"/>
        <v>0</v>
      </c>
      <c r="N209" s="28">
        <f t="shared" si="148"/>
        <v>0</v>
      </c>
      <c r="O209" s="28">
        <f t="shared" si="148"/>
        <v>0</v>
      </c>
      <c r="P209" s="28">
        <f t="shared" si="148"/>
        <v>0</v>
      </c>
      <c r="Q209" s="28">
        <f t="shared" si="148"/>
        <v>0</v>
      </c>
      <c r="R209" s="28">
        <f t="shared" si="148"/>
        <v>0</v>
      </c>
      <c r="S209" s="28">
        <f t="shared" si="148"/>
        <v>0</v>
      </c>
      <c r="T209" s="28">
        <f t="shared" si="148"/>
        <v>0</v>
      </c>
      <c r="U209" s="28">
        <f t="shared" si="148"/>
        <v>0</v>
      </c>
      <c r="V209" s="28">
        <f t="shared" si="148"/>
        <v>0</v>
      </c>
      <c r="W209" s="28">
        <f t="shared" si="148"/>
        <v>0</v>
      </c>
      <c r="X209" s="28">
        <f t="shared" si="148"/>
        <v>0</v>
      </c>
      <c r="Y209" s="28">
        <f t="shared" si="148"/>
        <v>0</v>
      </c>
      <c r="Z209" s="28">
        <f t="shared" si="148"/>
        <v>0</v>
      </c>
      <c r="AA209" s="28">
        <f t="shared" si="148"/>
        <v>0</v>
      </c>
      <c r="AB209" s="28">
        <f t="shared" si="148"/>
        <v>0</v>
      </c>
      <c r="AC209" s="28">
        <f t="shared" si="148"/>
        <v>0</v>
      </c>
      <c r="AD209" s="28">
        <f t="shared" si="148"/>
        <v>0</v>
      </c>
      <c r="AE209" s="28">
        <f t="shared" si="148"/>
        <v>0</v>
      </c>
      <c r="AF209" s="298"/>
    </row>
    <row r="210" spans="1:32" ht="15.75" customHeight="1">
      <c r="A210" s="23" t="str">
        <f t="shared" si="138"/>
        <v>Pedra Furada - Alimentação</v>
      </c>
      <c r="B210" s="28">
        <f t="shared" ref="B210:AE210" si="149">IF(ISBLANK(CAP_10),0,(SUMIF($B325:$M331,"&gt;"&amp;B235)*(365/12/7))-(COUNTIF($B325:$M331,"&gt;"&amp;B235)*(365/12/7))*B235)</f>
        <v>0</v>
      </c>
      <c r="C210" s="28">
        <f t="shared" si="149"/>
        <v>0</v>
      </c>
      <c r="D210" s="28">
        <f t="shared" si="149"/>
        <v>0</v>
      </c>
      <c r="E210" s="28">
        <f t="shared" si="149"/>
        <v>0</v>
      </c>
      <c r="F210" s="28">
        <f t="shared" si="149"/>
        <v>0</v>
      </c>
      <c r="G210" s="28">
        <f t="shared" si="149"/>
        <v>0</v>
      </c>
      <c r="H210" s="28">
        <f t="shared" si="149"/>
        <v>0</v>
      </c>
      <c r="I210" s="28">
        <f t="shared" si="149"/>
        <v>0</v>
      </c>
      <c r="J210" s="28">
        <f t="shared" si="149"/>
        <v>0</v>
      </c>
      <c r="K210" s="28">
        <f t="shared" si="149"/>
        <v>0</v>
      </c>
      <c r="L210" s="28">
        <f t="shared" si="149"/>
        <v>0</v>
      </c>
      <c r="M210" s="28">
        <f t="shared" si="149"/>
        <v>0</v>
      </c>
      <c r="N210" s="28">
        <f t="shared" si="149"/>
        <v>0</v>
      </c>
      <c r="O210" s="28">
        <f t="shared" si="149"/>
        <v>0</v>
      </c>
      <c r="P210" s="28">
        <f t="shared" si="149"/>
        <v>0</v>
      </c>
      <c r="Q210" s="28">
        <f t="shared" si="149"/>
        <v>0</v>
      </c>
      <c r="R210" s="28">
        <f t="shared" si="149"/>
        <v>0</v>
      </c>
      <c r="S210" s="28">
        <f t="shared" si="149"/>
        <v>0</v>
      </c>
      <c r="T210" s="28">
        <f t="shared" si="149"/>
        <v>0</v>
      </c>
      <c r="U210" s="28">
        <f t="shared" si="149"/>
        <v>0</v>
      </c>
      <c r="V210" s="28">
        <f t="shared" si="149"/>
        <v>0</v>
      </c>
      <c r="W210" s="28">
        <f t="shared" si="149"/>
        <v>0</v>
      </c>
      <c r="X210" s="28">
        <f t="shared" si="149"/>
        <v>0</v>
      </c>
      <c r="Y210" s="28">
        <f t="shared" si="149"/>
        <v>0</v>
      </c>
      <c r="Z210" s="28">
        <f t="shared" si="149"/>
        <v>0</v>
      </c>
      <c r="AA210" s="28">
        <f t="shared" si="149"/>
        <v>0</v>
      </c>
      <c r="AB210" s="28">
        <f t="shared" si="149"/>
        <v>0</v>
      </c>
      <c r="AC210" s="28">
        <f t="shared" si="149"/>
        <v>0</v>
      </c>
      <c r="AD210" s="28">
        <f t="shared" si="149"/>
        <v>0</v>
      </c>
      <c r="AE210" s="28">
        <f t="shared" si="149"/>
        <v>0</v>
      </c>
      <c r="AF210" s="298"/>
    </row>
    <row r="211" spans="1:32" ht="15.75" customHeight="1">
      <c r="A211" s="23" t="str">
        <f t="shared" si="138"/>
        <v>Pedra Furada - Comércio</v>
      </c>
      <c r="B211" s="28">
        <f t="shared" ref="B211:AE211" si="150">IF(ISBLANK(CAP_11),0,(SUMIF($B413:$M419,"&gt;"&amp;B236)*(365/12/7))-(COUNTIF($B413:$M419,"&gt;"&amp;B236)*(365/12/7))*B236)</f>
        <v>0</v>
      </c>
      <c r="C211" s="28">
        <f t="shared" si="150"/>
        <v>0</v>
      </c>
      <c r="D211" s="28">
        <f t="shared" si="150"/>
        <v>0</v>
      </c>
      <c r="E211" s="28">
        <f t="shared" si="150"/>
        <v>0</v>
      </c>
      <c r="F211" s="28">
        <f t="shared" si="150"/>
        <v>0</v>
      </c>
      <c r="G211" s="28">
        <f t="shared" si="150"/>
        <v>0</v>
      </c>
      <c r="H211" s="28">
        <f t="shared" si="150"/>
        <v>0</v>
      </c>
      <c r="I211" s="28">
        <f t="shared" si="150"/>
        <v>0</v>
      </c>
      <c r="J211" s="28">
        <f t="shared" si="150"/>
        <v>0</v>
      </c>
      <c r="K211" s="28">
        <f t="shared" si="150"/>
        <v>0</v>
      </c>
      <c r="L211" s="28">
        <f t="shared" si="150"/>
        <v>0</v>
      </c>
      <c r="M211" s="28">
        <f t="shared" si="150"/>
        <v>0</v>
      </c>
      <c r="N211" s="28">
        <f t="shared" si="150"/>
        <v>0</v>
      </c>
      <c r="O211" s="28">
        <f t="shared" si="150"/>
        <v>0</v>
      </c>
      <c r="P211" s="28">
        <f t="shared" si="150"/>
        <v>0</v>
      </c>
      <c r="Q211" s="28">
        <f t="shared" si="150"/>
        <v>0</v>
      </c>
      <c r="R211" s="28">
        <f t="shared" si="150"/>
        <v>0</v>
      </c>
      <c r="S211" s="28">
        <f t="shared" si="150"/>
        <v>0</v>
      </c>
      <c r="T211" s="28">
        <f t="shared" si="150"/>
        <v>0</v>
      </c>
      <c r="U211" s="28">
        <f t="shared" si="150"/>
        <v>0</v>
      </c>
      <c r="V211" s="28">
        <f t="shared" si="150"/>
        <v>0</v>
      </c>
      <c r="W211" s="28">
        <f t="shared" si="150"/>
        <v>0</v>
      </c>
      <c r="X211" s="28">
        <f t="shared" si="150"/>
        <v>0</v>
      </c>
      <c r="Y211" s="28">
        <f t="shared" si="150"/>
        <v>0</v>
      </c>
      <c r="Z211" s="28">
        <f t="shared" si="150"/>
        <v>0</v>
      </c>
      <c r="AA211" s="28">
        <f t="shared" si="150"/>
        <v>0</v>
      </c>
      <c r="AB211" s="28">
        <f t="shared" si="150"/>
        <v>0</v>
      </c>
      <c r="AC211" s="28">
        <f t="shared" si="150"/>
        <v>0</v>
      </c>
      <c r="AD211" s="28">
        <f t="shared" si="150"/>
        <v>0</v>
      </c>
      <c r="AE211" s="28">
        <f t="shared" si="150"/>
        <v>0</v>
      </c>
      <c r="AF211" s="298"/>
    </row>
    <row r="212" spans="1:32" ht="15.75" customHeight="1">
      <c r="A212" s="23" t="str">
        <f t="shared" si="138"/>
        <v>Serrote - Alimentação</v>
      </c>
      <c r="B212" s="28">
        <f t="shared" ref="B212:AE212" si="151">IF(ISBLANK(CAP_12),0,(SUMIF($B348:$M354,"&gt;"&amp;B237)*(365/12/7))-(COUNTIF($B348:$M354,"&gt;"&amp;B237)*(365/12/7))*B237)</f>
        <v>0</v>
      </c>
      <c r="C212" s="28">
        <f t="shared" si="151"/>
        <v>0</v>
      </c>
      <c r="D212" s="28">
        <f t="shared" si="151"/>
        <v>0</v>
      </c>
      <c r="E212" s="28">
        <f t="shared" si="151"/>
        <v>0</v>
      </c>
      <c r="F212" s="28">
        <f t="shared" si="151"/>
        <v>0</v>
      </c>
      <c r="G212" s="28">
        <f t="shared" si="151"/>
        <v>0</v>
      </c>
      <c r="H212" s="28">
        <f t="shared" si="151"/>
        <v>0</v>
      </c>
      <c r="I212" s="28">
        <f t="shared" si="151"/>
        <v>0</v>
      </c>
      <c r="J212" s="28">
        <f t="shared" si="151"/>
        <v>0</v>
      </c>
      <c r="K212" s="28">
        <f t="shared" si="151"/>
        <v>0</v>
      </c>
      <c r="L212" s="28">
        <f t="shared" si="151"/>
        <v>0</v>
      </c>
      <c r="M212" s="28">
        <f t="shared" si="151"/>
        <v>0</v>
      </c>
      <c r="N212" s="28">
        <f t="shared" si="151"/>
        <v>0</v>
      </c>
      <c r="O212" s="28">
        <f t="shared" si="151"/>
        <v>0</v>
      </c>
      <c r="P212" s="28">
        <f t="shared" si="151"/>
        <v>0</v>
      </c>
      <c r="Q212" s="28">
        <f t="shared" si="151"/>
        <v>0</v>
      </c>
      <c r="R212" s="28">
        <f t="shared" si="151"/>
        <v>0</v>
      </c>
      <c r="S212" s="28">
        <f t="shared" si="151"/>
        <v>0</v>
      </c>
      <c r="T212" s="28">
        <f t="shared" si="151"/>
        <v>0</v>
      </c>
      <c r="U212" s="28">
        <f t="shared" si="151"/>
        <v>0</v>
      </c>
      <c r="V212" s="28">
        <f t="shared" si="151"/>
        <v>0</v>
      </c>
      <c r="W212" s="28">
        <f t="shared" si="151"/>
        <v>0</v>
      </c>
      <c r="X212" s="28">
        <f t="shared" si="151"/>
        <v>0</v>
      </c>
      <c r="Y212" s="28">
        <f t="shared" si="151"/>
        <v>0</v>
      </c>
      <c r="Z212" s="28">
        <f t="shared" si="151"/>
        <v>0</v>
      </c>
      <c r="AA212" s="28">
        <f t="shared" si="151"/>
        <v>0</v>
      </c>
      <c r="AB212" s="28">
        <f t="shared" si="151"/>
        <v>0</v>
      </c>
      <c r="AC212" s="28">
        <f t="shared" si="151"/>
        <v>0</v>
      </c>
      <c r="AD212" s="28">
        <f t="shared" si="151"/>
        <v>0</v>
      </c>
      <c r="AE212" s="28">
        <f t="shared" si="151"/>
        <v>0</v>
      </c>
      <c r="AF212" s="298"/>
    </row>
    <row r="213" spans="1:32" ht="15.75" customHeight="1">
      <c r="A213" s="23" t="str">
        <f t="shared" si="138"/>
        <v>Serrote - Comércio</v>
      </c>
      <c r="B213" s="28">
        <f t="shared" ref="B213:AE213" si="152">IF(ISBLANK(CAP_13),0,(SUMIF($B356:$M362,"&gt;"&amp;B238)*(365/12/7))-(COUNTIF($B356:$M362,"&gt;"&amp;B238)*(365/12/7))*B238)</f>
        <v>0</v>
      </c>
      <c r="C213" s="28">
        <f t="shared" si="152"/>
        <v>0</v>
      </c>
      <c r="D213" s="28">
        <f t="shared" si="152"/>
        <v>0</v>
      </c>
      <c r="E213" s="28">
        <f t="shared" si="152"/>
        <v>0</v>
      </c>
      <c r="F213" s="28">
        <f t="shared" si="152"/>
        <v>0</v>
      </c>
      <c r="G213" s="28">
        <f t="shared" si="152"/>
        <v>0</v>
      </c>
      <c r="H213" s="28">
        <f t="shared" si="152"/>
        <v>0</v>
      </c>
      <c r="I213" s="28">
        <f t="shared" si="152"/>
        <v>0</v>
      </c>
      <c r="J213" s="28">
        <f t="shared" si="152"/>
        <v>0</v>
      </c>
      <c r="K213" s="28">
        <f t="shared" si="152"/>
        <v>0</v>
      </c>
      <c r="L213" s="28">
        <f t="shared" si="152"/>
        <v>0</v>
      </c>
      <c r="M213" s="28">
        <f t="shared" si="152"/>
        <v>0</v>
      </c>
      <c r="N213" s="28">
        <f t="shared" si="152"/>
        <v>0</v>
      </c>
      <c r="O213" s="28">
        <f t="shared" si="152"/>
        <v>0</v>
      </c>
      <c r="P213" s="28">
        <f t="shared" si="152"/>
        <v>0</v>
      </c>
      <c r="Q213" s="28">
        <f t="shared" si="152"/>
        <v>0</v>
      </c>
      <c r="R213" s="28">
        <f t="shared" si="152"/>
        <v>0</v>
      </c>
      <c r="S213" s="28">
        <f t="shared" si="152"/>
        <v>0</v>
      </c>
      <c r="T213" s="28">
        <f t="shared" si="152"/>
        <v>0</v>
      </c>
      <c r="U213" s="28">
        <f t="shared" si="152"/>
        <v>0</v>
      </c>
      <c r="V213" s="28">
        <f t="shared" si="152"/>
        <v>0</v>
      </c>
      <c r="W213" s="28">
        <f t="shared" si="152"/>
        <v>0</v>
      </c>
      <c r="X213" s="28">
        <f t="shared" si="152"/>
        <v>0</v>
      </c>
      <c r="Y213" s="28">
        <f t="shared" si="152"/>
        <v>0</v>
      </c>
      <c r="Z213" s="28">
        <f t="shared" si="152"/>
        <v>0</v>
      </c>
      <c r="AA213" s="28">
        <f t="shared" si="152"/>
        <v>0</v>
      </c>
      <c r="AB213" s="28">
        <f t="shared" si="152"/>
        <v>0</v>
      </c>
      <c r="AC213" s="28">
        <f t="shared" si="152"/>
        <v>0</v>
      </c>
      <c r="AD213" s="28">
        <f t="shared" si="152"/>
        <v>0</v>
      </c>
      <c r="AE213" s="28">
        <f t="shared" si="152"/>
        <v>0</v>
      </c>
      <c r="AF213" s="298"/>
    </row>
    <row r="214" spans="1:32" ht="15.75" customHeight="1">
      <c r="A214" s="23" t="str">
        <f t="shared" si="138"/>
        <v>Paraíso - Alimentação</v>
      </c>
      <c r="B214" s="28">
        <f t="shared" ref="B214:AE214" si="153">IF(ISBLANK(CAP_14),0,(SUMIF($B364:$M370,"&gt;"&amp;B239)*(365/12/7))-(COUNTIF($B364:$M370,"&gt;"&amp;B239)*(365/12/7))*B239)</f>
        <v>0</v>
      </c>
      <c r="C214" s="28">
        <f t="shared" si="153"/>
        <v>0</v>
      </c>
      <c r="D214" s="28">
        <f t="shared" si="153"/>
        <v>0</v>
      </c>
      <c r="E214" s="28">
        <f t="shared" si="153"/>
        <v>0</v>
      </c>
      <c r="F214" s="28">
        <f t="shared" si="153"/>
        <v>0</v>
      </c>
      <c r="G214" s="28">
        <f t="shared" si="153"/>
        <v>0</v>
      </c>
      <c r="H214" s="28">
        <f t="shared" si="153"/>
        <v>0</v>
      </c>
      <c r="I214" s="28">
        <f t="shared" si="153"/>
        <v>0</v>
      </c>
      <c r="J214" s="28">
        <f t="shared" si="153"/>
        <v>0</v>
      </c>
      <c r="K214" s="28">
        <f t="shared" si="153"/>
        <v>0</v>
      </c>
      <c r="L214" s="28">
        <f t="shared" si="153"/>
        <v>0</v>
      </c>
      <c r="M214" s="28">
        <f t="shared" si="153"/>
        <v>0</v>
      </c>
      <c r="N214" s="28">
        <f t="shared" si="153"/>
        <v>0</v>
      </c>
      <c r="O214" s="28">
        <f t="shared" si="153"/>
        <v>0</v>
      </c>
      <c r="P214" s="28">
        <f t="shared" si="153"/>
        <v>0</v>
      </c>
      <c r="Q214" s="28">
        <f t="shared" si="153"/>
        <v>0</v>
      </c>
      <c r="R214" s="28">
        <f t="shared" si="153"/>
        <v>0</v>
      </c>
      <c r="S214" s="28">
        <f t="shared" si="153"/>
        <v>0</v>
      </c>
      <c r="T214" s="28">
        <f t="shared" si="153"/>
        <v>0</v>
      </c>
      <c r="U214" s="28">
        <f t="shared" si="153"/>
        <v>0</v>
      </c>
      <c r="V214" s="28">
        <f t="shared" si="153"/>
        <v>0</v>
      </c>
      <c r="W214" s="28">
        <f t="shared" si="153"/>
        <v>0</v>
      </c>
      <c r="X214" s="28">
        <f t="shared" si="153"/>
        <v>0</v>
      </c>
      <c r="Y214" s="28">
        <f t="shared" si="153"/>
        <v>0</v>
      </c>
      <c r="Z214" s="28">
        <f t="shared" si="153"/>
        <v>0</v>
      </c>
      <c r="AA214" s="28">
        <f t="shared" si="153"/>
        <v>0</v>
      </c>
      <c r="AB214" s="28">
        <f t="shared" si="153"/>
        <v>0</v>
      </c>
      <c r="AC214" s="28">
        <f t="shared" si="153"/>
        <v>0</v>
      </c>
      <c r="AD214" s="28">
        <f t="shared" si="153"/>
        <v>0</v>
      </c>
      <c r="AE214" s="28">
        <f t="shared" si="153"/>
        <v>0</v>
      </c>
      <c r="AF214" s="298"/>
    </row>
    <row r="215" spans="1:32" ht="15.75" customHeight="1">
      <c r="A215" s="23" t="str">
        <f t="shared" si="138"/>
        <v>Paraíso - Comércio + Locação + Atividades</v>
      </c>
      <c r="B215" s="28">
        <f t="shared" ref="B215:AE215" si="154">IF(ISBLANK(CAP_15),0,(SUMIF($B372:$M378,"&gt;"&amp;B240)*(365/12/7))-(COUNTIF($B372:$M378,"&gt;"&amp;B240)*(365/12/7))*B240)</f>
        <v>0</v>
      </c>
      <c r="C215" s="28">
        <f t="shared" si="154"/>
        <v>0</v>
      </c>
      <c r="D215" s="28">
        <f t="shared" si="154"/>
        <v>0</v>
      </c>
      <c r="E215" s="28">
        <f t="shared" si="154"/>
        <v>0</v>
      </c>
      <c r="F215" s="28">
        <f t="shared" si="154"/>
        <v>0</v>
      </c>
      <c r="G215" s="28">
        <f t="shared" si="154"/>
        <v>0</v>
      </c>
      <c r="H215" s="28">
        <f t="shared" si="154"/>
        <v>0</v>
      </c>
      <c r="I215" s="28">
        <f t="shared" si="154"/>
        <v>0</v>
      </c>
      <c r="J215" s="28">
        <f t="shared" si="154"/>
        <v>0</v>
      </c>
      <c r="K215" s="28">
        <f t="shared" si="154"/>
        <v>0</v>
      </c>
      <c r="L215" s="28">
        <f t="shared" si="154"/>
        <v>0</v>
      </c>
      <c r="M215" s="28">
        <f t="shared" si="154"/>
        <v>0</v>
      </c>
      <c r="N215" s="28">
        <f t="shared" si="154"/>
        <v>0</v>
      </c>
      <c r="O215" s="28">
        <f t="shared" si="154"/>
        <v>0</v>
      </c>
      <c r="P215" s="28">
        <f t="shared" si="154"/>
        <v>0</v>
      </c>
      <c r="Q215" s="28">
        <f t="shared" si="154"/>
        <v>0</v>
      </c>
      <c r="R215" s="28">
        <f t="shared" si="154"/>
        <v>0</v>
      </c>
      <c r="S215" s="28">
        <f t="shared" si="154"/>
        <v>0</v>
      </c>
      <c r="T215" s="28">
        <f t="shared" si="154"/>
        <v>0</v>
      </c>
      <c r="U215" s="28">
        <f t="shared" si="154"/>
        <v>0</v>
      </c>
      <c r="V215" s="28">
        <f t="shared" si="154"/>
        <v>0</v>
      </c>
      <c r="W215" s="28">
        <f t="shared" si="154"/>
        <v>0</v>
      </c>
      <c r="X215" s="28">
        <f t="shared" si="154"/>
        <v>0</v>
      </c>
      <c r="Y215" s="28">
        <f t="shared" si="154"/>
        <v>0</v>
      </c>
      <c r="Z215" s="28">
        <f t="shared" si="154"/>
        <v>0</v>
      </c>
      <c r="AA215" s="28">
        <f t="shared" si="154"/>
        <v>0</v>
      </c>
      <c r="AB215" s="28">
        <f t="shared" si="154"/>
        <v>0</v>
      </c>
      <c r="AC215" s="28">
        <f t="shared" si="154"/>
        <v>0</v>
      </c>
      <c r="AD215" s="28">
        <f t="shared" si="154"/>
        <v>0</v>
      </c>
      <c r="AE215" s="28">
        <f t="shared" si="154"/>
        <v>0</v>
      </c>
      <c r="AF215" s="298"/>
    </row>
    <row r="216" spans="1:32" ht="15.75" customHeight="1">
      <c r="A216" s="23" t="str">
        <f t="shared" si="138"/>
        <v>Geral - Unidade móvel - Alimentação</v>
      </c>
      <c r="B216" s="28">
        <f t="shared" ref="B216:AE216" si="155">IF(ISBLANK(CAP_16),0,(SUMIF($B380:$M386,"&gt;"&amp;B241)*(365/12/7))-(COUNTIF($B380:$M386,"&gt;"&amp;B241)*(365/12/7))*B241)</f>
        <v>0</v>
      </c>
      <c r="C216" s="28">
        <f t="shared" si="155"/>
        <v>0</v>
      </c>
      <c r="D216" s="28">
        <f t="shared" si="155"/>
        <v>0</v>
      </c>
      <c r="E216" s="28">
        <f t="shared" si="155"/>
        <v>0</v>
      </c>
      <c r="F216" s="28">
        <f t="shared" si="155"/>
        <v>0</v>
      </c>
      <c r="G216" s="28">
        <f t="shared" si="155"/>
        <v>0</v>
      </c>
      <c r="H216" s="28">
        <f t="shared" si="155"/>
        <v>0</v>
      </c>
      <c r="I216" s="28">
        <f t="shared" si="155"/>
        <v>0</v>
      </c>
      <c r="J216" s="28">
        <f t="shared" si="155"/>
        <v>0</v>
      </c>
      <c r="K216" s="28">
        <f t="shared" si="155"/>
        <v>0</v>
      </c>
      <c r="L216" s="28">
        <f t="shared" si="155"/>
        <v>0</v>
      </c>
      <c r="M216" s="28">
        <f t="shared" si="155"/>
        <v>0</v>
      </c>
      <c r="N216" s="28">
        <f t="shared" si="155"/>
        <v>0</v>
      </c>
      <c r="O216" s="28">
        <f t="shared" si="155"/>
        <v>0</v>
      </c>
      <c r="P216" s="28">
        <f t="shared" si="155"/>
        <v>0</v>
      </c>
      <c r="Q216" s="28">
        <f t="shared" si="155"/>
        <v>0</v>
      </c>
      <c r="R216" s="28">
        <f t="shared" si="155"/>
        <v>0</v>
      </c>
      <c r="S216" s="28">
        <f t="shared" si="155"/>
        <v>0</v>
      </c>
      <c r="T216" s="28">
        <f t="shared" si="155"/>
        <v>0</v>
      </c>
      <c r="U216" s="28">
        <f t="shared" si="155"/>
        <v>0</v>
      </c>
      <c r="V216" s="28">
        <f t="shared" si="155"/>
        <v>0</v>
      </c>
      <c r="W216" s="28">
        <f t="shared" si="155"/>
        <v>0</v>
      </c>
      <c r="X216" s="28">
        <f t="shared" si="155"/>
        <v>0</v>
      </c>
      <c r="Y216" s="28">
        <f t="shared" si="155"/>
        <v>0</v>
      </c>
      <c r="Z216" s="28">
        <f t="shared" si="155"/>
        <v>0</v>
      </c>
      <c r="AA216" s="28">
        <f t="shared" si="155"/>
        <v>0</v>
      </c>
      <c r="AB216" s="28">
        <f t="shared" si="155"/>
        <v>0</v>
      </c>
      <c r="AC216" s="28">
        <f t="shared" si="155"/>
        <v>0</v>
      </c>
      <c r="AD216" s="28">
        <f t="shared" si="155"/>
        <v>0</v>
      </c>
      <c r="AE216" s="28">
        <f t="shared" si="155"/>
        <v>0</v>
      </c>
      <c r="AF216" s="298"/>
    </row>
    <row r="217" spans="1:32" ht="15.75" customHeight="1">
      <c r="A217" s="23" t="str">
        <f t="shared" si="138"/>
        <v>Mangue Seco - Estacionamento</v>
      </c>
      <c r="B217" s="28">
        <f t="shared" ref="B217:AE217" si="156">IF(ISBLANK(CAP_17),0,(SUMIF($B388:$M394,"&gt;"&amp;B242)*(365/12/7))-(COUNTIF($B388:$M394,"&gt;"&amp;B242)*(365/12/7))*B242)</f>
        <v>0</v>
      </c>
      <c r="C217" s="28">
        <f t="shared" si="156"/>
        <v>0</v>
      </c>
      <c r="D217" s="28">
        <f t="shared" si="156"/>
        <v>0</v>
      </c>
      <c r="E217" s="28">
        <f t="shared" si="156"/>
        <v>0</v>
      </c>
      <c r="F217" s="28">
        <f t="shared" si="156"/>
        <v>0</v>
      </c>
      <c r="G217" s="28">
        <f t="shared" si="156"/>
        <v>0</v>
      </c>
      <c r="H217" s="28">
        <f t="shared" si="156"/>
        <v>0</v>
      </c>
      <c r="I217" s="28">
        <f t="shared" si="156"/>
        <v>0</v>
      </c>
      <c r="J217" s="28">
        <f t="shared" si="156"/>
        <v>0</v>
      </c>
      <c r="K217" s="28">
        <f t="shared" si="156"/>
        <v>0</v>
      </c>
      <c r="L217" s="28">
        <f t="shared" si="156"/>
        <v>0</v>
      </c>
      <c r="M217" s="28">
        <f t="shared" si="156"/>
        <v>0</v>
      </c>
      <c r="N217" s="28">
        <f t="shared" si="156"/>
        <v>0</v>
      </c>
      <c r="O217" s="28">
        <f t="shared" si="156"/>
        <v>0</v>
      </c>
      <c r="P217" s="28">
        <f t="shared" si="156"/>
        <v>0</v>
      </c>
      <c r="Q217" s="28">
        <f t="shared" si="156"/>
        <v>0</v>
      </c>
      <c r="R217" s="28">
        <f t="shared" si="156"/>
        <v>0</v>
      </c>
      <c r="S217" s="28">
        <f t="shared" si="156"/>
        <v>0</v>
      </c>
      <c r="T217" s="28">
        <f t="shared" si="156"/>
        <v>0</v>
      </c>
      <c r="U217" s="28">
        <f t="shared" si="156"/>
        <v>0</v>
      </c>
      <c r="V217" s="28">
        <f t="shared" si="156"/>
        <v>0</v>
      </c>
      <c r="W217" s="28">
        <f t="shared" si="156"/>
        <v>0</v>
      </c>
      <c r="X217" s="28">
        <f t="shared" si="156"/>
        <v>0</v>
      </c>
      <c r="Y217" s="28">
        <f t="shared" si="156"/>
        <v>0</v>
      </c>
      <c r="Z217" s="28">
        <f t="shared" si="156"/>
        <v>0</v>
      </c>
      <c r="AA217" s="28">
        <f t="shared" si="156"/>
        <v>0</v>
      </c>
      <c r="AB217" s="28">
        <f t="shared" si="156"/>
        <v>0</v>
      </c>
      <c r="AC217" s="28">
        <f t="shared" si="156"/>
        <v>0</v>
      </c>
      <c r="AD217" s="28">
        <f t="shared" si="156"/>
        <v>0</v>
      </c>
      <c r="AE217" s="28">
        <f t="shared" si="156"/>
        <v>0</v>
      </c>
      <c r="AF217" s="298"/>
    </row>
    <row r="218" spans="1:32" ht="15.75" customHeight="1">
      <c r="A218" s="23" t="str">
        <f t="shared" si="138"/>
        <v>Lagoa Grande - Estacionamento</v>
      </c>
      <c r="B218" s="28">
        <f t="shared" ref="B218:AE218" si="157">IF(ISBLANK(CAP_18),0,(SUMIF($B396:$M402,"&gt;"&amp;B243)*(365/12/7))-(COUNTIF($B396:$M402,"&gt;"&amp;B243)*(365/12/7))*B243)</f>
        <v>0</v>
      </c>
      <c r="C218" s="28">
        <f t="shared" si="157"/>
        <v>0</v>
      </c>
      <c r="D218" s="28">
        <f t="shared" si="157"/>
        <v>0</v>
      </c>
      <c r="E218" s="28">
        <f t="shared" si="157"/>
        <v>0</v>
      </c>
      <c r="F218" s="28">
        <f t="shared" si="157"/>
        <v>0</v>
      </c>
      <c r="G218" s="28">
        <f t="shared" si="157"/>
        <v>0</v>
      </c>
      <c r="H218" s="28">
        <f t="shared" si="157"/>
        <v>0</v>
      </c>
      <c r="I218" s="28">
        <f t="shared" si="157"/>
        <v>0</v>
      </c>
      <c r="J218" s="28">
        <f t="shared" si="157"/>
        <v>0</v>
      </c>
      <c r="K218" s="28">
        <f t="shared" si="157"/>
        <v>0</v>
      </c>
      <c r="L218" s="28">
        <f t="shared" si="157"/>
        <v>0</v>
      </c>
      <c r="M218" s="28">
        <f t="shared" si="157"/>
        <v>0</v>
      </c>
      <c r="N218" s="28">
        <f t="shared" si="157"/>
        <v>0</v>
      </c>
      <c r="O218" s="28">
        <f t="shared" si="157"/>
        <v>0</v>
      </c>
      <c r="P218" s="28">
        <f t="shared" si="157"/>
        <v>0</v>
      </c>
      <c r="Q218" s="28">
        <f t="shared" si="157"/>
        <v>0</v>
      </c>
      <c r="R218" s="28">
        <f t="shared" si="157"/>
        <v>0</v>
      </c>
      <c r="S218" s="28">
        <f t="shared" si="157"/>
        <v>0</v>
      </c>
      <c r="T218" s="28">
        <f t="shared" si="157"/>
        <v>0</v>
      </c>
      <c r="U218" s="28">
        <f t="shared" si="157"/>
        <v>0</v>
      </c>
      <c r="V218" s="28">
        <f t="shared" si="157"/>
        <v>0</v>
      </c>
      <c r="W218" s="28">
        <f t="shared" si="157"/>
        <v>0</v>
      </c>
      <c r="X218" s="28">
        <f t="shared" si="157"/>
        <v>0</v>
      </c>
      <c r="Y218" s="28">
        <f t="shared" si="157"/>
        <v>0</v>
      </c>
      <c r="Z218" s="28">
        <f t="shared" si="157"/>
        <v>0</v>
      </c>
      <c r="AA218" s="28">
        <f t="shared" si="157"/>
        <v>0</v>
      </c>
      <c r="AB218" s="28">
        <f t="shared" si="157"/>
        <v>0</v>
      </c>
      <c r="AC218" s="28">
        <f t="shared" si="157"/>
        <v>0</v>
      </c>
      <c r="AD218" s="28">
        <f t="shared" si="157"/>
        <v>0</v>
      </c>
      <c r="AE218" s="28">
        <f t="shared" si="157"/>
        <v>0</v>
      </c>
      <c r="AF218" s="298"/>
    </row>
    <row r="219" spans="1:32" ht="15.75" customHeight="1">
      <c r="A219" s="23">
        <f t="shared" si="138"/>
        <v>0</v>
      </c>
      <c r="B219" s="28">
        <f t="shared" ref="B219:AE219" si="158">IF(ISBLANK(CAP_19),0,(SUMIF($B404:$M410,"&gt;"&amp;B244)*(365/12/7))-(COUNTIF($B404:$M410,"&gt;"&amp;B244)*(365/12/7))*B244)</f>
        <v>0</v>
      </c>
      <c r="C219" s="28">
        <f t="shared" si="158"/>
        <v>0</v>
      </c>
      <c r="D219" s="28">
        <f t="shared" si="158"/>
        <v>0</v>
      </c>
      <c r="E219" s="28">
        <f t="shared" si="158"/>
        <v>0</v>
      </c>
      <c r="F219" s="28">
        <f t="shared" si="158"/>
        <v>0</v>
      </c>
      <c r="G219" s="28">
        <f t="shared" si="158"/>
        <v>0</v>
      </c>
      <c r="H219" s="28">
        <f t="shared" si="158"/>
        <v>0</v>
      </c>
      <c r="I219" s="28">
        <f t="shared" si="158"/>
        <v>0</v>
      </c>
      <c r="J219" s="28">
        <f t="shared" si="158"/>
        <v>0</v>
      </c>
      <c r="K219" s="28">
        <f t="shared" si="158"/>
        <v>0</v>
      </c>
      <c r="L219" s="28">
        <f t="shared" si="158"/>
        <v>0</v>
      </c>
      <c r="M219" s="28">
        <f t="shared" si="158"/>
        <v>0</v>
      </c>
      <c r="N219" s="28">
        <f t="shared" si="158"/>
        <v>0</v>
      </c>
      <c r="O219" s="28">
        <f t="shared" si="158"/>
        <v>0</v>
      </c>
      <c r="P219" s="28">
        <f t="shared" si="158"/>
        <v>0</v>
      </c>
      <c r="Q219" s="28">
        <f t="shared" si="158"/>
        <v>0</v>
      </c>
      <c r="R219" s="28">
        <f t="shared" si="158"/>
        <v>0</v>
      </c>
      <c r="S219" s="28">
        <f t="shared" si="158"/>
        <v>0</v>
      </c>
      <c r="T219" s="28">
        <f t="shared" si="158"/>
        <v>0</v>
      </c>
      <c r="U219" s="28">
        <f t="shared" si="158"/>
        <v>0</v>
      </c>
      <c r="V219" s="28">
        <f t="shared" si="158"/>
        <v>0</v>
      </c>
      <c r="W219" s="28">
        <f t="shared" si="158"/>
        <v>0</v>
      </c>
      <c r="X219" s="28">
        <f t="shared" si="158"/>
        <v>0</v>
      </c>
      <c r="Y219" s="28">
        <f t="shared" si="158"/>
        <v>0</v>
      </c>
      <c r="Z219" s="28">
        <f t="shared" si="158"/>
        <v>0</v>
      </c>
      <c r="AA219" s="28">
        <f t="shared" si="158"/>
        <v>0</v>
      </c>
      <c r="AB219" s="28">
        <f t="shared" si="158"/>
        <v>0</v>
      </c>
      <c r="AC219" s="28">
        <f t="shared" si="158"/>
        <v>0</v>
      </c>
      <c r="AD219" s="28">
        <f t="shared" si="158"/>
        <v>0</v>
      </c>
      <c r="AE219" s="28">
        <f t="shared" si="158"/>
        <v>0</v>
      </c>
      <c r="AF219" s="298"/>
    </row>
    <row r="220" spans="1:32" ht="15.75" customHeight="1">
      <c r="A220" s="23">
        <f t="shared" si="138"/>
        <v>0</v>
      </c>
      <c r="B220" s="28">
        <f t="shared" ref="B220:AE220" si="159">IF(ISBLANK(CAP_20),0,(SUMIF($B412:$M418,"&gt;"&amp;B245)*(365/12/7))-(COUNTIF($B412:$M418,"&gt;"&amp;B245)*(365/12/7))*B245)</f>
        <v>0</v>
      </c>
      <c r="C220" s="28">
        <f t="shared" si="159"/>
        <v>0</v>
      </c>
      <c r="D220" s="28">
        <f t="shared" si="159"/>
        <v>0</v>
      </c>
      <c r="E220" s="28">
        <f t="shared" si="159"/>
        <v>0</v>
      </c>
      <c r="F220" s="28">
        <f t="shared" si="159"/>
        <v>0</v>
      </c>
      <c r="G220" s="28">
        <f t="shared" si="159"/>
        <v>0</v>
      </c>
      <c r="H220" s="28">
        <f t="shared" si="159"/>
        <v>0</v>
      </c>
      <c r="I220" s="28">
        <f t="shared" si="159"/>
        <v>0</v>
      </c>
      <c r="J220" s="28">
        <f t="shared" si="159"/>
        <v>0</v>
      </c>
      <c r="K220" s="28">
        <f t="shared" si="159"/>
        <v>0</v>
      </c>
      <c r="L220" s="28">
        <f t="shared" si="159"/>
        <v>0</v>
      </c>
      <c r="M220" s="28">
        <f t="shared" si="159"/>
        <v>0</v>
      </c>
      <c r="N220" s="28">
        <f t="shared" si="159"/>
        <v>0</v>
      </c>
      <c r="O220" s="28">
        <f t="shared" si="159"/>
        <v>0</v>
      </c>
      <c r="P220" s="28">
        <f t="shared" si="159"/>
        <v>0</v>
      </c>
      <c r="Q220" s="28">
        <f t="shared" si="159"/>
        <v>0</v>
      </c>
      <c r="R220" s="28">
        <f t="shared" si="159"/>
        <v>0</v>
      </c>
      <c r="S220" s="28">
        <f t="shared" si="159"/>
        <v>0</v>
      </c>
      <c r="T220" s="28">
        <f t="shared" si="159"/>
        <v>0</v>
      </c>
      <c r="U220" s="28">
        <f t="shared" si="159"/>
        <v>0</v>
      </c>
      <c r="V220" s="28">
        <f t="shared" si="159"/>
        <v>0</v>
      </c>
      <c r="W220" s="28">
        <f t="shared" si="159"/>
        <v>0</v>
      </c>
      <c r="X220" s="28">
        <f t="shared" si="159"/>
        <v>0</v>
      </c>
      <c r="Y220" s="28">
        <f t="shared" si="159"/>
        <v>0</v>
      </c>
      <c r="Z220" s="28">
        <f t="shared" si="159"/>
        <v>0</v>
      </c>
      <c r="AA220" s="28">
        <f t="shared" si="159"/>
        <v>0</v>
      </c>
      <c r="AB220" s="28">
        <f t="shared" si="159"/>
        <v>0</v>
      </c>
      <c r="AC220" s="28">
        <f t="shared" si="159"/>
        <v>0</v>
      </c>
      <c r="AD220" s="28">
        <f t="shared" si="159"/>
        <v>0</v>
      </c>
      <c r="AE220" s="28">
        <f t="shared" si="159"/>
        <v>0</v>
      </c>
      <c r="AF220" s="298"/>
    </row>
    <row r="221" spans="1:32" ht="15.75" customHeight="1">
      <c r="A221" s="298"/>
      <c r="B221" s="298"/>
      <c r="C221" s="298"/>
      <c r="D221" s="298"/>
      <c r="E221" s="298"/>
      <c r="F221" s="298"/>
      <c r="G221" s="298"/>
      <c r="H221" s="298"/>
      <c r="I221" s="298"/>
      <c r="J221" s="298"/>
      <c r="K221" s="298"/>
      <c r="L221" s="298"/>
      <c r="M221" s="298"/>
      <c r="N221" s="298"/>
      <c r="O221" s="298"/>
      <c r="P221" s="298"/>
      <c r="Q221" s="298"/>
      <c r="R221" s="298"/>
      <c r="S221" s="298"/>
      <c r="T221" s="298"/>
      <c r="U221" s="298"/>
      <c r="V221" s="298"/>
      <c r="W221" s="298"/>
      <c r="X221" s="298"/>
      <c r="Y221" s="298"/>
      <c r="Z221" s="298"/>
      <c r="AA221" s="298"/>
      <c r="AB221" s="298"/>
      <c r="AC221" s="298"/>
      <c r="AD221" s="298"/>
      <c r="AE221" s="298"/>
      <c r="AF221" s="298"/>
    </row>
    <row r="222" spans="1:32" ht="15.75" customHeight="1">
      <c r="A222" s="484" t="s">
        <v>115</v>
      </c>
      <c r="B222" s="298"/>
      <c r="C222" s="298"/>
      <c r="D222" s="298"/>
      <c r="E222" s="298"/>
      <c r="F222" s="298"/>
      <c r="G222" s="298"/>
      <c r="H222" s="298"/>
      <c r="I222" s="298"/>
      <c r="J222" s="298"/>
      <c r="K222" s="298"/>
      <c r="L222" s="298"/>
      <c r="M222" s="298"/>
      <c r="N222" s="298"/>
      <c r="O222" s="298"/>
      <c r="P222" s="298"/>
      <c r="Q222" s="298"/>
      <c r="R222" s="298"/>
      <c r="S222" s="298"/>
      <c r="T222" s="298"/>
      <c r="U222" s="298"/>
      <c r="V222" s="298"/>
      <c r="W222" s="298"/>
      <c r="X222" s="298"/>
      <c r="Y222" s="298"/>
      <c r="Z222" s="298"/>
      <c r="AA222" s="298"/>
      <c r="AB222" s="298"/>
      <c r="AC222" s="298"/>
      <c r="AD222" s="298"/>
      <c r="AE222" s="298"/>
      <c r="AF222" s="298"/>
    </row>
    <row r="223" spans="1:32" ht="15.75" customHeight="1">
      <c r="A223" s="758" t="s">
        <v>116</v>
      </c>
      <c r="B223" s="759" t="s">
        <v>104</v>
      </c>
      <c r="C223" s="813"/>
      <c r="D223" s="813"/>
      <c r="E223" s="813"/>
      <c r="F223" s="813"/>
      <c r="G223" s="813"/>
      <c r="H223" s="813"/>
      <c r="I223" s="813"/>
      <c r="J223" s="813"/>
      <c r="K223" s="813"/>
      <c r="L223" s="813"/>
      <c r="M223" s="813"/>
      <c r="N223" s="813"/>
      <c r="O223" s="813"/>
      <c r="P223" s="813"/>
      <c r="Q223" s="813"/>
      <c r="R223" s="813"/>
      <c r="S223" s="813"/>
      <c r="T223" s="813"/>
      <c r="U223" s="813"/>
      <c r="V223" s="813"/>
      <c r="W223" s="813"/>
      <c r="X223" s="813"/>
      <c r="Y223" s="813"/>
      <c r="Z223" s="813"/>
      <c r="AA223" s="813"/>
      <c r="AB223" s="813"/>
      <c r="AC223" s="813"/>
      <c r="AD223" s="813"/>
      <c r="AE223" s="813"/>
      <c r="AF223" s="298"/>
    </row>
    <row r="224" spans="1:32" ht="13.5" customHeight="1">
      <c r="A224" s="813"/>
      <c r="B224" s="488">
        <v>1</v>
      </c>
      <c r="C224" s="488">
        <v>2</v>
      </c>
      <c r="D224" s="488">
        <v>3</v>
      </c>
      <c r="E224" s="488">
        <v>4</v>
      </c>
      <c r="F224" s="488">
        <v>5</v>
      </c>
      <c r="G224" s="488">
        <v>6</v>
      </c>
      <c r="H224" s="488">
        <v>7</v>
      </c>
      <c r="I224" s="488">
        <v>8</v>
      </c>
      <c r="J224" s="488">
        <v>9</v>
      </c>
      <c r="K224" s="488">
        <v>10</v>
      </c>
      <c r="L224" s="488">
        <v>11</v>
      </c>
      <c r="M224" s="488">
        <v>12</v>
      </c>
      <c r="N224" s="488">
        <v>13</v>
      </c>
      <c r="O224" s="488">
        <v>14</v>
      </c>
      <c r="P224" s="488">
        <v>15</v>
      </c>
      <c r="Q224" s="488">
        <v>16</v>
      </c>
      <c r="R224" s="488">
        <v>17</v>
      </c>
      <c r="S224" s="488">
        <v>18</v>
      </c>
      <c r="T224" s="488">
        <v>19</v>
      </c>
      <c r="U224" s="488">
        <v>20</v>
      </c>
      <c r="V224" s="488">
        <v>21</v>
      </c>
      <c r="W224" s="488">
        <v>22</v>
      </c>
      <c r="X224" s="488">
        <v>23</v>
      </c>
      <c r="Y224" s="488">
        <v>24</v>
      </c>
      <c r="Z224" s="488">
        <v>25</v>
      </c>
      <c r="AA224" s="488">
        <v>26</v>
      </c>
      <c r="AB224" s="488">
        <v>27</v>
      </c>
      <c r="AC224" s="488">
        <v>28</v>
      </c>
      <c r="AD224" s="488">
        <v>29</v>
      </c>
      <c r="AE224" s="488">
        <v>30</v>
      </c>
      <c r="AF224" s="298"/>
    </row>
    <row r="225" spans="1:32" ht="15.75" customHeight="1">
      <c r="A225" s="12" t="str">
        <f t="shared" ref="A225:A245" si="160">A200</f>
        <v>Demanda de visitação TOTAL</v>
      </c>
      <c r="B225" s="29" t="str">
        <f t="shared" ref="B225:AE225" si="161">IF(ISBLANK(CAP_00),"",CAP_00/B174)</f>
        <v/>
      </c>
      <c r="C225" s="29" t="str">
        <f t="shared" si="161"/>
        <v/>
      </c>
      <c r="D225" s="29" t="str">
        <f t="shared" si="161"/>
        <v/>
      </c>
      <c r="E225" s="29" t="str">
        <f t="shared" si="161"/>
        <v/>
      </c>
      <c r="F225" s="29" t="str">
        <f t="shared" si="161"/>
        <v/>
      </c>
      <c r="G225" s="29" t="str">
        <f t="shared" si="161"/>
        <v/>
      </c>
      <c r="H225" s="29" t="str">
        <f t="shared" si="161"/>
        <v/>
      </c>
      <c r="I225" s="29" t="str">
        <f t="shared" si="161"/>
        <v/>
      </c>
      <c r="J225" s="29" t="str">
        <f t="shared" si="161"/>
        <v/>
      </c>
      <c r="K225" s="29" t="str">
        <f t="shared" si="161"/>
        <v/>
      </c>
      <c r="L225" s="29" t="str">
        <f t="shared" si="161"/>
        <v/>
      </c>
      <c r="M225" s="29" t="str">
        <f t="shared" si="161"/>
        <v/>
      </c>
      <c r="N225" s="29" t="str">
        <f t="shared" si="161"/>
        <v/>
      </c>
      <c r="O225" s="29" t="str">
        <f t="shared" si="161"/>
        <v/>
      </c>
      <c r="P225" s="29" t="str">
        <f t="shared" si="161"/>
        <v/>
      </c>
      <c r="Q225" s="29" t="str">
        <f t="shared" si="161"/>
        <v/>
      </c>
      <c r="R225" s="29" t="str">
        <f t="shared" si="161"/>
        <v/>
      </c>
      <c r="S225" s="29" t="str">
        <f t="shared" si="161"/>
        <v/>
      </c>
      <c r="T225" s="29" t="str">
        <f t="shared" si="161"/>
        <v/>
      </c>
      <c r="U225" s="29" t="str">
        <f t="shared" si="161"/>
        <v/>
      </c>
      <c r="V225" s="29" t="str">
        <f t="shared" si="161"/>
        <v/>
      </c>
      <c r="W225" s="29" t="str">
        <f t="shared" si="161"/>
        <v/>
      </c>
      <c r="X225" s="29" t="str">
        <f t="shared" si="161"/>
        <v/>
      </c>
      <c r="Y225" s="29" t="str">
        <f t="shared" si="161"/>
        <v/>
      </c>
      <c r="Z225" s="29" t="str">
        <f t="shared" si="161"/>
        <v/>
      </c>
      <c r="AA225" s="29" t="str">
        <f t="shared" si="161"/>
        <v/>
      </c>
      <c r="AB225" s="29" t="str">
        <f t="shared" si="161"/>
        <v/>
      </c>
      <c r="AC225" s="29" t="str">
        <f t="shared" si="161"/>
        <v/>
      </c>
      <c r="AD225" s="29" t="str">
        <f t="shared" si="161"/>
        <v/>
      </c>
      <c r="AE225" s="29" t="str">
        <f t="shared" si="161"/>
        <v/>
      </c>
      <c r="AF225" s="298"/>
    </row>
    <row r="226" spans="1:32" ht="15.75" customHeight="1">
      <c r="A226" s="12" t="str">
        <f t="shared" si="160"/>
        <v>Ingresso</v>
      </c>
      <c r="B226" s="28" t="str">
        <f t="shared" ref="B226:AE226" si="162">IF(ISBLANK(CAP_01),"",CAP_01/B175)</f>
        <v/>
      </c>
      <c r="C226" s="28" t="str">
        <f t="shared" si="162"/>
        <v/>
      </c>
      <c r="D226" s="28" t="str">
        <f t="shared" si="162"/>
        <v/>
      </c>
      <c r="E226" s="28" t="str">
        <f t="shared" si="162"/>
        <v/>
      </c>
      <c r="F226" s="28" t="str">
        <f t="shared" si="162"/>
        <v/>
      </c>
      <c r="G226" s="28" t="str">
        <f t="shared" si="162"/>
        <v/>
      </c>
      <c r="H226" s="28" t="str">
        <f t="shared" si="162"/>
        <v/>
      </c>
      <c r="I226" s="28" t="str">
        <f t="shared" si="162"/>
        <v/>
      </c>
      <c r="J226" s="28" t="str">
        <f t="shared" si="162"/>
        <v/>
      </c>
      <c r="K226" s="28" t="str">
        <f t="shared" si="162"/>
        <v/>
      </c>
      <c r="L226" s="28" t="str">
        <f t="shared" si="162"/>
        <v/>
      </c>
      <c r="M226" s="28" t="str">
        <f t="shared" si="162"/>
        <v/>
      </c>
      <c r="N226" s="28" t="str">
        <f t="shared" si="162"/>
        <v/>
      </c>
      <c r="O226" s="28" t="str">
        <f t="shared" si="162"/>
        <v/>
      </c>
      <c r="P226" s="28" t="str">
        <f t="shared" si="162"/>
        <v/>
      </c>
      <c r="Q226" s="28" t="str">
        <f t="shared" si="162"/>
        <v/>
      </c>
      <c r="R226" s="28" t="str">
        <f t="shared" si="162"/>
        <v/>
      </c>
      <c r="S226" s="28" t="str">
        <f t="shared" si="162"/>
        <v/>
      </c>
      <c r="T226" s="28" t="str">
        <f t="shared" si="162"/>
        <v/>
      </c>
      <c r="U226" s="28" t="str">
        <f t="shared" si="162"/>
        <v/>
      </c>
      <c r="V226" s="28" t="str">
        <f t="shared" si="162"/>
        <v/>
      </c>
      <c r="W226" s="28" t="str">
        <f t="shared" si="162"/>
        <v/>
      </c>
      <c r="X226" s="28" t="str">
        <f t="shared" si="162"/>
        <v/>
      </c>
      <c r="Y226" s="28" t="str">
        <f t="shared" si="162"/>
        <v/>
      </c>
      <c r="Z226" s="28" t="str">
        <f t="shared" si="162"/>
        <v/>
      </c>
      <c r="AA226" s="28" t="str">
        <f t="shared" si="162"/>
        <v/>
      </c>
      <c r="AB226" s="28" t="str">
        <f t="shared" si="162"/>
        <v/>
      </c>
      <c r="AC226" s="28" t="str">
        <f t="shared" si="162"/>
        <v/>
      </c>
      <c r="AD226" s="28" t="str">
        <f t="shared" si="162"/>
        <v/>
      </c>
      <c r="AE226" s="28" t="str">
        <f t="shared" si="162"/>
        <v/>
      </c>
      <c r="AF226" s="298"/>
    </row>
    <row r="227" spans="1:32" ht="15.75" customHeight="1">
      <c r="A227" s="12" t="str">
        <f t="shared" si="160"/>
        <v>Preá - Alimentação</v>
      </c>
      <c r="B227" s="28" t="str">
        <f t="shared" ref="B227:AE227" si="163">IF(ISBLANK(CAP_02),"",CAP_02/B176)</f>
        <v/>
      </c>
      <c r="C227" s="28" t="str">
        <f t="shared" si="163"/>
        <v/>
      </c>
      <c r="D227" s="28" t="str">
        <f t="shared" si="163"/>
        <v/>
      </c>
      <c r="E227" s="28" t="str">
        <f t="shared" si="163"/>
        <v/>
      </c>
      <c r="F227" s="28" t="str">
        <f t="shared" si="163"/>
        <v/>
      </c>
      <c r="G227" s="28" t="str">
        <f t="shared" si="163"/>
        <v/>
      </c>
      <c r="H227" s="28" t="str">
        <f t="shared" si="163"/>
        <v/>
      </c>
      <c r="I227" s="28" t="str">
        <f t="shared" si="163"/>
        <v/>
      </c>
      <c r="J227" s="28" t="str">
        <f t="shared" si="163"/>
        <v/>
      </c>
      <c r="K227" s="28" t="str">
        <f t="shared" si="163"/>
        <v/>
      </c>
      <c r="L227" s="28" t="str">
        <f t="shared" si="163"/>
        <v/>
      </c>
      <c r="M227" s="28" t="str">
        <f t="shared" si="163"/>
        <v/>
      </c>
      <c r="N227" s="28" t="str">
        <f t="shared" si="163"/>
        <v/>
      </c>
      <c r="O227" s="28" t="str">
        <f t="shared" si="163"/>
        <v/>
      </c>
      <c r="P227" s="28" t="str">
        <f t="shared" si="163"/>
        <v/>
      </c>
      <c r="Q227" s="28" t="str">
        <f t="shared" si="163"/>
        <v/>
      </c>
      <c r="R227" s="28" t="str">
        <f t="shared" si="163"/>
        <v/>
      </c>
      <c r="S227" s="28" t="str">
        <f t="shared" si="163"/>
        <v/>
      </c>
      <c r="T227" s="28" t="str">
        <f t="shared" si="163"/>
        <v/>
      </c>
      <c r="U227" s="28" t="str">
        <f t="shared" si="163"/>
        <v/>
      </c>
      <c r="V227" s="28" t="str">
        <f t="shared" si="163"/>
        <v/>
      </c>
      <c r="W227" s="28" t="str">
        <f t="shared" si="163"/>
        <v/>
      </c>
      <c r="X227" s="28" t="str">
        <f t="shared" si="163"/>
        <v/>
      </c>
      <c r="Y227" s="28" t="str">
        <f t="shared" si="163"/>
        <v/>
      </c>
      <c r="Z227" s="28" t="str">
        <f t="shared" si="163"/>
        <v/>
      </c>
      <c r="AA227" s="28" t="str">
        <f t="shared" si="163"/>
        <v/>
      </c>
      <c r="AB227" s="28" t="str">
        <f t="shared" si="163"/>
        <v/>
      </c>
      <c r="AC227" s="28" t="str">
        <f t="shared" si="163"/>
        <v/>
      </c>
      <c r="AD227" s="28" t="str">
        <f t="shared" si="163"/>
        <v/>
      </c>
      <c r="AE227" s="28" t="str">
        <f t="shared" si="163"/>
        <v/>
      </c>
      <c r="AF227" s="298"/>
    </row>
    <row r="228" spans="1:32" ht="15.75" customHeight="1">
      <c r="A228" s="12" t="str">
        <f t="shared" si="160"/>
        <v>Preá - Comércio</v>
      </c>
      <c r="B228" s="28" t="str">
        <f t="shared" ref="B228:AE228" si="164">IF(ISBLANK(CAP_03),"",CAP_03/B177)</f>
        <v/>
      </c>
      <c r="C228" s="28" t="str">
        <f t="shared" si="164"/>
        <v/>
      </c>
      <c r="D228" s="28" t="str">
        <f t="shared" si="164"/>
        <v/>
      </c>
      <c r="E228" s="28" t="str">
        <f t="shared" si="164"/>
        <v/>
      </c>
      <c r="F228" s="28" t="str">
        <f t="shared" si="164"/>
        <v/>
      </c>
      <c r="G228" s="28" t="str">
        <f t="shared" si="164"/>
        <v/>
      </c>
      <c r="H228" s="28" t="str">
        <f t="shared" si="164"/>
        <v/>
      </c>
      <c r="I228" s="28" t="str">
        <f t="shared" si="164"/>
        <v/>
      </c>
      <c r="J228" s="28" t="str">
        <f t="shared" si="164"/>
        <v/>
      </c>
      <c r="K228" s="28" t="str">
        <f t="shared" si="164"/>
        <v/>
      </c>
      <c r="L228" s="28" t="str">
        <f t="shared" si="164"/>
        <v/>
      </c>
      <c r="M228" s="28" t="str">
        <f t="shared" si="164"/>
        <v/>
      </c>
      <c r="N228" s="28" t="str">
        <f t="shared" si="164"/>
        <v/>
      </c>
      <c r="O228" s="28" t="str">
        <f t="shared" si="164"/>
        <v/>
      </c>
      <c r="P228" s="28" t="str">
        <f t="shared" si="164"/>
        <v/>
      </c>
      <c r="Q228" s="28" t="str">
        <f t="shared" si="164"/>
        <v/>
      </c>
      <c r="R228" s="28" t="str">
        <f t="shared" si="164"/>
        <v/>
      </c>
      <c r="S228" s="28" t="str">
        <f t="shared" si="164"/>
        <v/>
      </c>
      <c r="T228" s="28" t="str">
        <f t="shared" si="164"/>
        <v/>
      </c>
      <c r="U228" s="28" t="str">
        <f t="shared" si="164"/>
        <v/>
      </c>
      <c r="V228" s="28" t="str">
        <f t="shared" si="164"/>
        <v/>
      </c>
      <c r="W228" s="28" t="str">
        <f t="shared" si="164"/>
        <v/>
      </c>
      <c r="X228" s="28" t="str">
        <f t="shared" si="164"/>
        <v/>
      </c>
      <c r="Y228" s="28" t="str">
        <f t="shared" si="164"/>
        <v/>
      </c>
      <c r="Z228" s="28" t="str">
        <f t="shared" si="164"/>
        <v/>
      </c>
      <c r="AA228" s="28" t="str">
        <f t="shared" si="164"/>
        <v/>
      </c>
      <c r="AB228" s="28" t="str">
        <f t="shared" si="164"/>
        <v/>
      </c>
      <c r="AC228" s="28" t="str">
        <f t="shared" si="164"/>
        <v/>
      </c>
      <c r="AD228" s="28" t="str">
        <f t="shared" si="164"/>
        <v/>
      </c>
      <c r="AE228" s="28" t="str">
        <f t="shared" si="164"/>
        <v/>
      </c>
      <c r="AF228" s="298"/>
    </row>
    <row r="229" spans="1:32" ht="15.75" customHeight="1">
      <c r="A229" s="12" t="str">
        <f t="shared" si="160"/>
        <v>Preá - Estacionamento</v>
      </c>
      <c r="B229" s="28" t="str">
        <f t="shared" ref="B229:AE229" si="165">IF(ISBLANK(CAP_04),"",CAP_04/B178)</f>
        <v/>
      </c>
      <c r="C229" s="28" t="str">
        <f t="shared" si="165"/>
        <v/>
      </c>
      <c r="D229" s="28" t="str">
        <f t="shared" si="165"/>
        <v/>
      </c>
      <c r="E229" s="28" t="str">
        <f t="shared" si="165"/>
        <v/>
      </c>
      <c r="F229" s="28" t="str">
        <f t="shared" si="165"/>
        <v/>
      </c>
      <c r="G229" s="28" t="str">
        <f t="shared" si="165"/>
        <v/>
      </c>
      <c r="H229" s="28" t="str">
        <f t="shared" si="165"/>
        <v/>
      </c>
      <c r="I229" s="28" t="str">
        <f t="shared" si="165"/>
        <v/>
      </c>
      <c r="J229" s="28" t="str">
        <f t="shared" si="165"/>
        <v/>
      </c>
      <c r="K229" s="28" t="str">
        <f t="shared" si="165"/>
        <v/>
      </c>
      <c r="L229" s="28" t="str">
        <f t="shared" si="165"/>
        <v/>
      </c>
      <c r="M229" s="28" t="str">
        <f t="shared" si="165"/>
        <v/>
      </c>
      <c r="N229" s="28" t="str">
        <f t="shared" si="165"/>
        <v/>
      </c>
      <c r="O229" s="28" t="str">
        <f t="shared" si="165"/>
        <v/>
      </c>
      <c r="P229" s="28" t="str">
        <f t="shared" si="165"/>
        <v/>
      </c>
      <c r="Q229" s="28" t="str">
        <f t="shared" si="165"/>
        <v/>
      </c>
      <c r="R229" s="28" t="str">
        <f t="shared" si="165"/>
        <v/>
      </c>
      <c r="S229" s="28" t="str">
        <f t="shared" si="165"/>
        <v/>
      </c>
      <c r="T229" s="28" t="str">
        <f t="shared" si="165"/>
        <v/>
      </c>
      <c r="U229" s="28" t="str">
        <f t="shared" si="165"/>
        <v/>
      </c>
      <c r="V229" s="28" t="str">
        <f t="shared" si="165"/>
        <v/>
      </c>
      <c r="W229" s="28" t="str">
        <f t="shared" si="165"/>
        <v/>
      </c>
      <c r="X229" s="28" t="str">
        <f t="shared" si="165"/>
        <v/>
      </c>
      <c r="Y229" s="28" t="str">
        <f t="shared" si="165"/>
        <v/>
      </c>
      <c r="Z229" s="28" t="str">
        <f t="shared" si="165"/>
        <v/>
      </c>
      <c r="AA229" s="28" t="str">
        <f t="shared" si="165"/>
        <v/>
      </c>
      <c r="AB229" s="28" t="str">
        <f t="shared" si="165"/>
        <v/>
      </c>
      <c r="AC229" s="28" t="str">
        <f t="shared" si="165"/>
        <v/>
      </c>
      <c r="AD229" s="28" t="str">
        <f t="shared" si="165"/>
        <v/>
      </c>
      <c r="AE229" s="28" t="str">
        <f t="shared" si="165"/>
        <v/>
      </c>
      <c r="AF229" s="298"/>
    </row>
    <row r="230" spans="1:32" ht="15.75" customHeight="1">
      <c r="A230" s="12" t="str">
        <f t="shared" si="160"/>
        <v>Árvore da Preguiça - Alimentação</v>
      </c>
      <c r="B230" s="28" t="str">
        <f t="shared" ref="B230:AE230" si="166">IF(ISBLANK(CAP_05),"",CAP_05/B179)</f>
        <v/>
      </c>
      <c r="C230" s="28" t="str">
        <f t="shared" si="166"/>
        <v/>
      </c>
      <c r="D230" s="28" t="str">
        <f t="shared" si="166"/>
        <v/>
      </c>
      <c r="E230" s="28" t="str">
        <f t="shared" si="166"/>
        <v/>
      </c>
      <c r="F230" s="28" t="str">
        <f t="shared" si="166"/>
        <v/>
      </c>
      <c r="G230" s="28" t="str">
        <f t="shared" si="166"/>
        <v/>
      </c>
      <c r="H230" s="28" t="str">
        <f t="shared" si="166"/>
        <v/>
      </c>
      <c r="I230" s="28" t="str">
        <f t="shared" si="166"/>
        <v/>
      </c>
      <c r="J230" s="28" t="str">
        <f t="shared" si="166"/>
        <v/>
      </c>
      <c r="K230" s="28" t="str">
        <f t="shared" si="166"/>
        <v/>
      </c>
      <c r="L230" s="28" t="str">
        <f t="shared" si="166"/>
        <v/>
      </c>
      <c r="M230" s="28" t="str">
        <f t="shared" si="166"/>
        <v/>
      </c>
      <c r="N230" s="28" t="str">
        <f t="shared" si="166"/>
        <v/>
      </c>
      <c r="O230" s="28" t="str">
        <f t="shared" si="166"/>
        <v/>
      </c>
      <c r="P230" s="28" t="str">
        <f t="shared" si="166"/>
        <v/>
      </c>
      <c r="Q230" s="28" t="str">
        <f t="shared" si="166"/>
        <v/>
      </c>
      <c r="R230" s="28" t="str">
        <f t="shared" si="166"/>
        <v/>
      </c>
      <c r="S230" s="28" t="str">
        <f t="shared" si="166"/>
        <v/>
      </c>
      <c r="T230" s="28" t="str">
        <f t="shared" si="166"/>
        <v/>
      </c>
      <c r="U230" s="28" t="str">
        <f t="shared" si="166"/>
        <v/>
      </c>
      <c r="V230" s="28" t="str">
        <f t="shared" si="166"/>
        <v/>
      </c>
      <c r="W230" s="28" t="str">
        <f t="shared" si="166"/>
        <v/>
      </c>
      <c r="X230" s="28" t="str">
        <f t="shared" si="166"/>
        <v/>
      </c>
      <c r="Y230" s="28" t="str">
        <f t="shared" si="166"/>
        <v/>
      </c>
      <c r="Z230" s="28" t="str">
        <f t="shared" si="166"/>
        <v/>
      </c>
      <c r="AA230" s="28" t="str">
        <f t="shared" si="166"/>
        <v/>
      </c>
      <c r="AB230" s="28" t="str">
        <f t="shared" si="166"/>
        <v/>
      </c>
      <c r="AC230" s="28" t="str">
        <f t="shared" si="166"/>
        <v/>
      </c>
      <c r="AD230" s="28" t="str">
        <f t="shared" si="166"/>
        <v/>
      </c>
      <c r="AE230" s="28" t="str">
        <f t="shared" si="166"/>
        <v/>
      </c>
      <c r="AF230" s="298"/>
    </row>
    <row r="231" spans="1:32" ht="15.75" customHeight="1">
      <c r="A231" s="12" t="str">
        <f t="shared" si="160"/>
        <v>Árvore da Preguiça - Comércio</v>
      </c>
      <c r="B231" s="28" t="str">
        <f t="shared" ref="B231:AE231" si="167">IF(ISBLANK(CAP_06),"",CAP_06/B180)</f>
        <v/>
      </c>
      <c r="C231" s="28" t="str">
        <f t="shared" si="167"/>
        <v/>
      </c>
      <c r="D231" s="28" t="str">
        <f t="shared" si="167"/>
        <v/>
      </c>
      <c r="E231" s="28" t="str">
        <f t="shared" si="167"/>
        <v/>
      </c>
      <c r="F231" s="28" t="str">
        <f t="shared" si="167"/>
        <v/>
      </c>
      <c r="G231" s="28" t="str">
        <f t="shared" si="167"/>
        <v/>
      </c>
      <c r="H231" s="28" t="str">
        <f t="shared" si="167"/>
        <v/>
      </c>
      <c r="I231" s="28" t="str">
        <f t="shared" si="167"/>
        <v/>
      </c>
      <c r="J231" s="28" t="str">
        <f t="shared" si="167"/>
        <v/>
      </c>
      <c r="K231" s="28" t="str">
        <f t="shared" si="167"/>
        <v/>
      </c>
      <c r="L231" s="28" t="str">
        <f t="shared" si="167"/>
        <v/>
      </c>
      <c r="M231" s="28" t="str">
        <f t="shared" si="167"/>
        <v/>
      </c>
      <c r="N231" s="28" t="str">
        <f t="shared" si="167"/>
        <v/>
      </c>
      <c r="O231" s="28" t="str">
        <f t="shared" si="167"/>
        <v/>
      </c>
      <c r="P231" s="28" t="str">
        <f t="shared" si="167"/>
        <v/>
      </c>
      <c r="Q231" s="28" t="str">
        <f t="shared" si="167"/>
        <v/>
      </c>
      <c r="R231" s="28" t="str">
        <f t="shared" si="167"/>
        <v/>
      </c>
      <c r="S231" s="28" t="str">
        <f t="shared" si="167"/>
        <v/>
      </c>
      <c r="T231" s="28" t="str">
        <f t="shared" si="167"/>
        <v/>
      </c>
      <c r="U231" s="28" t="str">
        <f t="shared" si="167"/>
        <v/>
      </c>
      <c r="V231" s="28" t="str">
        <f t="shared" si="167"/>
        <v/>
      </c>
      <c r="W231" s="28" t="str">
        <f t="shared" si="167"/>
        <v/>
      </c>
      <c r="X231" s="28" t="str">
        <f t="shared" si="167"/>
        <v/>
      </c>
      <c r="Y231" s="28" t="str">
        <f t="shared" si="167"/>
        <v/>
      </c>
      <c r="Z231" s="28" t="str">
        <f t="shared" si="167"/>
        <v/>
      </c>
      <c r="AA231" s="28" t="str">
        <f t="shared" si="167"/>
        <v/>
      </c>
      <c r="AB231" s="28" t="str">
        <f t="shared" si="167"/>
        <v/>
      </c>
      <c r="AC231" s="28" t="str">
        <f t="shared" si="167"/>
        <v/>
      </c>
      <c r="AD231" s="28" t="str">
        <f t="shared" si="167"/>
        <v/>
      </c>
      <c r="AE231" s="28" t="str">
        <f t="shared" si="167"/>
        <v/>
      </c>
      <c r="AF231" s="298"/>
    </row>
    <row r="232" spans="1:32" ht="15.75" customHeight="1">
      <c r="A232" s="12" t="str">
        <f t="shared" si="160"/>
        <v>Silveira - Alimentação</v>
      </c>
      <c r="B232" s="28" t="str">
        <f t="shared" ref="B232:AE232" si="168">IF(ISBLANK(CAP_07),"",CAP_07/B181)</f>
        <v/>
      </c>
      <c r="C232" s="28" t="str">
        <f t="shared" si="168"/>
        <v/>
      </c>
      <c r="D232" s="28" t="str">
        <f t="shared" si="168"/>
        <v/>
      </c>
      <c r="E232" s="28" t="str">
        <f t="shared" si="168"/>
        <v/>
      </c>
      <c r="F232" s="28" t="str">
        <f t="shared" si="168"/>
        <v/>
      </c>
      <c r="G232" s="28" t="str">
        <f t="shared" si="168"/>
        <v/>
      </c>
      <c r="H232" s="28" t="str">
        <f t="shared" si="168"/>
        <v/>
      </c>
      <c r="I232" s="28" t="str">
        <f t="shared" si="168"/>
        <v/>
      </c>
      <c r="J232" s="28" t="str">
        <f t="shared" si="168"/>
        <v/>
      </c>
      <c r="K232" s="28" t="str">
        <f t="shared" si="168"/>
        <v/>
      </c>
      <c r="L232" s="28" t="str">
        <f t="shared" si="168"/>
        <v/>
      </c>
      <c r="M232" s="28" t="str">
        <f t="shared" si="168"/>
        <v/>
      </c>
      <c r="N232" s="28" t="str">
        <f t="shared" si="168"/>
        <v/>
      </c>
      <c r="O232" s="28" t="str">
        <f t="shared" si="168"/>
        <v/>
      </c>
      <c r="P232" s="28" t="str">
        <f t="shared" si="168"/>
        <v/>
      </c>
      <c r="Q232" s="28" t="str">
        <f t="shared" si="168"/>
        <v/>
      </c>
      <c r="R232" s="28" t="str">
        <f t="shared" si="168"/>
        <v/>
      </c>
      <c r="S232" s="28" t="str">
        <f t="shared" si="168"/>
        <v/>
      </c>
      <c r="T232" s="28" t="str">
        <f t="shared" si="168"/>
        <v/>
      </c>
      <c r="U232" s="28" t="str">
        <f t="shared" si="168"/>
        <v/>
      </c>
      <c r="V232" s="28" t="str">
        <f t="shared" si="168"/>
        <v/>
      </c>
      <c r="W232" s="28" t="str">
        <f t="shared" si="168"/>
        <v/>
      </c>
      <c r="X232" s="28" t="str">
        <f t="shared" si="168"/>
        <v/>
      </c>
      <c r="Y232" s="28" t="str">
        <f t="shared" si="168"/>
        <v/>
      </c>
      <c r="Z232" s="28" t="str">
        <f t="shared" si="168"/>
        <v/>
      </c>
      <c r="AA232" s="28" t="str">
        <f t="shared" si="168"/>
        <v/>
      </c>
      <c r="AB232" s="28" t="str">
        <f t="shared" si="168"/>
        <v/>
      </c>
      <c r="AC232" s="28" t="str">
        <f t="shared" si="168"/>
        <v/>
      </c>
      <c r="AD232" s="28" t="str">
        <f t="shared" si="168"/>
        <v/>
      </c>
      <c r="AE232" s="28" t="str">
        <f t="shared" si="168"/>
        <v/>
      </c>
      <c r="AF232" s="298"/>
    </row>
    <row r="233" spans="1:32" ht="15.75" customHeight="1">
      <c r="A233" s="12" t="str">
        <f t="shared" si="160"/>
        <v>Silveira - Comércio + Locação + Atividades</v>
      </c>
      <c r="B233" s="28" t="str">
        <f t="shared" ref="B233:AE233" si="169">IF(ISBLANK(CAP_08),"",CAP_08/B182)</f>
        <v/>
      </c>
      <c r="C233" s="28" t="str">
        <f t="shared" si="169"/>
        <v/>
      </c>
      <c r="D233" s="28" t="str">
        <f t="shared" si="169"/>
        <v/>
      </c>
      <c r="E233" s="28" t="str">
        <f t="shared" si="169"/>
        <v/>
      </c>
      <c r="F233" s="28" t="str">
        <f t="shared" si="169"/>
        <v/>
      </c>
      <c r="G233" s="28" t="str">
        <f t="shared" si="169"/>
        <v/>
      </c>
      <c r="H233" s="28" t="str">
        <f t="shared" si="169"/>
        <v/>
      </c>
      <c r="I233" s="28" t="str">
        <f t="shared" si="169"/>
        <v/>
      </c>
      <c r="J233" s="28" t="str">
        <f t="shared" si="169"/>
        <v/>
      </c>
      <c r="K233" s="28" t="str">
        <f t="shared" si="169"/>
        <v/>
      </c>
      <c r="L233" s="28" t="str">
        <f t="shared" si="169"/>
        <v/>
      </c>
      <c r="M233" s="28" t="str">
        <f t="shared" si="169"/>
        <v/>
      </c>
      <c r="N233" s="28" t="str">
        <f t="shared" si="169"/>
        <v/>
      </c>
      <c r="O233" s="28" t="str">
        <f t="shared" si="169"/>
        <v/>
      </c>
      <c r="P233" s="28" t="str">
        <f t="shared" si="169"/>
        <v/>
      </c>
      <c r="Q233" s="28" t="str">
        <f t="shared" si="169"/>
        <v/>
      </c>
      <c r="R233" s="28" t="str">
        <f t="shared" si="169"/>
        <v/>
      </c>
      <c r="S233" s="28" t="str">
        <f t="shared" si="169"/>
        <v/>
      </c>
      <c r="T233" s="28" t="str">
        <f t="shared" si="169"/>
        <v/>
      </c>
      <c r="U233" s="28" t="str">
        <f t="shared" si="169"/>
        <v/>
      </c>
      <c r="V233" s="28" t="str">
        <f t="shared" si="169"/>
        <v/>
      </c>
      <c r="W233" s="28" t="str">
        <f t="shared" si="169"/>
        <v/>
      </c>
      <c r="X233" s="28" t="str">
        <f t="shared" si="169"/>
        <v/>
      </c>
      <c r="Y233" s="28" t="str">
        <f t="shared" si="169"/>
        <v/>
      </c>
      <c r="Z233" s="28" t="str">
        <f t="shared" si="169"/>
        <v/>
      </c>
      <c r="AA233" s="28" t="str">
        <f t="shared" si="169"/>
        <v/>
      </c>
      <c r="AB233" s="28" t="str">
        <f t="shared" si="169"/>
        <v/>
      </c>
      <c r="AC233" s="28" t="str">
        <f t="shared" si="169"/>
        <v/>
      </c>
      <c r="AD233" s="28" t="str">
        <f t="shared" si="169"/>
        <v/>
      </c>
      <c r="AE233" s="28" t="str">
        <f t="shared" si="169"/>
        <v/>
      </c>
      <c r="AF233" s="298"/>
    </row>
    <row r="234" spans="1:32" ht="15.75" customHeight="1">
      <c r="A234" s="12" t="str">
        <f t="shared" si="160"/>
        <v>Silveira - Hospedagem</v>
      </c>
      <c r="B234" s="28" t="str">
        <f t="shared" ref="B234:AE234" si="170">IF(ISBLANK(CAP_09),"",CAP_09/B183)</f>
        <v/>
      </c>
      <c r="C234" s="28" t="str">
        <f t="shared" si="170"/>
        <v/>
      </c>
      <c r="D234" s="28" t="str">
        <f t="shared" si="170"/>
        <v/>
      </c>
      <c r="E234" s="28" t="str">
        <f t="shared" si="170"/>
        <v/>
      </c>
      <c r="F234" s="28" t="str">
        <f t="shared" si="170"/>
        <v/>
      </c>
      <c r="G234" s="28" t="str">
        <f t="shared" si="170"/>
        <v/>
      </c>
      <c r="H234" s="28" t="str">
        <f t="shared" si="170"/>
        <v/>
      </c>
      <c r="I234" s="28" t="str">
        <f t="shared" si="170"/>
        <v/>
      </c>
      <c r="J234" s="28" t="str">
        <f t="shared" si="170"/>
        <v/>
      </c>
      <c r="K234" s="28" t="str">
        <f t="shared" si="170"/>
        <v/>
      </c>
      <c r="L234" s="28" t="str">
        <f t="shared" si="170"/>
        <v/>
      </c>
      <c r="M234" s="28" t="str">
        <f t="shared" si="170"/>
        <v/>
      </c>
      <c r="N234" s="28" t="str">
        <f t="shared" si="170"/>
        <v/>
      </c>
      <c r="O234" s="28" t="str">
        <f t="shared" si="170"/>
        <v/>
      </c>
      <c r="P234" s="28" t="str">
        <f t="shared" si="170"/>
        <v/>
      </c>
      <c r="Q234" s="28" t="str">
        <f t="shared" si="170"/>
        <v/>
      </c>
      <c r="R234" s="28" t="str">
        <f t="shared" si="170"/>
        <v/>
      </c>
      <c r="S234" s="28" t="str">
        <f t="shared" si="170"/>
        <v/>
      </c>
      <c r="T234" s="28" t="str">
        <f t="shared" si="170"/>
        <v/>
      </c>
      <c r="U234" s="28" t="str">
        <f t="shared" si="170"/>
        <v/>
      </c>
      <c r="V234" s="28" t="str">
        <f t="shared" si="170"/>
        <v/>
      </c>
      <c r="W234" s="28" t="str">
        <f t="shared" si="170"/>
        <v/>
      </c>
      <c r="X234" s="28" t="str">
        <f t="shared" si="170"/>
        <v/>
      </c>
      <c r="Y234" s="28" t="str">
        <f t="shared" si="170"/>
        <v/>
      </c>
      <c r="Z234" s="28" t="str">
        <f t="shared" si="170"/>
        <v/>
      </c>
      <c r="AA234" s="28" t="str">
        <f t="shared" si="170"/>
        <v/>
      </c>
      <c r="AB234" s="28" t="str">
        <f t="shared" si="170"/>
        <v/>
      </c>
      <c r="AC234" s="28" t="str">
        <f t="shared" si="170"/>
        <v/>
      </c>
      <c r="AD234" s="28" t="str">
        <f t="shared" si="170"/>
        <v/>
      </c>
      <c r="AE234" s="28" t="str">
        <f t="shared" si="170"/>
        <v/>
      </c>
      <c r="AF234" s="298"/>
    </row>
    <row r="235" spans="1:32" ht="15.75" customHeight="1">
      <c r="A235" s="12" t="str">
        <f t="shared" si="160"/>
        <v>Pedra Furada - Alimentação</v>
      </c>
      <c r="B235" s="28" t="str">
        <f t="shared" ref="B235:AE235" si="171">IF(ISBLANK(CAP_10),"",CAP_10/B184)</f>
        <v/>
      </c>
      <c r="C235" s="28" t="str">
        <f t="shared" si="171"/>
        <v/>
      </c>
      <c r="D235" s="28" t="str">
        <f t="shared" si="171"/>
        <v/>
      </c>
      <c r="E235" s="28" t="str">
        <f t="shared" si="171"/>
        <v/>
      </c>
      <c r="F235" s="28" t="str">
        <f t="shared" si="171"/>
        <v/>
      </c>
      <c r="G235" s="28" t="str">
        <f t="shared" si="171"/>
        <v/>
      </c>
      <c r="H235" s="28" t="str">
        <f t="shared" si="171"/>
        <v/>
      </c>
      <c r="I235" s="28" t="str">
        <f t="shared" si="171"/>
        <v/>
      </c>
      <c r="J235" s="28" t="str">
        <f t="shared" si="171"/>
        <v/>
      </c>
      <c r="K235" s="28" t="str">
        <f t="shared" si="171"/>
        <v/>
      </c>
      <c r="L235" s="28" t="str">
        <f t="shared" si="171"/>
        <v/>
      </c>
      <c r="M235" s="28" t="str">
        <f t="shared" si="171"/>
        <v/>
      </c>
      <c r="N235" s="28" t="str">
        <f t="shared" si="171"/>
        <v/>
      </c>
      <c r="O235" s="28" t="str">
        <f t="shared" si="171"/>
        <v/>
      </c>
      <c r="P235" s="28" t="str">
        <f t="shared" si="171"/>
        <v/>
      </c>
      <c r="Q235" s="28" t="str">
        <f t="shared" si="171"/>
        <v/>
      </c>
      <c r="R235" s="28" t="str">
        <f t="shared" si="171"/>
        <v/>
      </c>
      <c r="S235" s="28" t="str">
        <f t="shared" si="171"/>
        <v/>
      </c>
      <c r="T235" s="28" t="str">
        <f t="shared" si="171"/>
        <v/>
      </c>
      <c r="U235" s="28" t="str">
        <f t="shared" si="171"/>
        <v/>
      </c>
      <c r="V235" s="28" t="str">
        <f t="shared" si="171"/>
        <v/>
      </c>
      <c r="W235" s="28" t="str">
        <f t="shared" si="171"/>
        <v/>
      </c>
      <c r="X235" s="28" t="str">
        <f t="shared" si="171"/>
        <v/>
      </c>
      <c r="Y235" s="28" t="str">
        <f t="shared" si="171"/>
        <v/>
      </c>
      <c r="Z235" s="28" t="str">
        <f t="shared" si="171"/>
        <v/>
      </c>
      <c r="AA235" s="28" t="str">
        <f t="shared" si="171"/>
        <v/>
      </c>
      <c r="AB235" s="28" t="str">
        <f t="shared" si="171"/>
        <v/>
      </c>
      <c r="AC235" s="28" t="str">
        <f t="shared" si="171"/>
        <v/>
      </c>
      <c r="AD235" s="28" t="str">
        <f t="shared" si="171"/>
        <v/>
      </c>
      <c r="AE235" s="28" t="str">
        <f t="shared" si="171"/>
        <v/>
      </c>
      <c r="AF235" s="298"/>
    </row>
    <row r="236" spans="1:32" ht="15.75" customHeight="1">
      <c r="A236" s="12" t="str">
        <f t="shared" si="160"/>
        <v>Pedra Furada - Comércio</v>
      </c>
      <c r="B236" s="28" t="str">
        <f t="shared" ref="B236:AE236" si="172">IF(ISBLANK(CAP_11),"",CAP_11/B185)</f>
        <v/>
      </c>
      <c r="C236" s="28" t="str">
        <f t="shared" si="172"/>
        <v/>
      </c>
      <c r="D236" s="28" t="str">
        <f t="shared" si="172"/>
        <v/>
      </c>
      <c r="E236" s="28" t="str">
        <f t="shared" si="172"/>
        <v/>
      </c>
      <c r="F236" s="28" t="str">
        <f t="shared" si="172"/>
        <v/>
      </c>
      <c r="G236" s="28" t="str">
        <f t="shared" si="172"/>
        <v/>
      </c>
      <c r="H236" s="28" t="str">
        <f t="shared" si="172"/>
        <v/>
      </c>
      <c r="I236" s="28" t="str">
        <f t="shared" si="172"/>
        <v/>
      </c>
      <c r="J236" s="28" t="str">
        <f t="shared" si="172"/>
        <v/>
      </c>
      <c r="K236" s="28" t="str">
        <f t="shared" si="172"/>
        <v/>
      </c>
      <c r="L236" s="28" t="str">
        <f t="shared" si="172"/>
        <v/>
      </c>
      <c r="M236" s="28" t="str">
        <f t="shared" si="172"/>
        <v/>
      </c>
      <c r="N236" s="28" t="str">
        <f t="shared" si="172"/>
        <v/>
      </c>
      <c r="O236" s="28" t="str">
        <f t="shared" si="172"/>
        <v/>
      </c>
      <c r="P236" s="28" t="str">
        <f t="shared" si="172"/>
        <v/>
      </c>
      <c r="Q236" s="28" t="str">
        <f t="shared" si="172"/>
        <v/>
      </c>
      <c r="R236" s="28" t="str">
        <f t="shared" si="172"/>
        <v/>
      </c>
      <c r="S236" s="28" t="str">
        <f t="shared" si="172"/>
        <v/>
      </c>
      <c r="T236" s="28" t="str">
        <f t="shared" si="172"/>
        <v/>
      </c>
      <c r="U236" s="28" t="str">
        <f t="shared" si="172"/>
        <v/>
      </c>
      <c r="V236" s="28" t="str">
        <f t="shared" si="172"/>
        <v/>
      </c>
      <c r="W236" s="28" t="str">
        <f t="shared" si="172"/>
        <v/>
      </c>
      <c r="X236" s="28" t="str">
        <f t="shared" si="172"/>
        <v/>
      </c>
      <c r="Y236" s="28" t="str">
        <f t="shared" si="172"/>
        <v/>
      </c>
      <c r="Z236" s="28" t="str">
        <f t="shared" si="172"/>
        <v/>
      </c>
      <c r="AA236" s="28" t="str">
        <f t="shared" si="172"/>
        <v/>
      </c>
      <c r="AB236" s="28" t="str">
        <f t="shared" si="172"/>
        <v/>
      </c>
      <c r="AC236" s="28" t="str">
        <f t="shared" si="172"/>
        <v/>
      </c>
      <c r="AD236" s="28" t="str">
        <f t="shared" si="172"/>
        <v/>
      </c>
      <c r="AE236" s="28" t="str">
        <f t="shared" si="172"/>
        <v/>
      </c>
      <c r="AF236" s="298"/>
    </row>
    <row r="237" spans="1:32" ht="15.75" customHeight="1">
      <c r="A237" s="12" t="str">
        <f t="shared" si="160"/>
        <v>Serrote - Alimentação</v>
      </c>
      <c r="B237" s="28" t="str">
        <f t="shared" ref="B237:AE237" si="173">IF(ISBLANK(CAP_12),"",CAP_12/B186)</f>
        <v/>
      </c>
      <c r="C237" s="28" t="str">
        <f t="shared" si="173"/>
        <v/>
      </c>
      <c r="D237" s="28" t="str">
        <f t="shared" si="173"/>
        <v/>
      </c>
      <c r="E237" s="28" t="str">
        <f t="shared" si="173"/>
        <v/>
      </c>
      <c r="F237" s="28" t="str">
        <f t="shared" si="173"/>
        <v/>
      </c>
      <c r="G237" s="28" t="str">
        <f t="shared" si="173"/>
        <v/>
      </c>
      <c r="H237" s="28" t="str">
        <f t="shared" si="173"/>
        <v/>
      </c>
      <c r="I237" s="28" t="str">
        <f t="shared" si="173"/>
        <v/>
      </c>
      <c r="J237" s="28" t="str">
        <f t="shared" si="173"/>
        <v/>
      </c>
      <c r="K237" s="28" t="str">
        <f t="shared" si="173"/>
        <v/>
      </c>
      <c r="L237" s="28" t="str">
        <f t="shared" si="173"/>
        <v/>
      </c>
      <c r="M237" s="28" t="str">
        <f t="shared" si="173"/>
        <v/>
      </c>
      <c r="N237" s="28" t="str">
        <f t="shared" si="173"/>
        <v/>
      </c>
      <c r="O237" s="28" t="str">
        <f t="shared" si="173"/>
        <v/>
      </c>
      <c r="P237" s="28" t="str">
        <f t="shared" si="173"/>
        <v/>
      </c>
      <c r="Q237" s="28" t="str">
        <f t="shared" si="173"/>
        <v/>
      </c>
      <c r="R237" s="28" t="str">
        <f t="shared" si="173"/>
        <v/>
      </c>
      <c r="S237" s="28" t="str">
        <f t="shared" si="173"/>
        <v/>
      </c>
      <c r="T237" s="28" t="str">
        <f t="shared" si="173"/>
        <v/>
      </c>
      <c r="U237" s="28" t="str">
        <f t="shared" si="173"/>
        <v/>
      </c>
      <c r="V237" s="28" t="str">
        <f t="shared" si="173"/>
        <v/>
      </c>
      <c r="W237" s="28" t="str">
        <f t="shared" si="173"/>
        <v/>
      </c>
      <c r="X237" s="28" t="str">
        <f t="shared" si="173"/>
        <v/>
      </c>
      <c r="Y237" s="28" t="str">
        <f t="shared" si="173"/>
        <v/>
      </c>
      <c r="Z237" s="28" t="str">
        <f t="shared" si="173"/>
        <v/>
      </c>
      <c r="AA237" s="28" t="str">
        <f t="shared" si="173"/>
        <v/>
      </c>
      <c r="AB237" s="28" t="str">
        <f t="shared" si="173"/>
        <v/>
      </c>
      <c r="AC237" s="28" t="str">
        <f t="shared" si="173"/>
        <v/>
      </c>
      <c r="AD237" s="28" t="str">
        <f t="shared" si="173"/>
        <v/>
      </c>
      <c r="AE237" s="28" t="str">
        <f t="shared" si="173"/>
        <v/>
      </c>
      <c r="AF237" s="298"/>
    </row>
    <row r="238" spans="1:32" ht="15.75" customHeight="1">
      <c r="A238" s="12" t="str">
        <f t="shared" si="160"/>
        <v>Serrote - Comércio</v>
      </c>
      <c r="B238" s="28" t="str">
        <f t="shared" ref="B238:AE238" si="174">IF(ISBLANK(CAP_13),"",CAP_13/B187)</f>
        <v/>
      </c>
      <c r="C238" s="28" t="str">
        <f t="shared" si="174"/>
        <v/>
      </c>
      <c r="D238" s="28" t="str">
        <f t="shared" si="174"/>
        <v/>
      </c>
      <c r="E238" s="28" t="str">
        <f t="shared" si="174"/>
        <v/>
      </c>
      <c r="F238" s="28" t="str">
        <f t="shared" si="174"/>
        <v/>
      </c>
      <c r="G238" s="28" t="str">
        <f t="shared" si="174"/>
        <v/>
      </c>
      <c r="H238" s="28" t="str">
        <f t="shared" si="174"/>
        <v/>
      </c>
      <c r="I238" s="28" t="str">
        <f t="shared" si="174"/>
        <v/>
      </c>
      <c r="J238" s="28" t="str">
        <f t="shared" si="174"/>
        <v/>
      </c>
      <c r="K238" s="28" t="str">
        <f t="shared" si="174"/>
        <v/>
      </c>
      <c r="L238" s="28" t="str">
        <f t="shared" si="174"/>
        <v/>
      </c>
      <c r="M238" s="28" t="str">
        <f t="shared" si="174"/>
        <v/>
      </c>
      <c r="N238" s="28" t="str">
        <f t="shared" si="174"/>
        <v/>
      </c>
      <c r="O238" s="28" t="str">
        <f t="shared" si="174"/>
        <v/>
      </c>
      <c r="P238" s="28" t="str">
        <f t="shared" si="174"/>
        <v/>
      </c>
      <c r="Q238" s="28" t="str">
        <f t="shared" si="174"/>
        <v/>
      </c>
      <c r="R238" s="28" t="str">
        <f t="shared" si="174"/>
        <v/>
      </c>
      <c r="S238" s="28" t="str">
        <f t="shared" si="174"/>
        <v/>
      </c>
      <c r="T238" s="28" t="str">
        <f t="shared" si="174"/>
        <v/>
      </c>
      <c r="U238" s="28" t="str">
        <f t="shared" si="174"/>
        <v/>
      </c>
      <c r="V238" s="28" t="str">
        <f t="shared" si="174"/>
        <v/>
      </c>
      <c r="W238" s="28" t="str">
        <f t="shared" si="174"/>
        <v/>
      </c>
      <c r="X238" s="28" t="str">
        <f t="shared" si="174"/>
        <v/>
      </c>
      <c r="Y238" s="28" t="str">
        <f t="shared" si="174"/>
        <v/>
      </c>
      <c r="Z238" s="28" t="str">
        <f t="shared" si="174"/>
        <v/>
      </c>
      <c r="AA238" s="28" t="str">
        <f t="shared" si="174"/>
        <v/>
      </c>
      <c r="AB238" s="28" t="str">
        <f t="shared" si="174"/>
        <v/>
      </c>
      <c r="AC238" s="28" t="str">
        <f t="shared" si="174"/>
        <v/>
      </c>
      <c r="AD238" s="28" t="str">
        <f t="shared" si="174"/>
        <v/>
      </c>
      <c r="AE238" s="28" t="str">
        <f t="shared" si="174"/>
        <v/>
      </c>
      <c r="AF238" s="298"/>
    </row>
    <row r="239" spans="1:32" ht="15.75" customHeight="1">
      <c r="A239" s="12" t="str">
        <f t="shared" si="160"/>
        <v>Paraíso - Alimentação</v>
      </c>
      <c r="B239" s="28" t="str">
        <f t="shared" ref="B239:AE239" si="175">IF(ISBLANK(CAP_14),"",CAP_14/B188)</f>
        <v/>
      </c>
      <c r="C239" s="28" t="str">
        <f t="shared" si="175"/>
        <v/>
      </c>
      <c r="D239" s="28" t="str">
        <f t="shared" si="175"/>
        <v/>
      </c>
      <c r="E239" s="28" t="str">
        <f t="shared" si="175"/>
        <v/>
      </c>
      <c r="F239" s="28" t="str">
        <f t="shared" si="175"/>
        <v/>
      </c>
      <c r="G239" s="28" t="str">
        <f t="shared" si="175"/>
        <v/>
      </c>
      <c r="H239" s="28" t="str">
        <f t="shared" si="175"/>
        <v/>
      </c>
      <c r="I239" s="28" t="str">
        <f t="shared" si="175"/>
        <v/>
      </c>
      <c r="J239" s="28" t="str">
        <f t="shared" si="175"/>
        <v/>
      </c>
      <c r="K239" s="28" t="str">
        <f t="shared" si="175"/>
        <v/>
      </c>
      <c r="L239" s="28" t="str">
        <f t="shared" si="175"/>
        <v/>
      </c>
      <c r="M239" s="28" t="str">
        <f t="shared" si="175"/>
        <v/>
      </c>
      <c r="N239" s="28" t="str">
        <f t="shared" si="175"/>
        <v/>
      </c>
      <c r="O239" s="28" t="str">
        <f t="shared" si="175"/>
        <v/>
      </c>
      <c r="P239" s="28" t="str">
        <f t="shared" si="175"/>
        <v/>
      </c>
      <c r="Q239" s="28" t="str">
        <f t="shared" si="175"/>
        <v/>
      </c>
      <c r="R239" s="28" t="str">
        <f t="shared" si="175"/>
        <v/>
      </c>
      <c r="S239" s="28" t="str">
        <f t="shared" si="175"/>
        <v/>
      </c>
      <c r="T239" s="28" t="str">
        <f t="shared" si="175"/>
        <v/>
      </c>
      <c r="U239" s="28" t="str">
        <f t="shared" si="175"/>
        <v/>
      </c>
      <c r="V239" s="28" t="str">
        <f t="shared" si="175"/>
        <v/>
      </c>
      <c r="W239" s="28" t="str">
        <f t="shared" si="175"/>
        <v/>
      </c>
      <c r="X239" s="28" t="str">
        <f t="shared" si="175"/>
        <v/>
      </c>
      <c r="Y239" s="28" t="str">
        <f t="shared" si="175"/>
        <v/>
      </c>
      <c r="Z239" s="28" t="str">
        <f t="shared" si="175"/>
        <v/>
      </c>
      <c r="AA239" s="28" t="str">
        <f t="shared" si="175"/>
        <v/>
      </c>
      <c r="AB239" s="28" t="str">
        <f t="shared" si="175"/>
        <v/>
      </c>
      <c r="AC239" s="28" t="str">
        <f t="shared" si="175"/>
        <v/>
      </c>
      <c r="AD239" s="28" t="str">
        <f t="shared" si="175"/>
        <v/>
      </c>
      <c r="AE239" s="28" t="str">
        <f t="shared" si="175"/>
        <v/>
      </c>
      <c r="AF239" s="298"/>
    </row>
    <row r="240" spans="1:32" ht="15.75" customHeight="1">
      <c r="A240" s="12" t="str">
        <f t="shared" si="160"/>
        <v>Paraíso - Comércio + Locação + Atividades</v>
      </c>
      <c r="B240" s="28" t="str">
        <f t="shared" ref="B240:AE240" si="176">IF(ISBLANK(CAP_15),"",CAP_15/B189)</f>
        <v/>
      </c>
      <c r="C240" s="28" t="str">
        <f t="shared" si="176"/>
        <v/>
      </c>
      <c r="D240" s="28" t="str">
        <f t="shared" si="176"/>
        <v/>
      </c>
      <c r="E240" s="28" t="str">
        <f t="shared" si="176"/>
        <v/>
      </c>
      <c r="F240" s="28" t="str">
        <f t="shared" si="176"/>
        <v/>
      </c>
      <c r="G240" s="28" t="str">
        <f t="shared" si="176"/>
        <v/>
      </c>
      <c r="H240" s="28" t="str">
        <f t="shared" si="176"/>
        <v/>
      </c>
      <c r="I240" s="28" t="str">
        <f t="shared" si="176"/>
        <v/>
      </c>
      <c r="J240" s="28" t="str">
        <f t="shared" si="176"/>
        <v/>
      </c>
      <c r="K240" s="28" t="str">
        <f t="shared" si="176"/>
        <v/>
      </c>
      <c r="L240" s="28" t="str">
        <f t="shared" si="176"/>
        <v/>
      </c>
      <c r="M240" s="28" t="str">
        <f t="shared" si="176"/>
        <v/>
      </c>
      <c r="N240" s="28" t="str">
        <f t="shared" si="176"/>
        <v/>
      </c>
      <c r="O240" s="28" t="str">
        <f t="shared" si="176"/>
        <v/>
      </c>
      <c r="P240" s="28" t="str">
        <f t="shared" si="176"/>
        <v/>
      </c>
      <c r="Q240" s="28" t="str">
        <f t="shared" si="176"/>
        <v/>
      </c>
      <c r="R240" s="28" t="str">
        <f t="shared" si="176"/>
        <v/>
      </c>
      <c r="S240" s="28" t="str">
        <f t="shared" si="176"/>
        <v/>
      </c>
      <c r="T240" s="28" t="str">
        <f t="shared" si="176"/>
        <v/>
      </c>
      <c r="U240" s="28" t="str">
        <f t="shared" si="176"/>
        <v/>
      </c>
      <c r="V240" s="28" t="str">
        <f t="shared" si="176"/>
        <v/>
      </c>
      <c r="W240" s="28" t="str">
        <f t="shared" si="176"/>
        <v/>
      </c>
      <c r="X240" s="28" t="str">
        <f t="shared" si="176"/>
        <v/>
      </c>
      <c r="Y240" s="28" t="str">
        <f t="shared" si="176"/>
        <v/>
      </c>
      <c r="Z240" s="28" t="str">
        <f t="shared" si="176"/>
        <v/>
      </c>
      <c r="AA240" s="28" t="str">
        <f t="shared" si="176"/>
        <v/>
      </c>
      <c r="AB240" s="28" t="str">
        <f t="shared" si="176"/>
        <v/>
      </c>
      <c r="AC240" s="28" t="str">
        <f t="shared" si="176"/>
        <v/>
      </c>
      <c r="AD240" s="28" t="str">
        <f t="shared" si="176"/>
        <v/>
      </c>
      <c r="AE240" s="28" t="str">
        <f t="shared" si="176"/>
        <v/>
      </c>
      <c r="AF240" s="298"/>
    </row>
    <row r="241" spans="1:32" ht="15.75" customHeight="1">
      <c r="A241" s="12" t="str">
        <f t="shared" si="160"/>
        <v>Geral - Unidade móvel - Alimentação</v>
      </c>
      <c r="B241" s="28" t="str">
        <f t="shared" ref="B241:AE241" si="177">IF(ISBLANK(CAP_16),"",CAP_16/B190)</f>
        <v/>
      </c>
      <c r="C241" s="28" t="str">
        <f t="shared" si="177"/>
        <v/>
      </c>
      <c r="D241" s="28" t="str">
        <f t="shared" si="177"/>
        <v/>
      </c>
      <c r="E241" s="28" t="str">
        <f t="shared" si="177"/>
        <v/>
      </c>
      <c r="F241" s="28" t="str">
        <f t="shared" si="177"/>
        <v/>
      </c>
      <c r="G241" s="28" t="str">
        <f t="shared" si="177"/>
        <v/>
      </c>
      <c r="H241" s="28" t="str">
        <f t="shared" si="177"/>
        <v/>
      </c>
      <c r="I241" s="28" t="str">
        <f t="shared" si="177"/>
        <v/>
      </c>
      <c r="J241" s="28" t="str">
        <f t="shared" si="177"/>
        <v/>
      </c>
      <c r="K241" s="28" t="str">
        <f t="shared" si="177"/>
        <v/>
      </c>
      <c r="L241" s="28" t="str">
        <f t="shared" si="177"/>
        <v/>
      </c>
      <c r="M241" s="28" t="str">
        <f t="shared" si="177"/>
        <v/>
      </c>
      <c r="N241" s="28" t="str">
        <f t="shared" si="177"/>
        <v/>
      </c>
      <c r="O241" s="28" t="str">
        <f t="shared" si="177"/>
        <v/>
      </c>
      <c r="P241" s="28" t="str">
        <f t="shared" si="177"/>
        <v/>
      </c>
      <c r="Q241" s="28" t="str">
        <f t="shared" si="177"/>
        <v/>
      </c>
      <c r="R241" s="28" t="str">
        <f t="shared" si="177"/>
        <v/>
      </c>
      <c r="S241" s="28" t="str">
        <f t="shared" si="177"/>
        <v/>
      </c>
      <c r="T241" s="28" t="str">
        <f t="shared" si="177"/>
        <v/>
      </c>
      <c r="U241" s="28" t="str">
        <f t="shared" si="177"/>
        <v/>
      </c>
      <c r="V241" s="28" t="str">
        <f t="shared" si="177"/>
        <v/>
      </c>
      <c r="W241" s="28" t="str">
        <f t="shared" si="177"/>
        <v/>
      </c>
      <c r="X241" s="28" t="str">
        <f t="shared" si="177"/>
        <v/>
      </c>
      <c r="Y241" s="28" t="str">
        <f t="shared" si="177"/>
        <v/>
      </c>
      <c r="Z241" s="28" t="str">
        <f t="shared" si="177"/>
        <v/>
      </c>
      <c r="AA241" s="28" t="str">
        <f t="shared" si="177"/>
        <v/>
      </c>
      <c r="AB241" s="28" t="str">
        <f t="shared" si="177"/>
        <v/>
      </c>
      <c r="AC241" s="28" t="str">
        <f t="shared" si="177"/>
        <v/>
      </c>
      <c r="AD241" s="28" t="str">
        <f t="shared" si="177"/>
        <v/>
      </c>
      <c r="AE241" s="28" t="str">
        <f t="shared" si="177"/>
        <v/>
      </c>
      <c r="AF241" s="298"/>
    </row>
    <row r="242" spans="1:32" ht="15.75" customHeight="1">
      <c r="A242" s="12" t="str">
        <f t="shared" si="160"/>
        <v>Mangue Seco - Estacionamento</v>
      </c>
      <c r="B242" s="28" t="str">
        <f t="shared" ref="B242:AE242" si="178">IF(ISBLANK(CAP_17),"",CAP_17/B191)</f>
        <v/>
      </c>
      <c r="C242" s="28" t="str">
        <f t="shared" si="178"/>
        <v/>
      </c>
      <c r="D242" s="28" t="str">
        <f t="shared" si="178"/>
        <v/>
      </c>
      <c r="E242" s="28" t="str">
        <f t="shared" si="178"/>
        <v/>
      </c>
      <c r="F242" s="28" t="str">
        <f t="shared" si="178"/>
        <v/>
      </c>
      <c r="G242" s="28" t="str">
        <f t="shared" si="178"/>
        <v/>
      </c>
      <c r="H242" s="28" t="str">
        <f t="shared" si="178"/>
        <v/>
      </c>
      <c r="I242" s="28" t="str">
        <f t="shared" si="178"/>
        <v/>
      </c>
      <c r="J242" s="28" t="str">
        <f t="shared" si="178"/>
        <v/>
      </c>
      <c r="K242" s="28" t="str">
        <f t="shared" si="178"/>
        <v/>
      </c>
      <c r="L242" s="28" t="str">
        <f t="shared" si="178"/>
        <v/>
      </c>
      <c r="M242" s="28" t="str">
        <f t="shared" si="178"/>
        <v/>
      </c>
      <c r="N242" s="28" t="str">
        <f t="shared" si="178"/>
        <v/>
      </c>
      <c r="O242" s="28" t="str">
        <f t="shared" si="178"/>
        <v/>
      </c>
      <c r="P242" s="28" t="str">
        <f t="shared" si="178"/>
        <v/>
      </c>
      <c r="Q242" s="28" t="str">
        <f t="shared" si="178"/>
        <v/>
      </c>
      <c r="R242" s="28" t="str">
        <f t="shared" si="178"/>
        <v/>
      </c>
      <c r="S242" s="28" t="str">
        <f t="shared" si="178"/>
        <v/>
      </c>
      <c r="T242" s="28" t="str">
        <f t="shared" si="178"/>
        <v/>
      </c>
      <c r="U242" s="28" t="str">
        <f t="shared" si="178"/>
        <v/>
      </c>
      <c r="V242" s="28" t="str">
        <f t="shared" si="178"/>
        <v/>
      </c>
      <c r="W242" s="28" t="str">
        <f t="shared" si="178"/>
        <v/>
      </c>
      <c r="X242" s="28" t="str">
        <f t="shared" si="178"/>
        <v/>
      </c>
      <c r="Y242" s="28" t="str">
        <f t="shared" si="178"/>
        <v/>
      </c>
      <c r="Z242" s="28" t="str">
        <f t="shared" si="178"/>
        <v/>
      </c>
      <c r="AA242" s="28" t="str">
        <f t="shared" si="178"/>
        <v/>
      </c>
      <c r="AB242" s="28" t="str">
        <f t="shared" si="178"/>
        <v/>
      </c>
      <c r="AC242" s="28" t="str">
        <f t="shared" si="178"/>
        <v/>
      </c>
      <c r="AD242" s="28" t="str">
        <f t="shared" si="178"/>
        <v/>
      </c>
      <c r="AE242" s="28" t="str">
        <f t="shared" si="178"/>
        <v/>
      </c>
      <c r="AF242" s="298"/>
    </row>
    <row r="243" spans="1:32" ht="15.75" customHeight="1">
      <c r="A243" s="12" t="str">
        <f t="shared" si="160"/>
        <v>Lagoa Grande - Estacionamento</v>
      </c>
      <c r="B243" s="28" t="str">
        <f t="shared" ref="B243:AE243" si="179">IF(ISBLANK(CAP_18),"",CAP_18/B192)</f>
        <v/>
      </c>
      <c r="C243" s="28" t="str">
        <f t="shared" si="179"/>
        <v/>
      </c>
      <c r="D243" s="28" t="str">
        <f t="shared" si="179"/>
        <v/>
      </c>
      <c r="E243" s="28" t="str">
        <f t="shared" si="179"/>
        <v/>
      </c>
      <c r="F243" s="28" t="str">
        <f t="shared" si="179"/>
        <v/>
      </c>
      <c r="G243" s="28" t="str">
        <f t="shared" si="179"/>
        <v/>
      </c>
      <c r="H243" s="28" t="str">
        <f t="shared" si="179"/>
        <v/>
      </c>
      <c r="I243" s="28" t="str">
        <f t="shared" si="179"/>
        <v/>
      </c>
      <c r="J243" s="28" t="str">
        <f t="shared" si="179"/>
        <v/>
      </c>
      <c r="K243" s="28" t="str">
        <f t="shared" si="179"/>
        <v/>
      </c>
      <c r="L243" s="28" t="str">
        <f t="shared" si="179"/>
        <v/>
      </c>
      <c r="M243" s="28" t="str">
        <f t="shared" si="179"/>
        <v/>
      </c>
      <c r="N243" s="28" t="str">
        <f t="shared" si="179"/>
        <v/>
      </c>
      <c r="O243" s="28" t="str">
        <f t="shared" si="179"/>
        <v/>
      </c>
      <c r="P243" s="28" t="str">
        <f t="shared" si="179"/>
        <v/>
      </c>
      <c r="Q243" s="28" t="str">
        <f t="shared" si="179"/>
        <v/>
      </c>
      <c r="R243" s="28" t="str">
        <f t="shared" si="179"/>
        <v/>
      </c>
      <c r="S243" s="28" t="str">
        <f t="shared" si="179"/>
        <v/>
      </c>
      <c r="T243" s="28" t="str">
        <f t="shared" si="179"/>
        <v/>
      </c>
      <c r="U243" s="28" t="str">
        <f t="shared" si="179"/>
        <v/>
      </c>
      <c r="V243" s="28" t="str">
        <f t="shared" si="179"/>
        <v/>
      </c>
      <c r="W243" s="28" t="str">
        <f t="shared" si="179"/>
        <v/>
      </c>
      <c r="X243" s="28" t="str">
        <f t="shared" si="179"/>
        <v/>
      </c>
      <c r="Y243" s="28" t="str">
        <f t="shared" si="179"/>
        <v/>
      </c>
      <c r="Z243" s="28" t="str">
        <f t="shared" si="179"/>
        <v/>
      </c>
      <c r="AA243" s="28" t="str">
        <f t="shared" si="179"/>
        <v/>
      </c>
      <c r="AB243" s="28" t="str">
        <f t="shared" si="179"/>
        <v/>
      </c>
      <c r="AC243" s="28" t="str">
        <f t="shared" si="179"/>
        <v/>
      </c>
      <c r="AD243" s="28" t="str">
        <f t="shared" si="179"/>
        <v/>
      </c>
      <c r="AE243" s="28" t="str">
        <f t="shared" si="179"/>
        <v/>
      </c>
      <c r="AF243" s="298"/>
    </row>
    <row r="244" spans="1:32" ht="15.75" customHeight="1">
      <c r="A244" s="12">
        <f t="shared" si="160"/>
        <v>0</v>
      </c>
      <c r="B244" s="28" t="str">
        <f t="shared" ref="B244:AE244" si="180">IF(ISBLANK(CAP_19),"",CAP_19/B193)</f>
        <v/>
      </c>
      <c r="C244" s="28" t="str">
        <f t="shared" si="180"/>
        <v/>
      </c>
      <c r="D244" s="28" t="str">
        <f t="shared" si="180"/>
        <v/>
      </c>
      <c r="E244" s="28" t="str">
        <f t="shared" si="180"/>
        <v/>
      </c>
      <c r="F244" s="28" t="str">
        <f t="shared" si="180"/>
        <v/>
      </c>
      <c r="G244" s="28" t="str">
        <f t="shared" si="180"/>
        <v/>
      </c>
      <c r="H244" s="28" t="str">
        <f t="shared" si="180"/>
        <v/>
      </c>
      <c r="I244" s="28" t="str">
        <f t="shared" si="180"/>
        <v/>
      </c>
      <c r="J244" s="28" t="str">
        <f t="shared" si="180"/>
        <v/>
      </c>
      <c r="K244" s="28" t="str">
        <f t="shared" si="180"/>
        <v/>
      </c>
      <c r="L244" s="28" t="str">
        <f t="shared" si="180"/>
        <v/>
      </c>
      <c r="M244" s="28" t="str">
        <f t="shared" si="180"/>
        <v/>
      </c>
      <c r="N244" s="28" t="str">
        <f t="shared" si="180"/>
        <v/>
      </c>
      <c r="O244" s="28" t="str">
        <f t="shared" si="180"/>
        <v/>
      </c>
      <c r="P244" s="28" t="str">
        <f t="shared" si="180"/>
        <v/>
      </c>
      <c r="Q244" s="28" t="str">
        <f t="shared" si="180"/>
        <v/>
      </c>
      <c r="R244" s="28" t="str">
        <f t="shared" si="180"/>
        <v/>
      </c>
      <c r="S244" s="28" t="str">
        <f t="shared" si="180"/>
        <v/>
      </c>
      <c r="T244" s="28" t="str">
        <f t="shared" si="180"/>
        <v/>
      </c>
      <c r="U244" s="28" t="str">
        <f t="shared" si="180"/>
        <v/>
      </c>
      <c r="V244" s="28" t="str">
        <f t="shared" si="180"/>
        <v/>
      </c>
      <c r="W244" s="28" t="str">
        <f t="shared" si="180"/>
        <v/>
      </c>
      <c r="X244" s="28" t="str">
        <f t="shared" si="180"/>
        <v/>
      </c>
      <c r="Y244" s="28" t="str">
        <f t="shared" si="180"/>
        <v/>
      </c>
      <c r="Z244" s="28" t="str">
        <f t="shared" si="180"/>
        <v/>
      </c>
      <c r="AA244" s="28" t="str">
        <f t="shared" si="180"/>
        <v/>
      </c>
      <c r="AB244" s="28" t="str">
        <f t="shared" si="180"/>
        <v/>
      </c>
      <c r="AC244" s="28" t="str">
        <f t="shared" si="180"/>
        <v/>
      </c>
      <c r="AD244" s="28" t="str">
        <f t="shared" si="180"/>
        <v/>
      </c>
      <c r="AE244" s="28" t="str">
        <f t="shared" si="180"/>
        <v/>
      </c>
      <c r="AF244" s="298"/>
    </row>
    <row r="245" spans="1:32" ht="15.75" customHeight="1">
      <c r="A245" s="12">
        <f t="shared" si="160"/>
        <v>0</v>
      </c>
      <c r="B245" s="28" t="str">
        <f t="shared" ref="B245:AE245" si="181">IF(ISBLANK(CAP_20),"",CAP_20/B194)</f>
        <v/>
      </c>
      <c r="C245" s="28" t="str">
        <f t="shared" si="181"/>
        <v/>
      </c>
      <c r="D245" s="28" t="str">
        <f t="shared" si="181"/>
        <v/>
      </c>
      <c r="E245" s="28" t="str">
        <f t="shared" si="181"/>
        <v/>
      </c>
      <c r="F245" s="28" t="str">
        <f t="shared" si="181"/>
        <v/>
      </c>
      <c r="G245" s="28" t="str">
        <f t="shared" si="181"/>
        <v/>
      </c>
      <c r="H245" s="28" t="str">
        <f t="shared" si="181"/>
        <v/>
      </c>
      <c r="I245" s="28" t="str">
        <f t="shared" si="181"/>
        <v/>
      </c>
      <c r="J245" s="28" t="str">
        <f t="shared" si="181"/>
        <v/>
      </c>
      <c r="K245" s="28" t="str">
        <f t="shared" si="181"/>
        <v/>
      </c>
      <c r="L245" s="28" t="str">
        <f t="shared" si="181"/>
        <v/>
      </c>
      <c r="M245" s="28" t="str">
        <f t="shared" si="181"/>
        <v/>
      </c>
      <c r="N245" s="28" t="str">
        <f t="shared" si="181"/>
        <v/>
      </c>
      <c r="O245" s="28" t="str">
        <f t="shared" si="181"/>
        <v/>
      </c>
      <c r="P245" s="28" t="str">
        <f t="shared" si="181"/>
        <v/>
      </c>
      <c r="Q245" s="28" t="str">
        <f t="shared" si="181"/>
        <v/>
      </c>
      <c r="R245" s="28" t="str">
        <f t="shared" si="181"/>
        <v/>
      </c>
      <c r="S245" s="28" t="str">
        <f t="shared" si="181"/>
        <v/>
      </c>
      <c r="T245" s="28" t="str">
        <f t="shared" si="181"/>
        <v/>
      </c>
      <c r="U245" s="28" t="str">
        <f t="shared" si="181"/>
        <v/>
      </c>
      <c r="V245" s="28" t="str">
        <f t="shared" si="181"/>
        <v/>
      </c>
      <c r="W245" s="28" t="str">
        <f t="shared" si="181"/>
        <v/>
      </c>
      <c r="X245" s="28" t="str">
        <f t="shared" si="181"/>
        <v/>
      </c>
      <c r="Y245" s="28" t="str">
        <f t="shared" si="181"/>
        <v/>
      </c>
      <c r="Z245" s="28" t="str">
        <f t="shared" si="181"/>
        <v/>
      </c>
      <c r="AA245" s="28" t="str">
        <f t="shared" si="181"/>
        <v/>
      </c>
      <c r="AB245" s="28" t="str">
        <f t="shared" si="181"/>
        <v/>
      </c>
      <c r="AC245" s="28" t="str">
        <f t="shared" si="181"/>
        <v/>
      </c>
      <c r="AD245" s="28" t="str">
        <f t="shared" si="181"/>
        <v/>
      </c>
      <c r="AE245" s="28" t="str">
        <f t="shared" si="181"/>
        <v/>
      </c>
      <c r="AF245" s="298"/>
    </row>
    <row r="246" spans="1:32" ht="15.75" customHeight="1">
      <c r="A246" s="298"/>
      <c r="B246" s="298"/>
      <c r="C246" s="298"/>
      <c r="D246" s="298"/>
      <c r="E246" s="298"/>
      <c r="F246" s="298"/>
      <c r="G246" s="298"/>
      <c r="H246" s="298"/>
      <c r="I246" s="298"/>
      <c r="J246" s="298"/>
      <c r="K246" s="298"/>
      <c r="L246" s="298"/>
      <c r="M246" s="298"/>
      <c r="N246" s="298"/>
      <c r="O246" s="298"/>
      <c r="P246" s="298"/>
      <c r="Q246" s="298"/>
      <c r="R246" s="298"/>
      <c r="S246" s="298"/>
      <c r="T246" s="298"/>
      <c r="U246" s="298"/>
      <c r="V246" s="298"/>
      <c r="W246" s="298"/>
      <c r="X246" s="298"/>
      <c r="Y246" s="298"/>
      <c r="Z246" s="298"/>
      <c r="AA246" s="298"/>
      <c r="AB246" s="298"/>
      <c r="AC246" s="298"/>
      <c r="AD246" s="298"/>
      <c r="AE246" s="298"/>
      <c r="AF246" s="298"/>
    </row>
    <row r="247" spans="1:32" ht="15.75" customHeight="1">
      <c r="A247" s="298" t="s">
        <v>117</v>
      </c>
      <c r="B247" s="298"/>
      <c r="C247" s="298"/>
      <c r="D247" s="298"/>
      <c r="E247" s="298"/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/>
      <c r="Q247" s="298"/>
      <c r="R247" s="298"/>
      <c r="S247" s="298"/>
      <c r="T247" s="298"/>
      <c r="U247" s="298"/>
      <c r="V247" s="298"/>
      <c r="W247" s="298"/>
      <c r="X247" s="298"/>
      <c r="Y247" s="298"/>
      <c r="Z247" s="298"/>
      <c r="AA247" s="298"/>
      <c r="AB247" s="298"/>
      <c r="AC247" s="298"/>
      <c r="AD247" s="298"/>
      <c r="AE247" s="298"/>
      <c r="AF247" s="298"/>
    </row>
    <row r="248" spans="1:32" ht="15.75" customHeight="1">
      <c r="A248" s="298"/>
      <c r="B248" s="298"/>
      <c r="C248" s="298"/>
      <c r="D248" s="298"/>
      <c r="E248" s="298"/>
      <c r="F248" s="298"/>
      <c r="G248" s="298"/>
      <c r="H248" s="298"/>
      <c r="I248" s="298"/>
      <c r="J248" s="298"/>
      <c r="K248" s="298"/>
      <c r="L248" s="298"/>
      <c r="M248" s="298"/>
      <c r="N248" s="298"/>
      <c r="O248" s="298"/>
      <c r="P248" s="298"/>
      <c r="Q248" s="298"/>
      <c r="R248" s="298"/>
      <c r="S248" s="298"/>
      <c r="T248" s="298"/>
      <c r="U248" s="298"/>
      <c r="V248" s="298"/>
      <c r="W248" s="298"/>
      <c r="X248" s="298"/>
      <c r="Y248" s="298"/>
      <c r="Z248" s="298"/>
      <c r="AA248" s="298"/>
      <c r="AB248" s="298"/>
      <c r="AC248" s="298"/>
      <c r="AD248" s="298"/>
      <c r="AE248" s="298"/>
      <c r="AF248" s="298"/>
    </row>
    <row r="249" spans="1:32" ht="15.75" customHeight="1">
      <c r="A249" s="758" t="s">
        <v>118</v>
      </c>
      <c r="B249" s="759" t="s">
        <v>51</v>
      </c>
      <c r="C249" s="813"/>
      <c r="D249" s="813"/>
      <c r="E249" s="813"/>
      <c r="F249" s="813"/>
      <c r="G249" s="813"/>
      <c r="H249" s="813"/>
      <c r="I249" s="813"/>
      <c r="J249" s="813"/>
      <c r="K249" s="813"/>
      <c r="L249" s="813"/>
      <c r="M249" s="813"/>
      <c r="N249" s="298"/>
      <c r="O249" s="298"/>
      <c r="P249" s="298"/>
      <c r="Q249" s="298"/>
      <c r="R249" s="298"/>
      <c r="S249" s="298"/>
      <c r="T249" s="298"/>
      <c r="U249" s="298"/>
      <c r="V249" s="298"/>
      <c r="W249" s="298"/>
      <c r="X249" s="298"/>
      <c r="Y249" s="298"/>
      <c r="Z249" s="298"/>
      <c r="AA249" s="298"/>
      <c r="AB249" s="298"/>
      <c r="AC249" s="298"/>
      <c r="AD249" s="298"/>
      <c r="AE249" s="298"/>
      <c r="AF249" s="298"/>
    </row>
    <row r="250" spans="1:32" ht="15.75" customHeight="1">
      <c r="A250" s="813"/>
      <c r="B250" s="489" t="s">
        <v>59</v>
      </c>
      <c r="C250" s="489" t="s">
        <v>60</v>
      </c>
      <c r="D250" s="489" t="s">
        <v>61</v>
      </c>
      <c r="E250" s="489" t="s">
        <v>62</v>
      </c>
      <c r="F250" s="489" t="s">
        <v>63</v>
      </c>
      <c r="G250" s="489" t="s">
        <v>64</v>
      </c>
      <c r="H250" s="489" t="s">
        <v>65</v>
      </c>
      <c r="I250" s="489" t="s">
        <v>66</v>
      </c>
      <c r="J250" s="489" t="s">
        <v>67</v>
      </c>
      <c r="K250" s="489" t="s">
        <v>68</v>
      </c>
      <c r="L250" s="489" t="s">
        <v>69</v>
      </c>
      <c r="M250" s="489" t="s">
        <v>70</v>
      </c>
      <c r="N250" s="298"/>
      <c r="O250" s="298"/>
      <c r="P250" s="298"/>
      <c r="Q250" s="298"/>
      <c r="R250" s="298"/>
      <c r="S250" s="298"/>
      <c r="T250" s="298"/>
      <c r="U250" s="298"/>
      <c r="V250" s="298"/>
      <c r="W250" s="298"/>
      <c r="X250" s="298"/>
      <c r="Y250" s="298"/>
      <c r="Z250" s="298"/>
      <c r="AA250" s="298"/>
      <c r="AB250" s="298"/>
      <c r="AC250" s="298"/>
      <c r="AD250" s="298"/>
      <c r="AE250" s="298"/>
      <c r="AF250" s="298"/>
    </row>
    <row r="251" spans="1:32" ht="15.75" customHeight="1">
      <c r="A251" s="12" t="str">
        <f>A19</f>
        <v>Demanda de visitação REGIONAL/TOTAL</v>
      </c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98"/>
      <c r="O251" s="298"/>
      <c r="P251" s="298"/>
      <c r="Q251" s="298"/>
      <c r="R251" s="298"/>
      <c r="S251" s="298"/>
      <c r="T251" s="298"/>
      <c r="U251" s="298"/>
      <c r="V251" s="298"/>
      <c r="W251" s="298"/>
      <c r="X251" s="298"/>
      <c r="Y251" s="298"/>
      <c r="Z251" s="298"/>
      <c r="AA251" s="298"/>
      <c r="AB251" s="298"/>
      <c r="AC251" s="298"/>
      <c r="AD251" s="298"/>
      <c r="AE251" s="298"/>
      <c r="AF251" s="298"/>
    </row>
    <row r="252" spans="1:32" ht="15.75" customHeight="1">
      <c r="A252" s="30" t="s">
        <v>119</v>
      </c>
      <c r="B252" s="31">
        <f t="shared" ref="B252:M252" si="182">IF($A$251=0,0,VLOOKUP($A$251,$A$19:$M$39,B$10+1,0)/(365/12/7)*HLOOKUP($A252,$O$18:$U$39,2,0))</f>
        <v>2.7397260273972599E-3</v>
      </c>
      <c r="C252" s="31">
        <f t="shared" si="182"/>
        <v>2.7397260273972599E-3</v>
      </c>
      <c r="D252" s="31">
        <f t="shared" si="182"/>
        <v>2.7397260273972599E-3</v>
      </c>
      <c r="E252" s="31">
        <f t="shared" si="182"/>
        <v>2.7397260273972599E-3</v>
      </c>
      <c r="F252" s="31">
        <f t="shared" si="182"/>
        <v>2.7397260273972599E-3</v>
      </c>
      <c r="G252" s="31">
        <f t="shared" si="182"/>
        <v>2.7397260273972599E-3</v>
      </c>
      <c r="H252" s="31">
        <f t="shared" si="182"/>
        <v>2.7397260273972599E-3</v>
      </c>
      <c r="I252" s="31">
        <f t="shared" si="182"/>
        <v>2.7397260273972599E-3</v>
      </c>
      <c r="J252" s="31">
        <f t="shared" si="182"/>
        <v>2.7397260273972599E-3</v>
      </c>
      <c r="K252" s="31">
        <f t="shared" si="182"/>
        <v>2.7397260273972599E-3</v>
      </c>
      <c r="L252" s="31">
        <f t="shared" si="182"/>
        <v>2.7397260273972599E-3</v>
      </c>
      <c r="M252" s="31">
        <f t="shared" si="182"/>
        <v>2.7397260273972599E-3</v>
      </c>
      <c r="N252" s="485"/>
      <c r="O252" s="485"/>
      <c r="P252" s="485"/>
      <c r="Q252" s="298"/>
      <c r="R252" s="298"/>
      <c r="S252" s="298"/>
      <c r="T252" s="298"/>
      <c r="U252" s="298"/>
      <c r="V252" s="298"/>
      <c r="W252" s="298"/>
      <c r="X252" s="298"/>
      <c r="Y252" s="298"/>
      <c r="Z252" s="298"/>
      <c r="AA252" s="298"/>
      <c r="AB252" s="298"/>
      <c r="AC252" s="298"/>
      <c r="AD252" s="298"/>
      <c r="AE252" s="298"/>
      <c r="AF252" s="298"/>
    </row>
    <row r="253" spans="1:32" ht="15.75" customHeight="1">
      <c r="A253" s="30" t="s">
        <v>120</v>
      </c>
      <c r="B253" s="31">
        <f t="shared" ref="B253:M253" si="183">IF($A$251=0,0,VLOOKUP($A$251,$A$19:$M$39,B$10+1,0)/(365/12/7)*HLOOKUP($A253,$O$18:$U$39,2,0))</f>
        <v>2.7397260273972599E-3</v>
      </c>
      <c r="C253" s="31">
        <f t="shared" si="183"/>
        <v>2.7397260273972599E-3</v>
      </c>
      <c r="D253" s="31">
        <f t="shared" si="183"/>
        <v>2.7397260273972599E-3</v>
      </c>
      <c r="E253" s="31">
        <f t="shared" si="183"/>
        <v>2.7397260273972599E-3</v>
      </c>
      <c r="F253" s="31">
        <f t="shared" si="183"/>
        <v>2.7397260273972599E-3</v>
      </c>
      <c r="G253" s="31">
        <f t="shared" si="183"/>
        <v>2.7397260273972599E-3</v>
      </c>
      <c r="H253" s="31">
        <f t="shared" si="183"/>
        <v>2.7397260273972599E-3</v>
      </c>
      <c r="I253" s="31">
        <f t="shared" si="183"/>
        <v>2.7397260273972599E-3</v>
      </c>
      <c r="J253" s="31">
        <f t="shared" si="183"/>
        <v>2.7397260273972599E-3</v>
      </c>
      <c r="K253" s="31">
        <f t="shared" si="183"/>
        <v>2.7397260273972599E-3</v>
      </c>
      <c r="L253" s="31">
        <f t="shared" si="183"/>
        <v>2.7397260273972599E-3</v>
      </c>
      <c r="M253" s="31">
        <f t="shared" si="183"/>
        <v>2.7397260273972599E-3</v>
      </c>
      <c r="N253" s="298"/>
      <c r="O253" s="485"/>
      <c r="P253" s="298"/>
      <c r="Q253" s="298"/>
      <c r="R253" s="298"/>
      <c r="S253" s="298"/>
      <c r="T253" s="298"/>
      <c r="U253" s="298"/>
      <c r="V253" s="298"/>
      <c r="W253" s="298"/>
      <c r="X253" s="298"/>
      <c r="Y253" s="298"/>
      <c r="Z253" s="298"/>
      <c r="AA253" s="298"/>
      <c r="AB253" s="298"/>
      <c r="AC253" s="298"/>
      <c r="AD253" s="298"/>
      <c r="AE253" s="298"/>
      <c r="AF253" s="298"/>
    </row>
    <row r="254" spans="1:32" ht="15.75" customHeight="1">
      <c r="A254" s="30" t="s">
        <v>121</v>
      </c>
      <c r="B254" s="31">
        <f t="shared" ref="B254:M254" si="184">IF($A$251=0,0,VLOOKUP($A$251,$A$19:$M$39,B$10+1,0)/(365/12/7)*HLOOKUP($A254,$O$18:$U$39,2,0))</f>
        <v>2.7397260273972599E-3</v>
      </c>
      <c r="C254" s="31">
        <f t="shared" si="184"/>
        <v>2.7397260273972599E-3</v>
      </c>
      <c r="D254" s="31">
        <f t="shared" si="184"/>
        <v>2.7397260273972599E-3</v>
      </c>
      <c r="E254" s="31">
        <f t="shared" si="184"/>
        <v>2.7397260273972599E-3</v>
      </c>
      <c r="F254" s="31">
        <f t="shared" si="184"/>
        <v>2.7397260273972599E-3</v>
      </c>
      <c r="G254" s="31">
        <f t="shared" si="184"/>
        <v>2.7397260273972599E-3</v>
      </c>
      <c r="H254" s="31">
        <f t="shared" si="184"/>
        <v>2.7397260273972599E-3</v>
      </c>
      <c r="I254" s="31">
        <f t="shared" si="184"/>
        <v>2.7397260273972599E-3</v>
      </c>
      <c r="J254" s="31">
        <f t="shared" si="184"/>
        <v>2.7397260273972599E-3</v>
      </c>
      <c r="K254" s="31">
        <f t="shared" si="184"/>
        <v>2.7397260273972599E-3</v>
      </c>
      <c r="L254" s="31">
        <f t="shared" si="184"/>
        <v>2.7397260273972599E-3</v>
      </c>
      <c r="M254" s="31">
        <f t="shared" si="184"/>
        <v>2.7397260273972599E-3</v>
      </c>
      <c r="N254" s="485"/>
      <c r="O254" s="485"/>
      <c r="P254" s="298"/>
      <c r="Q254" s="298"/>
      <c r="R254" s="298"/>
      <c r="S254" s="298"/>
      <c r="T254" s="298"/>
      <c r="U254" s="298"/>
      <c r="V254" s="298"/>
      <c r="W254" s="298"/>
      <c r="X254" s="298"/>
      <c r="Y254" s="298"/>
      <c r="Z254" s="298"/>
      <c r="AA254" s="298"/>
      <c r="AB254" s="298"/>
      <c r="AC254" s="298"/>
      <c r="AD254" s="298"/>
      <c r="AE254" s="298"/>
      <c r="AF254" s="298"/>
    </row>
    <row r="255" spans="1:32" ht="15.75" customHeight="1">
      <c r="A255" s="30" t="s">
        <v>122</v>
      </c>
      <c r="B255" s="31">
        <f t="shared" ref="B255:M255" si="185">IF($A$251=0,0,VLOOKUP($A$251,$A$19:$M$39,B$10+1,0)/(365/12/7)*HLOOKUP($A255,$O$18:$U$39,2,0))</f>
        <v>2.7397260273972599E-3</v>
      </c>
      <c r="C255" s="31">
        <f t="shared" si="185"/>
        <v>2.7397260273972599E-3</v>
      </c>
      <c r="D255" s="31">
        <f t="shared" si="185"/>
        <v>2.7397260273972599E-3</v>
      </c>
      <c r="E255" s="31">
        <f t="shared" si="185"/>
        <v>2.7397260273972599E-3</v>
      </c>
      <c r="F255" s="31">
        <f t="shared" si="185"/>
        <v>2.7397260273972599E-3</v>
      </c>
      <c r="G255" s="31">
        <f t="shared" si="185"/>
        <v>2.7397260273972599E-3</v>
      </c>
      <c r="H255" s="31">
        <f t="shared" si="185"/>
        <v>2.7397260273972599E-3</v>
      </c>
      <c r="I255" s="31">
        <f t="shared" si="185"/>
        <v>2.7397260273972599E-3</v>
      </c>
      <c r="J255" s="31">
        <f t="shared" si="185"/>
        <v>2.7397260273972599E-3</v>
      </c>
      <c r="K255" s="31">
        <f t="shared" si="185"/>
        <v>2.7397260273972599E-3</v>
      </c>
      <c r="L255" s="31">
        <f t="shared" si="185"/>
        <v>2.7397260273972599E-3</v>
      </c>
      <c r="M255" s="31">
        <f t="shared" si="185"/>
        <v>2.7397260273972599E-3</v>
      </c>
      <c r="N255" s="486"/>
      <c r="O255" s="485"/>
      <c r="P255" s="298"/>
      <c r="Q255" s="298"/>
      <c r="R255" s="298"/>
      <c r="S255" s="298"/>
      <c r="T255" s="298"/>
      <c r="U255" s="298"/>
      <c r="V255" s="298"/>
      <c r="W255" s="298"/>
      <c r="X255" s="298"/>
      <c r="Y255" s="298"/>
      <c r="Z255" s="298"/>
      <c r="AA255" s="298"/>
      <c r="AB255" s="298"/>
      <c r="AC255" s="298"/>
      <c r="AD255" s="298"/>
      <c r="AE255" s="298"/>
      <c r="AF255" s="298"/>
    </row>
    <row r="256" spans="1:32" ht="15.75" customHeight="1">
      <c r="A256" s="30" t="s">
        <v>123</v>
      </c>
      <c r="B256" s="31">
        <f t="shared" ref="B256:M256" si="186">IF($A$251=0,0,VLOOKUP($A$251,$A$19:$M$39,B$10+1,0)/(365/12/7)*HLOOKUP($A256,$O$18:$U$39,2,0))</f>
        <v>2.7397260273972599E-3</v>
      </c>
      <c r="C256" s="31">
        <f t="shared" si="186"/>
        <v>2.7397260273972599E-3</v>
      </c>
      <c r="D256" s="31">
        <f t="shared" si="186"/>
        <v>2.7397260273972599E-3</v>
      </c>
      <c r="E256" s="31">
        <f t="shared" si="186"/>
        <v>2.7397260273972599E-3</v>
      </c>
      <c r="F256" s="31">
        <f t="shared" si="186"/>
        <v>2.7397260273972599E-3</v>
      </c>
      <c r="G256" s="31">
        <f t="shared" si="186"/>
        <v>2.7397260273972599E-3</v>
      </c>
      <c r="H256" s="31">
        <f t="shared" si="186"/>
        <v>2.7397260273972599E-3</v>
      </c>
      <c r="I256" s="31">
        <f t="shared" si="186"/>
        <v>2.7397260273972599E-3</v>
      </c>
      <c r="J256" s="31">
        <f t="shared" si="186"/>
        <v>2.7397260273972599E-3</v>
      </c>
      <c r="K256" s="31">
        <f t="shared" si="186"/>
        <v>2.7397260273972599E-3</v>
      </c>
      <c r="L256" s="31">
        <f t="shared" si="186"/>
        <v>2.7397260273972599E-3</v>
      </c>
      <c r="M256" s="31">
        <f t="shared" si="186"/>
        <v>2.7397260273972599E-3</v>
      </c>
      <c r="N256" s="485"/>
      <c r="O256" s="298"/>
      <c r="P256" s="298"/>
      <c r="Q256" s="298"/>
      <c r="R256" s="298"/>
      <c r="S256" s="298"/>
      <c r="T256" s="298"/>
      <c r="U256" s="298"/>
      <c r="V256" s="298"/>
      <c r="W256" s="298"/>
      <c r="X256" s="298"/>
      <c r="Y256" s="298"/>
      <c r="Z256" s="298"/>
      <c r="AA256" s="298"/>
      <c r="AB256" s="298"/>
      <c r="AC256" s="298"/>
      <c r="AD256" s="298"/>
      <c r="AE256" s="298"/>
      <c r="AF256" s="298"/>
    </row>
    <row r="257" spans="1:32" ht="15.75" customHeight="1">
      <c r="A257" s="30" t="s">
        <v>124</v>
      </c>
      <c r="B257" s="31">
        <f t="shared" ref="B257:M257" si="187">IF($A$251=0,0,VLOOKUP($A$251,$A$19:$M$39,B$10+1,0)/(365/12/7)*HLOOKUP($A257,$O$18:$U$39,2,0))</f>
        <v>2.7397260273972599E-3</v>
      </c>
      <c r="C257" s="31">
        <f t="shared" si="187"/>
        <v>2.7397260273972599E-3</v>
      </c>
      <c r="D257" s="31">
        <f t="shared" si="187"/>
        <v>2.7397260273972599E-3</v>
      </c>
      <c r="E257" s="31">
        <f t="shared" si="187"/>
        <v>2.7397260273972599E-3</v>
      </c>
      <c r="F257" s="31">
        <f t="shared" si="187"/>
        <v>2.7397260273972599E-3</v>
      </c>
      <c r="G257" s="31">
        <f t="shared" si="187"/>
        <v>2.7397260273972599E-3</v>
      </c>
      <c r="H257" s="31">
        <f t="shared" si="187"/>
        <v>2.7397260273972599E-3</v>
      </c>
      <c r="I257" s="31">
        <f t="shared" si="187"/>
        <v>2.7397260273972599E-3</v>
      </c>
      <c r="J257" s="31">
        <f t="shared" si="187"/>
        <v>2.7397260273972599E-3</v>
      </c>
      <c r="K257" s="31">
        <f t="shared" si="187"/>
        <v>2.7397260273972599E-3</v>
      </c>
      <c r="L257" s="31">
        <f t="shared" si="187"/>
        <v>2.7397260273972599E-3</v>
      </c>
      <c r="M257" s="31">
        <f t="shared" si="187"/>
        <v>2.7397260273972599E-3</v>
      </c>
      <c r="N257" s="485"/>
      <c r="O257" s="298"/>
      <c r="P257" s="298"/>
      <c r="Q257" s="298"/>
      <c r="R257" s="298"/>
      <c r="S257" s="298"/>
      <c r="T257" s="298"/>
      <c r="U257" s="298"/>
      <c r="V257" s="298"/>
      <c r="W257" s="298"/>
      <c r="X257" s="298"/>
      <c r="Y257" s="298"/>
      <c r="Z257" s="298"/>
      <c r="AA257" s="298"/>
      <c r="AB257" s="298"/>
      <c r="AC257" s="298"/>
      <c r="AD257" s="298"/>
      <c r="AE257" s="298"/>
      <c r="AF257" s="298"/>
    </row>
    <row r="258" spans="1:32" ht="15.75" customHeight="1">
      <c r="A258" s="30" t="s">
        <v>125</v>
      </c>
      <c r="B258" s="31">
        <f t="shared" ref="B258:M258" si="188">IF($A$251=0,0,VLOOKUP($A$251,$A$19:$M$39,B$10+1,0)/(365/12/7)*HLOOKUP($A258,$O$18:$U$39,2,0))</f>
        <v>2.7397260273972599E-3</v>
      </c>
      <c r="C258" s="31">
        <f t="shared" si="188"/>
        <v>2.7397260273972599E-3</v>
      </c>
      <c r="D258" s="31">
        <f t="shared" si="188"/>
        <v>2.7397260273972599E-3</v>
      </c>
      <c r="E258" s="31">
        <f t="shared" si="188"/>
        <v>2.7397260273972599E-3</v>
      </c>
      <c r="F258" s="31">
        <f t="shared" si="188"/>
        <v>2.7397260273972599E-3</v>
      </c>
      <c r="G258" s="31">
        <f t="shared" si="188"/>
        <v>2.7397260273972599E-3</v>
      </c>
      <c r="H258" s="31">
        <f t="shared" si="188"/>
        <v>2.7397260273972599E-3</v>
      </c>
      <c r="I258" s="31">
        <f t="shared" si="188"/>
        <v>2.7397260273972599E-3</v>
      </c>
      <c r="J258" s="31">
        <f t="shared" si="188"/>
        <v>2.7397260273972599E-3</v>
      </c>
      <c r="K258" s="31">
        <f t="shared" si="188"/>
        <v>2.7397260273972599E-3</v>
      </c>
      <c r="L258" s="31">
        <f t="shared" si="188"/>
        <v>2.7397260273972599E-3</v>
      </c>
      <c r="M258" s="31">
        <f t="shared" si="188"/>
        <v>2.7397260273972599E-3</v>
      </c>
      <c r="N258" s="298"/>
      <c r="O258" s="298"/>
      <c r="P258" s="298"/>
      <c r="Q258" s="298"/>
      <c r="R258" s="298"/>
      <c r="S258" s="298"/>
      <c r="T258" s="298"/>
      <c r="U258" s="298"/>
      <c r="V258" s="298"/>
      <c r="W258" s="298"/>
      <c r="X258" s="298"/>
      <c r="Y258" s="298"/>
      <c r="Z258" s="298"/>
      <c r="AA258" s="298"/>
      <c r="AB258" s="298"/>
      <c r="AC258" s="298"/>
      <c r="AD258" s="298"/>
      <c r="AE258" s="298"/>
      <c r="AF258" s="298"/>
    </row>
    <row r="259" spans="1:32" ht="15.75" customHeight="1">
      <c r="A259" s="23" t="str">
        <f>A20</f>
        <v>Ingresso</v>
      </c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98"/>
      <c r="O259" s="298"/>
      <c r="P259" s="298"/>
      <c r="Q259" s="298"/>
      <c r="R259" s="298"/>
      <c r="S259" s="298"/>
      <c r="T259" s="298"/>
      <c r="U259" s="298"/>
      <c r="V259" s="298"/>
      <c r="W259" s="298"/>
      <c r="X259" s="298"/>
      <c r="Y259" s="298"/>
      <c r="Z259" s="298"/>
      <c r="AA259" s="298"/>
      <c r="AB259" s="298"/>
      <c r="AC259" s="298"/>
      <c r="AD259" s="298"/>
      <c r="AE259" s="298"/>
      <c r="AF259" s="298"/>
    </row>
    <row r="260" spans="1:32" ht="15.75" customHeight="1">
      <c r="A260" s="30" t="s">
        <v>119</v>
      </c>
      <c r="B260" s="31">
        <f t="shared" ref="B260:M260" si="189">IF($A$259=0,0,VLOOKUP($A$259,$A$19:$M$39,B$10+1,0)/(365/12/7)*HLOOKUP($A260,$O$18:$U$39,3,0))</f>
        <v>2.7397260273972599E-3</v>
      </c>
      <c r="C260" s="31">
        <f t="shared" si="189"/>
        <v>2.7397260273972599E-3</v>
      </c>
      <c r="D260" s="31">
        <f t="shared" si="189"/>
        <v>2.7397260273972599E-3</v>
      </c>
      <c r="E260" s="31">
        <f t="shared" si="189"/>
        <v>2.7397260273972599E-3</v>
      </c>
      <c r="F260" s="31">
        <f t="shared" si="189"/>
        <v>2.7397260273972599E-3</v>
      </c>
      <c r="G260" s="31">
        <f t="shared" si="189"/>
        <v>2.7397260273972599E-3</v>
      </c>
      <c r="H260" s="31">
        <f t="shared" si="189"/>
        <v>2.7397260273972599E-3</v>
      </c>
      <c r="I260" s="31">
        <f t="shared" si="189"/>
        <v>2.7397260273972599E-3</v>
      </c>
      <c r="J260" s="31">
        <f t="shared" si="189"/>
        <v>2.7397260273972599E-3</v>
      </c>
      <c r="K260" s="31">
        <f t="shared" si="189"/>
        <v>2.7397260273972599E-3</v>
      </c>
      <c r="L260" s="31">
        <f t="shared" si="189"/>
        <v>2.7397260273972599E-3</v>
      </c>
      <c r="M260" s="31">
        <f t="shared" si="189"/>
        <v>2.7397260273972599E-3</v>
      </c>
      <c r="N260" s="298"/>
      <c r="O260" s="298"/>
      <c r="P260" s="298"/>
      <c r="Q260" s="298"/>
      <c r="R260" s="298"/>
      <c r="S260" s="298"/>
      <c r="T260" s="298"/>
      <c r="U260" s="298"/>
      <c r="V260" s="298"/>
      <c r="W260" s="298"/>
      <c r="X260" s="298"/>
      <c r="Y260" s="298"/>
      <c r="Z260" s="298"/>
      <c r="AA260" s="298"/>
      <c r="AB260" s="298"/>
      <c r="AC260" s="298"/>
      <c r="AD260" s="298"/>
      <c r="AE260" s="298"/>
      <c r="AF260" s="298"/>
    </row>
    <row r="261" spans="1:32" ht="15.75" customHeight="1">
      <c r="A261" s="30" t="s">
        <v>120</v>
      </c>
      <c r="B261" s="31">
        <f t="shared" ref="B261:M261" si="190">IF($A$259=0,0,VLOOKUP($A$259,$A$19:$M$39,B$10+1,0)/(365/12/7)*HLOOKUP($A261,$O$18:$U$39,3,0))</f>
        <v>2.7397260273972599E-3</v>
      </c>
      <c r="C261" s="31">
        <f t="shared" si="190"/>
        <v>2.7397260273972599E-3</v>
      </c>
      <c r="D261" s="31">
        <f t="shared" si="190"/>
        <v>2.7397260273972599E-3</v>
      </c>
      <c r="E261" s="31">
        <f t="shared" si="190"/>
        <v>2.7397260273972599E-3</v>
      </c>
      <c r="F261" s="31">
        <f t="shared" si="190"/>
        <v>2.7397260273972599E-3</v>
      </c>
      <c r="G261" s="31">
        <f t="shared" si="190"/>
        <v>2.7397260273972599E-3</v>
      </c>
      <c r="H261" s="31">
        <f t="shared" si="190"/>
        <v>2.7397260273972599E-3</v>
      </c>
      <c r="I261" s="31">
        <f t="shared" si="190"/>
        <v>2.7397260273972599E-3</v>
      </c>
      <c r="J261" s="31">
        <f t="shared" si="190"/>
        <v>2.7397260273972599E-3</v>
      </c>
      <c r="K261" s="31">
        <f t="shared" si="190"/>
        <v>2.7397260273972599E-3</v>
      </c>
      <c r="L261" s="31">
        <f t="shared" si="190"/>
        <v>2.7397260273972599E-3</v>
      </c>
      <c r="M261" s="31">
        <f t="shared" si="190"/>
        <v>2.7397260273972599E-3</v>
      </c>
      <c r="N261" s="298"/>
      <c r="O261" s="298"/>
      <c r="P261" s="298"/>
      <c r="Q261" s="298"/>
      <c r="R261" s="298"/>
      <c r="S261" s="298"/>
      <c r="T261" s="298"/>
      <c r="U261" s="298"/>
      <c r="V261" s="298"/>
      <c r="W261" s="298"/>
      <c r="X261" s="298"/>
      <c r="Y261" s="298"/>
      <c r="Z261" s="298"/>
      <c r="AA261" s="298"/>
      <c r="AB261" s="298"/>
      <c r="AC261" s="298"/>
      <c r="AD261" s="298"/>
      <c r="AE261" s="298"/>
      <c r="AF261" s="298"/>
    </row>
    <row r="262" spans="1:32" ht="15.75" customHeight="1">
      <c r="A262" s="30" t="s">
        <v>121</v>
      </c>
      <c r="B262" s="31">
        <f t="shared" ref="B262:M262" si="191">IF($A$259=0,0,VLOOKUP($A$259,$A$19:$M$39,B$10+1,0)/(365/12/7)*HLOOKUP($A262,$O$18:$U$39,3,0))</f>
        <v>2.7397260273972599E-3</v>
      </c>
      <c r="C262" s="31">
        <f t="shared" si="191"/>
        <v>2.7397260273972599E-3</v>
      </c>
      <c r="D262" s="31">
        <f t="shared" si="191"/>
        <v>2.7397260273972599E-3</v>
      </c>
      <c r="E262" s="31">
        <f t="shared" si="191"/>
        <v>2.7397260273972599E-3</v>
      </c>
      <c r="F262" s="31">
        <f t="shared" si="191"/>
        <v>2.7397260273972599E-3</v>
      </c>
      <c r="G262" s="31">
        <f t="shared" si="191"/>
        <v>2.7397260273972599E-3</v>
      </c>
      <c r="H262" s="31">
        <f t="shared" si="191"/>
        <v>2.7397260273972599E-3</v>
      </c>
      <c r="I262" s="31">
        <f t="shared" si="191"/>
        <v>2.7397260273972599E-3</v>
      </c>
      <c r="J262" s="31">
        <f t="shared" si="191"/>
        <v>2.7397260273972599E-3</v>
      </c>
      <c r="K262" s="31">
        <f t="shared" si="191"/>
        <v>2.7397260273972599E-3</v>
      </c>
      <c r="L262" s="31">
        <f t="shared" si="191"/>
        <v>2.7397260273972599E-3</v>
      </c>
      <c r="M262" s="31">
        <f t="shared" si="191"/>
        <v>2.7397260273972599E-3</v>
      </c>
      <c r="N262" s="298"/>
      <c r="O262" s="298"/>
      <c r="P262" s="298"/>
      <c r="Q262" s="298"/>
      <c r="R262" s="298"/>
      <c r="S262" s="298"/>
      <c r="T262" s="298"/>
      <c r="U262" s="298"/>
      <c r="V262" s="298"/>
      <c r="W262" s="298"/>
      <c r="X262" s="298"/>
      <c r="Y262" s="298"/>
      <c r="Z262" s="298"/>
      <c r="AA262" s="298"/>
      <c r="AB262" s="298"/>
      <c r="AC262" s="298"/>
      <c r="AD262" s="298"/>
      <c r="AE262" s="298"/>
      <c r="AF262" s="298"/>
    </row>
    <row r="263" spans="1:32" ht="15.75" customHeight="1">
      <c r="A263" s="30" t="s">
        <v>122</v>
      </c>
      <c r="B263" s="31">
        <f t="shared" ref="B263:M263" si="192">IF($A$259=0,0,VLOOKUP($A$259,$A$19:$M$39,B$10+1,0)/(365/12/7)*HLOOKUP($A263,$O$18:$U$39,3,0))</f>
        <v>2.7397260273972599E-3</v>
      </c>
      <c r="C263" s="31">
        <f t="shared" si="192"/>
        <v>2.7397260273972599E-3</v>
      </c>
      <c r="D263" s="31">
        <f t="shared" si="192"/>
        <v>2.7397260273972599E-3</v>
      </c>
      <c r="E263" s="31">
        <f t="shared" si="192"/>
        <v>2.7397260273972599E-3</v>
      </c>
      <c r="F263" s="31">
        <f t="shared" si="192"/>
        <v>2.7397260273972599E-3</v>
      </c>
      <c r="G263" s="31">
        <f t="shared" si="192"/>
        <v>2.7397260273972599E-3</v>
      </c>
      <c r="H263" s="31">
        <f t="shared" si="192"/>
        <v>2.7397260273972599E-3</v>
      </c>
      <c r="I263" s="31">
        <f t="shared" si="192"/>
        <v>2.7397260273972599E-3</v>
      </c>
      <c r="J263" s="31">
        <f t="shared" si="192"/>
        <v>2.7397260273972599E-3</v>
      </c>
      <c r="K263" s="31">
        <f t="shared" si="192"/>
        <v>2.7397260273972599E-3</v>
      </c>
      <c r="L263" s="31">
        <f t="shared" si="192"/>
        <v>2.7397260273972599E-3</v>
      </c>
      <c r="M263" s="31">
        <f t="shared" si="192"/>
        <v>2.7397260273972599E-3</v>
      </c>
      <c r="N263" s="298"/>
      <c r="O263" s="298"/>
      <c r="P263" s="298"/>
      <c r="Q263" s="298"/>
      <c r="R263" s="298"/>
      <c r="S263" s="298"/>
      <c r="T263" s="298"/>
      <c r="U263" s="298"/>
      <c r="V263" s="298"/>
      <c r="W263" s="298"/>
      <c r="X263" s="298"/>
      <c r="Y263" s="298"/>
      <c r="Z263" s="298"/>
      <c r="AA263" s="298"/>
      <c r="AB263" s="298"/>
      <c r="AC263" s="298"/>
      <c r="AD263" s="298"/>
      <c r="AE263" s="298"/>
      <c r="AF263" s="298"/>
    </row>
    <row r="264" spans="1:32" ht="15.75" customHeight="1">
      <c r="A264" s="30" t="s">
        <v>123</v>
      </c>
      <c r="B264" s="31">
        <f t="shared" ref="B264:M264" si="193">IF($A$259=0,0,VLOOKUP($A$259,$A$19:$M$39,B$10+1,0)/(365/12/7)*HLOOKUP($A264,$O$18:$U$39,3,0))</f>
        <v>2.7397260273972599E-3</v>
      </c>
      <c r="C264" s="31">
        <f t="shared" si="193"/>
        <v>2.7397260273972599E-3</v>
      </c>
      <c r="D264" s="31">
        <f t="shared" si="193"/>
        <v>2.7397260273972599E-3</v>
      </c>
      <c r="E264" s="31">
        <f t="shared" si="193"/>
        <v>2.7397260273972599E-3</v>
      </c>
      <c r="F264" s="31">
        <f t="shared" si="193"/>
        <v>2.7397260273972599E-3</v>
      </c>
      <c r="G264" s="31">
        <f t="shared" si="193"/>
        <v>2.7397260273972599E-3</v>
      </c>
      <c r="H264" s="31">
        <f t="shared" si="193"/>
        <v>2.7397260273972599E-3</v>
      </c>
      <c r="I264" s="31">
        <f t="shared" si="193"/>
        <v>2.7397260273972599E-3</v>
      </c>
      <c r="J264" s="31">
        <f t="shared" si="193"/>
        <v>2.7397260273972599E-3</v>
      </c>
      <c r="K264" s="31">
        <f t="shared" si="193"/>
        <v>2.7397260273972599E-3</v>
      </c>
      <c r="L264" s="31">
        <f t="shared" si="193"/>
        <v>2.7397260273972599E-3</v>
      </c>
      <c r="M264" s="31">
        <f t="shared" si="193"/>
        <v>2.7397260273972599E-3</v>
      </c>
      <c r="N264" s="298"/>
      <c r="O264" s="298"/>
      <c r="P264" s="298"/>
      <c r="Q264" s="298"/>
      <c r="R264" s="298"/>
      <c r="S264" s="298"/>
      <c r="T264" s="298"/>
      <c r="U264" s="298"/>
      <c r="V264" s="298"/>
      <c r="W264" s="298"/>
      <c r="X264" s="298"/>
      <c r="Y264" s="298"/>
      <c r="Z264" s="298"/>
      <c r="AA264" s="298"/>
      <c r="AB264" s="298"/>
      <c r="AC264" s="298"/>
      <c r="AD264" s="298"/>
      <c r="AE264" s="298"/>
      <c r="AF264" s="298"/>
    </row>
    <row r="265" spans="1:32" ht="15.75" customHeight="1">
      <c r="A265" s="30" t="s">
        <v>124</v>
      </c>
      <c r="B265" s="31">
        <f t="shared" ref="B265:M265" si="194">IF($A$259=0,0,VLOOKUP($A$259,$A$19:$M$39,B$10+1,0)/(365/12/7)*HLOOKUP($A265,$O$18:$U$39,3,0))</f>
        <v>2.7397260273972599E-3</v>
      </c>
      <c r="C265" s="31">
        <f t="shared" si="194"/>
        <v>2.7397260273972599E-3</v>
      </c>
      <c r="D265" s="31">
        <f t="shared" si="194"/>
        <v>2.7397260273972599E-3</v>
      </c>
      <c r="E265" s="31">
        <f t="shared" si="194"/>
        <v>2.7397260273972599E-3</v>
      </c>
      <c r="F265" s="31">
        <f t="shared" si="194"/>
        <v>2.7397260273972599E-3</v>
      </c>
      <c r="G265" s="31">
        <f t="shared" si="194"/>
        <v>2.7397260273972599E-3</v>
      </c>
      <c r="H265" s="31">
        <f t="shared" si="194"/>
        <v>2.7397260273972599E-3</v>
      </c>
      <c r="I265" s="31">
        <f t="shared" si="194"/>
        <v>2.7397260273972599E-3</v>
      </c>
      <c r="J265" s="31">
        <f t="shared" si="194"/>
        <v>2.7397260273972599E-3</v>
      </c>
      <c r="K265" s="31">
        <f t="shared" si="194"/>
        <v>2.7397260273972599E-3</v>
      </c>
      <c r="L265" s="31">
        <f t="shared" si="194"/>
        <v>2.7397260273972599E-3</v>
      </c>
      <c r="M265" s="31">
        <f t="shared" si="194"/>
        <v>2.7397260273972599E-3</v>
      </c>
      <c r="N265" s="298"/>
      <c r="O265" s="298"/>
      <c r="P265" s="298"/>
      <c r="Q265" s="298"/>
      <c r="R265" s="298"/>
      <c r="S265" s="298"/>
      <c r="T265" s="298"/>
      <c r="U265" s="298"/>
      <c r="V265" s="298"/>
      <c r="W265" s="298"/>
      <c r="X265" s="298"/>
      <c r="Y265" s="298"/>
      <c r="Z265" s="298"/>
      <c r="AA265" s="298"/>
      <c r="AB265" s="298"/>
      <c r="AC265" s="298"/>
      <c r="AD265" s="298"/>
      <c r="AE265" s="298"/>
      <c r="AF265" s="298"/>
    </row>
    <row r="266" spans="1:32" ht="15.75" customHeight="1">
      <c r="A266" s="30" t="s">
        <v>125</v>
      </c>
      <c r="B266" s="31">
        <f t="shared" ref="B266:M266" si="195">IF($A$259=0,0,VLOOKUP($A$259,$A$19:$M$39,B$10+1,0)/(365/12/7)*HLOOKUP($A266,$O$18:$U$39,3,0))</f>
        <v>2.7397260273972599E-3</v>
      </c>
      <c r="C266" s="31">
        <f t="shared" si="195"/>
        <v>2.7397260273972599E-3</v>
      </c>
      <c r="D266" s="31">
        <f t="shared" si="195"/>
        <v>2.7397260273972599E-3</v>
      </c>
      <c r="E266" s="31">
        <f t="shared" si="195"/>
        <v>2.7397260273972599E-3</v>
      </c>
      <c r="F266" s="31">
        <f t="shared" si="195"/>
        <v>2.7397260273972599E-3</v>
      </c>
      <c r="G266" s="31">
        <f t="shared" si="195"/>
        <v>2.7397260273972599E-3</v>
      </c>
      <c r="H266" s="31">
        <f t="shared" si="195"/>
        <v>2.7397260273972599E-3</v>
      </c>
      <c r="I266" s="31">
        <f t="shared" si="195"/>
        <v>2.7397260273972599E-3</v>
      </c>
      <c r="J266" s="31">
        <f t="shared" si="195"/>
        <v>2.7397260273972599E-3</v>
      </c>
      <c r="K266" s="31">
        <f t="shared" si="195"/>
        <v>2.7397260273972599E-3</v>
      </c>
      <c r="L266" s="31">
        <f t="shared" si="195"/>
        <v>2.7397260273972599E-3</v>
      </c>
      <c r="M266" s="31">
        <f t="shared" si="195"/>
        <v>2.7397260273972599E-3</v>
      </c>
      <c r="N266" s="298"/>
      <c r="O266" s="298"/>
      <c r="P266" s="298"/>
      <c r="Q266" s="298"/>
      <c r="R266" s="298"/>
      <c r="S266" s="298"/>
      <c r="T266" s="298"/>
      <c r="U266" s="298"/>
      <c r="V266" s="298"/>
      <c r="W266" s="298"/>
      <c r="X266" s="298"/>
      <c r="Y266" s="298"/>
      <c r="Z266" s="298"/>
      <c r="AA266" s="298"/>
      <c r="AB266" s="298"/>
      <c r="AC266" s="298"/>
      <c r="AD266" s="298"/>
      <c r="AE266" s="298"/>
      <c r="AF266" s="298"/>
    </row>
    <row r="267" spans="1:32" ht="15.75" customHeight="1">
      <c r="A267" s="23" t="str">
        <f>A21</f>
        <v>Preá - Alimentação</v>
      </c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98"/>
      <c r="O267" s="298"/>
      <c r="P267" s="298"/>
      <c r="Q267" s="298"/>
      <c r="R267" s="298"/>
      <c r="S267" s="298"/>
      <c r="T267" s="298"/>
      <c r="U267" s="298"/>
      <c r="V267" s="298"/>
      <c r="W267" s="298"/>
      <c r="X267" s="298"/>
      <c r="Y267" s="298"/>
      <c r="Z267" s="298"/>
      <c r="AA267" s="298"/>
      <c r="AB267" s="298"/>
      <c r="AC267" s="298"/>
      <c r="AD267" s="298"/>
      <c r="AE267" s="298"/>
      <c r="AF267" s="298"/>
    </row>
    <row r="268" spans="1:32" ht="15.75" customHeight="1">
      <c r="A268" s="30" t="s">
        <v>119</v>
      </c>
      <c r="B268" s="31">
        <f t="shared" ref="B268:M268" si="196">IF($A$267=0,0,VLOOKUP($A$267,$A$19:$M$39,B$10+1,0)/(365/12/7)*HLOOKUP($A268,$O$18:$U$39,4,0))</f>
        <v>2.7397260273972599E-3</v>
      </c>
      <c r="C268" s="31">
        <f t="shared" si="196"/>
        <v>2.7397260273972599E-3</v>
      </c>
      <c r="D268" s="31">
        <f t="shared" si="196"/>
        <v>2.7397260273972599E-3</v>
      </c>
      <c r="E268" s="31">
        <f t="shared" si="196"/>
        <v>2.7397260273972599E-3</v>
      </c>
      <c r="F268" s="31">
        <f t="shared" si="196"/>
        <v>2.7397260273972599E-3</v>
      </c>
      <c r="G268" s="31">
        <f t="shared" si="196"/>
        <v>2.7397260273972599E-3</v>
      </c>
      <c r="H268" s="31">
        <f t="shared" si="196"/>
        <v>2.7397260273972599E-3</v>
      </c>
      <c r="I268" s="31">
        <f t="shared" si="196"/>
        <v>2.7397260273972599E-3</v>
      </c>
      <c r="J268" s="31">
        <f t="shared" si="196"/>
        <v>2.7397260273972599E-3</v>
      </c>
      <c r="K268" s="31">
        <f t="shared" si="196"/>
        <v>2.7397260273972599E-3</v>
      </c>
      <c r="L268" s="31">
        <f t="shared" si="196"/>
        <v>2.7397260273972599E-3</v>
      </c>
      <c r="M268" s="31">
        <f t="shared" si="196"/>
        <v>2.7397260273972599E-3</v>
      </c>
      <c r="N268" s="298"/>
      <c r="O268" s="298"/>
      <c r="P268" s="298"/>
      <c r="Q268" s="298"/>
      <c r="R268" s="298"/>
      <c r="S268" s="298"/>
      <c r="T268" s="298"/>
      <c r="U268" s="298"/>
      <c r="V268" s="298"/>
      <c r="W268" s="298"/>
      <c r="X268" s="298"/>
      <c r="Y268" s="298"/>
      <c r="Z268" s="298"/>
      <c r="AA268" s="298"/>
      <c r="AB268" s="298"/>
      <c r="AC268" s="298"/>
      <c r="AD268" s="298"/>
      <c r="AE268" s="298"/>
      <c r="AF268" s="298"/>
    </row>
    <row r="269" spans="1:32" ht="15.75" customHeight="1">
      <c r="A269" s="30" t="s">
        <v>120</v>
      </c>
      <c r="B269" s="31">
        <f t="shared" ref="B269:M269" si="197">IF($A$267=0,0,VLOOKUP($A$267,$A$19:$M$39,B$10+1,0)/(365/12/7)*HLOOKUP($A269,$O$18:$U$39,4,0))</f>
        <v>2.7397260273972599E-3</v>
      </c>
      <c r="C269" s="31">
        <f t="shared" si="197"/>
        <v>2.7397260273972599E-3</v>
      </c>
      <c r="D269" s="31">
        <f t="shared" si="197"/>
        <v>2.7397260273972599E-3</v>
      </c>
      <c r="E269" s="31">
        <f t="shared" si="197"/>
        <v>2.7397260273972599E-3</v>
      </c>
      <c r="F269" s="31">
        <f t="shared" si="197"/>
        <v>2.7397260273972599E-3</v>
      </c>
      <c r="G269" s="31">
        <f t="shared" si="197"/>
        <v>2.7397260273972599E-3</v>
      </c>
      <c r="H269" s="31">
        <f t="shared" si="197"/>
        <v>2.7397260273972599E-3</v>
      </c>
      <c r="I269" s="31">
        <f t="shared" si="197"/>
        <v>2.7397260273972599E-3</v>
      </c>
      <c r="J269" s="31">
        <f t="shared" si="197"/>
        <v>2.7397260273972599E-3</v>
      </c>
      <c r="K269" s="31">
        <f t="shared" si="197"/>
        <v>2.7397260273972599E-3</v>
      </c>
      <c r="L269" s="31">
        <f t="shared" si="197"/>
        <v>2.7397260273972599E-3</v>
      </c>
      <c r="M269" s="31">
        <f t="shared" si="197"/>
        <v>2.7397260273972599E-3</v>
      </c>
      <c r="N269" s="298"/>
      <c r="O269" s="298"/>
      <c r="P269" s="298"/>
      <c r="Q269" s="298"/>
      <c r="R269" s="298"/>
      <c r="S269" s="298"/>
      <c r="T269" s="298"/>
      <c r="U269" s="298"/>
      <c r="V269" s="298"/>
      <c r="W269" s="298"/>
      <c r="X269" s="298"/>
      <c r="Y269" s="298"/>
      <c r="Z269" s="298"/>
      <c r="AA269" s="298"/>
      <c r="AB269" s="298"/>
      <c r="AC269" s="298"/>
      <c r="AD269" s="298"/>
      <c r="AE269" s="298"/>
      <c r="AF269" s="298"/>
    </row>
    <row r="270" spans="1:32" ht="15.75" customHeight="1">
      <c r="A270" s="30" t="s">
        <v>121</v>
      </c>
      <c r="B270" s="31">
        <f t="shared" ref="B270:M270" si="198">IF($A$267=0,0,VLOOKUP($A$267,$A$19:$M$39,B$10+1,0)/(365/12/7)*HLOOKUP($A270,$O$18:$U$39,4,0))</f>
        <v>2.7397260273972599E-3</v>
      </c>
      <c r="C270" s="31">
        <f t="shared" si="198"/>
        <v>2.7397260273972599E-3</v>
      </c>
      <c r="D270" s="31">
        <f t="shared" si="198"/>
        <v>2.7397260273972599E-3</v>
      </c>
      <c r="E270" s="31">
        <f t="shared" si="198"/>
        <v>2.7397260273972599E-3</v>
      </c>
      <c r="F270" s="31">
        <f t="shared" si="198"/>
        <v>2.7397260273972599E-3</v>
      </c>
      <c r="G270" s="31">
        <f t="shared" si="198"/>
        <v>2.7397260273972599E-3</v>
      </c>
      <c r="H270" s="31">
        <f t="shared" si="198"/>
        <v>2.7397260273972599E-3</v>
      </c>
      <c r="I270" s="31">
        <f t="shared" si="198"/>
        <v>2.7397260273972599E-3</v>
      </c>
      <c r="J270" s="31">
        <f t="shared" si="198"/>
        <v>2.7397260273972599E-3</v>
      </c>
      <c r="K270" s="31">
        <f t="shared" si="198"/>
        <v>2.7397260273972599E-3</v>
      </c>
      <c r="L270" s="31">
        <f t="shared" si="198"/>
        <v>2.7397260273972599E-3</v>
      </c>
      <c r="M270" s="31">
        <f t="shared" si="198"/>
        <v>2.7397260273972599E-3</v>
      </c>
      <c r="N270" s="298"/>
      <c r="O270" s="298"/>
      <c r="P270" s="298"/>
      <c r="Q270" s="298"/>
      <c r="R270" s="298"/>
      <c r="S270" s="298"/>
      <c r="T270" s="298"/>
      <c r="U270" s="298"/>
      <c r="V270" s="298"/>
      <c r="W270" s="298"/>
      <c r="X270" s="298"/>
      <c r="Y270" s="298"/>
      <c r="Z270" s="298"/>
      <c r="AA270" s="298"/>
      <c r="AB270" s="298"/>
      <c r="AC270" s="298"/>
      <c r="AD270" s="298"/>
      <c r="AE270" s="298"/>
      <c r="AF270" s="298"/>
    </row>
    <row r="271" spans="1:32" ht="15.75" customHeight="1">
      <c r="A271" s="30" t="s">
        <v>122</v>
      </c>
      <c r="B271" s="31">
        <f t="shared" ref="B271:M271" si="199">IF($A$267=0,0,VLOOKUP($A$267,$A$19:$M$39,B$10+1,0)/(365/12/7)*HLOOKUP($A271,$O$18:$U$39,4,0))</f>
        <v>2.7397260273972599E-3</v>
      </c>
      <c r="C271" s="31">
        <f t="shared" si="199"/>
        <v>2.7397260273972599E-3</v>
      </c>
      <c r="D271" s="31">
        <f t="shared" si="199"/>
        <v>2.7397260273972599E-3</v>
      </c>
      <c r="E271" s="31">
        <f t="shared" si="199"/>
        <v>2.7397260273972599E-3</v>
      </c>
      <c r="F271" s="31">
        <f t="shared" si="199"/>
        <v>2.7397260273972599E-3</v>
      </c>
      <c r="G271" s="31">
        <f t="shared" si="199"/>
        <v>2.7397260273972599E-3</v>
      </c>
      <c r="H271" s="31">
        <f t="shared" si="199"/>
        <v>2.7397260273972599E-3</v>
      </c>
      <c r="I271" s="31">
        <f t="shared" si="199"/>
        <v>2.7397260273972599E-3</v>
      </c>
      <c r="J271" s="31">
        <f t="shared" si="199"/>
        <v>2.7397260273972599E-3</v>
      </c>
      <c r="K271" s="31">
        <f t="shared" si="199"/>
        <v>2.7397260273972599E-3</v>
      </c>
      <c r="L271" s="31">
        <f t="shared" si="199"/>
        <v>2.7397260273972599E-3</v>
      </c>
      <c r="M271" s="31">
        <f t="shared" si="199"/>
        <v>2.7397260273972599E-3</v>
      </c>
      <c r="N271" s="298"/>
      <c r="O271" s="298"/>
      <c r="P271" s="298"/>
      <c r="Q271" s="298"/>
      <c r="R271" s="298"/>
      <c r="S271" s="298"/>
      <c r="T271" s="298"/>
      <c r="U271" s="298"/>
      <c r="V271" s="298"/>
      <c r="W271" s="298"/>
      <c r="X271" s="298"/>
      <c r="Y271" s="298"/>
      <c r="Z271" s="298"/>
      <c r="AA271" s="298"/>
      <c r="AB271" s="298"/>
      <c r="AC271" s="298"/>
      <c r="AD271" s="298"/>
      <c r="AE271" s="298"/>
      <c r="AF271" s="298"/>
    </row>
    <row r="272" spans="1:32" ht="15.75" customHeight="1">
      <c r="A272" s="30" t="s">
        <v>123</v>
      </c>
      <c r="B272" s="31">
        <f t="shared" ref="B272:M272" si="200">IF($A$267=0,0,VLOOKUP($A$267,$A$19:$M$39,B$10+1,0)/(365/12/7)*HLOOKUP($A272,$O$18:$U$39,4,0))</f>
        <v>2.7397260273972599E-3</v>
      </c>
      <c r="C272" s="31">
        <f t="shared" si="200"/>
        <v>2.7397260273972599E-3</v>
      </c>
      <c r="D272" s="31">
        <f t="shared" si="200"/>
        <v>2.7397260273972599E-3</v>
      </c>
      <c r="E272" s="31">
        <f t="shared" si="200"/>
        <v>2.7397260273972599E-3</v>
      </c>
      <c r="F272" s="31">
        <f t="shared" si="200"/>
        <v>2.7397260273972599E-3</v>
      </c>
      <c r="G272" s="31">
        <f t="shared" si="200"/>
        <v>2.7397260273972599E-3</v>
      </c>
      <c r="H272" s="31">
        <f t="shared" si="200"/>
        <v>2.7397260273972599E-3</v>
      </c>
      <c r="I272" s="31">
        <f t="shared" si="200"/>
        <v>2.7397260273972599E-3</v>
      </c>
      <c r="J272" s="31">
        <f t="shared" si="200"/>
        <v>2.7397260273972599E-3</v>
      </c>
      <c r="K272" s="31">
        <f t="shared" si="200"/>
        <v>2.7397260273972599E-3</v>
      </c>
      <c r="L272" s="31">
        <f t="shared" si="200"/>
        <v>2.7397260273972599E-3</v>
      </c>
      <c r="M272" s="31">
        <f t="shared" si="200"/>
        <v>2.7397260273972599E-3</v>
      </c>
      <c r="N272" s="298"/>
      <c r="O272" s="298"/>
      <c r="P272" s="298"/>
      <c r="Q272" s="298"/>
      <c r="R272" s="298"/>
      <c r="S272" s="298"/>
      <c r="T272" s="298"/>
      <c r="U272" s="298"/>
      <c r="V272" s="298"/>
      <c r="W272" s="298"/>
      <c r="X272" s="298"/>
      <c r="Y272" s="298"/>
      <c r="Z272" s="298"/>
      <c r="AA272" s="298"/>
      <c r="AB272" s="298"/>
      <c r="AC272" s="298"/>
      <c r="AD272" s="298"/>
      <c r="AE272" s="298"/>
      <c r="AF272" s="298"/>
    </row>
    <row r="273" spans="1:32" ht="15.75" customHeight="1">
      <c r="A273" s="30" t="s">
        <v>124</v>
      </c>
      <c r="B273" s="31">
        <f t="shared" ref="B273:M273" si="201">IF($A$267=0,0,VLOOKUP($A$267,$A$19:$M$39,B$10+1,0)/(365/12/7)*HLOOKUP($A273,$O$18:$U$39,4,0))</f>
        <v>2.7397260273972599E-3</v>
      </c>
      <c r="C273" s="31">
        <f t="shared" si="201"/>
        <v>2.7397260273972599E-3</v>
      </c>
      <c r="D273" s="31">
        <f t="shared" si="201"/>
        <v>2.7397260273972599E-3</v>
      </c>
      <c r="E273" s="31">
        <f t="shared" si="201"/>
        <v>2.7397260273972599E-3</v>
      </c>
      <c r="F273" s="31">
        <f t="shared" si="201"/>
        <v>2.7397260273972599E-3</v>
      </c>
      <c r="G273" s="31">
        <f t="shared" si="201"/>
        <v>2.7397260273972599E-3</v>
      </c>
      <c r="H273" s="31">
        <f t="shared" si="201"/>
        <v>2.7397260273972599E-3</v>
      </c>
      <c r="I273" s="31">
        <f t="shared" si="201"/>
        <v>2.7397260273972599E-3</v>
      </c>
      <c r="J273" s="31">
        <f t="shared" si="201"/>
        <v>2.7397260273972599E-3</v>
      </c>
      <c r="K273" s="31">
        <f t="shared" si="201"/>
        <v>2.7397260273972599E-3</v>
      </c>
      <c r="L273" s="31">
        <f t="shared" si="201"/>
        <v>2.7397260273972599E-3</v>
      </c>
      <c r="M273" s="31">
        <f t="shared" si="201"/>
        <v>2.7397260273972599E-3</v>
      </c>
      <c r="N273" s="298"/>
      <c r="O273" s="298"/>
      <c r="P273" s="298"/>
      <c r="Q273" s="298"/>
      <c r="R273" s="298"/>
      <c r="S273" s="298"/>
      <c r="T273" s="298"/>
      <c r="U273" s="298"/>
      <c r="V273" s="298"/>
      <c r="W273" s="298"/>
      <c r="X273" s="298"/>
      <c r="Y273" s="298"/>
      <c r="Z273" s="298"/>
      <c r="AA273" s="298"/>
      <c r="AB273" s="298"/>
      <c r="AC273" s="298"/>
      <c r="AD273" s="298"/>
      <c r="AE273" s="298"/>
      <c r="AF273" s="298"/>
    </row>
    <row r="274" spans="1:32" ht="15.75" customHeight="1">
      <c r="A274" s="30" t="s">
        <v>125</v>
      </c>
      <c r="B274" s="31">
        <f t="shared" ref="B274:M274" si="202">IF($A$267=0,0,VLOOKUP($A$267,$A$19:$M$39,B$10+1,0)/(365/12/7)*HLOOKUP($A274,$O$18:$U$39,4,0))</f>
        <v>2.7397260273972599E-3</v>
      </c>
      <c r="C274" s="31">
        <f t="shared" si="202"/>
        <v>2.7397260273972599E-3</v>
      </c>
      <c r="D274" s="31">
        <f t="shared" si="202"/>
        <v>2.7397260273972599E-3</v>
      </c>
      <c r="E274" s="31">
        <f t="shared" si="202"/>
        <v>2.7397260273972599E-3</v>
      </c>
      <c r="F274" s="31">
        <f t="shared" si="202"/>
        <v>2.7397260273972599E-3</v>
      </c>
      <c r="G274" s="31">
        <f t="shared" si="202"/>
        <v>2.7397260273972599E-3</v>
      </c>
      <c r="H274" s="31">
        <f t="shared" si="202"/>
        <v>2.7397260273972599E-3</v>
      </c>
      <c r="I274" s="31">
        <f t="shared" si="202"/>
        <v>2.7397260273972599E-3</v>
      </c>
      <c r="J274" s="31">
        <f t="shared" si="202"/>
        <v>2.7397260273972599E-3</v>
      </c>
      <c r="K274" s="31">
        <f t="shared" si="202"/>
        <v>2.7397260273972599E-3</v>
      </c>
      <c r="L274" s="31">
        <f t="shared" si="202"/>
        <v>2.7397260273972599E-3</v>
      </c>
      <c r="M274" s="31">
        <f t="shared" si="202"/>
        <v>2.7397260273972599E-3</v>
      </c>
      <c r="N274" s="298"/>
      <c r="O274" s="298"/>
      <c r="P274" s="298"/>
      <c r="Q274" s="298"/>
      <c r="R274" s="298"/>
      <c r="S274" s="298"/>
      <c r="T274" s="298"/>
      <c r="U274" s="298"/>
      <c r="V274" s="298"/>
      <c r="W274" s="298"/>
      <c r="X274" s="298"/>
      <c r="Y274" s="298"/>
      <c r="Z274" s="298"/>
      <c r="AA274" s="298"/>
      <c r="AB274" s="298"/>
      <c r="AC274" s="298"/>
      <c r="AD274" s="298"/>
      <c r="AE274" s="298"/>
      <c r="AF274" s="298"/>
    </row>
    <row r="275" spans="1:32" ht="15.75" customHeight="1">
      <c r="A275" s="23" t="str">
        <f>A22</f>
        <v>Preá - Comércio</v>
      </c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98"/>
      <c r="O275" s="298"/>
      <c r="P275" s="298"/>
      <c r="Q275" s="298"/>
      <c r="R275" s="298"/>
      <c r="S275" s="298"/>
      <c r="T275" s="298"/>
      <c r="U275" s="298"/>
      <c r="V275" s="298"/>
      <c r="W275" s="298"/>
      <c r="X275" s="298"/>
      <c r="Y275" s="298"/>
      <c r="Z275" s="298"/>
      <c r="AA275" s="298"/>
      <c r="AB275" s="298"/>
      <c r="AC275" s="298"/>
      <c r="AD275" s="298"/>
      <c r="AE275" s="298"/>
      <c r="AF275" s="298"/>
    </row>
    <row r="276" spans="1:32" ht="15.75" customHeight="1">
      <c r="A276" s="30" t="s">
        <v>119</v>
      </c>
      <c r="B276" s="31">
        <f t="shared" ref="B276:M276" si="203">IF($A$275=0,0,VLOOKUP($A$275,$A$19:$M$39,B$10+1,0)/(365/12/7)*HLOOKUP($A276,$O$18:$U$39,5,0))</f>
        <v>2.7397260273972599E-3</v>
      </c>
      <c r="C276" s="31">
        <f t="shared" si="203"/>
        <v>2.7397260273972599E-3</v>
      </c>
      <c r="D276" s="31">
        <f t="shared" si="203"/>
        <v>2.7397260273972599E-3</v>
      </c>
      <c r="E276" s="31">
        <f t="shared" si="203"/>
        <v>2.7397260273972599E-3</v>
      </c>
      <c r="F276" s="31">
        <f t="shared" si="203"/>
        <v>2.7397260273972599E-3</v>
      </c>
      <c r="G276" s="31">
        <f t="shared" si="203"/>
        <v>2.7397260273972599E-3</v>
      </c>
      <c r="H276" s="31">
        <f t="shared" si="203"/>
        <v>2.7397260273972599E-3</v>
      </c>
      <c r="I276" s="31">
        <f t="shared" si="203"/>
        <v>2.7397260273972599E-3</v>
      </c>
      <c r="J276" s="31">
        <f t="shared" si="203"/>
        <v>2.7397260273972599E-3</v>
      </c>
      <c r="K276" s="31">
        <f t="shared" si="203"/>
        <v>2.7397260273972599E-3</v>
      </c>
      <c r="L276" s="31">
        <f t="shared" si="203"/>
        <v>2.7397260273972599E-3</v>
      </c>
      <c r="M276" s="31">
        <f t="shared" si="203"/>
        <v>2.7397260273972599E-3</v>
      </c>
      <c r="N276" s="298"/>
      <c r="O276" s="298"/>
      <c r="P276" s="298"/>
      <c r="Q276" s="298"/>
      <c r="R276" s="298"/>
      <c r="S276" s="298"/>
      <c r="T276" s="298"/>
      <c r="U276" s="298"/>
      <c r="V276" s="298"/>
      <c r="W276" s="298"/>
      <c r="X276" s="298"/>
      <c r="Y276" s="298"/>
      <c r="Z276" s="298"/>
      <c r="AA276" s="298"/>
      <c r="AB276" s="298"/>
      <c r="AC276" s="298"/>
      <c r="AD276" s="298"/>
      <c r="AE276" s="298"/>
      <c r="AF276" s="298"/>
    </row>
    <row r="277" spans="1:32" ht="15.75" customHeight="1">
      <c r="A277" s="30" t="s">
        <v>120</v>
      </c>
      <c r="B277" s="31">
        <f t="shared" ref="B277:M277" si="204">IF($A$275=0,0,VLOOKUP($A$275,$A$19:$M$39,B$10+1,0)/(365/12/7)*HLOOKUP($A277,$O$18:$U$39,5,0))</f>
        <v>2.7397260273972599E-3</v>
      </c>
      <c r="C277" s="31">
        <f t="shared" si="204"/>
        <v>2.7397260273972599E-3</v>
      </c>
      <c r="D277" s="31">
        <f t="shared" si="204"/>
        <v>2.7397260273972599E-3</v>
      </c>
      <c r="E277" s="31">
        <f t="shared" si="204"/>
        <v>2.7397260273972599E-3</v>
      </c>
      <c r="F277" s="31">
        <f t="shared" si="204"/>
        <v>2.7397260273972599E-3</v>
      </c>
      <c r="G277" s="31">
        <f t="shared" si="204"/>
        <v>2.7397260273972599E-3</v>
      </c>
      <c r="H277" s="31">
        <f t="shared" si="204"/>
        <v>2.7397260273972599E-3</v>
      </c>
      <c r="I277" s="31">
        <f t="shared" si="204"/>
        <v>2.7397260273972599E-3</v>
      </c>
      <c r="J277" s="31">
        <f t="shared" si="204"/>
        <v>2.7397260273972599E-3</v>
      </c>
      <c r="K277" s="31">
        <f t="shared" si="204"/>
        <v>2.7397260273972599E-3</v>
      </c>
      <c r="L277" s="31">
        <f t="shared" si="204"/>
        <v>2.7397260273972599E-3</v>
      </c>
      <c r="M277" s="31">
        <f t="shared" si="204"/>
        <v>2.7397260273972599E-3</v>
      </c>
      <c r="N277" s="298"/>
      <c r="O277" s="298"/>
      <c r="P277" s="298"/>
      <c r="Q277" s="298"/>
      <c r="R277" s="298"/>
      <c r="S277" s="298"/>
      <c r="T277" s="298"/>
      <c r="U277" s="298"/>
      <c r="V277" s="298"/>
      <c r="W277" s="298"/>
      <c r="X277" s="298"/>
      <c r="Y277" s="298"/>
      <c r="Z277" s="298"/>
      <c r="AA277" s="298"/>
      <c r="AB277" s="298"/>
      <c r="AC277" s="298"/>
      <c r="AD277" s="298"/>
      <c r="AE277" s="298"/>
      <c r="AF277" s="298"/>
    </row>
    <row r="278" spans="1:32" ht="15.75" customHeight="1">
      <c r="A278" s="30" t="s">
        <v>121</v>
      </c>
      <c r="B278" s="31">
        <f t="shared" ref="B278:M278" si="205">IF($A$275=0,0,VLOOKUP($A$275,$A$19:$M$39,B$10+1,0)/(365/12/7)*HLOOKUP($A278,$O$18:$U$39,5,0))</f>
        <v>2.7397260273972599E-3</v>
      </c>
      <c r="C278" s="31">
        <f t="shared" si="205"/>
        <v>2.7397260273972599E-3</v>
      </c>
      <c r="D278" s="31">
        <f t="shared" si="205"/>
        <v>2.7397260273972599E-3</v>
      </c>
      <c r="E278" s="31">
        <f t="shared" si="205"/>
        <v>2.7397260273972599E-3</v>
      </c>
      <c r="F278" s="31">
        <f t="shared" si="205"/>
        <v>2.7397260273972599E-3</v>
      </c>
      <c r="G278" s="31">
        <f t="shared" si="205"/>
        <v>2.7397260273972599E-3</v>
      </c>
      <c r="H278" s="31">
        <f t="shared" si="205"/>
        <v>2.7397260273972599E-3</v>
      </c>
      <c r="I278" s="31">
        <f t="shared" si="205"/>
        <v>2.7397260273972599E-3</v>
      </c>
      <c r="J278" s="31">
        <f t="shared" si="205"/>
        <v>2.7397260273972599E-3</v>
      </c>
      <c r="K278" s="31">
        <f t="shared" si="205"/>
        <v>2.7397260273972599E-3</v>
      </c>
      <c r="L278" s="31">
        <f t="shared" si="205"/>
        <v>2.7397260273972599E-3</v>
      </c>
      <c r="M278" s="31">
        <f t="shared" si="205"/>
        <v>2.7397260273972599E-3</v>
      </c>
      <c r="N278" s="298"/>
      <c r="O278" s="298"/>
      <c r="P278" s="298"/>
      <c r="Q278" s="298"/>
      <c r="R278" s="298"/>
      <c r="S278" s="298"/>
      <c r="T278" s="298"/>
      <c r="U278" s="298"/>
      <c r="V278" s="298"/>
      <c r="W278" s="298"/>
      <c r="X278" s="298"/>
      <c r="Y278" s="298"/>
      <c r="Z278" s="298"/>
      <c r="AA278" s="298"/>
      <c r="AB278" s="298"/>
      <c r="AC278" s="298"/>
      <c r="AD278" s="298"/>
      <c r="AE278" s="298"/>
      <c r="AF278" s="298"/>
    </row>
    <row r="279" spans="1:32" ht="15.75" customHeight="1">
      <c r="A279" s="30" t="s">
        <v>122</v>
      </c>
      <c r="B279" s="31">
        <f t="shared" ref="B279:M279" si="206">IF($A$275=0,0,VLOOKUP($A$275,$A$19:$M$39,B$10+1,0)/(365/12/7)*HLOOKUP($A279,$O$18:$U$39,5,0))</f>
        <v>2.7397260273972599E-3</v>
      </c>
      <c r="C279" s="31">
        <f t="shared" si="206"/>
        <v>2.7397260273972599E-3</v>
      </c>
      <c r="D279" s="31">
        <f t="shared" si="206"/>
        <v>2.7397260273972599E-3</v>
      </c>
      <c r="E279" s="31">
        <f t="shared" si="206"/>
        <v>2.7397260273972599E-3</v>
      </c>
      <c r="F279" s="31">
        <f t="shared" si="206"/>
        <v>2.7397260273972599E-3</v>
      </c>
      <c r="G279" s="31">
        <f t="shared" si="206"/>
        <v>2.7397260273972599E-3</v>
      </c>
      <c r="H279" s="31">
        <f t="shared" si="206"/>
        <v>2.7397260273972599E-3</v>
      </c>
      <c r="I279" s="31">
        <f t="shared" si="206"/>
        <v>2.7397260273972599E-3</v>
      </c>
      <c r="J279" s="31">
        <f t="shared" si="206"/>
        <v>2.7397260273972599E-3</v>
      </c>
      <c r="K279" s="31">
        <f t="shared" si="206"/>
        <v>2.7397260273972599E-3</v>
      </c>
      <c r="L279" s="31">
        <f t="shared" si="206"/>
        <v>2.7397260273972599E-3</v>
      </c>
      <c r="M279" s="31">
        <f t="shared" si="206"/>
        <v>2.7397260273972599E-3</v>
      </c>
      <c r="N279" s="298"/>
      <c r="O279" s="298"/>
      <c r="P279" s="298"/>
      <c r="Q279" s="298"/>
      <c r="R279" s="298"/>
      <c r="S279" s="298"/>
      <c r="T279" s="298"/>
      <c r="U279" s="298"/>
      <c r="V279" s="298"/>
      <c r="W279" s="298"/>
      <c r="X279" s="298"/>
      <c r="Y279" s="298"/>
      <c r="Z279" s="298"/>
      <c r="AA279" s="298"/>
      <c r="AB279" s="298"/>
      <c r="AC279" s="298"/>
      <c r="AD279" s="298"/>
      <c r="AE279" s="298"/>
      <c r="AF279" s="298"/>
    </row>
    <row r="280" spans="1:32" ht="15.75" customHeight="1">
      <c r="A280" s="30" t="s">
        <v>123</v>
      </c>
      <c r="B280" s="31">
        <f t="shared" ref="B280:M280" si="207">IF($A$275=0,0,VLOOKUP($A$275,$A$19:$M$39,B$10+1,0)/(365/12/7)*HLOOKUP($A280,$O$18:$U$39,5,0))</f>
        <v>2.7397260273972599E-3</v>
      </c>
      <c r="C280" s="31">
        <f t="shared" si="207"/>
        <v>2.7397260273972599E-3</v>
      </c>
      <c r="D280" s="31">
        <f t="shared" si="207"/>
        <v>2.7397260273972599E-3</v>
      </c>
      <c r="E280" s="31">
        <f t="shared" si="207"/>
        <v>2.7397260273972599E-3</v>
      </c>
      <c r="F280" s="31">
        <f t="shared" si="207"/>
        <v>2.7397260273972599E-3</v>
      </c>
      <c r="G280" s="31">
        <f t="shared" si="207"/>
        <v>2.7397260273972599E-3</v>
      </c>
      <c r="H280" s="31">
        <f t="shared" si="207"/>
        <v>2.7397260273972599E-3</v>
      </c>
      <c r="I280" s="31">
        <f t="shared" si="207"/>
        <v>2.7397260273972599E-3</v>
      </c>
      <c r="J280" s="31">
        <f t="shared" si="207"/>
        <v>2.7397260273972599E-3</v>
      </c>
      <c r="K280" s="31">
        <f t="shared" si="207"/>
        <v>2.7397260273972599E-3</v>
      </c>
      <c r="L280" s="31">
        <f t="shared" si="207"/>
        <v>2.7397260273972599E-3</v>
      </c>
      <c r="M280" s="31">
        <f t="shared" si="207"/>
        <v>2.7397260273972599E-3</v>
      </c>
      <c r="N280" s="298"/>
      <c r="O280" s="298"/>
      <c r="P280" s="298"/>
      <c r="Q280" s="298"/>
      <c r="R280" s="298"/>
      <c r="S280" s="298"/>
      <c r="T280" s="298"/>
      <c r="U280" s="298"/>
      <c r="V280" s="298"/>
      <c r="W280" s="298"/>
      <c r="X280" s="298"/>
      <c r="Y280" s="298"/>
      <c r="Z280" s="298"/>
      <c r="AA280" s="298"/>
      <c r="AB280" s="298"/>
      <c r="AC280" s="298"/>
      <c r="AD280" s="298"/>
      <c r="AE280" s="298"/>
      <c r="AF280" s="298"/>
    </row>
    <row r="281" spans="1:32" ht="15.75" customHeight="1">
      <c r="A281" s="30" t="s">
        <v>124</v>
      </c>
      <c r="B281" s="31">
        <f t="shared" ref="B281:M281" si="208">IF($A$275=0,0,VLOOKUP($A$275,$A$19:$M$39,B$10+1,0)/(365/12/7)*HLOOKUP($A281,$O$18:$U$39,5,0))</f>
        <v>2.7397260273972599E-3</v>
      </c>
      <c r="C281" s="31">
        <f t="shared" si="208"/>
        <v>2.7397260273972599E-3</v>
      </c>
      <c r="D281" s="31">
        <f t="shared" si="208"/>
        <v>2.7397260273972599E-3</v>
      </c>
      <c r="E281" s="31">
        <f t="shared" si="208"/>
        <v>2.7397260273972599E-3</v>
      </c>
      <c r="F281" s="31">
        <f t="shared" si="208"/>
        <v>2.7397260273972599E-3</v>
      </c>
      <c r="G281" s="31">
        <f t="shared" si="208"/>
        <v>2.7397260273972599E-3</v>
      </c>
      <c r="H281" s="31">
        <f t="shared" si="208"/>
        <v>2.7397260273972599E-3</v>
      </c>
      <c r="I281" s="31">
        <f t="shared" si="208"/>
        <v>2.7397260273972599E-3</v>
      </c>
      <c r="J281" s="31">
        <f t="shared" si="208"/>
        <v>2.7397260273972599E-3</v>
      </c>
      <c r="K281" s="31">
        <f t="shared" si="208"/>
        <v>2.7397260273972599E-3</v>
      </c>
      <c r="L281" s="31">
        <f t="shared" si="208"/>
        <v>2.7397260273972599E-3</v>
      </c>
      <c r="M281" s="31">
        <f t="shared" si="208"/>
        <v>2.7397260273972599E-3</v>
      </c>
      <c r="N281" s="298"/>
      <c r="O281" s="298"/>
      <c r="P281" s="298"/>
      <c r="Q281" s="298"/>
      <c r="R281" s="298"/>
      <c r="S281" s="298"/>
      <c r="T281" s="298"/>
      <c r="U281" s="298"/>
      <c r="V281" s="298"/>
      <c r="W281" s="298"/>
      <c r="X281" s="298"/>
      <c r="Y281" s="298"/>
      <c r="Z281" s="298"/>
      <c r="AA281" s="298"/>
      <c r="AB281" s="298"/>
      <c r="AC281" s="298"/>
      <c r="AD281" s="298"/>
      <c r="AE281" s="298"/>
      <c r="AF281" s="298"/>
    </row>
    <row r="282" spans="1:32" ht="15.75" customHeight="1">
      <c r="A282" s="30" t="s">
        <v>125</v>
      </c>
      <c r="B282" s="31">
        <f t="shared" ref="B282:M282" si="209">IF($A$275=0,0,VLOOKUP($A$275,$A$19:$M$39,B$10+1,0)/(365/12/7)*HLOOKUP($A282,$O$18:$U$39,5,0))</f>
        <v>2.7397260273972599E-3</v>
      </c>
      <c r="C282" s="31">
        <f t="shared" si="209"/>
        <v>2.7397260273972599E-3</v>
      </c>
      <c r="D282" s="31">
        <f t="shared" si="209"/>
        <v>2.7397260273972599E-3</v>
      </c>
      <c r="E282" s="31">
        <f t="shared" si="209"/>
        <v>2.7397260273972599E-3</v>
      </c>
      <c r="F282" s="31">
        <f t="shared" si="209"/>
        <v>2.7397260273972599E-3</v>
      </c>
      <c r="G282" s="31">
        <f t="shared" si="209"/>
        <v>2.7397260273972599E-3</v>
      </c>
      <c r="H282" s="31">
        <f t="shared" si="209"/>
        <v>2.7397260273972599E-3</v>
      </c>
      <c r="I282" s="31">
        <f t="shared" si="209"/>
        <v>2.7397260273972599E-3</v>
      </c>
      <c r="J282" s="31">
        <f t="shared" si="209"/>
        <v>2.7397260273972599E-3</v>
      </c>
      <c r="K282" s="31">
        <f t="shared" si="209"/>
        <v>2.7397260273972599E-3</v>
      </c>
      <c r="L282" s="31">
        <f t="shared" si="209"/>
        <v>2.7397260273972599E-3</v>
      </c>
      <c r="M282" s="31">
        <f t="shared" si="209"/>
        <v>2.7397260273972599E-3</v>
      </c>
      <c r="N282" s="298"/>
      <c r="O282" s="298"/>
      <c r="P282" s="298"/>
      <c r="Q282" s="298"/>
      <c r="R282" s="298"/>
      <c r="S282" s="298"/>
      <c r="T282" s="298"/>
      <c r="U282" s="298"/>
      <c r="V282" s="298"/>
      <c r="W282" s="298"/>
      <c r="X282" s="298"/>
      <c r="Y282" s="298"/>
      <c r="Z282" s="298"/>
      <c r="AA282" s="298"/>
      <c r="AB282" s="298"/>
      <c r="AC282" s="298"/>
      <c r="AD282" s="298"/>
      <c r="AE282" s="298"/>
      <c r="AF282" s="298"/>
    </row>
    <row r="283" spans="1:32" ht="15.75" customHeight="1">
      <c r="A283" s="23" t="str">
        <f>A23</f>
        <v>Preá - Estacionamento</v>
      </c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98"/>
      <c r="O283" s="298"/>
      <c r="P283" s="298"/>
      <c r="Q283" s="298"/>
      <c r="R283" s="298"/>
      <c r="S283" s="298"/>
      <c r="T283" s="298"/>
      <c r="U283" s="298"/>
      <c r="V283" s="298"/>
      <c r="W283" s="298"/>
      <c r="X283" s="298"/>
      <c r="Y283" s="298"/>
      <c r="Z283" s="298"/>
      <c r="AA283" s="298"/>
      <c r="AB283" s="298"/>
      <c r="AC283" s="298"/>
      <c r="AD283" s="298"/>
      <c r="AE283" s="298"/>
      <c r="AF283" s="298"/>
    </row>
    <row r="284" spans="1:32" ht="15.75" customHeight="1">
      <c r="A284" s="30" t="s">
        <v>119</v>
      </c>
      <c r="B284" s="31">
        <f t="shared" ref="B284:M284" si="210">IF($A$283=0,0,VLOOKUP($A$283,$A$19:$M$39,B$10+1,0)/(365/12/7)*HLOOKUP($A284,$O$18:$U$39,6,0))</f>
        <v>2.7397260273972599E-3</v>
      </c>
      <c r="C284" s="31">
        <f t="shared" si="210"/>
        <v>2.7397260273972599E-3</v>
      </c>
      <c r="D284" s="31">
        <f t="shared" si="210"/>
        <v>2.7397260273972599E-3</v>
      </c>
      <c r="E284" s="31">
        <f t="shared" si="210"/>
        <v>2.7397260273972599E-3</v>
      </c>
      <c r="F284" s="31">
        <f t="shared" si="210"/>
        <v>2.7397260273972599E-3</v>
      </c>
      <c r="G284" s="31">
        <f t="shared" si="210"/>
        <v>2.7397260273972599E-3</v>
      </c>
      <c r="H284" s="31">
        <f t="shared" si="210"/>
        <v>2.7397260273972599E-3</v>
      </c>
      <c r="I284" s="31">
        <f t="shared" si="210"/>
        <v>2.7397260273972599E-3</v>
      </c>
      <c r="J284" s="31">
        <f t="shared" si="210"/>
        <v>2.7397260273972599E-3</v>
      </c>
      <c r="K284" s="31">
        <f t="shared" si="210"/>
        <v>2.7397260273972599E-3</v>
      </c>
      <c r="L284" s="31">
        <f t="shared" si="210"/>
        <v>2.7397260273972599E-3</v>
      </c>
      <c r="M284" s="31">
        <f t="shared" si="210"/>
        <v>2.7397260273972599E-3</v>
      </c>
      <c r="N284" s="298"/>
      <c r="O284" s="298"/>
      <c r="P284" s="298"/>
      <c r="Q284" s="298"/>
      <c r="R284" s="298"/>
      <c r="S284" s="298"/>
      <c r="T284" s="298"/>
      <c r="U284" s="298"/>
      <c r="V284" s="298"/>
      <c r="W284" s="298"/>
      <c r="X284" s="298"/>
      <c r="Y284" s="298"/>
      <c r="Z284" s="298"/>
      <c r="AA284" s="298"/>
      <c r="AB284" s="298"/>
      <c r="AC284" s="298"/>
      <c r="AD284" s="298"/>
      <c r="AE284" s="298"/>
      <c r="AF284" s="298"/>
    </row>
    <row r="285" spans="1:32" ht="15.75" customHeight="1">
      <c r="A285" s="30" t="s">
        <v>120</v>
      </c>
      <c r="B285" s="31">
        <f t="shared" ref="B285:M285" si="211">IF($A$283=0,0,VLOOKUP($A$283,$A$19:$M$39,B$10+1,0)/(365/12/7)*HLOOKUP($A285,$O$18:$U$39,6,0))</f>
        <v>2.7397260273972599E-3</v>
      </c>
      <c r="C285" s="31">
        <f t="shared" si="211"/>
        <v>2.7397260273972599E-3</v>
      </c>
      <c r="D285" s="31">
        <f t="shared" si="211"/>
        <v>2.7397260273972599E-3</v>
      </c>
      <c r="E285" s="31">
        <f t="shared" si="211"/>
        <v>2.7397260273972599E-3</v>
      </c>
      <c r="F285" s="31">
        <f t="shared" si="211"/>
        <v>2.7397260273972599E-3</v>
      </c>
      <c r="G285" s="31">
        <f t="shared" si="211"/>
        <v>2.7397260273972599E-3</v>
      </c>
      <c r="H285" s="31">
        <f t="shared" si="211"/>
        <v>2.7397260273972599E-3</v>
      </c>
      <c r="I285" s="31">
        <f t="shared" si="211"/>
        <v>2.7397260273972599E-3</v>
      </c>
      <c r="J285" s="31">
        <f t="shared" si="211"/>
        <v>2.7397260273972599E-3</v>
      </c>
      <c r="K285" s="31">
        <f t="shared" si="211"/>
        <v>2.7397260273972599E-3</v>
      </c>
      <c r="L285" s="31">
        <f t="shared" si="211"/>
        <v>2.7397260273972599E-3</v>
      </c>
      <c r="M285" s="31">
        <f t="shared" si="211"/>
        <v>2.7397260273972599E-3</v>
      </c>
      <c r="N285" s="298"/>
      <c r="O285" s="298"/>
      <c r="P285" s="298"/>
      <c r="Q285" s="298"/>
      <c r="R285" s="298"/>
      <c r="S285" s="298"/>
      <c r="T285" s="298"/>
      <c r="U285" s="298"/>
      <c r="V285" s="298"/>
      <c r="W285" s="298"/>
      <c r="X285" s="298"/>
      <c r="Y285" s="298"/>
      <c r="Z285" s="298"/>
      <c r="AA285" s="298"/>
      <c r="AB285" s="298"/>
      <c r="AC285" s="298"/>
      <c r="AD285" s="298"/>
      <c r="AE285" s="298"/>
      <c r="AF285" s="298"/>
    </row>
    <row r="286" spans="1:32" ht="15.75" customHeight="1">
      <c r="A286" s="30" t="s">
        <v>121</v>
      </c>
      <c r="B286" s="31">
        <f t="shared" ref="B286:M286" si="212">IF($A$283=0,0,VLOOKUP($A$283,$A$19:$M$39,B$10+1,0)/(365/12/7)*HLOOKUP($A286,$O$18:$U$39,6,0))</f>
        <v>2.7397260273972599E-3</v>
      </c>
      <c r="C286" s="31">
        <f t="shared" si="212"/>
        <v>2.7397260273972599E-3</v>
      </c>
      <c r="D286" s="31">
        <f t="shared" si="212"/>
        <v>2.7397260273972599E-3</v>
      </c>
      <c r="E286" s="31">
        <f t="shared" si="212"/>
        <v>2.7397260273972599E-3</v>
      </c>
      <c r="F286" s="31">
        <f t="shared" si="212"/>
        <v>2.7397260273972599E-3</v>
      </c>
      <c r="G286" s="31">
        <f t="shared" si="212"/>
        <v>2.7397260273972599E-3</v>
      </c>
      <c r="H286" s="31">
        <f t="shared" si="212"/>
        <v>2.7397260273972599E-3</v>
      </c>
      <c r="I286" s="31">
        <f t="shared" si="212"/>
        <v>2.7397260273972599E-3</v>
      </c>
      <c r="J286" s="31">
        <f t="shared" si="212"/>
        <v>2.7397260273972599E-3</v>
      </c>
      <c r="K286" s="31">
        <f t="shared" si="212"/>
        <v>2.7397260273972599E-3</v>
      </c>
      <c r="L286" s="31">
        <f t="shared" si="212"/>
        <v>2.7397260273972599E-3</v>
      </c>
      <c r="M286" s="31">
        <f t="shared" si="212"/>
        <v>2.7397260273972599E-3</v>
      </c>
      <c r="N286" s="298"/>
      <c r="O286" s="298"/>
      <c r="P286" s="298"/>
      <c r="Q286" s="298"/>
      <c r="R286" s="298"/>
      <c r="S286" s="298"/>
      <c r="T286" s="298"/>
      <c r="U286" s="298"/>
      <c r="V286" s="298"/>
      <c r="W286" s="298"/>
      <c r="X286" s="298"/>
      <c r="Y286" s="298"/>
      <c r="Z286" s="298"/>
      <c r="AA286" s="298"/>
      <c r="AB286" s="298"/>
      <c r="AC286" s="298"/>
      <c r="AD286" s="298"/>
      <c r="AE286" s="298"/>
      <c r="AF286" s="298"/>
    </row>
    <row r="287" spans="1:32" ht="15.75" customHeight="1">
      <c r="A287" s="30" t="s">
        <v>122</v>
      </c>
      <c r="B287" s="31">
        <f t="shared" ref="B287:M287" si="213">IF($A$283=0,0,VLOOKUP($A$283,$A$19:$M$39,B$10+1,0)/(365/12/7)*HLOOKUP($A287,$O$18:$U$39,6,0))</f>
        <v>2.7397260273972599E-3</v>
      </c>
      <c r="C287" s="31">
        <f t="shared" si="213"/>
        <v>2.7397260273972599E-3</v>
      </c>
      <c r="D287" s="31">
        <f t="shared" si="213"/>
        <v>2.7397260273972599E-3</v>
      </c>
      <c r="E287" s="31">
        <f t="shared" si="213"/>
        <v>2.7397260273972599E-3</v>
      </c>
      <c r="F287" s="31">
        <f t="shared" si="213"/>
        <v>2.7397260273972599E-3</v>
      </c>
      <c r="G287" s="31">
        <f t="shared" si="213"/>
        <v>2.7397260273972599E-3</v>
      </c>
      <c r="H287" s="31">
        <f t="shared" si="213"/>
        <v>2.7397260273972599E-3</v>
      </c>
      <c r="I287" s="31">
        <f t="shared" si="213"/>
        <v>2.7397260273972599E-3</v>
      </c>
      <c r="J287" s="31">
        <f t="shared" si="213"/>
        <v>2.7397260273972599E-3</v>
      </c>
      <c r="K287" s="31">
        <f t="shared" si="213"/>
        <v>2.7397260273972599E-3</v>
      </c>
      <c r="L287" s="31">
        <f t="shared" si="213"/>
        <v>2.7397260273972599E-3</v>
      </c>
      <c r="M287" s="31">
        <f t="shared" si="213"/>
        <v>2.7397260273972599E-3</v>
      </c>
      <c r="N287" s="298"/>
      <c r="O287" s="298"/>
      <c r="P287" s="298"/>
      <c r="Q287" s="298"/>
      <c r="R287" s="298"/>
      <c r="S287" s="298"/>
      <c r="T287" s="298"/>
      <c r="U287" s="298"/>
      <c r="V287" s="298"/>
      <c r="W287" s="298"/>
      <c r="X287" s="298"/>
      <c r="Y287" s="298"/>
      <c r="Z287" s="298"/>
      <c r="AA287" s="298"/>
      <c r="AB287" s="298"/>
      <c r="AC287" s="298"/>
      <c r="AD287" s="298"/>
      <c r="AE287" s="298"/>
      <c r="AF287" s="298"/>
    </row>
    <row r="288" spans="1:32" ht="15.75" customHeight="1">
      <c r="A288" s="30" t="s">
        <v>123</v>
      </c>
      <c r="B288" s="31">
        <f t="shared" ref="B288:M288" si="214">IF($A$283=0,0,VLOOKUP($A$283,$A$19:$M$39,B$10+1,0)/(365/12/7)*HLOOKUP($A288,$O$18:$U$39,6,0))</f>
        <v>2.7397260273972599E-3</v>
      </c>
      <c r="C288" s="31">
        <f t="shared" si="214"/>
        <v>2.7397260273972599E-3</v>
      </c>
      <c r="D288" s="31">
        <f t="shared" si="214"/>
        <v>2.7397260273972599E-3</v>
      </c>
      <c r="E288" s="31">
        <f t="shared" si="214"/>
        <v>2.7397260273972599E-3</v>
      </c>
      <c r="F288" s="31">
        <f t="shared" si="214"/>
        <v>2.7397260273972599E-3</v>
      </c>
      <c r="G288" s="31">
        <f t="shared" si="214"/>
        <v>2.7397260273972599E-3</v>
      </c>
      <c r="H288" s="31">
        <f t="shared" si="214"/>
        <v>2.7397260273972599E-3</v>
      </c>
      <c r="I288" s="31">
        <f t="shared" si="214"/>
        <v>2.7397260273972599E-3</v>
      </c>
      <c r="J288" s="31">
        <f t="shared" si="214"/>
        <v>2.7397260273972599E-3</v>
      </c>
      <c r="K288" s="31">
        <f t="shared" si="214"/>
        <v>2.7397260273972599E-3</v>
      </c>
      <c r="L288" s="31">
        <f t="shared" si="214"/>
        <v>2.7397260273972599E-3</v>
      </c>
      <c r="M288" s="31">
        <f t="shared" si="214"/>
        <v>2.7397260273972599E-3</v>
      </c>
      <c r="N288" s="298"/>
      <c r="O288" s="298"/>
      <c r="P288" s="298"/>
      <c r="Q288" s="298"/>
      <c r="R288" s="298"/>
      <c r="S288" s="298"/>
      <c r="T288" s="298"/>
      <c r="U288" s="298"/>
      <c r="V288" s="298"/>
      <c r="W288" s="298"/>
      <c r="X288" s="298"/>
      <c r="Y288" s="298"/>
      <c r="Z288" s="298"/>
      <c r="AA288" s="298"/>
      <c r="AB288" s="298"/>
      <c r="AC288" s="298"/>
      <c r="AD288" s="298"/>
      <c r="AE288" s="298"/>
      <c r="AF288" s="298"/>
    </row>
    <row r="289" spans="1:32" ht="15.75" customHeight="1">
      <c r="A289" s="30" t="s">
        <v>124</v>
      </c>
      <c r="B289" s="31">
        <f t="shared" ref="B289:M289" si="215">IF($A$283=0,0,VLOOKUP($A$283,$A$19:$M$39,B$10+1,0)/(365/12/7)*HLOOKUP($A289,$O$18:$U$39,6,0))</f>
        <v>2.7397260273972599E-3</v>
      </c>
      <c r="C289" s="31">
        <f t="shared" si="215"/>
        <v>2.7397260273972599E-3</v>
      </c>
      <c r="D289" s="31">
        <f t="shared" si="215"/>
        <v>2.7397260273972599E-3</v>
      </c>
      <c r="E289" s="31">
        <f t="shared" si="215"/>
        <v>2.7397260273972599E-3</v>
      </c>
      <c r="F289" s="31">
        <f t="shared" si="215"/>
        <v>2.7397260273972599E-3</v>
      </c>
      <c r="G289" s="31">
        <f t="shared" si="215"/>
        <v>2.7397260273972599E-3</v>
      </c>
      <c r="H289" s="31">
        <f t="shared" si="215"/>
        <v>2.7397260273972599E-3</v>
      </c>
      <c r="I289" s="31">
        <f t="shared" si="215"/>
        <v>2.7397260273972599E-3</v>
      </c>
      <c r="J289" s="31">
        <f t="shared" si="215"/>
        <v>2.7397260273972599E-3</v>
      </c>
      <c r="K289" s="31">
        <f t="shared" si="215"/>
        <v>2.7397260273972599E-3</v>
      </c>
      <c r="L289" s="31">
        <f t="shared" si="215"/>
        <v>2.7397260273972599E-3</v>
      </c>
      <c r="M289" s="31">
        <f t="shared" si="215"/>
        <v>2.7397260273972599E-3</v>
      </c>
      <c r="N289" s="298"/>
      <c r="O289" s="298"/>
      <c r="P289" s="298"/>
      <c r="Q289" s="298"/>
      <c r="R289" s="298"/>
      <c r="S289" s="298"/>
      <c r="T289" s="298"/>
      <c r="U289" s="298"/>
      <c r="V289" s="298"/>
      <c r="W289" s="298"/>
      <c r="X289" s="298"/>
      <c r="Y289" s="298"/>
      <c r="Z289" s="298"/>
      <c r="AA289" s="298"/>
      <c r="AB289" s="298"/>
      <c r="AC289" s="298"/>
      <c r="AD289" s="298"/>
      <c r="AE289" s="298"/>
      <c r="AF289" s="298"/>
    </row>
    <row r="290" spans="1:32" ht="15.75" customHeight="1">
      <c r="A290" s="30" t="s">
        <v>125</v>
      </c>
      <c r="B290" s="31">
        <f t="shared" ref="B290:M290" si="216">IF($A$283=0,0,VLOOKUP($A$283,$A$19:$M$39,B$10+1,0)/(365/12/7)*HLOOKUP($A290,$O$18:$U$39,6,0))</f>
        <v>2.7397260273972599E-3</v>
      </c>
      <c r="C290" s="31">
        <f t="shared" si="216"/>
        <v>2.7397260273972599E-3</v>
      </c>
      <c r="D290" s="31">
        <f t="shared" si="216"/>
        <v>2.7397260273972599E-3</v>
      </c>
      <c r="E290" s="31">
        <f t="shared" si="216"/>
        <v>2.7397260273972599E-3</v>
      </c>
      <c r="F290" s="31">
        <f t="shared" si="216"/>
        <v>2.7397260273972599E-3</v>
      </c>
      <c r="G290" s="31">
        <f t="shared" si="216"/>
        <v>2.7397260273972599E-3</v>
      </c>
      <c r="H290" s="31">
        <f t="shared" si="216"/>
        <v>2.7397260273972599E-3</v>
      </c>
      <c r="I290" s="31">
        <f t="shared" si="216"/>
        <v>2.7397260273972599E-3</v>
      </c>
      <c r="J290" s="31">
        <f t="shared" si="216"/>
        <v>2.7397260273972599E-3</v>
      </c>
      <c r="K290" s="31">
        <f t="shared" si="216"/>
        <v>2.7397260273972599E-3</v>
      </c>
      <c r="L290" s="31">
        <f t="shared" si="216"/>
        <v>2.7397260273972599E-3</v>
      </c>
      <c r="M290" s="31">
        <f t="shared" si="216"/>
        <v>2.7397260273972599E-3</v>
      </c>
      <c r="N290" s="298"/>
      <c r="O290" s="298"/>
      <c r="P290" s="298"/>
      <c r="Q290" s="298"/>
      <c r="R290" s="298"/>
      <c r="S290" s="298"/>
      <c r="T290" s="298"/>
      <c r="U290" s="298"/>
      <c r="V290" s="298"/>
      <c r="W290" s="298"/>
      <c r="X290" s="298"/>
      <c r="Y290" s="298"/>
      <c r="Z290" s="298"/>
      <c r="AA290" s="298"/>
      <c r="AB290" s="298"/>
      <c r="AC290" s="298"/>
      <c r="AD290" s="298"/>
      <c r="AE290" s="298"/>
      <c r="AF290" s="298"/>
    </row>
    <row r="291" spans="1:32" ht="15.75" customHeight="1">
      <c r="A291" s="23" t="str">
        <f>A24</f>
        <v>Árvore da Preguiça - Alimentação</v>
      </c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98"/>
      <c r="O291" s="298"/>
      <c r="P291" s="298"/>
      <c r="Q291" s="298"/>
      <c r="R291" s="298"/>
      <c r="S291" s="298"/>
      <c r="T291" s="298"/>
      <c r="U291" s="298"/>
      <c r="V291" s="298"/>
      <c r="W291" s="298"/>
      <c r="X291" s="298"/>
      <c r="Y291" s="298"/>
      <c r="Z291" s="298"/>
      <c r="AA291" s="298"/>
      <c r="AB291" s="298"/>
      <c r="AC291" s="298"/>
      <c r="AD291" s="298"/>
      <c r="AE291" s="298"/>
      <c r="AF291" s="298"/>
    </row>
    <row r="292" spans="1:32" ht="15.75" customHeight="1">
      <c r="A292" s="30" t="s">
        <v>119</v>
      </c>
      <c r="B292" s="31">
        <f t="shared" ref="B292:M292" si="217">IF($A$291=0,0,VLOOKUP($A$291,$A$19:$M$39,B$10+1,0)/(365/12/7)*HLOOKUP($A292,$O$18:$U$39,7,0))</f>
        <v>2.7397260273972599E-3</v>
      </c>
      <c r="C292" s="31">
        <f t="shared" si="217"/>
        <v>2.7397260273972599E-3</v>
      </c>
      <c r="D292" s="31">
        <f t="shared" si="217"/>
        <v>2.7397260273972599E-3</v>
      </c>
      <c r="E292" s="31">
        <f t="shared" si="217"/>
        <v>2.7397260273972599E-3</v>
      </c>
      <c r="F292" s="31">
        <f t="shared" si="217"/>
        <v>2.7397260273972599E-3</v>
      </c>
      <c r="G292" s="31">
        <f t="shared" si="217"/>
        <v>2.7397260273972599E-3</v>
      </c>
      <c r="H292" s="31">
        <f t="shared" si="217"/>
        <v>2.7397260273972599E-3</v>
      </c>
      <c r="I292" s="31">
        <f t="shared" si="217"/>
        <v>2.7397260273972599E-3</v>
      </c>
      <c r="J292" s="31">
        <f t="shared" si="217"/>
        <v>2.7397260273972599E-3</v>
      </c>
      <c r="K292" s="31">
        <f t="shared" si="217"/>
        <v>2.7397260273972599E-3</v>
      </c>
      <c r="L292" s="31">
        <f t="shared" si="217"/>
        <v>2.7397260273972599E-3</v>
      </c>
      <c r="M292" s="31">
        <f t="shared" si="217"/>
        <v>2.7397260273972599E-3</v>
      </c>
      <c r="N292" s="298"/>
      <c r="O292" s="298"/>
      <c r="P292" s="298"/>
      <c r="Q292" s="298"/>
      <c r="R292" s="298"/>
      <c r="S292" s="298"/>
      <c r="T292" s="298"/>
      <c r="U292" s="298"/>
      <c r="V292" s="298"/>
      <c r="W292" s="298"/>
      <c r="X292" s="298"/>
      <c r="Y292" s="298"/>
      <c r="Z292" s="298"/>
      <c r="AA292" s="298"/>
      <c r="AB292" s="298"/>
      <c r="AC292" s="298"/>
      <c r="AD292" s="298"/>
      <c r="AE292" s="298"/>
      <c r="AF292" s="298"/>
    </row>
    <row r="293" spans="1:32" ht="15.75" customHeight="1">
      <c r="A293" s="30" t="s">
        <v>120</v>
      </c>
      <c r="B293" s="31">
        <f t="shared" ref="B293:M293" si="218">IF($A$291=0,0,VLOOKUP($A$291,$A$19:$M$39,B$10+1,0)/(365/12/7)*HLOOKUP($A293,$O$18:$U$39,7,0))</f>
        <v>2.7397260273972599E-3</v>
      </c>
      <c r="C293" s="31">
        <f t="shared" si="218"/>
        <v>2.7397260273972599E-3</v>
      </c>
      <c r="D293" s="31">
        <f t="shared" si="218"/>
        <v>2.7397260273972599E-3</v>
      </c>
      <c r="E293" s="31">
        <f t="shared" si="218"/>
        <v>2.7397260273972599E-3</v>
      </c>
      <c r="F293" s="31">
        <f t="shared" si="218"/>
        <v>2.7397260273972599E-3</v>
      </c>
      <c r="G293" s="31">
        <f t="shared" si="218"/>
        <v>2.7397260273972599E-3</v>
      </c>
      <c r="H293" s="31">
        <f t="shared" si="218"/>
        <v>2.7397260273972599E-3</v>
      </c>
      <c r="I293" s="31">
        <f t="shared" si="218"/>
        <v>2.7397260273972599E-3</v>
      </c>
      <c r="J293" s="31">
        <f t="shared" si="218"/>
        <v>2.7397260273972599E-3</v>
      </c>
      <c r="K293" s="31">
        <f t="shared" si="218"/>
        <v>2.7397260273972599E-3</v>
      </c>
      <c r="L293" s="31">
        <f t="shared" si="218"/>
        <v>2.7397260273972599E-3</v>
      </c>
      <c r="M293" s="31">
        <f t="shared" si="218"/>
        <v>2.7397260273972599E-3</v>
      </c>
      <c r="N293" s="298"/>
      <c r="O293" s="298"/>
      <c r="P293" s="298"/>
      <c r="Q293" s="298"/>
      <c r="R293" s="298"/>
      <c r="S293" s="298"/>
      <c r="T293" s="298"/>
      <c r="U293" s="298"/>
      <c r="V293" s="298"/>
      <c r="W293" s="298"/>
      <c r="X293" s="298"/>
      <c r="Y293" s="298"/>
      <c r="Z293" s="298"/>
      <c r="AA293" s="298"/>
      <c r="AB293" s="298"/>
      <c r="AC293" s="298"/>
      <c r="AD293" s="298"/>
      <c r="AE293" s="298"/>
      <c r="AF293" s="298"/>
    </row>
    <row r="294" spans="1:32" ht="15.75" customHeight="1">
      <c r="A294" s="30" t="s">
        <v>121</v>
      </c>
      <c r="B294" s="31">
        <f t="shared" ref="B294:M294" si="219">IF($A$291=0,0,VLOOKUP($A$291,$A$19:$M$39,B$10+1,0)/(365/12/7)*HLOOKUP($A294,$O$18:$U$39,7,0))</f>
        <v>2.7397260273972599E-3</v>
      </c>
      <c r="C294" s="31">
        <f t="shared" si="219"/>
        <v>2.7397260273972599E-3</v>
      </c>
      <c r="D294" s="31">
        <f t="shared" si="219"/>
        <v>2.7397260273972599E-3</v>
      </c>
      <c r="E294" s="31">
        <f t="shared" si="219"/>
        <v>2.7397260273972599E-3</v>
      </c>
      <c r="F294" s="31">
        <f t="shared" si="219"/>
        <v>2.7397260273972599E-3</v>
      </c>
      <c r="G294" s="31">
        <f t="shared" si="219"/>
        <v>2.7397260273972599E-3</v>
      </c>
      <c r="H294" s="31">
        <f t="shared" si="219"/>
        <v>2.7397260273972599E-3</v>
      </c>
      <c r="I294" s="31">
        <f t="shared" si="219"/>
        <v>2.7397260273972599E-3</v>
      </c>
      <c r="J294" s="31">
        <f t="shared" si="219"/>
        <v>2.7397260273972599E-3</v>
      </c>
      <c r="K294" s="31">
        <f t="shared" si="219"/>
        <v>2.7397260273972599E-3</v>
      </c>
      <c r="L294" s="31">
        <f t="shared" si="219"/>
        <v>2.7397260273972599E-3</v>
      </c>
      <c r="M294" s="31">
        <f t="shared" si="219"/>
        <v>2.7397260273972599E-3</v>
      </c>
      <c r="N294" s="298"/>
      <c r="O294" s="298"/>
      <c r="P294" s="298"/>
      <c r="Q294" s="298"/>
      <c r="R294" s="298"/>
      <c r="S294" s="298"/>
      <c r="T294" s="298"/>
      <c r="U294" s="298"/>
      <c r="V294" s="298"/>
      <c r="W294" s="298"/>
      <c r="X294" s="298"/>
      <c r="Y294" s="298"/>
      <c r="Z294" s="298"/>
      <c r="AA294" s="298"/>
      <c r="AB294" s="298"/>
      <c r="AC294" s="298"/>
      <c r="AD294" s="298"/>
      <c r="AE294" s="298"/>
      <c r="AF294" s="298"/>
    </row>
    <row r="295" spans="1:32" ht="15.75" customHeight="1">
      <c r="A295" s="30" t="s">
        <v>122</v>
      </c>
      <c r="B295" s="31">
        <f t="shared" ref="B295:M295" si="220">IF($A$291=0,0,VLOOKUP($A$291,$A$19:$M$39,B$10+1,0)/(365/12/7)*HLOOKUP($A295,$O$18:$U$39,7,0))</f>
        <v>2.7397260273972599E-3</v>
      </c>
      <c r="C295" s="31">
        <f t="shared" si="220"/>
        <v>2.7397260273972599E-3</v>
      </c>
      <c r="D295" s="31">
        <f t="shared" si="220"/>
        <v>2.7397260273972599E-3</v>
      </c>
      <c r="E295" s="31">
        <f t="shared" si="220"/>
        <v>2.7397260273972599E-3</v>
      </c>
      <c r="F295" s="31">
        <f t="shared" si="220"/>
        <v>2.7397260273972599E-3</v>
      </c>
      <c r="G295" s="31">
        <f t="shared" si="220"/>
        <v>2.7397260273972599E-3</v>
      </c>
      <c r="H295" s="31">
        <f t="shared" si="220"/>
        <v>2.7397260273972599E-3</v>
      </c>
      <c r="I295" s="31">
        <f t="shared" si="220"/>
        <v>2.7397260273972599E-3</v>
      </c>
      <c r="J295" s="31">
        <f t="shared" si="220"/>
        <v>2.7397260273972599E-3</v>
      </c>
      <c r="K295" s="31">
        <f t="shared" si="220"/>
        <v>2.7397260273972599E-3</v>
      </c>
      <c r="L295" s="31">
        <f t="shared" si="220"/>
        <v>2.7397260273972599E-3</v>
      </c>
      <c r="M295" s="31">
        <f t="shared" si="220"/>
        <v>2.7397260273972599E-3</v>
      </c>
      <c r="N295" s="298"/>
      <c r="O295" s="298"/>
      <c r="P295" s="298"/>
      <c r="Q295" s="298"/>
      <c r="R295" s="298"/>
      <c r="S295" s="298"/>
      <c r="T295" s="298"/>
      <c r="U295" s="298"/>
      <c r="V295" s="298"/>
      <c r="W295" s="298"/>
      <c r="X295" s="298"/>
      <c r="Y295" s="298"/>
      <c r="Z295" s="298"/>
      <c r="AA295" s="298"/>
      <c r="AB295" s="298"/>
      <c r="AC295" s="298"/>
      <c r="AD295" s="298"/>
      <c r="AE295" s="298"/>
      <c r="AF295" s="298"/>
    </row>
    <row r="296" spans="1:32" ht="15.75" customHeight="1">
      <c r="A296" s="30" t="s">
        <v>123</v>
      </c>
      <c r="B296" s="31">
        <f t="shared" ref="B296:M296" si="221">IF($A$291=0,0,VLOOKUP($A$291,$A$19:$M$39,B$10+1,0)/(365/12/7)*HLOOKUP($A296,$O$18:$U$39,7,0))</f>
        <v>2.7397260273972599E-3</v>
      </c>
      <c r="C296" s="31">
        <f t="shared" si="221"/>
        <v>2.7397260273972599E-3</v>
      </c>
      <c r="D296" s="31">
        <f t="shared" si="221"/>
        <v>2.7397260273972599E-3</v>
      </c>
      <c r="E296" s="31">
        <f t="shared" si="221"/>
        <v>2.7397260273972599E-3</v>
      </c>
      <c r="F296" s="31">
        <f t="shared" si="221"/>
        <v>2.7397260273972599E-3</v>
      </c>
      <c r="G296" s="31">
        <f t="shared" si="221"/>
        <v>2.7397260273972599E-3</v>
      </c>
      <c r="H296" s="31">
        <f t="shared" si="221"/>
        <v>2.7397260273972599E-3</v>
      </c>
      <c r="I296" s="31">
        <f t="shared" si="221"/>
        <v>2.7397260273972599E-3</v>
      </c>
      <c r="J296" s="31">
        <f t="shared" si="221"/>
        <v>2.7397260273972599E-3</v>
      </c>
      <c r="K296" s="31">
        <f t="shared" si="221"/>
        <v>2.7397260273972599E-3</v>
      </c>
      <c r="L296" s="31">
        <f t="shared" si="221"/>
        <v>2.7397260273972599E-3</v>
      </c>
      <c r="M296" s="31">
        <f t="shared" si="221"/>
        <v>2.7397260273972599E-3</v>
      </c>
      <c r="N296" s="298"/>
      <c r="O296" s="298"/>
      <c r="P296" s="298"/>
      <c r="Q296" s="298"/>
      <c r="R296" s="298"/>
      <c r="S296" s="298"/>
      <c r="T296" s="298"/>
      <c r="U296" s="298"/>
      <c r="V296" s="298"/>
      <c r="W296" s="298"/>
      <c r="X296" s="298"/>
      <c r="Y296" s="298"/>
      <c r="Z296" s="298"/>
      <c r="AA296" s="298"/>
      <c r="AB296" s="298"/>
      <c r="AC296" s="298"/>
      <c r="AD296" s="298"/>
      <c r="AE296" s="298"/>
      <c r="AF296" s="298"/>
    </row>
    <row r="297" spans="1:32" ht="15.75" customHeight="1">
      <c r="A297" s="30" t="s">
        <v>124</v>
      </c>
      <c r="B297" s="31">
        <f t="shared" ref="B297:M297" si="222">IF($A$291=0,0,VLOOKUP($A$291,$A$19:$M$39,B$10+1,0)/(365/12/7)*HLOOKUP($A297,$O$18:$U$39,7,0))</f>
        <v>2.7397260273972599E-3</v>
      </c>
      <c r="C297" s="31">
        <f t="shared" si="222"/>
        <v>2.7397260273972599E-3</v>
      </c>
      <c r="D297" s="31">
        <f t="shared" si="222"/>
        <v>2.7397260273972599E-3</v>
      </c>
      <c r="E297" s="31">
        <f t="shared" si="222"/>
        <v>2.7397260273972599E-3</v>
      </c>
      <c r="F297" s="31">
        <f t="shared" si="222"/>
        <v>2.7397260273972599E-3</v>
      </c>
      <c r="G297" s="31">
        <f t="shared" si="222"/>
        <v>2.7397260273972599E-3</v>
      </c>
      <c r="H297" s="31">
        <f t="shared" si="222"/>
        <v>2.7397260273972599E-3</v>
      </c>
      <c r="I297" s="31">
        <f t="shared" si="222"/>
        <v>2.7397260273972599E-3</v>
      </c>
      <c r="J297" s="31">
        <f t="shared" si="222"/>
        <v>2.7397260273972599E-3</v>
      </c>
      <c r="K297" s="31">
        <f t="shared" si="222"/>
        <v>2.7397260273972599E-3</v>
      </c>
      <c r="L297" s="31">
        <f t="shared" si="222"/>
        <v>2.7397260273972599E-3</v>
      </c>
      <c r="M297" s="31">
        <f t="shared" si="222"/>
        <v>2.7397260273972599E-3</v>
      </c>
      <c r="N297" s="298"/>
      <c r="O297" s="298"/>
      <c r="P297" s="298"/>
      <c r="Q297" s="298"/>
      <c r="R297" s="298"/>
      <c r="S297" s="298"/>
      <c r="T297" s="298"/>
      <c r="U297" s="298"/>
      <c r="V297" s="298"/>
      <c r="W297" s="298"/>
      <c r="X297" s="298"/>
      <c r="Y297" s="298"/>
      <c r="Z297" s="298"/>
      <c r="AA297" s="298"/>
      <c r="AB297" s="298"/>
      <c r="AC297" s="298"/>
      <c r="AD297" s="298"/>
      <c r="AE297" s="298"/>
      <c r="AF297" s="298"/>
    </row>
    <row r="298" spans="1:32" ht="15.75" customHeight="1">
      <c r="A298" s="30" t="s">
        <v>125</v>
      </c>
      <c r="B298" s="31">
        <f t="shared" ref="B298:M298" si="223">IF($A$291=0,0,VLOOKUP($A$291,$A$19:$M$39,B$10+1,0)/(365/12/7)*HLOOKUP($A298,$O$18:$U$39,7,0))</f>
        <v>2.7397260273972599E-3</v>
      </c>
      <c r="C298" s="31">
        <f t="shared" si="223"/>
        <v>2.7397260273972599E-3</v>
      </c>
      <c r="D298" s="31">
        <f t="shared" si="223"/>
        <v>2.7397260273972599E-3</v>
      </c>
      <c r="E298" s="31">
        <f t="shared" si="223"/>
        <v>2.7397260273972599E-3</v>
      </c>
      <c r="F298" s="31">
        <f t="shared" si="223"/>
        <v>2.7397260273972599E-3</v>
      </c>
      <c r="G298" s="31">
        <f t="shared" si="223"/>
        <v>2.7397260273972599E-3</v>
      </c>
      <c r="H298" s="31">
        <f t="shared" si="223"/>
        <v>2.7397260273972599E-3</v>
      </c>
      <c r="I298" s="31">
        <f t="shared" si="223"/>
        <v>2.7397260273972599E-3</v>
      </c>
      <c r="J298" s="31">
        <f t="shared" si="223"/>
        <v>2.7397260273972599E-3</v>
      </c>
      <c r="K298" s="31">
        <f t="shared" si="223"/>
        <v>2.7397260273972599E-3</v>
      </c>
      <c r="L298" s="31">
        <f t="shared" si="223"/>
        <v>2.7397260273972599E-3</v>
      </c>
      <c r="M298" s="31">
        <f t="shared" si="223"/>
        <v>2.7397260273972599E-3</v>
      </c>
      <c r="N298" s="298"/>
      <c r="O298" s="298"/>
      <c r="P298" s="298"/>
      <c r="Q298" s="298"/>
      <c r="R298" s="298"/>
      <c r="S298" s="298"/>
      <c r="T298" s="298"/>
      <c r="U298" s="298"/>
      <c r="V298" s="298"/>
      <c r="W298" s="298"/>
      <c r="X298" s="298"/>
      <c r="Y298" s="298"/>
      <c r="Z298" s="298"/>
      <c r="AA298" s="298"/>
      <c r="AB298" s="298"/>
      <c r="AC298" s="298"/>
      <c r="AD298" s="298"/>
      <c r="AE298" s="298"/>
      <c r="AF298" s="298"/>
    </row>
    <row r="299" spans="1:32" ht="15.75" customHeight="1">
      <c r="A299" s="23" t="str">
        <f>A25</f>
        <v>Árvore da Preguiça - Comércio</v>
      </c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98"/>
      <c r="O299" s="298"/>
      <c r="P299" s="298"/>
      <c r="Q299" s="298"/>
      <c r="R299" s="298"/>
      <c r="S299" s="298"/>
      <c r="T299" s="298"/>
      <c r="U299" s="298"/>
      <c r="V299" s="298"/>
      <c r="W299" s="298"/>
      <c r="X299" s="298"/>
      <c r="Y299" s="298"/>
      <c r="Z299" s="298"/>
      <c r="AA299" s="298"/>
      <c r="AB299" s="298"/>
      <c r="AC299" s="298"/>
      <c r="AD299" s="298"/>
      <c r="AE299" s="298"/>
      <c r="AF299" s="298"/>
    </row>
    <row r="300" spans="1:32" ht="15.75" customHeight="1">
      <c r="A300" s="30" t="s">
        <v>119</v>
      </c>
      <c r="B300" s="31">
        <f t="shared" ref="B300:M300" si="224">IF($A$299=0,0,VLOOKUP($A$299,$A$19:$M$39,B$10+1,0)/(365/12/7)*HLOOKUP($A300,$O$18:$U$39,8,0))</f>
        <v>2.7397260273972599E-3</v>
      </c>
      <c r="C300" s="31">
        <f t="shared" si="224"/>
        <v>2.7397260273972599E-3</v>
      </c>
      <c r="D300" s="31">
        <f t="shared" si="224"/>
        <v>2.7397260273972599E-3</v>
      </c>
      <c r="E300" s="31">
        <f t="shared" si="224"/>
        <v>2.7397260273972599E-3</v>
      </c>
      <c r="F300" s="31">
        <f t="shared" si="224"/>
        <v>2.7397260273972599E-3</v>
      </c>
      <c r="G300" s="31">
        <f t="shared" si="224"/>
        <v>2.7397260273972599E-3</v>
      </c>
      <c r="H300" s="31">
        <f t="shared" si="224"/>
        <v>2.7397260273972599E-3</v>
      </c>
      <c r="I300" s="31">
        <f t="shared" si="224"/>
        <v>2.7397260273972599E-3</v>
      </c>
      <c r="J300" s="31">
        <f t="shared" si="224"/>
        <v>2.7397260273972599E-3</v>
      </c>
      <c r="K300" s="31">
        <f t="shared" si="224"/>
        <v>2.7397260273972599E-3</v>
      </c>
      <c r="L300" s="31">
        <f t="shared" si="224"/>
        <v>2.7397260273972599E-3</v>
      </c>
      <c r="M300" s="31">
        <f t="shared" si="224"/>
        <v>2.7397260273972599E-3</v>
      </c>
      <c r="N300" s="298"/>
      <c r="O300" s="298"/>
      <c r="P300" s="298"/>
      <c r="Q300" s="298"/>
      <c r="R300" s="298"/>
      <c r="S300" s="298"/>
      <c r="T300" s="298"/>
      <c r="U300" s="298"/>
      <c r="V300" s="298"/>
      <c r="W300" s="298"/>
      <c r="X300" s="298"/>
      <c r="Y300" s="298"/>
      <c r="Z300" s="298"/>
      <c r="AA300" s="298"/>
      <c r="AB300" s="298"/>
      <c r="AC300" s="298"/>
      <c r="AD300" s="298"/>
      <c r="AE300" s="298"/>
      <c r="AF300" s="298"/>
    </row>
    <row r="301" spans="1:32" ht="15.75" customHeight="1">
      <c r="A301" s="30" t="s">
        <v>120</v>
      </c>
      <c r="B301" s="31">
        <f t="shared" ref="B301:M301" si="225">IF($A$299=0,0,VLOOKUP($A$299,$A$19:$M$39,B$10+1,0)/(365/12/7)*HLOOKUP($A301,$O$18:$U$39,8,0))</f>
        <v>2.7397260273972599E-3</v>
      </c>
      <c r="C301" s="31">
        <f t="shared" si="225"/>
        <v>2.7397260273972599E-3</v>
      </c>
      <c r="D301" s="31">
        <f t="shared" si="225"/>
        <v>2.7397260273972599E-3</v>
      </c>
      <c r="E301" s="31">
        <f t="shared" si="225"/>
        <v>2.7397260273972599E-3</v>
      </c>
      <c r="F301" s="31">
        <f t="shared" si="225"/>
        <v>2.7397260273972599E-3</v>
      </c>
      <c r="G301" s="31">
        <f t="shared" si="225"/>
        <v>2.7397260273972599E-3</v>
      </c>
      <c r="H301" s="31">
        <f t="shared" si="225"/>
        <v>2.7397260273972599E-3</v>
      </c>
      <c r="I301" s="31">
        <f t="shared" si="225"/>
        <v>2.7397260273972599E-3</v>
      </c>
      <c r="J301" s="31">
        <f t="shared" si="225"/>
        <v>2.7397260273972599E-3</v>
      </c>
      <c r="K301" s="31">
        <f t="shared" si="225"/>
        <v>2.7397260273972599E-3</v>
      </c>
      <c r="L301" s="31">
        <f t="shared" si="225"/>
        <v>2.7397260273972599E-3</v>
      </c>
      <c r="M301" s="31">
        <f t="shared" si="225"/>
        <v>2.7397260273972599E-3</v>
      </c>
      <c r="N301" s="298"/>
      <c r="O301" s="298"/>
      <c r="P301" s="298"/>
      <c r="Q301" s="298"/>
      <c r="R301" s="298"/>
      <c r="S301" s="298"/>
      <c r="T301" s="298"/>
      <c r="U301" s="298"/>
      <c r="V301" s="298"/>
      <c r="W301" s="298"/>
      <c r="X301" s="298"/>
      <c r="Y301" s="298"/>
      <c r="Z301" s="298"/>
      <c r="AA301" s="298"/>
      <c r="AB301" s="298"/>
      <c r="AC301" s="298"/>
      <c r="AD301" s="298"/>
      <c r="AE301" s="298"/>
      <c r="AF301" s="298"/>
    </row>
    <row r="302" spans="1:32" ht="15.75" customHeight="1">
      <c r="A302" s="30" t="s">
        <v>121</v>
      </c>
      <c r="B302" s="31">
        <f t="shared" ref="B302:M302" si="226">IF($A$299=0,0,VLOOKUP($A$299,$A$19:$M$39,B$10+1,0)/(365/12/7)*HLOOKUP($A302,$O$18:$U$39,8,0))</f>
        <v>2.7397260273972599E-3</v>
      </c>
      <c r="C302" s="31">
        <f t="shared" si="226"/>
        <v>2.7397260273972599E-3</v>
      </c>
      <c r="D302" s="31">
        <f t="shared" si="226"/>
        <v>2.7397260273972599E-3</v>
      </c>
      <c r="E302" s="31">
        <f t="shared" si="226"/>
        <v>2.7397260273972599E-3</v>
      </c>
      <c r="F302" s="31">
        <f t="shared" si="226"/>
        <v>2.7397260273972599E-3</v>
      </c>
      <c r="G302" s="31">
        <f t="shared" si="226"/>
        <v>2.7397260273972599E-3</v>
      </c>
      <c r="H302" s="31">
        <f t="shared" si="226"/>
        <v>2.7397260273972599E-3</v>
      </c>
      <c r="I302" s="31">
        <f t="shared" si="226"/>
        <v>2.7397260273972599E-3</v>
      </c>
      <c r="J302" s="31">
        <f t="shared" si="226"/>
        <v>2.7397260273972599E-3</v>
      </c>
      <c r="K302" s="31">
        <f t="shared" si="226"/>
        <v>2.7397260273972599E-3</v>
      </c>
      <c r="L302" s="31">
        <f t="shared" si="226"/>
        <v>2.7397260273972599E-3</v>
      </c>
      <c r="M302" s="31">
        <f t="shared" si="226"/>
        <v>2.7397260273972599E-3</v>
      </c>
      <c r="N302" s="298"/>
      <c r="O302" s="298"/>
      <c r="P302" s="298"/>
      <c r="Q302" s="298"/>
      <c r="R302" s="298"/>
      <c r="S302" s="298"/>
      <c r="T302" s="298"/>
      <c r="U302" s="298"/>
      <c r="V302" s="298"/>
      <c r="W302" s="298"/>
      <c r="X302" s="298"/>
      <c r="Y302" s="298"/>
      <c r="Z302" s="298"/>
      <c r="AA302" s="298"/>
      <c r="AB302" s="298"/>
      <c r="AC302" s="298"/>
      <c r="AD302" s="298"/>
      <c r="AE302" s="298"/>
      <c r="AF302" s="298"/>
    </row>
    <row r="303" spans="1:32" ht="15.75" customHeight="1">
      <c r="A303" s="30" t="s">
        <v>122</v>
      </c>
      <c r="B303" s="31">
        <f t="shared" ref="B303:M303" si="227">IF($A$299=0,0,VLOOKUP($A$299,$A$19:$M$39,B$10+1,0)/(365/12/7)*HLOOKUP($A303,$O$18:$U$39,8,0))</f>
        <v>2.7397260273972599E-3</v>
      </c>
      <c r="C303" s="31">
        <f t="shared" si="227"/>
        <v>2.7397260273972599E-3</v>
      </c>
      <c r="D303" s="31">
        <f t="shared" si="227"/>
        <v>2.7397260273972599E-3</v>
      </c>
      <c r="E303" s="31">
        <f t="shared" si="227"/>
        <v>2.7397260273972599E-3</v>
      </c>
      <c r="F303" s="31">
        <f t="shared" si="227"/>
        <v>2.7397260273972599E-3</v>
      </c>
      <c r="G303" s="31">
        <f t="shared" si="227"/>
        <v>2.7397260273972599E-3</v>
      </c>
      <c r="H303" s="31">
        <f t="shared" si="227"/>
        <v>2.7397260273972599E-3</v>
      </c>
      <c r="I303" s="31">
        <f t="shared" si="227"/>
        <v>2.7397260273972599E-3</v>
      </c>
      <c r="J303" s="31">
        <f t="shared" si="227"/>
        <v>2.7397260273972599E-3</v>
      </c>
      <c r="K303" s="31">
        <f t="shared" si="227"/>
        <v>2.7397260273972599E-3</v>
      </c>
      <c r="L303" s="31">
        <f t="shared" si="227"/>
        <v>2.7397260273972599E-3</v>
      </c>
      <c r="M303" s="31">
        <f t="shared" si="227"/>
        <v>2.7397260273972599E-3</v>
      </c>
      <c r="N303" s="298"/>
      <c r="O303" s="298"/>
      <c r="P303" s="298"/>
      <c r="Q303" s="298"/>
      <c r="R303" s="298"/>
      <c r="S303" s="298"/>
      <c r="T303" s="298"/>
      <c r="U303" s="298"/>
      <c r="V303" s="298"/>
      <c r="W303" s="298"/>
      <c r="X303" s="298"/>
      <c r="Y303" s="298"/>
      <c r="Z303" s="298"/>
      <c r="AA303" s="298"/>
      <c r="AB303" s="298"/>
      <c r="AC303" s="298"/>
      <c r="AD303" s="298"/>
      <c r="AE303" s="298"/>
      <c r="AF303" s="298"/>
    </row>
    <row r="304" spans="1:32" ht="15.75" customHeight="1">
      <c r="A304" s="30" t="s">
        <v>123</v>
      </c>
      <c r="B304" s="31">
        <f t="shared" ref="B304:M304" si="228">IF($A$299=0,0,VLOOKUP($A$299,$A$19:$M$39,B$10+1,0)/(365/12/7)*HLOOKUP($A304,$O$18:$U$39,8,0))</f>
        <v>2.7397260273972599E-3</v>
      </c>
      <c r="C304" s="31">
        <f t="shared" si="228"/>
        <v>2.7397260273972599E-3</v>
      </c>
      <c r="D304" s="31">
        <f t="shared" si="228"/>
        <v>2.7397260273972599E-3</v>
      </c>
      <c r="E304" s="31">
        <f t="shared" si="228"/>
        <v>2.7397260273972599E-3</v>
      </c>
      <c r="F304" s="31">
        <f t="shared" si="228"/>
        <v>2.7397260273972599E-3</v>
      </c>
      <c r="G304" s="31">
        <f t="shared" si="228"/>
        <v>2.7397260273972599E-3</v>
      </c>
      <c r="H304" s="31">
        <f t="shared" si="228"/>
        <v>2.7397260273972599E-3</v>
      </c>
      <c r="I304" s="31">
        <f t="shared" si="228"/>
        <v>2.7397260273972599E-3</v>
      </c>
      <c r="J304" s="31">
        <f t="shared" si="228"/>
        <v>2.7397260273972599E-3</v>
      </c>
      <c r="K304" s="31">
        <f t="shared" si="228"/>
        <v>2.7397260273972599E-3</v>
      </c>
      <c r="L304" s="31">
        <f t="shared" si="228"/>
        <v>2.7397260273972599E-3</v>
      </c>
      <c r="M304" s="31">
        <f t="shared" si="228"/>
        <v>2.7397260273972599E-3</v>
      </c>
      <c r="N304" s="298"/>
      <c r="O304" s="298"/>
      <c r="P304" s="298"/>
      <c r="Q304" s="298"/>
      <c r="R304" s="298"/>
      <c r="S304" s="298"/>
      <c r="T304" s="298"/>
      <c r="U304" s="298"/>
      <c r="V304" s="298"/>
      <c r="W304" s="298"/>
      <c r="X304" s="298"/>
      <c r="Y304" s="298"/>
      <c r="Z304" s="298"/>
      <c r="AA304" s="298"/>
      <c r="AB304" s="298"/>
      <c r="AC304" s="298"/>
      <c r="AD304" s="298"/>
      <c r="AE304" s="298"/>
      <c r="AF304" s="298"/>
    </row>
    <row r="305" spans="1:32" ht="15.75" customHeight="1">
      <c r="A305" s="30" t="s">
        <v>124</v>
      </c>
      <c r="B305" s="31">
        <f t="shared" ref="B305:M305" si="229">IF($A$299=0,0,VLOOKUP($A$299,$A$19:$M$39,B$10+1,0)/(365/12/7)*HLOOKUP($A305,$O$18:$U$39,8,0))</f>
        <v>2.7397260273972599E-3</v>
      </c>
      <c r="C305" s="31">
        <f t="shared" si="229"/>
        <v>2.7397260273972599E-3</v>
      </c>
      <c r="D305" s="31">
        <f t="shared" si="229"/>
        <v>2.7397260273972599E-3</v>
      </c>
      <c r="E305" s="31">
        <f t="shared" si="229"/>
        <v>2.7397260273972599E-3</v>
      </c>
      <c r="F305" s="31">
        <f t="shared" si="229"/>
        <v>2.7397260273972599E-3</v>
      </c>
      <c r="G305" s="31">
        <f t="shared" si="229"/>
        <v>2.7397260273972599E-3</v>
      </c>
      <c r="H305" s="31">
        <f t="shared" si="229"/>
        <v>2.7397260273972599E-3</v>
      </c>
      <c r="I305" s="31">
        <f t="shared" si="229"/>
        <v>2.7397260273972599E-3</v>
      </c>
      <c r="J305" s="31">
        <f t="shared" si="229"/>
        <v>2.7397260273972599E-3</v>
      </c>
      <c r="K305" s="31">
        <f t="shared" si="229"/>
        <v>2.7397260273972599E-3</v>
      </c>
      <c r="L305" s="31">
        <f t="shared" si="229"/>
        <v>2.7397260273972599E-3</v>
      </c>
      <c r="M305" s="31">
        <f t="shared" si="229"/>
        <v>2.7397260273972599E-3</v>
      </c>
      <c r="N305" s="298"/>
      <c r="O305" s="298"/>
      <c r="P305" s="298"/>
      <c r="Q305" s="298"/>
      <c r="R305" s="298"/>
      <c r="S305" s="298"/>
      <c r="T305" s="298"/>
      <c r="U305" s="298"/>
      <c r="V305" s="298"/>
      <c r="W305" s="298"/>
      <c r="X305" s="298"/>
      <c r="Y305" s="298"/>
      <c r="Z305" s="298"/>
      <c r="AA305" s="298"/>
      <c r="AB305" s="298"/>
      <c r="AC305" s="298"/>
      <c r="AD305" s="298"/>
      <c r="AE305" s="298"/>
      <c r="AF305" s="298"/>
    </row>
    <row r="306" spans="1:32" ht="15.75" customHeight="1">
      <c r="A306" s="30" t="s">
        <v>125</v>
      </c>
      <c r="B306" s="31">
        <f t="shared" ref="B306:M306" si="230">IF($A$299=0,0,VLOOKUP($A$299,$A$19:$M$39,B$10+1,0)/(365/12/7)*HLOOKUP($A306,$O$18:$U$39,8,0))</f>
        <v>2.7397260273972599E-3</v>
      </c>
      <c r="C306" s="31">
        <f t="shared" si="230"/>
        <v>2.7397260273972599E-3</v>
      </c>
      <c r="D306" s="31">
        <f t="shared" si="230"/>
        <v>2.7397260273972599E-3</v>
      </c>
      <c r="E306" s="31">
        <f t="shared" si="230"/>
        <v>2.7397260273972599E-3</v>
      </c>
      <c r="F306" s="31">
        <f t="shared" si="230"/>
        <v>2.7397260273972599E-3</v>
      </c>
      <c r="G306" s="31">
        <f t="shared" si="230"/>
        <v>2.7397260273972599E-3</v>
      </c>
      <c r="H306" s="31">
        <f t="shared" si="230"/>
        <v>2.7397260273972599E-3</v>
      </c>
      <c r="I306" s="31">
        <f t="shared" si="230"/>
        <v>2.7397260273972599E-3</v>
      </c>
      <c r="J306" s="31">
        <f t="shared" si="230"/>
        <v>2.7397260273972599E-3</v>
      </c>
      <c r="K306" s="31">
        <f t="shared" si="230"/>
        <v>2.7397260273972599E-3</v>
      </c>
      <c r="L306" s="31">
        <f t="shared" si="230"/>
        <v>2.7397260273972599E-3</v>
      </c>
      <c r="M306" s="31">
        <f t="shared" si="230"/>
        <v>2.7397260273972599E-3</v>
      </c>
      <c r="N306" s="298"/>
      <c r="O306" s="298"/>
      <c r="P306" s="298"/>
      <c r="Q306" s="298"/>
      <c r="R306" s="298"/>
      <c r="S306" s="298"/>
      <c r="T306" s="298"/>
      <c r="U306" s="298"/>
      <c r="V306" s="298"/>
      <c r="W306" s="298"/>
      <c r="X306" s="298"/>
      <c r="Y306" s="298"/>
      <c r="Z306" s="298"/>
      <c r="AA306" s="298"/>
      <c r="AB306" s="298"/>
      <c r="AC306" s="298"/>
      <c r="AD306" s="298"/>
      <c r="AE306" s="298"/>
      <c r="AF306" s="298"/>
    </row>
    <row r="307" spans="1:32" ht="15.75" customHeight="1">
      <c r="A307" s="23" t="str">
        <f>A26</f>
        <v>Silveira - Alimentação</v>
      </c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98"/>
      <c r="O307" s="298"/>
      <c r="P307" s="298"/>
      <c r="Q307" s="298"/>
      <c r="R307" s="298"/>
      <c r="S307" s="298"/>
      <c r="T307" s="298"/>
      <c r="U307" s="298"/>
      <c r="V307" s="298"/>
      <c r="W307" s="298"/>
      <c r="X307" s="298"/>
      <c r="Y307" s="298"/>
      <c r="Z307" s="298"/>
      <c r="AA307" s="298"/>
      <c r="AB307" s="298"/>
      <c r="AC307" s="298"/>
      <c r="AD307" s="298"/>
      <c r="AE307" s="298"/>
      <c r="AF307" s="298"/>
    </row>
    <row r="308" spans="1:32" ht="15.75" customHeight="1">
      <c r="A308" s="30" t="s">
        <v>119</v>
      </c>
      <c r="B308" s="31">
        <f t="shared" ref="B308:M308" si="231">IF($A$307=0,0,VLOOKUP($A$307,$A$19:$M$39,B$10+1,0)/(365/12/7)*HLOOKUP($A308,$O$18:$U$39,9,0))</f>
        <v>2.7397260273972599E-3</v>
      </c>
      <c r="C308" s="31">
        <f t="shared" si="231"/>
        <v>2.7397260273972599E-3</v>
      </c>
      <c r="D308" s="31">
        <f t="shared" si="231"/>
        <v>2.7397260273972599E-3</v>
      </c>
      <c r="E308" s="31">
        <f t="shared" si="231"/>
        <v>2.7397260273972599E-3</v>
      </c>
      <c r="F308" s="31">
        <f t="shared" si="231"/>
        <v>2.7397260273972599E-3</v>
      </c>
      <c r="G308" s="31">
        <f t="shared" si="231"/>
        <v>2.7397260273972599E-3</v>
      </c>
      <c r="H308" s="31">
        <f t="shared" si="231"/>
        <v>2.7397260273972599E-3</v>
      </c>
      <c r="I308" s="31">
        <f t="shared" si="231"/>
        <v>2.7397260273972599E-3</v>
      </c>
      <c r="J308" s="31">
        <f t="shared" si="231"/>
        <v>2.7397260273972599E-3</v>
      </c>
      <c r="K308" s="31">
        <f t="shared" si="231"/>
        <v>2.7397260273972599E-3</v>
      </c>
      <c r="L308" s="31">
        <f t="shared" si="231"/>
        <v>2.7397260273972599E-3</v>
      </c>
      <c r="M308" s="31">
        <f t="shared" si="231"/>
        <v>2.7397260273972599E-3</v>
      </c>
      <c r="N308" s="298"/>
      <c r="O308" s="298"/>
      <c r="P308" s="298"/>
      <c r="Q308" s="298"/>
      <c r="R308" s="298"/>
      <c r="S308" s="298"/>
      <c r="T308" s="298"/>
      <c r="U308" s="298"/>
      <c r="V308" s="298"/>
      <c r="W308" s="298"/>
      <c r="X308" s="298"/>
      <c r="Y308" s="298"/>
      <c r="Z308" s="298"/>
      <c r="AA308" s="298"/>
      <c r="AB308" s="298"/>
      <c r="AC308" s="298"/>
      <c r="AD308" s="298"/>
      <c r="AE308" s="298"/>
      <c r="AF308" s="298"/>
    </row>
    <row r="309" spans="1:32" ht="15.75" customHeight="1">
      <c r="A309" s="30" t="s">
        <v>120</v>
      </c>
      <c r="B309" s="31">
        <f t="shared" ref="B309:M309" si="232">IF($A$307=0,0,VLOOKUP($A$307,$A$19:$M$39,B$10+1,0)/(365/12/7)*HLOOKUP($A309,$O$18:$U$39,9,0))</f>
        <v>2.7397260273972599E-3</v>
      </c>
      <c r="C309" s="31">
        <f t="shared" si="232"/>
        <v>2.7397260273972599E-3</v>
      </c>
      <c r="D309" s="31">
        <f t="shared" si="232"/>
        <v>2.7397260273972599E-3</v>
      </c>
      <c r="E309" s="31">
        <f t="shared" si="232"/>
        <v>2.7397260273972599E-3</v>
      </c>
      <c r="F309" s="31">
        <f t="shared" si="232"/>
        <v>2.7397260273972599E-3</v>
      </c>
      <c r="G309" s="31">
        <f t="shared" si="232"/>
        <v>2.7397260273972599E-3</v>
      </c>
      <c r="H309" s="31">
        <f t="shared" si="232"/>
        <v>2.7397260273972599E-3</v>
      </c>
      <c r="I309" s="31">
        <f t="shared" si="232"/>
        <v>2.7397260273972599E-3</v>
      </c>
      <c r="J309" s="31">
        <f t="shared" si="232"/>
        <v>2.7397260273972599E-3</v>
      </c>
      <c r="K309" s="31">
        <f t="shared" si="232"/>
        <v>2.7397260273972599E-3</v>
      </c>
      <c r="L309" s="31">
        <f t="shared" si="232"/>
        <v>2.7397260273972599E-3</v>
      </c>
      <c r="M309" s="31">
        <f t="shared" si="232"/>
        <v>2.7397260273972599E-3</v>
      </c>
      <c r="N309" s="298"/>
      <c r="O309" s="298"/>
      <c r="P309" s="298"/>
      <c r="Q309" s="298"/>
      <c r="R309" s="298"/>
      <c r="S309" s="298"/>
      <c r="T309" s="298"/>
      <c r="U309" s="298"/>
      <c r="V309" s="298"/>
      <c r="W309" s="298"/>
      <c r="X309" s="298"/>
      <c r="Y309" s="298"/>
      <c r="Z309" s="298"/>
      <c r="AA309" s="298"/>
      <c r="AB309" s="298"/>
      <c r="AC309" s="298"/>
      <c r="AD309" s="298"/>
      <c r="AE309" s="298"/>
      <c r="AF309" s="298"/>
    </row>
    <row r="310" spans="1:32" ht="15.75" customHeight="1">
      <c r="A310" s="30" t="s">
        <v>121</v>
      </c>
      <c r="B310" s="31">
        <f t="shared" ref="B310:M310" si="233">IF($A$307=0,0,VLOOKUP($A$307,$A$19:$M$39,B$10+1,0)/(365/12/7)*HLOOKUP($A310,$O$18:$U$39,9,0))</f>
        <v>2.7397260273972599E-3</v>
      </c>
      <c r="C310" s="31">
        <f t="shared" si="233"/>
        <v>2.7397260273972599E-3</v>
      </c>
      <c r="D310" s="31">
        <f t="shared" si="233"/>
        <v>2.7397260273972599E-3</v>
      </c>
      <c r="E310" s="31">
        <f t="shared" si="233"/>
        <v>2.7397260273972599E-3</v>
      </c>
      <c r="F310" s="31">
        <f t="shared" si="233"/>
        <v>2.7397260273972599E-3</v>
      </c>
      <c r="G310" s="31">
        <f t="shared" si="233"/>
        <v>2.7397260273972599E-3</v>
      </c>
      <c r="H310" s="31">
        <f t="shared" si="233"/>
        <v>2.7397260273972599E-3</v>
      </c>
      <c r="I310" s="31">
        <f t="shared" si="233"/>
        <v>2.7397260273972599E-3</v>
      </c>
      <c r="J310" s="31">
        <f t="shared" si="233"/>
        <v>2.7397260273972599E-3</v>
      </c>
      <c r="K310" s="31">
        <f t="shared" si="233"/>
        <v>2.7397260273972599E-3</v>
      </c>
      <c r="L310" s="31">
        <f t="shared" si="233"/>
        <v>2.7397260273972599E-3</v>
      </c>
      <c r="M310" s="31">
        <f t="shared" si="233"/>
        <v>2.7397260273972599E-3</v>
      </c>
      <c r="N310" s="298"/>
      <c r="O310" s="298"/>
      <c r="P310" s="298"/>
      <c r="Q310" s="298"/>
      <c r="R310" s="298"/>
      <c r="S310" s="298"/>
      <c r="T310" s="298"/>
      <c r="U310" s="298"/>
      <c r="V310" s="298"/>
      <c r="W310" s="298"/>
      <c r="X310" s="298"/>
      <c r="Y310" s="298"/>
      <c r="Z310" s="298"/>
      <c r="AA310" s="298"/>
      <c r="AB310" s="298"/>
      <c r="AC310" s="298"/>
      <c r="AD310" s="298"/>
      <c r="AE310" s="298"/>
      <c r="AF310" s="298"/>
    </row>
    <row r="311" spans="1:32" ht="15.75" customHeight="1">
      <c r="A311" s="30" t="s">
        <v>122</v>
      </c>
      <c r="B311" s="31">
        <f t="shared" ref="B311:M311" si="234">IF($A$307=0,0,VLOOKUP($A$307,$A$19:$M$39,B$10+1,0)/(365/12/7)*HLOOKUP($A311,$O$18:$U$39,9,0))</f>
        <v>2.7397260273972599E-3</v>
      </c>
      <c r="C311" s="31">
        <f t="shared" si="234"/>
        <v>2.7397260273972599E-3</v>
      </c>
      <c r="D311" s="31">
        <f t="shared" si="234"/>
        <v>2.7397260273972599E-3</v>
      </c>
      <c r="E311" s="31">
        <f t="shared" si="234"/>
        <v>2.7397260273972599E-3</v>
      </c>
      <c r="F311" s="31">
        <f t="shared" si="234"/>
        <v>2.7397260273972599E-3</v>
      </c>
      <c r="G311" s="31">
        <f t="shared" si="234"/>
        <v>2.7397260273972599E-3</v>
      </c>
      <c r="H311" s="31">
        <f t="shared" si="234"/>
        <v>2.7397260273972599E-3</v>
      </c>
      <c r="I311" s="31">
        <f t="shared" si="234"/>
        <v>2.7397260273972599E-3</v>
      </c>
      <c r="J311" s="31">
        <f t="shared" si="234"/>
        <v>2.7397260273972599E-3</v>
      </c>
      <c r="K311" s="31">
        <f t="shared" si="234"/>
        <v>2.7397260273972599E-3</v>
      </c>
      <c r="L311" s="31">
        <f t="shared" si="234"/>
        <v>2.7397260273972599E-3</v>
      </c>
      <c r="M311" s="31">
        <f t="shared" si="234"/>
        <v>2.7397260273972599E-3</v>
      </c>
      <c r="N311" s="298"/>
      <c r="O311" s="298"/>
      <c r="P311" s="298"/>
      <c r="Q311" s="298"/>
      <c r="R311" s="298"/>
      <c r="S311" s="298"/>
      <c r="T311" s="298"/>
      <c r="U311" s="298"/>
      <c r="V311" s="298"/>
      <c r="W311" s="298"/>
      <c r="X311" s="298"/>
      <c r="Y311" s="298"/>
      <c r="Z311" s="298"/>
      <c r="AA311" s="298"/>
      <c r="AB311" s="298"/>
      <c r="AC311" s="298"/>
      <c r="AD311" s="298"/>
      <c r="AE311" s="298"/>
      <c r="AF311" s="298"/>
    </row>
    <row r="312" spans="1:32" ht="15.75" customHeight="1">
      <c r="A312" s="30" t="s">
        <v>123</v>
      </c>
      <c r="B312" s="31">
        <f t="shared" ref="B312:M312" si="235">IF($A$307=0,0,VLOOKUP($A$307,$A$19:$M$39,B$10+1,0)/(365/12/7)*HLOOKUP($A312,$O$18:$U$39,9,0))</f>
        <v>2.7397260273972599E-3</v>
      </c>
      <c r="C312" s="31">
        <f t="shared" si="235"/>
        <v>2.7397260273972599E-3</v>
      </c>
      <c r="D312" s="31">
        <f t="shared" si="235"/>
        <v>2.7397260273972599E-3</v>
      </c>
      <c r="E312" s="31">
        <f t="shared" si="235"/>
        <v>2.7397260273972599E-3</v>
      </c>
      <c r="F312" s="31">
        <f t="shared" si="235"/>
        <v>2.7397260273972599E-3</v>
      </c>
      <c r="G312" s="31">
        <f t="shared" si="235"/>
        <v>2.7397260273972599E-3</v>
      </c>
      <c r="H312" s="31">
        <f t="shared" si="235"/>
        <v>2.7397260273972599E-3</v>
      </c>
      <c r="I312" s="31">
        <f t="shared" si="235"/>
        <v>2.7397260273972599E-3</v>
      </c>
      <c r="J312" s="31">
        <f t="shared" si="235"/>
        <v>2.7397260273972599E-3</v>
      </c>
      <c r="K312" s="31">
        <f t="shared" si="235"/>
        <v>2.7397260273972599E-3</v>
      </c>
      <c r="L312" s="31">
        <f t="shared" si="235"/>
        <v>2.7397260273972599E-3</v>
      </c>
      <c r="M312" s="31">
        <f t="shared" si="235"/>
        <v>2.7397260273972599E-3</v>
      </c>
      <c r="N312" s="298"/>
      <c r="O312" s="298"/>
      <c r="P312" s="298"/>
      <c r="Q312" s="298"/>
      <c r="R312" s="298"/>
      <c r="S312" s="298"/>
      <c r="T312" s="298"/>
      <c r="U312" s="298"/>
      <c r="V312" s="298"/>
      <c r="W312" s="298"/>
      <c r="X312" s="298"/>
      <c r="Y312" s="298"/>
      <c r="Z312" s="298"/>
      <c r="AA312" s="298"/>
      <c r="AB312" s="298"/>
      <c r="AC312" s="298"/>
      <c r="AD312" s="298"/>
      <c r="AE312" s="298"/>
      <c r="AF312" s="298"/>
    </row>
    <row r="313" spans="1:32" ht="15.75" customHeight="1">
      <c r="A313" s="30" t="s">
        <v>124</v>
      </c>
      <c r="B313" s="31">
        <f t="shared" ref="B313:M313" si="236">IF($A$307=0,0,VLOOKUP($A$307,$A$19:$M$39,B$10+1,0)/(365/12/7)*HLOOKUP($A313,$O$18:$U$39,9,0))</f>
        <v>2.7397260273972599E-3</v>
      </c>
      <c r="C313" s="31">
        <f t="shared" si="236"/>
        <v>2.7397260273972599E-3</v>
      </c>
      <c r="D313" s="31">
        <f t="shared" si="236"/>
        <v>2.7397260273972599E-3</v>
      </c>
      <c r="E313" s="31">
        <f t="shared" si="236"/>
        <v>2.7397260273972599E-3</v>
      </c>
      <c r="F313" s="31">
        <f t="shared" si="236"/>
        <v>2.7397260273972599E-3</v>
      </c>
      <c r="G313" s="31">
        <f t="shared" si="236"/>
        <v>2.7397260273972599E-3</v>
      </c>
      <c r="H313" s="31">
        <f t="shared" si="236"/>
        <v>2.7397260273972599E-3</v>
      </c>
      <c r="I313" s="31">
        <f t="shared" si="236"/>
        <v>2.7397260273972599E-3</v>
      </c>
      <c r="J313" s="31">
        <f t="shared" si="236"/>
        <v>2.7397260273972599E-3</v>
      </c>
      <c r="K313" s="31">
        <f t="shared" si="236"/>
        <v>2.7397260273972599E-3</v>
      </c>
      <c r="L313" s="31">
        <f t="shared" si="236"/>
        <v>2.7397260273972599E-3</v>
      </c>
      <c r="M313" s="31">
        <f t="shared" si="236"/>
        <v>2.7397260273972599E-3</v>
      </c>
      <c r="N313" s="298"/>
      <c r="O313" s="298"/>
      <c r="P313" s="298"/>
      <c r="Q313" s="298"/>
      <c r="R313" s="298"/>
      <c r="S313" s="298"/>
      <c r="T313" s="298"/>
      <c r="U313" s="298"/>
      <c r="V313" s="298"/>
      <c r="W313" s="298"/>
      <c r="X313" s="298"/>
      <c r="Y313" s="298"/>
      <c r="Z313" s="298"/>
      <c r="AA313" s="298"/>
      <c r="AB313" s="298"/>
      <c r="AC313" s="298"/>
      <c r="AD313" s="298"/>
      <c r="AE313" s="298"/>
      <c r="AF313" s="298"/>
    </row>
    <row r="314" spans="1:32" ht="15.75" customHeight="1">
      <c r="A314" s="30" t="s">
        <v>125</v>
      </c>
      <c r="B314" s="31">
        <f t="shared" ref="B314:M314" si="237">IF($A$307=0,0,VLOOKUP($A$307,$A$19:$M$39,B$10+1,0)/(365/12/7)*HLOOKUP($A314,$O$18:$U$39,9,0))</f>
        <v>2.7397260273972599E-3</v>
      </c>
      <c r="C314" s="31">
        <f t="shared" si="237"/>
        <v>2.7397260273972599E-3</v>
      </c>
      <c r="D314" s="31">
        <f t="shared" si="237"/>
        <v>2.7397260273972599E-3</v>
      </c>
      <c r="E314" s="31">
        <f t="shared" si="237"/>
        <v>2.7397260273972599E-3</v>
      </c>
      <c r="F314" s="31">
        <f t="shared" si="237"/>
        <v>2.7397260273972599E-3</v>
      </c>
      <c r="G314" s="31">
        <f t="shared" si="237"/>
        <v>2.7397260273972599E-3</v>
      </c>
      <c r="H314" s="31">
        <f t="shared" si="237"/>
        <v>2.7397260273972599E-3</v>
      </c>
      <c r="I314" s="31">
        <f t="shared" si="237"/>
        <v>2.7397260273972599E-3</v>
      </c>
      <c r="J314" s="31">
        <f t="shared" si="237"/>
        <v>2.7397260273972599E-3</v>
      </c>
      <c r="K314" s="31">
        <f t="shared" si="237"/>
        <v>2.7397260273972599E-3</v>
      </c>
      <c r="L314" s="31">
        <f t="shared" si="237"/>
        <v>2.7397260273972599E-3</v>
      </c>
      <c r="M314" s="31">
        <f t="shared" si="237"/>
        <v>2.7397260273972599E-3</v>
      </c>
      <c r="N314" s="298"/>
      <c r="O314" s="298"/>
      <c r="P314" s="298"/>
      <c r="Q314" s="298"/>
      <c r="R314" s="298"/>
      <c r="S314" s="298"/>
      <c r="T314" s="298"/>
      <c r="U314" s="298"/>
      <c r="V314" s="298"/>
      <c r="W314" s="298"/>
      <c r="X314" s="298"/>
      <c r="Y314" s="298"/>
      <c r="Z314" s="298"/>
      <c r="AA314" s="298"/>
      <c r="AB314" s="298"/>
      <c r="AC314" s="298"/>
      <c r="AD314" s="298"/>
      <c r="AE314" s="298"/>
      <c r="AF314" s="298"/>
    </row>
    <row r="315" spans="1:32" ht="15.75" customHeight="1">
      <c r="A315" s="23" t="str">
        <f>A27</f>
        <v>Silveira - Comércio + Locação + Atividades</v>
      </c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98"/>
      <c r="O315" s="298"/>
      <c r="P315" s="298"/>
      <c r="Q315" s="298"/>
      <c r="R315" s="298"/>
      <c r="S315" s="298"/>
      <c r="T315" s="298"/>
      <c r="U315" s="298"/>
      <c r="V315" s="298"/>
      <c r="W315" s="298"/>
      <c r="X315" s="298"/>
      <c r="Y315" s="298"/>
      <c r="Z315" s="298"/>
      <c r="AA315" s="298"/>
      <c r="AB315" s="298"/>
      <c r="AC315" s="298"/>
      <c r="AD315" s="298"/>
      <c r="AE315" s="298"/>
      <c r="AF315" s="298"/>
    </row>
    <row r="316" spans="1:32" ht="15.75" customHeight="1">
      <c r="A316" s="30" t="s">
        <v>119</v>
      </c>
      <c r="B316" s="31">
        <f t="shared" ref="B316:M316" si="238">IF($A$315=0,0,VLOOKUP($A$315,$A$19:$M$39,B$10+1,0)/(365/12/7)*HLOOKUP($A316,$O$18:$U$39,10,0))</f>
        <v>2.7397260273972599E-3</v>
      </c>
      <c r="C316" s="31">
        <f t="shared" si="238"/>
        <v>2.7397260273972599E-3</v>
      </c>
      <c r="D316" s="31">
        <f t="shared" si="238"/>
        <v>2.7397260273972599E-3</v>
      </c>
      <c r="E316" s="31">
        <f t="shared" si="238"/>
        <v>2.7397260273972599E-3</v>
      </c>
      <c r="F316" s="31">
        <f t="shared" si="238"/>
        <v>2.7397260273972599E-3</v>
      </c>
      <c r="G316" s="31">
        <f t="shared" si="238"/>
        <v>2.7397260273972599E-3</v>
      </c>
      <c r="H316" s="31">
        <f t="shared" si="238"/>
        <v>2.7397260273972599E-3</v>
      </c>
      <c r="I316" s="31">
        <f t="shared" si="238"/>
        <v>2.7397260273972599E-3</v>
      </c>
      <c r="J316" s="31">
        <f t="shared" si="238"/>
        <v>2.7397260273972599E-3</v>
      </c>
      <c r="K316" s="31">
        <f t="shared" si="238"/>
        <v>2.7397260273972599E-3</v>
      </c>
      <c r="L316" s="31">
        <f t="shared" si="238"/>
        <v>2.7397260273972599E-3</v>
      </c>
      <c r="M316" s="31">
        <f t="shared" si="238"/>
        <v>2.7397260273972599E-3</v>
      </c>
      <c r="N316" s="298"/>
      <c r="O316" s="298"/>
      <c r="P316" s="298"/>
      <c r="Q316" s="298"/>
      <c r="R316" s="298"/>
      <c r="S316" s="298"/>
      <c r="T316" s="298"/>
      <c r="U316" s="298"/>
      <c r="V316" s="298"/>
      <c r="W316" s="298"/>
      <c r="X316" s="298"/>
      <c r="Y316" s="298"/>
      <c r="Z316" s="298"/>
      <c r="AA316" s="298"/>
      <c r="AB316" s="298"/>
      <c r="AC316" s="298"/>
      <c r="AD316" s="298"/>
      <c r="AE316" s="298"/>
      <c r="AF316" s="298"/>
    </row>
    <row r="317" spans="1:32" ht="15.75" customHeight="1">
      <c r="A317" s="30" t="s">
        <v>120</v>
      </c>
      <c r="B317" s="31">
        <f t="shared" ref="B317:M317" si="239">IF($A$315=0,0,VLOOKUP($A$315,$A$19:$M$39,B$10+1,0)/(365/12/7)*HLOOKUP($A317,$O$18:$U$39,10,0))</f>
        <v>2.7397260273972599E-3</v>
      </c>
      <c r="C317" s="31">
        <f t="shared" si="239"/>
        <v>2.7397260273972599E-3</v>
      </c>
      <c r="D317" s="31">
        <f t="shared" si="239"/>
        <v>2.7397260273972599E-3</v>
      </c>
      <c r="E317" s="31">
        <f t="shared" si="239"/>
        <v>2.7397260273972599E-3</v>
      </c>
      <c r="F317" s="31">
        <f t="shared" si="239"/>
        <v>2.7397260273972599E-3</v>
      </c>
      <c r="G317" s="31">
        <f t="shared" si="239"/>
        <v>2.7397260273972599E-3</v>
      </c>
      <c r="H317" s="31">
        <f t="shared" si="239"/>
        <v>2.7397260273972599E-3</v>
      </c>
      <c r="I317" s="31">
        <f t="shared" si="239"/>
        <v>2.7397260273972599E-3</v>
      </c>
      <c r="J317" s="31">
        <f t="shared" si="239"/>
        <v>2.7397260273972599E-3</v>
      </c>
      <c r="K317" s="31">
        <f t="shared" si="239"/>
        <v>2.7397260273972599E-3</v>
      </c>
      <c r="L317" s="31">
        <f t="shared" si="239"/>
        <v>2.7397260273972599E-3</v>
      </c>
      <c r="M317" s="31">
        <f t="shared" si="239"/>
        <v>2.7397260273972599E-3</v>
      </c>
      <c r="N317" s="298"/>
      <c r="O317" s="298"/>
      <c r="P317" s="298"/>
      <c r="Q317" s="298"/>
      <c r="R317" s="298"/>
      <c r="S317" s="298"/>
      <c r="T317" s="298"/>
      <c r="U317" s="298"/>
      <c r="V317" s="298"/>
      <c r="W317" s="298"/>
      <c r="X317" s="298"/>
      <c r="Y317" s="298"/>
      <c r="Z317" s="298"/>
      <c r="AA317" s="298"/>
      <c r="AB317" s="298"/>
      <c r="AC317" s="298"/>
      <c r="AD317" s="298"/>
      <c r="AE317" s="298"/>
      <c r="AF317" s="298"/>
    </row>
    <row r="318" spans="1:32" ht="15.75" customHeight="1">
      <c r="A318" s="30" t="s">
        <v>121</v>
      </c>
      <c r="B318" s="31">
        <f t="shared" ref="B318:M318" si="240">IF($A$315=0,0,VLOOKUP($A$315,$A$19:$M$39,B$10+1,0)/(365/12/7)*HLOOKUP($A318,$O$18:$U$39,10,0))</f>
        <v>2.7397260273972599E-3</v>
      </c>
      <c r="C318" s="31">
        <f t="shared" si="240"/>
        <v>2.7397260273972599E-3</v>
      </c>
      <c r="D318" s="31">
        <f t="shared" si="240"/>
        <v>2.7397260273972599E-3</v>
      </c>
      <c r="E318" s="31">
        <f t="shared" si="240"/>
        <v>2.7397260273972599E-3</v>
      </c>
      <c r="F318" s="31">
        <f t="shared" si="240"/>
        <v>2.7397260273972599E-3</v>
      </c>
      <c r="G318" s="31">
        <f t="shared" si="240"/>
        <v>2.7397260273972599E-3</v>
      </c>
      <c r="H318" s="31">
        <f t="shared" si="240"/>
        <v>2.7397260273972599E-3</v>
      </c>
      <c r="I318" s="31">
        <f t="shared" si="240"/>
        <v>2.7397260273972599E-3</v>
      </c>
      <c r="J318" s="31">
        <f t="shared" si="240"/>
        <v>2.7397260273972599E-3</v>
      </c>
      <c r="K318" s="31">
        <f t="shared" si="240"/>
        <v>2.7397260273972599E-3</v>
      </c>
      <c r="L318" s="31">
        <f t="shared" si="240"/>
        <v>2.7397260273972599E-3</v>
      </c>
      <c r="M318" s="31">
        <f t="shared" si="240"/>
        <v>2.7397260273972599E-3</v>
      </c>
      <c r="N318" s="298"/>
      <c r="O318" s="298"/>
      <c r="P318" s="298"/>
      <c r="Q318" s="298"/>
      <c r="R318" s="298"/>
      <c r="S318" s="298"/>
      <c r="T318" s="298"/>
      <c r="U318" s="298"/>
      <c r="V318" s="298"/>
      <c r="W318" s="298"/>
      <c r="X318" s="298"/>
      <c r="Y318" s="298"/>
      <c r="Z318" s="298"/>
      <c r="AA318" s="298"/>
      <c r="AB318" s="298"/>
      <c r="AC318" s="298"/>
      <c r="AD318" s="298"/>
      <c r="AE318" s="298"/>
      <c r="AF318" s="298"/>
    </row>
    <row r="319" spans="1:32" ht="15.75" customHeight="1">
      <c r="A319" s="30" t="s">
        <v>122</v>
      </c>
      <c r="B319" s="31">
        <f t="shared" ref="B319:M319" si="241">IF($A$315=0,0,VLOOKUP($A$315,$A$19:$M$39,B$10+1,0)/(365/12/7)*HLOOKUP($A319,$O$18:$U$39,10,0))</f>
        <v>2.7397260273972599E-3</v>
      </c>
      <c r="C319" s="31">
        <f t="shared" si="241"/>
        <v>2.7397260273972599E-3</v>
      </c>
      <c r="D319" s="31">
        <f t="shared" si="241"/>
        <v>2.7397260273972599E-3</v>
      </c>
      <c r="E319" s="31">
        <f t="shared" si="241"/>
        <v>2.7397260273972599E-3</v>
      </c>
      <c r="F319" s="31">
        <f t="shared" si="241"/>
        <v>2.7397260273972599E-3</v>
      </c>
      <c r="G319" s="31">
        <f t="shared" si="241"/>
        <v>2.7397260273972599E-3</v>
      </c>
      <c r="H319" s="31">
        <f t="shared" si="241"/>
        <v>2.7397260273972599E-3</v>
      </c>
      <c r="I319" s="31">
        <f t="shared" si="241"/>
        <v>2.7397260273972599E-3</v>
      </c>
      <c r="J319" s="31">
        <f t="shared" si="241"/>
        <v>2.7397260273972599E-3</v>
      </c>
      <c r="K319" s="31">
        <f t="shared" si="241"/>
        <v>2.7397260273972599E-3</v>
      </c>
      <c r="L319" s="31">
        <f t="shared" si="241"/>
        <v>2.7397260273972599E-3</v>
      </c>
      <c r="M319" s="31">
        <f t="shared" si="241"/>
        <v>2.7397260273972599E-3</v>
      </c>
      <c r="N319" s="298"/>
      <c r="O319" s="298"/>
      <c r="P319" s="298"/>
      <c r="Q319" s="298"/>
      <c r="R319" s="298"/>
      <c r="S319" s="298"/>
      <c r="T319" s="298"/>
      <c r="U319" s="298"/>
      <c r="V319" s="298"/>
      <c r="W319" s="298"/>
      <c r="X319" s="298"/>
      <c r="Y319" s="298"/>
      <c r="Z319" s="298"/>
      <c r="AA319" s="298"/>
      <c r="AB319" s="298"/>
      <c r="AC319" s="298"/>
      <c r="AD319" s="298"/>
      <c r="AE319" s="298"/>
      <c r="AF319" s="298"/>
    </row>
    <row r="320" spans="1:32" ht="15.75" customHeight="1">
      <c r="A320" s="30" t="s">
        <v>123</v>
      </c>
      <c r="B320" s="31">
        <f t="shared" ref="B320:M320" si="242">IF($A$315=0,0,VLOOKUP($A$315,$A$19:$M$39,B$10+1,0)/(365/12/7)*HLOOKUP($A320,$O$18:$U$39,10,0))</f>
        <v>2.7397260273972599E-3</v>
      </c>
      <c r="C320" s="31">
        <f t="shared" si="242"/>
        <v>2.7397260273972599E-3</v>
      </c>
      <c r="D320" s="31">
        <f t="shared" si="242"/>
        <v>2.7397260273972599E-3</v>
      </c>
      <c r="E320" s="31">
        <f t="shared" si="242"/>
        <v>2.7397260273972599E-3</v>
      </c>
      <c r="F320" s="31">
        <f t="shared" si="242"/>
        <v>2.7397260273972599E-3</v>
      </c>
      <c r="G320" s="31">
        <f t="shared" si="242"/>
        <v>2.7397260273972599E-3</v>
      </c>
      <c r="H320" s="31">
        <f t="shared" si="242"/>
        <v>2.7397260273972599E-3</v>
      </c>
      <c r="I320" s="31">
        <f t="shared" si="242"/>
        <v>2.7397260273972599E-3</v>
      </c>
      <c r="J320" s="31">
        <f t="shared" si="242"/>
        <v>2.7397260273972599E-3</v>
      </c>
      <c r="K320" s="31">
        <f t="shared" si="242"/>
        <v>2.7397260273972599E-3</v>
      </c>
      <c r="L320" s="31">
        <f t="shared" si="242"/>
        <v>2.7397260273972599E-3</v>
      </c>
      <c r="M320" s="31">
        <f t="shared" si="242"/>
        <v>2.7397260273972599E-3</v>
      </c>
      <c r="N320" s="298"/>
      <c r="O320" s="298"/>
      <c r="P320" s="298"/>
      <c r="Q320" s="298"/>
      <c r="R320" s="298"/>
      <c r="S320" s="298"/>
      <c r="T320" s="298"/>
      <c r="U320" s="298"/>
      <c r="V320" s="298"/>
      <c r="W320" s="298"/>
      <c r="X320" s="298"/>
      <c r="Y320" s="298"/>
      <c r="Z320" s="298"/>
      <c r="AA320" s="298"/>
      <c r="AB320" s="298"/>
      <c r="AC320" s="298"/>
      <c r="AD320" s="298"/>
      <c r="AE320" s="298"/>
      <c r="AF320" s="298"/>
    </row>
    <row r="321" spans="1:32" ht="15.75" customHeight="1">
      <c r="A321" s="30" t="s">
        <v>124</v>
      </c>
      <c r="B321" s="31">
        <f t="shared" ref="B321:M321" si="243">IF($A$315=0,0,VLOOKUP($A$315,$A$19:$M$39,B$10+1,0)/(365/12/7)*HLOOKUP($A321,$O$18:$U$39,10,0))</f>
        <v>2.7397260273972599E-3</v>
      </c>
      <c r="C321" s="31">
        <f t="shared" si="243"/>
        <v>2.7397260273972599E-3</v>
      </c>
      <c r="D321" s="31">
        <f t="shared" si="243"/>
        <v>2.7397260273972599E-3</v>
      </c>
      <c r="E321" s="31">
        <f t="shared" si="243"/>
        <v>2.7397260273972599E-3</v>
      </c>
      <c r="F321" s="31">
        <f t="shared" si="243"/>
        <v>2.7397260273972599E-3</v>
      </c>
      <c r="G321" s="31">
        <f t="shared" si="243"/>
        <v>2.7397260273972599E-3</v>
      </c>
      <c r="H321" s="31">
        <f t="shared" si="243"/>
        <v>2.7397260273972599E-3</v>
      </c>
      <c r="I321" s="31">
        <f t="shared" si="243"/>
        <v>2.7397260273972599E-3</v>
      </c>
      <c r="J321" s="31">
        <f t="shared" si="243"/>
        <v>2.7397260273972599E-3</v>
      </c>
      <c r="K321" s="31">
        <f t="shared" si="243"/>
        <v>2.7397260273972599E-3</v>
      </c>
      <c r="L321" s="31">
        <f t="shared" si="243"/>
        <v>2.7397260273972599E-3</v>
      </c>
      <c r="M321" s="31">
        <f t="shared" si="243"/>
        <v>2.7397260273972599E-3</v>
      </c>
      <c r="N321" s="298"/>
      <c r="O321" s="298"/>
      <c r="P321" s="298"/>
      <c r="Q321" s="298"/>
      <c r="R321" s="298"/>
      <c r="S321" s="298"/>
      <c r="T321" s="298"/>
      <c r="U321" s="298"/>
      <c r="V321" s="298"/>
      <c r="W321" s="298"/>
      <c r="X321" s="298"/>
      <c r="Y321" s="298"/>
      <c r="Z321" s="298"/>
      <c r="AA321" s="298"/>
      <c r="AB321" s="298"/>
      <c r="AC321" s="298"/>
      <c r="AD321" s="298"/>
      <c r="AE321" s="298"/>
      <c r="AF321" s="298"/>
    </row>
    <row r="322" spans="1:32" ht="15.75" customHeight="1">
      <c r="A322" s="30" t="s">
        <v>125</v>
      </c>
      <c r="B322" s="31">
        <f t="shared" ref="B322:M322" si="244">IF($A$315=0,0,VLOOKUP($A$315,$A$19:$M$39,B$10+1,0)/(365/12/7)*HLOOKUP($A322,$O$18:$U$39,10,0))</f>
        <v>2.7397260273972599E-3</v>
      </c>
      <c r="C322" s="31">
        <f t="shared" si="244"/>
        <v>2.7397260273972599E-3</v>
      </c>
      <c r="D322" s="31">
        <f t="shared" si="244"/>
        <v>2.7397260273972599E-3</v>
      </c>
      <c r="E322" s="31">
        <f t="shared" si="244"/>
        <v>2.7397260273972599E-3</v>
      </c>
      <c r="F322" s="31">
        <f t="shared" si="244"/>
        <v>2.7397260273972599E-3</v>
      </c>
      <c r="G322" s="31">
        <f t="shared" si="244"/>
        <v>2.7397260273972599E-3</v>
      </c>
      <c r="H322" s="31">
        <f t="shared" si="244"/>
        <v>2.7397260273972599E-3</v>
      </c>
      <c r="I322" s="31">
        <f t="shared" si="244"/>
        <v>2.7397260273972599E-3</v>
      </c>
      <c r="J322" s="31">
        <f t="shared" si="244"/>
        <v>2.7397260273972599E-3</v>
      </c>
      <c r="K322" s="31">
        <f t="shared" si="244"/>
        <v>2.7397260273972599E-3</v>
      </c>
      <c r="L322" s="31">
        <f t="shared" si="244"/>
        <v>2.7397260273972599E-3</v>
      </c>
      <c r="M322" s="31">
        <f t="shared" si="244"/>
        <v>2.7397260273972599E-3</v>
      </c>
      <c r="N322" s="298"/>
      <c r="O322" s="298"/>
      <c r="P322" s="298"/>
      <c r="Q322" s="298"/>
      <c r="R322" s="298"/>
      <c r="S322" s="298"/>
      <c r="T322" s="298"/>
      <c r="U322" s="298"/>
      <c r="V322" s="298"/>
      <c r="W322" s="298"/>
      <c r="X322" s="298"/>
      <c r="Y322" s="298"/>
      <c r="Z322" s="298"/>
      <c r="AA322" s="298"/>
      <c r="AB322" s="298"/>
      <c r="AC322" s="298"/>
      <c r="AD322" s="298"/>
      <c r="AE322" s="298"/>
      <c r="AF322" s="298"/>
    </row>
    <row r="323" spans="1:32" ht="15.75" customHeight="1">
      <c r="A323" s="23" t="str">
        <f>A28</f>
        <v>Silveira - Hospedagem</v>
      </c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98"/>
      <c r="O323" s="298"/>
      <c r="P323" s="298"/>
      <c r="Q323" s="298"/>
      <c r="R323" s="298"/>
      <c r="S323" s="298"/>
      <c r="T323" s="298"/>
      <c r="U323" s="298"/>
      <c r="V323" s="298"/>
      <c r="W323" s="298"/>
      <c r="X323" s="298"/>
      <c r="Y323" s="298"/>
      <c r="Z323" s="298"/>
      <c r="AA323" s="298"/>
      <c r="AB323" s="298"/>
      <c r="AC323" s="298"/>
      <c r="AD323" s="298"/>
      <c r="AE323" s="298"/>
      <c r="AF323" s="298"/>
    </row>
    <row r="324" spans="1:32" ht="15.75" customHeight="1">
      <c r="A324" s="30" t="s">
        <v>119</v>
      </c>
      <c r="B324" s="31">
        <f t="shared" ref="B324:M324" si="245">IF($A$323=0,0,VLOOKUP($A$323,$A$19:$M$39,B$10+1,0)/(365/12/7)*HLOOKUP($A324,$O$18:$U$39,11,0))</f>
        <v>2.7397260273972599E-3</v>
      </c>
      <c r="C324" s="31">
        <f t="shared" si="245"/>
        <v>2.7397260273972599E-3</v>
      </c>
      <c r="D324" s="31">
        <f t="shared" si="245"/>
        <v>2.7397260273972599E-3</v>
      </c>
      <c r="E324" s="31">
        <f t="shared" si="245"/>
        <v>2.7397260273972599E-3</v>
      </c>
      <c r="F324" s="31">
        <f t="shared" si="245"/>
        <v>2.7397260273972599E-3</v>
      </c>
      <c r="G324" s="31">
        <f t="shared" si="245"/>
        <v>2.7397260273972599E-3</v>
      </c>
      <c r="H324" s="31">
        <f t="shared" si="245"/>
        <v>2.7397260273972599E-3</v>
      </c>
      <c r="I324" s="31">
        <f t="shared" si="245"/>
        <v>2.7397260273972599E-3</v>
      </c>
      <c r="J324" s="31">
        <f t="shared" si="245"/>
        <v>2.7397260273972599E-3</v>
      </c>
      <c r="K324" s="31">
        <f t="shared" si="245"/>
        <v>2.7397260273972599E-3</v>
      </c>
      <c r="L324" s="31">
        <f t="shared" si="245"/>
        <v>2.7397260273972599E-3</v>
      </c>
      <c r="M324" s="31">
        <f t="shared" si="245"/>
        <v>2.7397260273972599E-3</v>
      </c>
      <c r="N324" s="298"/>
      <c r="O324" s="298"/>
      <c r="P324" s="298"/>
      <c r="Q324" s="298"/>
      <c r="R324" s="298"/>
      <c r="S324" s="298"/>
      <c r="T324" s="298"/>
      <c r="U324" s="298"/>
      <c r="V324" s="298"/>
      <c r="W324" s="298"/>
      <c r="X324" s="298"/>
      <c r="Y324" s="298"/>
      <c r="Z324" s="298"/>
      <c r="AA324" s="298"/>
      <c r="AB324" s="298"/>
      <c r="AC324" s="298"/>
      <c r="AD324" s="298"/>
      <c r="AE324" s="298"/>
      <c r="AF324" s="298"/>
    </row>
    <row r="325" spans="1:32" ht="15.75" customHeight="1">
      <c r="A325" s="30" t="s">
        <v>120</v>
      </c>
      <c r="B325" s="31">
        <f t="shared" ref="B325:M325" si="246">IF($A$323=0,0,VLOOKUP($A$323,$A$19:$M$39,B$10+1,0)/(365/12/7)*HLOOKUP($A325,$O$18:$U$39,11,0))</f>
        <v>2.7397260273972599E-3</v>
      </c>
      <c r="C325" s="31">
        <f t="shared" si="246"/>
        <v>2.7397260273972599E-3</v>
      </c>
      <c r="D325" s="31">
        <f t="shared" si="246"/>
        <v>2.7397260273972599E-3</v>
      </c>
      <c r="E325" s="31">
        <f t="shared" si="246"/>
        <v>2.7397260273972599E-3</v>
      </c>
      <c r="F325" s="31">
        <f t="shared" si="246"/>
        <v>2.7397260273972599E-3</v>
      </c>
      <c r="G325" s="31">
        <f t="shared" si="246"/>
        <v>2.7397260273972599E-3</v>
      </c>
      <c r="H325" s="31">
        <f t="shared" si="246"/>
        <v>2.7397260273972599E-3</v>
      </c>
      <c r="I325" s="31">
        <f t="shared" si="246"/>
        <v>2.7397260273972599E-3</v>
      </c>
      <c r="J325" s="31">
        <f t="shared" si="246"/>
        <v>2.7397260273972599E-3</v>
      </c>
      <c r="K325" s="31">
        <f t="shared" si="246"/>
        <v>2.7397260273972599E-3</v>
      </c>
      <c r="L325" s="31">
        <f t="shared" si="246"/>
        <v>2.7397260273972599E-3</v>
      </c>
      <c r="M325" s="31">
        <f t="shared" si="246"/>
        <v>2.7397260273972599E-3</v>
      </c>
      <c r="N325" s="298"/>
      <c r="O325" s="298"/>
      <c r="P325" s="298"/>
      <c r="Q325" s="298"/>
      <c r="R325" s="298"/>
      <c r="S325" s="298"/>
      <c r="T325" s="298"/>
      <c r="U325" s="298"/>
      <c r="V325" s="298"/>
      <c r="W325" s="298"/>
      <c r="X325" s="298"/>
      <c r="Y325" s="298"/>
      <c r="Z325" s="298"/>
      <c r="AA325" s="298"/>
      <c r="AB325" s="298"/>
      <c r="AC325" s="298"/>
      <c r="AD325" s="298"/>
      <c r="AE325" s="298"/>
      <c r="AF325" s="298"/>
    </row>
    <row r="326" spans="1:32" ht="15.75" customHeight="1">
      <c r="A326" s="30" t="s">
        <v>121</v>
      </c>
      <c r="B326" s="31">
        <f t="shared" ref="B326:M326" si="247">IF($A$323=0,0,VLOOKUP($A$323,$A$19:$M$39,B$10+1,0)/(365/12/7)*HLOOKUP($A326,$O$18:$U$39,11,0))</f>
        <v>2.7397260273972599E-3</v>
      </c>
      <c r="C326" s="31">
        <f t="shared" si="247"/>
        <v>2.7397260273972599E-3</v>
      </c>
      <c r="D326" s="31">
        <f t="shared" si="247"/>
        <v>2.7397260273972599E-3</v>
      </c>
      <c r="E326" s="31">
        <f t="shared" si="247"/>
        <v>2.7397260273972599E-3</v>
      </c>
      <c r="F326" s="31">
        <f t="shared" si="247"/>
        <v>2.7397260273972599E-3</v>
      </c>
      <c r="G326" s="31">
        <f t="shared" si="247"/>
        <v>2.7397260273972599E-3</v>
      </c>
      <c r="H326" s="31">
        <f t="shared" si="247"/>
        <v>2.7397260273972599E-3</v>
      </c>
      <c r="I326" s="31">
        <f t="shared" si="247"/>
        <v>2.7397260273972599E-3</v>
      </c>
      <c r="J326" s="31">
        <f t="shared" si="247"/>
        <v>2.7397260273972599E-3</v>
      </c>
      <c r="K326" s="31">
        <f t="shared" si="247"/>
        <v>2.7397260273972599E-3</v>
      </c>
      <c r="L326" s="31">
        <f t="shared" si="247"/>
        <v>2.7397260273972599E-3</v>
      </c>
      <c r="M326" s="31">
        <f t="shared" si="247"/>
        <v>2.7397260273972599E-3</v>
      </c>
      <c r="N326" s="298"/>
      <c r="O326" s="298"/>
      <c r="P326" s="298"/>
      <c r="Q326" s="298"/>
      <c r="R326" s="298"/>
      <c r="S326" s="298"/>
      <c r="T326" s="298"/>
      <c r="U326" s="298"/>
      <c r="V326" s="298"/>
      <c r="W326" s="298"/>
      <c r="X326" s="298"/>
      <c r="Y326" s="298"/>
      <c r="Z326" s="298"/>
      <c r="AA326" s="298"/>
      <c r="AB326" s="298"/>
      <c r="AC326" s="298"/>
      <c r="AD326" s="298"/>
      <c r="AE326" s="298"/>
      <c r="AF326" s="298"/>
    </row>
    <row r="327" spans="1:32" ht="15.75" customHeight="1">
      <c r="A327" s="30" t="s">
        <v>122</v>
      </c>
      <c r="B327" s="31">
        <f t="shared" ref="B327:M327" si="248">IF($A$323=0,0,VLOOKUP($A$323,$A$19:$M$39,B$10+1,0)/(365/12/7)*HLOOKUP($A327,$O$18:$U$39,11,0))</f>
        <v>2.7397260273972599E-3</v>
      </c>
      <c r="C327" s="31">
        <f t="shared" si="248"/>
        <v>2.7397260273972599E-3</v>
      </c>
      <c r="D327" s="31">
        <f t="shared" si="248"/>
        <v>2.7397260273972599E-3</v>
      </c>
      <c r="E327" s="31">
        <f t="shared" si="248"/>
        <v>2.7397260273972599E-3</v>
      </c>
      <c r="F327" s="31">
        <f t="shared" si="248"/>
        <v>2.7397260273972599E-3</v>
      </c>
      <c r="G327" s="31">
        <f t="shared" si="248"/>
        <v>2.7397260273972599E-3</v>
      </c>
      <c r="H327" s="31">
        <f t="shared" si="248"/>
        <v>2.7397260273972599E-3</v>
      </c>
      <c r="I327" s="31">
        <f t="shared" si="248"/>
        <v>2.7397260273972599E-3</v>
      </c>
      <c r="J327" s="31">
        <f t="shared" si="248"/>
        <v>2.7397260273972599E-3</v>
      </c>
      <c r="K327" s="31">
        <f t="shared" si="248"/>
        <v>2.7397260273972599E-3</v>
      </c>
      <c r="L327" s="31">
        <f t="shared" si="248"/>
        <v>2.7397260273972599E-3</v>
      </c>
      <c r="M327" s="31">
        <f t="shared" si="248"/>
        <v>2.7397260273972599E-3</v>
      </c>
      <c r="N327" s="298"/>
      <c r="O327" s="298"/>
      <c r="P327" s="298"/>
      <c r="Q327" s="298"/>
      <c r="R327" s="298"/>
      <c r="S327" s="298"/>
      <c r="T327" s="298"/>
      <c r="U327" s="298"/>
      <c r="V327" s="298"/>
      <c r="W327" s="298"/>
      <c r="X327" s="298"/>
      <c r="Y327" s="298"/>
      <c r="Z327" s="298"/>
      <c r="AA327" s="298"/>
      <c r="AB327" s="298"/>
      <c r="AC327" s="298"/>
      <c r="AD327" s="298"/>
      <c r="AE327" s="298"/>
      <c r="AF327" s="298"/>
    </row>
    <row r="328" spans="1:32" ht="15.75" customHeight="1">
      <c r="A328" s="30" t="s">
        <v>123</v>
      </c>
      <c r="B328" s="31">
        <f t="shared" ref="B328:M328" si="249">IF($A$323=0,0,VLOOKUP($A$323,$A$19:$M$39,B$10+1,0)/(365/12/7)*HLOOKUP($A328,$O$18:$U$39,11,0))</f>
        <v>2.7397260273972599E-3</v>
      </c>
      <c r="C328" s="31">
        <f t="shared" si="249"/>
        <v>2.7397260273972599E-3</v>
      </c>
      <c r="D328" s="31">
        <f t="shared" si="249"/>
        <v>2.7397260273972599E-3</v>
      </c>
      <c r="E328" s="31">
        <f t="shared" si="249"/>
        <v>2.7397260273972599E-3</v>
      </c>
      <c r="F328" s="31">
        <f t="shared" si="249"/>
        <v>2.7397260273972599E-3</v>
      </c>
      <c r="G328" s="31">
        <f t="shared" si="249"/>
        <v>2.7397260273972599E-3</v>
      </c>
      <c r="H328" s="31">
        <f t="shared" si="249"/>
        <v>2.7397260273972599E-3</v>
      </c>
      <c r="I328" s="31">
        <f t="shared" si="249"/>
        <v>2.7397260273972599E-3</v>
      </c>
      <c r="J328" s="31">
        <f t="shared" si="249"/>
        <v>2.7397260273972599E-3</v>
      </c>
      <c r="K328" s="31">
        <f t="shared" si="249"/>
        <v>2.7397260273972599E-3</v>
      </c>
      <c r="L328" s="31">
        <f t="shared" si="249"/>
        <v>2.7397260273972599E-3</v>
      </c>
      <c r="M328" s="31">
        <f t="shared" si="249"/>
        <v>2.7397260273972599E-3</v>
      </c>
      <c r="N328" s="298"/>
      <c r="O328" s="298"/>
      <c r="P328" s="298"/>
      <c r="Q328" s="298"/>
      <c r="R328" s="298"/>
      <c r="S328" s="298"/>
      <c r="T328" s="298"/>
      <c r="U328" s="298"/>
      <c r="V328" s="298"/>
      <c r="W328" s="298"/>
      <c r="X328" s="298"/>
      <c r="Y328" s="298"/>
      <c r="Z328" s="298"/>
      <c r="AA328" s="298"/>
      <c r="AB328" s="298"/>
      <c r="AC328" s="298"/>
      <c r="AD328" s="298"/>
      <c r="AE328" s="298"/>
      <c r="AF328" s="298"/>
    </row>
    <row r="329" spans="1:32" ht="15.75" customHeight="1">
      <c r="A329" s="30" t="s">
        <v>124</v>
      </c>
      <c r="B329" s="31">
        <f t="shared" ref="B329:M329" si="250">IF($A$323=0,0,VLOOKUP($A$323,$A$19:$M$39,B$10+1,0)/(365/12/7)*HLOOKUP($A329,$O$18:$U$39,11,0))</f>
        <v>2.7397260273972599E-3</v>
      </c>
      <c r="C329" s="31">
        <f t="shared" si="250"/>
        <v>2.7397260273972599E-3</v>
      </c>
      <c r="D329" s="31">
        <f t="shared" si="250"/>
        <v>2.7397260273972599E-3</v>
      </c>
      <c r="E329" s="31">
        <f t="shared" si="250"/>
        <v>2.7397260273972599E-3</v>
      </c>
      <c r="F329" s="31">
        <f t="shared" si="250"/>
        <v>2.7397260273972599E-3</v>
      </c>
      <c r="G329" s="31">
        <f t="shared" si="250"/>
        <v>2.7397260273972599E-3</v>
      </c>
      <c r="H329" s="31">
        <f t="shared" si="250"/>
        <v>2.7397260273972599E-3</v>
      </c>
      <c r="I329" s="31">
        <f t="shared" si="250"/>
        <v>2.7397260273972599E-3</v>
      </c>
      <c r="J329" s="31">
        <f t="shared" si="250"/>
        <v>2.7397260273972599E-3</v>
      </c>
      <c r="K329" s="31">
        <f t="shared" si="250"/>
        <v>2.7397260273972599E-3</v>
      </c>
      <c r="L329" s="31">
        <f t="shared" si="250"/>
        <v>2.7397260273972599E-3</v>
      </c>
      <c r="M329" s="31">
        <f t="shared" si="250"/>
        <v>2.7397260273972599E-3</v>
      </c>
      <c r="N329" s="298"/>
      <c r="O329" s="298"/>
      <c r="P329" s="298"/>
      <c r="Q329" s="298"/>
      <c r="R329" s="298"/>
      <c r="S329" s="298"/>
      <c r="T329" s="298"/>
      <c r="U329" s="298"/>
      <c r="V329" s="298"/>
      <c r="W329" s="298"/>
      <c r="X329" s="298"/>
      <c r="Y329" s="298"/>
      <c r="Z329" s="298"/>
      <c r="AA329" s="298"/>
      <c r="AB329" s="298"/>
      <c r="AC329" s="298"/>
      <c r="AD329" s="298"/>
      <c r="AE329" s="298"/>
      <c r="AF329" s="298"/>
    </row>
    <row r="330" spans="1:32" ht="15.75" customHeight="1">
      <c r="A330" s="30" t="s">
        <v>125</v>
      </c>
      <c r="B330" s="31">
        <f t="shared" ref="B330:M330" si="251">IF($A$323=0,0,VLOOKUP($A$323,$A$19:$M$39,B$10+1,0)/(365/12/7)*HLOOKUP($A330,$O$18:$U$39,11,0))</f>
        <v>2.7397260273972599E-3</v>
      </c>
      <c r="C330" s="31">
        <f t="shared" si="251"/>
        <v>2.7397260273972599E-3</v>
      </c>
      <c r="D330" s="31">
        <f t="shared" si="251"/>
        <v>2.7397260273972599E-3</v>
      </c>
      <c r="E330" s="31">
        <f t="shared" si="251"/>
        <v>2.7397260273972599E-3</v>
      </c>
      <c r="F330" s="31">
        <f t="shared" si="251"/>
        <v>2.7397260273972599E-3</v>
      </c>
      <c r="G330" s="31">
        <f t="shared" si="251"/>
        <v>2.7397260273972599E-3</v>
      </c>
      <c r="H330" s="31">
        <f t="shared" si="251"/>
        <v>2.7397260273972599E-3</v>
      </c>
      <c r="I330" s="31">
        <f t="shared" si="251"/>
        <v>2.7397260273972599E-3</v>
      </c>
      <c r="J330" s="31">
        <f t="shared" si="251"/>
        <v>2.7397260273972599E-3</v>
      </c>
      <c r="K330" s="31">
        <f t="shared" si="251"/>
        <v>2.7397260273972599E-3</v>
      </c>
      <c r="L330" s="31">
        <f t="shared" si="251"/>
        <v>2.7397260273972599E-3</v>
      </c>
      <c r="M330" s="31">
        <f t="shared" si="251"/>
        <v>2.7397260273972599E-3</v>
      </c>
      <c r="N330" s="298"/>
      <c r="O330" s="298"/>
      <c r="P330" s="298"/>
      <c r="Q330" s="298"/>
      <c r="R330" s="298"/>
      <c r="S330" s="298"/>
      <c r="T330" s="298"/>
      <c r="U330" s="298"/>
      <c r="V330" s="298"/>
      <c r="W330" s="298"/>
      <c r="X330" s="298"/>
      <c r="Y330" s="298"/>
      <c r="Z330" s="298"/>
      <c r="AA330" s="298"/>
      <c r="AB330" s="298"/>
      <c r="AC330" s="298"/>
      <c r="AD330" s="298"/>
      <c r="AE330" s="298"/>
      <c r="AF330" s="298"/>
    </row>
    <row r="331" spans="1:32" ht="15.75" customHeight="1">
      <c r="A331" s="23" t="str">
        <f>A29</f>
        <v>Pedra Furada - Alimentação</v>
      </c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98"/>
      <c r="O331" s="298"/>
      <c r="P331" s="298"/>
      <c r="Q331" s="298"/>
      <c r="R331" s="298"/>
      <c r="S331" s="298"/>
      <c r="T331" s="298"/>
      <c r="U331" s="298"/>
      <c r="V331" s="298"/>
      <c r="W331" s="298"/>
      <c r="X331" s="298"/>
      <c r="Y331" s="298"/>
      <c r="Z331" s="298"/>
      <c r="AA331" s="298"/>
      <c r="AB331" s="298"/>
      <c r="AC331" s="298"/>
      <c r="AD331" s="298"/>
      <c r="AE331" s="298"/>
      <c r="AF331" s="298"/>
    </row>
    <row r="332" spans="1:32" ht="15.75" customHeight="1">
      <c r="A332" s="30" t="s">
        <v>119</v>
      </c>
      <c r="B332" s="31">
        <f t="shared" ref="B332:M332" si="252">IF($A$331=0,0,VLOOKUP($A$331,$A$19:$M$39,B$10+1,0)/(365/12/7)*HLOOKUP($A332,$O$18:$U$39,12,0))</f>
        <v>2.7397260273972599E-3</v>
      </c>
      <c r="C332" s="31">
        <f t="shared" si="252"/>
        <v>2.7397260273972599E-3</v>
      </c>
      <c r="D332" s="31">
        <f t="shared" si="252"/>
        <v>2.7397260273972599E-3</v>
      </c>
      <c r="E332" s="31">
        <f t="shared" si="252"/>
        <v>2.7397260273972599E-3</v>
      </c>
      <c r="F332" s="31">
        <f t="shared" si="252"/>
        <v>2.7397260273972599E-3</v>
      </c>
      <c r="G332" s="31">
        <f t="shared" si="252"/>
        <v>2.7397260273972599E-3</v>
      </c>
      <c r="H332" s="31">
        <f t="shared" si="252"/>
        <v>2.7397260273972599E-3</v>
      </c>
      <c r="I332" s="31">
        <f t="shared" si="252"/>
        <v>2.7397260273972599E-3</v>
      </c>
      <c r="J332" s="31">
        <f t="shared" si="252"/>
        <v>2.7397260273972599E-3</v>
      </c>
      <c r="K332" s="31">
        <f t="shared" si="252"/>
        <v>2.7397260273972599E-3</v>
      </c>
      <c r="L332" s="31">
        <f t="shared" si="252"/>
        <v>2.7397260273972599E-3</v>
      </c>
      <c r="M332" s="31">
        <f t="shared" si="252"/>
        <v>2.7397260273972599E-3</v>
      </c>
      <c r="N332" s="298"/>
      <c r="O332" s="298"/>
      <c r="P332" s="298"/>
      <c r="Q332" s="298"/>
      <c r="R332" s="298"/>
      <c r="S332" s="298"/>
      <c r="T332" s="298"/>
      <c r="U332" s="298"/>
      <c r="V332" s="298"/>
      <c r="W332" s="298"/>
      <c r="X332" s="298"/>
      <c r="Y332" s="298"/>
      <c r="Z332" s="298"/>
      <c r="AA332" s="298"/>
      <c r="AB332" s="298"/>
      <c r="AC332" s="298"/>
      <c r="AD332" s="298"/>
      <c r="AE332" s="298"/>
      <c r="AF332" s="298"/>
    </row>
    <row r="333" spans="1:32" ht="15.75" customHeight="1">
      <c r="A333" s="30" t="s">
        <v>120</v>
      </c>
      <c r="B333" s="31">
        <f t="shared" ref="B333:M333" si="253">IF($A$331=0,0,VLOOKUP($A$331,$A$19:$M$39,B$10+1,0)/(365/12/7)*HLOOKUP($A333,$O$18:$U$39,12,0))</f>
        <v>2.7397260273972599E-3</v>
      </c>
      <c r="C333" s="31">
        <f t="shared" si="253"/>
        <v>2.7397260273972599E-3</v>
      </c>
      <c r="D333" s="31">
        <f t="shared" si="253"/>
        <v>2.7397260273972599E-3</v>
      </c>
      <c r="E333" s="31">
        <f t="shared" si="253"/>
        <v>2.7397260273972599E-3</v>
      </c>
      <c r="F333" s="31">
        <f t="shared" si="253"/>
        <v>2.7397260273972599E-3</v>
      </c>
      <c r="G333" s="31">
        <f t="shared" si="253"/>
        <v>2.7397260273972599E-3</v>
      </c>
      <c r="H333" s="31">
        <f t="shared" si="253"/>
        <v>2.7397260273972599E-3</v>
      </c>
      <c r="I333" s="31">
        <f t="shared" si="253"/>
        <v>2.7397260273972599E-3</v>
      </c>
      <c r="J333" s="31">
        <f t="shared" si="253"/>
        <v>2.7397260273972599E-3</v>
      </c>
      <c r="K333" s="31">
        <f t="shared" si="253"/>
        <v>2.7397260273972599E-3</v>
      </c>
      <c r="L333" s="31">
        <f t="shared" si="253"/>
        <v>2.7397260273972599E-3</v>
      </c>
      <c r="M333" s="31">
        <f t="shared" si="253"/>
        <v>2.7397260273972599E-3</v>
      </c>
      <c r="N333" s="298"/>
      <c r="O333" s="298"/>
      <c r="P333" s="298"/>
      <c r="Q333" s="298"/>
      <c r="R333" s="298"/>
      <c r="S333" s="298"/>
      <c r="T333" s="298"/>
      <c r="U333" s="298"/>
      <c r="V333" s="298"/>
      <c r="W333" s="298"/>
      <c r="X333" s="298"/>
      <c r="Y333" s="298"/>
      <c r="Z333" s="298"/>
      <c r="AA333" s="298"/>
      <c r="AB333" s="298"/>
      <c r="AC333" s="298"/>
      <c r="AD333" s="298"/>
      <c r="AE333" s="298"/>
      <c r="AF333" s="298"/>
    </row>
    <row r="334" spans="1:32" ht="15.75" customHeight="1">
      <c r="A334" s="30" t="s">
        <v>121</v>
      </c>
      <c r="B334" s="31">
        <f t="shared" ref="B334:M334" si="254">IF($A$331=0,0,VLOOKUP($A$331,$A$19:$M$39,B$10+1,0)/(365/12/7)*HLOOKUP($A334,$O$18:$U$39,12,0))</f>
        <v>2.7397260273972599E-3</v>
      </c>
      <c r="C334" s="31">
        <f t="shared" si="254"/>
        <v>2.7397260273972599E-3</v>
      </c>
      <c r="D334" s="31">
        <f t="shared" si="254"/>
        <v>2.7397260273972599E-3</v>
      </c>
      <c r="E334" s="31">
        <f t="shared" si="254"/>
        <v>2.7397260273972599E-3</v>
      </c>
      <c r="F334" s="31">
        <f t="shared" si="254"/>
        <v>2.7397260273972599E-3</v>
      </c>
      <c r="G334" s="31">
        <f t="shared" si="254"/>
        <v>2.7397260273972599E-3</v>
      </c>
      <c r="H334" s="31">
        <f t="shared" si="254"/>
        <v>2.7397260273972599E-3</v>
      </c>
      <c r="I334" s="31">
        <f t="shared" si="254"/>
        <v>2.7397260273972599E-3</v>
      </c>
      <c r="J334" s="31">
        <f t="shared" si="254"/>
        <v>2.7397260273972599E-3</v>
      </c>
      <c r="K334" s="31">
        <f t="shared" si="254"/>
        <v>2.7397260273972599E-3</v>
      </c>
      <c r="L334" s="31">
        <f t="shared" si="254"/>
        <v>2.7397260273972599E-3</v>
      </c>
      <c r="M334" s="31">
        <f t="shared" si="254"/>
        <v>2.7397260273972599E-3</v>
      </c>
      <c r="N334" s="298"/>
      <c r="O334" s="298"/>
      <c r="P334" s="298"/>
      <c r="Q334" s="298"/>
      <c r="R334" s="298"/>
      <c r="S334" s="298"/>
      <c r="T334" s="298"/>
      <c r="U334" s="298"/>
      <c r="V334" s="298"/>
      <c r="W334" s="298"/>
      <c r="X334" s="298"/>
      <c r="Y334" s="298"/>
      <c r="Z334" s="298"/>
      <c r="AA334" s="298"/>
      <c r="AB334" s="298"/>
      <c r="AC334" s="298"/>
      <c r="AD334" s="298"/>
      <c r="AE334" s="298"/>
      <c r="AF334" s="298"/>
    </row>
    <row r="335" spans="1:32" ht="15.75" customHeight="1">
      <c r="A335" s="30" t="s">
        <v>122</v>
      </c>
      <c r="B335" s="31">
        <f t="shared" ref="B335:M335" si="255">IF($A$331=0,0,VLOOKUP($A$331,$A$19:$M$39,B$10+1,0)/(365/12/7)*HLOOKUP($A335,$O$18:$U$39,12,0))</f>
        <v>2.7397260273972599E-3</v>
      </c>
      <c r="C335" s="31">
        <f t="shared" si="255"/>
        <v>2.7397260273972599E-3</v>
      </c>
      <c r="D335" s="31">
        <f t="shared" si="255"/>
        <v>2.7397260273972599E-3</v>
      </c>
      <c r="E335" s="31">
        <f t="shared" si="255"/>
        <v>2.7397260273972599E-3</v>
      </c>
      <c r="F335" s="31">
        <f t="shared" si="255"/>
        <v>2.7397260273972599E-3</v>
      </c>
      <c r="G335" s="31">
        <f t="shared" si="255"/>
        <v>2.7397260273972599E-3</v>
      </c>
      <c r="H335" s="31">
        <f t="shared" si="255"/>
        <v>2.7397260273972599E-3</v>
      </c>
      <c r="I335" s="31">
        <f t="shared" si="255"/>
        <v>2.7397260273972599E-3</v>
      </c>
      <c r="J335" s="31">
        <f t="shared" si="255"/>
        <v>2.7397260273972599E-3</v>
      </c>
      <c r="K335" s="31">
        <f t="shared" si="255"/>
        <v>2.7397260273972599E-3</v>
      </c>
      <c r="L335" s="31">
        <f t="shared" si="255"/>
        <v>2.7397260273972599E-3</v>
      </c>
      <c r="M335" s="31">
        <f t="shared" si="255"/>
        <v>2.7397260273972599E-3</v>
      </c>
      <c r="N335" s="298"/>
      <c r="O335" s="298"/>
      <c r="P335" s="298"/>
      <c r="Q335" s="298"/>
      <c r="R335" s="298"/>
      <c r="S335" s="298"/>
      <c r="T335" s="298"/>
      <c r="U335" s="298"/>
      <c r="V335" s="298"/>
      <c r="W335" s="298"/>
      <c r="X335" s="298"/>
      <c r="Y335" s="298"/>
      <c r="Z335" s="298"/>
      <c r="AA335" s="298"/>
      <c r="AB335" s="298"/>
      <c r="AC335" s="298"/>
      <c r="AD335" s="298"/>
      <c r="AE335" s="298"/>
      <c r="AF335" s="298"/>
    </row>
    <row r="336" spans="1:32" ht="15.75" customHeight="1">
      <c r="A336" s="30" t="s">
        <v>123</v>
      </c>
      <c r="B336" s="31">
        <f t="shared" ref="B336:M336" si="256">IF($A$331=0,0,VLOOKUP($A$331,$A$19:$M$39,B$10+1,0)/(365/12/7)*HLOOKUP($A336,$O$18:$U$39,12,0))</f>
        <v>2.7397260273972599E-3</v>
      </c>
      <c r="C336" s="31">
        <f t="shared" si="256"/>
        <v>2.7397260273972599E-3</v>
      </c>
      <c r="D336" s="31">
        <f t="shared" si="256"/>
        <v>2.7397260273972599E-3</v>
      </c>
      <c r="E336" s="31">
        <f t="shared" si="256"/>
        <v>2.7397260273972599E-3</v>
      </c>
      <c r="F336" s="31">
        <f t="shared" si="256"/>
        <v>2.7397260273972599E-3</v>
      </c>
      <c r="G336" s="31">
        <f t="shared" si="256"/>
        <v>2.7397260273972599E-3</v>
      </c>
      <c r="H336" s="31">
        <f t="shared" si="256"/>
        <v>2.7397260273972599E-3</v>
      </c>
      <c r="I336" s="31">
        <f t="shared" si="256"/>
        <v>2.7397260273972599E-3</v>
      </c>
      <c r="J336" s="31">
        <f t="shared" si="256"/>
        <v>2.7397260273972599E-3</v>
      </c>
      <c r="K336" s="31">
        <f t="shared" si="256"/>
        <v>2.7397260273972599E-3</v>
      </c>
      <c r="L336" s="31">
        <f t="shared" si="256"/>
        <v>2.7397260273972599E-3</v>
      </c>
      <c r="M336" s="31">
        <f t="shared" si="256"/>
        <v>2.7397260273972599E-3</v>
      </c>
      <c r="N336" s="298"/>
      <c r="O336" s="298"/>
      <c r="P336" s="298"/>
      <c r="Q336" s="298"/>
      <c r="R336" s="298"/>
      <c r="S336" s="298"/>
      <c r="T336" s="298"/>
      <c r="U336" s="298"/>
      <c r="V336" s="298"/>
      <c r="W336" s="298"/>
      <c r="X336" s="298"/>
      <c r="Y336" s="298"/>
      <c r="Z336" s="298"/>
      <c r="AA336" s="298"/>
      <c r="AB336" s="298"/>
      <c r="AC336" s="298"/>
      <c r="AD336" s="298"/>
      <c r="AE336" s="298"/>
      <c r="AF336" s="298"/>
    </row>
    <row r="337" spans="1:32" ht="15.75" customHeight="1">
      <c r="A337" s="30" t="s">
        <v>124</v>
      </c>
      <c r="B337" s="31">
        <f t="shared" ref="B337:M337" si="257">IF($A$331=0,0,VLOOKUP($A$331,$A$19:$M$39,B$10+1,0)/(365/12/7)*HLOOKUP($A337,$O$18:$U$39,12,0))</f>
        <v>2.7397260273972599E-3</v>
      </c>
      <c r="C337" s="31">
        <f t="shared" si="257"/>
        <v>2.7397260273972599E-3</v>
      </c>
      <c r="D337" s="31">
        <f t="shared" si="257"/>
        <v>2.7397260273972599E-3</v>
      </c>
      <c r="E337" s="31">
        <f t="shared" si="257"/>
        <v>2.7397260273972599E-3</v>
      </c>
      <c r="F337" s="31">
        <f t="shared" si="257"/>
        <v>2.7397260273972599E-3</v>
      </c>
      <c r="G337" s="31">
        <f t="shared" si="257"/>
        <v>2.7397260273972599E-3</v>
      </c>
      <c r="H337" s="31">
        <f t="shared" si="257"/>
        <v>2.7397260273972599E-3</v>
      </c>
      <c r="I337" s="31">
        <f t="shared" si="257"/>
        <v>2.7397260273972599E-3</v>
      </c>
      <c r="J337" s="31">
        <f t="shared" si="257"/>
        <v>2.7397260273972599E-3</v>
      </c>
      <c r="K337" s="31">
        <f t="shared" si="257"/>
        <v>2.7397260273972599E-3</v>
      </c>
      <c r="L337" s="31">
        <f t="shared" si="257"/>
        <v>2.7397260273972599E-3</v>
      </c>
      <c r="M337" s="31">
        <f t="shared" si="257"/>
        <v>2.7397260273972599E-3</v>
      </c>
      <c r="N337" s="298"/>
      <c r="O337" s="298"/>
      <c r="P337" s="298"/>
      <c r="Q337" s="298"/>
      <c r="R337" s="298"/>
      <c r="S337" s="298"/>
      <c r="T337" s="298"/>
      <c r="U337" s="298"/>
      <c r="V337" s="298"/>
      <c r="W337" s="298"/>
      <c r="X337" s="298"/>
      <c r="Y337" s="298"/>
      <c r="Z337" s="298"/>
      <c r="AA337" s="298"/>
      <c r="AB337" s="298"/>
      <c r="AC337" s="298"/>
      <c r="AD337" s="298"/>
      <c r="AE337" s="298"/>
      <c r="AF337" s="298"/>
    </row>
    <row r="338" spans="1:32" ht="15.75" customHeight="1">
      <c r="A338" s="30" t="s">
        <v>125</v>
      </c>
      <c r="B338" s="31">
        <f t="shared" ref="B338:M338" si="258">IF($A$331=0,0,VLOOKUP($A$331,$A$19:$M$39,B$10+1,0)/(365/12/7)*HLOOKUP($A338,$O$18:$U$39,12,0))</f>
        <v>2.7397260273972599E-3</v>
      </c>
      <c r="C338" s="31">
        <f t="shared" si="258"/>
        <v>2.7397260273972599E-3</v>
      </c>
      <c r="D338" s="31">
        <f t="shared" si="258"/>
        <v>2.7397260273972599E-3</v>
      </c>
      <c r="E338" s="31">
        <f t="shared" si="258"/>
        <v>2.7397260273972599E-3</v>
      </c>
      <c r="F338" s="31">
        <f t="shared" si="258"/>
        <v>2.7397260273972599E-3</v>
      </c>
      <c r="G338" s="31">
        <f t="shared" si="258"/>
        <v>2.7397260273972599E-3</v>
      </c>
      <c r="H338" s="31">
        <f t="shared" si="258"/>
        <v>2.7397260273972599E-3</v>
      </c>
      <c r="I338" s="31">
        <f t="shared" si="258"/>
        <v>2.7397260273972599E-3</v>
      </c>
      <c r="J338" s="31">
        <f t="shared" si="258"/>
        <v>2.7397260273972599E-3</v>
      </c>
      <c r="K338" s="31">
        <f t="shared" si="258"/>
        <v>2.7397260273972599E-3</v>
      </c>
      <c r="L338" s="31">
        <f t="shared" si="258"/>
        <v>2.7397260273972599E-3</v>
      </c>
      <c r="M338" s="31">
        <f t="shared" si="258"/>
        <v>2.7397260273972599E-3</v>
      </c>
      <c r="N338" s="298"/>
      <c r="O338" s="298"/>
      <c r="P338" s="298"/>
      <c r="Q338" s="298"/>
      <c r="R338" s="298"/>
      <c r="S338" s="298"/>
      <c r="T338" s="298"/>
      <c r="U338" s="298"/>
      <c r="V338" s="298"/>
      <c r="W338" s="298"/>
      <c r="X338" s="298"/>
      <c r="Y338" s="298"/>
      <c r="Z338" s="298"/>
      <c r="AA338" s="298"/>
      <c r="AB338" s="298"/>
      <c r="AC338" s="298"/>
      <c r="AD338" s="298"/>
      <c r="AE338" s="298"/>
      <c r="AF338" s="298"/>
    </row>
    <row r="339" spans="1:32" ht="15.75" customHeight="1">
      <c r="A339" s="23" t="str">
        <f>A30</f>
        <v>Pedra Furada - Comércio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98"/>
      <c r="O339" s="298"/>
      <c r="P339" s="298"/>
      <c r="Q339" s="298"/>
      <c r="R339" s="298"/>
      <c r="S339" s="298"/>
      <c r="T339" s="298"/>
      <c r="U339" s="298"/>
      <c r="V339" s="298"/>
      <c r="W339" s="298"/>
      <c r="X339" s="298"/>
      <c r="Y339" s="298"/>
      <c r="Z339" s="298"/>
      <c r="AA339" s="298"/>
      <c r="AB339" s="298"/>
      <c r="AC339" s="298"/>
      <c r="AD339" s="298"/>
      <c r="AE339" s="298"/>
      <c r="AF339" s="298"/>
    </row>
    <row r="340" spans="1:32" ht="15.75" customHeight="1">
      <c r="A340" s="30" t="s">
        <v>119</v>
      </c>
      <c r="B340" s="31">
        <f t="shared" ref="B340:M340" si="259">IF($A$339=0,0,VLOOKUP($A$339,$A$19:$M$39,B$10+1,0)/(365/12/7)*HLOOKUP($A340,$O$18:$U$39,13,0))</f>
        <v>2.7397260273972599E-3</v>
      </c>
      <c r="C340" s="31">
        <f t="shared" si="259"/>
        <v>2.7397260273972599E-3</v>
      </c>
      <c r="D340" s="31">
        <f t="shared" si="259"/>
        <v>2.7397260273972599E-3</v>
      </c>
      <c r="E340" s="31">
        <f t="shared" si="259"/>
        <v>2.7397260273972599E-3</v>
      </c>
      <c r="F340" s="31">
        <f t="shared" si="259"/>
        <v>2.7397260273972599E-3</v>
      </c>
      <c r="G340" s="31">
        <f t="shared" si="259"/>
        <v>2.7397260273972599E-3</v>
      </c>
      <c r="H340" s="31">
        <f t="shared" si="259"/>
        <v>2.7397260273972599E-3</v>
      </c>
      <c r="I340" s="31">
        <f t="shared" si="259"/>
        <v>2.7397260273972599E-3</v>
      </c>
      <c r="J340" s="31">
        <f t="shared" si="259"/>
        <v>2.7397260273972599E-3</v>
      </c>
      <c r="K340" s="31">
        <f t="shared" si="259"/>
        <v>2.7397260273972599E-3</v>
      </c>
      <c r="L340" s="31">
        <f t="shared" si="259"/>
        <v>2.7397260273972599E-3</v>
      </c>
      <c r="M340" s="31">
        <f t="shared" si="259"/>
        <v>2.7397260273972599E-3</v>
      </c>
      <c r="N340" s="298"/>
      <c r="O340" s="298"/>
      <c r="P340" s="298"/>
      <c r="Q340" s="298"/>
      <c r="R340" s="298"/>
      <c r="S340" s="298"/>
      <c r="T340" s="298"/>
      <c r="U340" s="298"/>
      <c r="V340" s="298"/>
      <c r="W340" s="298"/>
      <c r="X340" s="298"/>
      <c r="Y340" s="298"/>
      <c r="Z340" s="298"/>
      <c r="AA340" s="298"/>
      <c r="AB340" s="298"/>
      <c r="AC340" s="298"/>
      <c r="AD340" s="298"/>
      <c r="AE340" s="298"/>
      <c r="AF340" s="298"/>
    </row>
    <row r="341" spans="1:32" ht="15.75" customHeight="1">
      <c r="A341" s="30" t="s">
        <v>120</v>
      </c>
      <c r="B341" s="31">
        <f t="shared" ref="B341:M341" si="260">IF($A$339=0,0,VLOOKUP($A$339,$A$19:$M$39,B$10+1,0)/(365/12/7)*HLOOKUP($A341,$O$18:$U$39,13,0))</f>
        <v>2.7397260273972599E-3</v>
      </c>
      <c r="C341" s="31">
        <f t="shared" si="260"/>
        <v>2.7397260273972599E-3</v>
      </c>
      <c r="D341" s="31">
        <f t="shared" si="260"/>
        <v>2.7397260273972599E-3</v>
      </c>
      <c r="E341" s="31">
        <f t="shared" si="260"/>
        <v>2.7397260273972599E-3</v>
      </c>
      <c r="F341" s="31">
        <f t="shared" si="260"/>
        <v>2.7397260273972599E-3</v>
      </c>
      <c r="G341" s="31">
        <f t="shared" si="260"/>
        <v>2.7397260273972599E-3</v>
      </c>
      <c r="H341" s="31">
        <f t="shared" si="260"/>
        <v>2.7397260273972599E-3</v>
      </c>
      <c r="I341" s="31">
        <f t="shared" si="260"/>
        <v>2.7397260273972599E-3</v>
      </c>
      <c r="J341" s="31">
        <f t="shared" si="260"/>
        <v>2.7397260273972599E-3</v>
      </c>
      <c r="K341" s="31">
        <f t="shared" si="260"/>
        <v>2.7397260273972599E-3</v>
      </c>
      <c r="L341" s="31">
        <f t="shared" si="260"/>
        <v>2.7397260273972599E-3</v>
      </c>
      <c r="M341" s="31">
        <f t="shared" si="260"/>
        <v>2.7397260273972599E-3</v>
      </c>
      <c r="N341" s="298"/>
      <c r="O341" s="298"/>
      <c r="P341" s="298"/>
      <c r="Q341" s="298"/>
      <c r="R341" s="298"/>
      <c r="S341" s="298"/>
      <c r="T341" s="298"/>
      <c r="U341" s="298"/>
      <c r="V341" s="298"/>
      <c r="W341" s="298"/>
      <c r="X341" s="298"/>
      <c r="Y341" s="298"/>
      <c r="Z341" s="298"/>
      <c r="AA341" s="298"/>
      <c r="AB341" s="298"/>
      <c r="AC341" s="298"/>
      <c r="AD341" s="298"/>
      <c r="AE341" s="298"/>
      <c r="AF341" s="298"/>
    </row>
    <row r="342" spans="1:32" ht="15.75" customHeight="1">
      <c r="A342" s="30" t="s">
        <v>121</v>
      </c>
      <c r="B342" s="31">
        <f t="shared" ref="B342:M342" si="261">IF($A$339=0,0,VLOOKUP($A$339,$A$19:$M$39,B$10+1,0)/(365/12/7)*HLOOKUP($A342,$O$18:$U$39,13,0))</f>
        <v>2.7397260273972599E-3</v>
      </c>
      <c r="C342" s="31">
        <f t="shared" si="261"/>
        <v>2.7397260273972599E-3</v>
      </c>
      <c r="D342" s="31">
        <f t="shared" si="261"/>
        <v>2.7397260273972599E-3</v>
      </c>
      <c r="E342" s="31">
        <f t="shared" si="261"/>
        <v>2.7397260273972599E-3</v>
      </c>
      <c r="F342" s="31">
        <f t="shared" si="261"/>
        <v>2.7397260273972599E-3</v>
      </c>
      <c r="G342" s="31">
        <f t="shared" si="261"/>
        <v>2.7397260273972599E-3</v>
      </c>
      <c r="H342" s="31">
        <f t="shared" si="261"/>
        <v>2.7397260273972599E-3</v>
      </c>
      <c r="I342" s="31">
        <f t="shared" si="261"/>
        <v>2.7397260273972599E-3</v>
      </c>
      <c r="J342" s="31">
        <f t="shared" si="261"/>
        <v>2.7397260273972599E-3</v>
      </c>
      <c r="K342" s="31">
        <f t="shared" si="261"/>
        <v>2.7397260273972599E-3</v>
      </c>
      <c r="L342" s="31">
        <f t="shared" si="261"/>
        <v>2.7397260273972599E-3</v>
      </c>
      <c r="M342" s="31">
        <f t="shared" si="261"/>
        <v>2.7397260273972599E-3</v>
      </c>
      <c r="N342" s="298"/>
      <c r="O342" s="298"/>
      <c r="P342" s="298"/>
      <c r="Q342" s="298"/>
      <c r="R342" s="298"/>
      <c r="S342" s="298"/>
      <c r="T342" s="298"/>
      <c r="U342" s="298"/>
      <c r="V342" s="298"/>
      <c r="W342" s="298"/>
      <c r="X342" s="298"/>
      <c r="Y342" s="298"/>
      <c r="Z342" s="298"/>
      <c r="AA342" s="298"/>
      <c r="AB342" s="298"/>
      <c r="AC342" s="298"/>
      <c r="AD342" s="298"/>
      <c r="AE342" s="298"/>
      <c r="AF342" s="298"/>
    </row>
    <row r="343" spans="1:32" ht="15.75" customHeight="1">
      <c r="A343" s="30" t="s">
        <v>122</v>
      </c>
      <c r="B343" s="31">
        <f t="shared" ref="B343:M343" si="262">IF($A$339=0,0,VLOOKUP($A$339,$A$19:$M$39,B$10+1,0)/(365/12/7)*HLOOKUP($A343,$O$18:$U$39,13,0))</f>
        <v>2.7397260273972599E-3</v>
      </c>
      <c r="C343" s="31">
        <f t="shared" si="262"/>
        <v>2.7397260273972599E-3</v>
      </c>
      <c r="D343" s="31">
        <f t="shared" si="262"/>
        <v>2.7397260273972599E-3</v>
      </c>
      <c r="E343" s="31">
        <f t="shared" si="262"/>
        <v>2.7397260273972599E-3</v>
      </c>
      <c r="F343" s="31">
        <f t="shared" si="262"/>
        <v>2.7397260273972599E-3</v>
      </c>
      <c r="G343" s="31">
        <f t="shared" si="262"/>
        <v>2.7397260273972599E-3</v>
      </c>
      <c r="H343" s="31">
        <f t="shared" si="262"/>
        <v>2.7397260273972599E-3</v>
      </c>
      <c r="I343" s="31">
        <f t="shared" si="262"/>
        <v>2.7397260273972599E-3</v>
      </c>
      <c r="J343" s="31">
        <f t="shared" si="262"/>
        <v>2.7397260273972599E-3</v>
      </c>
      <c r="K343" s="31">
        <f t="shared" si="262"/>
        <v>2.7397260273972599E-3</v>
      </c>
      <c r="L343" s="31">
        <f t="shared" si="262"/>
        <v>2.7397260273972599E-3</v>
      </c>
      <c r="M343" s="31">
        <f t="shared" si="262"/>
        <v>2.7397260273972599E-3</v>
      </c>
      <c r="N343" s="298"/>
      <c r="O343" s="298"/>
      <c r="P343" s="298"/>
      <c r="Q343" s="298"/>
      <c r="R343" s="298"/>
      <c r="S343" s="298"/>
      <c r="T343" s="298"/>
      <c r="U343" s="298"/>
      <c r="V343" s="298"/>
      <c r="W343" s="298"/>
      <c r="X343" s="298"/>
      <c r="Y343" s="298"/>
      <c r="Z343" s="298"/>
      <c r="AA343" s="298"/>
      <c r="AB343" s="298"/>
      <c r="AC343" s="298"/>
      <c r="AD343" s="298"/>
      <c r="AE343" s="298"/>
      <c r="AF343" s="298"/>
    </row>
    <row r="344" spans="1:32" ht="15.75" customHeight="1">
      <c r="A344" s="30" t="s">
        <v>123</v>
      </c>
      <c r="B344" s="31">
        <f t="shared" ref="B344:M344" si="263">IF($A$339=0,0,VLOOKUP($A$339,$A$19:$M$39,B$10+1,0)/(365/12/7)*HLOOKUP($A344,$O$18:$U$39,13,0))</f>
        <v>2.7397260273972599E-3</v>
      </c>
      <c r="C344" s="31">
        <f t="shared" si="263"/>
        <v>2.7397260273972599E-3</v>
      </c>
      <c r="D344" s="31">
        <f t="shared" si="263"/>
        <v>2.7397260273972599E-3</v>
      </c>
      <c r="E344" s="31">
        <f t="shared" si="263"/>
        <v>2.7397260273972599E-3</v>
      </c>
      <c r="F344" s="31">
        <f t="shared" si="263"/>
        <v>2.7397260273972599E-3</v>
      </c>
      <c r="G344" s="31">
        <f t="shared" si="263"/>
        <v>2.7397260273972599E-3</v>
      </c>
      <c r="H344" s="31">
        <f t="shared" si="263"/>
        <v>2.7397260273972599E-3</v>
      </c>
      <c r="I344" s="31">
        <f t="shared" si="263"/>
        <v>2.7397260273972599E-3</v>
      </c>
      <c r="J344" s="31">
        <f t="shared" si="263"/>
        <v>2.7397260273972599E-3</v>
      </c>
      <c r="K344" s="31">
        <f t="shared" si="263"/>
        <v>2.7397260273972599E-3</v>
      </c>
      <c r="L344" s="31">
        <f t="shared" si="263"/>
        <v>2.7397260273972599E-3</v>
      </c>
      <c r="M344" s="31">
        <f t="shared" si="263"/>
        <v>2.7397260273972599E-3</v>
      </c>
      <c r="N344" s="298"/>
      <c r="O344" s="298"/>
      <c r="P344" s="298"/>
      <c r="Q344" s="298"/>
      <c r="R344" s="298"/>
      <c r="S344" s="298"/>
      <c r="T344" s="298"/>
      <c r="U344" s="298"/>
      <c r="V344" s="298"/>
      <c r="W344" s="298"/>
      <c r="X344" s="298"/>
      <c r="Y344" s="298"/>
      <c r="Z344" s="298"/>
      <c r="AA344" s="298"/>
      <c r="AB344" s="298"/>
      <c r="AC344" s="298"/>
      <c r="AD344" s="298"/>
      <c r="AE344" s="298"/>
      <c r="AF344" s="298"/>
    </row>
    <row r="345" spans="1:32" ht="15.75" customHeight="1">
      <c r="A345" s="30" t="s">
        <v>124</v>
      </c>
      <c r="B345" s="31">
        <f t="shared" ref="B345:M345" si="264">IF($A$339=0,0,VLOOKUP($A$339,$A$19:$M$39,B$10+1,0)/(365/12/7)*HLOOKUP($A345,$O$18:$U$39,13,0))</f>
        <v>2.7397260273972599E-3</v>
      </c>
      <c r="C345" s="31">
        <f t="shared" si="264"/>
        <v>2.7397260273972599E-3</v>
      </c>
      <c r="D345" s="31">
        <f t="shared" si="264"/>
        <v>2.7397260273972599E-3</v>
      </c>
      <c r="E345" s="31">
        <f t="shared" si="264"/>
        <v>2.7397260273972599E-3</v>
      </c>
      <c r="F345" s="31">
        <f t="shared" si="264"/>
        <v>2.7397260273972599E-3</v>
      </c>
      <c r="G345" s="31">
        <f t="shared" si="264"/>
        <v>2.7397260273972599E-3</v>
      </c>
      <c r="H345" s="31">
        <f t="shared" si="264"/>
        <v>2.7397260273972599E-3</v>
      </c>
      <c r="I345" s="31">
        <f t="shared" si="264"/>
        <v>2.7397260273972599E-3</v>
      </c>
      <c r="J345" s="31">
        <f t="shared" si="264"/>
        <v>2.7397260273972599E-3</v>
      </c>
      <c r="K345" s="31">
        <f t="shared" si="264"/>
        <v>2.7397260273972599E-3</v>
      </c>
      <c r="L345" s="31">
        <f t="shared" si="264"/>
        <v>2.7397260273972599E-3</v>
      </c>
      <c r="M345" s="31">
        <f t="shared" si="264"/>
        <v>2.7397260273972599E-3</v>
      </c>
      <c r="N345" s="298"/>
      <c r="O345" s="298"/>
      <c r="P345" s="298"/>
      <c r="Q345" s="298"/>
      <c r="R345" s="298"/>
      <c r="S345" s="298"/>
      <c r="T345" s="298"/>
      <c r="U345" s="298"/>
      <c r="V345" s="298"/>
      <c r="W345" s="298"/>
      <c r="X345" s="298"/>
      <c r="Y345" s="298"/>
      <c r="Z345" s="298"/>
      <c r="AA345" s="298"/>
      <c r="AB345" s="298"/>
      <c r="AC345" s="298"/>
      <c r="AD345" s="298"/>
      <c r="AE345" s="298"/>
      <c r="AF345" s="298"/>
    </row>
    <row r="346" spans="1:32" ht="15.75" customHeight="1">
      <c r="A346" s="30" t="s">
        <v>125</v>
      </c>
      <c r="B346" s="31">
        <f t="shared" ref="B346:M346" si="265">IF($A$339=0,0,VLOOKUP($A$339,$A$19:$M$39,B$10+1,0)/(365/12/7)*HLOOKUP($A346,$O$18:$U$39,13,0))</f>
        <v>2.7397260273972599E-3</v>
      </c>
      <c r="C346" s="31">
        <f t="shared" si="265"/>
        <v>2.7397260273972599E-3</v>
      </c>
      <c r="D346" s="31">
        <f t="shared" si="265"/>
        <v>2.7397260273972599E-3</v>
      </c>
      <c r="E346" s="31">
        <f t="shared" si="265"/>
        <v>2.7397260273972599E-3</v>
      </c>
      <c r="F346" s="31">
        <f t="shared" si="265"/>
        <v>2.7397260273972599E-3</v>
      </c>
      <c r="G346" s="31">
        <f t="shared" si="265"/>
        <v>2.7397260273972599E-3</v>
      </c>
      <c r="H346" s="31">
        <f t="shared" si="265"/>
        <v>2.7397260273972599E-3</v>
      </c>
      <c r="I346" s="31">
        <f t="shared" si="265"/>
        <v>2.7397260273972599E-3</v>
      </c>
      <c r="J346" s="31">
        <f t="shared" si="265"/>
        <v>2.7397260273972599E-3</v>
      </c>
      <c r="K346" s="31">
        <f t="shared" si="265"/>
        <v>2.7397260273972599E-3</v>
      </c>
      <c r="L346" s="31">
        <f t="shared" si="265"/>
        <v>2.7397260273972599E-3</v>
      </c>
      <c r="M346" s="31">
        <f t="shared" si="265"/>
        <v>2.7397260273972599E-3</v>
      </c>
      <c r="N346" s="298"/>
      <c r="O346" s="298"/>
      <c r="P346" s="298"/>
      <c r="Q346" s="298"/>
      <c r="R346" s="298"/>
      <c r="S346" s="298"/>
      <c r="T346" s="298"/>
      <c r="U346" s="298"/>
      <c r="V346" s="298"/>
      <c r="W346" s="298"/>
      <c r="X346" s="298"/>
      <c r="Y346" s="298"/>
      <c r="Z346" s="298"/>
      <c r="AA346" s="298"/>
      <c r="AB346" s="298"/>
      <c r="AC346" s="298"/>
      <c r="AD346" s="298"/>
      <c r="AE346" s="298"/>
      <c r="AF346" s="298"/>
    </row>
    <row r="347" spans="1:32" ht="15.75" customHeight="1">
      <c r="A347" s="23" t="str">
        <f>A31</f>
        <v>Serrote - Alimentação</v>
      </c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98"/>
      <c r="O347" s="298"/>
      <c r="P347" s="298"/>
      <c r="Q347" s="298"/>
      <c r="R347" s="298"/>
      <c r="S347" s="298"/>
      <c r="T347" s="298"/>
      <c r="U347" s="298"/>
      <c r="V347" s="298"/>
      <c r="W347" s="298"/>
      <c r="X347" s="298"/>
      <c r="Y347" s="298"/>
      <c r="Z347" s="298"/>
      <c r="AA347" s="298"/>
      <c r="AB347" s="298"/>
      <c r="AC347" s="298"/>
      <c r="AD347" s="298"/>
      <c r="AE347" s="298"/>
      <c r="AF347" s="298"/>
    </row>
    <row r="348" spans="1:32" ht="15.75" customHeight="1">
      <c r="A348" s="30" t="s">
        <v>119</v>
      </c>
      <c r="B348" s="31">
        <f t="shared" ref="B348:M348" si="266">IF($A$347=0,0,VLOOKUP($A$347,$A$19:$M$39,B$10+1,0)/(365/12/7)*HLOOKUP($A348,$O$18:$U$39,14,0))</f>
        <v>2.7397260273972599E-3</v>
      </c>
      <c r="C348" s="31">
        <f t="shared" si="266"/>
        <v>2.7397260273972599E-3</v>
      </c>
      <c r="D348" s="31">
        <f t="shared" si="266"/>
        <v>2.7397260273972599E-3</v>
      </c>
      <c r="E348" s="31">
        <f t="shared" si="266"/>
        <v>2.7397260273972599E-3</v>
      </c>
      <c r="F348" s="31">
        <f t="shared" si="266"/>
        <v>2.7397260273972599E-3</v>
      </c>
      <c r="G348" s="31">
        <f t="shared" si="266"/>
        <v>2.7397260273972599E-3</v>
      </c>
      <c r="H348" s="31">
        <f t="shared" si="266"/>
        <v>2.7397260273972599E-3</v>
      </c>
      <c r="I348" s="31">
        <f t="shared" si="266"/>
        <v>2.7397260273972599E-3</v>
      </c>
      <c r="J348" s="31">
        <f t="shared" si="266"/>
        <v>2.7397260273972599E-3</v>
      </c>
      <c r="K348" s="31">
        <f t="shared" si="266"/>
        <v>2.7397260273972599E-3</v>
      </c>
      <c r="L348" s="31">
        <f t="shared" si="266"/>
        <v>2.7397260273972599E-3</v>
      </c>
      <c r="M348" s="31">
        <f t="shared" si="266"/>
        <v>2.7397260273972599E-3</v>
      </c>
      <c r="N348" s="298"/>
      <c r="O348" s="298"/>
      <c r="P348" s="298"/>
      <c r="Q348" s="298"/>
      <c r="R348" s="298"/>
      <c r="S348" s="298"/>
      <c r="T348" s="298"/>
      <c r="U348" s="298"/>
      <c r="V348" s="298"/>
      <c r="W348" s="298"/>
      <c r="X348" s="298"/>
      <c r="Y348" s="298"/>
      <c r="Z348" s="298"/>
      <c r="AA348" s="298"/>
      <c r="AB348" s="298"/>
      <c r="AC348" s="298"/>
      <c r="AD348" s="298"/>
      <c r="AE348" s="298"/>
      <c r="AF348" s="298"/>
    </row>
    <row r="349" spans="1:32" ht="15.75" customHeight="1">
      <c r="A349" s="30" t="s">
        <v>120</v>
      </c>
      <c r="B349" s="31">
        <f t="shared" ref="B349:M349" si="267">IF($A$347=0,0,VLOOKUP($A$347,$A$19:$M$39,B$10+1,0)/(365/12/7)*HLOOKUP($A349,$O$18:$U$39,14,0))</f>
        <v>2.7397260273972599E-3</v>
      </c>
      <c r="C349" s="31">
        <f t="shared" si="267"/>
        <v>2.7397260273972599E-3</v>
      </c>
      <c r="D349" s="31">
        <f t="shared" si="267"/>
        <v>2.7397260273972599E-3</v>
      </c>
      <c r="E349" s="31">
        <f t="shared" si="267"/>
        <v>2.7397260273972599E-3</v>
      </c>
      <c r="F349" s="31">
        <f t="shared" si="267"/>
        <v>2.7397260273972599E-3</v>
      </c>
      <c r="G349" s="31">
        <f t="shared" si="267"/>
        <v>2.7397260273972599E-3</v>
      </c>
      <c r="H349" s="31">
        <f t="shared" si="267"/>
        <v>2.7397260273972599E-3</v>
      </c>
      <c r="I349" s="31">
        <f t="shared" si="267"/>
        <v>2.7397260273972599E-3</v>
      </c>
      <c r="J349" s="31">
        <f t="shared" si="267"/>
        <v>2.7397260273972599E-3</v>
      </c>
      <c r="K349" s="31">
        <f t="shared" si="267"/>
        <v>2.7397260273972599E-3</v>
      </c>
      <c r="L349" s="31">
        <f t="shared" si="267"/>
        <v>2.7397260273972599E-3</v>
      </c>
      <c r="M349" s="31">
        <f t="shared" si="267"/>
        <v>2.7397260273972599E-3</v>
      </c>
      <c r="N349" s="298"/>
      <c r="O349" s="298"/>
      <c r="P349" s="298"/>
      <c r="Q349" s="298"/>
      <c r="R349" s="298"/>
      <c r="S349" s="298"/>
      <c r="T349" s="298"/>
      <c r="U349" s="298"/>
      <c r="V349" s="298"/>
      <c r="W349" s="298"/>
      <c r="X349" s="298"/>
      <c r="Y349" s="298"/>
      <c r="Z349" s="298"/>
      <c r="AA349" s="298"/>
      <c r="AB349" s="298"/>
      <c r="AC349" s="298"/>
      <c r="AD349" s="298"/>
      <c r="AE349" s="298"/>
      <c r="AF349" s="298"/>
    </row>
    <row r="350" spans="1:32" ht="15.75" customHeight="1">
      <c r="A350" s="30" t="s">
        <v>121</v>
      </c>
      <c r="B350" s="31">
        <f t="shared" ref="B350:M350" si="268">IF($A$347=0,0,VLOOKUP($A$347,$A$19:$M$39,B$10+1,0)/(365/12/7)*HLOOKUP($A350,$O$18:$U$39,14,0))</f>
        <v>2.7397260273972599E-3</v>
      </c>
      <c r="C350" s="31">
        <f t="shared" si="268"/>
        <v>2.7397260273972599E-3</v>
      </c>
      <c r="D350" s="31">
        <f t="shared" si="268"/>
        <v>2.7397260273972599E-3</v>
      </c>
      <c r="E350" s="31">
        <f t="shared" si="268"/>
        <v>2.7397260273972599E-3</v>
      </c>
      <c r="F350" s="31">
        <f t="shared" si="268"/>
        <v>2.7397260273972599E-3</v>
      </c>
      <c r="G350" s="31">
        <f t="shared" si="268"/>
        <v>2.7397260273972599E-3</v>
      </c>
      <c r="H350" s="31">
        <f t="shared" si="268"/>
        <v>2.7397260273972599E-3</v>
      </c>
      <c r="I350" s="31">
        <f t="shared" si="268"/>
        <v>2.7397260273972599E-3</v>
      </c>
      <c r="J350" s="31">
        <f t="shared" si="268"/>
        <v>2.7397260273972599E-3</v>
      </c>
      <c r="K350" s="31">
        <f t="shared" si="268"/>
        <v>2.7397260273972599E-3</v>
      </c>
      <c r="L350" s="31">
        <f t="shared" si="268"/>
        <v>2.7397260273972599E-3</v>
      </c>
      <c r="M350" s="31">
        <f t="shared" si="268"/>
        <v>2.7397260273972599E-3</v>
      </c>
      <c r="N350" s="298"/>
      <c r="O350" s="298"/>
      <c r="P350" s="298"/>
      <c r="Q350" s="298"/>
      <c r="R350" s="298"/>
      <c r="S350" s="298"/>
      <c r="T350" s="298"/>
      <c r="U350" s="298"/>
      <c r="V350" s="298"/>
      <c r="W350" s="298"/>
      <c r="X350" s="298"/>
      <c r="Y350" s="298"/>
      <c r="Z350" s="298"/>
      <c r="AA350" s="298"/>
      <c r="AB350" s="298"/>
      <c r="AC350" s="298"/>
      <c r="AD350" s="298"/>
      <c r="AE350" s="298"/>
      <c r="AF350" s="298"/>
    </row>
    <row r="351" spans="1:32" ht="15.75" customHeight="1">
      <c r="A351" s="30" t="s">
        <v>122</v>
      </c>
      <c r="B351" s="31">
        <f t="shared" ref="B351:M351" si="269">IF($A$347=0,0,VLOOKUP($A$347,$A$19:$M$39,B$10+1,0)/(365/12/7)*HLOOKUP($A351,$O$18:$U$39,14,0))</f>
        <v>2.7397260273972599E-3</v>
      </c>
      <c r="C351" s="31">
        <f t="shared" si="269"/>
        <v>2.7397260273972599E-3</v>
      </c>
      <c r="D351" s="31">
        <f t="shared" si="269"/>
        <v>2.7397260273972599E-3</v>
      </c>
      <c r="E351" s="31">
        <f t="shared" si="269"/>
        <v>2.7397260273972599E-3</v>
      </c>
      <c r="F351" s="31">
        <f t="shared" si="269"/>
        <v>2.7397260273972599E-3</v>
      </c>
      <c r="G351" s="31">
        <f t="shared" si="269"/>
        <v>2.7397260273972599E-3</v>
      </c>
      <c r="H351" s="31">
        <f t="shared" si="269"/>
        <v>2.7397260273972599E-3</v>
      </c>
      <c r="I351" s="31">
        <f t="shared" si="269"/>
        <v>2.7397260273972599E-3</v>
      </c>
      <c r="J351" s="31">
        <f t="shared" si="269"/>
        <v>2.7397260273972599E-3</v>
      </c>
      <c r="K351" s="31">
        <f t="shared" si="269"/>
        <v>2.7397260273972599E-3</v>
      </c>
      <c r="L351" s="31">
        <f t="shared" si="269"/>
        <v>2.7397260273972599E-3</v>
      </c>
      <c r="M351" s="31">
        <f t="shared" si="269"/>
        <v>2.7397260273972599E-3</v>
      </c>
      <c r="N351" s="298"/>
      <c r="O351" s="298"/>
      <c r="P351" s="298"/>
      <c r="Q351" s="298"/>
      <c r="R351" s="298"/>
      <c r="S351" s="298"/>
      <c r="T351" s="298"/>
      <c r="U351" s="298"/>
      <c r="V351" s="298"/>
      <c r="W351" s="298"/>
      <c r="X351" s="298"/>
      <c r="Y351" s="298"/>
      <c r="Z351" s="298"/>
      <c r="AA351" s="298"/>
      <c r="AB351" s="298"/>
      <c r="AC351" s="298"/>
      <c r="AD351" s="298"/>
      <c r="AE351" s="298"/>
      <c r="AF351" s="298"/>
    </row>
    <row r="352" spans="1:32" ht="15.75" customHeight="1">
      <c r="A352" s="30" t="s">
        <v>123</v>
      </c>
      <c r="B352" s="31">
        <f t="shared" ref="B352:M352" si="270">IF($A$347=0,0,VLOOKUP($A$347,$A$19:$M$39,B$10+1,0)/(365/12/7)*HLOOKUP($A352,$O$18:$U$39,14,0))</f>
        <v>2.7397260273972599E-3</v>
      </c>
      <c r="C352" s="31">
        <f t="shared" si="270"/>
        <v>2.7397260273972599E-3</v>
      </c>
      <c r="D352" s="31">
        <f t="shared" si="270"/>
        <v>2.7397260273972599E-3</v>
      </c>
      <c r="E352" s="31">
        <f t="shared" si="270"/>
        <v>2.7397260273972599E-3</v>
      </c>
      <c r="F352" s="31">
        <f t="shared" si="270"/>
        <v>2.7397260273972599E-3</v>
      </c>
      <c r="G352" s="31">
        <f t="shared" si="270"/>
        <v>2.7397260273972599E-3</v>
      </c>
      <c r="H352" s="31">
        <f t="shared" si="270"/>
        <v>2.7397260273972599E-3</v>
      </c>
      <c r="I352" s="31">
        <f t="shared" si="270"/>
        <v>2.7397260273972599E-3</v>
      </c>
      <c r="J352" s="31">
        <f t="shared" si="270"/>
        <v>2.7397260273972599E-3</v>
      </c>
      <c r="K352" s="31">
        <f t="shared" si="270"/>
        <v>2.7397260273972599E-3</v>
      </c>
      <c r="L352" s="31">
        <f t="shared" si="270"/>
        <v>2.7397260273972599E-3</v>
      </c>
      <c r="M352" s="31">
        <f t="shared" si="270"/>
        <v>2.7397260273972599E-3</v>
      </c>
      <c r="N352" s="298"/>
      <c r="O352" s="298"/>
      <c r="P352" s="298"/>
      <c r="Q352" s="298"/>
      <c r="R352" s="298"/>
      <c r="S352" s="298"/>
      <c r="T352" s="298"/>
      <c r="U352" s="298"/>
      <c r="V352" s="298"/>
      <c r="W352" s="298"/>
      <c r="X352" s="298"/>
      <c r="Y352" s="298"/>
      <c r="Z352" s="298"/>
      <c r="AA352" s="298"/>
      <c r="AB352" s="298"/>
      <c r="AC352" s="298"/>
      <c r="AD352" s="298"/>
      <c r="AE352" s="298"/>
      <c r="AF352" s="298"/>
    </row>
    <row r="353" spans="1:32" ht="15.75" customHeight="1">
      <c r="A353" s="30" t="s">
        <v>124</v>
      </c>
      <c r="B353" s="31">
        <f t="shared" ref="B353:M353" si="271">IF($A$347=0,0,VLOOKUP($A$347,$A$19:$M$39,B$10+1,0)/(365/12/7)*HLOOKUP($A353,$O$18:$U$39,14,0))</f>
        <v>2.7397260273972599E-3</v>
      </c>
      <c r="C353" s="31">
        <f t="shared" si="271"/>
        <v>2.7397260273972599E-3</v>
      </c>
      <c r="D353" s="31">
        <f t="shared" si="271"/>
        <v>2.7397260273972599E-3</v>
      </c>
      <c r="E353" s="31">
        <f t="shared" si="271"/>
        <v>2.7397260273972599E-3</v>
      </c>
      <c r="F353" s="31">
        <f t="shared" si="271"/>
        <v>2.7397260273972599E-3</v>
      </c>
      <c r="G353" s="31">
        <f t="shared" si="271"/>
        <v>2.7397260273972599E-3</v>
      </c>
      <c r="H353" s="31">
        <f t="shared" si="271"/>
        <v>2.7397260273972599E-3</v>
      </c>
      <c r="I353" s="31">
        <f t="shared" si="271"/>
        <v>2.7397260273972599E-3</v>
      </c>
      <c r="J353" s="31">
        <f t="shared" si="271"/>
        <v>2.7397260273972599E-3</v>
      </c>
      <c r="K353" s="31">
        <f t="shared" si="271"/>
        <v>2.7397260273972599E-3</v>
      </c>
      <c r="L353" s="31">
        <f t="shared" si="271"/>
        <v>2.7397260273972599E-3</v>
      </c>
      <c r="M353" s="31">
        <f t="shared" si="271"/>
        <v>2.7397260273972599E-3</v>
      </c>
      <c r="N353" s="298"/>
      <c r="O353" s="498"/>
      <c r="P353" s="486"/>
      <c r="Q353" s="499"/>
      <c r="R353" s="500"/>
      <c r="S353" s="298"/>
      <c r="T353" s="298"/>
      <c r="U353" s="298"/>
      <c r="V353" s="298"/>
      <c r="W353" s="298"/>
      <c r="X353" s="298"/>
      <c r="Y353" s="298"/>
      <c r="Z353" s="298"/>
      <c r="AA353" s="298"/>
      <c r="AB353" s="298"/>
      <c r="AC353" s="298"/>
      <c r="AD353" s="298"/>
      <c r="AE353" s="298"/>
      <c r="AF353" s="298"/>
    </row>
    <row r="354" spans="1:32" ht="15.75" customHeight="1">
      <c r="A354" s="30" t="s">
        <v>125</v>
      </c>
      <c r="B354" s="31">
        <f t="shared" ref="B354:M354" si="272">IF($A$347=0,0,VLOOKUP($A$347,$A$19:$M$39,B$10+1,0)/(365/12/7)*HLOOKUP($A354,$O$18:$U$39,14,0))</f>
        <v>2.7397260273972599E-3</v>
      </c>
      <c r="C354" s="31">
        <f t="shared" si="272"/>
        <v>2.7397260273972599E-3</v>
      </c>
      <c r="D354" s="31">
        <f t="shared" si="272"/>
        <v>2.7397260273972599E-3</v>
      </c>
      <c r="E354" s="31">
        <f t="shared" si="272"/>
        <v>2.7397260273972599E-3</v>
      </c>
      <c r="F354" s="31">
        <f t="shared" si="272"/>
        <v>2.7397260273972599E-3</v>
      </c>
      <c r="G354" s="31">
        <f t="shared" si="272"/>
        <v>2.7397260273972599E-3</v>
      </c>
      <c r="H354" s="31">
        <f t="shared" si="272"/>
        <v>2.7397260273972599E-3</v>
      </c>
      <c r="I354" s="31">
        <f t="shared" si="272"/>
        <v>2.7397260273972599E-3</v>
      </c>
      <c r="J354" s="31">
        <f t="shared" si="272"/>
        <v>2.7397260273972599E-3</v>
      </c>
      <c r="K354" s="31">
        <f t="shared" si="272"/>
        <v>2.7397260273972599E-3</v>
      </c>
      <c r="L354" s="31">
        <f t="shared" si="272"/>
        <v>2.7397260273972599E-3</v>
      </c>
      <c r="M354" s="31">
        <f t="shared" si="272"/>
        <v>2.7397260273972599E-3</v>
      </c>
      <c r="N354" s="298"/>
      <c r="O354" s="498"/>
      <c r="P354" s="501"/>
      <c r="Q354" s="298"/>
      <c r="R354" s="298"/>
      <c r="S354" s="298"/>
      <c r="T354" s="298"/>
      <c r="U354" s="298"/>
      <c r="V354" s="298"/>
      <c r="W354" s="298"/>
      <c r="X354" s="298"/>
      <c r="Y354" s="298"/>
      <c r="Z354" s="298"/>
      <c r="AA354" s="298"/>
      <c r="AB354" s="298"/>
      <c r="AC354" s="298"/>
      <c r="AD354" s="298"/>
      <c r="AE354" s="298"/>
      <c r="AF354" s="298"/>
    </row>
    <row r="355" spans="1:32" ht="15.75" customHeight="1">
      <c r="A355" s="32" t="str">
        <f>A32</f>
        <v>Serrote - Comércio</v>
      </c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298"/>
      <c r="O355" s="498"/>
      <c r="P355" s="298"/>
      <c r="Q355" s="502"/>
      <c r="R355" s="298"/>
      <c r="S355" s="298"/>
      <c r="T355" s="298"/>
      <c r="U355" s="298"/>
      <c r="V355" s="298"/>
      <c r="W355" s="298"/>
      <c r="X355" s="298"/>
      <c r="Y355" s="298"/>
      <c r="Z355" s="298"/>
      <c r="AA355" s="298"/>
      <c r="AB355" s="298"/>
      <c r="AC355" s="298"/>
      <c r="AD355" s="298"/>
      <c r="AE355" s="298"/>
      <c r="AF355" s="298"/>
    </row>
    <row r="356" spans="1:32" ht="15.75" customHeight="1">
      <c r="A356" s="30" t="s">
        <v>119</v>
      </c>
      <c r="B356" s="31">
        <f t="shared" ref="B356:M356" si="273">IF($A$355=0,0,VLOOKUP($A$355,$A$19:$M$39,B$10+1,0)/(365/12/7)*HLOOKUP($A356,$O$18:$U$39,15,0))</f>
        <v>2.7397260273972599E-3</v>
      </c>
      <c r="C356" s="31">
        <f t="shared" si="273"/>
        <v>2.7397260273972599E-3</v>
      </c>
      <c r="D356" s="31">
        <f t="shared" si="273"/>
        <v>2.7397260273972599E-3</v>
      </c>
      <c r="E356" s="31">
        <f t="shared" si="273"/>
        <v>2.7397260273972599E-3</v>
      </c>
      <c r="F356" s="31">
        <f t="shared" si="273"/>
        <v>2.7397260273972599E-3</v>
      </c>
      <c r="G356" s="31">
        <f t="shared" si="273"/>
        <v>2.7397260273972599E-3</v>
      </c>
      <c r="H356" s="31">
        <f t="shared" si="273"/>
        <v>2.7397260273972599E-3</v>
      </c>
      <c r="I356" s="31">
        <f t="shared" si="273"/>
        <v>2.7397260273972599E-3</v>
      </c>
      <c r="J356" s="31">
        <f t="shared" si="273"/>
        <v>2.7397260273972599E-3</v>
      </c>
      <c r="K356" s="31">
        <f t="shared" si="273"/>
        <v>2.7397260273972599E-3</v>
      </c>
      <c r="L356" s="31">
        <f t="shared" si="273"/>
        <v>2.7397260273972599E-3</v>
      </c>
      <c r="M356" s="31">
        <f t="shared" si="273"/>
        <v>2.7397260273972599E-3</v>
      </c>
      <c r="N356" s="298"/>
      <c r="O356" s="298"/>
      <c r="P356" s="298"/>
      <c r="Q356" s="298"/>
      <c r="R356" s="298"/>
      <c r="S356" s="298"/>
      <c r="T356" s="298"/>
      <c r="U356" s="298"/>
      <c r="V356" s="298"/>
      <c r="W356" s="298"/>
      <c r="X356" s="298"/>
      <c r="Y356" s="298"/>
      <c r="Z356" s="298"/>
      <c r="AA356" s="298"/>
      <c r="AB356" s="298"/>
      <c r="AC356" s="298"/>
      <c r="AD356" s="298"/>
      <c r="AE356" s="298"/>
      <c r="AF356" s="298"/>
    </row>
    <row r="357" spans="1:32" ht="15.75" customHeight="1">
      <c r="A357" s="30" t="s">
        <v>120</v>
      </c>
      <c r="B357" s="31">
        <f t="shared" ref="B357:M357" si="274">IF($A$355=0,0,VLOOKUP($A$355,$A$19:$M$39,B$10+1,0)/(365/12/7)*HLOOKUP($A357,$O$18:$U$39,15,0))</f>
        <v>2.7397260273972599E-3</v>
      </c>
      <c r="C357" s="31">
        <f t="shared" si="274"/>
        <v>2.7397260273972599E-3</v>
      </c>
      <c r="D357" s="31">
        <f t="shared" si="274"/>
        <v>2.7397260273972599E-3</v>
      </c>
      <c r="E357" s="31">
        <f t="shared" si="274"/>
        <v>2.7397260273972599E-3</v>
      </c>
      <c r="F357" s="31">
        <f t="shared" si="274"/>
        <v>2.7397260273972599E-3</v>
      </c>
      <c r="G357" s="31">
        <f t="shared" si="274"/>
        <v>2.7397260273972599E-3</v>
      </c>
      <c r="H357" s="31">
        <f t="shared" si="274"/>
        <v>2.7397260273972599E-3</v>
      </c>
      <c r="I357" s="31">
        <f t="shared" si="274"/>
        <v>2.7397260273972599E-3</v>
      </c>
      <c r="J357" s="31">
        <f t="shared" si="274"/>
        <v>2.7397260273972599E-3</v>
      </c>
      <c r="K357" s="31">
        <f t="shared" si="274"/>
        <v>2.7397260273972599E-3</v>
      </c>
      <c r="L357" s="31">
        <f t="shared" si="274"/>
        <v>2.7397260273972599E-3</v>
      </c>
      <c r="M357" s="31">
        <f t="shared" si="274"/>
        <v>2.7397260273972599E-3</v>
      </c>
      <c r="N357" s="298"/>
      <c r="O357" s="298"/>
      <c r="P357" s="298"/>
      <c r="Q357" s="298"/>
      <c r="R357" s="298"/>
      <c r="S357" s="298"/>
      <c r="T357" s="298"/>
      <c r="U357" s="298"/>
      <c r="V357" s="298"/>
      <c r="W357" s="298"/>
      <c r="X357" s="298"/>
      <c r="Y357" s="298"/>
      <c r="Z357" s="298"/>
      <c r="AA357" s="298"/>
      <c r="AB357" s="298"/>
      <c r="AC357" s="298"/>
      <c r="AD357" s="298"/>
      <c r="AE357" s="298"/>
      <c r="AF357" s="298"/>
    </row>
    <row r="358" spans="1:32" ht="15.75" customHeight="1">
      <c r="A358" s="30" t="s">
        <v>121</v>
      </c>
      <c r="B358" s="31">
        <f t="shared" ref="B358:M358" si="275">IF($A$355=0,0,VLOOKUP($A$355,$A$19:$M$39,B$10+1,0)/(365/12/7)*HLOOKUP($A358,$O$18:$U$39,15,0))</f>
        <v>2.7397260273972599E-3</v>
      </c>
      <c r="C358" s="31">
        <f t="shared" si="275"/>
        <v>2.7397260273972599E-3</v>
      </c>
      <c r="D358" s="31">
        <f t="shared" si="275"/>
        <v>2.7397260273972599E-3</v>
      </c>
      <c r="E358" s="31">
        <f t="shared" si="275"/>
        <v>2.7397260273972599E-3</v>
      </c>
      <c r="F358" s="31">
        <f t="shared" si="275"/>
        <v>2.7397260273972599E-3</v>
      </c>
      <c r="G358" s="31">
        <f t="shared" si="275"/>
        <v>2.7397260273972599E-3</v>
      </c>
      <c r="H358" s="31">
        <f t="shared" si="275"/>
        <v>2.7397260273972599E-3</v>
      </c>
      <c r="I358" s="31">
        <f t="shared" si="275"/>
        <v>2.7397260273972599E-3</v>
      </c>
      <c r="J358" s="31">
        <f t="shared" si="275"/>
        <v>2.7397260273972599E-3</v>
      </c>
      <c r="K358" s="31">
        <f t="shared" si="275"/>
        <v>2.7397260273972599E-3</v>
      </c>
      <c r="L358" s="31">
        <f t="shared" si="275"/>
        <v>2.7397260273972599E-3</v>
      </c>
      <c r="M358" s="31">
        <f t="shared" si="275"/>
        <v>2.7397260273972599E-3</v>
      </c>
      <c r="N358" s="298"/>
      <c r="O358" s="298"/>
      <c r="P358" s="298"/>
      <c r="Q358" s="298"/>
      <c r="R358" s="298"/>
      <c r="S358" s="298"/>
      <c r="T358" s="298"/>
      <c r="U358" s="298"/>
      <c r="V358" s="298"/>
      <c r="W358" s="298"/>
      <c r="X358" s="298"/>
      <c r="Y358" s="298"/>
      <c r="Z358" s="298"/>
      <c r="AA358" s="298"/>
      <c r="AB358" s="298"/>
      <c r="AC358" s="298"/>
      <c r="AD358" s="298"/>
      <c r="AE358" s="298"/>
      <c r="AF358" s="298"/>
    </row>
    <row r="359" spans="1:32" ht="15.75" customHeight="1">
      <c r="A359" s="30" t="s">
        <v>122</v>
      </c>
      <c r="B359" s="31">
        <f t="shared" ref="B359:M359" si="276">IF($A$355=0,0,VLOOKUP($A$355,$A$19:$M$39,B$10+1,0)/(365/12/7)*HLOOKUP($A359,$O$18:$U$39,15,0))</f>
        <v>2.7397260273972599E-3</v>
      </c>
      <c r="C359" s="31">
        <f t="shared" si="276"/>
        <v>2.7397260273972599E-3</v>
      </c>
      <c r="D359" s="31">
        <f t="shared" si="276"/>
        <v>2.7397260273972599E-3</v>
      </c>
      <c r="E359" s="31">
        <f t="shared" si="276"/>
        <v>2.7397260273972599E-3</v>
      </c>
      <c r="F359" s="31">
        <f t="shared" si="276"/>
        <v>2.7397260273972599E-3</v>
      </c>
      <c r="G359" s="31">
        <f t="shared" si="276"/>
        <v>2.7397260273972599E-3</v>
      </c>
      <c r="H359" s="31">
        <f t="shared" si="276"/>
        <v>2.7397260273972599E-3</v>
      </c>
      <c r="I359" s="31">
        <f t="shared" si="276"/>
        <v>2.7397260273972599E-3</v>
      </c>
      <c r="J359" s="31">
        <f t="shared" si="276"/>
        <v>2.7397260273972599E-3</v>
      </c>
      <c r="K359" s="31">
        <f t="shared" si="276"/>
        <v>2.7397260273972599E-3</v>
      </c>
      <c r="L359" s="31">
        <f t="shared" si="276"/>
        <v>2.7397260273972599E-3</v>
      </c>
      <c r="M359" s="31">
        <f t="shared" si="276"/>
        <v>2.7397260273972599E-3</v>
      </c>
      <c r="N359" s="298"/>
      <c r="O359" s="298"/>
      <c r="P359" s="298"/>
      <c r="Q359" s="298"/>
      <c r="R359" s="298"/>
      <c r="S359" s="298"/>
      <c r="T359" s="298"/>
      <c r="U359" s="298"/>
      <c r="V359" s="298"/>
      <c r="W359" s="298"/>
      <c r="X359" s="298"/>
      <c r="Y359" s="298"/>
      <c r="Z359" s="298"/>
      <c r="AA359" s="298"/>
      <c r="AB359" s="298"/>
      <c r="AC359" s="298"/>
      <c r="AD359" s="298"/>
      <c r="AE359" s="298"/>
      <c r="AF359" s="298"/>
    </row>
    <row r="360" spans="1:32" ht="15.75" customHeight="1">
      <c r="A360" s="30" t="s">
        <v>123</v>
      </c>
      <c r="B360" s="31">
        <f t="shared" ref="B360:M360" si="277">IF($A$355=0,0,VLOOKUP($A$355,$A$19:$M$39,B$10+1,0)/(365/12/7)*HLOOKUP($A360,$O$18:$U$39,15,0))</f>
        <v>2.7397260273972599E-3</v>
      </c>
      <c r="C360" s="31">
        <f t="shared" si="277"/>
        <v>2.7397260273972599E-3</v>
      </c>
      <c r="D360" s="31">
        <f t="shared" si="277"/>
        <v>2.7397260273972599E-3</v>
      </c>
      <c r="E360" s="31">
        <f t="shared" si="277"/>
        <v>2.7397260273972599E-3</v>
      </c>
      <c r="F360" s="31">
        <f t="shared" si="277"/>
        <v>2.7397260273972599E-3</v>
      </c>
      <c r="G360" s="31">
        <f t="shared" si="277"/>
        <v>2.7397260273972599E-3</v>
      </c>
      <c r="H360" s="31">
        <f t="shared" si="277"/>
        <v>2.7397260273972599E-3</v>
      </c>
      <c r="I360" s="31">
        <f t="shared" si="277"/>
        <v>2.7397260273972599E-3</v>
      </c>
      <c r="J360" s="31">
        <f t="shared" si="277"/>
        <v>2.7397260273972599E-3</v>
      </c>
      <c r="K360" s="31">
        <f t="shared" si="277"/>
        <v>2.7397260273972599E-3</v>
      </c>
      <c r="L360" s="31">
        <f t="shared" si="277"/>
        <v>2.7397260273972599E-3</v>
      </c>
      <c r="M360" s="31">
        <f t="shared" si="277"/>
        <v>2.7397260273972599E-3</v>
      </c>
      <c r="N360" s="298"/>
      <c r="O360" s="298"/>
      <c r="P360" s="298"/>
      <c r="Q360" s="298"/>
      <c r="R360" s="298"/>
      <c r="S360" s="298"/>
      <c r="T360" s="298"/>
      <c r="U360" s="298"/>
      <c r="V360" s="298"/>
      <c r="W360" s="298"/>
      <c r="X360" s="298"/>
      <c r="Y360" s="298"/>
      <c r="Z360" s="298"/>
      <c r="AA360" s="298"/>
      <c r="AB360" s="298"/>
      <c r="AC360" s="298"/>
      <c r="AD360" s="298"/>
      <c r="AE360" s="298"/>
      <c r="AF360" s="298"/>
    </row>
    <row r="361" spans="1:32" ht="15.75" customHeight="1">
      <c r="A361" s="30" t="s">
        <v>124</v>
      </c>
      <c r="B361" s="31">
        <f t="shared" ref="B361:M361" si="278">IF($A$355=0,0,VLOOKUP($A$355,$A$19:$M$39,B$10+1,0)/(365/12/7)*HLOOKUP($A361,$O$18:$U$39,15,0))</f>
        <v>2.7397260273972599E-3</v>
      </c>
      <c r="C361" s="31">
        <f t="shared" si="278"/>
        <v>2.7397260273972599E-3</v>
      </c>
      <c r="D361" s="31">
        <f t="shared" si="278"/>
        <v>2.7397260273972599E-3</v>
      </c>
      <c r="E361" s="31">
        <f t="shared" si="278"/>
        <v>2.7397260273972599E-3</v>
      </c>
      <c r="F361" s="31">
        <f t="shared" si="278"/>
        <v>2.7397260273972599E-3</v>
      </c>
      <c r="G361" s="31">
        <f t="shared" si="278"/>
        <v>2.7397260273972599E-3</v>
      </c>
      <c r="H361" s="31">
        <f t="shared" si="278"/>
        <v>2.7397260273972599E-3</v>
      </c>
      <c r="I361" s="31">
        <f t="shared" si="278"/>
        <v>2.7397260273972599E-3</v>
      </c>
      <c r="J361" s="31">
        <f t="shared" si="278"/>
        <v>2.7397260273972599E-3</v>
      </c>
      <c r="K361" s="31">
        <f t="shared" si="278"/>
        <v>2.7397260273972599E-3</v>
      </c>
      <c r="L361" s="31">
        <f t="shared" si="278"/>
        <v>2.7397260273972599E-3</v>
      </c>
      <c r="M361" s="31">
        <f t="shared" si="278"/>
        <v>2.7397260273972599E-3</v>
      </c>
      <c r="N361" s="298"/>
      <c r="O361" s="298"/>
      <c r="P361" s="298"/>
      <c r="Q361" s="298"/>
      <c r="R361" s="298"/>
      <c r="S361" s="298"/>
      <c r="T361" s="298"/>
      <c r="U361" s="298"/>
      <c r="V361" s="298"/>
      <c r="W361" s="298"/>
      <c r="X361" s="298"/>
      <c r="Y361" s="298"/>
      <c r="Z361" s="298"/>
      <c r="AA361" s="298"/>
      <c r="AB361" s="298"/>
      <c r="AC361" s="298"/>
      <c r="AD361" s="298"/>
      <c r="AE361" s="298"/>
      <c r="AF361" s="298"/>
    </row>
    <row r="362" spans="1:32" ht="15.75" customHeight="1">
      <c r="A362" s="30" t="s">
        <v>125</v>
      </c>
      <c r="B362" s="31">
        <f t="shared" ref="B362:M362" si="279">IF($A$355=0,0,VLOOKUP($A$355,$A$19:$M$39,B$10+1,0)/(365/12/7)*HLOOKUP($A362,$O$18:$U$39,15,0))</f>
        <v>2.7397260273972599E-3</v>
      </c>
      <c r="C362" s="31">
        <f t="shared" si="279"/>
        <v>2.7397260273972599E-3</v>
      </c>
      <c r="D362" s="31">
        <f t="shared" si="279"/>
        <v>2.7397260273972599E-3</v>
      </c>
      <c r="E362" s="31">
        <f t="shared" si="279"/>
        <v>2.7397260273972599E-3</v>
      </c>
      <c r="F362" s="31">
        <f t="shared" si="279"/>
        <v>2.7397260273972599E-3</v>
      </c>
      <c r="G362" s="31">
        <f t="shared" si="279"/>
        <v>2.7397260273972599E-3</v>
      </c>
      <c r="H362" s="31">
        <f t="shared" si="279"/>
        <v>2.7397260273972599E-3</v>
      </c>
      <c r="I362" s="31">
        <f t="shared" si="279"/>
        <v>2.7397260273972599E-3</v>
      </c>
      <c r="J362" s="31">
        <f t="shared" si="279"/>
        <v>2.7397260273972599E-3</v>
      </c>
      <c r="K362" s="31">
        <f t="shared" si="279"/>
        <v>2.7397260273972599E-3</v>
      </c>
      <c r="L362" s="31">
        <f t="shared" si="279"/>
        <v>2.7397260273972599E-3</v>
      </c>
      <c r="M362" s="31">
        <f t="shared" si="279"/>
        <v>2.7397260273972599E-3</v>
      </c>
      <c r="N362" s="298"/>
      <c r="O362" s="298"/>
      <c r="P362" s="298"/>
      <c r="Q362" s="298"/>
      <c r="R362" s="298"/>
      <c r="S362" s="298"/>
      <c r="T362" s="298"/>
      <c r="U362" s="298"/>
      <c r="V362" s="298"/>
      <c r="W362" s="298"/>
      <c r="X362" s="298"/>
      <c r="Y362" s="298"/>
      <c r="Z362" s="298"/>
      <c r="AA362" s="298"/>
      <c r="AB362" s="298"/>
      <c r="AC362" s="298"/>
      <c r="AD362" s="298"/>
      <c r="AE362" s="298"/>
      <c r="AF362" s="298"/>
    </row>
    <row r="363" spans="1:32" ht="15.75" customHeight="1">
      <c r="A363" s="32" t="str">
        <f>A33</f>
        <v>Paraíso - Alimentação</v>
      </c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298"/>
      <c r="O363" s="298"/>
      <c r="P363" s="298"/>
      <c r="Q363" s="298"/>
      <c r="R363" s="298"/>
      <c r="S363" s="298"/>
      <c r="T363" s="298"/>
      <c r="U363" s="298"/>
      <c r="V363" s="298"/>
      <c r="W363" s="298"/>
      <c r="X363" s="298"/>
      <c r="Y363" s="298"/>
      <c r="Z363" s="298"/>
      <c r="AA363" s="298"/>
      <c r="AB363" s="298"/>
      <c r="AC363" s="298"/>
      <c r="AD363" s="298"/>
      <c r="AE363" s="298"/>
      <c r="AF363" s="298"/>
    </row>
    <row r="364" spans="1:32" ht="15.75" customHeight="1">
      <c r="A364" s="30" t="s">
        <v>119</v>
      </c>
      <c r="B364" s="31">
        <f t="shared" ref="B364:M364" si="280">IF($A$363=0,0,VLOOKUP($A$363,$A$19:$M$39,B$10+1,0)/(365/12/7)*HLOOKUP($A364,$O$18:$U$39,16,0))</f>
        <v>2.7397260273972599E-3</v>
      </c>
      <c r="C364" s="31">
        <f t="shared" si="280"/>
        <v>2.7397260273972599E-3</v>
      </c>
      <c r="D364" s="31">
        <f t="shared" si="280"/>
        <v>2.7397260273972599E-3</v>
      </c>
      <c r="E364" s="31">
        <f t="shared" si="280"/>
        <v>2.7397260273972599E-3</v>
      </c>
      <c r="F364" s="31">
        <f t="shared" si="280"/>
        <v>2.7397260273972599E-3</v>
      </c>
      <c r="G364" s="31">
        <f t="shared" si="280"/>
        <v>2.7397260273972599E-3</v>
      </c>
      <c r="H364" s="31">
        <f t="shared" si="280"/>
        <v>2.7397260273972599E-3</v>
      </c>
      <c r="I364" s="31">
        <f t="shared" si="280"/>
        <v>2.7397260273972599E-3</v>
      </c>
      <c r="J364" s="31">
        <f t="shared" si="280"/>
        <v>2.7397260273972599E-3</v>
      </c>
      <c r="K364" s="31">
        <f t="shared" si="280"/>
        <v>2.7397260273972599E-3</v>
      </c>
      <c r="L364" s="31">
        <f t="shared" si="280"/>
        <v>2.7397260273972599E-3</v>
      </c>
      <c r="M364" s="31">
        <f t="shared" si="280"/>
        <v>2.7397260273972599E-3</v>
      </c>
      <c r="N364" s="298"/>
      <c r="O364" s="298"/>
      <c r="P364" s="298"/>
      <c r="Q364" s="298"/>
      <c r="R364" s="298"/>
      <c r="S364" s="298"/>
      <c r="T364" s="298"/>
      <c r="U364" s="298"/>
      <c r="V364" s="298"/>
      <c r="W364" s="298"/>
      <c r="X364" s="298"/>
      <c r="Y364" s="298"/>
      <c r="Z364" s="298"/>
      <c r="AA364" s="298"/>
      <c r="AB364" s="298"/>
      <c r="AC364" s="298"/>
      <c r="AD364" s="298"/>
      <c r="AE364" s="298"/>
      <c r="AF364" s="298"/>
    </row>
    <row r="365" spans="1:32" ht="15.75" customHeight="1">
      <c r="A365" s="30" t="s">
        <v>120</v>
      </c>
      <c r="B365" s="31">
        <f t="shared" ref="B365:M365" si="281">IF($A$363=0,0,VLOOKUP($A$363,$A$19:$M$39,B$10+1,0)/(365/12/7)*HLOOKUP($A365,$O$18:$U$39,16,0))</f>
        <v>2.7397260273972599E-3</v>
      </c>
      <c r="C365" s="31">
        <f t="shared" si="281"/>
        <v>2.7397260273972599E-3</v>
      </c>
      <c r="D365" s="31">
        <f t="shared" si="281"/>
        <v>2.7397260273972599E-3</v>
      </c>
      <c r="E365" s="31">
        <f t="shared" si="281"/>
        <v>2.7397260273972599E-3</v>
      </c>
      <c r="F365" s="31">
        <f t="shared" si="281"/>
        <v>2.7397260273972599E-3</v>
      </c>
      <c r="G365" s="31">
        <f t="shared" si="281"/>
        <v>2.7397260273972599E-3</v>
      </c>
      <c r="H365" s="31">
        <f t="shared" si="281"/>
        <v>2.7397260273972599E-3</v>
      </c>
      <c r="I365" s="31">
        <f t="shared" si="281"/>
        <v>2.7397260273972599E-3</v>
      </c>
      <c r="J365" s="31">
        <f t="shared" si="281"/>
        <v>2.7397260273972599E-3</v>
      </c>
      <c r="K365" s="31">
        <f t="shared" si="281"/>
        <v>2.7397260273972599E-3</v>
      </c>
      <c r="L365" s="31">
        <f t="shared" si="281"/>
        <v>2.7397260273972599E-3</v>
      </c>
      <c r="M365" s="31">
        <f t="shared" si="281"/>
        <v>2.7397260273972599E-3</v>
      </c>
      <c r="N365" s="298"/>
      <c r="O365" s="298"/>
      <c r="P365" s="298"/>
      <c r="Q365" s="298"/>
      <c r="R365" s="298"/>
      <c r="S365" s="298"/>
      <c r="T365" s="298"/>
      <c r="U365" s="298"/>
      <c r="V365" s="298"/>
      <c r="W365" s="298"/>
      <c r="X365" s="298"/>
      <c r="Y365" s="298"/>
      <c r="Z365" s="298"/>
      <c r="AA365" s="298"/>
      <c r="AB365" s="298"/>
      <c r="AC365" s="298"/>
      <c r="AD365" s="298"/>
      <c r="AE365" s="298"/>
      <c r="AF365" s="298"/>
    </row>
    <row r="366" spans="1:32" ht="15.75" customHeight="1">
      <c r="A366" s="30" t="s">
        <v>121</v>
      </c>
      <c r="B366" s="31">
        <f t="shared" ref="B366:M366" si="282">IF($A$363=0,0,VLOOKUP($A$363,$A$19:$M$39,B$10+1,0)/(365/12/7)*HLOOKUP($A366,$O$18:$U$39,16,0))</f>
        <v>2.7397260273972599E-3</v>
      </c>
      <c r="C366" s="31">
        <f t="shared" si="282"/>
        <v>2.7397260273972599E-3</v>
      </c>
      <c r="D366" s="31">
        <f t="shared" si="282"/>
        <v>2.7397260273972599E-3</v>
      </c>
      <c r="E366" s="31">
        <f t="shared" si="282"/>
        <v>2.7397260273972599E-3</v>
      </c>
      <c r="F366" s="31">
        <f t="shared" si="282"/>
        <v>2.7397260273972599E-3</v>
      </c>
      <c r="G366" s="31">
        <f t="shared" si="282"/>
        <v>2.7397260273972599E-3</v>
      </c>
      <c r="H366" s="31">
        <f t="shared" si="282"/>
        <v>2.7397260273972599E-3</v>
      </c>
      <c r="I366" s="31">
        <f t="shared" si="282"/>
        <v>2.7397260273972599E-3</v>
      </c>
      <c r="J366" s="31">
        <f t="shared" si="282"/>
        <v>2.7397260273972599E-3</v>
      </c>
      <c r="K366" s="31">
        <f t="shared" si="282"/>
        <v>2.7397260273972599E-3</v>
      </c>
      <c r="L366" s="31">
        <f t="shared" si="282"/>
        <v>2.7397260273972599E-3</v>
      </c>
      <c r="M366" s="31">
        <f t="shared" si="282"/>
        <v>2.7397260273972599E-3</v>
      </c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  <c r="AA366" s="298"/>
      <c r="AB366" s="298"/>
      <c r="AC366" s="298"/>
      <c r="AD366" s="298"/>
      <c r="AE366" s="298"/>
      <c r="AF366" s="298"/>
    </row>
    <row r="367" spans="1:32" ht="15.75" customHeight="1">
      <c r="A367" s="30" t="s">
        <v>122</v>
      </c>
      <c r="B367" s="31">
        <f t="shared" ref="B367:M367" si="283">IF($A$363=0,0,VLOOKUP($A$363,$A$19:$M$39,B$10+1,0)/(365/12/7)*HLOOKUP($A367,$O$18:$U$39,16,0))</f>
        <v>2.7397260273972599E-3</v>
      </c>
      <c r="C367" s="31">
        <f t="shared" si="283"/>
        <v>2.7397260273972599E-3</v>
      </c>
      <c r="D367" s="31">
        <f t="shared" si="283"/>
        <v>2.7397260273972599E-3</v>
      </c>
      <c r="E367" s="31">
        <f t="shared" si="283"/>
        <v>2.7397260273972599E-3</v>
      </c>
      <c r="F367" s="31">
        <f t="shared" si="283"/>
        <v>2.7397260273972599E-3</v>
      </c>
      <c r="G367" s="31">
        <f t="shared" si="283"/>
        <v>2.7397260273972599E-3</v>
      </c>
      <c r="H367" s="31">
        <f t="shared" si="283"/>
        <v>2.7397260273972599E-3</v>
      </c>
      <c r="I367" s="31">
        <f t="shared" si="283"/>
        <v>2.7397260273972599E-3</v>
      </c>
      <c r="J367" s="31">
        <f t="shared" si="283"/>
        <v>2.7397260273972599E-3</v>
      </c>
      <c r="K367" s="31">
        <f t="shared" si="283"/>
        <v>2.7397260273972599E-3</v>
      </c>
      <c r="L367" s="31">
        <f t="shared" si="283"/>
        <v>2.7397260273972599E-3</v>
      </c>
      <c r="M367" s="31">
        <f t="shared" si="283"/>
        <v>2.7397260273972599E-3</v>
      </c>
      <c r="N367" s="298"/>
      <c r="O367" s="298"/>
      <c r="P367" s="298"/>
      <c r="Q367" s="298"/>
      <c r="R367" s="298"/>
      <c r="S367" s="298"/>
      <c r="T367" s="298"/>
      <c r="U367" s="298"/>
      <c r="V367" s="298"/>
      <c r="W367" s="298"/>
      <c r="X367" s="298"/>
      <c r="Y367" s="298"/>
      <c r="Z367" s="298"/>
      <c r="AA367" s="298"/>
      <c r="AB367" s="298"/>
      <c r="AC367" s="298"/>
      <c r="AD367" s="298"/>
      <c r="AE367" s="298"/>
      <c r="AF367" s="298"/>
    </row>
    <row r="368" spans="1:32" ht="15.75" customHeight="1">
      <c r="A368" s="30" t="s">
        <v>123</v>
      </c>
      <c r="B368" s="31">
        <f t="shared" ref="B368:M368" si="284">IF($A$363=0,0,VLOOKUP($A$363,$A$19:$M$39,B$10+1,0)/(365/12/7)*HLOOKUP($A368,$O$18:$U$39,16,0))</f>
        <v>2.7397260273972599E-3</v>
      </c>
      <c r="C368" s="31">
        <f t="shared" si="284"/>
        <v>2.7397260273972599E-3</v>
      </c>
      <c r="D368" s="31">
        <f t="shared" si="284"/>
        <v>2.7397260273972599E-3</v>
      </c>
      <c r="E368" s="31">
        <f t="shared" si="284"/>
        <v>2.7397260273972599E-3</v>
      </c>
      <c r="F368" s="31">
        <f t="shared" si="284"/>
        <v>2.7397260273972599E-3</v>
      </c>
      <c r="G368" s="31">
        <f t="shared" si="284"/>
        <v>2.7397260273972599E-3</v>
      </c>
      <c r="H368" s="31">
        <f t="shared" si="284"/>
        <v>2.7397260273972599E-3</v>
      </c>
      <c r="I368" s="31">
        <f t="shared" si="284"/>
        <v>2.7397260273972599E-3</v>
      </c>
      <c r="J368" s="31">
        <f t="shared" si="284"/>
        <v>2.7397260273972599E-3</v>
      </c>
      <c r="K368" s="31">
        <f t="shared" si="284"/>
        <v>2.7397260273972599E-3</v>
      </c>
      <c r="L368" s="31">
        <f t="shared" si="284"/>
        <v>2.7397260273972599E-3</v>
      </c>
      <c r="M368" s="31">
        <f t="shared" si="284"/>
        <v>2.7397260273972599E-3</v>
      </c>
      <c r="N368" s="298"/>
      <c r="O368" s="298"/>
      <c r="P368" s="298"/>
      <c r="Q368" s="298"/>
      <c r="R368" s="298"/>
      <c r="S368" s="298"/>
      <c r="T368" s="298"/>
      <c r="U368" s="298"/>
      <c r="V368" s="298"/>
      <c r="W368" s="298"/>
      <c r="X368" s="298"/>
      <c r="Y368" s="298"/>
      <c r="Z368" s="298"/>
      <c r="AA368" s="298"/>
      <c r="AB368" s="298"/>
      <c r="AC368" s="298"/>
      <c r="AD368" s="298"/>
      <c r="AE368" s="298"/>
      <c r="AF368" s="298"/>
    </row>
    <row r="369" spans="1:32" ht="15.75" customHeight="1">
      <c r="A369" s="30" t="s">
        <v>124</v>
      </c>
      <c r="B369" s="31">
        <f t="shared" ref="B369:M369" si="285">IF($A$363=0,0,VLOOKUP($A$363,$A$19:$M$39,B$10+1,0)/(365/12/7)*HLOOKUP($A369,$O$18:$U$39,16,0))</f>
        <v>2.7397260273972599E-3</v>
      </c>
      <c r="C369" s="31">
        <f t="shared" si="285"/>
        <v>2.7397260273972599E-3</v>
      </c>
      <c r="D369" s="31">
        <f t="shared" si="285"/>
        <v>2.7397260273972599E-3</v>
      </c>
      <c r="E369" s="31">
        <f t="shared" si="285"/>
        <v>2.7397260273972599E-3</v>
      </c>
      <c r="F369" s="31">
        <f t="shared" si="285"/>
        <v>2.7397260273972599E-3</v>
      </c>
      <c r="G369" s="31">
        <f t="shared" si="285"/>
        <v>2.7397260273972599E-3</v>
      </c>
      <c r="H369" s="31">
        <f t="shared" si="285"/>
        <v>2.7397260273972599E-3</v>
      </c>
      <c r="I369" s="31">
        <f t="shared" si="285"/>
        <v>2.7397260273972599E-3</v>
      </c>
      <c r="J369" s="31">
        <f t="shared" si="285"/>
        <v>2.7397260273972599E-3</v>
      </c>
      <c r="K369" s="31">
        <f t="shared" si="285"/>
        <v>2.7397260273972599E-3</v>
      </c>
      <c r="L369" s="31">
        <f t="shared" si="285"/>
        <v>2.7397260273972599E-3</v>
      </c>
      <c r="M369" s="31">
        <f t="shared" si="285"/>
        <v>2.7397260273972599E-3</v>
      </c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  <c r="AA369" s="298"/>
      <c r="AB369" s="298"/>
      <c r="AC369" s="298"/>
      <c r="AD369" s="298"/>
      <c r="AE369" s="298"/>
      <c r="AF369" s="298"/>
    </row>
    <row r="370" spans="1:32" ht="15.75" customHeight="1">
      <c r="A370" s="30" t="s">
        <v>125</v>
      </c>
      <c r="B370" s="31">
        <f t="shared" ref="B370:M370" si="286">IF($A$363=0,0,VLOOKUP($A$363,$A$19:$M$39,B$10+1,0)/(365/12/7)*HLOOKUP($A370,$O$18:$U$39,16,0))</f>
        <v>2.7397260273972599E-3</v>
      </c>
      <c r="C370" s="31">
        <f t="shared" si="286"/>
        <v>2.7397260273972599E-3</v>
      </c>
      <c r="D370" s="31">
        <f t="shared" si="286"/>
        <v>2.7397260273972599E-3</v>
      </c>
      <c r="E370" s="31">
        <f t="shared" si="286"/>
        <v>2.7397260273972599E-3</v>
      </c>
      <c r="F370" s="31">
        <f t="shared" si="286"/>
        <v>2.7397260273972599E-3</v>
      </c>
      <c r="G370" s="31">
        <f t="shared" si="286"/>
        <v>2.7397260273972599E-3</v>
      </c>
      <c r="H370" s="31">
        <f t="shared" si="286"/>
        <v>2.7397260273972599E-3</v>
      </c>
      <c r="I370" s="31">
        <f t="shared" si="286"/>
        <v>2.7397260273972599E-3</v>
      </c>
      <c r="J370" s="31">
        <f t="shared" si="286"/>
        <v>2.7397260273972599E-3</v>
      </c>
      <c r="K370" s="31">
        <f t="shared" si="286"/>
        <v>2.7397260273972599E-3</v>
      </c>
      <c r="L370" s="31">
        <f t="shared" si="286"/>
        <v>2.7397260273972599E-3</v>
      </c>
      <c r="M370" s="31">
        <f t="shared" si="286"/>
        <v>2.7397260273972599E-3</v>
      </c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  <c r="AE370" s="298"/>
      <c r="AF370" s="298"/>
    </row>
    <row r="371" spans="1:32" ht="15.75" customHeight="1">
      <c r="A371" s="32" t="str">
        <f>A34</f>
        <v>Paraíso - Comércio + Locação + Atividades</v>
      </c>
      <c r="B371" s="33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  <c r="AA371" s="298"/>
      <c r="AB371" s="298"/>
      <c r="AC371" s="298"/>
      <c r="AD371" s="298"/>
      <c r="AE371" s="298"/>
      <c r="AF371" s="298"/>
    </row>
    <row r="372" spans="1:32" ht="15.75" customHeight="1">
      <c r="A372" s="30" t="s">
        <v>119</v>
      </c>
      <c r="B372" s="31">
        <f t="shared" ref="B372:M372" si="287">IF($A$371=0,0,VLOOKUP($A$371,$A$19:$M$39,B$10+1,0)/(365/12/7)*HLOOKUP($A372,$O$18:$U$39,17,0))</f>
        <v>2.7397260273972599E-3</v>
      </c>
      <c r="C372" s="31">
        <f t="shared" si="287"/>
        <v>2.7397260273972599E-3</v>
      </c>
      <c r="D372" s="31">
        <f t="shared" si="287"/>
        <v>2.7397260273972599E-3</v>
      </c>
      <c r="E372" s="31">
        <f t="shared" si="287"/>
        <v>2.7397260273972599E-3</v>
      </c>
      <c r="F372" s="31">
        <f t="shared" si="287"/>
        <v>2.7397260273972599E-3</v>
      </c>
      <c r="G372" s="31">
        <f t="shared" si="287"/>
        <v>2.7397260273972599E-3</v>
      </c>
      <c r="H372" s="31">
        <f t="shared" si="287"/>
        <v>2.7397260273972599E-3</v>
      </c>
      <c r="I372" s="31">
        <f t="shared" si="287"/>
        <v>2.7397260273972599E-3</v>
      </c>
      <c r="J372" s="31">
        <f t="shared" si="287"/>
        <v>2.7397260273972599E-3</v>
      </c>
      <c r="K372" s="31">
        <f t="shared" si="287"/>
        <v>2.7397260273972599E-3</v>
      </c>
      <c r="L372" s="31">
        <f t="shared" si="287"/>
        <v>2.7397260273972599E-3</v>
      </c>
      <c r="M372" s="31">
        <f t="shared" si="287"/>
        <v>2.7397260273972599E-3</v>
      </c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  <c r="AA372" s="298"/>
      <c r="AB372" s="298"/>
      <c r="AC372" s="298"/>
      <c r="AD372" s="298"/>
      <c r="AE372" s="298"/>
      <c r="AF372" s="298"/>
    </row>
    <row r="373" spans="1:32" ht="15.75" customHeight="1">
      <c r="A373" s="30" t="s">
        <v>120</v>
      </c>
      <c r="B373" s="31">
        <f t="shared" ref="B373:M373" si="288">IF($A$371=0,0,VLOOKUP($A$371,$A$19:$M$39,B$10+1,0)/(365/12/7)*HLOOKUP($A373,$O$18:$U$39,17,0))</f>
        <v>2.7397260273972599E-3</v>
      </c>
      <c r="C373" s="31">
        <f t="shared" si="288"/>
        <v>2.7397260273972599E-3</v>
      </c>
      <c r="D373" s="31">
        <f t="shared" si="288"/>
        <v>2.7397260273972599E-3</v>
      </c>
      <c r="E373" s="31">
        <f t="shared" si="288"/>
        <v>2.7397260273972599E-3</v>
      </c>
      <c r="F373" s="31">
        <f t="shared" si="288"/>
        <v>2.7397260273972599E-3</v>
      </c>
      <c r="G373" s="31">
        <f t="shared" si="288"/>
        <v>2.7397260273972599E-3</v>
      </c>
      <c r="H373" s="31">
        <f t="shared" si="288"/>
        <v>2.7397260273972599E-3</v>
      </c>
      <c r="I373" s="31">
        <f t="shared" si="288"/>
        <v>2.7397260273972599E-3</v>
      </c>
      <c r="J373" s="31">
        <f t="shared" si="288"/>
        <v>2.7397260273972599E-3</v>
      </c>
      <c r="K373" s="31">
        <f t="shared" si="288"/>
        <v>2.7397260273972599E-3</v>
      </c>
      <c r="L373" s="31">
        <f t="shared" si="288"/>
        <v>2.7397260273972599E-3</v>
      </c>
      <c r="M373" s="31">
        <f t="shared" si="288"/>
        <v>2.7397260273972599E-3</v>
      </c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  <c r="AA373" s="298"/>
      <c r="AB373" s="298"/>
      <c r="AC373" s="298"/>
      <c r="AD373" s="298"/>
      <c r="AE373" s="298"/>
      <c r="AF373" s="298"/>
    </row>
    <row r="374" spans="1:32" ht="15.75" customHeight="1">
      <c r="A374" s="30" t="s">
        <v>121</v>
      </c>
      <c r="B374" s="31">
        <f t="shared" ref="B374:M374" si="289">IF($A$371=0,0,VLOOKUP($A$371,$A$19:$M$39,B$10+1,0)/(365/12/7)*HLOOKUP($A374,$O$18:$U$39,17,0))</f>
        <v>2.7397260273972599E-3</v>
      </c>
      <c r="C374" s="31">
        <f t="shared" si="289"/>
        <v>2.7397260273972599E-3</v>
      </c>
      <c r="D374" s="31">
        <f t="shared" si="289"/>
        <v>2.7397260273972599E-3</v>
      </c>
      <c r="E374" s="31">
        <f t="shared" si="289"/>
        <v>2.7397260273972599E-3</v>
      </c>
      <c r="F374" s="31">
        <f t="shared" si="289"/>
        <v>2.7397260273972599E-3</v>
      </c>
      <c r="G374" s="31">
        <f t="shared" si="289"/>
        <v>2.7397260273972599E-3</v>
      </c>
      <c r="H374" s="31">
        <f t="shared" si="289"/>
        <v>2.7397260273972599E-3</v>
      </c>
      <c r="I374" s="31">
        <f t="shared" si="289"/>
        <v>2.7397260273972599E-3</v>
      </c>
      <c r="J374" s="31">
        <f t="shared" si="289"/>
        <v>2.7397260273972599E-3</v>
      </c>
      <c r="K374" s="31">
        <f t="shared" si="289"/>
        <v>2.7397260273972599E-3</v>
      </c>
      <c r="L374" s="31">
        <f t="shared" si="289"/>
        <v>2.7397260273972599E-3</v>
      </c>
      <c r="M374" s="31">
        <f t="shared" si="289"/>
        <v>2.7397260273972599E-3</v>
      </c>
      <c r="N374" s="298"/>
      <c r="O374" s="298"/>
      <c r="P374" s="298"/>
      <c r="Q374" s="298"/>
      <c r="R374" s="298"/>
      <c r="S374" s="298"/>
      <c r="T374" s="298"/>
      <c r="U374" s="298"/>
      <c r="V374" s="298"/>
      <c r="W374" s="298"/>
      <c r="X374" s="298"/>
      <c r="Y374" s="298"/>
      <c r="Z374" s="298"/>
      <c r="AA374" s="298"/>
      <c r="AB374" s="298"/>
      <c r="AC374" s="298"/>
      <c r="AD374" s="298"/>
      <c r="AE374" s="298"/>
      <c r="AF374" s="298"/>
    </row>
    <row r="375" spans="1:32" ht="15.75" customHeight="1">
      <c r="A375" s="30" t="s">
        <v>122</v>
      </c>
      <c r="B375" s="31">
        <f t="shared" ref="B375:M375" si="290">IF($A$371=0,0,VLOOKUP($A$371,$A$19:$M$39,B$10+1,0)/(365/12/7)*HLOOKUP($A375,$O$18:$U$39,17,0))</f>
        <v>2.7397260273972599E-3</v>
      </c>
      <c r="C375" s="31">
        <f t="shared" si="290"/>
        <v>2.7397260273972599E-3</v>
      </c>
      <c r="D375" s="31">
        <f t="shared" si="290"/>
        <v>2.7397260273972599E-3</v>
      </c>
      <c r="E375" s="31">
        <f t="shared" si="290"/>
        <v>2.7397260273972599E-3</v>
      </c>
      <c r="F375" s="31">
        <f t="shared" si="290"/>
        <v>2.7397260273972599E-3</v>
      </c>
      <c r="G375" s="31">
        <f t="shared" si="290"/>
        <v>2.7397260273972599E-3</v>
      </c>
      <c r="H375" s="31">
        <f t="shared" si="290"/>
        <v>2.7397260273972599E-3</v>
      </c>
      <c r="I375" s="31">
        <f t="shared" si="290"/>
        <v>2.7397260273972599E-3</v>
      </c>
      <c r="J375" s="31">
        <f t="shared" si="290"/>
        <v>2.7397260273972599E-3</v>
      </c>
      <c r="K375" s="31">
        <f t="shared" si="290"/>
        <v>2.7397260273972599E-3</v>
      </c>
      <c r="L375" s="31">
        <f t="shared" si="290"/>
        <v>2.7397260273972599E-3</v>
      </c>
      <c r="M375" s="31">
        <f t="shared" si="290"/>
        <v>2.7397260273972599E-3</v>
      </c>
      <c r="N375" s="298"/>
      <c r="O375" s="298"/>
      <c r="P375" s="298"/>
      <c r="Q375" s="298"/>
      <c r="R375" s="298"/>
      <c r="S375" s="298"/>
      <c r="T375" s="298"/>
      <c r="U375" s="298"/>
      <c r="V375" s="298"/>
      <c r="W375" s="298"/>
      <c r="X375" s="298"/>
      <c r="Y375" s="298"/>
      <c r="Z375" s="298"/>
      <c r="AA375" s="298"/>
      <c r="AB375" s="298"/>
      <c r="AC375" s="298"/>
      <c r="AD375" s="298"/>
      <c r="AE375" s="298"/>
      <c r="AF375" s="298"/>
    </row>
    <row r="376" spans="1:32" ht="15.75" customHeight="1">
      <c r="A376" s="30" t="s">
        <v>123</v>
      </c>
      <c r="B376" s="31">
        <f t="shared" ref="B376:M376" si="291">IF($A$371=0,0,VLOOKUP($A$371,$A$19:$M$39,B$10+1,0)/(365/12/7)*HLOOKUP($A376,$O$18:$U$39,17,0))</f>
        <v>2.7397260273972599E-3</v>
      </c>
      <c r="C376" s="31">
        <f t="shared" si="291"/>
        <v>2.7397260273972599E-3</v>
      </c>
      <c r="D376" s="31">
        <f t="shared" si="291"/>
        <v>2.7397260273972599E-3</v>
      </c>
      <c r="E376" s="31">
        <f t="shared" si="291"/>
        <v>2.7397260273972599E-3</v>
      </c>
      <c r="F376" s="31">
        <f t="shared" si="291"/>
        <v>2.7397260273972599E-3</v>
      </c>
      <c r="G376" s="31">
        <f t="shared" si="291"/>
        <v>2.7397260273972599E-3</v>
      </c>
      <c r="H376" s="31">
        <f t="shared" si="291"/>
        <v>2.7397260273972599E-3</v>
      </c>
      <c r="I376" s="31">
        <f t="shared" si="291"/>
        <v>2.7397260273972599E-3</v>
      </c>
      <c r="J376" s="31">
        <f t="shared" si="291"/>
        <v>2.7397260273972599E-3</v>
      </c>
      <c r="K376" s="31">
        <f t="shared" si="291"/>
        <v>2.7397260273972599E-3</v>
      </c>
      <c r="L376" s="31">
        <f t="shared" si="291"/>
        <v>2.7397260273972599E-3</v>
      </c>
      <c r="M376" s="31">
        <f t="shared" si="291"/>
        <v>2.7397260273972599E-3</v>
      </c>
      <c r="N376" s="298"/>
      <c r="O376" s="298"/>
      <c r="P376" s="298"/>
      <c r="Q376" s="298"/>
      <c r="R376" s="298"/>
      <c r="S376" s="298"/>
      <c r="T376" s="298"/>
      <c r="U376" s="298"/>
      <c r="V376" s="298"/>
      <c r="W376" s="298"/>
      <c r="X376" s="298"/>
      <c r="Y376" s="298"/>
      <c r="Z376" s="298"/>
      <c r="AA376" s="298"/>
      <c r="AB376" s="298"/>
      <c r="AC376" s="298"/>
      <c r="AD376" s="298"/>
      <c r="AE376" s="298"/>
      <c r="AF376" s="298"/>
    </row>
    <row r="377" spans="1:32" ht="15.75" customHeight="1">
      <c r="A377" s="30" t="s">
        <v>124</v>
      </c>
      <c r="B377" s="31">
        <f t="shared" ref="B377:M377" si="292">IF($A$371=0,0,VLOOKUP($A$371,$A$19:$M$39,B$10+1,0)/(365/12/7)*HLOOKUP($A377,$O$18:$U$39,17,0))</f>
        <v>2.7397260273972599E-3</v>
      </c>
      <c r="C377" s="31">
        <f t="shared" si="292"/>
        <v>2.7397260273972599E-3</v>
      </c>
      <c r="D377" s="31">
        <f t="shared" si="292"/>
        <v>2.7397260273972599E-3</v>
      </c>
      <c r="E377" s="31">
        <f t="shared" si="292"/>
        <v>2.7397260273972599E-3</v>
      </c>
      <c r="F377" s="31">
        <f t="shared" si="292"/>
        <v>2.7397260273972599E-3</v>
      </c>
      <c r="G377" s="31">
        <f t="shared" si="292"/>
        <v>2.7397260273972599E-3</v>
      </c>
      <c r="H377" s="31">
        <f t="shared" si="292"/>
        <v>2.7397260273972599E-3</v>
      </c>
      <c r="I377" s="31">
        <f t="shared" si="292"/>
        <v>2.7397260273972599E-3</v>
      </c>
      <c r="J377" s="31">
        <f t="shared" si="292"/>
        <v>2.7397260273972599E-3</v>
      </c>
      <c r="K377" s="31">
        <f t="shared" si="292"/>
        <v>2.7397260273972599E-3</v>
      </c>
      <c r="L377" s="31">
        <f t="shared" si="292"/>
        <v>2.7397260273972599E-3</v>
      </c>
      <c r="M377" s="31">
        <f t="shared" si="292"/>
        <v>2.7397260273972599E-3</v>
      </c>
      <c r="N377" s="298"/>
      <c r="O377" s="298"/>
      <c r="P377" s="298"/>
      <c r="Q377" s="298"/>
      <c r="R377" s="298"/>
      <c r="S377" s="298"/>
      <c r="T377" s="298"/>
      <c r="U377" s="298"/>
      <c r="V377" s="298"/>
      <c r="W377" s="298"/>
      <c r="X377" s="298"/>
      <c r="Y377" s="298"/>
      <c r="Z377" s="298"/>
      <c r="AA377" s="298"/>
      <c r="AB377" s="298"/>
      <c r="AC377" s="298"/>
      <c r="AD377" s="298"/>
      <c r="AE377" s="298"/>
      <c r="AF377" s="298"/>
    </row>
    <row r="378" spans="1:32" ht="15.75" customHeight="1">
      <c r="A378" s="30" t="s">
        <v>125</v>
      </c>
      <c r="B378" s="31">
        <f t="shared" ref="B378:M378" si="293">IF($A$371=0,0,VLOOKUP($A$371,$A$19:$M$39,B$10+1,0)/(365/12/7)*HLOOKUP($A378,$O$18:$U$39,17,0))</f>
        <v>2.7397260273972599E-3</v>
      </c>
      <c r="C378" s="31">
        <f t="shared" si="293"/>
        <v>2.7397260273972599E-3</v>
      </c>
      <c r="D378" s="31">
        <f t="shared" si="293"/>
        <v>2.7397260273972599E-3</v>
      </c>
      <c r="E378" s="31">
        <f t="shared" si="293"/>
        <v>2.7397260273972599E-3</v>
      </c>
      <c r="F378" s="31">
        <f t="shared" si="293"/>
        <v>2.7397260273972599E-3</v>
      </c>
      <c r="G378" s="31">
        <f t="shared" si="293"/>
        <v>2.7397260273972599E-3</v>
      </c>
      <c r="H378" s="31">
        <f t="shared" si="293"/>
        <v>2.7397260273972599E-3</v>
      </c>
      <c r="I378" s="31">
        <f t="shared" si="293"/>
        <v>2.7397260273972599E-3</v>
      </c>
      <c r="J378" s="31">
        <f t="shared" si="293"/>
        <v>2.7397260273972599E-3</v>
      </c>
      <c r="K378" s="31">
        <f t="shared" si="293"/>
        <v>2.7397260273972599E-3</v>
      </c>
      <c r="L378" s="31">
        <f t="shared" si="293"/>
        <v>2.7397260273972599E-3</v>
      </c>
      <c r="M378" s="31">
        <f t="shared" si="293"/>
        <v>2.7397260273972599E-3</v>
      </c>
      <c r="N378" s="298"/>
      <c r="O378" s="298"/>
      <c r="P378" s="298"/>
      <c r="Q378" s="298"/>
      <c r="R378" s="298"/>
      <c r="S378" s="298"/>
      <c r="T378" s="298"/>
      <c r="U378" s="298"/>
      <c r="V378" s="298"/>
      <c r="W378" s="298"/>
      <c r="X378" s="298"/>
      <c r="Y378" s="298"/>
      <c r="Z378" s="298"/>
      <c r="AA378" s="298"/>
      <c r="AB378" s="298"/>
      <c r="AC378" s="298"/>
      <c r="AD378" s="298"/>
      <c r="AE378" s="298"/>
      <c r="AF378" s="298"/>
    </row>
    <row r="379" spans="1:32" ht="15.75" customHeight="1">
      <c r="A379" s="32" t="str">
        <f>A35</f>
        <v>Geral - Unidade móvel - Alimentação</v>
      </c>
      <c r="B379" s="33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298"/>
      <c r="O379" s="298"/>
      <c r="P379" s="298"/>
      <c r="Q379" s="298"/>
      <c r="R379" s="298"/>
      <c r="S379" s="298"/>
      <c r="T379" s="298"/>
      <c r="U379" s="298"/>
      <c r="V379" s="298"/>
      <c r="W379" s="298"/>
      <c r="X379" s="298"/>
      <c r="Y379" s="298"/>
      <c r="Z379" s="298"/>
      <c r="AA379" s="298"/>
      <c r="AB379" s="298"/>
      <c r="AC379" s="298"/>
      <c r="AD379" s="298"/>
      <c r="AE379" s="298"/>
      <c r="AF379" s="298"/>
    </row>
    <row r="380" spans="1:32" ht="15.75" customHeight="1">
      <c r="A380" s="30" t="s">
        <v>119</v>
      </c>
      <c r="B380" s="31">
        <f t="shared" ref="B380:M380" si="294">IF($A$379=0,0,VLOOKUP($A$379,$A$19:$M$39,B$10+1,0)/(365/12/7)*HLOOKUP($A380,$O$18:$U$39,18,0))</f>
        <v>2.7397260273972599E-3</v>
      </c>
      <c r="C380" s="31">
        <f t="shared" si="294"/>
        <v>2.7397260273972599E-3</v>
      </c>
      <c r="D380" s="31">
        <f t="shared" si="294"/>
        <v>2.7397260273972599E-3</v>
      </c>
      <c r="E380" s="31">
        <f t="shared" si="294"/>
        <v>2.7397260273972599E-3</v>
      </c>
      <c r="F380" s="31">
        <f t="shared" si="294"/>
        <v>2.7397260273972599E-3</v>
      </c>
      <c r="G380" s="31">
        <f t="shared" si="294"/>
        <v>2.7397260273972599E-3</v>
      </c>
      <c r="H380" s="31">
        <f t="shared" si="294"/>
        <v>2.7397260273972599E-3</v>
      </c>
      <c r="I380" s="31">
        <f t="shared" si="294"/>
        <v>2.7397260273972599E-3</v>
      </c>
      <c r="J380" s="31">
        <f t="shared" si="294"/>
        <v>2.7397260273972599E-3</v>
      </c>
      <c r="K380" s="31">
        <f t="shared" si="294"/>
        <v>2.7397260273972599E-3</v>
      </c>
      <c r="L380" s="31">
        <f t="shared" si="294"/>
        <v>2.7397260273972599E-3</v>
      </c>
      <c r="M380" s="31">
        <f t="shared" si="294"/>
        <v>2.7397260273972599E-3</v>
      </c>
      <c r="N380" s="298"/>
      <c r="O380" s="298"/>
      <c r="P380" s="298"/>
      <c r="Q380" s="298"/>
      <c r="R380" s="298"/>
      <c r="S380" s="298"/>
      <c r="T380" s="298"/>
      <c r="U380" s="298"/>
      <c r="V380" s="298"/>
      <c r="W380" s="298"/>
      <c r="X380" s="298"/>
      <c r="Y380" s="298"/>
      <c r="Z380" s="298"/>
      <c r="AA380" s="298"/>
      <c r="AB380" s="298"/>
      <c r="AC380" s="298"/>
      <c r="AD380" s="298"/>
      <c r="AE380" s="298"/>
      <c r="AF380" s="298"/>
    </row>
    <row r="381" spans="1:32" ht="15.75" customHeight="1">
      <c r="A381" s="30" t="s">
        <v>120</v>
      </c>
      <c r="B381" s="31">
        <f t="shared" ref="B381:M381" si="295">IF($A$379=0,0,VLOOKUP($A$379,$A$19:$M$39,B$10+1,0)/(365/12/7)*HLOOKUP($A381,$O$18:$U$39,18,0))</f>
        <v>2.7397260273972599E-3</v>
      </c>
      <c r="C381" s="31">
        <f t="shared" si="295"/>
        <v>2.7397260273972599E-3</v>
      </c>
      <c r="D381" s="31">
        <f t="shared" si="295"/>
        <v>2.7397260273972599E-3</v>
      </c>
      <c r="E381" s="31">
        <f t="shared" si="295"/>
        <v>2.7397260273972599E-3</v>
      </c>
      <c r="F381" s="31">
        <f t="shared" si="295"/>
        <v>2.7397260273972599E-3</v>
      </c>
      <c r="G381" s="31">
        <f t="shared" si="295"/>
        <v>2.7397260273972599E-3</v>
      </c>
      <c r="H381" s="31">
        <f t="shared" si="295"/>
        <v>2.7397260273972599E-3</v>
      </c>
      <c r="I381" s="31">
        <f t="shared" si="295"/>
        <v>2.7397260273972599E-3</v>
      </c>
      <c r="J381" s="31">
        <f t="shared" si="295"/>
        <v>2.7397260273972599E-3</v>
      </c>
      <c r="K381" s="31">
        <f t="shared" si="295"/>
        <v>2.7397260273972599E-3</v>
      </c>
      <c r="L381" s="31">
        <f t="shared" si="295"/>
        <v>2.7397260273972599E-3</v>
      </c>
      <c r="M381" s="31">
        <f t="shared" si="295"/>
        <v>2.7397260273972599E-3</v>
      </c>
      <c r="N381" s="298"/>
      <c r="O381" s="298"/>
      <c r="P381" s="298"/>
      <c r="Q381" s="298"/>
      <c r="R381" s="298"/>
      <c r="S381" s="298"/>
      <c r="T381" s="298"/>
      <c r="U381" s="298"/>
      <c r="V381" s="298"/>
      <c r="W381" s="298"/>
      <c r="X381" s="298"/>
      <c r="Y381" s="298"/>
      <c r="Z381" s="298"/>
      <c r="AA381" s="298"/>
      <c r="AB381" s="298"/>
      <c r="AC381" s="298"/>
      <c r="AD381" s="298"/>
      <c r="AE381" s="298"/>
      <c r="AF381" s="298"/>
    </row>
    <row r="382" spans="1:32" ht="15.75" customHeight="1">
      <c r="A382" s="30" t="s">
        <v>121</v>
      </c>
      <c r="B382" s="31">
        <f t="shared" ref="B382:M382" si="296">IF($A$379=0,0,VLOOKUP($A$379,$A$19:$M$39,B$10+1,0)/(365/12/7)*HLOOKUP($A382,$O$18:$U$39,18,0))</f>
        <v>2.7397260273972599E-3</v>
      </c>
      <c r="C382" s="31">
        <f t="shared" si="296"/>
        <v>2.7397260273972599E-3</v>
      </c>
      <c r="D382" s="31">
        <f t="shared" si="296"/>
        <v>2.7397260273972599E-3</v>
      </c>
      <c r="E382" s="31">
        <f t="shared" si="296"/>
        <v>2.7397260273972599E-3</v>
      </c>
      <c r="F382" s="31">
        <f t="shared" si="296"/>
        <v>2.7397260273972599E-3</v>
      </c>
      <c r="G382" s="31">
        <f t="shared" si="296"/>
        <v>2.7397260273972599E-3</v>
      </c>
      <c r="H382" s="31">
        <f t="shared" si="296"/>
        <v>2.7397260273972599E-3</v>
      </c>
      <c r="I382" s="31">
        <f t="shared" si="296"/>
        <v>2.7397260273972599E-3</v>
      </c>
      <c r="J382" s="31">
        <f t="shared" si="296"/>
        <v>2.7397260273972599E-3</v>
      </c>
      <c r="K382" s="31">
        <f t="shared" si="296"/>
        <v>2.7397260273972599E-3</v>
      </c>
      <c r="L382" s="31">
        <f t="shared" si="296"/>
        <v>2.7397260273972599E-3</v>
      </c>
      <c r="M382" s="31">
        <f t="shared" si="296"/>
        <v>2.7397260273972599E-3</v>
      </c>
      <c r="N382" s="298"/>
      <c r="O382" s="298"/>
      <c r="P382" s="298"/>
      <c r="Q382" s="298"/>
      <c r="R382" s="298"/>
      <c r="S382" s="298"/>
      <c r="T382" s="298"/>
      <c r="U382" s="298"/>
      <c r="V382" s="298"/>
      <c r="W382" s="298"/>
      <c r="X382" s="298"/>
      <c r="Y382" s="298"/>
      <c r="Z382" s="298"/>
      <c r="AA382" s="298"/>
      <c r="AB382" s="298"/>
      <c r="AC382" s="298"/>
      <c r="AD382" s="298"/>
      <c r="AE382" s="298"/>
      <c r="AF382" s="298"/>
    </row>
    <row r="383" spans="1:32" ht="15.75" customHeight="1">
      <c r="A383" s="30" t="s">
        <v>122</v>
      </c>
      <c r="B383" s="31">
        <f t="shared" ref="B383:M383" si="297">IF($A$379=0,0,VLOOKUP($A$379,$A$19:$M$39,B$10+1,0)/(365/12/7)*HLOOKUP($A383,$O$18:$U$39,18,0))</f>
        <v>2.7397260273972599E-3</v>
      </c>
      <c r="C383" s="31">
        <f t="shared" si="297"/>
        <v>2.7397260273972599E-3</v>
      </c>
      <c r="D383" s="31">
        <f t="shared" si="297"/>
        <v>2.7397260273972599E-3</v>
      </c>
      <c r="E383" s="31">
        <f t="shared" si="297"/>
        <v>2.7397260273972599E-3</v>
      </c>
      <c r="F383" s="31">
        <f t="shared" si="297"/>
        <v>2.7397260273972599E-3</v>
      </c>
      <c r="G383" s="31">
        <f t="shared" si="297"/>
        <v>2.7397260273972599E-3</v>
      </c>
      <c r="H383" s="31">
        <f t="shared" si="297"/>
        <v>2.7397260273972599E-3</v>
      </c>
      <c r="I383" s="31">
        <f t="shared" si="297"/>
        <v>2.7397260273972599E-3</v>
      </c>
      <c r="J383" s="31">
        <f t="shared" si="297"/>
        <v>2.7397260273972599E-3</v>
      </c>
      <c r="K383" s="31">
        <f t="shared" si="297"/>
        <v>2.7397260273972599E-3</v>
      </c>
      <c r="L383" s="31">
        <f t="shared" si="297"/>
        <v>2.7397260273972599E-3</v>
      </c>
      <c r="M383" s="31">
        <f t="shared" si="297"/>
        <v>2.7397260273972599E-3</v>
      </c>
      <c r="N383" s="298"/>
      <c r="O383" s="298"/>
      <c r="P383" s="298"/>
      <c r="Q383" s="298"/>
      <c r="R383" s="298"/>
      <c r="S383" s="298"/>
      <c r="T383" s="298"/>
      <c r="U383" s="298"/>
      <c r="V383" s="298"/>
      <c r="W383" s="298"/>
      <c r="X383" s="298"/>
      <c r="Y383" s="298"/>
      <c r="Z383" s="298"/>
      <c r="AA383" s="298"/>
      <c r="AB383" s="298"/>
      <c r="AC383" s="298"/>
      <c r="AD383" s="298"/>
      <c r="AE383" s="298"/>
      <c r="AF383" s="298"/>
    </row>
    <row r="384" spans="1:32" ht="15.75" customHeight="1">
      <c r="A384" s="30" t="s">
        <v>123</v>
      </c>
      <c r="B384" s="31">
        <f t="shared" ref="B384:M384" si="298">IF($A$379=0,0,VLOOKUP($A$379,$A$19:$M$39,B$10+1,0)/(365/12/7)*HLOOKUP($A384,$O$18:$U$39,18,0))</f>
        <v>2.7397260273972599E-3</v>
      </c>
      <c r="C384" s="31">
        <f t="shared" si="298"/>
        <v>2.7397260273972599E-3</v>
      </c>
      <c r="D384" s="31">
        <f t="shared" si="298"/>
        <v>2.7397260273972599E-3</v>
      </c>
      <c r="E384" s="31">
        <f t="shared" si="298"/>
        <v>2.7397260273972599E-3</v>
      </c>
      <c r="F384" s="31">
        <f t="shared" si="298"/>
        <v>2.7397260273972599E-3</v>
      </c>
      <c r="G384" s="31">
        <f t="shared" si="298"/>
        <v>2.7397260273972599E-3</v>
      </c>
      <c r="H384" s="31">
        <f t="shared" si="298"/>
        <v>2.7397260273972599E-3</v>
      </c>
      <c r="I384" s="31">
        <f t="shared" si="298"/>
        <v>2.7397260273972599E-3</v>
      </c>
      <c r="J384" s="31">
        <f t="shared" si="298"/>
        <v>2.7397260273972599E-3</v>
      </c>
      <c r="K384" s="31">
        <f t="shared" si="298"/>
        <v>2.7397260273972599E-3</v>
      </c>
      <c r="L384" s="31">
        <f t="shared" si="298"/>
        <v>2.7397260273972599E-3</v>
      </c>
      <c r="M384" s="31">
        <f t="shared" si="298"/>
        <v>2.7397260273972599E-3</v>
      </c>
      <c r="N384" s="298"/>
      <c r="O384" s="298"/>
      <c r="P384" s="298"/>
      <c r="Q384" s="298"/>
      <c r="R384" s="298"/>
      <c r="S384" s="298"/>
      <c r="T384" s="298"/>
      <c r="U384" s="298"/>
      <c r="V384" s="298"/>
      <c r="W384" s="298"/>
      <c r="X384" s="298"/>
      <c r="Y384" s="298"/>
      <c r="Z384" s="298"/>
      <c r="AA384" s="298"/>
      <c r="AB384" s="298"/>
      <c r="AC384" s="298"/>
      <c r="AD384" s="298"/>
      <c r="AE384" s="298"/>
      <c r="AF384" s="298"/>
    </row>
    <row r="385" spans="1:32" ht="15.75" customHeight="1">
      <c r="A385" s="30" t="s">
        <v>124</v>
      </c>
      <c r="B385" s="31">
        <f t="shared" ref="B385:M385" si="299">IF($A$379=0,0,VLOOKUP($A$379,$A$19:$M$39,B$10+1,0)/(365/12/7)*HLOOKUP($A385,$O$18:$U$39,18,0))</f>
        <v>2.7397260273972599E-3</v>
      </c>
      <c r="C385" s="31">
        <f t="shared" si="299"/>
        <v>2.7397260273972599E-3</v>
      </c>
      <c r="D385" s="31">
        <f t="shared" si="299"/>
        <v>2.7397260273972599E-3</v>
      </c>
      <c r="E385" s="31">
        <f t="shared" si="299"/>
        <v>2.7397260273972599E-3</v>
      </c>
      <c r="F385" s="31">
        <f t="shared" si="299"/>
        <v>2.7397260273972599E-3</v>
      </c>
      <c r="G385" s="31">
        <f t="shared" si="299"/>
        <v>2.7397260273972599E-3</v>
      </c>
      <c r="H385" s="31">
        <f t="shared" si="299"/>
        <v>2.7397260273972599E-3</v>
      </c>
      <c r="I385" s="31">
        <f t="shared" si="299"/>
        <v>2.7397260273972599E-3</v>
      </c>
      <c r="J385" s="31">
        <f t="shared" si="299"/>
        <v>2.7397260273972599E-3</v>
      </c>
      <c r="K385" s="31">
        <f t="shared" si="299"/>
        <v>2.7397260273972599E-3</v>
      </c>
      <c r="L385" s="31">
        <f t="shared" si="299"/>
        <v>2.7397260273972599E-3</v>
      </c>
      <c r="M385" s="31">
        <f t="shared" si="299"/>
        <v>2.7397260273972599E-3</v>
      </c>
      <c r="N385" s="298"/>
      <c r="O385" s="298"/>
      <c r="P385" s="298"/>
      <c r="Q385" s="298"/>
      <c r="R385" s="298"/>
      <c r="S385" s="298"/>
      <c r="T385" s="298"/>
      <c r="U385" s="298"/>
      <c r="V385" s="298"/>
      <c r="W385" s="298"/>
      <c r="X385" s="298"/>
      <c r="Y385" s="298"/>
      <c r="Z385" s="298"/>
      <c r="AA385" s="298"/>
      <c r="AB385" s="298"/>
      <c r="AC385" s="298"/>
      <c r="AD385" s="298"/>
      <c r="AE385" s="298"/>
      <c r="AF385" s="298"/>
    </row>
    <row r="386" spans="1:32" ht="15.75" customHeight="1">
      <c r="A386" s="30" t="s">
        <v>125</v>
      </c>
      <c r="B386" s="31">
        <f t="shared" ref="B386:M386" si="300">IF($A$379=0,0,VLOOKUP($A$379,$A$19:$M$39,B$10+1,0)/(365/12/7)*HLOOKUP($A386,$O$18:$U$39,18,0))</f>
        <v>2.7397260273972599E-3</v>
      </c>
      <c r="C386" s="31">
        <f t="shared" si="300"/>
        <v>2.7397260273972599E-3</v>
      </c>
      <c r="D386" s="31">
        <f t="shared" si="300"/>
        <v>2.7397260273972599E-3</v>
      </c>
      <c r="E386" s="31">
        <f t="shared" si="300"/>
        <v>2.7397260273972599E-3</v>
      </c>
      <c r="F386" s="31">
        <f t="shared" si="300"/>
        <v>2.7397260273972599E-3</v>
      </c>
      <c r="G386" s="31">
        <f t="shared" si="300"/>
        <v>2.7397260273972599E-3</v>
      </c>
      <c r="H386" s="31">
        <f t="shared" si="300"/>
        <v>2.7397260273972599E-3</v>
      </c>
      <c r="I386" s="31">
        <f t="shared" si="300"/>
        <v>2.7397260273972599E-3</v>
      </c>
      <c r="J386" s="31">
        <f t="shared" si="300"/>
        <v>2.7397260273972599E-3</v>
      </c>
      <c r="K386" s="31">
        <f t="shared" si="300"/>
        <v>2.7397260273972599E-3</v>
      </c>
      <c r="L386" s="31">
        <f t="shared" si="300"/>
        <v>2.7397260273972599E-3</v>
      </c>
      <c r="M386" s="31">
        <f t="shared" si="300"/>
        <v>2.7397260273972599E-3</v>
      </c>
      <c r="N386" s="298"/>
      <c r="O386" s="298"/>
      <c r="P386" s="298"/>
      <c r="Q386" s="298"/>
      <c r="R386" s="298"/>
      <c r="S386" s="298"/>
      <c r="T386" s="298"/>
      <c r="U386" s="298"/>
      <c r="V386" s="298"/>
      <c r="W386" s="298"/>
      <c r="X386" s="298"/>
      <c r="Y386" s="298"/>
      <c r="Z386" s="298"/>
      <c r="AA386" s="298"/>
      <c r="AB386" s="298"/>
      <c r="AC386" s="298"/>
      <c r="AD386" s="298"/>
      <c r="AE386" s="298"/>
      <c r="AF386" s="298"/>
    </row>
    <row r="387" spans="1:32" ht="15.75" customHeight="1">
      <c r="A387" s="32" t="str">
        <f>A36</f>
        <v>Mangue Seco - Estacionamento</v>
      </c>
      <c r="B387" s="33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298"/>
      <c r="O387" s="298"/>
      <c r="P387" s="298"/>
      <c r="Q387" s="298"/>
      <c r="R387" s="298"/>
      <c r="S387" s="298"/>
      <c r="T387" s="298"/>
      <c r="U387" s="298"/>
      <c r="V387" s="298"/>
      <c r="W387" s="298"/>
      <c r="X387" s="298"/>
      <c r="Y387" s="298"/>
      <c r="Z387" s="298"/>
      <c r="AA387" s="298"/>
      <c r="AB387" s="298"/>
      <c r="AC387" s="298"/>
      <c r="AD387" s="298"/>
      <c r="AE387" s="298"/>
      <c r="AF387" s="298"/>
    </row>
    <row r="388" spans="1:32" ht="15.75" customHeight="1">
      <c r="A388" s="30" t="s">
        <v>119</v>
      </c>
      <c r="B388" s="31">
        <f t="shared" ref="B388:M388" si="301">IF($A$387=0,0,VLOOKUP($A$387,$A$19:$M$39,B$10+1,0)/(365/12/7)*HLOOKUP($A388,$O$18:$U$39,19,0))</f>
        <v>2.7397260273972599E-3</v>
      </c>
      <c r="C388" s="31">
        <f t="shared" si="301"/>
        <v>2.7397260273972599E-3</v>
      </c>
      <c r="D388" s="31">
        <f t="shared" si="301"/>
        <v>2.7397260273972599E-3</v>
      </c>
      <c r="E388" s="31">
        <f t="shared" si="301"/>
        <v>2.7397260273972599E-3</v>
      </c>
      <c r="F388" s="31">
        <f t="shared" si="301"/>
        <v>2.7397260273972599E-3</v>
      </c>
      <c r="G388" s="31">
        <f t="shared" si="301"/>
        <v>2.7397260273972599E-3</v>
      </c>
      <c r="H388" s="31">
        <f t="shared" si="301"/>
        <v>2.7397260273972599E-3</v>
      </c>
      <c r="I388" s="31">
        <f t="shared" si="301"/>
        <v>2.7397260273972599E-3</v>
      </c>
      <c r="J388" s="31">
        <f t="shared" si="301"/>
        <v>2.7397260273972599E-3</v>
      </c>
      <c r="K388" s="31">
        <f t="shared" si="301"/>
        <v>2.7397260273972599E-3</v>
      </c>
      <c r="L388" s="31">
        <f t="shared" si="301"/>
        <v>2.7397260273972599E-3</v>
      </c>
      <c r="M388" s="31">
        <f t="shared" si="301"/>
        <v>2.7397260273972599E-3</v>
      </c>
      <c r="N388" s="298"/>
      <c r="O388" s="298"/>
      <c r="P388" s="298"/>
      <c r="Q388" s="298"/>
      <c r="R388" s="298"/>
      <c r="S388" s="298"/>
      <c r="T388" s="298"/>
      <c r="U388" s="298"/>
      <c r="V388" s="298"/>
      <c r="W388" s="298"/>
      <c r="X388" s="298"/>
      <c r="Y388" s="298"/>
      <c r="Z388" s="298"/>
      <c r="AA388" s="298"/>
      <c r="AB388" s="298"/>
      <c r="AC388" s="298"/>
      <c r="AD388" s="298"/>
      <c r="AE388" s="298"/>
      <c r="AF388" s="298"/>
    </row>
    <row r="389" spans="1:32" ht="15.75" customHeight="1">
      <c r="A389" s="30" t="s">
        <v>120</v>
      </c>
      <c r="B389" s="31">
        <f t="shared" ref="B389:M389" si="302">IF($A$387=0,0,VLOOKUP($A$387,$A$19:$M$39,B$10+1,0)/(365/12/7)*HLOOKUP($A389,$O$18:$U$39,19,0))</f>
        <v>2.7397260273972599E-3</v>
      </c>
      <c r="C389" s="31">
        <f t="shared" si="302"/>
        <v>2.7397260273972599E-3</v>
      </c>
      <c r="D389" s="31">
        <f t="shared" si="302"/>
        <v>2.7397260273972599E-3</v>
      </c>
      <c r="E389" s="31">
        <f t="shared" si="302"/>
        <v>2.7397260273972599E-3</v>
      </c>
      <c r="F389" s="31">
        <f t="shared" si="302"/>
        <v>2.7397260273972599E-3</v>
      </c>
      <c r="G389" s="31">
        <f t="shared" si="302"/>
        <v>2.7397260273972599E-3</v>
      </c>
      <c r="H389" s="31">
        <f t="shared" si="302"/>
        <v>2.7397260273972599E-3</v>
      </c>
      <c r="I389" s="31">
        <f t="shared" si="302"/>
        <v>2.7397260273972599E-3</v>
      </c>
      <c r="J389" s="31">
        <f t="shared" si="302"/>
        <v>2.7397260273972599E-3</v>
      </c>
      <c r="K389" s="31">
        <f t="shared" si="302"/>
        <v>2.7397260273972599E-3</v>
      </c>
      <c r="L389" s="31">
        <f t="shared" si="302"/>
        <v>2.7397260273972599E-3</v>
      </c>
      <c r="M389" s="31">
        <f t="shared" si="302"/>
        <v>2.7397260273972599E-3</v>
      </c>
      <c r="N389" s="298"/>
      <c r="O389" s="298"/>
      <c r="P389" s="298"/>
      <c r="Q389" s="298"/>
      <c r="R389" s="298"/>
      <c r="S389" s="298"/>
      <c r="T389" s="298"/>
      <c r="U389" s="298"/>
      <c r="V389" s="298"/>
      <c r="W389" s="298"/>
      <c r="X389" s="298"/>
      <c r="Y389" s="298"/>
      <c r="Z389" s="298"/>
      <c r="AA389" s="298"/>
      <c r="AB389" s="298"/>
      <c r="AC389" s="298"/>
      <c r="AD389" s="298"/>
      <c r="AE389" s="298"/>
      <c r="AF389" s="298"/>
    </row>
    <row r="390" spans="1:32" ht="15.75" customHeight="1">
      <c r="A390" s="30" t="s">
        <v>121</v>
      </c>
      <c r="B390" s="31">
        <f t="shared" ref="B390:M390" si="303">IF($A$387=0,0,VLOOKUP($A$387,$A$19:$M$39,B$10+1,0)/(365/12/7)*HLOOKUP($A390,$O$18:$U$39,19,0))</f>
        <v>2.7397260273972599E-3</v>
      </c>
      <c r="C390" s="31">
        <f t="shared" si="303"/>
        <v>2.7397260273972599E-3</v>
      </c>
      <c r="D390" s="31">
        <f t="shared" si="303"/>
        <v>2.7397260273972599E-3</v>
      </c>
      <c r="E390" s="31">
        <f t="shared" si="303"/>
        <v>2.7397260273972599E-3</v>
      </c>
      <c r="F390" s="31">
        <f t="shared" si="303"/>
        <v>2.7397260273972599E-3</v>
      </c>
      <c r="G390" s="31">
        <f t="shared" si="303"/>
        <v>2.7397260273972599E-3</v>
      </c>
      <c r="H390" s="31">
        <f t="shared" si="303"/>
        <v>2.7397260273972599E-3</v>
      </c>
      <c r="I390" s="31">
        <f t="shared" si="303"/>
        <v>2.7397260273972599E-3</v>
      </c>
      <c r="J390" s="31">
        <f t="shared" si="303"/>
        <v>2.7397260273972599E-3</v>
      </c>
      <c r="K390" s="31">
        <f t="shared" si="303"/>
        <v>2.7397260273972599E-3</v>
      </c>
      <c r="L390" s="31">
        <f t="shared" si="303"/>
        <v>2.7397260273972599E-3</v>
      </c>
      <c r="M390" s="31">
        <f t="shared" si="303"/>
        <v>2.7397260273972599E-3</v>
      </c>
      <c r="N390" s="298"/>
      <c r="O390" s="298"/>
      <c r="P390" s="298"/>
      <c r="Q390" s="298"/>
      <c r="R390" s="298"/>
      <c r="S390" s="298"/>
      <c r="T390" s="298"/>
      <c r="U390" s="298"/>
      <c r="V390" s="298"/>
      <c r="W390" s="298"/>
      <c r="X390" s="298"/>
      <c r="Y390" s="298"/>
      <c r="Z390" s="298"/>
      <c r="AA390" s="298"/>
      <c r="AB390" s="298"/>
      <c r="AC390" s="298"/>
      <c r="AD390" s="298"/>
      <c r="AE390" s="298"/>
      <c r="AF390" s="298"/>
    </row>
    <row r="391" spans="1:32" ht="15.75" customHeight="1">
      <c r="A391" s="30" t="s">
        <v>122</v>
      </c>
      <c r="B391" s="31">
        <f t="shared" ref="B391:M391" si="304">IF($A$387=0,0,VLOOKUP($A$387,$A$19:$M$39,B$10+1,0)/(365/12/7)*HLOOKUP($A391,$O$18:$U$39,19,0))</f>
        <v>2.7397260273972599E-3</v>
      </c>
      <c r="C391" s="31">
        <f t="shared" si="304"/>
        <v>2.7397260273972599E-3</v>
      </c>
      <c r="D391" s="31">
        <f t="shared" si="304"/>
        <v>2.7397260273972599E-3</v>
      </c>
      <c r="E391" s="31">
        <f t="shared" si="304"/>
        <v>2.7397260273972599E-3</v>
      </c>
      <c r="F391" s="31">
        <f t="shared" si="304"/>
        <v>2.7397260273972599E-3</v>
      </c>
      <c r="G391" s="31">
        <f t="shared" si="304"/>
        <v>2.7397260273972599E-3</v>
      </c>
      <c r="H391" s="31">
        <f t="shared" si="304"/>
        <v>2.7397260273972599E-3</v>
      </c>
      <c r="I391" s="31">
        <f t="shared" si="304"/>
        <v>2.7397260273972599E-3</v>
      </c>
      <c r="J391" s="31">
        <f t="shared" si="304"/>
        <v>2.7397260273972599E-3</v>
      </c>
      <c r="K391" s="31">
        <f t="shared" si="304"/>
        <v>2.7397260273972599E-3</v>
      </c>
      <c r="L391" s="31">
        <f t="shared" si="304"/>
        <v>2.7397260273972599E-3</v>
      </c>
      <c r="M391" s="31">
        <f t="shared" si="304"/>
        <v>2.7397260273972599E-3</v>
      </c>
      <c r="N391" s="298"/>
      <c r="O391" s="298"/>
      <c r="P391" s="298"/>
      <c r="Q391" s="298"/>
      <c r="R391" s="298"/>
      <c r="S391" s="298"/>
      <c r="T391" s="298"/>
      <c r="U391" s="298"/>
      <c r="V391" s="298"/>
      <c r="W391" s="298"/>
      <c r="X391" s="298"/>
      <c r="Y391" s="298"/>
      <c r="Z391" s="298"/>
      <c r="AA391" s="298"/>
      <c r="AB391" s="298"/>
      <c r="AC391" s="298"/>
      <c r="AD391" s="298"/>
      <c r="AE391" s="298"/>
      <c r="AF391" s="298"/>
    </row>
    <row r="392" spans="1:32" ht="15.75" customHeight="1">
      <c r="A392" s="30" t="s">
        <v>123</v>
      </c>
      <c r="B392" s="31">
        <f t="shared" ref="B392:M392" si="305">IF($A$387=0,0,VLOOKUP($A$387,$A$19:$M$39,B$10+1,0)/(365/12/7)*HLOOKUP($A392,$O$18:$U$39,19,0))</f>
        <v>2.7397260273972599E-3</v>
      </c>
      <c r="C392" s="31">
        <f t="shared" si="305"/>
        <v>2.7397260273972599E-3</v>
      </c>
      <c r="D392" s="31">
        <f t="shared" si="305"/>
        <v>2.7397260273972599E-3</v>
      </c>
      <c r="E392" s="31">
        <f t="shared" si="305"/>
        <v>2.7397260273972599E-3</v>
      </c>
      <c r="F392" s="31">
        <f t="shared" si="305"/>
        <v>2.7397260273972599E-3</v>
      </c>
      <c r="G392" s="31">
        <f t="shared" si="305"/>
        <v>2.7397260273972599E-3</v>
      </c>
      <c r="H392" s="31">
        <f t="shared" si="305"/>
        <v>2.7397260273972599E-3</v>
      </c>
      <c r="I392" s="31">
        <f t="shared" si="305"/>
        <v>2.7397260273972599E-3</v>
      </c>
      <c r="J392" s="31">
        <f t="shared" si="305"/>
        <v>2.7397260273972599E-3</v>
      </c>
      <c r="K392" s="31">
        <f t="shared" si="305"/>
        <v>2.7397260273972599E-3</v>
      </c>
      <c r="L392" s="31">
        <f t="shared" si="305"/>
        <v>2.7397260273972599E-3</v>
      </c>
      <c r="M392" s="31">
        <f t="shared" si="305"/>
        <v>2.7397260273972599E-3</v>
      </c>
      <c r="N392" s="298"/>
      <c r="O392" s="298"/>
      <c r="P392" s="298"/>
      <c r="Q392" s="298"/>
      <c r="R392" s="298"/>
      <c r="S392" s="298"/>
      <c r="T392" s="298"/>
      <c r="U392" s="298"/>
      <c r="V392" s="298"/>
      <c r="W392" s="298"/>
      <c r="X392" s="298"/>
      <c r="Y392" s="298"/>
      <c r="Z392" s="298"/>
      <c r="AA392" s="298"/>
      <c r="AB392" s="298"/>
      <c r="AC392" s="298"/>
      <c r="AD392" s="298"/>
      <c r="AE392" s="298"/>
      <c r="AF392" s="298"/>
    </row>
    <row r="393" spans="1:32" ht="15.75" customHeight="1">
      <c r="A393" s="30" t="s">
        <v>124</v>
      </c>
      <c r="B393" s="31">
        <f t="shared" ref="B393:M393" si="306">IF($A$387=0,0,VLOOKUP($A$387,$A$19:$M$39,B$10+1,0)/(365/12/7)*HLOOKUP($A393,$O$18:$U$39,19,0))</f>
        <v>2.7397260273972599E-3</v>
      </c>
      <c r="C393" s="31">
        <f t="shared" si="306"/>
        <v>2.7397260273972599E-3</v>
      </c>
      <c r="D393" s="31">
        <f t="shared" si="306"/>
        <v>2.7397260273972599E-3</v>
      </c>
      <c r="E393" s="31">
        <f t="shared" si="306"/>
        <v>2.7397260273972599E-3</v>
      </c>
      <c r="F393" s="31">
        <f t="shared" si="306"/>
        <v>2.7397260273972599E-3</v>
      </c>
      <c r="G393" s="31">
        <f t="shared" si="306"/>
        <v>2.7397260273972599E-3</v>
      </c>
      <c r="H393" s="31">
        <f t="shared" si="306"/>
        <v>2.7397260273972599E-3</v>
      </c>
      <c r="I393" s="31">
        <f t="shared" si="306"/>
        <v>2.7397260273972599E-3</v>
      </c>
      <c r="J393" s="31">
        <f t="shared" si="306"/>
        <v>2.7397260273972599E-3</v>
      </c>
      <c r="K393" s="31">
        <f t="shared" si="306"/>
        <v>2.7397260273972599E-3</v>
      </c>
      <c r="L393" s="31">
        <f t="shared" si="306"/>
        <v>2.7397260273972599E-3</v>
      </c>
      <c r="M393" s="31">
        <f t="shared" si="306"/>
        <v>2.7397260273972599E-3</v>
      </c>
      <c r="N393" s="298"/>
      <c r="O393" s="298"/>
      <c r="P393" s="298"/>
      <c r="Q393" s="298"/>
      <c r="R393" s="298"/>
      <c r="S393" s="298"/>
      <c r="T393" s="298"/>
      <c r="U393" s="298"/>
      <c r="V393" s="298"/>
      <c r="W393" s="298"/>
      <c r="X393" s="298"/>
      <c r="Y393" s="298"/>
      <c r="Z393" s="298"/>
      <c r="AA393" s="298"/>
      <c r="AB393" s="298"/>
      <c r="AC393" s="298"/>
      <c r="AD393" s="298"/>
      <c r="AE393" s="298"/>
      <c r="AF393" s="298"/>
    </row>
    <row r="394" spans="1:32" ht="15.75" customHeight="1">
      <c r="A394" s="30" t="s">
        <v>125</v>
      </c>
      <c r="B394" s="31">
        <f t="shared" ref="B394:M394" si="307">IF($A$387=0,0,VLOOKUP($A$387,$A$19:$M$39,B$10+1,0)/(365/12/7)*HLOOKUP($A394,$O$18:$U$39,19,0))</f>
        <v>2.7397260273972599E-3</v>
      </c>
      <c r="C394" s="31">
        <f t="shared" si="307"/>
        <v>2.7397260273972599E-3</v>
      </c>
      <c r="D394" s="31">
        <f t="shared" si="307"/>
        <v>2.7397260273972599E-3</v>
      </c>
      <c r="E394" s="31">
        <f t="shared" si="307"/>
        <v>2.7397260273972599E-3</v>
      </c>
      <c r="F394" s="31">
        <f t="shared" si="307"/>
        <v>2.7397260273972599E-3</v>
      </c>
      <c r="G394" s="31">
        <f t="shared" si="307"/>
        <v>2.7397260273972599E-3</v>
      </c>
      <c r="H394" s="31">
        <f t="shared" si="307"/>
        <v>2.7397260273972599E-3</v>
      </c>
      <c r="I394" s="31">
        <f t="shared" si="307"/>
        <v>2.7397260273972599E-3</v>
      </c>
      <c r="J394" s="31">
        <f t="shared" si="307"/>
        <v>2.7397260273972599E-3</v>
      </c>
      <c r="K394" s="31">
        <f t="shared" si="307"/>
        <v>2.7397260273972599E-3</v>
      </c>
      <c r="L394" s="31">
        <f t="shared" si="307"/>
        <v>2.7397260273972599E-3</v>
      </c>
      <c r="M394" s="31">
        <f t="shared" si="307"/>
        <v>2.7397260273972599E-3</v>
      </c>
      <c r="N394" s="298"/>
      <c r="O394" s="298"/>
      <c r="P394" s="298"/>
      <c r="Q394" s="298"/>
      <c r="R394" s="298"/>
      <c r="S394" s="298"/>
      <c r="T394" s="298"/>
      <c r="U394" s="298"/>
      <c r="V394" s="298"/>
      <c r="W394" s="298"/>
      <c r="X394" s="298"/>
      <c r="Y394" s="298"/>
      <c r="Z394" s="298"/>
      <c r="AA394" s="298"/>
      <c r="AB394" s="298"/>
      <c r="AC394" s="298"/>
      <c r="AD394" s="298"/>
      <c r="AE394" s="298"/>
      <c r="AF394" s="298"/>
    </row>
    <row r="395" spans="1:32" ht="15.75" customHeight="1">
      <c r="A395" s="32" t="str">
        <f>A37</f>
        <v>Lagoa Grande - Estacionamento</v>
      </c>
      <c r="B395" s="33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298"/>
      <c r="O395" s="298"/>
      <c r="P395" s="298"/>
      <c r="Q395" s="298"/>
      <c r="R395" s="298"/>
      <c r="S395" s="298"/>
      <c r="T395" s="298"/>
      <c r="U395" s="298"/>
      <c r="V395" s="298"/>
      <c r="W395" s="298"/>
      <c r="X395" s="298"/>
      <c r="Y395" s="298"/>
      <c r="Z395" s="298"/>
      <c r="AA395" s="298"/>
      <c r="AB395" s="298"/>
      <c r="AC395" s="298"/>
      <c r="AD395" s="298"/>
      <c r="AE395" s="298"/>
      <c r="AF395" s="298"/>
    </row>
    <row r="396" spans="1:32" ht="15.75" customHeight="1">
      <c r="A396" s="30" t="s">
        <v>119</v>
      </c>
      <c r="B396" s="31">
        <f t="shared" ref="B396:M396" si="308">IF($A$395=0,0,VLOOKUP($A$395,$A$19:$M$39,B$10+1,0)/(365/12/7)*HLOOKUP($A396,$O$18:$U$39,20,0))</f>
        <v>2.7397260273972599E-3</v>
      </c>
      <c r="C396" s="31">
        <f t="shared" si="308"/>
        <v>2.7397260273972599E-3</v>
      </c>
      <c r="D396" s="31">
        <f t="shared" si="308"/>
        <v>2.7397260273972599E-3</v>
      </c>
      <c r="E396" s="31">
        <f t="shared" si="308"/>
        <v>2.7397260273972599E-3</v>
      </c>
      <c r="F396" s="31">
        <f t="shared" si="308"/>
        <v>2.7397260273972599E-3</v>
      </c>
      <c r="G396" s="31">
        <f t="shared" si="308"/>
        <v>2.7397260273972599E-3</v>
      </c>
      <c r="H396" s="31">
        <f t="shared" si="308"/>
        <v>2.7397260273972599E-3</v>
      </c>
      <c r="I396" s="31">
        <f t="shared" si="308"/>
        <v>2.7397260273972599E-3</v>
      </c>
      <c r="J396" s="31">
        <f t="shared" si="308"/>
        <v>2.7397260273972599E-3</v>
      </c>
      <c r="K396" s="31">
        <f t="shared" si="308"/>
        <v>2.7397260273972599E-3</v>
      </c>
      <c r="L396" s="31">
        <f t="shared" si="308"/>
        <v>2.7397260273972599E-3</v>
      </c>
      <c r="M396" s="31">
        <f t="shared" si="308"/>
        <v>2.7397260273972599E-3</v>
      </c>
      <c r="N396" s="298"/>
      <c r="O396" s="298"/>
      <c r="P396" s="298"/>
      <c r="Q396" s="298"/>
      <c r="R396" s="298"/>
      <c r="S396" s="298"/>
      <c r="T396" s="298"/>
      <c r="U396" s="298"/>
      <c r="V396" s="298"/>
      <c r="W396" s="298"/>
      <c r="X396" s="298"/>
      <c r="Y396" s="298"/>
      <c r="Z396" s="298"/>
      <c r="AA396" s="298"/>
      <c r="AB396" s="298"/>
      <c r="AC396" s="298"/>
      <c r="AD396" s="298"/>
      <c r="AE396" s="298"/>
      <c r="AF396" s="298"/>
    </row>
    <row r="397" spans="1:32" ht="15.75" customHeight="1">
      <c r="A397" s="30" t="s">
        <v>120</v>
      </c>
      <c r="B397" s="31">
        <f t="shared" ref="B397:M397" si="309">IF($A$395=0,0,VLOOKUP($A$395,$A$19:$M$39,B$10+1,0)/(365/12/7)*HLOOKUP($A397,$O$18:$U$39,20,0))</f>
        <v>2.7397260273972599E-3</v>
      </c>
      <c r="C397" s="31">
        <f t="shared" si="309"/>
        <v>2.7397260273972599E-3</v>
      </c>
      <c r="D397" s="31">
        <f t="shared" si="309"/>
        <v>2.7397260273972599E-3</v>
      </c>
      <c r="E397" s="31">
        <f t="shared" si="309"/>
        <v>2.7397260273972599E-3</v>
      </c>
      <c r="F397" s="31">
        <f t="shared" si="309"/>
        <v>2.7397260273972599E-3</v>
      </c>
      <c r="G397" s="31">
        <f t="shared" si="309"/>
        <v>2.7397260273972599E-3</v>
      </c>
      <c r="H397" s="31">
        <f t="shared" si="309"/>
        <v>2.7397260273972599E-3</v>
      </c>
      <c r="I397" s="31">
        <f t="shared" si="309"/>
        <v>2.7397260273972599E-3</v>
      </c>
      <c r="J397" s="31">
        <f t="shared" si="309"/>
        <v>2.7397260273972599E-3</v>
      </c>
      <c r="K397" s="31">
        <f t="shared" si="309"/>
        <v>2.7397260273972599E-3</v>
      </c>
      <c r="L397" s="31">
        <f t="shared" si="309"/>
        <v>2.7397260273972599E-3</v>
      </c>
      <c r="M397" s="31">
        <f t="shared" si="309"/>
        <v>2.7397260273972599E-3</v>
      </c>
      <c r="N397" s="298"/>
      <c r="O397" s="298"/>
      <c r="P397" s="298"/>
      <c r="Q397" s="298"/>
      <c r="R397" s="298"/>
      <c r="S397" s="298"/>
      <c r="T397" s="298"/>
      <c r="U397" s="298"/>
      <c r="V397" s="298"/>
      <c r="W397" s="298"/>
      <c r="X397" s="298"/>
      <c r="Y397" s="298"/>
      <c r="Z397" s="298"/>
      <c r="AA397" s="298"/>
      <c r="AB397" s="298"/>
      <c r="AC397" s="298"/>
      <c r="AD397" s="298"/>
      <c r="AE397" s="298"/>
      <c r="AF397" s="298"/>
    </row>
    <row r="398" spans="1:32" ht="15.75" customHeight="1">
      <c r="A398" s="30" t="s">
        <v>121</v>
      </c>
      <c r="B398" s="31">
        <f t="shared" ref="B398:M398" si="310">IF($A$395=0,0,VLOOKUP($A$395,$A$19:$M$39,B$10+1,0)/(365/12/7)*HLOOKUP($A398,$O$18:$U$39,20,0))</f>
        <v>2.7397260273972599E-3</v>
      </c>
      <c r="C398" s="31">
        <f t="shared" si="310"/>
        <v>2.7397260273972599E-3</v>
      </c>
      <c r="D398" s="31">
        <f t="shared" si="310"/>
        <v>2.7397260273972599E-3</v>
      </c>
      <c r="E398" s="31">
        <f t="shared" si="310"/>
        <v>2.7397260273972599E-3</v>
      </c>
      <c r="F398" s="31">
        <f t="shared" si="310"/>
        <v>2.7397260273972599E-3</v>
      </c>
      <c r="G398" s="31">
        <f t="shared" si="310"/>
        <v>2.7397260273972599E-3</v>
      </c>
      <c r="H398" s="31">
        <f t="shared" si="310"/>
        <v>2.7397260273972599E-3</v>
      </c>
      <c r="I398" s="31">
        <f t="shared" si="310"/>
        <v>2.7397260273972599E-3</v>
      </c>
      <c r="J398" s="31">
        <f t="shared" si="310"/>
        <v>2.7397260273972599E-3</v>
      </c>
      <c r="K398" s="31">
        <f t="shared" si="310"/>
        <v>2.7397260273972599E-3</v>
      </c>
      <c r="L398" s="31">
        <f t="shared" si="310"/>
        <v>2.7397260273972599E-3</v>
      </c>
      <c r="M398" s="31">
        <f t="shared" si="310"/>
        <v>2.7397260273972599E-3</v>
      </c>
      <c r="N398" s="298"/>
      <c r="O398" s="298"/>
      <c r="P398" s="298"/>
      <c r="Q398" s="298"/>
      <c r="R398" s="298"/>
      <c r="S398" s="298"/>
      <c r="T398" s="298"/>
      <c r="U398" s="298"/>
      <c r="V398" s="298"/>
      <c r="W398" s="298"/>
      <c r="X398" s="298"/>
      <c r="Y398" s="298"/>
      <c r="Z398" s="298"/>
      <c r="AA398" s="298"/>
      <c r="AB398" s="298"/>
      <c r="AC398" s="298"/>
      <c r="AD398" s="298"/>
      <c r="AE398" s="298"/>
      <c r="AF398" s="298"/>
    </row>
    <row r="399" spans="1:32" ht="15.75" customHeight="1">
      <c r="A399" s="30" t="s">
        <v>122</v>
      </c>
      <c r="B399" s="31">
        <f t="shared" ref="B399:M399" si="311">IF($A$395=0,0,VLOOKUP($A$395,$A$19:$M$39,B$10+1,0)/(365/12/7)*HLOOKUP($A399,$O$18:$U$39,20,0))</f>
        <v>2.7397260273972599E-3</v>
      </c>
      <c r="C399" s="31">
        <f t="shared" si="311"/>
        <v>2.7397260273972599E-3</v>
      </c>
      <c r="D399" s="31">
        <f t="shared" si="311"/>
        <v>2.7397260273972599E-3</v>
      </c>
      <c r="E399" s="31">
        <f t="shared" si="311"/>
        <v>2.7397260273972599E-3</v>
      </c>
      <c r="F399" s="31">
        <f t="shared" si="311"/>
        <v>2.7397260273972599E-3</v>
      </c>
      <c r="G399" s="31">
        <f t="shared" si="311"/>
        <v>2.7397260273972599E-3</v>
      </c>
      <c r="H399" s="31">
        <f t="shared" si="311"/>
        <v>2.7397260273972599E-3</v>
      </c>
      <c r="I399" s="31">
        <f t="shared" si="311"/>
        <v>2.7397260273972599E-3</v>
      </c>
      <c r="J399" s="31">
        <f t="shared" si="311"/>
        <v>2.7397260273972599E-3</v>
      </c>
      <c r="K399" s="31">
        <f t="shared" si="311"/>
        <v>2.7397260273972599E-3</v>
      </c>
      <c r="L399" s="31">
        <f t="shared" si="311"/>
        <v>2.7397260273972599E-3</v>
      </c>
      <c r="M399" s="31">
        <f t="shared" si="311"/>
        <v>2.7397260273972599E-3</v>
      </c>
      <c r="N399" s="298"/>
      <c r="O399" s="298"/>
      <c r="P399" s="298"/>
      <c r="Q399" s="298"/>
      <c r="R399" s="298"/>
      <c r="S399" s="298"/>
      <c r="T399" s="298"/>
      <c r="U399" s="298"/>
      <c r="V399" s="298"/>
      <c r="W399" s="298"/>
      <c r="X399" s="298"/>
      <c r="Y399" s="298"/>
      <c r="Z399" s="298"/>
      <c r="AA399" s="298"/>
      <c r="AB399" s="298"/>
      <c r="AC399" s="298"/>
      <c r="AD399" s="298"/>
      <c r="AE399" s="298"/>
      <c r="AF399" s="298"/>
    </row>
    <row r="400" spans="1:32" ht="15.75" customHeight="1">
      <c r="A400" s="30" t="s">
        <v>123</v>
      </c>
      <c r="B400" s="31">
        <f t="shared" ref="B400:M400" si="312">IF($A$395=0,0,VLOOKUP($A$395,$A$19:$M$39,B$10+1,0)/(365/12/7)*HLOOKUP($A400,$O$18:$U$39,20,0))</f>
        <v>2.7397260273972599E-3</v>
      </c>
      <c r="C400" s="31">
        <f t="shared" si="312"/>
        <v>2.7397260273972599E-3</v>
      </c>
      <c r="D400" s="31">
        <f t="shared" si="312"/>
        <v>2.7397260273972599E-3</v>
      </c>
      <c r="E400" s="31">
        <f t="shared" si="312"/>
        <v>2.7397260273972599E-3</v>
      </c>
      <c r="F400" s="31">
        <f t="shared" si="312"/>
        <v>2.7397260273972599E-3</v>
      </c>
      <c r="G400" s="31">
        <f t="shared" si="312"/>
        <v>2.7397260273972599E-3</v>
      </c>
      <c r="H400" s="31">
        <f t="shared" si="312"/>
        <v>2.7397260273972599E-3</v>
      </c>
      <c r="I400" s="31">
        <f t="shared" si="312"/>
        <v>2.7397260273972599E-3</v>
      </c>
      <c r="J400" s="31">
        <f t="shared" si="312"/>
        <v>2.7397260273972599E-3</v>
      </c>
      <c r="K400" s="31">
        <f t="shared" si="312"/>
        <v>2.7397260273972599E-3</v>
      </c>
      <c r="L400" s="31">
        <f t="shared" si="312"/>
        <v>2.7397260273972599E-3</v>
      </c>
      <c r="M400" s="31">
        <f t="shared" si="312"/>
        <v>2.7397260273972599E-3</v>
      </c>
      <c r="N400" s="298"/>
      <c r="O400" s="298"/>
      <c r="P400" s="298"/>
      <c r="Q400" s="298"/>
      <c r="R400" s="298"/>
      <c r="S400" s="298"/>
      <c r="T400" s="298"/>
      <c r="U400" s="298"/>
      <c r="V400" s="298"/>
      <c r="W400" s="298"/>
      <c r="X400" s="298"/>
      <c r="Y400" s="298"/>
      <c r="Z400" s="298"/>
      <c r="AA400" s="298"/>
      <c r="AB400" s="298"/>
      <c r="AC400" s="298"/>
      <c r="AD400" s="298"/>
      <c r="AE400" s="298"/>
      <c r="AF400" s="298"/>
    </row>
    <row r="401" spans="1:32" ht="15.75" customHeight="1">
      <c r="A401" s="30" t="s">
        <v>124</v>
      </c>
      <c r="B401" s="31">
        <f t="shared" ref="B401:M401" si="313">IF($A$395=0,0,VLOOKUP($A$395,$A$19:$M$39,B$10+1,0)/(365/12/7)*HLOOKUP($A401,$O$18:$U$39,20,0))</f>
        <v>2.7397260273972599E-3</v>
      </c>
      <c r="C401" s="31">
        <f t="shared" si="313"/>
        <v>2.7397260273972599E-3</v>
      </c>
      <c r="D401" s="31">
        <f t="shared" si="313"/>
        <v>2.7397260273972599E-3</v>
      </c>
      <c r="E401" s="31">
        <f t="shared" si="313"/>
        <v>2.7397260273972599E-3</v>
      </c>
      <c r="F401" s="31">
        <f t="shared" si="313"/>
        <v>2.7397260273972599E-3</v>
      </c>
      <c r="G401" s="31">
        <f t="shared" si="313"/>
        <v>2.7397260273972599E-3</v>
      </c>
      <c r="H401" s="31">
        <f t="shared" si="313"/>
        <v>2.7397260273972599E-3</v>
      </c>
      <c r="I401" s="31">
        <f t="shared" si="313"/>
        <v>2.7397260273972599E-3</v>
      </c>
      <c r="J401" s="31">
        <f t="shared" si="313"/>
        <v>2.7397260273972599E-3</v>
      </c>
      <c r="K401" s="31">
        <f t="shared" si="313"/>
        <v>2.7397260273972599E-3</v>
      </c>
      <c r="L401" s="31">
        <f t="shared" si="313"/>
        <v>2.7397260273972599E-3</v>
      </c>
      <c r="M401" s="31">
        <f t="shared" si="313"/>
        <v>2.7397260273972599E-3</v>
      </c>
      <c r="N401" s="298"/>
      <c r="O401" s="298"/>
      <c r="P401" s="298"/>
      <c r="Q401" s="298"/>
      <c r="R401" s="298"/>
      <c r="S401" s="298"/>
      <c r="T401" s="298"/>
      <c r="U401" s="298"/>
      <c r="V401" s="298"/>
      <c r="W401" s="298"/>
      <c r="X401" s="298"/>
      <c r="Y401" s="298"/>
      <c r="Z401" s="298"/>
      <c r="AA401" s="298"/>
      <c r="AB401" s="298"/>
      <c r="AC401" s="298"/>
      <c r="AD401" s="298"/>
      <c r="AE401" s="298"/>
      <c r="AF401" s="298"/>
    </row>
    <row r="402" spans="1:32" ht="15.75" customHeight="1">
      <c r="A402" s="30" t="s">
        <v>125</v>
      </c>
      <c r="B402" s="31">
        <f t="shared" ref="B402:M402" si="314">IF($A$395=0,0,VLOOKUP($A$395,$A$19:$M$39,B$10+1,0)/(365/12/7)*HLOOKUP($A402,$O$18:$U$39,20,0))</f>
        <v>2.7397260273972599E-3</v>
      </c>
      <c r="C402" s="31">
        <f t="shared" si="314"/>
        <v>2.7397260273972599E-3</v>
      </c>
      <c r="D402" s="31">
        <f t="shared" si="314"/>
        <v>2.7397260273972599E-3</v>
      </c>
      <c r="E402" s="31">
        <f t="shared" si="314"/>
        <v>2.7397260273972599E-3</v>
      </c>
      <c r="F402" s="31">
        <f t="shared" si="314"/>
        <v>2.7397260273972599E-3</v>
      </c>
      <c r="G402" s="31">
        <f t="shared" si="314"/>
        <v>2.7397260273972599E-3</v>
      </c>
      <c r="H402" s="31">
        <f t="shared" si="314"/>
        <v>2.7397260273972599E-3</v>
      </c>
      <c r="I402" s="31">
        <f t="shared" si="314"/>
        <v>2.7397260273972599E-3</v>
      </c>
      <c r="J402" s="31">
        <f t="shared" si="314"/>
        <v>2.7397260273972599E-3</v>
      </c>
      <c r="K402" s="31">
        <f t="shared" si="314"/>
        <v>2.7397260273972599E-3</v>
      </c>
      <c r="L402" s="31">
        <f t="shared" si="314"/>
        <v>2.7397260273972599E-3</v>
      </c>
      <c r="M402" s="31">
        <f t="shared" si="314"/>
        <v>2.7397260273972599E-3</v>
      </c>
      <c r="N402" s="298"/>
      <c r="O402" s="298"/>
      <c r="P402" s="298"/>
      <c r="Q402" s="298"/>
      <c r="R402" s="298"/>
      <c r="S402" s="298"/>
      <c r="T402" s="298"/>
      <c r="U402" s="298"/>
      <c r="V402" s="298"/>
      <c r="W402" s="298"/>
      <c r="X402" s="298"/>
      <c r="Y402" s="298"/>
      <c r="Z402" s="298"/>
      <c r="AA402" s="298"/>
      <c r="AB402" s="298"/>
      <c r="AC402" s="298"/>
      <c r="AD402" s="298"/>
      <c r="AE402" s="298"/>
      <c r="AF402" s="298"/>
    </row>
    <row r="403" spans="1:32" ht="15.75" customHeight="1">
      <c r="A403" s="32">
        <f>A38</f>
        <v>0</v>
      </c>
      <c r="B403" s="33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298"/>
      <c r="O403" s="298"/>
      <c r="P403" s="298"/>
      <c r="Q403" s="298"/>
      <c r="R403" s="298"/>
      <c r="S403" s="298"/>
      <c r="T403" s="298"/>
      <c r="U403" s="298"/>
      <c r="V403" s="298"/>
      <c r="W403" s="298"/>
      <c r="X403" s="298"/>
      <c r="Y403" s="298"/>
      <c r="Z403" s="298"/>
      <c r="AA403" s="298"/>
      <c r="AB403" s="298"/>
      <c r="AC403" s="298"/>
      <c r="AD403" s="298"/>
      <c r="AE403" s="298"/>
      <c r="AF403" s="298"/>
    </row>
    <row r="404" spans="1:32" ht="15.75" customHeight="1">
      <c r="A404" s="30" t="s">
        <v>119</v>
      </c>
      <c r="B404" s="31">
        <f t="shared" ref="B404:M404" si="315">IF($A$403=0,0,VLOOKUP($A$403,$A$19:$M$39,B$10+1,0)/(365/12/7)*HLOOKUP($A404,$O$18:$U$39,21,0))</f>
        <v>0</v>
      </c>
      <c r="C404" s="31">
        <f t="shared" si="315"/>
        <v>0</v>
      </c>
      <c r="D404" s="31">
        <f t="shared" si="315"/>
        <v>0</v>
      </c>
      <c r="E404" s="31">
        <f t="shared" si="315"/>
        <v>0</v>
      </c>
      <c r="F404" s="31">
        <f t="shared" si="315"/>
        <v>0</v>
      </c>
      <c r="G404" s="31">
        <f t="shared" si="315"/>
        <v>0</v>
      </c>
      <c r="H404" s="31">
        <f t="shared" si="315"/>
        <v>0</v>
      </c>
      <c r="I404" s="31">
        <f t="shared" si="315"/>
        <v>0</v>
      </c>
      <c r="J404" s="31">
        <f t="shared" si="315"/>
        <v>0</v>
      </c>
      <c r="K404" s="31">
        <f t="shared" si="315"/>
        <v>0</v>
      </c>
      <c r="L404" s="31">
        <f t="shared" si="315"/>
        <v>0</v>
      </c>
      <c r="M404" s="31">
        <f t="shared" si="315"/>
        <v>0</v>
      </c>
      <c r="N404" s="298"/>
      <c r="O404" s="298"/>
      <c r="P404" s="298"/>
      <c r="Q404" s="298"/>
      <c r="R404" s="298"/>
      <c r="S404" s="298"/>
      <c r="T404" s="298"/>
      <c r="U404" s="298"/>
      <c r="V404" s="298"/>
      <c r="W404" s="298"/>
      <c r="X404" s="298"/>
      <c r="Y404" s="298"/>
      <c r="Z404" s="298"/>
      <c r="AA404" s="298"/>
      <c r="AB404" s="298"/>
      <c r="AC404" s="298"/>
      <c r="AD404" s="298"/>
      <c r="AE404" s="298"/>
      <c r="AF404" s="298"/>
    </row>
    <row r="405" spans="1:32" ht="15.75" customHeight="1">
      <c r="A405" s="30" t="s">
        <v>120</v>
      </c>
      <c r="B405" s="31">
        <f t="shared" ref="B405:M405" si="316">IF($A$403=0,0,VLOOKUP($A$403,$A$19:$M$39,B$10+1,0)/(365/12/7)*HLOOKUP($A405,$O$18:$U$39,21,0))</f>
        <v>0</v>
      </c>
      <c r="C405" s="31">
        <f t="shared" si="316"/>
        <v>0</v>
      </c>
      <c r="D405" s="31">
        <f t="shared" si="316"/>
        <v>0</v>
      </c>
      <c r="E405" s="31">
        <f t="shared" si="316"/>
        <v>0</v>
      </c>
      <c r="F405" s="31">
        <f t="shared" si="316"/>
        <v>0</v>
      </c>
      <c r="G405" s="31">
        <f t="shared" si="316"/>
        <v>0</v>
      </c>
      <c r="H405" s="31">
        <f t="shared" si="316"/>
        <v>0</v>
      </c>
      <c r="I405" s="31">
        <f t="shared" si="316"/>
        <v>0</v>
      </c>
      <c r="J405" s="31">
        <f t="shared" si="316"/>
        <v>0</v>
      </c>
      <c r="K405" s="31">
        <f t="shared" si="316"/>
        <v>0</v>
      </c>
      <c r="L405" s="31">
        <f t="shared" si="316"/>
        <v>0</v>
      </c>
      <c r="M405" s="31">
        <f t="shared" si="316"/>
        <v>0</v>
      </c>
      <c r="N405" s="298"/>
      <c r="O405" s="298"/>
      <c r="P405" s="298"/>
      <c r="Q405" s="298"/>
      <c r="R405" s="298"/>
      <c r="S405" s="298"/>
      <c r="T405" s="298"/>
      <c r="U405" s="298"/>
      <c r="V405" s="298"/>
      <c r="W405" s="298"/>
      <c r="X405" s="298"/>
      <c r="Y405" s="298"/>
      <c r="Z405" s="298"/>
      <c r="AA405" s="298"/>
      <c r="AB405" s="298"/>
      <c r="AC405" s="298"/>
      <c r="AD405" s="298"/>
      <c r="AE405" s="298"/>
      <c r="AF405" s="298"/>
    </row>
    <row r="406" spans="1:32" ht="15.75" customHeight="1">
      <c r="A406" s="30" t="s">
        <v>121</v>
      </c>
      <c r="B406" s="31">
        <f t="shared" ref="B406:M406" si="317">IF($A$403=0,0,VLOOKUP($A$403,$A$19:$M$39,B$10+1,0)/(365/12/7)*HLOOKUP($A406,$O$18:$U$39,21,0))</f>
        <v>0</v>
      </c>
      <c r="C406" s="31">
        <f t="shared" si="317"/>
        <v>0</v>
      </c>
      <c r="D406" s="31">
        <f t="shared" si="317"/>
        <v>0</v>
      </c>
      <c r="E406" s="31">
        <f t="shared" si="317"/>
        <v>0</v>
      </c>
      <c r="F406" s="31">
        <f t="shared" si="317"/>
        <v>0</v>
      </c>
      <c r="G406" s="31">
        <f t="shared" si="317"/>
        <v>0</v>
      </c>
      <c r="H406" s="31">
        <f t="shared" si="317"/>
        <v>0</v>
      </c>
      <c r="I406" s="31">
        <f t="shared" si="317"/>
        <v>0</v>
      </c>
      <c r="J406" s="31">
        <f t="shared" si="317"/>
        <v>0</v>
      </c>
      <c r="K406" s="31">
        <f t="shared" si="317"/>
        <v>0</v>
      </c>
      <c r="L406" s="31">
        <f t="shared" si="317"/>
        <v>0</v>
      </c>
      <c r="M406" s="31">
        <f t="shared" si="317"/>
        <v>0</v>
      </c>
      <c r="N406" s="298"/>
      <c r="O406" s="298"/>
      <c r="P406" s="298"/>
      <c r="Q406" s="298"/>
      <c r="R406" s="298"/>
      <c r="S406" s="298"/>
      <c r="T406" s="298"/>
      <c r="U406" s="298"/>
      <c r="V406" s="298"/>
      <c r="W406" s="298"/>
      <c r="X406" s="298"/>
      <c r="Y406" s="298"/>
      <c r="Z406" s="298"/>
      <c r="AA406" s="298"/>
      <c r="AB406" s="298"/>
      <c r="AC406" s="298"/>
      <c r="AD406" s="298"/>
      <c r="AE406" s="298"/>
      <c r="AF406" s="298"/>
    </row>
    <row r="407" spans="1:32" ht="15.75" customHeight="1">
      <c r="A407" s="30" t="s">
        <v>122</v>
      </c>
      <c r="B407" s="31">
        <f t="shared" ref="B407:M407" si="318">IF($A$403=0,0,VLOOKUP($A$403,$A$19:$M$39,B$10+1,0)/(365/12/7)*HLOOKUP($A407,$O$18:$U$39,21,0))</f>
        <v>0</v>
      </c>
      <c r="C407" s="31">
        <f t="shared" si="318"/>
        <v>0</v>
      </c>
      <c r="D407" s="31">
        <f t="shared" si="318"/>
        <v>0</v>
      </c>
      <c r="E407" s="31">
        <f t="shared" si="318"/>
        <v>0</v>
      </c>
      <c r="F407" s="31">
        <f t="shared" si="318"/>
        <v>0</v>
      </c>
      <c r="G407" s="31">
        <f t="shared" si="318"/>
        <v>0</v>
      </c>
      <c r="H407" s="31">
        <f t="shared" si="318"/>
        <v>0</v>
      </c>
      <c r="I407" s="31">
        <f t="shared" si="318"/>
        <v>0</v>
      </c>
      <c r="J407" s="31">
        <f t="shared" si="318"/>
        <v>0</v>
      </c>
      <c r="K407" s="31">
        <f t="shared" si="318"/>
        <v>0</v>
      </c>
      <c r="L407" s="31">
        <f t="shared" si="318"/>
        <v>0</v>
      </c>
      <c r="M407" s="31">
        <f t="shared" si="318"/>
        <v>0</v>
      </c>
      <c r="N407" s="298"/>
      <c r="O407" s="298"/>
      <c r="P407" s="298"/>
      <c r="Q407" s="298"/>
      <c r="R407" s="298"/>
      <c r="S407" s="298"/>
      <c r="T407" s="298"/>
      <c r="U407" s="298"/>
      <c r="V407" s="298"/>
      <c r="W407" s="298"/>
      <c r="X407" s="298"/>
      <c r="Y407" s="298"/>
      <c r="Z407" s="298"/>
      <c r="AA407" s="298"/>
      <c r="AB407" s="298"/>
      <c r="AC407" s="298"/>
      <c r="AD407" s="298"/>
      <c r="AE407" s="298"/>
      <c r="AF407" s="298"/>
    </row>
    <row r="408" spans="1:32" ht="15.75" customHeight="1">
      <c r="A408" s="30" t="s">
        <v>123</v>
      </c>
      <c r="B408" s="31">
        <f t="shared" ref="B408:M408" si="319">IF($A$403=0,0,VLOOKUP($A$403,$A$19:$M$39,B$10+1,0)/(365/12/7)*HLOOKUP($A408,$O$18:$U$39,21,0))</f>
        <v>0</v>
      </c>
      <c r="C408" s="31">
        <f t="shared" si="319"/>
        <v>0</v>
      </c>
      <c r="D408" s="31">
        <f t="shared" si="319"/>
        <v>0</v>
      </c>
      <c r="E408" s="31">
        <f t="shared" si="319"/>
        <v>0</v>
      </c>
      <c r="F408" s="31">
        <f t="shared" si="319"/>
        <v>0</v>
      </c>
      <c r="G408" s="31">
        <f t="shared" si="319"/>
        <v>0</v>
      </c>
      <c r="H408" s="31">
        <f t="shared" si="319"/>
        <v>0</v>
      </c>
      <c r="I408" s="31">
        <f t="shared" si="319"/>
        <v>0</v>
      </c>
      <c r="J408" s="31">
        <f t="shared" si="319"/>
        <v>0</v>
      </c>
      <c r="K408" s="31">
        <f t="shared" si="319"/>
        <v>0</v>
      </c>
      <c r="L408" s="31">
        <f t="shared" si="319"/>
        <v>0</v>
      </c>
      <c r="M408" s="31">
        <f t="shared" si="319"/>
        <v>0</v>
      </c>
      <c r="N408" s="298"/>
      <c r="O408" s="298"/>
      <c r="P408" s="298"/>
      <c r="Q408" s="298"/>
      <c r="R408" s="298"/>
      <c r="S408" s="298"/>
      <c r="T408" s="298"/>
      <c r="U408" s="298"/>
      <c r="V408" s="298"/>
      <c r="W408" s="298"/>
      <c r="X408" s="298"/>
      <c r="Y408" s="298"/>
      <c r="Z408" s="298"/>
      <c r="AA408" s="298"/>
      <c r="AB408" s="298"/>
      <c r="AC408" s="298"/>
      <c r="AD408" s="298"/>
      <c r="AE408" s="298"/>
      <c r="AF408" s="298"/>
    </row>
    <row r="409" spans="1:32" ht="15.75" customHeight="1">
      <c r="A409" s="30" t="s">
        <v>124</v>
      </c>
      <c r="B409" s="31">
        <f t="shared" ref="B409:M409" si="320">IF($A$403=0,0,VLOOKUP($A$403,$A$19:$M$39,B$10+1,0)/(365/12/7)*HLOOKUP($A409,$O$18:$U$39,21,0))</f>
        <v>0</v>
      </c>
      <c r="C409" s="31">
        <f t="shared" si="320"/>
        <v>0</v>
      </c>
      <c r="D409" s="31">
        <f t="shared" si="320"/>
        <v>0</v>
      </c>
      <c r="E409" s="31">
        <f t="shared" si="320"/>
        <v>0</v>
      </c>
      <c r="F409" s="31">
        <f t="shared" si="320"/>
        <v>0</v>
      </c>
      <c r="G409" s="31">
        <f t="shared" si="320"/>
        <v>0</v>
      </c>
      <c r="H409" s="31">
        <f t="shared" si="320"/>
        <v>0</v>
      </c>
      <c r="I409" s="31">
        <f t="shared" si="320"/>
        <v>0</v>
      </c>
      <c r="J409" s="31">
        <f t="shared" si="320"/>
        <v>0</v>
      </c>
      <c r="K409" s="31">
        <f t="shared" si="320"/>
        <v>0</v>
      </c>
      <c r="L409" s="31">
        <f t="shared" si="320"/>
        <v>0</v>
      </c>
      <c r="M409" s="31">
        <f t="shared" si="320"/>
        <v>0</v>
      </c>
      <c r="N409" s="298"/>
      <c r="O409" s="298"/>
      <c r="P409" s="298"/>
      <c r="Q409" s="298"/>
      <c r="R409" s="298"/>
      <c r="S409" s="298"/>
      <c r="T409" s="298"/>
      <c r="U409" s="298"/>
      <c r="V409" s="298"/>
      <c r="W409" s="298"/>
      <c r="X409" s="298"/>
      <c r="Y409" s="298"/>
      <c r="Z409" s="298"/>
      <c r="AA409" s="298"/>
      <c r="AB409" s="298"/>
      <c r="AC409" s="298"/>
      <c r="AD409" s="298"/>
      <c r="AE409" s="298"/>
      <c r="AF409" s="298"/>
    </row>
    <row r="410" spans="1:32" ht="15.75" customHeight="1">
      <c r="A410" s="30" t="s">
        <v>125</v>
      </c>
      <c r="B410" s="31">
        <f t="shared" ref="B410:M410" si="321">IF($A$403=0,0,VLOOKUP($A$403,$A$19:$M$39,B$10+1,0)/(365/12/7)*HLOOKUP($A410,$O$18:$U$39,21,0))</f>
        <v>0</v>
      </c>
      <c r="C410" s="31">
        <f t="shared" si="321"/>
        <v>0</v>
      </c>
      <c r="D410" s="31">
        <f t="shared" si="321"/>
        <v>0</v>
      </c>
      <c r="E410" s="31">
        <f t="shared" si="321"/>
        <v>0</v>
      </c>
      <c r="F410" s="31">
        <f t="shared" si="321"/>
        <v>0</v>
      </c>
      <c r="G410" s="31">
        <f t="shared" si="321"/>
        <v>0</v>
      </c>
      <c r="H410" s="31">
        <f t="shared" si="321"/>
        <v>0</v>
      </c>
      <c r="I410" s="31">
        <f t="shared" si="321"/>
        <v>0</v>
      </c>
      <c r="J410" s="31">
        <f t="shared" si="321"/>
        <v>0</v>
      </c>
      <c r="K410" s="31">
        <f t="shared" si="321"/>
        <v>0</v>
      </c>
      <c r="L410" s="31">
        <f t="shared" si="321"/>
        <v>0</v>
      </c>
      <c r="M410" s="31">
        <f t="shared" si="321"/>
        <v>0</v>
      </c>
      <c r="N410" s="298"/>
      <c r="O410" s="298"/>
      <c r="P410" s="298"/>
      <c r="Q410" s="298"/>
      <c r="R410" s="298"/>
      <c r="S410" s="298"/>
      <c r="T410" s="298"/>
      <c r="U410" s="298"/>
      <c r="V410" s="298"/>
      <c r="W410" s="298"/>
      <c r="X410" s="298"/>
      <c r="Y410" s="298"/>
      <c r="Z410" s="298"/>
      <c r="AA410" s="298"/>
      <c r="AB410" s="298"/>
      <c r="AC410" s="298"/>
      <c r="AD410" s="298"/>
      <c r="AE410" s="298"/>
      <c r="AF410" s="298"/>
    </row>
    <row r="411" spans="1:32" ht="15.75" customHeight="1">
      <c r="A411" s="23">
        <f>A39</f>
        <v>0</v>
      </c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98"/>
      <c r="O411" s="298"/>
      <c r="P411" s="298"/>
      <c r="Q411" s="298"/>
      <c r="R411" s="298"/>
      <c r="S411" s="298"/>
      <c r="T411" s="298"/>
      <c r="U411" s="298"/>
      <c r="V411" s="298"/>
      <c r="W411" s="298"/>
      <c r="X411" s="298"/>
      <c r="Y411" s="298"/>
      <c r="Z411" s="298"/>
      <c r="AA411" s="298"/>
      <c r="AB411" s="298"/>
      <c r="AC411" s="298"/>
      <c r="AD411" s="298"/>
      <c r="AE411" s="298"/>
      <c r="AF411" s="298"/>
    </row>
    <row r="412" spans="1:32" ht="15.75" customHeight="1">
      <c r="A412" s="30" t="s">
        <v>119</v>
      </c>
      <c r="B412" s="31">
        <f t="shared" ref="B412:M412" si="322">IF($A$411=0,0,VLOOKUP($A$411,$A$19:$M$39,B$10+1,0)/(365/12/7)*HLOOKUP($A412,$O$18:$U$39,22,0))</f>
        <v>0</v>
      </c>
      <c r="C412" s="31">
        <f t="shared" si="322"/>
        <v>0</v>
      </c>
      <c r="D412" s="31">
        <f t="shared" si="322"/>
        <v>0</v>
      </c>
      <c r="E412" s="31">
        <f t="shared" si="322"/>
        <v>0</v>
      </c>
      <c r="F412" s="31">
        <f t="shared" si="322"/>
        <v>0</v>
      </c>
      <c r="G412" s="31">
        <f t="shared" si="322"/>
        <v>0</v>
      </c>
      <c r="H412" s="31">
        <f t="shared" si="322"/>
        <v>0</v>
      </c>
      <c r="I412" s="31">
        <f t="shared" si="322"/>
        <v>0</v>
      </c>
      <c r="J412" s="31">
        <f t="shared" si="322"/>
        <v>0</v>
      </c>
      <c r="K412" s="31">
        <f t="shared" si="322"/>
        <v>0</v>
      </c>
      <c r="L412" s="31">
        <f t="shared" si="322"/>
        <v>0</v>
      </c>
      <c r="M412" s="31">
        <f t="shared" si="322"/>
        <v>0</v>
      </c>
      <c r="N412" s="298"/>
      <c r="O412" s="298"/>
      <c r="P412" s="298"/>
      <c r="Q412" s="298"/>
      <c r="R412" s="298"/>
      <c r="S412" s="298"/>
      <c r="T412" s="298"/>
      <c r="U412" s="298"/>
      <c r="V412" s="298"/>
      <c r="W412" s="298"/>
      <c r="X412" s="298"/>
      <c r="Y412" s="298"/>
      <c r="Z412" s="298"/>
      <c r="AA412" s="298"/>
      <c r="AB412" s="298"/>
      <c r="AC412" s="298"/>
      <c r="AD412" s="298"/>
      <c r="AE412" s="298"/>
      <c r="AF412" s="298"/>
    </row>
    <row r="413" spans="1:32" ht="15.75" customHeight="1">
      <c r="A413" s="30" t="s">
        <v>120</v>
      </c>
      <c r="B413" s="31">
        <f t="shared" ref="B413:M413" si="323">IF($A$411=0,0,VLOOKUP($A$411,$A$19:$M$39,B$10+1,0)/(365/12/7)*HLOOKUP($A413,$O$18:$U$39,22,0))</f>
        <v>0</v>
      </c>
      <c r="C413" s="31">
        <f t="shared" si="323"/>
        <v>0</v>
      </c>
      <c r="D413" s="31">
        <f t="shared" si="323"/>
        <v>0</v>
      </c>
      <c r="E413" s="31">
        <f t="shared" si="323"/>
        <v>0</v>
      </c>
      <c r="F413" s="31">
        <f t="shared" si="323"/>
        <v>0</v>
      </c>
      <c r="G413" s="31">
        <f t="shared" si="323"/>
        <v>0</v>
      </c>
      <c r="H413" s="31">
        <f t="shared" si="323"/>
        <v>0</v>
      </c>
      <c r="I413" s="31">
        <f t="shared" si="323"/>
        <v>0</v>
      </c>
      <c r="J413" s="31">
        <f t="shared" si="323"/>
        <v>0</v>
      </c>
      <c r="K413" s="31">
        <f t="shared" si="323"/>
        <v>0</v>
      </c>
      <c r="L413" s="31">
        <f t="shared" si="323"/>
        <v>0</v>
      </c>
      <c r="M413" s="31">
        <f t="shared" si="323"/>
        <v>0</v>
      </c>
      <c r="N413" s="298"/>
      <c r="O413" s="298"/>
      <c r="P413" s="298"/>
      <c r="Q413" s="298"/>
      <c r="R413" s="298"/>
      <c r="S413" s="298"/>
      <c r="T413" s="298"/>
      <c r="U413" s="298"/>
      <c r="V413" s="298"/>
      <c r="W413" s="298"/>
      <c r="X413" s="298"/>
      <c r="Y413" s="298"/>
      <c r="Z413" s="298"/>
      <c r="AA413" s="298"/>
      <c r="AB413" s="298"/>
      <c r="AC413" s="298"/>
      <c r="AD413" s="298"/>
      <c r="AE413" s="298"/>
      <c r="AF413" s="298"/>
    </row>
    <row r="414" spans="1:32" ht="15.75" customHeight="1">
      <c r="A414" s="30" t="s">
        <v>121</v>
      </c>
      <c r="B414" s="31">
        <f t="shared" ref="B414:M414" si="324">IF($A$411=0,0,VLOOKUP($A$411,$A$19:$M$39,B$10+1,0)/(365/12/7)*HLOOKUP($A414,$O$18:$U$39,22,0))</f>
        <v>0</v>
      </c>
      <c r="C414" s="31">
        <f t="shared" si="324"/>
        <v>0</v>
      </c>
      <c r="D414" s="31">
        <f t="shared" si="324"/>
        <v>0</v>
      </c>
      <c r="E414" s="31">
        <f t="shared" si="324"/>
        <v>0</v>
      </c>
      <c r="F414" s="31">
        <f t="shared" si="324"/>
        <v>0</v>
      </c>
      <c r="G414" s="31">
        <f t="shared" si="324"/>
        <v>0</v>
      </c>
      <c r="H414" s="31">
        <f t="shared" si="324"/>
        <v>0</v>
      </c>
      <c r="I414" s="31">
        <f t="shared" si="324"/>
        <v>0</v>
      </c>
      <c r="J414" s="31">
        <f t="shared" si="324"/>
        <v>0</v>
      </c>
      <c r="K414" s="31">
        <f t="shared" si="324"/>
        <v>0</v>
      </c>
      <c r="L414" s="31">
        <f t="shared" si="324"/>
        <v>0</v>
      </c>
      <c r="M414" s="31">
        <f t="shared" si="324"/>
        <v>0</v>
      </c>
      <c r="N414" s="298"/>
      <c r="O414" s="298"/>
      <c r="P414" s="298"/>
      <c r="Q414" s="298"/>
      <c r="R414" s="298"/>
      <c r="S414" s="298"/>
      <c r="T414" s="298"/>
      <c r="U414" s="298"/>
      <c r="V414" s="298"/>
      <c r="W414" s="298"/>
      <c r="X414" s="298"/>
      <c r="Y414" s="298"/>
      <c r="Z414" s="298"/>
      <c r="AA414" s="298"/>
      <c r="AB414" s="298"/>
      <c r="AC414" s="298"/>
      <c r="AD414" s="298"/>
      <c r="AE414" s="298"/>
      <c r="AF414" s="298"/>
    </row>
    <row r="415" spans="1:32" ht="15.75" customHeight="1">
      <c r="A415" s="30" t="s">
        <v>122</v>
      </c>
      <c r="B415" s="31">
        <f t="shared" ref="B415:M415" si="325">IF($A$411=0,0,VLOOKUP($A$411,$A$19:$M$39,B$10+1,0)/(365/12/7)*HLOOKUP($A415,$O$18:$U$39,22,0))</f>
        <v>0</v>
      </c>
      <c r="C415" s="31">
        <f t="shared" si="325"/>
        <v>0</v>
      </c>
      <c r="D415" s="31">
        <f t="shared" si="325"/>
        <v>0</v>
      </c>
      <c r="E415" s="31">
        <f t="shared" si="325"/>
        <v>0</v>
      </c>
      <c r="F415" s="31">
        <f t="shared" si="325"/>
        <v>0</v>
      </c>
      <c r="G415" s="31">
        <f t="shared" si="325"/>
        <v>0</v>
      </c>
      <c r="H415" s="31">
        <f t="shared" si="325"/>
        <v>0</v>
      </c>
      <c r="I415" s="31">
        <f t="shared" si="325"/>
        <v>0</v>
      </c>
      <c r="J415" s="31">
        <f t="shared" si="325"/>
        <v>0</v>
      </c>
      <c r="K415" s="31">
        <f t="shared" si="325"/>
        <v>0</v>
      </c>
      <c r="L415" s="31">
        <f t="shared" si="325"/>
        <v>0</v>
      </c>
      <c r="M415" s="31">
        <f t="shared" si="325"/>
        <v>0</v>
      </c>
      <c r="N415" s="298"/>
      <c r="O415" s="298"/>
      <c r="P415" s="298"/>
      <c r="Q415" s="298"/>
      <c r="R415" s="298"/>
      <c r="S415" s="298"/>
      <c r="T415" s="298"/>
      <c r="U415" s="298"/>
      <c r="V415" s="298"/>
      <c r="W415" s="298"/>
      <c r="X415" s="298"/>
      <c r="Y415" s="298"/>
      <c r="Z415" s="298"/>
      <c r="AA415" s="298"/>
      <c r="AB415" s="298"/>
      <c r="AC415" s="298"/>
      <c r="AD415" s="298"/>
      <c r="AE415" s="298"/>
      <c r="AF415" s="298"/>
    </row>
    <row r="416" spans="1:32" ht="15.75" customHeight="1">
      <c r="A416" s="30" t="s">
        <v>123</v>
      </c>
      <c r="B416" s="31">
        <f t="shared" ref="B416:M416" si="326">IF($A$411=0,0,VLOOKUP($A$411,$A$19:$M$39,B$10+1,0)/(365/12/7)*HLOOKUP($A416,$O$18:$U$39,22,0))</f>
        <v>0</v>
      </c>
      <c r="C416" s="31">
        <f t="shared" si="326"/>
        <v>0</v>
      </c>
      <c r="D416" s="31">
        <f t="shared" si="326"/>
        <v>0</v>
      </c>
      <c r="E416" s="31">
        <f t="shared" si="326"/>
        <v>0</v>
      </c>
      <c r="F416" s="31">
        <f t="shared" si="326"/>
        <v>0</v>
      </c>
      <c r="G416" s="31">
        <f t="shared" si="326"/>
        <v>0</v>
      </c>
      <c r="H416" s="31">
        <f t="shared" si="326"/>
        <v>0</v>
      </c>
      <c r="I416" s="31">
        <f t="shared" si="326"/>
        <v>0</v>
      </c>
      <c r="J416" s="31">
        <f t="shared" si="326"/>
        <v>0</v>
      </c>
      <c r="K416" s="31">
        <f t="shared" si="326"/>
        <v>0</v>
      </c>
      <c r="L416" s="31">
        <f t="shared" si="326"/>
        <v>0</v>
      </c>
      <c r="M416" s="31">
        <f t="shared" si="326"/>
        <v>0</v>
      </c>
      <c r="N416" s="298"/>
      <c r="O416" s="298"/>
      <c r="P416" s="298"/>
      <c r="Q416" s="298"/>
      <c r="R416" s="298"/>
      <c r="S416" s="298"/>
      <c r="T416" s="298"/>
      <c r="U416" s="298"/>
      <c r="V416" s="298"/>
      <c r="W416" s="298"/>
      <c r="X416" s="298"/>
      <c r="Y416" s="298"/>
      <c r="Z416" s="298"/>
      <c r="AA416" s="298"/>
      <c r="AB416" s="298"/>
      <c r="AC416" s="298"/>
      <c r="AD416" s="298"/>
      <c r="AE416" s="298"/>
      <c r="AF416" s="298"/>
    </row>
    <row r="417" spans="1:32" ht="15.75" customHeight="1">
      <c r="A417" s="30" t="s">
        <v>124</v>
      </c>
      <c r="B417" s="31">
        <f t="shared" ref="B417:M417" si="327">IF($A$411=0,0,VLOOKUP($A$411,$A$19:$M$39,B$10+1,0)/(365/12/7)*HLOOKUP($A417,$O$18:$U$39,22,0))</f>
        <v>0</v>
      </c>
      <c r="C417" s="31">
        <f t="shared" si="327"/>
        <v>0</v>
      </c>
      <c r="D417" s="31">
        <f t="shared" si="327"/>
        <v>0</v>
      </c>
      <c r="E417" s="31">
        <f t="shared" si="327"/>
        <v>0</v>
      </c>
      <c r="F417" s="31">
        <f t="shared" si="327"/>
        <v>0</v>
      </c>
      <c r="G417" s="31">
        <f t="shared" si="327"/>
        <v>0</v>
      </c>
      <c r="H417" s="31">
        <f t="shared" si="327"/>
        <v>0</v>
      </c>
      <c r="I417" s="31">
        <f t="shared" si="327"/>
        <v>0</v>
      </c>
      <c r="J417" s="31">
        <f t="shared" si="327"/>
        <v>0</v>
      </c>
      <c r="K417" s="31">
        <f t="shared" si="327"/>
        <v>0</v>
      </c>
      <c r="L417" s="31">
        <f t="shared" si="327"/>
        <v>0</v>
      </c>
      <c r="M417" s="31">
        <f t="shared" si="327"/>
        <v>0</v>
      </c>
      <c r="N417" s="298"/>
      <c r="O417" s="298"/>
      <c r="P417" s="298"/>
      <c r="Q417" s="298"/>
      <c r="R417" s="298"/>
      <c r="S417" s="298"/>
      <c r="T417" s="298"/>
      <c r="U417" s="298"/>
      <c r="V417" s="298"/>
      <c r="W417" s="298"/>
      <c r="X417" s="298"/>
      <c r="Y417" s="298"/>
      <c r="Z417" s="298"/>
      <c r="AA417" s="298"/>
      <c r="AB417" s="298"/>
      <c r="AC417" s="298"/>
      <c r="AD417" s="298"/>
      <c r="AE417" s="298"/>
      <c r="AF417" s="298"/>
    </row>
    <row r="418" spans="1:32" ht="15.75" customHeight="1">
      <c r="A418" s="30" t="s">
        <v>125</v>
      </c>
      <c r="B418" s="31">
        <f t="shared" ref="B418:M418" si="328">IF($A$411=0,0,VLOOKUP($A$411,$A$19:$M$39,B$10+1,0)/(365/12/7)*HLOOKUP($A418,$O$18:$U$39,22,0))</f>
        <v>0</v>
      </c>
      <c r="C418" s="31">
        <f t="shared" si="328"/>
        <v>0</v>
      </c>
      <c r="D418" s="31">
        <f t="shared" si="328"/>
        <v>0</v>
      </c>
      <c r="E418" s="31">
        <f t="shared" si="328"/>
        <v>0</v>
      </c>
      <c r="F418" s="31">
        <f t="shared" si="328"/>
        <v>0</v>
      </c>
      <c r="G418" s="31">
        <f t="shared" si="328"/>
        <v>0</v>
      </c>
      <c r="H418" s="31">
        <f t="shared" si="328"/>
        <v>0</v>
      </c>
      <c r="I418" s="31">
        <f t="shared" si="328"/>
        <v>0</v>
      </c>
      <c r="J418" s="31">
        <f t="shared" si="328"/>
        <v>0</v>
      </c>
      <c r="K418" s="31">
        <f t="shared" si="328"/>
        <v>0</v>
      </c>
      <c r="L418" s="31">
        <f t="shared" si="328"/>
        <v>0</v>
      </c>
      <c r="M418" s="31">
        <f t="shared" si="328"/>
        <v>0</v>
      </c>
      <c r="N418" s="298"/>
      <c r="O418" s="298"/>
      <c r="P418" s="298"/>
      <c r="Q418" s="298"/>
      <c r="R418" s="298"/>
      <c r="S418" s="298"/>
      <c r="T418" s="298"/>
      <c r="U418" s="298"/>
      <c r="V418" s="298"/>
      <c r="W418" s="298"/>
      <c r="X418" s="298"/>
      <c r="Y418" s="298"/>
      <c r="Z418" s="298"/>
      <c r="AA418" s="298"/>
      <c r="AB418" s="298"/>
      <c r="AC418" s="298"/>
      <c r="AD418" s="298"/>
      <c r="AE418" s="298"/>
      <c r="AF418" s="298"/>
    </row>
  </sheetData>
  <mergeCells count="34">
    <mergeCell ref="W17:W18"/>
    <mergeCell ref="X17:X18"/>
    <mergeCell ref="Y17:Y18"/>
    <mergeCell ref="Z17:Z18"/>
    <mergeCell ref="A3:A4"/>
    <mergeCell ref="B3:B4"/>
    <mergeCell ref="A9:A10"/>
    <mergeCell ref="B9:AE9"/>
    <mergeCell ref="A17:A18"/>
    <mergeCell ref="B17:M17"/>
    <mergeCell ref="N17:N18"/>
    <mergeCell ref="AA17:AA18"/>
    <mergeCell ref="O17:U17"/>
    <mergeCell ref="V17:V18"/>
    <mergeCell ref="A223:A224"/>
    <mergeCell ref="A249:A250"/>
    <mergeCell ref="AF95:AF96"/>
    <mergeCell ref="AF120:AF121"/>
    <mergeCell ref="AF145:AF146"/>
    <mergeCell ref="B145:AE145"/>
    <mergeCell ref="B171:AE171"/>
    <mergeCell ref="B198:AE198"/>
    <mergeCell ref="B223:AE223"/>
    <mergeCell ref="B249:M249"/>
    <mergeCell ref="A95:A96"/>
    <mergeCell ref="A120:A121"/>
    <mergeCell ref="A145:A146"/>
    <mergeCell ref="A171:A172"/>
    <mergeCell ref="A198:A199"/>
    <mergeCell ref="A42:A43"/>
    <mergeCell ref="B42:AE42"/>
    <mergeCell ref="B68:AE68"/>
    <mergeCell ref="B95:AE95"/>
    <mergeCell ref="B120:AE120"/>
  </mergeCells>
  <conditionalFormatting sqref="B11:AE13">
    <cfRule type="cellIs" dxfId="35" priority="23" operator="lessThan">
      <formula>0</formula>
    </cfRule>
    <cfRule type="cellIs" dxfId="34" priority="24" operator="greaterThan">
      <formula>0</formula>
    </cfRule>
  </conditionalFormatting>
  <conditionalFormatting sqref="B200:AE220">
    <cfRule type="cellIs" dxfId="33" priority="6" operator="greaterThan">
      <formula>0</formula>
    </cfRule>
  </conditionalFormatting>
  <conditionalFormatting sqref="N19:N39">
    <cfRule type="cellIs" dxfId="32" priority="1" operator="notEqual">
      <formula>1</formula>
    </cfRule>
    <cfRule type="cellIs" dxfId="31" priority="2" operator="equal">
      <formula>1</formula>
    </cfRule>
  </conditionalFormatting>
  <conditionalFormatting sqref="V19:V39">
    <cfRule type="cellIs" dxfId="30" priority="3" operator="notEqual">
      <formula>1</formula>
    </cfRule>
    <cfRule type="cellIs" dxfId="29" priority="4" operator="equal">
      <formula>1</formula>
    </cfRule>
  </conditionalFormatting>
  <conditionalFormatting sqref="W19:Z23 W24:W38 W39:Z39">
    <cfRule type="notContainsBlanks" dxfId="28" priority="5">
      <formula>LEN(TRIM(W19))&gt;0</formula>
    </cfRule>
  </conditionalFormatting>
  <conditionalFormatting sqref="X28:Y28">
    <cfRule type="notContainsBlanks" dxfId="27" priority="48">
      <formula>LEN(TRIM(X28))&gt;0</formula>
    </cfRule>
  </conditionalFormatting>
  <conditionalFormatting sqref="X24:Z27">
    <cfRule type="notContainsBlanks" dxfId="26" priority="27">
      <formula>LEN(TRIM(X24))&gt;0</formula>
    </cfRule>
  </conditionalFormatting>
  <conditionalFormatting sqref="X29:Z33">
    <cfRule type="notContainsBlanks" dxfId="25" priority="33">
      <formula>LEN(TRIM(X29))&gt;0</formula>
    </cfRule>
  </conditionalFormatting>
  <conditionalFormatting sqref="X35:Z38">
    <cfRule type="notContainsBlanks" dxfId="24" priority="42">
      <formula>LEN(TRIM(X35))&gt;0</formula>
    </cfRule>
  </conditionalFormatting>
  <conditionalFormatting sqref="AA19:AA27 AA39">
    <cfRule type="containsText" dxfId="23" priority="25" operator="containsText" text="Não">
      <formula>NOT(ISERROR(SEARCH(("Não"),(AA19))))</formula>
    </cfRule>
    <cfRule type="containsText" dxfId="22" priority="26" operator="containsText" text="Sim">
      <formula>NOT(ISERROR(SEARCH(("Sim"),(AA19))))</formula>
    </cfRule>
  </conditionalFormatting>
  <conditionalFormatting sqref="AA29:AA33">
    <cfRule type="containsText" dxfId="21" priority="34" operator="containsText" text="Não">
      <formula>NOT(ISERROR(SEARCH(("Não"),(AA29))))</formula>
    </cfRule>
    <cfRule type="containsText" dxfId="20" priority="35" operator="containsText" text="Sim">
      <formula>NOT(ISERROR(SEARCH(("Sim"),(AA29))))</formula>
    </cfRule>
  </conditionalFormatting>
  <conditionalFormatting sqref="AA35:AA37">
    <cfRule type="containsText" dxfId="19" priority="43" operator="containsText" text="Não">
      <formula>NOT(ISERROR(SEARCH(("Não"),(AA35))))</formula>
    </cfRule>
    <cfRule type="containsText" dxfId="18" priority="44" operator="containsText" text="Sim">
      <formula>NOT(ISERROR(SEARCH(("Sim"),(AA35))))</formula>
    </cfRule>
  </conditionalFormatting>
  <conditionalFormatting sqref="AA35:AA38">
    <cfRule type="containsText" dxfId="17" priority="64" operator="containsText" text="Não">
      <formula>NOT(ISERROR(SEARCH(("Não"),(AA35))))</formula>
    </cfRule>
    <cfRule type="containsText" dxfId="16" priority="65" operator="containsText" text="Sim">
      <formula>NOT(ISERROR(SEARCH(("Sim"),(AA35))))</formula>
    </cfRule>
  </conditionalFormatting>
  <dataValidations count="5">
    <dataValidation type="list" allowBlank="1" showErrorMessage="1" sqref="B6" xr:uid="{00000000-0002-0000-0200-000000000000}">
      <formula1>$A$11:$A$13</formula1>
    </dataValidation>
    <dataValidation type="list" allowBlank="1" showErrorMessage="1" sqref="AA20:AA27 AA29:AA33 AA35:AA39" xr:uid="{00000000-0002-0000-0200-000001000000}">
      <formula1>"Sim,Não"</formula1>
    </dataValidation>
    <dataValidation type="list" allowBlank="1" showErrorMessage="1" sqref="X20:X33 X35:X39" xr:uid="{00000000-0002-0000-0200-000002000000}">
      <formula1>CatReceita</formula1>
    </dataValidation>
    <dataValidation type="list" allowBlank="1" showErrorMessage="1" sqref="X19:AA19" xr:uid="{00000000-0002-0000-0200-000003000000}">
      <formula1>"Serviços,Transporte,Alimentação,Produtos,Locações,Patrocínios"</formula1>
    </dataValidation>
    <dataValidation type="list" allowBlank="1" showErrorMessage="1" sqref="Y20:Y33 Y35:Y39" xr:uid="{00000000-0002-0000-0200-000004000000}">
      <formula1>TipoUGC</formula1>
    </dataValidation>
  </dataValidations>
  <pageMargins left="0.75" right="0.75" top="1" bottom="1" header="0" footer="0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ilha31">
    <tabColor theme="1"/>
  </sheetPr>
  <dimension ref="A3:B19"/>
  <sheetViews>
    <sheetView workbookViewId="0"/>
  </sheetViews>
  <sheetFormatPr defaultColWidth="10.88671875" defaultRowHeight="15.6"/>
  <cols>
    <col min="1" max="1" width="29.5546875" bestFit="1" customWidth="1"/>
    <col min="2" max="2" width="17.21875" style="404" bestFit="1" customWidth="1"/>
  </cols>
  <sheetData>
    <row r="3" spans="1:2">
      <c r="A3" s="413" t="s">
        <v>873</v>
      </c>
      <c r="B3" s="418" t="s">
        <v>874</v>
      </c>
    </row>
    <row r="4" spans="1:2">
      <c r="A4" s="415" t="s">
        <v>234</v>
      </c>
      <c r="B4" s="418">
        <v>71092968.870000005</v>
      </c>
    </row>
    <row r="5" spans="1:2">
      <c r="A5" s="416" t="s">
        <v>196</v>
      </c>
      <c r="B5" s="419">
        <v>25727750.399999999</v>
      </c>
    </row>
    <row r="6" spans="1:2">
      <c r="A6" s="416" t="s">
        <v>79</v>
      </c>
      <c r="B6" s="419">
        <v>12894312.857800001</v>
      </c>
    </row>
    <row r="7" spans="1:2">
      <c r="A7" s="416" t="s">
        <v>100</v>
      </c>
      <c r="B7" s="419">
        <v>4632170.4000000004</v>
      </c>
    </row>
    <row r="8" spans="1:2">
      <c r="A8" s="416" t="s">
        <v>83</v>
      </c>
      <c r="B8" s="419">
        <v>1131277.3119999999</v>
      </c>
    </row>
    <row r="9" spans="1:2">
      <c r="A9" s="416" t="s">
        <v>85</v>
      </c>
      <c r="B9" s="419">
        <v>1129738.324</v>
      </c>
    </row>
    <row r="10" spans="1:2">
      <c r="A10" s="416" t="s">
        <v>95</v>
      </c>
      <c r="B10" s="419">
        <v>818920.38800000004</v>
      </c>
    </row>
    <row r="11" spans="1:2">
      <c r="A11" s="416" t="s">
        <v>192</v>
      </c>
      <c r="B11" s="419">
        <v>646800</v>
      </c>
    </row>
    <row r="12" spans="1:2">
      <c r="A12" s="424" t="s">
        <v>102</v>
      </c>
      <c r="B12" s="419">
        <v>633165.23600000003</v>
      </c>
    </row>
    <row r="13" spans="1:2">
      <c r="A13" s="416" t="s">
        <v>88</v>
      </c>
      <c r="B13" s="419">
        <v>624482.10000000009</v>
      </c>
    </row>
    <row r="14" spans="1:2">
      <c r="A14" s="416" t="s">
        <v>87</v>
      </c>
      <c r="B14" s="419">
        <v>526070.60000000009</v>
      </c>
    </row>
    <row r="15" spans="1:2">
      <c r="A15" s="416" t="s">
        <v>101</v>
      </c>
      <c r="B15" s="419">
        <v>406090.85</v>
      </c>
    </row>
    <row r="16" spans="1:2">
      <c r="A16" s="416" t="s">
        <v>200</v>
      </c>
      <c r="B16" s="419">
        <v>405930.8</v>
      </c>
    </row>
    <row r="17" spans="1:2">
      <c r="A17" s="416" t="s">
        <v>93</v>
      </c>
      <c r="B17" s="419">
        <v>379922.598</v>
      </c>
    </row>
    <row r="18" spans="1:2">
      <c r="A18" s="416" t="s">
        <v>96</v>
      </c>
      <c r="B18" s="419">
        <v>102382.52200000001</v>
      </c>
    </row>
    <row r="19" spans="1:2">
      <c r="A19" s="417" t="s">
        <v>876</v>
      </c>
      <c r="B19" s="420">
        <v>121151983.25780001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1">
    <tabColor theme="1"/>
  </sheetPr>
  <dimension ref="A1"/>
  <sheetViews>
    <sheetView workbookViewId="0"/>
  </sheetViews>
  <sheetFormatPr defaultColWidth="8.5546875" defaultRowHeight="15" customHeight="1"/>
  <sheetData/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ilha27">
    <tabColor theme="1"/>
  </sheetPr>
  <dimension ref="A1:G140"/>
  <sheetViews>
    <sheetView workbookViewId="0"/>
  </sheetViews>
  <sheetFormatPr defaultColWidth="11.44140625" defaultRowHeight="15" customHeight="1"/>
  <cols>
    <col min="1" max="1" width="44.5546875" bestFit="1" customWidth="1"/>
    <col min="2" max="2" width="11.44140625" customWidth="1"/>
    <col min="3" max="3" width="40.77734375" bestFit="1" customWidth="1"/>
    <col min="4" max="4" width="15.44140625" customWidth="1"/>
    <col min="6" max="6" width="13.5546875" bestFit="1" customWidth="1"/>
    <col min="8" max="8" width="11.44140625" customWidth="1"/>
  </cols>
  <sheetData>
    <row r="1" spans="1:6" ht="15.6">
      <c r="D1" s="388"/>
      <c r="E1" s="330"/>
    </row>
    <row r="2" spans="1:6" ht="15.6">
      <c r="A2" s="311" t="s">
        <v>164</v>
      </c>
      <c r="B2" s="311"/>
      <c r="C2" s="311" t="s">
        <v>187</v>
      </c>
      <c r="D2" s="312" t="s">
        <v>877</v>
      </c>
      <c r="E2" s="313" t="s">
        <v>878</v>
      </c>
      <c r="F2" s="311" t="s">
        <v>879</v>
      </c>
    </row>
    <row r="3" spans="1:6" ht="15.6">
      <c r="A3" s="314" t="s">
        <v>352</v>
      </c>
      <c r="B3" s="314"/>
      <c r="C3" s="314" t="s">
        <v>880</v>
      </c>
      <c r="D3" s="315">
        <v>64</v>
      </c>
      <c r="E3" s="316"/>
      <c r="F3" s="317" t="s">
        <v>248</v>
      </c>
    </row>
    <row r="4" spans="1:6" ht="15.6">
      <c r="A4" s="314" t="s">
        <v>357</v>
      </c>
      <c r="B4" s="314"/>
      <c r="C4" s="314" t="s">
        <v>880</v>
      </c>
      <c r="D4" s="318">
        <v>1</v>
      </c>
      <c r="E4" s="316"/>
      <c r="F4" s="317" t="s">
        <v>358</v>
      </c>
    </row>
    <row r="5" spans="1:6" ht="15.6">
      <c r="A5" s="314" t="s">
        <v>360</v>
      </c>
      <c r="B5" s="314"/>
      <c r="C5" s="314" t="s">
        <v>880</v>
      </c>
      <c r="D5" s="318">
        <v>1</v>
      </c>
      <c r="E5" s="316"/>
      <c r="F5" s="317" t="s">
        <v>358</v>
      </c>
    </row>
    <row r="6" spans="1:6" ht="15.6">
      <c r="A6" s="314" t="s">
        <v>881</v>
      </c>
      <c r="B6" s="314"/>
      <c r="C6" s="314" t="s">
        <v>880</v>
      </c>
      <c r="D6" s="318">
        <v>16</v>
      </c>
      <c r="E6" s="316"/>
      <c r="F6" s="317" t="s">
        <v>248</v>
      </c>
    </row>
    <row r="7" spans="1:6" ht="15.6">
      <c r="A7" s="314"/>
      <c r="B7" s="314"/>
      <c r="C7" s="314"/>
      <c r="D7" s="318"/>
      <c r="E7" s="316"/>
      <c r="F7" s="317"/>
    </row>
    <row r="8" spans="1:6" ht="15.6">
      <c r="A8" s="319" t="s">
        <v>352</v>
      </c>
      <c r="B8" s="319"/>
      <c r="C8" s="319" t="s">
        <v>882</v>
      </c>
      <c r="D8" s="315">
        <v>31</v>
      </c>
      <c r="E8" s="320"/>
      <c r="F8" s="321" t="s">
        <v>248</v>
      </c>
    </row>
    <row r="9" spans="1:6" ht="15.6">
      <c r="A9" s="314"/>
      <c r="B9" s="314"/>
      <c r="C9" s="314"/>
      <c r="D9" s="318"/>
      <c r="E9" s="316"/>
      <c r="F9" s="317"/>
    </row>
    <row r="10" spans="1:6" ht="15.6">
      <c r="A10" s="314"/>
      <c r="B10" s="314"/>
      <c r="C10" s="314"/>
      <c r="D10" s="318"/>
      <c r="E10" s="316"/>
      <c r="F10" s="317"/>
    </row>
    <row r="11" spans="1:6" ht="15.6">
      <c r="A11" s="314" t="s">
        <v>352</v>
      </c>
      <c r="B11" s="314"/>
      <c r="C11" s="314" t="s">
        <v>883</v>
      </c>
      <c r="D11" s="318">
        <v>46</v>
      </c>
      <c r="E11" s="316"/>
      <c r="F11" s="317"/>
    </row>
    <row r="12" spans="1:6" ht="15.6">
      <c r="A12" s="314" t="s">
        <v>365</v>
      </c>
      <c r="B12" s="314"/>
      <c r="C12" s="314" t="s">
        <v>883</v>
      </c>
      <c r="D12" s="318">
        <v>1</v>
      </c>
      <c r="E12" s="316"/>
      <c r="F12" s="317"/>
    </row>
    <row r="13" spans="1:6" ht="15.6">
      <c r="A13" s="314" t="s">
        <v>357</v>
      </c>
      <c r="B13" s="314"/>
      <c r="C13" s="314" t="s">
        <v>883</v>
      </c>
      <c r="D13" s="318">
        <v>2</v>
      </c>
      <c r="E13" s="316"/>
      <c r="F13" s="317"/>
    </row>
    <row r="14" spans="1:6" ht="15.6">
      <c r="A14" s="314" t="s">
        <v>360</v>
      </c>
      <c r="B14" s="314"/>
      <c r="C14" s="314" t="s">
        <v>883</v>
      </c>
      <c r="D14" s="318" t="s">
        <v>884</v>
      </c>
      <c r="E14" s="316"/>
      <c r="F14" s="317"/>
    </row>
    <row r="15" spans="1:6" ht="15.6">
      <c r="A15" s="314"/>
      <c r="B15" s="314"/>
      <c r="C15" s="314"/>
      <c r="D15" s="318"/>
      <c r="E15" s="316"/>
      <c r="F15" s="317"/>
    </row>
    <row r="16" spans="1:6" ht="15.6">
      <c r="A16" s="314" t="s">
        <v>352</v>
      </c>
      <c r="B16" s="314"/>
      <c r="C16" s="314" t="s">
        <v>885</v>
      </c>
      <c r="D16" s="315">
        <v>704</v>
      </c>
      <c r="E16" s="316"/>
      <c r="F16" s="317"/>
    </row>
    <row r="17" spans="1:6" ht="15.6">
      <c r="A17" s="314" t="s">
        <v>357</v>
      </c>
      <c r="B17" s="314"/>
      <c r="C17" s="314" t="s">
        <v>885</v>
      </c>
      <c r="D17" s="318" t="s">
        <v>886</v>
      </c>
      <c r="E17" s="316"/>
      <c r="F17" s="317"/>
    </row>
    <row r="18" spans="1:6" ht="15.6">
      <c r="A18" s="314" t="s">
        <v>364</v>
      </c>
      <c r="B18" s="314"/>
      <c r="C18" s="314" t="s">
        <v>885</v>
      </c>
      <c r="D18" s="318">
        <v>4</v>
      </c>
      <c r="E18" s="316"/>
      <c r="F18" s="317"/>
    </row>
    <row r="19" spans="1:6" ht="15.6">
      <c r="A19" s="314" t="s">
        <v>373</v>
      </c>
      <c r="B19" s="314"/>
      <c r="C19" s="314" t="s">
        <v>885</v>
      </c>
      <c r="D19" s="318" t="s">
        <v>887</v>
      </c>
      <c r="E19" s="316"/>
      <c r="F19" s="317"/>
    </row>
    <row r="20" spans="1:6" ht="15.6">
      <c r="A20" s="314" t="s">
        <v>363</v>
      </c>
      <c r="B20" s="314"/>
      <c r="C20" s="314" t="s">
        <v>885</v>
      </c>
      <c r="D20" s="318">
        <v>3</v>
      </c>
      <c r="E20" s="316"/>
      <c r="F20" s="317"/>
    </row>
    <row r="21" spans="1:6" ht="15.6">
      <c r="A21" s="314" t="s">
        <v>374</v>
      </c>
      <c r="B21" s="314"/>
      <c r="C21" s="314" t="s">
        <v>885</v>
      </c>
      <c r="D21" s="318" t="s">
        <v>884</v>
      </c>
      <c r="E21" s="316"/>
      <c r="F21" s="317"/>
    </row>
    <row r="22" spans="1:6" ht="15.6">
      <c r="A22" s="314" t="s">
        <v>369</v>
      </c>
      <c r="B22" s="314"/>
      <c r="C22" s="314" t="s">
        <v>885</v>
      </c>
      <c r="D22" s="318" t="s">
        <v>888</v>
      </c>
      <c r="E22" s="316"/>
      <c r="F22" s="317"/>
    </row>
    <row r="23" spans="1:6" ht="15.6">
      <c r="A23" s="314" t="s">
        <v>889</v>
      </c>
      <c r="B23" s="314"/>
      <c r="C23" s="314" t="s">
        <v>885</v>
      </c>
      <c r="D23" s="318">
        <v>11122</v>
      </c>
      <c r="E23" s="322"/>
      <c r="F23" s="323" t="s">
        <v>248</v>
      </c>
    </row>
    <row r="24" spans="1:6" ht="15.6">
      <c r="A24" s="314" t="s">
        <v>881</v>
      </c>
      <c r="B24" s="314"/>
      <c r="C24" s="314" t="s">
        <v>885</v>
      </c>
      <c r="D24" s="318">
        <v>160</v>
      </c>
      <c r="E24" s="322"/>
      <c r="F24" s="323" t="s">
        <v>248</v>
      </c>
    </row>
    <row r="25" spans="1:6" ht="15.6">
      <c r="A25" s="314" t="s">
        <v>890</v>
      </c>
      <c r="B25" s="314"/>
      <c r="C25" s="314" t="s">
        <v>885</v>
      </c>
      <c r="D25" s="318">
        <v>2</v>
      </c>
      <c r="E25" s="322"/>
      <c r="F25" s="323"/>
    </row>
    <row r="26" spans="1:6" ht="15.6">
      <c r="A26" s="314" t="s">
        <v>360</v>
      </c>
      <c r="B26" s="314"/>
      <c r="C26" s="314" t="s">
        <v>885</v>
      </c>
      <c r="D26" s="318">
        <v>1</v>
      </c>
      <c r="E26" s="322"/>
      <c r="F26" s="323"/>
    </row>
    <row r="27" spans="1:6" ht="15.6">
      <c r="A27" s="314" t="s">
        <v>352</v>
      </c>
      <c r="B27" s="314"/>
      <c r="C27" s="314" t="s">
        <v>891</v>
      </c>
      <c r="D27" s="318">
        <v>64</v>
      </c>
      <c r="E27" s="322"/>
      <c r="F27" s="323" t="s">
        <v>248</v>
      </c>
    </row>
    <row r="28" spans="1:6" ht="15.6">
      <c r="A28" s="324" t="s">
        <v>892</v>
      </c>
      <c r="B28" s="324"/>
      <c r="C28" s="324" t="s">
        <v>893</v>
      </c>
      <c r="D28" s="325">
        <f>4.2*4.2</f>
        <v>17.64</v>
      </c>
      <c r="E28" s="326"/>
      <c r="F28" s="327" t="s">
        <v>894</v>
      </c>
    </row>
    <row r="29" spans="1:6" ht="15.6">
      <c r="A29" s="314" t="s">
        <v>360</v>
      </c>
      <c r="B29" s="314"/>
      <c r="C29" s="314" t="s">
        <v>893</v>
      </c>
      <c r="D29" s="318">
        <v>1</v>
      </c>
      <c r="E29" s="322"/>
      <c r="F29" s="323"/>
    </row>
    <row r="30" spans="1:6" ht="15.6">
      <c r="A30" s="328"/>
      <c r="B30" s="328"/>
      <c r="C30" s="328"/>
      <c r="D30" s="329"/>
      <c r="E30" s="330"/>
    </row>
    <row r="31" spans="1:6" ht="15.6">
      <c r="A31" s="331" t="s">
        <v>352</v>
      </c>
      <c r="B31" s="331"/>
      <c r="C31" s="331" t="s">
        <v>895</v>
      </c>
      <c r="D31" s="332">
        <v>33</v>
      </c>
      <c r="E31" s="333"/>
      <c r="F31" s="334"/>
    </row>
    <row r="32" spans="1:6" ht="15.6">
      <c r="A32" s="331" t="s">
        <v>357</v>
      </c>
      <c r="B32" s="331"/>
      <c r="C32" s="331" t="s">
        <v>895</v>
      </c>
      <c r="D32" s="332" t="s">
        <v>886</v>
      </c>
      <c r="E32" s="333"/>
      <c r="F32" s="334"/>
    </row>
    <row r="33" spans="1:6" ht="15.6">
      <c r="A33" s="331" t="s">
        <v>360</v>
      </c>
      <c r="B33" s="331"/>
      <c r="C33" s="331" t="s">
        <v>895</v>
      </c>
      <c r="D33" s="332" t="s">
        <v>886</v>
      </c>
      <c r="E33" s="333"/>
      <c r="F33" s="334"/>
    </row>
    <row r="34" spans="1:6" ht="15.6">
      <c r="A34" s="331" t="s">
        <v>896</v>
      </c>
      <c r="B34" s="331"/>
      <c r="C34" s="331" t="s">
        <v>897</v>
      </c>
      <c r="D34" s="332">
        <v>50</v>
      </c>
      <c r="E34" s="335">
        <v>500</v>
      </c>
      <c r="F34" s="334" t="s">
        <v>894</v>
      </c>
    </row>
    <row r="35" spans="1:6" ht="15.6">
      <c r="A35" s="331" t="s">
        <v>357</v>
      </c>
      <c r="B35" s="331"/>
      <c r="C35" s="331" t="s">
        <v>897</v>
      </c>
      <c r="D35" s="332">
        <v>2</v>
      </c>
      <c r="E35" s="335"/>
      <c r="F35" s="334"/>
    </row>
    <row r="36" spans="1:6" ht="15.6">
      <c r="A36" s="331" t="s">
        <v>352</v>
      </c>
      <c r="B36" s="331"/>
      <c r="C36" s="331" t="s">
        <v>898</v>
      </c>
      <c r="D36" s="332">
        <v>24.22</v>
      </c>
      <c r="E36" s="333"/>
      <c r="F36" s="334"/>
    </row>
    <row r="37" spans="1:6" ht="15.6">
      <c r="A37" s="331" t="s">
        <v>357</v>
      </c>
      <c r="B37" s="331"/>
      <c r="C37" s="331" t="s">
        <v>898</v>
      </c>
      <c r="D37" s="332" t="s">
        <v>886</v>
      </c>
      <c r="E37" s="333"/>
      <c r="F37" s="334"/>
    </row>
    <row r="38" spans="1:6" ht="15.6">
      <c r="A38" s="331" t="s">
        <v>899</v>
      </c>
      <c r="B38" s="331"/>
      <c r="C38" s="331" t="s">
        <v>900</v>
      </c>
      <c r="D38" s="332">
        <v>3297</v>
      </c>
      <c r="E38" s="333"/>
      <c r="F38" s="334"/>
    </row>
    <row r="39" spans="1:6" ht="15.6">
      <c r="A39" s="331" t="s">
        <v>901</v>
      </c>
      <c r="B39" s="331"/>
      <c r="C39" s="331" t="s">
        <v>900</v>
      </c>
      <c r="D39" s="332">
        <v>533</v>
      </c>
      <c r="E39" s="333"/>
      <c r="F39" s="334"/>
    </row>
    <row r="40" spans="1:6" ht="15.6">
      <c r="A40" s="331" t="s">
        <v>373</v>
      </c>
      <c r="B40" s="331"/>
      <c r="C40" s="331" t="s">
        <v>898</v>
      </c>
      <c r="D40" s="332" t="s">
        <v>887</v>
      </c>
      <c r="E40" s="333"/>
      <c r="F40" s="334"/>
    </row>
    <row r="41" spans="1:6" ht="15.6">
      <c r="A41" s="331" t="s">
        <v>363</v>
      </c>
      <c r="B41" s="331"/>
      <c r="C41" s="331" t="s">
        <v>898</v>
      </c>
      <c r="D41" s="332">
        <v>3</v>
      </c>
      <c r="E41" s="333"/>
      <c r="F41" s="334"/>
    </row>
    <row r="42" spans="1:6" ht="15.6">
      <c r="A42" s="328"/>
      <c r="B42" s="328"/>
      <c r="C42" s="328"/>
      <c r="D42" s="329"/>
      <c r="E42" s="330"/>
    </row>
    <row r="43" spans="1:6" ht="15.6">
      <c r="A43" s="336" t="s">
        <v>352</v>
      </c>
      <c r="B43" s="336"/>
      <c r="C43" s="336" t="s">
        <v>902</v>
      </c>
      <c r="D43" s="337">
        <v>100</v>
      </c>
      <c r="E43" s="338"/>
      <c r="F43" s="339"/>
    </row>
    <row r="44" spans="1:6" ht="15.6">
      <c r="A44" s="336" t="s">
        <v>357</v>
      </c>
      <c r="B44" s="336"/>
      <c r="C44" s="336" t="s">
        <v>902</v>
      </c>
      <c r="D44" s="337" t="s">
        <v>886</v>
      </c>
      <c r="E44" s="338"/>
      <c r="F44" s="339"/>
    </row>
    <row r="45" spans="1:6" ht="15.6">
      <c r="A45" s="336" t="s">
        <v>360</v>
      </c>
      <c r="B45" s="336"/>
      <c r="C45" s="336" t="s">
        <v>902</v>
      </c>
      <c r="D45" s="337" t="s">
        <v>886</v>
      </c>
      <c r="E45" s="338"/>
      <c r="F45" s="339"/>
    </row>
    <row r="46" spans="1:6" ht="15.6">
      <c r="A46" s="336" t="s">
        <v>352</v>
      </c>
      <c r="B46" s="336"/>
      <c r="C46" s="336" t="s">
        <v>903</v>
      </c>
      <c r="D46" s="337">
        <v>32</v>
      </c>
      <c r="E46" s="338"/>
      <c r="F46" s="339"/>
    </row>
    <row r="47" spans="1:6" ht="15.6">
      <c r="A47" s="336" t="s">
        <v>357</v>
      </c>
      <c r="B47" s="336"/>
      <c r="C47" s="336" t="s">
        <v>903</v>
      </c>
      <c r="D47" s="337" t="s">
        <v>886</v>
      </c>
      <c r="E47" s="338"/>
      <c r="F47" s="339"/>
    </row>
    <row r="48" spans="1:6" ht="15.6">
      <c r="A48" s="336" t="s">
        <v>352</v>
      </c>
      <c r="B48" s="336"/>
      <c r="C48" s="336" t="s">
        <v>904</v>
      </c>
      <c r="D48" s="337">
        <v>38</v>
      </c>
      <c r="E48" s="338"/>
      <c r="F48" s="339"/>
    </row>
    <row r="49" spans="1:7" ht="15.6">
      <c r="A49" s="336" t="s">
        <v>357</v>
      </c>
      <c r="B49" s="336"/>
      <c r="C49" s="336" t="s">
        <v>904</v>
      </c>
      <c r="D49" s="337">
        <v>3</v>
      </c>
      <c r="E49" s="338"/>
      <c r="F49" s="339"/>
    </row>
    <row r="50" spans="1:7" ht="15.6">
      <c r="A50" s="336" t="s">
        <v>360</v>
      </c>
      <c r="B50" s="336"/>
      <c r="C50" s="336" t="s">
        <v>904</v>
      </c>
      <c r="D50" s="337">
        <v>2</v>
      </c>
      <c r="E50" s="338"/>
      <c r="F50" s="339"/>
    </row>
    <row r="51" spans="1:7" ht="15.6">
      <c r="A51" s="336" t="s">
        <v>364</v>
      </c>
      <c r="B51" s="336"/>
      <c r="C51" s="336" t="s">
        <v>902</v>
      </c>
      <c r="D51" s="337">
        <v>12</v>
      </c>
      <c r="E51" s="340"/>
      <c r="F51" s="340"/>
      <c r="G51" s="341"/>
    </row>
    <row r="52" spans="1:7" ht="15.6">
      <c r="A52" s="336" t="s">
        <v>905</v>
      </c>
      <c r="B52" s="336"/>
      <c r="C52" s="336" t="s">
        <v>902</v>
      </c>
      <c r="D52" s="337">
        <v>1</v>
      </c>
      <c r="E52" s="340"/>
      <c r="F52" s="340"/>
      <c r="G52" s="341"/>
    </row>
    <row r="53" spans="1:7" ht="15.6">
      <c r="A53" s="336" t="s">
        <v>373</v>
      </c>
      <c r="B53" s="336"/>
      <c r="C53" s="336" t="s">
        <v>902</v>
      </c>
      <c r="D53" s="337" t="s">
        <v>887</v>
      </c>
      <c r="E53" s="340"/>
      <c r="F53" s="340"/>
      <c r="G53" s="341"/>
    </row>
    <row r="54" spans="1:7" ht="15.6">
      <c r="A54" s="336" t="s">
        <v>363</v>
      </c>
      <c r="B54" s="336"/>
      <c r="C54" s="336" t="s">
        <v>902</v>
      </c>
      <c r="D54" s="337">
        <v>4</v>
      </c>
      <c r="E54" s="340"/>
      <c r="F54" s="340"/>
      <c r="G54" s="341"/>
    </row>
    <row r="55" spans="1:7" ht="15.6">
      <c r="A55" s="336" t="s">
        <v>374</v>
      </c>
      <c r="B55" s="336"/>
      <c r="C55" s="336" t="s">
        <v>902</v>
      </c>
      <c r="D55" s="337" t="s">
        <v>884</v>
      </c>
      <c r="E55" s="340"/>
      <c r="F55" s="340"/>
      <c r="G55" s="341"/>
    </row>
    <row r="56" spans="1:7" ht="15.6">
      <c r="A56" s="336" t="s">
        <v>369</v>
      </c>
      <c r="B56" s="336"/>
      <c r="C56" s="336" t="s">
        <v>902</v>
      </c>
      <c r="D56" s="337" t="s">
        <v>888</v>
      </c>
      <c r="E56" s="340"/>
      <c r="F56" s="340"/>
      <c r="G56" s="341"/>
    </row>
    <row r="57" spans="1:7" ht="15.6">
      <c r="A57" s="336" t="s">
        <v>906</v>
      </c>
      <c r="B57" s="336"/>
      <c r="C57" s="336" t="s">
        <v>902</v>
      </c>
      <c r="D57" s="337">
        <v>4</v>
      </c>
      <c r="E57" s="340"/>
      <c r="F57" s="340"/>
      <c r="G57" s="341"/>
    </row>
    <row r="58" spans="1:7" ht="15.6">
      <c r="A58" s="336" t="s">
        <v>413</v>
      </c>
      <c r="B58" s="336"/>
      <c r="C58" s="336" t="s">
        <v>902</v>
      </c>
      <c r="D58" s="337">
        <v>1500</v>
      </c>
      <c r="E58" s="340">
        <v>95</v>
      </c>
      <c r="F58" s="340" t="s">
        <v>248</v>
      </c>
      <c r="G58" s="341"/>
    </row>
    <row r="59" spans="1:7" ht="15.6">
      <c r="A59" s="336" t="s">
        <v>143</v>
      </c>
      <c r="B59" s="336"/>
      <c r="C59" s="336" t="s">
        <v>907</v>
      </c>
      <c r="D59" s="337">
        <v>30</v>
      </c>
      <c r="E59" s="340" t="s">
        <v>908</v>
      </c>
      <c r="F59" s="340"/>
      <c r="G59" s="341"/>
    </row>
    <row r="60" spans="1:7" ht="15.6">
      <c r="A60" s="336" t="s">
        <v>352</v>
      </c>
      <c r="B60" s="336"/>
      <c r="C60" s="336" t="s">
        <v>909</v>
      </c>
      <c r="D60" s="337">
        <v>140</v>
      </c>
      <c r="E60" s="340"/>
      <c r="F60" s="340"/>
      <c r="G60" s="341"/>
    </row>
    <row r="61" spans="1:7" ht="15.6">
      <c r="A61" s="336" t="s">
        <v>352</v>
      </c>
      <c r="B61" s="339"/>
      <c r="C61" s="336" t="s">
        <v>910</v>
      </c>
      <c r="D61" s="337">
        <v>300</v>
      </c>
      <c r="E61" s="340"/>
      <c r="F61" s="340" t="s">
        <v>894</v>
      </c>
      <c r="G61" s="341"/>
    </row>
    <row r="62" spans="1:7" ht="15" customHeight="1">
      <c r="A62" s="336" t="s">
        <v>911</v>
      </c>
      <c r="B62" s="339"/>
      <c r="C62" s="336" t="s">
        <v>910</v>
      </c>
      <c r="D62" s="337">
        <v>5</v>
      </c>
      <c r="E62" s="340"/>
      <c r="F62" s="340"/>
      <c r="G62" s="341"/>
    </row>
    <row r="63" spans="1:7" ht="15" customHeight="1">
      <c r="A63" s="336" t="s">
        <v>357</v>
      </c>
      <c r="B63" s="336"/>
      <c r="C63" s="336" t="s">
        <v>910</v>
      </c>
      <c r="D63" s="337">
        <v>2</v>
      </c>
      <c r="E63" s="340"/>
      <c r="F63" s="340"/>
      <c r="G63" s="341"/>
    </row>
    <row r="64" spans="1:7" ht="15" customHeight="1">
      <c r="A64" s="336" t="s">
        <v>364</v>
      </c>
      <c r="B64" s="339"/>
      <c r="C64" s="336" t="s">
        <v>910</v>
      </c>
      <c r="D64" s="337">
        <v>6</v>
      </c>
      <c r="E64" s="340"/>
      <c r="F64" s="340"/>
      <c r="G64" s="341"/>
    </row>
    <row r="65" spans="1:7" ht="15" customHeight="1">
      <c r="A65" s="336" t="s">
        <v>912</v>
      </c>
      <c r="B65" s="339"/>
      <c r="C65" s="336" t="s">
        <v>910</v>
      </c>
      <c r="D65" s="337">
        <v>270</v>
      </c>
      <c r="E65" s="340">
        <v>500</v>
      </c>
      <c r="F65" s="340" t="s">
        <v>248</v>
      </c>
      <c r="G65" s="341"/>
    </row>
    <row r="66" spans="1:7" ht="15" customHeight="1">
      <c r="A66" s="336" t="s">
        <v>881</v>
      </c>
      <c r="B66" s="339"/>
      <c r="C66" s="336" t="s">
        <v>913</v>
      </c>
      <c r="D66" s="337">
        <v>519.79999999999995</v>
      </c>
      <c r="E66" s="340"/>
      <c r="F66" s="340"/>
      <c r="G66" s="341"/>
    </row>
    <row r="67" spans="1:7" ht="15" customHeight="1">
      <c r="D67" s="329"/>
      <c r="E67" s="342"/>
      <c r="F67" s="342"/>
      <c r="G67" s="341"/>
    </row>
    <row r="68" spans="1:7" ht="15" customHeight="1">
      <c r="A68" s="343" t="s">
        <v>352</v>
      </c>
      <c r="B68" s="343"/>
      <c r="C68" s="343" t="s">
        <v>914</v>
      </c>
      <c r="D68" s="344">
        <v>60</v>
      </c>
      <c r="E68" s="345"/>
      <c r="F68" s="346"/>
      <c r="G68" s="341"/>
    </row>
    <row r="69" spans="1:7" ht="15" customHeight="1">
      <c r="A69" s="343" t="s">
        <v>357</v>
      </c>
      <c r="B69" s="343"/>
      <c r="C69" s="343" t="s">
        <v>914</v>
      </c>
      <c r="D69" s="344" t="s">
        <v>886</v>
      </c>
      <c r="E69" s="345"/>
      <c r="F69" s="346"/>
      <c r="G69" s="341"/>
    </row>
    <row r="70" spans="1:7" ht="15" customHeight="1">
      <c r="A70" s="343" t="s">
        <v>360</v>
      </c>
      <c r="B70" s="343"/>
      <c r="C70" s="343" t="s">
        <v>914</v>
      </c>
      <c r="D70" s="344" t="s">
        <v>886</v>
      </c>
      <c r="E70" s="345"/>
      <c r="F70" s="346"/>
    </row>
    <row r="71" spans="1:7" ht="15" customHeight="1">
      <c r="A71" s="343" t="s">
        <v>352</v>
      </c>
      <c r="B71" s="343"/>
      <c r="C71" s="343" t="s">
        <v>915</v>
      </c>
      <c r="D71" s="344">
        <v>46</v>
      </c>
      <c r="E71" s="345"/>
      <c r="F71" s="346"/>
    </row>
    <row r="72" spans="1:7" ht="15" customHeight="1">
      <c r="A72" s="343" t="s">
        <v>365</v>
      </c>
      <c r="B72" s="343"/>
      <c r="C72" s="343" t="s">
        <v>915</v>
      </c>
      <c r="D72" s="344">
        <v>1</v>
      </c>
      <c r="E72" s="345"/>
      <c r="F72" s="346"/>
    </row>
    <row r="73" spans="1:7" ht="15" customHeight="1">
      <c r="A73" s="343" t="s">
        <v>357</v>
      </c>
      <c r="B73" s="343"/>
      <c r="C73" s="343" t="s">
        <v>915</v>
      </c>
      <c r="D73" s="344" t="s">
        <v>886</v>
      </c>
      <c r="E73" s="345"/>
      <c r="F73" s="346"/>
    </row>
    <row r="74" spans="1:7" ht="15" customHeight="1">
      <c r="A74" s="343" t="s">
        <v>360</v>
      </c>
      <c r="B74" s="343"/>
      <c r="C74" s="343" t="s">
        <v>915</v>
      </c>
      <c r="D74" s="344" t="s">
        <v>884</v>
      </c>
      <c r="E74" s="345"/>
      <c r="F74" s="346"/>
    </row>
    <row r="75" spans="1:7" ht="15" customHeight="1">
      <c r="A75" s="343" t="s">
        <v>352</v>
      </c>
      <c r="B75" s="343"/>
      <c r="C75" s="343" t="s">
        <v>916</v>
      </c>
      <c r="D75" s="344">
        <v>212</v>
      </c>
      <c r="E75" s="345"/>
      <c r="F75" s="346"/>
    </row>
    <row r="76" spans="1:7" ht="15" customHeight="1">
      <c r="A76" s="343" t="s">
        <v>357</v>
      </c>
      <c r="B76" s="343"/>
      <c r="C76" s="343" t="s">
        <v>916</v>
      </c>
      <c r="D76" s="344">
        <v>3</v>
      </c>
      <c r="E76" s="345"/>
      <c r="F76" s="346"/>
    </row>
    <row r="77" spans="1:7" ht="15" customHeight="1">
      <c r="A77" s="343" t="s">
        <v>364</v>
      </c>
      <c r="B77" s="343"/>
      <c r="C77" s="343" t="s">
        <v>916</v>
      </c>
      <c r="D77" s="344">
        <v>3</v>
      </c>
      <c r="E77" s="347"/>
      <c r="F77" s="347"/>
    </row>
    <row r="78" spans="1:7" ht="15" customHeight="1">
      <c r="A78" s="343" t="s">
        <v>373</v>
      </c>
      <c r="B78" s="343"/>
      <c r="C78" s="343" t="s">
        <v>916</v>
      </c>
      <c r="D78" s="344" t="s">
        <v>887</v>
      </c>
      <c r="E78" s="347"/>
      <c r="F78" s="347"/>
    </row>
    <row r="79" spans="1:7" ht="15" customHeight="1">
      <c r="A79" s="343" t="s">
        <v>363</v>
      </c>
      <c r="B79" s="343"/>
      <c r="C79" s="343" t="s">
        <v>916</v>
      </c>
      <c r="D79" s="344" t="s">
        <v>886</v>
      </c>
      <c r="E79" s="347"/>
      <c r="F79" s="347"/>
    </row>
    <row r="80" spans="1:7" ht="15" customHeight="1">
      <c r="A80" s="343" t="s">
        <v>369</v>
      </c>
      <c r="B80" s="343"/>
      <c r="C80" s="343" t="s">
        <v>916</v>
      </c>
      <c r="D80" s="344" t="s">
        <v>888</v>
      </c>
      <c r="E80" s="347"/>
      <c r="F80" s="347"/>
    </row>
    <row r="81" spans="1:6" ht="15" customHeight="1">
      <c r="A81" s="343" t="s">
        <v>881</v>
      </c>
      <c r="B81" s="346"/>
      <c r="C81" s="343" t="s">
        <v>916</v>
      </c>
      <c r="D81" s="344">
        <v>206</v>
      </c>
      <c r="E81" s="347"/>
      <c r="F81" s="347"/>
    </row>
    <row r="82" spans="1:6" ht="15" customHeight="1">
      <c r="A82" s="343" t="s">
        <v>899</v>
      </c>
      <c r="B82" s="346"/>
      <c r="C82" s="343" t="s">
        <v>916</v>
      </c>
      <c r="D82" s="344">
        <v>2391.1999999999998</v>
      </c>
      <c r="E82" s="347"/>
      <c r="F82" s="347"/>
    </row>
    <row r="83" spans="1:6" ht="15" customHeight="1">
      <c r="A83" s="328"/>
      <c r="C83" s="328"/>
      <c r="D83" s="329"/>
      <c r="E83" s="348"/>
    </row>
    <row r="84" spans="1:6" ht="15" customHeight="1">
      <c r="A84" s="349" t="s">
        <v>352</v>
      </c>
      <c r="B84" s="349"/>
      <c r="C84" s="349" t="s">
        <v>917</v>
      </c>
      <c r="D84" s="350">
        <v>30</v>
      </c>
      <c r="E84" s="351"/>
      <c r="F84" s="352"/>
    </row>
    <row r="85" spans="1:6" ht="15" customHeight="1">
      <c r="A85" s="349" t="s">
        <v>357</v>
      </c>
      <c r="B85" s="349"/>
      <c r="C85" s="349" t="s">
        <v>917</v>
      </c>
      <c r="D85" s="350" t="s">
        <v>886</v>
      </c>
      <c r="E85" s="351"/>
      <c r="F85" s="352"/>
    </row>
    <row r="86" spans="1:6" ht="15" customHeight="1">
      <c r="A86" s="349" t="s">
        <v>352</v>
      </c>
      <c r="B86" s="349"/>
      <c r="C86" s="349" t="s">
        <v>918</v>
      </c>
      <c r="D86" s="350">
        <v>44</v>
      </c>
      <c r="E86" s="351"/>
      <c r="F86" s="352"/>
    </row>
    <row r="87" spans="1:6" ht="15" customHeight="1">
      <c r="A87" s="349" t="s">
        <v>365</v>
      </c>
      <c r="B87" s="349"/>
      <c r="C87" s="349" t="s">
        <v>918</v>
      </c>
      <c r="D87" s="350">
        <v>1</v>
      </c>
      <c r="E87" s="351"/>
      <c r="F87" s="352"/>
    </row>
    <row r="88" spans="1:6" ht="15" customHeight="1">
      <c r="A88" s="349" t="s">
        <v>357</v>
      </c>
      <c r="B88" s="349"/>
      <c r="C88" s="349" t="s">
        <v>918</v>
      </c>
      <c r="D88" s="350" t="s">
        <v>886</v>
      </c>
      <c r="E88" s="351"/>
      <c r="F88" s="352"/>
    </row>
    <row r="89" spans="1:6" ht="15" customHeight="1">
      <c r="A89" s="349" t="s">
        <v>360</v>
      </c>
      <c r="B89" s="349"/>
      <c r="C89" s="349" t="s">
        <v>918</v>
      </c>
      <c r="D89" s="350" t="s">
        <v>884</v>
      </c>
      <c r="E89" s="351"/>
      <c r="F89" s="352"/>
    </row>
    <row r="90" spans="1:6" ht="15" customHeight="1">
      <c r="A90" s="349" t="s">
        <v>352</v>
      </c>
      <c r="B90" s="349"/>
      <c r="C90" s="349" t="s">
        <v>919</v>
      </c>
      <c r="D90" s="350">
        <v>1</v>
      </c>
      <c r="E90" s="351"/>
      <c r="F90" s="352"/>
    </row>
    <row r="91" spans="1:6" ht="15" customHeight="1">
      <c r="A91" s="349" t="s">
        <v>365</v>
      </c>
      <c r="B91" s="349"/>
      <c r="C91" s="349" t="s">
        <v>919</v>
      </c>
      <c r="D91" s="350">
        <v>2</v>
      </c>
      <c r="E91" s="351"/>
      <c r="F91" s="352"/>
    </row>
    <row r="92" spans="1:6" ht="15" customHeight="1">
      <c r="A92" s="349" t="s">
        <v>357</v>
      </c>
      <c r="B92" s="349"/>
      <c r="C92" s="349" t="s">
        <v>919</v>
      </c>
      <c r="D92" s="350">
        <v>3</v>
      </c>
      <c r="E92" s="351"/>
      <c r="F92" s="352"/>
    </row>
    <row r="93" spans="1:6" ht="15" customHeight="1">
      <c r="A93" s="349" t="s">
        <v>360</v>
      </c>
      <c r="B93" s="349"/>
      <c r="C93" s="349" t="s">
        <v>919</v>
      </c>
      <c r="D93" s="350">
        <v>2</v>
      </c>
      <c r="E93" s="351"/>
      <c r="F93" s="352"/>
    </row>
    <row r="94" spans="1:6" ht="15" customHeight="1">
      <c r="A94" s="349" t="s">
        <v>352</v>
      </c>
      <c r="B94" s="349"/>
      <c r="C94" s="349" t="s">
        <v>920</v>
      </c>
      <c r="D94" s="315">
        <v>502</v>
      </c>
      <c r="E94" s="351"/>
      <c r="F94" s="352"/>
    </row>
    <row r="95" spans="1:6" ht="15" customHeight="1">
      <c r="A95" s="349" t="s">
        <v>357</v>
      </c>
      <c r="B95" s="349"/>
      <c r="C95" s="349" t="s">
        <v>920</v>
      </c>
      <c r="D95" s="350">
        <v>3</v>
      </c>
      <c r="E95" s="351"/>
      <c r="F95" s="352"/>
    </row>
    <row r="96" spans="1:6" ht="15" customHeight="1">
      <c r="A96" s="349" t="s">
        <v>364</v>
      </c>
      <c r="B96" s="349"/>
      <c r="C96" s="349" t="s">
        <v>920</v>
      </c>
      <c r="D96" s="350">
        <v>4</v>
      </c>
      <c r="E96" s="353"/>
      <c r="F96" s="353"/>
    </row>
    <row r="97" spans="1:7" ht="15" customHeight="1">
      <c r="A97" s="349" t="s">
        <v>373</v>
      </c>
      <c r="B97" s="349"/>
      <c r="C97" s="349" t="s">
        <v>920</v>
      </c>
      <c r="D97" s="350" t="s">
        <v>887</v>
      </c>
      <c r="E97" s="353"/>
      <c r="F97" s="353"/>
    </row>
    <row r="98" spans="1:7" ht="15" customHeight="1">
      <c r="A98" s="349" t="s">
        <v>363</v>
      </c>
      <c r="B98" s="349"/>
      <c r="C98" s="349" t="s">
        <v>920</v>
      </c>
      <c r="D98" s="350" t="s">
        <v>886</v>
      </c>
      <c r="E98" s="353"/>
      <c r="F98" s="353"/>
    </row>
    <row r="99" spans="1:7" ht="15" customHeight="1">
      <c r="A99" s="349" t="s">
        <v>369</v>
      </c>
      <c r="B99" s="349"/>
      <c r="C99" s="349" t="s">
        <v>920</v>
      </c>
      <c r="D99" s="350" t="s">
        <v>888</v>
      </c>
      <c r="E99" s="353"/>
      <c r="F99" s="353"/>
    </row>
    <row r="100" spans="1:7" ht="15" customHeight="1">
      <c r="A100" s="349" t="s">
        <v>413</v>
      </c>
      <c r="B100" s="349"/>
      <c r="C100" s="349" t="s">
        <v>920</v>
      </c>
      <c r="D100" s="350">
        <v>1050</v>
      </c>
      <c r="E100" s="353">
        <v>95</v>
      </c>
      <c r="F100" s="354" t="s">
        <v>248</v>
      </c>
    </row>
    <row r="101" spans="1:7" ht="15" customHeight="1">
      <c r="A101" s="349" t="s">
        <v>921</v>
      </c>
      <c r="B101" s="349"/>
      <c r="C101" s="349" t="s">
        <v>920</v>
      </c>
      <c r="D101" s="350">
        <v>2</v>
      </c>
      <c r="E101" s="353"/>
      <c r="F101" s="354"/>
    </row>
    <row r="102" spans="1:7" ht="15" customHeight="1">
      <c r="A102" s="349" t="s">
        <v>881</v>
      </c>
      <c r="B102" s="352"/>
      <c r="C102" s="349" t="s">
        <v>922</v>
      </c>
      <c r="D102" s="350">
        <v>125</v>
      </c>
      <c r="E102" s="351"/>
      <c r="F102" s="352"/>
    </row>
    <row r="103" spans="1:7" ht="15" customHeight="1">
      <c r="A103" s="349" t="s">
        <v>899</v>
      </c>
      <c r="B103" s="352"/>
      <c r="C103" s="349" t="s">
        <v>922</v>
      </c>
      <c r="D103" s="350">
        <v>1885.5</v>
      </c>
      <c r="E103" s="353">
        <v>500</v>
      </c>
      <c r="F103" s="354" t="s">
        <v>248</v>
      </c>
    </row>
    <row r="104" spans="1:7" ht="15" customHeight="1">
      <c r="A104" s="349" t="s">
        <v>352</v>
      </c>
      <c r="B104" s="352"/>
      <c r="C104" s="349" t="s">
        <v>922</v>
      </c>
      <c r="D104" s="315">
        <v>62</v>
      </c>
      <c r="E104" s="353"/>
      <c r="F104" s="354"/>
    </row>
    <row r="105" spans="1:7" ht="15" customHeight="1">
      <c r="A105" s="349" t="s">
        <v>364</v>
      </c>
      <c r="B105" s="352"/>
      <c r="C105" s="349" t="s">
        <v>922</v>
      </c>
      <c r="D105" s="350">
        <v>4</v>
      </c>
      <c r="E105" s="353"/>
      <c r="F105" s="354"/>
    </row>
    <row r="106" spans="1:7" ht="15" customHeight="1">
      <c r="A106" s="349" t="s">
        <v>363</v>
      </c>
      <c r="B106" s="352"/>
      <c r="C106" s="349" t="s">
        <v>922</v>
      </c>
      <c r="D106" s="350">
        <v>2</v>
      </c>
      <c r="E106" s="353"/>
      <c r="F106" s="354"/>
    </row>
    <row r="107" spans="1:7" ht="15" customHeight="1">
      <c r="A107" s="349" t="s">
        <v>352</v>
      </c>
      <c r="B107" s="352"/>
      <c r="C107" s="349" t="s">
        <v>923</v>
      </c>
      <c r="D107" s="350">
        <v>18</v>
      </c>
      <c r="E107" s="353"/>
      <c r="F107" s="353"/>
    </row>
    <row r="108" spans="1:7" ht="15" customHeight="1">
      <c r="A108" s="349" t="s">
        <v>365</v>
      </c>
      <c r="B108" s="352"/>
      <c r="C108" s="349" t="s">
        <v>923</v>
      </c>
      <c r="D108" s="350">
        <v>1</v>
      </c>
      <c r="E108" s="353"/>
      <c r="F108" s="353"/>
    </row>
    <row r="109" spans="1:7" ht="15" customHeight="1">
      <c r="A109" s="349" t="s">
        <v>357</v>
      </c>
      <c r="B109" s="352"/>
      <c r="C109" s="349" t="s">
        <v>923</v>
      </c>
      <c r="D109" s="350">
        <v>3</v>
      </c>
      <c r="E109" s="353"/>
      <c r="F109" s="353"/>
    </row>
    <row r="110" spans="1:7" ht="15" customHeight="1">
      <c r="A110" s="349" t="s">
        <v>360</v>
      </c>
      <c r="B110" s="352"/>
      <c r="C110" s="349" t="s">
        <v>923</v>
      </c>
      <c r="D110" s="350">
        <v>2</v>
      </c>
      <c r="E110" s="353"/>
      <c r="F110" s="353"/>
    </row>
    <row r="111" spans="1:7" ht="15" customHeight="1">
      <c r="A111" s="355"/>
      <c r="B111" s="356"/>
      <c r="C111" s="355"/>
      <c r="D111" s="357"/>
      <c r="E111" s="358"/>
      <c r="F111" s="358"/>
      <c r="G111" s="356"/>
    </row>
    <row r="112" spans="1:7" ht="15" customHeight="1">
      <c r="A112" s="359" t="s">
        <v>352</v>
      </c>
      <c r="B112" s="360"/>
      <c r="C112" s="359" t="s">
        <v>924</v>
      </c>
      <c r="D112" s="361">
        <v>50</v>
      </c>
      <c r="E112" s="362"/>
      <c r="F112" s="362"/>
    </row>
    <row r="113" spans="1:7" ht="15" customHeight="1">
      <c r="A113" s="359" t="s">
        <v>881</v>
      </c>
      <c r="B113" s="360"/>
      <c r="C113" s="359" t="s">
        <v>924</v>
      </c>
      <c r="D113" s="361">
        <v>150</v>
      </c>
      <c r="E113" s="362"/>
      <c r="F113" s="362"/>
    </row>
    <row r="114" spans="1:7" ht="15" customHeight="1">
      <c r="A114" s="359" t="s">
        <v>899</v>
      </c>
      <c r="B114" s="360"/>
      <c r="C114" s="359" t="s">
        <v>924</v>
      </c>
      <c r="D114" s="361">
        <v>3092.2</v>
      </c>
      <c r="E114" s="362"/>
      <c r="F114" s="362"/>
    </row>
    <row r="115" spans="1:7" ht="15" customHeight="1">
      <c r="A115" s="319" t="s">
        <v>925</v>
      </c>
      <c r="B115" s="321"/>
      <c r="C115" s="319"/>
      <c r="D115" s="315">
        <v>31</v>
      </c>
      <c r="E115" s="362"/>
      <c r="F115" s="362"/>
    </row>
    <row r="116" spans="1:7" ht="15" customHeight="1">
      <c r="A116" s="324" t="s">
        <v>926</v>
      </c>
      <c r="B116" s="363"/>
      <c r="C116" s="324" t="s">
        <v>927</v>
      </c>
      <c r="D116" s="325">
        <v>17.64</v>
      </c>
      <c r="E116" s="362"/>
      <c r="F116" s="362"/>
    </row>
    <row r="117" spans="1:7" ht="15" customHeight="1">
      <c r="A117" s="359" t="s">
        <v>360</v>
      </c>
      <c r="B117" s="360"/>
      <c r="C117" s="359" t="s">
        <v>927</v>
      </c>
      <c r="D117" s="361">
        <v>1</v>
      </c>
      <c r="E117" s="362"/>
      <c r="F117" s="362"/>
    </row>
    <row r="118" spans="1:7" ht="15" customHeight="1">
      <c r="A118" s="355"/>
      <c r="B118" s="356"/>
      <c r="C118" s="355"/>
      <c r="D118" s="357"/>
      <c r="E118" s="358"/>
      <c r="F118" s="358"/>
      <c r="G118" s="356"/>
    </row>
    <row r="119" spans="1:7" ht="15" customHeight="1">
      <c r="A119" s="364" t="s">
        <v>352</v>
      </c>
      <c r="B119" s="365"/>
      <c r="C119" s="364" t="s">
        <v>928</v>
      </c>
      <c r="D119" s="366">
        <v>74.599999999999994</v>
      </c>
      <c r="E119" s="367"/>
      <c r="F119" s="367"/>
    </row>
    <row r="120" spans="1:7" ht="15" customHeight="1">
      <c r="A120" s="364" t="s">
        <v>881</v>
      </c>
      <c r="B120" s="365"/>
      <c r="C120" s="364" t="s">
        <v>928</v>
      </c>
      <c r="D120" s="366">
        <v>220</v>
      </c>
      <c r="E120" s="367"/>
      <c r="F120" s="367"/>
    </row>
    <row r="121" spans="1:7" ht="15" customHeight="1">
      <c r="A121" s="364" t="s">
        <v>899</v>
      </c>
      <c r="B121" s="365"/>
      <c r="C121" s="364" t="s">
        <v>928</v>
      </c>
      <c r="D121" s="366">
        <v>5958.84</v>
      </c>
      <c r="E121" s="367"/>
      <c r="F121" s="367"/>
    </row>
    <row r="122" spans="1:7" ht="15" customHeight="1">
      <c r="A122" s="319" t="s">
        <v>929</v>
      </c>
      <c r="B122" s="321"/>
      <c r="C122" s="319"/>
      <c r="D122" s="315">
        <v>31</v>
      </c>
      <c r="E122" s="367"/>
      <c r="F122" s="367"/>
    </row>
    <row r="123" spans="1:7" ht="15" customHeight="1">
      <c r="A123" s="324" t="s">
        <v>926</v>
      </c>
      <c r="B123" s="363"/>
      <c r="C123" s="324" t="s">
        <v>930</v>
      </c>
      <c r="D123" s="325">
        <v>17.64</v>
      </c>
      <c r="E123" s="367"/>
      <c r="F123" s="367"/>
    </row>
    <row r="124" spans="1:7" ht="15" customHeight="1">
      <c r="A124" s="364" t="s">
        <v>360</v>
      </c>
      <c r="B124" s="365"/>
      <c r="C124" s="364" t="s">
        <v>930</v>
      </c>
      <c r="D124" s="366">
        <v>1</v>
      </c>
      <c r="E124" s="367"/>
      <c r="F124" s="367"/>
    </row>
    <row r="125" spans="1:7" ht="15" customHeight="1">
      <c r="A125" s="328"/>
      <c r="B125" s="329"/>
      <c r="C125" s="328"/>
      <c r="D125" s="342"/>
      <c r="E125" s="368"/>
    </row>
    <row r="126" spans="1:7" ht="15" customHeight="1">
      <c r="D126" s="342"/>
      <c r="E126" s="330"/>
    </row>
    <row r="127" spans="1:7" ht="15" customHeight="1">
      <c r="A127" s="369" t="s">
        <v>879</v>
      </c>
      <c r="B127" s="370" t="s">
        <v>931</v>
      </c>
      <c r="C127" s="370" t="s">
        <v>932</v>
      </c>
      <c r="D127" s="371" t="s">
        <v>933</v>
      </c>
      <c r="E127" s="372" t="s">
        <v>932</v>
      </c>
      <c r="F127" s="370" t="s">
        <v>52</v>
      </c>
      <c r="G127" s="373"/>
    </row>
    <row r="128" spans="1:7" ht="15" customHeight="1">
      <c r="A128" s="374" t="s">
        <v>934</v>
      </c>
      <c r="B128" s="375">
        <v>581.84</v>
      </c>
      <c r="C128" s="376" t="s">
        <v>248</v>
      </c>
      <c r="D128" s="377">
        <v>2800</v>
      </c>
      <c r="E128" s="376" t="s">
        <v>248</v>
      </c>
      <c r="F128" s="378">
        <f t="shared" ref="F128:F133" si="0">D128*B128</f>
        <v>1629152</v>
      </c>
      <c r="G128" s="373"/>
    </row>
    <row r="129" spans="1:7" ht="15" customHeight="1">
      <c r="A129" s="374" t="s">
        <v>935</v>
      </c>
      <c r="B129" s="375">
        <v>1772</v>
      </c>
      <c r="C129" s="376" t="s">
        <v>248</v>
      </c>
      <c r="D129" s="377">
        <v>5000</v>
      </c>
      <c r="E129" s="376" t="s">
        <v>248</v>
      </c>
      <c r="F129" s="378">
        <f t="shared" si="0"/>
        <v>8860000</v>
      </c>
      <c r="G129" s="373"/>
    </row>
    <row r="130" spans="1:7" ht="15" customHeight="1">
      <c r="A130" s="374" t="s">
        <v>936</v>
      </c>
      <c r="B130" s="375">
        <v>16</v>
      </c>
      <c r="C130" s="376" t="s">
        <v>248</v>
      </c>
      <c r="D130" s="377">
        <v>2500</v>
      </c>
      <c r="E130" s="376" t="s">
        <v>248</v>
      </c>
      <c r="F130" s="378">
        <f t="shared" si="0"/>
        <v>40000</v>
      </c>
      <c r="G130" s="373"/>
    </row>
    <row r="131" spans="1:7" ht="15" customHeight="1">
      <c r="A131" s="374" t="s">
        <v>937</v>
      </c>
      <c r="B131" s="375">
        <v>30000</v>
      </c>
      <c r="C131" s="379" t="s">
        <v>938</v>
      </c>
      <c r="D131" s="377">
        <v>150</v>
      </c>
      <c r="E131" s="380" t="s">
        <v>939</v>
      </c>
      <c r="F131" s="378">
        <f t="shared" si="0"/>
        <v>4500000</v>
      </c>
      <c r="G131" s="373"/>
    </row>
    <row r="132" spans="1:7" ht="15" customHeight="1">
      <c r="A132" s="374" t="s">
        <v>940</v>
      </c>
      <c r="B132" s="375">
        <v>11100</v>
      </c>
      <c r="C132" s="376" t="s">
        <v>248</v>
      </c>
      <c r="D132" s="377">
        <v>500</v>
      </c>
      <c r="E132" s="376" t="s">
        <v>248</v>
      </c>
      <c r="F132" s="378">
        <f t="shared" si="0"/>
        <v>5550000</v>
      </c>
      <c r="G132" s="373"/>
    </row>
    <row r="133" spans="1:7" ht="15" customHeight="1">
      <c r="A133" s="374" t="s">
        <v>941</v>
      </c>
      <c r="B133" s="375">
        <v>13</v>
      </c>
      <c r="C133" s="379" t="s">
        <v>942</v>
      </c>
      <c r="D133" s="377">
        <v>702310</v>
      </c>
      <c r="E133" s="380" t="s">
        <v>942</v>
      </c>
      <c r="F133" s="378">
        <f t="shared" si="0"/>
        <v>9130030</v>
      </c>
      <c r="G133" s="373"/>
    </row>
    <row r="134" spans="1:7" ht="15" customHeight="1">
      <c r="A134" s="381" t="s">
        <v>943</v>
      </c>
      <c r="B134" s="382"/>
      <c r="C134" s="382"/>
      <c r="D134" s="383"/>
      <c r="E134" s="384"/>
      <c r="F134" s="385">
        <v>234000</v>
      </c>
      <c r="G134" s="373"/>
    </row>
    <row r="135" spans="1:7" ht="15" customHeight="1">
      <c r="A135" s="374" t="s">
        <v>944</v>
      </c>
      <c r="B135" s="375">
        <v>8.4</v>
      </c>
      <c r="C135" s="379" t="s">
        <v>942</v>
      </c>
      <c r="D135" s="377">
        <v>70000</v>
      </c>
      <c r="E135" s="380" t="s">
        <v>942</v>
      </c>
      <c r="F135" s="378">
        <v>588000</v>
      </c>
      <c r="G135" s="373"/>
    </row>
    <row r="136" spans="1:7" ht="15" customHeight="1">
      <c r="A136" s="374" t="s">
        <v>945</v>
      </c>
      <c r="B136" s="375">
        <v>3056</v>
      </c>
      <c r="C136" s="376" t="s">
        <v>248</v>
      </c>
      <c r="D136" s="377">
        <v>500</v>
      </c>
      <c r="E136" s="376" t="s">
        <v>248</v>
      </c>
      <c r="F136" s="378">
        <f>D136*B136</f>
        <v>1528000</v>
      </c>
      <c r="G136" s="373"/>
    </row>
    <row r="137" spans="1:7" ht="15" customHeight="1">
      <c r="A137" s="374" t="s">
        <v>946</v>
      </c>
      <c r="B137" s="379"/>
      <c r="C137" s="378"/>
      <c r="D137" s="386"/>
      <c r="E137" s="380"/>
      <c r="F137" s="378">
        <v>250000</v>
      </c>
      <c r="G137" s="373"/>
    </row>
    <row r="138" spans="1:7" ht="15" customHeight="1">
      <c r="A138" s="374" t="s">
        <v>947</v>
      </c>
      <c r="B138" s="375">
        <v>9</v>
      </c>
      <c r="C138" s="379" t="s">
        <v>948</v>
      </c>
      <c r="D138" s="377">
        <f>500*30</f>
        <v>15000</v>
      </c>
      <c r="E138" s="380" t="s">
        <v>949</v>
      </c>
      <c r="F138" s="378">
        <f>D138*B138</f>
        <v>135000</v>
      </c>
      <c r="G138" s="373"/>
    </row>
    <row r="139" spans="1:7" ht="15" customHeight="1">
      <c r="A139" s="374" t="s">
        <v>950</v>
      </c>
      <c r="B139" s="375">
        <v>730</v>
      </c>
      <c r="C139" s="376" t="s">
        <v>248</v>
      </c>
      <c r="D139" s="377">
        <v>2156.9</v>
      </c>
      <c r="E139" s="376" t="s">
        <v>248</v>
      </c>
      <c r="F139" s="387">
        <f>D139*B139</f>
        <v>1574537</v>
      </c>
      <c r="G139" s="373" t="s">
        <v>951</v>
      </c>
    </row>
    <row r="140" spans="1:7" ht="15" customHeight="1">
      <c r="A140" s="374" t="s">
        <v>952</v>
      </c>
      <c r="B140" s="375">
        <v>100</v>
      </c>
      <c r="C140" s="376" t="s">
        <v>248</v>
      </c>
      <c r="D140" s="377">
        <v>2156.9</v>
      </c>
      <c r="E140" s="376" t="s">
        <v>248</v>
      </c>
      <c r="F140" s="387">
        <f>D140*B140</f>
        <v>215690</v>
      </c>
      <c r="G140" s="373" t="s">
        <v>951</v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28">
    <tabColor theme="1"/>
  </sheetPr>
  <dimension ref="A1:G72"/>
  <sheetViews>
    <sheetView workbookViewId="0"/>
  </sheetViews>
  <sheetFormatPr defaultColWidth="8.5546875" defaultRowHeight="15" customHeight="1"/>
  <cols>
    <col min="1" max="1" width="7.21875" bestFit="1" customWidth="1"/>
    <col min="2" max="2" width="10.5546875" bestFit="1" customWidth="1"/>
    <col min="3" max="3" width="16.77734375" bestFit="1" customWidth="1"/>
    <col min="4" max="4" width="18.5546875" bestFit="1" customWidth="1"/>
    <col min="5" max="5" width="82.77734375" bestFit="1" customWidth="1"/>
    <col min="6" max="7" width="9.44140625" bestFit="1" customWidth="1"/>
    <col min="257" max="263" width="8.5546875" customWidth="1"/>
    <col min="513" max="519" width="8.5546875" customWidth="1"/>
    <col min="769" max="775" width="8.5546875" customWidth="1"/>
    <col min="1025" max="1031" width="8.5546875" customWidth="1"/>
    <col min="1281" max="1287" width="8.5546875" customWidth="1"/>
    <col min="1537" max="1543" width="8.5546875" customWidth="1"/>
    <col min="1793" max="1799" width="8.5546875" customWidth="1"/>
    <col min="2049" max="2055" width="8.5546875" customWidth="1"/>
    <col min="2305" max="2311" width="8.5546875" customWidth="1"/>
    <col min="2561" max="2567" width="8.5546875" customWidth="1"/>
    <col min="2817" max="2823" width="8.5546875" customWidth="1"/>
    <col min="3073" max="3079" width="8.5546875" customWidth="1"/>
    <col min="3329" max="3335" width="8.5546875" customWidth="1"/>
    <col min="3585" max="3591" width="8.5546875" customWidth="1"/>
    <col min="3841" max="3847" width="8.5546875" customWidth="1"/>
    <col min="4097" max="4103" width="8.5546875" customWidth="1"/>
    <col min="4353" max="4359" width="8.5546875" customWidth="1"/>
    <col min="4609" max="4615" width="8.5546875" customWidth="1"/>
    <col min="4865" max="4871" width="8.5546875" customWidth="1"/>
    <col min="5121" max="5127" width="8.5546875" customWidth="1"/>
    <col min="5377" max="5383" width="8.5546875" customWidth="1"/>
    <col min="5633" max="5639" width="8.5546875" customWidth="1"/>
    <col min="5889" max="5895" width="8.5546875" customWidth="1"/>
    <col min="6145" max="6151" width="8.5546875" customWidth="1"/>
    <col min="6401" max="6407" width="8.5546875" customWidth="1"/>
    <col min="6657" max="6663" width="8.5546875" customWidth="1"/>
    <col min="6913" max="6919" width="8.5546875" customWidth="1"/>
    <col min="7169" max="7175" width="8.5546875" customWidth="1"/>
    <col min="7425" max="7431" width="8.5546875" customWidth="1"/>
    <col min="7681" max="7687" width="8.5546875" customWidth="1"/>
    <col min="7937" max="7943" width="8.5546875" customWidth="1"/>
    <col min="8193" max="8199" width="8.5546875" customWidth="1"/>
    <col min="8449" max="8455" width="8.5546875" customWidth="1"/>
    <col min="8705" max="8711" width="8.5546875" customWidth="1"/>
    <col min="8961" max="8967" width="8.5546875" customWidth="1"/>
    <col min="9217" max="9223" width="8.5546875" customWidth="1"/>
    <col min="9473" max="9479" width="8.5546875" customWidth="1"/>
    <col min="9729" max="9735" width="8.5546875" customWidth="1"/>
    <col min="9985" max="9991" width="8.5546875" customWidth="1"/>
    <col min="10241" max="10247" width="8.5546875" customWidth="1"/>
    <col min="10497" max="10503" width="8.5546875" customWidth="1"/>
    <col min="10753" max="10759" width="8.5546875" customWidth="1"/>
    <col min="11009" max="11015" width="8.5546875" customWidth="1"/>
    <col min="11265" max="11271" width="8.5546875" customWidth="1"/>
    <col min="11521" max="11527" width="8.5546875" customWidth="1"/>
    <col min="11777" max="11783" width="8.5546875" customWidth="1"/>
    <col min="12033" max="12039" width="8.5546875" customWidth="1"/>
    <col min="12289" max="12295" width="8.5546875" customWidth="1"/>
    <col min="12545" max="12551" width="8.5546875" customWidth="1"/>
    <col min="12801" max="12807" width="8.5546875" customWidth="1"/>
    <col min="13057" max="13063" width="8.5546875" customWidth="1"/>
    <col min="13313" max="13319" width="8.5546875" customWidth="1"/>
    <col min="13569" max="13575" width="8.5546875" customWidth="1"/>
    <col min="13825" max="13831" width="8.5546875" customWidth="1"/>
    <col min="14081" max="14087" width="8.5546875" customWidth="1"/>
    <col min="14337" max="14343" width="8.5546875" customWidth="1"/>
    <col min="14593" max="14599" width="8.5546875" customWidth="1"/>
    <col min="14849" max="14855" width="8.5546875" customWidth="1"/>
    <col min="15105" max="15111" width="8.5546875" customWidth="1"/>
    <col min="15361" max="15367" width="8.5546875" customWidth="1"/>
    <col min="15617" max="15623" width="8.5546875" customWidth="1"/>
    <col min="15873" max="15879" width="8.5546875" customWidth="1"/>
    <col min="16129" max="16135" width="8.5546875" customWidth="1"/>
  </cols>
  <sheetData>
    <row r="1" spans="1:7" ht="15.95" thickBot="1">
      <c r="A1" s="389" t="s">
        <v>953</v>
      </c>
      <c r="B1" s="389" t="s">
        <v>954</v>
      </c>
      <c r="C1" s="389" t="s">
        <v>955</v>
      </c>
      <c r="D1" s="389" t="s">
        <v>956</v>
      </c>
      <c r="E1" s="389" t="s">
        <v>957</v>
      </c>
      <c r="F1" s="389" t="s">
        <v>958</v>
      </c>
      <c r="G1" s="389" t="s">
        <v>959</v>
      </c>
    </row>
    <row r="2" spans="1:7" ht="15.6">
      <c r="A2" s="390" t="s">
        <v>960</v>
      </c>
      <c r="B2" s="390" t="s">
        <v>961</v>
      </c>
      <c r="C2" s="390" t="s">
        <v>962</v>
      </c>
      <c r="D2" s="390" t="s">
        <v>963</v>
      </c>
      <c r="E2" s="391" t="s">
        <v>964</v>
      </c>
      <c r="F2" s="392">
        <v>332132</v>
      </c>
      <c r="G2" s="392">
        <v>9690416.0000999998</v>
      </c>
    </row>
    <row r="3" spans="1:7" ht="15.6">
      <c r="A3" s="393" t="s">
        <v>965</v>
      </c>
      <c r="B3" s="393" t="s">
        <v>961</v>
      </c>
      <c r="C3" s="393" t="s">
        <v>962</v>
      </c>
      <c r="D3" s="393" t="s">
        <v>966</v>
      </c>
      <c r="E3" s="394" t="s">
        <v>967</v>
      </c>
      <c r="F3" s="395">
        <v>330824</v>
      </c>
      <c r="G3" s="395">
        <v>9689427</v>
      </c>
    </row>
    <row r="4" spans="1:7" ht="15.6">
      <c r="A4" s="393" t="s">
        <v>968</v>
      </c>
      <c r="B4" s="393" t="s">
        <v>969</v>
      </c>
      <c r="C4" s="393" t="s">
        <v>962</v>
      </c>
      <c r="D4" s="393" t="s">
        <v>970</v>
      </c>
      <c r="E4" s="394" t="s">
        <v>971</v>
      </c>
      <c r="F4" s="395">
        <v>330811.59159999999</v>
      </c>
      <c r="G4" s="395">
        <v>9689405.7982999999</v>
      </c>
    </row>
    <row r="5" spans="1:7" ht="15.6">
      <c r="A5" s="393" t="s">
        <v>972</v>
      </c>
      <c r="B5" s="393" t="s">
        <v>969</v>
      </c>
      <c r="C5" s="393" t="s">
        <v>962</v>
      </c>
      <c r="D5" s="393" t="s">
        <v>970</v>
      </c>
      <c r="E5" s="394" t="s">
        <v>973</v>
      </c>
      <c r="F5" s="395">
        <v>330804.96769999998</v>
      </c>
      <c r="G5" s="395">
        <v>9689369.7432000004</v>
      </c>
    </row>
    <row r="6" spans="1:7" ht="15.6">
      <c r="A6" s="393" t="s">
        <v>974</v>
      </c>
      <c r="B6" s="393" t="s">
        <v>969</v>
      </c>
      <c r="C6" s="393" t="s">
        <v>962</v>
      </c>
      <c r="D6" s="393" t="s">
        <v>970</v>
      </c>
      <c r="E6" s="394" t="s">
        <v>971</v>
      </c>
      <c r="F6" s="395">
        <v>330791.21269999997</v>
      </c>
      <c r="G6" s="395">
        <v>9689345.5099999998</v>
      </c>
    </row>
    <row r="7" spans="1:7" ht="15.6">
      <c r="A7" s="393" t="s">
        <v>975</v>
      </c>
      <c r="B7" s="393" t="s">
        <v>969</v>
      </c>
      <c r="C7" s="393" t="s">
        <v>962</v>
      </c>
      <c r="D7" s="393" t="s">
        <v>970</v>
      </c>
      <c r="E7" s="394" t="s">
        <v>976</v>
      </c>
      <c r="F7" s="395">
        <v>330791</v>
      </c>
      <c r="G7" s="395">
        <v>9689332</v>
      </c>
    </row>
    <row r="8" spans="1:7" ht="15.6">
      <c r="A8" s="393" t="s">
        <v>977</v>
      </c>
      <c r="B8" s="393" t="s">
        <v>961</v>
      </c>
      <c r="C8" s="393" t="s">
        <v>978</v>
      </c>
      <c r="D8" s="393" t="s">
        <v>979</v>
      </c>
      <c r="E8" s="394" t="s">
        <v>980</v>
      </c>
      <c r="F8" s="395">
        <v>329827.60470000003</v>
      </c>
      <c r="G8" s="395">
        <v>9688494.2807999998</v>
      </c>
    </row>
    <row r="9" spans="1:7" ht="15.6">
      <c r="A9" s="393" t="s">
        <v>981</v>
      </c>
      <c r="B9" s="393" t="s">
        <v>961</v>
      </c>
      <c r="C9" s="393" t="s">
        <v>978</v>
      </c>
      <c r="D9" s="393" t="s">
        <v>982</v>
      </c>
      <c r="E9" s="394" t="s">
        <v>983</v>
      </c>
      <c r="F9" s="395">
        <v>324688.68449999997</v>
      </c>
      <c r="G9" s="395">
        <v>9686085.2985999994</v>
      </c>
    </row>
    <row r="10" spans="1:7" ht="15.6">
      <c r="A10" s="393" t="s">
        <v>984</v>
      </c>
      <c r="B10" s="393" t="s">
        <v>961</v>
      </c>
      <c r="C10" s="393" t="s">
        <v>978</v>
      </c>
      <c r="D10" s="393" t="s">
        <v>982</v>
      </c>
      <c r="E10" s="394" t="s">
        <v>985</v>
      </c>
      <c r="F10" s="395">
        <v>324044.10869999998</v>
      </c>
      <c r="G10" s="395">
        <v>9685800.3500999995</v>
      </c>
    </row>
    <row r="11" spans="1:7" ht="15.6">
      <c r="A11" s="393" t="s">
        <v>986</v>
      </c>
      <c r="B11" s="393" t="s">
        <v>969</v>
      </c>
      <c r="C11" s="393" t="s">
        <v>962</v>
      </c>
      <c r="D11" s="393" t="s">
        <v>987</v>
      </c>
      <c r="E11" s="394" t="s">
        <v>988</v>
      </c>
      <c r="F11" s="395">
        <v>323941</v>
      </c>
      <c r="G11" s="395">
        <v>9685912</v>
      </c>
    </row>
    <row r="12" spans="1:7" ht="15.6">
      <c r="A12" s="393" t="s">
        <v>989</v>
      </c>
      <c r="B12" s="393" t="s">
        <v>961</v>
      </c>
      <c r="C12" s="393" t="s">
        <v>962</v>
      </c>
      <c r="D12" s="393" t="s">
        <v>990</v>
      </c>
      <c r="E12" s="394" t="s">
        <v>991</v>
      </c>
      <c r="F12" s="395">
        <v>323256.4425</v>
      </c>
      <c r="G12" s="395">
        <v>9685435.2535999995</v>
      </c>
    </row>
    <row r="13" spans="1:7" ht="15.6">
      <c r="A13" s="393" t="s">
        <v>992</v>
      </c>
      <c r="B13" s="393" t="s">
        <v>969</v>
      </c>
      <c r="C13" s="393" t="s">
        <v>962</v>
      </c>
      <c r="D13" s="393" t="s">
        <v>993</v>
      </c>
      <c r="E13" s="394" t="s">
        <v>994</v>
      </c>
      <c r="F13" s="395">
        <v>323252.58470000001</v>
      </c>
      <c r="G13" s="395">
        <v>9685446.8267000001</v>
      </c>
    </row>
    <row r="14" spans="1:7" ht="15.6">
      <c r="A14" s="393" t="s">
        <v>995</v>
      </c>
      <c r="B14" s="393" t="s">
        <v>969</v>
      </c>
      <c r="C14" s="393" t="s">
        <v>962</v>
      </c>
      <c r="D14" s="393" t="s">
        <v>996</v>
      </c>
      <c r="E14" s="394" t="s">
        <v>997</v>
      </c>
      <c r="F14" s="395">
        <v>323227</v>
      </c>
      <c r="G14" s="395">
        <v>9685640</v>
      </c>
    </row>
    <row r="15" spans="1:7" ht="15.6">
      <c r="A15" s="393" t="s">
        <v>998</v>
      </c>
      <c r="B15" s="393" t="s">
        <v>999</v>
      </c>
      <c r="C15" s="393" t="s">
        <v>962</v>
      </c>
      <c r="D15" s="393" t="s">
        <v>970</v>
      </c>
      <c r="E15" s="394" t="s">
        <v>1000</v>
      </c>
      <c r="F15" s="395">
        <v>327278.25650000002</v>
      </c>
      <c r="G15" s="395">
        <v>9686957.0286999997</v>
      </c>
    </row>
    <row r="16" spans="1:7" ht="15.6">
      <c r="A16" s="393" t="s">
        <v>1001</v>
      </c>
      <c r="B16" s="393" t="s">
        <v>961</v>
      </c>
      <c r="C16" s="393" t="s">
        <v>962</v>
      </c>
      <c r="D16" s="393" t="s">
        <v>970</v>
      </c>
      <c r="E16" s="394" t="s">
        <v>1002</v>
      </c>
      <c r="F16" s="395">
        <v>327264.44669999997</v>
      </c>
      <c r="G16" s="395">
        <v>9686808.5098000001</v>
      </c>
    </row>
    <row r="17" spans="1:7" ht="15.6">
      <c r="A17" s="393" t="s">
        <v>1003</v>
      </c>
      <c r="B17" s="393" t="s">
        <v>961</v>
      </c>
      <c r="C17" s="393" t="s">
        <v>962</v>
      </c>
      <c r="D17" s="393" t="s">
        <v>970</v>
      </c>
      <c r="E17" s="394" t="s">
        <v>1004</v>
      </c>
      <c r="F17" s="395">
        <v>327222.5834</v>
      </c>
      <c r="G17" s="395">
        <v>9686769.7528000008</v>
      </c>
    </row>
    <row r="18" spans="1:7" ht="15.6">
      <c r="A18" s="393" t="s">
        <v>1005</v>
      </c>
      <c r="B18" s="393" t="s">
        <v>961</v>
      </c>
      <c r="C18" s="393" t="s">
        <v>962</v>
      </c>
      <c r="D18" s="393" t="s">
        <v>970</v>
      </c>
      <c r="E18" s="394" t="s">
        <v>1006</v>
      </c>
      <c r="F18" s="395">
        <v>327206.82299999997</v>
      </c>
      <c r="G18" s="395">
        <v>9686749.3860999998</v>
      </c>
    </row>
    <row r="19" spans="1:7" ht="15.6">
      <c r="A19" s="393" t="s">
        <v>1007</v>
      </c>
      <c r="B19" s="393" t="s">
        <v>961</v>
      </c>
      <c r="C19" s="393" t="s">
        <v>962</v>
      </c>
      <c r="D19" s="393" t="s">
        <v>970</v>
      </c>
      <c r="E19" s="394" t="s">
        <v>1008</v>
      </c>
      <c r="F19" s="395">
        <v>327211.18109999999</v>
      </c>
      <c r="G19" s="395">
        <v>9686732.9165000003</v>
      </c>
    </row>
    <row r="20" spans="1:7" ht="15.6">
      <c r="A20" s="393" t="s">
        <v>1009</v>
      </c>
      <c r="B20" s="393" t="s">
        <v>961</v>
      </c>
      <c r="C20" s="393" t="s">
        <v>962</v>
      </c>
      <c r="D20" s="393" t="s">
        <v>1010</v>
      </c>
      <c r="E20" s="394" t="s">
        <v>1011</v>
      </c>
      <c r="F20" s="395">
        <v>326915.44589999999</v>
      </c>
      <c r="G20" s="395">
        <v>9686231.9515000004</v>
      </c>
    </row>
    <row r="21" spans="1:7" ht="15.6">
      <c r="A21" s="393" t="s">
        <v>1012</v>
      </c>
      <c r="B21" s="393" t="s">
        <v>969</v>
      </c>
      <c r="C21" s="393" t="s">
        <v>962</v>
      </c>
      <c r="D21" s="393" t="s">
        <v>1013</v>
      </c>
      <c r="E21" s="394" t="s">
        <v>1014</v>
      </c>
      <c r="F21" s="395">
        <v>334189.23619999998</v>
      </c>
      <c r="G21" s="395">
        <v>9691702.8302999996</v>
      </c>
    </row>
    <row r="22" spans="1:7" ht="15.6">
      <c r="A22" s="393" t="s">
        <v>1015</v>
      </c>
      <c r="B22" s="393" t="s">
        <v>969</v>
      </c>
      <c r="C22" s="393" t="s">
        <v>962</v>
      </c>
      <c r="D22" s="393" t="s">
        <v>987</v>
      </c>
      <c r="E22" s="394" t="s">
        <v>1016</v>
      </c>
      <c r="F22" s="395">
        <v>335646.06160000002</v>
      </c>
      <c r="G22" s="395">
        <v>9690986.0748999994</v>
      </c>
    </row>
    <row r="23" spans="1:7" ht="15.6">
      <c r="A23" s="393" t="s">
        <v>1017</v>
      </c>
      <c r="B23" s="393" t="s">
        <v>969</v>
      </c>
      <c r="C23" s="393" t="s">
        <v>962</v>
      </c>
      <c r="D23" s="393" t="s">
        <v>970</v>
      </c>
      <c r="E23" s="394" t="s">
        <v>1018</v>
      </c>
      <c r="F23" s="395">
        <v>336566.39199999999</v>
      </c>
      <c r="G23" s="395">
        <v>9690559.9901000001</v>
      </c>
    </row>
    <row r="24" spans="1:7" ht="15.6">
      <c r="A24" s="393" t="s">
        <v>1019</v>
      </c>
      <c r="B24" s="393" t="s">
        <v>961</v>
      </c>
      <c r="C24" s="393" t="s">
        <v>978</v>
      </c>
      <c r="D24" s="393" t="s">
        <v>1020</v>
      </c>
      <c r="E24" s="394" t="s">
        <v>1021</v>
      </c>
      <c r="F24" s="395">
        <v>337443.45510000002</v>
      </c>
      <c r="G24" s="395">
        <v>9690230.8169</v>
      </c>
    </row>
    <row r="25" spans="1:7" ht="15.6">
      <c r="A25" s="393" t="s">
        <v>1022</v>
      </c>
      <c r="B25" s="393" t="s">
        <v>969</v>
      </c>
      <c r="C25" s="393" t="s">
        <v>962</v>
      </c>
      <c r="D25" s="393" t="s">
        <v>970</v>
      </c>
      <c r="E25" s="394" t="s">
        <v>1023</v>
      </c>
      <c r="F25" s="395">
        <v>338428.99839999998</v>
      </c>
      <c r="G25" s="395">
        <v>9689741.2292999998</v>
      </c>
    </row>
    <row r="26" spans="1:7" ht="15.6">
      <c r="A26" s="393" t="s">
        <v>1024</v>
      </c>
      <c r="B26" s="393" t="s">
        <v>969</v>
      </c>
      <c r="C26" s="393" t="s">
        <v>962</v>
      </c>
      <c r="D26" s="393" t="s">
        <v>1025</v>
      </c>
      <c r="E26" s="394" t="s">
        <v>1026</v>
      </c>
      <c r="F26" s="395">
        <v>341550.04820000002</v>
      </c>
      <c r="G26" s="395">
        <v>9689138.4975000005</v>
      </c>
    </row>
    <row r="27" spans="1:7" ht="15.6">
      <c r="A27" s="393" t="s">
        <v>1027</v>
      </c>
      <c r="B27" s="393" t="s">
        <v>969</v>
      </c>
      <c r="C27" s="393" t="s">
        <v>962</v>
      </c>
      <c r="D27" s="393" t="s">
        <v>963</v>
      </c>
      <c r="E27" s="394" t="s">
        <v>1028</v>
      </c>
      <c r="F27" s="395">
        <v>341497</v>
      </c>
      <c r="G27" s="395">
        <v>9689058</v>
      </c>
    </row>
    <row r="28" spans="1:7" ht="15.6">
      <c r="A28" s="393" t="s">
        <v>1029</v>
      </c>
      <c r="B28" s="393" t="s">
        <v>969</v>
      </c>
      <c r="C28" s="393" t="s">
        <v>962</v>
      </c>
      <c r="D28" s="393" t="s">
        <v>963</v>
      </c>
      <c r="E28" s="394" t="s">
        <v>1030</v>
      </c>
      <c r="F28" s="395">
        <v>338585.19349999999</v>
      </c>
      <c r="G28" s="395">
        <v>9686193.0195000004</v>
      </c>
    </row>
    <row r="29" spans="1:7" ht="15.6">
      <c r="A29" s="393" t="s">
        <v>1031</v>
      </c>
      <c r="B29" s="393" t="s">
        <v>969</v>
      </c>
      <c r="C29" s="393" t="s">
        <v>962</v>
      </c>
      <c r="D29" s="393" t="s">
        <v>1032</v>
      </c>
      <c r="E29" s="394" t="s">
        <v>1033</v>
      </c>
      <c r="F29" s="395">
        <v>338257.72</v>
      </c>
      <c r="G29" s="395">
        <v>9687924.7799999993</v>
      </c>
    </row>
    <row r="30" spans="1:7" ht="15.6">
      <c r="A30" s="393" t="s">
        <v>1034</v>
      </c>
      <c r="B30" s="393" t="s">
        <v>961</v>
      </c>
      <c r="C30" s="393" t="s">
        <v>962</v>
      </c>
      <c r="D30" s="393" t="s">
        <v>966</v>
      </c>
      <c r="E30" s="394" t="s">
        <v>1035</v>
      </c>
      <c r="F30" s="395">
        <v>338156</v>
      </c>
      <c r="G30" s="395">
        <v>9688061.0000999998</v>
      </c>
    </row>
    <row r="31" spans="1:7" ht="15.6">
      <c r="A31" s="393" t="s">
        <v>1036</v>
      </c>
      <c r="B31" s="393" t="s">
        <v>969</v>
      </c>
      <c r="C31" s="393" t="s">
        <v>962</v>
      </c>
      <c r="D31" s="393" t="s">
        <v>970</v>
      </c>
      <c r="E31" s="394" t="s">
        <v>1037</v>
      </c>
      <c r="F31" s="395">
        <v>338741.44329999998</v>
      </c>
      <c r="G31" s="395">
        <v>9688193.5489000008</v>
      </c>
    </row>
    <row r="32" spans="1:7" ht="15.6">
      <c r="A32" s="393" t="s">
        <v>1038</v>
      </c>
      <c r="B32" s="393" t="s">
        <v>961</v>
      </c>
      <c r="C32" s="393" t="s">
        <v>978</v>
      </c>
      <c r="D32" s="393" t="s">
        <v>1039</v>
      </c>
      <c r="E32" s="394" t="s">
        <v>1039</v>
      </c>
      <c r="F32" s="395">
        <v>333310.5638</v>
      </c>
      <c r="G32" s="395">
        <v>9691702.1566000003</v>
      </c>
    </row>
    <row r="33" spans="1:7" ht="15.6">
      <c r="A33" s="393" t="s">
        <v>1040</v>
      </c>
      <c r="B33" s="393" t="s">
        <v>969</v>
      </c>
      <c r="C33" s="393" t="s">
        <v>962</v>
      </c>
      <c r="D33" s="393" t="s">
        <v>1025</v>
      </c>
      <c r="E33" s="394" t="s">
        <v>1041</v>
      </c>
      <c r="F33" s="395">
        <v>332004</v>
      </c>
      <c r="G33" s="395">
        <v>9691057.0000999998</v>
      </c>
    </row>
    <row r="34" spans="1:7" ht="15.6">
      <c r="A34" s="393" t="s">
        <v>1042</v>
      </c>
      <c r="B34" s="393" t="s">
        <v>961</v>
      </c>
      <c r="C34" s="393" t="s">
        <v>978</v>
      </c>
      <c r="D34" s="393" t="s">
        <v>1043</v>
      </c>
      <c r="E34" s="394" t="s">
        <v>1044</v>
      </c>
      <c r="F34" s="395">
        <v>327797.83399999997</v>
      </c>
      <c r="G34" s="395">
        <v>9687602.3670000006</v>
      </c>
    </row>
    <row r="35" spans="1:7" ht="15.6">
      <c r="A35" s="393" t="s">
        <v>1045</v>
      </c>
      <c r="B35" s="393" t="s">
        <v>969</v>
      </c>
      <c r="C35" s="393" t="s">
        <v>962</v>
      </c>
      <c r="D35" s="393" t="s">
        <v>970</v>
      </c>
      <c r="E35" s="394" t="s">
        <v>1046</v>
      </c>
      <c r="F35" s="395">
        <v>330622.80040000001</v>
      </c>
      <c r="G35" s="395">
        <v>9689153.6690999996</v>
      </c>
    </row>
    <row r="36" spans="1:7" ht="15.6">
      <c r="A36" s="393" t="s">
        <v>1047</v>
      </c>
      <c r="B36" s="393" t="s">
        <v>969</v>
      </c>
      <c r="C36" s="393" t="s">
        <v>962</v>
      </c>
      <c r="D36" s="393" t="s">
        <v>970</v>
      </c>
      <c r="E36" s="394" t="s">
        <v>1048</v>
      </c>
      <c r="F36" s="395">
        <v>330681.47830000002</v>
      </c>
      <c r="G36" s="395">
        <v>9689429.4017999992</v>
      </c>
    </row>
    <row r="37" spans="1:7" ht="15.6">
      <c r="A37" s="393" t="s">
        <v>1049</v>
      </c>
      <c r="B37" s="393" t="s">
        <v>969</v>
      </c>
      <c r="C37" s="393" t="s">
        <v>962</v>
      </c>
      <c r="D37" s="393" t="s">
        <v>963</v>
      </c>
      <c r="E37" s="394" t="s">
        <v>1050</v>
      </c>
      <c r="F37" s="395">
        <v>334173.24180000002</v>
      </c>
      <c r="G37" s="395">
        <v>9691690.3156000003</v>
      </c>
    </row>
    <row r="38" spans="1:7" ht="15.6">
      <c r="A38" s="393" t="s">
        <v>1051</v>
      </c>
      <c r="B38" s="393" t="s">
        <v>961</v>
      </c>
      <c r="C38" s="393" t="s">
        <v>978</v>
      </c>
      <c r="D38" s="393" t="s">
        <v>1052</v>
      </c>
      <c r="E38" s="394" t="s">
        <v>1053</v>
      </c>
      <c r="F38" s="395">
        <v>333836.592</v>
      </c>
      <c r="G38" s="395">
        <v>9691945.6383999996</v>
      </c>
    </row>
    <row r="39" spans="1:7" ht="15.6">
      <c r="A39" s="393" t="s">
        <v>1054</v>
      </c>
      <c r="B39" s="393" t="s">
        <v>961</v>
      </c>
      <c r="C39" s="393" t="s">
        <v>978</v>
      </c>
      <c r="D39" s="393" t="s">
        <v>1055</v>
      </c>
      <c r="E39" s="394" t="s">
        <v>1056</v>
      </c>
      <c r="F39" s="395">
        <v>333462.6177</v>
      </c>
      <c r="G39" s="395">
        <v>9692086.2517000008</v>
      </c>
    </row>
    <row r="40" spans="1:7" ht="15.6">
      <c r="A40" s="393" t="s">
        <v>1057</v>
      </c>
      <c r="B40" s="393" t="s">
        <v>961</v>
      </c>
      <c r="C40" s="393" t="s">
        <v>978</v>
      </c>
      <c r="D40" s="393" t="s">
        <v>1055</v>
      </c>
      <c r="E40" s="394" t="s">
        <v>1058</v>
      </c>
      <c r="F40" s="395">
        <v>333409.15139999997</v>
      </c>
      <c r="G40" s="395">
        <v>9692076.3429000005</v>
      </c>
    </row>
    <row r="41" spans="1:7" ht="15.6">
      <c r="A41" s="393" t="s">
        <v>1059</v>
      </c>
      <c r="B41" s="393" t="s">
        <v>969</v>
      </c>
      <c r="C41" s="393" t="s">
        <v>962</v>
      </c>
      <c r="D41" s="393" t="s">
        <v>1060</v>
      </c>
      <c r="E41" s="394" t="s">
        <v>1061</v>
      </c>
      <c r="F41" s="395">
        <v>333222.61290000001</v>
      </c>
      <c r="G41" s="395">
        <v>9692055.7606000006</v>
      </c>
    </row>
    <row r="42" spans="1:7" ht="15.6">
      <c r="A42" s="393" t="s">
        <v>1062</v>
      </c>
      <c r="B42" s="393" t="s">
        <v>969</v>
      </c>
      <c r="C42" s="393" t="s">
        <v>962</v>
      </c>
      <c r="D42" s="393" t="s">
        <v>1060</v>
      </c>
      <c r="E42" s="394" t="s">
        <v>1063</v>
      </c>
      <c r="F42" s="395">
        <v>333216.63540000003</v>
      </c>
      <c r="G42" s="395">
        <v>9692035.0763000008</v>
      </c>
    </row>
    <row r="43" spans="1:7" ht="15.6">
      <c r="A43" s="393" t="s">
        <v>1064</v>
      </c>
      <c r="B43" s="393" t="s">
        <v>969</v>
      </c>
      <c r="C43" s="393" t="s">
        <v>962</v>
      </c>
      <c r="D43" s="393" t="s">
        <v>1060</v>
      </c>
      <c r="E43" s="394" t="s">
        <v>1065</v>
      </c>
      <c r="F43" s="395">
        <v>333234.44760000001</v>
      </c>
      <c r="G43" s="395">
        <v>9692017.0758999996</v>
      </c>
    </row>
    <row r="44" spans="1:7" ht="15.6">
      <c r="A44" s="393" t="s">
        <v>1066</v>
      </c>
      <c r="B44" s="393" t="s">
        <v>969</v>
      </c>
      <c r="C44" s="393" t="s">
        <v>962</v>
      </c>
      <c r="D44" s="393" t="s">
        <v>1060</v>
      </c>
      <c r="E44" s="394" t="s">
        <v>1067</v>
      </c>
      <c r="F44" s="395">
        <v>333215.92129999999</v>
      </c>
      <c r="G44" s="395">
        <v>9691984.6550999992</v>
      </c>
    </row>
    <row r="45" spans="1:7" ht="15.6">
      <c r="A45" s="393" t="s">
        <v>1068</v>
      </c>
      <c r="B45" s="393" t="s">
        <v>969</v>
      </c>
      <c r="C45" s="393" t="s">
        <v>962</v>
      </c>
      <c r="D45" s="393" t="s">
        <v>1060</v>
      </c>
      <c r="E45" s="394" t="s">
        <v>1069</v>
      </c>
      <c r="F45" s="395">
        <v>333199.15700000001</v>
      </c>
      <c r="G45" s="395">
        <v>9691965.6155999992</v>
      </c>
    </row>
    <row r="46" spans="1:7" ht="15.6">
      <c r="A46" s="393" t="s">
        <v>1070</v>
      </c>
      <c r="B46" s="393" t="s">
        <v>969</v>
      </c>
      <c r="C46" s="393" t="s">
        <v>962</v>
      </c>
      <c r="D46" s="393" t="s">
        <v>1060</v>
      </c>
      <c r="E46" s="394" t="s">
        <v>1071</v>
      </c>
      <c r="F46" s="395">
        <v>333174.22639999999</v>
      </c>
      <c r="G46" s="395">
        <v>9691985.7076999992</v>
      </c>
    </row>
    <row r="47" spans="1:7" ht="15.6">
      <c r="A47" s="393" t="s">
        <v>1072</v>
      </c>
      <c r="B47" s="393" t="s">
        <v>969</v>
      </c>
      <c r="C47" s="393" t="s">
        <v>962</v>
      </c>
      <c r="D47" s="393" t="s">
        <v>1060</v>
      </c>
      <c r="E47" s="394" t="s">
        <v>1073</v>
      </c>
      <c r="F47" s="395">
        <v>333188.37040000001</v>
      </c>
      <c r="G47" s="395">
        <v>9691967.0392000005</v>
      </c>
    </row>
    <row r="48" spans="1:7" ht="15.6">
      <c r="A48" s="393" t="s">
        <v>1074</v>
      </c>
      <c r="B48" s="393" t="s">
        <v>969</v>
      </c>
      <c r="C48" s="393" t="s">
        <v>962</v>
      </c>
      <c r="D48" s="393" t="s">
        <v>1060</v>
      </c>
      <c r="E48" s="394" t="s">
        <v>1075</v>
      </c>
      <c r="F48" s="395">
        <v>333176.14909999998</v>
      </c>
      <c r="G48" s="395">
        <v>9691960.1682999991</v>
      </c>
    </row>
    <row r="49" spans="1:7" ht="15.6">
      <c r="A49" s="393" t="s">
        <v>1076</v>
      </c>
      <c r="B49" s="393" t="s">
        <v>969</v>
      </c>
      <c r="C49" s="393" t="s">
        <v>962</v>
      </c>
      <c r="D49" s="393" t="s">
        <v>1060</v>
      </c>
      <c r="E49" s="394" t="s">
        <v>1077</v>
      </c>
      <c r="F49" s="395">
        <v>333200.93400000001</v>
      </c>
      <c r="G49" s="395">
        <v>9691967.0551999994</v>
      </c>
    </row>
    <row r="50" spans="1:7" ht="15.6">
      <c r="A50" s="393" t="s">
        <v>1078</v>
      </c>
      <c r="B50" s="393" t="s">
        <v>969</v>
      </c>
      <c r="C50" s="393" t="s">
        <v>962</v>
      </c>
      <c r="D50" s="393" t="s">
        <v>1060</v>
      </c>
      <c r="E50" s="394" t="s">
        <v>1079</v>
      </c>
      <c r="F50" s="395">
        <v>333192.9535</v>
      </c>
      <c r="G50" s="395">
        <v>9691947.6952</v>
      </c>
    </row>
    <row r="51" spans="1:7" ht="15.6">
      <c r="A51" s="393" t="s">
        <v>1080</v>
      </c>
      <c r="B51" s="393" t="s">
        <v>969</v>
      </c>
      <c r="C51" s="393" t="s">
        <v>962</v>
      </c>
      <c r="D51" s="393" t="s">
        <v>1060</v>
      </c>
      <c r="E51" s="394" t="s">
        <v>1081</v>
      </c>
      <c r="F51" s="395">
        <v>333160.20679999999</v>
      </c>
      <c r="G51" s="395">
        <v>9691906.7423</v>
      </c>
    </row>
    <row r="52" spans="1:7" ht="15.6">
      <c r="A52" s="393" t="s">
        <v>1082</v>
      </c>
      <c r="B52" s="393" t="s">
        <v>969</v>
      </c>
      <c r="C52" s="393" t="s">
        <v>962</v>
      </c>
      <c r="D52" s="393" t="s">
        <v>1060</v>
      </c>
      <c r="E52" s="394" t="s">
        <v>1083</v>
      </c>
      <c r="F52" s="395">
        <v>333137</v>
      </c>
      <c r="G52" s="395">
        <v>9691883</v>
      </c>
    </row>
    <row r="53" spans="1:7" ht="15.6">
      <c r="A53" s="393" t="s">
        <v>1084</v>
      </c>
      <c r="B53" s="393" t="s">
        <v>961</v>
      </c>
      <c r="C53" s="393" t="s">
        <v>978</v>
      </c>
      <c r="D53" s="393" t="s">
        <v>1085</v>
      </c>
      <c r="E53" s="394" t="s">
        <v>1086</v>
      </c>
      <c r="F53" s="395">
        <v>338537.54590000003</v>
      </c>
      <c r="G53" s="395">
        <v>9686061.2017999999</v>
      </c>
    </row>
    <row r="54" spans="1:7" ht="15.6">
      <c r="A54" s="393" t="s">
        <v>1087</v>
      </c>
      <c r="B54" s="393" t="s">
        <v>969</v>
      </c>
      <c r="C54" s="393" t="s">
        <v>962</v>
      </c>
      <c r="D54" s="393" t="s">
        <v>1013</v>
      </c>
      <c r="E54" s="394" t="s">
        <v>1088</v>
      </c>
      <c r="F54" s="395">
        <v>338515.6753</v>
      </c>
      <c r="G54" s="395">
        <v>9686125.0830000006</v>
      </c>
    </row>
    <row r="55" spans="1:7" ht="15.6">
      <c r="A55" s="393" t="s">
        <v>1089</v>
      </c>
      <c r="B55" s="393" t="s">
        <v>961</v>
      </c>
      <c r="C55" s="393" t="s">
        <v>962</v>
      </c>
      <c r="D55" s="393" t="s">
        <v>1010</v>
      </c>
      <c r="E55" s="394" t="s">
        <v>1090</v>
      </c>
      <c r="F55" s="395">
        <v>334693.27860000002</v>
      </c>
      <c r="G55" s="395">
        <v>9685472.1724999994</v>
      </c>
    </row>
    <row r="56" spans="1:7" ht="15.6">
      <c r="A56" s="393" t="s">
        <v>1091</v>
      </c>
      <c r="B56" s="393" t="s">
        <v>961</v>
      </c>
      <c r="C56" s="393" t="s">
        <v>978</v>
      </c>
      <c r="D56" s="393" t="s">
        <v>1085</v>
      </c>
      <c r="E56" s="394" t="s">
        <v>1092</v>
      </c>
      <c r="F56" s="395">
        <v>334412.2377</v>
      </c>
      <c r="G56" s="395">
        <v>9686842.9934999999</v>
      </c>
    </row>
    <row r="57" spans="1:7" ht="15.6">
      <c r="A57" s="393" t="s">
        <v>1093</v>
      </c>
      <c r="B57" s="393" t="s">
        <v>969</v>
      </c>
      <c r="C57" s="393" t="s">
        <v>962</v>
      </c>
      <c r="D57" s="393" t="s">
        <v>996</v>
      </c>
      <c r="E57" s="394" t="s">
        <v>1094</v>
      </c>
      <c r="F57" s="395">
        <v>334426.59279999998</v>
      </c>
      <c r="G57" s="395">
        <v>9686746.2629000004</v>
      </c>
    </row>
    <row r="58" spans="1:7" ht="15.6">
      <c r="A58" s="393" t="s">
        <v>1095</v>
      </c>
      <c r="B58" s="393" t="s">
        <v>961</v>
      </c>
      <c r="C58" s="393" t="s">
        <v>978</v>
      </c>
      <c r="D58" s="393" t="s">
        <v>1052</v>
      </c>
      <c r="E58" s="394" t="s">
        <v>1096</v>
      </c>
      <c r="F58" s="395">
        <v>333152</v>
      </c>
      <c r="G58" s="395">
        <v>9692105.0000999998</v>
      </c>
    </row>
    <row r="59" spans="1:7" ht="15.6">
      <c r="A59" s="393" t="s">
        <v>1097</v>
      </c>
      <c r="B59" s="393" t="s">
        <v>961</v>
      </c>
      <c r="C59" s="393" t="s">
        <v>978</v>
      </c>
      <c r="D59" s="393" t="s">
        <v>1098</v>
      </c>
      <c r="E59" s="394" t="s">
        <v>1098</v>
      </c>
      <c r="F59" s="395">
        <v>331188</v>
      </c>
      <c r="G59" s="395">
        <v>9691388.0000999998</v>
      </c>
    </row>
    <row r="60" spans="1:7" ht="15.6">
      <c r="A60" s="393" t="s">
        <v>1099</v>
      </c>
      <c r="B60" s="393" t="s">
        <v>969</v>
      </c>
      <c r="C60" s="393" t="s">
        <v>962</v>
      </c>
      <c r="D60" s="393" t="s">
        <v>1100</v>
      </c>
      <c r="E60" s="394" t="s">
        <v>1101</v>
      </c>
      <c r="F60" s="395">
        <v>331496</v>
      </c>
      <c r="G60" s="395">
        <v>9691309.0000999998</v>
      </c>
    </row>
    <row r="61" spans="1:7" ht="15.6">
      <c r="A61" s="393" t="s">
        <v>1102</v>
      </c>
      <c r="B61" s="393" t="s">
        <v>961</v>
      </c>
      <c r="C61" s="393" t="s">
        <v>978</v>
      </c>
      <c r="D61" s="393" t="s">
        <v>979</v>
      </c>
      <c r="E61" s="394" t="s">
        <v>1103</v>
      </c>
      <c r="F61" s="395">
        <v>331048</v>
      </c>
      <c r="G61" s="395">
        <v>9690387.9999000002</v>
      </c>
    </row>
    <row r="62" spans="1:7" ht="15.6">
      <c r="A62" s="393" t="s">
        <v>1104</v>
      </c>
      <c r="B62" s="393" t="s">
        <v>961</v>
      </c>
      <c r="C62" s="393" t="s">
        <v>978</v>
      </c>
      <c r="D62" s="393" t="s">
        <v>1085</v>
      </c>
      <c r="E62" s="394" t="s">
        <v>1105</v>
      </c>
      <c r="F62" s="395">
        <v>331286</v>
      </c>
      <c r="G62" s="395">
        <v>9689614.0000999998</v>
      </c>
    </row>
    <row r="63" spans="1:7" ht="15.6">
      <c r="A63" s="393" t="s">
        <v>1106</v>
      </c>
      <c r="B63" s="393" t="s">
        <v>961</v>
      </c>
      <c r="C63" s="393" t="s">
        <v>978</v>
      </c>
      <c r="D63" s="393" t="s">
        <v>979</v>
      </c>
      <c r="E63" s="394" t="s">
        <v>1107</v>
      </c>
      <c r="F63" s="395">
        <v>332838</v>
      </c>
      <c r="G63" s="395">
        <v>9689530</v>
      </c>
    </row>
    <row r="64" spans="1:7" ht="15.6">
      <c r="A64" s="393" t="s">
        <v>1108</v>
      </c>
      <c r="B64" s="393" t="s">
        <v>969</v>
      </c>
      <c r="C64" s="393" t="s">
        <v>962</v>
      </c>
      <c r="D64" s="393" t="s">
        <v>970</v>
      </c>
      <c r="E64" s="394" t="s">
        <v>1109</v>
      </c>
      <c r="F64" s="395">
        <v>337160.54080000002</v>
      </c>
      <c r="G64" s="395">
        <v>9689401.7481999993</v>
      </c>
    </row>
    <row r="65" spans="1:7" ht="15.6">
      <c r="A65" s="393" t="s">
        <v>1110</v>
      </c>
      <c r="B65" s="393" t="s">
        <v>969</v>
      </c>
      <c r="C65" s="393" t="s">
        <v>962</v>
      </c>
      <c r="D65" s="393" t="s">
        <v>970</v>
      </c>
      <c r="E65" s="394" t="s">
        <v>1111</v>
      </c>
      <c r="F65" s="395">
        <v>336561.51</v>
      </c>
      <c r="G65" s="395">
        <v>9689577.7963999994</v>
      </c>
    </row>
    <row r="66" spans="1:7" ht="15.6">
      <c r="A66" s="393" t="s">
        <v>1112</v>
      </c>
      <c r="B66" s="393" t="s">
        <v>969</v>
      </c>
      <c r="C66" s="393" t="s">
        <v>962</v>
      </c>
      <c r="D66" s="393" t="s">
        <v>970</v>
      </c>
      <c r="E66" s="394" t="s">
        <v>1113</v>
      </c>
      <c r="F66" s="395">
        <v>336181.8872</v>
      </c>
      <c r="G66" s="395">
        <v>9689711.2182999998</v>
      </c>
    </row>
    <row r="67" spans="1:7" ht="15.6">
      <c r="A67" s="393" t="s">
        <v>1114</v>
      </c>
      <c r="B67" s="393" t="s">
        <v>969</v>
      </c>
      <c r="C67" s="393" t="s">
        <v>962</v>
      </c>
      <c r="D67" s="393" t="s">
        <v>963</v>
      </c>
      <c r="E67" s="394" t="s">
        <v>1115</v>
      </c>
      <c r="F67" s="395">
        <v>326830.62190000003</v>
      </c>
      <c r="G67" s="395">
        <v>9686231.2741</v>
      </c>
    </row>
    <row r="68" spans="1:7" ht="15.6">
      <c r="A68" s="393" t="s">
        <v>1116</v>
      </c>
      <c r="B68" s="393" t="s">
        <v>969</v>
      </c>
      <c r="C68" s="393" t="s">
        <v>962</v>
      </c>
      <c r="D68" s="393" t="s">
        <v>963</v>
      </c>
      <c r="E68" s="394" t="s">
        <v>1117</v>
      </c>
      <c r="F68" s="395">
        <v>334664.60570000001</v>
      </c>
      <c r="G68" s="395">
        <v>9685390.5840000007</v>
      </c>
    </row>
    <row r="69" spans="1:7" ht="15.6">
      <c r="A69" s="393" t="s">
        <v>1118</v>
      </c>
      <c r="B69" s="393" t="s">
        <v>969</v>
      </c>
      <c r="C69" s="393" t="s">
        <v>962</v>
      </c>
      <c r="D69" s="393" t="s">
        <v>963</v>
      </c>
      <c r="E69" s="394" t="s">
        <v>1119</v>
      </c>
      <c r="F69" s="395">
        <v>337377.94170000002</v>
      </c>
      <c r="G69" s="395">
        <v>9690236.4907000009</v>
      </c>
    </row>
    <row r="70" spans="1:7" ht="15.6">
      <c r="A70" s="393" t="s">
        <v>1120</v>
      </c>
      <c r="B70" s="393" t="s">
        <v>969</v>
      </c>
      <c r="C70" s="393" t="s">
        <v>962</v>
      </c>
      <c r="D70" s="393" t="s">
        <v>963</v>
      </c>
      <c r="E70" s="394" t="s">
        <v>1121</v>
      </c>
      <c r="F70" s="395">
        <v>338233.71870000003</v>
      </c>
      <c r="G70" s="395">
        <v>9688064.6972000003</v>
      </c>
    </row>
    <row r="71" spans="1:7" ht="15.6">
      <c r="A71" s="393" t="s">
        <v>1122</v>
      </c>
      <c r="B71" s="393" t="s">
        <v>969</v>
      </c>
      <c r="C71" s="393" t="s">
        <v>962</v>
      </c>
      <c r="D71" s="393" t="s">
        <v>1010</v>
      </c>
      <c r="E71" s="394" t="s">
        <v>1123</v>
      </c>
      <c r="F71" s="395">
        <v>341637.21769999998</v>
      </c>
      <c r="G71" s="395">
        <v>9688764.3388</v>
      </c>
    </row>
    <row r="72" spans="1:7" ht="15.95" thickBot="1">
      <c r="A72" s="396" t="s">
        <v>1124</v>
      </c>
      <c r="B72" s="396" t="s">
        <v>969</v>
      </c>
      <c r="C72" s="396" t="s">
        <v>962</v>
      </c>
      <c r="D72" s="396" t="s">
        <v>963</v>
      </c>
      <c r="E72" s="397" t="s">
        <v>1125</v>
      </c>
      <c r="F72" s="398">
        <v>331967.92080000002</v>
      </c>
      <c r="G72" s="398">
        <v>9691134.398</v>
      </c>
    </row>
  </sheetData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AI10"/>
  <sheetViews>
    <sheetView zoomScaleNormal="100" workbookViewId="0"/>
  </sheetViews>
  <sheetFormatPr defaultRowHeight="15.6"/>
  <cols>
    <col min="1" max="1" width="29.77734375" bestFit="1" customWidth="1"/>
    <col min="3" max="3" width="18.109375" bestFit="1" customWidth="1"/>
  </cols>
  <sheetData>
    <row r="2" spans="1:35">
      <c r="A2" s="594" t="s">
        <v>1126</v>
      </c>
      <c r="B2" s="594"/>
      <c r="C2" s="593" t="s">
        <v>204</v>
      </c>
      <c r="D2" s="777" t="s">
        <v>440</v>
      </c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3"/>
      <c r="T2" s="813"/>
      <c r="U2" s="813"/>
      <c r="V2" s="813"/>
      <c r="W2" s="813"/>
      <c r="X2" s="605"/>
      <c r="Y2" s="605"/>
      <c r="Z2" s="605"/>
      <c r="AA2" s="605"/>
      <c r="AB2" s="605"/>
      <c r="AC2" s="605"/>
      <c r="AD2" s="605"/>
      <c r="AE2" s="605"/>
      <c r="AF2" s="605"/>
      <c r="AG2" s="605"/>
    </row>
    <row r="3" spans="1:35">
      <c r="A3" s="595" t="s">
        <v>164</v>
      </c>
      <c r="B3" s="606" t="s">
        <v>165</v>
      </c>
      <c r="C3" s="596" t="s">
        <v>187</v>
      </c>
      <c r="D3" s="595">
        <v>1</v>
      </c>
      <c r="E3" s="595">
        <v>2</v>
      </c>
      <c r="F3" s="595">
        <v>3</v>
      </c>
      <c r="G3" s="595">
        <v>4</v>
      </c>
      <c r="H3" s="595">
        <v>5</v>
      </c>
      <c r="I3" s="595">
        <v>6</v>
      </c>
      <c r="J3" s="595">
        <v>7</v>
      </c>
      <c r="K3" s="595">
        <v>8</v>
      </c>
      <c r="L3" s="595">
        <v>9</v>
      </c>
      <c r="M3" s="595">
        <v>10</v>
      </c>
      <c r="N3" s="595">
        <v>11</v>
      </c>
      <c r="O3" s="595">
        <v>12</v>
      </c>
      <c r="P3" s="595">
        <v>13</v>
      </c>
      <c r="Q3" s="595">
        <v>14</v>
      </c>
      <c r="R3" s="595">
        <v>15</v>
      </c>
      <c r="S3" s="595">
        <v>16</v>
      </c>
      <c r="T3" s="595">
        <v>17</v>
      </c>
      <c r="U3" s="595">
        <v>18</v>
      </c>
      <c r="V3" s="595">
        <v>19</v>
      </c>
      <c r="W3" s="595">
        <v>20</v>
      </c>
      <c r="X3" s="595">
        <v>21</v>
      </c>
      <c r="Y3" s="595">
        <v>22</v>
      </c>
      <c r="Z3" s="595">
        <v>23</v>
      </c>
      <c r="AA3" s="595">
        <v>24</v>
      </c>
      <c r="AB3" s="595">
        <v>25</v>
      </c>
      <c r="AC3" s="595">
        <v>26</v>
      </c>
      <c r="AD3" s="595">
        <v>27</v>
      </c>
      <c r="AE3" s="595">
        <v>28</v>
      </c>
      <c r="AF3" s="595">
        <v>29</v>
      </c>
      <c r="AG3" s="595">
        <v>30</v>
      </c>
    </row>
    <row r="4" spans="1:35">
      <c r="A4" s="296" t="s">
        <v>875</v>
      </c>
      <c r="B4" s="129" t="s">
        <v>191</v>
      </c>
      <c r="C4" s="138" t="s">
        <v>234</v>
      </c>
      <c r="D4" s="301">
        <v>4.4000000000000004</v>
      </c>
      <c r="E4" s="301">
        <v>4.4000000000000004</v>
      </c>
      <c r="F4" s="301">
        <v>4.4000000000000004</v>
      </c>
      <c r="G4" s="139"/>
      <c r="H4" s="139"/>
      <c r="I4" s="139">
        <v>0</v>
      </c>
      <c r="J4" s="139">
        <v>0</v>
      </c>
      <c r="K4" s="139">
        <v>0</v>
      </c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</row>
    <row r="5" spans="1:35" ht="18.75" customHeight="1"/>
    <row r="6" spans="1:35" ht="18.75" customHeight="1">
      <c r="A6" t="s">
        <v>1127</v>
      </c>
      <c r="C6" t="s">
        <v>248</v>
      </c>
    </row>
    <row r="7" spans="1:35">
      <c r="A7" t="s">
        <v>362</v>
      </c>
      <c r="D7" s="463">
        <f>D4*$B$9*$B$10</f>
        <v>35200</v>
      </c>
      <c r="E7" s="463">
        <f t="shared" ref="E7:AG7" si="0">E4*$B$9*$B$10</f>
        <v>35200</v>
      </c>
      <c r="F7" s="463">
        <f t="shared" si="0"/>
        <v>35200</v>
      </c>
      <c r="G7" s="463">
        <f t="shared" si="0"/>
        <v>0</v>
      </c>
      <c r="H7" s="463">
        <f t="shared" si="0"/>
        <v>0</v>
      </c>
      <c r="I7" s="463">
        <f t="shared" si="0"/>
        <v>0</v>
      </c>
      <c r="J7" s="463">
        <f t="shared" si="0"/>
        <v>0</v>
      </c>
      <c r="K7" s="463">
        <f t="shared" si="0"/>
        <v>0</v>
      </c>
      <c r="L7" s="463">
        <f t="shared" si="0"/>
        <v>0</v>
      </c>
      <c r="M7" s="463">
        <f t="shared" si="0"/>
        <v>0</v>
      </c>
      <c r="N7" s="463">
        <f t="shared" si="0"/>
        <v>0</v>
      </c>
      <c r="O7" s="463">
        <f t="shared" si="0"/>
        <v>0</v>
      </c>
      <c r="P7" s="463">
        <f t="shared" si="0"/>
        <v>0</v>
      </c>
      <c r="Q7" s="463">
        <f t="shared" si="0"/>
        <v>0</v>
      </c>
      <c r="R7" s="463">
        <f t="shared" si="0"/>
        <v>0</v>
      </c>
      <c r="S7" s="463">
        <f t="shared" si="0"/>
        <v>0</v>
      </c>
      <c r="T7" s="463">
        <f t="shared" si="0"/>
        <v>0</v>
      </c>
      <c r="U7" s="463">
        <f t="shared" si="0"/>
        <v>0</v>
      </c>
      <c r="V7" s="463">
        <f t="shared" si="0"/>
        <v>0</v>
      </c>
      <c r="W7" s="463">
        <f t="shared" si="0"/>
        <v>0</v>
      </c>
      <c r="X7" s="463">
        <f t="shared" si="0"/>
        <v>0</v>
      </c>
      <c r="Y7" s="463">
        <f t="shared" si="0"/>
        <v>0</v>
      </c>
      <c r="Z7" s="463">
        <f t="shared" si="0"/>
        <v>0</v>
      </c>
      <c r="AA7" s="463">
        <f t="shared" si="0"/>
        <v>0</v>
      </c>
      <c r="AB7" s="463">
        <f t="shared" si="0"/>
        <v>0</v>
      </c>
      <c r="AC7" s="463">
        <f t="shared" si="0"/>
        <v>0</v>
      </c>
      <c r="AD7" s="463">
        <f t="shared" si="0"/>
        <v>0</v>
      </c>
      <c r="AE7" s="463">
        <f t="shared" si="0"/>
        <v>0</v>
      </c>
      <c r="AF7" s="463">
        <f t="shared" si="0"/>
        <v>0</v>
      </c>
      <c r="AG7" s="463">
        <f t="shared" si="0"/>
        <v>0</v>
      </c>
      <c r="AH7" s="463"/>
      <c r="AI7" s="463"/>
    </row>
    <row r="9" spans="1:35">
      <c r="A9" t="s">
        <v>204</v>
      </c>
      <c r="B9">
        <v>1000</v>
      </c>
    </row>
    <row r="10" spans="1:35">
      <c r="A10" t="s">
        <v>1128</v>
      </c>
      <c r="B10">
        <v>8</v>
      </c>
      <c r="C10" t="s">
        <v>1129</v>
      </c>
    </row>
  </sheetData>
  <mergeCells count="1">
    <mergeCell ref="D2:W2"/>
  </mergeCells>
  <dataValidations count="3">
    <dataValidation type="list" allowBlank="1" showErrorMessage="1" sqref="B4" xr:uid="{00000000-0002-0000-2100-000000000000}">
      <formula1>"Operacional,Administrativo,Encargo"</formula1>
    </dataValidation>
    <dataValidation type="list" allowBlank="1" showErrorMessage="1" sqref="C4" xr:uid="{00000000-0002-0000-2100-000001000000}">
      <formula1>INDIRECT($B4)</formula1>
    </dataValidation>
    <dataValidation type="list" allowBlank="1" showErrorMessage="1" sqref="A4" xr:uid="{00000000-0002-0000-2100-000002000000}">
      <formula1>INDIRECT(ListaCapex)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>
    <tabColor rgb="FFA8D08D"/>
  </sheetPr>
  <dimension ref="A1:BX24"/>
  <sheetViews>
    <sheetView workbookViewId="0">
      <pane xSplit="2" ySplit="4" topLeftCell="C5" activePane="bottomRight" state="frozen"/>
      <selection pane="bottomRight"/>
      <selection pane="bottomLeft" activeCell="A5" sqref="A5"/>
      <selection pane="topRight" activeCell="C1" sqref="C1"/>
    </sheetView>
  </sheetViews>
  <sheetFormatPr defaultColWidth="11.44140625" defaultRowHeight="15" customHeight="1"/>
  <cols>
    <col min="1" max="1" width="3" customWidth="1"/>
    <col min="2" max="2" width="37.5546875" customWidth="1"/>
    <col min="3" max="3" width="14" customWidth="1"/>
    <col min="4" max="7" width="9" customWidth="1"/>
    <col min="8" max="11" width="7.44140625" customWidth="1"/>
    <col min="12" max="15" width="8.44140625" customWidth="1"/>
    <col min="16" max="35" width="6.5546875" customWidth="1"/>
    <col min="36" max="55" width="8.21875" customWidth="1"/>
    <col min="56" max="75" width="9.21875" customWidth="1"/>
    <col min="76" max="76" width="68.5546875" customWidth="1"/>
    <col min="77" max="96" width="11.44140625" customWidth="1"/>
  </cols>
  <sheetData>
    <row r="1" spans="1:76" ht="15" customHeight="1">
      <c r="A1" s="503"/>
      <c r="B1" s="504" t="s">
        <v>126</v>
      </c>
      <c r="C1" s="505"/>
      <c r="D1" s="505"/>
      <c r="E1" s="505"/>
      <c r="F1" s="505"/>
      <c r="G1" s="505"/>
      <c r="H1" s="505"/>
      <c r="I1" s="505"/>
      <c r="J1" s="505"/>
      <c r="K1" s="505"/>
      <c r="L1" s="505"/>
      <c r="M1" s="505"/>
      <c r="N1" s="505"/>
      <c r="O1" s="505"/>
      <c r="P1" s="506"/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6"/>
      <c r="AH1" s="506"/>
      <c r="AI1" s="506"/>
      <c r="AJ1" s="505"/>
      <c r="AK1" s="505"/>
      <c r="AL1" s="505"/>
      <c r="AM1" s="505"/>
      <c r="AN1" s="505"/>
      <c r="AO1" s="505"/>
      <c r="AP1" s="505"/>
      <c r="AQ1" s="505"/>
      <c r="AR1" s="505"/>
      <c r="AS1" s="505"/>
      <c r="AT1" s="505"/>
      <c r="AU1" s="505"/>
      <c r="AV1" s="505"/>
      <c r="AW1" s="505"/>
      <c r="AX1" s="505"/>
      <c r="AY1" s="505"/>
      <c r="AZ1" s="505"/>
      <c r="BA1" s="505"/>
      <c r="BB1" s="505"/>
      <c r="BC1" s="505"/>
      <c r="BD1" s="505"/>
      <c r="BE1" s="505"/>
      <c r="BF1" s="505"/>
      <c r="BG1" s="505"/>
      <c r="BH1" s="505"/>
      <c r="BI1" s="505"/>
      <c r="BJ1" s="505"/>
      <c r="BK1" s="505"/>
      <c r="BL1" s="505"/>
      <c r="BM1" s="505"/>
      <c r="BN1" s="505"/>
      <c r="BO1" s="505"/>
      <c r="BP1" s="505"/>
      <c r="BQ1" s="505"/>
      <c r="BR1" s="505"/>
      <c r="BS1" s="505"/>
      <c r="BT1" s="505"/>
      <c r="BU1" s="505"/>
      <c r="BV1" s="505"/>
      <c r="BW1" s="505"/>
      <c r="BX1" s="505"/>
    </row>
    <row r="2" spans="1:76" ht="18.75" customHeight="1">
      <c r="A2" s="505"/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6"/>
      <c r="Q2" s="508"/>
      <c r="R2" s="508"/>
      <c r="S2" s="508"/>
      <c r="T2" s="508"/>
      <c r="U2" s="508"/>
      <c r="V2" s="508"/>
      <c r="W2" s="508"/>
      <c r="X2" s="508"/>
      <c r="Y2" s="508"/>
      <c r="Z2" s="508"/>
      <c r="AA2" s="508"/>
      <c r="AB2" s="508"/>
      <c r="AC2" s="508"/>
      <c r="AD2" s="508"/>
      <c r="AE2" s="508"/>
      <c r="AF2" s="508"/>
      <c r="AG2" s="508"/>
      <c r="AH2" s="508"/>
      <c r="AI2" s="508"/>
      <c r="AJ2" s="507"/>
      <c r="AK2" s="507"/>
      <c r="AL2" s="507"/>
      <c r="AM2" s="507"/>
      <c r="AN2" s="507"/>
      <c r="AO2" s="507"/>
      <c r="AP2" s="507"/>
      <c r="AQ2" s="507"/>
      <c r="AR2" s="507"/>
      <c r="AS2" s="507"/>
      <c r="AT2" s="507"/>
      <c r="AU2" s="507"/>
      <c r="AV2" s="507"/>
      <c r="AW2" s="507"/>
      <c r="AX2" s="507"/>
      <c r="AY2" s="507"/>
      <c r="AZ2" s="507"/>
      <c r="BA2" s="507"/>
      <c r="BB2" s="507"/>
      <c r="BC2" s="507"/>
      <c r="BD2" s="507"/>
      <c r="BE2" s="507"/>
      <c r="BF2" s="507"/>
      <c r="BG2" s="507"/>
      <c r="BH2" s="507"/>
      <c r="BI2" s="507"/>
      <c r="BJ2" s="507"/>
      <c r="BK2" s="507"/>
      <c r="BL2" s="507"/>
      <c r="BM2" s="507"/>
      <c r="BN2" s="507"/>
      <c r="BO2" s="507"/>
      <c r="BP2" s="507"/>
      <c r="BQ2" s="507"/>
      <c r="BR2" s="507"/>
      <c r="BS2" s="507"/>
      <c r="BT2" s="507"/>
      <c r="BU2" s="507"/>
      <c r="BV2" s="507"/>
      <c r="BW2" s="507"/>
      <c r="BX2" s="507"/>
    </row>
    <row r="3" spans="1:76" ht="21.75" customHeight="1">
      <c r="A3" s="505"/>
      <c r="B3" s="765" t="s">
        <v>127</v>
      </c>
      <c r="C3" s="765" t="s">
        <v>128</v>
      </c>
      <c r="D3" s="766" t="s">
        <v>129</v>
      </c>
      <c r="E3" s="817"/>
      <c r="F3" s="817"/>
      <c r="G3" s="818"/>
      <c r="H3" s="766" t="s">
        <v>130</v>
      </c>
      <c r="I3" s="817"/>
      <c r="J3" s="817"/>
      <c r="K3" s="818"/>
      <c r="L3" s="766" t="s">
        <v>131</v>
      </c>
      <c r="M3" s="817"/>
      <c r="N3" s="817"/>
      <c r="O3" s="818"/>
      <c r="P3" s="763" t="s">
        <v>132</v>
      </c>
      <c r="Q3" s="813"/>
      <c r="R3" s="813"/>
      <c r="S3" s="813"/>
      <c r="T3" s="813"/>
      <c r="U3" s="813"/>
      <c r="V3" s="813"/>
      <c r="W3" s="813"/>
      <c r="X3" s="813"/>
      <c r="Y3" s="813"/>
      <c r="Z3" s="813"/>
      <c r="AA3" s="813"/>
      <c r="AB3" s="813"/>
      <c r="AC3" s="813"/>
      <c r="AD3" s="813"/>
      <c r="AE3" s="813"/>
      <c r="AF3" s="813"/>
      <c r="AG3" s="813"/>
      <c r="AH3" s="813"/>
      <c r="AI3" s="813"/>
      <c r="AJ3" s="813"/>
      <c r="AK3" s="813"/>
      <c r="AL3" s="813"/>
      <c r="AM3" s="813"/>
      <c r="AN3" s="813"/>
      <c r="AO3" s="813"/>
      <c r="AP3" s="813"/>
      <c r="AQ3" s="813"/>
      <c r="AR3" s="813"/>
      <c r="AS3" s="819"/>
      <c r="AT3" s="764" t="s">
        <v>133</v>
      </c>
      <c r="AU3" s="813"/>
      <c r="AV3" s="813"/>
      <c r="AW3" s="813"/>
      <c r="AX3" s="813"/>
      <c r="AY3" s="813"/>
      <c r="AZ3" s="813"/>
      <c r="BA3" s="813"/>
      <c r="BB3" s="813"/>
      <c r="BC3" s="813"/>
      <c r="BD3" s="813"/>
      <c r="BE3" s="813"/>
      <c r="BF3" s="813"/>
      <c r="BG3" s="813"/>
      <c r="BH3" s="813"/>
      <c r="BI3" s="813"/>
      <c r="BJ3" s="813"/>
      <c r="BK3" s="813"/>
      <c r="BL3" s="813"/>
      <c r="BM3" s="813"/>
      <c r="BN3" s="813"/>
      <c r="BO3" s="813"/>
      <c r="BP3" s="813"/>
      <c r="BQ3" s="813"/>
      <c r="BR3" s="813"/>
      <c r="BS3" s="813"/>
      <c r="BT3" s="813"/>
      <c r="BU3" s="813"/>
      <c r="BV3" s="813"/>
      <c r="BW3" s="819"/>
      <c r="BX3" s="760" t="s">
        <v>109</v>
      </c>
    </row>
    <row r="4" spans="1:76" ht="12" customHeight="1">
      <c r="A4" s="505"/>
      <c r="B4" s="815"/>
      <c r="C4" s="813"/>
      <c r="D4" s="34">
        <v>1</v>
      </c>
      <c r="E4" s="509">
        <v>2</v>
      </c>
      <c r="F4" s="509">
        <v>3</v>
      </c>
      <c r="G4" s="509">
        <v>4</v>
      </c>
      <c r="H4" s="34">
        <v>1</v>
      </c>
      <c r="I4" s="509">
        <v>2</v>
      </c>
      <c r="J4" s="509">
        <v>3</v>
      </c>
      <c r="K4" s="509">
        <v>4</v>
      </c>
      <c r="L4" s="34">
        <v>1</v>
      </c>
      <c r="M4" s="509">
        <v>2</v>
      </c>
      <c r="N4" s="509">
        <v>3</v>
      </c>
      <c r="O4" s="509">
        <v>4</v>
      </c>
      <c r="P4" s="509">
        <v>1</v>
      </c>
      <c r="Q4" s="509">
        <v>2</v>
      </c>
      <c r="R4" s="509">
        <v>3</v>
      </c>
      <c r="S4" s="509">
        <v>4</v>
      </c>
      <c r="T4" s="509">
        <v>5</v>
      </c>
      <c r="U4" s="509">
        <v>6</v>
      </c>
      <c r="V4" s="509">
        <v>7</v>
      </c>
      <c r="W4" s="509">
        <v>8</v>
      </c>
      <c r="X4" s="509">
        <v>9</v>
      </c>
      <c r="Y4" s="509">
        <v>10</v>
      </c>
      <c r="Z4" s="509">
        <v>11</v>
      </c>
      <c r="AA4" s="509">
        <v>12</v>
      </c>
      <c r="AB4" s="509">
        <v>13</v>
      </c>
      <c r="AC4" s="509">
        <v>14</v>
      </c>
      <c r="AD4" s="509">
        <v>15</v>
      </c>
      <c r="AE4" s="509">
        <v>16</v>
      </c>
      <c r="AF4" s="509">
        <v>17</v>
      </c>
      <c r="AG4" s="509">
        <v>18</v>
      </c>
      <c r="AH4" s="509">
        <v>19</v>
      </c>
      <c r="AI4" s="509">
        <v>20</v>
      </c>
      <c r="AJ4" s="509">
        <v>21</v>
      </c>
      <c r="AK4" s="509">
        <v>22</v>
      </c>
      <c r="AL4" s="509">
        <v>23</v>
      </c>
      <c r="AM4" s="509">
        <v>24</v>
      </c>
      <c r="AN4" s="509">
        <v>25</v>
      </c>
      <c r="AO4" s="509">
        <v>26</v>
      </c>
      <c r="AP4" s="509">
        <v>27</v>
      </c>
      <c r="AQ4" s="509">
        <v>28</v>
      </c>
      <c r="AR4" s="509">
        <v>29</v>
      </c>
      <c r="AS4" s="509">
        <v>30</v>
      </c>
      <c r="AT4" s="509">
        <v>1</v>
      </c>
      <c r="AU4" s="509">
        <v>2</v>
      </c>
      <c r="AV4" s="509">
        <v>3</v>
      </c>
      <c r="AW4" s="509">
        <v>4</v>
      </c>
      <c r="AX4" s="509">
        <v>5</v>
      </c>
      <c r="AY4" s="509">
        <v>6</v>
      </c>
      <c r="AZ4" s="509">
        <v>7</v>
      </c>
      <c r="BA4" s="509">
        <v>8</v>
      </c>
      <c r="BB4" s="509">
        <v>9</v>
      </c>
      <c r="BC4" s="509">
        <v>10</v>
      </c>
      <c r="BD4" s="509">
        <v>11</v>
      </c>
      <c r="BE4" s="509">
        <v>12</v>
      </c>
      <c r="BF4" s="509">
        <v>13</v>
      </c>
      <c r="BG4" s="509">
        <v>14</v>
      </c>
      <c r="BH4" s="509">
        <v>15</v>
      </c>
      <c r="BI4" s="509">
        <v>16</v>
      </c>
      <c r="BJ4" s="509">
        <v>17</v>
      </c>
      <c r="BK4" s="509">
        <v>18</v>
      </c>
      <c r="BL4" s="509">
        <v>19</v>
      </c>
      <c r="BM4" s="509">
        <v>20</v>
      </c>
      <c r="BN4" s="509">
        <v>21</v>
      </c>
      <c r="BO4" s="509">
        <v>22</v>
      </c>
      <c r="BP4" s="509">
        <v>23</v>
      </c>
      <c r="BQ4" s="509">
        <v>24</v>
      </c>
      <c r="BR4" s="509">
        <v>25</v>
      </c>
      <c r="BS4" s="509">
        <v>26</v>
      </c>
      <c r="BT4" s="509">
        <v>27</v>
      </c>
      <c r="BU4" s="509">
        <v>28</v>
      </c>
      <c r="BV4" s="509">
        <v>29</v>
      </c>
      <c r="BW4" s="509">
        <v>30</v>
      </c>
      <c r="BX4" s="816"/>
    </row>
    <row r="5" spans="1:76" ht="12" customHeight="1">
      <c r="A5" s="505"/>
      <c r="B5" s="35" t="str">
        <f>IF(ISBLANK('A1 - Serviços e demanda'!A20),"",'A1 - Serviços e demanda'!A20)</f>
        <v>Ingresso</v>
      </c>
      <c r="C5" s="36">
        <f t="shared" ref="C5:C24" si="0">SUMPRODUCT(H5:K5,L5:O5)</f>
        <v>27</v>
      </c>
      <c r="D5" s="37" t="s">
        <v>134</v>
      </c>
      <c r="E5" s="37" t="s">
        <v>135</v>
      </c>
      <c r="F5" s="37" t="s">
        <v>136</v>
      </c>
      <c r="G5" s="510"/>
      <c r="H5" s="511">
        <f>Ingresso</f>
        <v>45</v>
      </c>
      <c r="I5" s="511">
        <f>H5/2</f>
        <v>22.5</v>
      </c>
      <c r="J5" s="37">
        <v>0</v>
      </c>
      <c r="K5" s="510"/>
      <c r="L5" s="38">
        <v>0.5</v>
      </c>
      <c r="M5" s="38">
        <v>0.2</v>
      </c>
      <c r="N5" s="38">
        <v>0.3</v>
      </c>
      <c r="O5" s="38"/>
      <c r="P5" s="39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  <c r="AG5" s="40">
        <v>0</v>
      </c>
      <c r="AH5" s="40">
        <v>0</v>
      </c>
      <c r="AI5" s="40">
        <v>0</v>
      </c>
      <c r="AJ5" s="40">
        <v>0</v>
      </c>
      <c r="AK5" s="40">
        <v>0</v>
      </c>
      <c r="AL5" s="40">
        <v>0</v>
      </c>
      <c r="AM5" s="40">
        <v>0</v>
      </c>
      <c r="AN5" s="40">
        <v>0</v>
      </c>
      <c r="AO5" s="40">
        <v>0</v>
      </c>
      <c r="AP5" s="40">
        <v>0</v>
      </c>
      <c r="AQ5" s="40">
        <v>0</v>
      </c>
      <c r="AR5" s="40">
        <v>0</v>
      </c>
      <c r="AS5" s="41">
        <v>0</v>
      </c>
      <c r="AT5" s="42">
        <f t="shared" ref="AT5:AT24" si="1">C5*(1+P5)</f>
        <v>27</v>
      </c>
      <c r="AU5" s="43">
        <f t="shared" ref="AU5:BW5" si="2">AT5*(1+Q5)</f>
        <v>27</v>
      </c>
      <c r="AV5" s="43">
        <f t="shared" si="2"/>
        <v>27</v>
      </c>
      <c r="AW5" s="43">
        <f t="shared" si="2"/>
        <v>27</v>
      </c>
      <c r="AX5" s="43">
        <f t="shared" si="2"/>
        <v>27</v>
      </c>
      <c r="AY5" s="43">
        <f t="shared" si="2"/>
        <v>27</v>
      </c>
      <c r="AZ5" s="43">
        <f t="shared" si="2"/>
        <v>27</v>
      </c>
      <c r="BA5" s="43">
        <f t="shared" si="2"/>
        <v>27</v>
      </c>
      <c r="BB5" s="43">
        <f t="shared" si="2"/>
        <v>27</v>
      </c>
      <c r="BC5" s="43">
        <f t="shared" si="2"/>
        <v>27</v>
      </c>
      <c r="BD5" s="43">
        <f t="shared" si="2"/>
        <v>27</v>
      </c>
      <c r="BE5" s="43">
        <f t="shared" si="2"/>
        <v>27</v>
      </c>
      <c r="BF5" s="43">
        <f t="shared" si="2"/>
        <v>27</v>
      </c>
      <c r="BG5" s="43">
        <f t="shared" si="2"/>
        <v>27</v>
      </c>
      <c r="BH5" s="43">
        <f t="shared" si="2"/>
        <v>27</v>
      </c>
      <c r="BI5" s="43">
        <f t="shared" si="2"/>
        <v>27</v>
      </c>
      <c r="BJ5" s="43">
        <f t="shared" si="2"/>
        <v>27</v>
      </c>
      <c r="BK5" s="43">
        <f t="shared" si="2"/>
        <v>27</v>
      </c>
      <c r="BL5" s="43">
        <f t="shared" si="2"/>
        <v>27</v>
      </c>
      <c r="BM5" s="43">
        <f t="shared" si="2"/>
        <v>27</v>
      </c>
      <c r="BN5" s="43">
        <f t="shared" si="2"/>
        <v>27</v>
      </c>
      <c r="BO5" s="43">
        <f t="shared" si="2"/>
        <v>27</v>
      </c>
      <c r="BP5" s="43">
        <f t="shared" si="2"/>
        <v>27</v>
      </c>
      <c r="BQ5" s="43">
        <f t="shared" si="2"/>
        <v>27</v>
      </c>
      <c r="BR5" s="43">
        <f t="shared" si="2"/>
        <v>27</v>
      </c>
      <c r="BS5" s="43">
        <f t="shared" si="2"/>
        <v>27</v>
      </c>
      <c r="BT5" s="43">
        <f t="shared" si="2"/>
        <v>27</v>
      </c>
      <c r="BU5" s="43">
        <f t="shared" si="2"/>
        <v>27</v>
      </c>
      <c r="BV5" s="43">
        <f t="shared" si="2"/>
        <v>27</v>
      </c>
      <c r="BW5" s="43">
        <f t="shared" si="2"/>
        <v>27</v>
      </c>
      <c r="BX5" s="25" t="s">
        <v>137</v>
      </c>
    </row>
    <row r="6" spans="1:76" ht="12" customHeight="1">
      <c r="A6" s="505"/>
      <c r="B6" s="35" t="str">
        <f>IF(ISBLANK('A1 - Serviços e demanda'!A21),"",'A1 - Serviços e demanda'!A21)</f>
        <v>Preá - Alimentação</v>
      </c>
      <c r="C6" s="36">
        <f t="shared" si="0"/>
        <v>25</v>
      </c>
      <c r="D6" s="37" t="s">
        <v>84</v>
      </c>
      <c r="E6" s="37"/>
      <c r="F6" s="37"/>
      <c r="G6" s="510"/>
      <c r="H6" s="37">
        <v>25</v>
      </c>
      <c r="I6" s="37"/>
      <c r="J6" s="37"/>
      <c r="K6" s="510"/>
      <c r="L6" s="38">
        <v>1</v>
      </c>
      <c r="M6" s="38"/>
      <c r="N6" s="38"/>
      <c r="O6" s="38"/>
      <c r="P6" s="512">
        <v>0</v>
      </c>
      <c r="Q6" s="44">
        <v>0</v>
      </c>
      <c r="R6" s="44">
        <v>0</v>
      </c>
      <c r="S6" s="44">
        <v>0</v>
      </c>
      <c r="T6" s="44">
        <v>0</v>
      </c>
      <c r="U6" s="44"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44">
        <v>0</v>
      </c>
      <c r="AG6" s="44"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44">
        <v>0</v>
      </c>
      <c r="AS6" s="513">
        <v>0</v>
      </c>
      <c r="AT6" s="42">
        <f t="shared" si="1"/>
        <v>25</v>
      </c>
      <c r="AU6" s="43">
        <f t="shared" ref="AU6:BW6" si="3">AT6*(1+Q6)</f>
        <v>25</v>
      </c>
      <c r="AV6" s="43">
        <f t="shared" si="3"/>
        <v>25</v>
      </c>
      <c r="AW6" s="43">
        <f t="shared" si="3"/>
        <v>25</v>
      </c>
      <c r="AX6" s="43">
        <f t="shared" si="3"/>
        <v>25</v>
      </c>
      <c r="AY6" s="43">
        <f t="shared" si="3"/>
        <v>25</v>
      </c>
      <c r="AZ6" s="43">
        <f t="shared" si="3"/>
        <v>25</v>
      </c>
      <c r="BA6" s="43">
        <f t="shared" si="3"/>
        <v>25</v>
      </c>
      <c r="BB6" s="43">
        <f t="shared" si="3"/>
        <v>25</v>
      </c>
      <c r="BC6" s="43">
        <f t="shared" si="3"/>
        <v>25</v>
      </c>
      <c r="BD6" s="43">
        <f t="shared" si="3"/>
        <v>25</v>
      </c>
      <c r="BE6" s="43">
        <f t="shared" si="3"/>
        <v>25</v>
      </c>
      <c r="BF6" s="43">
        <f t="shared" si="3"/>
        <v>25</v>
      </c>
      <c r="BG6" s="43">
        <f t="shared" si="3"/>
        <v>25</v>
      </c>
      <c r="BH6" s="43">
        <f t="shared" si="3"/>
        <v>25</v>
      </c>
      <c r="BI6" s="43">
        <f t="shared" si="3"/>
        <v>25</v>
      </c>
      <c r="BJ6" s="43">
        <f t="shared" si="3"/>
        <v>25</v>
      </c>
      <c r="BK6" s="43">
        <f t="shared" si="3"/>
        <v>25</v>
      </c>
      <c r="BL6" s="43">
        <f t="shared" si="3"/>
        <v>25</v>
      </c>
      <c r="BM6" s="43">
        <f t="shared" si="3"/>
        <v>25</v>
      </c>
      <c r="BN6" s="43">
        <f t="shared" si="3"/>
        <v>25</v>
      </c>
      <c r="BO6" s="43">
        <f t="shared" si="3"/>
        <v>25</v>
      </c>
      <c r="BP6" s="43">
        <f t="shared" si="3"/>
        <v>25</v>
      </c>
      <c r="BQ6" s="43">
        <f t="shared" si="3"/>
        <v>25</v>
      </c>
      <c r="BR6" s="43">
        <f t="shared" si="3"/>
        <v>25</v>
      </c>
      <c r="BS6" s="43">
        <f t="shared" si="3"/>
        <v>25</v>
      </c>
      <c r="BT6" s="43">
        <f t="shared" si="3"/>
        <v>25</v>
      </c>
      <c r="BU6" s="43">
        <f t="shared" si="3"/>
        <v>25</v>
      </c>
      <c r="BV6" s="43">
        <f t="shared" si="3"/>
        <v>25</v>
      </c>
      <c r="BW6" s="43">
        <f t="shared" si="3"/>
        <v>25</v>
      </c>
      <c r="BX6" s="45" t="s">
        <v>138</v>
      </c>
    </row>
    <row r="7" spans="1:76" ht="12" customHeight="1">
      <c r="A7" s="505"/>
      <c r="B7" s="35" t="str">
        <f>IF(ISBLANK('A1 - Serviços e demanda'!A22),"",'A1 - Serviços e demanda'!A22)</f>
        <v>Preá - Comércio</v>
      </c>
      <c r="C7" s="36">
        <f t="shared" si="0"/>
        <v>50</v>
      </c>
      <c r="D7" s="37" t="s">
        <v>86</v>
      </c>
      <c r="E7" s="37"/>
      <c r="F7" s="37"/>
      <c r="G7" s="510"/>
      <c r="H7" s="37">
        <v>50</v>
      </c>
      <c r="I7" s="37"/>
      <c r="J7" s="37"/>
      <c r="K7" s="510"/>
      <c r="L7" s="38">
        <v>1</v>
      </c>
      <c r="M7" s="38"/>
      <c r="N7" s="38"/>
      <c r="O7" s="38"/>
      <c r="P7" s="512">
        <v>0</v>
      </c>
      <c r="Q7" s="44">
        <v>0</v>
      </c>
      <c r="R7" s="44">
        <v>0</v>
      </c>
      <c r="S7" s="44">
        <v>0</v>
      </c>
      <c r="T7" s="44">
        <v>0</v>
      </c>
      <c r="U7" s="44">
        <v>0</v>
      </c>
      <c r="V7" s="44">
        <v>0</v>
      </c>
      <c r="W7" s="44">
        <v>0</v>
      </c>
      <c r="X7" s="44">
        <v>0</v>
      </c>
      <c r="Y7" s="44">
        <v>0</v>
      </c>
      <c r="Z7" s="44">
        <v>0</v>
      </c>
      <c r="AA7" s="44">
        <v>0</v>
      </c>
      <c r="AB7" s="44">
        <v>0</v>
      </c>
      <c r="AC7" s="44">
        <v>0</v>
      </c>
      <c r="AD7" s="44">
        <v>0</v>
      </c>
      <c r="AE7" s="44">
        <v>0</v>
      </c>
      <c r="AF7" s="44">
        <v>0</v>
      </c>
      <c r="AG7" s="44">
        <v>0</v>
      </c>
      <c r="AH7" s="44">
        <v>0</v>
      </c>
      <c r="AI7" s="44">
        <v>0</v>
      </c>
      <c r="AJ7" s="44">
        <v>0</v>
      </c>
      <c r="AK7" s="44">
        <v>0</v>
      </c>
      <c r="AL7" s="44">
        <v>0</v>
      </c>
      <c r="AM7" s="44">
        <v>0</v>
      </c>
      <c r="AN7" s="44">
        <v>0</v>
      </c>
      <c r="AO7" s="44">
        <v>0</v>
      </c>
      <c r="AP7" s="44">
        <v>0</v>
      </c>
      <c r="AQ7" s="44">
        <v>0</v>
      </c>
      <c r="AR7" s="44">
        <v>0</v>
      </c>
      <c r="AS7" s="513">
        <v>0</v>
      </c>
      <c r="AT7" s="42">
        <f t="shared" si="1"/>
        <v>50</v>
      </c>
      <c r="AU7" s="43">
        <f t="shared" ref="AU7:BW7" si="4">AT7*(1+Q7)</f>
        <v>50</v>
      </c>
      <c r="AV7" s="43">
        <f t="shared" si="4"/>
        <v>50</v>
      </c>
      <c r="AW7" s="43">
        <f t="shared" si="4"/>
        <v>50</v>
      </c>
      <c r="AX7" s="43">
        <f t="shared" si="4"/>
        <v>50</v>
      </c>
      <c r="AY7" s="43">
        <f t="shared" si="4"/>
        <v>50</v>
      </c>
      <c r="AZ7" s="43">
        <f t="shared" si="4"/>
        <v>50</v>
      </c>
      <c r="BA7" s="43">
        <f t="shared" si="4"/>
        <v>50</v>
      </c>
      <c r="BB7" s="43">
        <f t="shared" si="4"/>
        <v>50</v>
      </c>
      <c r="BC7" s="43">
        <f t="shared" si="4"/>
        <v>50</v>
      </c>
      <c r="BD7" s="43">
        <f t="shared" si="4"/>
        <v>50</v>
      </c>
      <c r="BE7" s="43">
        <f t="shared" si="4"/>
        <v>50</v>
      </c>
      <c r="BF7" s="43">
        <f t="shared" si="4"/>
        <v>50</v>
      </c>
      <c r="BG7" s="43">
        <f t="shared" si="4"/>
        <v>50</v>
      </c>
      <c r="BH7" s="43">
        <f t="shared" si="4"/>
        <v>50</v>
      </c>
      <c r="BI7" s="43">
        <f t="shared" si="4"/>
        <v>50</v>
      </c>
      <c r="BJ7" s="43">
        <f t="shared" si="4"/>
        <v>50</v>
      </c>
      <c r="BK7" s="43">
        <f t="shared" si="4"/>
        <v>50</v>
      </c>
      <c r="BL7" s="43">
        <f t="shared" si="4"/>
        <v>50</v>
      </c>
      <c r="BM7" s="43">
        <f t="shared" si="4"/>
        <v>50</v>
      </c>
      <c r="BN7" s="43">
        <f t="shared" si="4"/>
        <v>50</v>
      </c>
      <c r="BO7" s="43">
        <f t="shared" si="4"/>
        <v>50</v>
      </c>
      <c r="BP7" s="43">
        <f t="shared" si="4"/>
        <v>50</v>
      </c>
      <c r="BQ7" s="43">
        <f t="shared" si="4"/>
        <v>50</v>
      </c>
      <c r="BR7" s="43">
        <f t="shared" si="4"/>
        <v>50</v>
      </c>
      <c r="BS7" s="43">
        <f t="shared" si="4"/>
        <v>50</v>
      </c>
      <c r="BT7" s="43">
        <f t="shared" si="4"/>
        <v>50</v>
      </c>
      <c r="BU7" s="43">
        <f t="shared" si="4"/>
        <v>50</v>
      </c>
      <c r="BV7" s="43">
        <f t="shared" si="4"/>
        <v>50</v>
      </c>
      <c r="BW7" s="43">
        <f t="shared" si="4"/>
        <v>50</v>
      </c>
      <c r="BX7" s="45" t="s">
        <v>138</v>
      </c>
    </row>
    <row r="8" spans="1:76" ht="12" customHeight="1">
      <c r="A8" s="505"/>
      <c r="B8" s="35" t="str">
        <f>IF(ISBLANK('A1 - Serviços e demanda'!A23),"",'A1 - Serviços e demanda'!A23)</f>
        <v>Preá - Estacionamento</v>
      </c>
      <c r="C8" s="36">
        <f t="shared" si="0"/>
        <v>54</v>
      </c>
      <c r="D8" s="37" t="s">
        <v>139</v>
      </c>
      <c r="E8" s="37"/>
      <c r="F8" s="37"/>
      <c r="G8" s="510"/>
      <c r="H8" s="37">
        <v>54</v>
      </c>
      <c r="I8" s="37"/>
      <c r="J8" s="37"/>
      <c r="K8" s="510"/>
      <c r="L8" s="38">
        <v>1</v>
      </c>
      <c r="M8" s="38"/>
      <c r="N8" s="38"/>
      <c r="O8" s="38"/>
      <c r="P8" s="512">
        <v>0</v>
      </c>
      <c r="Q8" s="44">
        <v>0</v>
      </c>
      <c r="R8" s="44">
        <v>0</v>
      </c>
      <c r="S8" s="44">
        <v>0</v>
      </c>
      <c r="T8" s="44">
        <v>0</v>
      </c>
      <c r="U8" s="44">
        <v>0</v>
      </c>
      <c r="V8" s="44">
        <v>0</v>
      </c>
      <c r="W8" s="44">
        <v>0</v>
      </c>
      <c r="X8" s="44">
        <v>0</v>
      </c>
      <c r="Y8" s="44">
        <v>0</v>
      </c>
      <c r="Z8" s="44">
        <v>0</v>
      </c>
      <c r="AA8" s="44">
        <v>0</v>
      </c>
      <c r="AB8" s="44">
        <v>0</v>
      </c>
      <c r="AC8" s="44">
        <v>0</v>
      </c>
      <c r="AD8" s="44">
        <v>0</v>
      </c>
      <c r="AE8" s="44">
        <v>0</v>
      </c>
      <c r="AF8" s="44">
        <v>0</v>
      </c>
      <c r="AG8" s="44">
        <v>0</v>
      </c>
      <c r="AH8" s="44">
        <v>0</v>
      </c>
      <c r="AI8" s="44">
        <v>0</v>
      </c>
      <c r="AJ8" s="44">
        <v>0</v>
      </c>
      <c r="AK8" s="44">
        <v>0</v>
      </c>
      <c r="AL8" s="44">
        <v>0</v>
      </c>
      <c r="AM8" s="44">
        <v>0</v>
      </c>
      <c r="AN8" s="44">
        <v>0</v>
      </c>
      <c r="AO8" s="44">
        <v>0</v>
      </c>
      <c r="AP8" s="44">
        <v>0</v>
      </c>
      <c r="AQ8" s="44">
        <v>0</v>
      </c>
      <c r="AR8" s="44">
        <v>0</v>
      </c>
      <c r="AS8" s="513">
        <v>0</v>
      </c>
      <c r="AT8" s="42">
        <f t="shared" si="1"/>
        <v>54</v>
      </c>
      <c r="AU8" s="43">
        <f t="shared" ref="AU8:BW8" si="5">AT8*(1+Q8)</f>
        <v>54</v>
      </c>
      <c r="AV8" s="43">
        <f t="shared" si="5"/>
        <v>54</v>
      </c>
      <c r="AW8" s="43">
        <f t="shared" si="5"/>
        <v>54</v>
      </c>
      <c r="AX8" s="43">
        <f t="shared" si="5"/>
        <v>54</v>
      </c>
      <c r="AY8" s="43">
        <f t="shared" si="5"/>
        <v>54</v>
      </c>
      <c r="AZ8" s="43">
        <f t="shared" si="5"/>
        <v>54</v>
      </c>
      <c r="BA8" s="43">
        <f t="shared" si="5"/>
        <v>54</v>
      </c>
      <c r="BB8" s="43">
        <f t="shared" si="5"/>
        <v>54</v>
      </c>
      <c r="BC8" s="43">
        <f t="shared" si="5"/>
        <v>54</v>
      </c>
      <c r="BD8" s="43">
        <f t="shared" si="5"/>
        <v>54</v>
      </c>
      <c r="BE8" s="43">
        <f t="shared" si="5"/>
        <v>54</v>
      </c>
      <c r="BF8" s="43">
        <f t="shared" si="5"/>
        <v>54</v>
      </c>
      <c r="BG8" s="43">
        <f t="shared" si="5"/>
        <v>54</v>
      </c>
      <c r="BH8" s="43">
        <f t="shared" si="5"/>
        <v>54</v>
      </c>
      <c r="BI8" s="43">
        <f t="shared" si="5"/>
        <v>54</v>
      </c>
      <c r="BJ8" s="43">
        <f t="shared" si="5"/>
        <v>54</v>
      </c>
      <c r="BK8" s="43">
        <f t="shared" si="5"/>
        <v>54</v>
      </c>
      <c r="BL8" s="43">
        <f t="shared" si="5"/>
        <v>54</v>
      </c>
      <c r="BM8" s="43">
        <f t="shared" si="5"/>
        <v>54</v>
      </c>
      <c r="BN8" s="43">
        <f t="shared" si="5"/>
        <v>54</v>
      </c>
      <c r="BO8" s="43">
        <f t="shared" si="5"/>
        <v>54</v>
      </c>
      <c r="BP8" s="43">
        <f t="shared" si="5"/>
        <v>54</v>
      </c>
      <c r="BQ8" s="43">
        <f t="shared" si="5"/>
        <v>54</v>
      </c>
      <c r="BR8" s="43">
        <f t="shared" si="5"/>
        <v>54</v>
      </c>
      <c r="BS8" s="43">
        <f t="shared" si="5"/>
        <v>54</v>
      </c>
      <c r="BT8" s="43">
        <f t="shared" si="5"/>
        <v>54</v>
      </c>
      <c r="BU8" s="43">
        <f t="shared" si="5"/>
        <v>54</v>
      </c>
      <c r="BV8" s="43">
        <f t="shared" si="5"/>
        <v>54</v>
      </c>
      <c r="BW8" s="43">
        <f t="shared" si="5"/>
        <v>54</v>
      </c>
      <c r="BX8" s="45" t="s">
        <v>138</v>
      </c>
    </row>
    <row r="9" spans="1:76" ht="12" customHeight="1">
      <c r="A9" s="505"/>
      <c r="B9" s="35" t="str">
        <f>IF(ISBLANK('A1 - Serviços e demanda'!A24),"",'A1 - Serviços e demanda'!A24)</f>
        <v>Árvore da Preguiça - Alimentação</v>
      </c>
      <c r="C9" s="36">
        <f t="shared" si="0"/>
        <v>25</v>
      </c>
      <c r="D9" s="37" t="s">
        <v>84</v>
      </c>
      <c r="E9" s="37"/>
      <c r="F9" s="37"/>
      <c r="G9" s="510"/>
      <c r="H9" s="37">
        <v>25</v>
      </c>
      <c r="I9" s="37"/>
      <c r="J9" s="37"/>
      <c r="K9" s="510"/>
      <c r="L9" s="38">
        <v>1</v>
      </c>
      <c r="M9" s="38"/>
      <c r="N9" s="38"/>
      <c r="O9" s="38"/>
      <c r="P9" s="512">
        <v>0</v>
      </c>
      <c r="Q9" s="44">
        <v>0</v>
      </c>
      <c r="R9" s="44">
        <v>0</v>
      </c>
      <c r="S9" s="44">
        <v>0</v>
      </c>
      <c r="T9" s="44">
        <v>0</v>
      </c>
      <c r="U9" s="44">
        <v>0</v>
      </c>
      <c r="V9" s="44">
        <v>0</v>
      </c>
      <c r="W9" s="44">
        <v>0</v>
      </c>
      <c r="X9" s="44">
        <v>0</v>
      </c>
      <c r="Y9" s="44">
        <v>0</v>
      </c>
      <c r="Z9" s="44">
        <v>0</v>
      </c>
      <c r="AA9" s="44">
        <v>0</v>
      </c>
      <c r="AB9" s="44">
        <v>0</v>
      </c>
      <c r="AC9" s="44">
        <v>0</v>
      </c>
      <c r="AD9" s="44">
        <v>0</v>
      </c>
      <c r="AE9" s="44">
        <v>0</v>
      </c>
      <c r="AF9" s="44">
        <v>0</v>
      </c>
      <c r="AG9" s="44">
        <v>0</v>
      </c>
      <c r="AH9" s="44">
        <v>0</v>
      </c>
      <c r="AI9" s="44">
        <v>0</v>
      </c>
      <c r="AJ9" s="44">
        <v>0</v>
      </c>
      <c r="AK9" s="44">
        <v>0</v>
      </c>
      <c r="AL9" s="44">
        <v>0</v>
      </c>
      <c r="AM9" s="44">
        <v>0</v>
      </c>
      <c r="AN9" s="44">
        <v>0</v>
      </c>
      <c r="AO9" s="44">
        <v>0</v>
      </c>
      <c r="AP9" s="44">
        <v>0</v>
      </c>
      <c r="AQ9" s="44">
        <v>0</v>
      </c>
      <c r="AR9" s="44">
        <v>0</v>
      </c>
      <c r="AS9" s="513">
        <v>0</v>
      </c>
      <c r="AT9" s="42">
        <f t="shared" si="1"/>
        <v>25</v>
      </c>
      <c r="AU9" s="43">
        <f t="shared" ref="AU9:BW9" si="6">AT9*(1+Q9)</f>
        <v>25</v>
      </c>
      <c r="AV9" s="43">
        <f t="shared" si="6"/>
        <v>25</v>
      </c>
      <c r="AW9" s="43">
        <f t="shared" si="6"/>
        <v>25</v>
      </c>
      <c r="AX9" s="43">
        <f t="shared" si="6"/>
        <v>25</v>
      </c>
      <c r="AY9" s="43">
        <f t="shared" si="6"/>
        <v>25</v>
      </c>
      <c r="AZ9" s="43">
        <f t="shared" si="6"/>
        <v>25</v>
      </c>
      <c r="BA9" s="43">
        <f t="shared" si="6"/>
        <v>25</v>
      </c>
      <c r="BB9" s="43">
        <f t="shared" si="6"/>
        <v>25</v>
      </c>
      <c r="BC9" s="43">
        <f t="shared" si="6"/>
        <v>25</v>
      </c>
      <c r="BD9" s="43">
        <f t="shared" si="6"/>
        <v>25</v>
      </c>
      <c r="BE9" s="43">
        <f t="shared" si="6"/>
        <v>25</v>
      </c>
      <c r="BF9" s="43">
        <f t="shared" si="6"/>
        <v>25</v>
      </c>
      <c r="BG9" s="43">
        <f t="shared" si="6"/>
        <v>25</v>
      </c>
      <c r="BH9" s="43">
        <f t="shared" si="6"/>
        <v>25</v>
      </c>
      <c r="BI9" s="43">
        <f t="shared" si="6"/>
        <v>25</v>
      </c>
      <c r="BJ9" s="43">
        <f t="shared" si="6"/>
        <v>25</v>
      </c>
      <c r="BK9" s="43">
        <f t="shared" si="6"/>
        <v>25</v>
      </c>
      <c r="BL9" s="43">
        <f t="shared" si="6"/>
        <v>25</v>
      </c>
      <c r="BM9" s="43">
        <f t="shared" si="6"/>
        <v>25</v>
      </c>
      <c r="BN9" s="43">
        <f t="shared" si="6"/>
        <v>25</v>
      </c>
      <c r="BO9" s="43">
        <f t="shared" si="6"/>
        <v>25</v>
      </c>
      <c r="BP9" s="43">
        <f t="shared" si="6"/>
        <v>25</v>
      </c>
      <c r="BQ9" s="43">
        <f t="shared" si="6"/>
        <v>25</v>
      </c>
      <c r="BR9" s="43">
        <f t="shared" si="6"/>
        <v>25</v>
      </c>
      <c r="BS9" s="43">
        <f t="shared" si="6"/>
        <v>25</v>
      </c>
      <c r="BT9" s="43">
        <f t="shared" si="6"/>
        <v>25</v>
      </c>
      <c r="BU9" s="43">
        <f t="shared" si="6"/>
        <v>25</v>
      </c>
      <c r="BV9" s="43">
        <f t="shared" si="6"/>
        <v>25</v>
      </c>
      <c r="BW9" s="43">
        <f t="shared" si="6"/>
        <v>25</v>
      </c>
      <c r="BX9" s="45" t="s">
        <v>138</v>
      </c>
    </row>
    <row r="10" spans="1:76" ht="12" customHeight="1">
      <c r="A10" s="505"/>
      <c r="B10" s="35" t="str">
        <f>IF(ISBLANK('A1 - Serviços e demanda'!A25),"",'A1 - Serviços e demanda'!A25)</f>
        <v>Árvore da Preguiça - Comércio</v>
      </c>
      <c r="C10" s="36">
        <f t="shared" si="0"/>
        <v>50</v>
      </c>
      <c r="D10" s="37" t="s">
        <v>86</v>
      </c>
      <c r="E10" s="37"/>
      <c r="F10" s="37"/>
      <c r="G10" s="510"/>
      <c r="H10" s="37">
        <v>50</v>
      </c>
      <c r="I10" s="37"/>
      <c r="J10" s="37"/>
      <c r="K10" s="510"/>
      <c r="L10" s="38">
        <v>1</v>
      </c>
      <c r="M10" s="38"/>
      <c r="N10" s="38"/>
      <c r="O10" s="38"/>
      <c r="P10" s="512">
        <v>0</v>
      </c>
      <c r="Q10" s="44">
        <v>0</v>
      </c>
      <c r="R10" s="44">
        <v>0</v>
      </c>
      <c r="S10" s="44">
        <v>0</v>
      </c>
      <c r="T10" s="44">
        <v>0</v>
      </c>
      <c r="U10" s="44">
        <v>0</v>
      </c>
      <c r="V10" s="44">
        <v>0</v>
      </c>
      <c r="W10" s="44">
        <v>0</v>
      </c>
      <c r="X10" s="44">
        <v>0</v>
      </c>
      <c r="Y10" s="44">
        <v>0</v>
      </c>
      <c r="Z10" s="44">
        <v>0</v>
      </c>
      <c r="AA10" s="44">
        <v>0</v>
      </c>
      <c r="AB10" s="44">
        <v>0</v>
      </c>
      <c r="AC10" s="44">
        <v>0</v>
      </c>
      <c r="AD10" s="44">
        <v>0</v>
      </c>
      <c r="AE10" s="44">
        <v>0</v>
      </c>
      <c r="AF10" s="44">
        <v>0</v>
      </c>
      <c r="AG10" s="44">
        <v>0</v>
      </c>
      <c r="AH10" s="44">
        <v>0</v>
      </c>
      <c r="AI10" s="44">
        <v>0</v>
      </c>
      <c r="AJ10" s="44">
        <v>0</v>
      </c>
      <c r="AK10" s="44">
        <v>0</v>
      </c>
      <c r="AL10" s="44">
        <v>0</v>
      </c>
      <c r="AM10" s="44">
        <v>0</v>
      </c>
      <c r="AN10" s="44">
        <v>0</v>
      </c>
      <c r="AO10" s="44">
        <v>0</v>
      </c>
      <c r="AP10" s="44">
        <v>0</v>
      </c>
      <c r="AQ10" s="44">
        <v>0</v>
      </c>
      <c r="AR10" s="44">
        <v>0</v>
      </c>
      <c r="AS10" s="513">
        <v>0</v>
      </c>
      <c r="AT10" s="42">
        <f t="shared" si="1"/>
        <v>50</v>
      </c>
      <c r="AU10" s="43">
        <f t="shared" ref="AU10:BW10" si="7">AT10*(1+Q10)</f>
        <v>50</v>
      </c>
      <c r="AV10" s="43">
        <f t="shared" si="7"/>
        <v>50</v>
      </c>
      <c r="AW10" s="43">
        <f t="shared" si="7"/>
        <v>50</v>
      </c>
      <c r="AX10" s="43">
        <f t="shared" si="7"/>
        <v>50</v>
      </c>
      <c r="AY10" s="43">
        <f t="shared" si="7"/>
        <v>50</v>
      </c>
      <c r="AZ10" s="43">
        <f t="shared" si="7"/>
        <v>50</v>
      </c>
      <c r="BA10" s="43">
        <f t="shared" si="7"/>
        <v>50</v>
      </c>
      <c r="BB10" s="43">
        <f t="shared" si="7"/>
        <v>50</v>
      </c>
      <c r="BC10" s="43">
        <f t="shared" si="7"/>
        <v>50</v>
      </c>
      <c r="BD10" s="43">
        <f t="shared" si="7"/>
        <v>50</v>
      </c>
      <c r="BE10" s="43">
        <f t="shared" si="7"/>
        <v>50</v>
      </c>
      <c r="BF10" s="43">
        <f t="shared" si="7"/>
        <v>50</v>
      </c>
      <c r="BG10" s="43">
        <f t="shared" si="7"/>
        <v>50</v>
      </c>
      <c r="BH10" s="43">
        <f t="shared" si="7"/>
        <v>50</v>
      </c>
      <c r="BI10" s="43">
        <f t="shared" si="7"/>
        <v>50</v>
      </c>
      <c r="BJ10" s="43">
        <f t="shared" si="7"/>
        <v>50</v>
      </c>
      <c r="BK10" s="43">
        <f t="shared" si="7"/>
        <v>50</v>
      </c>
      <c r="BL10" s="43">
        <f t="shared" si="7"/>
        <v>50</v>
      </c>
      <c r="BM10" s="43">
        <f t="shared" si="7"/>
        <v>50</v>
      </c>
      <c r="BN10" s="43">
        <f t="shared" si="7"/>
        <v>50</v>
      </c>
      <c r="BO10" s="43">
        <f t="shared" si="7"/>
        <v>50</v>
      </c>
      <c r="BP10" s="43">
        <f t="shared" si="7"/>
        <v>50</v>
      </c>
      <c r="BQ10" s="43">
        <f t="shared" si="7"/>
        <v>50</v>
      </c>
      <c r="BR10" s="43">
        <f t="shared" si="7"/>
        <v>50</v>
      </c>
      <c r="BS10" s="43">
        <f t="shared" si="7"/>
        <v>50</v>
      </c>
      <c r="BT10" s="43">
        <f t="shared" si="7"/>
        <v>50</v>
      </c>
      <c r="BU10" s="43">
        <f t="shared" si="7"/>
        <v>50</v>
      </c>
      <c r="BV10" s="43">
        <f t="shared" si="7"/>
        <v>50</v>
      </c>
      <c r="BW10" s="43">
        <f t="shared" si="7"/>
        <v>50</v>
      </c>
      <c r="BX10" s="45" t="s">
        <v>138</v>
      </c>
    </row>
    <row r="11" spans="1:76" ht="12" customHeight="1">
      <c r="A11" s="505"/>
      <c r="B11" s="35" t="str">
        <f>IF(ISBLANK('A1 - Serviços e demanda'!A26),"",'A1 - Serviços e demanda'!A26)</f>
        <v>Silveira - Alimentação</v>
      </c>
      <c r="C11" s="36">
        <f t="shared" si="0"/>
        <v>0</v>
      </c>
      <c r="D11" s="37" t="s">
        <v>84</v>
      </c>
      <c r="E11" s="37"/>
      <c r="F11" s="37"/>
      <c r="G11" s="510"/>
      <c r="H11" s="37"/>
      <c r="I11" s="37"/>
      <c r="J11" s="37"/>
      <c r="K11" s="510"/>
      <c r="L11" s="38">
        <v>1</v>
      </c>
      <c r="M11" s="38"/>
      <c r="N11" s="38"/>
      <c r="O11" s="38"/>
      <c r="P11" s="512">
        <v>0</v>
      </c>
      <c r="Q11" s="44">
        <v>0</v>
      </c>
      <c r="R11" s="44">
        <v>0</v>
      </c>
      <c r="S11" s="44">
        <v>0</v>
      </c>
      <c r="T11" s="44">
        <v>0</v>
      </c>
      <c r="U11" s="44">
        <v>0</v>
      </c>
      <c r="V11" s="44">
        <v>0</v>
      </c>
      <c r="W11" s="44">
        <v>0</v>
      </c>
      <c r="X11" s="44">
        <v>0</v>
      </c>
      <c r="Y11" s="44">
        <v>0</v>
      </c>
      <c r="Z11" s="44">
        <v>0</v>
      </c>
      <c r="AA11" s="44">
        <v>0</v>
      </c>
      <c r="AB11" s="44">
        <v>0</v>
      </c>
      <c r="AC11" s="44">
        <v>0</v>
      </c>
      <c r="AD11" s="44">
        <v>0</v>
      </c>
      <c r="AE11" s="44">
        <v>0</v>
      </c>
      <c r="AF11" s="44">
        <v>0</v>
      </c>
      <c r="AG11" s="44">
        <v>0</v>
      </c>
      <c r="AH11" s="44">
        <v>0</v>
      </c>
      <c r="AI11" s="44">
        <v>0</v>
      </c>
      <c r="AJ11" s="44">
        <v>0</v>
      </c>
      <c r="AK11" s="44">
        <v>0</v>
      </c>
      <c r="AL11" s="44">
        <v>0</v>
      </c>
      <c r="AM11" s="44">
        <v>0</v>
      </c>
      <c r="AN11" s="44">
        <v>0</v>
      </c>
      <c r="AO11" s="44">
        <v>0</v>
      </c>
      <c r="AP11" s="44">
        <v>0</v>
      </c>
      <c r="AQ11" s="44">
        <v>0</v>
      </c>
      <c r="AR11" s="44">
        <v>0</v>
      </c>
      <c r="AS11" s="513">
        <v>0</v>
      </c>
      <c r="AT11" s="42">
        <f t="shared" si="1"/>
        <v>0</v>
      </c>
      <c r="AU11" s="43">
        <f t="shared" ref="AU11:BW11" si="8">AT11*(1+Q11)</f>
        <v>0</v>
      </c>
      <c r="AV11" s="43">
        <f t="shared" si="8"/>
        <v>0</v>
      </c>
      <c r="AW11" s="43">
        <f t="shared" si="8"/>
        <v>0</v>
      </c>
      <c r="AX11" s="43">
        <f t="shared" si="8"/>
        <v>0</v>
      </c>
      <c r="AY11" s="43">
        <f t="shared" si="8"/>
        <v>0</v>
      </c>
      <c r="AZ11" s="43">
        <f t="shared" si="8"/>
        <v>0</v>
      </c>
      <c r="BA11" s="43">
        <f t="shared" si="8"/>
        <v>0</v>
      </c>
      <c r="BB11" s="43">
        <f t="shared" si="8"/>
        <v>0</v>
      </c>
      <c r="BC11" s="43">
        <f t="shared" si="8"/>
        <v>0</v>
      </c>
      <c r="BD11" s="43">
        <f t="shared" si="8"/>
        <v>0</v>
      </c>
      <c r="BE11" s="43">
        <f t="shared" si="8"/>
        <v>0</v>
      </c>
      <c r="BF11" s="43">
        <f t="shared" si="8"/>
        <v>0</v>
      </c>
      <c r="BG11" s="43">
        <f t="shared" si="8"/>
        <v>0</v>
      </c>
      <c r="BH11" s="43">
        <f t="shared" si="8"/>
        <v>0</v>
      </c>
      <c r="BI11" s="43">
        <f t="shared" si="8"/>
        <v>0</v>
      </c>
      <c r="BJ11" s="43">
        <f t="shared" si="8"/>
        <v>0</v>
      </c>
      <c r="BK11" s="43">
        <f t="shared" si="8"/>
        <v>0</v>
      </c>
      <c r="BL11" s="43">
        <f t="shared" si="8"/>
        <v>0</v>
      </c>
      <c r="BM11" s="43">
        <f t="shared" si="8"/>
        <v>0</v>
      </c>
      <c r="BN11" s="43">
        <f t="shared" si="8"/>
        <v>0</v>
      </c>
      <c r="BO11" s="43">
        <f t="shared" si="8"/>
        <v>0</v>
      </c>
      <c r="BP11" s="43">
        <f t="shared" si="8"/>
        <v>0</v>
      </c>
      <c r="BQ11" s="43">
        <f t="shared" si="8"/>
        <v>0</v>
      </c>
      <c r="BR11" s="43">
        <f t="shared" si="8"/>
        <v>0</v>
      </c>
      <c r="BS11" s="43">
        <f t="shared" si="8"/>
        <v>0</v>
      </c>
      <c r="BT11" s="43">
        <f t="shared" si="8"/>
        <v>0</v>
      </c>
      <c r="BU11" s="43">
        <f t="shared" si="8"/>
        <v>0</v>
      </c>
      <c r="BV11" s="43">
        <f t="shared" si="8"/>
        <v>0</v>
      </c>
      <c r="BW11" s="43">
        <f t="shared" si="8"/>
        <v>0</v>
      </c>
      <c r="BX11" s="45" t="s">
        <v>138</v>
      </c>
    </row>
    <row r="12" spans="1:76" ht="12" customHeight="1">
      <c r="A12" s="505"/>
      <c r="B12" s="35" t="str">
        <f>IF(ISBLANK('A1 - Serviços e demanda'!A27),"",'A1 - Serviços e demanda'!A27)</f>
        <v>Silveira - Comércio + Locação + Atividades</v>
      </c>
      <c r="C12" s="36">
        <f t="shared" si="0"/>
        <v>0</v>
      </c>
      <c r="D12" s="37" t="s">
        <v>86</v>
      </c>
      <c r="E12" s="37" t="s">
        <v>140</v>
      </c>
      <c r="F12" s="37" t="s">
        <v>141</v>
      </c>
      <c r="G12" s="510"/>
      <c r="H12" s="37"/>
      <c r="I12" s="37"/>
      <c r="J12" s="37"/>
      <c r="K12" s="510"/>
      <c r="L12" s="38">
        <v>1</v>
      </c>
      <c r="M12" s="38">
        <v>0.25</v>
      </c>
      <c r="N12" s="38">
        <v>0.15</v>
      </c>
      <c r="O12" s="38"/>
      <c r="P12" s="512">
        <v>0</v>
      </c>
      <c r="Q12" s="44">
        <v>0</v>
      </c>
      <c r="R12" s="44">
        <v>0</v>
      </c>
      <c r="S12" s="44">
        <v>0</v>
      </c>
      <c r="T12" s="44">
        <v>0</v>
      </c>
      <c r="U12" s="44">
        <v>0</v>
      </c>
      <c r="V12" s="44">
        <v>0</v>
      </c>
      <c r="W12" s="44">
        <v>0</v>
      </c>
      <c r="X12" s="44">
        <v>0</v>
      </c>
      <c r="Y12" s="44">
        <v>0</v>
      </c>
      <c r="Z12" s="44">
        <v>0</v>
      </c>
      <c r="AA12" s="44">
        <v>0</v>
      </c>
      <c r="AB12" s="44">
        <v>0</v>
      </c>
      <c r="AC12" s="44">
        <v>0</v>
      </c>
      <c r="AD12" s="44">
        <v>0</v>
      </c>
      <c r="AE12" s="44">
        <v>0</v>
      </c>
      <c r="AF12" s="44">
        <v>0</v>
      </c>
      <c r="AG12" s="44">
        <v>0</v>
      </c>
      <c r="AH12" s="44">
        <v>0</v>
      </c>
      <c r="AI12" s="44">
        <v>0</v>
      </c>
      <c r="AJ12" s="44">
        <v>0</v>
      </c>
      <c r="AK12" s="44">
        <v>0</v>
      </c>
      <c r="AL12" s="44">
        <v>0</v>
      </c>
      <c r="AM12" s="44">
        <v>0</v>
      </c>
      <c r="AN12" s="44">
        <v>0</v>
      </c>
      <c r="AO12" s="44">
        <v>0</v>
      </c>
      <c r="AP12" s="44">
        <v>0</v>
      </c>
      <c r="AQ12" s="44">
        <v>0</v>
      </c>
      <c r="AR12" s="44">
        <v>0</v>
      </c>
      <c r="AS12" s="513">
        <v>0</v>
      </c>
      <c r="AT12" s="42">
        <f t="shared" si="1"/>
        <v>0</v>
      </c>
      <c r="AU12" s="43">
        <f t="shared" ref="AU12:BW12" si="9">AT12*(1+Q12)</f>
        <v>0</v>
      </c>
      <c r="AV12" s="43">
        <f t="shared" si="9"/>
        <v>0</v>
      </c>
      <c r="AW12" s="43">
        <f t="shared" si="9"/>
        <v>0</v>
      </c>
      <c r="AX12" s="43">
        <f t="shared" si="9"/>
        <v>0</v>
      </c>
      <c r="AY12" s="43">
        <f t="shared" si="9"/>
        <v>0</v>
      </c>
      <c r="AZ12" s="43">
        <f t="shared" si="9"/>
        <v>0</v>
      </c>
      <c r="BA12" s="43">
        <f t="shared" si="9"/>
        <v>0</v>
      </c>
      <c r="BB12" s="43">
        <f t="shared" si="9"/>
        <v>0</v>
      </c>
      <c r="BC12" s="43">
        <f t="shared" si="9"/>
        <v>0</v>
      </c>
      <c r="BD12" s="43">
        <f t="shared" si="9"/>
        <v>0</v>
      </c>
      <c r="BE12" s="43">
        <f t="shared" si="9"/>
        <v>0</v>
      </c>
      <c r="BF12" s="43">
        <f t="shared" si="9"/>
        <v>0</v>
      </c>
      <c r="BG12" s="43">
        <f t="shared" si="9"/>
        <v>0</v>
      </c>
      <c r="BH12" s="43">
        <f t="shared" si="9"/>
        <v>0</v>
      </c>
      <c r="BI12" s="43">
        <f t="shared" si="9"/>
        <v>0</v>
      </c>
      <c r="BJ12" s="43">
        <f t="shared" si="9"/>
        <v>0</v>
      </c>
      <c r="BK12" s="43">
        <f t="shared" si="9"/>
        <v>0</v>
      </c>
      <c r="BL12" s="43">
        <f t="shared" si="9"/>
        <v>0</v>
      </c>
      <c r="BM12" s="43">
        <f t="shared" si="9"/>
        <v>0</v>
      </c>
      <c r="BN12" s="43">
        <f t="shared" si="9"/>
        <v>0</v>
      </c>
      <c r="BO12" s="43">
        <f t="shared" si="9"/>
        <v>0</v>
      </c>
      <c r="BP12" s="43">
        <f t="shared" si="9"/>
        <v>0</v>
      </c>
      <c r="BQ12" s="43">
        <f t="shared" si="9"/>
        <v>0</v>
      </c>
      <c r="BR12" s="43">
        <f t="shared" si="9"/>
        <v>0</v>
      </c>
      <c r="BS12" s="43">
        <f t="shared" si="9"/>
        <v>0</v>
      </c>
      <c r="BT12" s="43">
        <f t="shared" si="9"/>
        <v>0</v>
      </c>
      <c r="BU12" s="43">
        <f t="shared" si="9"/>
        <v>0</v>
      </c>
      <c r="BV12" s="43">
        <f t="shared" si="9"/>
        <v>0</v>
      </c>
      <c r="BW12" s="43">
        <f t="shared" si="9"/>
        <v>0</v>
      </c>
      <c r="BX12" s="45" t="s">
        <v>138</v>
      </c>
    </row>
    <row r="13" spans="1:76" ht="12" customHeight="1">
      <c r="A13" s="505"/>
      <c r="B13" s="35" t="str">
        <f>IF(ISBLANK('A1 - Serviços e demanda'!A28),"",'A1 - Serviços e demanda'!A28)</f>
        <v>Silveira - Hospedagem</v>
      </c>
      <c r="C13" s="36">
        <f t="shared" si="0"/>
        <v>0</v>
      </c>
      <c r="D13" s="37" t="s">
        <v>142</v>
      </c>
      <c r="E13" s="37" t="s">
        <v>143</v>
      </c>
      <c r="F13" s="37"/>
      <c r="G13" s="510"/>
      <c r="H13" s="37"/>
      <c r="I13" s="37"/>
      <c r="J13" s="37"/>
      <c r="K13" s="510"/>
      <c r="L13" s="38">
        <v>0.3</v>
      </c>
      <c r="M13" s="38">
        <v>0.7</v>
      </c>
      <c r="N13" s="38"/>
      <c r="O13" s="38"/>
      <c r="P13" s="512">
        <v>0</v>
      </c>
      <c r="Q13" s="44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  <c r="AC13" s="44">
        <v>0</v>
      </c>
      <c r="AD13" s="44">
        <v>0</v>
      </c>
      <c r="AE13" s="44">
        <v>0</v>
      </c>
      <c r="AF13" s="44">
        <v>0</v>
      </c>
      <c r="AG13" s="44">
        <v>0</v>
      </c>
      <c r="AH13" s="44">
        <v>0</v>
      </c>
      <c r="AI13" s="44">
        <v>0</v>
      </c>
      <c r="AJ13" s="44">
        <v>0</v>
      </c>
      <c r="AK13" s="44">
        <v>0</v>
      </c>
      <c r="AL13" s="44">
        <v>0</v>
      </c>
      <c r="AM13" s="44">
        <v>0</v>
      </c>
      <c r="AN13" s="44">
        <v>0</v>
      </c>
      <c r="AO13" s="44">
        <v>0</v>
      </c>
      <c r="AP13" s="44">
        <v>0</v>
      </c>
      <c r="AQ13" s="44">
        <v>0</v>
      </c>
      <c r="AR13" s="44">
        <v>0</v>
      </c>
      <c r="AS13" s="513">
        <v>0</v>
      </c>
      <c r="AT13" s="42">
        <f t="shared" si="1"/>
        <v>0</v>
      </c>
      <c r="AU13" s="43">
        <f t="shared" ref="AU13:BW13" si="10">AT13*(1+Q13)</f>
        <v>0</v>
      </c>
      <c r="AV13" s="43">
        <f t="shared" si="10"/>
        <v>0</v>
      </c>
      <c r="AW13" s="43">
        <f t="shared" si="10"/>
        <v>0</v>
      </c>
      <c r="AX13" s="43">
        <f t="shared" si="10"/>
        <v>0</v>
      </c>
      <c r="AY13" s="43">
        <f t="shared" si="10"/>
        <v>0</v>
      </c>
      <c r="AZ13" s="43">
        <f t="shared" si="10"/>
        <v>0</v>
      </c>
      <c r="BA13" s="43">
        <f t="shared" si="10"/>
        <v>0</v>
      </c>
      <c r="BB13" s="43">
        <f t="shared" si="10"/>
        <v>0</v>
      </c>
      <c r="BC13" s="43">
        <f t="shared" si="10"/>
        <v>0</v>
      </c>
      <c r="BD13" s="43">
        <f t="shared" si="10"/>
        <v>0</v>
      </c>
      <c r="BE13" s="43">
        <f t="shared" si="10"/>
        <v>0</v>
      </c>
      <c r="BF13" s="43">
        <f t="shared" si="10"/>
        <v>0</v>
      </c>
      <c r="BG13" s="43">
        <f t="shared" si="10"/>
        <v>0</v>
      </c>
      <c r="BH13" s="43">
        <f t="shared" si="10"/>
        <v>0</v>
      </c>
      <c r="BI13" s="43">
        <f t="shared" si="10"/>
        <v>0</v>
      </c>
      <c r="BJ13" s="43">
        <f t="shared" si="10"/>
        <v>0</v>
      </c>
      <c r="BK13" s="43">
        <f t="shared" si="10"/>
        <v>0</v>
      </c>
      <c r="BL13" s="43">
        <f t="shared" si="10"/>
        <v>0</v>
      </c>
      <c r="BM13" s="43">
        <f t="shared" si="10"/>
        <v>0</v>
      </c>
      <c r="BN13" s="43">
        <f t="shared" si="10"/>
        <v>0</v>
      </c>
      <c r="BO13" s="43">
        <f t="shared" si="10"/>
        <v>0</v>
      </c>
      <c r="BP13" s="43">
        <f t="shared" si="10"/>
        <v>0</v>
      </c>
      <c r="BQ13" s="43">
        <f t="shared" si="10"/>
        <v>0</v>
      </c>
      <c r="BR13" s="43">
        <f t="shared" si="10"/>
        <v>0</v>
      </c>
      <c r="BS13" s="43">
        <f t="shared" si="10"/>
        <v>0</v>
      </c>
      <c r="BT13" s="43">
        <f t="shared" si="10"/>
        <v>0</v>
      </c>
      <c r="BU13" s="43">
        <f t="shared" si="10"/>
        <v>0</v>
      </c>
      <c r="BV13" s="43">
        <f t="shared" si="10"/>
        <v>0</v>
      </c>
      <c r="BW13" s="43">
        <f t="shared" si="10"/>
        <v>0</v>
      </c>
      <c r="BX13" s="45" t="s">
        <v>138</v>
      </c>
    </row>
    <row r="14" spans="1:76" ht="12" customHeight="1">
      <c r="A14" s="505"/>
      <c r="B14" s="35" t="str">
        <f>IF(ISBLANK('A1 - Serviços e demanda'!A29),"",'A1 - Serviços e demanda'!A29)</f>
        <v>Pedra Furada - Alimentação</v>
      </c>
      <c r="C14" s="36">
        <f t="shared" si="0"/>
        <v>25</v>
      </c>
      <c r="D14" s="37" t="s">
        <v>84</v>
      </c>
      <c r="E14" s="37"/>
      <c r="F14" s="37"/>
      <c r="G14" s="510"/>
      <c r="H14" s="37">
        <v>25</v>
      </c>
      <c r="I14" s="37"/>
      <c r="J14" s="37"/>
      <c r="K14" s="510"/>
      <c r="L14" s="38">
        <v>1</v>
      </c>
      <c r="M14" s="38"/>
      <c r="N14" s="38"/>
      <c r="O14" s="38"/>
      <c r="P14" s="512">
        <v>0</v>
      </c>
      <c r="Q14" s="44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  <c r="AC14" s="44">
        <v>0</v>
      </c>
      <c r="AD14" s="44">
        <v>0</v>
      </c>
      <c r="AE14" s="44">
        <v>0</v>
      </c>
      <c r="AF14" s="44">
        <v>0</v>
      </c>
      <c r="AG14" s="44">
        <v>0</v>
      </c>
      <c r="AH14" s="44">
        <v>0</v>
      </c>
      <c r="AI14" s="44">
        <v>0</v>
      </c>
      <c r="AJ14" s="44">
        <v>0</v>
      </c>
      <c r="AK14" s="44">
        <v>0</v>
      </c>
      <c r="AL14" s="44">
        <v>0</v>
      </c>
      <c r="AM14" s="44">
        <v>0</v>
      </c>
      <c r="AN14" s="44">
        <v>0</v>
      </c>
      <c r="AO14" s="44">
        <v>0</v>
      </c>
      <c r="AP14" s="44">
        <v>0</v>
      </c>
      <c r="AQ14" s="44">
        <v>0</v>
      </c>
      <c r="AR14" s="44">
        <v>0</v>
      </c>
      <c r="AS14" s="513">
        <v>0</v>
      </c>
      <c r="AT14" s="42">
        <f t="shared" si="1"/>
        <v>25</v>
      </c>
      <c r="AU14" s="43">
        <f t="shared" ref="AU14:BW14" si="11">AT14*(1+Q14)</f>
        <v>25</v>
      </c>
      <c r="AV14" s="43">
        <f t="shared" si="11"/>
        <v>25</v>
      </c>
      <c r="AW14" s="43">
        <f t="shared" si="11"/>
        <v>25</v>
      </c>
      <c r="AX14" s="43">
        <f t="shared" si="11"/>
        <v>25</v>
      </c>
      <c r="AY14" s="43">
        <f t="shared" si="11"/>
        <v>25</v>
      </c>
      <c r="AZ14" s="43">
        <f t="shared" si="11"/>
        <v>25</v>
      </c>
      <c r="BA14" s="43">
        <f t="shared" si="11"/>
        <v>25</v>
      </c>
      <c r="BB14" s="43">
        <f t="shared" si="11"/>
        <v>25</v>
      </c>
      <c r="BC14" s="43">
        <f t="shared" si="11"/>
        <v>25</v>
      </c>
      <c r="BD14" s="43">
        <f t="shared" si="11"/>
        <v>25</v>
      </c>
      <c r="BE14" s="43">
        <f t="shared" si="11"/>
        <v>25</v>
      </c>
      <c r="BF14" s="43">
        <f t="shared" si="11"/>
        <v>25</v>
      </c>
      <c r="BG14" s="43">
        <f t="shared" si="11"/>
        <v>25</v>
      </c>
      <c r="BH14" s="43">
        <f t="shared" si="11"/>
        <v>25</v>
      </c>
      <c r="BI14" s="43">
        <f t="shared" si="11"/>
        <v>25</v>
      </c>
      <c r="BJ14" s="43">
        <f t="shared" si="11"/>
        <v>25</v>
      </c>
      <c r="BK14" s="43">
        <f t="shared" si="11"/>
        <v>25</v>
      </c>
      <c r="BL14" s="43">
        <f t="shared" si="11"/>
        <v>25</v>
      </c>
      <c r="BM14" s="43">
        <f t="shared" si="11"/>
        <v>25</v>
      </c>
      <c r="BN14" s="43">
        <f t="shared" si="11"/>
        <v>25</v>
      </c>
      <c r="BO14" s="43">
        <f t="shared" si="11"/>
        <v>25</v>
      </c>
      <c r="BP14" s="43">
        <f t="shared" si="11"/>
        <v>25</v>
      </c>
      <c r="BQ14" s="43">
        <f t="shared" si="11"/>
        <v>25</v>
      </c>
      <c r="BR14" s="43">
        <f t="shared" si="11"/>
        <v>25</v>
      </c>
      <c r="BS14" s="43">
        <f t="shared" si="11"/>
        <v>25</v>
      </c>
      <c r="BT14" s="43">
        <f t="shared" si="11"/>
        <v>25</v>
      </c>
      <c r="BU14" s="43">
        <f t="shared" si="11"/>
        <v>25</v>
      </c>
      <c r="BV14" s="43">
        <f t="shared" si="11"/>
        <v>25</v>
      </c>
      <c r="BW14" s="43">
        <f t="shared" si="11"/>
        <v>25</v>
      </c>
      <c r="BX14" s="45" t="s">
        <v>138</v>
      </c>
    </row>
    <row r="15" spans="1:76" ht="12" customHeight="1">
      <c r="A15" s="505"/>
      <c r="B15" s="35" t="str">
        <f>IF(ISBLANK('A1 - Serviços e demanda'!A30),"",'A1 - Serviços e demanda'!A30)</f>
        <v>Pedra Furada - Comércio</v>
      </c>
      <c r="C15" s="36">
        <f t="shared" si="0"/>
        <v>50</v>
      </c>
      <c r="D15" s="37" t="s">
        <v>86</v>
      </c>
      <c r="E15" s="37"/>
      <c r="F15" s="37"/>
      <c r="G15" s="510"/>
      <c r="H15" s="37">
        <v>50</v>
      </c>
      <c r="I15" s="37"/>
      <c r="J15" s="37"/>
      <c r="K15" s="510"/>
      <c r="L15" s="38">
        <v>1</v>
      </c>
      <c r="M15" s="38"/>
      <c r="N15" s="38"/>
      <c r="O15" s="38"/>
      <c r="P15" s="512">
        <v>0</v>
      </c>
      <c r="Q15" s="44">
        <v>0</v>
      </c>
      <c r="R15" s="44">
        <v>0</v>
      </c>
      <c r="S15" s="44">
        <v>0</v>
      </c>
      <c r="T15" s="44">
        <v>0</v>
      </c>
      <c r="U15" s="44">
        <v>0</v>
      </c>
      <c r="V15" s="44">
        <v>0</v>
      </c>
      <c r="W15" s="44">
        <v>0</v>
      </c>
      <c r="X15" s="44">
        <v>0</v>
      </c>
      <c r="Y15" s="44">
        <v>0</v>
      </c>
      <c r="Z15" s="44">
        <v>0</v>
      </c>
      <c r="AA15" s="44">
        <v>0</v>
      </c>
      <c r="AB15" s="44">
        <v>0</v>
      </c>
      <c r="AC15" s="44">
        <v>0</v>
      </c>
      <c r="AD15" s="44">
        <v>0</v>
      </c>
      <c r="AE15" s="44">
        <v>0</v>
      </c>
      <c r="AF15" s="44">
        <v>0</v>
      </c>
      <c r="AG15" s="44">
        <v>0</v>
      </c>
      <c r="AH15" s="44">
        <v>0</v>
      </c>
      <c r="AI15" s="44">
        <v>0</v>
      </c>
      <c r="AJ15" s="44">
        <v>0</v>
      </c>
      <c r="AK15" s="44">
        <v>0</v>
      </c>
      <c r="AL15" s="44">
        <v>0</v>
      </c>
      <c r="AM15" s="44">
        <v>0</v>
      </c>
      <c r="AN15" s="44">
        <v>0</v>
      </c>
      <c r="AO15" s="44">
        <v>0</v>
      </c>
      <c r="AP15" s="44">
        <v>0</v>
      </c>
      <c r="AQ15" s="44">
        <v>0</v>
      </c>
      <c r="AR15" s="44">
        <v>0</v>
      </c>
      <c r="AS15" s="513">
        <v>0</v>
      </c>
      <c r="AT15" s="42">
        <f t="shared" si="1"/>
        <v>50</v>
      </c>
      <c r="AU15" s="43">
        <f t="shared" ref="AU15:BW15" si="12">AT15*(1+Q15)</f>
        <v>50</v>
      </c>
      <c r="AV15" s="43">
        <f t="shared" si="12"/>
        <v>50</v>
      </c>
      <c r="AW15" s="43">
        <f t="shared" si="12"/>
        <v>50</v>
      </c>
      <c r="AX15" s="43">
        <f t="shared" si="12"/>
        <v>50</v>
      </c>
      <c r="AY15" s="43">
        <f t="shared" si="12"/>
        <v>50</v>
      </c>
      <c r="AZ15" s="43">
        <f t="shared" si="12"/>
        <v>50</v>
      </c>
      <c r="BA15" s="43">
        <f t="shared" si="12"/>
        <v>50</v>
      </c>
      <c r="BB15" s="43">
        <f t="shared" si="12"/>
        <v>50</v>
      </c>
      <c r="BC15" s="43">
        <f t="shared" si="12"/>
        <v>50</v>
      </c>
      <c r="BD15" s="43">
        <f t="shared" si="12"/>
        <v>50</v>
      </c>
      <c r="BE15" s="43">
        <f t="shared" si="12"/>
        <v>50</v>
      </c>
      <c r="BF15" s="43">
        <f t="shared" si="12"/>
        <v>50</v>
      </c>
      <c r="BG15" s="43">
        <f t="shared" si="12"/>
        <v>50</v>
      </c>
      <c r="BH15" s="43">
        <f t="shared" si="12"/>
        <v>50</v>
      </c>
      <c r="BI15" s="43">
        <f t="shared" si="12"/>
        <v>50</v>
      </c>
      <c r="BJ15" s="43">
        <f t="shared" si="12"/>
        <v>50</v>
      </c>
      <c r="BK15" s="43">
        <f t="shared" si="12"/>
        <v>50</v>
      </c>
      <c r="BL15" s="43">
        <f t="shared" si="12"/>
        <v>50</v>
      </c>
      <c r="BM15" s="43">
        <f t="shared" si="12"/>
        <v>50</v>
      </c>
      <c r="BN15" s="43">
        <f t="shared" si="12"/>
        <v>50</v>
      </c>
      <c r="BO15" s="43">
        <f t="shared" si="12"/>
        <v>50</v>
      </c>
      <c r="BP15" s="43">
        <f t="shared" si="12"/>
        <v>50</v>
      </c>
      <c r="BQ15" s="43">
        <f t="shared" si="12"/>
        <v>50</v>
      </c>
      <c r="BR15" s="43">
        <f t="shared" si="12"/>
        <v>50</v>
      </c>
      <c r="BS15" s="43">
        <f t="shared" si="12"/>
        <v>50</v>
      </c>
      <c r="BT15" s="43">
        <f t="shared" si="12"/>
        <v>50</v>
      </c>
      <c r="BU15" s="43">
        <f t="shared" si="12"/>
        <v>50</v>
      </c>
      <c r="BV15" s="43">
        <f t="shared" si="12"/>
        <v>50</v>
      </c>
      <c r="BW15" s="43">
        <f t="shared" si="12"/>
        <v>50</v>
      </c>
      <c r="BX15" s="45" t="s">
        <v>138</v>
      </c>
    </row>
    <row r="16" spans="1:76" ht="12" customHeight="1">
      <c r="A16" s="505"/>
      <c r="B16" s="35" t="str">
        <f>IF(ISBLANK('A1 - Serviços e demanda'!A31),"",'A1 - Serviços e demanda'!A31)</f>
        <v>Serrote - Alimentação</v>
      </c>
      <c r="C16" s="36">
        <f t="shared" si="0"/>
        <v>25</v>
      </c>
      <c r="D16" s="37" t="s">
        <v>84</v>
      </c>
      <c r="E16" s="37"/>
      <c r="F16" s="37"/>
      <c r="G16" s="510"/>
      <c r="H16" s="37">
        <v>25</v>
      </c>
      <c r="I16" s="37"/>
      <c r="J16" s="37"/>
      <c r="K16" s="510"/>
      <c r="L16" s="38">
        <v>1</v>
      </c>
      <c r="M16" s="38"/>
      <c r="N16" s="38"/>
      <c r="O16" s="38"/>
      <c r="P16" s="512">
        <v>0</v>
      </c>
      <c r="Q16" s="44">
        <v>0</v>
      </c>
      <c r="R16" s="44">
        <v>0</v>
      </c>
      <c r="S16" s="44">
        <v>0</v>
      </c>
      <c r="T16" s="44">
        <v>0</v>
      </c>
      <c r="U16" s="44">
        <v>0</v>
      </c>
      <c r="V16" s="44">
        <v>0</v>
      </c>
      <c r="W16" s="44">
        <v>0</v>
      </c>
      <c r="X16" s="44">
        <v>0</v>
      </c>
      <c r="Y16" s="44">
        <v>0</v>
      </c>
      <c r="Z16" s="44">
        <v>0</v>
      </c>
      <c r="AA16" s="44">
        <v>0</v>
      </c>
      <c r="AB16" s="44">
        <v>0</v>
      </c>
      <c r="AC16" s="44">
        <v>0</v>
      </c>
      <c r="AD16" s="44">
        <v>0</v>
      </c>
      <c r="AE16" s="44">
        <v>0</v>
      </c>
      <c r="AF16" s="44">
        <v>0</v>
      </c>
      <c r="AG16" s="44">
        <v>0</v>
      </c>
      <c r="AH16" s="44">
        <v>0</v>
      </c>
      <c r="AI16" s="44">
        <v>0</v>
      </c>
      <c r="AJ16" s="44">
        <v>0</v>
      </c>
      <c r="AK16" s="44">
        <v>0</v>
      </c>
      <c r="AL16" s="44">
        <v>0</v>
      </c>
      <c r="AM16" s="44">
        <v>0</v>
      </c>
      <c r="AN16" s="44">
        <v>0</v>
      </c>
      <c r="AO16" s="44">
        <v>0</v>
      </c>
      <c r="AP16" s="44">
        <v>0</v>
      </c>
      <c r="AQ16" s="44">
        <v>0</v>
      </c>
      <c r="AR16" s="44">
        <v>0</v>
      </c>
      <c r="AS16" s="513">
        <v>0</v>
      </c>
      <c r="AT16" s="42">
        <f t="shared" si="1"/>
        <v>25</v>
      </c>
      <c r="AU16" s="43">
        <f t="shared" ref="AU16:BW16" si="13">AT16*(1+Q16)</f>
        <v>25</v>
      </c>
      <c r="AV16" s="43">
        <f t="shared" si="13"/>
        <v>25</v>
      </c>
      <c r="AW16" s="43">
        <f t="shared" si="13"/>
        <v>25</v>
      </c>
      <c r="AX16" s="43">
        <f t="shared" si="13"/>
        <v>25</v>
      </c>
      <c r="AY16" s="43">
        <f t="shared" si="13"/>
        <v>25</v>
      </c>
      <c r="AZ16" s="43">
        <f t="shared" si="13"/>
        <v>25</v>
      </c>
      <c r="BA16" s="43">
        <f t="shared" si="13"/>
        <v>25</v>
      </c>
      <c r="BB16" s="43">
        <f t="shared" si="13"/>
        <v>25</v>
      </c>
      <c r="BC16" s="43">
        <f t="shared" si="13"/>
        <v>25</v>
      </c>
      <c r="BD16" s="43">
        <f t="shared" si="13"/>
        <v>25</v>
      </c>
      <c r="BE16" s="43">
        <f t="shared" si="13"/>
        <v>25</v>
      </c>
      <c r="BF16" s="43">
        <f t="shared" si="13"/>
        <v>25</v>
      </c>
      <c r="BG16" s="43">
        <f t="shared" si="13"/>
        <v>25</v>
      </c>
      <c r="BH16" s="43">
        <f t="shared" si="13"/>
        <v>25</v>
      </c>
      <c r="BI16" s="43">
        <f t="shared" si="13"/>
        <v>25</v>
      </c>
      <c r="BJ16" s="43">
        <f t="shared" si="13"/>
        <v>25</v>
      </c>
      <c r="BK16" s="43">
        <f t="shared" si="13"/>
        <v>25</v>
      </c>
      <c r="BL16" s="43">
        <f t="shared" si="13"/>
        <v>25</v>
      </c>
      <c r="BM16" s="43">
        <f t="shared" si="13"/>
        <v>25</v>
      </c>
      <c r="BN16" s="43">
        <f t="shared" si="13"/>
        <v>25</v>
      </c>
      <c r="BO16" s="43">
        <f t="shared" si="13"/>
        <v>25</v>
      </c>
      <c r="BP16" s="43">
        <f t="shared" si="13"/>
        <v>25</v>
      </c>
      <c r="BQ16" s="43">
        <f t="shared" si="13"/>
        <v>25</v>
      </c>
      <c r="BR16" s="43">
        <f t="shared" si="13"/>
        <v>25</v>
      </c>
      <c r="BS16" s="43">
        <f t="shared" si="13"/>
        <v>25</v>
      </c>
      <c r="BT16" s="43">
        <f t="shared" si="13"/>
        <v>25</v>
      </c>
      <c r="BU16" s="43">
        <f t="shared" si="13"/>
        <v>25</v>
      </c>
      <c r="BV16" s="43">
        <f t="shared" si="13"/>
        <v>25</v>
      </c>
      <c r="BW16" s="43">
        <f t="shared" si="13"/>
        <v>25</v>
      </c>
      <c r="BX16" s="45" t="s">
        <v>138</v>
      </c>
    </row>
    <row r="17" spans="1:76" ht="12" customHeight="1">
      <c r="A17" s="505"/>
      <c r="B17" s="35" t="str">
        <f>IF(ISBLANK('A1 - Serviços e demanda'!A32),"",'A1 - Serviços e demanda'!A32)</f>
        <v>Serrote - Comércio</v>
      </c>
      <c r="C17" s="36">
        <f t="shared" si="0"/>
        <v>50</v>
      </c>
      <c r="D17" s="37" t="s">
        <v>86</v>
      </c>
      <c r="E17" s="37"/>
      <c r="F17" s="37"/>
      <c r="G17" s="510"/>
      <c r="H17" s="37">
        <v>50</v>
      </c>
      <c r="I17" s="37"/>
      <c r="J17" s="37"/>
      <c r="K17" s="510"/>
      <c r="L17" s="38">
        <v>1</v>
      </c>
      <c r="M17" s="38"/>
      <c r="N17" s="38"/>
      <c r="O17" s="38"/>
      <c r="P17" s="512">
        <v>0</v>
      </c>
      <c r="Q17" s="44">
        <v>0</v>
      </c>
      <c r="R17" s="44">
        <v>0</v>
      </c>
      <c r="S17" s="44">
        <v>0</v>
      </c>
      <c r="T17" s="44">
        <v>0</v>
      </c>
      <c r="U17" s="44">
        <v>0</v>
      </c>
      <c r="V17" s="44">
        <v>0</v>
      </c>
      <c r="W17" s="44">
        <v>0</v>
      </c>
      <c r="X17" s="44">
        <v>0</v>
      </c>
      <c r="Y17" s="44">
        <v>0</v>
      </c>
      <c r="Z17" s="44">
        <v>0</v>
      </c>
      <c r="AA17" s="44">
        <v>0</v>
      </c>
      <c r="AB17" s="44">
        <v>0</v>
      </c>
      <c r="AC17" s="44">
        <v>0</v>
      </c>
      <c r="AD17" s="44">
        <v>0</v>
      </c>
      <c r="AE17" s="44">
        <v>0</v>
      </c>
      <c r="AF17" s="44">
        <v>0</v>
      </c>
      <c r="AG17" s="44">
        <v>0</v>
      </c>
      <c r="AH17" s="44">
        <v>0</v>
      </c>
      <c r="AI17" s="44">
        <v>0</v>
      </c>
      <c r="AJ17" s="44">
        <v>0</v>
      </c>
      <c r="AK17" s="44">
        <v>0</v>
      </c>
      <c r="AL17" s="44">
        <v>0</v>
      </c>
      <c r="AM17" s="44">
        <v>0</v>
      </c>
      <c r="AN17" s="44">
        <v>0</v>
      </c>
      <c r="AO17" s="44">
        <v>0</v>
      </c>
      <c r="AP17" s="44">
        <v>0</v>
      </c>
      <c r="AQ17" s="44">
        <v>0</v>
      </c>
      <c r="AR17" s="44">
        <v>0</v>
      </c>
      <c r="AS17" s="513">
        <v>0</v>
      </c>
      <c r="AT17" s="42">
        <f t="shared" si="1"/>
        <v>50</v>
      </c>
      <c r="AU17" s="43">
        <f t="shared" ref="AU17:BW17" si="14">AT17*(1+Q17)</f>
        <v>50</v>
      </c>
      <c r="AV17" s="43">
        <f t="shared" si="14"/>
        <v>50</v>
      </c>
      <c r="AW17" s="43">
        <f t="shared" si="14"/>
        <v>50</v>
      </c>
      <c r="AX17" s="43">
        <f t="shared" si="14"/>
        <v>50</v>
      </c>
      <c r="AY17" s="43">
        <f t="shared" si="14"/>
        <v>50</v>
      </c>
      <c r="AZ17" s="43">
        <f t="shared" si="14"/>
        <v>50</v>
      </c>
      <c r="BA17" s="43">
        <f t="shared" si="14"/>
        <v>50</v>
      </c>
      <c r="BB17" s="43">
        <f t="shared" si="14"/>
        <v>50</v>
      </c>
      <c r="BC17" s="43">
        <f t="shared" si="14"/>
        <v>50</v>
      </c>
      <c r="BD17" s="43">
        <f t="shared" si="14"/>
        <v>50</v>
      </c>
      <c r="BE17" s="43">
        <f t="shared" si="14"/>
        <v>50</v>
      </c>
      <c r="BF17" s="43">
        <f t="shared" si="14"/>
        <v>50</v>
      </c>
      <c r="BG17" s="43">
        <f t="shared" si="14"/>
        <v>50</v>
      </c>
      <c r="BH17" s="43">
        <f t="shared" si="14"/>
        <v>50</v>
      </c>
      <c r="BI17" s="43">
        <f t="shared" si="14"/>
        <v>50</v>
      </c>
      <c r="BJ17" s="43">
        <f t="shared" si="14"/>
        <v>50</v>
      </c>
      <c r="BK17" s="43">
        <f t="shared" si="14"/>
        <v>50</v>
      </c>
      <c r="BL17" s="43">
        <f t="shared" si="14"/>
        <v>50</v>
      </c>
      <c r="BM17" s="43">
        <f t="shared" si="14"/>
        <v>50</v>
      </c>
      <c r="BN17" s="43">
        <f t="shared" si="14"/>
        <v>50</v>
      </c>
      <c r="BO17" s="43">
        <f t="shared" si="14"/>
        <v>50</v>
      </c>
      <c r="BP17" s="43">
        <f t="shared" si="14"/>
        <v>50</v>
      </c>
      <c r="BQ17" s="43">
        <f t="shared" si="14"/>
        <v>50</v>
      </c>
      <c r="BR17" s="43">
        <f t="shared" si="14"/>
        <v>50</v>
      </c>
      <c r="BS17" s="43">
        <f t="shared" si="14"/>
        <v>50</v>
      </c>
      <c r="BT17" s="43">
        <f t="shared" si="14"/>
        <v>50</v>
      </c>
      <c r="BU17" s="43">
        <f t="shared" si="14"/>
        <v>50</v>
      </c>
      <c r="BV17" s="43">
        <f t="shared" si="14"/>
        <v>50</v>
      </c>
      <c r="BW17" s="43">
        <f t="shared" si="14"/>
        <v>50</v>
      </c>
      <c r="BX17" s="45" t="s">
        <v>138</v>
      </c>
    </row>
    <row r="18" spans="1:76" ht="12" customHeight="1">
      <c r="A18" s="505"/>
      <c r="B18" s="35" t="str">
        <f>IF(ISBLANK('A1 - Serviços e demanda'!A33),"",'A1 - Serviços e demanda'!A33)</f>
        <v>Paraíso - Alimentação</v>
      </c>
      <c r="C18" s="36">
        <v>0</v>
      </c>
      <c r="D18" s="37" t="s">
        <v>84</v>
      </c>
      <c r="E18" s="37"/>
      <c r="F18" s="37"/>
      <c r="G18" s="510"/>
      <c r="H18" s="37">
        <v>25</v>
      </c>
      <c r="I18" s="37"/>
      <c r="J18" s="37"/>
      <c r="K18" s="510"/>
      <c r="L18" s="38">
        <v>1</v>
      </c>
      <c r="M18" s="38"/>
      <c r="N18" s="38"/>
      <c r="O18" s="38"/>
      <c r="P18" s="512">
        <v>0</v>
      </c>
      <c r="Q18" s="44">
        <v>0</v>
      </c>
      <c r="R18" s="44">
        <v>0</v>
      </c>
      <c r="S18" s="44">
        <v>0</v>
      </c>
      <c r="T18" s="44">
        <v>0</v>
      </c>
      <c r="U18" s="44">
        <v>0</v>
      </c>
      <c r="V18" s="44">
        <v>0</v>
      </c>
      <c r="W18" s="44">
        <v>0</v>
      </c>
      <c r="X18" s="44">
        <v>0</v>
      </c>
      <c r="Y18" s="44">
        <v>0</v>
      </c>
      <c r="Z18" s="44">
        <v>0</v>
      </c>
      <c r="AA18" s="44">
        <v>0</v>
      </c>
      <c r="AB18" s="44">
        <v>0</v>
      </c>
      <c r="AC18" s="44">
        <v>0</v>
      </c>
      <c r="AD18" s="44">
        <v>0</v>
      </c>
      <c r="AE18" s="44">
        <v>0</v>
      </c>
      <c r="AF18" s="44">
        <v>0</v>
      </c>
      <c r="AG18" s="44">
        <v>0</v>
      </c>
      <c r="AH18" s="44">
        <v>0</v>
      </c>
      <c r="AI18" s="44">
        <v>0</v>
      </c>
      <c r="AJ18" s="44">
        <v>0</v>
      </c>
      <c r="AK18" s="44">
        <v>0</v>
      </c>
      <c r="AL18" s="44">
        <v>0</v>
      </c>
      <c r="AM18" s="44">
        <v>0</v>
      </c>
      <c r="AN18" s="44">
        <v>0</v>
      </c>
      <c r="AO18" s="44">
        <v>0</v>
      </c>
      <c r="AP18" s="44">
        <v>0</v>
      </c>
      <c r="AQ18" s="44">
        <v>0</v>
      </c>
      <c r="AR18" s="44">
        <v>0</v>
      </c>
      <c r="AS18" s="513">
        <v>0</v>
      </c>
      <c r="AT18" s="42">
        <f t="shared" si="1"/>
        <v>0</v>
      </c>
      <c r="AU18" s="43">
        <f t="shared" ref="AU18:BW18" si="15">AT18*(1+Q18)</f>
        <v>0</v>
      </c>
      <c r="AV18" s="43">
        <f t="shared" si="15"/>
        <v>0</v>
      </c>
      <c r="AW18" s="43">
        <f t="shared" si="15"/>
        <v>0</v>
      </c>
      <c r="AX18" s="43">
        <f t="shared" si="15"/>
        <v>0</v>
      </c>
      <c r="AY18" s="43">
        <f t="shared" si="15"/>
        <v>0</v>
      </c>
      <c r="AZ18" s="43">
        <f t="shared" si="15"/>
        <v>0</v>
      </c>
      <c r="BA18" s="43">
        <f t="shared" si="15"/>
        <v>0</v>
      </c>
      <c r="BB18" s="43">
        <f t="shared" si="15"/>
        <v>0</v>
      </c>
      <c r="BC18" s="43">
        <f t="shared" si="15"/>
        <v>0</v>
      </c>
      <c r="BD18" s="43">
        <f t="shared" si="15"/>
        <v>0</v>
      </c>
      <c r="BE18" s="43">
        <f t="shared" si="15"/>
        <v>0</v>
      </c>
      <c r="BF18" s="43">
        <f t="shared" si="15"/>
        <v>0</v>
      </c>
      <c r="BG18" s="43">
        <f t="shared" si="15"/>
        <v>0</v>
      </c>
      <c r="BH18" s="43">
        <f t="shared" si="15"/>
        <v>0</v>
      </c>
      <c r="BI18" s="43">
        <f t="shared" si="15"/>
        <v>0</v>
      </c>
      <c r="BJ18" s="43">
        <f t="shared" si="15"/>
        <v>0</v>
      </c>
      <c r="BK18" s="43">
        <f t="shared" si="15"/>
        <v>0</v>
      </c>
      <c r="BL18" s="43">
        <f t="shared" si="15"/>
        <v>0</v>
      </c>
      <c r="BM18" s="43">
        <f t="shared" si="15"/>
        <v>0</v>
      </c>
      <c r="BN18" s="43">
        <f t="shared" si="15"/>
        <v>0</v>
      </c>
      <c r="BO18" s="43">
        <f t="shared" si="15"/>
        <v>0</v>
      </c>
      <c r="BP18" s="43">
        <f t="shared" si="15"/>
        <v>0</v>
      </c>
      <c r="BQ18" s="43">
        <f t="shared" si="15"/>
        <v>0</v>
      </c>
      <c r="BR18" s="43">
        <f t="shared" si="15"/>
        <v>0</v>
      </c>
      <c r="BS18" s="43">
        <f t="shared" si="15"/>
        <v>0</v>
      </c>
      <c r="BT18" s="43">
        <f t="shared" si="15"/>
        <v>0</v>
      </c>
      <c r="BU18" s="43">
        <f t="shared" si="15"/>
        <v>0</v>
      </c>
      <c r="BV18" s="43">
        <f t="shared" si="15"/>
        <v>0</v>
      </c>
      <c r="BW18" s="43">
        <f t="shared" si="15"/>
        <v>0</v>
      </c>
      <c r="BX18" s="45" t="s">
        <v>138</v>
      </c>
    </row>
    <row r="19" spans="1:76" ht="12" customHeight="1">
      <c r="A19" s="505"/>
      <c r="B19" s="35" t="str">
        <f>IF(ISBLANK('A1 - Serviços e demanda'!A34),"",'A1 - Serviços e demanda'!A34)</f>
        <v>Paraíso - Comércio + Locação + Atividades</v>
      </c>
      <c r="C19" s="36">
        <v>0</v>
      </c>
      <c r="D19" s="37" t="s">
        <v>86</v>
      </c>
      <c r="E19" s="37" t="s">
        <v>140</v>
      </c>
      <c r="F19" s="37" t="s">
        <v>141</v>
      </c>
      <c r="G19" s="510"/>
      <c r="H19" s="37">
        <v>50</v>
      </c>
      <c r="I19" s="37">
        <v>20</v>
      </c>
      <c r="J19" s="37">
        <v>200</v>
      </c>
      <c r="K19" s="510"/>
      <c r="L19" s="38">
        <v>1</v>
      </c>
      <c r="M19" s="38">
        <v>0.25</v>
      </c>
      <c r="N19" s="38">
        <v>0.15</v>
      </c>
      <c r="O19" s="38"/>
      <c r="P19" s="512">
        <v>0</v>
      </c>
      <c r="Q19" s="44">
        <v>0</v>
      </c>
      <c r="R19" s="44">
        <v>0</v>
      </c>
      <c r="S19" s="44">
        <v>0</v>
      </c>
      <c r="T19" s="44">
        <v>0</v>
      </c>
      <c r="U19" s="44">
        <v>0</v>
      </c>
      <c r="V19" s="44">
        <v>0</v>
      </c>
      <c r="W19" s="44">
        <v>0</v>
      </c>
      <c r="X19" s="44">
        <v>0</v>
      </c>
      <c r="Y19" s="44">
        <v>0</v>
      </c>
      <c r="Z19" s="44">
        <v>0</v>
      </c>
      <c r="AA19" s="44">
        <v>0</v>
      </c>
      <c r="AB19" s="44">
        <v>0</v>
      </c>
      <c r="AC19" s="44">
        <v>0</v>
      </c>
      <c r="AD19" s="44">
        <v>0</v>
      </c>
      <c r="AE19" s="44">
        <v>0</v>
      </c>
      <c r="AF19" s="44">
        <v>0</v>
      </c>
      <c r="AG19" s="44">
        <v>0</v>
      </c>
      <c r="AH19" s="44">
        <v>0</v>
      </c>
      <c r="AI19" s="44">
        <v>0</v>
      </c>
      <c r="AJ19" s="44">
        <v>0</v>
      </c>
      <c r="AK19" s="44">
        <v>0</v>
      </c>
      <c r="AL19" s="44">
        <v>0</v>
      </c>
      <c r="AM19" s="44">
        <v>0</v>
      </c>
      <c r="AN19" s="44">
        <v>0</v>
      </c>
      <c r="AO19" s="44">
        <v>0</v>
      </c>
      <c r="AP19" s="44">
        <v>0</v>
      </c>
      <c r="AQ19" s="44">
        <v>0</v>
      </c>
      <c r="AR19" s="44">
        <v>0</v>
      </c>
      <c r="AS19" s="513">
        <v>0</v>
      </c>
      <c r="AT19" s="42">
        <f t="shared" si="1"/>
        <v>0</v>
      </c>
      <c r="AU19" s="43">
        <f t="shared" ref="AU19:BW19" si="16">AT19*(1+Q19)</f>
        <v>0</v>
      </c>
      <c r="AV19" s="43">
        <f t="shared" si="16"/>
        <v>0</v>
      </c>
      <c r="AW19" s="43">
        <f t="shared" si="16"/>
        <v>0</v>
      </c>
      <c r="AX19" s="43">
        <f t="shared" si="16"/>
        <v>0</v>
      </c>
      <c r="AY19" s="43">
        <f t="shared" si="16"/>
        <v>0</v>
      </c>
      <c r="AZ19" s="43">
        <f t="shared" si="16"/>
        <v>0</v>
      </c>
      <c r="BA19" s="43">
        <f t="shared" si="16"/>
        <v>0</v>
      </c>
      <c r="BB19" s="43">
        <f t="shared" si="16"/>
        <v>0</v>
      </c>
      <c r="BC19" s="43">
        <f t="shared" si="16"/>
        <v>0</v>
      </c>
      <c r="BD19" s="43">
        <f t="shared" si="16"/>
        <v>0</v>
      </c>
      <c r="BE19" s="43">
        <f t="shared" si="16"/>
        <v>0</v>
      </c>
      <c r="BF19" s="43">
        <f t="shared" si="16"/>
        <v>0</v>
      </c>
      <c r="BG19" s="43">
        <f t="shared" si="16"/>
        <v>0</v>
      </c>
      <c r="BH19" s="43">
        <f t="shared" si="16"/>
        <v>0</v>
      </c>
      <c r="BI19" s="43">
        <f t="shared" si="16"/>
        <v>0</v>
      </c>
      <c r="BJ19" s="43">
        <f t="shared" si="16"/>
        <v>0</v>
      </c>
      <c r="BK19" s="43">
        <f t="shared" si="16"/>
        <v>0</v>
      </c>
      <c r="BL19" s="43">
        <f t="shared" si="16"/>
        <v>0</v>
      </c>
      <c r="BM19" s="43">
        <f t="shared" si="16"/>
        <v>0</v>
      </c>
      <c r="BN19" s="43">
        <f t="shared" si="16"/>
        <v>0</v>
      </c>
      <c r="BO19" s="43">
        <f t="shared" si="16"/>
        <v>0</v>
      </c>
      <c r="BP19" s="43">
        <f t="shared" si="16"/>
        <v>0</v>
      </c>
      <c r="BQ19" s="43">
        <f t="shared" si="16"/>
        <v>0</v>
      </c>
      <c r="BR19" s="43">
        <f t="shared" si="16"/>
        <v>0</v>
      </c>
      <c r="BS19" s="43">
        <f t="shared" si="16"/>
        <v>0</v>
      </c>
      <c r="BT19" s="43">
        <f t="shared" si="16"/>
        <v>0</v>
      </c>
      <c r="BU19" s="43">
        <f t="shared" si="16"/>
        <v>0</v>
      </c>
      <c r="BV19" s="43">
        <f t="shared" si="16"/>
        <v>0</v>
      </c>
      <c r="BW19" s="43">
        <f t="shared" si="16"/>
        <v>0</v>
      </c>
      <c r="BX19" s="45" t="s">
        <v>138</v>
      </c>
    </row>
    <row r="20" spans="1:76" ht="12" customHeight="1">
      <c r="A20" s="505"/>
      <c r="B20" s="35" t="str">
        <f>IF(ISBLANK('A1 - Serviços e demanda'!A35),"",'A1 - Serviços e demanda'!A35)</f>
        <v>Geral - Unidade móvel - Alimentação</v>
      </c>
      <c r="C20" s="36">
        <f t="shared" si="0"/>
        <v>25</v>
      </c>
      <c r="D20" s="37" t="s">
        <v>84</v>
      </c>
      <c r="E20" s="37"/>
      <c r="F20" s="37"/>
      <c r="G20" s="510"/>
      <c r="H20" s="37">
        <v>25</v>
      </c>
      <c r="I20" s="37"/>
      <c r="J20" s="37"/>
      <c r="K20" s="510"/>
      <c r="L20" s="38">
        <v>1</v>
      </c>
      <c r="M20" s="38"/>
      <c r="N20" s="38"/>
      <c r="O20" s="38"/>
      <c r="P20" s="512">
        <v>0</v>
      </c>
      <c r="Q20" s="44">
        <v>0</v>
      </c>
      <c r="R20" s="44">
        <v>0</v>
      </c>
      <c r="S20" s="44">
        <v>0</v>
      </c>
      <c r="T20" s="44">
        <v>0</v>
      </c>
      <c r="U20" s="44">
        <v>0</v>
      </c>
      <c r="V20" s="44">
        <v>0</v>
      </c>
      <c r="W20" s="44">
        <v>0</v>
      </c>
      <c r="X20" s="44">
        <v>0</v>
      </c>
      <c r="Y20" s="44">
        <v>0</v>
      </c>
      <c r="Z20" s="44">
        <v>0</v>
      </c>
      <c r="AA20" s="44">
        <v>0</v>
      </c>
      <c r="AB20" s="44">
        <v>0</v>
      </c>
      <c r="AC20" s="44">
        <v>0</v>
      </c>
      <c r="AD20" s="44">
        <v>0</v>
      </c>
      <c r="AE20" s="44">
        <v>0</v>
      </c>
      <c r="AF20" s="44">
        <v>0</v>
      </c>
      <c r="AG20" s="44">
        <v>0</v>
      </c>
      <c r="AH20" s="44">
        <v>0</v>
      </c>
      <c r="AI20" s="44">
        <v>0</v>
      </c>
      <c r="AJ20" s="44">
        <v>0</v>
      </c>
      <c r="AK20" s="44">
        <v>0</v>
      </c>
      <c r="AL20" s="44">
        <v>0</v>
      </c>
      <c r="AM20" s="44">
        <v>0</v>
      </c>
      <c r="AN20" s="44">
        <v>0</v>
      </c>
      <c r="AO20" s="44">
        <v>0</v>
      </c>
      <c r="AP20" s="44">
        <v>0</v>
      </c>
      <c r="AQ20" s="44">
        <v>0</v>
      </c>
      <c r="AR20" s="44">
        <v>0</v>
      </c>
      <c r="AS20" s="513">
        <v>0</v>
      </c>
      <c r="AT20" s="42">
        <f t="shared" si="1"/>
        <v>25</v>
      </c>
      <c r="AU20" s="43">
        <f t="shared" ref="AU20:BW20" si="17">AT20*(1+Q20)</f>
        <v>25</v>
      </c>
      <c r="AV20" s="43">
        <f t="shared" si="17"/>
        <v>25</v>
      </c>
      <c r="AW20" s="43">
        <f t="shared" si="17"/>
        <v>25</v>
      </c>
      <c r="AX20" s="43">
        <f t="shared" si="17"/>
        <v>25</v>
      </c>
      <c r="AY20" s="43">
        <f t="shared" si="17"/>
        <v>25</v>
      </c>
      <c r="AZ20" s="43">
        <f t="shared" si="17"/>
        <v>25</v>
      </c>
      <c r="BA20" s="43">
        <f t="shared" si="17"/>
        <v>25</v>
      </c>
      <c r="BB20" s="43">
        <f t="shared" si="17"/>
        <v>25</v>
      </c>
      <c r="BC20" s="43">
        <f t="shared" si="17"/>
        <v>25</v>
      </c>
      <c r="BD20" s="43">
        <f t="shared" si="17"/>
        <v>25</v>
      </c>
      <c r="BE20" s="43">
        <f t="shared" si="17"/>
        <v>25</v>
      </c>
      <c r="BF20" s="43">
        <f t="shared" si="17"/>
        <v>25</v>
      </c>
      <c r="BG20" s="43">
        <f t="shared" si="17"/>
        <v>25</v>
      </c>
      <c r="BH20" s="43">
        <f t="shared" si="17"/>
        <v>25</v>
      </c>
      <c r="BI20" s="43">
        <f t="shared" si="17"/>
        <v>25</v>
      </c>
      <c r="BJ20" s="43">
        <f t="shared" si="17"/>
        <v>25</v>
      </c>
      <c r="BK20" s="43">
        <f t="shared" si="17"/>
        <v>25</v>
      </c>
      <c r="BL20" s="43">
        <f t="shared" si="17"/>
        <v>25</v>
      </c>
      <c r="BM20" s="43">
        <f t="shared" si="17"/>
        <v>25</v>
      </c>
      <c r="BN20" s="43">
        <f t="shared" si="17"/>
        <v>25</v>
      </c>
      <c r="BO20" s="43">
        <f t="shared" si="17"/>
        <v>25</v>
      </c>
      <c r="BP20" s="43">
        <f t="shared" si="17"/>
        <v>25</v>
      </c>
      <c r="BQ20" s="43">
        <f t="shared" si="17"/>
        <v>25</v>
      </c>
      <c r="BR20" s="43">
        <f t="shared" si="17"/>
        <v>25</v>
      </c>
      <c r="BS20" s="43">
        <f t="shared" si="17"/>
        <v>25</v>
      </c>
      <c r="BT20" s="43">
        <f t="shared" si="17"/>
        <v>25</v>
      </c>
      <c r="BU20" s="43">
        <f t="shared" si="17"/>
        <v>25</v>
      </c>
      <c r="BV20" s="43">
        <f t="shared" si="17"/>
        <v>25</v>
      </c>
      <c r="BW20" s="43">
        <f t="shared" si="17"/>
        <v>25</v>
      </c>
      <c r="BX20" s="45" t="s">
        <v>138</v>
      </c>
    </row>
    <row r="21" spans="1:76" ht="12" customHeight="1">
      <c r="A21" s="505"/>
      <c r="B21" s="35" t="str">
        <f>IF(ISBLANK('A1 - Serviços e demanda'!A36),"",'A1 - Serviços e demanda'!A36)</f>
        <v>Mangue Seco - Estacionamento</v>
      </c>
      <c r="C21" s="36">
        <f t="shared" si="0"/>
        <v>0</v>
      </c>
      <c r="D21" s="37" t="s">
        <v>139</v>
      </c>
      <c r="E21" s="37"/>
      <c r="F21" s="37"/>
      <c r="G21" s="510"/>
      <c r="H21" s="37"/>
      <c r="I21" s="37"/>
      <c r="J21" s="37"/>
      <c r="K21" s="510"/>
      <c r="L21" s="38">
        <v>1</v>
      </c>
      <c r="M21" s="38"/>
      <c r="N21" s="38"/>
      <c r="O21" s="38"/>
      <c r="P21" s="512">
        <v>0</v>
      </c>
      <c r="Q21" s="44">
        <v>0</v>
      </c>
      <c r="R21" s="44">
        <v>0</v>
      </c>
      <c r="S21" s="44">
        <v>0</v>
      </c>
      <c r="T21" s="44">
        <v>0</v>
      </c>
      <c r="U21" s="44">
        <v>0</v>
      </c>
      <c r="V21" s="44">
        <v>0</v>
      </c>
      <c r="W21" s="44">
        <v>0</v>
      </c>
      <c r="X21" s="44">
        <v>0</v>
      </c>
      <c r="Y21" s="44">
        <v>0</v>
      </c>
      <c r="Z21" s="44">
        <v>0</v>
      </c>
      <c r="AA21" s="44">
        <v>0</v>
      </c>
      <c r="AB21" s="44">
        <v>0</v>
      </c>
      <c r="AC21" s="44">
        <v>0</v>
      </c>
      <c r="AD21" s="44">
        <v>0</v>
      </c>
      <c r="AE21" s="44">
        <v>0</v>
      </c>
      <c r="AF21" s="44">
        <v>0</v>
      </c>
      <c r="AG21" s="44">
        <v>0</v>
      </c>
      <c r="AH21" s="44">
        <v>0</v>
      </c>
      <c r="AI21" s="44">
        <v>0</v>
      </c>
      <c r="AJ21" s="44">
        <v>0</v>
      </c>
      <c r="AK21" s="44">
        <v>0</v>
      </c>
      <c r="AL21" s="44">
        <v>0</v>
      </c>
      <c r="AM21" s="44">
        <v>0</v>
      </c>
      <c r="AN21" s="44">
        <v>0</v>
      </c>
      <c r="AO21" s="44">
        <v>0</v>
      </c>
      <c r="AP21" s="44">
        <v>0</v>
      </c>
      <c r="AQ21" s="44">
        <v>0</v>
      </c>
      <c r="AR21" s="44">
        <v>0</v>
      </c>
      <c r="AS21" s="513">
        <v>0</v>
      </c>
      <c r="AT21" s="42">
        <f t="shared" si="1"/>
        <v>0</v>
      </c>
      <c r="AU21" s="43">
        <f t="shared" ref="AU21:BW21" si="18">AT21*(1+Q21)</f>
        <v>0</v>
      </c>
      <c r="AV21" s="43">
        <f t="shared" si="18"/>
        <v>0</v>
      </c>
      <c r="AW21" s="43">
        <f t="shared" si="18"/>
        <v>0</v>
      </c>
      <c r="AX21" s="43">
        <f t="shared" si="18"/>
        <v>0</v>
      </c>
      <c r="AY21" s="43">
        <f t="shared" si="18"/>
        <v>0</v>
      </c>
      <c r="AZ21" s="43">
        <f t="shared" si="18"/>
        <v>0</v>
      </c>
      <c r="BA21" s="43">
        <f t="shared" si="18"/>
        <v>0</v>
      </c>
      <c r="BB21" s="43">
        <f t="shared" si="18"/>
        <v>0</v>
      </c>
      <c r="BC21" s="43">
        <f t="shared" si="18"/>
        <v>0</v>
      </c>
      <c r="BD21" s="43">
        <f t="shared" si="18"/>
        <v>0</v>
      </c>
      <c r="BE21" s="43">
        <f t="shared" si="18"/>
        <v>0</v>
      </c>
      <c r="BF21" s="43">
        <f t="shared" si="18"/>
        <v>0</v>
      </c>
      <c r="BG21" s="43">
        <f t="shared" si="18"/>
        <v>0</v>
      </c>
      <c r="BH21" s="43">
        <f t="shared" si="18"/>
        <v>0</v>
      </c>
      <c r="BI21" s="43">
        <f t="shared" si="18"/>
        <v>0</v>
      </c>
      <c r="BJ21" s="43">
        <f t="shared" si="18"/>
        <v>0</v>
      </c>
      <c r="BK21" s="43">
        <f t="shared" si="18"/>
        <v>0</v>
      </c>
      <c r="BL21" s="43">
        <f t="shared" si="18"/>
        <v>0</v>
      </c>
      <c r="BM21" s="43">
        <f t="shared" si="18"/>
        <v>0</v>
      </c>
      <c r="BN21" s="43">
        <f t="shared" si="18"/>
        <v>0</v>
      </c>
      <c r="BO21" s="43">
        <f t="shared" si="18"/>
        <v>0</v>
      </c>
      <c r="BP21" s="43">
        <f t="shared" si="18"/>
        <v>0</v>
      </c>
      <c r="BQ21" s="43">
        <f t="shared" si="18"/>
        <v>0</v>
      </c>
      <c r="BR21" s="43">
        <f t="shared" si="18"/>
        <v>0</v>
      </c>
      <c r="BS21" s="43">
        <f t="shared" si="18"/>
        <v>0</v>
      </c>
      <c r="BT21" s="43">
        <f t="shared" si="18"/>
        <v>0</v>
      </c>
      <c r="BU21" s="43">
        <f t="shared" si="18"/>
        <v>0</v>
      </c>
      <c r="BV21" s="43">
        <f t="shared" si="18"/>
        <v>0</v>
      </c>
      <c r="BW21" s="43">
        <f t="shared" si="18"/>
        <v>0</v>
      </c>
      <c r="BX21" s="45"/>
    </row>
    <row r="22" spans="1:76" ht="12" customHeight="1">
      <c r="A22" s="505"/>
      <c r="B22" s="35" t="str">
        <f>IF(ISBLANK('A1 - Serviços e demanda'!A37),"",'A1 - Serviços e demanda'!A37)</f>
        <v>Lagoa Grande - Estacionamento</v>
      </c>
      <c r="C22" s="36">
        <f t="shared" si="0"/>
        <v>0</v>
      </c>
      <c r="D22" s="37" t="s">
        <v>139</v>
      </c>
      <c r="E22" s="37"/>
      <c r="F22" s="37"/>
      <c r="G22" s="510"/>
      <c r="H22" s="37"/>
      <c r="I22" s="37"/>
      <c r="J22" s="37"/>
      <c r="K22" s="510"/>
      <c r="L22" s="38">
        <v>1</v>
      </c>
      <c r="M22" s="38"/>
      <c r="N22" s="38"/>
      <c r="O22" s="38"/>
      <c r="P22" s="512">
        <v>0</v>
      </c>
      <c r="Q22" s="44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4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44">
        <v>0</v>
      </c>
      <c r="AH22" s="44">
        <v>0</v>
      </c>
      <c r="AI22" s="44">
        <v>0</v>
      </c>
      <c r="AJ22" s="44">
        <v>0</v>
      </c>
      <c r="AK22" s="44">
        <v>0</v>
      </c>
      <c r="AL22" s="44">
        <v>0</v>
      </c>
      <c r="AM22" s="44">
        <v>0</v>
      </c>
      <c r="AN22" s="44">
        <v>0</v>
      </c>
      <c r="AO22" s="44">
        <v>0</v>
      </c>
      <c r="AP22" s="44">
        <v>0</v>
      </c>
      <c r="AQ22" s="44">
        <v>0</v>
      </c>
      <c r="AR22" s="44">
        <v>0</v>
      </c>
      <c r="AS22" s="513">
        <v>0</v>
      </c>
      <c r="AT22" s="42">
        <f t="shared" si="1"/>
        <v>0</v>
      </c>
      <c r="AU22" s="43">
        <f t="shared" ref="AU22:BW22" si="19">AT22*(1+Q22)</f>
        <v>0</v>
      </c>
      <c r="AV22" s="43">
        <f t="shared" si="19"/>
        <v>0</v>
      </c>
      <c r="AW22" s="43">
        <f t="shared" si="19"/>
        <v>0</v>
      </c>
      <c r="AX22" s="43">
        <f t="shared" si="19"/>
        <v>0</v>
      </c>
      <c r="AY22" s="43">
        <f t="shared" si="19"/>
        <v>0</v>
      </c>
      <c r="AZ22" s="43">
        <f t="shared" si="19"/>
        <v>0</v>
      </c>
      <c r="BA22" s="43">
        <f t="shared" si="19"/>
        <v>0</v>
      </c>
      <c r="BB22" s="43">
        <f t="shared" si="19"/>
        <v>0</v>
      </c>
      <c r="BC22" s="43">
        <f t="shared" si="19"/>
        <v>0</v>
      </c>
      <c r="BD22" s="43">
        <f t="shared" si="19"/>
        <v>0</v>
      </c>
      <c r="BE22" s="43">
        <f t="shared" si="19"/>
        <v>0</v>
      </c>
      <c r="BF22" s="43">
        <f t="shared" si="19"/>
        <v>0</v>
      </c>
      <c r="BG22" s="43">
        <f t="shared" si="19"/>
        <v>0</v>
      </c>
      <c r="BH22" s="43">
        <f t="shared" si="19"/>
        <v>0</v>
      </c>
      <c r="BI22" s="43">
        <f t="shared" si="19"/>
        <v>0</v>
      </c>
      <c r="BJ22" s="43">
        <f t="shared" si="19"/>
        <v>0</v>
      </c>
      <c r="BK22" s="43">
        <f t="shared" si="19"/>
        <v>0</v>
      </c>
      <c r="BL22" s="43">
        <f t="shared" si="19"/>
        <v>0</v>
      </c>
      <c r="BM22" s="43">
        <f t="shared" si="19"/>
        <v>0</v>
      </c>
      <c r="BN22" s="43">
        <f t="shared" si="19"/>
        <v>0</v>
      </c>
      <c r="BO22" s="43">
        <f t="shared" si="19"/>
        <v>0</v>
      </c>
      <c r="BP22" s="43">
        <f t="shared" si="19"/>
        <v>0</v>
      </c>
      <c r="BQ22" s="43">
        <f t="shared" si="19"/>
        <v>0</v>
      </c>
      <c r="BR22" s="43">
        <f t="shared" si="19"/>
        <v>0</v>
      </c>
      <c r="BS22" s="43">
        <f t="shared" si="19"/>
        <v>0</v>
      </c>
      <c r="BT22" s="43">
        <f t="shared" si="19"/>
        <v>0</v>
      </c>
      <c r="BU22" s="43">
        <f t="shared" si="19"/>
        <v>0</v>
      </c>
      <c r="BV22" s="43">
        <f t="shared" si="19"/>
        <v>0</v>
      </c>
      <c r="BW22" s="43">
        <f t="shared" si="19"/>
        <v>0</v>
      </c>
      <c r="BX22" s="45"/>
    </row>
    <row r="23" spans="1:76" ht="12" customHeight="1">
      <c r="A23" s="505"/>
      <c r="B23" s="35" t="str">
        <f>IF(ISBLANK('A1 - Serviços e demanda'!A38),"",'A1 - Serviços e demanda'!A38)</f>
        <v/>
      </c>
      <c r="C23" s="36">
        <f t="shared" si="0"/>
        <v>0</v>
      </c>
      <c r="D23" s="37"/>
      <c r="E23" s="37"/>
      <c r="F23" s="37"/>
      <c r="G23" s="510"/>
      <c r="H23" s="37"/>
      <c r="I23" s="37"/>
      <c r="J23" s="37"/>
      <c r="K23" s="510"/>
      <c r="L23" s="38"/>
      <c r="M23" s="38"/>
      <c r="N23" s="38"/>
      <c r="O23" s="38"/>
      <c r="P23" s="512">
        <v>0</v>
      </c>
      <c r="Q23" s="44">
        <v>0</v>
      </c>
      <c r="R23" s="44">
        <v>0</v>
      </c>
      <c r="S23" s="44">
        <v>0</v>
      </c>
      <c r="T23" s="44">
        <v>0</v>
      </c>
      <c r="U23" s="44">
        <v>0</v>
      </c>
      <c r="V23" s="44">
        <v>0</v>
      </c>
      <c r="W23" s="44">
        <v>0</v>
      </c>
      <c r="X23" s="44">
        <v>0</v>
      </c>
      <c r="Y23" s="44">
        <v>0</v>
      </c>
      <c r="Z23" s="44">
        <v>0</v>
      </c>
      <c r="AA23" s="44">
        <v>0</v>
      </c>
      <c r="AB23" s="44">
        <v>0</v>
      </c>
      <c r="AC23" s="44">
        <v>0</v>
      </c>
      <c r="AD23" s="44">
        <v>0</v>
      </c>
      <c r="AE23" s="44">
        <v>0</v>
      </c>
      <c r="AF23" s="44">
        <v>0</v>
      </c>
      <c r="AG23" s="44">
        <v>0</v>
      </c>
      <c r="AH23" s="44">
        <v>0</v>
      </c>
      <c r="AI23" s="44">
        <v>0</v>
      </c>
      <c r="AJ23" s="44">
        <v>0</v>
      </c>
      <c r="AK23" s="44">
        <v>0</v>
      </c>
      <c r="AL23" s="44">
        <v>0</v>
      </c>
      <c r="AM23" s="44">
        <v>0</v>
      </c>
      <c r="AN23" s="44">
        <v>0</v>
      </c>
      <c r="AO23" s="44">
        <v>0</v>
      </c>
      <c r="AP23" s="44">
        <v>0</v>
      </c>
      <c r="AQ23" s="44">
        <v>0</v>
      </c>
      <c r="AR23" s="44">
        <v>0</v>
      </c>
      <c r="AS23" s="513">
        <v>0</v>
      </c>
      <c r="AT23" s="42">
        <f t="shared" si="1"/>
        <v>0</v>
      </c>
      <c r="AU23" s="43">
        <f t="shared" ref="AU23:BW23" si="20">AT23*(1+Q23)</f>
        <v>0</v>
      </c>
      <c r="AV23" s="43">
        <f t="shared" si="20"/>
        <v>0</v>
      </c>
      <c r="AW23" s="43">
        <f t="shared" si="20"/>
        <v>0</v>
      </c>
      <c r="AX23" s="43">
        <f t="shared" si="20"/>
        <v>0</v>
      </c>
      <c r="AY23" s="43">
        <f t="shared" si="20"/>
        <v>0</v>
      </c>
      <c r="AZ23" s="43">
        <f t="shared" si="20"/>
        <v>0</v>
      </c>
      <c r="BA23" s="43">
        <f t="shared" si="20"/>
        <v>0</v>
      </c>
      <c r="BB23" s="43">
        <f t="shared" si="20"/>
        <v>0</v>
      </c>
      <c r="BC23" s="43">
        <f t="shared" si="20"/>
        <v>0</v>
      </c>
      <c r="BD23" s="43">
        <f t="shared" si="20"/>
        <v>0</v>
      </c>
      <c r="BE23" s="43">
        <f t="shared" si="20"/>
        <v>0</v>
      </c>
      <c r="BF23" s="43">
        <f t="shared" si="20"/>
        <v>0</v>
      </c>
      <c r="BG23" s="43">
        <f t="shared" si="20"/>
        <v>0</v>
      </c>
      <c r="BH23" s="43">
        <f t="shared" si="20"/>
        <v>0</v>
      </c>
      <c r="BI23" s="43">
        <f t="shared" si="20"/>
        <v>0</v>
      </c>
      <c r="BJ23" s="43">
        <f t="shared" si="20"/>
        <v>0</v>
      </c>
      <c r="BK23" s="43">
        <f t="shared" si="20"/>
        <v>0</v>
      </c>
      <c r="BL23" s="43">
        <f t="shared" si="20"/>
        <v>0</v>
      </c>
      <c r="BM23" s="43">
        <f t="shared" si="20"/>
        <v>0</v>
      </c>
      <c r="BN23" s="43">
        <f t="shared" si="20"/>
        <v>0</v>
      </c>
      <c r="BO23" s="43">
        <f t="shared" si="20"/>
        <v>0</v>
      </c>
      <c r="BP23" s="43">
        <f t="shared" si="20"/>
        <v>0</v>
      </c>
      <c r="BQ23" s="43">
        <f t="shared" si="20"/>
        <v>0</v>
      </c>
      <c r="BR23" s="43">
        <f t="shared" si="20"/>
        <v>0</v>
      </c>
      <c r="BS23" s="43">
        <f t="shared" si="20"/>
        <v>0</v>
      </c>
      <c r="BT23" s="43">
        <f t="shared" si="20"/>
        <v>0</v>
      </c>
      <c r="BU23" s="43">
        <f t="shared" si="20"/>
        <v>0</v>
      </c>
      <c r="BV23" s="43">
        <f t="shared" si="20"/>
        <v>0</v>
      </c>
      <c r="BW23" s="43">
        <f t="shared" si="20"/>
        <v>0</v>
      </c>
      <c r="BX23" s="45"/>
    </row>
    <row r="24" spans="1:76" ht="12" customHeight="1">
      <c r="A24" s="505"/>
      <c r="B24" s="35" t="str">
        <f>IF(ISBLANK('A1 - Serviços e demanda'!A39),"",'A1 - Serviços e demanda'!A39)</f>
        <v/>
      </c>
      <c r="C24" s="36">
        <f t="shared" si="0"/>
        <v>0</v>
      </c>
      <c r="D24" s="514"/>
      <c r="E24" s="514"/>
      <c r="F24" s="514"/>
      <c r="G24" s="515"/>
      <c r="H24" s="514"/>
      <c r="I24" s="514"/>
      <c r="J24" s="514"/>
      <c r="K24" s="515"/>
      <c r="L24" s="516"/>
      <c r="M24" s="516"/>
      <c r="N24" s="516"/>
      <c r="O24" s="516"/>
      <c r="P24" s="517">
        <v>0</v>
      </c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v>0</v>
      </c>
      <c r="AD24" s="518">
        <v>0</v>
      </c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v>0</v>
      </c>
      <c r="AR24" s="518">
        <v>0</v>
      </c>
      <c r="AS24" s="519">
        <v>0</v>
      </c>
      <c r="AT24" s="42">
        <f t="shared" si="1"/>
        <v>0</v>
      </c>
      <c r="AU24" s="43">
        <f t="shared" ref="AU24:BW24" si="21">AT24*(1+Q24)</f>
        <v>0</v>
      </c>
      <c r="AV24" s="43">
        <f t="shared" si="21"/>
        <v>0</v>
      </c>
      <c r="AW24" s="43">
        <f t="shared" si="21"/>
        <v>0</v>
      </c>
      <c r="AX24" s="43">
        <f t="shared" si="21"/>
        <v>0</v>
      </c>
      <c r="AY24" s="43">
        <f t="shared" si="21"/>
        <v>0</v>
      </c>
      <c r="AZ24" s="43">
        <f t="shared" si="21"/>
        <v>0</v>
      </c>
      <c r="BA24" s="43">
        <f t="shared" si="21"/>
        <v>0</v>
      </c>
      <c r="BB24" s="43">
        <f t="shared" si="21"/>
        <v>0</v>
      </c>
      <c r="BC24" s="43">
        <f t="shared" si="21"/>
        <v>0</v>
      </c>
      <c r="BD24" s="43">
        <f t="shared" si="21"/>
        <v>0</v>
      </c>
      <c r="BE24" s="43">
        <f t="shared" si="21"/>
        <v>0</v>
      </c>
      <c r="BF24" s="43">
        <f t="shared" si="21"/>
        <v>0</v>
      </c>
      <c r="BG24" s="43">
        <f t="shared" si="21"/>
        <v>0</v>
      </c>
      <c r="BH24" s="43">
        <f t="shared" si="21"/>
        <v>0</v>
      </c>
      <c r="BI24" s="43">
        <f t="shared" si="21"/>
        <v>0</v>
      </c>
      <c r="BJ24" s="43">
        <f t="shared" si="21"/>
        <v>0</v>
      </c>
      <c r="BK24" s="43">
        <f t="shared" si="21"/>
        <v>0</v>
      </c>
      <c r="BL24" s="43">
        <f t="shared" si="21"/>
        <v>0</v>
      </c>
      <c r="BM24" s="43">
        <f t="shared" si="21"/>
        <v>0</v>
      </c>
      <c r="BN24" s="43">
        <f t="shared" si="21"/>
        <v>0</v>
      </c>
      <c r="BO24" s="43">
        <f t="shared" si="21"/>
        <v>0</v>
      </c>
      <c r="BP24" s="43">
        <f t="shared" si="21"/>
        <v>0</v>
      </c>
      <c r="BQ24" s="43">
        <f t="shared" si="21"/>
        <v>0</v>
      </c>
      <c r="BR24" s="43">
        <f t="shared" si="21"/>
        <v>0</v>
      </c>
      <c r="BS24" s="43">
        <f t="shared" si="21"/>
        <v>0</v>
      </c>
      <c r="BT24" s="43">
        <f t="shared" si="21"/>
        <v>0</v>
      </c>
      <c r="BU24" s="43">
        <f t="shared" si="21"/>
        <v>0</v>
      </c>
      <c r="BV24" s="43">
        <f t="shared" si="21"/>
        <v>0</v>
      </c>
      <c r="BW24" s="43">
        <f t="shared" si="21"/>
        <v>0</v>
      </c>
      <c r="BX24" s="45"/>
    </row>
  </sheetData>
  <mergeCells count="8">
    <mergeCell ref="P3:AS3"/>
    <mergeCell ref="AT3:BW3"/>
    <mergeCell ref="BX3:BX4"/>
    <mergeCell ref="B3:B4"/>
    <mergeCell ref="C3:C4"/>
    <mergeCell ref="D3:G3"/>
    <mergeCell ref="H3:K3"/>
    <mergeCell ref="L3:O3"/>
  </mergeCells>
  <pageMargins left="0.51181102362204722" right="0.51181102362204722" top="0.78740157480314965" bottom="0.78740157480314965" header="0" footer="0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>
    <tabColor rgb="FFA8D08D"/>
    <pageSetUpPr fitToPage="1"/>
  </sheetPr>
  <dimension ref="A1:AF49"/>
  <sheetViews>
    <sheetView workbookViewId="0">
      <pane xSplit="2" ySplit="5" topLeftCell="C15" activePane="bottomRight" state="frozen"/>
      <selection pane="bottomRight"/>
      <selection pane="bottomLeft" activeCell="A6" sqref="A6"/>
      <selection pane="topRight" activeCell="C1" sqref="C1"/>
    </sheetView>
  </sheetViews>
  <sheetFormatPr defaultColWidth="11.44140625" defaultRowHeight="15" customHeight="1"/>
  <cols>
    <col min="1" max="1" width="3" customWidth="1"/>
    <col min="2" max="2" width="44.44140625" customWidth="1"/>
    <col min="3" max="8" width="9" customWidth="1"/>
    <col min="9" max="9" width="22.77734375" customWidth="1"/>
    <col min="10" max="32" width="9" customWidth="1"/>
    <col min="33" max="39" width="11.44140625" customWidth="1"/>
  </cols>
  <sheetData>
    <row r="1" spans="1:32" ht="15" customHeight="1">
      <c r="A1" s="520"/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</row>
    <row r="2" spans="1:32" ht="27" customHeight="1">
      <c r="A2" s="522"/>
      <c r="B2" s="767" t="s">
        <v>144</v>
      </c>
      <c r="C2" s="813"/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3"/>
      <c r="T2" s="813"/>
      <c r="U2" s="813"/>
      <c r="V2" s="813"/>
      <c r="W2" s="813"/>
      <c r="X2" s="521"/>
      <c r="Y2" s="521"/>
      <c r="Z2" s="521"/>
      <c r="AA2" s="521"/>
      <c r="AB2" s="521"/>
      <c r="AC2" s="521"/>
      <c r="AD2" s="521"/>
      <c r="AE2" s="521"/>
      <c r="AF2" s="521"/>
    </row>
    <row r="3" spans="1:32" ht="15.6">
      <c r="A3" s="505"/>
      <c r="B3" s="524" t="s">
        <v>145</v>
      </c>
      <c r="C3" s="525"/>
      <c r="D3" s="526"/>
      <c r="E3" s="522"/>
      <c r="F3" s="522"/>
      <c r="G3" s="522"/>
      <c r="H3" s="522"/>
      <c r="I3" s="522">
        <f>1200000/365</f>
        <v>3287.6712328767121</v>
      </c>
      <c r="J3" s="522"/>
      <c r="K3" s="522"/>
      <c r="L3" s="522"/>
      <c r="M3" s="522"/>
      <c r="N3" s="522"/>
      <c r="O3" s="522"/>
      <c r="P3" s="522"/>
      <c r="Q3" s="522"/>
      <c r="R3" s="522"/>
      <c r="S3" s="522"/>
      <c r="T3" s="522"/>
      <c r="U3" s="522"/>
      <c r="V3" s="522"/>
      <c r="W3" s="522"/>
      <c r="X3" s="521"/>
      <c r="Y3" s="521"/>
      <c r="Z3" s="521"/>
      <c r="AA3" s="521"/>
      <c r="AB3" s="521"/>
      <c r="AC3" s="521"/>
      <c r="AD3" s="521"/>
      <c r="AE3" s="521"/>
      <c r="AF3" s="521"/>
    </row>
    <row r="4" spans="1:32" ht="25.5" customHeight="1">
      <c r="A4" s="505"/>
      <c r="B4" s="768" t="s">
        <v>146</v>
      </c>
      <c r="C4" s="763" t="s">
        <v>147</v>
      </c>
      <c r="D4" s="813"/>
      <c r="E4" s="813"/>
      <c r="F4" s="813"/>
      <c r="G4" s="813"/>
      <c r="H4" s="813"/>
      <c r="I4" s="813"/>
      <c r="J4" s="813"/>
      <c r="K4" s="813"/>
      <c r="L4" s="813"/>
      <c r="M4" s="813"/>
      <c r="N4" s="813"/>
      <c r="O4" s="813"/>
      <c r="P4" s="813"/>
      <c r="Q4" s="813"/>
      <c r="R4" s="813"/>
      <c r="S4" s="813"/>
      <c r="T4" s="813"/>
      <c r="U4" s="813"/>
      <c r="V4" s="813"/>
      <c r="W4" s="813"/>
      <c r="X4" s="813"/>
      <c r="Y4" s="813"/>
      <c r="Z4" s="813"/>
      <c r="AA4" s="813"/>
      <c r="AB4" s="813"/>
      <c r="AC4" s="813"/>
      <c r="AD4" s="813"/>
      <c r="AE4" s="813"/>
      <c r="AF4" s="813"/>
    </row>
    <row r="5" spans="1:32" ht="12" customHeight="1">
      <c r="A5" s="505"/>
      <c r="B5" s="820"/>
      <c r="C5" s="509">
        <v>1</v>
      </c>
      <c r="D5" s="509">
        <v>2</v>
      </c>
      <c r="E5" s="509">
        <v>3</v>
      </c>
      <c r="F5" s="509">
        <v>4</v>
      </c>
      <c r="G5" s="509">
        <v>5</v>
      </c>
      <c r="H5" s="509">
        <v>6</v>
      </c>
      <c r="I5" s="509">
        <v>7</v>
      </c>
      <c r="J5" s="509">
        <v>8</v>
      </c>
      <c r="K5" s="509">
        <v>9</v>
      </c>
      <c r="L5" s="509">
        <v>10</v>
      </c>
      <c r="M5" s="509">
        <v>11</v>
      </c>
      <c r="N5" s="509">
        <v>12</v>
      </c>
      <c r="O5" s="509">
        <v>13</v>
      </c>
      <c r="P5" s="509">
        <v>14</v>
      </c>
      <c r="Q5" s="509">
        <v>15</v>
      </c>
      <c r="R5" s="509">
        <v>16</v>
      </c>
      <c r="S5" s="509">
        <v>17</v>
      </c>
      <c r="T5" s="509">
        <v>18</v>
      </c>
      <c r="U5" s="509">
        <v>19</v>
      </c>
      <c r="V5" s="509">
        <v>20</v>
      </c>
      <c r="W5" s="509">
        <v>21</v>
      </c>
      <c r="X5" s="509">
        <v>22</v>
      </c>
      <c r="Y5" s="509">
        <v>23</v>
      </c>
      <c r="Z5" s="509">
        <v>24</v>
      </c>
      <c r="AA5" s="509">
        <v>25</v>
      </c>
      <c r="AB5" s="509">
        <v>26</v>
      </c>
      <c r="AC5" s="509">
        <v>27</v>
      </c>
      <c r="AD5" s="509">
        <v>28</v>
      </c>
      <c r="AE5" s="509">
        <v>29</v>
      </c>
      <c r="AF5" s="509">
        <v>30</v>
      </c>
    </row>
    <row r="6" spans="1:32" ht="12" customHeight="1">
      <c r="A6" s="505"/>
      <c r="B6" s="46" t="str">
        <f>'A2 - Preços'!B5</f>
        <v>Ingresso</v>
      </c>
      <c r="C6" s="47">
        <f>'A1 - Serviços e demanda'!B71</f>
        <v>522935</v>
      </c>
      <c r="D6" s="47">
        <f>'A1 - Serviços e demanda'!C71</f>
        <v>1081951</v>
      </c>
      <c r="E6" s="47">
        <f>'A1 - Serviços e demanda'!D71</f>
        <v>1119271</v>
      </c>
      <c r="F6" s="47">
        <f>'A1 - Serviços e demanda'!E71</f>
        <v>1155418</v>
      </c>
      <c r="G6" s="47">
        <f>'A1 - Serviços e demanda'!F71</f>
        <v>1192139</v>
      </c>
      <c r="H6" s="47">
        <f>'A1 - Serviços e demanda'!G71</f>
        <v>1229504</v>
      </c>
      <c r="I6" s="47">
        <f>'A1 - Serviços e demanda'!H71</f>
        <v>1267922</v>
      </c>
      <c r="J6" s="47">
        <f>'A1 - Serviços e demanda'!I71</f>
        <v>1307461</v>
      </c>
      <c r="K6" s="47">
        <f>'A1 - Serviços e demanda'!J71</f>
        <v>1347720</v>
      </c>
      <c r="L6" s="47">
        <f>'A1 - Serviços e demanda'!K71</f>
        <v>1388731</v>
      </c>
      <c r="M6" s="47">
        <f>'A1 - Serviços e demanda'!L71</f>
        <v>1431024</v>
      </c>
      <c r="N6" s="47">
        <f>'A1 - Serviços e demanda'!M71</f>
        <v>1474583</v>
      </c>
      <c r="O6" s="47">
        <f>'A1 - Serviços e demanda'!N71</f>
        <v>1519533</v>
      </c>
      <c r="P6" s="47">
        <f>'A1 - Serviços e demanda'!O71</f>
        <v>1565841</v>
      </c>
      <c r="Q6" s="47">
        <f>'A1 - Serviços e demanda'!P71</f>
        <v>1613541</v>
      </c>
      <c r="R6" s="47">
        <f>'A1 - Serviços e demanda'!Q71</f>
        <v>1662549</v>
      </c>
      <c r="S6" s="47">
        <f>'A1 - Serviços e demanda'!R71</f>
        <v>1712805</v>
      </c>
      <c r="T6" s="47">
        <f>'A1 - Serviços e demanda'!S71</f>
        <v>1764131</v>
      </c>
      <c r="U6" s="47">
        <f>'A1 - Serviços e demanda'!T71</f>
        <v>1816396</v>
      </c>
      <c r="V6" s="47">
        <f>'A1 - Serviços e demanda'!U71</f>
        <v>1869357</v>
      </c>
      <c r="W6" s="47">
        <f>'A1 - Serviços e demanda'!V71</f>
        <v>1869357</v>
      </c>
      <c r="X6" s="47">
        <f>'A1 - Serviços e demanda'!W71</f>
        <v>1869357</v>
      </c>
      <c r="Y6" s="47">
        <f>'A1 - Serviços e demanda'!X71</f>
        <v>1869357</v>
      </c>
      <c r="Z6" s="47">
        <f>'A1 - Serviços e demanda'!Y71</f>
        <v>1869357</v>
      </c>
      <c r="AA6" s="47">
        <f>'A1 - Serviços e demanda'!Z71</f>
        <v>1869357</v>
      </c>
      <c r="AB6" s="47">
        <f>'A1 - Serviços e demanda'!AA71</f>
        <v>1869357</v>
      </c>
      <c r="AC6" s="47">
        <f>'A1 - Serviços e demanda'!AB71</f>
        <v>1869357</v>
      </c>
      <c r="AD6" s="47">
        <f>'A1 - Serviços e demanda'!AC71</f>
        <v>1869357</v>
      </c>
      <c r="AE6" s="47">
        <f>'A1 - Serviços e demanda'!AD71</f>
        <v>1869357</v>
      </c>
      <c r="AF6" s="47">
        <f>'A1 - Serviços e demanda'!AE71</f>
        <v>1869357</v>
      </c>
    </row>
    <row r="7" spans="1:32" ht="12" customHeight="1">
      <c r="A7" s="505"/>
      <c r="B7" s="46" t="str">
        <f>'A2 - Preços'!B6</f>
        <v>Preá - Alimentação</v>
      </c>
      <c r="C7" s="47">
        <f>'A1 - Serviços e demanda'!B72</f>
        <v>0</v>
      </c>
      <c r="D7" s="47">
        <f>'A1 - Serviços e demanda'!C72</f>
        <v>86556</v>
      </c>
      <c r="E7" s="47">
        <f>'A1 - Serviços e demanda'!D72</f>
        <v>89542</v>
      </c>
      <c r="F7" s="47">
        <f>'A1 - Serviços e demanda'!E72</f>
        <v>92433</v>
      </c>
      <c r="G7" s="47">
        <f>'A1 - Serviços e demanda'!F72</f>
        <v>95371</v>
      </c>
      <c r="H7" s="47">
        <f>'A1 - Serviços e demanda'!G72</f>
        <v>98360</v>
      </c>
      <c r="I7" s="47">
        <f>'A1 - Serviços e demanda'!H72</f>
        <v>101434</v>
      </c>
      <c r="J7" s="47">
        <f>'A1 - Serviços e demanda'!I72</f>
        <v>104597</v>
      </c>
      <c r="K7" s="47">
        <f>'A1 - Serviços e demanda'!J72</f>
        <v>107818</v>
      </c>
      <c r="L7" s="47">
        <f>'A1 - Serviços e demanda'!K72</f>
        <v>111098</v>
      </c>
      <c r="M7" s="47">
        <f>'A1 - Serviços e demanda'!L72</f>
        <v>114482</v>
      </c>
      <c r="N7" s="47">
        <f>'A1 - Serviços e demanda'!M72</f>
        <v>117967</v>
      </c>
      <c r="O7" s="47">
        <f>'A1 - Serviços e demanda'!N72</f>
        <v>121563</v>
      </c>
      <c r="P7" s="47">
        <f>'A1 - Serviços e demanda'!O72</f>
        <v>125267</v>
      </c>
      <c r="Q7" s="47">
        <f>'A1 - Serviços e demanda'!P72</f>
        <v>129083</v>
      </c>
      <c r="R7" s="47">
        <f>'A1 - Serviços e demanda'!Q72</f>
        <v>133004</v>
      </c>
      <c r="S7" s="47">
        <f>'A1 - Serviços e demanda'!R72</f>
        <v>137024</v>
      </c>
      <c r="T7" s="47">
        <f>'A1 - Serviços e demanda'!S72</f>
        <v>141130</v>
      </c>
      <c r="U7" s="47">
        <f>'A1 - Serviços e demanda'!T72</f>
        <v>145312</v>
      </c>
      <c r="V7" s="47">
        <f>'A1 - Serviços e demanda'!U72</f>
        <v>149549</v>
      </c>
      <c r="W7" s="47">
        <f>'A1 - Serviços e demanda'!V72</f>
        <v>149549</v>
      </c>
      <c r="X7" s="47">
        <f>'A1 - Serviços e demanda'!W72</f>
        <v>149549</v>
      </c>
      <c r="Y7" s="47">
        <f>'A1 - Serviços e demanda'!X72</f>
        <v>149549</v>
      </c>
      <c r="Z7" s="47">
        <f>'A1 - Serviços e demanda'!Y72</f>
        <v>149549</v>
      </c>
      <c r="AA7" s="47">
        <f>'A1 - Serviços e demanda'!Z72</f>
        <v>149549</v>
      </c>
      <c r="AB7" s="47">
        <f>'A1 - Serviços e demanda'!AA72</f>
        <v>149549</v>
      </c>
      <c r="AC7" s="47">
        <f>'A1 - Serviços e demanda'!AB72</f>
        <v>149549</v>
      </c>
      <c r="AD7" s="47">
        <f>'A1 - Serviços e demanda'!AC72</f>
        <v>149549</v>
      </c>
      <c r="AE7" s="47">
        <f>'A1 - Serviços e demanda'!AD72</f>
        <v>149549</v>
      </c>
      <c r="AF7" s="47">
        <f>'A1 - Serviços e demanda'!AE72</f>
        <v>149549</v>
      </c>
    </row>
    <row r="8" spans="1:32" ht="12" customHeight="1">
      <c r="A8" s="505"/>
      <c r="B8" s="46" t="str">
        <f>'A2 - Preços'!B7</f>
        <v>Preá - Comércio</v>
      </c>
      <c r="C8" s="47">
        <f>'A1 - Serviços e demanda'!B73</f>
        <v>0</v>
      </c>
      <c r="D8" s="47">
        <f>'A1 - Serviços e demanda'!C73</f>
        <v>14426</v>
      </c>
      <c r="E8" s="47">
        <f>'A1 - Serviços e demanda'!D73</f>
        <v>14924</v>
      </c>
      <c r="F8" s="47">
        <f>'A1 - Serviços e demanda'!E73</f>
        <v>15406</v>
      </c>
      <c r="G8" s="47">
        <f>'A1 - Serviços e demanda'!F73</f>
        <v>15895</v>
      </c>
      <c r="H8" s="47">
        <f>'A1 - Serviços e demanda'!G73</f>
        <v>16393</v>
      </c>
      <c r="I8" s="47">
        <f>'A1 - Serviços e demanda'!H73</f>
        <v>16906</v>
      </c>
      <c r="J8" s="47">
        <f>'A1 - Serviços e demanda'!I73</f>
        <v>17433</v>
      </c>
      <c r="K8" s="47">
        <f>'A1 - Serviços e demanda'!J73</f>
        <v>17970</v>
      </c>
      <c r="L8" s="47">
        <f>'A1 - Serviços e demanda'!K73</f>
        <v>18516</v>
      </c>
      <c r="M8" s="47">
        <f>'A1 - Serviços e demanda'!L73</f>
        <v>19080</v>
      </c>
      <c r="N8" s="47">
        <f>'A1 - Serviços e demanda'!M73</f>
        <v>19661</v>
      </c>
      <c r="O8" s="47">
        <f>'A1 - Serviços e demanda'!N73</f>
        <v>20260</v>
      </c>
      <c r="P8" s="47">
        <f>'A1 - Serviços e demanda'!O73</f>
        <v>20878</v>
      </c>
      <c r="Q8" s="47">
        <f>'A1 - Serviços e demanda'!P73</f>
        <v>21514</v>
      </c>
      <c r="R8" s="47">
        <f>'A1 - Serviços e demanda'!Q73</f>
        <v>22167</v>
      </c>
      <c r="S8" s="47">
        <f>'A1 - Serviços e demanda'!R73</f>
        <v>22837</v>
      </c>
      <c r="T8" s="47">
        <f>'A1 - Serviços e demanda'!S73</f>
        <v>23522</v>
      </c>
      <c r="U8" s="47">
        <f>'A1 - Serviços e demanda'!T73</f>
        <v>24219</v>
      </c>
      <c r="V8" s="47">
        <f>'A1 - Serviços e demanda'!U73</f>
        <v>24925</v>
      </c>
      <c r="W8" s="47">
        <f>'A1 - Serviços e demanda'!V73</f>
        <v>24925</v>
      </c>
      <c r="X8" s="47">
        <f>'A1 - Serviços e demanda'!W73</f>
        <v>24925</v>
      </c>
      <c r="Y8" s="47">
        <f>'A1 - Serviços e demanda'!X73</f>
        <v>24925</v>
      </c>
      <c r="Z8" s="47">
        <f>'A1 - Serviços e demanda'!Y73</f>
        <v>24925</v>
      </c>
      <c r="AA8" s="47">
        <f>'A1 - Serviços e demanda'!Z73</f>
        <v>24925</v>
      </c>
      <c r="AB8" s="47">
        <f>'A1 - Serviços e demanda'!AA73</f>
        <v>24925</v>
      </c>
      <c r="AC8" s="47">
        <f>'A1 - Serviços e demanda'!AB73</f>
        <v>24925</v>
      </c>
      <c r="AD8" s="47">
        <f>'A1 - Serviços e demanda'!AC73</f>
        <v>24925</v>
      </c>
      <c r="AE8" s="47">
        <f>'A1 - Serviços e demanda'!AD73</f>
        <v>24925</v>
      </c>
      <c r="AF8" s="47">
        <f>'A1 - Serviços e demanda'!AE73</f>
        <v>24925</v>
      </c>
    </row>
    <row r="9" spans="1:32" ht="12" customHeight="1">
      <c r="A9" s="505"/>
      <c r="B9" s="46" t="str">
        <f>'A2 - Preços'!B8</f>
        <v>Preá - Estacionamento</v>
      </c>
      <c r="C9" s="47">
        <f>'A1 - Serviços e demanda'!B74</f>
        <v>0</v>
      </c>
      <c r="D9" s="47">
        <f>'A1 - Serviços e demanda'!C74</f>
        <v>21639</v>
      </c>
      <c r="E9" s="47">
        <f>'A1 - Serviços e demanda'!D74</f>
        <v>22385</v>
      </c>
      <c r="F9" s="47">
        <f>'A1 - Serviços e demanda'!E74</f>
        <v>23108</v>
      </c>
      <c r="G9" s="47">
        <f>'A1 - Serviços e demanda'!F74</f>
        <v>23843</v>
      </c>
      <c r="H9" s="47">
        <f>'A1 - Serviços e demanda'!G74</f>
        <v>24590</v>
      </c>
      <c r="I9" s="47">
        <f>'A1 - Serviços e demanda'!H74</f>
        <v>25358</v>
      </c>
      <c r="J9" s="47">
        <f>'A1 - Serviços e demanda'!I74</f>
        <v>26149</v>
      </c>
      <c r="K9" s="47">
        <f>'A1 - Serviços e demanda'!J74</f>
        <v>26954</v>
      </c>
      <c r="L9" s="47">
        <f>'A1 - Serviços e demanda'!K74</f>
        <v>27775</v>
      </c>
      <c r="M9" s="47">
        <f>'A1 - Serviços e demanda'!L74</f>
        <v>28620</v>
      </c>
      <c r="N9" s="47">
        <f>'A1 - Serviços e demanda'!M74</f>
        <v>29492</v>
      </c>
      <c r="O9" s="47">
        <f>'A1 - Serviços e demanda'!N74</f>
        <v>30391</v>
      </c>
      <c r="P9" s="47">
        <f>'A1 - Serviços e demanda'!O74</f>
        <v>31317</v>
      </c>
      <c r="Q9" s="47">
        <f>'A1 - Serviços e demanda'!P74</f>
        <v>32271</v>
      </c>
      <c r="R9" s="47">
        <f>'A1 - Serviços e demanda'!Q74</f>
        <v>33251</v>
      </c>
      <c r="S9" s="47">
        <f>'A1 - Serviços e demanda'!R74</f>
        <v>34256</v>
      </c>
      <c r="T9" s="47">
        <f>'A1 - Serviços e demanda'!S74</f>
        <v>35283</v>
      </c>
      <c r="U9" s="47">
        <f>'A1 - Serviços e demanda'!T74</f>
        <v>36328</v>
      </c>
      <c r="V9" s="47">
        <f>'A1 - Serviços e demanda'!U74</f>
        <v>37387</v>
      </c>
      <c r="W9" s="47">
        <f>'A1 - Serviços e demanda'!V74</f>
        <v>37387</v>
      </c>
      <c r="X9" s="47">
        <f>'A1 - Serviços e demanda'!W74</f>
        <v>37387</v>
      </c>
      <c r="Y9" s="47">
        <f>'A1 - Serviços e demanda'!X74</f>
        <v>37387</v>
      </c>
      <c r="Z9" s="47">
        <f>'A1 - Serviços e demanda'!Y74</f>
        <v>37387</v>
      </c>
      <c r="AA9" s="47">
        <f>'A1 - Serviços e demanda'!Z74</f>
        <v>37387</v>
      </c>
      <c r="AB9" s="47">
        <f>'A1 - Serviços e demanda'!AA74</f>
        <v>37387</v>
      </c>
      <c r="AC9" s="47">
        <f>'A1 - Serviços e demanda'!AB74</f>
        <v>37387</v>
      </c>
      <c r="AD9" s="47">
        <f>'A1 - Serviços e demanda'!AC74</f>
        <v>37387</v>
      </c>
      <c r="AE9" s="47">
        <f>'A1 - Serviços e demanda'!AD74</f>
        <v>37387</v>
      </c>
      <c r="AF9" s="47">
        <f>'A1 - Serviços e demanda'!AE74</f>
        <v>37387</v>
      </c>
    </row>
    <row r="10" spans="1:32" ht="12" customHeight="1">
      <c r="A10" s="505"/>
      <c r="B10" s="46" t="str">
        <f>'A2 - Preços'!B9</f>
        <v>Árvore da Preguiça - Alimentação</v>
      </c>
      <c r="C10" s="47">
        <f>'A1 - Serviços e demanda'!B75</f>
        <v>0</v>
      </c>
      <c r="D10" s="47">
        <f>'A1 - Serviços e demanda'!C75</f>
        <v>86556</v>
      </c>
      <c r="E10" s="47">
        <f>'A1 - Serviços e demanda'!D75</f>
        <v>89542</v>
      </c>
      <c r="F10" s="47">
        <f>'A1 - Serviços e demanda'!E75</f>
        <v>92433</v>
      </c>
      <c r="G10" s="47">
        <f>'A1 - Serviços e demanda'!F75</f>
        <v>95371</v>
      </c>
      <c r="H10" s="47">
        <f>'A1 - Serviços e demanda'!G75</f>
        <v>98360</v>
      </c>
      <c r="I10" s="47">
        <f>'A1 - Serviços e demanda'!H75</f>
        <v>101434</v>
      </c>
      <c r="J10" s="47">
        <f>'A1 - Serviços e demanda'!I75</f>
        <v>104597</v>
      </c>
      <c r="K10" s="47">
        <f>'A1 - Serviços e demanda'!J75</f>
        <v>107818</v>
      </c>
      <c r="L10" s="47">
        <f>'A1 - Serviços e demanda'!K75</f>
        <v>111098</v>
      </c>
      <c r="M10" s="47">
        <f>'A1 - Serviços e demanda'!L75</f>
        <v>114482</v>
      </c>
      <c r="N10" s="47">
        <f>'A1 - Serviços e demanda'!M75</f>
        <v>117967</v>
      </c>
      <c r="O10" s="47">
        <f>'A1 - Serviços e demanda'!N75</f>
        <v>121563</v>
      </c>
      <c r="P10" s="47">
        <f>'A1 - Serviços e demanda'!O75</f>
        <v>125267</v>
      </c>
      <c r="Q10" s="47">
        <f>'A1 - Serviços e demanda'!P75</f>
        <v>129083</v>
      </c>
      <c r="R10" s="47">
        <f>'A1 - Serviços e demanda'!Q75</f>
        <v>133004</v>
      </c>
      <c r="S10" s="47">
        <f>'A1 - Serviços e demanda'!R75</f>
        <v>137024</v>
      </c>
      <c r="T10" s="47">
        <f>'A1 - Serviços e demanda'!S75</f>
        <v>141130</v>
      </c>
      <c r="U10" s="47">
        <f>'A1 - Serviços e demanda'!T75</f>
        <v>145312</v>
      </c>
      <c r="V10" s="47">
        <f>'A1 - Serviços e demanda'!U75</f>
        <v>149549</v>
      </c>
      <c r="W10" s="47">
        <f>'A1 - Serviços e demanda'!V75</f>
        <v>149549</v>
      </c>
      <c r="X10" s="47">
        <f>'A1 - Serviços e demanda'!W75</f>
        <v>149549</v>
      </c>
      <c r="Y10" s="47">
        <f>'A1 - Serviços e demanda'!X75</f>
        <v>149549</v>
      </c>
      <c r="Z10" s="47">
        <f>'A1 - Serviços e demanda'!Y75</f>
        <v>149549</v>
      </c>
      <c r="AA10" s="47">
        <f>'A1 - Serviços e demanda'!Z75</f>
        <v>149549</v>
      </c>
      <c r="AB10" s="47">
        <f>'A1 - Serviços e demanda'!AA75</f>
        <v>149549</v>
      </c>
      <c r="AC10" s="47">
        <f>'A1 - Serviços e demanda'!AB75</f>
        <v>149549</v>
      </c>
      <c r="AD10" s="47">
        <f>'A1 - Serviços e demanda'!AC75</f>
        <v>149549</v>
      </c>
      <c r="AE10" s="47">
        <f>'A1 - Serviços e demanda'!AD75</f>
        <v>149549</v>
      </c>
      <c r="AF10" s="47">
        <f>'A1 - Serviços e demanda'!AE75</f>
        <v>149549</v>
      </c>
    </row>
    <row r="11" spans="1:32" ht="12" customHeight="1">
      <c r="A11" s="521"/>
      <c r="B11" s="46" t="str">
        <f>'A2 - Preços'!B10</f>
        <v>Árvore da Preguiça - Comércio</v>
      </c>
      <c r="C11" s="47">
        <f>'A1 - Serviços e demanda'!B76</f>
        <v>0</v>
      </c>
      <c r="D11" s="47">
        <f>'A1 - Serviços e demanda'!C76</f>
        <v>14426</v>
      </c>
      <c r="E11" s="47">
        <f>'A1 - Serviços e demanda'!D76</f>
        <v>14924</v>
      </c>
      <c r="F11" s="47">
        <f>'A1 - Serviços e demanda'!E76</f>
        <v>15406</v>
      </c>
      <c r="G11" s="47">
        <f>'A1 - Serviços e demanda'!F76</f>
        <v>15895</v>
      </c>
      <c r="H11" s="47">
        <f>'A1 - Serviços e demanda'!G76</f>
        <v>16393</v>
      </c>
      <c r="I11" s="47">
        <f>'A1 - Serviços e demanda'!H76</f>
        <v>16906</v>
      </c>
      <c r="J11" s="47">
        <f>'A1 - Serviços e demanda'!I76</f>
        <v>17433</v>
      </c>
      <c r="K11" s="47">
        <f>'A1 - Serviços e demanda'!J76</f>
        <v>17970</v>
      </c>
      <c r="L11" s="47">
        <f>'A1 - Serviços e demanda'!K76</f>
        <v>18516</v>
      </c>
      <c r="M11" s="47">
        <f>'A1 - Serviços e demanda'!L76</f>
        <v>19080</v>
      </c>
      <c r="N11" s="47">
        <f>'A1 - Serviços e demanda'!M76</f>
        <v>19661</v>
      </c>
      <c r="O11" s="47">
        <f>'A1 - Serviços e demanda'!N76</f>
        <v>20260</v>
      </c>
      <c r="P11" s="47">
        <f>'A1 - Serviços e demanda'!O76</f>
        <v>20878</v>
      </c>
      <c r="Q11" s="47">
        <f>'A1 - Serviços e demanda'!P76</f>
        <v>21514</v>
      </c>
      <c r="R11" s="47">
        <f>'A1 - Serviços e demanda'!Q76</f>
        <v>22167</v>
      </c>
      <c r="S11" s="47">
        <f>'A1 - Serviços e demanda'!R76</f>
        <v>22837</v>
      </c>
      <c r="T11" s="47">
        <f>'A1 - Serviços e demanda'!S76</f>
        <v>23522</v>
      </c>
      <c r="U11" s="47">
        <f>'A1 - Serviços e demanda'!T76</f>
        <v>24219</v>
      </c>
      <c r="V11" s="47">
        <f>'A1 - Serviços e demanda'!U76</f>
        <v>24925</v>
      </c>
      <c r="W11" s="47">
        <f>'A1 - Serviços e demanda'!V76</f>
        <v>24925</v>
      </c>
      <c r="X11" s="47">
        <f>'A1 - Serviços e demanda'!W76</f>
        <v>24925</v>
      </c>
      <c r="Y11" s="47">
        <f>'A1 - Serviços e demanda'!X76</f>
        <v>24925</v>
      </c>
      <c r="Z11" s="47">
        <f>'A1 - Serviços e demanda'!Y76</f>
        <v>24925</v>
      </c>
      <c r="AA11" s="47">
        <f>'A1 - Serviços e demanda'!Z76</f>
        <v>24925</v>
      </c>
      <c r="AB11" s="47">
        <f>'A1 - Serviços e demanda'!AA76</f>
        <v>24925</v>
      </c>
      <c r="AC11" s="47">
        <f>'A1 - Serviços e demanda'!AB76</f>
        <v>24925</v>
      </c>
      <c r="AD11" s="47">
        <f>'A1 - Serviços e demanda'!AC76</f>
        <v>24925</v>
      </c>
      <c r="AE11" s="47">
        <f>'A1 - Serviços e demanda'!AD76</f>
        <v>24925</v>
      </c>
      <c r="AF11" s="47">
        <f>'A1 - Serviços e demanda'!AE76</f>
        <v>24925</v>
      </c>
    </row>
    <row r="12" spans="1:32" ht="12" customHeight="1">
      <c r="A12" s="521"/>
      <c r="B12" s="46" t="str">
        <f>'A2 - Preços'!B11</f>
        <v>Silveira - Alimentação</v>
      </c>
      <c r="C12" s="47">
        <f>'A1 - Serviços e demanda'!B77</f>
        <v>0</v>
      </c>
      <c r="D12" s="47">
        <f>'A1 - Serviços e demanda'!C77</f>
        <v>86556</v>
      </c>
      <c r="E12" s="47">
        <f>'A1 - Serviços e demanda'!D77</f>
        <v>89542</v>
      </c>
      <c r="F12" s="47">
        <f>'A1 - Serviços e demanda'!E77</f>
        <v>92433</v>
      </c>
      <c r="G12" s="47">
        <f>'A1 - Serviços e demanda'!F77</f>
        <v>95371</v>
      </c>
      <c r="H12" s="47">
        <f>'A1 - Serviços e demanda'!G77</f>
        <v>98360</v>
      </c>
      <c r="I12" s="47">
        <f>'A1 - Serviços e demanda'!H77</f>
        <v>101434</v>
      </c>
      <c r="J12" s="47">
        <f>'A1 - Serviços e demanda'!I77</f>
        <v>104597</v>
      </c>
      <c r="K12" s="47">
        <f>'A1 - Serviços e demanda'!J77</f>
        <v>107818</v>
      </c>
      <c r="L12" s="47">
        <f>'A1 - Serviços e demanda'!K77</f>
        <v>111098</v>
      </c>
      <c r="M12" s="47">
        <f>'A1 - Serviços e demanda'!L77</f>
        <v>114482</v>
      </c>
      <c r="N12" s="47">
        <f>'A1 - Serviços e demanda'!M77</f>
        <v>117967</v>
      </c>
      <c r="O12" s="47">
        <f>'A1 - Serviços e demanda'!N77</f>
        <v>121563</v>
      </c>
      <c r="P12" s="47">
        <f>'A1 - Serviços e demanda'!O77</f>
        <v>125267</v>
      </c>
      <c r="Q12" s="47">
        <f>'A1 - Serviços e demanda'!P77</f>
        <v>129083</v>
      </c>
      <c r="R12" s="47">
        <f>'A1 - Serviços e demanda'!Q77</f>
        <v>133004</v>
      </c>
      <c r="S12" s="47">
        <f>'A1 - Serviços e demanda'!R77</f>
        <v>137024</v>
      </c>
      <c r="T12" s="47">
        <f>'A1 - Serviços e demanda'!S77</f>
        <v>141130</v>
      </c>
      <c r="U12" s="47">
        <f>'A1 - Serviços e demanda'!T77</f>
        <v>145312</v>
      </c>
      <c r="V12" s="47">
        <f>'A1 - Serviços e demanda'!U77</f>
        <v>149549</v>
      </c>
      <c r="W12" s="47">
        <f>'A1 - Serviços e demanda'!V77</f>
        <v>149549</v>
      </c>
      <c r="X12" s="47">
        <f>'A1 - Serviços e demanda'!W77</f>
        <v>149549</v>
      </c>
      <c r="Y12" s="47">
        <f>'A1 - Serviços e demanda'!X77</f>
        <v>149549</v>
      </c>
      <c r="Z12" s="47">
        <f>'A1 - Serviços e demanda'!Y77</f>
        <v>149549</v>
      </c>
      <c r="AA12" s="47">
        <f>'A1 - Serviços e demanda'!Z77</f>
        <v>149549</v>
      </c>
      <c r="AB12" s="47">
        <f>'A1 - Serviços e demanda'!AA77</f>
        <v>149549</v>
      </c>
      <c r="AC12" s="47">
        <f>'A1 - Serviços e demanda'!AB77</f>
        <v>149549</v>
      </c>
      <c r="AD12" s="47">
        <f>'A1 - Serviços e demanda'!AC77</f>
        <v>149549</v>
      </c>
      <c r="AE12" s="47">
        <f>'A1 - Serviços e demanda'!AD77</f>
        <v>149549</v>
      </c>
      <c r="AF12" s="47">
        <f>'A1 - Serviços e demanda'!AE77</f>
        <v>149549</v>
      </c>
    </row>
    <row r="13" spans="1:32" ht="12" customHeight="1">
      <c r="A13" s="521"/>
      <c r="B13" s="46" t="str">
        <f>'A2 - Preços'!B12</f>
        <v>Silveira - Comércio + Locação + Atividades</v>
      </c>
      <c r="C13" s="47">
        <f>'A1 - Serviços e demanda'!B78</f>
        <v>0</v>
      </c>
      <c r="D13" s="47">
        <f>'A1 - Serviços e demanda'!C78</f>
        <v>14426</v>
      </c>
      <c r="E13" s="47">
        <f>'A1 - Serviços e demanda'!D78</f>
        <v>14924</v>
      </c>
      <c r="F13" s="47">
        <f>'A1 - Serviços e demanda'!E78</f>
        <v>15406</v>
      </c>
      <c r="G13" s="47">
        <f>'A1 - Serviços e demanda'!F78</f>
        <v>15895</v>
      </c>
      <c r="H13" s="47">
        <f>'A1 - Serviços e demanda'!G78</f>
        <v>16393</v>
      </c>
      <c r="I13" s="47">
        <f>'A1 - Serviços e demanda'!H78</f>
        <v>16906</v>
      </c>
      <c r="J13" s="47">
        <f>'A1 - Serviços e demanda'!I78</f>
        <v>17433</v>
      </c>
      <c r="K13" s="47">
        <f>'A1 - Serviços e demanda'!J78</f>
        <v>17970</v>
      </c>
      <c r="L13" s="47">
        <f>'A1 - Serviços e demanda'!K78</f>
        <v>18516</v>
      </c>
      <c r="M13" s="47">
        <f>'A1 - Serviços e demanda'!L78</f>
        <v>19080</v>
      </c>
      <c r="N13" s="47">
        <f>'A1 - Serviços e demanda'!M78</f>
        <v>19661</v>
      </c>
      <c r="O13" s="47">
        <f>'A1 - Serviços e demanda'!N78</f>
        <v>20260</v>
      </c>
      <c r="P13" s="47">
        <f>'A1 - Serviços e demanda'!O78</f>
        <v>20878</v>
      </c>
      <c r="Q13" s="47">
        <f>'A1 - Serviços e demanda'!P78</f>
        <v>21514</v>
      </c>
      <c r="R13" s="47">
        <f>'A1 - Serviços e demanda'!Q78</f>
        <v>22167</v>
      </c>
      <c r="S13" s="47">
        <f>'A1 - Serviços e demanda'!R78</f>
        <v>22837</v>
      </c>
      <c r="T13" s="47">
        <f>'A1 - Serviços e demanda'!S78</f>
        <v>23522</v>
      </c>
      <c r="U13" s="47">
        <f>'A1 - Serviços e demanda'!T78</f>
        <v>24219</v>
      </c>
      <c r="V13" s="47">
        <f>'A1 - Serviços e demanda'!U78</f>
        <v>24925</v>
      </c>
      <c r="W13" s="47">
        <f>'A1 - Serviços e demanda'!V78</f>
        <v>24925</v>
      </c>
      <c r="X13" s="47">
        <f>'A1 - Serviços e demanda'!W78</f>
        <v>24925</v>
      </c>
      <c r="Y13" s="47">
        <f>'A1 - Serviços e demanda'!X78</f>
        <v>24925</v>
      </c>
      <c r="Z13" s="47">
        <f>'A1 - Serviços e demanda'!Y78</f>
        <v>24925</v>
      </c>
      <c r="AA13" s="47">
        <f>'A1 - Serviços e demanda'!Z78</f>
        <v>24925</v>
      </c>
      <c r="AB13" s="47">
        <f>'A1 - Serviços e demanda'!AA78</f>
        <v>24925</v>
      </c>
      <c r="AC13" s="47">
        <f>'A1 - Serviços e demanda'!AB78</f>
        <v>24925</v>
      </c>
      <c r="AD13" s="47">
        <f>'A1 - Serviços e demanda'!AC78</f>
        <v>24925</v>
      </c>
      <c r="AE13" s="47">
        <f>'A1 - Serviços e demanda'!AD78</f>
        <v>24925</v>
      </c>
      <c r="AF13" s="47">
        <f>'A1 - Serviços e demanda'!AE78</f>
        <v>24925</v>
      </c>
    </row>
    <row r="14" spans="1:32" ht="12" customHeight="1">
      <c r="A14" s="521"/>
      <c r="B14" s="46" t="str">
        <f>'A2 - Preços'!B13</f>
        <v>Silveira - Hospedagem</v>
      </c>
      <c r="C14" s="47">
        <f>'A1 - Serviços e demanda'!B79</f>
        <v>0</v>
      </c>
      <c r="D14" s="47">
        <f>'A1 - Serviços e demanda'!C79</f>
        <v>10820</v>
      </c>
      <c r="E14" s="47">
        <f>'A1 - Serviços e demanda'!D79</f>
        <v>11193</v>
      </c>
      <c r="F14" s="47">
        <f>'A1 - Serviços e demanda'!E79</f>
        <v>11554</v>
      </c>
      <c r="G14" s="47">
        <f>'A1 - Serviços e demanda'!F79</f>
        <v>11921</v>
      </c>
      <c r="H14" s="47">
        <f>'A1 - Serviços e demanda'!G79</f>
        <v>12295</v>
      </c>
      <c r="I14" s="47">
        <f>'A1 - Serviços e demanda'!H79</f>
        <v>12679</v>
      </c>
      <c r="J14" s="47">
        <f>'A1 - Serviços e demanda'!I79</f>
        <v>13075</v>
      </c>
      <c r="K14" s="47">
        <f>'A1 - Serviços e demanda'!J79</f>
        <v>13477</v>
      </c>
      <c r="L14" s="47">
        <f>'A1 - Serviços e demanda'!K79</f>
        <v>13887</v>
      </c>
      <c r="M14" s="47">
        <f>'A1 - Serviços e demanda'!L79</f>
        <v>14310</v>
      </c>
      <c r="N14" s="47">
        <f>'A1 - Serviços e demanda'!M79</f>
        <v>14746</v>
      </c>
      <c r="O14" s="47">
        <f>'A1 - Serviços e demanda'!N79</f>
        <v>15195</v>
      </c>
      <c r="P14" s="47">
        <f>'A1 - Serviços e demanda'!O79</f>
        <v>15658</v>
      </c>
      <c r="Q14" s="47">
        <f>'A1 - Serviços e demanda'!P79</f>
        <v>16135</v>
      </c>
      <c r="R14" s="47">
        <f>'A1 - Serviços e demanda'!Q79</f>
        <v>16625</v>
      </c>
      <c r="S14" s="47">
        <f>'A1 - Serviços e demanda'!R79</f>
        <v>17128</v>
      </c>
      <c r="T14" s="47">
        <f>'A1 - Serviços e demanda'!S79</f>
        <v>17641</v>
      </c>
      <c r="U14" s="47">
        <f>'A1 - Serviços e demanda'!T79</f>
        <v>18164</v>
      </c>
      <c r="V14" s="47">
        <f>'A1 - Serviços e demanda'!U79</f>
        <v>18694</v>
      </c>
      <c r="W14" s="47">
        <f>'A1 - Serviços e demanda'!V79</f>
        <v>18694</v>
      </c>
      <c r="X14" s="47">
        <f>'A1 - Serviços e demanda'!W79</f>
        <v>18694</v>
      </c>
      <c r="Y14" s="47">
        <f>'A1 - Serviços e demanda'!X79</f>
        <v>18694</v>
      </c>
      <c r="Z14" s="47">
        <f>'A1 - Serviços e demanda'!Y79</f>
        <v>18694</v>
      </c>
      <c r="AA14" s="47">
        <f>'A1 - Serviços e demanda'!Z79</f>
        <v>18694</v>
      </c>
      <c r="AB14" s="47">
        <f>'A1 - Serviços e demanda'!AA79</f>
        <v>18694</v>
      </c>
      <c r="AC14" s="47">
        <f>'A1 - Serviços e demanda'!AB79</f>
        <v>18694</v>
      </c>
      <c r="AD14" s="47">
        <f>'A1 - Serviços e demanda'!AC79</f>
        <v>18694</v>
      </c>
      <c r="AE14" s="47">
        <f>'A1 - Serviços e demanda'!AD79</f>
        <v>18694</v>
      </c>
      <c r="AF14" s="47">
        <f>'A1 - Serviços e demanda'!AE79</f>
        <v>18694</v>
      </c>
    </row>
    <row r="15" spans="1:32" ht="12" customHeight="1">
      <c r="A15" s="521"/>
      <c r="B15" s="46" t="str">
        <f>'A2 - Preços'!B14</f>
        <v>Pedra Furada - Alimentação</v>
      </c>
      <c r="C15" s="47">
        <f>'A1 - Serviços e demanda'!B80</f>
        <v>0</v>
      </c>
      <c r="D15" s="47">
        <f>'A1 - Serviços e demanda'!C80</f>
        <v>86556</v>
      </c>
      <c r="E15" s="47">
        <f>'A1 - Serviços e demanda'!D80</f>
        <v>89542</v>
      </c>
      <c r="F15" s="47">
        <f>'A1 - Serviços e demanda'!E80</f>
        <v>92433</v>
      </c>
      <c r="G15" s="47">
        <f>'A1 - Serviços e demanda'!F80</f>
        <v>95371</v>
      </c>
      <c r="H15" s="47">
        <f>'A1 - Serviços e demanda'!G80</f>
        <v>98360</v>
      </c>
      <c r="I15" s="47">
        <f>'A1 - Serviços e demanda'!H80</f>
        <v>101434</v>
      </c>
      <c r="J15" s="47">
        <f>'A1 - Serviços e demanda'!I80</f>
        <v>104597</v>
      </c>
      <c r="K15" s="47">
        <f>'A1 - Serviços e demanda'!J80</f>
        <v>107818</v>
      </c>
      <c r="L15" s="47">
        <f>'A1 - Serviços e demanda'!K80</f>
        <v>111098</v>
      </c>
      <c r="M15" s="47">
        <f>'A1 - Serviços e demanda'!L80</f>
        <v>114482</v>
      </c>
      <c r="N15" s="47">
        <f>'A1 - Serviços e demanda'!M80</f>
        <v>117967</v>
      </c>
      <c r="O15" s="47">
        <f>'A1 - Serviços e demanda'!N80</f>
        <v>121563</v>
      </c>
      <c r="P15" s="47">
        <f>'A1 - Serviços e demanda'!O80</f>
        <v>125267</v>
      </c>
      <c r="Q15" s="47">
        <f>'A1 - Serviços e demanda'!P80</f>
        <v>129083</v>
      </c>
      <c r="R15" s="47">
        <f>'A1 - Serviços e demanda'!Q80</f>
        <v>133004</v>
      </c>
      <c r="S15" s="47">
        <f>'A1 - Serviços e demanda'!R80</f>
        <v>137024</v>
      </c>
      <c r="T15" s="47">
        <f>'A1 - Serviços e demanda'!S80</f>
        <v>141130</v>
      </c>
      <c r="U15" s="47">
        <f>'A1 - Serviços e demanda'!T80</f>
        <v>145312</v>
      </c>
      <c r="V15" s="47">
        <f>'A1 - Serviços e demanda'!U80</f>
        <v>149549</v>
      </c>
      <c r="W15" s="47">
        <f>'A1 - Serviços e demanda'!V80</f>
        <v>149549</v>
      </c>
      <c r="X15" s="47">
        <f>'A1 - Serviços e demanda'!W80</f>
        <v>149549</v>
      </c>
      <c r="Y15" s="47">
        <f>'A1 - Serviços e demanda'!X80</f>
        <v>149549</v>
      </c>
      <c r="Z15" s="47">
        <f>'A1 - Serviços e demanda'!Y80</f>
        <v>149549</v>
      </c>
      <c r="AA15" s="47">
        <f>'A1 - Serviços e demanda'!Z80</f>
        <v>149549</v>
      </c>
      <c r="AB15" s="47">
        <f>'A1 - Serviços e demanda'!AA80</f>
        <v>149549</v>
      </c>
      <c r="AC15" s="47">
        <f>'A1 - Serviços e demanda'!AB80</f>
        <v>149549</v>
      </c>
      <c r="AD15" s="47">
        <f>'A1 - Serviços e demanda'!AC80</f>
        <v>149549</v>
      </c>
      <c r="AE15" s="47">
        <f>'A1 - Serviços e demanda'!AD80</f>
        <v>149549</v>
      </c>
      <c r="AF15" s="47">
        <f>'A1 - Serviços e demanda'!AE80</f>
        <v>149549</v>
      </c>
    </row>
    <row r="16" spans="1:32" ht="12" customHeight="1">
      <c r="A16" s="521"/>
      <c r="B16" s="46" t="str">
        <f>'A2 - Preços'!B15</f>
        <v>Pedra Furada - Comércio</v>
      </c>
      <c r="C16" s="47">
        <f>'A1 - Serviços e demanda'!B81</f>
        <v>0</v>
      </c>
      <c r="D16" s="47">
        <f>'A1 - Serviços e demanda'!C81</f>
        <v>14426</v>
      </c>
      <c r="E16" s="47">
        <f>'A1 - Serviços e demanda'!D81</f>
        <v>14924</v>
      </c>
      <c r="F16" s="47">
        <f>'A1 - Serviços e demanda'!E81</f>
        <v>15406</v>
      </c>
      <c r="G16" s="47">
        <f>'A1 - Serviços e demanda'!F81</f>
        <v>15895</v>
      </c>
      <c r="H16" s="47">
        <f>'A1 - Serviços e demanda'!G81</f>
        <v>16393</v>
      </c>
      <c r="I16" s="47">
        <f>'A1 - Serviços e demanda'!H81</f>
        <v>16906</v>
      </c>
      <c r="J16" s="47">
        <f>'A1 - Serviços e demanda'!I81</f>
        <v>17433</v>
      </c>
      <c r="K16" s="47">
        <f>'A1 - Serviços e demanda'!J81</f>
        <v>17970</v>
      </c>
      <c r="L16" s="47">
        <f>'A1 - Serviços e demanda'!K81</f>
        <v>18516</v>
      </c>
      <c r="M16" s="47">
        <f>'A1 - Serviços e demanda'!L81</f>
        <v>19080</v>
      </c>
      <c r="N16" s="47">
        <f>'A1 - Serviços e demanda'!M81</f>
        <v>19661</v>
      </c>
      <c r="O16" s="47">
        <f>'A1 - Serviços e demanda'!N81</f>
        <v>20260</v>
      </c>
      <c r="P16" s="47">
        <f>'A1 - Serviços e demanda'!O81</f>
        <v>20878</v>
      </c>
      <c r="Q16" s="47">
        <f>'A1 - Serviços e demanda'!P81</f>
        <v>21514</v>
      </c>
      <c r="R16" s="47">
        <f>'A1 - Serviços e demanda'!Q81</f>
        <v>22167</v>
      </c>
      <c r="S16" s="47">
        <f>'A1 - Serviços e demanda'!R81</f>
        <v>22837</v>
      </c>
      <c r="T16" s="47">
        <f>'A1 - Serviços e demanda'!S81</f>
        <v>23522</v>
      </c>
      <c r="U16" s="47">
        <f>'A1 - Serviços e demanda'!T81</f>
        <v>24219</v>
      </c>
      <c r="V16" s="47">
        <f>'A1 - Serviços e demanda'!U81</f>
        <v>24925</v>
      </c>
      <c r="W16" s="47">
        <f>'A1 - Serviços e demanda'!V81</f>
        <v>24925</v>
      </c>
      <c r="X16" s="47">
        <f>'A1 - Serviços e demanda'!W81</f>
        <v>24925</v>
      </c>
      <c r="Y16" s="47">
        <f>'A1 - Serviços e demanda'!X81</f>
        <v>24925</v>
      </c>
      <c r="Z16" s="47">
        <f>'A1 - Serviços e demanda'!Y81</f>
        <v>24925</v>
      </c>
      <c r="AA16" s="47">
        <f>'A1 - Serviços e demanda'!Z81</f>
        <v>24925</v>
      </c>
      <c r="AB16" s="47">
        <f>'A1 - Serviços e demanda'!AA81</f>
        <v>24925</v>
      </c>
      <c r="AC16" s="47">
        <f>'A1 - Serviços e demanda'!AB81</f>
        <v>24925</v>
      </c>
      <c r="AD16" s="47">
        <f>'A1 - Serviços e demanda'!AC81</f>
        <v>24925</v>
      </c>
      <c r="AE16" s="47">
        <f>'A1 - Serviços e demanda'!AD81</f>
        <v>24925</v>
      </c>
      <c r="AF16" s="47">
        <f>'A1 - Serviços e demanda'!AE81</f>
        <v>24925</v>
      </c>
    </row>
    <row r="17" spans="1:32" ht="12" customHeight="1">
      <c r="A17" s="521"/>
      <c r="B17" s="46" t="str">
        <f>'A2 - Preços'!B16</f>
        <v>Serrote - Alimentação</v>
      </c>
      <c r="C17" s="47">
        <f>'A1 - Serviços e demanda'!B82</f>
        <v>0</v>
      </c>
      <c r="D17" s="47">
        <f>'A1 - Serviços e demanda'!C82</f>
        <v>86556</v>
      </c>
      <c r="E17" s="47">
        <f>'A1 - Serviços e demanda'!D82</f>
        <v>89542</v>
      </c>
      <c r="F17" s="47">
        <f>'A1 - Serviços e demanda'!E82</f>
        <v>92433</v>
      </c>
      <c r="G17" s="47">
        <f>'A1 - Serviços e demanda'!F82</f>
        <v>95371</v>
      </c>
      <c r="H17" s="47">
        <f>'A1 - Serviços e demanda'!G82</f>
        <v>98360</v>
      </c>
      <c r="I17" s="47">
        <f>'A1 - Serviços e demanda'!H82</f>
        <v>101434</v>
      </c>
      <c r="J17" s="47">
        <f>'A1 - Serviços e demanda'!I82</f>
        <v>104597</v>
      </c>
      <c r="K17" s="47">
        <f>'A1 - Serviços e demanda'!J82</f>
        <v>107818</v>
      </c>
      <c r="L17" s="47">
        <f>'A1 - Serviços e demanda'!K82</f>
        <v>111098</v>
      </c>
      <c r="M17" s="47">
        <f>'A1 - Serviços e demanda'!L82</f>
        <v>114482</v>
      </c>
      <c r="N17" s="47">
        <f>'A1 - Serviços e demanda'!M82</f>
        <v>117967</v>
      </c>
      <c r="O17" s="47">
        <f>'A1 - Serviços e demanda'!N82</f>
        <v>121563</v>
      </c>
      <c r="P17" s="47">
        <f>'A1 - Serviços e demanda'!O82</f>
        <v>125267</v>
      </c>
      <c r="Q17" s="47">
        <f>'A1 - Serviços e demanda'!P82</f>
        <v>129083</v>
      </c>
      <c r="R17" s="47">
        <f>'A1 - Serviços e demanda'!Q82</f>
        <v>133004</v>
      </c>
      <c r="S17" s="47">
        <f>'A1 - Serviços e demanda'!R82</f>
        <v>137024</v>
      </c>
      <c r="T17" s="47">
        <f>'A1 - Serviços e demanda'!S82</f>
        <v>141130</v>
      </c>
      <c r="U17" s="47">
        <f>'A1 - Serviços e demanda'!T82</f>
        <v>145312</v>
      </c>
      <c r="V17" s="47">
        <f>'A1 - Serviços e demanda'!U82</f>
        <v>149549</v>
      </c>
      <c r="W17" s="47">
        <f>'A1 - Serviços e demanda'!V82</f>
        <v>149549</v>
      </c>
      <c r="X17" s="47">
        <f>'A1 - Serviços e demanda'!W82</f>
        <v>149549</v>
      </c>
      <c r="Y17" s="47">
        <f>'A1 - Serviços e demanda'!X82</f>
        <v>149549</v>
      </c>
      <c r="Z17" s="47">
        <f>'A1 - Serviços e demanda'!Y82</f>
        <v>149549</v>
      </c>
      <c r="AA17" s="47">
        <f>'A1 - Serviços e demanda'!Z82</f>
        <v>149549</v>
      </c>
      <c r="AB17" s="47">
        <f>'A1 - Serviços e demanda'!AA82</f>
        <v>149549</v>
      </c>
      <c r="AC17" s="47">
        <f>'A1 - Serviços e demanda'!AB82</f>
        <v>149549</v>
      </c>
      <c r="AD17" s="47">
        <f>'A1 - Serviços e demanda'!AC82</f>
        <v>149549</v>
      </c>
      <c r="AE17" s="47">
        <f>'A1 - Serviços e demanda'!AD82</f>
        <v>149549</v>
      </c>
      <c r="AF17" s="47">
        <f>'A1 - Serviços e demanda'!AE82</f>
        <v>149549</v>
      </c>
    </row>
    <row r="18" spans="1:32" ht="12" customHeight="1">
      <c r="A18" s="521"/>
      <c r="B18" s="46" t="str">
        <f>'A2 - Preços'!B17</f>
        <v>Serrote - Comércio</v>
      </c>
      <c r="C18" s="47">
        <f>'A1 - Serviços e demanda'!B83</f>
        <v>0</v>
      </c>
      <c r="D18" s="47">
        <f>'A1 - Serviços e demanda'!C83</f>
        <v>14426</v>
      </c>
      <c r="E18" s="47">
        <f>'A1 - Serviços e demanda'!D83</f>
        <v>14924</v>
      </c>
      <c r="F18" s="47">
        <f>'A1 - Serviços e demanda'!E83</f>
        <v>15406</v>
      </c>
      <c r="G18" s="47">
        <f>'A1 - Serviços e demanda'!F83</f>
        <v>15895</v>
      </c>
      <c r="H18" s="47">
        <f>'A1 - Serviços e demanda'!G83</f>
        <v>16393</v>
      </c>
      <c r="I18" s="47">
        <f>'A1 - Serviços e demanda'!H83</f>
        <v>16906</v>
      </c>
      <c r="J18" s="47">
        <f>'A1 - Serviços e demanda'!I83</f>
        <v>17433</v>
      </c>
      <c r="K18" s="47">
        <f>'A1 - Serviços e demanda'!J83</f>
        <v>17970</v>
      </c>
      <c r="L18" s="47">
        <f>'A1 - Serviços e demanda'!K83</f>
        <v>18516</v>
      </c>
      <c r="M18" s="47">
        <f>'A1 - Serviços e demanda'!L83</f>
        <v>19080</v>
      </c>
      <c r="N18" s="47">
        <f>'A1 - Serviços e demanda'!M83</f>
        <v>19661</v>
      </c>
      <c r="O18" s="47">
        <f>'A1 - Serviços e demanda'!N83</f>
        <v>20260</v>
      </c>
      <c r="P18" s="47">
        <f>'A1 - Serviços e demanda'!O83</f>
        <v>20878</v>
      </c>
      <c r="Q18" s="47">
        <f>'A1 - Serviços e demanda'!P83</f>
        <v>21514</v>
      </c>
      <c r="R18" s="47">
        <f>'A1 - Serviços e demanda'!Q83</f>
        <v>22167</v>
      </c>
      <c r="S18" s="47">
        <f>'A1 - Serviços e demanda'!R83</f>
        <v>22837</v>
      </c>
      <c r="T18" s="47">
        <f>'A1 - Serviços e demanda'!S83</f>
        <v>23522</v>
      </c>
      <c r="U18" s="47">
        <f>'A1 - Serviços e demanda'!T83</f>
        <v>24219</v>
      </c>
      <c r="V18" s="47">
        <f>'A1 - Serviços e demanda'!U83</f>
        <v>24925</v>
      </c>
      <c r="W18" s="47">
        <f>'A1 - Serviços e demanda'!V83</f>
        <v>24925</v>
      </c>
      <c r="X18" s="47">
        <f>'A1 - Serviços e demanda'!W83</f>
        <v>24925</v>
      </c>
      <c r="Y18" s="47">
        <f>'A1 - Serviços e demanda'!X83</f>
        <v>24925</v>
      </c>
      <c r="Z18" s="47">
        <f>'A1 - Serviços e demanda'!Y83</f>
        <v>24925</v>
      </c>
      <c r="AA18" s="47">
        <f>'A1 - Serviços e demanda'!Z83</f>
        <v>24925</v>
      </c>
      <c r="AB18" s="47">
        <f>'A1 - Serviços e demanda'!AA83</f>
        <v>24925</v>
      </c>
      <c r="AC18" s="47">
        <f>'A1 - Serviços e demanda'!AB83</f>
        <v>24925</v>
      </c>
      <c r="AD18" s="47">
        <f>'A1 - Serviços e demanda'!AC83</f>
        <v>24925</v>
      </c>
      <c r="AE18" s="47">
        <f>'A1 - Serviços e demanda'!AD83</f>
        <v>24925</v>
      </c>
      <c r="AF18" s="47">
        <f>'A1 - Serviços e demanda'!AE83</f>
        <v>24925</v>
      </c>
    </row>
    <row r="19" spans="1:32" ht="12" customHeight="1">
      <c r="A19" s="521"/>
      <c r="B19" s="46" t="str">
        <f>'A2 - Preços'!B18</f>
        <v>Paraíso - Alimentação</v>
      </c>
      <c r="C19" s="47">
        <f>'A1 - Serviços e demanda'!B84</f>
        <v>0</v>
      </c>
      <c r="D19" s="47">
        <f>'A1 - Serviços e demanda'!C84</f>
        <v>86556</v>
      </c>
      <c r="E19" s="47">
        <f>'A1 - Serviços e demanda'!D84</f>
        <v>89542</v>
      </c>
      <c r="F19" s="47">
        <f>'A1 - Serviços e demanda'!E84</f>
        <v>92433</v>
      </c>
      <c r="G19" s="47">
        <f>'A1 - Serviços e demanda'!F84</f>
        <v>95371</v>
      </c>
      <c r="H19" s="47">
        <f>'A1 - Serviços e demanda'!G84</f>
        <v>98360</v>
      </c>
      <c r="I19" s="47">
        <f>'A1 - Serviços e demanda'!H84</f>
        <v>101434</v>
      </c>
      <c r="J19" s="47">
        <f>'A1 - Serviços e demanda'!I84</f>
        <v>104597</v>
      </c>
      <c r="K19" s="47">
        <f>'A1 - Serviços e demanda'!J84</f>
        <v>107818</v>
      </c>
      <c r="L19" s="47">
        <f>'A1 - Serviços e demanda'!K84</f>
        <v>111098</v>
      </c>
      <c r="M19" s="47">
        <f>'A1 - Serviços e demanda'!L84</f>
        <v>114482</v>
      </c>
      <c r="N19" s="47">
        <f>'A1 - Serviços e demanda'!M84</f>
        <v>117967</v>
      </c>
      <c r="O19" s="47">
        <f>'A1 - Serviços e demanda'!N84</f>
        <v>121563</v>
      </c>
      <c r="P19" s="47">
        <f>'A1 - Serviços e demanda'!O84</f>
        <v>125267</v>
      </c>
      <c r="Q19" s="47">
        <f>'A1 - Serviços e demanda'!P84</f>
        <v>129083</v>
      </c>
      <c r="R19" s="47">
        <f>'A1 - Serviços e demanda'!Q84</f>
        <v>133004</v>
      </c>
      <c r="S19" s="47">
        <f>'A1 - Serviços e demanda'!R84</f>
        <v>137024</v>
      </c>
      <c r="T19" s="47">
        <f>'A1 - Serviços e demanda'!S84</f>
        <v>141130</v>
      </c>
      <c r="U19" s="47">
        <f>'A1 - Serviços e demanda'!T84</f>
        <v>145312</v>
      </c>
      <c r="V19" s="47">
        <f>'A1 - Serviços e demanda'!U84</f>
        <v>149549</v>
      </c>
      <c r="W19" s="47">
        <f>'A1 - Serviços e demanda'!V84</f>
        <v>149549</v>
      </c>
      <c r="X19" s="47">
        <f>'A1 - Serviços e demanda'!W84</f>
        <v>149549</v>
      </c>
      <c r="Y19" s="47">
        <f>'A1 - Serviços e demanda'!X84</f>
        <v>149549</v>
      </c>
      <c r="Z19" s="47">
        <f>'A1 - Serviços e demanda'!Y84</f>
        <v>149549</v>
      </c>
      <c r="AA19" s="47">
        <f>'A1 - Serviços e demanda'!Z84</f>
        <v>149549</v>
      </c>
      <c r="AB19" s="47">
        <f>'A1 - Serviços e demanda'!AA84</f>
        <v>149549</v>
      </c>
      <c r="AC19" s="47">
        <f>'A1 - Serviços e demanda'!AB84</f>
        <v>149549</v>
      </c>
      <c r="AD19" s="47">
        <f>'A1 - Serviços e demanda'!AC84</f>
        <v>149549</v>
      </c>
      <c r="AE19" s="47">
        <f>'A1 - Serviços e demanda'!AD84</f>
        <v>149549</v>
      </c>
      <c r="AF19" s="47">
        <f>'A1 - Serviços e demanda'!AE84</f>
        <v>149549</v>
      </c>
    </row>
    <row r="20" spans="1:32" ht="12" customHeight="1">
      <c r="A20" s="521"/>
      <c r="B20" s="46" t="str">
        <f>'A2 - Preços'!B19</f>
        <v>Paraíso - Comércio + Locação + Atividades</v>
      </c>
      <c r="C20" s="47">
        <f>'A1 - Serviços e demanda'!B85</f>
        <v>0</v>
      </c>
      <c r="D20" s="47">
        <f>'A1 - Serviços e demanda'!C85</f>
        <v>14426</v>
      </c>
      <c r="E20" s="47">
        <f>'A1 - Serviços e demanda'!D85</f>
        <v>14924</v>
      </c>
      <c r="F20" s="47">
        <f>'A1 - Serviços e demanda'!E85</f>
        <v>15406</v>
      </c>
      <c r="G20" s="47">
        <f>'A1 - Serviços e demanda'!F85</f>
        <v>15895</v>
      </c>
      <c r="H20" s="47">
        <f>'A1 - Serviços e demanda'!G85</f>
        <v>16393</v>
      </c>
      <c r="I20" s="47">
        <f>'A1 - Serviços e demanda'!H85</f>
        <v>16906</v>
      </c>
      <c r="J20" s="47">
        <f>'A1 - Serviços e demanda'!I85</f>
        <v>17433</v>
      </c>
      <c r="K20" s="47">
        <f>'A1 - Serviços e demanda'!J85</f>
        <v>17970</v>
      </c>
      <c r="L20" s="47">
        <f>'A1 - Serviços e demanda'!K85</f>
        <v>18516</v>
      </c>
      <c r="M20" s="47">
        <f>'A1 - Serviços e demanda'!L85</f>
        <v>19080</v>
      </c>
      <c r="N20" s="47">
        <f>'A1 - Serviços e demanda'!M85</f>
        <v>19661</v>
      </c>
      <c r="O20" s="47">
        <f>'A1 - Serviços e demanda'!N85</f>
        <v>20260</v>
      </c>
      <c r="P20" s="47">
        <f>'A1 - Serviços e demanda'!O85</f>
        <v>20878</v>
      </c>
      <c r="Q20" s="47">
        <f>'A1 - Serviços e demanda'!P85</f>
        <v>21514</v>
      </c>
      <c r="R20" s="47">
        <f>'A1 - Serviços e demanda'!Q85</f>
        <v>22167</v>
      </c>
      <c r="S20" s="47">
        <f>'A1 - Serviços e demanda'!R85</f>
        <v>22837</v>
      </c>
      <c r="T20" s="47">
        <f>'A1 - Serviços e demanda'!S85</f>
        <v>23522</v>
      </c>
      <c r="U20" s="47">
        <f>'A1 - Serviços e demanda'!T85</f>
        <v>24219</v>
      </c>
      <c r="V20" s="47">
        <f>'A1 - Serviços e demanda'!U85</f>
        <v>24925</v>
      </c>
      <c r="W20" s="47">
        <f>'A1 - Serviços e demanda'!V85</f>
        <v>24925</v>
      </c>
      <c r="X20" s="47">
        <f>'A1 - Serviços e demanda'!W85</f>
        <v>24925</v>
      </c>
      <c r="Y20" s="47">
        <f>'A1 - Serviços e demanda'!X85</f>
        <v>24925</v>
      </c>
      <c r="Z20" s="47">
        <f>'A1 - Serviços e demanda'!Y85</f>
        <v>24925</v>
      </c>
      <c r="AA20" s="47">
        <f>'A1 - Serviços e demanda'!Z85</f>
        <v>24925</v>
      </c>
      <c r="AB20" s="47">
        <f>'A1 - Serviços e demanda'!AA85</f>
        <v>24925</v>
      </c>
      <c r="AC20" s="47">
        <f>'A1 - Serviços e demanda'!AB85</f>
        <v>24925</v>
      </c>
      <c r="AD20" s="47">
        <f>'A1 - Serviços e demanda'!AC85</f>
        <v>24925</v>
      </c>
      <c r="AE20" s="47">
        <f>'A1 - Serviços e demanda'!AD85</f>
        <v>24925</v>
      </c>
      <c r="AF20" s="47">
        <f>'A1 - Serviços e demanda'!AE85</f>
        <v>24925</v>
      </c>
    </row>
    <row r="21" spans="1:32" ht="12" customHeight="1">
      <c r="A21" s="521"/>
      <c r="B21" s="46" t="str">
        <f>'A2 - Preços'!B20</f>
        <v>Geral - Unidade móvel - Alimentação</v>
      </c>
      <c r="C21" s="47">
        <f>'A1 - Serviços e demanda'!B86</f>
        <v>0</v>
      </c>
      <c r="D21" s="47">
        <f>'A1 - Serviços e demanda'!C86</f>
        <v>21639</v>
      </c>
      <c r="E21" s="47">
        <f>'A1 - Serviços e demanda'!D86</f>
        <v>22385</v>
      </c>
      <c r="F21" s="47">
        <f>'A1 - Serviços e demanda'!E86</f>
        <v>23108</v>
      </c>
      <c r="G21" s="47">
        <f>'A1 - Serviços e demanda'!F86</f>
        <v>23843</v>
      </c>
      <c r="H21" s="47">
        <f>'A1 - Serviços e demanda'!G86</f>
        <v>24590</v>
      </c>
      <c r="I21" s="47">
        <f>'A1 - Serviços e demanda'!H86</f>
        <v>25358</v>
      </c>
      <c r="J21" s="47">
        <f>'A1 - Serviços e demanda'!I86</f>
        <v>26149</v>
      </c>
      <c r="K21" s="47">
        <f>'A1 - Serviços e demanda'!J86</f>
        <v>26954</v>
      </c>
      <c r="L21" s="47">
        <f>'A1 - Serviços e demanda'!K86</f>
        <v>27775</v>
      </c>
      <c r="M21" s="47">
        <f>'A1 - Serviços e demanda'!L86</f>
        <v>28620</v>
      </c>
      <c r="N21" s="47">
        <f>'A1 - Serviços e demanda'!M86</f>
        <v>29492</v>
      </c>
      <c r="O21" s="47">
        <f>'A1 - Serviços e demanda'!N86</f>
        <v>30391</v>
      </c>
      <c r="P21" s="47">
        <f>'A1 - Serviços e demanda'!O86</f>
        <v>31317</v>
      </c>
      <c r="Q21" s="47">
        <f>'A1 - Serviços e demanda'!P86</f>
        <v>32271</v>
      </c>
      <c r="R21" s="47">
        <f>'A1 - Serviços e demanda'!Q86</f>
        <v>33251</v>
      </c>
      <c r="S21" s="47">
        <f>'A1 - Serviços e demanda'!R86</f>
        <v>34256</v>
      </c>
      <c r="T21" s="47">
        <f>'A1 - Serviços e demanda'!S86</f>
        <v>35283</v>
      </c>
      <c r="U21" s="47">
        <f>'A1 - Serviços e demanda'!T86</f>
        <v>36328</v>
      </c>
      <c r="V21" s="47">
        <f>'A1 - Serviços e demanda'!U86</f>
        <v>37387</v>
      </c>
      <c r="W21" s="47">
        <f>'A1 - Serviços e demanda'!V86</f>
        <v>37387</v>
      </c>
      <c r="X21" s="47">
        <f>'A1 - Serviços e demanda'!W86</f>
        <v>37387</v>
      </c>
      <c r="Y21" s="47">
        <f>'A1 - Serviços e demanda'!X86</f>
        <v>37387</v>
      </c>
      <c r="Z21" s="47">
        <f>'A1 - Serviços e demanda'!Y86</f>
        <v>37387</v>
      </c>
      <c r="AA21" s="47">
        <f>'A1 - Serviços e demanda'!Z86</f>
        <v>37387</v>
      </c>
      <c r="AB21" s="47">
        <f>'A1 - Serviços e demanda'!AA86</f>
        <v>37387</v>
      </c>
      <c r="AC21" s="47">
        <f>'A1 - Serviços e demanda'!AB86</f>
        <v>37387</v>
      </c>
      <c r="AD21" s="47">
        <f>'A1 - Serviços e demanda'!AC86</f>
        <v>37387</v>
      </c>
      <c r="AE21" s="47">
        <f>'A1 - Serviços e demanda'!AD86</f>
        <v>37387</v>
      </c>
      <c r="AF21" s="47">
        <f>'A1 - Serviços e demanda'!AE86</f>
        <v>37387</v>
      </c>
    </row>
    <row r="22" spans="1:32" ht="12" customHeight="1">
      <c r="A22" s="521"/>
      <c r="B22" s="46" t="str">
        <f>'A2 - Preços'!B21</f>
        <v>Mangue Seco - Estacionamento</v>
      </c>
      <c r="C22" s="47">
        <f>'A1 - Serviços e demanda'!B87</f>
        <v>0</v>
      </c>
      <c r="D22" s="47">
        <f>'A1 - Serviços e demanda'!C87</f>
        <v>2705</v>
      </c>
      <c r="E22" s="47">
        <f>'A1 - Serviços e demanda'!D87</f>
        <v>2798</v>
      </c>
      <c r="F22" s="47">
        <f>'A1 - Serviços e demanda'!E87</f>
        <v>2889</v>
      </c>
      <c r="G22" s="47">
        <f>'A1 - Serviços e demanda'!F87</f>
        <v>2980</v>
      </c>
      <c r="H22" s="47">
        <f>'A1 - Serviços e demanda'!G87</f>
        <v>3074</v>
      </c>
      <c r="I22" s="47">
        <f>'A1 - Serviços e demanda'!H87</f>
        <v>3170</v>
      </c>
      <c r="J22" s="47">
        <f>'A1 - Serviços e demanda'!I87</f>
        <v>3269</v>
      </c>
      <c r="K22" s="47">
        <f>'A1 - Serviços e demanda'!J87</f>
        <v>3369</v>
      </c>
      <c r="L22" s="47">
        <f>'A1 - Serviços e demanda'!K87</f>
        <v>3472</v>
      </c>
      <c r="M22" s="47">
        <f>'A1 - Serviços e demanda'!L87</f>
        <v>3578</v>
      </c>
      <c r="N22" s="47">
        <f>'A1 - Serviços e demanda'!M87</f>
        <v>3686</v>
      </c>
      <c r="O22" s="47">
        <f>'A1 - Serviços e demanda'!N87</f>
        <v>3799</v>
      </c>
      <c r="P22" s="47">
        <f>'A1 - Serviços e demanda'!O87</f>
        <v>3915</v>
      </c>
      <c r="Q22" s="47">
        <f>'A1 - Serviços e demanda'!P87</f>
        <v>4034</v>
      </c>
      <c r="R22" s="47">
        <f>'A1 - Serviços e demanda'!Q87</f>
        <v>4156</v>
      </c>
      <c r="S22" s="47">
        <f>'A1 - Serviços e demanda'!R87</f>
        <v>4282</v>
      </c>
      <c r="T22" s="47">
        <f>'A1 - Serviços e demanda'!S87</f>
        <v>4410</v>
      </c>
      <c r="U22" s="47">
        <f>'A1 - Serviços e demanda'!T87</f>
        <v>4541</v>
      </c>
      <c r="V22" s="47">
        <f>'A1 - Serviços e demanda'!U87</f>
        <v>4673</v>
      </c>
      <c r="W22" s="47">
        <f>'A1 - Serviços e demanda'!V87</f>
        <v>4673</v>
      </c>
      <c r="X22" s="47">
        <f>'A1 - Serviços e demanda'!W87</f>
        <v>4673</v>
      </c>
      <c r="Y22" s="47">
        <f>'A1 - Serviços e demanda'!X87</f>
        <v>4673</v>
      </c>
      <c r="Z22" s="47">
        <f>'A1 - Serviços e demanda'!Y87</f>
        <v>4673</v>
      </c>
      <c r="AA22" s="47">
        <f>'A1 - Serviços e demanda'!Z87</f>
        <v>4673</v>
      </c>
      <c r="AB22" s="47">
        <f>'A1 - Serviços e demanda'!AA87</f>
        <v>4673</v>
      </c>
      <c r="AC22" s="47">
        <f>'A1 - Serviços e demanda'!AB87</f>
        <v>4673</v>
      </c>
      <c r="AD22" s="47">
        <f>'A1 - Serviços e demanda'!AC87</f>
        <v>4673</v>
      </c>
      <c r="AE22" s="47">
        <f>'A1 - Serviços e demanda'!AD87</f>
        <v>4673</v>
      </c>
      <c r="AF22" s="47">
        <f>'A1 - Serviços e demanda'!AE87</f>
        <v>4673</v>
      </c>
    </row>
    <row r="23" spans="1:32" ht="12" customHeight="1">
      <c r="A23" s="521"/>
      <c r="B23" s="46" t="str">
        <f>'A2 - Preços'!B22</f>
        <v>Lagoa Grande - Estacionamento</v>
      </c>
      <c r="C23" s="47">
        <f>'A1 - Serviços e demanda'!B88</f>
        <v>0</v>
      </c>
      <c r="D23" s="47">
        <f>'A1 - Serviços e demanda'!C88</f>
        <v>2705</v>
      </c>
      <c r="E23" s="47">
        <f>'A1 - Serviços e demanda'!D88</f>
        <v>2798</v>
      </c>
      <c r="F23" s="47">
        <f>'A1 - Serviços e demanda'!E88</f>
        <v>2889</v>
      </c>
      <c r="G23" s="47">
        <f>'A1 - Serviços e demanda'!F88</f>
        <v>2980</v>
      </c>
      <c r="H23" s="47">
        <f>'A1 - Serviços e demanda'!G88</f>
        <v>3074</v>
      </c>
      <c r="I23" s="47">
        <f>'A1 - Serviços e demanda'!H88</f>
        <v>3170</v>
      </c>
      <c r="J23" s="47">
        <f>'A1 - Serviços e demanda'!I88</f>
        <v>3269</v>
      </c>
      <c r="K23" s="47">
        <f>'A1 - Serviços e demanda'!J88</f>
        <v>3369</v>
      </c>
      <c r="L23" s="47">
        <f>'A1 - Serviços e demanda'!K88</f>
        <v>3472</v>
      </c>
      <c r="M23" s="47">
        <f>'A1 - Serviços e demanda'!L88</f>
        <v>3578</v>
      </c>
      <c r="N23" s="47">
        <f>'A1 - Serviços e demanda'!M88</f>
        <v>3686</v>
      </c>
      <c r="O23" s="47">
        <f>'A1 - Serviços e demanda'!N88</f>
        <v>3799</v>
      </c>
      <c r="P23" s="47">
        <f>'A1 - Serviços e demanda'!O88</f>
        <v>3915</v>
      </c>
      <c r="Q23" s="47">
        <f>'A1 - Serviços e demanda'!P88</f>
        <v>4034</v>
      </c>
      <c r="R23" s="47">
        <f>'A1 - Serviços e demanda'!Q88</f>
        <v>4156</v>
      </c>
      <c r="S23" s="47">
        <f>'A1 - Serviços e demanda'!R88</f>
        <v>4282</v>
      </c>
      <c r="T23" s="47">
        <f>'A1 - Serviços e demanda'!S88</f>
        <v>4410</v>
      </c>
      <c r="U23" s="47">
        <f>'A1 - Serviços e demanda'!T88</f>
        <v>4541</v>
      </c>
      <c r="V23" s="47">
        <f>'A1 - Serviços e demanda'!U88</f>
        <v>4673</v>
      </c>
      <c r="W23" s="47">
        <f>'A1 - Serviços e demanda'!V88</f>
        <v>4673</v>
      </c>
      <c r="X23" s="47">
        <f>'A1 - Serviços e demanda'!W88</f>
        <v>4673</v>
      </c>
      <c r="Y23" s="47">
        <f>'A1 - Serviços e demanda'!X88</f>
        <v>4673</v>
      </c>
      <c r="Z23" s="47">
        <f>'A1 - Serviços e demanda'!Y88</f>
        <v>4673</v>
      </c>
      <c r="AA23" s="47">
        <f>'A1 - Serviços e demanda'!Z88</f>
        <v>4673</v>
      </c>
      <c r="AB23" s="47">
        <f>'A1 - Serviços e demanda'!AA88</f>
        <v>4673</v>
      </c>
      <c r="AC23" s="47">
        <f>'A1 - Serviços e demanda'!AB88</f>
        <v>4673</v>
      </c>
      <c r="AD23" s="47">
        <f>'A1 - Serviços e demanda'!AC88</f>
        <v>4673</v>
      </c>
      <c r="AE23" s="47">
        <f>'A1 - Serviços e demanda'!AD88</f>
        <v>4673</v>
      </c>
      <c r="AF23" s="47">
        <f>'A1 - Serviços e demanda'!AE88</f>
        <v>4673</v>
      </c>
    </row>
    <row r="24" spans="1:32" ht="12" customHeight="1">
      <c r="A24" s="521"/>
      <c r="B24" s="46" t="str">
        <f>'A2 - Preços'!B23</f>
        <v/>
      </c>
      <c r="C24" s="47">
        <f>'A1 - Serviços e demanda'!B89</f>
        <v>0</v>
      </c>
      <c r="D24" s="47">
        <f>'A1 - Serviços e demanda'!C89</f>
        <v>0</v>
      </c>
      <c r="E24" s="47">
        <f>'A1 - Serviços e demanda'!D89</f>
        <v>0</v>
      </c>
      <c r="F24" s="47">
        <f>'A1 - Serviços e demanda'!E89</f>
        <v>0</v>
      </c>
      <c r="G24" s="47">
        <f>'A1 - Serviços e demanda'!F89</f>
        <v>0</v>
      </c>
      <c r="H24" s="47">
        <f>'A1 - Serviços e demanda'!G89</f>
        <v>0</v>
      </c>
      <c r="I24" s="47">
        <f>'A1 - Serviços e demanda'!H89</f>
        <v>0</v>
      </c>
      <c r="J24" s="47">
        <f>'A1 - Serviços e demanda'!I89</f>
        <v>0</v>
      </c>
      <c r="K24" s="47">
        <f>'A1 - Serviços e demanda'!J89</f>
        <v>0</v>
      </c>
      <c r="L24" s="47">
        <f>'A1 - Serviços e demanda'!K89</f>
        <v>0</v>
      </c>
      <c r="M24" s="47">
        <f>'A1 - Serviços e demanda'!L89</f>
        <v>0</v>
      </c>
      <c r="N24" s="47">
        <f>'A1 - Serviços e demanda'!M89</f>
        <v>0</v>
      </c>
      <c r="O24" s="47">
        <f>'A1 - Serviços e demanda'!N89</f>
        <v>0</v>
      </c>
      <c r="P24" s="47">
        <f>'A1 - Serviços e demanda'!O89</f>
        <v>0</v>
      </c>
      <c r="Q24" s="47">
        <f>'A1 - Serviços e demanda'!P89</f>
        <v>0</v>
      </c>
      <c r="R24" s="47">
        <f>'A1 - Serviços e demanda'!Q89</f>
        <v>0</v>
      </c>
      <c r="S24" s="47">
        <f>'A1 - Serviços e demanda'!R89</f>
        <v>0</v>
      </c>
      <c r="T24" s="47">
        <f>'A1 - Serviços e demanda'!S89</f>
        <v>0</v>
      </c>
      <c r="U24" s="47">
        <f>'A1 - Serviços e demanda'!T89</f>
        <v>0</v>
      </c>
      <c r="V24" s="47">
        <f>'A1 - Serviços e demanda'!U89</f>
        <v>0</v>
      </c>
      <c r="W24" s="47">
        <f>'A1 - Serviços e demanda'!V89</f>
        <v>0</v>
      </c>
      <c r="X24" s="47">
        <f>'A1 - Serviços e demanda'!W89</f>
        <v>0</v>
      </c>
      <c r="Y24" s="47">
        <f>'A1 - Serviços e demanda'!X89</f>
        <v>0</v>
      </c>
      <c r="Z24" s="47">
        <f>'A1 - Serviços e demanda'!Y89</f>
        <v>0</v>
      </c>
      <c r="AA24" s="47">
        <f>'A1 - Serviços e demanda'!Z89</f>
        <v>0</v>
      </c>
      <c r="AB24" s="47">
        <f>'A1 - Serviços e demanda'!AA89</f>
        <v>0</v>
      </c>
      <c r="AC24" s="47">
        <f>'A1 - Serviços e demanda'!AB89</f>
        <v>0</v>
      </c>
      <c r="AD24" s="47">
        <f>'A1 - Serviços e demanda'!AC89</f>
        <v>0</v>
      </c>
      <c r="AE24" s="47">
        <f>'A1 - Serviços e demanda'!AD89</f>
        <v>0</v>
      </c>
      <c r="AF24" s="47">
        <f>'A1 - Serviços e demanda'!AE89</f>
        <v>0</v>
      </c>
    </row>
    <row r="25" spans="1:32" ht="12" customHeight="1">
      <c r="A25" s="521"/>
      <c r="B25" s="46" t="str">
        <f>'A2 - Preços'!B24</f>
        <v/>
      </c>
      <c r="C25" s="47">
        <f>'A1 - Serviços e demanda'!B90</f>
        <v>0</v>
      </c>
      <c r="D25" s="47">
        <f>'A1 - Serviços e demanda'!C90</f>
        <v>0</v>
      </c>
      <c r="E25" s="47">
        <f>'A1 - Serviços e demanda'!D90</f>
        <v>0</v>
      </c>
      <c r="F25" s="47">
        <f>'A1 - Serviços e demanda'!E90</f>
        <v>0</v>
      </c>
      <c r="G25" s="47">
        <f>'A1 - Serviços e demanda'!F90</f>
        <v>0</v>
      </c>
      <c r="H25" s="47">
        <f>'A1 - Serviços e demanda'!G90</f>
        <v>0</v>
      </c>
      <c r="I25" s="47">
        <f>'A1 - Serviços e demanda'!H90</f>
        <v>0</v>
      </c>
      <c r="J25" s="47">
        <f>'A1 - Serviços e demanda'!I90</f>
        <v>0</v>
      </c>
      <c r="K25" s="47">
        <f>'A1 - Serviços e demanda'!J90</f>
        <v>0</v>
      </c>
      <c r="L25" s="47">
        <f>'A1 - Serviços e demanda'!K90</f>
        <v>0</v>
      </c>
      <c r="M25" s="47">
        <f>'A1 - Serviços e demanda'!L90</f>
        <v>0</v>
      </c>
      <c r="N25" s="47">
        <f>'A1 - Serviços e demanda'!M90</f>
        <v>0</v>
      </c>
      <c r="O25" s="47">
        <f>'A1 - Serviços e demanda'!N90</f>
        <v>0</v>
      </c>
      <c r="P25" s="47">
        <f>'A1 - Serviços e demanda'!O90</f>
        <v>0</v>
      </c>
      <c r="Q25" s="47">
        <f>'A1 - Serviços e demanda'!P90</f>
        <v>0</v>
      </c>
      <c r="R25" s="47">
        <f>'A1 - Serviços e demanda'!Q90</f>
        <v>0</v>
      </c>
      <c r="S25" s="47">
        <f>'A1 - Serviços e demanda'!R90</f>
        <v>0</v>
      </c>
      <c r="T25" s="47">
        <f>'A1 - Serviços e demanda'!S90</f>
        <v>0</v>
      </c>
      <c r="U25" s="47">
        <f>'A1 - Serviços e demanda'!T90</f>
        <v>0</v>
      </c>
      <c r="V25" s="47">
        <f>'A1 - Serviços e demanda'!U90</f>
        <v>0</v>
      </c>
      <c r="W25" s="47">
        <f>'A1 - Serviços e demanda'!V90</f>
        <v>0</v>
      </c>
      <c r="X25" s="47">
        <f>'A1 - Serviços e demanda'!W90</f>
        <v>0</v>
      </c>
      <c r="Y25" s="47">
        <f>'A1 - Serviços e demanda'!X90</f>
        <v>0</v>
      </c>
      <c r="Z25" s="47">
        <f>'A1 - Serviços e demanda'!Y90</f>
        <v>0</v>
      </c>
      <c r="AA25" s="47">
        <f>'A1 - Serviços e demanda'!Z90</f>
        <v>0</v>
      </c>
      <c r="AB25" s="47">
        <f>'A1 - Serviços e demanda'!AA90</f>
        <v>0</v>
      </c>
      <c r="AC25" s="47">
        <f>'A1 - Serviços e demanda'!AB90</f>
        <v>0</v>
      </c>
      <c r="AD25" s="47">
        <f>'A1 - Serviços e demanda'!AC90</f>
        <v>0</v>
      </c>
      <c r="AE25" s="47">
        <f>'A1 - Serviços e demanda'!AD90</f>
        <v>0</v>
      </c>
      <c r="AF25" s="47">
        <f>'A1 - Serviços e demanda'!AE90</f>
        <v>0</v>
      </c>
    </row>
    <row r="26" spans="1:32" ht="12.75" customHeight="1">
      <c r="A26" s="521"/>
      <c r="B26" s="522"/>
      <c r="C26" s="525"/>
      <c r="D26" s="522"/>
      <c r="E26" s="522"/>
      <c r="F26" s="522"/>
      <c r="G26" s="522"/>
      <c r="H26" s="522"/>
      <c r="I26" s="522"/>
      <c r="J26" s="522"/>
      <c r="K26" s="522"/>
      <c r="L26" s="522"/>
      <c r="M26" s="522"/>
      <c r="N26" s="522"/>
      <c r="O26" s="522"/>
      <c r="P26" s="522"/>
      <c r="Q26" s="522"/>
      <c r="R26" s="522"/>
      <c r="S26" s="522"/>
      <c r="T26" s="522"/>
      <c r="U26" s="522"/>
      <c r="V26" s="522"/>
      <c r="W26" s="522"/>
      <c r="X26" s="521"/>
      <c r="Y26" s="521"/>
      <c r="Z26" s="521"/>
      <c r="AA26" s="521"/>
      <c r="AB26" s="521"/>
      <c r="AC26" s="521"/>
      <c r="AD26" s="521"/>
      <c r="AE26" s="521"/>
      <c r="AF26" s="521"/>
    </row>
    <row r="27" spans="1:32" ht="15.75" customHeight="1">
      <c r="A27" s="521"/>
      <c r="B27" s="524" t="s">
        <v>148</v>
      </c>
      <c r="C27" s="525"/>
      <c r="D27" s="522"/>
      <c r="E27" s="522"/>
      <c r="F27" s="522"/>
      <c r="G27" s="522"/>
      <c r="H27" s="522"/>
      <c r="I27" s="522"/>
      <c r="J27" s="522"/>
      <c r="K27" s="522"/>
      <c r="L27" s="522"/>
      <c r="M27" s="522"/>
      <c r="N27" s="522"/>
      <c r="O27" s="522"/>
      <c r="P27" s="522"/>
      <c r="Q27" s="522"/>
      <c r="R27" s="522"/>
      <c r="S27" s="522"/>
      <c r="T27" s="522"/>
      <c r="U27" s="522"/>
      <c r="V27" s="522"/>
      <c r="W27" s="522"/>
      <c r="X27" s="521"/>
      <c r="Y27" s="521"/>
      <c r="Z27" s="521"/>
      <c r="AA27" s="521"/>
      <c r="AB27" s="521"/>
      <c r="AC27" s="521"/>
      <c r="AD27" s="521"/>
      <c r="AE27" s="521"/>
      <c r="AF27" s="521"/>
    </row>
    <row r="28" spans="1:32" ht="24.75" customHeight="1">
      <c r="A28" s="521"/>
      <c r="B28" s="768" t="s">
        <v>146</v>
      </c>
      <c r="C28" s="763" t="s">
        <v>147</v>
      </c>
      <c r="D28" s="813"/>
      <c r="E28" s="813"/>
      <c r="F28" s="813"/>
      <c r="G28" s="813"/>
      <c r="H28" s="813"/>
      <c r="I28" s="813"/>
      <c r="J28" s="813"/>
      <c r="K28" s="813"/>
      <c r="L28" s="813"/>
      <c r="M28" s="813"/>
      <c r="N28" s="813"/>
      <c r="O28" s="813"/>
      <c r="P28" s="813"/>
      <c r="Q28" s="813"/>
      <c r="R28" s="813"/>
      <c r="S28" s="813"/>
      <c r="T28" s="813"/>
      <c r="U28" s="813"/>
      <c r="V28" s="813"/>
      <c r="W28" s="813"/>
      <c r="X28" s="813"/>
      <c r="Y28" s="813"/>
      <c r="Z28" s="813"/>
      <c r="AA28" s="813"/>
      <c r="AB28" s="813"/>
      <c r="AC28" s="813"/>
      <c r="AD28" s="813"/>
      <c r="AE28" s="813"/>
      <c r="AF28" s="813"/>
    </row>
    <row r="29" spans="1:32" ht="15.75" customHeight="1">
      <c r="A29" s="521"/>
      <c r="B29" s="820"/>
      <c r="C29" s="509">
        <v>1</v>
      </c>
      <c r="D29" s="509">
        <v>2</v>
      </c>
      <c r="E29" s="509">
        <v>3</v>
      </c>
      <c r="F29" s="509">
        <v>4</v>
      </c>
      <c r="G29" s="509">
        <v>5</v>
      </c>
      <c r="H29" s="509">
        <v>6</v>
      </c>
      <c r="I29" s="509">
        <v>7</v>
      </c>
      <c r="J29" s="509">
        <v>8</v>
      </c>
      <c r="K29" s="509">
        <v>9</v>
      </c>
      <c r="L29" s="509">
        <v>10</v>
      </c>
      <c r="M29" s="509">
        <v>11</v>
      </c>
      <c r="N29" s="509">
        <v>12</v>
      </c>
      <c r="O29" s="509">
        <v>13</v>
      </c>
      <c r="P29" s="509">
        <v>14</v>
      </c>
      <c r="Q29" s="509">
        <v>15</v>
      </c>
      <c r="R29" s="509">
        <v>16</v>
      </c>
      <c r="S29" s="509">
        <v>17</v>
      </c>
      <c r="T29" s="509">
        <v>18</v>
      </c>
      <c r="U29" s="509">
        <v>19</v>
      </c>
      <c r="V29" s="509">
        <v>20</v>
      </c>
      <c r="W29" s="509">
        <v>21</v>
      </c>
      <c r="X29" s="509">
        <v>22</v>
      </c>
      <c r="Y29" s="509">
        <v>23</v>
      </c>
      <c r="Z29" s="509">
        <v>24</v>
      </c>
      <c r="AA29" s="509">
        <v>25</v>
      </c>
      <c r="AB29" s="509">
        <v>26</v>
      </c>
      <c r="AC29" s="509">
        <v>27</v>
      </c>
      <c r="AD29" s="509">
        <v>28</v>
      </c>
      <c r="AE29" s="509">
        <v>29</v>
      </c>
      <c r="AF29" s="509">
        <v>30</v>
      </c>
    </row>
    <row r="30" spans="1:32" ht="15.75" customHeight="1">
      <c r="A30" s="521"/>
      <c r="B30" s="49" t="str">
        <f t="shared" ref="B30:B49" si="0">""&amp;B6</f>
        <v>Ingresso</v>
      </c>
      <c r="C30" s="50">
        <f t="shared" ref="C30:AF30" si="1">IF($B30="","",ROUNDUP(C6/365,0))</f>
        <v>1433</v>
      </c>
      <c r="D30" s="50">
        <f t="shared" si="1"/>
        <v>2965</v>
      </c>
      <c r="E30" s="50">
        <f t="shared" si="1"/>
        <v>3067</v>
      </c>
      <c r="F30" s="50">
        <f t="shared" si="1"/>
        <v>3166</v>
      </c>
      <c r="G30" s="50">
        <f t="shared" si="1"/>
        <v>3267</v>
      </c>
      <c r="H30" s="50">
        <f t="shared" si="1"/>
        <v>3369</v>
      </c>
      <c r="I30" s="50">
        <f t="shared" si="1"/>
        <v>3474</v>
      </c>
      <c r="J30" s="50">
        <f t="shared" si="1"/>
        <v>3583</v>
      </c>
      <c r="K30" s="50">
        <f t="shared" si="1"/>
        <v>3693</v>
      </c>
      <c r="L30" s="50">
        <f t="shared" si="1"/>
        <v>3805</v>
      </c>
      <c r="M30" s="50">
        <f t="shared" si="1"/>
        <v>3921</v>
      </c>
      <c r="N30" s="50">
        <f t="shared" si="1"/>
        <v>4040</v>
      </c>
      <c r="O30" s="50">
        <f t="shared" si="1"/>
        <v>4164</v>
      </c>
      <c r="P30" s="50">
        <f t="shared" si="1"/>
        <v>4290</v>
      </c>
      <c r="Q30" s="50">
        <f t="shared" si="1"/>
        <v>4421</v>
      </c>
      <c r="R30" s="50">
        <f t="shared" si="1"/>
        <v>4555</v>
      </c>
      <c r="S30" s="50">
        <f t="shared" si="1"/>
        <v>4693</v>
      </c>
      <c r="T30" s="50">
        <f t="shared" si="1"/>
        <v>4834</v>
      </c>
      <c r="U30" s="50">
        <f t="shared" si="1"/>
        <v>4977</v>
      </c>
      <c r="V30" s="50">
        <f t="shared" si="1"/>
        <v>5122</v>
      </c>
      <c r="W30" s="50">
        <f t="shared" si="1"/>
        <v>5122</v>
      </c>
      <c r="X30" s="50">
        <f t="shared" si="1"/>
        <v>5122</v>
      </c>
      <c r="Y30" s="50">
        <f t="shared" si="1"/>
        <v>5122</v>
      </c>
      <c r="Z30" s="50">
        <f t="shared" si="1"/>
        <v>5122</v>
      </c>
      <c r="AA30" s="50">
        <f t="shared" si="1"/>
        <v>5122</v>
      </c>
      <c r="AB30" s="50">
        <f t="shared" si="1"/>
        <v>5122</v>
      </c>
      <c r="AC30" s="50">
        <f t="shared" si="1"/>
        <v>5122</v>
      </c>
      <c r="AD30" s="50">
        <f t="shared" si="1"/>
        <v>5122</v>
      </c>
      <c r="AE30" s="50">
        <f t="shared" si="1"/>
        <v>5122</v>
      </c>
      <c r="AF30" s="50">
        <f t="shared" si="1"/>
        <v>5122</v>
      </c>
    </row>
    <row r="31" spans="1:32" ht="15.75" customHeight="1">
      <c r="A31" s="521"/>
      <c r="B31" s="49" t="str">
        <f t="shared" si="0"/>
        <v>Preá - Alimentação</v>
      </c>
      <c r="C31" s="50">
        <f t="shared" ref="C31:AF31" si="2">IF($B31="","",ROUNDUP(C7/365,0))</f>
        <v>0</v>
      </c>
      <c r="D31" s="50">
        <f t="shared" si="2"/>
        <v>238</v>
      </c>
      <c r="E31" s="50">
        <f t="shared" si="2"/>
        <v>246</v>
      </c>
      <c r="F31" s="50">
        <f t="shared" si="2"/>
        <v>254</v>
      </c>
      <c r="G31" s="50">
        <f t="shared" si="2"/>
        <v>262</v>
      </c>
      <c r="H31" s="50">
        <f t="shared" si="2"/>
        <v>270</v>
      </c>
      <c r="I31" s="50">
        <f t="shared" si="2"/>
        <v>278</v>
      </c>
      <c r="J31" s="50">
        <f t="shared" si="2"/>
        <v>287</v>
      </c>
      <c r="K31" s="50">
        <f t="shared" si="2"/>
        <v>296</v>
      </c>
      <c r="L31" s="50">
        <f t="shared" si="2"/>
        <v>305</v>
      </c>
      <c r="M31" s="50">
        <f t="shared" si="2"/>
        <v>314</v>
      </c>
      <c r="N31" s="50">
        <f t="shared" si="2"/>
        <v>324</v>
      </c>
      <c r="O31" s="50">
        <f t="shared" si="2"/>
        <v>334</v>
      </c>
      <c r="P31" s="50">
        <f t="shared" si="2"/>
        <v>344</v>
      </c>
      <c r="Q31" s="50">
        <f t="shared" si="2"/>
        <v>354</v>
      </c>
      <c r="R31" s="50">
        <f t="shared" si="2"/>
        <v>365</v>
      </c>
      <c r="S31" s="50">
        <f t="shared" si="2"/>
        <v>376</v>
      </c>
      <c r="T31" s="50">
        <f t="shared" si="2"/>
        <v>387</v>
      </c>
      <c r="U31" s="50">
        <f t="shared" si="2"/>
        <v>399</v>
      </c>
      <c r="V31" s="50">
        <f t="shared" si="2"/>
        <v>410</v>
      </c>
      <c r="W31" s="50">
        <f t="shared" si="2"/>
        <v>410</v>
      </c>
      <c r="X31" s="50">
        <f t="shared" si="2"/>
        <v>410</v>
      </c>
      <c r="Y31" s="50">
        <f t="shared" si="2"/>
        <v>410</v>
      </c>
      <c r="Z31" s="50">
        <f t="shared" si="2"/>
        <v>410</v>
      </c>
      <c r="AA31" s="50">
        <f t="shared" si="2"/>
        <v>410</v>
      </c>
      <c r="AB31" s="50">
        <f t="shared" si="2"/>
        <v>410</v>
      </c>
      <c r="AC31" s="50">
        <f t="shared" si="2"/>
        <v>410</v>
      </c>
      <c r="AD31" s="50">
        <f t="shared" si="2"/>
        <v>410</v>
      </c>
      <c r="AE31" s="50">
        <f t="shared" si="2"/>
        <v>410</v>
      </c>
      <c r="AF31" s="50">
        <f t="shared" si="2"/>
        <v>410</v>
      </c>
    </row>
    <row r="32" spans="1:32" ht="15.75" customHeight="1">
      <c r="A32" s="521"/>
      <c r="B32" s="49" t="str">
        <f t="shared" si="0"/>
        <v>Preá - Comércio</v>
      </c>
      <c r="C32" s="50">
        <f t="shared" ref="C32:AF32" si="3">IF($B32="","",ROUNDUP(C8/365,0))</f>
        <v>0</v>
      </c>
      <c r="D32" s="50">
        <f t="shared" si="3"/>
        <v>40</v>
      </c>
      <c r="E32" s="50">
        <f t="shared" si="3"/>
        <v>41</v>
      </c>
      <c r="F32" s="50">
        <f t="shared" si="3"/>
        <v>43</v>
      </c>
      <c r="G32" s="50">
        <f t="shared" si="3"/>
        <v>44</v>
      </c>
      <c r="H32" s="50">
        <f t="shared" si="3"/>
        <v>45</v>
      </c>
      <c r="I32" s="50">
        <f t="shared" si="3"/>
        <v>47</v>
      </c>
      <c r="J32" s="50">
        <f t="shared" si="3"/>
        <v>48</v>
      </c>
      <c r="K32" s="50">
        <f t="shared" si="3"/>
        <v>50</v>
      </c>
      <c r="L32" s="50">
        <f t="shared" si="3"/>
        <v>51</v>
      </c>
      <c r="M32" s="50">
        <f t="shared" si="3"/>
        <v>53</v>
      </c>
      <c r="N32" s="50">
        <f t="shared" si="3"/>
        <v>54</v>
      </c>
      <c r="O32" s="50">
        <f t="shared" si="3"/>
        <v>56</v>
      </c>
      <c r="P32" s="50">
        <f t="shared" si="3"/>
        <v>58</v>
      </c>
      <c r="Q32" s="50">
        <f t="shared" si="3"/>
        <v>59</v>
      </c>
      <c r="R32" s="50">
        <f t="shared" si="3"/>
        <v>61</v>
      </c>
      <c r="S32" s="50">
        <f t="shared" si="3"/>
        <v>63</v>
      </c>
      <c r="T32" s="50">
        <f t="shared" si="3"/>
        <v>65</v>
      </c>
      <c r="U32" s="50">
        <f t="shared" si="3"/>
        <v>67</v>
      </c>
      <c r="V32" s="50">
        <f t="shared" si="3"/>
        <v>69</v>
      </c>
      <c r="W32" s="50">
        <f t="shared" si="3"/>
        <v>69</v>
      </c>
      <c r="X32" s="50">
        <f t="shared" si="3"/>
        <v>69</v>
      </c>
      <c r="Y32" s="50">
        <f t="shared" si="3"/>
        <v>69</v>
      </c>
      <c r="Z32" s="50">
        <f t="shared" si="3"/>
        <v>69</v>
      </c>
      <c r="AA32" s="50">
        <f t="shared" si="3"/>
        <v>69</v>
      </c>
      <c r="AB32" s="50">
        <f t="shared" si="3"/>
        <v>69</v>
      </c>
      <c r="AC32" s="50">
        <f t="shared" si="3"/>
        <v>69</v>
      </c>
      <c r="AD32" s="50">
        <f t="shared" si="3"/>
        <v>69</v>
      </c>
      <c r="AE32" s="50">
        <f t="shared" si="3"/>
        <v>69</v>
      </c>
      <c r="AF32" s="50">
        <f t="shared" si="3"/>
        <v>69</v>
      </c>
    </row>
    <row r="33" spans="1:32" ht="15.75" customHeight="1">
      <c r="A33" s="521"/>
      <c r="B33" s="49" t="str">
        <f t="shared" si="0"/>
        <v>Preá - Estacionamento</v>
      </c>
      <c r="C33" s="50">
        <f t="shared" ref="C33:AF33" si="4">IF($B33="","",ROUNDUP(C9/365,0))</f>
        <v>0</v>
      </c>
      <c r="D33" s="50">
        <f t="shared" si="4"/>
        <v>60</v>
      </c>
      <c r="E33" s="50">
        <f t="shared" si="4"/>
        <v>62</v>
      </c>
      <c r="F33" s="50">
        <f t="shared" si="4"/>
        <v>64</v>
      </c>
      <c r="G33" s="50">
        <f t="shared" si="4"/>
        <v>66</v>
      </c>
      <c r="H33" s="50">
        <f t="shared" si="4"/>
        <v>68</v>
      </c>
      <c r="I33" s="50">
        <f t="shared" si="4"/>
        <v>70</v>
      </c>
      <c r="J33" s="50">
        <f t="shared" si="4"/>
        <v>72</v>
      </c>
      <c r="K33" s="50">
        <f t="shared" si="4"/>
        <v>74</v>
      </c>
      <c r="L33" s="50">
        <f t="shared" si="4"/>
        <v>77</v>
      </c>
      <c r="M33" s="50">
        <f t="shared" si="4"/>
        <v>79</v>
      </c>
      <c r="N33" s="50">
        <f t="shared" si="4"/>
        <v>81</v>
      </c>
      <c r="O33" s="50">
        <f t="shared" si="4"/>
        <v>84</v>
      </c>
      <c r="P33" s="50">
        <f t="shared" si="4"/>
        <v>86</v>
      </c>
      <c r="Q33" s="50">
        <f t="shared" si="4"/>
        <v>89</v>
      </c>
      <c r="R33" s="50">
        <f t="shared" si="4"/>
        <v>92</v>
      </c>
      <c r="S33" s="50">
        <f t="shared" si="4"/>
        <v>94</v>
      </c>
      <c r="T33" s="50">
        <f t="shared" si="4"/>
        <v>97</v>
      </c>
      <c r="U33" s="50">
        <f t="shared" si="4"/>
        <v>100</v>
      </c>
      <c r="V33" s="50">
        <f t="shared" si="4"/>
        <v>103</v>
      </c>
      <c r="W33" s="50">
        <f t="shared" si="4"/>
        <v>103</v>
      </c>
      <c r="X33" s="50">
        <f t="shared" si="4"/>
        <v>103</v>
      </c>
      <c r="Y33" s="50">
        <f t="shared" si="4"/>
        <v>103</v>
      </c>
      <c r="Z33" s="50">
        <f t="shared" si="4"/>
        <v>103</v>
      </c>
      <c r="AA33" s="50">
        <f t="shared" si="4"/>
        <v>103</v>
      </c>
      <c r="AB33" s="50">
        <f t="shared" si="4"/>
        <v>103</v>
      </c>
      <c r="AC33" s="50">
        <f t="shared" si="4"/>
        <v>103</v>
      </c>
      <c r="AD33" s="50">
        <f t="shared" si="4"/>
        <v>103</v>
      </c>
      <c r="AE33" s="50">
        <f t="shared" si="4"/>
        <v>103</v>
      </c>
      <c r="AF33" s="50">
        <f t="shared" si="4"/>
        <v>103</v>
      </c>
    </row>
    <row r="34" spans="1:32" ht="15.75" customHeight="1">
      <c r="A34" s="521"/>
      <c r="B34" s="49" t="str">
        <f t="shared" si="0"/>
        <v>Árvore da Preguiça - Alimentação</v>
      </c>
      <c r="C34" s="50">
        <f t="shared" ref="C34:AF34" si="5">IF($B34="","",ROUNDUP(C10/365,0))</f>
        <v>0</v>
      </c>
      <c r="D34" s="50">
        <f t="shared" si="5"/>
        <v>238</v>
      </c>
      <c r="E34" s="50">
        <f t="shared" si="5"/>
        <v>246</v>
      </c>
      <c r="F34" s="50">
        <f t="shared" si="5"/>
        <v>254</v>
      </c>
      <c r="G34" s="50">
        <f t="shared" si="5"/>
        <v>262</v>
      </c>
      <c r="H34" s="50">
        <f t="shared" si="5"/>
        <v>270</v>
      </c>
      <c r="I34" s="50">
        <f t="shared" si="5"/>
        <v>278</v>
      </c>
      <c r="J34" s="50">
        <f t="shared" si="5"/>
        <v>287</v>
      </c>
      <c r="K34" s="50">
        <f t="shared" si="5"/>
        <v>296</v>
      </c>
      <c r="L34" s="50">
        <f t="shared" si="5"/>
        <v>305</v>
      </c>
      <c r="M34" s="50">
        <f t="shared" si="5"/>
        <v>314</v>
      </c>
      <c r="N34" s="50">
        <f t="shared" si="5"/>
        <v>324</v>
      </c>
      <c r="O34" s="50">
        <f t="shared" si="5"/>
        <v>334</v>
      </c>
      <c r="P34" s="50">
        <f t="shared" si="5"/>
        <v>344</v>
      </c>
      <c r="Q34" s="50">
        <f t="shared" si="5"/>
        <v>354</v>
      </c>
      <c r="R34" s="50">
        <f t="shared" si="5"/>
        <v>365</v>
      </c>
      <c r="S34" s="50">
        <f t="shared" si="5"/>
        <v>376</v>
      </c>
      <c r="T34" s="50">
        <f t="shared" si="5"/>
        <v>387</v>
      </c>
      <c r="U34" s="50">
        <f t="shared" si="5"/>
        <v>399</v>
      </c>
      <c r="V34" s="50">
        <f t="shared" si="5"/>
        <v>410</v>
      </c>
      <c r="W34" s="50">
        <f t="shared" si="5"/>
        <v>410</v>
      </c>
      <c r="X34" s="50">
        <f t="shared" si="5"/>
        <v>410</v>
      </c>
      <c r="Y34" s="50">
        <f t="shared" si="5"/>
        <v>410</v>
      </c>
      <c r="Z34" s="50">
        <f t="shared" si="5"/>
        <v>410</v>
      </c>
      <c r="AA34" s="50">
        <f t="shared" si="5"/>
        <v>410</v>
      </c>
      <c r="AB34" s="50">
        <f t="shared" si="5"/>
        <v>410</v>
      </c>
      <c r="AC34" s="50">
        <f t="shared" si="5"/>
        <v>410</v>
      </c>
      <c r="AD34" s="50">
        <f t="shared" si="5"/>
        <v>410</v>
      </c>
      <c r="AE34" s="50">
        <f t="shared" si="5"/>
        <v>410</v>
      </c>
      <c r="AF34" s="50">
        <f t="shared" si="5"/>
        <v>410</v>
      </c>
    </row>
    <row r="35" spans="1:32" ht="15.75" customHeight="1">
      <c r="A35" s="521"/>
      <c r="B35" s="49" t="str">
        <f t="shared" si="0"/>
        <v>Árvore da Preguiça - Comércio</v>
      </c>
      <c r="C35" s="50">
        <f t="shared" ref="C35:AF35" si="6">IF($B35="","",ROUNDUP(C11/365,0))</f>
        <v>0</v>
      </c>
      <c r="D35" s="50">
        <f t="shared" si="6"/>
        <v>40</v>
      </c>
      <c r="E35" s="50">
        <f t="shared" si="6"/>
        <v>41</v>
      </c>
      <c r="F35" s="50">
        <f t="shared" si="6"/>
        <v>43</v>
      </c>
      <c r="G35" s="50">
        <f t="shared" si="6"/>
        <v>44</v>
      </c>
      <c r="H35" s="50">
        <f t="shared" si="6"/>
        <v>45</v>
      </c>
      <c r="I35" s="50">
        <f t="shared" si="6"/>
        <v>47</v>
      </c>
      <c r="J35" s="50">
        <f t="shared" si="6"/>
        <v>48</v>
      </c>
      <c r="K35" s="50">
        <f t="shared" si="6"/>
        <v>50</v>
      </c>
      <c r="L35" s="50">
        <f t="shared" si="6"/>
        <v>51</v>
      </c>
      <c r="M35" s="50">
        <f t="shared" si="6"/>
        <v>53</v>
      </c>
      <c r="N35" s="50">
        <f t="shared" si="6"/>
        <v>54</v>
      </c>
      <c r="O35" s="50">
        <f t="shared" si="6"/>
        <v>56</v>
      </c>
      <c r="P35" s="50">
        <f t="shared" si="6"/>
        <v>58</v>
      </c>
      <c r="Q35" s="50">
        <f t="shared" si="6"/>
        <v>59</v>
      </c>
      <c r="R35" s="50">
        <f t="shared" si="6"/>
        <v>61</v>
      </c>
      <c r="S35" s="50">
        <f t="shared" si="6"/>
        <v>63</v>
      </c>
      <c r="T35" s="50">
        <f t="shared" si="6"/>
        <v>65</v>
      </c>
      <c r="U35" s="50">
        <f t="shared" si="6"/>
        <v>67</v>
      </c>
      <c r="V35" s="50">
        <f t="shared" si="6"/>
        <v>69</v>
      </c>
      <c r="W35" s="50">
        <f t="shared" si="6"/>
        <v>69</v>
      </c>
      <c r="X35" s="50">
        <f t="shared" si="6"/>
        <v>69</v>
      </c>
      <c r="Y35" s="50">
        <f t="shared" si="6"/>
        <v>69</v>
      </c>
      <c r="Z35" s="50">
        <f t="shared" si="6"/>
        <v>69</v>
      </c>
      <c r="AA35" s="50">
        <f t="shared" si="6"/>
        <v>69</v>
      </c>
      <c r="AB35" s="50">
        <f t="shared" si="6"/>
        <v>69</v>
      </c>
      <c r="AC35" s="50">
        <f t="shared" si="6"/>
        <v>69</v>
      </c>
      <c r="AD35" s="50">
        <f t="shared" si="6"/>
        <v>69</v>
      </c>
      <c r="AE35" s="50">
        <f t="shared" si="6"/>
        <v>69</v>
      </c>
      <c r="AF35" s="50">
        <f t="shared" si="6"/>
        <v>69</v>
      </c>
    </row>
    <row r="36" spans="1:32" ht="15.75" customHeight="1">
      <c r="A36" s="521"/>
      <c r="B36" s="49" t="str">
        <f t="shared" si="0"/>
        <v>Silveira - Alimentação</v>
      </c>
      <c r="C36" s="50">
        <f t="shared" ref="C36:AF36" si="7">IF($B36="","",ROUNDUP(C12/365,0))</f>
        <v>0</v>
      </c>
      <c r="D36" s="50">
        <f t="shared" si="7"/>
        <v>238</v>
      </c>
      <c r="E36" s="50">
        <f t="shared" si="7"/>
        <v>246</v>
      </c>
      <c r="F36" s="50">
        <f t="shared" si="7"/>
        <v>254</v>
      </c>
      <c r="G36" s="50">
        <f t="shared" si="7"/>
        <v>262</v>
      </c>
      <c r="H36" s="50">
        <f t="shared" si="7"/>
        <v>270</v>
      </c>
      <c r="I36" s="50">
        <f t="shared" si="7"/>
        <v>278</v>
      </c>
      <c r="J36" s="50">
        <f t="shared" si="7"/>
        <v>287</v>
      </c>
      <c r="K36" s="50">
        <f t="shared" si="7"/>
        <v>296</v>
      </c>
      <c r="L36" s="50">
        <f t="shared" si="7"/>
        <v>305</v>
      </c>
      <c r="M36" s="50">
        <f t="shared" si="7"/>
        <v>314</v>
      </c>
      <c r="N36" s="50">
        <f t="shared" si="7"/>
        <v>324</v>
      </c>
      <c r="O36" s="50">
        <f t="shared" si="7"/>
        <v>334</v>
      </c>
      <c r="P36" s="50">
        <f t="shared" si="7"/>
        <v>344</v>
      </c>
      <c r="Q36" s="50">
        <f t="shared" si="7"/>
        <v>354</v>
      </c>
      <c r="R36" s="50">
        <f t="shared" si="7"/>
        <v>365</v>
      </c>
      <c r="S36" s="50">
        <f t="shared" si="7"/>
        <v>376</v>
      </c>
      <c r="T36" s="50">
        <f t="shared" si="7"/>
        <v>387</v>
      </c>
      <c r="U36" s="50">
        <f t="shared" si="7"/>
        <v>399</v>
      </c>
      <c r="V36" s="50">
        <f t="shared" si="7"/>
        <v>410</v>
      </c>
      <c r="W36" s="50">
        <f t="shared" si="7"/>
        <v>410</v>
      </c>
      <c r="X36" s="50">
        <f t="shared" si="7"/>
        <v>410</v>
      </c>
      <c r="Y36" s="50">
        <f t="shared" si="7"/>
        <v>410</v>
      </c>
      <c r="Z36" s="50">
        <f t="shared" si="7"/>
        <v>410</v>
      </c>
      <c r="AA36" s="50">
        <f t="shared" si="7"/>
        <v>410</v>
      </c>
      <c r="AB36" s="50">
        <f t="shared" si="7"/>
        <v>410</v>
      </c>
      <c r="AC36" s="50">
        <f t="shared" si="7"/>
        <v>410</v>
      </c>
      <c r="AD36" s="50">
        <f t="shared" si="7"/>
        <v>410</v>
      </c>
      <c r="AE36" s="50">
        <f t="shared" si="7"/>
        <v>410</v>
      </c>
      <c r="AF36" s="50">
        <f t="shared" si="7"/>
        <v>410</v>
      </c>
    </row>
    <row r="37" spans="1:32" ht="15.75" customHeight="1">
      <c r="A37" s="521"/>
      <c r="B37" s="49" t="str">
        <f t="shared" si="0"/>
        <v>Silveira - Comércio + Locação + Atividades</v>
      </c>
      <c r="C37" s="50">
        <f t="shared" ref="C37:AF37" si="8">IF($B37="","",ROUNDUP(C13/365,0))</f>
        <v>0</v>
      </c>
      <c r="D37" s="50">
        <f t="shared" si="8"/>
        <v>40</v>
      </c>
      <c r="E37" s="50">
        <f t="shared" si="8"/>
        <v>41</v>
      </c>
      <c r="F37" s="50">
        <f t="shared" si="8"/>
        <v>43</v>
      </c>
      <c r="G37" s="50">
        <f t="shared" si="8"/>
        <v>44</v>
      </c>
      <c r="H37" s="50">
        <f t="shared" si="8"/>
        <v>45</v>
      </c>
      <c r="I37" s="50">
        <f t="shared" si="8"/>
        <v>47</v>
      </c>
      <c r="J37" s="50">
        <f t="shared" si="8"/>
        <v>48</v>
      </c>
      <c r="K37" s="50">
        <f t="shared" si="8"/>
        <v>50</v>
      </c>
      <c r="L37" s="50">
        <f t="shared" si="8"/>
        <v>51</v>
      </c>
      <c r="M37" s="50">
        <f t="shared" si="8"/>
        <v>53</v>
      </c>
      <c r="N37" s="50">
        <f t="shared" si="8"/>
        <v>54</v>
      </c>
      <c r="O37" s="50">
        <f t="shared" si="8"/>
        <v>56</v>
      </c>
      <c r="P37" s="50">
        <f t="shared" si="8"/>
        <v>58</v>
      </c>
      <c r="Q37" s="50">
        <f t="shared" si="8"/>
        <v>59</v>
      </c>
      <c r="R37" s="50">
        <f t="shared" si="8"/>
        <v>61</v>
      </c>
      <c r="S37" s="50">
        <f t="shared" si="8"/>
        <v>63</v>
      </c>
      <c r="T37" s="50">
        <f t="shared" si="8"/>
        <v>65</v>
      </c>
      <c r="U37" s="50">
        <f t="shared" si="8"/>
        <v>67</v>
      </c>
      <c r="V37" s="50">
        <f t="shared" si="8"/>
        <v>69</v>
      </c>
      <c r="W37" s="50">
        <f t="shared" si="8"/>
        <v>69</v>
      </c>
      <c r="X37" s="50">
        <f t="shared" si="8"/>
        <v>69</v>
      </c>
      <c r="Y37" s="50">
        <f t="shared" si="8"/>
        <v>69</v>
      </c>
      <c r="Z37" s="50">
        <f t="shared" si="8"/>
        <v>69</v>
      </c>
      <c r="AA37" s="50">
        <f t="shared" si="8"/>
        <v>69</v>
      </c>
      <c r="AB37" s="50">
        <f t="shared" si="8"/>
        <v>69</v>
      </c>
      <c r="AC37" s="50">
        <f t="shared" si="8"/>
        <v>69</v>
      </c>
      <c r="AD37" s="50">
        <f t="shared" si="8"/>
        <v>69</v>
      </c>
      <c r="AE37" s="50">
        <f t="shared" si="8"/>
        <v>69</v>
      </c>
      <c r="AF37" s="50">
        <f t="shared" si="8"/>
        <v>69</v>
      </c>
    </row>
    <row r="38" spans="1:32" ht="15.75" customHeight="1">
      <c r="A38" s="521"/>
      <c r="B38" s="49" t="str">
        <f t="shared" si="0"/>
        <v>Silveira - Hospedagem</v>
      </c>
      <c r="C38" s="50">
        <f t="shared" ref="C38:AF38" si="9">IF($B38="","",ROUNDUP(C14/365,0))</f>
        <v>0</v>
      </c>
      <c r="D38" s="50">
        <f t="shared" si="9"/>
        <v>30</v>
      </c>
      <c r="E38" s="50">
        <f t="shared" si="9"/>
        <v>31</v>
      </c>
      <c r="F38" s="50">
        <f t="shared" si="9"/>
        <v>32</v>
      </c>
      <c r="G38" s="50">
        <f t="shared" si="9"/>
        <v>33</v>
      </c>
      <c r="H38" s="50">
        <f t="shared" si="9"/>
        <v>34</v>
      </c>
      <c r="I38" s="50">
        <f t="shared" si="9"/>
        <v>35</v>
      </c>
      <c r="J38" s="50">
        <f t="shared" si="9"/>
        <v>36</v>
      </c>
      <c r="K38" s="50">
        <f t="shared" si="9"/>
        <v>37</v>
      </c>
      <c r="L38" s="50">
        <f t="shared" si="9"/>
        <v>39</v>
      </c>
      <c r="M38" s="50">
        <f t="shared" si="9"/>
        <v>40</v>
      </c>
      <c r="N38" s="50">
        <f t="shared" si="9"/>
        <v>41</v>
      </c>
      <c r="O38" s="50">
        <f t="shared" si="9"/>
        <v>42</v>
      </c>
      <c r="P38" s="50">
        <f t="shared" si="9"/>
        <v>43</v>
      </c>
      <c r="Q38" s="50">
        <f t="shared" si="9"/>
        <v>45</v>
      </c>
      <c r="R38" s="50">
        <f t="shared" si="9"/>
        <v>46</v>
      </c>
      <c r="S38" s="50">
        <f t="shared" si="9"/>
        <v>47</v>
      </c>
      <c r="T38" s="50">
        <f t="shared" si="9"/>
        <v>49</v>
      </c>
      <c r="U38" s="50">
        <f t="shared" si="9"/>
        <v>50</v>
      </c>
      <c r="V38" s="50">
        <f t="shared" si="9"/>
        <v>52</v>
      </c>
      <c r="W38" s="50">
        <f t="shared" si="9"/>
        <v>52</v>
      </c>
      <c r="X38" s="50">
        <f t="shared" si="9"/>
        <v>52</v>
      </c>
      <c r="Y38" s="50">
        <f t="shared" si="9"/>
        <v>52</v>
      </c>
      <c r="Z38" s="50">
        <f t="shared" si="9"/>
        <v>52</v>
      </c>
      <c r="AA38" s="50">
        <f t="shared" si="9"/>
        <v>52</v>
      </c>
      <c r="AB38" s="50">
        <f t="shared" si="9"/>
        <v>52</v>
      </c>
      <c r="AC38" s="50">
        <f t="shared" si="9"/>
        <v>52</v>
      </c>
      <c r="AD38" s="50">
        <f t="shared" si="9"/>
        <v>52</v>
      </c>
      <c r="AE38" s="50">
        <f t="shared" si="9"/>
        <v>52</v>
      </c>
      <c r="AF38" s="50">
        <f t="shared" si="9"/>
        <v>52</v>
      </c>
    </row>
    <row r="39" spans="1:32" ht="15.75" customHeight="1">
      <c r="A39" s="521"/>
      <c r="B39" s="49" t="str">
        <f t="shared" si="0"/>
        <v>Pedra Furada - Alimentação</v>
      </c>
      <c r="C39" s="50">
        <f t="shared" ref="C39:AF39" si="10">IF($B39="","",ROUNDUP(C15/365,0))</f>
        <v>0</v>
      </c>
      <c r="D39" s="50">
        <f t="shared" si="10"/>
        <v>238</v>
      </c>
      <c r="E39" s="50">
        <f t="shared" si="10"/>
        <v>246</v>
      </c>
      <c r="F39" s="50">
        <f t="shared" si="10"/>
        <v>254</v>
      </c>
      <c r="G39" s="50">
        <f t="shared" si="10"/>
        <v>262</v>
      </c>
      <c r="H39" s="50">
        <f t="shared" si="10"/>
        <v>270</v>
      </c>
      <c r="I39" s="50">
        <f t="shared" si="10"/>
        <v>278</v>
      </c>
      <c r="J39" s="50">
        <f t="shared" si="10"/>
        <v>287</v>
      </c>
      <c r="K39" s="50">
        <f t="shared" si="10"/>
        <v>296</v>
      </c>
      <c r="L39" s="50">
        <f t="shared" si="10"/>
        <v>305</v>
      </c>
      <c r="M39" s="50">
        <f t="shared" si="10"/>
        <v>314</v>
      </c>
      <c r="N39" s="50">
        <f t="shared" si="10"/>
        <v>324</v>
      </c>
      <c r="O39" s="50">
        <f t="shared" si="10"/>
        <v>334</v>
      </c>
      <c r="P39" s="50">
        <f t="shared" si="10"/>
        <v>344</v>
      </c>
      <c r="Q39" s="50">
        <f t="shared" si="10"/>
        <v>354</v>
      </c>
      <c r="R39" s="50">
        <f t="shared" si="10"/>
        <v>365</v>
      </c>
      <c r="S39" s="50">
        <f t="shared" si="10"/>
        <v>376</v>
      </c>
      <c r="T39" s="50">
        <f t="shared" si="10"/>
        <v>387</v>
      </c>
      <c r="U39" s="50">
        <f t="shared" si="10"/>
        <v>399</v>
      </c>
      <c r="V39" s="50">
        <f t="shared" si="10"/>
        <v>410</v>
      </c>
      <c r="W39" s="50">
        <f t="shared" si="10"/>
        <v>410</v>
      </c>
      <c r="X39" s="50">
        <f t="shared" si="10"/>
        <v>410</v>
      </c>
      <c r="Y39" s="50">
        <f t="shared" si="10"/>
        <v>410</v>
      </c>
      <c r="Z39" s="50">
        <f t="shared" si="10"/>
        <v>410</v>
      </c>
      <c r="AA39" s="50">
        <f t="shared" si="10"/>
        <v>410</v>
      </c>
      <c r="AB39" s="50">
        <f t="shared" si="10"/>
        <v>410</v>
      </c>
      <c r="AC39" s="50">
        <f t="shared" si="10"/>
        <v>410</v>
      </c>
      <c r="AD39" s="50">
        <f t="shared" si="10"/>
        <v>410</v>
      </c>
      <c r="AE39" s="50">
        <f t="shared" si="10"/>
        <v>410</v>
      </c>
      <c r="AF39" s="50">
        <f t="shared" si="10"/>
        <v>410</v>
      </c>
    </row>
    <row r="40" spans="1:32" ht="15.75" customHeight="1">
      <c r="A40" s="521"/>
      <c r="B40" s="49" t="str">
        <f t="shared" si="0"/>
        <v>Pedra Furada - Comércio</v>
      </c>
      <c r="C40" s="50">
        <f t="shared" ref="C40:AF40" si="11">IF($B40="","",ROUNDUP(C16/365,0))</f>
        <v>0</v>
      </c>
      <c r="D40" s="50">
        <f t="shared" si="11"/>
        <v>40</v>
      </c>
      <c r="E40" s="50">
        <f t="shared" si="11"/>
        <v>41</v>
      </c>
      <c r="F40" s="50">
        <f t="shared" si="11"/>
        <v>43</v>
      </c>
      <c r="G40" s="50">
        <f t="shared" si="11"/>
        <v>44</v>
      </c>
      <c r="H40" s="50">
        <f t="shared" si="11"/>
        <v>45</v>
      </c>
      <c r="I40" s="50">
        <f t="shared" si="11"/>
        <v>47</v>
      </c>
      <c r="J40" s="50">
        <f t="shared" si="11"/>
        <v>48</v>
      </c>
      <c r="K40" s="50">
        <f t="shared" si="11"/>
        <v>50</v>
      </c>
      <c r="L40" s="50">
        <f t="shared" si="11"/>
        <v>51</v>
      </c>
      <c r="M40" s="50">
        <f t="shared" si="11"/>
        <v>53</v>
      </c>
      <c r="N40" s="50">
        <f t="shared" si="11"/>
        <v>54</v>
      </c>
      <c r="O40" s="50">
        <f t="shared" si="11"/>
        <v>56</v>
      </c>
      <c r="P40" s="50">
        <f t="shared" si="11"/>
        <v>58</v>
      </c>
      <c r="Q40" s="50">
        <f t="shared" si="11"/>
        <v>59</v>
      </c>
      <c r="R40" s="50">
        <f t="shared" si="11"/>
        <v>61</v>
      </c>
      <c r="S40" s="50">
        <f t="shared" si="11"/>
        <v>63</v>
      </c>
      <c r="T40" s="50">
        <f t="shared" si="11"/>
        <v>65</v>
      </c>
      <c r="U40" s="50">
        <f t="shared" si="11"/>
        <v>67</v>
      </c>
      <c r="V40" s="50">
        <f t="shared" si="11"/>
        <v>69</v>
      </c>
      <c r="W40" s="50">
        <f t="shared" si="11"/>
        <v>69</v>
      </c>
      <c r="X40" s="50">
        <f t="shared" si="11"/>
        <v>69</v>
      </c>
      <c r="Y40" s="50">
        <f t="shared" si="11"/>
        <v>69</v>
      </c>
      <c r="Z40" s="50">
        <f t="shared" si="11"/>
        <v>69</v>
      </c>
      <c r="AA40" s="50">
        <f t="shared" si="11"/>
        <v>69</v>
      </c>
      <c r="AB40" s="50">
        <f t="shared" si="11"/>
        <v>69</v>
      </c>
      <c r="AC40" s="50">
        <f t="shared" si="11"/>
        <v>69</v>
      </c>
      <c r="AD40" s="50">
        <f t="shared" si="11"/>
        <v>69</v>
      </c>
      <c r="AE40" s="50">
        <f t="shared" si="11"/>
        <v>69</v>
      </c>
      <c r="AF40" s="50">
        <f t="shared" si="11"/>
        <v>69</v>
      </c>
    </row>
    <row r="41" spans="1:32" ht="15.75" customHeight="1">
      <c r="A41" s="521"/>
      <c r="B41" s="49" t="str">
        <f t="shared" si="0"/>
        <v>Serrote - Alimentação</v>
      </c>
      <c r="C41" s="50">
        <f t="shared" ref="C41:AF41" si="12">IF($B41="","",ROUNDUP(C17/365,0))</f>
        <v>0</v>
      </c>
      <c r="D41" s="50">
        <f t="shared" si="12"/>
        <v>238</v>
      </c>
      <c r="E41" s="50">
        <f t="shared" si="12"/>
        <v>246</v>
      </c>
      <c r="F41" s="50">
        <f t="shared" si="12"/>
        <v>254</v>
      </c>
      <c r="G41" s="50">
        <f t="shared" si="12"/>
        <v>262</v>
      </c>
      <c r="H41" s="50">
        <f t="shared" si="12"/>
        <v>270</v>
      </c>
      <c r="I41" s="50">
        <f t="shared" si="12"/>
        <v>278</v>
      </c>
      <c r="J41" s="50">
        <f t="shared" si="12"/>
        <v>287</v>
      </c>
      <c r="K41" s="50">
        <f t="shared" si="12"/>
        <v>296</v>
      </c>
      <c r="L41" s="50">
        <f t="shared" si="12"/>
        <v>305</v>
      </c>
      <c r="M41" s="50">
        <f t="shared" si="12"/>
        <v>314</v>
      </c>
      <c r="N41" s="50">
        <f t="shared" si="12"/>
        <v>324</v>
      </c>
      <c r="O41" s="50">
        <f t="shared" si="12"/>
        <v>334</v>
      </c>
      <c r="P41" s="50">
        <f t="shared" si="12"/>
        <v>344</v>
      </c>
      <c r="Q41" s="50">
        <f t="shared" si="12"/>
        <v>354</v>
      </c>
      <c r="R41" s="50">
        <f t="shared" si="12"/>
        <v>365</v>
      </c>
      <c r="S41" s="50">
        <f t="shared" si="12"/>
        <v>376</v>
      </c>
      <c r="T41" s="50">
        <f t="shared" si="12"/>
        <v>387</v>
      </c>
      <c r="U41" s="50">
        <f t="shared" si="12"/>
        <v>399</v>
      </c>
      <c r="V41" s="50">
        <f t="shared" si="12"/>
        <v>410</v>
      </c>
      <c r="W41" s="50">
        <f t="shared" si="12"/>
        <v>410</v>
      </c>
      <c r="X41" s="50">
        <f t="shared" si="12"/>
        <v>410</v>
      </c>
      <c r="Y41" s="50">
        <f t="shared" si="12"/>
        <v>410</v>
      </c>
      <c r="Z41" s="50">
        <f t="shared" si="12"/>
        <v>410</v>
      </c>
      <c r="AA41" s="50">
        <f t="shared" si="12"/>
        <v>410</v>
      </c>
      <c r="AB41" s="50">
        <f t="shared" si="12"/>
        <v>410</v>
      </c>
      <c r="AC41" s="50">
        <f t="shared" si="12"/>
        <v>410</v>
      </c>
      <c r="AD41" s="50">
        <f t="shared" si="12"/>
        <v>410</v>
      </c>
      <c r="AE41" s="50">
        <f t="shared" si="12"/>
        <v>410</v>
      </c>
      <c r="AF41" s="50">
        <f t="shared" si="12"/>
        <v>410</v>
      </c>
    </row>
    <row r="42" spans="1:32" ht="15.75" customHeight="1">
      <c r="A42" s="521"/>
      <c r="B42" s="49" t="str">
        <f t="shared" si="0"/>
        <v>Serrote - Comércio</v>
      </c>
      <c r="C42" s="50">
        <f t="shared" ref="C42:AF42" si="13">IF($B42="","",ROUNDUP(C18/365,0))</f>
        <v>0</v>
      </c>
      <c r="D42" s="50">
        <f t="shared" si="13"/>
        <v>40</v>
      </c>
      <c r="E42" s="50">
        <f t="shared" si="13"/>
        <v>41</v>
      </c>
      <c r="F42" s="50">
        <f t="shared" si="13"/>
        <v>43</v>
      </c>
      <c r="G42" s="50">
        <f t="shared" si="13"/>
        <v>44</v>
      </c>
      <c r="H42" s="50">
        <f t="shared" si="13"/>
        <v>45</v>
      </c>
      <c r="I42" s="50">
        <f t="shared" si="13"/>
        <v>47</v>
      </c>
      <c r="J42" s="50">
        <f t="shared" si="13"/>
        <v>48</v>
      </c>
      <c r="K42" s="50">
        <f t="shared" si="13"/>
        <v>50</v>
      </c>
      <c r="L42" s="50">
        <f t="shared" si="13"/>
        <v>51</v>
      </c>
      <c r="M42" s="50">
        <f t="shared" si="13"/>
        <v>53</v>
      </c>
      <c r="N42" s="50">
        <f t="shared" si="13"/>
        <v>54</v>
      </c>
      <c r="O42" s="50">
        <f t="shared" si="13"/>
        <v>56</v>
      </c>
      <c r="P42" s="50">
        <f t="shared" si="13"/>
        <v>58</v>
      </c>
      <c r="Q42" s="50">
        <f t="shared" si="13"/>
        <v>59</v>
      </c>
      <c r="R42" s="50">
        <f t="shared" si="13"/>
        <v>61</v>
      </c>
      <c r="S42" s="50">
        <f t="shared" si="13"/>
        <v>63</v>
      </c>
      <c r="T42" s="50">
        <f t="shared" si="13"/>
        <v>65</v>
      </c>
      <c r="U42" s="50">
        <f t="shared" si="13"/>
        <v>67</v>
      </c>
      <c r="V42" s="50">
        <f t="shared" si="13"/>
        <v>69</v>
      </c>
      <c r="W42" s="50">
        <f t="shared" si="13"/>
        <v>69</v>
      </c>
      <c r="X42" s="50">
        <f t="shared" si="13"/>
        <v>69</v>
      </c>
      <c r="Y42" s="50">
        <f t="shared" si="13"/>
        <v>69</v>
      </c>
      <c r="Z42" s="50">
        <f t="shared" si="13"/>
        <v>69</v>
      </c>
      <c r="AA42" s="50">
        <f t="shared" si="13"/>
        <v>69</v>
      </c>
      <c r="AB42" s="50">
        <f t="shared" si="13"/>
        <v>69</v>
      </c>
      <c r="AC42" s="50">
        <f t="shared" si="13"/>
        <v>69</v>
      </c>
      <c r="AD42" s="50">
        <f t="shared" si="13"/>
        <v>69</v>
      </c>
      <c r="AE42" s="50">
        <f t="shared" si="13"/>
        <v>69</v>
      </c>
      <c r="AF42" s="50">
        <f t="shared" si="13"/>
        <v>69</v>
      </c>
    </row>
    <row r="43" spans="1:32" ht="15.75" customHeight="1">
      <c r="A43" s="521"/>
      <c r="B43" s="49" t="str">
        <f t="shared" si="0"/>
        <v>Paraíso - Alimentação</v>
      </c>
      <c r="C43" s="50">
        <f t="shared" ref="C43:AF43" si="14">IF($B43="","",ROUNDUP(C19/365,0))</f>
        <v>0</v>
      </c>
      <c r="D43" s="50">
        <f t="shared" si="14"/>
        <v>238</v>
      </c>
      <c r="E43" s="50">
        <f t="shared" si="14"/>
        <v>246</v>
      </c>
      <c r="F43" s="50">
        <f t="shared" si="14"/>
        <v>254</v>
      </c>
      <c r="G43" s="50">
        <f t="shared" si="14"/>
        <v>262</v>
      </c>
      <c r="H43" s="50">
        <f t="shared" si="14"/>
        <v>270</v>
      </c>
      <c r="I43" s="50">
        <f t="shared" si="14"/>
        <v>278</v>
      </c>
      <c r="J43" s="50">
        <f t="shared" si="14"/>
        <v>287</v>
      </c>
      <c r="K43" s="50">
        <f t="shared" si="14"/>
        <v>296</v>
      </c>
      <c r="L43" s="50">
        <f t="shared" si="14"/>
        <v>305</v>
      </c>
      <c r="M43" s="50">
        <f t="shared" si="14"/>
        <v>314</v>
      </c>
      <c r="N43" s="50">
        <f t="shared" si="14"/>
        <v>324</v>
      </c>
      <c r="O43" s="50">
        <f t="shared" si="14"/>
        <v>334</v>
      </c>
      <c r="P43" s="50">
        <f t="shared" si="14"/>
        <v>344</v>
      </c>
      <c r="Q43" s="50">
        <f t="shared" si="14"/>
        <v>354</v>
      </c>
      <c r="R43" s="50">
        <f t="shared" si="14"/>
        <v>365</v>
      </c>
      <c r="S43" s="50">
        <f t="shared" si="14"/>
        <v>376</v>
      </c>
      <c r="T43" s="50">
        <f t="shared" si="14"/>
        <v>387</v>
      </c>
      <c r="U43" s="50">
        <f t="shared" si="14"/>
        <v>399</v>
      </c>
      <c r="V43" s="50">
        <f t="shared" si="14"/>
        <v>410</v>
      </c>
      <c r="W43" s="50">
        <f t="shared" si="14"/>
        <v>410</v>
      </c>
      <c r="X43" s="50">
        <f t="shared" si="14"/>
        <v>410</v>
      </c>
      <c r="Y43" s="50">
        <f t="shared" si="14"/>
        <v>410</v>
      </c>
      <c r="Z43" s="50">
        <f t="shared" si="14"/>
        <v>410</v>
      </c>
      <c r="AA43" s="50">
        <f t="shared" si="14"/>
        <v>410</v>
      </c>
      <c r="AB43" s="50">
        <f t="shared" si="14"/>
        <v>410</v>
      </c>
      <c r="AC43" s="50">
        <f t="shared" si="14"/>
        <v>410</v>
      </c>
      <c r="AD43" s="50">
        <f t="shared" si="14"/>
        <v>410</v>
      </c>
      <c r="AE43" s="50">
        <f t="shared" si="14"/>
        <v>410</v>
      </c>
      <c r="AF43" s="50">
        <f t="shared" si="14"/>
        <v>410</v>
      </c>
    </row>
    <row r="44" spans="1:32" ht="15.75" customHeight="1">
      <c r="A44" s="521"/>
      <c r="B44" s="49" t="str">
        <f t="shared" si="0"/>
        <v>Paraíso - Comércio + Locação + Atividades</v>
      </c>
      <c r="C44" s="50">
        <f t="shared" ref="C44:AF44" si="15">IF($B44="","",ROUNDUP(C20/365,0))</f>
        <v>0</v>
      </c>
      <c r="D44" s="50">
        <f t="shared" si="15"/>
        <v>40</v>
      </c>
      <c r="E44" s="50">
        <f t="shared" si="15"/>
        <v>41</v>
      </c>
      <c r="F44" s="50">
        <f t="shared" si="15"/>
        <v>43</v>
      </c>
      <c r="G44" s="50">
        <f t="shared" si="15"/>
        <v>44</v>
      </c>
      <c r="H44" s="50">
        <f t="shared" si="15"/>
        <v>45</v>
      </c>
      <c r="I44" s="50">
        <f t="shared" si="15"/>
        <v>47</v>
      </c>
      <c r="J44" s="50">
        <f t="shared" si="15"/>
        <v>48</v>
      </c>
      <c r="K44" s="50">
        <f t="shared" si="15"/>
        <v>50</v>
      </c>
      <c r="L44" s="50">
        <f t="shared" si="15"/>
        <v>51</v>
      </c>
      <c r="M44" s="50">
        <f t="shared" si="15"/>
        <v>53</v>
      </c>
      <c r="N44" s="50">
        <f t="shared" si="15"/>
        <v>54</v>
      </c>
      <c r="O44" s="50">
        <f t="shared" si="15"/>
        <v>56</v>
      </c>
      <c r="P44" s="50">
        <f t="shared" si="15"/>
        <v>58</v>
      </c>
      <c r="Q44" s="50">
        <f t="shared" si="15"/>
        <v>59</v>
      </c>
      <c r="R44" s="50">
        <f t="shared" si="15"/>
        <v>61</v>
      </c>
      <c r="S44" s="50">
        <f t="shared" si="15"/>
        <v>63</v>
      </c>
      <c r="T44" s="50">
        <f t="shared" si="15"/>
        <v>65</v>
      </c>
      <c r="U44" s="50">
        <f t="shared" si="15"/>
        <v>67</v>
      </c>
      <c r="V44" s="50">
        <f t="shared" si="15"/>
        <v>69</v>
      </c>
      <c r="W44" s="50">
        <f t="shared" si="15"/>
        <v>69</v>
      </c>
      <c r="X44" s="50">
        <f t="shared" si="15"/>
        <v>69</v>
      </c>
      <c r="Y44" s="50">
        <f t="shared" si="15"/>
        <v>69</v>
      </c>
      <c r="Z44" s="50">
        <f t="shared" si="15"/>
        <v>69</v>
      </c>
      <c r="AA44" s="50">
        <f t="shared" si="15"/>
        <v>69</v>
      </c>
      <c r="AB44" s="50">
        <f t="shared" si="15"/>
        <v>69</v>
      </c>
      <c r="AC44" s="50">
        <f t="shared" si="15"/>
        <v>69</v>
      </c>
      <c r="AD44" s="50">
        <f t="shared" si="15"/>
        <v>69</v>
      </c>
      <c r="AE44" s="50">
        <f t="shared" si="15"/>
        <v>69</v>
      </c>
      <c r="AF44" s="50">
        <f t="shared" si="15"/>
        <v>69</v>
      </c>
    </row>
    <row r="45" spans="1:32" ht="15.75" customHeight="1">
      <c r="A45" s="521"/>
      <c r="B45" s="49" t="str">
        <f t="shared" si="0"/>
        <v>Geral - Unidade móvel - Alimentação</v>
      </c>
      <c r="C45" s="50">
        <f t="shared" ref="C45:AF45" si="16">IF($B45="","",ROUNDUP(C21/365,0))</f>
        <v>0</v>
      </c>
      <c r="D45" s="50">
        <f t="shared" si="16"/>
        <v>60</v>
      </c>
      <c r="E45" s="50">
        <f t="shared" si="16"/>
        <v>62</v>
      </c>
      <c r="F45" s="50">
        <f t="shared" si="16"/>
        <v>64</v>
      </c>
      <c r="G45" s="50">
        <f t="shared" si="16"/>
        <v>66</v>
      </c>
      <c r="H45" s="50">
        <f t="shared" si="16"/>
        <v>68</v>
      </c>
      <c r="I45" s="50">
        <f t="shared" si="16"/>
        <v>70</v>
      </c>
      <c r="J45" s="50">
        <f t="shared" si="16"/>
        <v>72</v>
      </c>
      <c r="K45" s="50">
        <f t="shared" si="16"/>
        <v>74</v>
      </c>
      <c r="L45" s="50">
        <f t="shared" si="16"/>
        <v>77</v>
      </c>
      <c r="M45" s="50">
        <f t="shared" si="16"/>
        <v>79</v>
      </c>
      <c r="N45" s="50">
        <f t="shared" si="16"/>
        <v>81</v>
      </c>
      <c r="O45" s="50">
        <f t="shared" si="16"/>
        <v>84</v>
      </c>
      <c r="P45" s="50">
        <f t="shared" si="16"/>
        <v>86</v>
      </c>
      <c r="Q45" s="50">
        <f t="shared" si="16"/>
        <v>89</v>
      </c>
      <c r="R45" s="50">
        <f t="shared" si="16"/>
        <v>92</v>
      </c>
      <c r="S45" s="50">
        <f t="shared" si="16"/>
        <v>94</v>
      </c>
      <c r="T45" s="50">
        <f t="shared" si="16"/>
        <v>97</v>
      </c>
      <c r="U45" s="50">
        <f t="shared" si="16"/>
        <v>100</v>
      </c>
      <c r="V45" s="50">
        <f t="shared" si="16"/>
        <v>103</v>
      </c>
      <c r="W45" s="50">
        <f t="shared" si="16"/>
        <v>103</v>
      </c>
      <c r="X45" s="50">
        <f t="shared" si="16"/>
        <v>103</v>
      </c>
      <c r="Y45" s="50">
        <f t="shared" si="16"/>
        <v>103</v>
      </c>
      <c r="Z45" s="50">
        <f t="shared" si="16"/>
        <v>103</v>
      </c>
      <c r="AA45" s="50">
        <f t="shared" si="16"/>
        <v>103</v>
      </c>
      <c r="AB45" s="50">
        <f t="shared" si="16"/>
        <v>103</v>
      </c>
      <c r="AC45" s="50">
        <f t="shared" si="16"/>
        <v>103</v>
      </c>
      <c r="AD45" s="50">
        <f t="shared" si="16"/>
        <v>103</v>
      </c>
      <c r="AE45" s="50">
        <f t="shared" si="16"/>
        <v>103</v>
      </c>
      <c r="AF45" s="50">
        <f t="shared" si="16"/>
        <v>103</v>
      </c>
    </row>
    <row r="46" spans="1:32" ht="15.75" customHeight="1">
      <c r="A46" s="521"/>
      <c r="B46" s="49" t="str">
        <f t="shared" si="0"/>
        <v>Mangue Seco - Estacionamento</v>
      </c>
      <c r="C46" s="50">
        <f t="shared" ref="C46:AF46" si="17">IF($B46="","",ROUNDUP(C22/365,0))</f>
        <v>0</v>
      </c>
      <c r="D46" s="50">
        <f t="shared" si="17"/>
        <v>8</v>
      </c>
      <c r="E46" s="50">
        <f t="shared" si="17"/>
        <v>8</v>
      </c>
      <c r="F46" s="50">
        <f t="shared" si="17"/>
        <v>8</v>
      </c>
      <c r="G46" s="50">
        <f t="shared" si="17"/>
        <v>9</v>
      </c>
      <c r="H46" s="50">
        <f t="shared" si="17"/>
        <v>9</v>
      </c>
      <c r="I46" s="50">
        <f t="shared" si="17"/>
        <v>9</v>
      </c>
      <c r="J46" s="50">
        <f t="shared" si="17"/>
        <v>9</v>
      </c>
      <c r="K46" s="50">
        <f t="shared" si="17"/>
        <v>10</v>
      </c>
      <c r="L46" s="50">
        <f t="shared" si="17"/>
        <v>10</v>
      </c>
      <c r="M46" s="50">
        <f t="shared" si="17"/>
        <v>10</v>
      </c>
      <c r="N46" s="50">
        <f t="shared" si="17"/>
        <v>11</v>
      </c>
      <c r="O46" s="50">
        <f t="shared" si="17"/>
        <v>11</v>
      </c>
      <c r="P46" s="50">
        <f t="shared" si="17"/>
        <v>11</v>
      </c>
      <c r="Q46" s="50">
        <f t="shared" si="17"/>
        <v>12</v>
      </c>
      <c r="R46" s="50">
        <f t="shared" si="17"/>
        <v>12</v>
      </c>
      <c r="S46" s="50">
        <f t="shared" si="17"/>
        <v>12</v>
      </c>
      <c r="T46" s="50">
        <f t="shared" si="17"/>
        <v>13</v>
      </c>
      <c r="U46" s="50">
        <f t="shared" si="17"/>
        <v>13</v>
      </c>
      <c r="V46" s="50">
        <f t="shared" si="17"/>
        <v>13</v>
      </c>
      <c r="W46" s="50">
        <f t="shared" si="17"/>
        <v>13</v>
      </c>
      <c r="X46" s="50">
        <f t="shared" si="17"/>
        <v>13</v>
      </c>
      <c r="Y46" s="50">
        <f t="shared" si="17"/>
        <v>13</v>
      </c>
      <c r="Z46" s="50">
        <f t="shared" si="17"/>
        <v>13</v>
      </c>
      <c r="AA46" s="50">
        <f t="shared" si="17"/>
        <v>13</v>
      </c>
      <c r="AB46" s="50">
        <f t="shared" si="17"/>
        <v>13</v>
      </c>
      <c r="AC46" s="50">
        <f t="shared" si="17"/>
        <v>13</v>
      </c>
      <c r="AD46" s="50">
        <f t="shared" si="17"/>
        <v>13</v>
      </c>
      <c r="AE46" s="50">
        <f t="shared" si="17"/>
        <v>13</v>
      </c>
      <c r="AF46" s="50">
        <f t="shared" si="17"/>
        <v>13</v>
      </c>
    </row>
    <row r="47" spans="1:32" ht="15.75" customHeight="1">
      <c r="A47" s="521"/>
      <c r="B47" s="49" t="str">
        <f t="shared" si="0"/>
        <v>Lagoa Grande - Estacionamento</v>
      </c>
      <c r="C47" s="50">
        <f t="shared" ref="C47:AF47" si="18">IF($B47="","",ROUNDUP(C23/365,0))</f>
        <v>0</v>
      </c>
      <c r="D47" s="50">
        <f t="shared" si="18"/>
        <v>8</v>
      </c>
      <c r="E47" s="50">
        <f t="shared" si="18"/>
        <v>8</v>
      </c>
      <c r="F47" s="50">
        <f t="shared" si="18"/>
        <v>8</v>
      </c>
      <c r="G47" s="50">
        <f t="shared" si="18"/>
        <v>9</v>
      </c>
      <c r="H47" s="50">
        <f t="shared" si="18"/>
        <v>9</v>
      </c>
      <c r="I47" s="50">
        <f t="shared" si="18"/>
        <v>9</v>
      </c>
      <c r="J47" s="50">
        <f t="shared" si="18"/>
        <v>9</v>
      </c>
      <c r="K47" s="50">
        <f t="shared" si="18"/>
        <v>10</v>
      </c>
      <c r="L47" s="50">
        <f t="shared" si="18"/>
        <v>10</v>
      </c>
      <c r="M47" s="50">
        <f t="shared" si="18"/>
        <v>10</v>
      </c>
      <c r="N47" s="50">
        <f t="shared" si="18"/>
        <v>11</v>
      </c>
      <c r="O47" s="50">
        <f t="shared" si="18"/>
        <v>11</v>
      </c>
      <c r="P47" s="50">
        <f t="shared" si="18"/>
        <v>11</v>
      </c>
      <c r="Q47" s="50">
        <f t="shared" si="18"/>
        <v>12</v>
      </c>
      <c r="R47" s="50">
        <f t="shared" si="18"/>
        <v>12</v>
      </c>
      <c r="S47" s="50">
        <f t="shared" si="18"/>
        <v>12</v>
      </c>
      <c r="T47" s="50">
        <f t="shared" si="18"/>
        <v>13</v>
      </c>
      <c r="U47" s="50">
        <f t="shared" si="18"/>
        <v>13</v>
      </c>
      <c r="V47" s="50">
        <f t="shared" si="18"/>
        <v>13</v>
      </c>
      <c r="W47" s="50">
        <f t="shared" si="18"/>
        <v>13</v>
      </c>
      <c r="X47" s="50">
        <f t="shared" si="18"/>
        <v>13</v>
      </c>
      <c r="Y47" s="50">
        <f t="shared" si="18"/>
        <v>13</v>
      </c>
      <c r="Z47" s="50">
        <f t="shared" si="18"/>
        <v>13</v>
      </c>
      <c r="AA47" s="50">
        <f t="shared" si="18"/>
        <v>13</v>
      </c>
      <c r="AB47" s="50">
        <f t="shared" si="18"/>
        <v>13</v>
      </c>
      <c r="AC47" s="50">
        <f t="shared" si="18"/>
        <v>13</v>
      </c>
      <c r="AD47" s="50">
        <f t="shared" si="18"/>
        <v>13</v>
      </c>
      <c r="AE47" s="50">
        <f t="shared" si="18"/>
        <v>13</v>
      </c>
      <c r="AF47" s="50">
        <f t="shared" si="18"/>
        <v>13</v>
      </c>
    </row>
    <row r="48" spans="1:32" ht="15.75" customHeight="1">
      <c r="A48" s="521"/>
      <c r="B48" s="49" t="str">
        <f t="shared" si="0"/>
        <v/>
      </c>
      <c r="C48" s="50" t="str">
        <f t="shared" ref="C48:AF48" si="19">IF($B48="","",ROUNDUP(C24/365,0))</f>
        <v/>
      </c>
      <c r="D48" s="50" t="str">
        <f t="shared" si="19"/>
        <v/>
      </c>
      <c r="E48" s="50" t="str">
        <f t="shared" si="19"/>
        <v/>
      </c>
      <c r="F48" s="50" t="str">
        <f t="shared" si="19"/>
        <v/>
      </c>
      <c r="G48" s="50" t="str">
        <f t="shared" si="19"/>
        <v/>
      </c>
      <c r="H48" s="50" t="str">
        <f t="shared" si="19"/>
        <v/>
      </c>
      <c r="I48" s="50" t="str">
        <f t="shared" si="19"/>
        <v/>
      </c>
      <c r="J48" s="50" t="str">
        <f t="shared" si="19"/>
        <v/>
      </c>
      <c r="K48" s="50" t="str">
        <f t="shared" si="19"/>
        <v/>
      </c>
      <c r="L48" s="50" t="str">
        <f t="shared" si="19"/>
        <v/>
      </c>
      <c r="M48" s="50" t="str">
        <f t="shared" si="19"/>
        <v/>
      </c>
      <c r="N48" s="50" t="str">
        <f t="shared" si="19"/>
        <v/>
      </c>
      <c r="O48" s="50" t="str">
        <f t="shared" si="19"/>
        <v/>
      </c>
      <c r="P48" s="50" t="str">
        <f t="shared" si="19"/>
        <v/>
      </c>
      <c r="Q48" s="50" t="str">
        <f t="shared" si="19"/>
        <v/>
      </c>
      <c r="R48" s="50" t="str">
        <f t="shared" si="19"/>
        <v/>
      </c>
      <c r="S48" s="50" t="str">
        <f t="shared" si="19"/>
        <v/>
      </c>
      <c r="T48" s="50" t="str">
        <f t="shared" si="19"/>
        <v/>
      </c>
      <c r="U48" s="50" t="str">
        <f t="shared" si="19"/>
        <v/>
      </c>
      <c r="V48" s="50" t="str">
        <f t="shared" si="19"/>
        <v/>
      </c>
      <c r="W48" s="50" t="str">
        <f t="shared" si="19"/>
        <v/>
      </c>
      <c r="X48" s="50" t="str">
        <f t="shared" si="19"/>
        <v/>
      </c>
      <c r="Y48" s="50" t="str">
        <f t="shared" si="19"/>
        <v/>
      </c>
      <c r="Z48" s="50" t="str">
        <f t="shared" si="19"/>
        <v/>
      </c>
      <c r="AA48" s="50" t="str">
        <f t="shared" si="19"/>
        <v/>
      </c>
      <c r="AB48" s="50" t="str">
        <f t="shared" si="19"/>
        <v/>
      </c>
      <c r="AC48" s="50" t="str">
        <f t="shared" si="19"/>
        <v/>
      </c>
      <c r="AD48" s="50" t="str">
        <f t="shared" si="19"/>
        <v/>
      </c>
      <c r="AE48" s="50" t="str">
        <f t="shared" si="19"/>
        <v/>
      </c>
      <c r="AF48" s="50" t="str">
        <f t="shared" si="19"/>
        <v/>
      </c>
    </row>
    <row r="49" spans="1:32" ht="15.75" customHeight="1">
      <c r="A49" s="521"/>
      <c r="B49" s="49" t="str">
        <f t="shared" si="0"/>
        <v/>
      </c>
      <c r="C49" s="50" t="str">
        <f t="shared" ref="C49:AF49" si="20">IF($B49="","",ROUNDUP(C25/365,0))</f>
        <v/>
      </c>
      <c r="D49" s="50" t="str">
        <f t="shared" si="20"/>
        <v/>
      </c>
      <c r="E49" s="50" t="str">
        <f t="shared" si="20"/>
        <v/>
      </c>
      <c r="F49" s="50" t="str">
        <f t="shared" si="20"/>
        <v/>
      </c>
      <c r="G49" s="50" t="str">
        <f t="shared" si="20"/>
        <v/>
      </c>
      <c r="H49" s="50" t="str">
        <f t="shared" si="20"/>
        <v/>
      </c>
      <c r="I49" s="50" t="str">
        <f t="shared" si="20"/>
        <v/>
      </c>
      <c r="J49" s="50" t="str">
        <f t="shared" si="20"/>
        <v/>
      </c>
      <c r="K49" s="50" t="str">
        <f t="shared" si="20"/>
        <v/>
      </c>
      <c r="L49" s="50" t="str">
        <f t="shared" si="20"/>
        <v/>
      </c>
      <c r="M49" s="50" t="str">
        <f t="shared" si="20"/>
        <v/>
      </c>
      <c r="N49" s="50" t="str">
        <f t="shared" si="20"/>
        <v/>
      </c>
      <c r="O49" s="50" t="str">
        <f t="shared" si="20"/>
        <v/>
      </c>
      <c r="P49" s="50" t="str">
        <f t="shared" si="20"/>
        <v/>
      </c>
      <c r="Q49" s="50" t="str">
        <f t="shared" si="20"/>
        <v/>
      </c>
      <c r="R49" s="50" t="str">
        <f t="shared" si="20"/>
        <v/>
      </c>
      <c r="S49" s="50" t="str">
        <f t="shared" si="20"/>
        <v/>
      </c>
      <c r="T49" s="50" t="str">
        <f t="shared" si="20"/>
        <v/>
      </c>
      <c r="U49" s="50" t="str">
        <f t="shared" si="20"/>
        <v/>
      </c>
      <c r="V49" s="50" t="str">
        <f t="shared" si="20"/>
        <v/>
      </c>
      <c r="W49" s="50" t="str">
        <f t="shared" si="20"/>
        <v/>
      </c>
      <c r="X49" s="50" t="str">
        <f t="shared" si="20"/>
        <v/>
      </c>
      <c r="Y49" s="50" t="str">
        <f t="shared" si="20"/>
        <v/>
      </c>
      <c r="Z49" s="50" t="str">
        <f t="shared" si="20"/>
        <v/>
      </c>
      <c r="AA49" s="50" t="str">
        <f t="shared" si="20"/>
        <v/>
      </c>
      <c r="AB49" s="50" t="str">
        <f t="shared" si="20"/>
        <v/>
      </c>
      <c r="AC49" s="50" t="str">
        <f t="shared" si="20"/>
        <v/>
      </c>
      <c r="AD49" s="50" t="str">
        <f t="shared" si="20"/>
        <v/>
      </c>
      <c r="AE49" s="50" t="str">
        <f t="shared" si="20"/>
        <v/>
      </c>
      <c r="AF49" s="50" t="str">
        <f t="shared" si="20"/>
        <v/>
      </c>
    </row>
  </sheetData>
  <mergeCells count="5">
    <mergeCell ref="B2:W2"/>
    <mergeCell ref="B4:B5"/>
    <mergeCell ref="C4:AF4"/>
    <mergeCell ref="B28:B29"/>
    <mergeCell ref="C28:AF28"/>
  </mergeCells>
  <pageMargins left="0.51181102362204722" right="0.51181102362204722" top="0.78740157480314965" bottom="0.7874015748031496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>
    <tabColor rgb="FFA8D08D"/>
    <pageSetUpPr fitToPage="1"/>
  </sheetPr>
  <dimension ref="A1:AG47"/>
  <sheetViews>
    <sheetView workbookViewId="0">
      <pane xSplit="2" topLeftCell="T1" activePane="topRight" state="frozen"/>
      <selection pane="topRight"/>
    </sheetView>
  </sheetViews>
  <sheetFormatPr defaultColWidth="11.44140625" defaultRowHeight="15" customHeight="1"/>
  <cols>
    <col min="1" max="1" width="3" customWidth="1"/>
    <col min="2" max="2" width="46" customWidth="1"/>
    <col min="3" max="3" width="10.5546875" customWidth="1"/>
    <col min="4" max="4" width="12.5546875" customWidth="1"/>
    <col min="5" max="32" width="10.5546875" customWidth="1"/>
    <col min="33" max="33" width="9.21875" customWidth="1"/>
  </cols>
  <sheetData>
    <row r="1" spans="1:33" ht="15" customHeight="1">
      <c r="A1" s="520"/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</row>
    <row r="2" spans="1:33" ht="27" customHeight="1">
      <c r="A2" s="522"/>
      <c r="B2" s="523" t="s">
        <v>149</v>
      </c>
      <c r="C2" s="527"/>
      <c r="D2" s="527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523"/>
      <c r="U2" s="523"/>
      <c r="V2" s="523"/>
      <c r="W2" s="523"/>
      <c r="X2" s="523"/>
      <c r="Y2" s="523"/>
      <c r="Z2" s="523"/>
      <c r="AA2" s="523"/>
      <c r="AB2" s="523"/>
      <c r="AC2" s="523"/>
      <c r="AD2" s="523"/>
      <c r="AE2" s="523"/>
      <c r="AF2" s="523"/>
      <c r="AG2" s="522"/>
    </row>
    <row r="3" spans="1:33" ht="12" customHeight="1">
      <c r="A3" s="521"/>
      <c r="B3" s="522"/>
      <c r="C3" s="522"/>
      <c r="D3" s="522"/>
      <c r="E3" s="522"/>
      <c r="F3" s="522"/>
      <c r="G3" s="522"/>
      <c r="H3" s="522"/>
      <c r="I3" s="522"/>
      <c r="J3" s="522"/>
      <c r="K3" s="522"/>
      <c r="L3" s="522"/>
      <c r="M3" s="522"/>
      <c r="N3" s="522"/>
      <c r="O3" s="522"/>
      <c r="P3" s="522"/>
      <c r="Q3" s="522"/>
      <c r="R3" s="522"/>
      <c r="S3" s="522"/>
      <c r="T3" s="522"/>
      <c r="U3" s="522"/>
      <c r="V3" s="522"/>
      <c r="W3" s="522"/>
      <c r="X3" s="522"/>
      <c r="Y3" s="522"/>
      <c r="Z3" s="522"/>
      <c r="AA3" s="522"/>
      <c r="AB3" s="522"/>
      <c r="AC3" s="522"/>
      <c r="AD3" s="522"/>
      <c r="AE3" s="522"/>
      <c r="AF3" s="522"/>
      <c r="AG3" s="522"/>
    </row>
    <row r="4" spans="1:33" ht="12" customHeight="1">
      <c r="A4" s="505"/>
      <c r="B4" s="524" t="s">
        <v>150</v>
      </c>
      <c r="C4" s="522"/>
      <c r="D4" s="524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8" t="s">
        <v>151</v>
      </c>
      <c r="AG4" s="522"/>
    </row>
    <row r="5" spans="1:33" ht="41.25" customHeight="1">
      <c r="A5" s="505"/>
      <c r="B5" s="529" t="s">
        <v>146</v>
      </c>
      <c r="C5" s="763" t="s">
        <v>147</v>
      </c>
      <c r="D5" s="813"/>
      <c r="E5" s="813"/>
      <c r="F5" s="813"/>
      <c r="G5" s="813"/>
      <c r="H5" s="813"/>
      <c r="I5" s="813"/>
      <c r="J5" s="813"/>
      <c r="K5" s="813"/>
      <c r="L5" s="813"/>
      <c r="M5" s="813"/>
      <c r="N5" s="813"/>
      <c r="O5" s="813"/>
      <c r="P5" s="813"/>
      <c r="Q5" s="813"/>
      <c r="R5" s="813"/>
      <c r="S5" s="813"/>
      <c r="T5" s="813"/>
      <c r="U5" s="813"/>
      <c r="V5" s="813"/>
      <c r="W5" s="813"/>
      <c r="X5" s="813"/>
      <c r="Y5" s="813"/>
      <c r="Z5" s="813"/>
      <c r="AA5" s="813"/>
      <c r="AB5" s="813"/>
      <c r="AC5" s="813"/>
      <c r="AD5" s="813"/>
      <c r="AE5" s="813"/>
      <c r="AF5" s="813"/>
      <c r="AG5" s="522"/>
    </row>
    <row r="6" spans="1:33" ht="12" customHeight="1">
      <c r="A6" s="505"/>
      <c r="B6" s="530" t="s">
        <v>147</v>
      </c>
      <c r="C6" s="509">
        <v>1</v>
      </c>
      <c r="D6" s="509">
        <v>2</v>
      </c>
      <c r="E6" s="509">
        <v>3</v>
      </c>
      <c r="F6" s="509">
        <v>4</v>
      </c>
      <c r="G6" s="509">
        <v>5</v>
      </c>
      <c r="H6" s="509">
        <v>6</v>
      </c>
      <c r="I6" s="509">
        <v>7</v>
      </c>
      <c r="J6" s="509">
        <v>8</v>
      </c>
      <c r="K6" s="509">
        <v>9</v>
      </c>
      <c r="L6" s="509">
        <v>10</v>
      </c>
      <c r="M6" s="509">
        <v>11</v>
      </c>
      <c r="N6" s="509">
        <v>12</v>
      </c>
      <c r="O6" s="509">
        <v>13</v>
      </c>
      <c r="P6" s="509">
        <v>14</v>
      </c>
      <c r="Q6" s="509">
        <v>15</v>
      </c>
      <c r="R6" s="509">
        <v>16</v>
      </c>
      <c r="S6" s="509">
        <v>17</v>
      </c>
      <c r="T6" s="509">
        <v>18</v>
      </c>
      <c r="U6" s="509">
        <v>19</v>
      </c>
      <c r="V6" s="509">
        <v>20</v>
      </c>
      <c r="W6" s="509">
        <v>21</v>
      </c>
      <c r="X6" s="509">
        <v>22</v>
      </c>
      <c r="Y6" s="509">
        <v>23</v>
      </c>
      <c r="Z6" s="509">
        <v>24</v>
      </c>
      <c r="AA6" s="509">
        <v>25</v>
      </c>
      <c r="AB6" s="509">
        <v>26</v>
      </c>
      <c r="AC6" s="509">
        <v>27</v>
      </c>
      <c r="AD6" s="509">
        <v>28</v>
      </c>
      <c r="AE6" s="509">
        <v>29</v>
      </c>
      <c r="AF6" s="509">
        <v>30</v>
      </c>
      <c r="AG6" s="531"/>
    </row>
    <row r="7" spans="1:33" ht="12" customHeight="1">
      <c r="A7" s="505"/>
      <c r="B7" s="51" t="str">
        <f>'A1 - Serviços e demanda'!A20</f>
        <v>Ingresso</v>
      </c>
      <c r="C7" s="52">
        <f>IFERROR('A3 - Demanda Anual Agregada '!C6*'A2 - Preços'!AT5*VLOOKUP($B7,SN_UGC,28,0),0)</f>
        <v>14119245</v>
      </c>
      <c r="D7" s="52">
        <f>IFERROR('A3 - Demanda Anual Agregada '!D6*'A2 - Preços'!AU5*VLOOKUP($B7,SN_UGC,28,0),0)</f>
        <v>29212677</v>
      </c>
      <c r="E7" s="52">
        <f>IFERROR('A3 - Demanda Anual Agregada '!E6*'A2 - Preços'!AV5*VLOOKUP($B7,SN_UGC,28,0),0)</f>
        <v>30220317</v>
      </c>
      <c r="F7" s="52">
        <f>IFERROR('A3 - Demanda Anual Agregada '!F6*'A2 - Preços'!AW5*VLOOKUP($B7,SN_UGC,28,0),0)</f>
        <v>31196286</v>
      </c>
      <c r="G7" s="52">
        <f>IFERROR('A3 - Demanda Anual Agregada '!G6*'A2 - Preços'!AX5*VLOOKUP($B7,SN_UGC,28,0),0)</f>
        <v>32187753</v>
      </c>
      <c r="H7" s="52">
        <f>IFERROR('A3 - Demanda Anual Agregada '!H6*'A2 - Preços'!AY5*VLOOKUP($B7,SN_UGC,28,0),0)</f>
        <v>33196608</v>
      </c>
      <c r="I7" s="52">
        <f>IFERROR('A3 - Demanda Anual Agregada '!I6*'A2 - Preços'!AZ5*VLOOKUP($B7,SN_UGC,28,0),0)</f>
        <v>34233894</v>
      </c>
      <c r="J7" s="52">
        <f>IFERROR('A3 - Demanda Anual Agregada '!J6*'A2 - Preços'!BA5*VLOOKUP($B7,SN_UGC,28,0),0)</f>
        <v>35301447</v>
      </c>
      <c r="K7" s="52">
        <f>IFERROR('A3 - Demanda Anual Agregada '!K6*'A2 - Preços'!BB5*VLOOKUP($B7,SN_UGC,28,0),0)</f>
        <v>36388440</v>
      </c>
      <c r="L7" s="52">
        <f>IFERROR('A3 - Demanda Anual Agregada '!L6*'A2 - Preços'!BC5*VLOOKUP($B7,SN_UGC,28,0),0)</f>
        <v>37495737</v>
      </c>
      <c r="M7" s="52">
        <f>IFERROR('A3 - Demanda Anual Agregada '!M6*'A2 - Preços'!BD5*VLOOKUP($B7,SN_UGC,28,0),0)</f>
        <v>38637648</v>
      </c>
      <c r="N7" s="52">
        <f>IFERROR('A3 - Demanda Anual Agregada '!N6*'A2 - Preços'!BE5*VLOOKUP($B7,SN_UGC,28,0),0)</f>
        <v>39813741</v>
      </c>
      <c r="O7" s="52">
        <f>IFERROR('A3 - Demanda Anual Agregada '!O6*'A2 - Preços'!BF5*VLOOKUP($B7,SN_UGC,28,0),0)</f>
        <v>41027391</v>
      </c>
      <c r="P7" s="52">
        <f>IFERROR('A3 - Demanda Anual Agregada '!P6*'A2 - Preços'!BG5*VLOOKUP($B7,SN_UGC,28,0),0)</f>
        <v>42277707</v>
      </c>
      <c r="Q7" s="52">
        <f>IFERROR('A3 - Demanda Anual Agregada '!Q6*'A2 - Preços'!BH5*VLOOKUP($B7,SN_UGC,28,0),0)</f>
        <v>43565607</v>
      </c>
      <c r="R7" s="52">
        <f>IFERROR('A3 - Demanda Anual Agregada '!R6*'A2 - Preços'!BI5*VLOOKUP($B7,SN_UGC,28,0),0)</f>
        <v>44888823</v>
      </c>
      <c r="S7" s="52">
        <f>IFERROR('A3 - Demanda Anual Agregada '!S6*'A2 - Preços'!BJ5*VLOOKUP($B7,SN_UGC,28,0),0)</f>
        <v>46245735</v>
      </c>
      <c r="T7" s="52">
        <f>IFERROR('A3 - Demanda Anual Agregada '!T6*'A2 - Preços'!BK5*VLOOKUP($B7,SN_UGC,28,0),0)</f>
        <v>47631537</v>
      </c>
      <c r="U7" s="52">
        <f>IFERROR('A3 - Demanda Anual Agregada '!U6*'A2 - Preços'!BL5*VLOOKUP($B7,SN_UGC,28,0),0)</f>
        <v>49042692</v>
      </c>
      <c r="V7" s="52">
        <f>IFERROR('A3 - Demanda Anual Agregada '!V6*'A2 - Preços'!BM5*VLOOKUP($B7,SN_UGC,28,0),0)</f>
        <v>50472639</v>
      </c>
      <c r="W7" s="52">
        <f>IFERROR('A3 - Demanda Anual Agregada '!W6*'A2 - Preços'!BN5*VLOOKUP($B7,SN_UGC,28,0),0)</f>
        <v>50472639</v>
      </c>
      <c r="X7" s="52">
        <f>IFERROR('A3 - Demanda Anual Agregada '!X6*'A2 - Preços'!BO5*VLOOKUP($B7,SN_UGC,28,0),0)</f>
        <v>50472639</v>
      </c>
      <c r="Y7" s="52">
        <f>IFERROR('A3 - Demanda Anual Agregada '!Y6*'A2 - Preços'!BP5*VLOOKUP($B7,SN_UGC,28,0),0)</f>
        <v>50472639</v>
      </c>
      <c r="Z7" s="52">
        <f>IFERROR('A3 - Demanda Anual Agregada '!Z6*'A2 - Preços'!BQ5*VLOOKUP($B7,SN_UGC,28,0),0)</f>
        <v>50472639</v>
      </c>
      <c r="AA7" s="52">
        <f>IFERROR('A3 - Demanda Anual Agregada '!AA6*'A2 - Preços'!BR5*VLOOKUP($B7,SN_UGC,28,0),0)</f>
        <v>50472639</v>
      </c>
      <c r="AB7" s="52">
        <f>IFERROR('A3 - Demanda Anual Agregada '!AB6*'A2 - Preços'!BS5*VLOOKUP($B7,SN_UGC,28,0),0)</f>
        <v>50472639</v>
      </c>
      <c r="AC7" s="52">
        <f>IFERROR('A3 - Demanda Anual Agregada '!AC6*'A2 - Preços'!BT5*VLOOKUP($B7,SN_UGC,28,0),0)</f>
        <v>50472639</v>
      </c>
      <c r="AD7" s="52">
        <f>IFERROR('A3 - Demanda Anual Agregada '!AD6*'A2 - Preços'!BU5*VLOOKUP($B7,SN_UGC,28,0),0)</f>
        <v>50472639</v>
      </c>
      <c r="AE7" s="52">
        <f>IFERROR('A3 - Demanda Anual Agregada '!AE6*'A2 - Preços'!BV5*VLOOKUP($B7,SN_UGC,28,0),0)</f>
        <v>50472639</v>
      </c>
      <c r="AF7" s="52">
        <f>IFERROR('A3 - Demanda Anual Agregada '!AF6*'A2 - Preços'!BW5*VLOOKUP($B7,SN_UGC,28,0),0)</f>
        <v>50472639</v>
      </c>
      <c r="AG7" s="532">
        <f t="shared" ref="AG7:AG12" si="0">SUM(C7:AF7)/SUM(C$27:AF$27)</f>
        <v>0.69036659979776926</v>
      </c>
    </row>
    <row r="8" spans="1:33" ht="12" customHeight="1">
      <c r="A8" s="505"/>
      <c r="B8" s="51" t="str">
        <f>'A1 - Serviços e demanda'!A21</f>
        <v>Preá - Alimentação</v>
      </c>
      <c r="C8" s="52">
        <f>IFERROR('A3 - Demanda Anual Agregada '!C7*'A2 - Preços'!AT6*VLOOKUP($B8,SN_UGC,28,0),0)</f>
        <v>0</v>
      </c>
      <c r="D8" s="52">
        <f>IFERROR('A3 - Demanda Anual Agregada '!D7*'A2 - Preços'!AU6*VLOOKUP($B8,SN_UGC,28,0),0)</f>
        <v>2163900</v>
      </c>
      <c r="E8" s="52">
        <f>IFERROR('A3 - Demanda Anual Agregada '!E7*'A2 - Preços'!AV6*VLOOKUP($B8,SN_UGC,28,0),0)</f>
        <v>2238550</v>
      </c>
      <c r="F8" s="52">
        <f>IFERROR('A3 - Demanda Anual Agregada '!F7*'A2 - Preços'!AW6*VLOOKUP($B8,SN_UGC,28,0),0)</f>
        <v>2310825</v>
      </c>
      <c r="G8" s="52">
        <f>IFERROR('A3 - Demanda Anual Agregada '!G7*'A2 - Preços'!AX6*VLOOKUP($B8,SN_UGC,28,0),0)</f>
        <v>2384275</v>
      </c>
      <c r="H8" s="52">
        <f>IFERROR('A3 - Demanda Anual Agregada '!H7*'A2 - Preços'!AY6*VLOOKUP($B8,SN_UGC,28,0),0)</f>
        <v>2459000</v>
      </c>
      <c r="I8" s="52">
        <f>IFERROR('A3 - Demanda Anual Agregada '!I7*'A2 - Preços'!AZ6*VLOOKUP($B8,SN_UGC,28,0),0)</f>
        <v>2535850</v>
      </c>
      <c r="J8" s="52">
        <f>IFERROR('A3 - Demanda Anual Agregada '!J7*'A2 - Preços'!BA6*VLOOKUP($B8,SN_UGC,28,0),0)</f>
        <v>2614925</v>
      </c>
      <c r="K8" s="52">
        <f>IFERROR('A3 - Demanda Anual Agregada '!K7*'A2 - Preços'!BB6*VLOOKUP($B8,SN_UGC,28,0),0)</f>
        <v>2695450</v>
      </c>
      <c r="L8" s="52">
        <f>IFERROR('A3 - Demanda Anual Agregada '!L7*'A2 - Preços'!BC6*VLOOKUP($B8,SN_UGC,28,0),0)</f>
        <v>2777450</v>
      </c>
      <c r="M8" s="52">
        <f>IFERROR('A3 - Demanda Anual Agregada '!M7*'A2 - Preços'!BD6*VLOOKUP($B8,SN_UGC,28,0),0)</f>
        <v>2862050</v>
      </c>
      <c r="N8" s="52">
        <f>IFERROR('A3 - Demanda Anual Agregada '!N7*'A2 - Preços'!BE6*VLOOKUP($B8,SN_UGC,28,0),0)</f>
        <v>2949175</v>
      </c>
      <c r="O8" s="52">
        <f>IFERROR('A3 - Demanda Anual Agregada '!O7*'A2 - Preços'!BF6*VLOOKUP($B8,SN_UGC,28,0),0)</f>
        <v>3039075</v>
      </c>
      <c r="P8" s="52">
        <f>IFERROR('A3 - Demanda Anual Agregada '!P7*'A2 - Preços'!BG6*VLOOKUP($B8,SN_UGC,28,0),0)</f>
        <v>3131675</v>
      </c>
      <c r="Q8" s="52">
        <f>IFERROR('A3 - Demanda Anual Agregada '!Q7*'A2 - Preços'!BH6*VLOOKUP($B8,SN_UGC,28,0),0)</f>
        <v>3227075</v>
      </c>
      <c r="R8" s="52">
        <f>IFERROR('A3 - Demanda Anual Agregada '!R7*'A2 - Preços'!BI6*VLOOKUP($B8,SN_UGC,28,0),0)</f>
        <v>3325100</v>
      </c>
      <c r="S8" s="52">
        <f>IFERROR('A3 - Demanda Anual Agregada '!S7*'A2 - Preços'!BJ6*VLOOKUP($B8,SN_UGC,28,0),0)</f>
        <v>3425600</v>
      </c>
      <c r="T8" s="52">
        <f>IFERROR('A3 - Demanda Anual Agregada '!T7*'A2 - Preços'!BK6*VLOOKUP($B8,SN_UGC,28,0),0)</f>
        <v>3528250</v>
      </c>
      <c r="U8" s="52">
        <f>IFERROR('A3 - Demanda Anual Agregada '!U7*'A2 - Preços'!BL6*VLOOKUP($B8,SN_UGC,28,0),0)</f>
        <v>3632800</v>
      </c>
      <c r="V8" s="52">
        <f>IFERROR('A3 - Demanda Anual Agregada '!V7*'A2 - Preços'!BM6*VLOOKUP($B8,SN_UGC,28,0),0)</f>
        <v>3738725</v>
      </c>
      <c r="W8" s="52">
        <f>IFERROR('A3 - Demanda Anual Agregada '!W7*'A2 - Preços'!BN6*VLOOKUP($B8,SN_UGC,28,0),0)</f>
        <v>3738725</v>
      </c>
      <c r="X8" s="52">
        <f>IFERROR('A3 - Demanda Anual Agregada '!X7*'A2 - Preços'!BO6*VLOOKUP($B8,SN_UGC,28,0),0)</f>
        <v>3738725</v>
      </c>
      <c r="Y8" s="52">
        <f>IFERROR('A3 - Demanda Anual Agregada '!Y7*'A2 - Preços'!BP6*VLOOKUP($B8,SN_UGC,28,0),0)</f>
        <v>3738725</v>
      </c>
      <c r="Z8" s="52">
        <f>IFERROR('A3 - Demanda Anual Agregada '!Z7*'A2 - Preços'!BQ6*VLOOKUP($B8,SN_UGC,28,0),0)</f>
        <v>3738725</v>
      </c>
      <c r="AA8" s="52">
        <f>IFERROR('A3 - Demanda Anual Agregada '!AA7*'A2 - Preços'!BR6*VLOOKUP($B8,SN_UGC,28,0),0)</f>
        <v>3738725</v>
      </c>
      <c r="AB8" s="52">
        <f>IFERROR('A3 - Demanda Anual Agregada '!AB7*'A2 - Preços'!BS6*VLOOKUP($B8,SN_UGC,28,0),0)</f>
        <v>3738725</v>
      </c>
      <c r="AC8" s="52">
        <f>IFERROR('A3 - Demanda Anual Agregada '!AC7*'A2 - Preços'!BT6*VLOOKUP($B8,SN_UGC,28,0),0)</f>
        <v>3738725</v>
      </c>
      <c r="AD8" s="52">
        <f>IFERROR('A3 - Demanda Anual Agregada '!AD7*'A2 - Preços'!BU6*VLOOKUP($B8,SN_UGC,28,0),0)</f>
        <v>3738725</v>
      </c>
      <c r="AE8" s="52">
        <f>IFERROR('A3 - Demanda Anual Agregada '!AE7*'A2 - Preços'!BV6*VLOOKUP($B8,SN_UGC,28,0),0)</f>
        <v>3738725</v>
      </c>
      <c r="AF8" s="52">
        <f>IFERROR('A3 - Demanda Anual Agregada '!AF7*'A2 - Preços'!BW6*VLOOKUP($B8,SN_UGC,28,0),0)</f>
        <v>3738725</v>
      </c>
      <c r="AG8" s="532">
        <f t="shared" si="0"/>
        <v>5.0566136803394821E-2</v>
      </c>
    </row>
    <row r="9" spans="1:33" ht="12" customHeight="1">
      <c r="A9" s="505"/>
      <c r="B9" s="51" t="str">
        <f>'A1 - Serviços e demanda'!A22</f>
        <v>Preá - Comércio</v>
      </c>
      <c r="C9" s="52">
        <f>IFERROR('A3 - Demanda Anual Agregada '!C8*'A2 - Preços'!AT7*VLOOKUP($B9,SN_UGC,28,0),0)</f>
        <v>0</v>
      </c>
      <c r="D9" s="52">
        <f>IFERROR('A3 - Demanda Anual Agregada '!D8*'A2 - Preços'!AU7*VLOOKUP($B9,SN_UGC,28,0),0)</f>
        <v>721300</v>
      </c>
      <c r="E9" s="52">
        <f>IFERROR('A3 - Demanda Anual Agregada '!E8*'A2 - Preços'!AV7*VLOOKUP($B9,SN_UGC,28,0),0)</f>
        <v>746200</v>
      </c>
      <c r="F9" s="52">
        <f>IFERROR('A3 - Demanda Anual Agregada '!F8*'A2 - Preços'!AW7*VLOOKUP($B9,SN_UGC,28,0),0)</f>
        <v>770300</v>
      </c>
      <c r="G9" s="52">
        <f>IFERROR('A3 - Demanda Anual Agregada '!G8*'A2 - Preços'!AX7*VLOOKUP($B9,SN_UGC,28,0),0)</f>
        <v>794750</v>
      </c>
      <c r="H9" s="52">
        <f>IFERROR('A3 - Demanda Anual Agregada '!H8*'A2 - Preços'!AY7*VLOOKUP($B9,SN_UGC,28,0),0)</f>
        <v>819650</v>
      </c>
      <c r="I9" s="52">
        <f>IFERROR('A3 - Demanda Anual Agregada '!I8*'A2 - Preços'!AZ7*VLOOKUP($B9,SN_UGC,28,0),0)</f>
        <v>845300</v>
      </c>
      <c r="J9" s="52">
        <f>IFERROR('A3 - Demanda Anual Agregada '!J8*'A2 - Preços'!BA7*VLOOKUP($B9,SN_UGC,28,0),0)</f>
        <v>871650</v>
      </c>
      <c r="K9" s="52">
        <f>IFERROR('A3 - Demanda Anual Agregada '!K8*'A2 - Preços'!BB7*VLOOKUP($B9,SN_UGC,28,0),0)</f>
        <v>898500</v>
      </c>
      <c r="L9" s="52">
        <f>IFERROR('A3 - Demanda Anual Agregada '!L8*'A2 - Preços'!BC7*VLOOKUP($B9,SN_UGC,28,0),0)</f>
        <v>925800</v>
      </c>
      <c r="M9" s="52">
        <f>IFERROR('A3 - Demanda Anual Agregada '!M8*'A2 - Preços'!BD7*VLOOKUP($B9,SN_UGC,28,0),0)</f>
        <v>954000</v>
      </c>
      <c r="N9" s="52">
        <f>IFERROR('A3 - Demanda Anual Agregada '!N8*'A2 - Preços'!BE7*VLOOKUP($B9,SN_UGC,28,0),0)</f>
        <v>983050</v>
      </c>
      <c r="O9" s="52">
        <f>IFERROR('A3 - Demanda Anual Agregada '!O8*'A2 - Preços'!BF7*VLOOKUP($B9,SN_UGC,28,0),0)</f>
        <v>1013000</v>
      </c>
      <c r="P9" s="52">
        <f>IFERROR('A3 - Demanda Anual Agregada '!P8*'A2 - Preços'!BG7*VLOOKUP($B9,SN_UGC,28,0),0)</f>
        <v>1043900</v>
      </c>
      <c r="Q9" s="52">
        <f>IFERROR('A3 - Demanda Anual Agregada '!Q8*'A2 - Preços'!BH7*VLOOKUP($B9,SN_UGC,28,0),0)</f>
        <v>1075700</v>
      </c>
      <c r="R9" s="52">
        <f>IFERROR('A3 - Demanda Anual Agregada '!R8*'A2 - Preços'!BI7*VLOOKUP($B9,SN_UGC,28,0),0)</f>
        <v>1108350</v>
      </c>
      <c r="S9" s="52">
        <f>IFERROR('A3 - Demanda Anual Agregada '!S8*'A2 - Preços'!BJ7*VLOOKUP($B9,SN_UGC,28,0),0)</f>
        <v>1141850</v>
      </c>
      <c r="T9" s="52">
        <f>IFERROR('A3 - Demanda Anual Agregada '!T8*'A2 - Preços'!BK7*VLOOKUP($B9,SN_UGC,28,0),0)</f>
        <v>1176100</v>
      </c>
      <c r="U9" s="52">
        <f>IFERROR('A3 - Demanda Anual Agregada '!U8*'A2 - Preços'!BL7*VLOOKUP($B9,SN_UGC,28,0),0)</f>
        <v>1210950</v>
      </c>
      <c r="V9" s="52">
        <f>IFERROR('A3 - Demanda Anual Agregada '!V8*'A2 - Preços'!BM7*VLOOKUP($B9,SN_UGC,28,0),0)</f>
        <v>1246250</v>
      </c>
      <c r="W9" s="52">
        <f>IFERROR('A3 - Demanda Anual Agregada '!W8*'A2 - Preços'!BN7*VLOOKUP($B9,SN_UGC,28,0),0)</f>
        <v>1246250</v>
      </c>
      <c r="X9" s="52">
        <f>IFERROR('A3 - Demanda Anual Agregada '!X8*'A2 - Preços'!BO7*VLOOKUP($B9,SN_UGC,28,0),0)</f>
        <v>1246250</v>
      </c>
      <c r="Y9" s="52">
        <f>IFERROR('A3 - Demanda Anual Agregada '!Y8*'A2 - Preços'!BP7*VLOOKUP($B9,SN_UGC,28,0),0)</f>
        <v>1246250</v>
      </c>
      <c r="Z9" s="52">
        <f>IFERROR('A3 - Demanda Anual Agregada '!Z8*'A2 - Preços'!BQ7*VLOOKUP($B9,SN_UGC,28,0),0)</f>
        <v>1246250</v>
      </c>
      <c r="AA9" s="52">
        <f>IFERROR('A3 - Demanda Anual Agregada '!AA8*'A2 - Preços'!BR7*VLOOKUP($B9,SN_UGC,28,0),0)</f>
        <v>1246250</v>
      </c>
      <c r="AB9" s="52">
        <f>IFERROR('A3 - Demanda Anual Agregada '!AB8*'A2 - Preços'!BS7*VLOOKUP($B9,SN_UGC,28,0),0)</f>
        <v>1246250</v>
      </c>
      <c r="AC9" s="52">
        <f>IFERROR('A3 - Demanda Anual Agregada '!AC8*'A2 - Preços'!BT7*VLOOKUP($B9,SN_UGC,28,0),0)</f>
        <v>1246250</v>
      </c>
      <c r="AD9" s="52">
        <f>IFERROR('A3 - Demanda Anual Agregada '!AD8*'A2 - Preços'!BU7*VLOOKUP($B9,SN_UGC,28,0),0)</f>
        <v>1246250</v>
      </c>
      <c r="AE9" s="52">
        <f>IFERROR('A3 - Demanda Anual Agregada '!AE8*'A2 - Preços'!BV7*VLOOKUP($B9,SN_UGC,28,0),0)</f>
        <v>1246250</v>
      </c>
      <c r="AF9" s="52">
        <f>IFERROR('A3 - Demanda Anual Agregada '!AF8*'A2 - Preços'!BW7*VLOOKUP($B9,SN_UGC,28,0),0)</f>
        <v>1246250</v>
      </c>
      <c r="AG9" s="532">
        <f t="shared" si="0"/>
        <v>1.6855433643734746E-2</v>
      </c>
    </row>
    <row r="10" spans="1:33" ht="12" customHeight="1">
      <c r="A10" s="505"/>
      <c r="B10" s="51" t="str">
        <f>'A1 - Serviços e demanda'!A23</f>
        <v>Preá - Estacionamento</v>
      </c>
      <c r="C10" s="52">
        <f>IFERROR('A3 - Demanda Anual Agregada '!C9*'A2 - Preços'!AT8*VLOOKUP($B10,SN_UGC,28,0),0)</f>
        <v>0</v>
      </c>
      <c r="D10" s="52">
        <f>IFERROR('A3 - Demanda Anual Agregada '!D9*'A2 - Preços'!AU8*VLOOKUP($B10,SN_UGC,28,0),0)</f>
        <v>1168506</v>
      </c>
      <c r="E10" s="52">
        <f>IFERROR('A3 - Demanda Anual Agregada '!E9*'A2 - Preços'!AV8*VLOOKUP($B10,SN_UGC,28,0),0)</f>
        <v>1208790</v>
      </c>
      <c r="F10" s="52">
        <f>IFERROR('A3 - Demanda Anual Agregada '!F9*'A2 - Preços'!AW8*VLOOKUP($B10,SN_UGC,28,0),0)</f>
        <v>1247832</v>
      </c>
      <c r="G10" s="52">
        <f>IFERROR('A3 - Demanda Anual Agregada '!G9*'A2 - Preços'!AX8*VLOOKUP($B10,SN_UGC,28,0),0)</f>
        <v>1287522</v>
      </c>
      <c r="H10" s="52">
        <f>IFERROR('A3 - Demanda Anual Agregada '!H9*'A2 - Preços'!AY8*VLOOKUP($B10,SN_UGC,28,0),0)</f>
        <v>1327860</v>
      </c>
      <c r="I10" s="52">
        <f>IFERROR('A3 - Demanda Anual Agregada '!I9*'A2 - Preços'!AZ8*VLOOKUP($B10,SN_UGC,28,0),0)</f>
        <v>1369332</v>
      </c>
      <c r="J10" s="52">
        <f>IFERROR('A3 - Demanda Anual Agregada '!J9*'A2 - Preços'!BA8*VLOOKUP($B10,SN_UGC,28,0),0)</f>
        <v>1412046</v>
      </c>
      <c r="K10" s="52">
        <f>IFERROR('A3 - Demanda Anual Agregada '!K9*'A2 - Preços'!BB8*VLOOKUP($B10,SN_UGC,28,0),0)</f>
        <v>1455516</v>
      </c>
      <c r="L10" s="52">
        <f>IFERROR('A3 - Demanda Anual Agregada '!L9*'A2 - Preços'!BC8*VLOOKUP($B10,SN_UGC,28,0),0)</f>
        <v>1499850</v>
      </c>
      <c r="M10" s="52">
        <f>IFERROR('A3 - Demanda Anual Agregada '!M9*'A2 - Preços'!BD8*VLOOKUP($B10,SN_UGC,28,0),0)</f>
        <v>1545480</v>
      </c>
      <c r="N10" s="52">
        <f>IFERROR('A3 - Demanda Anual Agregada '!N9*'A2 - Preços'!BE8*VLOOKUP($B10,SN_UGC,28,0),0)</f>
        <v>1592568</v>
      </c>
      <c r="O10" s="52">
        <f>IFERROR('A3 - Demanda Anual Agregada '!O9*'A2 - Preços'!BF8*VLOOKUP($B10,SN_UGC,28,0),0)</f>
        <v>1641114</v>
      </c>
      <c r="P10" s="52">
        <f>IFERROR('A3 - Demanda Anual Agregada '!P9*'A2 - Preços'!BG8*VLOOKUP($B10,SN_UGC,28,0),0)</f>
        <v>1691118</v>
      </c>
      <c r="Q10" s="52">
        <f>IFERROR('A3 - Demanda Anual Agregada '!Q9*'A2 - Preços'!BH8*VLOOKUP($B10,SN_UGC,28,0),0)</f>
        <v>1742634</v>
      </c>
      <c r="R10" s="52">
        <f>IFERROR('A3 - Demanda Anual Agregada '!R9*'A2 - Preços'!BI8*VLOOKUP($B10,SN_UGC,28,0),0)</f>
        <v>1795554</v>
      </c>
      <c r="S10" s="52">
        <f>IFERROR('A3 - Demanda Anual Agregada '!S9*'A2 - Preços'!BJ8*VLOOKUP($B10,SN_UGC,28,0),0)</f>
        <v>1849824</v>
      </c>
      <c r="T10" s="52">
        <f>IFERROR('A3 - Demanda Anual Agregada '!T9*'A2 - Preços'!BK8*VLOOKUP($B10,SN_UGC,28,0),0)</f>
        <v>1905282</v>
      </c>
      <c r="U10" s="52">
        <f>IFERROR('A3 - Demanda Anual Agregada '!U9*'A2 - Preços'!BL8*VLOOKUP($B10,SN_UGC,28,0),0)</f>
        <v>1961712</v>
      </c>
      <c r="V10" s="52">
        <f>IFERROR('A3 - Demanda Anual Agregada '!V9*'A2 - Preços'!BM8*VLOOKUP($B10,SN_UGC,28,0),0)</f>
        <v>2018898</v>
      </c>
      <c r="W10" s="52">
        <f>IFERROR('A3 - Demanda Anual Agregada '!W9*'A2 - Preços'!BN8*VLOOKUP($B10,SN_UGC,28,0),0)</f>
        <v>2018898</v>
      </c>
      <c r="X10" s="52">
        <f>IFERROR('A3 - Demanda Anual Agregada '!X9*'A2 - Preços'!BO8*VLOOKUP($B10,SN_UGC,28,0),0)</f>
        <v>2018898</v>
      </c>
      <c r="Y10" s="52">
        <f>IFERROR('A3 - Demanda Anual Agregada '!Y9*'A2 - Preços'!BP8*VLOOKUP($B10,SN_UGC,28,0),0)</f>
        <v>2018898</v>
      </c>
      <c r="Z10" s="52">
        <f>IFERROR('A3 - Demanda Anual Agregada '!Z9*'A2 - Preços'!BQ8*VLOOKUP($B10,SN_UGC,28,0),0)</f>
        <v>2018898</v>
      </c>
      <c r="AA10" s="52">
        <f>IFERROR('A3 - Demanda Anual Agregada '!AA9*'A2 - Preços'!BR8*VLOOKUP($B10,SN_UGC,28,0),0)</f>
        <v>2018898</v>
      </c>
      <c r="AB10" s="52">
        <f>IFERROR('A3 - Demanda Anual Agregada '!AB9*'A2 - Preços'!BS8*VLOOKUP($B10,SN_UGC,28,0),0)</f>
        <v>2018898</v>
      </c>
      <c r="AC10" s="52">
        <f>IFERROR('A3 - Demanda Anual Agregada '!AC9*'A2 - Preços'!BT8*VLOOKUP($B10,SN_UGC,28,0),0)</f>
        <v>2018898</v>
      </c>
      <c r="AD10" s="52">
        <f>IFERROR('A3 - Demanda Anual Agregada '!AD9*'A2 - Preços'!BU8*VLOOKUP($B10,SN_UGC,28,0),0)</f>
        <v>2018898</v>
      </c>
      <c r="AE10" s="52">
        <f>IFERROR('A3 - Demanda Anual Agregada '!AE9*'A2 - Preços'!BV8*VLOOKUP($B10,SN_UGC,28,0),0)</f>
        <v>2018898</v>
      </c>
      <c r="AF10" s="52">
        <f>IFERROR('A3 - Demanda Anual Agregada '!AF9*'A2 - Preços'!BW8*VLOOKUP($B10,SN_UGC,28,0),0)</f>
        <v>2018898</v>
      </c>
      <c r="AG10" s="532">
        <f t="shared" si="0"/>
        <v>2.7305625244816119E-2</v>
      </c>
    </row>
    <row r="11" spans="1:33" ht="12" customHeight="1">
      <c r="A11" s="505"/>
      <c r="B11" s="51" t="str">
        <f>'A1 - Serviços e demanda'!A24</f>
        <v>Árvore da Preguiça - Alimentação</v>
      </c>
      <c r="C11" s="52">
        <f>IFERROR('A3 - Demanda Anual Agregada '!C10*'A2 - Preços'!AT9*VLOOKUP($B11,SN_UGC,28,0),0)</f>
        <v>0</v>
      </c>
      <c r="D11" s="52">
        <f>IFERROR('A3 - Demanda Anual Agregada '!D10*'A2 - Preços'!AU9*VLOOKUP($B11,SN_UGC,28,0),0)</f>
        <v>2163900</v>
      </c>
      <c r="E11" s="52">
        <f>IFERROR('A3 - Demanda Anual Agregada '!E10*'A2 - Preços'!AV9*VLOOKUP($B11,SN_UGC,28,0),0)</f>
        <v>2238550</v>
      </c>
      <c r="F11" s="52">
        <f>IFERROR('A3 - Demanda Anual Agregada '!F10*'A2 - Preços'!AW9*VLOOKUP($B11,SN_UGC,28,0),0)</f>
        <v>2310825</v>
      </c>
      <c r="G11" s="52">
        <f>IFERROR('A3 - Demanda Anual Agregada '!G10*'A2 - Preços'!AX9*VLOOKUP($B11,SN_UGC,28,0),0)</f>
        <v>2384275</v>
      </c>
      <c r="H11" s="52">
        <f>IFERROR('A3 - Demanda Anual Agregada '!H10*'A2 - Preços'!AY9*VLOOKUP($B11,SN_UGC,28,0),0)</f>
        <v>2459000</v>
      </c>
      <c r="I11" s="52">
        <f>IFERROR('A3 - Demanda Anual Agregada '!I10*'A2 - Preços'!AZ9*VLOOKUP($B11,SN_UGC,28,0),0)</f>
        <v>2535850</v>
      </c>
      <c r="J11" s="52">
        <f>IFERROR('A3 - Demanda Anual Agregada '!J10*'A2 - Preços'!BA9*VLOOKUP($B11,SN_UGC,28,0),0)</f>
        <v>2614925</v>
      </c>
      <c r="K11" s="52">
        <f>IFERROR('A3 - Demanda Anual Agregada '!K10*'A2 - Preços'!BB9*VLOOKUP($B11,SN_UGC,28,0),0)</f>
        <v>2695450</v>
      </c>
      <c r="L11" s="52">
        <f>IFERROR('A3 - Demanda Anual Agregada '!L10*'A2 - Preços'!BC9*VLOOKUP($B11,SN_UGC,28,0),0)</f>
        <v>2777450</v>
      </c>
      <c r="M11" s="52">
        <f>IFERROR('A3 - Demanda Anual Agregada '!M10*'A2 - Preços'!BD9*VLOOKUP($B11,SN_UGC,28,0),0)</f>
        <v>2862050</v>
      </c>
      <c r="N11" s="52">
        <f>IFERROR('A3 - Demanda Anual Agregada '!N10*'A2 - Preços'!BE9*VLOOKUP($B11,SN_UGC,28,0),0)</f>
        <v>2949175</v>
      </c>
      <c r="O11" s="52">
        <f>IFERROR('A3 - Demanda Anual Agregada '!O10*'A2 - Preços'!BF9*VLOOKUP($B11,SN_UGC,28,0),0)</f>
        <v>3039075</v>
      </c>
      <c r="P11" s="52">
        <f>IFERROR('A3 - Demanda Anual Agregada '!P10*'A2 - Preços'!BG9*VLOOKUP($B11,SN_UGC,28,0),0)</f>
        <v>3131675</v>
      </c>
      <c r="Q11" s="52">
        <f>IFERROR('A3 - Demanda Anual Agregada '!Q10*'A2 - Preços'!BH9*VLOOKUP($B11,SN_UGC,28,0),0)</f>
        <v>3227075</v>
      </c>
      <c r="R11" s="52">
        <f>IFERROR('A3 - Demanda Anual Agregada '!R10*'A2 - Preços'!BI9*VLOOKUP($B11,SN_UGC,28,0),0)</f>
        <v>3325100</v>
      </c>
      <c r="S11" s="52">
        <f>IFERROR('A3 - Demanda Anual Agregada '!S10*'A2 - Preços'!BJ9*VLOOKUP($B11,SN_UGC,28,0),0)</f>
        <v>3425600</v>
      </c>
      <c r="T11" s="52">
        <f>IFERROR('A3 - Demanda Anual Agregada '!T10*'A2 - Preços'!BK9*VLOOKUP($B11,SN_UGC,28,0),0)</f>
        <v>3528250</v>
      </c>
      <c r="U11" s="52">
        <f>IFERROR('A3 - Demanda Anual Agregada '!U10*'A2 - Preços'!BL9*VLOOKUP($B11,SN_UGC,28,0),0)</f>
        <v>3632800</v>
      </c>
      <c r="V11" s="52">
        <f>IFERROR('A3 - Demanda Anual Agregada '!V10*'A2 - Preços'!BM9*VLOOKUP($B11,SN_UGC,28,0),0)</f>
        <v>3738725</v>
      </c>
      <c r="W11" s="52">
        <f>IFERROR('A3 - Demanda Anual Agregada '!W10*'A2 - Preços'!BN9*VLOOKUP($B11,SN_UGC,28,0),0)</f>
        <v>3738725</v>
      </c>
      <c r="X11" s="52">
        <f>IFERROR('A3 - Demanda Anual Agregada '!X10*'A2 - Preços'!BO9*VLOOKUP($B11,SN_UGC,28,0),0)</f>
        <v>3738725</v>
      </c>
      <c r="Y11" s="52">
        <f>IFERROR('A3 - Demanda Anual Agregada '!Y10*'A2 - Preços'!BP9*VLOOKUP($B11,SN_UGC,28,0),0)</f>
        <v>3738725</v>
      </c>
      <c r="Z11" s="52">
        <f>IFERROR('A3 - Demanda Anual Agregada '!Z10*'A2 - Preços'!BQ9*VLOOKUP($B11,SN_UGC,28,0),0)</f>
        <v>3738725</v>
      </c>
      <c r="AA11" s="52">
        <f>IFERROR('A3 - Demanda Anual Agregada '!AA10*'A2 - Preços'!BR9*VLOOKUP($B11,SN_UGC,28,0),0)</f>
        <v>3738725</v>
      </c>
      <c r="AB11" s="52">
        <f>IFERROR('A3 - Demanda Anual Agregada '!AB10*'A2 - Preços'!BS9*VLOOKUP($B11,SN_UGC,28,0),0)</f>
        <v>3738725</v>
      </c>
      <c r="AC11" s="52">
        <f>IFERROR('A3 - Demanda Anual Agregada '!AC10*'A2 - Preços'!BT9*VLOOKUP($B11,SN_UGC,28,0),0)</f>
        <v>3738725</v>
      </c>
      <c r="AD11" s="52">
        <f>IFERROR('A3 - Demanda Anual Agregada '!AD10*'A2 - Preços'!BU9*VLOOKUP($B11,SN_UGC,28,0),0)</f>
        <v>3738725</v>
      </c>
      <c r="AE11" s="52">
        <f>IFERROR('A3 - Demanda Anual Agregada '!AE10*'A2 - Preços'!BV9*VLOOKUP($B11,SN_UGC,28,0),0)</f>
        <v>3738725</v>
      </c>
      <c r="AF11" s="52">
        <f>IFERROR('A3 - Demanda Anual Agregada '!AF10*'A2 - Preços'!BW9*VLOOKUP($B11,SN_UGC,28,0),0)</f>
        <v>3738725</v>
      </c>
      <c r="AG11" s="532">
        <f t="shared" si="0"/>
        <v>5.0566136803394821E-2</v>
      </c>
    </row>
    <row r="12" spans="1:33" ht="12" customHeight="1">
      <c r="A12" s="521"/>
      <c r="B12" s="51" t="str">
        <f>'A1 - Serviços e demanda'!A25</f>
        <v>Árvore da Preguiça - Comércio</v>
      </c>
      <c r="C12" s="52">
        <f>IFERROR('A3 - Demanda Anual Agregada '!C11*'A2 - Preços'!AT10*VLOOKUP($B12,SN_UGC,28,0),0)</f>
        <v>0</v>
      </c>
      <c r="D12" s="52">
        <f>IFERROR('A3 - Demanda Anual Agregada '!D11*'A2 - Preços'!AU10*VLOOKUP($B12,SN_UGC,28,0),0)</f>
        <v>721300</v>
      </c>
      <c r="E12" s="52">
        <f>IFERROR('A3 - Demanda Anual Agregada '!E11*'A2 - Preços'!AV10*VLOOKUP($B12,SN_UGC,28,0),0)</f>
        <v>746200</v>
      </c>
      <c r="F12" s="52">
        <f>IFERROR('A3 - Demanda Anual Agregada '!F11*'A2 - Preços'!AW10*VLOOKUP($B12,SN_UGC,28,0),0)</f>
        <v>770300</v>
      </c>
      <c r="G12" s="52">
        <f>IFERROR('A3 - Demanda Anual Agregada '!G11*'A2 - Preços'!AX10*VLOOKUP($B12,SN_UGC,28,0),0)</f>
        <v>794750</v>
      </c>
      <c r="H12" s="52">
        <f>IFERROR('A3 - Demanda Anual Agregada '!H11*'A2 - Preços'!AY10*VLOOKUP($B12,SN_UGC,28,0),0)</f>
        <v>819650</v>
      </c>
      <c r="I12" s="52">
        <f>IFERROR('A3 - Demanda Anual Agregada '!I11*'A2 - Preços'!AZ10*VLOOKUP($B12,SN_UGC,28,0),0)</f>
        <v>845300</v>
      </c>
      <c r="J12" s="52">
        <f>IFERROR('A3 - Demanda Anual Agregada '!J11*'A2 - Preços'!BA10*VLOOKUP($B12,SN_UGC,28,0),0)</f>
        <v>871650</v>
      </c>
      <c r="K12" s="52">
        <f>IFERROR('A3 - Demanda Anual Agregada '!K11*'A2 - Preços'!BB10*VLOOKUP($B12,SN_UGC,28,0),0)</f>
        <v>898500</v>
      </c>
      <c r="L12" s="52">
        <f>IFERROR('A3 - Demanda Anual Agregada '!L11*'A2 - Preços'!BC10*VLOOKUP($B12,SN_UGC,28,0),0)</f>
        <v>925800</v>
      </c>
      <c r="M12" s="52">
        <f>IFERROR('A3 - Demanda Anual Agregada '!M11*'A2 - Preços'!BD10*VLOOKUP($B12,SN_UGC,28,0),0)</f>
        <v>954000</v>
      </c>
      <c r="N12" s="52">
        <f>IFERROR('A3 - Demanda Anual Agregada '!N11*'A2 - Preços'!BE10*VLOOKUP($B12,SN_UGC,28,0),0)</f>
        <v>983050</v>
      </c>
      <c r="O12" s="52">
        <f>IFERROR('A3 - Demanda Anual Agregada '!O11*'A2 - Preços'!BF10*VLOOKUP($B12,SN_UGC,28,0),0)</f>
        <v>1013000</v>
      </c>
      <c r="P12" s="52">
        <f>IFERROR('A3 - Demanda Anual Agregada '!P11*'A2 - Preços'!BG10*VLOOKUP($B12,SN_UGC,28,0),0)</f>
        <v>1043900</v>
      </c>
      <c r="Q12" s="52">
        <f>IFERROR('A3 - Demanda Anual Agregada '!Q11*'A2 - Preços'!BH10*VLOOKUP($B12,SN_UGC,28,0),0)</f>
        <v>1075700</v>
      </c>
      <c r="R12" s="52">
        <f>IFERROR('A3 - Demanda Anual Agregada '!R11*'A2 - Preços'!BI10*VLOOKUP($B12,SN_UGC,28,0),0)</f>
        <v>1108350</v>
      </c>
      <c r="S12" s="52">
        <f>IFERROR('A3 - Demanda Anual Agregada '!S11*'A2 - Preços'!BJ10*VLOOKUP($B12,SN_UGC,28,0),0)</f>
        <v>1141850</v>
      </c>
      <c r="T12" s="52">
        <f>IFERROR('A3 - Demanda Anual Agregada '!T11*'A2 - Preços'!BK10*VLOOKUP($B12,SN_UGC,28,0),0)</f>
        <v>1176100</v>
      </c>
      <c r="U12" s="52">
        <f>IFERROR('A3 - Demanda Anual Agregada '!U11*'A2 - Preços'!BL10*VLOOKUP($B12,SN_UGC,28,0),0)</f>
        <v>1210950</v>
      </c>
      <c r="V12" s="52">
        <f>IFERROR('A3 - Demanda Anual Agregada '!V11*'A2 - Preços'!BM10*VLOOKUP($B12,SN_UGC,28,0),0)</f>
        <v>1246250</v>
      </c>
      <c r="W12" s="52">
        <f>IFERROR('A3 - Demanda Anual Agregada '!W11*'A2 - Preços'!BN10*VLOOKUP($B12,SN_UGC,28,0),0)</f>
        <v>1246250</v>
      </c>
      <c r="X12" s="52">
        <f>IFERROR('A3 - Demanda Anual Agregada '!X11*'A2 - Preços'!BO10*VLOOKUP($B12,SN_UGC,28,0),0)</f>
        <v>1246250</v>
      </c>
      <c r="Y12" s="52">
        <f>IFERROR('A3 - Demanda Anual Agregada '!Y11*'A2 - Preços'!BP10*VLOOKUP($B12,SN_UGC,28,0),0)</f>
        <v>1246250</v>
      </c>
      <c r="Z12" s="52">
        <f>IFERROR('A3 - Demanda Anual Agregada '!Z11*'A2 - Preços'!BQ10*VLOOKUP($B12,SN_UGC,28,0),0)</f>
        <v>1246250</v>
      </c>
      <c r="AA12" s="52">
        <f>IFERROR('A3 - Demanda Anual Agregada '!AA11*'A2 - Preços'!BR10*VLOOKUP($B12,SN_UGC,28,0),0)</f>
        <v>1246250</v>
      </c>
      <c r="AB12" s="52">
        <f>IFERROR('A3 - Demanda Anual Agregada '!AB11*'A2 - Preços'!BS10*VLOOKUP($B12,SN_UGC,28,0),0)</f>
        <v>1246250</v>
      </c>
      <c r="AC12" s="52">
        <f>IFERROR('A3 - Demanda Anual Agregada '!AC11*'A2 - Preços'!BT10*VLOOKUP($B12,SN_UGC,28,0),0)</f>
        <v>1246250</v>
      </c>
      <c r="AD12" s="52">
        <f>IFERROR('A3 - Demanda Anual Agregada '!AD11*'A2 - Preços'!BU10*VLOOKUP($B12,SN_UGC,28,0),0)</f>
        <v>1246250</v>
      </c>
      <c r="AE12" s="52">
        <f>IFERROR('A3 - Demanda Anual Agregada '!AE11*'A2 - Preços'!BV10*VLOOKUP($B12,SN_UGC,28,0),0)</f>
        <v>1246250</v>
      </c>
      <c r="AF12" s="52">
        <f>IFERROR('A3 - Demanda Anual Agregada '!AF11*'A2 - Preços'!BW10*VLOOKUP($B12,SN_UGC,28,0),0)</f>
        <v>1246250</v>
      </c>
      <c r="AG12" s="532">
        <f t="shared" si="0"/>
        <v>1.6855433643734746E-2</v>
      </c>
    </row>
    <row r="13" spans="1:33" ht="12" customHeight="1">
      <c r="A13" s="521"/>
      <c r="B13" s="51" t="str">
        <f>'A1 - Serviços e demanda'!A26</f>
        <v>Silveira - Alimentação</v>
      </c>
      <c r="C13" s="52">
        <f>IFERROR('A3 - Demanda Anual Agregada '!C12*'A2 - Preços'!AT11*VLOOKUP($B13,SN_UGC,28,0),0)</f>
        <v>0</v>
      </c>
      <c r="D13" s="52">
        <f>IFERROR('A3 - Demanda Anual Agregada '!D12*'A2 - Preços'!AU11*VLOOKUP($B13,SN_UGC,28,0),0)</f>
        <v>0</v>
      </c>
      <c r="E13" s="52">
        <f>IFERROR('A3 - Demanda Anual Agregada '!E12*'A2 - Preços'!AV11*VLOOKUP($B13,SN_UGC,28,0),0)</f>
        <v>0</v>
      </c>
      <c r="F13" s="52">
        <f>IFERROR('A3 - Demanda Anual Agregada '!F12*'A2 - Preços'!AW11*VLOOKUP($B13,SN_UGC,28,0),0)</f>
        <v>0</v>
      </c>
      <c r="G13" s="52">
        <f>IFERROR('A3 - Demanda Anual Agregada '!G12*'A2 - Preços'!AX11*VLOOKUP($B13,SN_UGC,28,0),0)</f>
        <v>0</v>
      </c>
      <c r="H13" s="52">
        <f>IFERROR('A3 - Demanda Anual Agregada '!H12*'A2 - Preços'!AY11*VLOOKUP($B13,SN_UGC,28,0),0)</f>
        <v>0</v>
      </c>
      <c r="I13" s="52">
        <f>IFERROR('A3 - Demanda Anual Agregada '!I12*'A2 - Preços'!AZ11*VLOOKUP($B13,SN_UGC,28,0),0)</f>
        <v>0</v>
      </c>
      <c r="J13" s="52">
        <f>IFERROR('A3 - Demanda Anual Agregada '!J12*'A2 - Preços'!BA11*VLOOKUP($B13,SN_UGC,28,0),0)</f>
        <v>0</v>
      </c>
      <c r="K13" s="52">
        <f>IFERROR('A3 - Demanda Anual Agregada '!K12*'A2 - Preços'!BB11*VLOOKUP($B13,SN_UGC,28,0),0)</f>
        <v>0</v>
      </c>
      <c r="L13" s="52">
        <f>IFERROR('A3 - Demanda Anual Agregada '!L12*'A2 - Preços'!BC11*VLOOKUP($B13,SN_UGC,28,0),0)</f>
        <v>0</v>
      </c>
      <c r="M13" s="52">
        <f>IFERROR('A3 - Demanda Anual Agregada '!M12*'A2 - Preços'!BD11*VLOOKUP($B13,SN_UGC,28,0),0)</f>
        <v>0</v>
      </c>
      <c r="N13" s="52">
        <f>IFERROR('A3 - Demanda Anual Agregada '!N12*'A2 - Preços'!BE11*VLOOKUP($B13,SN_UGC,28,0),0)</f>
        <v>0</v>
      </c>
      <c r="O13" s="52">
        <f>IFERROR('A3 - Demanda Anual Agregada '!O12*'A2 - Preços'!BF11*VLOOKUP($B13,SN_UGC,28,0),0)</f>
        <v>0</v>
      </c>
      <c r="P13" s="52">
        <f>IFERROR('A3 - Demanda Anual Agregada '!P12*'A2 - Preços'!BG11*VLOOKUP($B13,SN_UGC,28,0),0)</f>
        <v>0</v>
      </c>
      <c r="Q13" s="52">
        <f>IFERROR('A3 - Demanda Anual Agregada '!Q12*'A2 - Preços'!BH11*VLOOKUP($B13,SN_UGC,28,0),0)</f>
        <v>0</v>
      </c>
      <c r="R13" s="52">
        <f>IFERROR('A3 - Demanda Anual Agregada '!R12*'A2 - Preços'!BI11*VLOOKUP($B13,SN_UGC,28,0),0)</f>
        <v>0</v>
      </c>
      <c r="S13" s="52">
        <f>IFERROR('A3 - Demanda Anual Agregada '!S12*'A2 - Preços'!BJ11*VLOOKUP($B13,SN_UGC,28,0),0)</f>
        <v>0</v>
      </c>
      <c r="T13" s="52">
        <f>IFERROR('A3 - Demanda Anual Agregada '!T12*'A2 - Preços'!BK11*VLOOKUP($B13,SN_UGC,28,0),0)</f>
        <v>0</v>
      </c>
      <c r="U13" s="52">
        <f>IFERROR('A3 - Demanda Anual Agregada '!U12*'A2 - Preços'!BL11*VLOOKUP($B13,SN_UGC,28,0),0)</f>
        <v>0</v>
      </c>
      <c r="V13" s="52">
        <f>IFERROR('A3 - Demanda Anual Agregada '!V12*'A2 - Preços'!BM11*VLOOKUP($B13,SN_UGC,28,0),0)</f>
        <v>0</v>
      </c>
      <c r="W13" s="52">
        <f>IFERROR('A3 - Demanda Anual Agregada '!W12*'A2 - Preços'!BN11*VLOOKUP($B13,SN_UGC,28,0),0)</f>
        <v>0</v>
      </c>
      <c r="X13" s="52">
        <f>IFERROR('A3 - Demanda Anual Agregada '!X12*'A2 - Preços'!BO11*VLOOKUP($B13,SN_UGC,28,0),0)</f>
        <v>0</v>
      </c>
      <c r="Y13" s="52">
        <f>IFERROR('A3 - Demanda Anual Agregada '!Y12*'A2 - Preços'!BP11*VLOOKUP($B13,SN_UGC,28,0),0)</f>
        <v>0</v>
      </c>
      <c r="Z13" s="52">
        <f>IFERROR('A3 - Demanda Anual Agregada '!Z12*'A2 - Preços'!BQ11*VLOOKUP($B13,SN_UGC,28,0),0)</f>
        <v>0</v>
      </c>
      <c r="AA13" s="52">
        <f>IFERROR('A3 - Demanda Anual Agregada '!AA12*'A2 - Preços'!BR11*VLOOKUP($B13,SN_UGC,28,0),0)</f>
        <v>0</v>
      </c>
      <c r="AB13" s="52">
        <f>IFERROR('A3 - Demanda Anual Agregada '!AB12*'A2 - Preços'!BS11*VLOOKUP($B13,SN_UGC,28,0),0)</f>
        <v>0</v>
      </c>
      <c r="AC13" s="52">
        <f>IFERROR('A3 - Demanda Anual Agregada '!AC12*'A2 - Preços'!BT11*VLOOKUP($B13,SN_UGC,28,0),0)</f>
        <v>0</v>
      </c>
      <c r="AD13" s="52">
        <f>IFERROR('A3 - Demanda Anual Agregada '!AD12*'A2 - Preços'!BU11*VLOOKUP($B13,SN_UGC,28,0),0)</f>
        <v>0</v>
      </c>
      <c r="AE13" s="52">
        <f>IFERROR('A3 - Demanda Anual Agregada '!AE12*'A2 - Preços'!BV11*VLOOKUP($B13,SN_UGC,28,0),0)</f>
        <v>0</v>
      </c>
      <c r="AF13" s="52">
        <f>IFERROR('A3 - Demanda Anual Agregada '!AF12*'A2 - Preços'!BW11*VLOOKUP($B13,SN_UGC,28,0),0)</f>
        <v>0</v>
      </c>
      <c r="AG13" s="532">
        <f t="shared" ref="AG13:AG15" si="1">SUM(C13:AF13)/SUM(C$27:AF$27)</f>
        <v>0</v>
      </c>
    </row>
    <row r="14" spans="1:33" ht="12" customHeight="1">
      <c r="A14" s="521"/>
      <c r="B14" s="51" t="str">
        <f>'A1 - Serviços e demanda'!A27</f>
        <v>Silveira - Comércio + Locação + Atividades</v>
      </c>
      <c r="C14" s="52">
        <f>IFERROR('A3 - Demanda Anual Agregada '!C13*'A2 - Preços'!AT12*VLOOKUP($B14,SN_UGC,28,0),0)</f>
        <v>0</v>
      </c>
      <c r="D14" s="52">
        <f>IFERROR('A3 - Demanda Anual Agregada '!D13*'A2 - Preços'!AU12*VLOOKUP($B14,SN_UGC,28,0),0)</f>
        <v>0</v>
      </c>
      <c r="E14" s="52">
        <f>IFERROR('A3 - Demanda Anual Agregada '!E13*'A2 - Preços'!AV12*VLOOKUP($B14,SN_UGC,28,0),0)</f>
        <v>0</v>
      </c>
      <c r="F14" s="52">
        <f>IFERROR('A3 - Demanda Anual Agregada '!F13*'A2 - Preços'!AW12*VLOOKUP($B14,SN_UGC,28,0),0)</f>
        <v>0</v>
      </c>
      <c r="G14" s="52">
        <f>IFERROR('A3 - Demanda Anual Agregada '!G13*'A2 - Preços'!AX12*VLOOKUP($B14,SN_UGC,28,0),0)</f>
        <v>0</v>
      </c>
      <c r="H14" s="52">
        <f>IFERROR('A3 - Demanda Anual Agregada '!H13*'A2 - Preços'!AY12*VLOOKUP($B14,SN_UGC,28,0),0)</f>
        <v>0</v>
      </c>
      <c r="I14" s="52">
        <f>IFERROR('A3 - Demanda Anual Agregada '!I13*'A2 - Preços'!AZ12*VLOOKUP($B14,SN_UGC,28,0),0)</f>
        <v>0</v>
      </c>
      <c r="J14" s="52">
        <f>IFERROR('A3 - Demanda Anual Agregada '!J13*'A2 - Preços'!BA12*VLOOKUP($B14,SN_UGC,28,0),0)</f>
        <v>0</v>
      </c>
      <c r="K14" s="52">
        <f>IFERROR('A3 - Demanda Anual Agregada '!K13*'A2 - Preços'!BB12*VLOOKUP($B14,SN_UGC,28,0),0)</f>
        <v>0</v>
      </c>
      <c r="L14" s="52">
        <f>IFERROR('A3 - Demanda Anual Agregada '!L13*'A2 - Preços'!BC12*VLOOKUP($B14,SN_UGC,28,0),0)</f>
        <v>0</v>
      </c>
      <c r="M14" s="52">
        <f>IFERROR('A3 - Demanda Anual Agregada '!M13*'A2 - Preços'!BD12*VLOOKUP($B14,SN_UGC,28,0),0)</f>
        <v>0</v>
      </c>
      <c r="N14" s="52">
        <f>IFERROR('A3 - Demanda Anual Agregada '!N13*'A2 - Preços'!BE12*VLOOKUP($B14,SN_UGC,28,0),0)</f>
        <v>0</v>
      </c>
      <c r="O14" s="52">
        <f>IFERROR('A3 - Demanda Anual Agregada '!O13*'A2 - Preços'!BF12*VLOOKUP($B14,SN_UGC,28,0),0)</f>
        <v>0</v>
      </c>
      <c r="P14" s="52">
        <f>IFERROR('A3 - Demanda Anual Agregada '!P13*'A2 - Preços'!BG12*VLOOKUP($B14,SN_UGC,28,0),0)</f>
        <v>0</v>
      </c>
      <c r="Q14" s="52">
        <f>IFERROR('A3 - Demanda Anual Agregada '!Q13*'A2 - Preços'!BH12*VLOOKUP($B14,SN_UGC,28,0),0)</f>
        <v>0</v>
      </c>
      <c r="R14" s="52">
        <f>IFERROR('A3 - Demanda Anual Agregada '!R13*'A2 - Preços'!BI12*VLOOKUP($B14,SN_UGC,28,0),0)</f>
        <v>0</v>
      </c>
      <c r="S14" s="52">
        <f>IFERROR('A3 - Demanda Anual Agregada '!S13*'A2 - Preços'!BJ12*VLOOKUP($B14,SN_UGC,28,0),0)</f>
        <v>0</v>
      </c>
      <c r="T14" s="52">
        <f>IFERROR('A3 - Demanda Anual Agregada '!T13*'A2 - Preços'!BK12*VLOOKUP($B14,SN_UGC,28,0),0)</f>
        <v>0</v>
      </c>
      <c r="U14" s="52">
        <f>IFERROR('A3 - Demanda Anual Agregada '!U13*'A2 - Preços'!BL12*VLOOKUP($B14,SN_UGC,28,0),0)</f>
        <v>0</v>
      </c>
      <c r="V14" s="52">
        <f>IFERROR('A3 - Demanda Anual Agregada '!V13*'A2 - Preços'!BM12*VLOOKUP($B14,SN_UGC,28,0),0)</f>
        <v>0</v>
      </c>
      <c r="W14" s="52">
        <f>IFERROR('A3 - Demanda Anual Agregada '!W13*'A2 - Preços'!BN12*VLOOKUP($B14,SN_UGC,28,0),0)</f>
        <v>0</v>
      </c>
      <c r="X14" s="52">
        <f>IFERROR('A3 - Demanda Anual Agregada '!X13*'A2 - Preços'!BO12*VLOOKUP($B14,SN_UGC,28,0),0)</f>
        <v>0</v>
      </c>
      <c r="Y14" s="52">
        <f>IFERROR('A3 - Demanda Anual Agregada '!Y13*'A2 - Preços'!BP12*VLOOKUP($B14,SN_UGC,28,0),0)</f>
        <v>0</v>
      </c>
      <c r="Z14" s="52">
        <f>IFERROR('A3 - Demanda Anual Agregada '!Z13*'A2 - Preços'!BQ12*VLOOKUP($B14,SN_UGC,28,0),0)</f>
        <v>0</v>
      </c>
      <c r="AA14" s="52">
        <f>IFERROR('A3 - Demanda Anual Agregada '!AA13*'A2 - Preços'!BR12*VLOOKUP($B14,SN_UGC,28,0),0)</f>
        <v>0</v>
      </c>
      <c r="AB14" s="52">
        <f>IFERROR('A3 - Demanda Anual Agregada '!AB13*'A2 - Preços'!BS12*VLOOKUP($B14,SN_UGC,28,0),0)</f>
        <v>0</v>
      </c>
      <c r="AC14" s="52">
        <f>IFERROR('A3 - Demanda Anual Agregada '!AC13*'A2 - Preços'!BT12*VLOOKUP($B14,SN_UGC,28,0),0)</f>
        <v>0</v>
      </c>
      <c r="AD14" s="52">
        <f>IFERROR('A3 - Demanda Anual Agregada '!AD13*'A2 - Preços'!BU12*VLOOKUP($B14,SN_UGC,28,0),0)</f>
        <v>0</v>
      </c>
      <c r="AE14" s="52">
        <f>IFERROR('A3 - Demanda Anual Agregada '!AE13*'A2 - Preços'!BV12*VLOOKUP($B14,SN_UGC,28,0),0)</f>
        <v>0</v>
      </c>
      <c r="AF14" s="52">
        <f>IFERROR('A3 - Demanda Anual Agregada '!AF13*'A2 - Preços'!BW12*VLOOKUP($B14,SN_UGC,28,0),0)</f>
        <v>0</v>
      </c>
      <c r="AG14" s="532">
        <f t="shared" si="1"/>
        <v>0</v>
      </c>
    </row>
    <row r="15" spans="1:33" ht="12" customHeight="1">
      <c r="A15" s="521"/>
      <c r="B15" s="51" t="str">
        <f>'A1 - Serviços e demanda'!A28</f>
        <v>Silveira - Hospedagem</v>
      </c>
      <c r="C15" s="52">
        <f>IFERROR('A3 - Demanda Anual Agregada '!C14*'A2 - Preços'!AT13*VLOOKUP($B15,SN_UGC,28,0),0)</f>
        <v>0</v>
      </c>
      <c r="D15" s="52">
        <f>IFERROR('A3 - Demanda Anual Agregada '!D14*'A2 - Preços'!AU13*VLOOKUP($B15,SN_UGC,28,0),0)</f>
        <v>0</v>
      </c>
      <c r="E15" s="52">
        <f>IFERROR('A3 - Demanda Anual Agregada '!E14*'A2 - Preços'!AV13*VLOOKUP($B15,SN_UGC,28,0),0)</f>
        <v>0</v>
      </c>
      <c r="F15" s="52">
        <f>IFERROR('A3 - Demanda Anual Agregada '!F14*'A2 - Preços'!AW13*VLOOKUP($B15,SN_UGC,28,0),0)</f>
        <v>0</v>
      </c>
      <c r="G15" s="52">
        <f>IFERROR('A3 - Demanda Anual Agregada '!G14*'A2 - Preços'!AX13*VLOOKUP($B15,SN_UGC,28,0),0)</f>
        <v>0</v>
      </c>
      <c r="H15" s="52">
        <f>IFERROR('A3 - Demanda Anual Agregada '!H14*'A2 - Preços'!AY13*VLOOKUP($B15,SN_UGC,28,0),0)</f>
        <v>0</v>
      </c>
      <c r="I15" s="52">
        <f>IFERROR('A3 - Demanda Anual Agregada '!I14*'A2 - Preços'!AZ13*VLOOKUP($B15,SN_UGC,28,0),0)</f>
        <v>0</v>
      </c>
      <c r="J15" s="52">
        <f>IFERROR('A3 - Demanda Anual Agregada '!J14*'A2 - Preços'!BA13*VLOOKUP($B15,SN_UGC,28,0),0)</f>
        <v>0</v>
      </c>
      <c r="K15" s="52">
        <f>IFERROR('A3 - Demanda Anual Agregada '!K14*'A2 - Preços'!BB13*VLOOKUP($B15,SN_UGC,28,0),0)</f>
        <v>0</v>
      </c>
      <c r="L15" s="52">
        <f>IFERROR('A3 - Demanda Anual Agregada '!L14*'A2 - Preços'!BC13*VLOOKUP($B15,SN_UGC,28,0),0)</f>
        <v>0</v>
      </c>
      <c r="M15" s="52">
        <f>IFERROR('A3 - Demanda Anual Agregada '!M14*'A2 - Preços'!BD13*VLOOKUP($B15,SN_UGC,28,0),0)</f>
        <v>0</v>
      </c>
      <c r="N15" s="52">
        <f>IFERROR('A3 - Demanda Anual Agregada '!N14*'A2 - Preços'!BE13*VLOOKUP($B15,SN_UGC,28,0),0)</f>
        <v>0</v>
      </c>
      <c r="O15" s="52">
        <f>IFERROR('A3 - Demanda Anual Agregada '!O14*'A2 - Preços'!BF13*VLOOKUP($B15,SN_UGC,28,0),0)</f>
        <v>0</v>
      </c>
      <c r="P15" s="52">
        <f>IFERROR('A3 - Demanda Anual Agregada '!P14*'A2 - Preços'!BG13*VLOOKUP($B15,SN_UGC,28,0),0)</f>
        <v>0</v>
      </c>
      <c r="Q15" s="52">
        <f>IFERROR('A3 - Demanda Anual Agregada '!Q14*'A2 - Preços'!BH13*VLOOKUP($B15,SN_UGC,28,0),0)</f>
        <v>0</v>
      </c>
      <c r="R15" s="52">
        <f>IFERROR('A3 - Demanda Anual Agregada '!R14*'A2 - Preços'!BI13*VLOOKUP($B15,SN_UGC,28,0),0)</f>
        <v>0</v>
      </c>
      <c r="S15" s="52">
        <f>IFERROR('A3 - Demanda Anual Agregada '!S14*'A2 - Preços'!BJ13*VLOOKUP($B15,SN_UGC,28,0),0)</f>
        <v>0</v>
      </c>
      <c r="T15" s="52">
        <f>IFERROR('A3 - Demanda Anual Agregada '!T14*'A2 - Preços'!BK13*VLOOKUP($B15,SN_UGC,28,0),0)</f>
        <v>0</v>
      </c>
      <c r="U15" s="52">
        <f>IFERROR('A3 - Demanda Anual Agregada '!U14*'A2 - Preços'!BL13*VLOOKUP($B15,SN_UGC,28,0),0)</f>
        <v>0</v>
      </c>
      <c r="V15" s="52">
        <f>IFERROR('A3 - Demanda Anual Agregada '!V14*'A2 - Preços'!BM13*VLOOKUP($B15,SN_UGC,28,0),0)</f>
        <v>0</v>
      </c>
      <c r="W15" s="52">
        <f>IFERROR('A3 - Demanda Anual Agregada '!W14*'A2 - Preços'!BN13*VLOOKUP($B15,SN_UGC,28,0),0)</f>
        <v>0</v>
      </c>
      <c r="X15" s="52">
        <f>IFERROR('A3 - Demanda Anual Agregada '!X14*'A2 - Preços'!BO13*VLOOKUP($B15,SN_UGC,28,0),0)</f>
        <v>0</v>
      </c>
      <c r="Y15" s="52">
        <f>IFERROR('A3 - Demanda Anual Agregada '!Y14*'A2 - Preços'!BP13*VLOOKUP($B15,SN_UGC,28,0),0)</f>
        <v>0</v>
      </c>
      <c r="Z15" s="52">
        <f>IFERROR('A3 - Demanda Anual Agregada '!Z14*'A2 - Preços'!BQ13*VLOOKUP($B15,SN_UGC,28,0),0)</f>
        <v>0</v>
      </c>
      <c r="AA15" s="52">
        <f>IFERROR('A3 - Demanda Anual Agregada '!AA14*'A2 - Preços'!BR13*VLOOKUP($B15,SN_UGC,28,0),0)</f>
        <v>0</v>
      </c>
      <c r="AB15" s="52">
        <f>IFERROR('A3 - Demanda Anual Agregada '!AB14*'A2 - Preços'!BS13*VLOOKUP($B15,SN_UGC,28,0),0)</f>
        <v>0</v>
      </c>
      <c r="AC15" s="52">
        <f>IFERROR('A3 - Demanda Anual Agregada '!AC14*'A2 - Preços'!BT13*VLOOKUP($B15,SN_UGC,28,0),0)</f>
        <v>0</v>
      </c>
      <c r="AD15" s="52">
        <f>IFERROR('A3 - Demanda Anual Agregada '!AD14*'A2 - Preços'!BU13*VLOOKUP($B15,SN_UGC,28,0),0)</f>
        <v>0</v>
      </c>
      <c r="AE15" s="52">
        <f>IFERROR('A3 - Demanda Anual Agregada '!AE14*'A2 - Preços'!BV13*VLOOKUP($B15,SN_UGC,28,0),0)</f>
        <v>0</v>
      </c>
      <c r="AF15" s="52">
        <f>IFERROR('A3 - Demanda Anual Agregada '!AF14*'A2 - Preços'!BW13*VLOOKUP($B15,SN_UGC,28,0),0)</f>
        <v>0</v>
      </c>
      <c r="AG15" s="532">
        <f t="shared" si="1"/>
        <v>0</v>
      </c>
    </row>
    <row r="16" spans="1:33" ht="12" customHeight="1">
      <c r="A16" s="521"/>
      <c r="B16" s="51" t="str">
        <f>'A1 - Serviços e demanda'!A29</f>
        <v>Pedra Furada - Alimentação</v>
      </c>
      <c r="C16" s="52">
        <f>IFERROR('A3 - Demanda Anual Agregada '!C15*'A2 - Preços'!AT14*VLOOKUP($B16,SN_UGC,28,0),0)</f>
        <v>0</v>
      </c>
      <c r="D16" s="52">
        <f>IFERROR('A3 - Demanda Anual Agregada '!D15*'A2 - Preços'!AU14*VLOOKUP($B16,SN_UGC,28,0),0)</f>
        <v>2163900</v>
      </c>
      <c r="E16" s="52">
        <f>IFERROR('A3 - Demanda Anual Agregada '!E15*'A2 - Preços'!AV14*VLOOKUP($B16,SN_UGC,28,0),0)</f>
        <v>2238550</v>
      </c>
      <c r="F16" s="52">
        <f>IFERROR('A3 - Demanda Anual Agregada '!F15*'A2 - Preços'!AW14*VLOOKUP($B16,SN_UGC,28,0),0)</f>
        <v>2310825</v>
      </c>
      <c r="G16" s="52">
        <f>IFERROR('A3 - Demanda Anual Agregada '!G15*'A2 - Preços'!AX14*VLOOKUP($B16,SN_UGC,28,0),0)</f>
        <v>2384275</v>
      </c>
      <c r="H16" s="52">
        <f>IFERROR('A3 - Demanda Anual Agregada '!H15*'A2 - Preços'!AY14*VLOOKUP($B16,SN_UGC,28,0),0)</f>
        <v>2459000</v>
      </c>
      <c r="I16" s="52">
        <f>IFERROR('A3 - Demanda Anual Agregada '!I15*'A2 - Preços'!AZ14*VLOOKUP($B16,SN_UGC,28,0),0)</f>
        <v>2535850</v>
      </c>
      <c r="J16" s="52">
        <f>IFERROR('A3 - Demanda Anual Agregada '!J15*'A2 - Preços'!BA14*VLOOKUP($B16,SN_UGC,28,0),0)</f>
        <v>2614925</v>
      </c>
      <c r="K16" s="52">
        <f>IFERROR('A3 - Demanda Anual Agregada '!K15*'A2 - Preços'!BB14*VLOOKUP($B16,SN_UGC,28,0),0)</f>
        <v>2695450</v>
      </c>
      <c r="L16" s="52">
        <f>IFERROR('A3 - Demanda Anual Agregada '!L15*'A2 - Preços'!BC14*VLOOKUP($B16,SN_UGC,28,0),0)</f>
        <v>2777450</v>
      </c>
      <c r="M16" s="52">
        <f>IFERROR('A3 - Demanda Anual Agregada '!M15*'A2 - Preços'!BD14*VLOOKUP($B16,SN_UGC,28,0),0)</f>
        <v>2862050</v>
      </c>
      <c r="N16" s="52">
        <f>IFERROR('A3 - Demanda Anual Agregada '!N15*'A2 - Preços'!BE14*VLOOKUP($B16,SN_UGC,28,0),0)</f>
        <v>2949175</v>
      </c>
      <c r="O16" s="52">
        <f>IFERROR('A3 - Demanda Anual Agregada '!O15*'A2 - Preços'!BF14*VLOOKUP($B16,SN_UGC,28,0),0)</f>
        <v>3039075</v>
      </c>
      <c r="P16" s="52">
        <f>IFERROR('A3 - Demanda Anual Agregada '!P15*'A2 - Preços'!BG14*VLOOKUP($B16,SN_UGC,28,0),0)</f>
        <v>3131675</v>
      </c>
      <c r="Q16" s="52">
        <f>IFERROR('A3 - Demanda Anual Agregada '!Q15*'A2 - Preços'!BH14*VLOOKUP($B16,SN_UGC,28,0),0)</f>
        <v>3227075</v>
      </c>
      <c r="R16" s="52">
        <f>IFERROR('A3 - Demanda Anual Agregada '!R15*'A2 - Preços'!BI14*VLOOKUP($B16,SN_UGC,28,0),0)</f>
        <v>3325100</v>
      </c>
      <c r="S16" s="52">
        <f>IFERROR('A3 - Demanda Anual Agregada '!S15*'A2 - Preços'!BJ14*VLOOKUP($B16,SN_UGC,28,0),0)</f>
        <v>3425600</v>
      </c>
      <c r="T16" s="52">
        <f>IFERROR('A3 - Demanda Anual Agregada '!T15*'A2 - Preços'!BK14*VLOOKUP($B16,SN_UGC,28,0),0)</f>
        <v>3528250</v>
      </c>
      <c r="U16" s="52">
        <f>IFERROR('A3 - Demanda Anual Agregada '!U15*'A2 - Preços'!BL14*VLOOKUP($B16,SN_UGC,28,0),0)</f>
        <v>3632800</v>
      </c>
      <c r="V16" s="52">
        <f>IFERROR('A3 - Demanda Anual Agregada '!V15*'A2 - Preços'!BM14*VLOOKUP($B16,SN_UGC,28,0),0)</f>
        <v>3738725</v>
      </c>
      <c r="W16" s="52">
        <f>IFERROR('A3 - Demanda Anual Agregada '!W15*'A2 - Preços'!BN14*VLOOKUP($B16,SN_UGC,28,0),0)</f>
        <v>3738725</v>
      </c>
      <c r="X16" s="52">
        <f>IFERROR('A3 - Demanda Anual Agregada '!X15*'A2 - Preços'!BO14*VLOOKUP($B16,SN_UGC,28,0),0)</f>
        <v>3738725</v>
      </c>
      <c r="Y16" s="52">
        <f>IFERROR('A3 - Demanda Anual Agregada '!Y15*'A2 - Preços'!BP14*VLOOKUP($B16,SN_UGC,28,0),0)</f>
        <v>3738725</v>
      </c>
      <c r="Z16" s="52">
        <f>IFERROR('A3 - Demanda Anual Agregada '!Z15*'A2 - Preços'!BQ14*VLOOKUP($B16,SN_UGC,28,0),0)</f>
        <v>3738725</v>
      </c>
      <c r="AA16" s="52">
        <f>IFERROR('A3 - Demanda Anual Agregada '!AA15*'A2 - Preços'!BR14*VLOOKUP($B16,SN_UGC,28,0),0)</f>
        <v>3738725</v>
      </c>
      <c r="AB16" s="52">
        <f>IFERROR('A3 - Demanda Anual Agregada '!AB15*'A2 - Preços'!BS14*VLOOKUP($B16,SN_UGC,28,0),0)</f>
        <v>3738725</v>
      </c>
      <c r="AC16" s="52">
        <f>IFERROR('A3 - Demanda Anual Agregada '!AC15*'A2 - Preços'!BT14*VLOOKUP($B16,SN_UGC,28,0),0)</f>
        <v>3738725</v>
      </c>
      <c r="AD16" s="52">
        <f>IFERROR('A3 - Demanda Anual Agregada '!AD15*'A2 - Preços'!BU14*VLOOKUP($B16,SN_UGC,28,0),0)</f>
        <v>3738725</v>
      </c>
      <c r="AE16" s="52">
        <f>IFERROR('A3 - Demanda Anual Agregada '!AE15*'A2 - Preços'!BV14*VLOOKUP($B16,SN_UGC,28,0),0)</f>
        <v>3738725</v>
      </c>
      <c r="AF16" s="52">
        <f>IFERROR('A3 - Demanda Anual Agregada '!AF15*'A2 - Preços'!BW14*VLOOKUP($B16,SN_UGC,28,0),0)</f>
        <v>3738725</v>
      </c>
      <c r="AG16" s="532">
        <f t="shared" ref="AG16:AG26" si="2">SUM(C16:AF16)/SUM(C$27:AF$27)</f>
        <v>5.0566136803394821E-2</v>
      </c>
    </row>
    <row r="17" spans="1:33" ht="12" customHeight="1">
      <c r="A17" s="521"/>
      <c r="B17" s="51" t="str">
        <f>'A1 - Serviços e demanda'!A30</f>
        <v>Pedra Furada - Comércio</v>
      </c>
      <c r="C17" s="52">
        <f>IFERROR('A3 - Demanda Anual Agregada '!C16*'A2 - Preços'!AT15*VLOOKUP($B17,SN_UGC,28,0),0)</f>
        <v>0</v>
      </c>
      <c r="D17" s="52">
        <f>IFERROR('A3 - Demanda Anual Agregada '!D16*'A2 - Preços'!AU15*VLOOKUP($B17,SN_UGC,28,0),0)</f>
        <v>721300</v>
      </c>
      <c r="E17" s="52">
        <f>IFERROR('A3 - Demanda Anual Agregada '!E16*'A2 - Preços'!AV15*VLOOKUP($B17,SN_UGC,28,0),0)</f>
        <v>746200</v>
      </c>
      <c r="F17" s="52">
        <f>IFERROR('A3 - Demanda Anual Agregada '!F16*'A2 - Preços'!AW15*VLOOKUP($B17,SN_UGC,28,0),0)</f>
        <v>770300</v>
      </c>
      <c r="G17" s="52">
        <f>IFERROR('A3 - Demanda Anual Agregada '!G16*'A2 - Preços'!AX15*VLOOKUP($B17,SN_UGC,28,0),0)</f>
        <v>794750</v>
      </c>
      <c r="H17" s="52">
        <f>IFERROR('A3 - Demanda Anual Agregada '!H16*'A2 - Preços'!AY15*VLOOKUP($B17,SN_UGC,28,0),0)</f>
        <v>819650</v>
      </c>
      <c r="I17" s="52">
        <f>IFERROR('A3 - Demanda Anual Agregada '!I16*'A2 - Preços'!AZ15*VLOOKUP($B17,SN_UGC,28,0),0)</f>
        <v>845300</v>
      </c>
      <c r="J17" s="52">
        <f>IFERROR('A3 - Demanda Anual Agregada '!J16*'A2 - Preços'!BA15*VLOOKUP($B17,SN_UGC,28,0),0)</f>
        <v>871650</v>
      </c>
      <c r="K17" s="52">
        <f>IFERROR('A3 - Demanda Anual Agregada '!K16*'A2 - Preços'!BB15*VLOOKUP($B17,SN_UGC,28,0),0)</f>
        <v>898500</v>
      </c>
      <c r="L17" s="52">
        <f>IFERROR('A3 - Demanda Anual Agregada '!L16*'A2 - Preços'!BC15*VLOOKUP($B17,SN_UGC,28,0),0)</f>
        <v>925800</v>
      </c>
      <c r="M17" s="52">
        <f>IFERROR('A3 - Demanda Anual Agregada '!M16*'A2 - Preços'!BD15*VLOOKUP($B17,SN_UGC,28,0),0)</f>
        <v>954000</v>
      </c>
      <c r="N17" s="52">
        <f>IFERROR('A3 - Demanda Anual Agregada '!N16*'A2 - Preços'!BE15*VLOOKUP($B17,SN_UGC,28,0),0)</f>
        <v>983050</v>
      </c>
      <c r="O17" s="52">
        <f>IFERROR('A3 - Demanda Anual Agregada '!O16*'A2 - Preços'!BF15*VLOOKUP($B17,SN_UGC,28,0),0)</f>
        <v>1013000</v>
      </c>
      <c r="P17" s="52">
        <f>IFERROR('A3 - Demanda Anual Agregada '!P16*'A2 - Preços'!BG15*VLOOKUP($B17,SN_UGC,28,0),0)</f>
        <v>1043900</v>
      </c>
      <c r="Q17" s="52">
        <f>IFERROR('A3 - Demanda Anual Agregada '!Q16*'A2 - Preços'!BH15*VLOOKUP($B17,SN_UGC,28,0),0)</f>
        <v>1075700</v>
      </c>
      <c r="R17" s="52">
        <f>IFERROR('A3 - Demanda Anual Agregada '!R16*'A2 - Preços'!BI15*VLOOKUP($B17,SN_UGC,28,0),0)</f>
        <v>1108350</v>
      </c>
      <c r="S17" s="52">
        <f>IFERROR('A3 - Demanda Anual Agregada '!S16*'A2 - Preços'!BJ15*VLOOKUP($B17,SN_UGC,28,0),0)</f>
        <v>1141850</v>
      </c>
      <c r="T17" s="52">
        <f>IFERROR('A3 - Demanda Anual Agregada '!T16*'A2 - Preços'!BK15*VLOOKUP($B17,SN_UGC,28,0),0)</f>
        <v>1176100</v>
      </c>
      <c r="U17" s="52">
        <f>IFERROR('A3 - Demanda Anual Agregada '!U16*'A2 - Preços'!BL15*VLOOKUP($B17,SN_UGC,28,0),0)</f>
        <v>1210950</v>
      </c>
      <c r="V17" s="52">
        <f>IFERROR('A3 - Demanda Anual Agregada '!V16*'A2 - Preços'!BM15*VLOOKUP($B17,SN_UGC,28,0),0)</f>
        <v>1246250</v>
      </c>
      <c r="W17" s="52">
        <f>IFERROR('A3 - Demanda Anual Agregada '!W16*'A2 - Preços'!BN15*VLOOKUP($B17,SN_UGC,28,0),0)</f>
        <v>1246250</v>
      </c>
      <c r="X17" s="52">
        <f>IFERROR('A3 - Demanda Anual Agregada '!X16*'A2 - Preços'!BO15*VLOOKUP($B17,SN_UGC,28,0),0)</f>
        <v>1246250</v>
      </c>
      <c r="Y17" s="52">
        <f>IFERROR('A3 - Demanda Anual Agregada '!Y16*'A2 - Preços'!BP15*VLOOKUP($B17,SN_UGC,28,0),0)</f>
        <v>1246250</v>
      </c>
      <c r="Z17" s="52">
        <f>IFERROR('A3 - Demanda Anual Agregada '!Z16*'A2 - Preços'!BQ15*VLOOKUP($B17,SN_UGC,28,0),0)</f>
        <v>1246250</v>
      </c>
      <c r="AA17" s="52">
        <f>IFERROR('A3 - Demanda Anual Agregada '!AA16*'A2 - Preços'!BR15*VLOOKUP($B17,SN_UGC,28,0),0)</f>
        <v>1246250</v>
      </c>
      <c r="AB17" s="52">
        <f>IFERROR('A3 - Demanda Anual Agregada '!AB16*'A2 - Preços'!BS15*VLOOKUP($B17,SN_UGC,28,0),0)</f>
        <v>1246250</v>
      </c>
      <c r="AC17" s="52">
        <f>IFERROR('A3 - Demanda Anual Agregada '!AC16*'A2 - Preços'!BT15*VLOOKUP($B17,SN_UGC,28,0),0)</f>
        <v>1246250</v>
      </c>
      <c r="AD17" s="52">
        <f>IFERROR('A3 - Demanda Anual Agregada '!AD16*'A2 - Preços'!BU15*VLOOKUP($B17,SN_UGC,28,0),0)</f>
        <v>1246250</v>
      </c>
      <c r="AE17" s="52">
        <f>IFERROR('A3 - Demanda Anual Agregada '!AE16*'A2 - Preços'!BV15*VLOOKUP($B17,SN_UGC,28,0),0)</f>
        <v>1246250</v>
      </c>
      <c r="AF17" s="52">
        <f>IFERROR('A3 - Demanda Anual Agregada '!AF16*'A2 - Preços'!BW15*VLOOKUP($B17,SN_UGC,28,0),0)</f>
        <v>1246250</v>
      </c>
      <c r="AG17" s="532">
        <f t="shared" si="2"/>
        <v>1.6855433643734746E-2</v>
      </c>
    </row>
    <row r="18" spans="1:33" ht="12" customHeight="1">
      <c r="A18" s="521"/>
      <c r="B18" s="51" t="str">
        <f>'A1 - Serviços e demanda'!A31</f>
        <v>Serrote - Alimentação</v>
      </c>
      <c r="C18" s="52">
        <f>IFERROR('A3 - Demanda Anual Agregada '!C17*'A2 - Preços'!AT16*VLOOKUP($B18,SN_UGC,28,0),0)</f>
        <v>0</v>
      </c>
      <c r="D18" s="52">
        <f>IFERROR('A3 - Demanda Anual Agregada '!D17*'A2 - Preços'!AU16*VLOOKUP($B18,SN_UGC,28,0),0)</f>
        <v>2163900</v>
      </c>
      <c r="E18" s="52">
        <f>IFERROR('A3 - Demanda Anual Agregada '!E17*'A2 - Preços'!AV16*VLOOKUP($B18,SN_UGC,28,0),0)</f>
        <v>2238550</v>
      </c>
      <c r="F18" s="52">
        <f>IFERROR('A3 - Demanda Anual Agregada '!F17*'A2 - Preços'!AW16*VLOOKUP($B18,SN_UGC,28,0),0)</f>
        <v>2310825</v>
      </c>
      <c r="G18" s="52">
        <f>IFERROR('A3 - Demanda Anual Agregada '!G17*'A2 - Preços'!AX16*VLOOKUP($B18,SN_UGC,28,0),0)</f>
        <v>2384275</v>
      </c>
      <c r="H18" s="52">
        <f>IFERROR('A3 - Demanda Anual Agregada '!H17*'A2 - Preços'!AY16*VLOOKUP($B18,SN_UGC,28,0),0)</f>
        <v>2459000</v>
      </c>
      <c r="I18" s="52">
        <f>IFERROR('A3 - Demanda Anual Agregada '!I17*'A2 - Preços'!AZ16*VLOOKUP($B18,SN_UGC,28,0),0)</f>
        <v>2535850</v>
      </c>
      <c r="J18" s="52">
        <f>IFERROR('A3 - Demanda Anual Agregada '!J17*'A2 - Preços'!BA16*VLOOKUP($B18,SN_UGC,28,0),0)</f>
        <v>2614925</v>
      </c>
      <c r="K18" s="52">
        <f>IFERROR('A3 - Demanda Anual Agregada '!K17*'A2 - Preços'!BB16*VLOOKUP($B18,SN_UGC,28,0),0)</f>
        <v>2695450</v>
      </c>
      <c r="L18" s="52">
        <f>IFERROR('A3 - Demanda Anual Agregada '!L17*'A2 - Preços'!BC16*VLOOKUP($B18,SN_UGC,28,0),0)</f>
        <v>2777450</v>
      </c>
      <c r="M18" s="52">
        <f>IFERROR('A3 - Demanda Anual Agregada '!M17*'A2 - Preços'!BD16*VLOOKUP($B18,SN_UGC,28,0),0)</f>
        <v>2862050</v>
      </c>
      <c r="N18" s="52">
        <f>IFERROR('A3 - Demanda Anual Agregada '!N17*'A2 - Preços'!BE16*VLOOKUP($B18,SN_UGC,28,0),0)</f>
        <v>2949175</v>
      </c>
      <c r="O18" s="52">
        <f>IFERROR('A3 - Demanda Anual Agregada '!O17*'A2 - Preços'!BF16*VLOOKUP($B18,SN_UGC,28,0),0)</f>
        <v>3039075</v>
      </c>
      <c r="P18" s="52">
        <f>IFERROR('A3 - Demanda Anual Agregada '!P17*'A2 - Preços'!BG16*VLOOKUP($B18,SN_UGC,28,0),0)</f>
        <v>3131675</v>
      </c>
      <c r="Q18" s="52">
        <f>IFERROR('A3 - Demanda Anual Agregada '!Q17*'A2 - Preços'!BH16*VLOOKUP($B18,SN_UGC,28,0),0)</f>
        <v>3227075</v>
      </c>
      <c r="R18" s="52">
        <f>IFERROR('A3 - Demanda Anual Agregada '!R17*'A2 - Preços'!BI16*VLOOKUP($B18,SN_UGC,28,0),0)</f>
        <v>3325100</v>
      </c>
      <c r="S18" s="52">
        <f>IFERROR('A3 - Demanda Anual Agregada '!S17*'A2 - Preços'!BJ16*VLOOKUP($B18,SN_UGC,28,0),0)</f>
        <v>3425600</v>
      </c>
      <c r="T18" s="52">
        <f>IFERROR('A3 - Demanda Anual Agregada '!T17*'A2 - Preços'!BK16*VLOOKUP($B18,SN_UGC,28,0),0)</f>
        <v>3528250</v>
      </c>
      <c r="U18" s="52">
        <f>IFERROR('A3 - Demanda Anual Agregada '!U17*'A2 - Preços'!BL16*VLOOKUP($B18,SN_UGC,28,0),0)</f>
        <v>3632800</v>
      </c>
      <c r="V18" s="52">
        <f>IFERROR('A3 - Demanda Anual Agregada '!V17*'A2 - Preços'!BM16*VLOOKUP($B18,SN_UGC,28,0),0)</f>
        <v>3738725</v>
      </c>
      <c r="W18" s="52">
        <f>IFERROR('A3 - Demanda Anual Agregada '!W17*'A2 - Preços'!BN16*VLOOKUP($B18,SN_UGC,28,0),0)</f>
        <v>3738725</v>
      </c>
      <c r="X18" s="52">
        <f>IFERROR('A3 - Demanda Anual Agregada '!X17*'A2 - Preços'!BO16*VLOOKUP($B18,SN_UGC,28,0),0)</f>
        <v>3738725</v>
      </c>
      <c r="Y18" s="52">
        <f>IFERROR('A3 - Demanda Anual Agregada '!Y17*'A2 - Preços'!BP16*VLOOKUP($B18,SN_UGC,28,0),0)</f>
        <v>3738725</v>
      </c>
      <c r="Z18" s="52">
        <f>IFERROR('A3 - Demanda Anual Agregada '!Z17*'A2 - Preços'!BQ16*VLOOKUP($B18,SN_UGC,28,0),0)</f>
        <v>3738725</v>
      </c>
      <c r="AA18" s="52">
        <f>IFERROR('A3 - Demanda Anual Agregada '!AA17*'A2 - Preços'!BR16*VLOOKUP($B18,SN_UGC,28,0),0)</f>
        <v>3738725</v>
      </c>
      <c r="AB18" s="52">
        <f>IFERROR('A3 - Demanda Anual Agregada '!AB17*'A2 - Preços'!BS16*VLOOKUP($B18,SN_UGC,28,0),0)</f>
        <v>3738725</v>
      </c>
      <c r="AC18" s="52">
        <f>IFERROR('A3 - Demanda Anual Agregada '!AC17*'A2 - Preços'!BT16*VLOOKUP($B18,SN_UGC,28,0),0)</f>
        <v>3738725</v>
      </c>
      <c r="AD18" s="52">
        <f>IFERROR('A3 - Demanda Anual Agregada '!AD17*'A2 - Preços'!BU16*VLOOKUP($B18,SN_UGC,28,0),0)</f>
        <v>3738725</v>
      </c>
      <c r="AE18" s="52">
        <f>IFERROR('A3 - Demanda Anual Agregada '!AE17*'A2 - Preços'!BV16*VLOOKUP($B18,SN_UGC,28,0),0)</f>
        <v>3738725</v>
      </c>
      <c r="AF18" s="52">
        <f>IFERROR('A3 - Demanda Anual Agregada '!AF17*'A2 - Preços'!BW16*VLOOKUP($B18,SN_UGC,28,0),0)</f>
        <v>3738725</v>
      </c>
      <c r="AG18" s="532">
        <f t="shared" si="2"/>
        <v>5.0566136803394821E-2</v>
      </c>
    </row>
    <row r="19" spans="1:33" ht="12" customHeight="1">
      <c r="A19" s="521"/>
      <c r="B19" s="51" t="str">
        <f>'A1 - Serviços e demanda'!A32</f>
        <v>Serrote - Comércio</v>
      </c>
      <c r="C19" s="52">
        <f>IFERROR('A3 - Demanda Anual Agregada '!C18*'A2 - Preços'!AT17*VLOOKUP($B19,SN_UGC,28,0),0)</f>
        <v>0</v>
      </c>
      <c r="D19" s="52">
        <f>IFERROR('A3 - Demanda Anual Agregada '!D18*'A2 - Preços'!AU17*VLOOKUP($B19,SN_UGC,28,0),0)</f>
        <v>721300</v>
      </c>
      <c r="E19" s="52">
        <f>IFERROR('A3 - Demanda Anual Agregada '!E18*'A2 - Preços'!AV17*VLOOKUP($B19,SN_UGC,28,0),0)</f>
        <v>746200</v>
      </c>
      <c r="F19" s="52">
        <f>IFERROR('A3 - Demanda Anual Agregada '!F18*'A2 - Preços'!AW17*VLOOKUP($B19,SN_UGC,28,0),0)</f>
        <v>770300</v>
      </c>
      <c r="G19" s="52">
        <f>IFERROR('A3 - Demanda Anual Agregada '!G18*'A2 - Preços'!AX17*VLOOKUP($B19,SN_UGC,28,0),0)</f>
        <v>794750</v>
      </c>
      <c r="H19" s="52">
        <f>IFERROR('A3 - Demanda Anual Agregada '!H18*'A2 - Preços'!AY17*VLOOKUP($B19,SN_UGC,28,0),0)</f>
        <v>819650</v>
      </c>
      <c r="I19" s="52">
        <f>IFERROR('A3 - Demanda Anual Agregada '!I18*'A2 - Preços'!AZ17*VLOOKUP($B19,SN_UGC,28,0),0)</f>
        <v>845300</v>
      </c>
      <c r="J19" s="52">
        <f>IFERROR('A3 - Demanda Anual Agregada '!J18*'A2 - Preços'!BA17*VLOOKUP($B19,SN_UGC,28,0),0)</f>
        <v>871650</v>
      </c>
      <c r="K19" s="52">
        <f>IFERROR('A3 - Demanda Anual Agregada '!K18*'A2 - Preços'!BB17*VLOOKUP($B19,SN_UGC,28,0),0)</f>
        <v>898500</v>
      </c>
      <c r="L19" s="52">
        <f>IFERROR('A3 - Demanda Anual Agregada '!L18*'A2 - Preços'!BC17*VLOOKUP($B19,SN_UGC,28,0),0)</f>
        <v>925800</v>
      </c>
      <c r="M19" s="52">
        <f>IFERROR('A3 - Demanda Anual Agregada '!M18*'A2 - Preços'!BD17*VLOOKUP($B19,SN_UGC,28,0),0)</f>
        <v>954000</v>
      </c>
      <c r="N19" s="52">
        <f>IFERROR('A3 - Demanda Anual Agregada '!N18*'A2 - Preços'!BE17*VLOOKUP($B19,SN_UGC,28,0),0)</f>
        <v>983050</v>
      </c>
      <c r="O19" s="52">
        <f>IFERROR('A3 - Demanda Anual Agregada '!O18*'A2 - Preços'!BF17*VLOOKUP($B19,SN_UGC,28,0),0)</f>
        <v>1013000</v>
      </c>
      <c r="P19" s="52">
        <f>IFERROR('A3 - Demanda Anual Agregada '!P18*'A2 - Preços'!BG17*VLOOKUP($B19,SN_UGC,28,0),0)</f>
        <v>1043900</v>
      </c>
      <c r="Q19" s="52">
        <f>IFERROR('A3 - Demanda Anual Agregada '!Q18*'A2 - Preços'!BH17*VLOOKUP($B19,SN_UGC,28,0),0)</f>
        <v>1075700</v>
      </c>
      <c r="R19" s="52">
        <f>IFERROR('A3 - Demanda Anual Agregada '!R18*'A2 - Preços'!BI17*VLOOKUP($B19,SN_UGC,28,0),0)</f>
        <v>1108350</v>
      </c>
      <c r="S19" s="52">
        <f>IFERROR('A3 - Demanda Anual Agregada '!S18*'A2 - Preços'!BJ17*VLOOKUP($B19,SN_UGC,28,0),0)</f>
        <v>1141850</v>
      </c>
      <c r="T19" s="52">
        <f>IFERROR('A3 - Demanda Anual Agregada '!T18*'A2 - Preços'!BK17*VLOOKUP($B19,SN_UGC,28,0),0)</f>
        <v>1176100</v>
      </c>
      <c r="U19" s="52">
        <f>IFERROR('A3 - Demanda Anual Agregada '!U18*'A2 - Preços'!BL17*VLOOKUP($B19,SN_UGC,28,0),0)</f>
        <v>1210950</v>
      </c>
      <c r="V19" s="52">
        <f>IFERROR('A3 - Demanda Anual Agregada '!V18*'A2 - Preços'!BM17*VLOOKUP($B19,SN_UGC,28,0),0)</f>
        <v>1246250</v>
      </c>
      <c r="W19" s="52">
        <f>IFERROR('A3 - Demanda Anual Agregada '!W18*'A2 - Preços'!BN17*VLOOKUP($B19,SN_UGC,28,0),0)</f>
        <v>1246250</v>
      </c>
      <c r="X19" s="52">
        <f>IFERROR('A3 - Demanda Anual Agregada '!X18*'A2 - Preços'!BO17*VLOOKUP($B19,SN_UGC,28,0),0)</f>
        <v>1246250</v>
      </c>
      <c r="Y19" s="52">
        <f>IFERROR('A3 - Demanda Anual Agregada '!Y18*'A2 - Preços'!BP17*VLOOKUP($B19,SN_UGC,28,0),0)</f>
        <v>1246250</v>
      </c>
      <c r="Z19" s="52">
        <f>IFERROR('A3 - Demanda Anual Agregada '!Z18*'A2 - Preços'!BQ17*VLOOKUP($B19,SN_UGC,28,0),0)</f>
        <v>1246250</v>
      </c>
      <c r="AA19" s="52">
        <f>IFERROR('A3 - Demanda Anual Agregada '!AA18*'A2 - Preços'!BR17*VLOOKUP($B19,SN_UGC,28,0),0)</f>
        <v>1246250</v>
      </c>
      <c r="AB19" s="52">
        <f>IFERROR('A3 - Demanda Anual Agregada '!AB18*'A2 - Preços'!BS17*VLOOKUP($B19,SN_UGC,28,0),0)</f>
        <v>1246250</v>
      </c>
      <c r="AC19" s="52">
        <f>IFERROR('A3 - Demanda Anual Agregada '!AC18*'A2 - Preços'!BT17*VLOOKUP($B19,SN_UGC,28,0),0)</f>
        <v>1246250</v>
      </c>
      <c r="AD19" s="52">
        <f>IFERROR('A3 - Demanda Anual Agregada '!AD18*'A2 - Preços'!BU17*VLOOKUP($B19,SN_UGC,28,0),0)</f>
        <v>1246250</v>
      </c>
      <c r="AE19" s="52">
        <f>IFERROR('A3 - Demanda Anual Agregada '!AE18*'A2 - Preços'!BV17*VLOOKUP($B19,SN_UGC,28,0),0)</f>
        <v>1246250</v>
      </c>
      <c r="AF19" s="52">
        <f>IFERROR('A3 - Demanda Anual Agregada '!AF18*'A2 - Preços'!BW17*VLOOKUP($B19,SN_UGC,28,0),0)</f>
        <v>1246250</v>
      </c>
      <c r="AG19" s="532">
        <f t="shared" si="2"/>
        <v>1.6855433643734746E-2</v>
      </c>
    </row>
    <row r="20" spans="1:33" ht="12" customHeight="1">
      <c r="A20" s="521"/>
      <c r="B20" s="51" t="str">
        <f>'A1 - Serviços e demanda'!A33</f>
        <v>Paraíso - Alimentação</v>
      </c>
      <c r="C20" s="52">
        <f>IFERROR('A3 - Demanda Anual Agregada '!C19*'A2 - Preços'!AT18*VLOOKUP($B20,SN_UGC,28,0),0)</f>
        <v>0</v>
      </c>
      <c r="D20" s="52">
        <f>IFERROR('A3 - Demanda Anual Agregada '!D19*'A2 - Preços'!AU18*VLOOKUP($B20,SN_UGC,28,0),0)</f>
        <v>0</v>
      </c>
      <c r="E20" s="52">
        <f>IFERROR('A3 - Demanda Anual Agregada '!E19*'A2 - Preços'!AV18*VLOOKUP($B20,SN_UGC,28,0),0)</f>
        <v>0</v>
      </c>
      <c r="F20" s="52">
        <f>IFERROR('A3 - Demanda Anual Agregada '!F19*'A2 - Preços'!AW18*VLOOKUP($B20,SN_UGC,28,0),0)</f>
        <v>0</v>
      </c>
      <c r="G20" s="52">
        <f>IFERROR('A3 - Demanda Anual Agregada '!G19*'A2 - Preços'!AX18*VLOOKUP($B20,SN_UGC,28,0),0)</f>
        <v>0</v>
      </c>
      <c r="H20" s="52">
        <f>IFERROR('A3 - Demanda Anual Agregada '!H19*'A2 - Preços'!AY18*VLOOKUP($B20,SN_UGC,28,0),0)</f>
        <v>0</v>
      </c>
      <c r="I20" s="52">
        <f>IFERROR('A3 - Demanda Anual Agregada '!I19*'A2 - Preços'!AZ18*VLOOKUP($B20,SN_UGC,28,0),0)</f>
        <v>0</v>
      </c>
      <c r="J20" s="52">
        <f>IFERROR('A3 - Demanda Anual Agregada '!J19*'A2 - Preços'!BA18*VLOOKUP($B20,SN_UGC,28,0),0)</f>
        <v>0</v>
      </c>
      <c r="K20" s="52">
        <f>IFERROR('A3 - Demanda Anual Agregada '!K19*'A2 - Preços'!BB18*VLOOKUP($B20,SN_UGC,28,0),0)</f>
        <v>0</v>
      </c>
      <c r="L20" s="52">
        <f>IFERROR('A3 - Demanda Anual Agregada '!L19*'A2 - Preços'!BC18*VLOOKUP($B20,SN_UGC,28,0),0)</f>
        <v>0</v>
      </c>
      <c r="M20" s="52">
        <f>IFERROR('A3 - Demanda Anual Agregada '!M19*'A2 - Preços'!BD18*VLOOKUP($B20,SN_UGC,28,0),0)</f>
        <v>0</v>
      </c>
      <c r="N20" s="52">
        <f>IFERROR('A3 - Demanda Anual Agregada '!N19*'A2 - Preços'!BE18*VLOOKUP($B20,SN_UGC,28,0),0)</f>
        <v>0</v>
      </c>
      <c r="O20" s="52">
        <f>IFERROR('A3 - Demanda Anual Agregada '!O19*'A2 - Preços'!BF18*VLOOKUP($B20,SN_UGC,28,0),0)</f>
        <v>0</v>
      </c>
      <c r="P20" s="52">
        <f>IFERROR('A3 - Demanda Anual Agregada '!P19*'A2 - Preços'!BG18*VLOOKUP($B20,SN_UGC,28,0),0)</f>
        <v>0</v>
      </c>
      <c r="Q20" s="52">
        <f>IFERROR('A3 - Demanda Anual Agregada '!Q19*'A2 - Preços'!BH18*VLOOKUP($B20,SN_UGC,28,0),0)</f>
        <v>0</v>
      </c>
      <c r="R20" s="52">
        <f>IFERROR('A3 - Demanda Anual Agregada '!R19*'A2 - Preços'!BI18*VLOOKUP($B20,SN_UGC,28,0),0)</f>
        <v>0</v>
      </c>
      <c r="S20" s="52">
        <f>IFERROR('A3 - Demanda Anual Agregada '!S19*'A2 - Preços'!BJ18*VLOOKUP($B20,SN_UGC,28,0),0)</f>
        <v>0</v>
      </c>
      <c r="T20" s="52">
        <f>IFERROR('A3 - Demanda Anual Agregada '!T19*'A2 - Preços'!BK18*VLOOKUP($B20,SN_UGC,28,0),0)</f>
        <v>0</v>
      </c>
      <c r="U20" s="52">
        <f>IFERROR('A3 - Demanda Anual Agregada '!U19*'A2 - Preços'!BL18*VLOOKUP($B20,SN_UGC,28,0),0)</f>
        <v>0</v>
      </c>
      <c r="V20" s="52">
        <f>IFERROR('A3 - Demanda Anual Agregada '!V19*'A2 - Preços'!BM18*VLOOKUP($B20,SN_UGC,28,0),0)</f>
        <v>0</v>
      </c>
      <c r="W20" s="52">
        <f>IFERROR('A3 - Demanda Anual Agregada '!W19*'A2 - Preços'!BN18*VLOOKUP($B20,SN_UGC,28,0),0)</f>
        <v>0</v>
      </c>
      <c r="X20" s="52">
        <f>IFERROR('A3 - Demanda Anual Agregada '!X19*'A2 - Preços'!BO18*VLOOKUP($B20,SN_UGC,28,0),0)</f>
        <v>0</v>
      </c>
      <c r="Y20" s="52">
        <f>IFERROR('A3 - Demanda Anual Agregada '!Y19*'A2 - Preços'!BP18*VLOOKUP($B20,SN_UGC,28,0),0)</f>
        <v>0</v>
      </c>
      <c r="Z20" s="52">
        <f>IFERROR('A3 - Demanda Anual Agregada '!Z19*'A2 - Preços'!BQ18*VLOOKUP($B20,SN_UGC,28,0),0)</f>
        <v>0</v>
      </c>
      <c r="AA20" s="52">
        <f>IFERROR('A3 - Demanda Anual Agregada '!AA19*'A2 - Preços'!BR18*VLOOKUP($B20,SN_UGC,28,0),0)</f>
        <v>0</v>
      </c>
      <c r="AB20" s="52">
        <f>IFERROR('A3 - Demanda Anual Agregada '!AB19*'A2 - Preços'!BS18*VLOOKUP($B20,SN_UGC,28,0),0)</f>
        <v>0</v>
      </c>
      <c r="AC20" s="52">
        <f>IFERROR('A3 - Demanda Anual Agregada '!AC19*'A2 - Preços'!BT18*VLOOKUP($B20,SN_UGC,28,0),0)</f>
        <v>0</v>
      </c>
      <c r="AD20" s="52">
        <f>IFERROR('A3 - Demanda Anual Agregada '!AD19*'A2 - Preços'!BU18*VLOOKUP($B20,SN_UGC,28,0),0)</f>
        <v>0</v>
      </c>
      <c r="AE20" s="52">
        <f>IFERROR('A3 - Demanda Anual Agregada '!AE19*'A2 - Preços'!BV18*VLOOKUP($B20,SN_UGC,28,0),0)</f>
        <v>0</v>
      </c>
      <c r="AF20" s="52">
        <f>IFERROR('A3 - Demanda Anual Agregada '!AF19*'A2 - Preços'!BW18*VLOOKUP($B20,SN_UGC,28,0),0)</f>
        <v>0</v>
      </c>
      <c r="AG20" s="532">
        <f t="shared" si="2"/>
        <v>0</v>
      </c>
    </row>
    <row r="21" spans="1:33" ht="12" customHeight="1">
      <c r="A21" s="521"/>
      <c r="B21" s="51" t="str">
        <f>'A1 - Serviços e demanda'!A34</f>
        <v>Paraíso - Comércio + Locação + Atividades</v>
      </c>
      <c r="C21" s="52">
        <f>IFERROR('A3 - Demanda Anual Agregada '!C20*'A2 - Preços'!AT19*VLOOKUP($B21,SN_UGC,28,0),0)</f>
        <v>0</v>
      </c>
      <c r="D21" s="52">
        <f>IFERROR('A3 - Demanda Anual Agregada '!D20*'A2 - Preços'!AU19*VLOOKUP($B21,SN_UGC,28,0),0)</f>
        <v>0</v>
      </c>
      <c r="E21" s="52">
        <f>IFERROR('A3 - Demanda Anual Agregada '!E20*'A2 - Preços'!AV19*VLOOKUP($B21,SN_UGC,28,0),0)</f>
        <v>0</v>
      </c>
      <c r="F21" s="52">
        <f>IFERROR('A3 - Demanda Anual Agregada '!F20*'A2 - Preços'!AW19*VLOOKUP($B21,SN_UGC,28,0),0)</f>
        <v>0</v>
      </c>
      <c r="G21" s="52">
        <f>IFERROR('A3 - Demanda Anual Agregada '!G20*'A2 - Preços'!AX19*VLOOKUP($B21,SN_UGC,28,0),0)</f>
        <v>0</v>
      </c>
      <c r="H21" s="52">
        <f>IFERROR('A3 - Demanda Anual Agregada '!H20*'A2 - Preços'!AY19*VLOOKUP($B21,SN_UGC,28,0),0)</f>
        <v>0</v>
      </c>
      <c r="I21" s="52">
        <f>IFERROR('A3 - Demanda Anual Agregada '!I20*'A2 - Preços'!AZ19*VLOOKUP($B21,SN_UGC,28,0),0)</f>
        <v>0</v>
      </c>
      <c r="J21" s="52">
        <f>IFERROR('A3 - Demanda Anual Agregada '!J20*'A2 - Preços'!BA19*VLOOKUP($B21,SN_UGC,28,0),0)</f>
        <v>0</v>
      </c>
      <c r="K21" s="52">
        <f>IFERROR('A3 - Demanda Anual Agregada '!K20*'A2 - Preços'!BB19*VLOOKUP($B21,SN_UGC,28,0),0)</f>
        <v>0</v>
      </c>
      <c r="L21" s="52">
        <f>IFERROR('A3 - Demanda Anual Agregada '!L20*'A2 - Preços'!BC19*VLOOKUP($B21,SN_UGC,28,0),0)</f>
        <v>0</v>
      </c>
      <c r="M21" s="52">
        <f>IFERROR('A3 - Demanda Anual Agregada '!M20*'A2 - Preços'!BD19*VLOOKUP($B21,SN_UGC,28,0),0)</f>
        <v>0</v>
      </c>
      <c r="N21" s="52">
        <f>IFERROR('A3 - Demanda Anual Agregada '!N20*'A2 - Preços'!BE19*VLOOKUP($B21,SN_UGC,28,0),0)</f>
        <v>0</v>
      </c>
      <c r="O21" s="52">
        <f>IFERROR('A3 - Demanda Anual Agregada '!O20*'A2 - Preços'!BF19*VLOOKUP($B21,SN_UGC,28,0),0)</f>
        <v>0</v>
      </c>
      <c r="P21" s="52">
        <f>IFERROR('A3 - Demanda Anual Agregada '!P20*'A2 - Preços'!BG19*VLOOKUP($B21,SN_UGC,28,0),0)</f>
        <v>0</v>
      </c>
      <c r="Q21" s="52">
        <f>IFERROR('A3 - Demanda Anual Agregada '!Q20*'A2 - Preços'!BH19*VLOOKUP($B21,SN_UGC,28,0),0)</f>
        <v>0</v>
      </c>
      <c r="R21" s="52">
        <f>IFERROR('A3 - Demanda Anual Agregada '!R20*'A2 - Preços'!BI19*VLOOKUP($B21,SN_UGC,28,0),0)</f>
        <v>0</v>
      </c>
      <c r="S21" s="52">
        <f>IFERROR('A3 - Demanda Anual Agregada '!S20*'A2 - Preços'!BJ19*VLOOKUP($B21,SN_UGC,28,0),0)</f>
        <v>0</v>
      </c>
      <c r="T21" s="52">
        <f>IFERROR('A3 - Demanda Anual Agregada '!T20*'A2 - Preços'!BK19*VLOOKUP($B21,SN_UGC,28,0),0)</f>
        <v>0</v>
      </c>
      <c r="U21" s="52">
        <f>IFERROR('A3 - Demanda Anual Agregada '!U20*'A2 - Preços'!BL19*VLOOKUP($B21,SN_UGC,28,0),0)</f>
        <v>0</v>
      </c>
      <c r="V21" s="52">
        <f>IFERROR('A3 - Demanda Anual Agregada '!V20*'A2 - Preços'!BM19*VLOOKUP($B21,SN_UGC,28,0),0)</f>
        <v>0</v>
      </c>
      <c r="W21" s="52">
        <f>IFERROR('A3 - Demanda Anual Agregada '!W20*'A2 - Preços'!BN19*VLOOKUP($B21,SN_UGC,28,0),0)</f>
        <v>0</v>
      </c>
      <c r="X21" s="52">
        <f>IFERROR('A3 - Demanda Anual Agregada '!X20*'A2 - Preços'!BO19*VLOOKUP($B21,SN_UGC,28,0),0)</f>
        <v>0</v>
      </c>
      <c r="Y21" s="52">
        <f>IFERROR('A3 - Demanda Anual Agregada '!Y20*'A2 - Preços'!BP19*VLOOKUP($B21,SN_UGC,28,0),0)</f>
        <v>0</v>
      </c>
      <c r="Z21" s="52">
        <f>IFERROR('A3 - Demanda Anual Agregada '!Z20*'A2 - Preços'!BQ19*VLOOKUP($B21,SN_UGC,28,0),0)</f>
        <v>0</v>
      </c>
      <c r="AA21" s="52">
        <f>IFERROR('A3 - Demanda Anual Agregada '!AA20*'A2 - Preços'!BR19*VLOOKUP($B21,SN_UGC,28,0),0)</f>
        <v>0</v>
      </c>
      <c r="AB21" s="52">
        <f>IFERROR('A3 - Demanda Anual Agregada '!AB20*'A2 - Preços'!BS19*VLOOKUP($B21,SN_UGC,28,0),0)</f>
        <v>0</v>
      </c>
      <c r="AC21" s="52">
        <f>IFERROR('A3 - Demanda Anual Agregada '!AC20*'A2 - Preços'!BT19*VLOOKUP($B21,SN_UGC,28,0),0)</f>
        <v>0</v>
      </c>
      <c r="AD21" s="52">
        <f>IFERROR('A3 - Demanda Anual Agregada '!AD20*'A2 - Preços'!BU19*VLOOKUP($B21,SN_UGC,28,0),0)</f>
        <v>0</v>
      </c>
      <c r="AE21" s="52">
        <f>IFERROR('A3 - Demanda Anual Agregada '!AE20*'A2 - Preços'!BV19*VLOOKUP($B21,SN_UGC,28,0),0)</f>
        <v>0</v>
      </c>
      <c r="AF21" s="52">
        <f>IFERROR('A3 - Demanda Anual Agregada '!AF20*'A2 - Preços'!BW19*VLOOKUP($B21,SN_UGC,28,0),0)</f>
        <v>0</v>
      </c>
      <c r="AG21" s="532">
        <f t="shared" si="2"/>
        <v>0</v>
      </c>
    </row>
    <row r="22" spans="1:33" ht="12" customHeight="1">
      <c r="A22" s="521"/>
      <c r="B22" s="51" t="str">
        <f>'A1 - Serviços e demanda'!A35</f>
        <v>Geral - Unidade móvel - Alimentação</v>
      </c>
      <c r="C22" s="52">
        <f>IFERROR('A3 - Demanda Anual Agregada '!C21*'A2 - Preços'!AT20*VLOOKUP($B22,SN_UGC,28,0),0)</f>
        <v>0</v>
      </c>
      <c r="D22" s="52">
        <f>IFERROR('A3 - Demanda Anual Agregada '!D21*'A2 - Preços'!AU20*VLOOKUP($B22,SN_UGC,28,0),0)</f>
        <v>540975</v>
      </c>
      <c r="E22" s="52">
        <f>IFERROR('A3 - Demanda Anual Agregada '!E21*'A2 - Preços'!AV20*VLOOKUP($B22,SN_UGC,28,0),0)</f>
        <v>559625</v>
      </c>
      <c r="F22" s="52">
        <f>IFERROR('A3 - Demanda Anual Agregada '!F21*'A2 - Preços'!AW20*VLOOKUP($B22,SN_UGC,28,0),0)</f>
        <v>577700</v>
      </c>
      <c r="G22" s="52">
        <f>IFERROR('A3 - Demanda Anual Agregada '!G21*'A2 - Preços'!AX20*VLOOKUP($B22,SN_UGC,28,0),0)</f>
        <v>596075</v>
      </c>
      <c r="H22" s="52">
        <f>IFERROR('A3 - Demanda Anual Agregada '!H21*'A2 - Preços'!AY20*VLOOKUP($B22,SN_UGC,28,0),0)</f>
        <v>614750</v>
      </c>
      <c r="I22" s="52">
        <f>IFERROR('A3 - Demanda Anual Agregada '!I21*'A2 - Preços'!AZ20*VLOOKUP($B22,SN_UGC,28,0),0)</f>
        <v>633950</v>
      </c>
      <c r="J22" s="52">
        <f>IFERROR('A3 - Demanda Anual Agregada '!J21*'A2 - Preços'!BA20*VLOOKUP($B22,SN_UGC,28,0),0)</f>
        <v>653725</v>
      </c>
      <c r="K22" s="52">
        <f>IFERROR('A3 - Demanda Anual Agregada '!K21*'A2 - Preços'!BB20*VLOOKUP($B22,SN_UGC,28,0),0)</f>
        <v>673850</v>
      </c>
      <c r="L22" s="52">
        <f>IFERROR('A3 - Demanda Anual Agregada '!L21*'A2 - Preços'!BC20*VLOOKUP($B22,SN_UGC,28,0),0)</f>
        <v>694375</v>
      </c>
      <c r="M22" s="52">
        <f>IFERROR('A3 - Demanda Anual Agregada '!M21*'A2 - Preços'!BD20*VLOOKUP($B22,SN_UGC,28,0),0)</f>
        <v>715500</v>
      </c>
      <c r="N22" s="52">
        <f>IFERROR('A3 - Demanda Anual Agregada '!N21*'A2 - Preços'!BE20*VLOOKUP($B22,SN_UGC,28,0),0)</f>
        <v>737300</v>
      </c>
      <c r="O22" s="52">
        <f>IFERROR('A3 - Demanda Anual Agregada '!O21*'A2 - Preços'!BF20*VLOOKUP($B22,SN_UGC,28,0),0)</f>
        <v>759775</v>
      </c>
      <c r="P22" s="52">
        <f>IFERROR('A3 - Demanda Anual Agregada '!P21*'A2 - Preços'!BG20*VLOOKUP($B22,SN_UGC,28,0),0)</f>
        <v>782925</v>
      </c>
      <c r="Q22" s="52">
        <f>IFERROR('A3 - Demanda Anual Agregada '!Q21*'A2 - Preços'!BH20*VLOOKUP($B22,SN_UGC,28,0),0)</f>
        <v>806775</v>
      </c>
      <c r="R22" s="52">
        <f>IFERROR('A3 - Demanda Anual Agregada '!R21*'A2 - Preços'!BI20*VLOOKUP($B22,SN_UGC,28,0),0)</f>
        <v>831275</v>
      </c>
      <c r="S22" s="52">
        <f>IFERROR('A3 - Demanda Anual Agregada '!S21*'A2 - Preços'!BJ20*VLOOKUP($B22,SN_UGC,28,0),0)</f>
        <v>856400</v>
      </c>
      <c r="T22" s="52">
        <f>IFERROR('A3 - Demanda Anual Agregada '!T21*'A2 - Preços'!BK20*VLOOKUP($B22,SN_UGC,28,0),0)</f>
        <v>882075</v>
      </c>
      <c r="U22" s="52">
        <f>IFERROR('A3 - Demanda Anual Agregada '!U21*'A2 - Preços'!BL20*VLOOKUP($B22,SN_UGC,28,0),0)</f>
        <v>908200</v>
      </c>
      <c r="V22" s="52">
        <f>IFERROR('A3 - Demanda Anual Agregada '!V21*'A2 - Preços'!BM20*VLOOKUP($B22,SN_UGC,28,0),0)</f>
        <v>934675</v>
      </c>
      <c r="W22" s="52">
        <f>IFERROR('A3 - Demanda Anual Agregada '!W21*'A2 - Preços'!BN20*VLOOKUP($B22,SN_UGC,28,0),0)</f>
        <v>934675</v>
      </c>
      <c r="X22" s="52">
        <f>IFERROR('A3 - Demanda Anual Agregada '!X21*'A2 - Preços'!BO20*VLOOKUP($B22,SN_UGC,28,0),0)</f>
        <v>934675</v>
      </c>
      <c r="Y22" s="52">
        <f>IFERROR('A3 - Demanda Anual Agregada '!Y21*'A2 - Preços'!BP20*VLOOKUP($B22,SN_UGC,28,0),0)</f>
        <v>934675</v>
      </c>
      <c r="Z22" s="52">
        <f>IFERROR('A3 - Demanda Anual Agregada '!Z21*'A2 - Preços'!BQ20*VLOOKUP($B22,SN_UGC,28,0),0)</f>
        <v>934675</v>
      </c>
      <c r="AA22" s="52">
        <f>IFERROR('A3 - Demanda Anual Agregada '!AA21*'A2 - Preços'!BR20*VLOOKUP($B22,SN_UGC,28,0),0)</f>
        <v>934675</v>
      </c>
      <c r="AB22" s="52">
        <f>IFERROR('A3 - Demanda Anual Agregada '!AB21*'A2 - Preços'!BS20*VLOOKUP($B22,SN_UGC,28,0),0)</f>
        <v>934675</v>
      </c>
      <c r="AC22" s="52">
        <f>IFERROR('A3 - Demanda Anual Agregada '!AC21*'A2 - Preços'!BT20*VLOOKUP($B22,SN_UGC,28,0),0)</f>
        <v>934675</v>
      </c>
      <c r="AD22" s="52">
        <f>IFERROR('A3 - Demanda Anual Agregada '!AD21*'A2 - Preços'!BU20*VLOOKUP($B22,SN_UGC,28,0),0)</f>
        <v>934675</v>
      </c>
      <c r="AE22" s="52">
        <f>IFERROR('A3 - Demanda Anual Agregada '!AE21*'A2 - Preços'!BV20*VLOOKUP($B22,SN_UGC,28,0),0)</f>
        <v>934675</v>
      </c>
      <c r="AF22" s="52">
        <f>IFERROR('A3 - Demanda Anual Agregada '!AF21*'A2 - Preços'!BW20*VLOOKUP($B22,SN_UGC,28,0),0)</f>
        <v>934675</v>
      </c>
      <c r="AG22" s="532">
        <f t="shared" si="2"/>
        <v>1.264149316889635E-2</v>
      </c>
    </row>
    <row r="23" spans="1:33" ht="12" customHeight="1">
      <c r="A23" s="521"/>
      <c r="B23" s="51" t="str">
        <f>'A1 - Serviços e demanda'!A36</f>
        <v>Mangue Seco - Estacionamento</v>
      </c>
      <c r="C23" s="52">
        <f>IFERROR('A3 - Demanda Anual Agregada '!C22*'A2 - Preços'!AT21*VLOOKUP($B23,SN_UGC,28,0),0)</f>
        <v>0</v>
      </c>
      <c r="D23" s="52">
        <f>IFERROR('A3 - Demanda Anual Agregada '!D22*'A2 - Preços'!AU21*VLOOKUP($B23,SN_UGC,28,0),0)</f>
        <v>0</v>
      </c>
      <c r="E23" s="52">
        <f>IFERROR('A3 - Demanda Anual Agregada '!E22*'A2 - Preços'!AV21*VLOOKUP($B23,SN_UGC,28,0),0)</f>
        <v>0</v>
      </c>
      <c r="F23" s="52">
        <f>IFERROR('A3 - Demanda Anual Agregada '!F22*'A2 - Preços'!AW21*VLOOKUP($B23,SN_UGC,28,0),0)</f>
        <v>0</v>
      </c>
      <c r="G23" s="52">
        <f>IFERROR('A3 - Demanda Anual Agregada '!G22*'A2 - Preços'!AX21*VLOOKUP($B23,SN_UGC,28,0),0)</f>
        <v>0</v>
      </c>
      <c r="H23" s="52">
        <f>IFERROR('A3 - Demanda Anual Agregada '!H22*'A2 - Preços'!AY21*VLOOKUP($B23,SN_UGC,28,0),0)</f>
        <v>0</v>
      </c>
      <c r="I23" s="52">
        <f>IFERROR('A3 - Demanda Anual Agregada '!I22*'A2 - Preços'!AZ21*VLOOKUP($B23,SN_UGC,28,0),0)</f>
        <v>0</v>
      </c>
      <c r="J23" s="52">
        <f>IFERROR('A3 - Demanda Anual Agregada '!J22*'A2 - Preços'!BA21*VLOOKUP($B23,SN_UGC,28,0),0)</f>
        <v>0</v>
      </c>
      <c r="K23" s="52">
        <f>IFERROR('A3 - Demanda Anual Agregada '!K22*'A2 - Preços'!BB21*VLOOKUP($B23,SN_UGC,28,0),0)</f>
        <v>0</v>
      </c>
      <c r="L23" s="52">
        <f>IFERROR('A3 - Demanda Anual Agregada '!L22*'A2 - Preços'!BC21*VLOOKUP($B23,SN_UGC,28,0),0)</f>
        <v>0</v>
      </c>
      <c r="M23" s="52">
        <f>IFERROR('A3 - Demanda Anual Agregada '!M22*'A2 - Preços'!BD21*VLOOKUP($B23,SN_UGC,28,0),0)</f>
        <v>0</v>
      </c>
      <c r="N23" s="52">
        <f>IFERROR('A3 - Demanda Anual Agregada '!N22*'A2 - Preços'!BE21*VLOOKUP($B23,SN_UGC,28,0),0)</f>
        <v>0</v>
      </c>
      <c r="O23" s="52">
        <f>IFERROR('A3 - Demanda Anual Agregada '!O22*'A2 - Preços'!BF21*VLOOKUP($B23,SN_UGC,28,0),0)</f>
        <v>0</v>
      </c>
      <c r="P23" s="52">
        <f>IFERROR('A3 - Demanda Anual Agregada '!P22*'A2 - Preços'!BG21*VLOOKUP($B23,SN_UGC,28,0),0)</f>
        <v>0</v>
      </c>
      <c r="Q23" s="52">
        <f>IFERROR('A3 - Demanda Anual Agregada '!Q22*'A2 - Preços'!BH21*VLOOKUP($B23,SN_UGC,28,0),0)</f>
        <v>0</v>
      </c>
      <c r="R23" s="52">
        <f>IFERROR('A3 - Demanda Anual Agregada '!R22*'A2 - Preços'!BI21*VLOOKUP($B23,SN_UGC,28,0),0)</f>
        <v>0</v>
      </c>
      <c r="S23" s="52">
        <f>IFERROR('A3 - Demanda Anual Agregada '!S22*'A2 - Preços'!BJ21*VLOOKUP($B23,SN_UGC,28,0),0)</f>
        <v>0</v>
      </c>
      <c r="T23" s="52">
        <f>IFERROR('A3 - Demanda Anual Agregada '!T22*'A2 - Preços'!BK21*VLOOKUP($B23,SN_UGC,28,0),0)</f>
        <v>0</v>
      </c>
      <c r="U23" s="52">
        <f>IFERROR('A3 - Demanda Anual Agregada '!U22*'A2 - Preços'!BL21*VLOOKUP($B23,SN_UGC,28,0),0)</f>
        <v>0</v>
      </c>
      <c r="V23" s="52">
        <f>IFERROR('A3 - Demanda Anual Agregada '!V22*'A2 - Preços'!BM21*VLOOKUP($B23,SN_UGC,28,0),0)</f>
        <v>0</v>
      </c>
      <c r="W23" s="52">
        <f>IFERROR('A3 - Demanda Anual Agregada '!W22*'A2 - Preços'!BN21*VLOOKUP($B23,SN_UGC,28,0),0)</f>
        <v>0</v>
      </c>
      <c r="X23" s="52">
        <f>IFERROR('A3 - Demanda Anual Agregada '!X22*'A2 - Preços'!BO21*VLOOKUP($B23,SN_UGC,28,0),0)</f>
        <v>0</v>
      </c>
      <c r="Y23" s="52">
        <f>IFERROR('A3 - Demanda Anual Agregada '!Y22*'A2 - Preços'!BP21*VLOOKUP($B23,SN_UGC,28,0),0)</f>
        <v>0</v>
      </c>
      <c r="Z23" s="52">
        <f>IFERROR('A3 - Demanda Anual Agregada '!Z22*'A2 - Preços'!BQ21*VLOOKUP($B23,SN_UGC,28,0),0)</f>
        <v>0</v>
      </c>
      <c r="AA23" s="52">
        <f>IFERROR('A3 - Demanda Anual Agregada '!AA22*'A2 - Preços'!BR21*VLOOKUP($B23,SN_UGC,28,0),0)</f>
        <v>0</v>
      </c>
      <c r="AB23" s="52">
        <f>IFERROR('A3 - Demanda Anual Agregada '!AB22*'A2 - Preços'!BS21*VLOOKUP($B23,SN_UGC,28,0),0)</f>
        <v>0</v>
      </c>
      <c r="AC23" s="52">
        <f>IFERROR('A3 - Demanda Anual Agregada '!AC22*'A2 - Preços'!BT21*VLOOKUP($B23,SN_UGC,28,0),0)</f>
        <v>0</v>
      </c>
      <c r="AD23" s="52">
        <f>IFERROR('A3 - Demanda Anual Agregada '!AD22*'A2 - Preços'!BU21*VLOOKUP($B23,SN_UGC,28,0),0)</f>
        <v>0</v>
      </c>
      <c r="AE23" s="52">
        <f>IFERROR('A3 - Demanda Anual Agregada '!AE22*'A2 - Preços'!BV21*VLOOKUP($B23,SN_UGC,28,0),0)</f>
        <v>0</v>
      </c>
      <c r="AF23" s="52">
        <f>IFERROR('A3 - Demanda Anual Agregada '!AF22*'A2 - Preços'!BW21*VLOOKUP($B23,SN_UGC,28,0),0)</f>
        <v>0</v>
      </c>
      <c r="AG23" s="532">
        <f t="shared" si="2"/>
        <v>0</v>
      </c>
    </row>
    <row r="24" spans="1:33" ht="12" customHeight="1">
      <c r="A24" s="521"/>
      <c r="B24" s="51" t="str">
        <f>'A1 - Serviços e demanda'!A37</f>
        <v>Lagoa Grande - Estacionamento</v>
      </c>
      <c r="C24" s="52">
        <f>IFERROR('A3 - Demanda Anual Agregada '!C23*'A2 - Preços'!AT22*VLOOKUP($B24,SN_UGC,28,0),0)</f>
        <v>0</v>
      </c>
      <c r="D24" s="52">
        <f>IFERROR('A3 - Demanda Anual Agregada '!D23*'A2 - Preços'!AU22*VLOOKUP($B24,SN_UGC,28,0),0)</f>
        <v>0</v>
      </c>
      <c r="E24" s="52">
        <f>IFERROR('A3 - Demanda Anual Agregada '!E23*'A2 - Preços'!AV22*VLOOKUP($B24,SN_UGC,28,0),0)</f>
        <v>0</v>
      </c>
      <c r="F24" s="52">
        <f>IFERROR('A3 - Demanda Anual Agregada '!F23*'A2 - Preços'!AW22*VLOOKUP($B24,SN_UGC,28,0),0)</f>
        <v>0</v>
      </c>
      <c r="G24" s="52">
        <f>IFERROR('A3 - Demanda Anual Agregada '!G23*'A2 - Preços'!AX22*VLOOKUP($B24,SN_UGC,28,0),0)</f>
        <v>0</v>
      </c>
      <c r="H24" s="52">
        <f>IFERROR('A3 - Demanda Anual Agregada '!H23*'A2 - Preços'!AY22*VLOOKUP($B24,SN_UGC,28,0),0)</f>
        <v>0</v>
      </c>
      <c r="I24" s="52">
        <f>IFERROR('A3 - Demanda Anual Agregada '!I23*'A2 - Preços'!AZ22*VLOOKUP($B24,SN_UGC,28,0),0)</f>
        <v>0</v>
      </c>
      <c r="J24" s="52">
        <f>IFERROR('A3 - Demanda Anual Agregada '!J23*'A2 - Preços'!BA22*VLOOKUP($B24,SN_UGC,28,0),0)</f>
        <v>0</v>
      </c>
      <c r="K24" s="52">
        <f>IFERROR('A3 - Demanda Anual Agregada '!K23*'A2 - Preços'!BB22*VLOOKUP($B24,SN_UGC,28,0),0)</f>
        <v>0</v>
      </c>
      <c r="L24" s="52">
        <f>IFERROR('A3 - Demanda Anual Agregada '!L23*'A2 - Preços'!BC22*VLOOKUP($B24,SN_UGC,28,0),0)</f>
        <v>0</v>
      </c>
      <c r="M24" s="52">
        <f>IFERROR('A3 - Demanda Anual Agregada '!M23*'A2 - Preços'!BD22*VLOOKUP($B24,SN_UGC,28,0),0)</f>
        <v>0</v>
      </c>
      <c r="N24" s="52">
        <f>IFERROR('A3 - Demanda Anual Agregada '!N23*'A2 - Preços'!BE22*VLOOKUP($B24,SN_UGC,28,0),0)</f>
        <v>0</v>
      </c>
      <c r="O24" s="52">
        <f>IFERROR('A3 - Demanda Anual Agregada '!O23*'A2 - Preços'!BF22*VLOOKUP($B24,SN_UGC,28,0),0)</f>
        <v>0</v>
      </c>
      <c r="P24" s="52">
        <f>IFERROR('A3 - Demanda Anual Agregada '!P23*'A2 - Preços'!BG22*VLOOKUP($B24,SN_UGC,28,0),0)</f>
        <v>0</v>
      </c>
      <c r="Q24" s="52">
        <f>IFERROR('A3 - Demanda Anual Agregada '!Q23*'A2 - Preços'!BH22*VLOOKUP($B24,SN_UGC,28,0),0)</f>
        <v>0</v>
      </c>
      <c r="R24" s="52">
        <f>IFERROR('A3 - Demanda Anual Agregada '!R23*'A2 - Preços'!BI22*VLOOKUP($B24,SN_UGC,28,0),0)</f>
        <v>0</v>
      </c>
      <c r="S24" s="52">
        <f>IFERROR('A3 - Demanda Anual Agregada '!S23*'A2 - Preços'!BJ22*VLOOKUP($B24,SN_UGC,28,0),0)</f>
        <v>0</v>
      </c>
      <c r="T24" s="52">
        <f>IFERROR('A3 - Demanda Anual Agregada '!T23*'A2 - Preços'!BK22*VLOOKUP($B24,SN_UGC,28,0),0)</f>
        <v>0</v>
      </c>
      <c r="U24" s="52">
        <f>IFERROR('A3 - Demanda Anual Agregada '!U23*'A2 - Preços'!BL22*VLOOKUP($B24,SN_UGC,28,0),0)</f>
        <v>0</v>
      </c>
      <c r="V24" s="52">
        <f>IFERROR('A3 - Demanda Anual Agregada '!V23*'A2 - Preços'!BM22*VLOOKUP($B24,SN_UGC,28,0),0)</f>
        <v>0</v>
      </c>
      <c r="W24" s="52">
        <f>IFERROR('A3 - Demanda Anual Agregada '!W23*'A2 - Preços'!BN22*VLOOKUP($B24,SN_UGC,28,0),0)</f>
        <v>0</v>
      </c>
      <c r="X24" s="52">
        <f>IFERROR('A3 - Demanda Anual Agregada '!X23*'A2 - Preços'!BO22*VLOOKUP($B24,SN_UGC,28,0),0)</f>
        <v>0</v>
      </c>
      <c r="Y24" s="52">
        <f>IFERROR('A3 - Demanda Anual Agregada '!Y23*'A2 - Preços'!BP22*VLOOKUP($B24,SN_UGC,28,0),0)</f>
        <v>0</v>
      </c>
      <c r="Z24" s="52">
        <f>IFERROR('A3 - Demanda Anual Agregada '!Z23*'A2 - Preços'!BQ22*VLOOKUP($B24,SN_UGC,28,0),0)</f>
        <v>0</v>
      </c>
      <c r="AA24" s="52">
        <f>IFERROR('A3 - Demanda Anual Agregada '!AA23*'A2 - Preços'!BR22*VLOOKUP($B24,SN_UGC,28,0),0)</f>
        <v>0</v>
      </c>
      <c r="AB24" s="52">
        <f>IFERROR('A3 - Demanda Anual Agregada '!AB23*'A2 - Preços'!BS22*VLOOKUP($B24,SN_UGC,28,0),0)</f>
        <v>0</v>
      </c>
      <c r="AC24" s="52">
        <f>IFERROR('A3 - Demanda Anual Agregada '!AC23*'A2 - Preços'!BT22*VLOOKUP($B24,SN_UGC,28,0),0)</f>
        <v>0</v>
      </c>
      <c r="AD24" s="52">
        <f>IFERROR('A3 - Demanda Anual Agregada '!AD23*'A2 - Preços'!BU22*VLOOKUP($B24,SN_UGC,28,0),0)</f>
        <v>0</v>
      </c>
      <c r="AE24" s="52">
        <f>IFERROR('A3 - Demanda Anual Agregada '!AE23*'A2 - Preços'!BV22*VLOOKUP($B24,SN_UGC,28,0),0)</f>
        <v>0</v>
      </c>
      <c r="AF24" s="52">
        <f>IFERROR('A3 - Demanda Anual Agregada '!AF23*'A2 - Preços'!BW22*VLOOKUP($B24,SN_UGC,28,0),0)</f>
        <v>0</v>
      </c>
      <c r="AG24" s="532">
        <f t="shared" si="2"/>
        <v>0</v>
      </c>
    </row>
    <row r="25" spans="1:33" ht="12" customHeight="1">
      <c r="A25" s="521"/>
      <c r="B25" s="51">
        <f>'A1 - Serviços e demanda'!A38</f>
        <v>0</v>
      </c>
      <c r="C25" s="52">
        <f>IFERROR('A3 - Demanda Anual Agregada '!C24*'A2 - Preços'!AT23*VLOOKUP($B25,SN_UGC,28,0),0)</f>
        <v>0</v>
      </c>
      <c r="D25" s="52">
        <f>IFERROR('A3 - Demanda Anual Agregada '!D24*'A2 - Preços'!AU23*VLOOKUP($B25,SN_UGC,28,0),0)</f>
        <v>0</v>
      </c>
      <c r="E25" s="52">
        <f>IFERROR('A3 - Demanda Anual Agregada '!E24*'A2 - Preços'!AV23*VLOOKUP($B25,SN_UGC,28,0),0)</f>
        <v>0</v>
      </c>
      <c r="F25" s="52">
        <f>IFERROR('A3 - Demanda Anual Agregada '!F24*'A2 - Preços'!AW23*VLOOKUP($B25,SN_UGC,28,0),0)</f>
        <v>0</v>
      </c>
      <c r="G25" s="52">
        <f>IFERROR('A3 - Demanda Anual Agregada '!G24*'A2 - Preços'!AX23*VLOOKUP($B25,SN_UGC,28,0),0)</f>
        <v>0</v>
      </c>
      <c r="H25" s="52">
        <f>IFERROR('A3 - Demanda Anual Agregada '!H24*'A2 - Preços'!AY23*VLOOKUP($B25,SN_UGC,28,0),0)</f>
        <v>0</v>
      </c>
      <c r="I25" s="52">
        <f>IFERROR('A3 - Demanda Anual Agregada '!I24*'A2 - Preços'!AZ23*VLOOKUP($B25,SN_UGC,28,0),0)</f>
        <v>0</v>
      </c>
      <c r="J25" s="52">
        <f>IFERROR('A3 - Demanda Anual Agregada '!J24*'A2 - Preços'!BA23*VLOOKUP($B25,SN_UGC,28,0),0)</f>
        <v>0</v>
      </c>
      <c r="K25" s="52">
        <f>IFERROR('A3 - Demanda Anual Agregada '!K24*'A2 - Preços'!BB23*VLOOKUP($B25,SN_UGC,28,0),0)</f>
        <v>0</v>
      </c>
      <c r="L25" s="52">
        <f>IFERROR('A3 - Demanda Anual Agregada '!L24*'A2 - Preços'!BC23*VLOOKUP($B25,SN_UGC,28,0),0)</f>
        <v>0</v>
      </c>
      <c r="M25" s="52">
        <f>IFERROR('A3 - Demanda Anual Agregada '!M24*'A2 - Preços'!BD23*VLOOKUP($B25,SN_UGC,28,0),0)</f>
        <v>0</v>
      </c>
      <c r="N25" s="52">
        <f>IFERROR('A3 - Demanda Anual Agregada '!N24*'A2 - Preços'!BE23*VLOOKUP($B25,SN_UGC,28,0),0)</f>
        <v>0</v>
      </c>
      <c r="O25" s="52">
        <f>IFERROR('A3 - Demanda Anual Agregada '!O24*'A2 - Preços'!BF23*VLOOKUP($B25,SN_UGC,28,0),0)</f>
        <v>0</v>
      </c>
      <c r="P25" s="52">
        <f>IFERROR('A3 - Demanda Anual Agregada '!P24*'A2 - Preços'!BG23*VLOOKUP($B25,SN_UGC,28,0),0)</f>
        <v>0</v>
      </c>
      <c r="Q25" s="52">
        <f>IFERROR('A3 - Demanda Anual Agregada '!Q24*'A2 - Preços'!BH23*VLOOKUP($B25,SN_UGC,28,0),0)</f>
        <v>0</v>
      </c>
      <c r="R25" s="52">
        <f>IFERROR('A3 - Demanda Anual Agregada '!R24*'A2 - Preços'!BI23*VLOOKUP($B25,SN_UGC,28,0),0)</f>
        <v>0</v>
      </c>
      <c r="S25" s="52">
        <f>IFERROR('A3 - Demanda Anual Agregada '!S24*'A2 - Preços'!BJ23*VLOOKUP($B25,SN_UGC,28,0),0)</f>
        <v>0</v>
      </c>
      <c r="T25" s="52">
        <f>IFERROR('A3 - Demanda Anual Agregada '!T24*'A2 - Preços'!BK23*VLOOKUP($B25,SN_UGC,28,0),0)</f>
        <v>0</v>
      </c>
      <c r="U25" s="52">
        <f>IFERROR('A3 - Demanda Anual Agregada '!U24*'A2 - Preços'!BL23*VLOOKUP($B25,SN_UGC,28,0),0)</f>
        <v>0</v>
      </c>
      <c r="V25" s="52">
        <f>IFERROR('A3 - Demanda Anual Agregada '!V24*'A2 - Preços'!BM23*VLOOKUP($B25,SN_UGC,28,0),0)</f>
        <v>0</v>
      </c>
      <c r="W25" s="52">
        <f>IFERROR('A3 - Demanda Anual Agregada '!W24*'A2 - Preços'!BN23*VLOOKUP($B25,SN_UGC,28,0),0)</f>
        <v>0</v>
      </c>
      <c r="X25" s="52">
        <f>IFERROR('A3 - Demanda Anual Agregada '!X24*'A2 - Preços'!BO23*VLOOKUP($B25,SN_UGC,28,0),0)</f>
        <v>0</v>
      </c>
      <c r="Y25" s="52">
        <f>IFERROR('A3 - Demanda Anual Agregada '!Y24*'A2 - Preços'!BP23*VLOOKUP($B25,SN_UGC,28,0),0)</f>
        <v>0</v>
      </c>
      <c r="Z25" s="52">
        <f>IFERROR('A3 - Demanda Anual Agregada '!Z24*'A2 - Preços'!BQ23*VLOOKUP($B25,SN_UGC,28,0),0)</f>
        <v>0</v>
      </c>
      <c r="AA25" s="52">
        <f>IFERROR('A3 - Demanda Anual Agregada '!AA24*'A2 - Preços'!BR23*VLOOKUP($B25,SN_UGC,28,0),0)</f>
        <v>0</v>
      </c>
      <c r="AB25" s="52">
        <f>IFERROR('A3 - Demanda Anual Agregada '!AB24*'A2 - Preços'!BS23*VLOOKUP($B25,SN_UGC,28,0),0)</f>
        <v>0</v>
      </c>
      <c r="AC25" s="52">
        <f>IFERROR('A3 - Demanda Anual Agregada '!AC24*'A2 - Preços'!BT23*VLOOKUP($B25,SN_UGC,28,0),0)</f>
        <v>0</v>
      </c>
      <c r="AD25" s="52">
        <f>IFERROR('A3 - Demanda Anual Agregada '!AD24*'A2 - Preços'!BU23*VLOOKUP($B25,SN_UGC,28,0),0)</f>
        <v>0</v>
      </c>
      <c r="AE25" s="52">
        <f>IFERROR('A3 - Demanda Anual Agregada '!AE24*'A2 - Preços'!BV23*VLOOKUP($B25,SN_UGC,28,0),0)</f>
        <v>0</v>
      </c>
      <c r="AF25" s="52">
        <f>IFERROR('A3 - Demanda Anual Agregada '!AF24*'A2 - Preços'!BW23*VLOOKUP($B25,SN_UGC,28,0),0)</f>
        <v>0</v>
      </c>
      <c r="AG25" s="532">
        <f t="shared" si="2"/>
        <v>0</v>
      </c>
    </row>
    <row r="26" spans="1:33" ht="12" customHeight="1">
      <c r="A26" s="521"/>
      <c r="B26" s="51">
        <f>'A1 - Serviços e demanda'!A39</f>
        <v>0</v>
      </c>
      <c r="C26" s="52">
        <f>IFERROR('A3 - Demanda Anual Agregada '!C25*'A2 - Preços'!AT24*VLOOKUP($B26,SN_UGC,28,0),0)</f>
        <v>0</v>
      </c>
      <c r="D26" s="52">
        <f>IFERROR('A3 - Demanda Anual Agregada '!D25*'A2 - Preços'!AU24*VLOOKUP($B26,SN_UGC,28,0),0)</f>
        <v>0</v>
      </c>
      <c r="E26" s="52">
        <f>IFERROR('A3 - Demanda Anual Agregada '!E25*'A2 - Preços'!AV24*VLOOKUP($B26,SN_UGC,28,0),0)</f>
        <v>0</v>
      </c>
      <c r="F26" s="52">
        <f>IFERROR('A3 - Demanda Anual Agregada '!F25*'A2 - Preços'!AW24*VLOOKUP($B26,SN_UGC,28,0),0)</f>
        <v>0</v>
      </c>
      <c r="G26" s="52">
        <f>IFERROR('A3 - Demanda Anual Agregada '!G25*'A2 - Preços'!AX24*VLOOKUP($B26,SN_UGC,28,0),0)</f>
        <v>0</v>
      </c>
      <c r="H26" s="52">
        <f>IFERROR('A3 - Demanda Anual Agregada '!H25*'A2 - Preços'!AY24*VLOOKUP($B26,SN_UGC,28,0),0)</f>
        <v>0</v>
      </c>
      <c r="I26" s="52">
        <f>IFERROR('A3 - Demanda Anual Agregada '!I25*'A2 - Preços'!AZ24*VLOOKUP($B26,SN_UGC,28,0),0)</f>
        <v>0</v>
      </c>
      <c r="J26" s="52">
        <f>IFERROR('A3 - Demanda Anual Agregada '!J25*'A2 - Preços'!BA24*VLOOKUP($B26,SN_UGC,28,0),0)</f>
        <v>0</v>
      </c>
      <c r="K26" s="52">
        <f>IFERROR('A3 - Demanda Anual Agregada '!K25*'A2 - Preços'!BB24*VLOOKUP($B26,SN_UGC,28,0),0)</f>
        <v>0</v>
      </c>
      <c r="L26" s="52">
        <f>IFERROR('A3 - Demanda Anual Agregada '!L25*'A2 - Preços'!BC24*VLOOKUP($B26,SN_UGC,28,0),0)</f>
        <v>0</v>
      </c>
      <c r="M26" s="52">
        <f>IFERROR('A3 - Demanda Anual Agregada '!M25*'A2 - Preços'!BD24*VLOOKUP($B26,SN_UGC,28,0),0)</f>
        <v>0</v>
      </c>
      <c r="N26" s="52">
        <f>IFERROR('A3 - Demanda Anual Agregada '!N25*'A2 - Preços'!BE24*VLOOKUP($B26,SN_UGC,28,0),0)</f>
        <v>0</v>
      </c>
      <c r="O26" s="52">
        <f>IFERROR('A3 - Demanda Anual Agregada '!O25*'A2 - Preços'!BF24*VLOOKUP($B26,SN_UGC,28,0),0)</f>
        <v>0</v>
      </c>
      <c r="P26" s="52">
        <f>IFERROR('A3 - Demanda Anual Agregada '!P25*'A2 - Preços'!BG24*VLOOKUP($B26,SN_UGC,28,0),0)</f>
        <v>0</v>
      </c>
      <c r="Q26" s="52">
        <f>IFERROR('A3 - Demanda Anual Agregada '!Q25*'A2 - Preços'!BH24*VLOOKUP($B26,SN_UGC,28,0),0)</f>
        <v>0</v>
      </c>
      <c r="R26" s="52">
        <f>IFERROR('A3 - Demanda Anual Agregada '!R25*'A2 - Preços'!BI24*VLOOKUP($B26,SN_UGC,28,0),0)</f>
        <v>0</v>
      </c>
      <c r="S26" s="52">
        <f>IFERROR('A3 - Demanda Anual Agregada '!S25*'A2 - Preços'!BJ24*VLOOKUP($B26,SN_UGC,28,0),0)</f>
        <v>0</v>
      </c>
      <c r="T26" s="52">
        <f>IFERROR('A3 - Demanda Anual Agregada '!T25*'A2 - Preços'!BK24*VLOOKUP($B26,SN_UGC,28,0),0)</f>
        <v>0</v>
      </c>
      <c r="U26" s="52">
        <f>IFERROR('A3 - Demanda Anual Agregada '!U25*'A2 - Preços'!BL24*VLOOKUP($B26,SN_UGC,28,0),0)</f>
        <v>0</v>
      </c>
      <c r="V26" s="52">
        <f>IFERROR('A3 - Demanda Anual Agregada '!V25*'A2 - Preços'!BM24*VLOOKUP($B26,SN_UGC,28,0),0)</f>
        <v>0</v>
      </c>
      <c r="W26" s="52">
        <f>IFERROR('A3 - Demanda Anual Agregada '!W25*'A2 - Preços'!BN24*VLOOKUP($B26,SN_UGC,28,0),0)</f>
        <v>0</v>
      </c>
      <c r="X26" s="52">
        <f>IFERROR('A3 - Demanda Anual Agregada '!X25*'A2 - Preços'!BO24*VLOOKUP($B26,SN_UGC,28,0),0)</f>
        <v>0</v>
      </c>
      <c r="Y26" s="52">
        <f>IFERROR('A3 - Demanda Anual Agregada '!Y25*'A2 - Preços'!BP24*VLOOKUP($B26,SN_UGC,28,0),0)</f>
        <v>0</v>
      </c>
      <c r="Z26" s="52">
        <f>IFERROR('A3 - Demanda Anual Agregada '!Z25*'A2 - Preços'!BQ24*VLOOKUP($B26,SN_UGC,28,0),0)</f>
        <v>0</v>
      </c>
      <c r="AA26" s="52">
        <f>IFERROR('A3 - Demanda Anual Agregada '!AA25*'A2 - Preços'!BR24*VLOOKUP($B26,SN_UGC,28,0),0)</f>
        <v>0</v>
      </c>
      <c r="AB26" s="52">
        <f>IFERROR('A3 - Demanda Anual Agregada '!AB25*'A2 - Preços'!BS24*VLOOKUP($B26,SN_UGC,28,0),0)</f>
        <v>0</v>
      </c>
      <c r="AC26" s="52">
        <f>IFERROR('A3 - Demanda Anual Agregada '!AC25*'A2 - Preços'!BT24*VLOOKUP($B26,SN_UGC,28,0),0)</f>
        <v>0</v>
      </c>
      <c r="AD26" s="52">
        <f>IFERROR('A3 - Demanda Anual Agregada '!AD25*'A2 - Preços'!BU24*VLOOKUP($B26,SN_UGC,28,0),0)</f>
        <v>0</v>
      </c>
      <c r="AE26" s="52">
        <f>IFERROR('A3 - Demanda Anual Agregada '!AE25*'A2 - Preços'!BV24*VLOOKUP($B26,SN_UGC,28,0),0)</f>
        <v>0</v>
      </c>
      <c r="AF26" s="52">
        <f>IFERROR('A3 - Demanda Anual Agregada '!AF25*'A2 - Preços'!BW24*VLOOKUP($B26,SN_UGC,28,0),0)</f>
        <v>0</v>
      </c>
      <c r="AG26" s="532">
        <f t="shared" si="2"/>
        <v>0</v>
      </c>
    </row>
    <row r="27" spans="1:33" ht="18" customHeight="1">
      <c r="A27" s="505"/>
      <c r="B27" s="53" t="s">
        <v>152</v>
      </c>
      <c r="C27" s="54">
        <f t="shared" ref="C27:AF27" si="3">SUM(C7:C26)</f>
        <v>14119245</v>
      </c>
      <c r="D27" s="54">
        <f t="shared" si="3"/>
        <v>42462958</v>
      </c>
      <c r="E27" s="54">
        <f t="shared" si="3"/>
        <v>43927732</v>
      </c>
      <c r="F27" s="54">
        <f t="shared" si="3"/>
        <v>45346318</v>
      </c>
      <c r="G27" s="54">
        <f t="shared" si="3"/>
        <v>46787450</v>
      </c>
      <c r="H27" s="54">
        <f t="shared" si="3"/>
        <v>48253818</v>
      </c>
      <c r="I27" s="54">
        <f t="shared" si="3"/>
        <v>49761776</v>
      </c>
      <c r="J27" s="54">
        <f t="shared" si="3"/>
        <v>51313518</v>
      </c>
      <c r="K27" s="54">
        <f t="shared" si="3"/>
        <v>52893606</v>
      </c>
      <c r="L27" s="54">
        <f t="shared" si="3"/>
        <v>54502962</v>
      </c>
      <c r="M27" s="54">
        <f t="shared" si="3"/>
        <v>56162828</v>
      </c>
      <c r="N27" s="54">
        <f t="shared" si="3"/>
        <v>57872509</v>
      </c>
      <c r="O27" s="54">
        <f t="shared" si="3"/>
        <v>59636580</v>
      </c>
      <c r="P27" s="54">
        <f t="shared" si="3"/>
        <v>61454050</v>
      </c>
      <c r="Q27" s="54">
        <f t="shared" si="3"/>
        <v>63326116</v>
      </c>
      <c r="R27" s="54">
        <f t="shared" si="3"/>
        <v>65249452</v>
      </c>
      <c r="S27" s="54">
        <f t="shared" si="3"/>
        <v>67221759</v>
      </c>
      <c r="T27" s="54">
        <f t="shared" si="3"/>
        <v>69236294</v>
      </c>
      <c r="U27" s="54">
        <f t="shared" si="3"/>
        <v>71287604</v>
      </c>
      <c r="V27" s="54">
        <f t="shared" si="3"/>
        <v>73366112</v>
      </c>
      <c r="W27" s="54">
        <f t="shared" si="3"/>
        <v>73366112</v>
      </c>
      <c r="X27" s="54">
        <f t="shared" si="3"/>
        <v>73366112</v>
      </c>
      <c r="Y27" s="54">
        <f t="shared" si="3"/>
        <v>73366112</v>
      </c>
      <c r="Z27" s="54">
        <f t="shared" si="3"/>
        <v>73366112</v>
      </c>
      <c r="AA27" s="54">
        <f t="shared" si="3"/>
        <v>73366112</v>
      </c>
      <c r="AB27" s="54">
        <f t="shared" si="3"/>
        <v>73366112</v>
      </c>
      <c r="AC27" s="54">
        <f t="shared" si="3"/>
        <v>73366112</v>
      </c>
      <c r="AD27" s="54">
        <f t="shared" si="3"/>
        <v>73366112</v>
      </c>
      <c r="AE27" s="54">
        <f t="shared" si="3"/>
        <v>73366112</v>
      </c>
      <c r="AF27" s="54">
        <f t="shared" si="3"/>
        <v>73366112</v>
      </c>
      <c r="AG27" s="507"/>
    </row>
    <row r="28" spans="1:33" ht="12" customHeight="1">
      <c r="A28" s="521"/>
      <c r="B28" s="522"/>
      <c r="C28" s="522"/>
      <c r="D28" s="522"/>
      <c r="E28" s="522"/>
      <c r="F28" s="522"/>
      <c r="G28" s="522"/>
      <c r="H28" s="522"/>
      <c r="I28" s="522"/>
      <c r="J28" s="522"/>
      <c r="K28" s="522"/>
      <c r="L28" s="522"/>
      <c r="M28" s="522"/>
      <c r="N28" s="522"/>
      <c r="O28" s="522"/>
      <c r="P28" s="522"/>
      <c r="Q28" s="522"/>
      <c r="R28" s="522"/>
      <c r="S28" s="522"/>
      <c r="T28" s="522"/>
      <c r="U28" s="522"/>
      <c r="V28" s="522"/>
      <c r="W28" s="522"/>
      <c r="X28" s="522"/>
      <c r="Y28" s="522"/>
      <c r="Z28" s="522"/>
      <c r="AA28" s="522"/>
      <c r="AB28" s="522"/>
      <c r="AC28" s="522"/>
      <c r="AD28" s="522"/>
      <c r="AE28" s="522"/>
      <c r="AF28" s="522"/>
      <c r="AG28" s="522"/>
    </row>
    <row r="29" spans="1:33" ht="12" customHeight="1">
      <c r="A29" s="521"/>
      <c r="B29" s="53" t="s">
        <v>153</v>
      </c>
      <c r="C29" s="55">
        <f>C27/'A1 - Serviços e demanda'!B70</f>
        <v>13.5</v>
      </c>
      <c r="D29" s="55">
        <f>D27/'A1 - Serviços e demanda'!C70</f>
        <v>39.246655347608161</v>
      </c>
      <c r="E29" s="55">
        <f>E27/'A1 - Serviços e demanda'!D70</f>
        <v>39.246734704999952</v>
      </c>
      <c r="F29" s="55">
        <f>F27/'A1 - Serviços e demanda'!E70</f>
        <v>39.246677825687328</v>
      </c>
      <c r="G29" s="55">
        <f>G27/'A1 - Serviços e demanda'!F70</f>
        <v>39.24663986330453</v>
      </c>
      <c r="H29" s="55">
        <f>H27/'A1 - Serviços e demanda'!G70</f>
        <v>39.246572601634483</v>
      </c>
      <c r="I29" s="55">
        <f>I27/'A1 - Serviços e demanda'!H70</f>
        <v>39.246717069346538</v>
      </c>
      <c r="J29" s="55">
        <f>J27/'A1 - Serviços e demanda'!I70</f>
        <v>39.246691105891493</v>
      </c>
      <c r="K29" s="55">
        <f>K27/'A1 - Serviços e demanda'!J70</f>
        <v>39.246732258926187</v>
      </c>
      <c r="L29" s="55">
        <f>L27/'A1 - Serviços e demanda'!K70</f>
        <v>39.246594192827843</v>
      </c>
      <c r="M29" s="55">
        <f>M27/'A1 - Serviços e demanda'!L70</f>
        <v>39.246601035342522</v>
      </c>
      <c r="N29" s="55">
        <f>N27/'A1 - Serviços e demanda'!M70</f>
        <v>39.246694828300612</v>
      </c>
      <c r="O29" s="55">
        <f>O27/'A1 - Serviços e demanda'!N70</f>
        <v>39.246650122109884</v>
      </c>
      <c r="P29" s="55">
        <f>P27/'A1 - Serviços e demanda'!O70</f>
        <v>39.246673193510709</v>
      </c>
      <c r="Q29" s="55">
        <f>Q27/'A1 - Serviços e demanda'!P70</f>
        <v>39.246673000562119</v>
      </c>
      <c r="R29" s="55">
        <f>R27/'A1 - Serviços e demanda'!Q70</f>
        <v>39.246633933796836</v>
      </c>
      <c r="S29" s="55">
        <f>S27/'A1 - Serviços e demanda'!R70</f>
        <v>39.246591993834677</v>
      </c>
      <c r="T29" s="55">
        <f>T27/'A1 - Serviços e demanda'!S70</f>
        <v>39.246685195147073</v>
      </c>
      <c r="U29" s="55">
        <f>U27/'A1 - Serviços e demanda'!T70</f>
        <v>39.246730338538512</v>
      </c>
      <c r="V29" s="55">
        <f>V27/'A1 - Serviços e demanda'!U70</f>
        <v>39.246709964977263</v>
      </c>
      <c r="W29" s="55">
        <f>W27/'A1 - Serviços e demanda'!V70</f>
        <v>39.246709964977263</v>
      </c>
      <c r="X29" s="55">
        <f>X27/'A1 - Serviços e demanda'!W70</f>
        <v>39.246709964977263</v>
      </c>
      <c r="Y29" s="55">
        <f>Y27/'A1 - Serviços e demanda'!X70</f>
        <v>39.246709964977263</v>
      </c>
      <c r="Z29" s="55">
        <f>Z27/'A1 - Serviços e demanda'!Y70</f>
        <v>39.246709964977263</v>
      </c>
      <c r="AA29" s="55">
        <f>AA27/'A1 - Serviços e demanda'!Z70</f>
        <v>39.246709964977263</v>
      </c>
      <c r="AB29" s="55">
        <f>AB27/'A1 - Serviços e demanda'!AA70</f>
        <v>39.246709964977263</v>
      </c>
      <c r="AC29" s="55">
        <f>AC27/'A1 - Serviços e demanda'!AB70</f>
        <v>39.246709964977263</v>
      </c>
      <c r="AD29" s="55">
        <f>AD27/'A1 - Serviços e demanda'!AC70</f>
        <v>39.246709964977263</v>
      </c>
      <c r="AE29" s="55">
        <f>AE27/'A1 - Serviços e demanda'!AD70</f>
        <v>39.246709964977263</v>
      </c>
      <c r="AF29" s="55">
        <f>AF27/'A1 - Serviços e demanda'!AE70</f>
        <v>39.246709964977263</v>
      </c>
      <c r="AG29" s="522"/>
    </row>
    <row r="30" spans="1:33" ht="12" customHeight="1">
      <c r="A30" s="521"/>
      <c r="B30" s="522"/>
      <c r="C30" s="533"/>
      <c r="D30" s="533"/>
      <c r="E30" s="522"/>
      <c r="F30" s="534"/>
      <c r="G30" s="534"/>
      <c r="H30" s="534"/>
      <c r="I30" s="534"/>
      <c r="J30" s="534"/>
      <c r="K30" s="534"/>
      <c r="L30" s="534"/>
      <c r="M30" s="534"/>
      <c r="N30" s="534"/>
      <c r="O30" s="534"/>
      <c r="P30" s="534"/>
      <c r="Q30" s="534"/>
      <c r="R30" s="534"/>
      <c r="S30" s="534"/>
      <c r="T30" s="534"/>
      <c r="U30" s="534"/>
      <c r="V30" s="534"/>
      <c r="W30" s="522"/>
      <c r="X30" s="522"/>
      <c r="Y30" s="522"/>
      <c r="Z30" s="522"/>
      <c r="AA30" s="522"/>
      <c r="AB30" s="522"/>
      <c r="AC30" s="522"/>
      <c r="AD30" s="522"/>
      <c r="AE30" s="522"/>
      <c r="AF30" s="522"/>
      <c r="AG30" s="522"/>
    </row>
    <row r="31" spans="1:33" ht="12" customHeight="1">
      <c r="A31" s="521"/>
      <c r="B31" s="530"/>
      <c r="C31" s="509">
        <v>1</v>
      </c>
      <c r="D31" s="509">
        <v>2</v>
      </c>
      <c r="E31" s="509">
        <v>3</v>
      </c>
      <c r="F31" s="509">
        <v>4</v>
      </c>
      <c r="G31" s="509">
        <v>5</v>
      </c>
      <c r="H31" s="509">
        <v>6</v>
      </c>
      <c r="I31" s="509">
        <v>7</v>
      </c>
      <c r="J31" s="509">
        <v>8</v>
      </c>
      <c r="K31" s="509">
        <v>9</v>
      </c>
      <c r="L31" s="509">
        <v>10</v>
      </c>
      <c r="M31" s="509">
        <v>11</v>
      </c>
      <c r="N31" s="509">
        <v>12</v>
      </c>
      <c r="O31" s="509">
        <v>13</v>
      </c>
      <c r="P31" s="509">
        <v>14</v>
      </c>
      <c r="Q31" s="509">
        <v>15</v>
      </c>
      <c r="R31" s="509">
        <v>16</v>
      </c>
      <c r="S31" s="509">
        <v>17</v>
      </c>
      <c r="T31" s="509">
        <v>18</v>
      </c>
      <c r="U31" s="509">
        <v>19</v>
      </c>
      <c r="V31" s="509">
        <v>20</v>
      </c>
      <c r="W31" s="509">
        <v>21</v>
      </c>
      <c r="X31" s="509">
        <v>22</v>
      </c>
      <c r="Y31" s="509">
        <v>23</v>
      </c>
      <c r="Z31" s="509">
        <v>24</v>
      </c>
      <c r="AA31" s="509">
        <v>25</v>
      </c>
      <c r="AB31" s="509">
        <v>26</v>
      </c>
      <c r="AC31" s="509">
        <v>27</v>
      </c>
      <c r="AD31" s="509">
        <v>28</v>
      </c>
      <c r="AE31" s="509">
        <v>29</v>
      </c>
      <c r="AF31" s="509">
        <v>30</v>
      </c>
      <c r="AG31" s="522"/>
    </row>
    <row r="32" spans="1:33" ht="12" customHeight="1">
      <c r="A32" s="521"/>
      <c r="B32" s="51" t="s">
        <v>154</v>
      </c>
      <c r="C32" s="56">
        <f>SUM(C7,C22)/'A1 - Serviços e demanda'!B70</f>
        <v>13.5</v>
      </c>
      <c r="D32" s="56">
        <f>SUM(D7,D22)/'A1 - Serviços e demanda'!C70</f>
        <v>27.499999537871862</v>
      </c>
      <c r="E32" s="56">
        <f>SUM(E7,E22)/'A1 - Serviços e demanda'!D70</f>
        <v>27.499990618893904</v>
      </c>
      <c r="F32" s="56">
        <f>SUM(F7,F22)/'A1 - Serviços e demanda'!E70</f>
        <v>27.499992210611225</v>
      </c>
      <c r="G32" s="56">
        <f>SUM(G7,G22)/'A1 - Serviços e demanda'!F70</f>
        <v>27.500004613555969</v>
      </c>
      <c r="H32" s="56">
        <f>SUM(H7,H22)/'A1 - Serviços e demanda'!G70</f>
        <v>27.499998373327781</v>
      </c>
      <c r="I32" s="56">
        <f>SUM(I7,I22)/'A1 - Serviços e demanda'!H70</f>
        <v>27.499991324387462</v>
      </c>
      <c r="J32" s="56">
        <f>SUM(J7,J22)/'A1 - Serviços e demanda'!I70</f>
        <v>27.499995793373568</v>
      </c>
      <c r="K32" s="56">
        <f>SUM(K7,K22)/'A1 - Serviços e demanda'!J70</f>
        <v>27.499992580061139</v>
      </c>
      <c r="L32" s="56">
        <f>SUM(L7,L22)/'A1 - Serviços e demanda'!K70</f>
        <v>27.500006840777658</v>
      </c>
      <c r="M32" s="56">
        <f>SUM(M7,M22)/'A1 - Serviços e demanda'!L70</f>
        <v>27.499991614396404</v>
      </c>
      <c r="N32" s="56">
        <f>SUM(N7,N22)/'A1 - Serviços e demanda'!M70</f>
        <v>27.500005764341513</v>
      </c>
      <c r="O32" s="56">
        <f>SUM(O7,O22)/'A1 - Serviços e demanda'!N70</f>
        <v>27.500005593823893</v>
      </c>
      <c r="P32" s="56">
        <f>SUM(P7,P22)/'A1 - Serviços e demanda'!O70</f>
        <v>27.50000287385501</v>
      </c>
      <c r="Q32" s="56">
        <f>SUM(Q7,Q22)/'A1 - Serviços e demanda'!P70</f>
        <v>27.500002788897213</v>
      </c>
      <c r="R32" s="56">
        <f>SUM(R7,R22)/'A1 - Serviços e demanda'!Q70</f>
        <v>27.500000300743014</v>
      </c>
      <c r="S32" s="56">
        <f>SUM(S7,S22)/'A1 - Serviços e demanda'!R70</f>
        <v>27.499998540405944</v>
      </c>
      <c r="T32" s="56">
        <f>SUM(T7,T22)/'A1 - Serviços e demanda'!S70</f>
        <v>27.500005385087615</v>
      </c>
      <c r="U32" s="56">
        <f>SUM(U7,U22)/'A1 - Serviços e demanda'!T70</f>
        <v>27.500001101081484</v>
      </c>
      <c r="V32" s="56">
        <f>SUM(V7,V22)/'A1 - Serviços e demanda'!U70</f>
        <v>27.499998127698454</v>
      </c>
      <c r="W32" s="56">
        <f>SUM(W7,W22)/'A1 - Serviços e demanda'!V70</f>
        <v>27.499998127698454</v>
      </c>
      <c r="X32" s="56">
        <f>SUM(X7,X22)/'A1 - Serviços e demanda'!W70</f>
        <v>27.499998127698454</v>
      </c>
      <c r="Y32" s="56">
        <f>SUM(Y7,Y22)/'A1 - Serviços e demanda'!X70</f>
        <v>27.499998127698454</v>
      </c>
      <c r="Z32" s="56">
        <f>SUM(Z7,Z22)/'A1 - Serviços e demanda'!Y70</f>
        <v>27.499998127698454</v>
      </c>
      <c r="AA32" s="56">
        <f>SUM(AA7,AA22)/'A1 - Serviços e demanda'!Z70</f>
        <v>27.499998127698454</v>
      </c>
      <c r="AB32" s="56">
        <f>SUM(AB7,AB22)/'A1 - Serviços e demanda'!AA70</f>
        <v>27.499998127698454</v>
      </c>
      <c r="AC32" s="56">
        <f>SUM(AC7,AC22)/'A1 - Serviços e demanda'!AB70</f>
        <v>27.499998127698454</v>
      </c>
      <c r="AD32" s="56">
        <f>SUM(AD7,AD22)/'A1 - Serviços e demanda'!AC70</f>
        <v>27.499998127698454</v>
      </c>
      <c r="AE32" s="56">
        <f>SUM(AE7,AE22)/'A1 - Serviços e demanda'!AD70</f>
        <v>27.499998127698454</v>
      </c>
      <c r="AF32" s="56">
        <f>SUM(AF7,AF22)/'A1 - Serviços e demanda'!AE70</f>
        <v>27.499998127698454</v>
      </c>
      <c r="AG32" s="522"/>
    </row>
    <row r="33" spans="1:33" ht="12" customHeight="1">
      <c r="A33" s="521"/>
      <c r="B33" s="51" t="s">
        <v>155</v>
      </c>
      <c r="C33" s="56">
        <f>SUM(C8:C10)/'A1 - Serviços e demanda'!B70</f>
        <v>0</v>
      </c>
      <c r="D33" s="56">
        <f>SUM(D8:D10)/'A1 - Serviços e demanda'!C70</f>
        <v>3.7466632037864933</v>
      </c>
      <c r="E33" s="56">
        <f>SUM(E8:E10)/'A1 - Serviços e demanda'!D70</f>
        <v>3.7466708241346378</v>
      </c>
      <c r="F33" s="56">
        <f>SUM(F8:F10)/'A1 - Serviços e demanda'!E70</f>
        <v>3.7466587849592097</v>
      </c>
      <c r="G33" s="56">
        <f>SUM(G8:G10)/'A1 - Serviços e demanda'!F70</f>
        <v>3.7466662863978111</v>
      </c>
      <c r="H33" s="56">
        <f>SUM(H8:H10)/'A1 - Serviços e demanda'!G70</f>
        <v>3.7466409218676802</v>
      </c>
      <c r="I33" s="56">
        <f>SUM(I8:I10)/'A1 - Serviços e demanda'!H70</f>
        <v>3.7466673817474576</v>
      </c>
      <c r="J33" s="56">
        <f>SUM(J8:J10)/'A1 - Serviços e demanda'!I70</f>
        <v>3.7466670133946636</v>
      </c>
      <c r="K33" s="56">
        <f>SUM(K8:K10)/'A1 - Serviços e demanda'!J70</f>
        <v>3.7466728994153087</v>
      </c>
      <c r="L33" s="56">
        <f>SUM(L8:L10)/'A1 - Serviços e demanda'!K70</f>
        <v>3.7466579200723538</v>
      </c>
      <c r="M33" s="56">
        <f>SUM(M8:M10)/'A1 - Serviços e demanda'!L70</f>
        <v>3.7466387705587048</v>
      </c>
      <c r="N33" s="56">
        <f>SUM(N8:N10)/'A1 - Serviços e demanda'!M70</f>
        <v>3.7466816042230242</v>
      </c>
      <c r="O33" s="56">
        <f>SUM(O8:O10)/'A1 - Serviços e demanda'!N70</f>
        <v>3.7466701940662031</v>
      </c>
      <c r="P33" s="56">
        <f>SUM(P8:P10)/'A1 - Serviços e demanda'!O70</f>
        <v>3.7466722355590383</v>
      </c>
      <c r="Q33" s="56">
        <f>SUM(Q8:Q10)/'A1 - Serviços e demanda'!P70</f>
        <v>3.746672070929713</v>
      </c>
      <c r="R33" s="56">
        <f>SUM(R8:R10)/'A1 - Serviços e demanda'!Q70</f>
        <v>3.7466588954671409</v>
      </c>
      <c r="S33" s="56">
        <f>SUM(S8:S10)/'A1 - Serviços e demanda'!R70</f>
        <v>3.7466459988148095</v>
      </c>
      <c r="T33" s="56">
        <f>SUM(T8:T10)/'A1 - Serviços e demanda'!S70</f>
        <v>3.746678676356801</v>
      </c>
      <c r="U33" s="56">
        <f>SUM(U8:U10)/'A1 - Serviços e demanda'!T70</f>
        <v>3.7466840931162588</v>
      </c>
      <c r="V33" s="56">
        <f>SUM(V8:V10)/'A1 - Serviços e demanda'!U70</f>
        <v>3.7466749261911985</v>
      </c>
      <c r="W33" s="56">
        <f>SUM(W8:W10)/'A1 - Serviços e demanda'!V70</f>
        <v>3.7466749261911985</v>
      </c>
      <c r="X33" s="56">
        <f>SUM(X8:X10)/'A1 - Serviços e demanda'!W70</f>
        <v>3.7466749261911985</v>
      </c>
      <c r="Y33" s="56">
        <f>SUM(Y8:Y10)/'A1 - Serviços e demanda'!X70</f>
        <v>3.7466749261911985</v>
      </c>
      <c r="Z33" s="56">
        <f>SUM(Z8:Z10)/'A1 - Serviços e demanda'!Y70</f>
        <v>3.7466749261911985</v>
      </c>
      <c r="AA33" s="56">
        <f>SUM(AA8:AA10)/'A1 - Serviços e demanda'!Z70</f>
        <v>3.7466749261911985</v>
      </c>
      <c r="AB33" s="56">
        <f>SUM(AB8:AB10)/'A1 - Serviços e demanda'!AA70</f>
        <v>3.7466749261911985</v>
      </c>
      <c r="AC33" s="56">
        <f>SUM(AC8:AC10)/'A1 - Serviços e demanda'!AB70</f>
        <v>3.7466749261911985</v>
      </c>
      <c r="AD33" s="56">
        <f>SUM(AD8:AD10)/'A1 - Serviços e demanda'!AC70</f>
        <v>3.7466749261911985</v>
      </c>
      <c r="AE33" s="56">
        <f>SUM(AE8:AE10)/'A1 - Serviços e demanda'!AD70</f>
        <v>3.7466749261911985</v>
      </c>
      <c r="AF33" s="56">
        <f>SUM(AF8:AF10)/'A1 - Serviços e demanda'!AE70</f>
        <v>3.7466749261911985</v>
      </c>
      <c r="AG33" s="522"/>
    </row>
    <row r="34" spans="1:33" ht="12" customHeight="1">
      <c r="A34" s="521"/>
      <c r="B34" s="51" t="s">
        <v>156</v>
      </c>
      <c r="C34" s="56">
        <f>SUM(C11:C12)/'A1 - Serviços e demanda'!B70</f>
        <v>0</v>
      </c>
      <c r="D34" s="56">
        <f>SUM(D11:D12)/'A1 - Serviços e demanda'!C70</f>
        <v>2.6666642019832691</v>
      </c>
      <c r="E34" s="56">
        <f>SUM(E11:E12)/'A1 - Serviços e demanda'!D70</f>
        <v>2.6666910873238026</v>
      </c>
      <c r="F34" s="56">
        <f>SUM(F11:F12)/'A1 - Serviços e demanda'!E70</f>
        <v>2.6666756100389644</v>
      </c>
      <c r="G34" s="56">
        <f>SUM(G11:G12)/'A1 - Serviços e demanda'!F70</f>
        <v>2.6666563211169168</v>
      </c>
      <c r="H34" s="56">
        <f>SUM(H11:H12)/'A1 - Serviços e demanda'!G70</f>
        <v>2.666644435479673</v>
      </c>
      <c r="I34" s="56">
        <f>SUM(I11:I12)/'A1 - Serviços e demanda'!H70</f>
        <v>2.6666861210705388</v>
      </c>
      <c r="J34" s="56">
        <f>SUM(J11:J12)/'A1 - Serviços e demanda'!I70</f>
        <v>2.6666760997077543</v>
      </c>
      <c r="K34" s="56">
        <f>SUM(K11:K12)/'A1 - Serviços e demanda'!J70</f>
        <v>2.6666889264832458</v>
      </c>
      <c r="L34" s="56">
        <f>SUM(L11:L12)/'A1 - Serviços e demanda'!K70</f>
        <v>2.666643143992609</v>
      </c>
      <c r="M34" s="56">
        <f>SUM(M11:M12)/'A1 - Serviços e demanda'!L70</f>
        <v>2.6666568834624718</v>
      </c>
      <c r="N34" s="56">
        <f>SUM(N11:N12)/'A1 - Serviços e demanda'!M70</f>
        <v>2.6666691532453584</v>
      </c>
      <c r="O34" s="56">
        <f>SUM(O11:O12)/'A1 - Serviços e demanda'!N70</f>
        <v>2.6666581114065968</v>
      </c>
      <c r="P34" s="56">
        <f>SUM(P11:P12)/'A1 - Serviços e demanda'!O70</f>
        <v>2.6666660280322203</v>
      </c>
      <c r="Q34" s="56">
        <f>SUM(Q11:Q12)/'A1 - Serviços e demanda'!P70</f>
        <v>2.6666660469117303</v>
      </c>
      <c r="R34" s="56">
        <f>SUM(R11:R12)/'A1 - Serviços e demanda'!Q70</f>
        <v>2.6666582458622274</v>
      </c>
      <c r="S34" s="56">
        <f>SUM(S11:S12)/'A1 - Serviços e demanda'!R70</f>
        <v>2.6666491515379742</v>
      </c>
      <c r="T34" s="56">
        <f>SUM(T11:T12)/'A1 - Serviços e demanda'!S70</f>
        <v>2.6666670445675518</v>
      </c>
      <c r="U34" s="56">
        <f>SUM(U11:U12)/'A1 - Serviços e demanda'!T70</f>
        <v>2.6666817147802573</v>
      </c>
      <c r="V34" s="56">
        <f>SUM(V11:V12)/'A1 - Serviços e demanda'!U70</f>
        <v>2.6666789703625362</v>
      </c>
      <c r="W34" s="56">
        <f>SUM(W11:W12)/'A1 - Serviços e demanda'!V70</f>
        <v>2.6666789703625362</v>
      </c>
      <c r="X34" s="56">
        <f>SUM(X11:X12)/'A1 - Serviços e demanda'!W70</f>
        <v>2.6666789703625362</v>
      </c>
      <c r="Y34" s="56">
        <f>SUM(Y11:Y12)/'A1 - Serviços e demanda'!X70</f>
        <v>2.6666789703625362</v>
      </c>
      <c r="Z34" s="56">
        <f>SUM(Z11:Z12)/'A1 - Serviços e demanda'!Y70</f>
        <v>2.6666789703625362</v>
      </c>
      <c r="AA34" s="56">
        <f>SUM(AA11:AA12)/'A1 - Serviços e demanda'!Z70</f>
        <v>2.6666789703625362</v>
      </c>
      <c r="AB34" s="56">
        <f>SUM(AB11:AB12)/'A1 - Serviços e demanda'!AA70</f>
        <v>2.6666789703625362</v>
      </c>
      <c r="AC34" s="56">
        <f>SUM(AC11:AC12)/'A1 - Serviços e demanda'!AB70</f>
        <v>2.6666789703625362</v>
      </c>
      <c r="AD34" s="56">
        <f>SUM(AD11:AD12)/'A1 - Serviços e demanda'!AC70</f>
        <v>2.6666789703625362</v>
      </c>
      <c r="AE34" s="56">
        <f>SUM(AE11:AE12)/'A1 - Serviços e demanda'!AD70</f>
        <v>2.6666789703625362</v>
      </c>
      <c r="AF34" s="56">
        <f>SUM(AF11:AF12)/'A1 - Serviços e demanda'!AE70</f>
        <v>2.6666789703625362</v>
      </c>
      <c r="AG34" s="522"/>
    </row>
    <row r="35" spans="1:33" ht="12" customHeight="1">
      <c r="A35" s="521"/>
      <c r="B35" s="51" t="s">
        <v>157</v>
      </c>
      <c r="C35" s="56">
        <f>SUM(C13:C15)/'A1 - Serviços e demanda'!B70</f>
        <v>0</v>
      </c>
      <c r="D35" s="56">
        <f>SUM(D13:D15)/'A1 - Serviços e demanda'!C70</f>
        <v>0</v>
      </c>
      <c r="E35" s="56">
        <f>SUM(E13:E15)/'A1 - Serviços e demanda'!D70</f>
        <v>0</v>
      </c>
      <c r="F35" s="56">
        <f>SUM(F13:F15)/'A1 - Serviços e demanda'!E70</f>
        <v>0</v>
      </c>
      <c r="G35" s="56">
        <f>SUM(G13:G15)/'A1 - Serviços e demanda'!F70</f>
        <v>0</v>
      </c>
      <c r="H35" s="56">
        <f>SUM(H13:H15)/'A1 - Serviços e demanda'!G70</f>
        <v>0</v>
      </c>
      <c r="I35" s="56">
        <f>SUM(I13:I15)/'A1 - Serviços e demanda'!H70</f>
        <v>0</v>
      </c>
      <c r="J35" s="56">
        <f>SUM(J13:J15)/'A1 - Serviços e demanda'!I70</f>
        <v>0</v>
      </c>
      <c r="K35" s="56">
        <f>SUM(K13:K15)/'A1 - Serviços e demanda'!J70</f>
        <v>0</v>
      </c>
      <c r="L35" s="56">
        <f>SUM(L13:L15)/'A1 - Serviços e demanda'!K70</f>
        <v>0</v>
      </c>
      <c r="M35" s="56">
        <f>SUM(M13:M15)/'A1 - Serviços e demanda'!L70</f>
        <v>0</v>
      </c>
      <c r="N35" s="56">
        <f>SUM(N13:N15)/'A1 - Serviços e demanda'!M70</f>
        <v>0</v>
      </c>
      <c r="O35" s="56">
        <f>SUM(O13:O15)/'A1 - Serviços e demanda'!N70</f>
        <v>0</v>
      </c>
      <c r="P35" s="56">
        <f>SUM(P13:P15)/'A1 - Serviços e demanda'!O70</f>
        <v>0</v>
      </c>
      <c r="Q35" s="56">
        <f>SUM(Q13:Q15)/'A1 - Serviços e demanda'!P70</f>
        <v>0</v>
      </c>
      <c r="R35" s="56">
        <f>SUM(R13:R15)/'A1 - Serviços e demanda'!Q70</f>
        <v>0</v>
      </c>
      <c r="S35" s="56">
        <f>SUM(S13:S15)/'A1 - Serviços e demanda'!R70</f>
        <v>0</v>
      </c>
      <c r="T35" s="56">
        <f>SUM(T13:T15)/'A1 - Serviços e demanda'!S70</f>
        <v>0</v>
      </c>
      <c r="U35" s="56">
        <f>SUM(U13:U15)/'A1 - Serviços e demanda'!T70</f>
        <v>0</v>
      </c>
      <c r="V35" s="56">
        <f>SUM(V13:V15)/'A1 - Serviços e demanda'!U70</f>
        <v>0</v>
      </c>
      <c r="W35" s="56">
        <f>SUM(W13:W15)/'A1 - Serviços e demanda'!V70</f>
        <v>0</v>
      </c>
      <c r="X35" s="56">
        <f>SUM(X13:X15)/'A1 - Serviços e demanda'!W70</f>
        <v>0</v>
      </c>
      <c r="Y35" s="56">
        <f>SUM(Y13:Y15)/'A1 - Serviços e demanda'!X70</f>
        <v>0</v>
      </c>
      <c r="Z35" s="56">
        <f>SUM(Z13:Z15)/'A1 - Serviços e demanda'!Y70</f>
        <v>0</v>
      </c>
      <c r="AA35" s="56">
        <f>SUM(AA13:AA15)/'A1 - Serviços e demanda'!Z70</f>
        <v>0</v>
      </c>
      <c r="AB35" s="56">
        <f>SUM(AB13:AB15)/'A1 - Serviços e demanda'!AA70</f>
        <v>0</v>
      </c>
      <c r="AC35" s="56">
        <f>SUM(AC13:AC15)/'A1 - Serviços e demanda'!AB70</f>
        <v>0</v>
      </c>
      <c r="AD35" s="56">
        <f>SUM(AD13:AD15)/'A1 - Serviços e demanda'!AC70</f>
        <v>0</v>
      </c>
      <c r="AE35" s="56">
        <f>SUM(AE13:AE15)/'A1 - Serviços e demanda'!AD70</f>
        <v>0</v>
      </c>
      <c r="AF35" s="56">
        <f>SUM(AF13:AF15)/'A1 - Serviços e demanda'!AE70</f>
        <v>0</v>
      </c>
      <c r="AG35" s="522"/>
    </row>
    <row r="36" spans="1:33" ht="12" customHeight="1">
      <c r="A36" s="521"/>
      <c r="B36" s="51" t="s">
        <v>158</v>
      </c>
      <c r="C36" s="56">
        <f>SUM(C16:C17)/'A1 - Serviços e demanda'!B70</f>
        <v>0</v>
      </c>
      <c r="D36" s="56">
        <f>SUM(D16:D17)/'A1 - Serviços e demanda'!C70</f>
        <v>2.6666642019832691</v>
      </c>
      <c r="E36" s="56">
        <f>SUM(E16:E17)/'A1 - Serviços e demanda'!D70</f>
        <v>2.6666910873238026</v>
      </c>
      <c r="F36" s="56">
        <f>SUM(F16:F17)/'A1 - Serviços e demanda'!E70</f>
        <v>2.6666756100389644</v>
      </c>
      <c r="G36" s="56">
        <f>SUM(G16:G17)/'A1 - Serviços e demanda'!F70</f>
        <v>2.6666563211169168</v>
      </c>
      <c r="H36" s="56">
        <f>SUM(H16:H17)/'A1 - Serviços e demanda'!G70</f>
        <v>2.666644435479673</v>
      </c>
      <c r="I36" s="56">
        <f>SUM(I16:I17)/'A1 - Serviços e demanda'!H70</f>
        <v>2.6666861210705388</v>
      </c>
      <c r="J36" s="56">
        <f>SUM(J16:J17)/'A1 - Serviços e demanda'!I70</f>
        <v>2.6666760997077543</v>
      </c>
      <c r="K36" s="56">
        <f>SUM(K16:K17)/'A1 - Serviços e demanda'!J70</f>
        <v>2.6666889264832458</v>
      </c>
      <c r="L36" s="56">
        <f>SUM(L16:L17)/'A1 - Serviços e demanda'!K70</f>
        <v>2.666643143992609</v>
      </c>
      <c r="M36" s="56">
        <f>SUM(M16:M17)/'A1 - Serviços e demanda'!L70</f>
        <v>2.6666568834624718</v>
      </c>
      <c r="N36" s="56">
        <f>SUM(N16:N17)/'A1 - Serviços e demanda'!M70</f>
        <v>2.6666691532453584</v>
      </c>
      <c r="O36" s="56">
        <f>SUM(O16:O17)/'A1 - Serviços e demanda'!N70</f>
        <v>2.6666581114065968</v>
      </c>
      <c r="P36" s="56">
        <f>SUM(P16:P17)/'A1 - Serviços e demanda'!O70</f>
        <v>2.6666660280322203</v>
      </c>
      <c r="Q36" s="56">
        <f>SUM(Q16:Q17)/'A1 - Serviços e demanda'!P70</f>
        <v>2.6666660469117303</v>
      </c>
      <c r="R36" s="56">
        <f>SUM(R16:R17)/'A1 - Serviços e demanda'!Q70</f>
        <v>2.6666582458622274</v>
      </c>
      <c r="S36" s="56">
        <f>SUM(S16:S17)/'A1 - Serviços e demanda'!R70</f>
        <v>2.6666491515379742</v>
      </c>
      <c r="T36" s="56">
        <f>SUM(T16:T17)/'A1 - Serviços e demanda'!S70</f>
        <v>2.6666670445675518</v>
      </c>
      <c r="U36" s="56">
        <f>SUM(U16:U17)/'A1 - Serviços e demanda'!T70</f>
        <v>2.6666817147802573</v>
      </c>
      <c r="V36" s="56">
        <f>SUM(V16:V17)/'A1 - Serviços e demanda'!U70</f>
        <v>2.6666789703625362</v>
      </c>
      <c r="W36" s="56">
        <f>SUM(W16:W17)/'A1 - Serviços e demanda'!V70</f>
        <v>2.6666789703625362</v>
      </c>
      <c r="X36" s="56">
        <f>SUM(X16:X17)/'A1 - Serviços e demanda'!W70</f>
        <v>2.6666789703625362</v>
      </c>
      <c r="Y36" s="56">
        <f>SUM(Y16:Y17)/'A1 - Serviços e demanda'!X70</f>
        <v>2.6666789703625362</v>
      </c>
      <c r="Z36" s="56">
        <f>SUM(Z16:Z17)/'A1 - Serviços e demanda'!Y70</f>
        <v>2.6666789703625362</v>
      </c>
      <c r="AA36" s="56">
        <f>SUM(AA16:AA17)/'A1 - Serviços e demanda'!Z70</f>
        <v>2.6666789703625362</v>
      </c>
      <c r="AB36" s="56">
        <f>SUM(AB16:AB17)/'A1 - Serviços e demanda'!AA70</f>
        <v>2.6666789703625362</v>
      </c>
      <c r="AC36" s="56">
        <f>SUM(AC16:AC17)/'A1 - Serviços e demanda'!AB70</f>
        <v>2.6666789703625362</v>
      </c>
      <c r="AD36" s="56">
        <f>SUM(AD16:AD17)/'A1 - Serviços e demanda'!AC70</f>
        <v>2.6666789703625362</v>
      </c>
      <c r="AE36" s="56">
        <f>SUM(AE16:AE17)/'A1 - Serviços e demanda'!AD70</f>
        <v>2.6666789703625362</v>
      </c>
      <c r="AF36" s="56">
        <f>SUM(AF16:AF17)/'A1 - Serviços e demanda'!AE70</f>
        <v>2.6666789703625362</v>
      </c>
      <c r="AG36" s="522"/>
    </row>
    <row r="37" spans="1:33" ht="11.25" customHeight="1">
      <c r="A37" s="521"/>
      <c r="B37" s="51" t="s">
        <v>159</v>
      </c>
      <c r="C37" s="56">
        <f>SUM(C18:C19)/'A1 - Serviços e demanda'!B70</f>
        <v>0</v>
      </c>
      <c r="D37" s="56">
        <f>SUM(D18:D19)/'A1 - Serviços e demanda'!C70</f>
        <v>2.6666642019832691</v>
      </c>
      <c r="E37" s="56">
        <f>SUM(E18:E19)/'A1 - Serviços e demanda'!D70</f>
        <v>2.6666910873238026</v>
      </c>
      <c r="F37" s="56">
        <f>SUM(F18:F19)/'A1 - Serviços e demanda'!E70</f>
        <v>2.6666756100389644</v>
      </c>
      <c r="G37" s="56">
        <f>SUM(G18:G19)/'A1 - Serviços e demanda'!F70</f>
        <v>2.6666563211169168</v>
      </c>
      <c r="H37" s="56">
        <f>SUM(H18:H19)/'A1 - Serviços e demanda'!G70</f>
        <v>2.666644435479673</v>
      </c>
      <c r="I37" s="56">
        <f>SUM(I18:I19)/'A1 - Serviços e demanda'!H70</f>
        <v>2.6666861210705388</v>
      </c>
      <c r="J37" s="56">
        <f>SUM(J18:J19)/'A1 - Serviços e demanda'!I70</f>
        <v>2.6666760997077543</v>
      </c>
      <c r="K37" s="56">
        <f>SUM(K18:K19)/'A1 - Serviços e demanda'!J70</f>
        <v>2.6666889264832458</v>
      </c>
      <c r="L37" s="56">
        <f>SUM(L18:L19)/'A1 - Serviços e demanda'!K70</f>
        <v>2.666643143992609</v>
      </c>
      <c r="M37" s="56">
        <f>SUM(M18:M19)/'A1 - Serviços e demanda'!L70</f>
        <v>2.6666568834624718</v>
      </c>
      <c r="N37" s="56">
        <f>SUM(N18:N19)/'A1 - Serviços e demanda'!M70</f>
        <v>2.6666691532453584</v>
      </c>
      <c r="O37" s="56">
        <f>SUM(O18:O19)/'A1 - Serviços e demanda'!N70</f>
        <v>2.6666581114065968</v>
      </c>
      <c r="P37" s="56">
        <f>SUM(P18:P19)/'A1 - Serviços e demanda'!O70</f>
        <v>2.6666660280322203</v>
      </c>
      <c r="Q37" s="56">
        <f>SUM(Q18:Q19)/'A1 - Serviços e demanda'!P70</f>
        <v>2.6666660469117303</v>
      </c>
      <c r="R37" s="56">
        <f>SUM(R18:R19)/'A1 - Serviços e demanda'!Q70</f>
        <v>2.6666582458622274</v>
      </c>
      <c r="S37" s="56">
        <f>SUM(S18:S19)/'A1 - Serviços e demanda'!R70</f>
        <v>2.6666491515379742</v>
      </c>
      <c r="T37" s="56">
        <f>SUM(T18:T19)/'A1 - Serviços e demanda'!S70</f>
        <v>2.6666670445675518</v>
      </c>
      <c r="U37" s="56">
        <f>SUM(U18:U19)/'A1 - Serviços e demanda'!T70</f>
        <v>2.6666817147802573</v>
      </c>
      <c r="V37" s="56">
        <f>SUM(V18:V19)/'A1 - Serviços e demanda'!U70</f>
        <v>2.6666789703625362</v>
      </c>
      <c r="W37" s="56">
        <f>SUM(W18:W19)/'A1 - Serviços e demanda'!V70</f>
        <v>2.6666789703625362</v>
      </c>
      <c r="X37" s="56">
        <f>SUM(X18:X19)/'A1 - Serviços e demanda'!W70</f>
        <v>2.6666789703625362</v>
      </c>
      <c r="Y37" s="56">
        <f>SUM(Y18:Y19)/'A1 - Serviços e demanda'!X70</f>
        <v>2.6666789703625362</v>
      </c>
      <c r="Z37" s="56">
        <f>SUM(Z18:Z19)/'A1 - Serviços e demanda'!Y70</f>
        <v>2.6666789703625362</v>
      </c>
      <c r="AA37" s="56">
        <f>SUM(AA18:AA19)/'A1 - Serviços e demanda'!Z70</f>
        <v>2.6666789703625362</v>
      </c>
      <c r="AB37" s="56">
        <f>SUM(AB18:AB19)/'A1 - Serviços e demanda'!AA70</f>
        <v>2.6666789703625362</v>
      </c>
      <c r="AC37" s="56">
        <f>SUM(AC18:AC19)/'A1 - Serviços e demanda'!AB70</f>
        <v>2.6666789703625362</v>
      </c>
      <c r="AD37" s="56">
        <f>SUM(AD18:AD19)/'A1 - Serviços e demanda'!AC70</f>
        <v>2.6666789703625362</v>
      </c>
      <c r="AE37" s="56">
        <f>SUM(AE18:AE19)/'A1 - Serviços e demanda'!AD70</f>
        <v>2.6666789703625362</v>
      </c>
      <c r="AF37" s="56">
        <f>SUM(AF18:AF19)/'A1 - Serviços e demanda'!AE70</f>
        <v>2.6666789703625362</v>
      </c>
      <c r="AG37" s="522"/>
    </row>
    <row r="38" spans="1:33" ht="11.25" customHeight="1">
      <c r="A38" s="521"/>
      <c r="B38" s="51" t="s">
        <v>160</v>
      </c>
      <c r="C38" s="56">
        <f>SUM(C20:C21)/'A1 - Serviços e demanda'!B70</f>
        <v>0</v>
      </c>
      <c r="D38" s="56">
        <f>SUM(D20:D21)/'A1 - Serviços e demanda'!C70</f>
        <v>0</v>
      </c>
      <c r="E38" s="56">
        <f>SUM(E20:E21)/'A1 - Serviços e demanda'!D70</f>
        <v>0</v>
      </c>
      <c r="F38" s="56">
        <f>SUM(F20:F21)/'A1 - Serviços e demanda'!E70</f>
        <v>0</v>
      </c>
      <c r="G38" s="56">
        <f>SUM(G20:G21)/'A1 - Serviços e demanda'!F70</f>
        <v>0</v>
      </c>
      <c r="H38" s="56">
        <f>SUM(H20:H21)/'A1 - Serviços e demanda'!G70</f>
        <v>0</v>
      </c>
      <c r="I38" s="56">
        <f>SUM(I20:I21)/'A1 - Serviços e demanda'!H70</f>
        <v>0</v>
      </c>
      <c r="J38" s="56">
        <f>SUM(J20:J21)/'A1 - Serviços e demanda'!I70</f>
        <v>0</v>
      </c>
      <c r="K38" s="56">
        <f>SUM(K20:K21)/'A1 - Serviços e demanda'!J70</f>
        <v>0</v>
      </c>
      <c r="L38" s="56">
        <f>SUM(L20:L21)/'A1 - Serviços e demanda'!K70</f>
        <v>0</v>
      </c>
      <c r="M38" s="56">
        <f>SUM(M20:M21)/'A1 - Serviços e demanda'!L70</f>
        <v>0</v>
      </c>
      <c r="N38" s="56">
        <f>SUM(N20:N21)/'A1 - Serviços e demanda'!M70</f>
        <v>0</v>
      </c>
      <c r="O38" s="56">
        <f>SUM(O20:O21)/'A1 - Serviços e demanda'!N70</f>
        <v>0</v>
      </c>
      <c r="P38" s="56">
        <f>SUM(P20:P21)/'A1 - Serviços e demanda'!O70</f>
        <v>0</v>
      </c>
      <c r="Q38" s="56">
        <f>SUM(Q20:Q21)/'A1 - Serviços e demanda'!P70</f>
        <v>0</v>
      </c>
      <c r="R38" s="56">
        <f>SUM(R20:R21)/'A1 - Serviços e demanda'!Q70</f>
        <v>0</v>
      </c>
      <c r="S38" s="56">
        <f>SUM(S20:S21)/'A1 - Serviços e demanda'!R70</f>
        <v>0</v>
      </c>
      <c r="T38" s="56">
        <f>SUM(T20:T21)/'A1 - Serviços e demanda'!S70</f>
        <v>0</v>
      </c>
      <c r="U38" s="56">
        <f>SUM(U20:U21)/'A1 - Serviços e demanda'!T70</f>
        <v>0</v>
      </c>
      <c r="V38" s="56">
        <f>SUM(V20:V21)/'A1 - Serviços e demanda'!U70</f>
        <v>0</v>
      </c>
      <c r="W38" s="56">
        <f>SUM(W20:W21)/'A1 - Serviços e demanda'!V70</f>
        <v>0</v>
      </c>
      <c r="X38" s="56">
        <f>SUM(X20:X21)/'A1 - Serviços e demanda'!W70</f>
        <v>0</v>
      </c>
      <c r="Y38" s="56">
        <f>SUM(Y20:Y21)/'A1 - Serviços e demanda'!X70</f>
        <v>0</v>
      </c>
      <c r="Z38" s="56">
        <f>SUM(Z20:Z21)/'A1 - Serviços e demanda'!Y70</f>
        <v>0</v>
      </c>
      <c r="AA38" s="56">
        <f>SUM(AA20:AA21)/'A1 - Serviços e demanda'!Z70</f>
        <v>0</v>
      </c>
      <c r="AB38" s="56">
        <f>SUM(AB20:AB21)/'A1 - Serviços e demanda'!AA70</f>
        <v>0</v>
      </c>
      <c r="AC38" s="56">
        <f>SUM(AC20:AC21)/'A1 - Serviços e demanda'!AB70</f>
        <v>0</v>
      </c>
      <c r="AD38" s="56">
        <f>SUM(AD20:AD21)/'A1 - Serviços e demanda'!AC70</f>
        <v>0</v>
      </c>
      <c r="AE38" s="56">
        <f>SUM(AE20:AE21)/'A1 - Serviços e demanda'!AD70</f>
        <v>0</v>
      </c>
      <c r="AF38" s="56">
        <f>SUM(AF20:AF21)/'A1 - Serviços e demanda'!AE70</f>
        <v>0</v>
      </c>
      <c r="AG38" s="522"/>
    </row>
    <row r="39" spans="1:33" ht="11.25" customHeight="1">
      <c r="A39" s="521"/>
      <c r="B39" s="51" t="s">
        <v>161</v>
      </c>
      <c r="C39" s="56">
        <f>SUM(C23)/'A1 - Serviços e demanda'!B70</f>
        <v>0</v>
      </c>
      <c r="D39" s="56">
        <f>SUM(D23)/'A1 - Serviços e demanda'!C70</f>
        <v>0</v>
      </c>
      <c r="E39" s="56">
        <f>SUM(E23)/'A1 - Serviços e demanda'!D70</f>
        <v>0</v>
      </c>
      <c r="F39" s="56">
        <f>SUM(F23)/'A1 - Serviços e demanda'!E70</f>
        <v>0</v>
      </c>
      <c r="G39" s="56">
        <f>SUM(G23)/'A1 - Serviços e demanda'!F70</f>
        <v>0</v>
      </c>
      <c r="H39" s="56">
        <f>SUM(H23)/'A1 - Serviços e demanda'!G70</f>
        <v>0</v>
      </c>
      <c r="I39" s="56">
        <f>SUM(I23)/'A1 - Serviços e demanda'!H70</f>
        <v>0</v>
      </c>
      <c r="J39" s="56">
        <f>SUM(J23)/'A1 - Serviços e demanda'!I70</f>
        <v>0</v>
      </c>
      <c r="K39" s="56">
        <f>SUM(K23)/'A1 - Serviços e demanda'!J70</f>
        <v>0</v>
      </c>
      <c r="L39" s="56">
        <f>SUM(L23)/'A1 - Serviços e demanda'!K70</f>
        <v>0</v>
      </c>
      <c r="M39" s="56">
        <f>SUM(M23)/'A1 - Serviços e demanda'!L70</f>
        <v>0</v>
      </c>
      <c r="N39" s="56">
        <f>SUM(N23)/'A1 - Serviços e demanda'!M70</f>
        <v>0</v>
      </c>
      <c r="O39" s="56">
        <f>SUM(O23)/'A1 - Serviços e demanda'!N70</f>
        <v>0</v>
      </c>
      <c r="P39" s="56">
        <f>SUM(P23)/'A1 - Serviços e demanda'!O70</f>
        <v>0</v>
      </c>
      <c r="Q39" s="56">
        <f>SUM(Q23)/'A1 - Serviços e demanda'!P70</f>
        <v>0</v>
      </c>
      <c r="R39" s="56">
        <f>SUM(R23)/'A1 - Serviços e demanda'!Q70</f>
        <v>0</v>
      </c>
      <c r="S39" s="56">
        <f>SUM(S23)/'A1 - Serviços e demanda'!R70</f>
        <v>0</v>
      </c>
      <c r="T39" s="56">
        <f>SUM(T23)/'A1 - Serviços e demanda'!S70</f>
        <v>0</v>
      </c>
      <c r="U39" s="56">
        <f>SUM(U23)/'A1 - Serviços e demanda'!T70</f>
        <v>0</v>
      </c>
      <c r="V39" s="56">
        <f>SUM(V23)/'A1 - Serviços e demanda'!U70</f>
        <v>0</v>
      </c>
      <c r="W39" s="56">
        <f>SUM(W23)/'A1 - Serviços e demanda'!V70</f>
        <v>0</v>
      </c>
      <c r="X39" s="56">
        <f>SUM(X23)/'A1 - Serviços e demanda'!W70</f>
        <v>0</v>
      </c>
      <c r="Y39" s="56">
        <f>SUM(Y23)/'A1 - Serviços e demanda'!X70</f>
        <v>0</v>
      </c>
      <c r="Z39" s="56">
        <f>SUM(Z23)/'A1 - Serviços e demanda'!Y70</f>
        <v>0</v>
      </c>
      <c r="AA39" s="56">
        <f>SUM(AA23)/'A1 - Serviços e demanda'!Z70</f>
        <v>0</v>
      </c>
      <c r="AB39" s="56">
        <f>SUM(AB23)/'A1 - Serviços e demanda'!AA70</f>
        <v>0</v>
      </c>
      <c r="AC39" s="56">
        <f>SUM(AC23)/'A1 - Serviços e demanda'!AB70</f>
        <v>0</v>
      </c>
      <c r="AD39" s="56">
        <f>SUM(AD23)/'A1 - Serviços e demanda'!AC70</f>
        <v>0</v>
      </c>
      <c r="AE39" s="56">
        <f>SUM(AE23)/'A1 - Serviços e demanda'!AD70</f>
        <v>0</v>
      </c>
      <c r="AF39" s="56">
        <f>SUM(AF23)/'A1 - Serviços e demanda'!AE70</f>
        <v>0</v>
      </c>
      <c r="AG39" s="522"/>
    </row>
    <row r="40" spans="1:33" ht="11.25" customHeight="1">
      <c r="A40" s="521"/>
      <c r="B40" s="51" t="s">
        <v>162</v>
      </c>
      <c r="C40" s="56">
        <f>SUM(C24)/'A1 - Serviços e demanda'!B70</f>
        <v>0</v>
      </c>
      <c r="D40" s="56">
        <f>SUM(D24)/'A1 - Serviços e demanda'!C70</f>
        <v>0</v>
      </c>
      <c r="E40" s="56">
        <f>SUM(E24)/'A1 - Serviços e demanda'!D70</f>
        <v>0</v>
      </c>
      <c r="F40" s="56">
        <f>SUM(F24)/'A1 - Serviços e demanda'!E70</f>
        <v>0</v>
      </c>
      <c r="G40" s="56">
        <f>SUM(G24)/'A1 - Serviços e demanda'!F70</f>
        <v>0</v>
      </c>
      <c r="H40" s="56">
        <f>SUM(H24)/'A1 - Serviços e demanda'!G70</f>
        <v>0</v>
      </c>
      <c r="I40" s="56">
        <f>SUM(I24)/'A1 - Serviços e demanda'!H70</f>
        <v>0</v>
      </c>
      <c r="J40" s="56">
        <f>SUM(J24)/'A1 - Serviços e demanda'!I70</f>
        <v>0</v>
      </c>
      <c r="K40" s="56">
        <f>SUM(K24)/'A1 - Serviços e demanda'!J70</f>
        <v>0</v>
      </c>
      <c r="L40" s="56">
        <f>SUM(L24)/'A1 - Serviços e demanda'!K70</f>
        <v>0</v>
      </c>
      <c r="M40" s="56">
        <f>SUM(M24)/'A1 - Serviços e demanda'!L70</f>
        <v>0</v>
      </c>
      <c r="N40" s="56">
        <f>SUM(N24)/'A1 - Serviços e demanda'!M70</f>
        <v>0</v>
      </c>
      <c r="O40" s="56">
        <f>SUM(O24)/'A1 - Serviços e demanda'!N70</f>
        <v>0</v>
      </c>
      <c r="P40" s="56">
        <f>SUM(P24)/'A1 - Serviços e demanda'!O70</f>
        <v>0</v>
      </c>
      <c r="Q40" s="56">
        <f>SUM(Q24)/'A1 - Serviços e demanda'!P70</f>
        <v>0</v>
      </c>
      <c r="R40" s="56">
        <f>SUM(R24)/'A1 - Serviços e demanda'!Q70</f>
        <v>0</v>
      </c>
      <c r="S40" s="56">
        <f>SUM(S24)/'A1 - Serviços e demanda'!R70</f>
        <v>0</v>
      </c>
      <c r="T40" s="56">
        <f>SUM(T24)/'A1 - Serviços e demanda'!S70</f>
        <v>0</v>
      </c>
      <c r="U40" s="56">
        <f>SUM(U24)/'A1 - Serviços e demanda'!T70</f>
        <v>0</v>
      </c>
      <c r="V40" s="56">
        <f>SUM(V24)/'A1 - Serviços e demanda'!U70</f>
        <v>0</v>
      </c>
      <c r="W40" s="56">
        <f>SUM(W24)/'A1 - Serviços e demanda'!V70</f>
        <v>0</v>
      </c>
      <c r="X40" s="56">
        <f>SUM(X24)/'A1 - Serviços e demanda'!W70</f>
        <v>0</v>
      </c>
      <c r="Y40" s="56">
        <f>SUM(Y24)/'A1 - Serviços e demanda'!X70</f>
        <v>0</v>
      </c>
      <c r="Z40" s="56">
        <f>SUM(Z24)/'A1 - Serviços e demanda'!Y70</f>
        <v>0</v>
      </c>
      <c r="AA40" s="56">
        <f>SUM(AA24)/'A1 - Serviços e demanda'!Z70</f>
        <v>0</v>
      </c>
      <c r="AB40" s="56">
        <f>SUM(AB24)/'A1 - Serviços e demanda'!AA70</f>
        <v>0</v>
      </c>
      <c r="AC40" s="56">
        <f>SUM(AC24)/'A1 - Serviços e demanda'!AB70</f>
        <v>0</v>
      </c>
      <c r="AD40" s="56">
        <f>SUM(AD24)/'A1 - Serviços e demanda'!AC70</f>
        <v>0</v>
      </c>
      <c r="AE40" s="56">
        <f>SUM(AE24)/'A1 - Serviços e demanda'!AD70</f>
        <v>0</v>
      </c>
      <c r="AF40" s="56">
        <f>SUM(AF24)/'A1 - Serviços e demanda'!AE70</f>
        <v>0</v>
      </c>
      <c r="AG40" s="522"/>
    </row>
    <row r="41" spans="1:33" ht="11.25" customHeight="1">
      <c r="A41" s="521"/>
      <c r="B41" s="522"/>
      <c r="C41" s="507"/>
      <c r="D41" s="507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/>
      <c r="P41" s="522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/>
      <c r="AD41" s="522"/>
      <c r="AE41" s="522"/>
      <c r="AF41" s="522"/>
      <c r="AG41" s="522"/>
    </row>
    <row r="42" spans="1:33" ht="11.25" customHeight="1">
      <c r="A42" s="521"/>
      <c r="B42" s="522"/>
      <c r="C42" s="507"/>
      <c r="D42" s="507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/>
      <c r="P42" s="522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/>
      <c r="AD42" s="522"/>
      <c r="AE42" s="522"/>
      <c r="AF42" s="522"/>
      <c r="AG42" s="522"/>
    </row>
    <row r="43" spans="1:33" ht="11.25" customHeight="1">
      <c r="A43" s="521"/>
      <c r="B43" s="522"/>
      <c r="C43" s="535">
        <f t="shared" ref="C43:AF43" si="4">C7/C27</f>
        <v>1</v>
      </c>
      <c r="D43" s="535">
        <f t="shared" si="4"/>
        <v>0.68795671276598303</v>
      </c>
      <c r="E43" s="535">
        <f t="shared" si="4"/>
        <v>0.68795532170884666</v>
      </c>
      <c r="F43" s="535">
        <f t="shared" si="4"/>
        <v>0.68795631874676133</v>
      </c>
      <c r="G43" s="535">
        <f t="shared" si="4"/>
        <v>0.68795698419127349</v>
      </c>
      <c r="H43" s="535">
        <f t="shared" si="4"/>
        <v>0.68795816322762271</v>
      </c>
      <c r="I43" s="535">
        <f t="shared" si="4"/>
        <v>0.68795563084404387</v>
      </c>
      <c r="J43" s="535">
        <f t="shared" si="4"/>
        <v>0.6879560859577003</v>
      </c>
      <c r="K43" s="535">
        <f t="shared" si="4"/>
        <v>0.68795536458603335</v>
      </c>
      <c r="L43" s="535">
        <f t="shared" si="4"/>
        <v>0.68795778475305613</v>
      </c>
      <c r="M43" s="535">
        <f t="shared" si="4"/>
        <v>0.68795766480989884</v>
      </c>
      <c r="N43" s="535">
        <f t="shared" si="4"/>
        <v>0.6879560207075176</v>
      </c>
      <c r="O43" s="535">
        <f t="shared" si="4"/>
        <v>0.68795680436403295</v>
      </c>
      <c r="P43" s="535">
        <f t="shared" si="4"/>
        <v>0.68795639994434865</v>
      </c>
      <c r="Q43" s="535">
        <f t="shared" si="4"/>
        <v>0.68795640332655172</v>
      </c>
      <c r="R43" s="535">
        <f t="shared" si="4"/>
        <v>0.68795708813002754</v>
      </c>
      <c r="S43" s="535">
        <f t="shared" si="4"/>
        <v>0.68795782329944688</v>
      </c>
      <c r="T43" s="535">
        <f t="shared" si="4"/>
        <v>0.687956189567281</v>
      </c>
      <c r="U43" s="535">
        <f t="shared" si="4"/>
        <v>0.68795539824848095</v>
      </c>
      <c r="V43" s="535">
        <f t="shared" si="4"/>
        <v>0.68795575537654219</v>
      </c>
      <c r="W43" s="535">
        <f t="shared" si="4"/>
        <v>0.68795575537654219</v>
      </c>
      <c r="X43" s="535">
        <f t="shared" si="4"/>
        <v>0.68795575537654219</v>
      </c>
      <c r="Y43" s="535">
        <f t="shared" si="4"/>
        <v>0.68795575537654219</v>
      </c>
      <c r="Z43" s="535">
        <f t="shared" si="4"/>
        <v>0.68795575537654219</v>
      </c>
      <c r="AA43" s="535">
        <f t="shared" si="4"/>
        <v>0.68795575537654219</v>
      </c>
      <c r="AB43" s="535">
        <f t="shared" si="4"/>
        <v>0.68795575537654219</v>
      </c>
      <c r="AC43" s="535">
        <f t="shared" si="4"/>
        <v>0.68795575537654219</v>
      </c>
      <c r="AD43" s="535">
        <f t="shared" si="4"/>
        <v>0.68795575537654219</v>
      </c>
      <c r="AE43" s="535">
        <f t="shared" si="4"/>
        <v>0.68795575537654219</v>
      </c>
      <c r="AF43" s="535">
        <f t="shared" si="4"/>
        <v>0.68795575537654219</v>
      </c>
      <c r="AG43" s="522"/>
    </row>
    <row r="44" spans="1:33" ht="11.25" customHeight="1">
      <c r="A44" s="521"/>
      <c r="B44" s="522"/>
      <c r="C44" s="535">
        <f t="shared" ref="C44:AF44" si="5">SUM(C8:C24)/C27</f>
        <v>0</v>
      </c>
      <c r="D44" s="535">
        <f t="shared" si="5"/>
        <v>0.31204328723401697</v>
      </c>
      <c r="E44" s="535">
        <f t="shared" si="5"/>
        <v>0.31204467829115329</v>
      </c>
      <c r="F44" s="535">
        <f t="shared" si="5"/>
        <v>0.31204368125323867</v>
      </c>
      <c r="G44" s="535">
        <f t="shared" si="5"/>
        <v>0.31204301580872651</v>
      </c>
      <c r="H44" s="535">
        <f t="shared" si="5"/>
        <v>0.31204183677237729</v>
      </c>
      <c r="I44" s="535">
        <f t="shared" si="5"/>
        <v>0.31204436915595618</v>
      </c>
      <c r="J44" s="535">
        <f t="shared" si="5"/>
        <v>0.31204391404229975</v>
      </c>
      <c r="K44" s="535">
        <f t="shared" si="5"/>
        <v>0.31204463541396665</v>
      </c>
      <c r="L44" s="535">
        <f t="shared" si="5"/>
        <v>0.31204221524694381</v>
      </c>
      <c r="M44" s="535">
        <f t="shared" si="5"/>
        <v>0.31204233519010116</v>
      </c>
      <c r="N44" s="535">
        <f t="shared" si="5"/>
        <v>0.3120439792924824</v>
      </c>
      <c r="O44" s="535">
        <f t="shared" si="5"/>
        <v>0.31204319563596705</v>
      </c>
      <c r="P44" s="535">
        <f t="shared" si="5"/>
        <v>0.31204360005565135</v>
      </c>
      <c r="Q44" s="535">
        <f t="shared" si="5"/>
        <v>0.31204359667344828</v>
      </c>
      <c r="R44" s="535">
        <f t="shared" si="5"/>
        <v>0.31204291186997246</v>
      </c>
      <c r="S44" s="535">
        <f t="shared" si="5"/>
        <v>0.31204217670055318</v>
      </c>
      <c r="T44" s="535">
        <f t="shared" si="5"/>
        <v>0.312043810432719</v>
      </c>
      <c r="U44" s="535">
        <f t="shared" si="5"/>
        <v>0.3120446017515191</v>
      </c>
      <c r="V44" s="535">
        <f t="shared" si="5"/>
        <v>0.31204424462345776</v>
      </c>
      <c r="W44" s="535">
        <f t="shared" si="5"/>
        <v>0.31204424462345776</v>
      </c>
      <c r="X44" s="535">
        <f t="shared" si="5"/>
        <v>0.31204424462345776</v>
      </c>
      <c r="Y44" s="535">
        <f t="shared" si="5"/>
        <v>0.31204424462345776</v>
      </c>
      <c r="Z44" s="535">
        <f t="shared" si="5"/>
        <v>0.31204424462345776</v>
      </c>
      <c r="AA44" s="535">
        <f t="shared" si="5"/>
        <v>0.31204424462345776</v>
      </c>
      <c r="AB44" s="535">
        <f t="shared" si="5"/>
        <v>0.31204424462345776</v>
      </c>
      <c r="AC44" s="535">
        <f t="shared" si="5"/>
        <v>0.31204424462345776</v>
      </c>
      <c r="AD44" s="535">
        <f t="shared" si="5"/>
        <v>0.31204424462345776</v>
      </c>
      <c r="AE44" s="535">
        <f t="shared" si="5"/>
        <v>0.31204424462345776</v>
      </c>
      <c r="AF44" s="535">
        <f t="shared" si="5"/>
        <v>0.31204424462345776</v>
      </c>
      <c r="AG44" s="522"/>
    </row>
    <row r="45" spans="1:33" ht="11.25" customHeight="1">
      <c r="A45" s="521"/>
      <c r="B45" s="522"/>
      <c r="C45" s="507"/>
      <c r="D45" s="507"/>
      <c r="E45" s="522"/>
      <c r="F45" s="522"/>
      <c r="G45" s="522"/>
      <c r="H45" s="522"/>
      <c r="I45" s="522"/>
      <c r="J45" s="522"/>
      <c r="K45" s="522"/>
      <c r="L45" s="522"/>
      <c r="M45" s="522"/>
      <c r="N45" s="522"/>
      <c r="O45" s="522"/>
      <c r="P45" s="522"/>
      <c r="Q45" s="522"/>
      <c r="R45" s="522"/>
      <c r="S45" s="522"/>
      <c r="T45" s="522"/>
      <c r="U45" s="522"/>
      <c r="V45" s="522"/>
      <c r="W45" s="522"/>
      <c r="X45" s="522"/>
      <c r="Y45" s="522"/>
      <c r="Z45" s="522"/>
      <c r="AA45" s="522"/>
      <c r="AB45" s="522"/>
      <c r="AC45" s="522"/>
      <c r="AD45" s="522"/>
      <c r="AE45" s="522"/>
      <c r="AF45" s="522"/>
      <c r="AG45" s="522"/>
    </row>
    <row r="46" spans="1:33" ht="11.25" customHeight="1">
      <c r="A46" s="521"/>
      <c r="B46" s="522"/>
      <c r="C46" s="522"/>
      <c r="D46" s="536">
        <f>SUM(D8:D26)</f>
        <v>13250281</v>
      </c>
      <c r="E46" s="522"/>
      <c r="F46" s="522"/>
      <c r="G46" s="522"/>
      <c r="H46" s="522"/>
      <c r="I46" s="522"/>
      <c r="J46" s="522"/>
      <c r="K46" s="522"/>
      <c r="L46" s="522"/>
      <c r="M46" s="522"/>
      <c r="N46" s="522"/>
      <c r="O46" s="522"/>
      <c r="P46" s="522"/>
      <c r="Q46" s="522"/>
      <c r="R46" s="522"/>
      <c r="S46" s="522"/>
      <c r="T46" s="522"/>
      <c r="U46" s="522"/>
      <c r="V46" s="522"/>
      <c r="W46" s="522"/>
      <c r="X46" s="522"/>
      <c r="Y46" s="522"/>
      <c r="Z46" s="522"/>
      <c r="AA46" s="522"/>
      <c r="AB46" s="522"/>
      <c r="AC46" s="522"/>
      <c r="AD46" s="522"/>
      <c r="AE46" s="522"/>
      <c r="AF46" s="522"/>
      <c r="AG46" s="522"/>
    </row>
    <row r="47" spans="1:33" ht="11.25" customHeight="1">
      <c r="A47" s="521"/>
      <c r="B47" s="522"/>
      <c r="C47" s="522"/>
      <c r="D47" s="537">
        <v>25569684.5</v>
      </c>
      <c r="E47" s="522"/>
      <c r="F47" s="522"/>
      <c r="G47" s="522"/>
      <c r="H47" s="522"/>
      <c r="I47" s="522"/>
      <c r="J47" s="522"/>
      <c r="K47" s="522"/>
      <c r="L47" s="522"/>
      <c r="M47" s="522"/>
      <c r="N47" s="522"/>
      <c r="O47" s="522"/>
      <c r="P47" s="522"/>
      <c r="Q47" s="522"/>
      <c r="R47" s="522"/>
      <c r="S47" s="522"/>
      <c r="T47" s="522"/>
      <c r="U47" s="522"/>
      <c r="V47" s="522"/>
      <c r="W47" s="522"/>
      <c r="X47" s="522"/>
      <c r="Y47" s="522"/>
      <c r="Z47" s="522"/>
      <c r="AA47" s="522"/>
      <c r="AB47" s="522"/>
      <c r="AC47" s="522"/>
      <c r="AD47" s="522"/>
      <c r="AE47" s="522"/>
      <c r="AF47" s="522"/>
      <c r="AG47" s="522"/>
    </row>
  </sheetData>
  <mergeCells count="1">
    <mergeCell ref="C5:AF5"/>
  </mergeCells>
  <pageMargins left="0.51181102362204722" right="0.51181102362204722" top="0.78740157480314965" bottom="0.7874015748031496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7">
    <tabColor rgb="FFC00000"/>
  </sheetPr>
  <dimension ref="A1:H496"/>
  <sheetViews>
    <sheetView workbookViewId="0">
      <pane xSplit="1" ySplit="2" topLeftCell="B3" activePane="bottomRight" state="frozen"/>
      <selection pane="bottomRight"/>
      <selection pane="bottomLeft" activeCell="A3" sqref="A3"/>
      <selection pane="topRight" activeCell="B1" sqref="B1"/>
    </sheetView>
  </sheetViews>
  <sheetFormatPr defaultColWidth="11.44140625" defaultRowHeight="15" customHeight="1"/>
  <cols>
    <col min="1" max="1" width="43.44140625" customWidth="1"/>
    <col min="2" max="2" width="43.5546875" customWidth="1"/>
    <col min="3" max="3" width="17" customWidth="1"/>
    <col min="4" max="4" width="11.5546875" customWidth="1"/>
    <col min="5" max="5" width="18.5546875" customWidth="1"/>
    <col min="6" max="6" width="17" customWidth="1"/>
    <col min="7" max="7" width="15.21875" customWidth="1"/>
    <col min="8" max="8" width="99.5546875" customWidth="1"/>
    <col min="9" max="26" width="11.44140625" customWidth="1"/>
  </cols>
  <sheetData>
    <row r="1" spans="1:8" ht="15.75" customHeight="1">
      <c r="A1" s="538" t="s">
        <v>163</v>
      </c>
      <c r="B1" s="292"/>
      <c r="C1" s="292"/>
      <c r="D1" s="539"/>
      <c r="E1" s="292"/>
      <c r="F1" s="292"/>
      <c r="G1" s="292"/>
      <c r="H1" s="292"/>
    </row>
    <row r="2" spans="1:8" ht="57" customHeight="1">
      <c r="A2" s="540" t="s">
        <v>164</v>
      </c>
      <c r="B2" s="540" t="s">
        <v>146</v>
      </c>
      <c r="C2" s="540" t="s">
        <v>165</v>
      </c>
      <c r="D2" s="540" t="s">
        <v>8</v>
      </c>
      <c r="E2" s="540" t="s">
        <v>166</v>
      </c>
      <c r="F2" s="540" t="s">
        <v>167</v>
      </c>
      <c r="G2" s="540" t="s">
        <v>168</v>
      </c>
      <c r="H2" s="540" t="s">
        <v>169</v>
      </c>
    </row>
    <row r="3" spans="1:8" ht="15.75" customHeight="1">
      <c r="A3" s="57" t="s">
        <v>170</v>
      </c>
      <c r="B3" s="57" t="s">
        <v>79</v>
      </c>
      <c r="C3" s="57" t="s">
        <v>171</v>
      </c>
      <c r="D3" s="58" t="s">
        <v>172</v>
      </c>
      <c r="E3" s="59">
        <v>1</v>
      </c>
      <c r="F3" s="59">
        <v>1</v>
      </c>
      <c r="G3" s="541">
        <f t="shared" ref="G3:G257" si="0">E3*F3</f>
        <v>1</v>
      </c>
      <c r="H3" s="59" t="s">
        <v>173</v>
      </c>
    </row>
    <row r="4" spans="1:8" ht="15.75" customHeight="1">
      <c r="A4" s="57" t="s">
        <v>174</v>
      </c>
      <c r="B4" s="57" t="s">
        <v>79</v>
      </c>
      <c r="C4" s="57" t="s">
        <v>174</v>
      </c>
      <c r="D4" s="58" t="s">
        <v>172</v>
      </c>
      <c r="E4" s="59">
        <v>0.83</v>
      </c>
      <c r="F4" s="59">
        <v>1</v>
      </c>
      <c r="G4" s="541">
        <f t="shared" si="0"/>
        <v>0.83</v>
      </c>
      <c r="H4" s="59" t="s">
        <v>175</v>
      </c>
    </row>
    <row r="5" spans="1:8" ht="15.75" customHeight="1">
      <c r="A5" s="57" t="s">
        <v>176</v>
      </c>
      <c r="B5" s="57" t="s">
        <v>85</v>
      </c>
      <c r="C5" s="57" t="s">
        <v>174</v>
      </c>
      <c r="D5" s="58" t="s">
        <v>177</v>
      </c>
      <c r="E5" s="59">
        <f t="shared" ref="E5:E8" si="1">50*0.35</f>
        <v>17.5</v>
      </c>
      <c r="F5" s="59">
        <v>1</v>
      </c>
      <c r="G5" s="541">
        <f t="shared" si="0"/>
        <v>17.5</v>
      </c>
      <c r="H5" s="59" t="s">
        <v>178</v>
      </c>
    </row>
    <row r="6" spans="1:8" ht="15.75" customHeight="1">
      <c r="A6" s="57" t="s">
        <v>176</v>
      </c>
      <c r="B6" s="57" t="s">
        <v>89</v>
      </c>
      <c r="C6" s="57" t="s">
        <v>174</v>
      </c>
      <c r="D6" s="58" t="s">
        <v>177</v>
      </c>
      <c r="E6" s="59">
        <f t="shared" si="1"/>
        <v>17.5</v>
      </c>
      <c r="F6" s="59">
        <v>1</v>
      </c>
      <c r="G6" s="541">
        <f t="shared" si="0"/>
        <v>17.5</v>
      </c>
      <c r="H6" s="59" t="s">
        <v>178</v>
      </c>
    </row>
    <row r="7" spans="1:8" ht="15.75" customHeight="1">
      <c r="A7" s="57" t="s">
        <v>176</v>
      </c>
      <c r="B7" s="57" t="s">
        <v>94</v>
      </c>
      <c r="C7" s="57" t="s">
        <v>174</v>
      </c>
      <c r="D7" s="58" t="s">
        <v>177</v>
      </c>
      <c r="E7" s="59">
        <f t="shared" si="1"/>
        <v>17.5</v>
      </c>
      <c r="F7" s="59">
        <v>1</v>
      </c>
      <c r="G7" s="541">
        <f t="shared" si="0"/>
        <v>17.5</v>
      </c>
      <c r="H7" s="59" t="s">
        <v>178</v>
      </c>
    </row>
    <row r="8" spans="1:8" ht="15.75" customHeight="1">
      <c r="A8" s="57" t="s">
        <v>176</v>
      </c>
      <c r="B8" s="57" t="s">
        <v>96</v>
      </c>
      <c r="C8" s="57" t="s">
        <v>174</v>
      </c>
      <c r="D8" s="58" t="s">
        <v>177</v>
      </c>
      <c r="E8" s="59">
        <f t="shared" si="1"/>
        <v>17.5</v>
      </c>
      <c r="F8" s="59">
        <v>1</v>
      </c>
      <c r="G8" s="541">
        <f t="shared" si="0"/>
        <v>17.5</v>
      </c>
      <c r="H8" s="59" t="s">
        <v>178</v>
      </c>
    </row>
    <row r="9" spans="1:8" ht="15.75" customHeight="1">
      <c r="A9" s="57" t="s">
        <v>179</v>
      </c>
      <c r="B9" s="57" t="s">
        <v>83</v>
      </c>
      <c r="C9" s="57" t="s">
        <v>174</v>
      </c>
      <c r="D9" s="58" t="s">
        <v>177</v>
      </c>
      <c r="E9" s="59">
        <f t="shared" ref="E9:E12" si="2">25*0.27</f>
        <v>6.75</v>
      </c>
      <c r="F9" s="59">
        <v>1</v>
      </c>
      <c r="G9" s="541">
        <f t="shared" si="0"/>
        <v>6.75</v>
      </c>
      <c r="H9" s="59" t="s">
        <v>180</v>
      </c>
    </row>
    <row r="10" spans="1:8" ht="15.75" customHeight="1">
      <c r="A10" s="57" t="s">
        <v>179</v>
      </c>
      <c r="B10" s="57" t="s">
        <v>88</v>
      </c>
      <c r="C10" s="57" t="s">
        <v>174</v>
      </c>
      <c r="D10" s="58" t="s">
        <v>177</v>
      </c>
      <c r="E10" s="59">
        <f t="shared" si="2"/>
        <v>6.75</v>
      </c>
      <c r="F10" s="59">
        <v>1</v>
      </c>
      <c r="G10" s="541">
        <f t="shared" si="0"/>
        <v>6.75</v>
      </c>
      <c r="H10" s="59" t="s">
        <v>180</v>
      </c>
    </row>
    <row r="11" spans="1:8" ht="15.75" customHeight="1">
      <c r="A11" s="57" t="s">
        <v>179</v>
      </c>
      <c r="B11" s="57" t="s">
        <v>93</v>
      </c>
      <c r="C11" s="57" t="s">
        <v>174</v>
      </c>
      <c r="D11" s="58" t="s">
        <v>177</v>
      </c>
      <c r="E11" s="59">
        <f t="shared" si="2"/>
        <v>6.75</v>
      </c>
      <c r="F11" s="59">
        <v>1</v>
      </c>
      <c r="G11" s="541">
        <f t="shared" si="0"/>
        <v>6.75</v>
      </c>
      <c r="H11" s="59" t="s">
        <v>180</v>
      </c>
    </row>
    <row r="12" spans="1:8" ht="15.75" customHeight="1">
      <c r="A12" s="57" t="s">
        <v>179</v>
      </c>
      <c r="B12" s="57" t="s">
        <v>95</v>
      </c>
      <c r="C12" s="57" t="s">
        <v>174</v>
      </c>
      <c r="D12" s="58" t="s">
        <v>177</v>
      </c>
      <c r="E12" s="59">
        <f t="shared" si="2"/>
        <v>6.75</v>
      </c>
      <c r="F12" s="59">
        <v>1</v>
      </c>
      <c r="G12" s="541">
        <f t="shared" si="0"/>
        <v>6.75</v>
      </c>
      <c r="H12" s="59" t="s">
        <v>180</v>
      </c>
    </row>
    <row r="13" spans="1:8" ht="15.75" customHeight="1">
      <c r="A13" s="57"/>
      <c r="B13" s="57"/>
      <c r="C13" s="57"/>
      <c r="D13" s="58"/>
      <c r="E13" s="59"/>
      <c r="F13" s="59"/>
      <c r="G13" s="541">
        <f t="shared" si="0"/>
        <v>0</v>
      </c>
      <c r="H13" s="59"/>
    </row>
    <row r="14" spans="1:8" ht="15.75" customHeight="1">
      <c r="A14" s="57"/>
      <c r="B14" s="57"/>
      <c r="C14" s="57"/>
      <c r="D14" s="58"/>
      <c r="E14" s="59"/>
      <c r="F14" s="59"/>
      <c r="G14" s="541">
        <f t="shared" si="0"/>
        <v>0</v>
      </c>
      <c r="H14" s="59"/>
    </row>
    <row r="15" spans="1:8" ht="15.75" customHeight="1">
      <c r="A15" s="57"/>
      <c r="B15" s="57"/>
      <c r="C15" s="57"/>
      <c r="D15" s="58"/>
      <c r="E15" s="59"/>
      <c r="F15" s="59"/>
      <c r="G15" s="541">
        <f t="shared" si="0"/>
        <v>0</v>
      </c>
      <c r="H15" s="59"/>
    </row>
    <row r="16" spans="1:8" ht="15.75" customHeight="1">
      <c r="A16" s="57"/>
      <c r="B16" s="57"/>
      <c r="C16" s="57"/>
      <c r="D16" s="58"/>
      <c r="E16" s="59"/>
      <c r="F16" s="59"/>
      <c r="G16" s="541">
        <f t="shared" si="0"/>
        <v>0</v>
      </c>
      <c r="H16" s="59"/>
    </row>
    <row r="17" spans="1:8" ht="15.75" customHeight="1">
      <c r="A17" s="57"/>
      <c r="B17" s="57"/>
      <c r="C17" s="57"/>
      <c r="D17" s="58"/>
      <c r="E17" s="59"/>
      <c r="F17" s="59"/>
      <c r="G17" s="541">
        <f t="shared" si="0"/>
        <v>0</v>
      </c>
      <c r="H17" s="59"/>
    </row>
    <row r="18" spans="1:8" ht="15.75" customHeight="1">
      <c r="A18" s="57"/>
      <c r="B18" s="57"/>
      <c r="C18" s="57"/>
      <c r="D18" s="58"/>
      <c r="E18" s="59"/>
      <c r="F18" s="59"/>
      <c r="G18" s="541">
        <f t="shared" si="0"/>
        <v>0</v>
      </c>
      <c r="H18" s="59"/>
    </row>
    <row r="19" spans="1:8" ht="15.75" customHeight="1">
      <c r="A19" s="57"/>
      <c r="B19" s="57"/>
      <c r="C19" s="57"/>
      <c r="D19" s="58"/>
      <c r="E19" s="59"/>
      <c r="F19" s="59"/>
      <c r="G19" s="541">
        <f t="shared" si="0"/>
        <v>0</v>
      </c>
      <c r="H19" s="59"/>
    </row>
    <row r="20" spans="1:8" ht="15.75" customHeight="1">
      <c r="A20" s="57"/>
      <c r="B20" s="57"/>
      <c r="C20" s="57"/>
      <c r="D20" s="58"/>
      <c r="E20" s="59"/>
      <c r="F20" s="59"/>
      <c r="G20" s="541">
        <f t="shared" si="0"/>
        <v>0</v>
      </c>
      <c r="H20" s="59"/>
    </row>
    <row r="21" spans="1:8" ht="15.75" customHeight="1">
      <c r="A21" s="57"/>
      <c r="B21" s="57"/>
      <c r="C21" s="57"/>
      <c r="D21" s="58"/>
      <c r="E21" s="59"/>
      <c r="F21" s="59"/>
      <c r="G21" s="541">
        <f t="shared" si="0"/>
        <v>0</v>
      </c>
      <c r="H21" s="59"/>
    </row>
    <row r="22" spans="1:8" ht="15.75" customHeight="1">
      <c r="A22" s="57"/>
      <c r="B22" s="57"/>
      <c r="C22" s="57"/>
      <c r="D22" s="58"/>
      <c r="E22" s="59"/>
      <c r="F22" s="59"/>
      <c r="G22" s="541">
        <f t="shared" si="0"/>
        <v>0</v>
      </c>
      <c r="H22" s="59"/>
    </row>
    <row r="23" spans="1:8" ht="15.75" customHeight="1">
      <c r="A23" s="57"/>
      <c r="B23" s="57"/>
      <c r="C23" s="57"/>
      <c r="D23" s="58"/>
      <c r="E23" s="59"/>
      <c r="F23" s="59"/>
      <c r="G23" s="541">
        <f t="shared" si="0"/>
        <v>0</v>
      </c>
      <c r="H23" s="59"/>
    </row>
    <row r="24" spans="1:8" ht="15.75" customHeight="1">
      <c r="A24" s="57"/>
      <c r="B24" s="57"/>
      <c r="C24" s="57"/>
      <c r="D24" s="58"/>
      <c r="E24" s="59"/>
      <c r="F24" s="59"/>
      <c r="G24" s="541">
        <f t="shared" si="0"/>
        <v>0</v>
      </c>
      <c r="H24" s="59"/>
    </row>
    <row r="25" spans="1:8" ht="15.75" customHeight="1">
      <c r="A25" s="57"/>
      <c r="B25" s="57"/>
      <c r="C25" s="57"/>
      <c r="D25" s="58"/>
      <c r="E25" s="59"/>
      <c r="F25" s="59"/>
      <c r="G25" s="541">
        <f t="shared" si="0"/>
        <v>0</v>
      </c>
      <c r="H25" s="59"/>
    </row>
    <row r="26" spans="1:8" ht="15.75" customHeight="1">
      <c r="A26" s="57"/>
      <c r="B26" s="57"/>
      <c r="C26" s="57"/>
      <c r="D26" s="58"/>
      <c r="E26" s="59"/>
      <c r="F26" s="59"/>
      <c r="G26" s="541">
        <f t="shared" si="0"/>
        <v>0</v>
      </c>
      <c r="H26" s="59"/>
    </row>
    <row r="27" spans="1:8" ht="15.75" customHeight="1">
      <c r="A27" s="57"/>
      <c r="B27" s="57"/>
      <c r="C27" s="57"/>
      <c r="D27" s="58"/>
      <c r="E27" s="59"/>
      <c r="F27" s="59"/>
      <c r="G27" s="541">
        <f t="shared" si="0"/>
        <v>0</v>
      </c>
      <c r="H27" s="59"/>
    </row>
    <row r="28" spans="1:8" ht="15.75" customHeight="1">
      <c r="A28" s="57"/>
      <c r="B28" s="57"/>
      <c r="C28" s="57"/>
      <c r="D28" s="58"/>
      <c r="E28" s="59"/>
      <c r="F28" s="59"/>
      <c r="G28" s="541">
        <f t="shared" si="0"/>
        <v>0</v>
      </c>
      <c r="H28" s="59"/>
    </row>
    <row r="29" spans="1:8" ht="15.75" customHeight="1">
      <c r="A29" s="57"/>
      <c r="B29" s="57"/>
      <c r="C29" s="57"/>
      <c r="D29" s="58"/>
      <c r="E29" s="59"/>
      <c r="F29" s="59"/>
      <c r="G29" s="541">
        <f t="shared" si="0"/>
        <v>0</v>
      </c>
      <c r="H29" s="59"/>
    </row>
    <row r="30" spans="1:8" ht="15.75" customHeight="1">
      <c r="A30" s="57"/>
      <c r="B30" s="57"/>
      <c r="C30" s="57"/>
      <c r="D30" s="58"/>
      <c r="E30" s="59"/>
      <c r="F30" s="59"/>
      <c r="G30" s="541">
        <f t="shared" si="0"/>
        <v>0</v>
      </c>
      <c r="H30" s="59"/>
    </row>
    <row r="31" spans="1:8" ht="15.75" customHeight="1">
      <c r="A31" s="57"/>
      <c r="B31" s="57"/>
      <c r="C31" s="57"/>
      <c r="D31" s="58"/>
      <c r="E31" s="59"/>
      <c r="F31" s="59"/>
      <c r="G31" s="541">
        <f t="shared" si="0"/>
        <v>0</v>
      </c>
      <c r="H31" s="59"/>
    </row>
    <row r="32" spans="1:8" ht="15.75" customHeight="1">
      <c r="A32" s="57"/>
      <c r="B32" s="57"/>
      <c r="C32" s="57"/>
      <c r="D32" s="58"/>
      <c r="E32" s="59"/>
      <c r="F32" s="59"/>
      <c r="G32" s="541">
        <f t="shared" si="0"/>
        <v>0</v>
      </c>
      <c r="H32" s="59"/>
    </row>
    <row r="33" spans="1:8" ht="15.75" customHeight="1">
      <c r="A33" s="57"/>
      <c r="B33" s="57"/>
      <c r="C33" s="57"/>
      <c r="D33" s="58"/>
      <c r="E33" s="59"/>
      <c r="F33" s="59"/>
      <c r="G33" s="541">
        <f t="shared" si="0"/>
        <v>0</v>
      </c>
      <c r="H33" s="59"/>
    </row>
    <row r="34" spans="1:8" ht="15.75" customHeight="1">
      <c r="A34" s="57"/>
      <c r="B34" s="57"/>
      <c r="C34" s="57"/>
      <c r="D34" s="58"/>
      <c r="E34" s="59"/>
      <c r="F34" s="59"/>
      <c r="G34" s="541">
        <f t="shared" si="0"/>
        <v>0</v>
      </c>
      <c r="H34" s="59"/>
    </row>
    <row r="35" spans="1:8" ht="15.75" customHeight="1">
      <c r="A35" s="57"/>
      <c r="B35" s="57"/>
      <c r="C35" s="57"/>
      <c r="D35" s="58"/>
      <c r="E35" s="59"/>
      <c r="F35" s="59"/>
      <c r="G35" s="541">
        <f t="shared" si="0"/>
        <v>0</v>
      </c>
      <c r="H35" s="59"/>
    </row>
    <row r="36" spans="1:8" ht="15.75" customHeight="1">
      <c r="A36" s="57"/>
      <c r="B36" s="57"/>
      <c r="C36" s="57"/>
      <c r="D36" s="58"/>
      <c r="E36" s="59"/>
      <c r="F36" s="59"/>
      <c r="G36" s="541">
        <f t="shared" si="0"/>
        <v>0</v>
      </c>
      <c r="H36" s="59"/>
    </row>
    <row r="37" spans="1:8" ht="15.75" customHeight="1">
      <c r="A37" s="57"/>
      <c r="B37" s="57"/>
      <c r="C37" s="57"/>
      <c r="D37" s="58"/>
      <c r="E37" s="59"/>
      <c r="F37" s="59"/>
      <c r="G37" s="541">
        <f t="shared" si="0"/>
        <v>0</v>
      </c>
      <c r="H37" s="59"/>
    </row>
    <row r="38" spans="1:8" ht="15.75" customHeight="1">
      <c r="A38" s="57"/>
      <c r="B38" s="57"/>
      <c r="C38" s="57"/>
      <c r="D38" s="58"/>
      <c r="E38" s="59"/>
      <c r="F38" s="59"/>
      <c r="G38" s="541">
        <f t="shared" si="0"/>
        <v>0</v>
      </c>
      <c r="H38" s="59"/>
    </row>
    <row r="39" spans="1:8" ht="15.75" customHeight="1">
      <c r="A39" s="57"/>
      <c r="B39" s="57"/>
      <c r="C39" s="57"/>
      <c r="D39" s="58"/>
      <c r="E39" s="59"/>
      <c r="F39" s="59"/>
      <c r="G39" s="541">
        <f t="shared" si="0"/>
        <v>0</v>
      </c>
      <c r="H39" s="59"/>
    </row>
    <row r="40" spans="1:8" ht="15.75" customHeight="1">
      <c r="A40" s="57"/>
      <c r="B40" s="57"/>
      <c r="C40" s="57"/>
      <c r="D40" s="58"/>
      <c r="E40" s="59"/>
      <c r="F40" s="59"/>
      <c r="G40" s="541">
        <f t="shared" si="0"/>
        <v>0</v>
      </c>
      <c r="H40" s="59"/>
    </row>
    <row r="41" spans="1:8" ht="15.75" customHeight="1">
      <c r="A41" s="57"/>
      <c r="B41" s="57"/>
      <c r="C41" s="57"/>
      <c r="D41" s="58"/>
      <c r="E41" s="59"/>
      <c r="F41" s="59"/>
      <c r="G41" s="541">
        <f t="shared" si="0"/>
        <v>0</v>
      </c>
      <c r="H41" s="59"/>
    </row>
    <row r="42" spans="1:8" ht="15.75" customHeight="1">
      <c r="A42" s="57"/>
      <c r="B42" s="57"/>
      <c r="C42" s="57"/>
      <c r="D42" s="58"/>
      <c r="E42" s="59"/>
      <c r="F42" s="59"/>
      <c r="G42" s="541">
        <f t="shared" si="0"/>
        <v>0</v>
      </c>
      <c r="H42" s="59"/>
    </row>
    <row r="43" spans="1:8" ht="15.75" customHeight="1">
      <c r="A43" s="57"/>
      <c r="B43" s="57"/>
      <c r="C43" s="57"/>
      <c r="D43" s="58"/>
      <c r="E43" s="59"/>
      <c r="F43" s="59"/>
      <c r="G43" s="541">
        <f t="shared" si="0"/>
        <v>0</v>
      </c>
      <c r="H43" s="59"/>
    </row>
    <row r="44" spans="1:8" ht="15.75" customHeight="1">
      <c r="A44" s="57"/>
      <c r="B44" s="57"/>
      <c r="C44" s="57"/>
      <c r="D44" s="58"/>
      <c r="E44" s="59"/>
      <c r="F44" s="59"/>
      <c r="G44" s="541">
        <f t="shared" si="0"/>
        <v>0</v>
      </c>
      <c r="H44" s="59"/>
    </row>
    <row r="45" spans="1:8" ht="15.75" customHeight="1">
      <c r="A45" s="57"/>
      <c r="B45" s="57"/>
      <c r="C45" s="57"/>
      <c r="D45" s="58"/>
      <c r="E45" s="59"/>
      <c r="F45" s="59"/>
      <c r="G45" s="541">
        <f t="shared" si="0"/>
        <v>0</v>
      </c>
      <c r="H45" s="59"/>
    </row>
    <row r="46" spans="1:8" ht="15.75" customHeight="1">
      <c r="A46" s="57"/>
      <c r="B46" s="57"/>
      <c r="C46" s="57"/>
      <c r="D46" s="58"/>
      <c r="E46" s="59"/>
      <c r="F46" s="59"/>
      <c r="G46" s="541">
        <f t="shared" si="0"/>
        <v>0</v>
      </c>
      <c r="H46" s="59"/>
    </row>
    <row r="47" spans="1:8" ht="15.75" customHeight="1">
      <c r="A47" s="57"/>
      <c r="B47" s="57"/>
      <c r="C47" s="57"/>
      <c r="D47" s="58"/>
      <c r="E47" s="59"/>
      <c r="F47" s="59"/>
      <c r="G47" s="541">
        <f t="shared" si="0"/>
        <v>0</v>
      </c>
      <c r="H47" s="59"/>
    </row>
    <row r="48" spans="1:8" ht="15.75" customHeight="1">
      <c r="A48" s="57"/>
      <c r="B48" s="57"/>
      <c r="C48" s="57"/>
      <c r="D48" s="58"/>
      <c r="E48" s="59"/>
      <c r="F48" s="59"/>
      <c r="G48" s="541">
        <f t="shared" si="0"/>
        <v>0</v>
      </c>
      <c r="H48" s="59"/>
    </row>
    <row r="49" spans="1:8" ht="15.75" customHeight="1">
      <c r="A49" s="57"/>
      <c r="B49" s="57"/>
      <c r="C49" s="57"/>
      <c r="D49" s="58"/>
      <c r="E49" s="59"/>
      <c r="F49" s="59"/>
      <c r="G49" s="541">
        <f t="shared" si="0"/>
        <v>0</v>
      </c>
      <c r="H49" s="59"/>
    </row>
    <row r="50" spans="1:8" ht="15.75" customHeight="1">
      <c r="A50" s="57"/>
      <c r="B50" s="57"/>
      <c r="C50" s="57"/>
      <c r="D50" s="58"/>
      <c r="E50" s="59"/>
      <c r="F50" s="59"/>
      <c r="G50" s="541">
        <f t="shared" si="0"/>
        <v>0</v>
      </c>
      <c r="H50" s="59"/>
    </row>
    <row r="51" spans="1:8" ht="15.75" customHeight="1">
      <c r="A51" s="57"/>
      <c r="B51" s="57"/>
      <c r="C51" s="57"/>
      <c r="D51" s="58"/>
      <c r="E51" s="59"/>
      <c r="F51" s="59"/>
      <c r="G51" s="541">
        <f t="shared" si="0"/>
        <v>0</v>
      </c>
      <c r="H51" s="59"/>
    </row>
    <row r="52" spans="1:8" ht="15.75" customHeight="1">
      <c r="A52" s="57"/>
      <c r="B52" s="57"/>
      <c r="C52" s="57"/>
      <c r="D52" s="58"/>
      <c r="E52" s="59"/>
      <c r="F52" s="59"/>
      <c r="G52" s="541">
        <f t="shared" si="0"/>
        <v>0</v>
      </c>
      <c r="H52" s="59"/>
    </row>
    <row r="53" spans="1:8" ht="15.75" customHeight="1">
      <c r="A53" s="57"/>
      <c r="B53" s="57"/>
      <c r="C53" s="57"/>
      <c r="D53" s="58"/>
      <c r="E53" s="59"/>
      <c r="F53" s="59"/>
      <c r="G53" s="541">
        <f t="shared" si="0"/>
        <v>0</v>
      </c>
      <c r="H53" s="59"/>
    </row>
    <row r="54" spans="1:8" ht="15.75" customHeight="1">
      <c r="A54" s="57"/>
      <c r="B54" s="57"/>
      <c r="C54" s="57"/>
      <c r="D54" s="58"/>
      <c r="E54" s="59"/>
      <c r="F54" s="59"/>
      <c r="G54" s="541">
        <f t="shared" si="0"/>
        <v>0</v>
      </c>
      <c r="H54" s="59"/>
    </row>
    <row r="55" spans="1:8" ht="15.75" customHeight="1">
      <c r="A55" s="57"/>
      <c r="B55" s="57"/>
      <c r="C55" s="57"/>
      <c r="D55" s="58"/>
      <c r="E55" s="59"/>
      <c r="F55" s="59"/>
      <c r="G55" s="541">
        <f t="shared" si="0"/>
        <v>0</v>
      </c>
      <c r="H55" s="59"/>
    </row>
    <row r="56" spans="1:8" ht="15.75" customHeight="1">
      <c r="A56" s="57"/>
      <c r="B56" s="57"/>
      <c r="C56" s="57"/>
      <c r="D56" s="58"/>
      <c r="E56" s="59"/>
      <c r="F56" s="59"/>
      <c r="G56" s="541">
        <f t="shared" si="0"/>
        <v>0</v>
      </c>
      <c r="H56" s="59"/>
    </row>
    <row r="57" spans="1:8" ht="15.75" customHeight="1">
      <c r="A57" s="57"/>
      <c r="B57" s="57"/>
      <c r="C57" s="57"/>
      <c r="D57" s="58"/>
      <c r="E57" s="59"/>
      <c r="F57" s="59"/>
      <c r="G57" s="541">
        <f t="shared" si="0"/>
        <v>0</v>
      </c>
      <c r="H57" s="59"/>
    </row>
    <row r="58" spans="1:8" ht="15.75" customHeight="1">
      <c r="A58" s="57"/>
      <c r="B58" s="57"/>
      <c r="C58" s="57"/>
      <c r="D58" s="58"/>
      <c r="E58" s="59"/>
      <c r="F58" s="59"/>
      <c r="G58" s="541">
        <f t="shared" si="0"/>
        <v>0</v>
      </c>
      <c r="H58" s="59"/>
    </row>
    <row r="59" spans="1:8" ht="15.75" customHeight="1">
      <c r="A59" s="57"/>
      <c r="B59" s="57"/>
      <c r="C59" s="57"/>
      <c r="D59" s="58"/>
      <c r="E59" s="59"/>
      <c r="F59" s="59"/>
      <c r="G59" s="541">
        <f t="shared" si="0"/>
        <v>0</v>
      </c>
      <c r="H59" s="59"/>
    </row>
    <row r="60" spans="1:8" ht="15.75" customHeight="1">
      <c r="A60" s="57"/>
      <c r="B60" s="57"/>
      <c r="C60" s="57"/>
      <c r="D60" s="58"/>
      <c r="E60" s="59"/>
      <c r="F60" s="59"/>
      <c r="G60" s="541">
        <f t="shared" si="0"/>
        <v>0</v>
      </c>
      <c r="H60" s="59"/>
    </row>
    <row r="61" spans="1:8" ht="15.75" customHeight="1">
      <c r="A61" s="57"/>
      <c r="B61" s="57"/>
      <c r="C61" s="57"/>
      <c r="D61" s="58"/>
      <c r="E61" s="59"/>
      <c r="F61" s="59"/>
      <c r="G61" s="541">
        <f t="shared" si="0"/>
        <v>0</v>
      </c>
      <c r="H61" s="59"/>
    </row>
    <row r="62" spans="1:8" ht="15.75" customHeight="1">
      <c r="A62" s="57"/>
      <c r="B62" s="57"/>
      <c r="C62" s="57"/>
      <c r="D62" s="58"/>
      <c r="E62" s="59"/>
      <c r="F62" s="59"/>
      <c r="G62" s="541">
        <f t="shared" si="0"/>
        <v>0</v>
      </c>
      <c r="H62" s="59"/>
    </row>
    <row r="63" spans="1:8" ht="15.75" customHeight="1">
      <c r="A63" s="57"/>
      <c r="B63" s="57"/>
      <c r="C63" s="57"/>
      <c r="D63" s="58"/>
      <c r="E63" s="59"/>
      <c r="F63" s="59"/>
      <c r="G63" s="541">
        <f t="shared" si="0"/>
        <v>0</v>
      </c>
      <c r="H63" s="59"/>
    </row>
    <row r="64" spans="1:8" ht="15.75" customHeight="1">
      <c r="A64" s="57"/>
      <c r="B64" s="57"/>
      <c r="C64" s="57"/>
      <c r="D64" s="58"/>
      <c r="E64" s="59"/>
      <c r="F64" s="59"/>
      <c r="G64" s="541">
        <f t="shared" si="0"/>
        <v>0</v>
      </c>
      <c r="H64" s="59"/>
    </row>
    <row r="65" spans="1:8" ht="15.75" customHeight="1">
      <c r="A65" s="57"/>
      <c r="B65" s="57"/>
      <c r="C65" s="57"/>
      <c r="D65" s="58"/>
      <c r="E65" s="59"/>
      <c r="F65" s="59"/>
      <c r="G65" s="541">
        <f t="shared" si="0"/>
        <v>0</v>
      </c>
      <c r="H65" s="59"/>
    </row>
    <row r="66" spans="1:8" ht="15.75" customHeight="1">
      <c r="A66" s="57"/>
      <c r="B66" s="57"/>
      <c r="C66" s="57"/>
      <c r="D66" s="58"/>
      <c r="E66" s="59"/>
      <c r="F66" s="59"/>
      <c r="G66" s="541">
        <f t="shared" si="0"/>
        <v>0</v>
      </c>
      <c r="H66" s="59"/>
    </row>
    <row r="67" spans="1:8" ht="15.75" customHeight="1">
      <c r="A67" s="57"/>
      <c r="B67" s="57"/>
      <c r="C67" s="57"/>
      <c r="D67" s="58"/>
      <c r="E67" s="59"/>
      <c r="F67" s="59"/>
      <c r="G67" s="541">
        <f t="shared" si="0"/>
        <v>0</v>
      </c>
      <c r="H67" s="59"/>
    </row>
    <row r="68" spans="1:8" ht="15.75" customHeight="1">
      <c r="A68" s="57"/>
      <c r="B68" s="57"/>
      <c r="C68" s="57"/>
      <c r="D68" s="58"/>
      <c r="E68" s="59"/>
      <c r="F68" s="59"/>
      <c r="G68" s="541">
        <f t="shared" si="0"/>
        <v>0</v>
      </c>
      <c r="H68" s="59"/>
    </row>
    <row r="69" spans="1:8" ht="15.75" customHeight="1">
      <c r="A69" s="57"/>
      <c r="B69" s="57"/>
      <c r="C69" s="57"/>
      <c r="D69" s="58"/>
      <c r="E69" s="59"/>
      <c r="F69" s="59"/>
      <c r="G69" s="541">
        <f t="shared" si="0"/>
        <v>0</v>
      </c>
      <c r="H69" s="59"/>
    </row>
    <row r="70" spans="1:8" ht="15.75" customHeight="1">
      <c r="A70" s="57"/>
      <c r="B70" s="57"/>
      <c r="C70" s="57"/>
      <c r="D70" s="58"/>
      <c r="E70" s="59"/>
      <c r="F70" s="59"/>
      <c r="G70" s="541">
        <f t="shared" si="0"/>
        <v>0</v>
      </c>
      <c r="H70" s="59"/>
    </row>
    <row r="71" spans="1:8" ht="15.75" customHeight="1">
      <c r="A71" s="57"/>
      <c r="B71" s="57"/>
      <c r="C71" s="57"/>
      <c r="D71" s="58"/>
      <c r="E71" s="59"/>
      <c r="F71" s="59"/>
      <c r="G71" s="541">
        <f t="shared" si="0"/>
        <v>0</v>
      </c>
      <c r="H71" s="59"/>
    </row>
    <row r="72" spans="1:8" ht="15.75" customHeight="1">
      <c r="A72" s="57"/>
      <c r="B72" s="57"/>
      <c r="C72" s="57"/>
      <c r="D72" s="58"/>
      <c r="E72" s="59"/>
      <c r="F72" s="59"/>
      <c r="G72" s="541">
        <f t="shared" si="0"/>
        <v>0</v>
      </c>
      <c r="H72" s="59"/>
    </row>
    <row r="73" spans="1:8" ht="15.75" customHeight="1">
      <c r="A73" s="57"/>
      <c r="B73" s="57"/>
      <c r="C73" s="57"/>
      <c r="D73" s="58"/>
      <c r="E73" s="59"/>
      <c r="F73" s="59"/>
      <c r="G73" s="541">
        <f t="shared" si="0"/>
        <v>0</v>
      </c>
      <c r="H73" s="59"/>
    </row>
    <row r="74" spans="1:8" ht="15.75" customHeight="1">
      <c r="A74" s="57"/>
      <c r="B74" s="57"/>
      <c r="C74" s="57"/>
      <c r="D74" s="58"/>
      <c r="E74" s="59"/>
      <c r="F74" s="59"/>
      <c r="G74" s="541">
        <f t="shared" si="0"/>
        <v>0</v>
      </c>
      <c r="H74" s="59"/>
    </row>
    <row r="75" spans="1:8" ht="15.75" customHeight="1">
      <c r="A75" s="57"/>
      <c r="B75" s="57"/>
      <c r="C75" s="57"/>
      <c r="D75" s="58"/>
      <c r="E75" s="59"/>
      <c r="F75" s="59"/>
      <c r="G75" s="541">
        <f t="shared" si="0"/>
        <v>0</v>
      </c>
      <c r="H75" s="59"/>
    </row>
    <row r="76" spans="1:8" ht="15.75" customHeight="1">
      <c r="A76" s="57"/>
      <c r="B76" s="57"/>
      <c r="C76" s="57"/>
      <c r="D76" s="58"/>
      <c r="E76" s="59"/>
      <c r="F76" s="59"/>
      <c r="G76" s="541">
        <f t="shared" si="0"/>
        <v>0</v>
      </c>
      <c r="H76" s="59"/>
    </row>
    <row r="77" spans="1:8" ht="15.75" customHeight="1">
      <c r="A77" s="57"/>
      <c r="B77" s="57"/>
      <c r="C77" s="57"/>
      <c r="D77" s="58"/>
      <c r="E77" s="59"/>
      <c r="F77" s="59"/>
      <c r="G77" s="541">
        <f t="shared" si="0"/>
        <v>0</v>
      </c>
      <c r="H77" s="59"/>
    </row>
    <row r="78" spans="1:8" ht="15.75" customHeight="1">
      <c r="A78" s="57"/>
      <c r="B78" s="57"/>
      <c r="C78" s="57"/>
      <c r="D78" s="58"/>
      <c r="E78" s="59"/>
      <c r="F78" s="59"/>
      <c r="G78" s="541">
        <f t="shared" si="0"/>
        <v>0</v>
      </c>
      <c r="H78" s="59"/>
    </row>
    <row r="79" spans="1:8" ht="15.75" customHeight="1">
      <c r="A79" s="57"/>
      <c r="B79" s="57"/>
      <c r="C79" s="57"/>
      <c r="D79" s="58"/>
      <c r="E79" s="59"/>
      <c r="F79" s="59"/>
      <c r="G79" s="541">
        <f t="shared" si="0"/>
        <v>0</v>
      </c>
      <c r="H79" s="59"/>
    </row>
    <row r="80" spans="1:8" ht="15.75" customHeight="1">
      <c r="A80" s="57"/>
      <c r="B80" s="57"/>
      <c r="C80" s="57"/>
      <c r="D80" s="58"/>
      <c r="E80" s="59"/>
      <c r="F80" s="59"/>
      <c r="G80" s="541">
        <f t="shared" si="0"/>
        <v>0</v>
      </c>
      <c r="H80" s="59"/>
    </row>
    <row r="81" spans="1:8" ht="15.75" customHeight="1">
      <c r="A81" s="57"/>
      <c r="B81" s="57"/>
      <c r="C81" s="57"/>
      <c r="D81" s="58"/>
      <c r="E81" s="59"/>
      <c r="F81" s="59"/>
      <c r="G81" s="541">
        <f t="shared" si="0"/>
        <v>0</v>
      </c>
      <c r="H81" s="59"/>
    </row>
    <row r="82" spans="1:8" ht="15.75" customHeight="1">
      <c r="A82" s="57"/>
      <c r="B82" s="57"/>
      <c r="C82" s="57"/>
      <c r="D82" s="58"/>
      <c r="E82" s="59"/>
      <c r="F82" s="59"/>
      <c r="G82" s="541">
        <f t="shared" si="0"/>
        <v>0</v>
      </c>
      <c r="H82" s="59"/>
    </row>
    <row r="83" spans="1:8" ht="15.75" customHeight="1">
      <c r="A83" s="57"/>
      <c r="B83" s="57"/>
      <c r="C83" s="57"/>
      <c r="D83" s="58"/>
      <c r="E83" s="59"/>
      <c r="F83" s="59"/>
      <c r="G83" s="541">
        <f t="shared" si="0"/>
        <v>0</v>
      </c>
      <c r="H83" s="59"/>
    </row>
    <row r="84" spans="1:8" ht="15.75" customHeight="1">
      <c r="A84" s="57"/>
      <c r="B84" s="57"/>
      <c r="C84" s="57"/>
      <c r="D84" s="58"/>
      <c r="E84" s="59"/>
      <c r="F84" s="59"/>
      <c r="G84" s="541">
        <f t="shared" si="0"/>
        <v>0</v>
      </c>
      <c r="H84" s="59"/>
    </row>
    <row r="85" spans="1:8" ht="15.75" customHeight="1">
      <c r="A85" s="57"/>
      <c r="B85" s="57"/>
      <c r="C85" s="57"/>
      <c r="D85" s="58"/>
      <c r="E85" s="59"/>
      <c r="F85" s="59"/>
      <c r="G85" s="541">
        <f t="shared" si="0"/>
        <v>0</v>
      </c>
      <c r="H85" s="59"/>
    </row>
    <row r="86" spans="1:8" ht="15.75" customHeight="1">
      <c r="A86" s="57"/>
      <c r="B86" s="57"/>
      <c r="C86" s="57"/>
      <c r="D86" s="58"/>
      <c r="E86" s="59"/>
      <c r="F86" s="59"/>
      <c r="G86" s="541">
        <f t="shared" si="0"/>
        <v>0</v>
      </c>
      <c r="H86" s="59"/>
    </row>
    <row r="87" spans="1:8" ht="15.75" customHeight="1">
      <c r="A87" s="57"/>
      <c r="B87" s="57"/>
      <c r="C87" s="57"/>
      <c r="D87" s="58"/>
      <c r="E87" s="59"/>
      <c r="F87" s="59"/>
      <c r="G87" s="541">
        <f t="shared" si="0"/>
        <v>0</v>
      </c>
      <c r="H87" s="59"/>
    </row>
    <row r="88" spans="1:8" ht="15.75" customHeight="1">
      <c r="A88" s="57"/>
      <c r="B88" s="57"/>
      <c r="C88" s="57"/>
      <c r="D88" s="58"/>
      <c r="E88" s="59"/>
      <c r="F88" s="59"/>
      <c r="G88" s="541">
        <f t="shared" si="0"/>
        <v>0</v>
      </c>
      <c r="H88" s="59"/>
    </row>
    <row r="89" spans="1:8" ht="15.75" customHeight="1">
      <c r="A89" s="57"/>
      <c r="B89" s="57"/>
      <c r="C89" s="57"/>
      <c r="D89" s="58"/>
      <c r="E89" s="59"/>
      <c r="F89" s="59"/>
      <c r="G89" s="541">
        <f t="shared" si="0"/>
        <v>0</v>
      </c>
      <c r="H89" s="59"/>
    </row>
    <row r="90" spans="1:8" ht="15.75" customHeight="1">
      <c r="A90" s="57"/>
      <c r="B90" s="57"/>
      <c r="C90" s="57"/>
      <c r="D90" s="58"/>
      <c r="E90" s="59"/>
      <c r="F90" s="59"/>
      <c r="G90" s="541">
        <f t="shared" si="0"/>
        <v>0</v>
      </c>
      <c r="H90" s="59"/>
    </row>
    <row r="91" spans="1:8" ht="15.75" customHeight="1">
      <c r="A91" s="57"/>
      <c r="B91" s="57"/>
      <c r="C91" s="57"/>
      <c r="D91" s="58"/>
      <c r="E91" s="59"/>
      <c r="F91" s="59"/>
      <c r="G91" s="541">
        <f t="shared" si="0"/>
        <v>0</v>
      </c>
      <c r="H91" s="59"/>
    </row>
    <row r="92" spans="1:8" ht="15.75" customHeight="1">
      <c r="A92" s="57"/>
      <c r="B92" s="57"/>
      <c r="C92" s="57"/>
      <c r="D92" s="58"/>
      <c r="E92" s="59"/>
      <c r="F92" s="59"/>
      <c r="G92" s="541">
        <f t="shared" si="0"/>
        <v>0</v>
      </c>
      <c r="H92" s="59"/>
    </row>
    <row r="93" spans="1:8" ht="15.75" customHeight="1">
      <c r="A93" s="57"/>
      <c r="B93" s="57"/>
      <c r="C93" s="57"/>
      <c r="D93" s="58"/>
      <c r="E93" s="59"/>
      <c r="F93" s="59"/>
      <c r="G93" s="541">
        <f t="shared" si="0"/>
        <v>0</v>
      </c>
      <c r="H93" s="59"/>
    </row>
    <row r="94" spans="1:8" ht="15.75" customHeight="1">
      <c r="A94" s="57"/>
      <c r="B94" s="57"/>
      <c r="C94" s="57"/>
      <c r="D94" s="58"/>
      <c r="E94" s="59"/>
      <c r="F94" s="59"/>
      <c r="G94" s="541">
        <f t="shared" si="0"/>
        <v>0</v>
      </c>
      <c r="H94" s="59"/>
    </row>
    <row r="95" spans="1:8" ht="15.75" customHeight="1">
      <c r="A95" s="57"/>
      <c r="B95" s="57"/>
      <c r="C95" s="57"/>
      <c r="D95" s="58"/>
      <c r="E95" s="59"/>
      <c r="F95" s="59"/>
      <c r="G95" s="541">
        <f t="shared" si="0"/>
        <v>0</v>
      </c>
      <c r="H95" s="59"/>
    </row>
    <row r="96" spans="1:8" ht="15.75" customHeight="1">
      <c r="A96" s="57"/>
      <c r="B96" s="57"/>
      <c r="C96" s="57"/>
      <c r="D96" s="58"/>
      <c r="E96" s="59"/>
      <c r="F96" s="59"/>
      <c r="G96" s="541">
        <f t="shared" si="0"/>
        <v>0</v>
      </c>
      <c r="H96" s="59"/>
    </row>
    <row r="97" spans="1:8" ht="15.75" customHeight="1">
      <c r="A97" s="57"/>
      <c r="B97" s="57"/>
      <c r="C97" s="57"/>
      <c r="D97" s="58"/>
      <c r="E97" s="59"/>
      <c r="F97" s="59"/>
      <c r="G97" s="541">
        <f t="shared" si="0"/>
        <v>0</v>
      </c>
      <c r="H97" s="59"/>
    </row>
    <row r="98" spans="1:8" ht="15.75" customHeight="1">
      <c r="A98" s="57"/>
      <c r="B98" s="57"/>
      <c r="C98" s="57"/>
      <c r="D98" s="58"/>
      <c r="E98" s="59"/>
      <c r="F98" s="59"/>
      <c r="G98" s="541">
        <f t="shared" si="0"/>
        <v>0</v>
      </c>
      <c r="H98" s="59"/>
    </row>
    <row r="99" spans="1:8" ht="15.75" customHeight="1">
      <c r="A99" s="57"/>
      <c r="B99" s="57"/>
      <c r="C99" s="57"/>
      <c r="D99" s="58"/>
      <c r="E99" s="59"/>
      <c r="F99" s="59"/>
      <c r="G99" s="541">
        <f t="shared" si="0"/>
        <v>0</v>
      </c>
      <c r="H99" s="59"/>
    </row>
    <row r="100" spans="1:8" ht="15.75" customHeight="1">
      <c r="A100" s="57"/>
      <c r="B100" s="57"/>
      <c r="C100" s="57"/>
      <c r="D100" s="58"/>
      <c r="E100" s="59"/>
      <c r="F100" s="59"/>
      <c r="G100" s="541">
        <f t="shared" si="0"/>
        <v>0</v>
      </c>
      <c r="H100" s="59"/>
    </row>
    <row r="101" spans="1:8" ht="15.75" customHeight="1">
      <c r="A101" s="57"/>
      <c r="B101" s="57"/>
      <c r="C101" s="57"/>
      <c r="D101" s="58"/>
      <c r="E101" s="59"/>
      <c r="F101" s="59"/>
      <c r="G101" s="541">
        <f t="shared" si="0"/>
        <v>0</v>
      </c>
      <c r="H101" s="59"/>
    </row>
    <row r="102" spans="1:8" ht="15.75" customHeight="1">
      <c r="A102" s="57"/>
      <c r="B102" s="57"/>
      <c r="C102" s="57"/>
      <c r="D102" s="58"/>
      <c r="E102" s="59"/>
      <c r="F102" s="59"/>
      <c r="G102" s="541">
        <f t="shared" si="0"/>
        <v>0</v>
      </c>
      <c r="H102" s="59"/>
    </row>
    <row r="103" spans="1:8" ht="15.75" customHeight="1">
      <c r="A103" s="57"/>
      <c r="B103" s="57"/>
      <c r="C103" s="57"/>
      <c r="D103" s="58"/>
      <c r="E103" s="59"/>
      <c r="F103" s="59"/>
      <c r="G103" s="541">
        <f t="shared" si="0"/>
        <v>0</v>
      </c>
      <c r="H103" s="59"/>
    </row>
    <row r="104" spans="1:8" ht="15.75" customHeight="1">
      <c r="A104" s="57"/>
      <c r="B104" s="57"/>
      <c r="C104" s="57"/>
      <c r="D104" s="58"/>
      <c r="E104" s="59"/>
      <c r="F104" s="59"/>
      <c r="G104" s="541">
        <f t="shared" si="0"/>
        <v>0</v>
      </c>
      <c r="H104" s="59"/>
    </row>
    <row r="105" spans="1:8" ht="15.75" customHeight="1">
      <c r="A105" s="57"/>
      <c r="B105" s="57"/>
      <c r="C105" s="57"/>
      <c r="D105" s="58"/>
      <c r="E105" s="59"/>
      <c r="F105" s="59"/>
      <c r="G105" s="541">
        <f t="shared" si="0"/>
        <v>0</v>
      </c>
      <c r="H105" s="59"/>
    </row>
    <row r="106" spans="1:8" ht="15.75" customHeight="1">
      <c r="A106" s="57"/>
      <c r="B106" s="57"/>
      <c r="C106" s="57"/>
      <c r="D106" s="58"/>
      <c r="E106" s="59"/>
      <c r="F106" s="59"/>
      <c r="G106" s="541">
        <f t="shared" si="0"/>
        <v>0</v>
      </c>
      <c r="H106" s="59"/>
    </row>
    <row r="107" spans="1:8" ht="15.75" customHeight="1">
      <c r="A107" s="57"/>
      <c r="B107" s="57"/>
      <c r="C107" s="57"/>
      <c r="D107" s="58"/>
      <c r="E107" s="59"/>
      <c r="F107" s="59"/>
      <c r="G107" s="541">
        <f t="shared" si="0"/>
        <v>0</v>
      </c>
      <c r="H107" s="59"/>
    </row>
    <row r="108" spans="1:8" ht="15.75" customHeight="1">
      <c r="A108" s="57"/>
      <c r="B108" s="57"/>
      <c r="C108" s="57"/>
      <c r="D108" s="58"/>
      <c r="E108" s="59"/>
      <c r="F108" s="59"/>
      <c r="G108" s="541">
        <f t="shared" si="0"/>
        <v>0</v>
      </c>
      <c r="H108" s="59"/>
    </row>
    <row r="109" spans="1:8" ht="15.75" customHeight="1">
      <c r="A109" s="57"/>
      <c r="B109" s="57"/>
      <c r="C109" s="57"/>
      <c r="D109" s="58"/>
      <c r="E109" s="59"/>
      <c r="F109" s="59"/>
      <c r="G109" s="541">
        <f t="shared" si="0"/>
        <v>0</v>
      </c>
      <c r="H109" s="59"/>
    </row>
    <row r="110" spans="1:8" ht="15.75" customHeight="1">
      <c r="A110" s="57"/>
      <c r="B110" s="57"/>
      <c r="C110" s="57"/>
      <c r="D110" s="58"/>
      <c r="E110" s="59"/>
      <c r="F110" s="59"/>
      <c r="G110" s="541">
        <f t="shared" si="0"/>
        <v>0</v>
      </c>
      <c r="H110" s="59"/>
    </row>
    <row r="111" spans="1:8" ht="15.75" customHeight="1">
      <c r="A111" s="57"/>
      <c r="B111" s="57"/>
      <c r="C111" s="57"/>
      <c r="D111" s="58"/>
      <c r="E111" s="59"/>
      <c r="F111" s="59"/>
      <c r="G111" s="541">
        <f t="shared" si="0"/>
        <v>0</v>
      </c>
      <c r="H111" s="59"/>
    </row>
    <row r="112" spans="1:8" ht="15.75" customHeight="1">
      <c r="A112" s="57"/>
      <c r="B112" s="57"/>
      <c r="C112" s="57"/>
      <c r="D112" s="58"/>
      <c r="E112" s="59"/>
      <c r="F112" s="59"/>
      <c r="G112" s="541">
        <f t="shared" si="0"/>
        <v>0</v>
      </c>
      <c r="H112" s="59"/>
    </row>
    <row r="113" spans="1:8" ht="15.75" customHeight="1">
      <c r="A113" s="57"/>
      <c r="B113" s="57"/>
      <c r="C113" s="57"/>
      <c r="D113" s="58"/>
      <c r="E113" s="59"/>
      <c r="F113" s="59"/>
      <c r="G113" s="541">
        <f t="shared" si="0"/>
        <v>0</v>
      </c>
      <c r="H113" s="59"/>
    </row>
    <row r="114" spans="1:8" ht="15.75" customHeight="1">
      <c r="A114" s="57"/>
      <c r="B114" s="57"/>
      <c r="C114" s="57"/>
      <c r="D114" s="58"/>
      <c r="E114" s="59"/>
      <c r="F114" s="59"/>
      <c r="G114" s="541">
        <f t="shared" si="0"/>
        <v>0</v>
      </c>
      <c r="H114" s="59"/>
    </row>
    <row r="115" spans="1:8" ht="15.75" customHeight="1">
      <c r="A115" s="57"/>
      <c r="B115" s="57"/>
      <c r="C115" s="57"/>
      <c r="D115" s="58"/>
      <c r="E115" s="59"/>
      <c r="F115" s="59"/>
      <c r="G115" s="541">
        <f t="shared" si="0"/>
        <v>0</v>
      </c>
      <c r="H115" s="59"/>
    </row>
    <row r="116" spans="1:8" ht="15.75" customHeight="1">
      <c r="A116" s="57"/>
      <c r="B116" s="57"/>
      <c r="C116" s="57"/>
      <c r="D116" s="58"/>
      <c r="E116" s="59"/>
      <c r="F116" s="59"/>
      <c r="G116" s="541">
        <f t="shared" si="0"/>
        <v>0</v>
      </c>
      <c r="H116" s="59"/>
    </row>
    <row r="117" spans="1:8" ht="15.75" customHeight="1">
      <c r="A117" s="57"/>
      <c r="B117" s="57"/>
      <c r="C117" s="57"/>
      <c r="D117" s="58"/>
      <c r="E117" s="59"/>
      <c r="F117" s="59"/>
      <c r="G117" s="541">
        <f t="shared" si="0"/>
        <v>0</v>
      </c>
      <c r="H117" s="59"/>
    </row>
    <row r="118" spans="1:8" ht="15.75" customHeight="1">
      <c r="A118" s="57"/>
      <c r="B118" s="57"/>
      <c r="C118" s="57"/>
      <c r="D118" s="58"/>
      <c r="E118" s="59"/>
      <c r="F118" s="59"/>
      <c r="G118" s="541">
        <f t="shared" si="0"/>
        <v>0</v>
      </c>
      <c r="H118" s="59"/>
    </row>
    <row r="119" spans="1:8" ht="15.75" customHeight="1">
      <c r="A119" s="57"/>
      <c r="B119" s="57"/>
      <c r="C119" s="57"/>
      <c r="D119" s="58"/>
      <c r="E119" s="59"/>
      <c r="F119" s="59"/>
      <c r="G119" s="541">
        <f t="shared" si="0"/>
        <v>0</v>
      </c>
      <c r="H119" s="59"/>
    </row>
    <row r="120" spans="1:8" ht="15.75" customHeight="1">
      <c r="A120" s="57"/>
      <c r="B120" s="57"/>
      <c r="C120" s="57"/>
      <c r="D120" s="58"/>
      <c r="E120" s="59"/>
      <c r="F120" s="59"/>
      <c r="G120" s="541">
        <f t="shared" si="0"/>
        <v>0</v>
      </c>
      <c r="H120" s="59"/>
    </row>
    <row r="121" spans="1:8" ht="15.75" customHeight="1">
      <c r="A121" s="57"/>
      <c r="B121" s="57"/>
      <c r="C121" s="57"/>
      <c r="D121" s="58"/>
      <c r="E121" s="59"/>
      <c r="F121" s="59"/>
      <c r="G121" s="541">
        <f t="shared" si="0"/>
        <v>0</v>
      </c>
      <c r="H121" s="59"/>
    </row>
    <row r="122" spans="1:8" ht="15.75" customHeight="1">
      <c r="A122" s="57"/>
      <c r="B122" s="57"/>
      <c r="C122" s="57"/>
      <c r="D122" s="58"/>
      <c r="E122" s="59"/>
      <c r="F122" s="59"/>
      <c r="G122" s="541">
        <f t="shared" si="0"/>
        <v>0</v>
      </c>
      <c r="H122" s="59"/>
    </row>
    <row r="123" spans="1:8" ht="15.75" customHeight="1">
      <c r="A123" s="57"/>
      <c r="B123" s="57"/>
      <c r="C123" s="57"/>
      <c r="D123" s="58"/>
      <c r="E123" s="59"/>
      <c r="F123" s="59"/>
      <c r="G123" s="541">
        <f t="shared" si="0"/>
        <v>0</v>
      </c>
      <c r="H123" s="59"/>
    </row>
    <row r="124" spans="1:8" ht="15.75" customHeight="1">
      <c r="A124" s="57"/>
      <c r="B124" s="57"/>
      <c r="C124" s="57"/>
      <c r="D124" s="58"/>
      <c r="E124" s="59"/>
      <c r="F124" s="59"/>
      <c r="G124" s="541">
        <f t="shared" si="0"/>
        <v>0</v>
      </c>
      <c r="H124" s="59"/>
    </row>
    <row r="125" spans="1:8" ht="15.75" customHeight="1">
      <c r="A125" s="57"/>
      <c r="B125" s="57"/>
      <c r="C125" s="57"/>
      <c r="D125" s="58"/>
      <c r="E125" s="59"/>
      <c r="F125" s="59"/>
      <c r="G125" s="541">
        <f t="shared" si="0"/>
        <v>0</v>
      </c>
      <c r="H125" s="59"/>
    </row>
    <row r="126" spans="1:8" ht="15.75" customHeight="1">
      <c r="A126" s="57"/>
      <c r="B126" s="57"/>
      <c r="C126" s="57"/>
      <c r="D126" s="58"/>
      <c r="E126" s="59"/>
      <c r="F126" s="59"/>
      <c r="G126" s="541">
        <f t="shared" si="0"/>
        <v>0</v>
      </c>
      <c r="H126" s="59"/>
    </row>
    <row r="127" spans="1:8" ht="15.75" customHeight="1">
      <c r="A127" s="57"/>
      <c r="B127" s="57"/>
      <c r="C127" s="57"/>
      <c r="D127" s="58"/>
      <c r="E127" s="59"/>
      <c r="F127" s="59"/>
      <c r="G127" s="541">
        <f t="shared" si="0"/>
        <v>0</v>
      </c>
      <c r="H127" s="59"/>
    </row>
    <row r="128" spans="1:8" ht="15.75" customHeight="1">
      <c r="A128" s="57"/>
      <c r="B128" s="57"/>
      <c r="C128" s="57"/>
      <c r="D128" s="58"/>
      <c r="E128" s="59"/>
      <c r="F128" s="59"/>
      <c r="G128" s="541">
        <f t="shared" si="0"/>
        <v>0</v>
      </c>
      <c r="H128" s="59"/>
    </row>
    <row r="129" spans="1:8" ht="15.75" customHeight="1">
      <c r="A129" s="57"/>
      <c r="B129" s="57"/>
      <c r="C129" s="57"/>
      <c r="D129" s="58"/>
      <c r="E129" s="59"/>
      <c r="F129" s="59"/>
      <c r="G129" s="541">
        <f t="shared" si="0"/>
        <v>0</v>
      </c>
      <c r="H129" s="59"/>
    </row>
    <row r="130" spans="1:8" ht="15.75" customHeight="1">
      <c r="A130" s="57"/>
      <c r="B130" s="57"/>
      <c r="C130" s="57"/>
      <c r="D130" s="58"/>
      <c r="E130" s="59"/>
      <c r="F130" s="59"/>
      <c r="G130" s="541">
        <f t="shared" si="0"/>
        <v>0</v>
      </c>
      <c r="H130" s="59"/>
    </row>
    <row r="131" spans="1:8" ht="15.75" customHeight="1">
      <c r="A131" s="57"/>
      <c r="B131" s="57"/>
      <c r="C131" s="57"/>
      <c r="D131" s="58"/>
      <c r="E131" s="59"/>
      <c r="F131" s="59"/>
      <c r="G131" s="541">
        <f t="shared" si="0"/>
        <v>0</v>
      </c>
      <c r="H131" s="59"/>
    </row>
    <row r="132" spans="1:8" ht="15.75" customHeight="1">
      <c r="A132" s="57"/>
      <c r="B132" s="57"/>
      <c r="C132" s="57"/>
      <c r="D132" s="58"/>
      <c r="E132" s="59"/>
      <c r="F132" s="59"/>
      <c r="G132" s="541">
        <f t="shared" si="0"/>
        <v>0</v>
      </c>
      <c r="H132" s="59"/>
    </row>
    <row r="133" spans="1:8" ht="15.75" customHeight="1">
      <c r="A133" s="57"/>
      <c r="B133" s="57"/>
      <c r="C133" s="57"/>
      <c r="D133" s="58"/>
      <c r="E133" s="59"/>
      <c r="F133" s="59"/>
      <c r="G133" s="541">
        <f t="shared" si="0"/>
        <v>0</v>
      </c>
      <c r="H133" s="59"/>
    </row>
    <row r="134" spans="1:8" ht="15.75" customHeight="1">
      <c r="A134" s="57"/>
      <c r="B134" s="57"/>
      <c r="C134" s="57"/>
      <c r="D134" s="58"/>
      <c r="E134" s="59"/>
      <c r="F134" s="59"/>
      <c r="G134" s="541">
        <f t="shared" si="0"/>
        <v>0</v>
      </c>
      <c r="H134" s="59"/>
    </row>
    <row r="135" spans="1:8" ht="15.75" customHeight="1">
      <c r="A135" s="57"/>
      <c r="B135" s="57"/>
      <c r="C135" s="57"/>
      <c r="D135" s="58"/>
      <c r="E135" s="59"/>
      <c r="F135" s="59"/>
      <c r="G135" s="541">
        <f t="shared" si="0"/>
        <v>0</v>
      </c>
      <c r="H135" s="59"/>
    </row>
    <row r="136" spans="1:8" ht="15.75" customHeight="1">
      <c r="A136" s="57"/>
      <c r="B136" s="57"/>
      <c r="C136" s="57"/>
      <c r="D136" s="58"/>
      <c r="E136" s="59"/>
      <c r="F136" s="59"/>
      <c r="G136" s="541">
        <f t="shared" si="0"/>
        <v>0</v>
      </c>
      <c r="H136" s="59"/>
    </row>
    <row r="137" spans="1:8" ht="15.75" customHeight="1">
      <c r="A137" s="57"/>
      <c r="B137" s="57"/>
      <c r="C137" s="57"/>
      <c r="D137" s="58"/>
      <c r="E137" s="59"/>
      <c r="F137" s="59"/>
      <c r="G137" s="541">
        <f t="shared" si="0"/>
        <v>0</v>
      </c>
      <c r="H137" s="59"/>
    </row>
    <row r="138" spans="1:8" ht="15.75" customHeight="1">
      <c r="A138" s="57"/>
      <c r="B138" s="57"/>
      <c r="C138" s="57"/>
      <c r="D138" s="58"/>
      <c r="E138" s="59"/>
      <c r="F138" s="59"/>
      <c r="G138" s="541">
        <f t="shared" si="0"/>
        <v>0</v>
      </c>
      <c r="H138" s="59"/>
    </row>
    <row r="139" spans="1:8" ht="15.75" customHeight="1">
      <c r="A139" s="57"/>
      <c r="B139" s="57"/>
      <c r="C139" s="57"/>
      <c r="D139" s="58"/>
      <c r="E139" s="59"/>
      <c r="F139" s="59"/>
      <c r="G139" s="541">
        <f t="shared" si="0"/>
        <v>0</v>
      </c>
      <c r="H139" s="59"/>
    </row>
    <row r="140" spans="1:8" ht="15.75" customHeight="1">
      <c r="A140" s="57"/>
      <c r="B140" s="57"/>
      <c r="C140" s="57"/>
      <c r="D140" s="58"/>
      <c r="E140" s="59"/>
      <c r="F140" s="59"/>
      <c r="G140" s="541">
        <f t="shared" si="0"/>
        <v>0</v>
      </c>
      <c r="H140" s="59"/>
    </row>
    <row r="141" spans="1:8" ht="15.75" customHeight="1">
      <c r="A141" s="57"/>
      <c r="B141" s="57"/>
      <c r="C141" s="57"/>
      <c r="D141" s="58"/>
      <c r="E141" s="59"/>
      <c r="F141" s="59"/>
      <c r="G141" s="541">
        <f t="shared" si="0"/>
        <v>0</v>
      </c>
      <c r="H141" s="59"/>
    </row>
    <row r="142" spans="1:8" ht="15.75" customHeight="1">
      <c r="A142" s="57"/>
      <c r="B142" s="57"/>
      <c r="C142" s="57"/>
      <c r="D142" s="58"/>
      <c r="E142" s="59"/>
      <c r="F142" s="59"/>
      <c r="G142" s="541">
        <f t="shared" si="0"/>
        <v>0</v>
      </c>
      <c r="H142" s="59"/>
    </row>
    <row r="143" spans="1:8" ht="15.75" customHeight="1">
      <c r="A143" s="57"/>
      <c r="B143" s="57"/>
      <c r="C143" s="57"/>
      <c r="D143" s="58"/>
      <c r="E143" s="59"/>
      <c r="F143" s="59"/>
      <c r="G143" s="541">
        <f t="shared" si="0"/>
        <v>0</v>
      </c>
      <c r="H143" s="59"/>
    </row>
    <row r="144" spans="1:8" ht="15.75" customHeight="1">
      <c r="A144" s="57"/>
      <c r="B144" s="57"/>
      <c r="C144" s="57"/>
      <c r="D144" s="58"/>
      <c r="E144" s="59"/>
      <c r="F144" s="59"/>
      <c r="G144" s="541">
        <f t="shared" si="0"/>
        <v>0</v>
      </c>
      <c r="H144" s="59"/>
    </row>
    <row r="145" spans="1:8" ht="15.75" customHeight="1">
      <c r="A145" s="57"/>
      <c r="B145" s="57"/>
      <c r="C145" s="57"/>
      <c r="D145" s="58"/>
      <c r="E145" s="59"/>
      <c r="F145" s="59"/>
      <c r="G145" s="541">
        <f t="shared" si="0"/>
        <v>0</v>
      </c>
      <c r="H145" s="59"/>
    </row>
    <row r="146" spans="1:8" ht="15.75" customHeight="1">
      <c r="A146" s="57"/>
      <c r="B146" s="57"/>
      <c r="C146" s="57"/>
      <c r="D146" s="58"/>
      <c r="E146" s="59"/>
      <c r="F146" s="59"/>
      <c r="G146" s="541">
        <f t="shared" si="0"/>
        <v>0</v>
      </c>
      <c r="H146" s="59"/>
    </row>
    <row r="147" spans="1:8" ht="15.75" customHeight="1">
      <c r="A147" s="57"/>
      <c r="B147" s="57"/>
      <c r="C147" s="57"/>
      <c r="D147" s="58"/>
      <c r="E147" s="59"/>
      <c r="F147" s="59"/>
      <c r="G147" s="541">
        <f t="shared" si="0"/>
        <v>0</v>
      </c>
      <c r="H147" s="59"/>
    </row>
    <row r="148" spans="1:8" ht="15.75" customHeight="1">
      <c r="A148" s="57"/>
      <c r="B148" s="57"/>
      <c r="C148" s="57"/>
      <c r="D148" s="58"/>
      <c r="E148" s="59"/>
      <c r="F148" s="59"/>
      <c r="G148" s="541">
        <f t="shared" si="0"/>
        <v>0</v>
      </c>
      <c r="H148" s="59"/>
    </row>
    <row r="149" spans="1:8" ht="15.75" customHeight="1">
      <c r="A149" s="57"/>
      <c r="B149" s="57"/>
      <c r="C149" s="57"/>
      <c r="D149" s="58"/>
      <c r="E149" s="59"/>
      <c r="F149" s="59"/>
      <c r="G149" s="541">
        <f t="shared" si="0"/>
        <v>0</v>
      </c>
      <c r="H149" s="59"/>
    </row>
    <row r="150" spans="1:8" ht="15.75" customHeight="1">
      <c r="A150" s="57"/>
      <c r="B150" s="57"/>
      <c r="C150" s="57"/>
      <c r="D150" s="58"/>
      <c r="E150" s="59"/>
      <c r="F150" s="59"/>
      <c r="G150" s="541">
        <f t="shared" si="0"/>
        <v>0</v>
      </c>
      <c r="H150" s="59"/>
    </row>
    <row r="151" spans="1:8" ht="15.75" customHeight="1">
      <c r="A151" s="57"/>
      <c r="B151" s="57"/>
      <c r="C151" s="57"/>
      <c r="D151" s="58"/>
      <c r="E151" s="59"/>
      <c r="F151" s="59"/>
      <c r="G151" s="541">
        <f t="shared" si="0"/>
        <v>0</v>
      </c>
      <c r="H151" s="59"/>
    </row>
    <row r="152" spans="1:8" ht="15.75" customHeight="1">
      <c r="A152" s="57"/>
      <c r="B152" s="57"/>
      <c r="C152" s="57"/>
      <c r="D152" s="58"/>
      <c r="E152" s="59"/>
      <c r="F152" s="59"/>
      <c r="G152" s="541">
        <f t="shared" si="0"/>
        <v>0</v>
      </c>
      <c r="H152" s="59"/>
    </row>
    <row r="153" spans="1:8" ht="15.75" customHeight="1">
      <c r="A153" s="57"/>
      <c r="B153" s="57"/>
      <c r="C153" s="57"/>
      <c r="D153" s="58"/>
      <c r="E153" s="59"/>
      <c r="F153" s="59"/>
      <c r="G153" s="541">
        <f t="shared" si="0"/>
        <v>0</v>
      </c>
      <c r="H153" s="59"/>
    </row>
    <row r="154" spans="1:8" ht="15.75" customHeight="1">
      <c r="A154" s="57"/>
      <c r="B154" s="57"/>
      <c r="C154" s="57"/>
      <c r="D154" s="58"/>
      <c r="E154" s="59"/>
      <c r="F154" s="59"/>
      <c r="G154" s="541">
        <f t="shared" si="0"/>
        <v>0</v>
      </c>
      <c r="H154" s="59"/>
    </row>
    <row r="155" spans="1:8" ht="15.75" customHeight="1">
      <c r="A155" s="57"/>
      <c r="B155" s="57"/>
      <c r="C155" s="57"/>
      <c r="D155" s="58"/>
      <c r="E155" s="59"/>
      <c r="F155" s="59"/>
      <c r="G155" s="541">
        <f t="shared" si="0"/>
        <v>0</v>
      </c>
      <c r="H155" s="59"/>
    </row>
    <row r="156" spans="1:8" ht="15.75" customHeight="1">
      <c r="A156" s="57"/>
      <c r="B156" s="57"/>
      <c r="C156" s="57"/>
      <c r="D156" s="58"/>
      <c r="E156" s="59"/>
      <c r="F156" s="59"/>
      <c r="G156" s="541">
        <f t="shared" si="0"/>
        <v>0</v>
      </c>
      <c r="H156" s="59"/>
    </row>
    <row r="157" spans="1:8" ht="15.75" customHeight="1">
      <c r="A157" s="57"/>
      <c r="B157" s="57"/>
      <c r="C157" s="57"/>
      <c r="D157" s="58"/>
      <c r="E157" s="59"/>
      <c r="F157" s="59"/>
      <c r="G157" s="541">
        <f t="shared" si="0"/>
        <v>0</v>
      </c>
      <c r="H157" s="59"/>
    </row>
    <row r="158" spans="1:8" ht="15.75" customHeight="1">
      <c r="A158" s="57"/>
      <c r="B158" s="57"/>
      <c r="C158" s="57"/>
      <c r="D158" s="58"/>
      <c r="E158" s="59"/>
      <c r="F158" s="59"/>
      <c r="G158" s="541">
        <f t="shared" si="0"/>
        <v>0</v>
      </c>
      <c r="H158" s="59"/>
    </row>
    <row r="159" spans="1:8" ht="15.75" customHeight="1">
      <c r="A159" s="57"/>
      <c r="B159" s="57"/>
      <c r="C159" s="57"/>
      <c r="D159" s="58"/>
      <c r="E159" s="59"/>
      <c r="F159" s="59"/>
      <c r="G159" s="541">
        <f t="shared" si="0"/>
        <v>0</v>
      </c>
      <c r="H159" s="59"/>
    </row>
    <row r="160" spans="1:8" ht="15.75" customHeight="1">
      <c r="A160" s="57"/>
      <c r="B160" s="57"/>
      <c r="C160" s="57"/>
      <c r="D160" s="58"/>
      <c r="E160" s="59"/>
      <c r="F160" s="59"/>
      <c r="G160" s="541">
        <f t="shared" si="0"/>
        <v>0</v>
      </c>
      <c r="H160" s="59"/>
    </row>
    <row r="161" spans="1:8" ht="15.75" customHeight="1">
      <c r="A161" s="57"/>
      <c r="B161" s="57"/>
      <c r="C161" s="57"/>
      <c r="D161" s="58"/>
      <c r="E161" s="59"/>
      <c r="F161" s="59"/>
      <c r="G161" s="541">
        <f t="shared" si="0"/>
        <v>0</v>
      </c>
      <c r="H161" s="59"/>
    </row>
    <row r="162" spans="1:8" ht="15.75" customHeight="1">
      <c r="A162" s="57"/>
      <c r="B162" s="57"/>
      <c r="C162" s="57"/>
      <c r="D162" s="58"/>
      <c r="E162" s="59"/>
      <c r="F162" s="59"/>
      <c r="G162" s="541">
        <f t="shared" si="0"/>
        <v>0</v>
      </c>
      <c r="H162" s="59"/>
    </row>
    <row r="163" spans="1:8" ht="15.75" customHeight="1">
      <c r="A163" s="57"/>
      <c r="B163" s="57"/>
      <c r="C163" s="57"/>
      <c r="D163" s="58"/>
      <c r="E163" s="59"/>
      <c r="F163" s="59"/>
      <c r="G163" s="541">
        <f t="shared" si="0"/>
        <v>0</v>
      </c>
      <c r="H163" s="59"/>
    </row>
    <row r="164" spans="1:8" ht="15.75" customHeight="1">
      <c r="A164" s="57"/>
      <c r="B164" s="57"/>
      <c r="C164" s="57"/>
      <c r="D164" s="58"/>
      <c r="E164" s="59"/>
      <c r="F164" s="59"/>
      <c r="G164" s="541">
        <f t="shared" si="0"/>
        <v>0</v>
      </c>
      <c r="H164" s="59"/>
    </row>
    <row r="165" spans="1:8" ht="15.75" customHeight="1">
      <c r="A165" s="57"/>
      <c r="B165" s="57"/>
      <c r="C165" s="57"/>
      <c r="D165" s="58"/>
      <c r="E165" s="59"/>
      <c r="F165" s="59"/>
      <c r="G165" s="541">
        <f t="shared" si="0"/>
        <v>0</v>
      </c>
      <c r="H165" s="59"/>
    </row>
    <row r="166" spans="1:8" ht="15.75" customHeight="1">
      <c r="A166" s="57"/>
      <c r="B166" s="57"/>
      <c r="C166" s="57"/>
      <c r="D166" s="58"/>
      <c r="E166" s="59"/>
      <c r="F166" s="59"/>
      <c r="G166" s="541">
        <f t="shared" si="0"/>
        <v>0</v>
      </c>
      <c r="H166" s="59"/>
    </row>
    <row r="167" spans="1:8" ht="15.75" customHeight="1">
      <c r="A167" s="57"/>
      <c r="B167" s="57"/>
      <c r="C167" s="57"/>
      <c r="D167" s="58"/>
      <c r="E167" s="59"/>
      <c r="F167" s="59"/>
      <c r="G167" s="541">
        <f t="shared" si="0"/>
        <v>0</v>
      </c>
      <c r="H167" s="59"/>
    </row>
    <row r="168" spans="1:8" ht="15.75" customHeight="1">
      <c r="A168" s="57"/>
      <c r="B168" s="57"/>
      <c r="C168" s="57"/>
      <c r="D168" s="58"/>
      <c r="E168" s="59"/>
      <c r="F168" s="59"/>
      <c r="G168" s="541">
        <f t="shared" si="0"/>
        <v>0</v>
      </c>
      <c r="H168" s="59"/>
    </row>
    <row r="169" spans="1:8" ht="15.75" customHeight="1">
      <c r="A169" s="57"/>
      <c r="B169" s="57"/>
      <c r="C169" s="57"/>
      <c r="D169" s="58"/>
      <c r="E169" s="59"/>
      <c r="F169" s="59"/>
      <c r="G169" s="541">
        <f t="shared" si="0"/>
        <v>0</v>
      </c>
      <c r="H169" s="59"/>
    </row>
    <row r="170" spans="1:8" ht="15.75" customHeight="1">
      <c r="A170" s="57"/>
      <c r="B170" s="57"/>
      <c r="C170" s="57"/>
      <c r="D170" s="58"/>
      <c r="E170" s="59"/>
      <c r="F170" s="59"/>
      <c r="G170" s="541">
        <f t="shared" si="0"/>
        <v>0</v>
      </c>
      <c r="H170" s="59"/>
    </row>
    <row r="171" spans="1:8" ht="15.75" customHeight="1">
      <c r="A171" s="57"/>
      <c r="B171" s="57"/>
      <c r="C171" s="57"/>
      <c r="D171" s="58"/>
      <c r="E171" s="59"/>
      <c r="F171" s="59"/>
      <c r="G171" s="541">
        <f t="shared" si="0"/>
        <v>0</v>
      </c>
      <c r="H171" s="59"/>
    </row>
    <row r="172" spans="1:8" ht="15.75" customHeight="1">
      <c r="A172" s="57"/>
      <c r="B172" s="57"/>
      <c r="C172" s="57"/>
      <c r="D172" s="58"/>
      <c r="E172" s="59"/>
      <c r="F172" s="59"/>
      <c r="G172" s="541">
        <f t="shared" si="0"/>
        <v>0</v>
      </c>
      <c r="H172" s="59"/>
    </row>
    <row r="173" spans="1:8" ht="15.75" customHeight="1">
      <c r="A173" s="57"/>
      <c r="B173" s="57"/>
      <c r="C173" s="57"/>
      <c r="D173" s="58"/>
      <c r="E173" s="59"/>
      <c r="F173" s="59"/>
      <c r="G173" s="541">
        <f t="shared" si="0"/>
        <v>0</v>
      </c>
      <c r="H173" s="59"/>
    </row>
    <row r="174" spans="1:8" ht="15.75" customHeight="1">
      <c r="A174" s="57"/>
      <c r="B174" s="57"/>
      <c r="C174" s="57"/>
      <c r="D174" s="58"/>
      <c r="E174" s="59"/>
      <c r="F174" s="59"/>
      <c r="G174" s="541">
        <f t="shared" si="0"/>
        <v>0</v>
      </c>
      <c r="H174" s="59"/>
    </row>
    <row r="175" spans="1:8" ht="15.75" customHeight="1">
      <c r="A175" s="57"/>
      <c r="B175" s="57"/>
      <c r="C175" s="57"/>
      <c r="D175" s="58"/>
      <c r="E175" s="59"/>
      <c r="F175" s="59"/>
      <c r="G175" s="541">
        <f t="shared" si="0"/>
        <v>0</v>
      </c>
      <c r="H175" s="59"/>
    </row>
    <row r="176" spans="1:8" ht="15.75" customHeight="1">
      <c r="A176" s="57"/>
      <c r="B176" s="57"/>
      <c r="C176" s="57"/>
      <c r="D176" s="58"/>
      <c r="E176" s="59"/>
      <c r="F176" s="59"/>
      <c r="G176" s="541">
        <f t="shared" si="0"/>
        <v>0</v>
      </c>
      <c r="H176" s="59"/>
    </row>
    <row r="177" spans="1:8" ht="15.75" customHeight="1">
      <c r="A177" s="57"/>
      <c r="B177" s="57"/>
      <c r="C177" s="57"/>
      <c r="D177" s="58"/>
      <c r="E177" s="59"/>
      <c r="F177" s="59"/>
      <c r="G177" s="541">
        <f t="shared" si="0"/>
        <v>0</v>
      </c>
      <c r="H177" s="59"/>
    </row>
    <row r="178" spans="1:8" ht="15.75" customHeight="1">
      <c r="A178" s="57"/>
      <c r="B178" s="57"/>
      <c r="C178" s="57"/>
      <c r="D178" s="58"/>
      <c r="E178" s="59"/>
      <c r="F178" s="59"/>
      <c r="G178" s="541">
        <f t="shared" si="0"/>
        <v>0</v>
      </c>
      <c r="H178" s="59"/>
    </row>
    <row r="179" spans="1:8" ht="15.75" customHeight="1">
      <c r="A179" s="57"/>
      <c r="B179" s="57"/>
      <c r="C179" s="57"/>
      <c r="D179" s="58"/>
      <c r="E179" s="59"/>
      <c r="F179" s="59"/>
      <c r="G179" s="541">
        <f t="shared" si="0"/>
        <v>0</v>
      </c>
      <c r="H179" s="59"/>
    </row>
    <row r="180" spans="1:8" ht="15.75" customHeight="1">
      <c r="A180" s="57"/>
      <c r="B180" s="57"/>
      <c r="C180" s="57"/>
      <c r="D180" s="58"/>
      <c r="E180" s="59"/>
      <c r="F180" s="59"/>
      <c r="G180" s="541">
        <f t="shared" si="0"/>
        <v>0</v>
      </c>
      <c r="H180" s="59"/>
    </row>
    <row r="181" spans="1:8" ht="15.75" customHeight="1">
      <c r="A181" s="57"/>
      <c r="B181" s="57"/>
      <c r="C181" s="57"/>
      <c r="D181" s="58"/>
      <c r="E181" s="59"/>
      <c r="F181" s="59"/>
      <c r="G181" s="541">
        <f t="shared" si="0"/>
        <v>0</v>
      </c>
      <c r="H181" s="59"/>
    </row>
    <row r="182" spans="1:8" ht="15.75" customHeight="1">
      <c r="A182" s="57"/>
      <c r="B182" s="57"/>
      <c r="C182" s="57"/>
      <c r="D182" s="58"/>
      <c r="E182" s="59"/>
      <c r="F182" s="59"/>
      <c r="G182" s="541">
        <f t="shared" si="0"/>
        <v>0</v>
      </c>
      <c r="H182" s="59"/>
    </row>
    <row r="183" spans="1:8" ht="15.75" customHeight="1">
      <c r="A183" s="57"/>
      <c r="B183" s="57"/>
      <c r="C183" s="57"/>
      <c r="D183" s="58"/>
      <c r="E183" s="59"/>
      <c r="F183" s="59"/>
      <c r="G183" s="541">
        <f t="shared" si="0"/>
        <v>0</v>
      </c>
      <c r="H183" s="59"/>
    </row>
    <row r="184" spans="1:8" ht="15.75" customHeight="1">
      <c r="A184" s="57"/>
      <c r="B184" s="57"/>
      <c r="C184" s="57"/>
      <c r="D184" s="58"/>
      <c r="E184" s="59"/>
      <c r="F184" s="59"/>
      <c r="G184" s="541">
        <f t="shared" si="0"/>
        <v>0</v>
      </c>
      <c r="H184" s="59"/>
    </row>
    <row r="185" spans="1:8" ht="15.75" customHeight="1">
      <c r="A185" s="57"/>
      <c r="B185" s="57"/>
      <c r="C185" s="57"/>
      <c r="D185" s="58"/>
      <c r="E185" s="59"/>
      <c r="F185" s="59"/>
      <c r="G185" s="541">
        <f t="shared" si="0"/>
        <v>0</v>
      </c>
      <c r="H185" s="59"/>
    </row>
    <row r="186" spans="1:8" ht="15.75" customHeight="1">
      <c r="A186" s="57"/>
      <c r="B186" s="57"/>
      <c r="C186" s="57"/>
      <c r="D186" s="58"/>
      <c r="E186" s="59"/>
      <c r="F186" s="59"/>
      <c r="G186" s="541">
        <f t="shared" si="0"/>
        <v>0</v>
      </c>
      <c r="H186" s="59"/>
    </row>
    <row r="187" spans="1:8" ht="15.75" customHeight="1">
      <c r="A187" s="57"/>
      <c r="B187" s="57"/>
      <c r="C187" s="57"/>
      <c r="D187" s="58"/>
      <c r="E187" s="59"/>
      <c r="F187" s="59"/>
      <c r="G187" s="541">
        <f t="shared" si="0"/>
        <v>0</v>
      </c>
      <c r="H187" s="59"/>
    </row>
    <row r="188" spans="1:8" ht="15.75" customHeight="1">
      <c r="A188" s="57"/>
      <c r="B188" s="57"/>
      <c r="C188" s="57"/>
      <c r="D188" s="58"/>
      <c r="E188" s="59"/>
      <c r="F188" s="59"/>
      <c r="G188" s="541">
        <f t="shared" si="0"/>
        <v>0</v>
      </c>
      <c r="H188" s="59"/>
    </row>
    <row r="189" spans="1:8" ht="15.75" customHeight="1">
      <c r="A189" s="57"/>
      <c r="B189" s="57"/>
      <c r="C189" s="57"/>
      <c r="D189" s="58"/>
      <c r="E189" s="59"/>
      <c r="F189" s="59"/>
      <c r="G189" s="541">
        <f t="shared" si="0"/>
        <v>0</v>
      </c>
      <c r="H189" s="59"/>
    </row>
    <row r="190" spans="1:8" ht="15.75" customHeight="1">
      <c r="A190" s="57"/>
      <c r="B190" s="57"/>
      <c r="C190" s="57"/>
      <c r="D190" s="58"/>
      <c r="E190" s="59"/>
      <c r="F190" s="59"/>
      <c r="G190" s="541">
        <f t="shared" si="0"/>
        <v>0</v>
      </c>
      <c r="H190" s="59"/>
    </row>
    <row r="191" spans="1:8" ht="15.75" customHeight="1">
      <c r="A191" s="57"/>
      <c r="B191" s="57"/>
      <c r="C191" s="57"/>
      <c r="D191" s="58"/>
      <c r="E191" s="59"/>
      <c r="F191" s="59"/>
      <c r="G191" s="541">
        <f t="shared" si="0"/>
        <v>0</v>
      </c>
      <c r="H191" s="59"/>
    </row>
    <row r="192" spans="1:8" ht="15.75" customHeight="1">
      <c r="A192" s="57"/>
      <c r="B192" s="57"/>
      <c r="C192" s="57"/>
      <c r="D192" s="58"/>
      <c r="E192" s="59"/>
      <c r="F192" s="59"/>
      <c r="G192" s="541">
        <f t="shared" si="0"/>
        <v>0</v>
      </c>
      <c r="H192" s="59"/>
    </row>
    <row r="193" spans="1:8" ht="15.75" customHeight="1">
      <c r="A193" s="57"/>
      <c r="B193" s="57"/>
      <c r="C193" s="57"/>
      <c r="D193" s="58"/>
      <c r="E193" s="59"/>
      <c r="F193" s="59"/>
      <c r="G193" s="541">
        <f t="shared" si="0"/>
        <v>0</v>
      </c>
      <c r="H193" s="59"/>
    </row>
    <row r="194" spans="1:8" ht="15.75" customHeight="1">
      <c r="A194" s="57"/>
      <c r="B194" s="57"/>
      <c r="C194" s="57"/>
      <c r="D194" s="58"/>
      <c r="E194" s="59"/>
      <c r="F194" s="59"/>
      <c r="G194" s="541">
        <f t="shared" si="0"/>
        <v>0</v>
      </c>
      <c r="H194" s="59"/>
    </row>
    <row r="195" spans="1:8" ht="15.75" customHeight="1">
      <c r="A195" s="57"/>
      <c r="B195" s="57"/>
      <c r="C195" s="57"/>
      <c r="D195" s="58"/>
      <c r="E195" s="59"/>
      <c r="F195" s="59"/>
      <c r="G195" s="541">
        <f t="shared" si="0"/>
        <v>0</v>
      </c>
      <c r="H195" s="59"/>
    </row>
    <row r="196" spans="1:8" ht="15.75" customHeight="1">
      <c r="A196" s="57"/>
      <c r="B196" s="57"/>
      <c r="C196" s="57"/>
      <c r="D196" s="58"/>
      <c r="E196" s="59"/>
      <c r="F196" s="59"/>
      <c r="G196" s="541">
        <f t="shared" si="0"/>
        <v>0</v>
      </c>
      <c r="H196" s="59"/>
    </row>
    <row r="197" spans="1:8" ht="15.75" customHeight="1">
      <c r="A197" s="57"/>
      <c r="B197" s="57"/>
      <c r="C197" s="57"/>
      <c r="D197" s="58"/>
      <c r="E197" s="59"/>
      <c r="F197" s="59"/>
      <c r="G197" s="541">
        <f t="shared" si="0"/>
        <v>0</v>
      </c>
      <c r="H197" s="59"/>
    </row>
    <row r="198" spans="1:8" ht="15.75" customHeight="1">
      <c r="A198" s="57"/>
      <c r="B198" s="57"/>
      <c r="C198" s="57"/>
      <c r="D198" s="58"/>
      <c r="E198" s="59"/>
      <c r="F198" s="59"/>
      <c r="G198" s="541">
        <f t="shared" si="0"/>
        <v>0</v>
      </c>
      <c r="H198" s="59"/>
    </row>
    <row r="199" spans="1:8" ht="15.75" customHeight="1">
      <c r="A199" s="57"/>
      <c r="B199" s="57"/>
      <c r="C199" s="57"/>
      <c r="D199" s="58"/>
      <c r="E199" s="59"/>
      <c r="F199" s="59"/>
      <c r="G199" s="541">
        <f t="shared" si="0"/>
        <v>0</v>
      </c>
      <c r="H199" s="59"/>
    </row>
    <row r="200" spans="1:8" ht="15.75" customHeight="1">
      <c r="A200" s="57"/>
      <c r="B200" s="57"/>
      <c r="C200" s="57"/>
      <c r="D200" s="58"/>
      <c r="E200" s="59"/>
      <c r="F200" s="59"/>
      <c r="G200" s="541">
        <f t="shared" si="0"/>
        <v>0</v>
      </c>
      <c r="H200" s="59"/>
    </row>
    <row r="201" spans="1:8" ht="15.75" customHeight="1">
      <c r="A201" s="57"/>
      <c r="B201" s="57"/>
      <c r="C201" s="57"/>
      <c r="D201" s="58"/>
      <c r="E201" s="59"/>
      <c r="F201" s="59"/>
      <c r="G201" s="541">
        <f t="shared" si="0"/>
        <v>0</v>
      </c>
      <c r="H201" s="59"/>
    </row>
    <row r="202" spans="1:8" ht="15.75" customHeight="1">
      <c r="A202" s="57"/>
      <c r="B202" s="57"/>
      <c r="C202" s="57"/>
      <c r="D202" s="58"/>
      <c r="E202" s="59"/>
      <c r="F202" s="59"/>
      <c r="G202" s="541">
        <f t="shared" si="0"/>
        <v>0</v>
      </c>
      <c r="H202" s="59"/>
    </row>
    <row r="203" spans="1:8" ht="15.75" customHeight="1">
      <c r="A203" s="57"/>
      <c r="B203" s="57"/>
      <c r="C203" s="57"/>
      <c r="D203" s="58"/>
      <c r="E203" s="59"/>
      <c r="F203" s="59"/>
      <c r="G203" s="541">
        <f t="shared" si="0"/>
        <v>0</v>
      </c>
      <c r="H203" s="59"/>
    </row>
    <row r="204" spans="1:8" ht="15.75" customHeight="1">
      <c r="A204" s="57"/>
      <c r="B204" s="57"/>
      <c r="C204" s="57"/>
      <c r="D204" s="58"/>
      <c r="E204" s="59"/>
      <c r="F204" s="59"/>
      <c r="G204" s="541">
        <f t="shared" si="0"/>
        <v>0</v>
      </c>
      <c r="H204" s="59"/>
    </row>
    <row r="205" spans="1:8" ht="15.75" customHeight="1">
      <c r="A205" s="57"/>
      <c r="B205" s="57"/>
      <c r="C205" s="57"/>
      <c r="D205" s="58"/>
      <c r="E205" s="59"/>
      <c r="F205" s="59"/>
      <c r="G205" s="541">
        <f t="shared" si="0"/>
        <v>0</v>
      </c>
      <c r="H205" s="59"/>
    </row>
    <row r="206" spans="1:8" ht="15.75" customHeight="1">
      <c r="A206" s="57"/>
      <c r="B206" s="57"/>
      <c r="C206" s="57"/>
      <c r="D206" s="58"/>
      <c r="E206" s="59"/>
      <c r="F206" s="59"/>
      <c r="G206" s="541">
        <f t="shared" si="0"/>
        <v>0</v>
      </c>
      <c r="H206" s="59"/>
    </row>
    <row r="207" spans="1:8" ht="15.75" customHeight="1">
      <c r="A207" s="57"/>
      <c r="B207" s="57"/>
      <c r="C207" s="57"/>
      <c r="D207" s="58"/>
      <c r="E207" s="59"/>
      <c r="F207" s="59"/>
      <c r="G207" s="541">
        <f t="shared" si="0"/>
        <v>0</v>
      </c>
      <c r="H207" s="59"/>
    </row>
    <row r="208" spans="1:8" ht="15.75" customHeight="1">
      <c r="A208" s="57"/>
      <c r="B208" s="57"/>
      <c r="C208" s="57"/>
      <c r="D208" s="58"/>
      <c r="E208" s="59"/>
      <c r="F208" s="59"/>
      <c r="G208" s="541">
        <f t="shared" si="0"/>
        <v>0</v>
      </c>
      <c r="H208" s="59"/>
    </row>
    <row r="209" spans="1:8" ht="15.75" customHeight="1">
      <c r="A209" s="57"/>
      <c r="B209" s="57"/>
      <c r="C209" s="57"/>
      <c r="D209" s="58"/>
      <c r="E209" s="59"/>
      <c r="F209" s="59"/>
      <c r="G209" s="541">
        <f t="shared" si="0"/>
        <v>0</v>
      </c>
      <c r="H209" s="59"/>
    </row>
    <row r="210" spans="1:8" ht="15.75" customHeight="1">
      <c r="A210" s="57"/>
      <c r="B210" s="57"/>
      <c r="C210" s="57"/>
      <c r="D210" s="58"/>
      <c r="E210" s="59"/>
      <c r="F210" s="59"/>
      <c r="G210" s="541">
        <f t="shared" si="0"/>
        <v>0</v>
      </c>
      <c r="H210" s="59"/>
    </row>
    <row r="211" spans="1:8" ht="15.75" customHeight="1">
      <c r="A211" s="57"/>
      <c r="B211" s="57"/>
      <c r="C211" s="57"/>
      <c r="D211" s="58"/>
      <c r="E211" s="59"/>
      <c r="F211" s="59"/>
      <c r="G211" s="541">
        <f t="shared" si="0"/>
        <v>0</v>
      </c>
      <c r="H211" s="59"/>
    </row>
    <row r="212" spans="1:8" ht="15.75" customHeight="1">
      <c r="A212" s="57"/>
      <c r="B212" s="57"/>
      <c r="C212" s="57"/>
      <c r="D212" s="58"/>
      <c r="E212" s="59"/>
      <c r="F212" s="59"/>
      <c r="G212" s="541">
        <f t="shared" si="0"/>
        <v>0</v>
      </c>
      <c r="H212" s="59"/>
    </row>
    <row r="213" spans="1:8" ht="15.75" customHeight="1">
      <c r="A213" s="57"/>
      <c r="B213" s="57"/>
      <c r="C213" s="57"/>
      <c r="D213" s="58"/>
      <c r="E213" s="59"/>
      <c r="F213" s="59"/>
      <c r="G213" s="541">
        <f t="shared" si="0"/>
        <v>0</v>
      </c>
      <c r="H213" s="59"/>
    </row>
    <row r="214" spans="1:8" ht="15.75" customHeight="1">
      <c r="A214" s="57"/>
      <c r="B214" s="57"/>
      <c r="C214" s="57"/>
      <c r="D214" s="58"/>
      <c r="E214" s="59"/>
      <c r="F214" s="59"/>
      <c r="G214" s="541">
        <f t="shared" si="0"/>
        <v>0</v>
      </c>
      <c r="H214" s="59"/>
    </row>
    <row r="215" spans="1:8" ht="15.75" customHeight="1">
      <c r="A215" s="57"/>
      <c r="B215" s="57"/>
      <c r="C215" s="57"/>
      <c r="D215" s="58"/>
      <c r="E215" s="59"/>
      <c r="F215" s="59"/>
      <c r="G215" s="541">
        <f t="shared" si="0"/>
        <v>0</v>
      </c>
      <c r="H215" s="59"/>
    </row>
    <row r="216" spans="1:8" ht="15.75" customHeight="1">
      <c r="A216" s="57"/>
      <c r="B216" s="57"/>
      <c r="C216" s="57"/>
      <c r="D216" s="58"/>
      <c r="E216" s="59"/>
      <c r="F216" s="59"/>
      <c r="G216" s="541">
        <f t="shared" si="0"/>
        <v>0</v>
      </c>
      <c r="H216" s="59"/>
    </row>
    <row r="217" spans="1:8" ht="15.75" customHeight="1">
      <c r="A217" s="57"/>
      <c r="B217" s="57"/>
      <c r="C217" s="57"/>
      <c r="D217" s="58"/>
      <c r="E217" s="59"/>
      <c r="F217" s="59"/>
      <c r="G217" s="541">
        <f t="shared" si="0"/>
        <v>0</v>
      </c>
      <c r="H217" s="59"/>
    </row>
    <row r="218" spans="1:8" ht="15.75" customHeight="1">
      <c r="A218" s="57"/>
      <c r="B218" s="57"/>
      <c r="C218" s="57"/>
      <c r="D218" s="58"/>
      <c r="E218" s="59"/>
      <c r="F218" s="59"/>
      <c r="G218" s="541">
        <f t="shared" si="0"/>
        <v>0</v>
      </c>
      <c r="H218" s="59"/>
    </row>
    <row r="219" spans="1:8" ht="15.75" customHeight="1">
      <c r="A219" s="57"/>
      <c r="B219" s="57"/>
      <c r="C219" s="57"/>
      <c r="D219" s="58"/>
      <c r="E219" s="59"/>
      <c r="F219" s="59"/>
      <c r="G219" s="541">
        <f t="shared" si="0"/>
        <v>0</v>
      </c>
      <c r="H219" s="59"/>
    </row>
    <row r="220" spans="1:8" ht="15.75" customHeight="1">
      <c r="A220" s="57"/>
      <c r="B220" s="57"/>
      <c r="C220" s="57"/>
      <c r="D220" s="58"/>
      <c r="E220" s="59"/>
      <c r="F220" s="59"/>
      <c r="G220" s="541">
        <f t="shared" si="0"/>
        <v>0</v>
      </c>
      <c r="H220" s="59"/>
    </row>
    <row r="221" spans="1:8" ht="15.75" customHeight="1">
      <c r="A221" s="57"/>
      <c r="B221" s="57"/>
      <c r="C221" s="57"/>
      <c r="D221" s="58"/>
      <c r="E221" s="59"/>
      <c r="F221" s="59"/>
      <c r="G221" s="541">
        <f t="shared" si="0"/>
        <v>0</v>
      </c>
      <c r="H221" s="59"/>
    </row>
    <row r="222" spans="1:8" ht="15.75" customHeight="1">
      <c r="A222" s="57"/>
      <c r="B222" s="57"/>
      <c r="C222" s="57"/>
      <c r="D222" s="58"/>
      <c r="E222" s="59"/>
      <c r="F222" s="59"/>
      <c r="G222" s="541">
        <f t="shared" si="0"/>
        <v>0</v>
      </c>
      <c r="H222" s="59"/>
    </row>
    <row r="223" spans="1:8" ht="15.75" customHeight="1">
      <c r="A223" s="57"/>
      <c r="B223" s="57"/>
      <c r="C223" s="57"/>
      <c r="D223" s="58"/>
      <c r="E223" s="59"/>
      <c r="F223" s="59"/>
      <c r="G223" s="541">
        <f t="shared" si="0"/>
        <v>0</v>
      </c>
      <c r="H223" s="59"/>
    </row>
    <row r="224" spans="1:8" ht="15.75" customHeight="1">
      <c r="A224" s="57"/>
      <c r="B224" s="57"/>
      <c r="C224" s="57"/>
      <c r="D224" s="58"/>
      <c r="E224" s="59"/>
      <c r="F224" s="59"/>
      <c r="G224" s="541">
        <f t="shared" si="0"/>
        <v>0</v>
      </c>
      <c r="H224" s="59"/>
    </row>
    <row r="225" spans="1:8" ht="15.75" customHeight="1">
      <c r="A225" s="57"/>
      <c r="B225" s="57"/>
      <c r="C225" s="57"/>
      <c r="D225" s="58"/>
      <c r="E225" s="59"/>
      <c r="F225" s="59"/>
      <c r="G225" s="541">
        <f t="shared" si="0"/>
        <v>0</v>
      </c>
      <c r="H225" s="59"/>
    </row>
    <row r="226" spans="1:8" ht="15.75" customHeight="1">
      <c r="A226" s="57"/>
      <c r="B226" s="57"/>
      <c r="C226" s="57"/>
      <c r="D226" s="58"/>
      <c r="E226" s="59"/>
      <c r="F226" s="59"/>
      <c r="G226" s="541">
        <f t="shared" si="0"/>
        <v>0</v>
      </c>
      <c r="H226" s="59"/>
    </row>
    <row r="227" spans="1:8" ht="15.75" customHeight="1">
      <c r="A227" s="57"/>
      <c r="B227" s="57"/>
      <c r="C227" s="57"/>
      <c r="D227" s="58"/>
      <c r="E227" s="59"/>
      <c r="F227" s="59"/>
      <c r="G227" s="541">
        <f t="shared" si="0"/>
        <v>0</v>
      </c>
      <c r="H227" s="59"/>
    </row>
    <row r="228" spans="1:8" ht="15.75" customHeight="1">
      <c r="A228" s="57"/>
      <c r="B228" s="57"/>
      <c r="C228" s="57"/>
      <c r="D228" s="58"/>
      <c r="E228" s="59"/>
      <c r="F228" s="59"/>
      <c r="G228" s="541">
        <f t="shared" si="0"/>
        <v>0</v>
      </c>
      <c r="H228" s="59"/>
    </row>
    <row r="229" spans="1:8" ht="15.75" customHeight="1">
      <c r="A229" s="57"/>
      <c r="B229" s="57"/>
      <c r="C229" s="57"/>
      <c r="D229" s="58"/>
      <c r="E229" s="59"/>
      <c r="F229" s="59"/>
      <c r="G229" s="541">
        <f t="shared" si="0"/>
        <v>0</v>
      </c>
      <c r="H229" s="59"/>
    </row>
    <row r="230" spans="1:8" ht="15.75" customHeight="1">
      <c r="A230" s="57"/>
      <c r="B230" s="57"/>
      <c r="C230" s="57"/>
      <c r="D230" s="58"/>
      <c r="E230" s="59"/>
      <c r="F230" s="59"/>
      <c r="G230" s="541">
        <f t="shared" si="0"/>
        <v>0</v>
      </c>
      <c r="H230" s="59"/>
    </row>
    <row r="231" spans="1:8" ht="15.75" customHeight="1">
      <c r="A231" s="57"/>
      <c r="B231" s="57"/>
      <c r="C231" s="57"/>
      <c r="D231" s="58"/>
      <c r="E231" s="59"/>
      <c r="F231" s="59"/>
      <c r="G231" s="541">
        <f t="shared" si="0"/>
        <v>0</v>
      </c>
      <c r="H231" s="59"/>
    </row>
    <row r="232" spans="1:8" ht="15.75" customHeight="1">
      <c r="A232" s="57"/>
      <c r="B232" s="57"/>
      <c r="C232" s="57"/>
      <c r="D232" s="58"/>
      <c r="E232" s="59"/>
      <c r="F232" s="59"/>
      <c r="G232" s="541">
        <f t="shared" si="0"/>
        <v>0</v>
      </c>
      <c r="H232" s="59"/>
    </row>
    <row r="233" spans="1:8" ht="15.75" customHeight="1">
      <c r="A233" s="57"/>
      <c r="B233" s="57"/>
      <c r="C233" s="57"/>
      <c r="D233" s="58"/>
      <c r="E233" s="59"/>
      <c r="F233" s="59"/>
      <c r="G233" s="541">
        <f t="shared" si="0"/>
        <v>0</v>
      </c>
      <c r="H233" s="59"/>
    </row>
    <row r="234" spans="1:8" ht="15.75" customHeight="1">
      <c r="A234" s="57"/>
      <c r="B234" s="57"/>
      <c r="C234" s="57"/>
      <c r="D234" s="58"/>
      <c r="E234" s="59"/>
      <c r="F234" s="59"/>
      <c r="G234" s="541">
        <f t="shared" si="0"/>
        <v>0</v>
      </c>
      <c r="H234" s="59"/>
    </row>
    <row r="235" spans="1:8" ht="15.75" customHeight="1">
      <c r="A235" s="57"/>
      <c r="B235" s="57"/>
      <c r="C235" s="57"/>
      <c r="D235" s="58"/>
      <c r="E235" s="59"/>
      <c r="F235" s="59"/>
      <c r="G235" s="541">
        <f t="shared" si="0"/>
        <v>0</v>
      </c>
      <c r="H235" s="59"/>
    </row>
    <row r="236" spans="1:8" ht="15.75" customHeight="1">
      <c r="A236" s="57"/>
      <c r="B236" s="57"/>
      <c r="C236" s="57"/>
      <c r="D236" s="58"/>
      <c r="E236" s="59"/>
      <c r="F236" s="59"/>
      <c r="G236" s="541">
        <f t="shared" si="0"/>
        <v>0</v>
      </c>
      <c r="H236" s="59"/>
    </row>
    <row r="237" spans="1:8" ht="15.75" customHeight="1">
      <c r="A237" s="57"/>
      <c r="B237" s="57"/>
      <c r="C237" s="57"/>
      <c r="D237" s="58"/>
      <c r="E237" s="59"/>
      <c r="F237" s="59"/>
      <c r="G237" s="541">
        <f t="shared" si="0"/>
        <v>0</v>
      </c>
      <c r="H237" s="59"/>
    </row>
    <row r="238" spans="1:8" ht="15.75" customHeight="1">
      <c r="A238" s="57"/>
      <c r="B238" s="57"/>
      <c r="C238" s="57"/>
      <c r="D238" s="58"/>
      <c r="E238" s="59"/>
      <c r="F238" s="59"/>
      <c r="G238" s="541">
        <f t="shared" si="0"/>
        <v>0</v>
      </c>
      <c r="H238" s="59"/>
    </row>
    <row r="239" spans="1:8" ht="15.75" customHeight="1">
      <c r="A239" s="57"/>
      <c r="B239" s="57"/>
      <c r="C239" s="57"/>
      <c r="D239" s="58"/>
      <c r="E239" s="59"/>
      <c r="F239" s="59"/>
      <c r="G239" s="541">
        <f t="shared" si="0"/>
        <v>0</v>
      </c>
      <c r="H239" s="59"/>
    </row>
    <row r="240" spans="1:8" ht="15.75" customHeight="1">
      <c r="A240" s="57"/>
      <c r="B240" s="57"/>
      <c r="C240" s="57"/>
      <c r="D240" s="58"/>
      <c r="E240" s="59"/>
      <c r="F240" s="59"/>
      <c r="G240" s="541">
        <f t="shared" si="0"/>
        <v>0</v>
      </c>
      <c r="H240" s="59"/>
    </row>
    <row r="241" spans="1:8" ht="15.75" customHeight="1">
      <c r="A241" s="57"/>
      <c r="B241" s="57"/>
      <c r="C241" s="57"/>
      <c r="D241" s="58"/>
      <c r="E241" s="59"/>
      <c r="F241" s="59"/>
      <c r="G241" s="541">
        <f t="shared" si="0"/>
        <v>0</v>
      </c>
      <c r="H241" s="59"/>
    </row>
    <row r="242" spans="1:8" ht="15.75" customHeight="1">
      <c r="A242" s="57"/>
      <c r="B242" s="57"/>
      <c r="C242" s="57"/>
      <c r="D242" s="58"/>
      <c r="E242" s="59"/>
      <c r="F242" s="59"/>
      <c r="G242" s="541">
        <f t="shared" si="0"/>
        <v>0</v>
      </c>
      <c r="H242" s="59"/>
    </row>
    <row r="243" spans="1:8" ht="15.75" customHeight="1">
      <c r="A243" s="57"/>
      <c r="B243" s="57"/>
      <c r="C243" s="57"/>
      <c r="D243" s="58"/>
      <c r="E243" s="59"/>
      <c r="F243" s="59"/>
      <c r="G243" s="541">
        <f t="shared" si="0"/>
        <v>0</v>
      </c>
      <c r="H243" s="59"/>
    </row>
    <row r="244" spans="1:8" ht="15.75" customHeight="1">
      <c r="A244" s="57"/>
      <c r="B244" s="57"/>
      <c r="C244" s="57"/>
      <c r="D244" s="58"/>
      <c r="E244" s="59"/>
      <c r="F244" s="59"/>
      <c r="G244" s="541">
        <f t="shared" si="0"/>
        <v>0</v>
      </c>
      <c r="H244" s="59"/>
    </row>
    <row r="245" spans="1:8" ht="15.75" customHeight="1">
      <c r="A245" s="57"/>
      <c r="B245" s="57"/>
      <c r="C245" s="57"/>
      <c r="D245" s="58"/>
      <c r="E245" s="59"/>
      <c r="F245" s="59"/>
      <c r="G245" s="541">
        <f t="shared" si="0"/>
        <v>0</v>
      </c>
      <c r="H245" s="59"/>
    </row>
    <row r="246" spans="1:8" ht="15.75" customHeight="1">
      <c r="A246" s="57"/>
      <c r="B246" s="57"/>
      <c r="C246" s="57"/>
      <c r="D246" s="58"/>
      <c r="E246" s="59"/>
      <c r="F246" s="59"/>
      <c r="G246" s="541">
        <f t="shared" si="0"/>
        <v>0</v>
      </c>
      <c r="H246" s="59"/>
    </row>
    <row r="247" spans="1:8" ht="15.75" customHeight="1">
      <c r="A247" s="57"/>
      <c r="B247" s="57"/>
      <c r="C247" s="57"/>
      <c r="D247" s="58"/>
      <c r="E247" s="59"/>
      <c r="F247" s="59"/>
      <c r="G247" s="541">
        <f t="shared" si="0"/>
        <v>0</v>
      </c>
      <c r="H247" s="59"/>
    </row>
    <row r="248" spans="1:8" ht="15.75" customHeight="1">
      <c r="A248" s="57"/>
      <c r="B248" s="57"/>
      <c r="C248" s="57"/>
      <c r="D248" s="58"/>
      <c r="E248" s="59"/>
      <c r="F248" s="59"/>
      <c r="G248" s="541">
        <f t="shared" si="0"/>
        <v>0</v>
      </c>
      <c r="H248" s="59"/>
    </row>
    <row r="249" spans="1:8" ht="15.75" customHeight="1">
      <c r="A249" s="57"/>
      <c r="B249" s="57"/>
      <c r="C249" s="57"/>
      <c r="D249" s="58"/>
      <c r="E249" s="59"/>
      <c r="F249" s="59"/>
      <c r="G249" s="541">
        <f t="shared" si="0"/>
        <v>0</v>
      </c>
      <c r="H249" s="59"/>
    </row>
    <row r="250" spans="1:8" ht="15.75" customHeight="1">
      <c r="A250" s="57"/>
      <c r="B250" s="57"/>
      <c r="C250" s="57"/>
      <c r="D250" s="58"/>
      <c r="E250" s="59"/>
      <c r="F250" s="59"/>
      <c r="G250" s="541">
        <f t="shared" si="0"/>
        <v>0</v>
      </c>
      <c r="H250" s="59"/>
    </row>
    <row r="251" spans="1:8" ht="15.75" customHeight="1">
      <c r="A251" s="57"/>
      <c r="B251" s="57"/>
      <c r="C251" s="57"/>
      <c r="D251" s="58"/>
      <c r="E251" s="59"/>
      <c r="F251" s="59"/>
      <c r="G251" s="541">
        <f t="shared" si="0"/>
        <v>0</v>
      </c>
      <c r="H251" s="59"/>
    </row>
    <row r="252" spans="1:8" ht="15.75" customHeight="1">
      <c r="A252" s="57"/>
      <c r="B252" s="57"/>
      <c r="C252" s="57"/>
      <c r="D252" s="58"/>
      <c r="E252" s="59"/>
      <c r="F252" s="59"/>
      <c r="G252" s="541">
        <f t="shared" si="0"/>
        <v>0</v>
      </c>
      <c r="H252" s="59"/>
    </row>
    <row r="253" spans="1:8" ht="15.75" customHeight="1">
      <c r="A253" s="57"/>
      <c r="B253" s="57"/>
      <c r="C253" s="57"/>
      <c r="D253" s="58"/>
      <c r="E253" s="59"/>
      <c r="F253" s="59"/>
      <c r="G253" s="541">
        <f t="shared" si="0"/>
        <v>0</v>
      </c>
      <c r="H253" s="59"/>
    </row>
    <row r="254" spans="1:8" ht="15.75" customHeight="1">
      <c r="A254" s="57"/>
      <c r="B254" s="57"/>
      <c r="C254" s="57"/>
      <c r="D254" s="58"/>
      <c r="E254" s="59"/>
      <c r="F254" s="59"/>
      <c r="G254" s="541">
        <f t="shared" si="0"/>
        <v>0</v>
      </c>
      <c r="H254" s="59"/>
    </row>
    <row r="255" spans="1:8" ht="15.75" customHeight="1">
      <c r="A255" s="57"/>
      <c r="B255" s="57"/>
      <c r="C255" s="57"/>
      <c r="D255" s="58"/>
      <c r="E255" s="59"/>
      <c r="F255" s="59"/>
      <c r="G255" s="541">
        <f t="shared" si="0"/>
        <v>0</v>
      </c>
      <c r="H255" s="59"/>
    </row>
    <row r="256" spans="1:8" ht="15.75" customHeight="1">
      <c r="A256" s="57"/>
      <c r="B256" s="57"/>
      <c r="C256" s="57"/>
      <c r="D256" s="58"/>
      <c r="E256" s="59"/>
      <c r="F256" s="59"/>
      <c r="G256" s="541">
        <f t="shared" si="0"/>
        <v>0</v>
      </c>
      <c r="H256" s="59"/>
    </row>
    <row r="257" spans="1:8" ht="15.75" customHeight="1">
      <c r="A257" s="57"/>
      <c r="B257" s="57"/>
      <c r="C257" s="57"/>
      <c r="D257" s="58"/>
      <c r="E257" s="59"/>
      <c r="F257" s="59"/>
      <c r="G257" s="541">
        <f t="shared" si="0"/>
        <v>0</v>
      </c>
      <c r="H257" s="59"/>
    </row>
    <row r="258" spans="1:8" ht="15.75" customHeight="1">
      <c r="A258" s="57"/>
      <c r="B258" s="57"/>
      <c r="C258" s="57"/>
      <c r="D258" s="58"/>
      <c r="E258" s="59"/>
      <c r="F258" s="59"/>
      <c r="G258" s="541">
        <f t="shared" ref="G258:G496" si="3">E258*F258</f>
        <v>0</v>
      </c>
      <c r="H258" s="59"/>
    </row>
    <row r="259" spans="1:8" ht="15.75" customHeight="1">
      <c r="A259" s="57"/>
      <c r="B259" s="57"/>
      <c r="C259" s="57"/>
      <c r="D259" s="58"/>
      <c r="E259" s="59"/>
      <c r="F259" s="59"/>
      <c r="G259" s="541">
        <f t="shared" si="3"/>
        <v>0</v>
      </c>
      <c r="H259" s="59"/>
    </row>
    <row r="260" spans="1:8" ht="15.75" customHeight="1">
      <c r="A260" s="57"/>
      <c r="B260" s="57"/>
      <c r="C260" s="57"/>
      <c r="D260" s="58"/>
      <c r="E260" s="59"/>
      <c r="F260" s="59"/>
      <c r="G260" s="541">
        <f t="shared" si="3"/>
        <v>0</v>
      </c>
      <c r="H260" s="59"/>
    </row>
    <row r="261" spans="1:8" ht="15.75" customHeight="1">
      <c r="A261" s="57"/>
      <c r="B261" s="57"/>
      <c r="C261" s="57"/>
      <c r="D261" s="58"/>
      <c r="E261" s="59"/>
      <c r="F261" s="59"/>
      <c r="G261" s="541">
        <f t="shared" si="3"/>
        <v>0</v>
      </c>
      <c r="H261" s="59"/>
    </row>
    <row r="262" spans="1:8" ht="15.75" customHeight="1">
      <c r="A262" s="57"/>
      <c r="B262" s="57"/>
      <c r="C262" s="57"/>
      <c r="D262" s="58"/>
      <c r="E262" s="59"/>
      <c r="F262" s="59"/>
      <c r="G262" s="541">
        <f t="shared" si="3"/>
        <v>0</v>
      </c>
      <c r="H262" s="59"/>
    </row>
    <row r="263" spans="1:8" ht="15.75" customHeight="1">
      <c r="A263" s="57"/>
      <c r="B263" s="57"/>
      <c r="C263" s="57"/>
      <c r="D263" s="58"/>
      <c r="E263" s="59"/>
      <c r="F263" s="59"/>
      <c r="G263" s="541">
        <f t="shared" si="3"/>
        <v>0</v>
      </c>
      <c r="H263" s="59"/>
    </row>
    <row r="264" spans="1:8" ht="15.75" customHeight="1">
      <c r="A264" s="57"/>
      <c r="B264" s="57"/>
      <c r="C264" s="57"/>
      <c r="D264" s="58"/>
      <c r="E264" s="59"/>
      <c r="F264" s="59"/>
      <c r="G264" s="541">
        <f t="shared" si="3"/>
        <v>0</v>
      </c>
      <c r="H264" s="59"/>
    </row>
    <row r="265" spans="1:8" ht="15.75" customHeight="1">
      <c r="A265" s="57"/>
      <c r="B265" s="57"/>
      <c r="C265" s="57"/>
      <c r="D265" s="58"/>
      <c r="E265" s="59"/>
      <c r="F265" s="59"/>
      <c r="G265" s="541">
        <f t="shared" si="3"/>
        <v>0</v>
      </c>
      <c r="H265" s="59"/>
    </row>
    <row r="266" spans="1:8" ht="15.75" customHeight="1">
      <c r="A266" s="57"/>
      <c r="B266" s="57"/>
      <c r="C266" s="57"/>
      <c r="D266" s="58"/>
      <c r="E266" s="59"/>
      <c r="F266" s="59"/>
      <c r="G266" s="541">
        <f t="shared" si="3"/>
        <v>0</v>
      </c>
      <c r="H266" s="59"/>
    </row>
    <row r="267" spans="1:8" ht="15.75" customHeight="1">
      <c r="A267" s="57"/>
      <c r="B267" s="57"/>
      <c r="C267" s="57"/>
      <c r="D267" s="58"/>
      <c r="E267" s="59"/>
      <c r="F267" s="59"/>
      <c r="G267" s="541">
        <f t="shared" si="3"/>
        <v>0</v>
      </c>
      <c r="H267" s="59"/>
    </row>
    <row r="268" spans="1:8" ht="15.75" customHeight="1">
      <c r="A268" s="57"/>
      <c r="B268" s="57"/>
      <c r="C268" s="57"/>
      <c r="D268" s="58"/>
      <c r="E268" s="59"/>
      <c r="F268" s="59"/>
      <c r="G268" s="541">
        <f t="shared" si="3"/>
        <v>0</v>
      </c>
      <c r="H268" s="59"/>
    </row>
    <row r="269" spans="1:8" ht="15.75" customHeight="1">
      <c r="A269" s="57"/>
      <c r="B269" s="57"/>
      <c r="C269" s="57"/>
      <c r="D269" s="58"/>
      <c r="E269" s="59"/>
      <c r="F269" s="59"/>
      <c r="G269" s="541">
        <f t="shared" si="3"/>
        <v>0</v>
      </c>
      <c r="H269" s="59"/>
    </row>
    <row r="270" spans="1:8" ht="15.75" customHeight="1">
      <c r="A270" s="57"/>
      <c r="B270" s="57"/>
      <c r="C270" s="57"/>
      <c r="D270" s="58"/>
      <c r="E270" s="59"/>
      <c r="F270" s="59"/>
      <c r="G270" s="541">
        <f t="shared" si="3"/>
        <v>0</v>
      </c>
      <c r="H270" s="59"/>
    </row>
    <row r="271" spans="1:8" ht="15.75" customHeight="1">
      <c r="A271" s="57"/>
      <c r="B271" s="57"/>
      <c r="C271" s="57"/>
      <c r="D271" s="58"/>
      <c r="E271" s="59"/>
      <c r="F271" s="59"/>
      <c r="G271" s="541">
        <f t="shared" si="3"/>
        <v>0</v>
      </c>
      <c r="H271" s="59"/>
    </row>
    <row r="272" spans="1:8" ht="15.75" customHeight="1">
      <c r="A272" s="57"/>
      <c r="B272" s="57"/>
      <c r="C272" s="57"/>
      <c r="D272" s="58"/>
      <c r="E272" s="59"/>
      <c r="F272" s="59"/>
      <c r="G272" s="541">
        <f t="shared" si="3"/>
        <v>0</v>
      </c>
      <c r="H272" s="59"/>
    </row>
    <row r="273" spans="1:8" ht="15.75" customHeight="1">
      <c r="A273" s="57"/>
      <c r="B273" s="57"/>
      <c r="C273" s="57"/>
      <c r="D273" s="58"/>
      <c r="E273" s="59"/>
      <c r="F273" s="59"/>
      <c r="G273" s="541">
        <f t="shared" si="3"/>
        <v>0</v>
      </c>
      <c r="H273" s="59"/>
    </row>
    <row r="274" spans="1:8" ht="15.75" customHeight="1">
      <c r="A274" s="57"/>
      <c r="B274" s="57"/>
      <c r="C274" s="57"/>
      <c r="D274" s="58"/>
      <c r="E274" s="59"/>
      <c r="F274" s="59"/>
      <c r="G274" s="541">
        <f t="shared" si="3"/>
        <v>0</v>
      </c>
      <c r="H274" s="59"/>
    </row>
    <row r="275" spans="1:8" ht="15.75" customHeight="1">
      <c r="A275" s="57"/>
      <c r="B275" s="57"/>
      <c r="C275" s="57"/>
      <c r="D275" s="58"/>
      <c r="E275" s="59"/>
      <c r="F275" s="59"/>
      <c r="G275" s="541">
        <f t="shared" si="3"/>
        <v>0</v>
      </c>
      <c r="H275" s="59"/>
    </row>
    <row r="276" spans="1:8" ht="15.75" customHeight="1">
      <c r="A276" s="57"/>
      <c r="B276" s="57"/>
      <c r="C276" s="57"/>
      <c r="D276" s="58"/>
      <c r="E276" s="59"/>
      <c r="F276" s="59"/>
      <c r="G276" s="541">
        <f t="shared" si="3"/>
        <v>0</v>
      </c>
      <c r="H276" s="59"/>
    </row>
    <row r="277" spans="1:8" ht="15.75" customHeight="1">
      <c r="A277" s="57"/>
      <c r="B277" s="57"/>
      <c r="C277" s="57"/>
      <c r="D277" s="58"/>
      <c r="E277" s="59"/>
      <c r="F277" s="59"/>
      <c r="G277" s="541">
        <f t="shared" si="3"/>
        <v>0</v>
      </c>
      <c r="H277" s="59"/>
    </row>
    <row r="278" spans="1:8" ht="15.75" customHeight="1">
      <c r="A278" s="57"/>
      <c r="B278" s="57"/>
      <c r="C278" s="57"/>
      <c r="D278" s="58"/>
      <c r="E278" s="59"/>
      <c r="F278" s="59"/>
      <c r="G278" s="541">
        <f t="shared" si="3"/>
        <v>0</v>
      </c>
      <c r="H278" s="59"/>
    </row>
    <row r="279" spans="1:8" ht="15.75" customHeight="1">
      <c r="A279" s="57"/>
      <c r="B279" s="57"/>
      <c r="C279" s="57"/>
      <c r="D279" s="58"/>
      <c r="E279" s="59"/>
      <c r="F279" s="59"/>
      <c r="G279" s="541">
        <f t="shared" si="3"/>
        <v>0</v>
      </c>
      <c r="H279" s="59"/>
    </row>
    <row r="280" spans="1:8" ht="15.75" customHeight="1">
      <c r="A280" s="57"/>
      <c r="B280" s="57"/>
      <c r="C280" s="57"/>
      <c r="D280" s="58"/>
      <c r="E280" s="59"/>
      <c r="F280" s="59"/>
      <c r="G280" s="541">
        <f t="shared" si="3"/>
        <v>0</v>
      </c>
      <c r="H280" s="59"/>
    </row>
    <row r="281" spans="1:8" ht="15.75" customHeight="1">
      <c r="A281" s="57"/>
      <c r="B281" s="57"/>
      <c r="C281" s="57"/>
      <c r="D281" s="58"/>
      <c r="E281" s="59"/>
      <c r="F281" s="59"/>
      <c r="G281" s="541">
        <f t="shared" si="3"/>
        <v>0</v>
      </c>
      <c r="H281" s="59"/>
    </row>
    <row r="282" spans="1:8" ht="15.75" customHeight="1">
      <c r="A282" s="57"/>
      <c r="B282" s="57"/>
      <c r="C282" s="57"/>
      <c r="D282" s="58"/>
      <c r="E282" s="59"/>
      <c r="F282" s="59"/>
      <c r="G282" s="541">
        <f t="shared" si="3"/>
        <v>0</v>
      </c>
      <c r="H282" s="59"/>
    </row>
    <row r="283" spans="1:8" ht="15.75" customHeight="1">
      <c r="A283" s="57"/>
      <c r="B283" s="57"/>
      <c r="C283" s="57"/>
      <c r="D283" s="58"/>
      <c r="E283" s="59"/>
      <c r="F283" s="59"/>
      <c r="G283" s="541">
        <f t="shared" si="3"/>
        <v>0</v>
      </c>
      <c r="H283" s="59"/>
    </row>
    <row r="284" spans="1:8" ht="15.75" customHeight="1">
      <c r="A284" s="57"/>
      <c r="B284" s="57"/>
      <c r="C284" s="57"/>
      <c r="D284" s="58"/>
      <c r="E284" s="59"/>
      <c r="F284" s="59"/>
      <c r="G284" s="541">
        <f t="shared" si="3"/>
        <v>0</v>
      </c>
      <c r="H284" s="59"/>
    </row>
    <row r="285" spans="1:8" ht="15.75" customHeight="1">
      <c r="A285" s="57"/>
      <c r="B285" s="57"/>
      <c r="C285" s="57"/>
      <c r="D285" s="58"/>
      <c r="E285" s="59"/>
      <c r="F285" s="59"/>
      <c r="G285" s="541">
        <f t="shared" si="3"/>
        <v>0</v>
      </c>
      <c r="H285" s="59"/>
    </row>
    <row r="286" spans="1:8" ht="15.75" customHeight="1">
      <c r="A286" s="57"/>
      <c r="B286" s="57"/>
      <c r="C286" s="57"/>
      <c r="D286" s="58"/>
      <c r="E286" s="59"/>
      <c r="F286" s="59"/>
      <c r="G286" s="541">
        <f t="shared" si="3"/>
        <v>0</v>
      </c>
      <c r="H286" s="59"/>
    </row>
    <row r="287" spans="1:8" ht="15.75" customHeight="1">
      <c r="A287" s="57"/>
      <c r="B287" s="57"/>
      <c r="C287" s="57"/>
      <c r="D287" s="58"/>
      <c r="E287" s="59"/>
      <c r="F287" s="59"/>
      <c r="G287" s="541">
        <f t="shared" si="3"/>
        <v>0</v>
      </c>
      <c r="H287" s="59"/>
    </row>
    <row r="288" spans="1:8" ht="15.75" customHeight="1">
      <c r="A288" s="57"/>
      <c r="B288" s="57"/>
      <c r="C288" s="57"/>
      <c r="D288" s="58"/>
      <c r="E288" s="59"/>
      <c r="F288" s="59"/>
      <c r="G288" s="541">
        <f t="shared" si="3"/>
        <v>0</v>
      </c>
      <c r="H288" s="59"/>
    </row>
    <row r="289" spans="1:8" ht="15.75" customHeight="1">
      <c r="A289" s="57"/>
      <c r="B289" s="57"/>
      <c r="C289" s="57"/>
      <c r="D289" s="58"/>
      <c r="E289" s="59"/>
      <c r="F289" s="59"/>
      <c r="G289" s="541">
        <f t="shared" si="3"/>
        <v>0</v>
      </c>
      <c r="H289" s="59"/>
    </row>
    <row r="290" spans="1:8" ht="15.75" customHeight="1">
      <c r="A290" s="57"/>
      <c r="B290" s="57"/>
      <c r="C290" s="57"/>
      <c r="D290" s="58"/>
      <c r="E290" s="59"/>
      <c r="F290" s="59"/>
      <c r="G290" s="541">
        <f t="shared" si="3"/>
        <v>0</v>
      </c>
      <c r="H290" s="59"/>
    </row>
    <row r="291" spans="1:8" ht="15.75" customHeight="1">
      <c r="A291" s="57"/>
      <c r="B291" s="57"/>
      <c r="C291" s="57"/>
      <c r="D291" s="58"/>
      <c r="E291" s="59"/>
      <c r="F291" s="59"/>
      <c r="G291" s="541">
        <f t="shared" si="3"/>
        <v>0</v>
      </c>
      <c r="H291" s="59"/>
    </row>
    <row r="292" spans="1:8" ht="15.75" customHeight="1">
      <c r="A292" s="57"/>
      <c r="B292" s="57"/>
      <c r="C292" s="57"/>
      <c r="D292" s="58"/>
      <c r="E292" s="59"/>
      <c r="F292" s="59"/>
      <c r="G292" s="541">
        <f t="shared" si="3"/>
        <v>0</v>
      </c>
      <c r="H292" s="59"/>
    </row>
    <row r="293" spans="1:8" ht="15.75" customHeight="1">
      <c r="A293" s="57"/>
      <c r="B293" s="57"/>
      <c r="C293" s="57"/>
      <c r="D293" s="58"/>
      <c r="E293" s="59"/>
      <c r="F293" s="59"/>
      <c r="G293" s="541">
        <f t="shared" si="3"/>
        <v>0</v>
      </c>
      <c r="H293" s="59"/>
    </row>
    <row r="294" spans="1:8" ht="15.75" customHeight="1">
      <c r="A294" s="57"/>
      <c r="B294" s="57"/>
      <c r="C294" s="57"/>
      <c r="D294" s="58"/>
      <c r="E294" s="59"/>
      <c r="F294" s="59"/>
      <c r="G294" s="541">
        <f t="shared" si="3"/>
        <v>0</v>
      </c>
      <c r="H294" s="59"/>
    </row>
    <row r="295" spans="1:8" ht="15.75" customHeight="1">
      <c r="A295" s="57"/>
      <c r="B295" s="57"/>
      <c r="C295" s="57"/>
      <c r="D295" s="58"/>
      <c r="E295" s="59"/>
      <c r="F295" s="59"/>
      <c r="G295" s="541">
        <f t="shared" si="3"/>
        <v>0</v>
      </c>
      <c r="H295" s="59"/>
    </row>
    <row r="296" spans="1:8" ht="15.75" customHeight="1">
      <c r="A296" s="57"/>
      <c r="B296" s="57"/>
      <c r="C296" s="57"/>
      <c r="D296" s="58"/>
      <c r="E296" s="59"/>
      <c r="F296" s="59"/>
      <c r="G296" s="541">
        <f t="shared" si="3"/>
        <v>0</v>
      </c>
      <c r="H296" s="59"/>
    </row>
    <row r="297" spans="1:8" ht="15.75" customHeight="1">
      <c r="A297" s="57"/>
      <c r="B297" s="57"/>
      <c r="C297" s="57"/>
      <c r="D297" s="58"/>
      <c r="E297" s="59"/>
      <c r="F297" s="59"/>
      <c r="G297" s="541">
        <f t="shared" si="3"/>
        <v>0</v>
      </c>
      <c r="H297" s="59"/>
    </row>
    <row r="298" spans="1:8" ht="15.75" customHeight="1">
      <c r="A298" s="57"/>
      <c r="B298" s="57"/>
      <c r="C298" s="57"/>
      <c r="D298" s="58"/>
      <c r="E298" s="59"/>
      <c r="F298" s="59"/>
      <c r="G298" s="541">
        <f t="shared" si="3"/>
        <v>0</v>
      </c>
      <c r="H298" s="59"/>
    </row>
    <row r="299" spans="1:8" ht="15.75" customHeight="1">
      <c r="A299" s="57"/>
      <c r="B299" s="57"/>
      <c r="C299" s="57"/>
      <c r="D299" s="58"/>
      <c r="E299" s="59"/>
      <c r="F299" s="59"/>
      <c r="G299" s="541">
        <f t="shared" si="3"/>
        <v>0</v>
      </c>
      <c r="H299" s="59"/>
    </row>
    <row r="300" spans="1:8" ht="15.75" customHeight="1">
      <c r="A300" s="57"/>
      <c r="B300" s="57"/>
      <c r="C300" s="57"/>
      <c r="D300" s="58"/>
      <c r="E300" s="59"/>
      <c r="F300" s="59"/>
      <c r="G300" s="541">
        <f t="shared" si="3"/>
        <v>0</v>
      </c>
      <c r="H300" s="59"/>
    </row>
    <row r="301" spans="1:8" ht="15.75" customHeight="1">
      <c r="A301" s="57"/>
      <c r="B301" s="57"/>
      <c r="C301" s="57"/>
      <c r="D301" s="58"/>
      <c r="E301" s="59"/>
      <c r="F301" s="59"/>
      <c r="G301" s="541">
        <f t="shared" si="3"/>
        <v>0</v>
      </c>
      <c r="H301" s="59"/>
    </row>
    <row r="302" spans="1:8" ht="15.75" customHeight="1">
      <c r="A302" s="57"/>
      <c r="B302" s="57"/>
      <c r="C302" s="57"/>
      <c r="D302" s="58"/>
      <c r="E302" s="59"/>
      <c r="F302" s="59"/>
      <c r="G302" s="541">
        <f t="shared" si="3"/>
        <v>0</v>
      </c>
      <c r="H302" s="59"/>
    </row>
    <row r="303" spans="1:8" ht="15.75" customHeight="1">
      <c r="A303" s="57"/>
      <c r="B303" s="57"/>
      <c r="C303" s="57"/>
      <c r="D303" s="58"/>
      <c r="E303" s="59"/>
      <c r="F303" s="59"/>
      <c r="G303" s="541">
        <f t="shared" si="3"/>
        <v>0</v>
      </c>
      <c r="H303" s="59"/>
    </row>
    <row r="304" spans="1:8" ht="15.75" customHeight="1">
      <c r="A304" s="57"/>
      <c r="B304" s="57"/>
      <c r="C304" s="57"/>
      <c r="D304" s="58"/>
      <c r="E304" s="59"/>
      <c r="F304" s="59"/>
      <c r="G304" s="541">
        <f t="shared" si="3"/>
        <v>0</v>
      </c>
      <c r="H304" s="59"/>
    </row>
    <row r="305" spans="1:8" ht="15.75" customHeight="1">
      <c r="A305" s="57"/>
      <c r="B305" s="57"/>
      <c r="C305" s="57"/>
      <c r="D305" s="58"/>
      <c r="E305" s="59"/>
      <c r="F305" s="59"/>
      <c r="G305" s="541">
        <f t="shared" si="3"/>
        <v>0</v>
      </c>
      <c r="H305" s="59"/>
    </row>
    <row r="306" spans="1:8" ht="15.75" customHeight="1">
      <c r="A306" s="57"/>
      <c r="B306" s="57"/>
      <c r="C306" s="57"/>
      <c r="D306" s="58"/>
      <c r="E306" s="59"/>
      <c r="F306" s="59"/>
      <c r="G306" s="541">
        <f t="shared" si="3"/>
        <v>0</v>
      </c>
      <c r="H306" s="59"/>
    </row>
    <row r="307" spans="1:8" ht="15.75" customHeight="1">
      <c r="A307" s="57"/>
      <c r="B307" s="57"/>
      <c r="C307" s="57"/>
      <c r="D307" s="58"/>
      <c r="E307" s="59"/>
      <c r="F307" s="59"/>
      <c r="G307" s="541">
        <f t="shared" si="3"/>
        <v>0</v>
      </c>
      <c r="H307" s="59"/>
    </row>
    <row r="308" spans="1:8" ht="15.75" customHeight="1">
      <c r="A308" s="57"/>
      <c r="B308" s="57"/>
      <c r="C308" s="57"/>
      <c r="D308" s="58"/>
      <c r="E308" s="59"/>
      <c r="F308" s="59"/>
      <c r="G308" s="541">
        <f t="shared" si="3"/>
        <v>0</v>
      </c>
      <c r="H308" s="59"/>
    </row>
    <row r="309" spans="1:8" ht="15.75" customHeight="1">
      <c r="A309" s="57"/>
      <c r="B309" s="57"/>
      <c r="C309" s="57"/>
      <c r="D309" s="58"/>
      <c r="E309" s="59"/>
      <c r="F309" s="59"/>
      <c r="G309" s="541">
        <f t="shared" si="3"/>
        <v>0</v>
      </c>
      <c r="H309" s="59"/>
    </row>
    <row r="310" spans="1:8" ht="15.75" customHeight="1">
      <c r="A310" s="57"/>
      <c r="B310" s="57"/>
      <c r="C310" s="57"/>
      <c r="D310" s="58"/>
      <c r="E310" s="59"/>
      <c r="F310" s="59"/>
      <c r="G310" s="541">
        <f t="shared" si="3"/>
        <v>0</v>
      </c>
      <c r="H310" s="59"/>
    </row>
    <row r="311" spans="1:8" ht="15.75" customHeight="1">
      <c r="A311" s="57"/>
      <c r="B311" s="57"/>
      <c r="C311" s="57"/>
      <c r="D311" s="58"/>
      <c r="E311" s="59"/>
      <c r="F311" s="59"/>
      <c r="G311" s="541">
        <f t="shared" si="3"/>
        <v>0</v>
      </c>
      <c r="H311" s="59"/>
    </row>
    <row r="312" spans="1:8" ht="15.75" customHeight="1">
      <c r="A312" s="57"/>
      <c r="B312" s="57"/>
      <c r="C312" s="57"/>
      <c r="D312" s="58"/>
      <c r="E312" s="59"/>
      <c r="F312" s="59"/>
      <c r="G312" s="541">
        <f t="shared" si="3"/>
        <v>0</v>
      </c>
      <c r="H312" s="59"/>
    </row>
    <row r="313" spans="1:8" ht="15.75" customHeight="1">
      <c r="A313" s="57"/>
      <c r="B313" s="57"/>
      <c r="C313" s="57"/>
      <c r="D313" s="58"/>
      <c r="E313" s="59"/>
      <c r="F313" s="59"/>
      <c r="G313" s="541">
        <f t="shared" si="3"/>
        <v>0</v>
      </c>
      <c r="H313" s="59"/>
    </row>
    <row r="314" spans="1:8" ht="15.75" customHeight="1">
      <c r="A314" s="57"/>
      <c r="B314" s="57"/>
      <c r="C314" s="57"/>
      <c r="D314" s="58"/>
      <c r="E314" s="59"/>
      <c r="F314" s="59"/>
      <c r="G314" s="541">
        <f t="shared" si="3"/>
        <v>0</v>
      </c>
      <c r="H314" s="59"/>
    </row>
    <row r="315" spans="1:8" ht="15.75" customHeight="1">
      <c r="A315" s="57"/>
      <c r="B315" s="57"/>
      <c r="C315" s="57"/>
      <c r="D315" s="58"/>
      <c r="E315" s="59"/>
      <c r="F315" s="59"/>
      <c r="G315" s="541">
        <f t="shared" si="3"/>
        <v>0</v>
      </c>
      <c r="H315" s="59"/>
    </row>
    <row r="316" spans="1:8" ht="15.75" customHeight="1">
      <c r="A316" s="57"/>
      <c r="B316" s="57"/>
      <c r="C316" s="57"/>
      <c r="D316" s="58"/>
      <c r="E316" s="59"/>
      <c r="F316" s="59"/>
      <c r="G316" s="541">
        <f t="shared" si="3"/>
        <v>0</v>
      </c>
      <c r="H316" s="59"/>
    </row>
    <row r="317" spans="1:8" ht="15.75" customHeight="1">
      <c r="A317" s="57"/>
      <c r="B317" s="57"/>
      <c r="C317" s="57"/>
      <c r="D317" s="58"/>
      <c r="E317" s="59"/>
      <c r="F317" s="59"/>
      <c r="G317" s="541">
        <f t="shared" si="3"/>
        <v>0</v>
      </c>
      <c r="H317" s="59"/>
    </row>
    <row r="318" spans="1:8" ht="15.75" customHeight="1">
      <c r="A318" s="57"/>
      <c r="B318" s="57"/>
      <c r="C318" s="57"/>
      <c r="D318" s="58"/>
      <c r="E318" s="59"/>
      <c r="F318" s="59"/>
      <c r="G318" s="541">
        <f t="shared" si="3"/>
        <v>0</v>
      </c>
      <c r="H318" s="59"/>
    </row>
    <row r="319" spans="1:8" ht="15.75" customHeight="1">
      <c r="A319" s="57"/>
      <c r="B319" s="57"/>
      <c r="C319" s="57"/>
      <c r="D319" s="58"/>
      <c r="E319" s="59"/>
      <c r="F319" s="59"/>
      <c r="G319" s="541">
        <f t="shared" si="3"/>
        <v>0</v>
      </c>
      <c r="H319" s="59"/>
    </row>
    <row r="320" spans="1:8" ht="15.75" customHeight="1">
      <c r="A320" s="57"/>
      <c r="B320" s="57"/>
      <c r="C320" s="57"/>
      <c r="D320" s="58"/>
      <c r="E320" s="59"/>
      <c r="F320" s="59"/>
      <c r="G320" s="541">
        <f t="shared" si="3"/>
        <v>0</v>
      </c>
      <c r="H320" s="59"/>
    </row>
    <row r="321" spans="1:8" ht="15.75" customHeight="1">
      <c r="A321" s="57"/>
      <c r="B321" s="57"/>
      <c r="C321" s="57"/>
      <c r="D321" s="58"/>
      <c r="E321" s="59"/>
      <c r="F321" s="59"/>
      <c r="G321" s="541">
        <f t="shared" si="3"/>
        <v>0</v>
      </c>
      <c r="H321" s="59"/>
    </row>
    <row r="322" spans="1:8" ht="15.75" customHeight="1">
      <c r="A322" s="57"/>
      <c r="B322" s="57"/>
      <c r="C322" s="57"/>
      <c r="D322" s="58"/>
      <c r="E322" s="59"/>
      <c r="F322" s="59"/>
      <c r="G322" s="541">
        <f t="shared" si="3"/>
        <v>0</v>
      </c>
      <c r="H322" s="59"/>
    </row>
    <row r="323" spans="1:8" ht="15.75" customHeight="1">
      <c r="A323" s="57"/>
      <c r="B323" s="57"/>
      <c r="C323" s="57"/>
      <c r="D323" s="58"/>
      <c r="E323" s="59"/>
      <c r="F323" s="59"/>
      <c r="G323" s="541">
        <f t="shared" si="3"/>
        <v>0</v>
      </c>
      <c r="H323" s="59"/>
    </row>
    <row r="324" spans="1:8" ht="15.75" customHeight="1">
      <c r="A324" s="57"/>
      <c r="B324" s="57"/>
      <c r="C324" s="57"/>
      <c r="D324" s="58"/>
      <c r="E324" s="59"/>
      <c r="F324" s="59"/>
      <c r="G324" s="541">
        <f t="shared" si="3"/>
        <v>0</v>
      </c>
      <c r="H324" s="59"/>
    </row>
    <row r="325" spans="1:8" ht="15.75" customHeight="1">
      <c r="A325" s="57"/>
      <c r="B325" s="57"/>
      <c r="C325" s="57"/>
      <c r="D325" s="58"/>
      <c r="E325" s="59"/>
      <c r="F325" s="59"/>
      <c r="G325" s="541">
        <f t="shared" si="3"/>
        <v>0</v>
      </c>
      <c r="H325" s="59"/>
    </row>
    <row r="326" spans="1:8" ht="15.75" customHeight="1">
      <c r="A326" s="57"/>
      <c r="B326" s="57"/>
      <c r="C326" s="57"/>
      <c r="D326" s="58"/>
      <c r="E326" s="59"/>
      <c r="F326" s="59"/>
      <c r="G326" s="541">
        <f t="shared" si="3"/>
        <v>0</v>
      </c>
      <c r="H326" s="59"/>
    </row>
    <row r="327" spans="1:8" ht="15.75" customHeight="1">
      <c r="A327" s="57"/>
      <c r="B327" s="57"/>
      <c r="C327" s="57"/>
      <c r="D327" s="58"/>
      <c r="E327" s="59"/>
      <c r="F327" s="59"/>
      <c r="G327" s="541">
        <f t="shared" si="3"/>
        <v>0</v>
      </c>
      <c r="H327" s="59"/>
    </row>
    <row r="328" spans="1:8" ht="15.75" customHeight="1">
      <c r="A328" s="57"/>
      <c r="B328" s="57"/>
      <c r="C328" s="57"/>
      <c r="D328" s="58"/>
      <c r="E328" s="59"/>
      <c r="F328" s="59"/>
      <c r="G328" s="541">
        <f t="shared" si="3"/>
        <v>0</v>
      </c>
      <c r="H328" s="59"/>
    </row>
    <row r="329" spans="1:8" ht="15.75" customHeight="1">
      <c r="A329" s="57"/>
      <c r="B329" s="57"/>
      <c r="C329" s="57"/>
      <c r="D329" s="58"/>
      <c r="E329" s="59"/>
      <c r="F329" s="59"/>
      <c r="G329" s="541">
        <f t="shared" si="3"/>
        <v>0</v>
      </c>
      <c r="H329" s="59"/>
    </row>
    <row r="330" spans="1:8" ht="15.75" customHeight="1">
      <c r="A330" s="57"/>
      <c r="B330" s="57"/>
      <c r="C330" s="57"/>
      <c r="D330" s="58"/>
      <c r="E330" s="59"/>
      <c r="F330" s="59"/>
      <c r="G330" s="541">
        <f t="shared" si="3"/>
        <v>0</v>
      </c>
      <c r="H330" s="59"/>
    </row>
    <row r="331" spans="1:8" ht="15.75" customHeight="1">
      <c r="A331" s="57"/>
      <c r="B331" s="57"/>
      <c r="C331" s="57"/>
      <c r="D331" s="58"/>
      <c r="E331" s="59"/>
      <c r="F331" s="59"/>
      <c r="G331" s="541">
        <f t="shared" si="3"/>
        <v>0</v>
      </c>
      <c r="H331" s="59"/>
    </row>
    <row r="332" spans="1:8" ht="15.75" customHeight="1">
      <c r="A332" s="57"/>
      <c r="B332" s="57"/>
      <c r="C332" s="57"/>
      <c r="D332" s="58"/>
      <c r="E332" s="59"/>
      <c r="F332" s="59"/>
      <c r="G332" s="541">
        <f t="shared" si="3"/>
        <v>0</v>
      </c>
      <c r="H332" s="59"/>
    </row>
    <row r="333" spans="1:8" ht="15.75" customHeight="1">
      <c r="A333" s="57"/>
      <c r="B333" s="57"/>
      <c r="C333" s="57"/>
      <c r="D333" s="58"/>
      <c r="E333" s="59"/>
      <c r="F333" s="59"/>
      <c r="G333" s="541">
        <f t="shared" si="3"/>
        <v>0</v>
      </c>
      <c r="H333" s="59"/>
    </row>
    <row r="334" spans="1:8" ht="15.75" customHeight="1">
      <c r="A334" s="57"/>
      <c r="B334" s="57"/>
      <c r="C334" s="57"/>
      <c r="D334" s="58"/>
      <c r="E334" s="59"/>
      <c r="F334" s="59"/>
      <c r="G334" s="541">
        <f t="shared" si="3"/>
        <v>0</v>
      </c>
      <c r="H334" s="59"/>
    </row>
    <row r="335" spans="1:8" ht="15.75" customHeight="1">
      <c r="A335" s="57"/>
      <c r="B335" s="57"/>
      <c r="C335" s="57"/>
      <c r="D335" s="58"/>
      <c r="E335" s="59"/>
      <c r="F335" s="59"/>
      <c r="G335" s="541">
        <f t="shared" si="3"/>
        <v>0</v>
      </c>
      <c r="H335" s="59"/>
    </row>
    <row r="336" spans="1:8" ht="15.75" customHeight="1">
      <c r="A336" s="57"/>
      <c r="B336" s="57"/>
      <c r="C336" s="57"/>
      <c r="D336" s="58"/>
      <c r="E336" s="59"/>
      <c r="F336" s="59"/>
      <c r="G336" s="541">
        <f t="shared" si="3"/>
        <v>0</v>
      </c>
      <c r="H336" s="59"/>
    </row>
    <row r="337" spans="1:8" ht="15.75" customHeight="1">
      <c r="A337" s="57"/>
      <c r="B337" s="57"/>
      <c r="C337" s="57"/>
      <c r="D337" s="58"/>
      <c r="E337" s="59"/>
      <c r="F337" s="59"/>
      <c r="G337" s="541">
        <f t="shared" si="3"/>
        <v>0</v>
      </c>
      <c r="H337" s="59"/>
    </row>
    <row r="338" spans="1:8" ht="15.75" customHeight="1">
      <c r="A338" s="57"/>
      <c r="B338" s="57"/>
      <c r="C338" s="57"/>
      <c r="D338" s="58"/>
      <c r="E338" s="59"/>
      <c r="F338" s="59"/>
      <c r="G338" s="541">
        <f t="shared" si="3"/>
        <v>0</v>
      </c>
      <c r="H338" s="59"/>
    </row>
    <row r="339" spans="1:8" ht="15.75" customHeight="1">
      <c r="A339" s="57"/>
      <c r="B339" s="57"/>
      <c r="C339" s="57"/>
      <c r="D339" s="58"/>
      <c r="E339" s="59"/>
      <c r="F339" s="59"/>
      <c r="G339" s="541">
        <f t="shared" si="3"/>
        <v>0</v>
      </c>
      <c r="H339" s="59"/>
    </row>
    <row r="340" spans="1:8" ht="15.75" customHeight="1">
      <c r="A340" s="57"/>
      <c r="B340" s="57"/>
      <c r="C340" s="57"/>
      <c r="D340" s="58"/>
      <c r="E340" s="59"/>
      <c r="F340" s="59"/>
      <c r="G340" s="541">
        <f t="shared" si="3"/>
        <v>0</v>
      </c>
      <c r="H340" s="59"/>
    </row>
    <row r="341" spans="1:8" ht="15.75" customHeight="1">
      <c r="A341" s="57"/>
      <c r="B341" s="57"/>
      <c r="C341" s="57"/>
      <c r="D341" s="58"/>
      <c r="E341" s="59"/>
      <c r="F341" s="59"/>
      <c r="G341" s="541">
        <f t="shared" si="3"/>
        <v>0</v>
      </c>
      <c r="H341" s="59"/>
    </row>
    <row r="342" spans="1:8" ht="15.75" customHeight="1">
      <c r="A342" s="57"/>
      <c r="B342" s="57"/>
      <c r="C342" s="57"/>
      <c r="D342" s="58"/>
      <c r="E342" s="59"/>
      <c r="F342" s="59"/>
      <c r="G342" s="541">
        <f t="shared" si="3"/>
        <v>0</v>
      </c>
      <c r="H342" s="59"/>
    </row>
    <row r="343" spans="1:8" ht="15.75" customHeight="1">
      <c r="A343" s="57"/>
      <c r="B343" s="57"/>
      <c r="C343" s="57"/>
      <c r="D343" s="58"/>
      <c r="E343" s="59"/>
      <c r="F343" s="59"/>
      <c r="G343" s="541">
        <f t="shared" si="3"/>
        <v>0</v>
      </c>
      <c r="H343" s="59"/>
    </row>
    <row r="344" spans="1:8" ht="15.75" customHeight="1">
      <c r="A344" s="57"/>
      <c r="B344" s="57"/>
      <c r="C344" s="57"/>
      <c r="D344" s="58"/>
      <c r="E344" s="59"/>
      <c r="F344" s="59"/>
      <c r="G344" s="541">
        <f t="shared" si="3"/>
        <v>0</v>
      </c>
      <c r="H344" s="59"/>
    </row>
    <row r="345" spans="1:8" ht="15.75" customHeight="1">
      <c r="A345" s="57"/>
      <c r="B345" s="57"/>
      <c r="C345" s="57"/>
      <c r="D345" s="58"/>
      <c r="E345" s="59"/>
      <c r="F345" s="59"/>
      <c r="G345" s="541">
        <f t="shared" si="3"/>
        <v>0</v>
      </c>
      <c r="H345" s="59"/>
    </row>
    <row r="346" spans="1:8" ht="15.75" customHeight="1">
      <c r="A346" s="57"/>
      <c r="B346" s="57"/>
      <c r="C346" s="57"/>
      <c r="D346" s="58"/>
      <c r="E346" s="59"/>
      <c r="F346" s="59"/>
      <c r="G346" s="541">
        <f t="shared" si="3"/>
        <v>0</v>
      </c>
      <c r="H346" s="59"/>
    </row>
    <row r="347" spans="1:8" ht="15.75" customHeight="1">
      <c r="A347" s="57"/>
      <c r="B347" s="57"/>
      <c r="C347" s="57"/>
      <c r="D347" s="58"/>
      <c r="E347" s="59"/>
      <c r="F347" s="59"/>
      <c r="G347" s="541">
        <f t="shared" si="3"/>
        <v>0</v>
      </c>
      <c r="H347" s="59"/>
    </row>
    <row r="348" spans="1:8" ht="15.75" customHeight="1">
      <c r="A348" s="57"/>
      <c r="B348" s="57"/>
      <c r="C348" s="57"/>
      <c r="D348" s="58"/>
      <c r="E348" s="59"/>
      <c r="F348" s="59"/>
      <c r="G348" s="541">
        <f t="shared" si="3"/>
        <v>0</v>
      </c>
      <c r="H348" s="59"/>
    </row>
    <row r="349" spans="1:8" ht="15.75" customHeight="1">
      <c r="A349" s="57"/>
      <c r="B349" s="57"/>
      <c r="C349" s="57"/>
      <c r="D349" s="58"/>
      <c r="E349" s="59"/>
      <c r="F349" s="59"/>
      <c r="G349" s="541">
        <f t="shared" si="3"/>
        <v>0</v>
      </c>
      <c r="H349" s="59"/>
    </row>
    <row r="350" spans="1:8" ht="15.75" customHeight="1">
      <c r="A350" s="57"/>
      <c r="B350" s="57"/>
      <c r="C350" s="57"/>
      <c r="D350" s="58"/>
      <c r="E350" s="59"/>
      <c r="F350" s="59"/>
      <c r="G350" s="541">
        <f t="shared" si="3"/>
        <v>0</v>
      </c>
      <c r="H350" s="59"/>
    </row>
    <row r="351" spans="1:8" ht="15.75" customHeight="1">
      <c r="A351" s="57"/>
      <c r="B351" s="57"/>
      <c r="C351" s="57"/>
      <c r="D351" s="58"/>
      <c r="E351" s="59"/>
      <c r="F351" s="59"/>
      <c r="G351" s="541">
        <f t="shared" si="3"/>
        <v>0</v>
      </c>
      <c r="H351" s="59"/>
    </row>
    <row r="352" spans="1:8" ht="15.75" customHeight="1">
      <c r="A352" s="57"/>
      <c r="B352" s="57"/>
      <c r="C352" s="57"/>
      <c r="D352" s="58"/>
      <c r="E352" s="59"/>
      <c r="F352" s="59"/>
      <c r="G352" s="541">
        <f t="shared" si="3"/>
        <v>0</v>
      </c>
      <c r="H352" s="59"/>
    </row>
    <row r="353" spans="1:8" ht="15.75" customHeight="1">
      <c r="A353" s="57"/>
      <c r="B353" s="57"/>
      <c r="C353" s="57"/>
      <c r="D353" s="58"/>
      <c r="E353" s="59"/>
      <c r="F353" s="59"/>
      <c r="G353" s="541">
        <f t="shared" si="3"/>
        <v>0</v>
      </c>
      <c r="H353" s="59"/>
    </row>
    <row r="354" spans="1:8" ht="15.75" customHeight="1">
      <c r="A354" s="57"/>
      <c r="B354" s="57"/>
      <c r="C354" s="57"/>
      <c r="D354" s="58"/>
      <c r="E354" s="59"/>
      <c r="F354" s="59"/>
      <c r="G354" s="541">
        <f t="shared" si="3"/>
        <v>0</v>
      </c>
      <c r="H354" s="59"/>
    </row>
    <row r="355" spans="1:8" ht="15.75" customHeight="1">
      <c r="A355" s="57"/>
      <c r="B355" s="57"/>
      <c r="C355" s="57"/>
      <c r="D355" s="58"/>
      <c r="E355" s="59"/>
      <c r="F355" s="59"/>
      <c r="G355" s="541">
        <f t="shared" si="3"/>
        <v>0</v>
      </c>
      <c r="H355" s="59"/>
    </row>
    <row r="356" spans="1:8" ht="15.75" customHeight="1">
      <c r="A356" s="57"/>
      <c r="B356" s="57"/>
      <c r="C356" s="57"/>
      <c r="D356" s="58"/>
      <c r="E356" s="59"/>
      <c r="F356" s="59"/>
      <c r="G356" s="541">
        <f t="shared" si="3"/>
        <v>0</v>
      </c>
      <c r="H356" s="59"/>
    </row>
    <row r="357" spans="1:8" ht="15.75" customHeight="1">
      <c r="A357" s="57"/>
      <c r="B357" s="57"/>
      <c r="C357" s="57"/>
      <c r="D357" s="58"/>
      <c r="E357" s="59"/>
      <c r="F357" s="59"/>
      <c r="G357" s="541">
        <f t="shared" si="3"/>
        <v>0</v>
      </c>
      <c r="H357" s="59"/>
    </row>
    <row r="358" spans="1:8" ht="15.75" customHeight="1">
      <c r="A358" s="57"/>
      <c r="B358" s="57"/>
      <c r="C358" s="57"/>
      <c r="D358" s="58"/>
      <c r="E358" s="59"/>
      <c r="F358" s="59"/>
      <c r="G358" s="541">
        <f t="shared" si="3"/>
        <v>0</v>
      </c>
      <c r="H358" s="59"/>
    </row>
    <row r="359" spans="1:8" ht="15.75" customHeight="1">
      <c r="A359" s="57"/>
      <c r="B359" s="57"/>
      <c r="C359" s="57"/>
      <c r="D359" s="58"/>
      <c r="E359" s="59"/>
      <c r="F359" s="59"/>
      <c r="G359" s="541">
        <f t="shared" si="3"/>
        <v>0</v>
      </c>
      <c r="H359" s="59"/>
    </row>
    <row r="360" spans="1:8" ht="15.75" customHeight="1">
      <c r="A360" s="57"/>
      <c r="B360" s="57"/>
      <c r="C360" s="57"/>
      <c r="D360" s="58"/>
      <c r="E360" s="59"/>
      <c r="F360" s="59"/>
      <c r="G360" s="541">
        <f t="shared" si="3"/>
        <v>0</v>
      </c>
      <c r="H360" s="59"/>
    </row>
    <row r="361" spans="1:8" ht="15.75" customHeight="1">
      <c r="A361" s="57"/>
      <c r="B361" s="57"/>
      <c r="C361" s="57"/>
      <c r="D361" s="58"/>
      <c r="E361" s="59"/>
      <c r="F361" s="59"/>
      <c r="G361" s="541">
        <f t="shared" si="3"/>
        <v>0</v>
      </c>
      <c r="H361" s="59"/>
    </row>
    <row r="362" spans="1:8" ht="15.75" customHeight="1">
      <c r="A362" s="57"/>
      <c r="B362" s="57"/>
      <c r="C362" s="57"/>
      <c r="D362" s="58"/>
      <c r="E362" s="59"/>
      <c r="F362" s="59"/>
      <c r="G362" s="541">
        <f t="shared" si="3"/>
        <v>0</v>
      </c>
      <c r="H362" s="59"/>
    </row>
    <row r="363" spans="1:8" ht="15.75" customHeight="1">
      <c r="A363" s="57"/>
      <c r="B363" s="57"/>
      <c r="C363" s="57"/>
      <c r="D363" s="58"/>
      <c r="E363" s="59"/>
      <c r="F363" s="59"/>
      <c r="G363" s="541">
        <f t="shared" si="3"/>
        <v>0</v>
      </c>
      <c r="H363" s="59"/>
    </row>
    <row r="364" spans="1:8" ht="15.75" customHeight="1">
      <c r="A364" s="57"/>
      <c r="B364" s="57"/>
      <c r="C364" s="57"/>
      <c r="D364" s="58"/>
      <c r="E364" s="59"/>
      <c r="F364" s="59"/>
      <c r="G364" s="541">
        <f t="shared" si="3"/>
        <v>0</v>
      </c>
      <c r="H364" s="59"/>
    </row>
    <row r="365" spans="1:8" ht="15.75" customHeight="1">
      <c r="A365" s="57"/>
      <c r="B365" s="57"/>
      <c r="C365" s="57"/>
      <c r="D365" s="58"/>
      <c r="E365" s="59"/>
      <c r="F365" s="59"/>
      <c r="G365" s="541">
        <f t="shared" si="3"/>
        <v>0</v>
      </c>
      <c r="H365" s="59"/>
    </row>
    <row r="366" spans="1:8" ht="15.75" customHeight="1">
      <c r="A366" s="57"/>
      <c r="B366" s="57"/>
      <c r="C366" s="57"/>
      <c r="D366" s="58"/>
      <c r="E366" s="59"/>
      <c r="F366" s="59"/>
      <c r="G366" s="541">
        <f t="shared" si="3"/>
        <v>0</v>
      </c>
      <c r="H366" s="59"/>
    </row>
    <row r="367" spans="1:8" ht="15.75" customHeight="1">
      <c r="A367" s="57"/>
      <c r="B367" s="57"/>
      <c r="C367" s="57"/>
      <c r="D367" s="58"/>
      <c r="E367" s="59"/>
      <c r="F367" s="59"/>
      <c r="G367" s="541">
        <f t="shared" si="3"/>
        <v>0</v>
      </c>
      <c r="H367" s="59"/>
    </row>
    <row r="368" spans="1:8" ht="15.75" customHeight="1">
      <c r="A368" s="57"/>
      <c r="B368" s="57"/>
      <c r="C368" s="57"/>
      <c r="D368" s="58"/>
      <c r="E368" s="59"/>
      <c r="F368" s="59"/>
      <c r="G368" s="541">
        <f t="shared" si="3"/>
        <v>0</v>
      </c>
      <c r="H368" s="59"/>
    </row>
    <row r="369" spans="1:8" ht="15.75" customHeight="1">
      <c r="A369" s="57"/>
      <c r="B369" s="57"/>
      <c r="C369" s="57"/>
      <c r="D369" s="58"/>
      <c r="E369" s="59"/>
      <c r="F369" s="59"/>
      <c r="G369" s="541">
        <f t="shared" si="3"/>
        <v>0</v>
      </c>
      <c r="H369" s="59"/>
    </row>
    <row r="370" spans="1:8" ht="15.75" customHeight="1">
      <c r="A370" s="57"/>
      <c r="B370" s="57"/>
      <c r="C370" s="57"/>
      <c r="D370" s="58"/>
      <c r="E370" s="59"/>
      <c r="F370" s="59"/>
      <c r="G370" s="541">
        <f t="shared" si="3"/>
        <v>0</v>
      </c>
      <c r="H370" s="59"/>
    </row>
    <row r="371" spans="1:8" ht="15.75" customHeight="1">
      <c r="A371" s="57"/>
      <c r="B371" s="57"/>
      <c r="C371" s="57"/>
      <c r="D371" s="58"/>
      <c r="E371" s="59"/>
      <c r="F371" s="59"/>
      <c r="G371" s="541">
        <f t="shared" si="3"/>
        <v>0</v>
      </c>
      <c r="H371" s="59"/>
    </row>
    <row r="372" spans="1:8" ht="15.75" customHeight="1">
      <c r="A372" s="57"/>
      <c r="B372" s="57"/>
      <c r="C372" s="57"/>
      <c r="D372" s="58"/>
      <c r="E372" s="59"/>
      <c r="F372" s="59"/>
      <c r="G372" s="541">
        <f t="shared" si="3"/>
        <v>0</v>
      </c>
      <c r="H372" s="59"/>
    </row>
    <row r="373" spans="1:8" ht="15.75" customHeight="1">
      <c r="A373" s="57"/>
      <c r="B373" s="57"/>
      <c r="C373" s="57"/>
      <c r="D373" s="58"/>
      <c r="E373" s="59"/>
      <c r="F373" s="59"/>
      <c r="G373" s="541">
        <f t="shared" si="3"/>
        <v>0</v>
      </c>
      <c r="H373" s="59"/>
    </row>
    <row r="374" spans="1:8" ht="15.75" customHeight="1">
      <c r="A374" s="57"/>
      <c r="B374" s="57"/>
      <c r="C374" s="57"/>
      <c r="D374" s="58"/>
      <c r="E374" s="59"/>
      <c r="F374" s="59"/>
      <c r="G374" s="541">
        <f t="shared" si="3"/>
        <v>0</v>
      </c>
      <c r="H374" s="59"/>
    </row>
    <row r="375" spans="1:8" ht="15.75" customHeight="1">
      <c r="A375" s="57"/>
      <c r="B375" s="57"/>
      <c r="C375" s="57"/>
      <c r="D375" s="58"/>
      <c r="E375" s="59"/>
      <c r="F375" s="59"/>
      <c r="G375" s="541">
        <f t="shared" si="3"/>
        <v>0</v>
      </c>
      <c r="H375" s="59"/>
    </row>
    <row r="376" spans="1:8" ht="15.75" customHeight="1">
      <c r="A376" s="57"/>
      <c r="B376" s="57"/>
      <c r="C376" s="57"/>
      <c r="D376" s="58"/>
      <c r="E376" s="59"/>
      <c r="F376" s="59"/>
      <c r="G376" s="541">
        <f t="shared" si="3"/>
        <v>0</v>
      </c>
      <c r="H376" s="59"/>
    </row>
    <row r="377" spans="1:8" ht="15.75" customHeight="1">
      <c r="A377" s="57"/>
      <c r="B377" s="57"/>
      <c r="C377" s="57"/>
      <c r="D377" s="58"/>
      <c r="E377" s="59"/>
      <c r="F377" s="59"/>
      <c r="G377" s="541">
        <f t="shared" si="3"/>
        <v>0</v>
      </c>
      <c r="H377" s="59"/>
    </row>
    <row r="378" spans="1:8" ht="15.75" customHeight="1">
      <c r="A378" s="57"/>
      <c r="B378" s="57"/>
      <c r="C378" s="57"/>
      <c r="D378" s="58"/>
      <c r="E378" s="59"/>
      <c r="F378" s="59"/>
      <c r="G378" s="541">
        <f t="shared" si="3"/>
        <v>0</v>
      </c>
      <c r="H378" s="59"/>
    </row>
    <row r="379" spans="1:8" ht="15.75" customHeight="1">
      <c r="A379" s="57"/>
      <c r="B379" s="57"/>
      <c r="C379" s="57"/>
      <c r="D379" s="58"/>
      <c r="E379" s="59"/>
      <c r="F379" s="59"/>
      <c r="G379" s="541">
        <f t="shared" si="3"/>
        <v>0</v>
      </c>
      <c r="H379" s="59"/>
    </row>
    <row r="380" spans="1:8" ht="15.75" customHeight="1">
      <c r="A380" s="57"/>
      <c r="B380" s="57"/>
      <c r="C380" s="57"/>
      <c r="D380" s="58"/>
      <c r="E380" s="59"/>
      <c r="F380" s="59"/>
      <c r="G380" s="541">
        <f t="shared" si="3"/>
        <v>0</v>
      </c>
      <c r="H380" s="59"/>
    </row>
    <row r="381" spans="1:8" ht="15.75" customHeight="1">
      <c r="A381" s="57"/>
      <c r="B381" s="57"/>
      <c r="C381" s="57"/>
      <c r="D381" s="58"/>
      <c r="E381" s="59"/>
      <c r="F381" s="59"/>
      <c r="G381" s="541">
        <f t="shared" si="3"/>
        <v>0</v>
      </c>
      <c r="H381" s="59"/>
    </row>
    <row r="382" spans="1:8" ht="15.75" customHeight="1">
      <c r="A382" s="57"/>
      <c r="B382" s="57"/>
      <c r="C382" s="57"/>
      <c r="D382" s="58"/>
      <c r="E382" s="59"/>
      <c r="F382" s="59"/>
      <c r="G382" s="541">
        <f t="shared" si="3"/>
        <v>0</v>
      </c>
      <c r="H382" s="59"/>
    </row>
    <row r="383" spans="1:8" ht="15.75" customHeight="1">
      <c r="A383" s="57"/>
      <c r="B383" s="57"/>
      <c r="C383" s="57"/>
      <c r="D383" s="58"/>
      <c r="E383" s="59"/>
      <c r="F383" s="59"/>
      <c r="G383" s="541">
        <f t="shared" si="3"/>
        <v>0</v>
      </c>
      <c r="H383" s="59"/>
    </row>
    <row r="384" spans="1:8" ht="15.75" customHeight="1">
      <c r="A384" s="57"/>
      <c r="B384" s="57"/>
      <c r="C384" s="57"/>
      <c r="D384" s="58"/>
      <c r="E384" s="59"/>
      <c r="F384" s="59"/>
      <c r="G384" s="541">
        <f t="shared" si="3"/>
        <v>0</v>
      </c>
      <c r="H384" s="59"/>
    </row>
    <row r="385" spans="1:8" ht="15.75" customHeight="1">
      <c r="A385" s="57"/>
      <c r="B385" s="57"/>
      <c r="C385" s="57"/>
      <c r="D385" s="58"/>
      <c r="E385" s="59"/>
      <c r="F385" s="59"/>
      <c r="G385" s="541">
        <f t="shared" si="3"/>
        <v>0</v>
      </c>
      <c r="H385" s="59"/>
    </row>
    <row r="386" spans="1:8" ht="15.75" customHeight="1">
      <c r="A386" s="57"/>
      <c r="B386" s="57"/>
      <c r="C386" s="57"/>
      <c r="D386" s="58"/>
      <c r="E386" s="59"/>
      <c r="F386" s="59"/>
      <c r="G386" s="541">
        <f t="shared" si="3"/>
        <v>0</v>
      </c>
      <c r="H386" s="59"/>
    </row>
    <row r="387" spans="1:8" ht="15.75" customHeight="1">
      <c r="A387" s="57"/>
      <c r="B387" s="57"/>
      <c r="C387" s="57"/>
      <c r="D387" s="58"/>
      <c r="E387" s="59"/>
      <c r="F387" s="59"/>
      <c r="G387" s="541">
        <f t="shared" si="3"/>
        <v>0</v>
      </c>
      <c r="H387" s="59"/>
    </row>
    <row r="388" spans="1:8" ht="15.75" customHeight="1">
      <c r="A388" s="57"/>
      <c r="B388" s="57"/>
      <c r="C388" s="57"/>
      <c r="D388" s="58"/>
      <c r="E388" s="59"/>
      <c r="F388" s="59"/>
      <c r="G388" s="541">
        <f t="shared" si="3"/>
        <v>0</v>
      </c>
      <c r="H388" s="59"/>
    </row>
    <row r="389" spans="1:8" ht="15.75" customHeight="1">
      <c r="A389" s="57"/>
      <c r="B389" s="57"/>
      <c r="C389" s="57"/>
      <c r="D389" s="58"/>
      <c r="E389" s="59"/>
      <c r="F389" s="59"/>
      <c r="G389" s="541">
        <f t="shared" si="3"/>
        <v>0</v>
      </c>
      <c r="H389" s="59"/>
    </row>
    <row r="390" spans="1:8" ht="15.75" customHeight="1">
      <c r="A390" s="57"/>
      <c r="B390" s="57"/>
      <c r="C390" s="57"/>
      <c r="D390" s="58"/>
      <c r="E390" s="59"/>
      <c r="F390" s="59"/>
      <c r="G390" s="541">
        <f t="shared" si="3"/>
        <v>0</v>
      </c>
      <c r="H390" s="59"/>
    </row>
    <row r="391" spans="1:8" ht="15.75" customHeight="1">
      <c r="A391" s="57"/>
      <c r="B391" s="57"/>
      <c r="C391" s="57"/>
      <c r="D391" s="58"/>
      <c r="E391" s="59"/>
      <c r="F391" s="59"/>
      <c r="G391" s="541">
        <f t="shared" si="3"/>
        <v>0</v>
      </c>
      <c r="H391" s="59"/>
    </row>
    <row r="392" spans="1:8" ht="15.75" customHeight="1">
      <c r="A392" s="57"/>
      <c r="B392" s="57"/>
      <c r="C392" s="57"/>
      <c r="D392" s="58"/>
      <c r="E392" s="59"/>
      <c r="F392" s="59"/>
      <c r="G392" s="541">
        <f t="shared" si="3"/>
        <v>0</v>
      </c>
      <c r="H392" s="59"/>
    </row>
    <row r="393" spans="1:8" ht="15.75" customHeight="1">
      <c r="A393" s="57"/>
      <c r="B393" s="57"/>
      <c r="C393" s="57"/>
      <c r="D393" s="58"/>
      <c r="E393" s="59"/>
      <c r="F393" s="59"/>
      <c r="G393" s="541">
        <f t="shared" si="3"/>
        <v>0</v>
      </c>
      <c r="H393" s="59"/>
    </row>
    <row r="394" spans="1:8" ht="15.75" customHeight="1">
      <c r="A394" s="57"/>
      <c r="B394" s="57"/>
      <c r="C394" s="57"/>
      <c r="D394" s="58"/>
      <c r="E394" s="59"/>
      <c r="F394" s="59"/>
      <c r="G394" s="541">
        <f t="shared" si="3"/>
        <v>0</v>
      </c>
      <c r="H394" s="59"/>
    </row>
    <row r="395" spans="1:8" ht="15.75" customHeight="1">
      <c r="A395" s="57"/>
      <c r="B395" s="57"/>
      <c r="C395" s="57"/>
      <c r="D395" s="58"/>
      <c r="E395" s="59"/>
      <c r="F395" s="59"/>
      <c r="G395" s="541">
        <f t="shared" si="3"/>
        <v>0</v>
      </c>
      <c r="H395" s="59"/>
    </row>
    <row r="396" spans="1:8" ht="15.75" customHeight="1">
      <c r="A396" s="57"/>
      <c r="B396" s="57"/>
      <c r="C396" s="57"/>
      <c r="D396" s="58"/>
      <c r="E396" s="59"/>
      <c r="F396" s="59"/>
      <c r="G396" s="541">
        <f t="shared" si="3"/>
        <v>0</v>
      </c>
      <c r="H396" s="59"/>
    </row>
    <row r="397" spans="1:8" ht="15.75" customHeight="1">
      <c r="A397" s="57"/>
      <c r="B397" s="57"/>
      <c r="C397" s="57"/>
      <c r="D397" s="58"/>
      <c r="E397" s="59"/>
      <c r="F397" s="59"/>
      <c r="G397" s="541">
        <f t="shared" si="3"/>
        <v>0</v>
      </c>
      <c r="H397" s="59"/>
    </row>
    <row r="398" spans="1:8" ht="15.75" customHeight="1">
      <c r="A398" s="57"/>
      <c r="B398" s="57"/>
      <c r="C398" s="57"/>
      <c r="D398" s="58"/>
      <c r="E398" s="59"/>
      <c r="F398" s="59"/>
      <c r="G398" s="541">
        <f t="shared" si="3"/>
        <v>0</v>
      </c>
      <c r="H398" s="59"/>
    </row>
    <row r="399" spans="1:8" ht="15.75" customHeight="1">
      <c r="A399" s="57"/>
      <c r="B399" s="57"/>
      <c r="C399" s="57"/>
      <c r="D399" s="58"/>
      <c r="E399" s="59"/>
      <c r="F399" s="59"/>
      <c r="G399" s="541">
        <f t="shared" si="3"/>
        <v>0</v>
      </c>
      <c r="H399" s="59"/>
    </row>
    <row r="400" spans="1:8" ht="15.75" customHeight="1">
      <c r="A400" s="57"/>
      <c r="B400" s="57"/>
      <c r="C400" s="57"/>
      <c r="D400" s="58"/>
      <c r="E400" s="59"/>
      <c r="F400" s="59"/>
      <c r="G400" s="541">
        <f t="shared" si="3"/>
        <v>0</v>
      </c>
      <c r="H400" s="59"/>
    </row>
    <row r="401" spans="1:8" ht="15.75" customHeight="1">
      <c r="A401" s="57"/>
      <c r="B401" s="57"/>
      <c r="C401" s="57"/>
      <c r="D401" s="58"/>
      <c r="E401" s="59"/>
      <c r="F401" s="59"/>
      <c r="G401" s="541">
        <f t="shared" si="3"/>
        <v>0</v>
      </c>
      <c r="H401" s="59"/>
    </row>
    <row r="402" spans="1:8" ht="15.75" customHeight="1">
      <c r="A402" s="57"/>
      <c r="B402" s="57"/>
      <c r="C402" s="57"/>
      <c r="D402" s="58"/>
      <c r="E402" s="59"/>
      <c r="F402" s="59"/>
      <c r="G402" s="541">
        <f t="shared" si="3"/>
        <v>0</v>
      </c>
      <c r="H402" s="59"/>
    </row>
    <row r="403" spans="1:8" ht="15.75" customHeight="1">
      <c r="A403" s="57"/>
      <c r="B403" s="57"/>
      <c r="C403" s="57"/>
      <c r="D403" s="58"/>
      <c r="E403" s="59"/>
      <c r="F403" s="59"/>
      <c r="G403" s="541">
        <f t="shared" si="3"/>
        <v>0</v>
      </c>
      <c r="H403" s="59"/>
    </row>
    <row r="404" spans="1:8" ht="15.75" customHeight="1">
      <c r="A404" s="57"/>
      <c r="B404" s="57"/>
      <c r="C404" s="57"/>
      <c r="D404" s="58"/>
      <c r="E404" s="59"/>
      <c r="F404" s="59"/>
      <c r="G404" s="541">
        <f t="shared" si="3"/>
        <v>0</v>
      </c>
      <c r="H404" s="59"/>
    </row>
    <row r="405" spans="1:8" ht="15.75" customHeight="1">
      <c r="A405" s="57"/>
      <c r="B405" s="57"/>
      <c r="C405" s="57"/>
      <c r="D405" s="58"/>
      <c r="E405" s="59"/>
      <c r="F405" s="59"/>
      <c r="G405" s="541">
        <f t="shared" si="3"/>
        <v>0</v>
      </c>
      <c r="H405" s="59"/>
    </row>
    <row r="406" spans="1:8" ht="15.75" customHeight="1">
      <c r="A406" s="57"/>
      <c r="B406" s="57"/>
      <c r="C406" s="57"/>
      <c r="D406" s="58"/>
      <c r="E406" s="59"/>
      <c r="F406" s="59"/>
      <c r="G406" s="541">
        <f t="shared" si="3"/>
        <v>0</v>
      </c>
      <c r="H406" s="59"/>
    </row>
    <row r="407" spans="1:8" ht="15.75" customHeight="1">
      <c r="A407" s="57"/>
      <c r="B407" s="57"/>
      <c r="C407" s="57"/>
      <c r="D407" s="58"/>
      <c r="E407" s="59"/>
      <c r="F407" s="59"/>
      <c r="G407" s="541">
        <f t="shared" si="3"/>
        <v>0</v>
      </c>
      <c r="H407" s="59"/>
    </row>
    <row r="408" spans="1:8" ht="15.75" customHeight="1">
      <c r="A408" s="57"/>
      <c r="B408" s="57"/>
      <c r="C408" s="57"/>
      <c r="D408" s="58"/>
      <c r="E408" s="59"/>
      <c r="F408" s="59"/>
      <c r="G408" s="541">
        <f t="shared" si="3"/>
        <v>0</v>
      </c>
      <c r="H408" s="59"/>
    </row>
    <row r="409" spans="1:8" ht="15.75" customHeight="1">
      <c r="A409" s="57"/>
      <c r="B409" s="57"/>
      <c r="C409" s="57"/>
      <c r="D409" s="58"/>
      <c r="E409" s="59"/>
      <c r="F409" s="59"/>
      <c r="G409" s="541">
        <f t="shared" si="3"/>
        <v>0</v>
      </c>
      <c r="H409" s="59"/>
    </row>
    <row r="410" spans="1:8" ht="15.75" customHeight="1">
      <c r="A410" s="57"/>
      <c r="B410" s="57"/>
      <c r="C410" s="57"/>
      <c r="D410" s="58"/>
      <c r="E410" s="59"/>
      <c r="F410" s="59"/>
      <c r="G410" s="541">
        <f t="shared" si="3"/>
        <v>0</v>
      </c>
      <c r="H410" s="59"/>
    </row>
    <row r="411" spans="1:8" ht="15.75" customHeight="1">
      <c r="A411" s="57"/>
      <c r="B411" s="57"/>
      <c r="C411" s="57"/>
      <c r="D411" s="58"/>
      <c r="E411" s="59"/>
      <c r="F411" s="59"/>
      <c r="G411" s="541">
        <f t="shared" si="3"/>
        <v>0</v>
      </c>
      <c r="H411" s="59"/>
    </row>
    <row r="412" spans="1:8" ht="15.75" customHeight="1">
      <c r="A412" s="57"/>
      <c r="B412" s="57"/>
      <c r="C412" s="57"/>
      <c r="D412" s="58"/>
      <c r="E412" s="59"/>
      <c r="F412" s="59"/>
      <c r="G412" s="541">
        <f t="shared" si="3"/>
        <v>0</v>
      </c>
      <c r="H412" s="59"/>
    </row>
    <row r="413" spans="1:8" ht="15.75" customHeight="1">
      <c r="A413" s="57"/>
      <c r="B413" s="57"/>
      <c r="C413" s="57"/>
      <c r="D413" s="58"/>
      <c r="E413" s="59"/>
      <c r="F413" s="59"/>
      <c r="G413" s="541">
        <f t="shared" si="3"/>
        <v>0</v>
      </c>
      <c r="H413" s="59"/>
    </row>
    <row r="414" spans="1:8" ht="15.75" customHeight="1">
      <c r="A414" s="57"/>
      <c r="B414" s="57"/>
      <c r="C414" s="57"/>
      <c r="D414" s="58"/>
      <c r="E414" s="59"/>
      <c r="F414" s="59"/>
      <c r="G414" s="541">
        <f t="shared" si="3"/>
        <v>0</v>
      </c>
      <c r="H414" s="59"/>
    </row>
    <row r="415" spans="1:8" ht="15.75" customHeight="1">
      <c r="A415" s="57"/>
      <c r="B415" s="57"/>
      <c r="C415" s="57"/>
      <c r="D415" s="58"/>
      <c r="E415" s="59"/>
      <c r="F415" s="59"/>
      <c r="G415" s="541">
        <f t="shared" si="3"/>
        <v>0</v>
      </c>
      <c r="H415" s="59"/>
    </row>
    <row r="416" spans="1:8" ht="15.75" customHeight="1">
      <c r="A416" s="57"/>
      <c r="B416" s="57"/>
      <c r="C416" s="57"/>
      <c r="D416" s="58"/>
      <c r="E416" s="59"/>
      <c r="F416" s="59"/>
      <c r="G416" s="541">
        <f t="shared" si="3"/>
        <v>0</v>
      </c>
      <c r="H416" s="59"/>
    </row>
    <row r="417" spans="1:8" ht="15.75" customHeight="1">
      <c r="A417" s="57"/>
      <c r="B417" s="57"/>
      <c r="C417" s="57"/>
      <c r="D417" s="58"/>
      <c r="E417" s="59"/>
      <c r="F417" s="59"/>
      <c r="G417" s="541">
        <f t="shared" si="3"/>
        <v>0</v>
      </c>
      <c r="H417" s="59"/>
    </row>
    <row r="418" spans="1:8" ht="15.75" customHeight="1">
      <c r="A418" s="57"/>
      <c r="B418" s="57"/>
      <c r="C418" s="57"/>
      <c r="D418" s="58"/>
      <c r="E418" s="59"/>
      <c r="F418" s="59"/>
      <c r="G418" s="541">
        <f t="shared" si="3"/>
        <v>0</v>
      </c>
      <c r="H418" s="59"/>
    </row>
    <row r="419" spans="1:8" ht="15.75" customHeight="1">
      <c r="A419" s="57"/>
      <c r="B419" s="57"/>
      <c r="C419" s="57"/>
      <c r="D419" s="58"/>
      <c r="E419" s="59"/>
      <c r="F419" s="59"/>
      <c r="G419" s="541">
        <f t="shared" si="3"/>
        <v>0</v>
      </c>
      <c r="H419" s="59"/>
    </row>
    <row r="420" spans="1:8" ht="15.75" customHeight="1">
      <c r="A420" s="57"/>
      <c r="B420" s="57"/>
      <c r="C420" s="57"/>
      <c r="D420" s="58"/>
      <c r="E420" s="59"/>
      <c r="F420" s="59"/>
      <c r="G420" s="541">
        <f t="shared" si="3"/>
        <v>0</v>
      </c>
      <c r="H420" s="59"/>
    </row>
    <row r="421" spans="1:8" ht="15.75" customHeight="1">
      <c r="A421" s="57"/>
      <c r="B421" s="57"/>
      <c r="C421" s="57"/>
      <c r="D421" s="58"/>
      <c r="E421" s="59"/>
      <c r="F421" s="59"/>
      <c r="G421" s="541">
        <f t="shared" si="3"/>
        <v>0</v>
      </c>
      <c r="H421" s="59"/>
    </row>
    <row r="422" spans="1:8" ht="15.75" customHeight="1">
      <c r="A422" s="57"/>
      <c r="B422" s="57"/>
      <c r="C422" s="57"/>
      <c r="D422" s="58"/>
      <c r="E422" s="59"/>
      <c r="F422" s="59"/>
      <c r="G422" s="541">
        <f t="shared" si="3"/>
        <v>0</v>
      </c>
      <c r="H422" s="59"/>
    </row>
    <row r="423" spans="1:8" ht="15.75" customHeight="1">
      <c r="A423" s="57"/>
      <c r="B423" s="57"/>
      <c r="C423" s="57"/>
      <c r="D423" s="58"/>
      <c r="E423" s="59"/>
      <c r="F423" s="59"/>
      <c r="G423" s="541">
        <f t="shared" si="3"/>
        <v>0</v>
      </c>
      <c r="H423" s="59"/>
    </row>
    <row r="424" spans="1:8" ht="15.75" customHeight="1">
      <c r="A424" s="57"/>
      <c r="B424" s="57"/>
      <c r="C424" s="57"/>
      <c r="D424" s="58"/>
      <c r="E424" s="59"/>
      <c r="F424" s="59"/>
      <c r="G424" s="541">
        <f t="shared" si="3"/>
        <v>0</v>
      </c>
      <c r="H424" s="59"/>
    </row>
    <row r="425" spans="1:8" ht="15.75" customHeight="1">
      <c r="A425" s="57"/>
      <c r="B425" s="57"/>
      <c r="C425" s="57"/>
      <c r="D425" s="58"/>
      <c r="E425" s="59"/>
      <c r="F425" s="59"/>
      <c r="G425" s="541">
        <f t="shared" si="3"/>
        <v>0</v>
      </c>
      <c r="H425" s="59"/>
    </row>
    <row r="426" spans="1:8" ht="15.75" customHeight="1">
      <c r="A426" s="57"/>
      <c r="B426" s="57"/>
      <c r="C426" s="57"/>
      <c r="D426" s="58"/>
      <c r="E426" s="59"/>
      <c r="F426" s="59"/>
      <c r="G426" s="541">
        <f t="shared" si="3"/>
        <v>0</v>
      </c>
      <c r="H426" s="59"/>
    </row>
    <row r="427" spans="1:8" ht="15.75" customHeight="1">
      <c r="A427" s="57"/>
      <c r="B427" s="57"/>
      <c r="C427" s="57"/>
      <c r="D427" s="58"/>
      <c r="E427" s="59"/>
      <c r="F427" s="59"/>
      <c r="G427" s="541">
        <f t="shared" si="3"/>
        <v>0</v>
      </c>
      <c r="H427" s="59"/>
    </row>
    <row r="428" spans="1:8" ht="15.75" customHeight="1">
      <c r="A428" s="57"/>
      <c r="B428" s="57"/>
      <c r="C428" s="57"/>
      <c r="D428" s="58"/>
      <c r="E428" s="59"/>
      <c r="F428" s="59"/>
      <c r="G428" s="541">
        <f t="shared" si="3"/>
        <v>0</v>
      </c>
      <c r="H428" s="59"/>
    </row>
    <row r="429" spans="1:8" ht="15.75" customHeight="1">
      <c r="A429" s="57"/>
      <c r="B429" s="57"/>
      <c r="C429" s="57"/>
      <c r="D429" s="58"/>
      <c r="E429" s="59"/>
      <c r="F429" s="59"/>
      <c r="G429" s="541">
        <f t="shared" si="3"/>
        <v>0</v>
      </c>
      <c r="H429" s="59"/>
    </row>
    <row r="430" spans="1:8" ht="15.75" customHeight="1">
      <c r="A430" s="57"/>
      <c r="B430" s="57"/>
      <c r="C430" s="57"/>
      <c r="D430" s="58"/>
      <c r="E430" s="59"/>
      <c r="F430" s="59"/>
      <c r="G430" s="541">
        <f t="shared" si="3"/>
        <v>0</v>
      </c>
      <c r="H430" s="59"/>
    </row>
    <row r="431" spans="1:8" ht="15.75" customHeight="1">
      <c r="A431" s="57"/>
      <c r="B431" s="57"/>
      <c r="C431" s="57"/>
      <c r="D431" s="58"/>
      <c r="E431" s="59"/>
      <c r="F431" s="59"/>
      <c r="G431" s="541">
        <f t="shared" si="3"/>
        <v>0</v>
      </c>
      <c r="H431" s="59"/>
    </row>
    <row r="432" spans="1:8" ht="15.75" customHeight="1">
      <c r="A432" s="57"/>
      <c r="B432" s="57"/>
      <c r="C432" s="57"/>
      <c r="D432" s="58"/>
      <c r="E432" s="59"/>
      <c r="F432" s="59"/>
      <c r="G432" s="541">
        <f t="shared" si="3"/>
        <v>0</v>
      </c>
      <c r="H432" s="59"/>
    </row>
    <row r="433" spans="1:8" ht="15.75" customHeight="1">
      <c r="A433" s="57"/>
      <c r="B433" s="57"/>
      <c r="C433" s="57"/>
      <c r="D433" s="58"/>
      <c r="E433" s="59"/>
      <c r="F433" s="59"/>
      <c r="G433" s="541">
        <f t="shared" si="3"/>
        <v>0</v>
      </c>
      <c r="H433" s="59"/>
    </row>
    <row r="434" spans="1:8" ht="15.75" customHeight="1">
      <c r="A434" s="57"/>
      <c r="B434" s="57"/>
      <c r="C434" s="57"/>
      <c r="D434" s="58"/>
      <c r="E434" s="59"/>
      <c r="F434" s="59"/>
      <c r="G434" s="541">
        <f t="shared" si="3"/>
        <v>0</v>
      </c>
      <c r="H434" s="59"/>
    </row>
    <row r="435" spans="1:8" ht="15.75" customHeight="1">
      <c r="A435" s="57"/>
      <c r="B435" s="57"/>
      <c r="C435" s="57"/>
      <c r="D435" s="58"/>
      <c r="E435" s="59"/>
      <c r="F435" s="59"/>
      <c r="G435" s="541">
        <f t="shared" si="3"/>
        <v>0</v>
      </c>
      <c r="H435" s="59"/>
    </row>
    <row r="436" spans="1:8" ht="15.75" customHeight="1">
      <c r="A436" s="57"/>
      <c r="B436" s="57"/>
      <c r="C436" s="57"/>
      <c r="D436" s="58"/>
      <c r="E436" s="59"/>
      <c r="F436" s="59"/>
      <c r="G436" s="541">
        <f t="shared" si="3"/>
        <v>0</v>
      </c>
      <c r="H436" s="59"/>
    </row>
    <row r="437" spans="1:8" ht="15.75" customHeight="1">
      <c r="A437" s="57"/>
      <c r="B437" s="57"/>
      <c r="C437" s="57"/>
      <c r="D437" s="58"/>
      <c r="E437" s="59"/>
      <c r="F437" s="59"/>
      <c r="G437" s="541">
        <f t="shared" si="3"/>
        <v>0</v>
      </c>
      <c r="H437" s="59"/>
    </row>
    <row r="438" spans="1:8" ht="15.75" customHeight="1">
      <c r="A438" s="57"/>
      <c r="B438" s="57"/>
      <c r="C438" s="57"/>
      <c r="D438" s="58"/>
      <c r="E438" s="59"/>
      <c r="F438" s="59"/>
      <c r="G438" s="541">
        <f t="shared" si="3"/>
        <v>0</v>
      </c>
      <c r="H438" s="59"/>
    </row>
    <row r="439" spans="1:8" ht="15.75" customHeight="1">
      <c r="A439" s="57"/>
      <c r="B439" s="57"/>
      <c r="C439" s="57"/>
      <c r="D439" s="58"/>
      <c r="E439" s="59"/>
      <c r="F439" s="59"/>
      <c r="G439" s="541">
        <f t="shared" si="3"/>
        <v>0</v>
      </c>
      <c r="H439" s="59"/>
    </row>
    <row r="440" spans="1:8" ht="15.75" customHeight="1">
      <c r="A440" s="57"/>
      <c r="B440" s="57"/>
      <c r="C440" s="57"/>
      <c r="D440" s="58"/>
      <c r="E440" s="59"/>
      <c r="F440" s="59"/>
      <c r="G440" s="541">
        <f t="shared" si="3"/>
        <v>0</v>
      </c>
      <c r="H440" s="59"/>
    </row>
    <row r="441" spans="1:8" ht="15.75" customHeight="1">
      <c r="A441" s="57"/>
      <c r="B441" s="57"/>
      <c r="C441" s="57"/>
      <c r="D441" s="58"/>
      <c r="E441" s="59"/>
      <c r="F441" s="59"/>
      <c r="G441" s="541">
        <f t="shared" si="3"/>
        <v>0</v>
      </c>
      <c r="H441" s="59"/>
    </row>
    <row r="442" spans="1:8" ht="15.75" customHeight="1">
      <c r="A442" s="57"/>
      <c r="B442" s="57"/>
      <c r="C442" s="57"/>
      <c r="D442" s="58"/>
      <c r="E442" s="59"/>
      <c r="F442" s="59"/>
      <c r="G442" s="541">
        <f t="shared" si="3"/>
        <v>0</v>
      </c>
      <c r="H442" s="59"/>
    </row>
    <row r="443" spans="1:8" ht="15.75" customHeight="1">
      <c r="A443" s="57"/>
      <c r="B443" s="57"/>
      <c r="C443" s="57"/>
      <c r="D443" s="58"/>
      <c r="E443" s="59"/>
      <c r="F443" s="59"/>
      <c r="G443" s="541">
        <f t="shared" si="3"/>
        <v>0</v>
      </c>
      <c r="H443" s="59"/>
    </row>
    <row r="444" spans="1:8" ht="15.75" customHeight="1">
      <c r="A444" s="57"/>
      <c r="B444" s="57"/>
      <c r="C444" s="57"/>
      <c r="D444" s="58"/>
      <c r="E444" s="59"/>
      <c r="F444" s="59"/>
      <c r="G444" s="541">
        <f t="shared" si="3"/>
        <v>0</v>
      </c>
      <c r="H444" s="59"/>
    </row>
    <row r="445" spans="1:8" ht="15.75" customHeight="1">
      <c r="A445" s="57"/>
      <c r="B445" s="57"/>
      <c r="C445" s="57"/>
      <c r="D445" s="58"/>
      <c r="E445" s="59"/>
      <c r="F445" s="59"/>
      <c r="G445" s="541">
        <f t="shared" si="3"/>
        <v>0</v>
      </c>
      <c r="H445" s="59"/>
    </row>
    <row r="446" spans="1:8" ht="15.75" customHeight="1">
      <c r="A446" s="57"/>
      <c r="B446" s="57"/>
      <c r="C446" s="57"/>
      <c r="D446" s="58"/>
      <c r="E446" s="59"/>
      <c r="F446" s="59"/>
      <c r="G446" s="541">
        <f t="shared" si="3"/>
        <v>0</v>
      </c>
      <c r="H446" s="59"/>
    </row>
    <row r="447" spans="1:8" ht="15.75" customHeight="1">
      <c r="A447" s="57"/>
      <c r="B447" s="57"/>
      <c r="C447" s="57"/>
      <c r="D447" s="58"/>
      <c r="E447" s="59"/>
      <c r="F447" s="59"/>
      <c r="G447" s="541">
        <f t="shared" si="3"/>
        <v>0</v>
      </c>
      <c r="H447" s="59"/>
    </row>
    <row r="448" spans="1:8" ht="15.75" customHeight="1">
      <c r="A448" s="57"/>
      <c r="B448" s="57"/>
      <c r="C448" s="57"/>
      <c r="D448" s="58"/>
      <c r="E448" s="59"/>
      <c r="F448" s="59"/>
      <c r="G448" s="541">
        <f t="shared" si="3"/>
        <v>0</v>
      </c>
      <c r="H448" s="59"/>
    </row>
    <row r="449" spans="1:8" ht="15.75" customHeight="1">
      <c r="A449" s="57"/>
      <c r="B449" s="57"/>
      <c r="C449" s="57"/>
      <c r="D449" s="58"/>
      <c r="E449" s="59"/>
      <c r="F449" s="59"/>
      <c r="G449" s="541">
        <f t="shared" si="3"/>
        <v>0</v>
      </c>
      <c r="H449" s="59"/>
    </row>
    <row r="450" spans="1:8" ht="15.75" customHeight="1">
      <c r="A450" s="57"/>
      <c r="B450" s="57"/>
      <c r="C450" s="57"/>
      <c r="D450" s="58"/>
      <c r="E450" s="59"/>
      <c r="F450" s="59"/>
      <c r="G450" s="541">
        <f t="shared" si="3"/>
        <v>0</v>
      </c>
      <c r="H450" s="59"/>
    </row>
    <row r="451" spans="1:8" ht="15.75" customHeight="1">
      <c r="A451" s="57"/>
      <c r="B451" s="57"/>
      <c r="C451" s="57"/>
      <c r="D451" s="58"/>
      <c r="E451" s="59"/>
      <c r="F451" s="59"/>
      <c r="G451" s="541">
        <f t="shared" si="3"/>
        <v>0</v>
      </c>
      <c r="H451" s="59"/>
    </row>
    <row r="452" spans="1:8" ht="15.75" customHeight="1">
      <c r="A452" s="57"/>
      <c r="B452" s="57"/>
      <c r="C452" s="57"/>
      <c r="D452" s="58"/>
      <c r="E452" s="59"/>
      <c r="F452" s="59"/>
      <c r="G452" s="541">
        <f t="shared" si="3"/>
        <v>0</v>
      </c>
      <c r="H452" s="59"/>
    </row>
    <row r="453" spans="1:8" ht="15.75" customHeight="1">
      <c r="A453" s="57"/>
      <c r="B453" s="57"/>
      <c r="C453" s="57"/>
      <c r="D453" s="58"/>
      <c r="E453" s="59"/>
      <c r="F453" s="59"/>
      <c r="G453" s="541">
        <f t="shared" si="3"/>
        <v>0</v>
      </c>
      <c r="H453" s="59"/>
    </row>
    <row r="454" spans="1:8" ht="15.75" customHeight="1">
      <c r="A454" s="57"/>
      <c r="B454" s="57"/>
      <c r="C454" s="57"/>
      <c r="D454" s="58"/>
      <c r="E454" s="59"/>
      <c r="F454" s="59"/>
      <c r="G454" s="541">
        <f t="shared" si="3"/>
        <v>0</v>
      </c>
      <c r="H454" s="59"/>
    </row>
    <row r="455" spans="1:8" ht="15.75" customHeight="1">
      <c r="A455" s="57"/>
      <c r="B455" s="57"/>
      <c r="C455" s="57"/>
      <c r="D455" s="58"/>
      <c r="E455" s="59"/>
      <c r="F455" s="59"/>
      <c r="G455" s="541">
        <f t="shared" si="3"/>
        <v>0</v>
      </c>
      <c r="H455" s="59"/>
    </row>
    <row r="456" spans="1:8" ht="15.75" customHeight="1">
      <c r="A456" s="57"/>
      <c r="B456" s="57"/>
      <c r="C456" s="57"/>
      <c r="D456" s="58"/>
      <c r="E456" s="59"/>
      <c r="F456" s="59"/>
      <c r="G456" s="541">
        <f t="shared" si="3"/>
        <v>0</v>
      </c>
      <c r="H456" s="59"/>
    </row>
    <row r="457" spans="1:8" ht="15.75" customHeight="1">
      <c r="A457" s="57"/>
      <c r="B457" s="57"/>
      <c r="C457" s="57"/>
      <c r="D457" s="58"/>
      <c r="E457" s="59"/>
      <c r="F457" s="59"/>
      <c r="G457" s="541">
        <f t="shared" si="3"/>
        <v>0</v>
      </c>
      <c r="H457" s="59"/>
    </row>
    <row r="458" spans="1:8" ht="15.75" customHeight="1">
      <c r="A458" s="57"/>
      <c r="B458" s="57"/>
      <c r="C458" s="57"/>
      <c r="D458" s="58"/>
      <c r="E458" s="59"/>
      <c r="F458" s="59"/>
      <c r="G458" s="541">
        <f t="shared" si="3"/>
        <v>0</v>
      </c>
      <c r="H458" s="59"/>
    </row>
    <row r="459" spans="1:8" ht="15.75" customHeight="1">
      <c r="A459" s="57"/>
      <c r="B459" s="57"/>
      <c r="C459" s="57"/>
      <c r="D459" s="58"/>
      <c r="E459" s="59"/>
      <c r="F459" s="59"/>
      <c r="G459" s="541">
        <f t="shared" si="3"/>
        <v>0</v>
      </c>
      <c r="H459" s="59"/>
    </row>
    <row r="460" spans="1:8" ht="15.75" customHeight="1">
      <c r="A460" s="57"/>
      <c r="B460" s="57"/>
      <c r="C460" s="57"/>
      <c r="D460" s="58"/>
      <c r="E460" s="59"/>
      <c r="F460" s="59"/>
      <c r="G460" s="541">
        <f t="shared" si="3"/>
        <v>0</v>
      </c>
      <c r="H460" s="59"/>
    </row>
    <row r="461" spans="1:8" ht="15.75" customHeight="1">
      <c r="A461" s="57"/>
      <c r="B461" s="57"/>
      <c r="C461" s="57"/>
      <c r="D461" s="58"/>
      <c r="E461" s="59"/>
      <c r="F461" s="59"/>
      <c r="G461" s="541">
        <f t="shared" si="3"/>
        <v>0</v>
      </c>
      <c r="H461" s="59"/>
    </row>
    <row r="462" spans="1:8" ht="15.75" customHeight="1">
      <c r="A462" s="57"/>
      <c r="B462" s="57"/>
      <c r="C462" s="57"/>
      <c r="D462" s="58"/>
      <c r="E462" s="59"/>
      <c r="F462" s="59"/>
      <c r="G462" s="541">
        <f t="shared" si="3"/>
        <v>0</v>
      </c>
      <c r="H462" s="59"/>
    </row>
    <row r="463" spans="1:8" ht="15.75" customHeight="1">
      <c r="A463" s="57"/>
      <c r="B463" s="57"/>
      <c r="C463" s="57"/>
      <c r="D463" s="58"/>
      <c r="E463" s="59"/>
      <c r="F463" s="59"/>
      <c r="G463" s="541">
        <f t="shared" si="3"/>
        <v>0</v>
      </c>
      <c r="H463" s="59"/>
    </row>
    <row r="464" spans="1:8" ht="15.75" customHeight="1">
      <c r="A464" s="57"/>
      <c r="B464" s="57"/>
      <c r="C464" s="57"/>
      <c r="D464" s="58"/>
      <c r="E464" s="59"/>
      <c r="F464" s="59"/>
      <c r="G464" s="541">
        <f t="shared" si="3"/>
        <v>0</v>
      </c>
      <c r="H464" s="59"/>
    </row>
    <row r="465" spans="1:8" ht="15.75" customHeight="1">
      <c r="A465" s="57"/>
      <c r="B465" s="57"/>
      <c r="C465" s="57"/>
      <c r="D465" s="58"/>
      <c r="E465" s="59"/>
      <c r="F465" s="59"/>
      <c r="G465" s="541">
        <f t="shared" si="3"/>
        <v>0</v>
      </c>
      <c r="H465" s="59"/>
    </row>
    <row r="466" spans="1:8" ht="15.75" customHeight="1">
      <c r="A466" s="57"/>
      <c r="B466" s="57"/>
      <c r="C466" s="57"/>
      <c r="D466" s="58"/>
      <c r="E466" s="59"/>
      <c r="F466" s="59"/>
      <c r="G466" s="541">
        <f t="shared" si="3"/>
        <v>0</v>
      </c>
      <c r="H466" s="59"/>
    </row>
    <row r="467" spans="1:8" ht="15.75" customHeight="1">
      <c r="A467" s="57"/>
      <c r="B467" s="57"/>
      <c r="C467" s="57"/>
      <c r="D467" s="58"/>
      <c r="E467" s="59"/>
      <c r="F467" s="59"/>
      <c r="G467" s="541">
        <f t="shared" si="3"/>
        <v>0</v>
      </c>
      <c r="H467" s="59"/>
    </row>
    <row r="468" spans="1:8" ht="15.75" customHeight="1">
      <c r="A468" s="57"/>
      <c r="B468" s="57"/>
      <c r="C468" s="57"/>
      <c r="D468" s="58"/>
      <c r="E468" s="59"/>
      <c r="F468" s="59"/>
      <c r="G468" s="541">
        <f t="shared" si="3"/>
        <v>0</v>
      </c>
      <c r="H468" s="59"/>
    </row>
    <row r="469" spans="1:8" ht="15.75" customHeight="1">
      <c r="A469" s="57"/>
      <c r="B469" s="57"/>
      <c r="C469" s="57"/>
      <c r="D469" s="58"/>
      <c r="E469" s="59"/>
      <c r="F469" s="59"/>
      <c r="G469" s="541">
        <f t="shared" si="3"/>
        <v>0</v>
      </c>
      <c r="H469" s="59"/>
    </row>
    <row r="470" spans="1:8" ht="15.75" customHeight="1">
      <c r="A470" s="57"/>
      <c r="B470" s="57"/>
      <c r="C470" s="57"/>
      <c r="D470" s="58"/>
      <c r="E470" s="59"/>
      <c r="F470" s="59"/>
      <c r="G470" s="541">
        <f t="shared" si="3"/>
        <v>0</v>
      </c>
      <c r="H470" s="59"/>
    </row>
    <row r="471" spans="1:8" ht="15.75" customHeight="1">
      <c r="A471" s="57"/>
      <c r="B471" s="57"/>
      <c r="C471" s="57"/>
      <c r="D471" s="58"/>
      <c r="E471" s="59"/>
      <c r="F471" s="59"/>
      <c r="G471" s="541">
        <f t="shared" si="3"/>
        <v>0</v>
      </c>
      <c r="H471" s="59"/>
    </row>
    <row r="472" spans="1:8" ht="15.75" customHeight="1">
      <c r="A472" s="57"/>
      <c r="B472" s="57"/>
      <c r="C472" s="57"/>
      <c r="D472" s="58"/>
      <c r="E472" s="59"/>
      <c r="F472" s="59"/>
      <c r="G472" s="541">
        <f t="shared" si="3"/>
        <v>0</v>
      </c>
      <c r="H472" s="59"/>
    </row>
    <row r="473" spans="1:8" ht="15.75" customHeight="1">
      <c r="A473" s="57"/>
      <c r="B473" s="57"/>
      <c r="C473" s="57"/>
      <c r="D473" s="58"/>
      <c r="E473" s="59"/>
      <c r="F473" s="59"/>
      <c r="G473" s="541">
        <f t="shared" si="3"/>
        <v>0</v>
      </c>
      <c r="H473" s="59"/>
    </row>
    <row r="474" spans="1:8" ht="15.75" customHeight="1">
      <c r="A474" s="57"/>
      <c r="B474" s="57"/>
      <c r="C474" s="57"/>
      <c r="D474" s="58"/>
      <c r="E474" s="59"/>
      <c r="F474" s="59"/>
      <c r="G474" s="541">
        <f t="shared" si="3"/>
        <v>0</v>
      </c>
      <c r="H474" s="59"/>
    </row>
    <row r="475" spans="1:8" ht="15.75" customHeight="1">
      <c r="A475" s="57"/>
      <c r="B475" s="57"/>
      <c r="C475" s="57"/>
      <c r="D475" s="58"/>
      <c r="E475" s="59"/>
      <c r="F475" s="59"/>
      <c r="G475" s="541">
        <f t="shared" si="3"/>
        <v>0</v>
      </c>
      <c r="H475" s="59"/>
    </row>
    <row r="476" spans="1:8" ht="15.75" customHeight="1">
      <c r="A476" s="57"/>
      <c r="B476" s="57"/>
      <c r="C476" s="57"/>
      <c r="D476" s="58"/>
      <c r="E476" s="59"/>
      <c r="F476" s="59"/>
      <c r="G476" s="541">
        <f t="shared" si="3"/>
        <v>0</v>
      </c>
      <c r="H476" s="59"/>
    </row>
    <row r="477" spans="1:8" ht="15.75" customHeight="1">
      <c r="A477" s="57"/>
      <c r="B477" s="57"/>
      <c r="C477" s="57"/>
      <c r="D477" s="58"/>
      <c r="E477" s="59"/>
      <c r="F477" s="59"/>
      <c r="G477" s="541">
        <f t="shared" si="3"/>
        <v>0</v>
      </c>
      <c r="H477" s="59"/>
    </row>
    <row r="478" spans="1:8" ht="15.75" customHeight="1">
      <c r="A478" s="57"/>
      <c r="B478" s="57"/>
      <c r="C478" s="57"/>
      <c r="D478" s="58"/>
      <c r="E478" s="59"/>
      <c r="F478" s="59"/>
      <c r="G478" s="541">
        <f t="shared" si="3"/>
        <v>0</v>
      </c>
      <c r="H478" s="59"/>
    </row>
    <row r="479" spans="1:8" ht="15.75" customHeight="1">
      <c r="A479" s="57"/>
      <c r="B479" s="57"/>
      <c r="C479" s="57"/>
      <c r="D479" s="58"/>
      <c r="E479" s="59"/>
      <c r="F479" s="59"/>
      <c r="G479" s="541">
        <f t="shared" si="3"/>
        <v>0</v>
      </c>
      <c r="H479" s="59"/>
    </row>
    <row r="480" spans="1:8" ht="15.75" customHeight="1">
      <c r="A480" s="57"/>
      <c r="B480" s="57"/>
      <c r="C480" s="57"/>
      <c r="D480" s="58"/>
      <c r="E480" s="59"/>
      <c r="F480" s="59"/>
      <c r="G480" s="541">
        <f t="shared" si="3"/>
        <v>0</v>
      </c>
      <c r="H480" s="59"/>
    </row>
    <row r="481" spans="1:8" ht="15.75" customHeight="1">
      <c r="A481" s="57"/>
      <c r="B481" s="57"/>
      <c r="C481" s="57"/>
      <c r="D481" s="58"/>
      <c r="E481" s="59"/>
      <c r="F481" s="59"/>
      <c r="G481" s="541">
        <f t="shared" si="3"/>
        <v>0</v>
      </c>
      <c r="H481" s="59"/>
    </row>
    <row r="482" spans="1:8" ht="15.75" customHeight="1">
      <c r="A482" s="57"/>
      <c r="B482" s="57"/>
      <c r="C482" s="57"/>
      <c r="D482" s="58"/>
      <c r="E482" s="59"/>
      <c r="F482" s="59"/>
      <c r="G482" s="541">
        <f t="shared" si="3"/>
        <v>0</v>
      </c>
      <c r="H482" s="59"/>
    </row>
    <row r="483" spans="1:8" ht="15.75" customHeight="1">
      <c r="A483" s="57"/>
      <c r="B483" s="57"/>
      <c r="C483" s="57"/>
      <c r="D483" s="58"/>
      <c r="E483" s="59"/>
      <c r="F483" s="59"/>
      <c r="G483" s="541">
        <f t="shared" si="3"/>
        <v>0</v>
      </c>
      <c r="H483" s="59"/>
    </row>
    <row r="484" spans="1:8" ht="15.75" customHeight="1">
      <c r="A484" s="57"/>
      <c r="B484" s="57"/>
      <c r="C484" s="57"/>
      <c r="D484" s="58"/>
      <c r="E484" s="59"/>
      <c r="F484" s="59"/>
      <c r="G484" s="541">
        <f t="shared" si="3"/>
        <v>0</v>
      </c>
      <c r="H484" s="59"/>
    </row>
    <row r="485" spans="1:8" ht="15.75" customHeight="1">
      <c r="A485" s="57"/>
      <c r="B485" s="57"/>
      <c r="C485" s="57"/>
      <c r="D485" s="58"/>
      <c r="E485" s="59"/>
      <c r="F485" s="59"/>
      <c r="G485" s="541">
        <f t="shared" si="3"/>
        <v>0</v>
      </c>
      <c r="H485" s="59"/>
    </row>
    <row r="486" spans="1:8" ht="15.75" customHeight="1">
      <c r="A486" s="57"/>
      <c r="B486" s="57"/>
      <c r="C486" s="57"/>
      <c r="D486" s="58"/>
      <c r="E486" s="59"/>
      <c r="F486" s="59"/>
      <c r="G486" s="541">
        <f t="shared" si="3"/>
        <v>0</v>
      </c>
      <c r="H486" s="59"/>
    </row>
    <row r="487" spans="1:8" ht="15.75" customHeight="1">
      <c r="A487" s="57"/>
      <c r="B487" s="57"/>
      <c r="C487" s="57"/>
      <c r="D487" s="58"/>
      <c r="E487" s="59"/>
      <c r="F487" s="59"/>
      <c r="G487" s="541">
        <f t="shared" si="3"/>
        <v>0</v>
      </c>
      <c r="H487" s="59"/>
    </row>
    <row r="488" spans="1:8" ht="15.75" customHeight="1">
      <c r="A488" s="57"/>
      <c r="B488" s="57"/>
      <c r="C488" s="57"/>
      <c r="D488" s="58"/>
      <c r="E488" s="59"/>
      <c r="F488" s="59"/>
      <c r="G488" s="541">
        <f t="shared" si="3"/>
        <v>0</v>
      </c>
      <c r="H488" s="59"/>
    </row>
    <row r="489" spans="1:8" ht="15.75" customHeight="1">
      <c r="A489" s="57"/>
      <c r="B489" s="57"/>
      <c r="C489" s="57"/>
      <c r="D489" s="58"/>
      <c r="E489" s="59"/>
      <c r="F489" s="59"/>
      <c r="G489" s="541">
        <f t="shared" si="3"/>
        <v>0</v>
      </c>
      <c r="H489" s="59"/>
    </row>
    <row r="490" spans="1:8" ht="15.75" customHeight="1">
      <c r="A490" s="57"/>
      <c r="B490" s="57"/>
      <c r="C490" s="57"/>
      <c r="D490" s="58"/>
      <c r="E490" s="59"/>
      <c r="F490" s="59"/>
      <c r="G490" s="541">
        <f t="shared" si="3"/>
        <v>0</v>
      </c>
      <c r="H490" s="59"/>
    </row>
    <row r="491" spans="1:8" ht="15.75" customHeight="1">
      <c r="A491" s="57"/>
      <c r="B491" s="57"/>
      <c r="C491" s="57"/>
      <c r="D491" s="58"/>
      <c r="E491" s="59"/>
      <c r="F491" s="59"/>
      <c r="G491" s="541">
        <f t="shared" si="3"/>
        <v>0</v>
      </c>
      <c r="H491" s="59"/>
    </row>
    <row r="492" spans="1:8" ht="15.75" customHeight="1">
      <c r="A492" s="57"/>
      <c r="B492" s="57"/>
      <c r="C492" s="57"/>
      <c r="D492" s="58"/>
      <c r="E492" s="59"/>
      <c r="F492" s="59"/>
      <c r="G492" s="541">
        <f t="shared" si="3"/>
        <v>0</v>
      </c>
      <c r="H492" s="59"/>
    </row>
    <row r="493" spans="1:8" ht="15.75" customHeight="1">
      <c r="A493" s="57"/>
      <c r="B493" s="57"/>
      <c r="C493" s="57"/>
      <c r="D493" s="58"/>
      <c r="E493" s="59"/>
      <c r="F493" s="59"/>
      <c r="G493" s="541">
        <f t="shared" si="3"/>
        <v>0</v>
      </c>
      <c r="H493" s="59"/>
    </row>
    <row r="494" spans="1:8" ht="15.75" customHeight="1">
      <c r="A494" s="57"/>
      <c r="B494" s="57"/>
      <c r="C494" s="57"/>
      <c r="D494" s="58"/>
      <c r="E494" s="59"/>
      <c r="F494" s="59"/>
      <c r="G494" s="541">
        <f t="shared" si="3"/>
        <v>0</v>
      </c>
      <c r="H494" s="59"/>
    </row>
    <row r="495" spans="1:8" ht="15.75" customHeight="1">
      <c r="A495" s="57"/>
      <c r="B495" s="57"/>
      <c r="C495" s="57"/>
      <c r="D495" s="58"/>
      <c r="E495" s="59"/>
      <c r="F495" s="59"/>
      <c r="G495" s="541">
        <f t="shared" si="3"/>
        <v>0</v>
      </c>
      <c r="H495" s="59"/>
    </row>
    <row r="496" spans="1:8" ht="15.75" customHeight="1">
      <c r="A496" s="542"/>
      <c r="B496" s="542"/>
      <c r="C496" s="542"/>
      <c r="D496" s="543"/>
      <c r="E496" s="544"/>
      <c r="F496" s="544"/>
      <c r="G496" s="545">
        <f t="shared" si="3"/>
        <v>0</v>
      </c>
      <c r="H496" s="59"/>
    </row>
  </sheetData>
  <autoFilter ref="A2:G496" xr:uid="{00000000-0009-0000-0000-000006000000}"/>
  <dataValidations count="2">
    <dataValidation type="list" allowBlank="1" showErrorMessage="1" sqref="C3:C496" xr:uid="{00000000-0002-0000-0600-000000000000}">
      <formula1>LstCstDireto</formula1>
    </dataValidation>
    <dataValidation type="list" allowBlank="1" showErrorMessage="1" sqref="B3:B496" xr:uid="{00000000-0002-0000-0600-000001000000}">
      <formula1>INDIRECT(ListaUGC)</formula1>
    </dataValidation>
  </dataValidations>
  <pageMargins left="0.511811024" right="0.511811024" top="0.78740157499999996" bottom="0.78740157499999996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8">
    <tabColor rgb="FFC00000"/>
  </sheetPr>
  <dimension ref="A1:AF99"/>
  <sheetViews>
    <sheetView workbookViewId="0"/>
  </sheetViews>
  <sheetFormatPr defaultColWidth="11.44140625" defaultRowHeight="15" customHeight="1"/>
  <cols>
    <col min="1" max="1" width="3.44140625" customWidth="1"/>
    <col min="2" max="2" width="42.5546875" customWidth="1"/>
    <col min="3" max="32" width="10.5546875" customWidth="1"/>
  </cols>
  <sheetData>
    <row r="1" spans="1:32" ht="15.75" customHeight="1">
      <c r="A1" s="292"/>
      <c r="B1" s="538" t="s">
        <v>181</v>
      </c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F1" s="292"/>
    </row>
    <row r="2" spans="1:32" ht="15.75" customHeight="1">
      <c r="A2" s="292"/>
      <c r="B2" s="769" t="s">
        <v>146</v>
      </c>
      <c r="C2" s="771" t="s">
        <v>147</v>
      </c>
      <c r="D2" s="813"/>
      <c r="E2" s="813"/>
      <c r="F2" s="813"/>
      <c r="G2" s="813"/>
      <c r="H2" s="813"/>
      <c r="I2" s="813"/>
      <c r="J2" s="813"/>
      <c r="K2" s="813"/>
      <c r="L2" s="813"/>
      <c r="M2" s="813"/>
      <c r="N2" s="813"/>
      <c r="O2" s="813"/>
      <c r="P2" s="813"/>
      <c r="Q2" s="813"/>
      <c r="R2" s="813"/>
      <c r="S2" s="813"/>
      <c r="T2" s="813"/>
      <c r="U2" s="813"/>
      <c r="V2" s="813"/>
      <c r="W2" s="813"/>
      <c r="X2" s="813"/>
      <c r="Y2" s="813"/>
      <c r="Z2" s="813"/>
      <c r="AA2" s="813"/>
      <c r="AB2" s="813"/>
      <c r="AC2" s="813"/>
      <c r="AD2" s="813"/>
      <c r="AE2" s="813"/>
      <c r="AF2" s="813"/>
    </row>
    <row r="3" spans="1:32" ht="15.75" customHeight="1">
      <c r="A3" s="292"/>
      <c r="B3" s="820"/>
      <c r="C3" s="546">
        <v>1</v>
      </c>
      <c r="D3" s="546">
        <v>2</v>
      </c>
      <c r="E3" s="546">
        <v>3</v>
      </c>
      <c r="F3" s="546">
        <v>4</v>
      </c>
      <c r="G3" s="546">
        <v>5</v>
      </c>
      <c r="H3" s="546">
        <v>6</v>
      </c>
      <c r="I3" s="546">
        <v>7</v>
      </c>
      <c r="J3" s="546">
        <v>8</v>
      </c>
      <c r="K3" s="546">
        <v>9</v>
      </c>
      <c r="L3" s="546">
        <v>10</v>
      </c>
      <c r="M3" s="546">
        <v>11</v>
      </c>
      <c r="N3" s="546">
        <v>12</v>
      </c>
      <c r="O3" s="546">
        <v>13</v>
      </c>
      <c r="P3" s="546">
        <v>14</v>
      </c>
      <c r="Q3" s="546">
        <v>15</v>
      </c>
      <c r="R3" s="546">
        <v>16</v>
      </c>
      <c r="S3" s="546">
        <v>17</v>
      </c>
      <c r="T3" s="546">
        <v>18</v>
      </c>
      <c r="U3" s="546">
        <v>19</v>
      </c>
      <c r="V3" s="546">
        <v>20</v>
      </c>
      <c r="W3" s="546">
        <v>21</v>
      </c>
      <c r="X3" s="546">
        <v>22</v>
      </c>
      <c r="Y3" s="546">
        <v>23</v>
      </c>
      <c r="Z3" s="546">
        <v>24</v>
      </c>
      <c r="AA3" s="546">
        <v>25</v>
      </c>
      <c r="AB3" s="546">
        <v>26</v>
      </c>
      <c r="AC3" s="546">
        <v>27</v>
      </c>
      <c r="AD3" s="546">
        <v>28</v>
      </c>
      <c r="AE3" s="546">
        <v>29</v>
      </c>
      <c r="AF3" s="546">
        <v>30</v>
      </c>
    </row>
    <row r="4" spans="1:32" ht="15.75" customHeight="1">
      <c r="A4" s="292"/>
      <c r="B4" s="60" t="str">
        <f>'A3 - Demanda Anual Agregada '!B6</f>
        <v>Ingresso</v>
      </c>
      <c r="C4" s="61">
        <f>SUMIF('B1 - Matriz de custos diretos'!$B$3:$B$496,$B4,'B1 - Matriz de custos diretos'!$G$3:$G$496)*'A3 - Demanda Anual Agregada '!C6*IFERROR(VLOOKUP($B4,SN_UGC,28,0),0)</f>
        <v>956971.05</v>
      </c>
      <c r="D4" s="61">
        <f>SUMIF('B1 - Matriz de custos diretos'!$B$3:$B$496,$B4,'B1 - Matriz de custos diretos'!$G$3:$G$496)*'A3 - Demanda Anual Agregada '!D6*IFERROR(VLOOKUP($B4,SN_UGC,28,0),0)</f>
        <v>1979970.33</v>
      </c>
      <c r="E4" s="61">
        <f>SUMIF('B1 - Matriz de custos diretos'!$B$3:$B$496,$B4,'B1 - Matriz de custos diretos'!$G$3:$G$496)*'A3 - Demanda Anual Agregada '!E6*IFERROR(VLOOKUP($B4,SN_UGC,28,0),0)</f>
        <v>2048265.9300000002</v>
      </c>
      <c r="F4" s="61">
        <f>SUMIF('B1 - Matriz de custos diretos'!$B$3:$B$496,$B4,'B1 - Matriz de custos diretos'!$G$3:$G$496)*'A3 - Demanda Anual Agregada '!F6*IFERROR(VLOOKUP($B4,SN_UGC,28,0),0)</f>
        <v>2114414.94</v>
      </c>
      <c r="G4" s="61">
        <f>SUMIF('B1 - Matriz de custos diretos'!$B$3:$B$496,$B4,'B1 - Matriz de custos diretos'!$G$3:$G$496)*'A3 - Demanda Anual Agregada '!G6*IFERROR(VLOOKUP($B4,SN_UGC,28,0),0)</f>
        <v>2181614.37</v>
      </c>
      <c r="H4" s="61">
        <f>SUMIF('B1 - Matriz de custos diretos'!$B$3:$B$496,$B4,'B1 - Matriz de custos diretos'!$G$3:$G$496)*'A3 - Demanda Anual Agregada '!H6*IFERROR(VLOOKUP($B4,SN_UGC,28,0),0)</f>
        <v>2249992.3200000003</v>
      </c>
      <c r="I4" s="61">
        <f>SUMIF('B1 - Matriz de custos diretos'!$B$3:$B$496,$B4,'B1 - Matriz de custos diretos'!$G$3:$G$496)*'A3 - Demanda Anual Agregada '!I6*IFERROR(VLOOKUP($B4,SN_UGC,28,0),0)</f>
        <v>2320297.2600000002</v>
      </c>
      <c r="J4" s="61">
        <f>SUMIF('B1 - Matriz de custos diretos'!$B$3:$B$496,$B4,'B1 - Matriz de custos diretos'!$G$3:$G$496)*'A3 - Demanda Anual Agregada '!J6*IFERROR(VLOOKUP($B4,SN_UGC,28,0),0)</f>
        <v>2392653.63</v>
      </c>
      <c r="K4" s="61">
        <f>SUMIF('B1 - Matriz de custos diretos'!$B$3:$B$496,$B4,'B1 - Matriz de custos diretos'!$G$3:$G$496)*'A3 - Demanda Anual Agregada '!K6*IFERROR(VLOOKUP($B4,SN_UGC,28,0),0)</f>
        <v>2466327.6</v>
      </c>
      <c r="L4" s="61">
        <f>SUMIF('B1 - Matriz de custos diretos'!$B$3:$B$496,$B4,'B1 - Matriz de custos diretos'!$G$3:$G$496)*'A3 - Demanda Anual Agregada '!L6*IFERROR(VLOOKUP($B4,SN_UGC,28,0),0)</f>
        <v>2541377.73</v>
      </c>
      <c r="M4" s="61">
        <f>SUMIF('B1 - Matriz de custos diretos'!$B$3:$B$496,$B4,'B1 - Matriz de custos diretos'!$G$3:$G$496)*'A3 - Demanda Anual Agregada '!M6*IFERROR(VLOOKUP($B4,SN_UGC,28,0),0)</f>
        <v>2618773.92</v>
      </c>
      <c r="N4" s="61">
        <f>SUMIF('B1 - Matriz de custos diretos'!$B$3:$B$496,$B4,'B1 - Matriz de custos diretos'!$G$3:$G$496)*'A3 - Demanda Anual Agregada '!N6*IFERROR(VLOOKUP($B4,SN_UGC,28,0),0)</f>
        <v>2698486.89</v>
      </c>
      <c r="O4" s="61">
        <f>SUMIF('B1 - Matriz de custos diretos'!$B$3:$B$496,$B4,'B1 - Matriz de custos diretos'!$G$3:$G$496)*'A3 - Demanda Anual Agregada '!O6*IFERROR(VLOOKUP($B4,SN_UGC,28,0),0)</f>
        <v>2780745.39</v>
      </c>
      <c r="P4" s="61">
        <f>SUMIF('B1 - Matriz de custos diretos'!$B$3:$B$496,$B4,'B1 - Matriz de custos diretos'!$G$3:$G$496)*'A3 - Demanda Anual Agregada '!P6*IFERROR(VLOOKUP($B4,SN_UGC,28,0),0)</f>
        <v>2865489.0300000003</v>
      </c>
      <c r="Q4" s="61">
        <f>SUMIF('B1 - Matriz de custos diretos'!$B$3:$B$496,$B4,'B1 - Matriz de custos diretos'!$G$3:$G$496)*'A3 - Demanda Anual Agregada '!Q6*IFERROR(VLOOKUP($B4,SN_UGC,28,0),0)</f>
        <v>2952780.0300000003</v>
      </c>
      <c r="R4" s="61">
        <f>SUMIF('B1 - Matriz de custos diretos'!$B$3:$B$496,$B4,'B1 - Matriz de custos diretos'!$G$3:$G$496)*'A3 - Demanda Anual Agregada '!R6*IFERROR(VLOOKUP($B4,SN_UGC,28,0),0)</f>
        <v>3042464.67</v>
      </c>
      <c r="S4" s="61">
        <f>SUMIF('B1 - Matriz de custos diretos'!$B$3:$B$496,$B4,'B1 - Matriz de custos diretos'!$G$3:$G$496)*'A3 - Demanda Anual Agregada '!S6*IFERROR(VLOOKUP($B4,SN_UGC,28,0),0)</f>
        <v>3134433.15</v>
      </c>
      <c r="T4" s="61">
        <f>SUMIF('B1 - Matriz de custos diretos'!$B$3:$B$496,$B4,'B1 - Matriz de custos diretos'!$G$3:$G$496)*'A3 - Demanda Anual Agregada '!T6*IFERROR(VLOOKUP($B4,SN_UGC,28,0),0)</f>
        <v>3228359.73</v>
      </c>
      <c r="U4" s="61">
        <f>SUMIF('B1 - Matriz de custos diretos'!$B$3:$B$496,$B4,'B1 - Matriz de custos diretos'!$G$3:$G$496)*'A3 - Demanda Anual Agregada '!U6*IFERROR(VLOOKUP($B4,SN_UGC,28,0),0)</f>
        <v>3324004.68</v>
      </c>
      <c r="V4" s="61">
        <f>SUMIF('B1 - Matriz de custos diretos'!$B$3:$B$496,$B4,'B1 - Matriz de custos diretos'!$G$3:$G$496)*'A3 - Demanda Anual Agregada '!V6*IFERROR(VLOOKUP($B4,SN_UGC,28,0),0)</f>
        <v>3420923.31</v>
      </c>
      <c r="W4" s="61">
        <f>SUMIF('B1 - Matriz de custos diretos'!$B$3:$B$496,$B4,'B1 - Matriz de custos diretos'!$G$3:$G$496)*'A3 - Demanda Anual Agregada '!W6*IFERROR(VLOOKUP($B4,SN_UGC,28,0),0)</f>
        <v>3420923.31</v>
      </c>
      <c r="X4" s="61">
        <f>SUMIF('B1 - Matriz de custos diretos'!$B$3:$B$496,$B4,'B1 - Matriz de custos diretos'!$G$3:$G$496)*'A3 - Demanda Anual Agregada '!X6*IFERROR(VLOOKUP($B4,SN_UGC,28,0),0)</f>
        <v>3420923.31</v>
      </c>
      <c r="Y4" s="61">
        <f>SUMIF('B1 - Matriz de custos diretos'!$B$3:$B$496,$B4,'B1 - Matriz de custos diretos'!$G$3:$G$496)*'A3 - Demanda Anual Agregada '!Y6*IFERROR(VLOOKUP($B4,SN_UGC,28,0),0)</f>
        <v>3420923.31</v>
      </c>
      <c r="Z4" s="61">
        <f>SUMIF('B1 - Matriz de custos diretos'!$B$3:$B$496,$B4,'B1 - Matriz de custos diretos'!$G$3:$G$496)*'A3 - Demanda Anual Agregada '!Z6*IFERROR(VLOOKUP($B4,SN_UGC,28,0),0)</f>
        <v>3420923.31</v>
      </c>
      <c r="AA4" s="61">
        <f>SUMIF('B1 - Matriz de custos diretos'!$B$3:$B$496,$B4,'B1 - Matriz de custos diretos'!$G$3:$G$496)*'A3 - Demanda Anual Agregada '!AA6*IFERROR(VLOOKUP($B4,SN_UGC,28,0),0)</f>
        <v>3420923.31</v>
      </c>
      <c r="AB4" s="61">
        <f>SUMIF('B1 - Matriz de custos diretos'!$B$3:$B$496,$B4,'B1 - Matriz de custos diretos'!$G$3:$G$496)*'A3 - Demanda Anual Agregada '!AB6*IFERROR(VLOOKUP($B4,SN_UGC,28,0),0)</f>
        <v>3420923.31</v>
      </c>
      <c r="AC4" s="61">
        <f>SUMIF('B1 - Matriz de custos diretos'!$B$3:$B$496,$B4,'B1 - Matriz de custos diretos'!$G$3:$G$496)*'A3 - Demanda Anual Agregada '!AC6*IFERROR(VLOOKUP($B4,SN_UGC,28,0),0)</f>
        <v>3420923.31</v>
      </c>
      <c r="AD4" s="61">
        <f>SUMIF('B1 - Matriz de custos diretos'!$B$3:$B$496,$B4,'B1 - Matriz de custos diretos'!$G$3:$G$496)*'A3 - Demanda Anual Agregada '!AD6*IFERROR(VLOOKUP($B4,SN_UGC,28,0),0)</f>
        <v>3420923.31</v>
      </c>
      <c r="AE4" s="61">
        <f>SUMIF('B1 - Matriz de custos diretos'!$B$3:$B$496,$B4,'B1 - Matriz de custos diretos'!$G$3:$G$496)*'A3 - Demanda Anual Agregada '!AE6*IFERROR(VLOOKUP($B4,SN_UGC,28,0),0)</f>
        <v>3420923.31</v>
      </c>
      <c r="AF4" s="61">
        <f>SUMIF('B1 - Matriz de custos diretos'!$B$3:$B$496,$B4,'B1 - Matriz de custos diretos'!$G$3:$G$496)*'A3 - Demanda Anual Agregada '!AF6*IFERROR(VLOOKUP($B4,SN_UGC,28,0),0)</f>
        <v>3420923.31</v>
      </c>
    </row>
    <row r="5" spans="1:32" ht="15.75" customHeight="1">
      <c r="A5" s="292"/>
      <c r="B5" s="60" t="str">
        <f>'A3 - Demanda Anual Agregada '!B7</f>
        <v>Preá - Alimentação</v>
      </c>
      <c r="C5" s="61">
        <f>SUMIF('B1 - Matriz de custos diretos'!$B$3:$B$496,$B5,'B1 - Matriz de custos diretos'!$G$3:$G$496)*'A3 - Demanda Anual Agregada '!C7*IFERROR(VLOOKUP($B5,SN_UGC,28,0),0)</f>
        <v>0</v>
      </c>
      <c r="D5" s="61">
        <f>SUMIF('B1 - Matriz de custos diretos'!$B$3:$B$496,$B5,'B1 - Matriz de custos diretos'!$G$3:$G$496)*'A3 - Demanda Anual Agregada '!D7*IFERROR(VLOOKUP($B5,SN_UGC,28,0),0)</f>
        <v>584253</v>
      </c>
      <c r="E5" s="61">
        <f>SUMIF('B1 - Matriz de custos diretos'!$B$3:$B$496,$B5,'B1 - Matriz de custos diretos'!$G$3:$G$496)*'A3 - Demanda Anual Agregada '!E7*IFERROR(VLOOKUP($B5,SN_UGC,28,0),0)</f>
        <v>604408.5</v>
      </c>
      <c r="F5" s="61">
        <f>SUMIF('B1 - Matriz de custos diretos'!$B$3:$B$496,$B5,'B1 - Matriz de custos diretos'!$G$3:$G$496)*'A3 - Demanda Anual Agregada '!F7*IFERROR(VLOOKUP($B5,SN_UGC,28,0),0)</f>
        <v>623922.75</v>
      </c>
      <c r="G5" s="61">
        <f>SUMIF('B1 - Matriz de custos diretos'!$B$3:$B$496,$B5,'B1 - Matriz de custos diretos'!$G$3:$G$496)*'A3 - Demanda Anual Agregada '!G7*IFERROR(VLOOKUP($B5,SN_UGC,28,0),0)</f>
        <v>643754.25</v>
      </c>
      <c r="H5" s="61">
        <f>SUMIF('B1 - Matriz de custos diretos'!$B$3:$B$496,$B5,'B1 - Matriz de custos diretos'!$G$3:$G$496)*'A3 - Demanda Anual Agregada '!H7*IFERROR(VLOOKUP($B5,SN_UGC,28,0),0)</f>
        <v>663930</v>
      </c>
      <c r="I5" s="61">
        <f>SUMIF('B1 - Matriz de custos diretos'!$B$3:$B$496,$B5,'B1 - Matriz de custos diretos'!$G$3:$G$496)*'A3 - Demanda Anual Agregada '!I7*IFERROR(VLOOKUP($B5,SN_UGC,28,0),0)</f>
        <v>684679.5</v>
      </c>
      <c r="J5" s="61">
        <f>SUMIF('B1 - Matriz de custos diretos'!$B$3:$B$496,$B5,'B1 - Matriz de custos diretos'!$G$3:$G$496)*'A3 - Demanda Anual Agregada '!J7*IFERROR(VLOOKUP($B5,SN_UGC,28,0),0)</f>
        <v>706029.75</v>
      </c>
      <c r="K5" s="61">
        <f>SUMIF('B1 - Matriz de custos diretos'!$B$3:$B$496,$B5,'B1 - Matriz de custos diretos'!$G$3:$G$496)*'A3 - Demanda Anual Agregada '!K7*IFERROR(VLOOKUP($B5,SN_UGC,28,0),0)</f>
        <v>727771.5</v>
      </c>
      <c r="L5" s="61">
        <f>SUMIF('B1 - Matriz de custos diretos'!$B$3:$B$496,$B5,'B1 - Matriz de custos diretos'!$G$3:$G$496)*'A3 - Demanda Anual Agregada '!L7*IFERROR(VLOOKUP($B5,SN_UGC,28,0),0)</f>
        <v>749911.5</v>
      </c>
      <c r="M5" s="61">
        <f>SUMIF('B1 - Matriz de custos diretos'!$B$3:$B$496,$B5,'B1 - Matriz de custos diretos'!$G$3:$G$496)*'A3 - Demanda Anual Agregada '!M7*IFERROR(VLOOKUP($B5,SN_UGC,28,0),0)</f>
        <v>772753.5</v>
      </c>
      <c r="N5" s="61">
        <f>SUMIF('B1 - Matriz de custos diretos'!$B$3:$B$496,$B5,'B1 - Matriz de custos diretos'!$G$3:$G$496)*'A3 - Demanda Anual Agregada '!N7*IFERROR(VLOOKUP($B5,SN_UGC,28,0),0)</f>
        <v>796277.25</v>
      </c>
      <c r="O5" s="61">
        <f>SUMIF('B1 - Matriz de custos diretos'!$B$3:$B$496,$B5,'B1 - Matriz de custos diretos'!$G$3:$G$496)*'A3 - Demanda Anual Agregada '!O7*IFERROR(VLOOKUP($B5,SN_UGC,28,0),0)</f>
        <v>820550.25</v>
      </c>
      <c r="P5" s="61">
        <f>SUMIF('B1 - Matriz de custos diretos'!$B$3:$B$496,$B5,'B1 - Matriz de custos diretos'!$G$3:$G$496)*'A3 - Demanda Anual Agregada '!P7*IFERROR(VLOOKUP($B5,SN_UGC,28,0),0)</f>
        <v>845552.25</v>
      </c>
      <c r="Q5" s="61">
        <f>SUMIF('B1 - Matriz de custos diretos'!$B$3:$B$496,$B5,'B1 - Matriz de custos diretos'!$G$3:$G$496)*'A3 - Demanda Anual Agregada '!Q7*IFERROR(VLOOKUP($B5,SN_UGC,28,0),0)</f>
        <v>871310.25</v>
      </c>
      <c r="R5" s="61">
        <f>SUMIF('B1 - Matriz de custos diretos'!$B$3:$B$496,$B5,'B1 - Matriz de custos diretos'!$G$3:$G$496)*'A3 - Demanda Anual Agregada '!R7*IFERROR(VLOOKUP($B5,SN_UGC,28,0),0)</f>
        <v>897777</v>
      </c>
      <c r="S5" s="61">
        <f>SUMIF('B1 - Matriz de custos diretos'!$B$3:$B$496,$B5,'B1 - Matriz de custos diretos'!$G$3:$G$496)*'A3 - Demanda Anual Agregada '!S7*IFERROR(VLOOKUP($B5,SN_UGC,28,0),0)</f>
        <v>924912</v>
      </c>
      <c r="T5" s="61">
        <f>SUMIF('B1 - Matriz de custos diretos'!$B$3:$B$496,$B5,'B1 - Matriz de custos diretos'!$G$3:$G$496)*'A3 - Demanda Anual Agregada '!T7*IFERROR(VLOOKUP($B5,SN_UGC,28,0),0)</f>
        <v>952627.5</v>
      </c>
      <c r="U5" s="61">
        <f>SUMIF('B1 - Matriz de custos diretos'!$B$3:$B$496,$B5,'B1 - Matriz de custos diretos'!$G$3:$G$496)*'A3 - Demanda Anual Agregada '!U7*IFERROR(VLOOKUP($B5,SN_UGC,28,0),0)</f>
        <v>980856</v>
      </c>
      <c r="V5" s="61">
        <f>SUMIF('B1 - Matriz de custos diretos'!$B$3:$B$496,$B5,'B1 - Matriz de custos diretos'!$G$3:$G$496)*'A3 - Demanda Anual Agregada '!V7*IFERROR(VLOOKUP($B5,SN_UGC,28,0),0)</f>
        <v>1009455.75</v>
      </c>
      <c r="W5" s="61">
        <f>SUMIF('B1 - Matriz de custos diretos'!$B$3:$B$496,$B5,'B1 - Matriz de custos diretos'!$G$3:$G$496)*'A3 - Demanda Anual Agregada '!W7*IFERROR(VLOOKUP($B5,SN_UGC,28,0),0)</f>
        <v>1009455.75</v>
      </c>
      <c r="X5" s="61">
        <f>SUMIF('B1 - Matriz de custos diretos'!$B$3:$B$496,$B5,'B1 - Matriz de custos diretos'!$G$3:$G$496)*'A3 - Demanda Anual Agregada '!X7*IFERROR(VLOOKUP($B5,SN_UGC,28,0),0)</f>
        <v>1009455.75</v>
      </c>
      <c r="Y5" s="61">
        <f>SUMIF('B1 - Matriz de custos diretos'!$B$3:$B$496,$B5,'B1 - Matriz de custos diretos'!$G$3:$G$496)*'A3 - Demanda Anual Agregada '!Y7*IFERROR(VLOOKUP($B5,SN_UGC,28,0),0)</f>
        <v>1009455.75</v>
      </c>
      <c r="Z5" s="61">
        <f>SUMIF('B1 - Matriz de custos diretos'!$B$3:$B$496,$B5,'B1 - Matriz de custos diretos'!$G$3:$G$496)*'A3 - Demanda Anual Agregada '!Z7*IFERROR(VLOOKUP($B5,SN_UGC,28,0),0)</f>
        <v>1009455.75</v>
      </c>
      <c r="AA5" s="61">
        <f>SUMIF('B1 - Matriz de custos diretos'!$B$3:$B$496,$B5,'B1 - Matriz de custos diretos'!$G$3:$G$496)*'A3 - Demanda Anual Agregada '!AA7*IFERROR(VLOOKUP($B5,SN_UGC,28,0),0)</f>
        <v>1009455.75</v>
      </c>
      <c r="AB5" s="61">
        <f>SUMIF('B1 - Matriz de custos diretos'!$B$3:$B$496,$B5,'B1 - Matriz de custos diretos'!$G$3:$G$496)*'A3 - Demanda Anual Agregada '!AB7*IFERROR(VLOOKUP($B5,SN_UGC,28,0),0)</f>
        <v>1009455.75</v>
      </c>
      <c r="AC5" s="61">
        <f>SUMIF('B1 - Matriz de custos diretos'!$B$3:$B$496,$B5,'B1 - Matriz de custos diretos'!$G$3:$G$496)*'A3 - Demanda Anual Agregada '!AC7*IFERROR(VLOOKUP($B5,SN_UGC,28,0),0)</f>
        <v>1009455.75</v>
      </c>
      <c r="AD5" s="61">
        <f>SUMIF('B1 - Matriz de custos diretos'!$B$3:$B$496,$B5,'B1 - Matriz de custos diretos'!$G$3:$G$496)*'A3 - Demanda Anual Agregada '!AD7*IFERROR(VLOOKUP($B5,SN_UGC,28,0),0)</f>
        <v>1009455.75</v>
      </c>
      <c r="AE5" s="61">
        <f>SUMIF('B1 - Matriz de custos diretos'!$B$3:$B$496,$B5,'B1 - Matriz de custos diretos'!$G$3:$G$496)*'A3 - Demanda Anual Agregada '!AE7*IFERROR(VLOOKUP($B5,SN_UGC,28,0),0)</f>
        <v>1009455.75</v>
      </c>
      <c r="AF5" s="61">
        <f>SUMIF('B1 - Matriz de custos diretos'!$B$3:$B$496,$B5,'B1 - Matriz de custos diretos'!$G$3:$G$496)*'A3 - Demanda Anual Agregada '!AF7*IFERROR(VLOOKUP($B5,SN_UGC,28,0),0)</f>
        <v>1009455.75</v>
      </c>
    </row>
    <row r="6" spans="1:32" ht="15.75" customHeight="1">
      <c r="A6" s="292"/>
      <c r="B6" s="60" t="str">
        <f>'A3 - Demanda Anual Agregada '!B8</f>
        <v>Preá - Comércio</v>
      </c>
      <c r="C6" s="61">
        <f>SUMIF('B1 - Matriz de custos diretos'!$B$3:$B$496,$B6,'B1 - Matriz de custos diretos'!$G$3:$G$496)*'A3 - Demanda Anual Agregada '!C8*IFERROR(VLOOKUP($B6,SN_UGC,28,0),0)</f>
        <v>0</v>
      </c>
      <c r="D6" s="61">
        <f>SUMIF('B1 - Matriz de custos diretos'!$B$3:$B$496,$B6,'B1 - Matriz de custos diretos'!$G$3:$G$496)*'A3 - Demanda Anual Agregada '!D8*IFERROR(VLOOKUP($B6,SN_UGC,28,0),0)</f>
        <v>252455</v>
      </c>
      <c r="E6" s="61">
        <f>SUMIF('B1 - Matriz de custos diretos'!$B$3:$B$496,$B6,'B1 - Matriz de custos diretos'!$G$3:$G$496)*'A3 - Demanda Anual Agregada '!E8*IFERROR(VLOOKUP($B6,SN_UGC,28,0),0)</f>
        <v>261170</v>
      </c>
      <c r="F6" s="61">
        <f>SUMIF('B1 - Matriz de custos diretos'!$B$3:$B$496,$B6,'B1 - Matriz de custos diretos'!$G$3:$G$496)*'A3 - Demanda Anual Agregada '!F8*IFERROR(VLOOKUP($B6,SN_UGC,28,0),0)</f>
        <v>269605</v>
      </c>
      <c r="G6" s="61">
        <f>SUMIF('B1 - Matriz de custos diretos'!$B$3:$B$496,$B6,'B1 - Matriz de custos diretos'!$G$3:$G$496)*'A3 - Demanda Anual Agregada '!G8*IFERROR(VLOOKUP($B6,SN_UGC,28,0),0)</f>
        <v>278162.5</v>
      </c>
      <c r="H6" s="61">
        <f>SUMIF('B1 - Matriz de custos diretos'!$B$3:$B$496,$B6,'B1 - Matriz de custos diretos'!$G$3:$G$496)*'A3 - Demanda Anual Agregada '!H8*IFERROR(VLOOKUP($B6,SN_UGC,28,0),0)</f>
        <v>286877.5</v>
      </c>
      <c r="I6" s="61">
        <f>SUMIF('B1 - Matriz de custos diretos'!$B$3:$B$496,$B6,'B1 - Matriz de custos diretos'!$G$3:$G$496)*'A3 - Demanda Anual Agregada '!I8*IFERROR(VLOOKUP($B6,SN_UGC,28,0),0)</f>
        <v>295855</v>
      </c>
      <c r="J6" s="61">
        <f>SUMIF('B1 - Matriz de custos diretos'!$B$3:$B$496,$B6,'B1 - Matriz de custos diretos'!$G$3:$G$496)*'A3 - Demanda Anual Agregada '!J8*IFERROR(VLOOKUP($B6,SN_UGC,28,0),0)</f>
        <v>305077.5</v>
      </c>
      <c r="K6" s="61">
        <f>SUMIF('B1 - Matriz de custos diretos'!$B$3:$B$496,$B6,'B1 - Matriz de custos diretos'!$G$3:$G$496)*'A3 - Demanda Anual Agregada '!K8*IFERROR(VLOOKUP($B6,SN_UGC,28,0),0)</f>
        <v>314475</v>
      </c>
      <c r="L6" s="61">
        <f>SUMIF('B1 - Matriz de custos diretos'!$B$3:$B$496,$B6,'B1 - Matriz de custos diretos'!$G$3:$G$496)*'A3 - Demanda Anual Agregada '!L8*IFERROR(VLOOKUP($B6,SN_UGC,28,0),0)</f>
        <v>324030</v>
      </c>
      <c r="M6" s="61">
        <f>SUMIF('B1 - Matriz de custos diretos'!$B$3:$B$496,$B6,'B1 - Matriz de custos diretos'!$G$3:$G$496)*'A3 - Demanda Anual Agregada '!M8*IFERROR(VLOOKUP($B6,SN_UGC,28,0),0)</f>
        <v>333900</v>
      </c>
      <c r="N6" s="61">
        <f>SUMIF('B1 - Matriz de custos diretos'!$B$3:$B$496,$B6,'B1 - Matriz de custos diretos'!$G$3:$G$496)*'A3 - Demanda Anual Agregada '!N8*IFERROR(VLOOKUP($B6,SN_UGC,28,0),0)</f>
        <v>344067.5</v>
      </c>
      <c r="O6" s="61">
        <f>SUMIF('B1 - Matriz de custos diretos'!$B$3:$B$496,$B6,'B1 - Matriz de custos diretos'!$G$3:$G$496)*'A3 - Demanda Anual Agregada '!O8*IFERROR(VLOOKUP($B6,SN_UGC,28,0),0)</f>
        <v>354550</v>
      </c>
      <c r="P6" s="61">
        <f>SUMIF('B1 - Matriz de custos diretos'!$B$3:$B$496,$B6,'B1 - Matriz de custos diretos'!$G$3:$G$496)*'A3 - Demanda Anual Agregada '!P8*IFERROR(VLOOKUP($B6,SN_UGC,28,0),0)</f>
        <v>365365</v>
      </c>
      <c r="Q6" s="61">
        <f>SUMIF('B1 - Matriz de custos diretos'!$B$3:$B$496,$B6,'B1 - Matriz de custos diretos'!$G$3:$G$496)*'A3 - Demanda Anual Agregada '!Q8*IFERROR(VLOOKUP($B6,SN_UGC,28,0),0)</f>
        <v>376495</v>
      </c>
      <c r="R6" s="61">
        <f>SUMIF('B1 - Matriz de custos diretos'!$B$3:$B$496,$B6,'B1 - Matriz de custos diretos'!$G$3:$G$496)*'A3 - Demanda Anual Agregada '!R8*IFERROR(VLOOKUP($B6,SN_UGC,28,0),0)</f>
        <v>387922.5</v>
      </c>
      <c r="S6" s="61">
        <f>SUMIF('B1 - Matriz de custos diretos'!$B$3:$B$496,$B6,'B1 - Matriz de custos diretos'!$G$3:$G$496)*'A3 - Demanda Anual Agregada '!S8*IFERROR(VLOOKUP($B6,SN_UGC,28,0),0)</f>
        <v>399647.5</v>
      </c>
      <c r="T6" s="61">
        <f>SUMIF('B1 - Matriz de custos diretos'!$B$3:$B$496,$B6,'B1 - Matriz de custos diretos'!$G$3:$G$496)*'A3 - Demanda Anual Agregada '!T8*IFERROR(VLOOKUP($B6,SN_UGC,28,0),0)</f>
        <v>411635</v>
      </c>
      <c r="U6" s="61">
        <f>SUMIF('B1 - Matriz de custos diretos'!$B$3:$B$496,$B6,'B1 - Matriz de custos diretos'!$G$3:$G$496)*'A3 - Demanda Anual Agregada '!U8*IFERROR(VLOOKUP($B6,SN_UGC,28,0),0)</f>
        <v>423832.5</v>
      </c>
      <c r="V6" s="61">
        <f>SUMIF('B1 - Matriz de custos diretos'!$B$3:$B$496,$B6,'B1 - Matriz de custos diretos'!$G$3:$G$496)*'A3 - Demanda Anual Agregada '!V8*IFERROR(VLOOKUP($B6,SN_UGC,28,0),0)</f>
        <v>436187.5</v>
      </c>
      <c r="W6" s="61">
        <f>SUMIF('B1 - Matriz de custos diretos'!$B$3:$B$496,$B6,'B1 - Matriz de custos diretos'!$G$3:$G$496)*'A3 - Demanda Anual Agregada '!W8*IFERROR(VLOOKUP($B6,SN_UGC,28,0),0)</f>
        <v>436187.5</v>
      </c>
      <c r="X6" s="61">
        <f>SUMIF('B1 - Matriz de custos diretos'!$B$3:$B$496,$B6,'B1 - Matriz de custos diretos'!$G$3:$G$496)*'A3 - Demanda Anual Agregada '!X8*IFERROR(VLOOKUP($B6,SN_UGC,28,0),0)</f>
        <v>436187.5</v>
      </c>
      <c r="Y6" s="61">
        <f>SUMIF('B1 - Matriz de custos diretos'!$B$3:$B$496,$B6,'B1 - Matriz de custos diretos'!$G$3:$G$496)*'A3 - Demanda Anual Agregada '!Y8*IFERROR(VLOOKUP($B6,SN_UGC,28,0),0)</f>
        <v>436187.5</v>
      </c>
      <c r="Z6" s="61">
        <f>SUMIF('B1 - Matriz de custos diretos'!$B$3:$B$496,$B6,'B1 - Matriz de custos diretos'!$G$3:$G$496)*'A3 - Demanda Anual Agregada '!Z8*IFERROR(VLOOKUP($B6,SN_UGC,28,0),0)</f>
        <v>436187.5</v>
      </c>
      <c r="AA6" s="61">
        <f>SUMIF('B1 - Matriz de custos diretos'!$B$3:$B$496,$B6,'B1 - Matriz de custos diretos'!$G$3:$G$496)*'A3 - Demanda Anual Agregada '!AA8*IFERROR(VLOOKUP($B6,SN_UGC,28,0),0)</f>
        <v>436187.5</v>
      </c>
      <c r="AB6" s="61">
        <f>SUMIF('B1 - Matriz de custos diretos'!$B$3:$B$496,$B6,'B1 - Matriz de custos diretos'!$G$3:$G$496)*'A3 - Demanda Anual Agregada '!AB8*IFERROR(VLOOKUP($B6,SN_UGC,28,0),0)</f>
        <v>436187.5</v>
      </c>
      <c r="AC6" s="61">
        <f>SUMIF('B1 - Matriz de custos diretos'!$B$3:$B$496,$B6,'B1 - Matriz de custos diretos'!$G$3:$G$496)*'A3 - Demanda Anual Agregada '!AC8*IFERROR(VLOOKUP($B6,SN_UGC,28,0),0)</f>
        <v>436187.5</v>
      </c>
      <c r="AD6" s="61">
        <f>SUMIF('B1 - Matriz de custos diretos'!$B$3:$B$496,$B6,'B1 - Matriz de custos diretos'!$G$3:$G$496)*'A3 - Demanda Anual Agregada '!AD8*IFERROR(VLOOKUP($B6,SN_UGC,28,0),0)</f>
        <v>436187.5</v>
      </c>
      <c r="AE6" s="61">
        <f>SUMIF('B1 - Matriz de custos diretos'!$B$3:$B$496,$B6,'B1 - Matriz de custos diretos'!$G$3:$G$496)*'A3 - Demanda Anual Agregada '!AE8*IFERROR(VLOOKUP($B6,SN_UGC,28,0),0)</f>
        <v>436187.5</v>
      </c>
      <c r="AF6" s="61">
        <f>SUMIF('B1 - Matriz de custos diretos'!$B$3:$B$496,$B6,'B1 - Matriz de custos diretos'!$G$3:$G$496)*'A3 - Demanda Anual Agregada '!AF8*IFERROR(VLOOKUP($B6,SN_UGC,28,0),0)</f>
        <v>436187.5</v>
      </c>
    </row>
    <row r="7" spans="1:32" ht="15.75" customHeight="1">
      <c r="A7" s="292"/>
      <c r="B7" s="60" t="str">
        <f>'A3 - Demanda Anual Agregada '!B9</f>
        <v>Preá - Estacionamento</v>
      </c>
      <c r="C7" s="61">
        <f>SUMIF('B1 - Matriz de custos diretos'!$B$3:$B$496,$B7,'B1 - Matriz de custos diretos'!$G$3:$G$496)*'A3 - Demanda Anual Agregada '!C9*IFERROR(VLOOKUP($B7,SN_UGC,28,0),0)</f>
        <v>0</v>
      </c>
      <c r="D7" s="61">
        <f>SUMIF('B1 - Matriz de custos diretos'!$B$3:$B$496,$B7,'B1 - Matriz de custos diretos'!$G$3:$G$496)*'A3 - Demanda Anual Agregada '!D9*IFERROR(VLOOKUP($B7,SN_UGC,28,0),0)</f>
        <v>0</v>
      </c>
      <c r="E7" s="61">
        <f>SUMIF('B1 - Matriz de custos diretos'!$B$3:$B$496,$B7,'B1 - Matriz de custos diretos'!$G$3:$G$496)*'A3 - Demanda Anual Agregada '!E9*IFERROR(VLOOKUP($B7,SN_UGC,28,0),0)</f>
        <v>0</v>
      </c>
      <c r="F7" s="61">
        <f>SUMIF('B1 - Matriz de custos diretos'!$B$3:$B$496,$B7,'B1 - Matriz de custos diretos'!$G$3:$G$496)*'A3 - Demanda Anual Agregada '!F9*IFERROR(VLOOKUP($B7,SN_UGC,28,0),0)</f>
        <v>0</v>
      </c>
      <c r="G7" s="61">
        <f>SUMIF('B1 - Matriz de custos diretos'!$B$3:$B$496,$B7,'B1 - Matriz de custos diretos'!$G$3:$G$496)*'A3 - Demanda Anual Agregada '!G9*IFERROR(VLOOKUP($B7,SN_UGC,28,0),0)</f>
        <v>0</v>
      </c>
      <c r="H7" s="61">
        <f>SUMIF('B1 - Matriz de custos diretos'!$B$3:$B$496,$B7,'B1 - Matriz de custos diretos'!$G$3:$G$496)*'A3 - Demanda Anual Agregada '!H9*IFERROR(VLOOKUP($B7,SN_UGC,28,0),0)</f>
        <v>0</v>
      </c>
      <c r="I7" s="61">
        <f>SUMIF('B1 - Matriz de custos diretos'!$B$3:$B$496,$B7,'B1 - Matriz de custos diretos'!$G$3:$G$496)*'A3 - Demanda Anual Agregada '!I9*IFERROR(VLOOKUP($B7,SN_UGC,28,0),0)</f>
        <v>0</v>
      </c>
      <c r="J7" s="61">
        <f>SUMIF('B1 - Matriz de custos diretos'!$B$3:$B$496,$B7,'B1 - Matriz de custos diretos'!$G$3:$G$496)*'A3 - Demanda Anual Agregada '!J9*IFERROR(VLOOKUP($B7,SN_UGC,28,0),0)</f>
        <v>0</v>
      </c>
      <c r="K7" s="61">
        <f>SUMIF('B1 - Matriz de custos diretos'!$B$3:$B$496,$B7,'B1 - Matriz de custos diretos'!$G$3:$G$496)*'A3 - Demanda Anual Agregada '!K9*IFERROR(VLOOKUP($B7,SN_UGC,28,0),0)</f>
        <v>0</v>
      </c>
      <c r="L7" s="61">
        <f>SUMIF('B1 - Matriz de custos diretos'!$B$3:$B$496,$B7,'B1 - Matriz de custos diretos'!$G$3:$G$496)*'A3 - Demanda Anual Agregada '!L9*IFERROR(VLOOKUP($B7,SN_UGC,28,0),0)</f>
        <v>0</v>
      </c>
      <c r="M7" s="61">
        <f>SUMIF('B1 - Matriz de custos diretos'!$B$3:$B$496,$B7,'B1 - Matriz de custos diretos'!$G$3:$G$496)*'A3 - Demanda Anual Agregada '!M9*IFERROR(VLOOKUP($B7,SN_UGC,28,0),0)</f>
        <v>0</v>
      </c>
      <c r="N7" s="61">
        <f>SUMIF('B1 - Matriz de custos diretos'!$B$3:$B$496,$B7,'B1 - Matriz de custos diretos'!$G$3:$G$496)*'A3 - Demanda Anual Agregada '!N9*IFERROR(VLOOKUP($B7,SN_UGC,28,0),0)</f>
        <v>0</v>
      </c>
      <c r="O7" s="61">
        <f>SUMIF('B1 - Matriz de custos diretos'!$B$3:$B$496,$B7,'B1 - Matriz de custos diretos'!$G$3:$G$496)*'A3 - Demanda Anual Agregada '!O9*IFERROR(VLOOKUP($B7,SN_UGC,28,0),0)</f>
        <v>0</v>
      </c>
      <c r="P7" s="61">
        <f>SUMIF('B1 - Matriz de custos diretos'!$B$3:$B$496,$B7,'B1 - Matriz de custos diretos'!$G$3:$G$496)*'A3 - Demanda Anual Agregada '!P9*IFERROR(VLOOKUP($B7,SN_UGC,28,0),0)</f>
        <v>0</v>
      </c>
      <c r="Q7" s="61">
        <f>SUMIF('B1 - Matriz de custos diretos'!$B$3:$B$496,$B7,'B1 - Matriz de custos diretos'!$G$3:$G$496)*'A3 - Demanda Anual Agregada '!Q9*IFERROR(VLOOKUP($B7,SN_UGC,28,0),0)</f>
        <v>0</v>
      </c>
      <c r="R7" s="61">
        <f>SUMIF('B1 - Matriz de custos diretos'!$B$3:$B$496,$B7,'B1 - Matriz de custos diretos'!$G$3:$G$496)*'A3 - Demanda Anual Agregada '!R9*IFERROR(VLOOKUP($B7,SN_UGC,28,0),0)</f>
        <v>0</v>
      </c>
      <c r="S7" s="61">
        <f>SUMIF('B1 - Matriz de custos diretos'!$B$3:$B$496,$B7,'B1 - Matriz de custos diretos'!$G$3:$G$496)*'A3 - Demanda Anual Agregada '!S9*IFERROR(VLOOKUP($B7,SN_UGC,28,0),0)</f>
        <v>0</v>
      </c>
      <c r="T7" s="61">
        <f>SUMIF('B1 - Matriz de custos diretos'!$B$3:$B$496,$B7,'B1 - Matriz de custos diretos'!$G$3:$G$496)*'A3 - Demanda Anual Agregada '!T9*IFERROR(VLOOKUP($B7,SN_UGC,28,0),0)</f>
        <v>0</v>
      </c>
      <c r="U7" s="61">
        <f>SUMIF('B1 - Matriz de custos diretos'!$B$3:$B$496,$B7,'B1 - Matriz de custos diretos'!$G$3:$G$496)*'A3 - Demanda Anual Agregada '!U9*IFERROR(VLOOKUP($B7,SN_UGC,28,0),0)</f>
        <v>0</v>
      </c>
      <c r="V7" s="61">
        <f>SUMIF('B1 - Matriz de custos diretos'!$B$3:$B$496,$B7,'B1 - Matriz de custos diretos'!$G$3:$G$496)*'A3 - Demanda Anual Agregada '!V9*IFERROR(VLOOKUP($B7,SN_UGC,28,0),0)</f>
        <v>0</v>
      </c>
      <c r="W7" s="61">
        <f>SUMIF('B1 - Matriz de custos diretos'!$B$3:$B$496,$B7,'B1 - Matriz de custos diretos'!$G$3:$G$496)*'A3 - Demanda Anual Agregada '!W9*IFERROR(VLOOKUP($B7,SN_UGC,28,0),0)</f>
        <v>0</v>
      </c>
      <c r="X7" s="61">
        <f>SUMIF('B1 - Matriz de custos diretos'!$B$3:$B$496,$B7,'B1 - Matriz de custos diretos'!$G$3:$G$496)*'A3 - Demanda Anual Agregada '!X9*IFERROR(VLOOKUP($B7,SN_UGC,28,0),0)</f>
        <v>0</v>
      </c>
      <c r="Y7" s="61">
        <f>SUMIF('B1 - Matriz de custos diretos'!$B$3:$B$496,$B7,'B1 - Matriz de custos diretos'!$G$3:$G$496)*'A3 - Demanda Anual Agregada '!Y9*IFERROR(VLOOKUP($B7,SN_UGC,28,0),0)</f>
        <v>0</v>
      </c>
      <c r="Z7" s="61">
        <f>SUMIF('B1 - Matriz de custos diretos'!$B$3:$B$496,$B7,'B1 - Matriz de custos diretos'!$G$3:$G$496)*'A3 - Demanda Anual Agregada '!Z9*IFERROR(VLOOKUP($B7,SN_UGC,28,0),0)</f>
        <v>0</v>
      </c>
      <c r="AA7" s="61">
        <f>SUMIF('B1 - Matriz de custos diretos'!$B$3:$B$496,$B7,'B1 - Matriz de custos diretos'!$G$3:$G$496)*'A3 - Demanda Anual Agregada '!AA9*IFERROR(VLOOKUP($B7,SN_UGC,28,0),0)</f>
        <v>0</v>
      </c>
      <c r="AB7" s="61">
        <f>SUMIF('B1 - Matriz de custos diretos'!$B$3:$B$496,$B7,'B1 - Matriz de custos diretos'!$G$3:$G$496)*'A3 - Demanda Anual Agregada '!AB9*IFERROR(VLOOKUP($B7,SN_UGC,28,0),0)</f>
        <v>0</v>
      </c>
      <c r="AC7" s="61">
        <f>SUMIF('B1 - Matriz de custos diretos'!$B$3:$B$496,$B7,'B1 - Matriz de custos diretos'!$G$3:$G$496)*'A3 - Demanda Anual Agregada '!AC9*IFERROR(VLOOKUP($B7,SN_UGC,28,0),0)</f>
        <v>0</v>
      </c>
      <c r="AD7" s="61">
        <f>SUMIF('B1 - Matriz de custos diretos'!$B$3:$B$496,$B7,'B1 - Matriz de custos diretos'!$G$3:$G$496)*'A3 - Demanda Anual Agregada '!AD9*IFERROR(VLOOKUP($B7,SN_UGC,28,0),0)</f>
        <v>0</v>
      </c>
      <c r="AE7" s="61">
        <f>SUMIF('B1 - Matriz de custos diretos'!$B$3:$B$496,$B7,'B1 - Matriz de custos diretos'!$G$3:$G$496)*'A3 - Demanda Anual Agregada '!AE9*IFERROR(VLOOKUP($B7,SN_UGC,28,0),0)</f>
        <v>0</v>
      </c>
      <c r="AF7" s="61">
        <f>SUMIF('B1 - Matriz de custos diretos'!$B$3:$B$496,$B7,'B1 - Matriz de custos diretos'!$G$3:$G$496)*'A3 - Demanda Anual Agregada '!AF9*IFERROR(VLOOKUP($B7,SN_UGC,28,0),0)</f>
        <v>0</v>
      </c>
    </row>
    <row r="8" spans="1:32" ht="15.75" customHeight="1">
      <c r="A8" s="292"/>
      <c r="B8" s="60" t="str">
        <f>'A3 - Demanda Anual Agregada '!B10</f>
        <v>Árvore da Preguiça - Alimentação</v>
      </c>
      <c r="C8" s="61">
        <f>SUMIF('B1 - Matriz de custos diretos'!$B$3:$B$496,$B8,'B1 - Matriz de custos diretos'!$G$3:$G$496)*'A3 - Demanda Anual Agregada '!C10*IFERROR(VLOOKUP($B8,SN_UGC,28,0),0)</f>
        <v>0</v>
      </c>
      <c r="D8" s="61">
        <f>SUMIF('B1 - Matriz de custos diretos'!$B$3:$B$496,$B8,'B1 - Matriz de custos diretos'!$G$3:$G$496)*'A3 - Demanda Anual Agregada '!D10*IFERROR(VLOOKUP($B8,SN_UGC,28,0),0)</f>
        <v>584253</v>
      </c>
      <c r="E8" s="61">
        <f>SUMIF('B1 - Matriz de custos diretos'!$B$3:$B$496,$B8,'B1 - Matriz de custos diretos'!$G$3:$G$496)*'A3 - Demanda Anual Agregada '!E10*IFERROR(VLOOKUP($B8,SN_UGC,28,0),0)</f>
        <v>604408.5</v>
      </c>
      <c r="F8" s="61">
        <f>SUMIF('B1 - Matriz de custos diretos'!$B$3:$B$496,$B8,'B1 - Matriz de custos diretos'!$G$3:$G$496)*'A3 - Demanda Anual Agregada '!F10*IFERROR(VLOOKUP($B8,SN_UGC,28,0),0)</f>
        <v>623922.75</v>
      </c>
      <c r="G8" s="61">
        <f>SUMIF('B1 - Matriz de custos diretos'!$B$3:$B$496,$B8,'B1 - Matriz de custos diretos'!$G$3:$G$496)*'A3 - Demanda Anual Agregada '!G10*IFERROR(VLOOKUP($B8,SN_UGC,28,0),0)</f>
        <v>643754.25</v>
      </c>
      <c r="H8" s="61">
        <f>SUMIF('B1 - Matriz de custos diretos'!$B$3:$B$496,$B8,'B1 - Matriz de custos diretos'!$G$3:$G$496)*'A3 - Demanda Anual Agregada '!H10*IFERROR(VLOOKUP($B8,SN_UGC,28,0),0)</f>
        <v>663930</v>
      </c>
      <c r="I8" s="61">
        <f>SUMIF('B1 - Matriz de custos diretos'!$B$3:$B$496,$B8,'B1 - Matriz de custos diretos'!$G$3:$G$496)*'A3 - Demanda Anual Agregada '!I10*IFERROR(VLOOKUP($B8,SN_UGC,28,0),0)</f>
        <v>684679.5</v>
      </c>
      <c r="J8" s="61">
        <f>SUMIF('B1 - Matriz de custos diretos'!$B$3:$B$496,$B8,'B1 - Matriz de custos diretos'!$G$3:$G$496)*'A3 - Demanda Anual Agregada '!J10*IFERROR(VLOOKUP($B8,SN_UGC,28,0),0)</f>
        <v>706029.75</v>
      </c>
      <c r="K8" s="61">
        <f>SUMIF('B1 - Matriz de custos diretos'!$B$3:$B$496,$B8,'B1 - Matriz de custos diretos'!$G$3:$G$496)*'A3 - Demanda Anual Agregada '!K10*IFERROR(VLOOKUP($B8,SN_UGC,28,0),0)</f>
        <v>727771.5</v>
      </c>
      <c r="L8" s="61">
        <f>SUMIF('B1 - Matriz de custos diretos'!$B$3:$B$496,$B8,'B1 - Matriz de custos diretos'!$G$3:$G$496)*'A3 - Demanda Anual Agregada '!L10*IFERROR(VLOOKUP($B8,SN_UGC,28,0),0)</f>
        <v>749911.5</v>
      </c>
      <c r="M8" s="61">
        <f>SUMIF('B1 - Matriz de custos diretos'!$B$3:$B$496,$B8,'B1 - Matriz de custos diretos'!$G$3:$G$496)*'A3 - Demanda Anual Agregada '!M10*IFERROR(VLOOKUP($B8,SN_UGC,28,0),0)</f>
        <v>772753.5</v>
      </c>
      <c r="N8" s="61">
        <f>SUMIF('B1 - Matriz de custos diretos'!$B$3:$B$496,$B8,'B1 - Matriz de custos diretos'!$G$3:$G$496)*'A3 - Demanda Anual Agregada '!N10*IFERROR(VLOOKUP($B8,SN_UGC,28,0),0)</f>
        <v>796277.25</v>
      </c>
      <c r="O8" s="61">
        <f>SUMIF('B1 - Matriz de custos diretos'!$B$3:$B$496,$B8,'B1 - Matriz de custos diretos'!$G$3:$G$496)*'A3 - Demanda Anual Agregada '!O10*IFERROR(VLOOKUP($B8,SN_UGC,28,0),0)</f>
        <v>820550.25</v>
      </c>
      <c r="P8" s="61">
        <f>SUMIF('B1 - Matriz de custos diretos'!$B$3:$B$496,$B8,'B1 - Matriz de custos diretos'!$G$3:$G$496)*'A3 - Demanda Anual Agregada '!P10*IFERROR(VLOOKUP($B8,SN_UGC,28,0),0)</f>
        <v>845552.25</v>
      </c>
      <c r="Q8" s="61">
        <f>SUMIF('B1 - Matriz de custos diretos'!$B$3:$B$496,$B8,'B1 - Matriz de custos diretos'!$G$3:$G$496)*'A3 - Demanda Anual Agregada '!Q10*IFERROR(VLOOKUP($B8,SN_UGC,28,0),0)</f>
        <v>871310.25</v>
      </c>
      <c r="R8" s="61">
        <f>SUMIF('B1 - Matriz de custos diretos'!$B$3:$B$496,$B8,'B1 - Matriz de custos diretos'!$G$3:$G$496)*'A3 - Demanda Anual Agregada '!R10*IFERROR(VLOOKUP($B8,SN_UGC,28,0),0)</f>
        <v>897777</v>
      </c>
      <c r="S8" s="61">
        <f>SUMIF('B1 - Matriz de custos diretos'!$B$3:$B$496,$B8,'B1 - Matriz de custos diretos'!$G$3:$G$496)*'A3 - Demanda Anual Agregada '!S10*IFERROR(VLOOKUP($B8,SN_UGC,28,0),0)</f>
        <v>924912</v>
      </c>
      <c r="T8" s="61">
        <f>SUMIF('B1 - Matriz de custos diretos'!$B$3:$B$496,$B8,'B1 - Matriz de custos diretos'!$G$3:$G$496)*'A3 - Demanda Anual Agregada '!T10*IFERROR(VLOOKUP($B8,SN_UGC,28,0),0)</f>
        <v>952627.5</v>
      </c>
      <c r="U8" s="61">
        <f>SUMIF('B1 - Matriz de custos diretos'!$B$3:$B$496,$B8,'B1 - Matriz de custos diretos'!$G$3:$G$496)*'A3 - Demanda Anual Agregada '!U10*IFERROR(VLOOKUP($B8,SN_UGC,28,0),0)</f>
        <v>980856</v>
      </c>
      <c r="V8" s="61">
        <f>SUMIF('B1 - Matriz de custos diretos'!$B$3:$B$496,$B8,'B1 - Matriz de custos diretos'!$G$3:$G$496)*'A3 - Demanda Anual Agregada '!V10*IFERROR(VLOOKUP($B8,SN_UGC,28,0),0)</f>
        <v>1009455.75</v>
      </c>
      <c r="W8" s="61">
        <f>SUMIF('B1 - Matriz de custos diretos'!$B$3:$B$496,$B8,'B1 - Matriz de custos diretos'!$G$3:$G$496)*'A3 - Demanda Anual Agregada '!W10*IFERROR(VLOOKUP($B8,SN_UGC,28,0),0)</f>
        <v>1009455.75</v>
      </c>
      <c r="X8" s="61">
        <f>SUMIF('B1 - Matriz de custos diretos'!$B$3:$B$496,$B8,'B1 - Matriz de custos diretos'!$G$3:$G$496)*'A3 - Demanda Anual Agregada '!X10*IFERROR(VLOOKUP($B8,SN_UGC,28,0),0)</f>
        <v>1009455.75</v>
      </c>
      <c r="Y8" s="61">
        <f>SUMIF('B1 - Matriz de custos diretos'!$B$3:$B$496,$B8,'B1 - Matriz de custos diretos'!$G$3:$G$496)*'A3 - Demanda Anual Agregada '!Y10*IFERROR(VLOOKUP($B8,SN_UGC,28,0),0)</f>
        <v>1009455.75</v>
      </c>
      <c r="Z8" s="61">
        <f>SUMIF('B1 - Matriz de custos diretos'!$B$3:$B$496,$B8,'B1 - Matriz de custos diretos'!$G$3:$G$496)*'A3 - Demanda Anual Agregada '!Z10*IFERROR(VLOOKUP($B8,SN_UGC,28,0),0)</f>
        <v>1009455.75</v>
      </c>
      <c r="AA8" s="61">
        <f>SUMIF('B1 - Matriz de custos diretos'!$B$3:$B$496,$B8,'B1 - Matriz de custos diretos'!$G$3:$G$496)*'A3 - Demanda Anual Agregada '!AA10*IFERROR(VLOOKUP($B8,SN_UGC,28,0),0)</f>
        <v>1009455.75</v>
      </c>
      <c r="AB8" s="61">
        <f>SUMIF('B1 - Matriz de custos diretos'!$B$3:$B$496,$B8,'B1 - Matriz de custos diretos'!$G$3:$G$496)*'A3 - Demanda Anual Agregada '!AB10*IFERROR(VLOOKUP($B8,SN_UGC,28,0),0)</f>
        <v>1009455.75</v>
      </c>
      <c r="AC8" s="61">
        <f>SUMIF('B1 - Matriz de custos diretos'!$B$3:$B$496,$B8,'B1 - Matriz de custos diretos'!$G$3:$G$496)*'A3 - Demanda Anual Agregada '!AC10*IFERROR(VLOOKUP($B8,SN_UGC,28,0),0)</f>
        <v>1009455.75</v>
      </c>
      <c r="AD8" s="61">
        <f>SUMIF('B1 - Matriz de custos diretos'!$B$3:$B$496,$B8,'B1 - Matriz de custos diretos'!$G$3:$G$496)*'A3 - Demanda Anual Agregada '!AD10*IFERROR(VLOOKUP($B8,SN_UGC,28,0),0)</f>
        <v>1009455.75</v>
      </c>
      <c r="AE8" s="61">
        <f>SUMIF('B1 - Matriz de custos diretos'!$B$3:$B$496,$B8,'B1 - Matriz de custos diretos'!$G$3:$G$496)*'A3 - Demanda Anual Agregada '!AE10*IFERROR(VLOOKUP($B8,SN_UGC,28,0),0)</f>
        <v>1009455.75</v>
      </c>
      <c r="AF8" s="61">
        <f>SUMIF('B1 - Matriz de custos diretos'!$B$3:$B$496,$B8,'B1 - Matriz de custos diretos'!$G$3:$G$496)*'A3 - Demanda Anual Agregada '!AF10*IFERROR(VLOOKUP($B8,SN_UGC,28,0),0)</f>
        <v>1009455.75</v>
      </c>
    </row>
    <row r="9" spans="1:32" ht="15.75" customHeight="1">
      <c r="A9" s="292"/>
      <c r="B9" s="60" t="str">
        <f>'A3 - Demanda Anual Agregada '!B11</f>
        <v>Árvore da Preguiça - Comércio</v>
      </c>
      <c r="C9" s="61">
        <f>SUMIF('B1 - Matriz de custos diretos'!$B$3:$B$496,$B9,'B1 - Matriz de custos diretos'!$G$3:$G$496)*'A3 - Demanda Anual Agregada '!C11*IFERROR(VLOOKUP($B9,SN_UGC,28,0),0)</f>
        <v>0</v>
      </c>
      <c r="D9" s="61">
        <f>SUMIF('B1 - Matriz de custos diretos'!$B$3:$B$496,$B9,'B1 - Matriz de custos diretos'!$G$3:$G$496)*'A3 - Demanda Anual Agregada '!D11*IFERROR(VLOOKUP($B9,SN_UGC,28,0),0)</f>
        <v>252455</v>
      </c>
      <c r="E9" s="61">
        <f>SUMIF('B1 - Matriz de custos diretos'!$B$3:$B$496,$B9,'B1 - Matriz de custos diretos'!$G$3:$G$496)*'A3 - Demanda Anual Agregada '!E11*IFERROR(VLOOKUP($B9,SN_UGC,28,0),0)</f>
        <v>261170</v>
      </c>
      <c r="F9" s="61">
        <f>SUMIF('B1 - Matriz de custos diretos'!$B$3:$B$496,$B9,'B1 - Matriz de custos diretos'!$G$3:$G$496)*'A3 - Demanda Anual Agregada '!F11*IFERROR(VLOOKUP($B9,SN_UGC,28,0),0)</f>
        <v>269605</v>
      </c>
      <c r="G9" s="61">
        <f>SUMIF('B1 - Matriz de custos diretos'!$B$3:$B$496,$B9,'B1 - Matriz de custos diretos'!$G$3:$G$496)*'A3 - Demanda Anual Agregada '!G11*IFERROR(VLOOKUP($B9,SN_UGC,28,0),0)</f>
        <v>278162.5</v>
      </c>
      <c r="H9" s="61">
        <f>SUMIF('B1 - Matriz de custos diretos'!$B$3:$B$496,$B9,'B1 - Matriz de custos diretos'!$G$3:$G$496)*'A3 - Demanda Anual Agregada '!H11*IFERROR(VLOOKUP($B9,SN_UGC,28,0),0)</f>
        <v>286877.5</v>
      </c>
      <c r="I9" s="61">
        <f>SUMIF('B1 - Matriz de custos diretos'!$B$3:$B$496,$B9,'B1 - Matriz de custos diretos'!$G$3:$G$496)*'A3 - Demanda Anual Agregada '!I11*IFERROR(VLOOKUP($B9,SN_UGC,28,0),0)</f>
        <v>295855</v>
      </c>
      <c r="J9" s="61">
        <f>SUMIF('B1 - Matriz de custos diretos'!$B$3:$B$496,$B9,'B1 - Matriz de custos diretos'!$G$3:$G$496)*'A3 - Demanda Anual Agregada '!J11*IFERROR(VLOOKUP($B9,SN_UGC,28,0),0)</f>
        <v>305077.5</v>
      </c>
      <c r="K9" s="61">
        <f>SUMIF('B1 - Matriz de custos diretos'!$B$3:$B$496,$B9,'B1 - Matriz de custos diretos'!$G$3:$G$496)*'A3 - Demanda Anual Agregada '!K11*IFERROR(VLOOKUP($B9,SN_UGC,28,0),0)</f>
        <v>314475</v>
      </c>
      <c r="L9" s="61">
        <f>SUMIF('B1 - Matriz de custos diretos'!$B$3:$B$496,$B9,'B1 - Matriz de custos diretos'!$G$3:$G$496)*'A3 - Demanda Anual Agregada '!L11*IFERROR(VLOOKUP($B9,SN_UGC,28,0),0)</f>
        <v>324030</v>
      </c>
      <c r="M9" s="61">
        <f>SUMIF('B1 - Matriz de custos diretos'!$B$3:$B$496,$B9,'B1 - Matriz de custos diretos'!$G$3:$G$496)*'A3 - Demanda Anual Agregada '!M11*IFERROR(VLOOKUP($B9,SN_UGC,28,0),0)</f>
        <v>333900</v>
      </c>
      <c r="N9" s="61">
        <f>SUMIF('B1 - Matriz de custos diretos'!$B$3:$B$496,$B9,'B1 - Matriz de custos diretos'!$G$3:$G$496)*'A3 - Demanda Anual Agregada '!N11*IFERROR(VLOOKUP($B9,SN_UGC,28,0),0)</f>
        <v>344067.5</v>
      </c>
      <c r="O9" s="61">
        <f>SUMIF('B1 - Matriz de custos diretos'!$B$3:$B$496,$B9,'B1 - Matriz de custos diretos'!$G$3:$G$496)*'A3 - Demanda Anual Agregada '!O11*IFERROR(VLOOKUP($B9,SN_UGC,28,0),0)</f>
        <v>354550</v>
      </c>
      <c r="P9" s="61">
        <f>SUMIF('B1 - Matriz de custos diretos'!$B$3:$B$496,$B9,'B1 - Matriz de custos diretos'!$G$3:$G$496)*'A3 - Demanda Anual Agregada '!P11*IFERROR(VLOOKUP($B9,SN_UGC,28,0),0)</f>
        <v>365365</v>
      </c>
      <c r="Q9" s="61">
        <f>SUMIF('B1 - Matriz de custos diretos'!$B$3:$B$496,$B9,'B1 - Matriz de custos diretos'!$G$3:$G$496)*'A3 - Demanda Anual Agregada '!Q11*IFERROR(VLOOKUP($B9,SN_UGC,28,0),0)</f>
        <v>376495</v>
      </c>
      <c r="R9" s="61">
        <f>SUMIF('B1 - Matriz de custos diretos'!$B$3:$B$496,$B9,'B1 - Matriz de custos diretos'!$G$3:$G$496)*'A3 - Demanda Anual Agregada '!R11*IFERROR(VLOOKUP($B9,SN_UGC,28,0),0)</f>
        <v>387922.5</v>
      </c>
      <c r="S9" s="61">
        <f>SUMIF('B1 - Matriz de custos diretos'!$B$3:$B$496,$B9,'B1 - Matriz de custos diretos'!$G$3:$G$496)*'A3 - Demanda Anual Agregada '!S11*IFERROR(VLOOKUP($B9,SN_UGC,28,0),0)</f>
        <v>399647.5</v>
      </c>
      <c r="T9" s="61">
        <f>SUMIF('B1 - Matriz de custos diretos'!$B$3:$B$496,$B9,'B1 - Matriz de custos diretos'!$G$3:$G$496)*'A3 - Demanda Anual Agregada '!T11*IFERROR(VLOOKUP($B9,SN_UGC,28,0),0)</f>
        <v>411635</v>
      </c>
      <c r="U9" s="61">
        <f>SUMIF('B1 - Matriz de custos diretos'!$B$3:$B$496,$B9,'B1 - Matriz de custos diretos'!$G$3:$G$496)*'A3 - Demanda Anual Agregada '!U11*IFERROR(VLOOKUP($B9,SN_UGC,28,0),0)</f>
        <v>423832.5</v>
      </c>
      <c r="V9" s="61">
        <f>SUMIF('B1 - Matriz de custos diretos'!$B$3:$B$496,$B9,'B1 - Matriz de custos diretos'!$G$3:$G$496)*'A3 - Demanda Anual Agregada '!V11*IFERROR(VLOOKUP($B9,SN_UGC,28,0),0)</f>
        <v>436187.5</v>
      </c>
      <c r="W9" s="61">
        <f>SUMIF('B1 - Matriz de custos diretos'!$B$3:$B$496,$B9,'B1 - Matriz de custos diretos'!$G$3:$G$496)*'A3 - Demanda Anual Agregada '!W11*IFERROR(VLOOKUP($B9,SN_UGC,28,0),0)</f>
        <v>436187.5</v>
      </c>
      <c r="X9" s="61">
        <f>SUMIF('B1 - Matriz de custos diretos'!$B$3:$B$496,$B9,'B1 - Matriz de custos diretos'!$G$3:$G$496)*'A3 - Demanda Anual Agregada '!X11*IFERROR(VLOOKUP($B9,SN_UGC,28,0),0)</f>
        <v>436187.5</v>
      </c>
      <c r="Y9" s="61">
        <f>SUMIF('B1 - Matriz de custos diretos'!$B$3:$B$496,$B9,'B1 - Matriz de custos diretos'!$G$3:$G$496)*'A3 - Demanda Anual Agregada '!Y11*IFERROR(VLOOKUP($B9,SN_UGC,28,0),0)</f>
        <v>436187.5</v>
      </c>
      <c r="Z9" s="61">
        <f>SUMIF('B1 - Matriz de custos diretos'!$B$3:$B$496,$B9,'B1 - Matriz de custos diretos'!$G$3:$G$496)*'A3 - Demanda Anual Agregada '!Z11*IFERROR(VLOOKUP($B9,SN_UGC,28,0),0)</f>
        <v>436187.5</v>
      </c>
      <c r="AA9" s="61">
        <f>SUMIF('B1 - Matriz de custos diretos'!$B$3:$B$496,$B9,'B1 - Matriz de custos diretos'!$G$3:$G$496)*'A3 - Demanda Anual Agregada '!AA11*IFERROR(VLOOKUP($B9,SN_UGC,28,0),0)</f>
        <v>436187.5</v>
      </c>
      <c r="AB9" s="61">
        <f>SUMIF('B1 - Matriz de custos diretos'!$B$3:$B$496,$B9,'B1 - Matriz de custos diretos'!$G$3:$G$496)*'A3 - Demanda Anual Agregada '!AB11*IFERROR(VLOOKUP($B9,SN_UGC,28,0),0)</f>
        <v>436187.5</v>
      </c>
      <c r="AC9" s="61">
        <f>SUMIF('B1 - Matriz de custos diretos'!$B$3:$B$496,$B9,'B1 - Matriz de custos diretos'!$G$3:$G$496)*'A3 - Demanda Anual Agregada '!AC11*IFERROR(VLOOKUP($B9,SN_UGC,28,0),0)</f>
        <v>436187.5</v>
      </c>
      <c r="AD9" s="61">
        <f>SUMIF('B1 - Matriz de custos diretos'!$B$3:$B$496,$B9,'B1 - Matriz de custos diretos'!$G$3:$G$496)*'A3 - Demanda Anual Agregada '!AD11*IFERROR(VLOOKUP($B9,SN_UGC,28,0),0)</f>
        <v>436187.5</v>
      </c>
      <c r="AE9" s="61">
        <f>SUMIF('B1 - Matriz de custos diretos'!$B$3:$B$496,$B9,'B1 - Matriz de custos diretos'!$G$3:$G$496)*'A3 - Demanda Anual Agregada '!AE11*IFERROR(VLOOKUP($B9,SN_UGC,28,0),0)</f>
        <v>436187.5</v>
      </c>
      <c r="AF9" s="61">
        <f>SUMIF('B1 - Matriz de custos diretos'!$B$3:$B$496,$B9,'B1 - Matriz de custos diretos'!$G$3:$G$496)*'A3 - Demanda Anual Agregada '!AF11*IFERROR(VLOOKUP($B9,SN_UGC,28,0),0)</f>
        <v>436187.5</v>
      </c>
    </row>
    <row r="10" spans="1:32" ht="15.75" customHeight="1">
      <c r="A10" s="292"/>
      <c r="B10" s="60" t="str">
        <f>'A3 - Demanda Anual Agregada '!B12</f>
        <v>Silveira - Alimentação</v>
      </c>
      <c r="C10" s="61">
        <f>SUMIF('B1 - Matriz de custos diretos'!$B$3:$B$496,$B10,'B1 - Matriz de custos diretos'!$G$3:$G$496)*'A3 - Demanda Anual Agregada '!C12*IFERROR(VLOOKUP($B10,SN_UGC,28,0),0)</f>
        <v>0</v>
      </c>
      <c r="D10" s="61">
        <f>SUMIF('B1 - Matriz de custos diretos'!$B$3:$B$496,$B10,'B1 - Matriz de custos diretos'!$G$3:$G$496)*'A3 - Demanda Anual Agregada '!D12*IFERROR(VLOOKUP($B10,SN_UGC,28,0),0)</f>
        <v>0</v>
      </c>
      <c r="E10" s="61">
        <f>SUMIF('B1 - Matriz de custos diretos'!$B$3:$B$496,$B10,'B1 - Matriz de custos diretos'!$G$3:$G$496)*'A3 - Demanda Anual Agregada '!E12*IFERROR(VLOOKUP($B10,SN_UGC,28,0),0)</f>
        <v>0</v>
      </c>
      <c r="F10" s="61">
        <f>SUMIF('B1 - Matriz de custos diretos'!$B$3:$B$496,$B10,'B1 - Matriz de custos diretos'!$G$3:$G$496)*'A3 - Demanda Anual Agregada '!F12*IFERROR(VLOOKUP($B10,SN_UGC,28,0),0)</f>
        <v>0</v>
      </c>
      <c r="G10" s="61">
        <f>SUMIF('B1 - Matriz de custos diretos'!$B$3:$B$496,$B10,'B1 - Matriz de custos diretos'!$G$3:$G$496)*'A3 - Demanda Anual Agregada '!G12*IFERROR(VLOOKUP($B10,SN_UGC,28,0),0)</f>
        <v>0</v>
      </c>
      <c r="H10" s="61">
        <f>SUMIF('B1 - Matriz de custos diretos'!$B$3:$B$496,$B10,'B1 - Matriz de custos diretos'!$G$3:$G$496)*'A3 - Demanda Anual Agregada '!H12*IFERROR(VLOOKUP($B10,SN_UGC,28,0),0)</f>
        <v>0</v>
      </c>
      <c r="I10" s="61">
        <f>SUMIF('B1 - Matriz de custos diretos'!$B$3:$B$496,$B10,'B1 - Matriz de custos diretos'!$G$3:$G$496)*'A3 - Demanda Anual Agregada '!I12*IFERROR(VLOOKUP($B10,SN_UGC,28,0),0)</f>
        <v>0</v>
      </c>
      <c r="J10" s="61">
        <f>SUMIF('B1 - Matriz de custos diretos'!$B$3:$B$496,$B10,'B1 - Matriz de custos diretos'!$G$3:$G$496)*'A3 - Demanda Anual Agregada '!J12*IFERROR(VLOOKUP($B10,SN_UGC,28,0),0)</f>
        <v>0</v>
      </c>
      <c r="K10" s="61">
        <f>SUMIF('B1 - Matriz de custos diretos'!$B$3:$B$496,$B10,'B1 - Matriz de custos diretos'!$G$3:$G$496)*'A3 - Demanda Anual Agregada '!K12*IFERROR(VLOOKUP($B10,SN_UGC,28,0),0)</f>
        <v>0</v>
      </c>
      <c r="L10" s="61">
        <f>SUMIF('B1 - Matriz de custos diretos'!$B$3:$B$496,$B10,'B1 - Matriz de custos diretos'!$G$3:$G$496)*'A3 - Demanda Anual Agregada '!L12*IFERROR(VLOOKUP($B10,SN_UGC,28,0),0)</f>
        <v>0</v>
      </c>
      <c r="M10" s="61">
        <f>SUMIF('B1 - Matriz de custos diretos'!$B$3:$B$496,$B10,'B1 - Matriz de custos diretos'!$G$3:$G$496)*'A3 - Demanda Anual Agregada '!M12*IFERROR(VLOOKUP($B10,SN_UGC,28,0),0)</f>
        <v>0</v>
      </c>
      <c r="N10" s="61">
        <f>SUMIF('B1 - Matriz de custos diretos'!$B$3:$B$496,$B10,'B1 - Matriz de custos diretos'!$G$3:$G$496)*'A3 - Demanda Anual Agregada '!N12*IFERROR(VLOOKUP($B10,SN_UGC,28,0),0)</f>
        <v>0</v>
      </c>
      <c r="O10" s="61">
        <f>SUMIF('B1 - Matriz de custos diretos'!$B$3:$B$496,$B10,'B1 - Matriz de custos diretos'!$G$3:$G$496)*'A3 - Demanda Anual Agregada '!O12*IFERROR(VLOOKUP($B10,SN_UGC,28,0),0)</f>
        <v>0</v>
      </c>
      <c r="P10" s="61">
        <f>SUMIF('B1 - Matriz de custos diretos'!$B$3:$B$496,$B10,'B1 - Matriz de custos diretos'!$G$3:$G$496)*'A3 - Demanda Anual Agregada '!P12*IFERROR(VLOOKUP($B10,SN_UGC,28,0),0)</f>
        <v>0</v>
      </c>
      <c r="Q10" s="61">
        <f>SUMIF('B1 - Matriz de custos diretos'!$B$3:$B$496,$B10,'B1 - Matriz de custos diretos'!$G$3:$G$496)*'A3 - Demanda Anual Agregada '!Q12*IFERROR(VLOOKUP($B10,SN_UGC,28,0),0)</f>
        <v>0</v>
      </c>
      <c r="R10" s="61">
        <f>SUMIF('B1 - Matriz de custos diretos'!$B$3:$B$496,$B10,'B1 - Matriz de custos diretos'!$G$3:$G$496)*'A3 - Demanda Anual Agregada '!R12*IFERROR(VLOOKUP($B10,SN_UGC,28,0),0)</f>
        <v>0</v>
      </c>
      <c r="S10" s="61">
        <f>SUMIF('B1 - Matriz de custos diretos'!$B$3:$B$496,$B10,'B1 - Matriz de custos diretos'!$G$3:$G$496)*'A3 - Demanda Anual Agregada '!S12*IFERROR(VLOOKUP($B10,SN_UGC,28,0),0)</f>
        <v>0</v>
      </c>
      <c r="T10" s="61">
        <f>SUMIF('B1 - Matriz de custos diretos'!$B$3:$B$496,$B10,'B1 - Matriz de custos diretos'!$G$3:$G$496)*'A3 - Demanda Anual Agregada '!T12*IFERROR(VLOOKUP($B10,SN_UGC,28,0),0)</f>
        <v>0</v>
      </c>
      <c r="U10" s="61">
        <f>SUMIF('B1 - Matriz de custos diretos'!$B$3:$B$496,$B10,'B1 - Matriz de custos diretos'!$G$3:$G$496)*'A3 - Demanda Anual Agregada '!U12*IFERROR(VLOOKUP($B10,SN_UGC,28,0),0)</f>
        <v>0</v>
      </c>
      <c r="V10" s="61">
        <f>SUMIF('B1 - Matriz de custos diretos'!$B$3:$B$496,$B10,'B1 - Matriz de custos diretos'!$G$3:$G$496)*'A3 - Demanda Anual Agregada '!V12*IFERROR(VLOOKUP($B10,SN_UGC,28,0),0)</f>
        <v>0</v>
      </c>
      <c r="W10" s="61">
        <f>SUMIF('B1 - Matriz de custos diretos'!$B$3:$B$496,$B10,'B1 - Matriz de custos diretos'!$G$3:$G$496)*'A3 - Demanda Anual Agregada '!W12*IFERROR(VLOOKUP($B10,SN_UGC,28,0),0)</f>
        <v>0</v>
      </c>
      <c r="X10" s="61">
        <f>SUMIF('B1 - Matriz de custos diretos'!$B$3:$B$496,$B10,'B1 - Matriz de custos diretos'!$G$3:$G$496)*'A3 - Demanda Anual Agregada '!X12*IFERROR(VLOOKUP($B10,SN_UGC,28,0),0)</f>
        <v>0</v>
      </c>
      <c r="Y10" s="61">
        <f>SUMIF('B1 - Matriz de custos diretos'!$B$3:$B$496,$B10,'B1 - Matriz de custos diretos'!$G$3:$G$496)*'A3 - Demanda Anual Agregada '!Y12*IFERROR(VLOOKUP($B10,SN_UGC,28,0),0)</f>
        <v>0</v>
      </c>
      <c r="Z10" s="61">
        <f>SUMIF('B1 - Matriz de custos diretos'!$B$3:$B$496,$B10,'B1 - Matriz de custos diretos'!$G$3:$G$496)*'A3 - Demanda Anual Agregada '!Z12*IFERROR(VLOOKUP($B10,SN_UGC,28,0),0)</f>
        <v>0</v>
      </c>
      <c r="AA10" s="61">
        <f>SUMIF('B1 - Matriz de custos diretos'!$B$3:$B$496,$B10,'B1 - Matriz de custos diretos'!$G$3:$G$496)*'A3 - Demanda Anual Agregada '!AA12*IFERROR(VLOOKUP($B10,SN_UGC,28,0),0)</f>
        <v>0</v>
      </c>
      <c r="AB10" s="61">
        <f>SUMIF('B1 - Matriz de custos diretos'!$B$3:$B$496,$B10,'B1 - Matriz de custos diretos'!$G$3:$G$496)*'A3 - Demanda Anual Agregada '!AB12*IFERROR(VLOOKUP($B10,SN_UGC,28,0),0)</f>
        <v>0</v>
      </c>
      <c r="AC10" s="61">
        <f>SUMIF('B1 - Matriz de custos diretos'!$B$3:$B$496,$B10,'B1 - Matriz de custos diretos'!$G$3:$G$496)*'A3 - Demanda Anual Agregada '!AC12*IFERROR(VLOOKUP($B10,SN_UGC,28,0),0)</f>
        <v>0</v>
      </c>
      <c r="AD10" s="61">
        <f>SUMIF('B1 - Matriz de custos diretos'!$B$3:$B$496,$B10,'B1 - Matriz de custos diretos'!$G$3:$G$496)*'A3 - Demanda Anual Agregada '!AD12*IFERROR(VLOOKUP($B10,SN_UGC,28,0),0)</f>
        <v>0</v>
      </c>
      <c r="AE10" s="61">
        <f>SUMIF('B1 - Matriz de custos diretos'!$B$3:$B$496,$B10,'B1 - Matriz de custos diretos'!$G$3:$G$496)*'A3 - Demanda Anual Agregada '!AE12*IFERROR(VLOOKUP($B10,SN_UGC,28,0),0)</f>
        <v>0</v>
      </c>
      <c r="AF10" s="61">
        <f>SUMIF('B1 - Matriz de custos diretos'!$B$3:$B$496,$B10,'B1 - Matriz de custos diretos'!$G$3:$G$496)*'A3 - Demanda Anual Agregada '!AF12*IFERROR(VLOOKUP($B10,SN_UGC,28,0),0)</f>
        <v>0</v>
      </c>
    </row>
    <row r="11" spans="1:32" ht="15.75" customHeight="1">
      <c r="A11" s="292"/>
      <c r="B11" s="60" t="str">
        <f>'A3 - Demanda Anual Agregada '!B13</f>
        <v>Silveira - Comércio + Locação + Atividades</v>
      </c>
      <c r="C11" s="61">
        <f>SUMIF('B1 - Matriz de custos diretos'!$B$3:$B$496,$B11,'B1 - Matriz de custos diretos'!$G$3:$G$496)*'A3 - Demanda Anual Agregada '!C13*IFERROR(VLOOKUP($B11,SN_UGC,28,0),0)</f>
        <v>0</v>
      </c>
      <c r="D11" s="61">
        <f>SUMIF('B1 - Matriz de custos diretos'!$B$3:$B$496,$B11,'B1 - Matriz de custos diretos'!$G$3:$G$496)*'A3 - Demanda Anual Agregada '!D13*IFERROR(VLOOKUP($B11,SN_UGC,28,0),0)</f>
        <v>0</v>
      </c>
      <c r="E11" s="61">
        <f>SUMIF('B1 - Matriz de custos diretos'!$B$3:$B$496,$B11,'B1 - Matriz de custos diretos'!$G$3:$G$496)*'A3 - Demanda Anual Agregada '!E13*IFERROR(VLOOKUP($B11,SN_UGC,28,0),0)</f>
        <v>0</v>
      </c>
      <c r="F11" s="61">
        <f>SUMIF('B1 - Matriz de custos diretos'!$B$3:$B$496,$B11,'B1 - Matriz de custos diretos'!$G$3:$G$496)*'A3 - Demanda Anual Agregada '!F13*IFERROR(VLOOKUP($B11,SN_UGC,28,0),0)</f>
        <v>0</v>
      </c>
      <c r="G11" s="61">
        <f>SUMIF('B1 - Matriz de custos diretos'!$B$3:$B$496,$B11,'B1 - Matriz de custos diretos'!$G$3:$G$496)*'A3 - Demanda Anual Agregada '!G13*IFERROR(VLOOKUP($B11,SN_UGC,28,0),0)</f>
        <v>0</v>
      </c>
      <c r="H11" s="61">
        <f>SUMIF('B1 - Matriz de custos diretos'!$B$3:$B$496,$B11,'B1 - Matriz de custos diretos'!$G$3:$G$496)*'A3 - Demanda Anual Agregada '!H13*IFERROR(VLOOKUP($B11,SN_UGC,28,0),0)</f>
        <v>0</v>
      </c>
      <c r="I11" s="61">
        <f>SUMIF('B1 - Matriz de custos diretos'!$B$3:$B$496,$B11,'B1 - Matriz de custos diretos'!$G$3:$G$496)*'A3 - Demanda Anual Agregada '!I13*IFERROR(VLOOKUP($B11,SN_UGC,28,0),0)</f>
        <v>0</v>
      </c>
      <c r="J11" s="61">
        <f>SUMIF('B1 - Matriz de custos diretos'!$B$3:$B$496,$B11,'B1 - Matriz de custos diretos'!$G$3:$G$496)*'A3 - Demanda Anual Agregada '!J13*IFERROR(VLOOKUP($B11,SN_UGC,28,0),0)</f>
        <v>0</v>
      </c>
      <c r="K11" s="61">
        <f>SUMIF('B1 - Matriz de custos diretos'!$B$3:$B$496,$B11,'B1 - Matriz de custos diretos'!$G$3:$G$496)*'A3 - Demanda Anual Agregada '!K13*IFERROR(VLOOKUP($B11,SN_UGC,28,0),0)</f>
        <v>0</v>
      </c>
      <c r="L11" s="61">
        <f>SUMIF('B1 - Matriz de custos diretos'!$B$3:$B$496,$B11,'B1 - Matriz de custos diretos'!$G$3:$G$496)*'A3 - Demanda Anual Agregada '!L13*IFERROR(VLOOKUP($B11,SN_UGC,28,0),0)</f>
        <v>0</v>
      </c>
      <c r="M11" s="61">
        <f>SUMIF('B1 - Matriz de custos diretos'!$B$3:$B$496,$B11,'B1 - Matriz de custos diretos'!$G$3:$G$496)*'A3 - Demanda Anual Agregada '!M13*IFERROR(VLOOKUP($B11,SN_UGC,28,0),0)</f>
        <v>0</v>
      </c>
      <c r="N11" s="61">
        <f>SUMIF('B1 - Matriz de custos diretos'!$B$3:$B$496,$B11,'B1 - Matriz de custos diretos'!$G$3:$G$496)*'A3 - Demanda Anual Agregada '!N13*IFERROR(VLOOKUP($B11,SN_UGC,28,0),0)</f>
        <v>0</v>
      </c>
      <c r="O11" s="61">
        <f>SUMIF('B1 - Matriz de custos diretos'!$B$3:$B$496,$B11,'B1 - Matriz de custos diretos'!$G$3:$G$496)*'A3 - Demanda Anual Agregada '!O13*IFERROR(VLOOKUP($B11,SN_UGC,28,0),0)</f>
        <v>0</v>
      </c>
      <c r="P11" s="61">
        <f>SUMIF('B1 - Matriz de custos diretos'!$B$3:$B$496,$B11,'B1 - Matriz de custos diretos'!$G$3:$G$496)*'A3 - Demanda Anual Agregada '!P13*IFERROR(VLOOKUP($B11,SN_UGC,28,0),0)</f>
        <v>0</v>
      </c>
      <c r="Q11" s="61">
        <f>SUMIF('B1 - Matriz de custos diretos'!$B$3:$B$496,$B11,'B1 - Matriz de custos diretos'!$G$3:$G$496)*'A3 - Demanda Anual Agregada '!Q13*IFERROR(VLOOKUP($B11,SN_UGC,28,0),0)</f>
        <v>0</v>
      </c>
      <c r="R11" s="61">
        <f>SUMIF('B1 - Matriz de custos diretos'!$B$3:$B$496,$B11,'B1 - Matriz de custos diretos'!$G$3:$G$496)*'A3 - Demanda Anual Agregada '!R13*IFERROR(VLOOKUP($B11,SN_UGC,28,0),0)</f>
        <v>0</v>
      </c>
      <c r="S11" s="61">
        <f>SUMIF('B1 - Matriz de custos diretos'!$B$3:$B$496,$B11,'B1 - Matriz de custos diretos'!$G$3:$G$496)*'A3 - Demanda Anual Agregada '!S13*IFERROR(VLOOKUP($B11,SN_UGC,28,0),0)</f>
        <v>0</v>
      </c>
      <c r="T11" s="61">
        <f>SUMIF('B1 - Matriz de custos diretos'!$B$3:$B$496,$B11,'B1 - Matriz de custos diretos'!$G$3:$G$496)*'A3 - Demanda Anual Agregada '!T13*IFERROR(VLOOKUP($B11,SN_UGC,28,0),0)</f>
        <v>0</v>
      </c>
      <c r="U11" s="61">
        <f>SUMIF('B1 - Matriz de custos diretos'!$B$3:$B$496,$B11,'B1 - Matriz de custos diretos'!$G$3:$G$496)*'A3 - Demanda Anual Agregada '!U13*IFERROR(VLOOKUP($B11,SN_UGC,28,0),0)</f>
        <v>0</v>
      </c>
      <c r="V11" s="61">
        <f>SUMIF('B1 - Matriz de custos diretos'!$B$3:$B$496,$B11,'B1 - Matriz de custos diretos'!$G$3:$G$496)*'A3 - Demanda Anual Agregada '!V13*IFERROR(VLOOKUP($B11,SN_UGC,28,0),0)</f>
        <v>0</v>
      </c>
      <c r="W11" s="61">
        <f>SUMIF('B1 - Matriz de custos diretos'!$B$3:$B$496,$B11,'B1 - Matriz de custos diretos'!$G$3:$G$496)*'A3 - Demanda Anual Agregada '!W13*IFERROR(VLOOKUP($B11,SN_UGC,28,0),0)</f>
        <v>0</v>
      </c>
      <c r="X11" s="61">
        <f>SUMIF('B1 - Matriz de custos diretos'!$B$3:$B$496,$B11,'B1 - Matriz de custos diretos'!$G$3:$G$496)*'A3 - Demanda Anual Agregada '!X13*IFERROR(VLOOKUP($B11,SN_UGC,28,0),0)</f>
        <v>0</v>
      </c>
      <c r="Y11" s="61">
        <f>SUMIF('B1 - Matriz de custos diretos'!$B$3:$B$496,$B11,'B1 - Matriz de custos diretos'!$G$3:$G$496)*'A3 - Demanda Anual Agregada '!Y13*IFERROR(VLOOKUP($B11,SN_UGC,28,0),0)</f>
        <v>0</v>
      </c>
      <c r="Z11" s="61">
        <f>SUMIF('B1 - Matriz de custos diretos'!$B$3:$B$496,$B11,'B1 - Matriz de custos diretos'!$G$3:$G$496)*'A3 - Demanda Anual Agregada '!Z13*IFERROR(VLOOKUP($B11,SN_UGC,28,0),0)</f>
        <v>0</v>
      </c>
      <c r="AA11" s="61">
        <f>SUMIF('B1 - Matriz de custos diretos'!$B$3:$B$496,$B11,'B1 - Matriz de custos diretos'!$G$3:$G$496)*'A3 - Demanda Anual Agregada '!AA13*IFERROR(VLOOKUP($B11,SN_UGC,28,0),0)</f>
        <v>0</v>
      </c>
      <c r="AB11" s="61">
        <f>SUMIF('B1 - Matriz de custos diretos'!$B$3:$B$496,$B11,'B1 - Matriz de custos diretos'!$G$3:$G$496)*'A3 - Demanda Anual Agregada '!AB13*IFERROR(VLOOKUP($B11,SN_UGC,28,0),0)</f>
        <v>0</v>
      </c>
      <c r="AC11" s="61">
        <f>SUMIF('B1 - Matriz de custos diretos'!$B$3:$B$496,$B11,'B1 - Matriz de custos diretos'!$G$3:$G$496)*'A3 - Demanda Anual Agregada '!AC13*IFERROR(VLOOKUP($B11,SN_UGC,28,0),0)</f>
        <v>0</v>
      </c>
      <c r="AD11" s="61">
        <f>SUMIF('B1 - Matriz de custos diretos'!$B$3:$B$496,$B11,'B1 - Matriz de custos diretos'!$G$3:$G$496)*'A3 - Demanda Anual Agregada '!AD13*IFERROR(VLOOKUP($B11,SN_UGC,28,0),0)</f>
        <v>0</v>
      </c>
      <c r="AE11" s="61">
        <f>SUMIF('B1 - Matriz de custos diretos'!$B$3:$B$496,$B11,'B1 - Matriz de custos diretos'!$G$3:$G$496)*'A3 - Demanda Anual Agregada '!AE13*IFERROR(VLOOKUP($B11,SN_UGC,28,0),0)</f>
        <v>0</v>
      </c>
      <c r="AF11" s="61">
        <f>SUMIF('B1 - Matriz de custos diretos'!$B$3:$B$496,$B11,'B1 - Matriz de custos diretos'!$G$3:$G$496)*'A3 - Demanda Anual Agregada '!AF13*IFERROR(VLOOKUP($B11,SN_UGC,28,0),0)</f>
        <v>0</v>
      </c>
    </row>
    <row r="12" spans="1:32" ht="15.75" customHeight="1">
      <c r="A12" s="292"/>
      <c r="B12" s="60" t="str">
        <f>'A3 - Demanda Anual Agregada '!B14</f>
        <v>Silveira - Hospedagem</v>
      </c>
      <c r="C12" s="61">
        <f>SUMIF('B1 - Matriz de custos diretos'!$B$3:$B$496,$B12,'B1 - Matriz de custos diretos'!$G$3:$G$496)*'A3 - Demanda Anual Agregada '!C14*IFERROR(VLOOKUP($B12,SN_UGC,28,0),0)</f>
        <v>0</v>
      </c>
      <c r="D12" s="61">
        <f>SUMIF('B1 - Matriz de custos diretos'!$B$3:$B$496,$B12,'B1 - Matriz de custos diretos'!$G$3:$G$496)*'A3 - Demanda Anual Agregada '!D14*IFERROR(VLOOKUP($B12,SN_UGC,28,0),0)</f>
        <v>0</v>
      </c>
      <c r="E12" s="61">
        <f>SUMIF('B1 - Matriz de custos diretos'!$B$3:$B$496,$B12,'B1 - Matriz de custos diretos'!$G$3:$G$496)*'A3 - Demanda Anual Agregada '!E14*IFERROR(VLOOKUP($B12,SN_UGC,28,0),0)</f>
        <v>0</v>
      </c>
      <c r="F12" s="61">
        <f>SUMIF('B1 - Matriz de custos diretos'!$B$3:$B$496,$B12,'B1 - Matriz de custos diretos'!$G$3:$G$496)*'A3 - Demanda Anual Agregada '!F14*IFERROR(VLOOKUP($B12,SN_UGC,28,0),0)</f>
        <v>0</v>
      </c>
      <c r="G12" s="61">
        <f>SUMIF('B1 - Matriz de custos diretos'!$B$3:$B$496,$B12,'B1 - Matriz de custos diretos'!$G$3:$G$496)*'A3 - Demanda Anual Agregada '!G14*IFERROR(VLOOKUP($B12,SN_UGC,28,0),0)</f>
        <v>0</v>
      </c>
      <c r="H12" s="61">
        <f>SUMIF('B1 - Matriz de custos diretos'!$B$3:$B$496,$B12,'B1 - Matriz de custos diretos'!$G$3:$G$496)*'A3 - Demanda Anual Agregada '!H14*IFERROR(VLOOKUP($B12,SN_UGC,28,0),0)</f>
        <v>0</v>
      </c>
      <c r="I12" s="61">
        <f>SUMIF('B1 - Matriz de custos diretos'!$B$3:$B$496,$B12,'B1 - Matriz de custos diretos'!$G$3:$G$496)*'A3 - Demanda Anual Agregada '!I14*IFERROR(VLOOKUP($B12,SN_UGC,28,0),0)</f>
        <v>0</v>
      </c>
      <c r="J12" s="61">
        <f>SUMIF('B1 - Matriz de custos diretos'!$B$3:$B$496,$B12,'B1 - Matriz de custos diretos'!$G$3:$G$496)*'A3 - Demanda Anual Agregada '!J14*IFERROR(VLOOKUP($B12,SN_UGC,28,0),0)</f>
        <v>0</v>
      </c>
      <c r="K12" s="61">
        <f>SUMIF('B1 - Matriz de custos diretos'!$B$3:$B$496,$B12,'B1 - Matriz de custos diretos'!$G$3:$G$496)*'A3 - Demanda Anual Agregada '!K14*IFERROR(VLOOKUP($B12,SN_UGC,28,0),0)</f>
        <v>0</v>
      </c>
      <c r="L12" s="61">
        <f>SUMIF('B1 - Matriz de custos diretos'!$B$3:$B$496,$B12,'B1 - Matriz de custos diretos'!$G$3:$G$496)*'A3 - Demanda Anual Agregada '!L14*IFERROR(VLOOKUP($B12,SN_UGC,28,0),0)</f>
        <v>0</v>
      </c>
      <c r="M12" s="61">
        <f>SUMIF('B1 - Matriz de custos diretos'!$B$3:$B$496,$B12,'B1 - Matriz de custos diretos'!$G$3:$G$496)*'A3 - Demanda Anual Agregada '!M14*IFERROR(VLOOKUP($B12,SN_UGC,28,0),0)</f>
        <v>0</v>
      </c>
      <c r="N12" s="61">
        <f>SUMIF('B1 - Matriz de custos diretos'!$B$3:$B$496,$B12,'B1 - Matriz de custos diretos'!$G$3:$G$496)*'A3 - Demanda Anual Agregada '!N14*IFERROR(VLOOKUP($B12,SN_UGC,28,0),0)</f>
        <v>0</v>
      </c>
      <c r="O12" s="61">
        <f>SUMIF('B1 - Matriz de custos diretos'!$B$3:$B$496,$B12,'B1 - Matriz de custos diretos'!$G$3:$G$496)*'A3 - Demanda Anual Agregada '!O14*IFERROR(VLOOKUP($B12,SN_UGC,28,0),0)</f>
        <v>0</v>
      </c>
      <c r="P12" s="61">
        <f>SUMIF('B1 - Matriz de custos diretos'!$B$3:$B$496,$B12,'B1 - Matriz de custos diretos'!$G$3:$G$496)*'A3 - Demanda Anual Agregada '!P14*IFERROR(VLOOKUP($B12,SN_UGC,28,0),0)</f>
        <v>0</v>
      </c>
      <c r="Q12" s="61">
        <f>SUMIF('B1 - Matriz de custos diretos'!$B$3:$B$496,$B12,'B1 - Matriz de custos diretos'!$G$3:$G$496)*'A3 - Demanda Anual Agregada '!Q14*IFERROR(VLOOKUP($B12,SN_UGC,28,0),0)</f>
        <v>0</v>
      </c>
      <c r="R12" s="61">
        <f>SUMIF('B1 - Matriz de custos diretos'!$B$3:$B$496,$B12,'B1 - Matriz de custos diretos'!$G$3:$G$496)*'A3 - Demanda Anual Agregada '!R14*IFERROR(VLOOKUP($B12,SN_UGC,28,0),0)</f>
        <v>0</v>
      </c>
      <c r="S12" s="61">
        <f>SUMIF('B1 - Matriz de custos diretos'!$B$3:$B$496,$B12,'B1 - Matriz de custos diretos'!$G$3:$G$496)*'A3 - Demanda Anual Agregada '!S14*IFERROR(VLOOKUP($B12,SN_UGC,28,0),0)</f>
        <v>0</v>
      </c>
      <c r="T12" s="61">
        <f>SUMIF('B1 - Matriz de custos diretos'!$B$3:$B$496,$B12,'B1 - Matriz de custos diretos'!$G$3:$G$496)*'A3 - Demanda Anual Agregada '!T14*IFERROR(VLOOKUP($B12,SN_UGC,28,0),0)</f>
        <v>0</v>
      </c>
      <c r="U12" s="61">
        <f>SUMIF('B1 - Matriz de custos diretos'!$B$3:$B$496,$B12,'B1 - Matriz de custos diretos'!$G$3:$G$496)*'A3 - Demanda Anual Agregada '!U14*IFERROR(VLOOKUP($B12,SN_UGC,28,0),0)</f>
        <v>0</v>
      </c>
      <c r="V12" s="61">
        <f>SUMIF('B1 - Matriz de custos diretos'!$B$3:$B$496,$B12,'B1 - Matriz de custos diretos'!$G$3:$G$496)*'A3 - Demanda Anual Agregada '!V14*IFERROR(VLOOKUP($B12,SN_UGC,28,0),0)</f>
        <v>0</v>
      </c>
      <c r="W12" s="61">
        <f>SUMIF('B1 - Matriz de custos diretos'!$B$3:$B$496,$B12,'B1 - Matriz de custos diretos'!$G$3:$G$496)*'A3 - Demanda Anual Agregada '!W14*IFERROR(VLOOKUP($B12,SN_UGC,28,0),0)</f>
        <v>0</v>
      </c>
      <c r="X12" s="61">
        <f>SUMIF('B1 - Matriz de custos diretos'!$B$3:$B$496,$B12,'B1 - Matriz de custos diretos'!$G$3:$G$496)*'A3 - Demanda Anual Agregada '!X14*IFERROR(VLOOKUP($B12,SN_UGC,28,0),0)</f>
        <v>0</v>
      </c>
      <c r="Y12" s="61">
        <f>SUMIF('B1 - Matriz de custos diretos'!$B$3:$B$496,$B12,'B1 - Matriz de custos diretos'!$G$3:$G$496)*'A3 - Demanda Anual Agregada '!Y14*IFERROR(VLOOKUP($B12,SN_UGC,28,0),0)</f>
        <v>0</v>
      </c>
      <c r="Z12" s="61">
        <f>SUMIF('B1 - Matriz de custos diretos'!$B$3:$B$496,$B12,'B1 - Matriz de custos diretos'!$G$3:$G$496)*'A3 - Demanda Anual Agregada '!Z14*IFERROR(VLOOKUP($B12,SN_UGC,28,0),0)</f>
        <v>0</v>
      </c>
      <c r="AA12" s="61">
        <f>SUMIF('B1 - Matriz de custos diretos'!$B$3:$B$496,$B12,'B1 - Matriz de custos diretos'!$G$3:$G$496)*'A3 - Demanda Anual Agregada '!AA14*IFERROR(VLOOKUP($B12,SN_UGC,28,0),0)</f>
        <v>0</v>
      </c>
      <c r="AB12" s="61">
        <f>SUMIF('B1 - Matriz de custos diretos'!$B$3:$B$496,$B12,'B1 - Matriz de custos diretos'!$G$3:$G$496)*'A3 - Demanda Anual Agregada '!AB14*IFERROR(VLOOKUP($B12,SN_UGC,28,0),0)</f>
        <v>0</v>
      </c>
      <c r="AC12" s="61">
        <f>SUMIF('B1 - Matriz de custos diretos'!$B$3:$B$496,$B12,'B1 - Matriz de custos diretos'!$G$3:$G$496)*'A3 - Demanda Anual Agregada '!AC14*IFERROR(VLOOKUP($B12,SN_UGC,28,0),0)</f>
        <v>0</v>
      </c>
      <c r="AD12" s="61">
        <f>SUMIF('B1 - Matriz de custos diretos'!$B$3:$B$496,$B12,'B1 - Matriz de custos diretos'!$G$3:$G$496)*'A3 - Demanda Anual Agregada '!AD14*IFERROR(VLOOKUP($B12,SN_UGC,28,0),0)</f>
        <v>0</v>
      </c>
      <c r="AE12" s="61">
        <f>SUMIF('B1 - Matriz de custos diretos'!$B$3:$B$496,$B12,'B1 - Matriz de custos diretos'!$G$3:$G$496)*'A3 - Demanda Anual Agregada '!AE14*IFERROR(VLOOKUP($B12,SN_UGC,28,0),0)</f>
        <v>0</v>
      </c>
      <c r="AF12" s="61">
        <f>SUMIF('B1 - Matriz de custos diretos'!$B$3:$B$496,$B12,'B1 - Matriz de custos diretos'!$G$3:$G$496)*'A3 - Demanda Anual Agregada '!AF14*IFERROR(VLOOKUP($B12,SN_UGC,28,0),0)</f>
        <v>0</v>
      </c>
    </row>
    <row r="13" spans="1:32" ht="15.75" customHeight="1">
      <c r="A13" s="292"/>
      <c r="B13" s="60" t="str">
        <f>'A3 - Demanda Anual Agregada '!B15</f>
        <v>Pedra Furada - Alimentação</v>
      </c>
      <c r="C13" s="61">
        <f>SUMIF('B1 - Matriz de custos diretos'!$B$3:$B$496,$B13,'B1 - Matriz de custos diretos'!$G$3:$G$496)*'A3 - Demanda Anual Agregada '!C15*IFERROR(VLOOKUP($B13,SN_UGC,28,0),0)</f>
        <v>0</v>
      </c>
      <c r="D13" s="61">
        <f>SUMIF('B1 - Matriz de custos diretos'!$B$3:$B$496,$B13,'B1 - Matriz de custos diretos'!$G$3:$G$496)*'A3 - Demanda Anual Agregada '!D15*IFERROR(VLOOKUP($B13,SN_UGC,28,0),0)</f>
        <v>584253</v>
      </c>
      <c r="E13" s="61">
        <f>SUMIF('B1 - Matriz de custos diretos'!$B$3:$B$496,$B13,'B1 - Matriz de custos diretos'!$G$3:$G$496)*'A3 - Demanda Anual Agregada '!E15*IFERROR(VLOOKUP($B13,SN_UGC,28,0),0)</f>
        <v>604408.5</v>
      </c>
      <c r="F13" s="61">
        <f>SUMIF('B1 - Matriz de custos diretos'!$B$3:$B$496,$B13,'B1 - Matriz de custos diretos'!$G$3:$G$496)*'A3 - Demanda Anual Agregada '!F15*IFERROR(VLOOKUP($B13,SN_UGC,28,0),0)</f>
        <v>623922.75</v>
      </c>
      <c r="G13" s="61">
        <f>SUMIF('B1 - Matriz de custos diretos'!$B$3:$B$496,$B13,'B1 - Matriz de custos diretos'!$G$3:$G$496)*'A3 - Demanda Anual Agregada '!G15*IFERROR(VLOOKUP($B13,SN_UGC,28,0),0)</f>
        <v>643754.25</v>
      </c>
      <c r="H13" s="61">
        <f>SUMIF('B1 - Matriz de custos diretos'!$B$3:$B$496,$B13,'B1 - Matriz de custos diretos'!$G$3:$G$496)*'A3 - Demanda Anual Agregada '!H15*IFERROR(VLOOKUP($B13,SN_UGC,28,0),0)</f>
        <v>663930</v>
      </c>
      <c r="I13" s="61">
        <f>SUMIF('B1 - Matriz de custos diretos'!$B$3:$B$496,$B13,'B1 - Matriz de custos diretos'!$G$3:$G$496)*'A3 - Demanda Anual Agregada '!I15*IFERROR(VLOOKUP($B13,SN_UGC,28,0),0)</f>
        <v>684679.5</v>
      </c>
      <c r="J13" s="61">
        <f>SUMIF('B1 - Matriz de custos diretos'!$B$3:$B$496,$B13,'B1 - Matriz de custos diretos'!$G$3:$G$496)*'A3 - Demanda Anual Agregada '!J15*IFERROR(VLOOKUP($B13,SN_UGC,28,0),0)</f>
        <v>706029.75</v>
      </c>
      <c r="K13" s="61">
        <f>SUMIF('B1 - Matriz de custos diretos'!$B$3:$B$496,$B13,'B1 - Matriz de custos diretos'!$G$3:$G$496)*'A3 - Demanda Anual Agregada '!K15*IFERROR(VLOOKUP($B13,SN_UGC,28,0),0)</f>
        <v>727771.5</v>
      </c>
      <c r="L13" s="61">
        <f>SUMIF('B1 - Matriz de custos diretos'!$B$3:$B$496,$B13,'B1 - Matriz de custos diretos'!$G$3:$G$496)*'A3 - Demanda Anual Agregada '!L15*IFERROR(VLOOKUP($B13,SN_UGC,28,0),0)</f>
        <v>749911.5</v>
      </c>
      <c r="M13" s="61">
        <f>SUMIF('B1 - Matriz de custos diretos'!$B$3:$B$496,$B13,'B1 - Matriz de custos diretos'!$G$3:$G$496)*'A3 - Demanda Anual Agregada '!M15*IFERROR(VLOOKUP($B13,SN_UGC,28,0),0)</f>
        <v>772753.5</v>
      </c>
      <c r="N13" s="61">
        <f>SUMIF('B1 - Matriz de custos diretos'!$B$3:$B$496,$B13,'B1 - Matriz de custos diretos'!$G$3:$G$496)*'A3 - Demanda Anual Agregada '!N15*IFERROR(VLOOKUP($B13,SN_UGC,28,0),0)</f>
        <v>796277.25</v>
      </c>
      <c r="O13" s="61">
        <f>SUMIF('B1 - Matriz de custos diretos'!$B$3:$B$496,$B13,'B1 - Matriz de custos diretos'!$G$3:$G$496)*'A3 - Demanda Anual Agregada '!O15*IFERROR(VLOOKUP($B13,SN_UGC,28,0),0)</f>
        <v>820550.25</v>
      </c>
      <c r="P13" s="61">
        <f>SUMIF('B1 - Matriz de custos diretos'!$B$3:$B$496,$B13,'B1 - Matriz de custos diretos'!$G$3:$G$496)*'A3 - Demanda Anual Agregada '!P15*IFERROR(VLOOKUP($B13,SN_UGC,28,0),0)</f>
        <v>845552.25</v>
      </c>
      <c r="Q13" s="61">
        <f>SUMIF('B1 - Matriz de custos diretos'!$B$3:$B$496,$B13,'B1 - Matriz de custos diretos'!$G$3:$G$496)*'A3 - Demanda Anual Agregada '!Q15*IFERROR(VLOOKUP($B13,SN_UGC,28,0),0)</f>
        <v>871310.25</v>
      </c>
      <c r="R13" s="61">
        <f>SUMIF('B1 - Matriz de custos diretos'!$B$3:$B$496,$B13,'B1 - Matriz de custos diretos'!$G$3:$G$496)*'A3 - Demanda Anual Agregada '!R15*IFERROR(VLOOKUP($B13,SN_UGC,28,0),0)</f>
        <v>897777</v>
      </c>
      <c r="S13" s="61">
        <f>SUMIF('B1 - Matriz de custos diretos'!$B$3:$B$496,$B13,'B1 - Matriz de custos diretos'!$G$3:$G$496)*'A3 - Demanda Anual Agregada '!S15*IFERROR(VLOOKUP($B13,SN_UGC,28,0),0)</f>
        <v>924912</v>
      </c>
      <c r="T13" s="61">
        <f>SUMIF('B1 - Matriz de custos diretos'!$B$3:$B$496,$B13,'B1 - Matriz de custos diretos'!$G$3:$G$496)*'A3 - Demanda Anual Agregada '!T15*IFERROR(VLOOKUP($B13,SN_UGC,28,0),0)</f>
        <v>952627.5</v>
      </c>
      <c r="U13" s="61">
        <f>SUMIF('B1 - Matriz de custos diretos'!$B$3:$B$496,$B13,'B1 - Matriz de custos diretos'!$G$3:$G$496)*'A3 - Demanda Anual Agregada '!U15*IFERROR(VLOOKUP($B13,SN_UGC,28,0),0)</f>
        <v>980856</v>
      </c>
      <c r="V13" s="61">
        <f>SUMIF('B1 - Matriz de custos diretos'!$B$3:$B$496,$B13,'B1 - Matriz de custos diretos'!$G$3:$G$496)*'A3 - Demanda Anual Agregada '!V15*IFERROR(VLOOKUP($B13,SN_UGC,28,0),0)</f>
        <v>1009455.75</v>
      </c>
      <c r="W13" s="61">
        <f>SUMIF('B1 - Matriz de custos diretos'!$B$3:$B$496,$B13,'B1 - Matriz de custos diretos'!$G$3:$G$496)*'A3 - Demanda Anual Agregada '!W15*IFERROR(VLOOKUP($B13,SN_UGC,28,0),0)</f>
        <v>1009455.75</v>
      </c>
      <c r="X13" s="61">
        <f>SUMIF('B1 - Matriz de custos diretos'!$B$3:$B$496,$B13,'B1 - Matriz de custos diretos'!$G$3:$G$496)*'A3 - Demanda Anual Agregada '!X15*IFERROR(VLOOKUP($B13,SN_UGC,28,0),0)</f>
        <v>1009455.75</v>
      </c>
      <c r="Y13" s="61">
        <f>SUMIF('B1 - Matriz de custos diretos'!$B$3:$B$496,$B13,'B1 - Matriz de custos diretos'!$G$3:$G$496)*'A3 - Demanda Anual Agregada '!Y15*IFERROR(VLOOKUP($B13,SN_UGC,28,0),0)</f>
        <v>1009455.75</v>
      </c>
      <c r="Z13" s="61">
        <f>SUMIF('B1 - Matriz de custos diretos'!$B$3:$B$496,$B13,'B1 - Matriz de custos diretos'!$G$3:$G$496)*'A3 - Demanda Anual Agregada '!Z15*IFERROR(VLOOKUP($B13,SN_UGC,28,0),0)</f>
        <v>1009455.75</v>
      </c>
      <c r="AA13" s="61">
        <f>SUMIF('B1 - Matriz de custos diretos'!$B$3:$B$496,$B13,'B1 - Matriz de custos diretos'!$G$3:$G$496)*'A3 - Demanda Anual Agregada '!AA15*IFERROR(VLOOKUP($B13,SN_UGC,28,0),0)</f>
        <v>1009455.75</v>
      </c>
      <c r="AB13" s="61">
        <f>SUMIF('B1 - Matriz de custos diretos'!$B$3:$B$496,$B13,'B1 - Matriz de custos diretos'!$G$3:$G$496)*'A3 - Demanda Anual Agregada '!AB15*IFERROR(VLOOKUP($B13,SN_UGC,28,0),0)</f>
        <v>1009455.75</v>
      </c>
      <c r="AC13" s="61">
        <f>SUMIF('B1 - Matriz de custos diretos'!$B$3:$B$496,$B13,'B1 - Matriz de custos diretos'!$G$3:$G$496)*'A3 - Demanda Anual Agregada '!AC15*IFERROR(VLOOKUP($B13,SN_UGC,28,0),0)</f>
        <v>1009455.75</v>
      </c>
      <c r="AD13" s="61">
        <f>SUMIF('B1 - Matriz de custos diretos'!$B$3:$B$496,$B13,'B1 - Matriz de custos diretos'!$G$3:$G$496)*'A3 - Demanda Anual Agregada '!AD15*IFERROR(VLOOKUP($B13,SN_UGC,28,0),0)</f>
        <v>1009455.75</v>
      </c>
      <c r="AE13" s="61">
        <f>SUMIF('B1 - Matriz de custos diretos'!$B$3:$B$496,$B13,'B1 - Matriz de custos diretos'!$G$3:$G$496)*'A3 - Demanda Anual Agregada '!AE15*IFERROR(VLOOKUP($B13,SN_UGC,28,0),0)</f>
        <v>1009455.75</v>
      </c>
      <c r="AF13" s="61">
        <f>SUMIF('B1 - Matriz de custos diretos'!$B$3:$B$496,$B13,'B1 - Matriz de custos diretos'!$G$3:$G$496)*'A3 - Demanda Anual Agregada '!AF15*IFERROR(VLOOKUP($B13,SN_UGC,28,0),0)</f>
        <v>1009455.75</v>
      </c>
    </row>
    <row r="14" spans="1:32" ht="15.75" customHeight="1">
      <c r="A14" s="292"/>
      <c r="B14" s="60" t="str">
        <f>'A3 - Demanda Anual Agregada '!B16</f>
        <v>Pedra Furada - Comércio</v>
      </c>
      <c r="C14" s="61">
        <f>SUMIF('B1 - Matriz de custos diretos'!$B$3:$B$496,$B14,'B1 - Matriz de custos diretos'!$G$3:$G$496)*'A3 - Demanda Anual Agregada '!C16*IFERROR(VLOOKUP($B14,SN_UGC,28,0),0)</f>
        <v>0</v>
      </c>
      <c r="D14" s="61">
        <f>SUMIF('B1 - Matriz de custos diretos'!$B$3:$B$496,$B14,'B1 - Matriz de custos diretos'!$G$3:$G$496)*'A3 - Demanda Anual Agregada '!D16*IFERROR(VLOOKUP($B14,SN_UGC,28,0),0)</f>
        <v>252455</v>
      </c>
      <c r="E14" s="61">
        <f>SUMIF('B1 - Matriz de custos diretos'!$B$3:$B$496,$B14,'B1 - Matriz de custos diretos'!$G$3:$G$496)*'A3 - Demanda Anual Agregada '!E16*IFERROR(VLOOKUP($B14,SN_UGC,28,0),0)</f>
        <v>261170</v>
      </c>
      <c r="F14" s="61">
        <f>SUMIF('B1 - Matriz de custos diretos'!$B$3:$B$496,$B14,'B1 - Matriz de custos diretos'!$G$3:$G$496)*'A3 - Demanda Anual Agregada '!F16*IFERROR(VLOOKUP($B14,SN_UGC,28,0),0)</f>
        <v>269605</v>
      </c>
      <c r="G14" s="61">
        <f>SUMIF('B1 - Matriz de custos diretos'!$B$3:$B$496,$B14,'B1 - Matriz de custos diretos'!$G$3:$G$496)*'A3 - Demanda Anual Agregada '!G16*IFERROR(VLOOKUP($B14,SN_UGC,28,0),0)</f>
        <v>278162.5</v>
      </c>
      <c r="H14" s="61">
        <f>SUMIF('B1 - Matriz de custos diretos'!$B$3:$B$496,$B14,'B1 - Matriz de custos diretos'!$G$3:$G$496)*'A3 - Demanda Anual Agregada '!H16*IFERROR(VLOOKUP($B14,SN_UGC,28,0),0)</f>
        <v>286877.5</v>
      </c>
      <c r="I14" s="61">
        <f>SUMIF('B1 - Matriz de custos diretos'!$B$3:$B$496,$B14,'B1 - Matriz de custos diretos'!$G$3:$G$496)*'A3 - Demanda Anual Agregada '!I16*IFERROR(VLOOKUP($B14,SN_UGC,28,0),0)</f>
        <v>295855</v>
      </c>
      <c r="J14" s="61">
        <f>SUMIF('B1 - Matriz de custos diretos'!$B$3:$B$496,$B14,'B1 - Matriz de custos diretos'!$G$3:$G$496)*'A3 - Demanda Anual Agregada '!J16*IFERROR(VLOOKUP($B14,SN_UGC,28,0),0)</f>
        <v>305077.5</v>
      </c>
      <c r="K14" s="61">
        <f>SUMIF('B1 - Matriz de custos diretos'!$B$3:$B$496,$B14,'B1 - Matriz de custos diretos'!$G$3:$G$496)*'A3 - Demanda Anual Agregada '!K16*IFERROR(VLOOKUP($B14,SN_UGC,28,0),0)</f>
        <v>314475</v>
      </c>
      <c r="L14" s="61">
        <f>SUMIF('B1 - Matriz de custos diretos'!$B$3:$B$496,$B14,'B1 - Matriz de custos diretos'!$G$3:$G$496)*'A3 - Demanda Anual Agregada '!L16*IFERROR(VLOOKUP($B14,SN_UGC,28,0),0)</f>
        <v>324030</v>
      </c>
      <c r="M14" s="61">
        <f>SUMIF('B1 - Matriz de custos diretos'!$B$3:$B$496,$B14,'B1 - Matriz de custos diretos'!$G$3:$G$496)*'A3 - Demanda Anual Agregada '!M16*IFERROR(VLOOKUP($B14,SN_UGC,28,0),0)</f>
        <v>333900</v>
      </c>
      <c r="N14" s="61">
        <f>SUMIF('B1 - Matriz de custos diretos'!$B$3:$B$496,$B14,'B1 - Matriz de custos diretos'!$G$3:$G$496)*'A3 - Demanda Anual Agregada '!N16*IFERROR(VLOOKUP($B14,SN_UGC,28,0),0)</f>
        <v>344067.5</v>
      </c>
      <c r="O14" s="61">
        <f>SUMIF('B1 - Matriz de custos diretos'!$B$3:$B$496,$B14,'B1 - Matriz de custos diretos'!$G$3:$G$496)*'A3 - Demanda Anual Agregada '!O16*IFERROR(VLOOKUP($B14,SN_UGC,28,0),0)</f>
        <v>354550</v>
      </c>
      <c r="P14" s="61">
        <f>SUMIF('B1 - Matriz de custos diretos'!$B$3:$B$496,$B14,'B1 - Matriz de custos diretos'!$G$3:$G$496)*'A3 - Demanda Anual Agregada '!P16*IFERROR(VLOOKUP($B14,SN_UGC,28,0),0)</f>
        <v>365365</v>
      </c>
      <c r="Q14" s="61">
        <f>SUMIF('B1 - Matriz de custos diretos'!$B$3:$B$496,$B14,'B1 - Matriz de custos diretos'!$G$3:$G$496)*'A3 - Demanda Anual Agregada '!Q16*IFERROR(VLOOKUP($B14,SN_UGC,28,0),0)</f>
        <v>376495</v>
      </c>
      <c r="R14" s="61">
        <f>SUMIF('B1 - Matriz de custos diretos'!$B$3:$B$496,$B14,'B1 - Matriz de custos diretos'!$G$3:$G$496)*'A3 - Demanda Anual Agregada '!R16*IFERROR(VLOOKUP($B14,SN_UGC,28,0),0)</f>
        <v>387922.5</v>
      </c>
      <c r="S14" s="61">
        <f>SUMIF('B1 - Matriz de custos diretos'!$B$3:$B$496,$B14,'B1 - Matriz de custos diretos'!$G$3:$G$496)*'A3 - Demanda Anual Agregada '!S16*IFERROR(VLOOKUP($B14,SN_UGC,28,0),0)</f>
        <v>399647.5</v>
      </c>
      <c r="T14" s="61">
        <f>SUMIF('B1 - Matriz de custos diretos'!$B$3:$B$496,$B14,'B1 - Matriz de custos diretos'!$G$3:$G$496)*'A3 - Demanda Anual Agregada '!T16*IFERROR(VLOOKUP($B14,SN_UGC,28,0),0)</f>
        <v>411635</v>
      </c>
      <c r="U14" s="61">
        <f>SUMIF('B1 - Matriz de custos diretos'!$B$3:$B$496,$B14,'B1 - Matriz de custos diretos'!$G$3:$G$496)*'A3 - Demanda Anual Agregada '!U16*IFERROR(VLOOKUP($B14,SN_UGC,28,0),0)</f>
        <v>423832.5</v>
      </c>
      <c r="V14" s="61">
        <f>SUMIF('B1 - Matriz de custos diretos'!$B$3:$B$496,$B14,'B1 - Matriz de custos diretos'!$G$3:$G$496)*'A3 - Demanda Anual Agregada '!V16*IFERROR(VLOOKUP($B14,SN_UGC,28,0),0)</f>
        <v>436187.5</v>
      </c>
      <c r="W14" s="61">
        <f>SUMIF('B1 - Matriz de custos diretos'!$B$3:$B$496,$B14,'B1 - Matriz de custos diretos'!$G$3:$G$496)*'A3 - Demanda Anual Agregada '!W16*IFERROR(VLOOKUP($B14,SN_UGC,28,0),0)</f>
        <v>436187.5</v>
      </c>
      <c r="X14" s="61">
        <f>SUMIF('B1 - Matriz de custos diretos'!$B$3:$B$496,$B14,'B1 - Matriz de custos diretos'!$G$3:$G$496)*'A3 - Demanda Anual Agregada '!X16*IFERROR(VLOOKUP($B14,SN_UGC,28,0),0)</f>
        <v>436187.5</v>
      </c>
      <c r="Y14" s="61">
        <f>SUMIF('B1 - Matriz de custos diretos'!$B$3:$B$496,$B14,'B1 - Matriz de custos diretos'!$G$3:$G$496)*'A3 - Demanda Anual Agregada '!Y16*IFERROR(VLOOKUP($B14,SN_UGC,28,0),0)</f>
        <v>436187.5</v>
      </c>
      <c r="Z14" s="61">
        <f>SUMIF('B1 - Matriz de custos diretos'!$B$3:$B$496,$B14,'B1 - Matriz de custos diretos'!$G$3:$G$496)*'A3 - Demanda Anual Agregada '!Z16*IFERROR(VLOOKUP($B14,SN_UGC,28,0),0)</f>
        <v>436187.5</v>
      </c>
      <c r="AA14" s="61">
        <f>SUMIF('B1 - Matriz de custos diretos'!$B$3:$B$496,$B14,'B1 - Matriz de custos diretos'!$G$3:$G$496)*'A3 - Demanda Anual Agregada '!AA16*IFERROR(VLOOKUP($B14,SN_UGC,28,0),0)</f>
        <v>436187.5</v>
      </c>
      <c r="AB14" s="61">
        <f>SUMIF('B1 - Matriz de custos diretos'!$B$3:$B$496,$B14,'B1 - Matriz de custos diretos'!$G$3:$G$496)*'A3 - Demanda Anual Agregada '!AB16*IFERROR(VLOOKUP($B14,SN_UGC,28,0),0)</f>
        <v>436187.5</v>
      </c>
      <c r="AC14" s="61">
        <f>SUMIF('B1 - Matriz de custos diretos'!$B$3:$B$496,$B14,'B1 - Matriz de custos diretos'!$G$3:$G$496)*'A3 - Demanda Anual Agregada '!AC16*IFERROR(VLOOKUP($B14,SN_UGC,28,0),0)</f>
        <v>436187.5</v>
      </c>
      <c r="AD14" s="61">
        <f>SUMIF('B1 - Matriz de custos diretos'!$B$3:$B$496,$B14,'B1 - Matriz de custos diretos'!$G$3:$G$496)*'A3 - Demanda Anual Agregada '!AD16*IFERROR(VLOOKUP($B14,SN_UGC,28,0),0)</f>
        <v>436187.5</v>
      </c>
      <c r="AE14" s="61">
        <f>SUMIF('B1 - Matriz de custos diretos'!$B$3:$B$496,$B14,'B1 - Matriz de custos diretos'!$G$3:$G$496)*'A3 - Demanda Anual Agregada '!AE16*IFERROR(VLOOKUP($B14,SN_UGC,28,0),0)</f>
        <v>436187.5</v>
      </c>
      <c r="AF14" s="61">
        <f>SUMIF('B1 - Matriz de custos diretos'!$B$3:$B$496,$B14,'B1 - Matriz de custos diretos'!$G$3:$G$496)*'A3 - Demanda Anual Agregada '!AF16*IFERROR(VLOOKUP($B14,SN_UGC,28,0),0)</f>
        <v>436187.5</v>
      </c>
    </row>
    <row r="15" spans="1:32" ht="15.75" customHeight="1">
      <c r="A15" s="292"/>
      <c r="B15" s="60" t="str">
        <f>'A3 - Demanda Anual Agregada '!B17</f>
        <v>Serrote - Alimentação</v>
      </c>
      <c r="C15" s="61">
        <f>SUMIF('B1 - Matriz de custos diretos'!$B$3:$B$496,$B15,'B1 - Matriz de custos diretos'!$G$3:$G$496)*'A3 - Demanda Anual Agregada '!C17*IFERROR(VLOOKUP($B15,SN_UGC,28,0),0)</f>
        <v>0</v>
      </c>
      <c r="D15" s="61">
        <f>SUMIF('B1 - Matriz de custos diretos'!$B$3:$B$496,$B15,'B1 - Matriz de custos diretos'!$G$3:$G$496)*'A3 - Demanda Anual Agregada '!D17*IFERROR(VLOOKUP($B15,SN_UGC,28,0),0)</f>
        <v>584253</v>
      </c>
      <c r="E15" s="61">
        <f>SUMIF('B1 - Matriz de custos diretos'!$B$3:$B$496,$B15,'B1 - Matriz de custos diretos'!$G$3:$G$496)*'A3 - Demanda Anual Agregada '!E17*IFERROR(VLOOKUP($B15,SN_UGC,28,0),0)</f>
        <v>604408.5</v>
      </c>
      <c r="F15" s="61">
        <f>SUMIF('B1 - Matriz de custos diretos'!$B$3:$B$496,$B15,'B1 - Matriz de custos diretos'!$G$3:$G$496)*'A3 - Demanda Anual Agregada '!F17*IFERROR(VLOOKUP($B15,SN_UGC,28,0),0)</f>
        <v>623922.75</v>
      </c>
      <c r="G15" s="61">
        <f>SUMIF('B1 - Matriz de custos diretos'!$B$3:$B$496,$B15,'B1 - Matriz de custos diretos'!$G$3:$G$496)*'A3 - Demanda Anual Agregada '!G17*IFERROR(VLOOKUP($B15,SN_UGC,28,0),0)</f>
        <v>643754.25</v>
      </c>
      <c r="H15" s="61">
        <f>SUMIF('B1 - Matriz de custos diretos'!$B$3:$B$496,$B15,'B1 - Matriz de custos diretos'!$G$3:$G$496)*'A3 - Demanda Anual Agregada '!H17*IFERROR(VLOOKUP($B15,SN_UGC,28,0),0)</f>
        <v>663930</v>
      </c>
      <c r="I15" s="61">
        <f>SUMIF('B1 - Matriz de custos diretos'!$B$3:$B$496,$B15,'B1 - Matriz de custos diretos'!$G$3:$G$496)*'A3 - Demanda Anual Agregada '!I17*IFERROR(VLOOKUP($B15,SN_UGC,28,0),0)</f>
        <v>684679.5</v>
      </c>
      <c r="J15" s="61">
        <f>SUMIF('B1 - Matriz de custos diretos'!$B$3:$B$496,$B15,'B1 - Matriz de custos diretos'!$G$3:$G$496)*'A3 - Demanda Anual Agregada '!J17*IFERROR(VLOOKUP($B15,SN_UGC,28,0),0)</f>
        <v>706029.75</v>
      </c>
      <c r="K15" s="61">
        <f>SUMIF('B1 - Matriz de custos diretos'!$B$3:$B$496,$B15,'B1 - Matriz de custos diretos'!$G$3:$G$496)*'A3 - Demanda Anual Agregada '!K17*IFERROR(VLOOKUP($B15,SN_UGC,28,0),0)</f>
        <v>727771.5</v>
      </c>
      <c r="L15" s="61">
        <f>SUMIF('B1 - Matriz de custos diretos'!$B$3:$B$496,$B15,'B1 - Matriz de custos diretos'!$G$3:$G$496)*'A3 - Demanda Anual Agregada '!L17*IFERROR(VLOOKUP($B15,SN_UGC,28,0),0)</f>
        <v>749911.5</v>
      </c>
      <c r="M15" s="61">
        <f>SUMIF('B1 - Matriz de custos diretos'!$B$3:$B$496,$B15,'B1 - Matriz de custos diretos'!$G$3:$G$496)*'A3 - Demanda Anual Agregada '!M17*IFERROR(VLOOKUP($B15,SN_UGC,28,0),0)</f>
        <v>772753.5</v>
      </c>
      <c r="N15" s="61">
        <f>SUMIF('B1 - Matriz de custos diretos'!$B$3:$B$496,$B15,'B1 - Matriz de custos diretos'!$G$3:$G$496)*'A3 - Demanda Anual Agregada '!N17*IFERROR(VLOOKUP($B15,SN_UGC,28,0),0)</f>
        <v>796277.25</v>
      </c>
      <c r="O15" s="61">
        <f>SUMIF('B1 - Matriz de custos diretos'!$B$3:$B$496,$B15,'B1 - Matriz de custos diretos'!$G$3:$G$496)*'A3 - Demanda Anual Agregada '!O17*IFERROR(VLOOKUP($B15,SN_UGC,28,0),0)</f>
        <v>820550.25</v>
      </c>
      <c r="P15" s="61">
        <f>SUMIF('B1 - Matriz de custos diretos'!$B$3:$B$496,$B15,'B1 - Matriz de custos diretos'!$G$3:$G$496)*'A3 - Demanda Anual Agregada '!P17*IFERROR(VLOOKUP($B15,SN_UGC,28,0),0)</f>
        <v>845552.25</v>
      </c>
      <c r="Q15" s="61">
        <f>SUMIF('B1 - Matriz de custos diretos'!$B$3:$B$496,$B15,'B1 - Matriz de custos diretos'!$G$3:$G$496)*'A3 - Demanda Anual Agregada '!Q17*IFERROR(VLOOKUP($B15,SN_UGC,28,0),0)</f>
        <v>871310.25</v>
      </c>
      <c r="R15" s="61">
        <f>SUMIF('B1 - Matriz de custos diretos'!$B$3:$B$496,$B15,'B1 - Matriz de custos diretos'!$G$3:$G$496)*'A3 - Demanda Anual Agregada '!R17*IFERROR(VLOOKUP($B15,SN_UGC,28,0),0)</f>
        <v>897777</v>
      </c>
      <c r="S15" s="61">
        <f>SUMIF('B1 - Matriz de custos diretos'!$B$3:$B$496,$B15,'B1 - Matriz de custos diretos'!$G$3:$G$496)*'A3 - Demanda Anual Agregada '!S17*IFERROR(VLOOKUP($B15,SN_UGC,28,0),0)</f>
        <v>924912</v>
      </c>
      <c r="T15" s="61">
        <f>SUMIF('B1 - Matriz de custos diretos'!$B$3:$B$496,$B15,'B1 - Matriz de custos diretos'!$G$3:$G$496)*'A3 - Demanda Anual Agregada '!T17*IFERROR(VLOOKUP($B15,SN_UGC,28,0),0)</f>
        <v>952627.5</v>
      </c>
      <c r="U15" s="61">
        <f>SUMIF('B1 - Matriz de custos diretos'!$B$3:$B$496,$B15,'B1 - Matriz de custos diretos'!$G$3:$G$496)*'A3 - Demanda Anual Agregada '!U17*IFERROR(VLOOKUP($B15,SN_UGC,28,0),0)</f>
        <v>980856</v>
      </c>
      <c r="V15" s="61">
        <f>SUMIF('B1 - Matriz de custos diretos'!$B$3:$B$496,$B15,'B1 - Matriz de custos diretos'!$G$3:$G$496)*'A3 - Demanda Anual Agregada '!V17*IFERROR(VLOOKUP($B15,SN_UGC,28,0),0)</f>
        <v>1009455.75</v>
      </c>
      <c r="W15" s="61">
        <f>SUMIF('B1 - Matriz de custos diretos'!$B$3:$B$496,$B15,'B1 - Matriz de custos diretos'!$G$3:$G$496)*'A3 - Demanda Anual Agregada '!W17*IFERROR(VLOOKUP($B15,SN_UGC,28,0),0)</f>
        <v>1009455.75</v>
      </c>
      <c r="X15" s="61">
        <f>SUMIF('B1 - Matriz de custos diretos'!$B$3:$B$496,$B15,'B1 - Matriz de custos diretos'!$G$3:$G$496)*'A3 - Demanda Anual Agregada '!X17*IFERROR(VLOOKUP($B15,SN_UGC,28,0),0)</f>
        <v>1009455.75</v>
      </c>
      <c r="Y15" s="61">
        <f>SUMIF('B1 - Matriz de custos diretos'!$B$3:$B$496,$B15,'B1 - Matriz de custos diretos'!$G$3:$G$496)*'A3 - Demanda Anual Agregada '!Y17*IFERROR(VLOOKUP($B15,SN_UGC,28,0),0)</f>
        <v>1009455.75</v>
      </c>
      <c r="Z15" s="61">
        <f>SUMIF('B1 - Matriz de custos diretos'!$B$3:$B$496,$B15,'B1 - Matriz de custos diretos'!$G$3:$G$496)*'A3 - Demanda Anual Agregada '!Z17*IFERROR(VLOOKUP($B15,SN_UGC,28,0),0)</f>
        <v>1009455.75</v>
      </c>
      <c r="AA15" s="61">
        <f>SUMIF('B1 - Matriz de custos diretos'!$B$3:$B$496,$B15,'B1 - Matriz de custos diretos'!$G$3:$G$496)*'A3 - Demanda Anual Agregada '!AA17*IFERROR(VLOOKUP($B15,SN_UGC,28,0),0)</f>
        <v>1009455.75</v>
      </c>
      <c r="AB15" s="61">
        <f>SUMIF('B1 - Matriz de custos diretos'!$B$3:$B$496,$B15,'B1 - Matriz de custos diretos'!$G$3:$G$496)*'A3 - Demanda Anual Agregada '!AB17*IFERROR(VLOOKUP($B15,SN_UGC,28,0),0)</f>
        <v>1009455.75</v>
      </c>
      <c r="AC15" s="61">
        <f>SUMIF('B1 - Matriz de custos diretos'!$B$3:$B$496,$B15,'B1 - Matriz de custos diretos'!$G$3:$G$496)*'A3 - Demanda Anual Agregada '!AC17*IFERROR(VLOOKUP($B15,SN_UGC,28,0),0)</f>
        <v>1009455.75</v>
      </c>
      <c r="AD15" s="61">
        <f>SUMIF('B1 - Matriz de custos diretos'!$B$3:$B$496,$B15,'B1 - Matriz de custos diretos'!$G$3:$G$496)*'A3 - Demanda Anual Agregada '!AD17*IFERROR(VLOOKUP($B15,SN_UGC,28,0),0)</f>
        <v>1009455.75</v>
      </c>
      <c r="AE15" s="61">
        <f>SUMIF('B1 - Matriz de custos diretos'!$B$3:$B$496,$B15,'B1 - Matriz de custos diretos'!$G$3:$G$496)*'A3 - Demanda Anual Agregada '!AE17*IFERROR(VLOOKUP($B15,SN_UGC,28,0),0)</f>
        <v>1009455.75</v>
      </c>
      <c r="AF15" s="61">
        <f>SUMIF('B1 - Matriz de custos diretos'!$B$3:$B$496,$B15,'B1 - Matriz de custos diretos'!$G$3:$G$496)*'A3 - Demanda Anual Agregada '!AF17*IFERROR(VLOOKUP($B15,SN_UGC,28,0),0)</f>
        <v>1009455.75</v>
      </c>
    </row>
    <row r="16" spans="1:32" ht="15.75" customHeight="1">
      <c r="A16" s="292"/>
      <c r="B16" s="60" t="str">
        <f>'A3 - Demanda Anual Agregada '!B18</f>
        <v>Serrote - Comércio</v>
      </c>
      <c r="C16" s="61">
        <f>SUMIF('B1 - Matriz de custos diretos'!$B$3:$B$496,$B16,'B1 - Matriz de custos diretos'!$G$3:$G$496)*'A3 - Demanda Anual Agregada '!C18*IFERROR(VLOOKUP($B16,SN_UGC,28,0),0)</f>
        <v>0</v>
      </c>
      <c r="D16" s="61">
        <f>SUMIF('B1 - Matriz de custos diretos'!$B$3:$B$496,$B16,'B1 - Matriz de custos diretos'!$G$3:$G$496)*'A3 - Demanda Anual Agregada '!D18*IFERROR(VLOOKUP($B16,SN_UGC,28,0),0)</f>
        <v>252455</v>
      </c>
      <c r="E16" s="61">
        <f>SUMIF('B1 - Matriz de custos diretos'!$B$3:$B$496,$B16,'B1 - Matriz de custos diretos'!$G$3:$G$496)*'A3 - Demanda Anual Agregada '!E18*IFERROR(VLOOKUP($B16,SN_UGC,28,0),0)</f>
        <v>261170</v>
      </c>
      <c r="F16" s="61">
        <f>SUMIF('B1 - Matriz de custos diretos'!$B$3:$B$496,$B16,'B1 - Matriz de custos diretos'!$G$3:$G$496)*'A3 - Demanda Anual Agregada '!F18*IFERROR(VLOOKUP($B16,SN_UGC,28,0),0)</f>
        <v>269605</v>
      </c>
      <c r="G16" s="61">
        <f>SUMIF('B1 - Matriz de custos diretos'!$B$3:$B$496,$B16,'B1 - Matriz de custos diretos'!$G$3:$G$496)*'A3 - Demanda Anual Agregada '!G18*IFERROR(VLOOKUP($B16,SN_UGC,28,0),0)</f>
        <v>278162.5</v>
      </c>
      <c r="H16" s="61">
        <f>SUMIF('B1 - Matriz de custos diretos'!$B$3:$B$496,$B16,'B1 - Matriz de custos diretos'!$G$3:$G$496)*'A3 - Demanda Anual Agregada '!H18*IFERROR(VLOOKUP($B16,SN_UGC,28,0),0)</f>
        <v>286877.5</v>
      </c>
      <c r="I16" s="61">
        <f>SUMIF('B1 - Matriz de custos diretos'!$B$3:$B$496,$B16,'B1 - Matriz de custos diretos'!$G$3:$G$496)*'A3 - Demanda Anual Agregada '!I18*IFERROR(VLOOKUP($B16,SN_UGC,28,0),0)</f>
        <v>295855</v>
      </c>
      <c r="J16" s="61">
        <f>SUMIF('B1 - Matriz de custos diretos'!$B$3:$B$496,$B16,'B1 - Matriz de custos diretos'!$G$3:$G$496)*'A3 - Demanda Anual Agregada '!J18*IFERROR(VLOOKUP($B16,SN_UGC,28,0),0)</f>
        <v>305077.5</v>
      </c>
      <c r="K16" s="61">
        <f>SUMIF('B1 - Matriz de custos diretos'!$B$3:$B$496,$B16,'B1 - Matriz de custos diretos'!$G$3:$G$496)*'A3 - Demanda Anual Agregada '!K18*IFERROR(VLOOKUP($B16,SN_UGC,28,0),0)</f>
        <v>314475</v>
      </c>
      <c r="L16" s="61">
        <f>SUMIF('B1 - Matriz de custos diretos'!$B$3:$B$496,$B16,'B1 - Matriz de custos diretos'!$G$3:$G$496)*'A3 - Demanda Anual Agregada '!L18*IFERROR(VLOOKUP($B16,SN_UGC,28,0),0)</f>
        <v>324030</v>
      </c>
      <c r="M16" s="61">
        <f>SUMIF('B1 - Matriz de custos diretos'!$B$3:$B$496,$B16,'B1 - Matriz de custos diretos'!$G$3:$G$496)*'A3 - Demanda Anual Agregada '!M18*IFERROR(VLOOKUP($B16,SN_UGC,28,0),0)</f>
        <v>333900</v>
      </c>
      <c r="N16" s="61">
        <f>SUMIF('B1 - Matriz de custos diretos'!$B$3:$B$496,$B16,'B1 - Matriz de custos diretos'!$G$3:$G$496)*'A3 - Demanda Anual Agregada '!N18*IFERROR(VLOOKUP($B16,SN_UGC,28,0),0)</f>
        <v>344067.5</v>
      </c>
      <c r="O16" s="61">
        <f>SUMIF('B1 - Matriz de custos diretos'!$B$3:$B$496,$B16,'B1 - Matriz de custos diretos'!$G$3:$G$496)*'A3 - Demanda Anual Agregada '!O18*IFERROR(VLOOKUP($B16,SN_UGC,28,0),0)</f>
        <v>354550</v>
      </c>
      <c r="P16" s="61">
        <f>SUMIF('B1 - Matriz de custos diretos'!$B$3:$B$496,$B16,'B1 - Matriz de custos diretos'!$G$3:$G$496)*'A3 - Demanda Anual Agregada '!P18*IFERROR(VLOOKUP($B16,SN_UGC,28,0),0)</f>
        <v>365365</v>
      </c>
      <c r="Q16" s="61">
        <f>SUMIF('B1 - Matriz de custos diretos'!$B$3:$B$496,$B16,'B1 - Matriz de custos diretos'!$G$3:$G$496)*'A3 - Demanda Anual Agregada '!Q18*IFERROR(VLOOKUP($B16,SN_UGC,28,0),0)</f>
        <v>376495</v>
      </c>
      <c r="R16" s="61">
        <f>SUMIF('B1 - Matriz de custos diretos'!$B$3:$B$496,$B16,'B1 - Matriz de custos diretos'!$G$3:$G$496)*'A3 - Demanda Anual Agregada '!R18*IFERROR(VLOOKUP($B16,SN_UGC,28,0),0)</f>
        <v>387922.5</v>
      </c>
      <c r="S16" s="61">
        <f>SUMIF('B1 - Matriz de custos diretos'!$B$3:$B$496,$B16,'B1 - Matriz de custos diretos'!$G$3:$G$496)*'A3 - Demanda Anual Agregada '!S18*IFERROR(VLOOKUP($B16,SN_UGC,28,0),0)</f>
        <v>399647.5</v>
      </c>
      <c r="T16" s="61">
        <f>SUMIF('B1 - Matriz de custos diretos'!$B$3:$B$496,$B16,'B1 - Matriz de custos diretos'!$G$3:$G$496)*'A3 - Demanda Anual Agregada '!T18*IFERROR(VLOOKUP($B16,SN_UGC,28,0),0)</f>
        <v>411635</v>
      </c>
      <c r="U16" s="61">
        <f>SUMIF('B1 - Matriz de custos diretos'!$B$3:$B$496,$B16,'B1 - Matriz de custos diretos'!$G$3:$G$496)*'A3 - Demanda Anual Agregada '!U18*IFERROR(VLOOKUP($B16,SN_UGC,28,0),0)</f>
        <v>423832.5</v>
      </c>
      <c r="V16" s="61">
        <f>SUMIF('B1 - Matriz de custos diretos'!$B$3:$B$496,$B16,'B1 - Matriz de custos diretos'!$G$3:$G$496)*'A3 - Demanda Anual Agregada '!V18*IFERROR(VLOOKUP($B16,SN_UGC,28,0),0)</f>
        <v>436187.5</v>
      </c>
      <c r="W16" s="61">
        <f>SUMIF('B1 - Matriz de custos diretos'!$B$3:$B$496,$B16,'B1 - Matriz de custos diretos'!$G$3:$G$496)*'A3 - Demanda Anual Agregada '!W18*IFERROR(VLOOKUP($B16,SN_UGC,28,0),0)</f>
        <v>436187.5</v>
      </c>
      <c r="X16" s="61">
        <f>SUMIF('B1 - Matriz de custos diretos'!$B$3:$B$496,$B16,'B1 - Matriz de custos diretos'!$G$3:$G$496)*'A3 - Demanda Anual Agregada '!X18*IFERROR(VLOOKUP($B16,SN_UGC,28,0),0)</f>
        <v>436187.5</v>
      </c>
      <c r="Y16" s="61">
        <f>SUMIF('B1 - Matriz de custos diretos'!$B$3:$B$496,$B16,'B1 - Matriz de custos diretos'!$G$3:$G$496)*'A3 - Demanda Anual Agregada '!Y18*IFERROR(VLOOKUP($B16,SN_UGC,28,0),0)</f>
        <v>436187.5</v>
      </c>
      <c r="Z16" s="61">
        <f>SUMIF('B1 - Matriz de custos diretos'!$B$3:$B$496,$B16,'B1 - Matriz de custos diretos'!$G$3:$G$496)*'A3 - Demanda Anual Agregada '!Z18*IFERROR(VLOOKUP($B16,SN_UGC,28,0),0)</f>
        <v>436187.5</v>
      </c>
      <c r="AA16" s="61">
        <f>SUMIF('B1 - Matriz de custos diretos'!$B$3:$B$496,$B16,'B1 - Matriz de custos diretos'!$G$3:$G$496)*'A3 - Demanda Anual Agregada '!AA18*IFERROR(VLOOKUP($B16,SN_UGC,28,0),0)</f>
        <v>436187.5</v>
      </c>
      <c r="AB16" s="61">
        <f>SUMIF('B1 - Matriz de custos diretos'!$B$3:$B$496,$B16,'B1 - Matriz de custos diretos'!$G$3:$G$496)*'A3 - Demanda Anual Agregada '!AB18*IFERROR(VLOOKUP($B16,SN_UGC,28,0),0)</f>
        <v>436187.5</v>
      </c>
      <c r="AC16" s="61">
        <f>SUMIF('B1 - Matriz de custos diretos'!$B$3:$B$496,$B16,'B1 - Matriz de custos diretos'!$G$3:$G$496)*'A3 - Demanda Anual Agregada '!AC18*IFERROR(VLOOKUP($B16,SN_UGC,28,0),0)</f>
        <v>436187.5</v>
      </c>
      <c r="AD16" s="61">
        <f>SUMIF('B1 - Matriz de custos diretos'!$B$3:$B$496,$B16,'B1 - Matriz de custos diretos'!$G$3:$G$496)*'A3 - Demanda Anual Agregada '!AD18*IFERROR(VLOOKUP($B16,SN_UGC,28,0),0)</f>
        <v>436187.5</v>
      </c>
      <c r="AE16" s="61">
        <f>SUMIF('B1 - Matriz de custos diretos'!$B$3:$B$496,$B16,'B1 - Matriz de custos diretos'!$G$3:$G$496)*'A3 - Demanda Anual Agregada '!AE18*IFERROR(VLOOKUP($B16,SN_UGC,28,0),0)</f>
        <v>436187.5</v>
      </c>
      <c r="AF16" s="61">
        <f>SUMIF('B1 - Matriz de custos diretos'!$B$3:$B$496,$B16,'B1 - Matriz de custos diretos'!$G$3:$G$496)*'A3 - Demanda Anual Agregada '!AF18*IFERROR(VLOOKUP($B16,SN_UGC,28,0),0)</f>
        <v>436187.5</v>
      </c>
    </row>
    <row r="17" spans="1:32" ht="15.75" customHeight="1">
      <c r="A17" s="292"/>
      <c r="B17" s="60" t="str">
        <f>'A3 - Demanda Anual Agregada '!B19</f>
        <v>Paraíso - Alimentação</v>
      </c>
      <c r="C17" s="61">
        <f>SUMIF('B1 - Matriz de custos diretos'!$B$3:$B$496,$B17,'B1 - Matriz de custos diretos'!$G$3:$G$496)*'A3 - Demanda Anual Agregada '!C19*IFERROR(VLOOKUP($B17,SN_UGC,28,0),0)</f>
        <v>0</v>
      </c>
      <c r="D17" s="61">
        <f>SUMIF('B1 - Matriz de custos diretos'!$B$3:$B$496,$B17,'B1 - Matriz de custos diretos'!$G$3:$G$496)*'A3 - Demanda Anual Agregada '!D19*IFERROR(VLOOKUP($B17,SN_UGC,28,0),0)</f>
        <v>0</v>
      </c>
      <c r="E17" s="61">
        <f>SUMIF('B1 - Matriz de custos diretos'!$B$3:$B$496,$B17,'B1 - Matriz de custos diretos'!$G$3:$G$496)*'A3 - Demanda Anual Agregada '!E19*IFERROR(VLOOKUP($B17,SN_UGC,28,0),0)</f>
        <v>0</v>
      </c>
      <c r="F17" s="61">
        <f>SUMIF('B1 - Matriz de custos diretos'!$B$3:$B$496,$B17,'B1 - Matriz de custos diretos'!$G$3:$G$496)*'A3 - Demanda Anual Agregada '!F19*IFERROR(VLOOKUP($B17,SN_UGC,28,0),0)</f>
        <v>0</v>
      </c>
      <c r="G17" s="61">
        <f>SUMIF('B1 - Matriz de custos diretos'!$B$3:$B$496,$B17,'B1 - Matriz de custos diretos'!$G$3:$G$496)*'A3 - Demanda Anual Agregada '!G19*IFERROR(VLOOKUP($B17,SN_UGC,28,0),0)</f>
        <v>0</v>
      </c>
      <c r="H17" s="61">
        <f>SUMIF('B1 - Matriz de custos diretos'!$B$3:$B$496,$B17,'B1 - Matriz de custos diretos'!$G$3:$G$496)*'A3 - Demanda Anual Agregada '!H19*IFERROR(VLOOKUP($B17,SN_UGC,28,0),0)</f>
        <v>0</v>
      </c>
      <c r="I17" s="61">
        <f>SUMIF('B1 - Matriz de custos diretos'!$B$3:$B$496,$B17,'B1 - Matriz de custos diretos'!$G$3:$G$496)*'A3 - Demanda Anual Agregada '!I19*IFERROR(VLOOKUP($B17,SN_UGC,28,0),0)</f>
        <v>0</v>
      </c>
      <c r="J17" s="61">
        <f>SUMIF('B1 - Matriz de custos diretos'!$B$3:$B$496,$B17,'B1 - Matriz de custos diretos'!$G$3:$G$496)*'A3 - Demanda Anual Agregada '!J19*IFERROR(VLOOKUP($B17,SN_UGC,28,0),0)</f>
        <v>0</v>
      </c>
      <c r="K17" s="61">
        <f>SUMIF('B1 - Matriz de custos diretos'!$B$3:$B$496,$B17,'B1 - Matriz de custos diretos'!$G$3:$G$496)*'A3 - Demanda Anual Agregada '!K19*IFERROR(VLOOKUP($B17,SN_UGC,28,0),0)</f>
        <v>0</v>
      </c>
      <c r="L17" s="61">
        <f>SUMIF('B1 - Matriz de custos diretos'!$B$3:$B$496,$B17,'B1 - Matriz de custos diretos'!$G$3:$G$496)*'A3 - Demanda Anual Agregada '!L19*IFERROR(VLOOKUP($B17,SN_UGC,28,0),0)</f>
        <v>0</v>
      </c>
      <c r="M17" s="61">
        <f>SUMIF('B1 - Matriz de custos diretos'!$B$3:$B$496,$B17,'B1 - Matriz de custos diretos'!$G$3:$G$496)*'A3 - Demanda Anual Agregada '!M19*IFERROR(VLOOKUP($B17,SN_UGC,28,0),0)</f>
        <v>0</v>
      </c>
      <c r="N17" s="61">
        <f>SUMIF('B1 - Matriz de custos diretos'!$B$3:$B$496,$B17,'B1 - Matriz de custos diretos'!$G$3:$G$496)*'A3 - Demanda Anual Agregada '!N19*IFERROR(VLOOKUP($B17,SN_UGC,28,0),0)</f>
        <v>0</v>
      </c>
      <c r="O17" s="61">
        <f>SUMIF('B1 - Matriz de custos diretos'!$B$3:$B$496,$B17,'B1 - Matriz de custos diretos'!$G$3:$G$496)*'A3 - Demanda Anual Agregada '!O19*IFERROR(VLOOKUP($B17,SN_UGC,28,0),0)</f>
        <v>0</v>
      </c>
      <c r="P17" s="61">
        <f>SUMIF('B1 - Matriz de custos diretos'!$B$3:$B$496,$B17,'B1 - Matriz de custos diretos'!$G$3:$G$496)*'A3 - Demanda Anual Agregada '!P19*IFERROR(VLOOKUP($B17,SN_UGC,28,0),0)</f>
        <v>0</v>
      </c>
      <c r="Q17" s="61">
        <f>SUMIF('B1 - Matriz de custos diretos'!$B$3:$B$496,$B17,'B1 - Matriz de custos diretos'!$G$3:$G$496)*'A3 - Demanda Anual Agregada '!Q19*IFERROR(VLOOKUP($B17,SN_UGC,28,0),0)</f>
        <v>0</v>
      </c>
      <c r="R17" s="61">
        <f>SUMIF('B1 - Matriz de custos diretos'!$B$3:$B$496,$B17,'B1 - Matriz de custos diretos'!$G$3:$G$496)*'A3 - Demanda Anual Agregada '!R19*IFERROR(VLOOKUP($B17,SN_UGC,28,0),0)</f>
        <v>0</v>
      </c>
      <c r="S17" s="61">
        <f>SUMIF('B1 - Matriz de custos diretos'!$B$3:$B$496,$B17,'B1 - Matriz de custos diretos'!$G$3:$G$496)*'A3 - Demanda Anual Agregada '!S19*IFERROR(VLOOKUP($B17,SN_UGC,28,0),0)</f>
        <v>0</v>
      </c>
      <c r="T17" s="61">
        <f>SUMIF('B1 - Matriz de custos diretos'!$B$3:$B$496,$B17,'B1 - Matriz de custos diretos'!$G$3:$G$496)*'A3 - Demanda Anual Agregada '!T19*IFERROR(VLOOKUP($B17,SN_UGC,28,0),0)</f>
        <v>0</v>
      </c>
      <c r="U17" s="61">
        <f>SUMIF('B1 - Matriz de custos diretos'!$B$3:$B$496,$B17,'B1 - Matriz de custos diretos'!$G$3:$G$496)*'A3 - Demanda Anual Agregada '!U19*IFERROR(VLOOKUP($B17,SN_UGC,28,0),0)</f>
        <v>0</v>
      </c>
      <c r="V17" s="61">
        <f>SUMIF('B1 - Matriz de custos diretos'!$B$3:$B$496,$B17,'B1 - Matriz de custos diretos'!$G$3:$G$496)*'A3 - Demanda Anual Agregada '!V19*IFERROR(VLOOKUP($B17,SN_UGC,28,0),0)</f>
        <v>0</v>
      </c>
      <c r="W17" s="61">
        <f>SUMIF('B1 - Matriz de custos diretos'!$B$3:$B$496,$B17,'B1 - Matriz de custos diretos'!$G$3:$G$496)*'A3 - Demanda Anual Agregada '!W19*IFERROR(VLOOKUP($B17,SN_UGC,28,0),0)</f>
        <v>0</v>
      </c>
      <c r="X17" s="61">
        <f>SUMIF('B1 - Matriz de custos diretos'!$B$3:$B$496,$B17,'B1 - Matriz de custos diretos'!$G$3:$G$496)*'A3 - Demanda Anual Agregada '!X19*IFERROR(VLOOKUP($B17,SN_UGC,28,0),0)</f>
        <v>0</v>
      </c>
      <c r="Y17" s="61">
        <f>SUMIF('B1 - Matriz de custos diretos'!$B$3:$B$496,$B17,'B1 - Matriz de custos diretos'!$G$3:$G$496)*'A3 - Demanda Anual Agregada '!Y19*IFERROR(VLOOKUP($B17,SN_UGC,28,0),0)</f>
        <v>0</v>
      </c>
      <c r="Z17" s="61">
        <f>SUMIF('B1 - Matriz de custos diretos'!$B$3:$B$496,$B17,'B1 - Matriz de custos diretos'!$G$3:$G$496)*'A3 - Demanda Anual Agregada '!Z19*IFERROR(VLOOKUP($B17,SN_UGC,28,0),0)</f>
        <v>0</v>
      </c>
      <c r="AA17" s="61">
        <f>SUMIF('B1 - Matriz de custos diretos'!$B$3:$B$496,$B17,'B1 - Matriz de custos diretos'!$G$3:$G$496)*'A3 - Demanda Anual Agregada '!AA19*IFERROR(VLOOKUP($B17,SN_UGC,28,0),0)</f>
        <v>0</v>
      </c>
      <c r="AB17" s="61">
        <f>SUMIF('B1 - Matriz de custos diretos'!$B$3:$B$496,$B17,'B1 - Matriz de custos diretos'!$G$3:$G$496)*'A3 - Demanda Anual Agregada '!AB19*IFERROR(VLOOKUP($B17,SN_UGC,28,0),0)</f>
        <v>0</v>
      </c>
      <c r="AC17" s="61">
        <f>SUMIF('B1 - Matriz de custos diretos'!$B$3:$B$496,$B17,'B1 - Matriz de custos diretos'!$G$3:$G$496)*'A3 - Demanda Anual Agregada '!AC19*IFERROR(VLOOKUP($B17,SN_UGC,28,0),0)</f>
        <v>0</v>
      </c>
      <c r="AD17" s="61">
        <f>SUMIF('B1 - Matriz de custos diretos'!$B$3:$B$496,$B17,'B1 - Matriz de custos diretos'!$G$3:$G$496)*'A3 - Demanda Anual Agregada '!AD19*IFERROR(VLOOKUP($B17,SN_UGC,28,0),0)</f>
        <v>0</v>
      </c>
      <c r="AE17" s="61">
        <f>SUMIF('B1 - Matriz de custos diretos'!$B$3:$B$496,$B17,'B1 - Matriz de custos diretos'!$G$3:$G$496)*'A3 - Demanda Anual Agregada '!AE19*IFERROR(VLOOKUP($B17,SN_UGC,28,0),0)</f>
        <v>0</v>
      </c>
      <c r="AF17" s="61">
        <f>SUMIF('B1 - Matriz de custos diretos'!$B$3:$B$496,$B17,'B1 - Matriz de custos diretos'!$G$3:$G$496)*'A3 - Demanda Anual Agregada '!AF19*IFERROR(VLOOKUP($B17,SN_UGC,28,0),0)</f>
        <v>0</v>
      </c>
    </row>
    <row r="18" spans="1:32" ht="15.75" customHeight="1">
      <c r="A18" s="292"/>
      <c r="B18" s="60" t="str">
        <f>'A3 - Demanda Anual Agregada '!B20</f>
        <v>Paraíso - Comércio + Locação + Atividades</v>
      </c>
      <c r="C18" s="61">
        <f>SUMIF('B1 - Matriz de custos diretos'!$B$3:$B$496,$B18,'B1 - Matriz de custos diretos'!$G$3:$G$496)*'A3 - Demanda Anual Agregada '!C20*IFERROR(VLOOKUP($B18,SN_UGC,28,0),0)</f>
        <v>0</v>
      </c>
      <c r="D18" s="61">
        <f>SUMIF('B1 - Matriz de custos diretos'!$B$3:$B$496,$B18,'B1 - Matriz de custos diretos'!$G$3:$G$496)*'A3 - Demanda Anual Agregada '!D20*IFERROR(VLOOKUP($B18,SN_UGC,28,0),0)</f>
        <v>0</v>
      </c>
      <c r="E18" s="61">
        <f>SUMIF('B1 - Matriz de custos diretos'!$B$3:$B$496,$B18,'B1 - Matriz de custos diretos'!$G$3:$G$496)*'A3 - Demanda Anual Agregada '!E20*IFERROR(VLOOKUP($B18,SN_UGC,28,0),0)</f>
        <v>0</v>
      </c>
      <c r="F18" s="61">
        <f>SUMIF('B1 - Matriz de custos diretos'!$B$3:$B$496,$B18,'B1 - Matriz de custos diretos'!$G$3:$G$496)*'A3 - Demanda Anual Agregada '!F20*IFERROR(VLOOKUP($B18,SN_UGC,28,0),0)</f>
        <v>0</v>
      </c>
      <c r="G18" s="61">
        <f>SUMIF('B1 - Matriz de custos diretos'!$B$3:$B$496,$B18,'B1 - Matriz de custos diretos'!$G$3:$G$496)*'A3 - Demanda Anual Agregada '!G20*IFERROR(VLOOKUP($B18,SN_UGC,28,0),0)</f>
        <v>0</v>
      </c>
      <c r="H18" s="61">
        <f>SUMIF('B1 - Matriz de custos diretos'!$B$3:$B$496,$B18,'B1 - Matriz de custos diretos'!$G$3:$G$496)*'A3 - Demanda Anual Agregada '!H20*IFERROR(VLOOKUP($B18,SN_UGC,28,0),0)</f>
        <v>0</v>
      </c>
      <c r="I18" s="61">
        <f>SUMIF('B1 - Matriz de custos diretos'!$B$3:$B$496,$B18,'B1 - Matriz de custos diretos'!$G$3:$G$496)*'A3 - Demanda Anual Agregada '!I20*IFERROR(VLOOKUP($B18,SN_UGC,28,0),0)</f>
        <v>0</v>
      </c>
      <c r="J18" s="61">
        <f>SUMIF('B1 - Matriz de custos diretos'!$B$3:$B$496,$B18,'B1 - Matriz de custos diretos'!$G$3:$G$496)*'A3 - Demanda Anual Agregada '!J20*IFERROR(VLOOKUP($B18,SN_UGC,28,0),0)</f>
        <v>0</v>
      </c>
      <c r="K18" s="61">
        <f>SUMIF('B1 - Matriz de custos diretos'!$B$3:$B$496,$B18,'B1 - Matriz de custos diretos'!$G$3:$G$496)*'A3 - Demanda Anual Agregada '!K20*IFERROR(VLOOKUP($B18,SN_UGC,28,0),0)</f>
        <v>0</v>
      </c>
      <c r="L18" s="61">
        <f>SUMIF('B1 - Matriz de custos diretos'!$B$3:$B$496,$B18,'B1 - Matriz de custos diretos'!$G$3:$G$496)*'A3 - Demanda Anual Agregada '!L20*IFERROR(VLOOKUP($B18,SN_UGC,28,0),0)</f>
        <v>0</v>
      </c>
      <c r="M18" s="61">
        <f>SUMIF('B1 - Matriz de custos diretos'!$B$3:$B$496,$B18,'B1 - Matriz de custos diretos'!$G$3:$G$496)*'A3 - Demanda Anual Agregada '!M20*IFERROR(VLOOKUP($B18,SN_UGC,28,0),0)</f>
        <v>0</v>
      </c>
      <c r="N18" s="61">
        <f>SUMIF('B1 - Matriz de custos diretos'!$B$3:$B$496,$B18,'B1 - Matriz de custos diretos'!$G$3:$G$496)*'A3 - Demanda Anual Agregada '!N20*IFERROR(VLOOKUP($B18,SN_UGC,28,0),0)</f>
        <v>0</v>
      </c>
      <c r="O18" s="61">
        <f>SUMIF('B1 - Matriz de custos diretos'!$B$3:$B$496,$B18,'B1 - Matriz de custos diretos'!$G$3:$G$496)*'A3 - Demanda Anual Agregada '!O20*IFERROR(VLOOKUP($B18,SN_UGC,28,0),0)</f>
        <v>0</v>
      </c>
      <c r="P18" s="61">
        <f>SUMIF('B1 - Matriz de custos diretos'!$B$3:$B$496,$B18,'B1 - Matriz de custos diretos'!$G$3:$G$496)*'A3 - Demanda Anual Agregada '!P20*IFERROR(VLOOKUP($B18,SN_UGC,28,0),0)</f>
        <v>0</v>
      </c>
      <c r="Q18" s="61">
        <f>SUMIF('B1 - Matriz de custos diretos'!$B$3:$B$496,$B18,'B1 - Matriz de custos diretos'!$G$3:$G$496)*'A3 - Demanda Anual Agregada '!Q20*IFERROR(VLOOKUP($B18,SN_UGC,28,0),0)</f>
        <v>0</v>
      </c>
      <c r="R18" s="61">
        <f>SUMIF('B1 - Matriz de custos diretos'!$B$3:$B$496,$B18,'B1 - Matriz de custos diretos'!$G$3:$G$496)*'A3 - Demanda Anual Agregada '!R20*IFERROR(VLOOKUP($B18,SN_UGC,28,0),0)</f>
        <v>0</v>
      </c>
      <c r="S18" s="61">
        <f>SUMIF('B1 - Matriz de custos diretos'!$B$3:$B$496,$B18,'B1 - Matriz de custos diretos'!$G$3:$G$496)*'A3 - Demanda Anual Agregada '!S20*IFERROR(VLOOKUP($B18,SN_UGC,28,0),0)</f>
        <v>0</v>
      </c>
      <c r="T18" s="61">
        <f>SUMIF('B1 - Matriz de custos diretos'!$B$3:$B$496,$B18,'B1 - Matriz de custos diretos'!$G$3:$G$496)*'A3 - Demanda Anual Agregada '!T20*IFERROR(VLOOKUP($B18,SN_UGC,28,0),0)</f>
        <v>0</v>
      </c>
      <c r="U18" s="61">
        <f>SUMIF('B1 - Matriz de custos diretos'!$B$3:$B$496,$B18,'B1 - Matriz de custos diretos'!$G$3:$G$496)*'A3 - Demanda Anual Agregada '!U20*IFERROR(VLOOKUP($B18,SN_UGC,28,0),0)</f>
        <v>0</v>
      </c>
      <c r="V18" s="61">
        <f>SUMIF('B1 - Matriz de custos diretos'!$B$3:$B$496,$B18,'B1 - Matriz de custos diretos'!$G$3:$G$496)*'A3 - Demanda Anual Agregada '!V20*IFERROR(VLOOKUP($B18,SN_UGC,28,0),0)</f>
        <v>0</v>
      </c>
      <c r="W18" s="61">
        <f>SUMIF('B1 - Matriz de custos diretos'!$B$3:$B$496,$B18,'B1 - Matriz de custos diretos'!$G$3:$G$496)*'A3 - Demanda Anual Agregada '!W20*IFERROR(VLOOKUP($B18,SN_UGC,28,0),0)</f>
        <v>0</v>
      </c>
      <c r="X18" s="61">
        <f>SUMIF('B1 - Matriz de custos diretos'!$B$3:$B$496,$B18,'B1 - Matriz de custos diretos'!$G$3:$G$496)*'A3 - Demanda Anual Agregada '!X20*IFERROR(VLOOKUP($B18,SN_UGC,28,0),0)</f>
        <v>0</v>
      </c>
      <c r="Y18" s="61">
        <f>SUMIF('B1 - Matriz de custos diretos'!$B$3:$B$496,$B18,'B1 - Matriz de custos diretos'!$G$3:$G$496)*'A3 - Demanda Anual Agregada '!Y20*IFERROR(VLOOKUP($B18,SN_UGC,28,0),0)</f>
        <v>0</v>
      </c>
      <c r="Z18" s="61">
        <f>SUMIF('B1 - Matriz de custos diretos'!$B$3:$B$496,$B18,'B1 - Matriz de custos diretos'!$G$3:$G$496)*'A3 - Demanda Anual Agregada '!Z20*IFERROR(VLOOKUP($B18,SN_UGC,28,0),0)</f>
        <v>0</v>
      </c>
      <c r="AA18" s="61">
        <f>SUMIF('B1 - Matriz de custos diretos'!$B$3:$B$496,$B18,'B1 - Matriz de custos diretos'!$G$3:$G$496)*'A3 - Demanda Anual Agregada '!AA20*IFERROR(VLOOKUP($B18,SN_UGC,28,0),0)</f>
        <v>0</v>
      </c>
      <c r="AB18" s="61">
        <f>SUMIF('B1 - Matriz de custos diretos'!$B$3:$B$496,$B18,'B1 - Matriz de custos diretos'!$G$3:$G$496)*'A3 - Demanda Anual Agregada '!AB20*IFERROR(VLOOKUP($B18,SN_UGC,28,0),0)</f>
        <v>0</v>
      </c>
      <c r="AC18" s="61">
        <f>SUMIF('B1 - Matriz de custos diretos'!$B$3:$B$496,$B18,'B1 - Matriz de custos diretos'!$G$3:$G$496)*'A3 - Demanda Anual Agregada '!AC20*IFERROR(VLOOKUP($B18,SN_UGC,28,0),0)</f>
        <v>0</v>
      </c>
      <c r="AD18" s="61">
        <f>SUMIF('B1 - Matriz de custos diretos'!$B$3:$B$496,$B18,'B1 - Matriz de custos diretos'!$G$3:$G$496)*'A3 - Demanda Anual Agregada '!AD20*IFERROR(VLOOKUP($B18,SN_UGC,28,0),0)</f>
        <v>0</v>
      </c>
      <c r="AE18" s="61">
        <f>SUMIF('B1 - Matriz de custos diretos'!$B$3:$B$496,$B18,'B1 - Matriz de custos diretos'!$G$3:$G$496)*'A3 - Demanda Anual Agregada '!AE20*IFERROR(VLOOKUP($B18,SN_UGC,28,0),0)</f>
        <v>0</v>
      </c>
      <c r="AF18" s="61">
        <f>SUMIF('B1 - Matriz de custos diretos'!$B$3:$B$496,$B18,'B1 - Matriz de custos diretos'!$G$3:$G$496)*'A3 - Demanda Anual Agregada '!AF20*IFERROR(VLOOKUP($B18,SN_UGC,28,0),0)</f>
        <v>0</v>
      </c>
    </row>
    <row r="19" spans="1:32" ht="15.75" customHeight="1">
      <c r="A19" s="292"/>
      <c r="B19" s="60" t="str">
        <f>'A3 - Demanda Anual Agregada '!B21</f>
        <v>Geral - Unidade móvel - Alimentação</v>
      </c>
      <c r="C19" s="61">
        <f>SUMIF('B1 - Matriz de custos diretos'!$B$3:$B$496,$B19,'B1 - Matriz de custos diretos'!$G$3:$G$496)*'A3 - Demanda Anual Agregada '!C21*IFERROR(VLOOKUP($B19,SN_UGC,28,0),0)</f>
        <v>0</v>
      </c>
      <c r="D19" s="61">
        <f>SUMIF('B1 - Matriz de custos diretos'!$B$3:$B$496,$B19,'B1 - Matriz de custos diretos'!$G$3:$G$496)*'A3 - Demanda Anual Agregada '!D21*IFERROR(VLOOKUP($B19,SN_UGC,28,0),0)</f>
        <v>0</v>
      </c>
      <c r="E19" s="61">
        <f>SUMIF('B1 - Matriz de custos diretos'!$B$3:$B$496,$B19,'B1 - Matriz de custos diretos'!$G$3:$G$496)*'A3 - Demanda Anual Agregada '!E21*IFERROR(VLOOKUP($B19,SN_UGC,28,0),0)</f>
        <v>0</v>
      </c>
      <c r="F19" s="61">
        <f>SUMIF('B1 - Matriz de custos diretos'!$B$3:$B$496,$B19,'B1 - Matriz de custos diretos'!$G$3:$G$496)*'A3 - Demanda Anual Agregada '!F21*IFERROR(VLOOKUP($B19,SN_UGC,28,0),0)</f>
        <v>0</v>
      </c>
      <c r="G19" s="61">
        <f>SUMIF('B1 - Matriz de custos diretos'!$B$3:$B$496,$B19,'B1 - Matriz de custos diretos'!$G$3:$G$496)*'A3 - Demanda Anual Agregada '!G21*IFERROR(VLOOKUP($B19,SN_UGC,28,0),0)</f>
        <v>0</v>
      </c>
      <c r="H19" s="61">
        <f>SUMIF('B1 - Matriz de custos diretos'!$B$3:$B$496,$B19,'B1 - Matriz de custos diretos'!$G$3:$G$496)*'A3 - Demanda Anual Agregada '!H21*IFERROR(VLOOKUP($B19,SN_UGC,28,0),0)</f>
        <v>0</v>
      </c>
      <c r="I19" s="61">
        <f>SUMIF('B1 - Matriz de custos diretos'!$B$3:$B$496,$B19,'B1 - Matriz de custos diretos'!$G$3:$G$496)*'A3 - Demanda Anual Agregada '!I21*IFERROR(VLOOKUP($B19,SN_UGC,28,0),0)</f>
        <v>0</v>
      </c>
      <c r="J19" s="61">
        <f>SUMIF('B1 - Matriz de custos diretos'!$B$3:$B$496,$B19,'B1 - Matriz de custos diretos'!$G$3:$G$496)*'A3 - Demanda Anual Agregada '!J21*IFERROR(VLOOKUP($B19,SN_UGC,28,0),0)</f>
        <v>0</v>
      </c>
      <c r="K19" s="61">
        <f>SUMIF('B1 - Matriz de custos diretos'!$B$3:$B$496,$B19,'B1 - Matriz de custos diretos'!$G$3:$G$496)*'A3 - Demanda Anual Agregada '!K21*IFERROR(VLOOKUP($B19,SN_UGC,28,0),0)</f>
        <v>0</v>
      </c>
      <c r="L19" s="61">
        <f>SUMIF('B1 - Matriz de custos diretos'!$B$3:$B$496,$B19,'B1 - Matriz de custos diretos'!$G$3:$G$496)*'A3 - Demanda Anual Agregada '!L21*IFERROR(VLOOKUP($B19,SN_UGC,28,0),0)</f>
        <v>0</v>
      </c>
      <c r="M19" s="61">
        <f>SUMIF('B1 - Matriz de custos diretos'!$B$3:$B$496,$B19,'B1 - Matriz de custos diretos'!$G$3:$G$496)*'A3 - Demanda Anual Agregada '!M21*IFERROR(VLOOKUP($B19,SN_UGC,28,0),0)</f>
        <v>0</v>
      </c>
      <c r="N19" s="61">
        <f>SUMIF('B1 - Matriz de custos diretos'!$B$3:$B$496,$B19,'B1 - Matriz de custos diretos'!$G$3:$G$496)*'A3 - Demanda Anual Agregada '!N21*IFERROR(VLOOKUP($B19,SN_UGC,28,0),0)</f>
        <v>0</v>
      </c>
      <c r="O19" s="61">
        <f>SUMIF('B1 - Matriz de custos diretos'!$B$3:$B$496,$B19,'B1 - Matriz de custos diretos'!$G$3:$G$496)*'A3 - Demanda Anual Agregada '!O21*IFERROR(VLOOKUP($B19,SN_UGC,28,0),0)</f>
        <v>0</v>
      </c>
      <c r="P19" s="61">
        <f>SUMIF('B1 - Matriz de custos diretos'!$B$3:$B$496,$B19,'B1 - Matriz de custos diretos'!$G$3:$G$496)*'A3 - Demanda Anual Agregada '!P21*IFERROR(VLOOKUP($B19,SN_UGC,28,0),0)</f>
        <v>0</v>
      </c>
      <c r="Q19" s="61">
        <f>SUMIF('B1 - Matriz de custos diretos'!$B$3:$B$496,$B19,'B1 - Matriz de custos diretos'!$G$3:$G$496)*'A3 - Demanda Anual Agregada '!Q21*IFERROR(VLOOKUP($B19,SN_UGC,28,0),0)</f>
        <v>0</v>
      </c>
      <c r="R19" s="61">
        <f>SUMIF('B1 - Matriz de custos diretos'!$B$3:$B$496,$B19,'B1 - Matriz de custos diretos'!$G$3:$G$496)*'A3 - Demanda Anual Agregada '!R21*IFERROR(VLOOKUP($B19,SN_UGC,28,0),0)</f>
        <v>0</v>
      </c>
      <c r="S19" s="61">
        <f>SUMIF('B1 - Matriz de custos diretos'!$B$3:$B$496,$B19,'B1 - Matriz de custos diretos'!$G$3:$G$496)*'A3 - Demanda Anual Agregada '!S21*IFERROR(VLOOKUP($B19,SN_UGC,28,0),0)</f>
        <v>0</v>
      </c>
      <c r="T19" s="61">
        <f>SUMIF('B1 - Matriz de custos diretos'!$B$3:$B$496,$B19,'B1 - Matriz de custos diretos'!$G$3:$G$496)*'A3 - Demanda Anual Agregada '!T21*IFERROR(VLOOKUP($B19,SN_UGC,28,0),0)</f>
        <v>0</v>
      </c>
      <c r="U19" s="61">
        <f>SUMIF('B1 - Matriz de custos diretos'!$B$3:$B$496,$B19,'B1 - Matriz de custos diretos'!$G$3:$G$496)*'A3 - Demanda Anual Agregada '!U21*IFERROR(VLOOKUP($B19,SN_UGC,28,0),0)</f>
        <v>0</v>
      </c>
      <c r="V19" s="61">
        <f>SUMIF('B1 - Matriz de custos diretos'!$B$3:$B$496,$B19,'B1 - Matriz de custos diretos'!$G$3:$G$496)*'A3 - Demanda Anual Agregada '!V21*IFERROR(VLOOKUP($B19,SN_UGC,28,0),0)</f>
        <v>0</v>
      </c>
      <c r="W19" s="61">
        <f>SUMIF('B1 - Matriz de custos diretos'!$B$3:$B$496,$B19,'B1 - Matriz de custos diretos'!$G$3:$G$496)*'A3 - Demanda Anual Agregada '!W21*IFERROR(VLOOKUP($B19,SN_UGC,28,0),0)</f>
        <v>0</v>
      </c>
      <c r="X19" s="61">
        <f>SUMIF('B1 - Matriz de custos diretos'!$B$3:$B$496,$B19,'B1 - Matriz de custos diretos'!$G$3:$G$496)*'A3 - Demanda Anual Agregada '!X21*IFERROR(VLOOKUP($B19,SN_UGC,28,0),0)</f>
        <v>0</v>
      </c>
      <c r="Y19" s="61">
        <f>SUMIF('B1 - Matriz de custos diretos'!$B$3:$B$496,$B19,'B1 - Matriz de custos diretos'!$G$3:$G$496)*'A3 - Demanda Anual Agregada '!Y21*IFERROR(VLOOKUP($B19,SN_UGC,28,0),0)</f>
        <v>0</v>
      </c>
      <c r="Z19" s="61">
        <f>SUMIF('B1 - Matriz de custos diretos'!$B$3:$B$496,$B19,'B1 - Matriz de custos diretos'!$G$3:$G$496)*'A3 - Demanda Anual Agregada '!Z21*IFERROR(VLOOKUP($B19,SN_UGC,28,0),0)</f>
        <v>0</v>
      </c>
      <c r="AA19" s="61">
        <f>SUMIF('B1 - Matriz de custos diretos'!$B$3:$B$496,$B19,'B1 - Matriz de custos diretos'!$G$3:$G$496)*'A3 - Demanda Anual Agregada '!AA21*IFERROR(VLOOKUP($B19,SN_UGC,28,0),0)</f>
        <v>0</v>
      </c>
      <c r="AB19" s="61">
        <f>SUMIF('B1 - Matriz de custos diretos'!$B$3:$B$496,$B19,'B1 - Matriz de custos diretos'!$G$3:$G$496)*'A3 - Demanda Anual Agregada '!AB21*IFERROR(VLOOKUP($B19,SN_UGC,28,0),0)</f>
        <v>0</v>
      </c>
      <c r="AC19" s="61">
        <f>SUMIF('B1 - Matriz de custos diretos'!$B$3:$B$496,$B19,'B1 - Matriz de custos diretos'!$G$3:$G$496)*'A3 - Demanda Anual Agregada '!AC21*IFERROR(VLOOKUP($B19,SN_UGC,28,0),0)</f>
        <v>0</v>
      </c>
      <c r="AD19" s="61">
        <f>SUMIF('B1 - Matriz de custos diretos'!$B$3:$B$496,$B19,'B1 - Matriz de custos diretos'!$G$3:$G$496)*'A3 - Demanda Anual Agregada '!AD21*IFERROR(VLOOKUP($B19,SN_UGC,28,0),0)</f>
        <v>0</v>
      </c>
      <c r="AE19" s="61">
        <f>SUMIF('B1 - Matriz de custos diretos'!$B$3:$B$496,$B19,'B1 - Matriz de custos diretos'!$G$3:$G$496)*'A3 - Demanda Anual Agregada '!AE21*IFERROR(VLOOKUP($B19,SN_UGC,28,0),0)</f>
        <v>0</v>
      </c>
      <c r="AF19" s="61">
        <f>SUMIF('B1 - Matriz de custos diretos'!$B$3:$B$496,$B19,'B1 - Matriz de custos diretos'!$G$3:$G$496)*'A3 - Demanda Anual Agregada '!AF21*IFERROR(VLOOKUP($B19,SN_UGC,28,0),0)</f>
        <v>0</v>
      </c>
    </row>
    <row r="20" spans="1:32" ht="15.75" customHeight="1">
      <c r="A20" s="292"/>
      <c r="B20" s="60" t="str">
        <f>'A3 - Demanda Anual Agregada '!B22</f>
        <v>Mangue Seco - Estacionamento</v>
      </c>
      <c r="C20" s="61">
        <f>SUMIF('B1 - Matriz de custos diretos'!$B$3:$B$496,$B20,'B1 - Matriz de custos diretos'!$G$3:$G$496)*'A3 - Demanda Anual Agregada '!C22*IFERROR(VLOOKUP($B20,SN_UGC,28,0),0)</f>
        <v>0</v>
      </c>
      <c r="D20" s="61">
        <f>SUMIF('B1 - Matriz de custos diretos'!$B$3:$B$496,$B20,'B1 - Matriz de custos diretos'!$G$3:$G$496)*'A3 - Demanda Anual Agregada '!D22*IFERROR(VLOOKUP($B20,SN_UGC,28,0),0)</f>
        <v>0</v>
      </c>
      <c r="E20" s="61">
        <f>SUMIF('B1 - Matriz de custos diretos'!$B$3:$B$496,$B20,'B1 - Matriz de custos diretos'!$G$3:$G$496)*'A3 - Demanda Anual Agregada '!E22*IFERROR(VLOOKUP($B20,SN_UGC,28,0),0)</f>
        <v>0</v>
      </c>
      <c r="F20" s="61">
        <f>SUMIF('B1 - Matriz de custos diretos'!$B$3:$B$496,$B20,'B1 - Matriz de custos diretos'!$G$3:$G$496)*'A3 - Demanda Anual Agregada '!F22*IFERROR(VLOOKUP($B20,SN_UGC,28,0),0)</f>
        <v>0</v>
      </c>
      <c r="G20" s="61">
        <f>SUMIF('B1 - Matriz de custos diretos'!$B$3:$B$496,$B20,'B1 - Matriz de custos diretos'!$G$3:$G$496)*'A3 - Demanda Anual Agregada '!G22*IFERROR(VLOOKUP($B20,SN_UGC,28,0),0)</f>
        <v>0</v>
      </c>
      <c r="H20" s="61">
        <f>SUMIF('B1 - Matriz de custos diretos'!$B$3:$B$496,$B20,'B1 - Matriz de custos diretos'!$G$3:$G$496)*'A3 - Demanda Anual Agregada '!H22*IFERROR(VLOOKUP($B20,SN_UGC,28,0),0)</f>
        <v>0</v>
      </c>
      <c r="I20" s="61">
        <f>SUMIF('B1 - Matriz de custos diretos'!$B$3:$B$496,$B20,'B1 - Matriz de custos diretos'!$G$3:$G$496)*'A3 - Demanda Anual Agregada '!I22*IFERROR(VLOOKUP($B20,SN_UGC,28,0),0)</f>
        <v>0</v>
      </c>
      <c r="J20" s="61">
        <f>SUMIF('B1 - Matriz de custos diretos'!$B$3:$B$496,$B20,'B1 - Matriz de custos diretos'!$G$3:$G$496)*'A3 - Demanda Anual Agregada '!J22*IFERROR(VLOOKUP($B20,SN_UGC,28,0),0)</f>
        <v>0</v>
      </c>
      <c r="K20" s="61">
        <f>SUMIF('B1 - Matriz de custos diretos'!$B$3:$B$496,$B20,'B1 - Matriz de custos diretos'!$G$3:$G$496)*'A3 - Demanda Anual Agregada '!K22*IFERROR(VLOOKUP($B20,SN_UGC,28,0),0)</f>
        <v>0</v>
      </c>
      <c r="L20" s="61">
        <f>SUMIF('B1 - Matriz de custos diretos'!$B$3:$B$496,$B20,'B1 - Matriz de custos diretos'!$G$3:$G$496)*'A3 - Demanda Anual Agregada '!L22*IFERROR(VLOOKUP($B20,SN_UGC,28,0),0)</f>
        <v>0</v>
      </c>
      <c r="M20" s="61">
        <f>SUMIF('B1 - Matriz de custos diretos'!$B$3:$B$496,$B20,'B1 - Matriz de custos diretos'!$G$3:$G$496)*'A3 - Demanda Anual Agregada '!M22*IFERROR(VLOOKUP($B20,SN_UGC,28,0),0)</f>
        <v>0</v>
      </c>
      <c r="N20" s="61">
        <f>SUMIF('B1 - Matriz de custos diretos'!$B$3:$B$496,$B20,'B1 - Matriz de custos diretos'!$G$3:$G$496)*'A3 - Demanda Anual Agregada '!N22*IFERROR(VLOOKUP($B20,SN_UGC,28,0),0)</f>
        <v>0</v>
      </c>
      <c r="O20" s="61">
        <f>SUMIF('B1 - Matriz de custos diretos'!$B$3:$B$496,$B20,'B1 - Matriz de custos diretos'!$G$3:$G$496)*'A3 - Demanda Anual Agregada '!O22*IFERROR(VLOOKUP($B20,SN_UGC,28,0),0)</f>
        <v>0</v>
      </c>
      <c r="P20" s="61">
        <f>SUMIF('B1 - Matriz de custos diretos'!$B$3:$B$496,$B20,'B1 - Matriz de custos diretos'!$G$3:$G$496)*'A3 - Demanda Anual Agregada '!P22*IFERROR(VLOOKUP($B20,SN_UGC,28,0),0)</f>
        <v>0</v>
      </c>
      <c r="Q20" s="61">
        <f>SUMIF('B1 - Matriz de custos diretos'!$B$3:$B$496,$B20,'B1 - Matriz de custos diretos'!$G$3:$G$496)*'A3 - Demanda Anual Agregada '!Q22*IFERROR(VLOOKUP($B20,SN_UGC,28,0),0)</f>
        <v>0</v>
      </c>
      <c r="R20" s="61">
        <f>SUMIF('B1 - Matriz de custos diretos'!$B$3:$B$496,$B20,'B1 - Matriz de custos diretos'!$G$3:$G$496)*'A3 - Demanda Anual Agregada '!R22*IFERROR(VLOOKUP($B20,SN_UGC,28,0),0)</f>
        <v>0</v>
      </c>
      <c r="S20" s="61">
        <f>SUMIF('B1 - Matriz de custos diretos'!$B$3:$B$496,$B20,'B1 - Matriz de custos diretos'!$G$3:$G$496)*'A3 - Demanda Anual Agregada '!S22*IFERROR(VLOOKUP($B20,SN_UGC,28,0),0)</f>
        <v>0</v>
      </c>
      <c r="T20" s="61">
        <f>SUMIF('B1 - Matriz de custos diretos'!$B$3:$B$496,$B20,'B1 - Matriz de custos diretos'!$G$3:$G$496)*'A3 - Demanda Anual Agregada '!T22*IFERROR(VLOOKUP($B20,SN_UGC,28,0),0)</f>
        <v>0</v>
      </c>
      <c r="U20" s="61">
        <f>SUMIF('B1 - Matriz de custos diretos'!$B$3:$B$496,$B20,'B1 - Matriz de custos diretos'!$G$3:$G$496)*'A3 - Demanda Anual Agregada '!U22*IFERROR(VLOOKUP($B20,SN_UGC,28,0),0)</f>
        <v>0</v>
      </c>
      <c r="V20" s="61">
        <f>SUMIF('B1 - Matriz de custos diretos'!$B$3:$B$496,$B20,'B1 - Matriz de custos diretos'!$G$3:$G$496)*'A3 - Demanda Anual Agregada '!V22*IFERROR(VLOOKUP($B20,SN_UGC,28,0),0)</f>
        <v>0</v>
      </c>
      <c r="W20" s="61">
        <f>SUMIF('B1 - Matriz de custos diretos'!$B$3:$B$496,$B20,'B1 - Matriz de custos diretos'!$G$3:$G$496)*'A3 - Demanda Anual Agregada '!W22*IFERROR(VLOOKUP($B20,SN_UGC,28,0),0)</f>
        <v>0</v>
      </c>
      <c r="X20" s="61">
        <f>SUMIF('B1 - Matriz de custos diretos'!$B$3:$B$496,$B20,'B1 - Matriz de custos diretos'!$G$3:$G$496)*'A3 - Demanda Anual Agregada '!X22*IFERROR(VLOOKUP($B20,SN_UGC,28,0),0)</f>
        <v>0</v>
      </c>
      <c r="Y20" s="61">
        <f>SUMIF('B1 - Matriz de custos diretos'!$B$3:$B$496,$B20,'B1 - Matriz de custos diretos'!$G$3:$G$496)*'A3 - Demanda Anual Agregada '!Y22*IFERROR(VLOOKUP($B20,SN_UGC,28,0),0)</f>
        <v>0</v>
      </c>
      <c r="Z20" s="61">
        <f>SUMIF('B1 - Matriz de custos diretos'!$B$3:$B$496,$B20,'B1 - Matriz de custos diretos'!$G$3:$G$496)*'A3 - Demanda Anual Agregada '!Z22*IFERROR(VLOOKUP($B20,SN_UGC,28,0),0)</f>
        <v>0</v>
      </c>
      <c r="AA20" s="61">
        <f>SUMIF('B1 - Matriz de custos diretos'!$B$3:$B$496,$B20,'B1 - Matriz de custos diretos'!$G$3:$G$496)*'A3 - Demanda Anual Agregada '!AA22*IFERROR(VLOOKUP($B20,SN_UGC,28,0),0)</f>
        <v>0</v>
      </c>
      <c r="AB20" s="61">
        <f>SUMIF('B1 - Matriz de custos diretos'!$B$3:$B$496,$B20,'B1 - Matriz de custos diretos'!$G$3:$G$496)*'A3 - Demanda Anual Agregada '!AB22*IFERROR(VLOOKUP($B20,SN_UGC,28,0),0)</f>
        <v>0</v>
      </c>
      <c r="AC20" s="61">
        <f>SUMIF('B1 - Matriz de custos diretos'!$B$3:$B$496,$B20,'B1 - Matriz de custos diretos'!$G$3:$G$496)*'A3 - Demanda Anual Agregada '!AC22*IFERROR(VLOOKUP($B20,SN_UGC,28,0),0)</f>
        <v>0</v>
      </c>
      <c r="AD20" s="61">
        <f>SUMIF('B1 - Matriz de custos diretos'!$B$3:$B$496,$B20,'B1 - Matriz de custos diretos'!$G$3:$G$496)*'A3 - Demanda Anual Agregada '!AD22*IFERROR(VLOOKUP($B20,SN_UGC,28,0),0)</f>
        <v>0</v>
      </c>
      <c r="AE20" s="61">
        <f>SUMIF('B1 - Matriz de custos diretos'!$B$3:$B$496,$B20,'B1 - Matriz de custos diretos'!$G$3:$G$496)*'A3 - Demanda Anual Agregada '!AE22*IFERROR(VLOOKUP($B20,SN_UGC,28,0),0)</f>
        <v>0</v>
      </c>
      <c r="AF20" s="61">
        <f>SUMIF('B1 - Matriz de custos diretos'!$B$3:$B$496,$B20,'B1 - Matriz de custos diretos'!$G$3:$G$496)*'A3 - Demanda Anual Agregada '!AF22*IFERROR(VLOOKUP($B20,SN_UGC,28,0),0)</f>
        <v>0</v>
      </c>
    </row>
    <row r="21" spans="1:32" ht="15.75" customHeight="1">
      <c r="A21" s="292"/>
      <c r="B21" s="60" t="str">
        <f>'A3 - Demanda Anual Agregada '!B23</f>
        <v>Lagoa Grande - Estacionamento</v>
      </c>
      <c r="C21" s="61">
        <f>SUMIF('B1 - Matriz de custos diretos'!$B$3:$B$496,$B21,'B1 - Matriz de custos diretos'!$G$3:$G$496)*'A3 - Demanda Anual Agregada '!C23*IFERROR(VLOOKUP($B21,SN_UGC,28,0),0)</f>
        <v>0</v>
      </c>
      <c r="D21" s="61">
        <f>SUMIF('B1 - Matriz de custos diretos'!$B$3:$B$496,$B21,'B1 - Matriz de custos diretos'!$G$3:$G$496)*'A3 - Demanda Anual Agregada '!D23*IFERROR(VLOOKUP($B21,SN_UGC,28,0),0)</f>
        <v>0</v>
      </c>
      <c r="E21" s="61">
        <f>SUMIF('B1 - Matriz de custos diretos'!$B$3:$B$496,$B21,'B1 - Matriz de custos diretos'!$G$3:$G$496)*'A3 - Demanda Anual Agregada '!E23*IFERROR(VLOOKUP($B21,SN_UGC,28,0),0)</f>
        <v>0</v>
      </c>
      <c r="F21" s="61">
        <f>SUMIF('B1 - Matriz de custos diretos'!$B$3:$B$496,$B21,'B1 - Matriz de custos diretos'!$G$3:$G$496)*'A3 - Demanda Anual Agregada '!F23*IFERROR(VLOOKUP($B21,SN_UGC,28,0),0)</f>
        <v>0</v>
      </c>
      <c r="G21" s="61">
        <f>SUMIF('B1 - Matriz de custos diretos'!$B$3:$B$496,$B21,'B1 - Matriz de custos diretos'!$G$3:$G$496)*'A3 - Demanda Anual Agregada '!G23*IFERROR(VLOOKUP($B21,SN_UGC,28,0),0)</f>
        <v>0</v>
      </c>
      <c r="H21" s="61">
        <f>SUMIF('B1 - Matriz de custos diretos'!$B$3:$B$496,$B21,'B1 - Matriz de custos diretos'!$G$3:$G$496)*'A3 - Demanda Anual Agregada '!H23*IFERROR(VLOOKUP($B21,SN_UGC,28,0),0)</f>
        <v>0</v>
      </c>
      <c r="I21" s="61">
        <f>SUMIF('B1 - Matriz de custos diretos'!$B$3:$B$496,$B21,'B1 - Matriz de custos diretos'!$G$3:$G$496)*'A3 - Demanda Anual Agregada '!I23*IFERROR(VLOOKUP($B21,SN_UGC,28,0),0)</f>
        <v>0</v>
      </c>
      <c r="J21" s="61">
        <f>SUMIF('B1 - Matriz de custos diretos'!$B$3:$B$496,$B21,'B1 - Matriz de custos diretos'!$G$3:$G$496)*'A3 - Demanda Anual Agregada '!J23*IFERROR(VLOOKUP($B21,SN_UGC,28,0),0)</f>
        <v>0</v>
      </c>
      <c r="K21" s="61">
        <f>SUMIF('B1 - Matriz de custos diretos'!$B$3:$B$496,$B21,'B1 - Matriz de custos diretos'!$G$3:$G$496)*'A3 - Demanda Anual Agregada '!K23*IFERROR(VLOOKUP($B21,SN_UGC,28,0),0)</f>
        <v>0</v>
      </c>
      <c r="L21" s="61">
        <f>SUMIF('B1 - Matriz de custos diretos'!$B$3:$B$496,$B21,'B1 - Matriz de custos diretos'!$G$3:$G$496)*'A3 - Demanda Anual Agregada '!L23*IFERROR(VLOOKUP($B21,SN_UGC,28,0),0)</f>
        <v>0</v>
      </c>
      <c r="M21" s="61">
        <f>SUMIF('B1 - Matriz de custos diretos'!$B$3:$B$496,$B21,'B1 - Matriz de custos diretos'!$G$3:$G$496)*'A3 - Demanda Anual Agregada '!M23*IFERROR(VLOOKUP($B21,SN_UGC,28,0),0)</f>
        <v>0</v>
      </c>
      <c r="N21" s="61">
        <f>SUMIF('B1 - Matriz de custos diretos'!$B$3:$B$496,$B21,'B1 - Matriz de custos diretos'!$G$3:$G$496)*'A3 - Demanda Anual Agregada '!N23*IFERROR(VLOOKUP($B21,SN_UGC,28,0),0)</f>
        <v>0</v>
      </c>
      <c r="O21" s="61">
        <f>SUMIF('B1 - Matriz de custos diretos'!$B$3:$B$496,$B21,'B1 - Matriz de custos diretos'!$G$3:$G$496)*'A3 - Demanda Anual Agregada '!O23*IFERROR(VLOOKUP($B21,SN_UGC,28,0),0)</f>
        <v>0</v>
      </c>
      <c r="P21" s="61">
        <f>SUMIF('B1 - Matriz de custos diretos'!$B$3:$B$496,$B21,'B1 - Matriz de custos diretos'!$G$3:$G$496)*'A3 - Demanda Anual Agregada '!P23*IFERROR(VLOOKUP($B21,SN_UGC,28,0),0)</f>
        <v>0</v>
      </c>
      <c r="Q21" s="61">
        <f>SUMIF('B1 - Matriz de custos diretos'!$B$3:$B$496,$B21,'B1 - Matriz de custos diretos'!$G$3:$G$496)*'A3 - Demanda Anual Agregada '!Q23*IFERROR(VLOOKUP($B21,SN_UGC,28,0),0)</f>
        <v>0</v>
      </c>
      <c r="R21" s="61">
        <f>SUMIF('B1 - Matriz de custos diretos'!$B$3:$B$496,$B21,'B1 - Matriz de custos diretos'!$G$3:$G$496)*'A3 - Demanda Anual Agregada '!R23*IFERROR(VLOOKUP($B21,SN_UGC,28,0),0)</f>
        <v>0</v>
      </c>
      <c r="S21" s="61">
        <f>SUMIF('B1 - Matriz de custos diretos'!$B$3:$B$496,$B21,'B1 - Matriz de custos diretos'!$G$3:$G$496)*'A3 - Demanda Anual Agregada '!S23*IFERROR(VLOOKUP($B21,SN_UGC,28,0),0)</f>
        <v>0</v>
      </c>
      <c r="T21" s="61">
        <f>SUMIF('B1 - Matriz de custos diretos'!$B$3:$B$496,$B21,'B1 - Matriz de custos diretos'!$G$3:$G$496)*'A3 - Demanda Anual Agregada '!T23*IFERROR(VLOOKUP($B21,SN_UGC,28,0),0)</f>
        <v>0</v>
      </c>
      <c r="U21" s="61">
        <f>SUMIF('B1 - Matriz de custos diretos'!$B$3:$B$496,$B21,'B1 - Matriz de custos diretos'!$G$3:$G$496)*'A3 - Demanda Anual Agregada '!U23*IFERROR(VLOOKUP($B21,SN_UGC,28,0),0)</f>
        <v>0</v>
      </c>
      <c r="V21" s="61">
        <f>SUMIF('B1 - Matriz de custos diretos'!$B$3:$B$496,$B21,'B1 - Matriz de custos diretos'!$G$3:$G$496)*'A3 - Demanda Anual Agregada '!V23*IFERROR(VLOOKUP($B21,SN_UGC,28,0),0)</f>
        <v>0</v>
      </c>
      <c r="W21" s="61">
        <f>SUMIF('B1 - Matriz de custos diretos'!$B$3:$B$496,$B21,'B1 - Matriz de custos diretos'!$G$3:$G$496)*'A3 - Demanda Anual Agregada '!W23*IFERROR(VLOOKUP($B21,SN_UGC,28,0),0)</f>
        <v>0</v>
      </c>
      <c r="X21" s="61">
        <f>SUMIF('B1 - Matriz de custos diretos'!$B$3:$B$496,$B21,'B1 - Matriz de custos diretos'!$G$3:$G$496)*'A3 - Demanda Anual Agregada '!X23*IFERROR(VLOOKUP($B21,SN_UGC,28,0),0)</f>
        <v>0</v>
      </c>
      <c r="Y21" s="61">
        <f>SUMIF('B1 - Matriz de custos diretos'!$B$3:$B$496,$B21,'B1 - Matriz de custos diretos'!$G$3:$G$496)*'A3 - Demanda Anual Agregada '!Y23*IFERROR(VLOOKUP($B21,SN_UGC,28,0),0)</f>
        <v>0</v>
      </c>
      <c r="Z21" s="61">
        <f>SUMIF('B1 - Matriz de custos diretos'!$B$3:$B$496,$B21,'B1 - Matriz de custos diretos'!$G$3:$G$496)*'A3 - Demanda Anual Agregada '!Z23*IFERROR(VLOOKUP($B21,SN_UGC,28,0),0)</f>
        <v>0</v>
      </c>
      <c r="AA21" s="61">
        <f>SUMIF('B1 - Matriz de custos diretos'!$B$3:$B$496,$B21,'B1 - Matriz de custos diretos'!$G$3:$G$496)*'A3 - Demanda Anual Agregada '!AA23*IFERROR(VLOOKUP($B21,SN_UGC,28,0),0)</f>
        <v>0</v>
      </c>
      <c r="AB21" s="61">
        <f>SUMIF('B1 - Matriz de custos diretos'!$B$3:$B$496,$B21,'B1 - Matriz de custos diretos'!$G$3:$G$496)*'A3 - Demanda Anual Agregada '!AB23*IFERROR(VLOOKUP($B21,SN_UGC,28,0),0)</f>
        <v>0</v>
      </c>
      <c r="AC21" s="61">
        <f>SUMIF('B1 - Matriz de custos diretos'!$B$3:$B$496,$B21,'B1 - Matriz de custos diretos'!$G$3:$G$496)*'A3 - Demanda Anual Agregada '!AC23*IFERROR(VLOOKUP($B21,SN_UGC,28,0),0)</f>
        <v>0</v>
      </c>
      <c r="AD21" s="61">
        <f>SUMIF('B1 - Matriz de custos diretos'!$B$3:$B$496,$B21,'B1 - Matriz de custos diretos'!$G$3:$G$496)*'A3 - Demanda Anual Agregada '!AD23*IFERROR(VLOOKUP($B21,SN_UGC,28,0),0)</f>
        <v>0</v>
      </c>
      <c r="AE21" s="61">
        <f>SUMIF('B1 - Matriz de custos diretos'!$B$3:$B$496,$B21,'B1 - Matriz de custos diretos'!$G$3:$G$496)*'A3 - Demanda Anual Agregada '!AE23*IFERROR(VLOOKUP($B21,SN_UGC,28,0),0)</f>
        <v>0</v>
      </c>
      <c r="AF21" s="61">
        <f>SUMIF('B1 - Matriz de custos diretos'!$B$3:$B$496,$B21,'B1 - Matriz de custos diretos'!$G$3:$G$496)*'A3 - Demanda Anual Agregada '!AF23*IFERROR(VLOOKUP($B21,SN_UGC,28,0),0)</f>
        <v>0</v>
      </c>
    </row>
    <row r="22" spans="1:32" ht="15.75" customHeight="1">
      <c r="A22" s="292"/>
      <c r="B22" s="60" t="str">
        <f>'A3 - Demanda Anual Agregada '!B24</f>
        <v/>
      </c>
      <c r="C22" s="61">
        <f>SUMIF('B1 - Matriz de custos diretos'!$B$3:$B$496,$B22,'B1 - Matriz de custos diretos'!$G$3:$G$496)*'A3 - Demanda Anual Agregada '!C24*IFERROR(VLOOKUP($B22,SN_UGC,28,0),0)</f>
        <v>0</v>
      </c>
      <c r="D22" s="61">
        <f>SUMIF('B1 - Matriz de custos diretos'!$B$3:$B$496,$B22,'B1 - Matriz de custos diretos'!$G$3:$G$496)*'A3 - Demanda Anual Agregada '!D24*IFERROR(VLOOKUP($B22,SN_UGC,28,0),0)</f>
        <v>0</v>
      </c>
      <c r="E22" s="61">
        <f>SUMIF('B1 - Matriz de custos diretos'!$B$3:$B$496,$B22,'B1 - Matriz de custos diretos'!$G$3:$G$496)*'A3 - Demanda Anual Agregada '!E24*IFERROR(VLOOKUP($B22,SN_UGC,28,0),0)</f>
        <v>0</v>
      </c>
      <c r="F22" s="61">
        <f>SUMIF('B1 - Matriz de custos diretos'!$B$3:$B$496,$B22,'B1 - Matriz de custos diretos'!$G$3:$G$496)*'A3 - Demanda Anual Agregada '!F24*IFERROR(VLOOKUP($B22,SN_UGC,28,0),0)</f>
        <v>0</v>
      </c>
      <c r="G22" s="61">
        <f>SUMIF('B1 - Matriz de custos diretos'!$B$3:$B$496,$B22,'B1 - Matriz de custos diretos'!$G$3:$G$496)*'A3 - Demanda Anual Agregada '!G24*IFERROR(VLOOKUP($B22,SN_UGC,28,0),0)</f>
        <v>0</v>
      </c>
      <c r="H22" s="61">
        <f>SUMIF('B1 - Matriz de custos diretos'!$B$3:$B$496,$B22,'B1 - Matriz de custos diretos'!$G$3:$G$496)*'A3 - Demanda Anual Agregada '!H24*IFERROR(VLOOKUP($B22,SN_UGC,28,0),0)</f>
        <v>0</v>
      </c>
      <c r="I22" s="61">
        <f>SUMIF('B1 - Matriz de custos diretos'!$B$3:$B$496,$B22,'B1 - Matriz de custos diretos'!$G$3:$G$496)*'A3 - Demanda Anual Agregada '!I24*IFERROR(VLOOKUP($B22,SN_UGC,28,0),0)</f>
        <v>0</v>
      </c>
      <c r="J22" s="61">
        <f>SUMIF('B1 - Matriz de custos diretos'!$B$3:$B$496,$B22,'B1 - Matriz de custos diretos'!$G$3:$G$496)*'A3 - Demanda Anual Agregada '!J24*IFERROR(VLOOKUP($B22,SN_UGC,28,0),0)</f>
        <v>0</v>
      </c>
      <c r="K22" s="61">
        <f>SUMIF('B1 - Matriz de custos diretos'!$B$3:$B$496,$B22,'B1 - Matriz de custos diretos'!$G$3:$G$496)*'A3 - Demanda Anual Agregada '!K24*IFERROR(VLOOKUP($B22,SN_UGC,28,0),0)</f>
        <v>0</v>
      </c>
      <c r="L22" s="61">
        <f>SUMIF('B1 - Matriz de custos diretos'!$B$3:$B$496,$B22,'B1 - Matriz de custos diretos'!$G$3:$G$496)*'A3 - Demanda Anual Agregada '!L24*IFERROR(VLOOKUP($B22,SN_UGC,28,0),0)</f>
        <v>0</v>
      </c>
      <c r="M22" s="61">
        <f>SUMIF('B1 - Matriz de custos diretos'!$B$3:$B$496,$B22,'B1 - Matriz de custos diretos'!$G$3:$G$496)*'A3 - Demanda Anual Agregada '!M24*IFERROR(VLOOKUP($B22,SN_UGC,28,0),0)</f>
        <v>0</v>
      </c>
      <c r="N22" s="61">
        <f>SUMIF('B1 - Matriz de custos diretos'!$B$3:$B$496,$B22,'B1 - Matriz de custos diretos'!$G$3:$G$496)*'A3 - Demanda Anual Agregada '!N24*IFERROR(VLOOKUP($B22,SN_UGC,28,0),0)</f>
        <v>0</v>
      </c>
      <c r="O22" s="61">
        <f>SUMIF('B1 - Matriz de custos diretos'!$B$3:$B$496,$B22,'B1 - Matriz de custos diretos'!$G$3:$G$496)*'A3 - Demanda Anual Agregada '!O24*IFERROR(VLOOKUP($B22,SN_UGC,28,0),0)</f>
        <v>0</v>
      </c>
      <c r="P22" s="61">
        <f>SUMIF('B1 - Matriz de custos diretos'!$B$3:$B$496,$B22,'B1 - Matriz de custos diretos'!$G$3:$G$496)*'A3 - Demanda Anual Agregada '!P24*IFERROR(VLOOKUP($B22,SN_UGC,28,0),0)</f>
        <v>0</v>
      </c>
      <c r="Q22" s="61">
        <f>SUMIF('B1 - Matriz de custos diretos'!$B$3:$B$496,$B22,'B1 - Matriz de custos diretos'!$G$3:$G$496)*'A3 - Demanda Anual Agregada '!Q24*IFERROR(VLOOKUP($B22,SN_UGC,28,0),0)</f>
        <v>0</v>
      </c>
      <c r="R22" s="61">
        <f>SUMIF('B1 - Matriz de custos diretos'!$B$3:$B$496,$B22,'B1 - Matriz de custos diretos'!$G$3:$G$496)*'A3 - Demanda Anual Agregada '!R24*IFERROR(VLOOKUP($B22,SN_UGC,28,0),0)</f>
        <v>0</v>
      </c>
      <c r="S22" s="61">
        <f>SUMIF('B1 - Matriz de custos diretos'!$B$3:$B$496,$B22,'B1 - Matriz de custos diretos'!$G$3:$G$496)*'A3 - Demanda Anual Agregada '!S24*IFERROR(VLOOKUP($B22,SN_UGC,28,0),0)</f>
        <v>0</v>
      </c>
      <c r="T22" s="61">
        <f>SUMIF('B1 - Matriz de custos diretos'!$B$3:$B$496,$B22,'B1 - Matriz de custos diretos'!$G$3:$G$496)*'A3 - Demanda Anual Agregada '!T24*IFERROR(VLOOKUP($B22,SN_UGC,28,0),0)</f>
        <v>0</v>
      </c>
      <c r="U22" s="61">
        <f>SUMIF('B1 - Matriz de custos diretos'!$B$3:$B$496,$B22,'B1 - Matriz de custos diretos'!$G$3:$G$496)*'A3 - Demanda Anual Agregada '!U24*IFERROR(VLOOKUP($B22,SN_UGC,28,0),0)</f>
        <v>0</v>
      </c>
      <c r="V22" s="61">
        <f>SUMIF('B1 - Matriz de custos diretos'!$B$3:$B$496,$B22,'B1 - Matriz de custos diretos'!$G$3:$G$496)*'A3 - Demanda Anual Agregada '!V24*IFERROR(VLOOKUP($B22,SN_UGC,28,0),0)</f>
        <v>0</v>
      </c>
      <c r="W22" s="61">
        <f>SUMIF('B1 - Matriz de custos diretos'!$B$3:$B$496,$B22,'B1 - Matriz de custos diretos'!$G$3:$G$496)*'A3 - Demanda Anual Agregada '!W24*IFERROR(VLOOKUP($B22,SN_UGC,28,0),0)</f>
        <v>0</v>
      </c>
      <c r="X22" s="61">
        <f>SUMIF('B1 - Matriz de custos diretos'!$B$3:$B$496,$B22,'B1 - Matriz de custos diretos'!$G$3:$G$496)*'A3 - Demanda Anual Agregada '!X24*IFERROR(VLOOKUP($B22,SN_UGC,28,0),0)</f>
        <v>0</v>
      </c>
      <c r="Y22" s="61">
        <f>SUMIF('B1 - Matriz de custos diretos'!$B$3:$B$496,$B22,'B1 - Matriz de custos diretos'!$G$3:$G$496)*'A3 - Demanda Anual Agregada '!Y24*IFERROR(VLOOKUP($B22,SN_UGC,28,0),0)</f>
        <v>0</v>
      </c>
      <c r="Z22" s="61">
        <f>SUMIF('B1 - Matriz de custos diretos'!$B$3:$B$496,$B22,'B1 - Matriz de custos diretos'!$G$3:$G$496)*'A3 - Demanda Anual Agregada '!Z24*IFERROR(VLOOKUP($B22,SN_UGC,28,0),0)</f>
        <v>0</v>
      </c>
      <c r="AA22" s="61">
        <f>SUMIF('B1 - Matriz de custos diretos'!$B$3:$B$496,$B22,'B1 - Matriz de custos diretos'!$G$3:$G$496)*'A3 - Demanda Anual Agregada '!AA24*IFERROR(VLOOKUP($B22,SN_UGC,28,0),0)</f>
        <v>0</v>
      </c>
      <c r="AB22" s="61">
        <f>SUMIF('B1 - Matriz de custos diretos'!$B$3:$B$496,$B22,'B1 - Matriz de custos diretos'!$G$3:$G$496)*'A3 - Demanda Anual Agregada '!AB24*IFERROR(VLOOKUP($B22,SN_UGC,28,0),0)</f>
        <v>0</v>
      </c>
      <c r="AC22" s="61">
        <f>SUMIF('B1 - Matriz de custos diretos'!$B$3:$B$496,$B22,'B1 - Matriz de custos diretos'!$G$3:$G$496)*'A3 - Demanda Anual Agregada '!AC24*IFERROR(VLOOKUP($B22,SN_UGC,28,0),0)</f>
        <v>0</v>
      </c>
      <c r="AD22" s="61">
        <f>SUMIF('B1 - Matriz de custos diretos'!$B$3:$B$496,$B22,'B1 - Matriz de custos diretos'!$G$3:$G$496)*'A3 - Demanda Anual Agregada '!AD24*IFERROR(VLOOKUP($B22,SN_UGC,28,0),0)</f>
        <v>0</v>
      </c>
      <c r="AE22" s="61">
        <f>SUMIF('B1 - Matriz de custos diretos'!$B$3:$B$496,$B22,'B1 - Matriz de custos diretos'!$G$3:$G$496)*'A3 - Demanda Anual Agregada '!AE24*IFERROR(VLOOKUP($B22,SN_UGC,28,0),0)</f>
        <v>0</v>
      </c>
      <c r="AF22" s="61">
        <f>SUMIF('B1 - Matriz de custos diretos'!$B$3:$B$496,$B22,'B1 - Matriz de custos diretos'!$G$3:$G$496)*'A3 - Demanda Anual Agregada '!AF24*IFERROR(VLOOKUP($B22,SN_UGC,28,0),0)</f>
        <v>0</v>
      </c>
    </row>
    <row r="23" spans="1:32" ht="15.75" customHeight="1">
      <c r="A23" s="292"/>
      <c r="B23" s="60" t="str">
        <f>'A3 - Demanda Anual Agregada '!B25</f>
        <v/>
      </c>
      <c r="C23" s="61">
        <f>SUMIF('B1 - Matriz de custos diretos'!$B$3:$B$496,$B23,'B1 - Matriz de custos diretos'!$G$3:$G$496)*'A3 - Demanda Anual Agregada '!C25*IFERROR(VLOOKUP($B23,SN_UGC,28,0),0)</f>
        <v>0</v>
      </c>
      <c r="D23" s="61">
        <f>SUMIF('B1 - Matriz de custos diretos'!$B$3:$B$496,$B23,'B1 - Matriz de custos diretos'!$G$3:$G$496)*'A3 - Demanda Anual Agregada '!D25*IFERROR(VLOOKUP($B23,SN_UGC,28,0),0)</f>
        <v>0</v>
      </c>
      <c r="E23" s="61">
        <f>SUMIF('B1 - Matriz de custos diretos'!$B$3:$B$496,$B23,'B1 - Matriz de custos diretos'!$G$3:$G$496)*'A3 - Demanda Anual Agregada '!E25*IFERROR(VLOOKUP($B23,SN_UGC,28,0),0)</f>
        <v>0</v>
      </c>
      <c r="F23" s="61">
        <f>SUMIF('B1 - Matriz de custos diretos'!$B$3:$B$496,$B23,'B1 - Matriz de custos diretos'!$G$3:$G$496)*'A3 - Demanda Anual Agregada '!F25*IFERROR(VLOOKUP($B23,SN_UGC,28,0),0)</f>
        <v>0</v>
      </c>
      <c r="G23" s="61">
        <f>SUMIF('B1 - Matriz de custos diretos'!$B$3:$B$496,$B23,'B1 - Matriz de custos diretos'!$G$3:$G$496)*'A3 - Demanda Anual Agregada '!G25*IFERROR(VLOOKUP($B23,SN_UGC,28,0),0)</f>
        <v>0</v>
      </c>
      <c r="H23" s="61">
        <f>SUMIF('B1 - Matriz de custos diretos'!$B$3:$B$496,$B23,'B1 - Matriz de custos diretos'!$G$3:$G$496)*'A3 - Demanda Anual Agregada '!H25*IFERROR(VLOOKUP($B23,SN_UGC,28,0),0)</f>
        <v>0</v>
      </c>
      <c r="I23" s="61">
        <f>SUMIF('B1 - Matriz de custos diretos'!$B$3:$B$496,$B23,'B1 - Matriz de custos diretos'!$G$3:$G$496)*'A3 - Demanda Anual Agregada '!I25*IFERROR(VLOOKUP($B23,SN_UGC,28,0),0)</f>
        <v>0</v>
      </c>
      <c r="J23" s="61">
        <f>SUMIF('B1 - Matriz de custos diretos'!$B$3:$B$496,$B23,'B1 - Matriz de custos diretos'!$G$3:$G$496)*'A3 - Demanda Anual Agregada '!J25*IFERROR(VLOOKUP($B23,SN_UGC,28,0),0)</f>
        <v>0</v>
      </c>
      <c r="K23" s="61">
        <f>SUMIF('B1 - Matriz de custos diretos'!$B$3:$B$496,$B23,'B1 - Matriz de custos diretos'!$G$3:$G$496)*'A3 - Demanda Anual Agregada '!K25*IFERROR(VLOOKUP($B23,SN_UGC,28,0),0)</f>
        <v>0</v>
      </c>
      <c r="L23" s="61">
        <f>SUMIF('B1 - Matriz de custos diretos'!$B$3:$B$496,$B23,'B1 - Matriz de custos diretos'!$G$3:$G$496)*'A3 - Demanda Anual Agregada '!L25*IFERROR(VLOOKUP($B23,SN_UGC,28,0),0)</f>
        <v>0</v>
      </c>
      <c r="M23" s="61">
        <f>SUMIF('B1 - Matriz de custos diretos'!$B$3:$B$496,$B23,'B1 - Matriz de custos diretos'!$G$3:$G$496)*'A3 - Demanda Anual Agregada '!M25*IFERROR(VLOOKUP($B23,SN_UGC,28,0),0)</f>
        <v>0</v>
      </c>
      <c r="N23" s="61">
        <f>SUMIF('B1 - Matriz de custos diretos'!$B$3:$B$496,$B23,'B1 - Matriz de custos diretos'!$G$3:$G$496)*'A3 - Demanda Anual Agregada '!N25*IFERROR(VLOOKUP($B23,SN_UGC,28,0),0)</f>
        <v>0</v>
      </c>
      <c r="O23" s="61">
        <f>SUMIF('B1 - Matriz de custos diretos'!$B$3:$B$496,$B23,'B1 - Matriz de custos diretos'!$G$3:$G$496)*'A3 - Demanda Anual Agregada '!O25*IFERROR(VLOOKUP($B23,SN_UGC,28,0),0)</f>
        <v>0</v>
      </c>
      <c r="P23" s="61">
        <f>SUMIF('B1 - Matriz de custos diretos'!$B$3:$B$496,$B23,'B1 - Matriz de custos diretos'!$G$3:$G$496)*'A3 - Demanda Anual Agregada '!P25*IFERROR(VLOOKUP($B23,SN_UGC,28,0),0)</f>
        <v>0</v>
      </c>
      <c r="Q23" s="61">
        <f>SUMIF('B1 - Matriz de custos diretos'!$B$3:$B$496,$B23,'B1 - Matriz de custos diretos'!$G$3:$G$496)*'A3 - Demanda Anual Agregada '!Q25*IFERROR(VLOOKUP($B23,SN_UGC,28,0),0)</f>
        <v>0</v>
      </c>
      <c r="R23" s="61">
        <f>SUMIF('B1 - Matriz de custos diretos'!$B$3:$B$496,$B23,'B1 - Matriz de custos diretos'!$G$3:$G$496)*'A3 - Demanda Anual Agregada '!R25*IFERROR(VLOOKUP($B23,SN_UGC,28,0),0)</f>
        <v>0</v>
      </c>
      <c r="S23" s="61">
        <f>SUMIF('B1 - Matriz de custos diretos'!$B$3:$B$496,$B23,'B1 - Matriz de custos diretos'!$G$3:$G$496)*'A3 - Demanda Anual Agregada '!S25*IFERROR(VLOOKUP($B23,SN_UGC,28,0),0)</f>
        <v>0</v>
      </c>
      <c r="T23" s="61">
        <f>SUMIF('B1 - Matriz de custos diretos'!$B$3:$B$496,$B23,'B1 - Matriz de custos diretos'!$G$3:$G$496)*'A3 - Demanda Anual Agregada '!T25*IFERROR(VLOOKUP($B23,SN_UGC,28,0),0)</f>
        <v>0</v>
      </c>
      <c r="U23" s="61">
        <f>SUMIF('B1 - Matriz de custos diretos'!$B$3:$B$496,$B23,'B1 - Matriz de custos diretos'!$G$3:$G$496)*'A3 - Demanda Anual Agregada '!U25*IFERROR(VLOOKUP($B23,SN_UGC,28,0),0)</f>
        <v>0</v>
      </c>
      <c r="V23" s="61">
        <f>SUMIF('B1 - Matriz de custos diretos'!$B$3:$B$496,$B23,'B1 - Matriz de custos diretos'!$G$3:$G$496)*'A3 - Demanda Anual Agregada '!V25*IFERROR(VLOOKUP($B23,SN_UGC,28,0),0)</f>
        <v>0</v>
      </c>
      <c r="W23" s="61">
        <f>SUMIF('B1 - Matriz de custos diretos'!$B$3:$B$496,$B23,'B1 - Matriz de custos diretos'!$G$3:$G$496)*'A3 - Demanda Anual Agregada '!W25*IFERROR(VLOOKUP($B23,SN_UGC,28,0),0)</f>
        <v>0</v>
      </c>
      <c r="X23" s="61">
        <f>SUMIF('B1 - Matriz de custos diretos'!$B$3:$B$496,$B23,'B1 - Matriz de custos diretos'!$G$3:$G$496)*'A3 - Demanda Anual Agregada '!X25*IFERROR(VLOOKUP($B23,SN_UGC,28,0),0)</f>
        <v>0</v>
      </c>
      <c r="Y23" s="61">
        <f>SUMIF('B1 - Matriz de custos diretos'!$B$3:$B$496,$B23,'B1 - Matriz de custos diretos'!$G$3:$G$496)*'A3 - Demanda Anual Agregada '!Y25*IFERROR(VLOOKUP($B23,SN_UGC,28,0),0)</f>
        <v>0</v>
      </c>
      <c r="Z23" s="61">
        <f>SUMIF('B1 - Matriz de custos diretos'!$B$3:$B$496,$B23,'B1 - Matriz de custos diretos'!$G$3:$G$496)*'A3 - Demanda Anual Agregada '!Z25*IFERROR(VLOOKUP($B23,SN_UGC,28,0),0)</f>
        <v>0</v>
      </c>
      <c r="AA23" s="61">
        <f>SUMIF('B1 - Matriz de custos diretos'!$B$3:$B$496,$B23,'B1 - Matriz de custos diretos'!$G$3:$G$496)*'A3 - Demanda Anual Agregada '!AA25*IFERROR(VLOOKUP($B23,SN_UGC,28,0),0)</f>
        <v>0</v>
      </c>
      <c r="AB23" s="61">
        <f>SUMIF('B1 - Matriz de custos diretos'!$B$3:$B$496,$B23,'B1 - Matriz de custos diretos'!$G$3:$G$496)*'A3 - Demanda Anual Agregada '!AB25*IFERROR(VLOOKUP($B23,SN_UGC,28,0),0)</f>
        <v>0</v>
      </c>
      <c r="AC23" s="61">
        <f>SUMIF('B1 - Matriz de custos diretos'!$B$3:$B$496,$B23,'B1 - Matriz de custos diretos'!$G$3:$G$496)*'A3 - Demanda Anual Agregada '!AC25*IFERROR(VLOOKUP($B23,SN_UGC,28,0),0)</f>
        <v>0</v>
      </c>
      <c r="AD23" s="61">
        <f>SUMIF('B1 - Matriz de custos diretos'!$B$3:$B$496,$B23,'B1 - Matriz de custos diretos'!$G$3:$G$496)*'A3 - Demanda Anual Agregada '!AD25*IFERROR(VLOOKUP($B23,SN_UGC,28,0),0)</f>
        <v>0</v>
      </c>
      <c r="AE23" s="61">
        <f>SUMIF('B1 - Matriz de custos diretos'!$B$3:$B$496,$B23,'B1 - Matriz de custos diretos'!$G$3:$G$496)*'A3 - Demanda Anual Agregada '!AE25*IFERROR(VLOOKUP($B23,SN_UGC,28,0),0)</f>
        <v>0</v>
      </c>
      <c r="AF23" s="61">
        <f>SUMIF('B1 - Matriz de custos diretos'!$B$3:$B$496,$B23,'B1 - Matriz de custos diretos'!$G$3:$G$496)*'A3 - Demanda Anual Agregada '!AF25*IFERROR(VLOOKUP($B23,SN_UGC,28,0),0)</f>
        <v>0</v>
      </c>
    </row>
    <row r="24" spans="1:32" ht="21.75" customHeight="1">
      <c r="A24" s="292"/>
      <c r="B24" s="464" t="s">
        <v>52</v>
      </c>
      <c r="C24" s="547">
        <f t="shared" ref="C24:AF24" si="0">SUM(C4:C23)</f>
        <v>956971.05</v>
      </c>
      <c r="D24" s="547">
        <f t="shared" si="0"/>
        <v>5326802.33</v>
      </c>
      <c r="E24" s="547">
        <f t="shared" si="0"/>
        <v>5510579.9299999997</v>
      </c>
      <c r="F24" s="547">
        <f t="shared" si="0"/>
        <v>5688525.9399999995</v>
      </c>
      <c r="G24" s="547">
        <f t="shared" si="0"/>
        <v>5869281.3700000001</v>
      </c>
      <c r="H24" s="547">
        <f t="shared" si="0"/>
        <v>6053222.3200000003</v>
      </c>
      <c r="I24" s="547">
        <f t="shared" si="0"/>
        <v>6242435.2599999998</v>
      </c>
      <c r="J24" s="547">
        <f t="shared" si="0"/>
        <v>6437082.6299999999</v>
      </c>
      <c r="K24" s="547">
        <f t="shared" si="0"/>
        <v>6635313.5999999996</v>
      </c>
      <c r="L24" s="547">
        <f t="shared" si="0"/>
        <v>6837143.7300000004</v>
      </c>
      <c r="M24" s="547">
        <f t="shared" si="0"/>
        <v>7045387.9199999999</v>
      </c>
      <c r="N24" s="547">
        <f t="shared" si="0"/>
        <v>7259865.8900000006</v>
      </c>
      <c r="O24" s="547">
        <f t="shared" si="0"/>
        <v>7481146.3900000006</v>
      </c>
      <c r="P24" s="547">
        <f t="shared" si="0"/>
        <v>7709158.0300000003</v>
      </c>
      <c r="Q24" s="547">
        <f t="shared" si="0"/>
        <v>7944001.0300000003</v>
      </c>
      <c r="R24" s="547">
        <f t="shared" si="0"/>
        <v>8185262.6699999999</v>
      </c>
      <c r="S24" s="547">
        <f t="shared" si="0"/>
        <v>8432671.1500000004</v>
      </c>
      <c r="T24" s="547">
        <f t="shared" si="0"/>
        <v>8685409.7300000004</v>
      </c>
      <c r="U24" s="547">
        <f t="shared" si="0"/>
        <v>8942758.6799999997</v>
      </c>
      <c r="V24" s="547">
        <f t="shared" si="0"/>
        <v>9203496.3100000005</v>
      </c>
      <c r="W24" s="547">
        <f t="shared" si="0"/>
        <v>9203496.3100000005</v>
      </c>
      <c r="X24" s="547">
        <f t="shared" si="0"/>
        <v>9203496.3100000005</v>
      </c>
      <c r="Y24" s="547">
        <f t="shared" si="0"/>
        <v>9203496.3100000005</v>
      </c>
      <c r="Z24" s="547">
        <f t="shared" si="0"/>
        <v>9203496.3100000005</v>
      </c>
      <c r="AA24" s="547">
        <f t="shared" si="0"/>
        <v>9203496.3100000005</v>
      </c>
      <c r="AB24" s="547">
        <f t="shared" si="0"/>
        <v>9203496.3100000005</v>
      </c>
      <c r="AC24" s="547">
        <f t="shared" si="0"/>
        <v>9203496.3100000005</v>
      </c>
      <c r="AD24" s="547">
        <f t="shared" si="0"/>
        <v>9203496.3100000005</v>
      </c>
      <c r="AE24" s="547">
        <f t="shared" si="0"/>
        <v>9203496.3100000005</v>
      </c>
      <c r="AF24" s="547">
        <f t="shared" si="0"/>
        <v>9203496.3100000005</v>
      </c>
    </row>
    <row r="25" spans="1:32" ht="15.75" customHeight="1">
      <c r="A25" s="292"/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292"/>
      <c r="O25" s="292"/>
      <c r="P25" s="292"/>
      <c r="Q25" s="292"/>
      <c r="R25" s="292"/>
      <c r="S25" s="292"/>
      <c r="T25" s="292"/>
      <c r="U25" s="292"/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</row>
    <row r="26" spans="1:32" ht="15.75" customHeight="1">
      <c r="A26" s="292"/>
      <c r="B26" s="538" t="s">
        <v>182</v>
      </c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  <c r="N26" s="292"/>
      <c r="O26" s="292"/>
      <c r="P26" s="292"/>
      <c r="Q26" s="292"/>
      <c r="R26" s="292"/>
      <c r="S26" s="292"/>
      <c r="T26" s="292"/>
      <c r="U26" s="292"/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</row>
    <row r="27" spans="1:32" ht="15.75" customHeight="1">
      <c r="A27" s="292"/>
      <c r="B27" s="769" t="s">
        <v>146</v>
      </c>
      <c r="C27" s="771" t="s">
        <v>147</v>
      </c>
      <c r="D27" s="813"/>
      <c r="E27" s="813"/>
      <c r="F27" s="813"/>
      <c r="G27" s="813"/>
      <c r="H27" s="813"/>
      <c r="I27" s="813"/>
      <c r="J27" s="813"/>
      <c r="K27" s="813"/>
      <c r="L27" s="813"/>
      <c r="M27" s="813"/>
      <c r="N27" s="813"/>
      <c r="O27" s="813"/>
      <c r="P27" s="813"/>
      <c r="Q27" s="813"/>
      <c r="R27" s="813"/>
      <c r="S27" s="813"/>
      <c r="T27" s="813"/>
      <c r="U27" s="813"/>
      <c r="V27" s="813"/>
      <c r="W27" s="813"/>
      <c r="X27" s="813"/>
      <c r="Y27" s="813"/>
      <c r="Z27" s="813"/>
      <c r="AA27" s="813"/>
      <c r="AB27" s="813"/>
      <c r="AC27" s="813"/>
      <c r="AD27" s="813"/>
      <c r="AE27" s="813"/>
      <c r="AF27" s="813"/>
    </row>
    <row r="28" spans="1:32" ht="15.75" customHeight="1">
      <c r="A28" s="292"/>
      <c r="B28" s="820"/>
      <c r="C28" s="546">
        <v>1</v>
      </c>
      <c r="D28" s="546">
        <v>2</v>
      </c>
      <c r="E28" s="546">
        <v>3</v>
      </c>
      <c r="F28" s="546">
        <v>4</v>
      </c>
      <c r="G28" s="546">
        <v>5</v>
      </c>
      <c r="H28" s="546">
        <v>6</v>
      </c>
      <c r="I28" s="546">
        <v>7</v>
      </c>
      <c r="J28" s="546">
        <v>8</v>
      </c>
      <c r="K28" s="546">
        <v>9</v>
      </c>
      <c r="L28" s="546">
        <v>10</v>
      </c>
      <c r="M28" s="546">
        <v>11</v>
      </c>
      <c r="N28" s="546">
        <v>12</v>
      </c>
      <c r="O28" s="546">
        <v>13</v>
      </c>
      <c r="P28" s="546">
        <v>14</v>
      </c>
      <c r="Q28" s="546">
        <v>15</v>
      </c>
      <c r="R28" s="546">
        <v>16</v>
      </c>
      <c r="S28" s="546">
        <v>17</v>
      </c>
      <c r="T28" s="546">
        <v>18</v>
      </c>
      <c r="U28" s="546">
        <v>19</v>
      </c>
      <c r="V28" s="546">
        <v>20</v>
      </c>
      <c r="W28" s="546">
        <v>21</v>
      </c>
      <c r="X28" s="546">
        <v>22</v>
      </c>
      <c r="Y28" s="546">
        <v>23</v>
      </c>
      <c r="Z28" s="546">
        <v>24</v>
      </c>
      <c r="AA28" s="546">
        <v>25</v>
      </c>
      <c r="AB28" s="546">
        <v>26</v>
      </c>
      <c r="AC28" s="546">
        <v>27</v>
      </c>
      <c r="AD28" s="546">
        <v>28</v>
      </c>
      <c r="AE28" s="546">
        <v>29</v>
      </c>
      <c r="AF28" s="546">
        <v>30</v>
      </c>
    </row>
    <row r="29" spans="1:32" ht="15.75" customHeight="1">
      <c r="A29" s="292"/>
      <c r="B29" s="60" t="str">
        <f>'A3 - Demanda Anual Agregada '!B6</f>
        <v>Ingresso</v>
      </c>
      <c r="C29" s="61">
        <f>SUMIFS('B1 - Matriz de custos diretos'!$G$3:$G$496,'B1 - Matriz de custos diretos'!$B$3:$B$496,$B29,'B1 - Matriz de custos diretos'!$C$3:$C$496,"Materiais")*'A3 - Demanda Anual Agregada '!C6</f>
        <v>434036.05</v>
      </c>
      <c r="D29" s="61">
        <f>SUMIFS('B1 - Matriz de custos diretos'!$G$3:$G$496,'B1 - Matriz de custos diretos'!$B$3:$B$496,$B29,'B1 - Matriz de custos diretos'!$C$3:$C$496,"Materiais")*'A3 - Demanda Anual Agregada '!D6</f>
        <v>898019.33</v>
      </c>
      <c r="E29" s="61">
        <f>SUMIFS('B1 - Matriz de custos diretos'!$G$3:$G$496,'B1 - Matriz de custos diretos'!$B$3:$B$496,$B29,'B1 - Matriz de custos diretos'!$C$3:$C$496,"Materiais")*'A3 - Demanda Anual Agregada '!E6</f>
        <v>928994.92999999993</v>
      </c>
      <c r="F29" s="61">
        <f>SUMIFS('B1 - Matriz de custos diretos'!$G$3:$G$496,'B1 - Matriz de custos diretos'!$B$3:$B$496,$B29,'B1 - Matriz de custos diretos'!$C$3:$C$496,"Materiais")*'A3 - Demanda Anual Agregada '!F6</f>
        <v>958996.94</v>
      </c>
      <c r="G29" s="61">
        <f>SUMIFS('B1 - Matriz de custos diretos'!$G$3:$G$496,'B1 - Matriz de custos diretos'!$B$3:$B$496,$B29,'B1 - Matriz de custos diretos'!$C$3:$C$496,"Materiais")*'A3 - Demanda Anual Agregada '!G6</f>
        <v>989475.37</v>
      </c>
      <c r="H29" s="61">
        <f>SUMIFS('B1 - Matriz de custos diretos'!$G$3:$G$496,'B1 - Matriz de custos diretos'!$B$3:$B$496,$B29,'B1 - Matriz de custos diretos'!$C$3:$C$496,"Materiais")*'A3 - Demanda Anual Agregada '!H6</f>
        <v>1020488.32</v>
      </c>
      <c r="I29" s="61">
        <f>SUMIFS('B1 - Matriz de custos diretos'!$G$3:$G$496,'B1 - Matriz de custos diretos'!$B$3:$B$496,$B29,'B1 - Matriz de custos diretos'!$C$3:$C$496,"Materiais")*'A3 - Demanda Anual Agregada '!I6</f>
        <v>1052375.26</v>
      </c>
      <c r="J29" s="61">
        <f>SUMIFS('B1 - Matriz de custos diretos'!$G$3:$G$496,'B1 - Matriz de custos diretos'!$B$3:$B$496,$B29,'B1 - Matriz de custos diretos'!$C$3:$C$496,"Materiais")*'A3 - Demanda Anual Agregada '!J6</f>
        <v>1085192.6299999999</v>
      </c>
      <c r="K29" s="61">
        <f>SUMIFS('B1 - Matriz de custos diretos'!$G$3:$G$496,'B1 - Matriz de custos diretos'!$B$3:$B$496,$B29,'B1 - Matriz de custos diretos'!$C$3:$C$496,"Materiais")*'A3 - Demanda Anual Agregada '!K6</f>
        <v>1118607.5999999999</v>
      </c>
      <c r="L29" s="61">
        <f>SUMIFS('B1 - Matriz de custos diretos'!$G$3:$G$496,'B1 - Matriz de custos diretos'!$B$3:$B$496,$B29,'B1 - Matriz de custos diretos'!$C$3:$C$496,"Materiais")*'A3 - Demanda Anual Agregada '!L6</f>
        <v>1152646.73</v>
      </c>
      <c r="M29" s="61">
        <f>SUMIFS('B1 - Matriz de custos diretos'!$G$3:$G$496,'B1 - Matriz de custos diretos'!$B$3:$B$496,$B29,'B1 - Matriz de custos diretos'!$C$3:$C$496,"Materiais")*'A3 - Demanda Anual Agregada '!M6</f>
        <v>1187749.92</v>
      </c>
      <c r="N29" s="61">
        <f>SUMIFS('B1 - Matriz de custos diretos'!$G$3:$G$496,'B1 - Matriz de custos diretos'!$B$3:$B$496,$B29,'B1 - Matriz de custos diretos'!$C$3:$C$496,"Materiais")*'A3 - Demanda Anual Agregada '!N6</f>
        <v>1223903.8899999999</v>
      </c>
      <c r="O29" s="61">
        <f>SUMIFS('B1 - Matriz de custos diretos'!$G$3:$G$496,'B1 - Matriz de custos diretos'!$B$3:$B$496,$B29,'B1 - Matriz de custos diretos'!$C$3:$C$496,"Materiais")*'A3 - Demanda Anual Agregada '!O6</f>
        <v>1261212.3899999999</v>
      </c>
      <c r="P29" s="61">
        <f>SUMIFS('B1 - Matriz de custos diretos'!$G$3:$G$496,'B1 - Matriz de custos diretos'!$B$3:$B$496,$B29,'B1 - Matriz de custos diretos'!$C$3:$C$496,"Materiais")*'A3 - Demanda Anual Agregada '!P6</f>
        <v>1299648.03</v>
      </c>
      <c r="Q29" s="61">
        <f>SUMIFS('B1 - Matriz de custos diretos'!$G$3:$G$496,'B1 - Matriz de custos diretos'!$B$3:$B$496,$B29,'B1 - Matriz de custos diretos'!$C$3:$C$496,"Materiais")*'A3 - Demanda Anual Agregada '!Q6</f>
        <v>1339239.03</v>
      </c>
      <c r="R29" s="61">
        <f>SUMIFS('B1 - Matriz de custos diretos'!$G$3:$G$496,'B1 - Matriz de custos diretos'!$B$3:$B$496,$B29,'B1 - Matriz de custos diretos'!$C$3:$C$496,"Materiais")*'A3 - Demanda Anual Agregada '!R6</f>
        <v>1379915.67</v>
      </c>
      <c r="S29" s="61">
        <f>SUMIFS('B1 - Matriz de custos diretos'!$G$3:$G$496,'B1 - Matriz de custos diretos'!$B$3:$B$496,$B29,'B1 - Matriz de custos diretos'!$C$3:$C$496,"Materiais")*'A3 - Demanda Anual Agregada '!S6</f>
        <v>1421628.15</v>
      </c>
      <c r="T29" s="61">
        <f>SUMIFS('B1 - Matriz de custos diretos'!$G$3:$G$496,'B1 - Matriz de custos diretos'!$B$3:$B$496,$B29,'B1 - Matriz de custos diretos'!$C$3:$C$496,"Materiais")*'A3 - Demanda Anual Agregada '!T6</f>
        <v>1464228.73</v>
      </c>
      <c r="U29" s="61">
        <f>SUMIFS('B1 - Matriz de custos diretos'!$G$3:$G$496,'B1 - Matriz de custos diretos'!$B$3:$B$496,$B29,'B1 - Matriz de custos diretos'!$C$3:$C$496,"Materiais")*'A3 - Demanda Anual Agregada '!U6</f>
        <v>1507608.68</v>
      </c>
      <c r="V29" s="61">
        <f>SUMIFS('B1 - Matriz de custos diretos'!$G$3:$G$496,'B1 - Matriz de custos diretos'!$B$3:$B$496,$B29,'B1 - Matriz de custos diretos'!$C$3:$C$496,"Materiais")*'A3 - Demanda Anual Agregada '!V6</f>
        <v>1551566.3099999998</v>
      </c>
      <c r="W29" s="61">
        <f>SUMIFS('B1 - Matriz de custos diretos'!$G$3:$G$496,'B1 - Matriz de custos diretos'!$B$3:$B$496,$B29,'B1 - Matriz de custos diretos'!$C$3:$C$496,"Materiais")*'A3 - Demanda Anual Agregada '!W6</f>
        <v>1551566.3099999998</v>
      </c>
      <c r="X29" s="61">
        <f>SUMIFS('B1 - Matriz de custos diretos'!$G$3:$G$496,'B1 - Matriz de custos diretos'!$B$3:$B$496,$B29,'B1 - Matriz de custos diretos'!$C$3:$C$496,"Materiais")*'A3 - Demanda Anual Agregada '!X6</f>
        <v>1551566.3099999998</v>
      </c>
      <c r="Y29" s="61">
        <f>SUMIFS('B1 - Matriz de custos diretos'!$G$3:$G$496,'B1 - Matriz de custos diretos'!$B$3:$B$496,$B29,'B1 - Matriz de custos diretos'!$C$3:$C$496,"Materiais")*'A3 - Demanda Anual Agregada '!Y6</f>
        <v>1551566.3099999998</v>
      </c>
      <c r="Z29" s="61">
        <f>SUMIFS('B1 - Matriz de custos diretos'!$G$3:$G$496,'B1 - Matriz de custos diretos'!$B$3:$B$496,$B29,'B1 - Matriz de custos diretos'!$C$3:$C$496,"Materiais")*'A3 - Demanda Anual Agregada '!Z6</f>
        <v>1551566.3099999998</v>
      </c>
      <c r="AA29" s="61">
        <f>SUMIFS('B1 - Matriz de custos diretos'!$G$3:$G$496,'B1 - Matriz de custos diretos'!$B$3:$B$496,$B29,'B1 - Matriz de custos diretos'!$C$3:$C$496,"Materiais")*'A3 - Demanda Anual Agregada '!AA6</f>
        <v>1551566.3099999998</v>
      </c>
      <c r="AB29" s="61">
        <f>SUMIFS('B1 - Matriz de custos diretos'!$G$3:$G$496,'B1 - Matriz de custos diretos'!$B$3:$B$496,$B29,'B1 - Matriz de custos diretos'!$C$3:$C$496,"Materiais")*'A3 - Demanda Anual Agregada '!AB6</f>
        <v>1551566.3099999998</v>
      </c>
      <c r="AC29" s="61">
        <f>SUMIFS('B1 - Matriz de custos diretos'!$G$3:$G$496,'B1 - Matriz de custos diretos'!$B$3:$B$496,$B29,'B1 - Matriz de custos diretos'!$C$3:$C$496,"Materiais")*'A3 - Demanda Anual Agregada '!AC6</f>
        <v>1551566.3099999998</v>
      </c>
      <c r="AD29" s="61">
        <f>SUMIFS('B1 - Matriz de custos diretos'!$G$3:$G$496,'B1 - Matriz de custos diretos'!$B$3:$B$496,$B29,'B1 - Matriz de custos diretos'!$C$3:$C$496,"Materiais")*'A3 - Demanda Anual Agregada '!AD6</f>
        <v>1551566.3099999998</v>
      </c>
      <c r="AE29" s="61">
        <f>SUMIFS('B1 - Matriz de custos diretos'!$G$3:$G$496,'B1 - Matriz de custos diretos'!$B$3:$B$496,$B29,'B1 - Matriz de custos diretos'!$C$3:$C$496,"Materiais")*'A3 - Demanda Anual Agregada '!AE6</f>
        <v>1551566.3099999998</v>
      </c>
      <c r="AF29" s="61">
        <f>SUMIFS('B1 - Matriz de custos diretos'!$G$3:$G$496,'B1 - Matriz de custos diretos'!$B$3:$B$496,$B29,'B1 - Matriz de custos diretos'!$C$3:$C$496,"Materiais")*'A3 - Demanda Anual Agregada '!AF6</f>
        <v>1551566.3099999998</v>
      </c>
    </row>
    <row r="30" spans="1:32" ht="15.75" customHeight="1">
      <c r="A30" s="292"/>
      <c r="B30" s="60" t="str">
        <f>'A3 - Demanda Anual Agregada '!B7</f>
        <v>Preá - Alimentação</v>
      </c>
      <c r="C30" s="61">
        <f>SUMIFS('B1 - Matriz de custos diretos'!$G$3:$G$496,'B1 - Matriz de custos diretos'!$B$3:$B$496,$B30,'B1 - Matriz de custos diretos'!$C$3:$C$496,"Materiais")*'A3 - Demanda Anual Agregada '!C7</f>
        <v>0</v>
      </c>
      <c r="D30" s="61">
        <f>SUMIFS('B1 - Matriz de custos diretos'!$G$3:$G$496,'B1 - Matriz de custos diretos'!$B$3:$B$496,$B30,'B1 - Matriz de custos diretos'!$C$3:$C$496,"Materiais")*'A3 - Demanda Anual Agregada '!D7</f>
        <v>584253</v>
      </c>
      <c r="E30" s="61">
        <f>SUMIFS('B1 - Matriz de custos diretos'!$G$3:$G$496,'B1 - Matriz de custos diretos'!$B$3:$B$496,$B30,'B1 - Matriz de custos diretos'!$C$3:$C$496,"Materiais")*'A3 - Demanda Anual Agregada '!E7</f>
        <v>604408.5</v>
      </c>
      <c r="F30" s="61">
        <f>SUMIFS('B1 - Matriz de custos diretos'!$G$3:$G$496,'B1 - Matriz de custos diretos'!$B$3:$B$496,$B30,'B1 - Matriz de custos diretos'!$C$3:$C$496,"Materiais")*'A3 - Demanda Anual Agregada '!F7</f>
        <v>623922.75</v>
      </c>
      <c r="G30" s="61">
        <f>SUMIFS('B1 - Matriz de custos diretos'!$G$3:$G$496,'B1 - Matriz de custos diretos'!$B$3:$B$496,$B30,'B1 - Matriz de custos diretos'!$C$3:$C$496,"Materiais")*'A3 - Demanda Anual Agregada '!G7</f>
        <v>643754.25</v>
      </c>
      <c r="H30" s="61">
        <f>SUMIFS('B1 - Matriz de custos diretos'!$G$3:$G$496,'B1 - Matriz de custos diretos'!$B$3:$B$496,$B30,'B1 - Matriz de custos diretos'!$C$3:$C$496,"Materiais")*'A3 - Demanda Anual Agregada '!H7</f>
        <v>663930</v>
      </c>
      <c r="I30" s="61">
        <f>SUMIFS('B1 - Matriz de custos diretos'!$G$3:$G$496,'B1 - Matriz de custos diretos'!$B$3:$B$496,$B30,'B1 - Matriz de custos diretos'!$C$3:$C$496,"Materiais")*'A3 - Demanda Anual Agregada '!I7</f>
        <v>684679.5</v>
      </c>
      <c r="J30" s="61">
        <f>SUMIFS('B1 - Matriz de custos diretos'!$G$3:$G$496,'B1 - Matriz de custos diretos'!$B$3:$B$496,$B30,'B1 - Matriz de custos diretos'!$C$3:$C$496,"Materiais")*'A3 - Demanda Anual Agregada '!J7</f>
        <v>706029.75</v>
      </c>
      <c r="K30" s="61">
        <f>SUMIFS('B1 - Matriz de custos diretos'!$G$3:$G$496,'B1 - Matriz de custos diretos'!$B$3:$B$496,$B30,'B1 - Matriz de custos diretos'!$C$3:$C$496,"Materiais")*'A3 - Demanda Anual Agregada '!K7</f>
        <v>727771.5</v>
      </c>
      <c r="L30" s="61">
        <f>SUMIFS('B1 - Matriz de custos diretos'!$G$3:$G$496,'B1 - Matriz de custos diretos'!$B$3:$B$496,$B30,'B1 - Matriz de custos diretos'!$C$3:$C$496,"Materiais")*'A3 - Demanda Anual Agregada '!L7</f>
        <v>749911.5</v>
      </c>
      <c r="M30" s="61">
        <f>SUMIFS('B1 - Matriz de custos diretos'!$G$3:$G$496,'B1 - Matriz de custos diretos'!$B$3:$B$496,$B30,'B1 - Matriz de custos diretos'!$C$3:$C$496,"Materiais")*'A3 - Demanda Anual Agregada '!M7</f>
        <v>772753.5</v>
      </c>
      <c r="N30" s="61">
        <f>SUMIFS('B1 - Matriz de custos diretos'!$G$3:$G$496,'B1 - Matriz de custos diretos'!$B$3:$B$496,$B30,'B1 - Matriz de custos diretos'!$C$3:$C$496,"Materiais")*'A3 - Demanda Anual Agregada '!N7</f>
        <v>796277.25</v>
      </c>
      <c r="O30" s="61">
        <f>SUMIFS('B1 - Matriz de custos diretos'!$G$3:$G$496,'B1 - Matriz de custos diretos'!$B$3:$B$496,$B30,'B1 - Matriz de custos diretos'!$C$3:$C$496,"Materiais")*'A3 - Demanda Anual Agregada '!O7</f>
        <v>820550.25</v>
      </c>
      <c r="P30" s="61">
        <f>SUMIFS('B1 - Matriz de custos diretos'!$G$3:$G$496,'B1 - Matriz de custos diretos'!$B$3:$B$496,$B30,'B1 - Matriz de custos diretos'!$C$3:$C$496,"Materiais")*'A3 - Demanda Anual Agregada '!P7</f>
        <v>845552.25</v>
      </c>
      <c r="Q30" s="61">
        <f>SUMIFS('B1 - Matriz de custos diretos'!$G$3:$G$496,'B1 - Matriz de custos diretos'!$B$3:$B$496,$B30,'B1 - Matriz de custos diretos'!$C$3:$C$496,"Materiais")*'A3 - Demanda Anual Agregada '!Q7</f>
        <v>871310.25</v>
      </c>
      <c r="R30" s="61">
        <f>SUMIFS('B1 - Matriz de custos diretos'!$G$3:$G$496,'B1 - Matriz de custos diretos'!$B$3:$B$496,$B30,'B1 - Matriz de custos diretos'!$C$3:$C$496,"Materiais")*'A3 - Demanda Anual Agregada '!R7</f>
        <v>897777</v>
      </c>
      <c r="S30" s="61">
        <f>SUMIFS('B1 - Matriz de custos diretos'!$G$3:$G$496,'B1 - Matriz de custos diretos'!$B$3:$B$496,$B30,'B1 - Matriz de custos diretos'!$C$3:$C$496,"Materiais")*'A3 - Demanda Anual Agregada '!S7</f>
        <v>924912</v>
      </c>
      <c r="T30" s="61">
        <f>SUMIFS('B1 - Matriz de custos diretos'!$G$3:$G$496,'B1 - Matriz de custos diretos'!$B$3:$B$496,$B30,'B1 - Matriz de custos diretos'!$C$3:$C$496,"Materiais")*'A3 - Demanda Anual Agregada '!T7</f>
        <v>952627.5</v>
      </c>
      <c r="U30" s="61">
        <f>SUMIFS('B1 - Matriz de custos diretos'!$G$3:$G$496,'B1 - Matriz de custos diretos'!$B$3:$B$496,$B30,'B1 - Matriz de custos diretos'!$C$3:$C$496,"Materiais")*'A3 - Demanda Anual Agregada '!U7</f>
        <v>980856</v>
      </c>
      <c r="V30" s="61">
        <f>SUMIFS('B1 - Matriz de custos diretos'!$G$3:$G$496,'B1 - Matriz de custos diretos'!$B$3:$B$496,$B30,'B1 - Matriz de custos diretos'!$C$3:$C$496,"Materiais")*'A3 - Demanda Anual Agregada '!V7</f>
        <v>1009455.75</v>
      </c>
      <c r="W30" s="61">
        <f>SUMIFS('B1 - Matriz de custos diretos'!$G$3:$G$496,'B1 - Matriz de custos diretos'!$B$3:$B$496,$B30,'B1 - Matriz de custos diretos'!$C$3:$C$496,"Materiais")*'A3 - Demanda Anual Agregada '!W7</f>
        <v>1009455.75</v>
      </c>
      <c r="X30" s="61">
        <f>SUMIFS('B1 - Matriz de custos diretos'!$G$3:$G$496,'B1 - Matriz de custos diretos'!$B$3:$B$496,$B30,'B1 - Matriz de custos diretos'!$C$3:$C$496,"Materiais")*'A3 - Demanda Anual Agregada '!X7</f>
        <v>1009455.75</v>
      </c>
      <c r="Y30" s="61">
        <f>SUMIFS('B1 - Matriz de custos diretos'!$G$3:$G$496,'B1 - Matriz de custos diretos'!$B$3:$B$496,$B30,'B1 - Matriz de custos diretos'!$C$3:$C$496,"Materiais")*'A3 - Demanda Anual Agregada '!Y7</f>
        <v>1009455.75</v>
      </c>
      <c r="Z30" s="61">
        <f>SUMIFS('B1 - Matriz de custos diretos'!$G$3:$G$496,'B1 - Matriz de custos diretos'!$B$3:$B$496,$B30,'B1 - Matriz de custos diretos'!$C$3:$C$496,"Materiais")*'A3 - Demanda Anual Agregada '!Z7</f>
        <v>1009455.75</v>
      </c>
      <c r="AA30" s="61">
        <f>SUMIFS('B1 - Matriz de custos diretos'!$G$3:$G$496,'B1 - Matriz de custos diretos'!$B$3:$B$496,$B30,'B1 - Matriz de custos diretos'!$C$3:$C$496,"Materiais")*'A3 - Demanda Anual Agregada '!AA7</f>
        <v>1009455.75</v>
      </c>
      <c r="AB30" s="61">
        <f>SUMIFS('B1 - Matriz de custos diretos'!$G$3:$G$496,'B1 - Matriz de custos diretos'!$B$3:$B$496,$B30,'B1 - Matriz de custos diretos'!$C$3:$C$496,"Materiais")*'A3 - Demanda Anual Agregada '!AB7</f>
        <v>1009455.75</v>
      </c>
      <c r="AC30" s="61">
        <f>SUMIFS('B1 - Matriz de custos diretos'!$G$3:$G$496,'B1 - Matriz de custos diretos'!$B$3:$B$496,$B30,'B1 - Matriz de custos diretos'!$C$3:$C$496,"Materiais")*'A3 - Demanda Anual Agregada '!AC7</f>
        <v>1009455.75</v>
      </c>
      <c r="AD30" s="61">
        <f>SUMIFS('B1 - Matriz de custos diretos'!$G$3:$G$496,'B1 - Matriz de custos diretos'!$B$3:$B$496,$B30,'B1 - Matriz de custos diretos'!$C$3:$C$496,"Materiais")*'A3 - Demanda Anual Agregada '!AD7</f>
        <v>1009455.75</v>
      </c>
      <c r="AE30" s="61">
        <f>SUMIFS('B1 - Matriz de custos diretos'!$G$3:$G$496,'B1 - Matriz de custos diretos'!$B$3:$B$496,$B30,'B1 - Matriz de custos diretos'!$C$3:$C$496,"Materiais")*'A3 - Demanda Anual Agregada '!AE7</f>
        <v>1009455.75</v>
      </c>
      <c r="AF30" s="61">
        <f>SUMIFS('B1 - Matriz de custos diretos'!$G$3:$G$496,'B1 - Matriz de custos diretos'!$B$3:$B$496,$B30,'B1 - Matriz de custos diretos'!$C$3:$C$496,"Materiais")*'A3 - Demanda Anual Agregada '!AF7</f>
        <v>1009455.75</v>
      </c>
    </row>
    <row r="31" spans="1:32" ht="15.75" customHeight="1">
      <c r="A31" s="292"/>
      <c r="B31" s="60" t="str">
        <f>'A3 - Demanda Anual Agregada '!B8</f>
        <v>Preá - Comércio</v>
      </c>
      <c r="C31" s="61">
        <f>SUMIFS('B1 - Matriz de custos diretos'!$G$3:$G$496,'B1 - Matriz de custos diretos'!$B$3:$B$496,$B31,'B1 - Matriz de custos diretos'!$C$3:$C$496,"Materiais")*'A3 - Demanda Anual Agregada '!C8</f>
        <v>0</v>
      </c>
      <c r="D31" s="61">
        <f>SUMIFS('B1 - Matriz de custos diretos'!$G$3:$G$496,'B1 - Matriz de custos diretos'!$B$3:$B$496,$B31,'B1 - Matriz de custos diretos'!$C$3:$C$496,"Materiais")*'A3 - Demanda Anual Agregada '!D8</f>
        <v>252455</v>
      </c>
      <c r="E31" s="61">
        <f>SUMIFS('B1 - Matriz de custos diretos'!$G$3:$G$496,'B1 - Matriz de custos diretos'!$B$3:$B$496,$B31,'B1 - Matriz de custos diretos'!$C$3:$C$496,"Materiais")*'A3 - Demanda Anual Agregada '!E8</f>
        <v>261170</v>
      </c>
      <c r="F31" s="61">
        <f>SUMIFS('B1 - Matriz de custos diretos'!$G$3:$G$496,'B1 - Matriz de custos diretos'!$B$3:$B$496,$B31,'B1 - Matriz de custos diretos'!$C$3:$C$496,"Materiais")*'A3 - Demanda Anual Agregada '!F8</f>
        <v>269605</v>
      </c>
      <c r="G31" s="61">
        <f>SUMIFS('B1 - Matriz de custos diretos'!$G$3:$G$496,'B1 - Matriz de custos diretos'!$B$3:$B$496,$B31,'B1 - Matriz de custos diretos'!$C$3:$C$496,"Materiais")*'A3 - Demanda Anual Agregada '!G8</f>
        <v>278162.5</v>
      </c>
      <c r="H31" s="61">
        <f>SUMIFS('B1 - Matriz de custos diretos'!$G$3:$G$496,'B1 - Matriz de custos diretos'!$B$3:$B$496,$B31,'B1 - Matriz de custos diretos'!$C$3:$C$496,"Materiais")*'A3 - Demanda Anual Agregada '!H8</f>
        <v>286877.5</v>
      </c>
      <c r="I31" s="61">
        <f>SUMIFS('B1 - Matriz de custos diretos'!$G$3:$G$496,'B1 - Matriz de custos diretos'!$B$3:$B$496,$B31,'B1 - Matriz de custos diretos'!$C$3:$C$496,"Materiais")*'A3 - Demanda Anual Agregada '!I8</f>
        <v>295855</v>
      </c>
      <c r="J31" s="61">
        <f>SUMIFS('B1 - Matriz de custos diretos'!$G$3:$G$496,'B1 - Matriz de custos diretos'!$B$3:$B$496,$B31,'B1 - Matriz de custos diretos'!$C$3:$C$496,"Materiais")*'A3 - Demanda Anual Agregada '!J8</f>
        <v>305077.5</v>
      </c>
      <c r="K31" s="61">
        <f>SUMIFS('B1 - Matriz de custos diretos'!$G$3:$G$496,'B1 - Matriz de custos diretos'!$B$3:$B$496,$B31,'B1 - Matriz de custos diretos'!$C$3:$C$496,"Materiais")*'A3 - Demanda Anual Agregada '!K8</f>
        <v>314475</v>
      </c>
      <c r="L31" s="61">
        <f>SUMIFS('B1 - Matriz de custos diretos'!$G$3:$G$496,'B1 - Matriz de custos diretos'!$B$3:$B$496,$B31,'B1 - Matriz de custos diretos'!$C$3:$C$496,"Materiais")*'A3 - Demanda Anual Agregada '!L8</f>
        <v>324030</v>
      </c>
      <c r="M31" s="61">
        <f>SUMIFS('B1 - Matriz de custos diretos'!$G$3:$G$496,'B1 - Matriz de custos diretos'!$B$3:$B$496,$B31,'B1 - Matriz de custos diretos'!$C$3:$C$496,"Materiais")*'A3 - Demanda Anual Agregada '!M8</f>
        <v>333900</v>
      </c>
      <c r="N31" s="61">
        <f>SUMIFS('B1 - Matriz de custos diretos'!$G$3:$G$496,'B1 - Matriz de custos diretos'!$B$3:$B$496,$B31,'B1 - Matriz de custos diretos'!$C$3:$C$496,"Materiais")*'A3 - Demanda Anual Agregada '!N8</f>
        <v>344067.5</v>
      </c>
      <c r="O31" s="61">
        <f>SUMIFS('B1 - Matriz de custos diretos'!$G$3:$G$496,'B1 - Matriz de custos diretos'!$B$3:$B$496,$B31,'B1 - Matriz de custos diretos'!$C$3:$C$496,"Materiais")*'A3 - Demanda Anual Agregada '!O8</f>
        <v>354550</v>
      </c>
      <c r="P31" s="61">
        <f>SUMIFS('B1 - Matriz de custos diretos'!$G$3:$G$496,'B1 - Matriz de custos diretos'!$B$3:$B$496,$B31,'B1 - Matriz de custos diretos'!$C$3:$C$496,"Materiais")*'A3 - Demanda Anual Agregada '!P8</f>
        <v>365365</v>
      </c>
      <c r="Q31" s="61">
        <f>SUMIFS('B1 - Matriz de custos diretos'!$G$3:$G$496,'B1 - Matriz de custos diretos'!$B$3:$B$496,$B31,'B1 - Matriz de custos diretos'!$C$3:$C$496,"Materiais")*'A3 - Demanda Anual Agregada '!Q8</f>
        <v>376495</v>
      </c>
      <c r="R31" s="61">
        <f>SUMIFS('B1 - Matriz de custos diretos'!$G$3:$G$496,'B1 - Matriz de custos diretos'!$B$3:$B$496,$B31,'B1 - Matriz de custos diretos'!$C$3:$C$496,"Materiais")*'A3 - Demanda Anual Agregada '!R8</f>
        <v>387922.5</v>
      </c>
      <c r="S31" s="61">
        <f>SUMIFS('B1 - Matriz de custos diretos'!$G$3:$G$496,'B1 - Matriz de custos diretos'!$B$3:$B$496,$B31,'B1 - Matriz de custos diretos'!$C$3:$C$496,"Materiais")*'A3 - Demanda Anual Agregada '!S8</f>
        <v>399647.5</v>
      </c>
      <c r="T31" s="61">
        <f>SUMIFS('B1 - Matriz de custos diretos'!$G$3:$G$496,'B1 - Matriz de custos diretos'!$B$3:$B$496,$B31,'B1 - Matriz de custos diretos'!$C$3:$C$496,"Materiais")*'A3 - Demanda Anual Agregada '!T8</f>
        <v>411635</v>
      </c>
      <c r="U31" s="61">
        <f>SUMIFS('B1 - Matriz de custos diretos'!$G$3:$G$496,'B1 - Matriz de custos diretos'!$B$3:$B$496,$B31,'B1 - Matriz de custos diretos'!$C$3:$C$496,"Materiais")*'A3 - Demanda Anual Agregada '!U8</f>
        <v>423832.5</v>
      </c>
      <c r="V31" s="61">
        <f>SUMIFS('B1 - Matriz de custos diretos'!$G$3:$G$496,'B1 - Matriz de custos diretos'!$B$3:$B$496,$B31,'B1 - Matriz de custos diretos'!$C$3:$C$496,"Materiais")*'A3 - Demanda Anual Agregada '!V8</f>
        <v>436187.5</v>
      </c>
      <c r="W31" s="61">
        <f>SUMIFS('B1 - Matriz de custos diretos'!$G$3:$G$496,'B1 - Matriz de custos diretos'!$B$3:$B$496,$B31,'B1 - Matriz de custos diretos'!$C$3:$C$496,"Materiais")*'A3 - Demanda Anual Agregada '!W8</f>
        <v>436187.5</v>
      </c>
      <c r="X31" s="61">
        <f>SUMIFS('B1 - Matriz de custos diretos'!$G$3:$G$496,'B1 - Matriz de custos diretos'!$B$3:$B$496,$B31,'B1 - Matriz de custos diretos'!$C$3:$C$496,"Materiais")*'A3 - Demanda Anual Agregada '!X8</f>
        <v>436187.5</v>
      </c>
      <c r="Y31" s="61">
        <f>SUMIFS('B1 - Matriz de custos diretos'!$G$3:$G$496,'B1 - Matriz de custos diretos'!$B$3:$B$496,$B31,'B1 - Matriz de custos diretos'!$C$3:$C$496,"Materiais")*'A3 - Demanda Anual Agregada '!Y8</f>
        <v>436187.5</v>
      </c>
      <c r="Z31" s="61">
        <f>SUMIFS('B1 - Matriz de custos diretos'!$G$3:$G$496,'B1 - Matriz de custos diretos'!$B$3:$B$496,$B31,'B1 - Matriz de custos diretos'!$C$3:$C$496,"Materiais")*'A3 - Demanda Anual Agregada '!Z8</f>
        <v>436187.5</v>
      </c>
      <c r="AA31" s="61">
        <f>SUMIFS('B1 - Matriz de custos diretos'!$G$3:$G$496,'B1 - Matriz de custos diretos'!$B$3:$B$496,$B31,'B1 - Matriz de custos diretos'!$C$3:$C$496,"Materiais")*'A3 - Demanda Anual Agregada '!AA8</f>
        <v>436187.5</v>
      </c>
      <c r="AB31" s="61">
        <f>SUMIFS('B1 - Matriz de custos diretos'!$G$3:$G$496,'B1 - Matriz de custos diretos'!$B$3:$B$496,$B31,'B1 - Matriz de custos diretos'!$C$3:$C$496,"Materiais")*'A3 - Demanda Anual Agregada '!AB8</f>
        <v>436187.5</v>
      </c>
      <c r="AC31" s="61">
        <f>SUMIFS('B1 - Matriz de custos diretos'!$G$3:$G$496,'B1 - Matriz de custos diretos'!$B$3:$B$496,$B31,'B1 - Matriz de custos diretos'!$C$3:$C$496,"Materiais")*'A3 - Demanda Anual Agregada '!AC8</f>
        <v>436187.5</v>
      </c>
      <c r="AD31" s="61">
        <f>SUMIFS('B1 - Matriz de custos diretos'!$G$3:$G$496,'B1 - Matriz de custos diretos'!$B$3:$B$496,$B31,'B1 - Matriz de custos diretos'!$C$3:$C$496,"Materiais")*'A3 - Demanda Anual Agregada '!AD8</f>
        <v>436187.5</v>
      </c>
      <c r="AE31" s="61">
        <f>SUMIFS('B1 - Matriz de custos diretos'!$G$3:$G$496,'B1 - Matriz de custos diretos'!$B$3:$B$496,$B31,'B1 - Matriz de custos diretos'!$C$3:$C$496,"Materiais")*'A3 - Demanda Anual Agregada '!AE8</f>
        <v>436187.5</v>
      </c>
      <c r="AF31" s="61">
        <f>SUMIFS('B1 - Matriz de custos diretos'!$G$3:$G$496,'B1 - Matriz de custos diretos'!$B$3:$B$496,$B31,'B1 - Matriz de custos diretos'!$C$3:$C$496,"Materiais")*'A3 - Demanda Anual Agregada '!AF8</f>
        <v>436187.5</v>
      </c>
    </row>
    <row r="32" spans="1:32" ht="15.75" customHeight="1">
      <c r="A32" s="292"/>
      <c r="B32" s="60" t="str">
        <f>'A3 - Demanda Anual Agregada '!B9</f>
        <v>Preá - Estacionamento</v>
      </c>
      <c r="C32" s="61">
        <f>SUMIFS('B1 - Matriz de custos diretos'!$G$3:$G$496,'B1 - Matriz de custos diretos'!$B$3:$B$496,$B32,'B1 - Matriz de custos diretos'!$C$3:$C$496,"Materiais")*'A3 - Demanda Anual Agregada '!C9</f>
        <v>0</v>
      </c>
      <c r="D32" s="61">
        <f>SUMIFS('B1 - Matriz de custos diretos'!$G$3:$G$496,'B1 - Matriz de custos diretos'!$B$3:$B$496,$B32,'B1 - Matriz de custos diretos'!$C$3:$C$496,"Materiais")*'A3 - Demanda Anual Agregada '!D9</f>
        <v>0</v>
      </c>
      <c r="E32" s="61">
        <f>SUMIFS('B1 - Matriz de custos diretos'!$G$3:$G$496,'B1 - Matriz de custos diretos'!$B$3:$B$496,$B32,'B1 - Matriz de custos diretos'!$C$3:$C$496,"Materiais")*'A3 - Demanda Anual Agregada '!E9</f>
        <v>0</v>
      </c>
      <c r="F32" s="61">
        <f>SUMIFS('B1 - Matriz de custos diretos'!$G$3:$G$496,'B1 - Matriz de custos diretos'!$B$3:$B$496,$B32,'B1 - Matriz de custos diretos'!$C$3:$C$496,"Materiais")*'A3 - Demanda Anual Agregada '!F9</f>
        <v>0</v>
      </c>
      <c r="G32" s="61">
        <f>SUMIFS('B1 - Matriz de custos diretos'!$G$3:$G$496,'B1 - Matriz de custos diretos'!$B$3:$B$496,$B32,'B1 - Matriz de custos diretos'!$C$3:$C$496,"Materiais")*'A3 - Demanda Anual Agregada '!G9</f>
        <v>0</v>
      </c>
      <c r="H32" s="61">
        <f>SUMIFS('B1 - Matriz de custos diretos'!$G$3:$G$496,'B1 - Matriz de custos diretos'!$B$3:$B$496,$B32,'B1 - Matriz de custos diretos'!$C$3:$C$496,"Materiais")*'A3 - Demanda Anual Agregada '!H9</f>
        <v>0</v>
      </c>
      <c r="I32" s="61">
        <f>SUMIFS('B1 - Matriz de custos diretos'!$G$3:$G$496,'B1 - Matriz de custos diretos'!$B$3:$B$496,$B32,'B1 - Matriz de custos diretos'!$C$3:$C$496,"Materiais")*'A3 - Demanda Anual Agregada '!I9</f>
        <v>0</v>
      </c>
      <c r="J32" s="61">
        <f>SUMIFS('B1 - Matriz de custos diretos'!$G$3:$G$496,'B1 - Matriz de custos diretos'!$B$3:$B$496,$B32,'B1 - Matriz de custos diretos'!$C$3:$C$496,"Materiais")*'A3 - Demanda Anual Agregada '!J9</f>
        <v>0</v>
      </c>
      <c r="K32" s="61">
        <f>SUMIFS('B1 - Matriz de custos diretos'!$G$3:$G$496,'B1 - Matriz de custos diretos'!$B$3:$B$496,$B32,'B1 - Matriz de custos diretos'!$C$3:$C$496,"Materiais")*'A3 - Demanda Anual Agregada '!K9</f>
        <v>0</v>
      </c>
      <c r="L32" s="61">
        <f>SUMIFS('B1 - Matriz de custos diretos'!$G$3:$G$496,'B1 - Matriz de custos diretos'!$B$3:$B$496,$B32,'B1 - Matriz de custos diretos'!$C$3:$C$496,"Materiais")*'A3 - Demanda Anual Agregada '!L9</f>
        <v>0</v>
      </c>
      <c r="M32" s="61">
        <f>SUMIFS('B1 - Matriz de custos diretos'!$G$3:$G$496,'B1 - Matriz de custos diretos'!$B$3:$B$496,$B32,'B1 - Matriz de custos diretos'!$C$3:$C$496,"Materiais")*'A3 - Demanda Anual Agregada '!M9</f>
        <v>0</v>
      </c>
      <c r="N32" s="61">
        <f>SUMIFS('B1 - Matriz de custos diretos'!$G$3:$G$496,'B1 - Matriz de custos diretos'!$B$3:$B$496,$B32,'B1 - Matriz de custos diretos'!$C$3:$C$496,"Materiais")*'A3 - Demanda Anual Agregada '!N9</f>
        <v>0</v>
      </c>
      <c r="O32" s="61">
        <f>SUMIFS('B1 - Matriz de custos diretos'!$G$3:$G$496,'B1 - Matriz de custos diretos'!$B$3:$B$496,$B32,'B1 - Matriz de custos diretos'!$C$3:$C$496,"Materiais")*'A3 - Demanda Anual Agregada '!O9</f>
        <v>0</v>
      </c>
      <c r="P32" s="61">
        <f>SUMIFS('B1 - Matriz de custos diretos'!$G$3:$G$496,'B1 - Matriz de custos diretos'!$B$3:$B$496,$B32,'B1 - Matriz de custos diretos'!$C$3:$C$496,"Materiais")*'A3 - Demanda Anual Agregada '!P9</f>
        <v>0</v>
      </c>
      <c r="Q32" s="61">
        <f>SUMIFS('B1 - Matriz de custos diretos'!$G$3:$G$496,'B1 - Matriz de custos diretos'!$B$3:$B$496,$B32,'B1 - Matriz de custos diretos'!$C$3:$C$496,"Materiais")*'A3 - Demanda Anual Agregada '!Q9</f>
        <v>0</v>
      </c>
      <c r="R32" s="61">
        <f>SUMIFS('B1 - Matriz de custos diretos'!$G$3:$G$496,'B1 - Matriz de custos diretos'!$B$3:$B$496,$B32,'B1 - Matriz de custos diretos'!$C$3:$C$496,"Materiais")*'A3 - Demanda Anual Agregada '!R9</f>
        <v>0</v>
      </c>
      <c r="S32" s="61">
        <f>SUMIFS('B1 - Matriz de custos diretos'!$G$3:$G$496,'B1 - Matriz de custos diretos'!$B$3:$B$496,$B32,'B1 - Matriz de custos diretos'!$C$3:$C$496,"Materiais")*'A3 - Demanda Anual Agregada '!S9</f>
        <v>0</v>
      </c>
      <c r="T32" s="61">
        <f>SUMIFS('B1 - Matriz de custos diretos'!$G$3:$G$496,'B1 - Matriz de custos diretos'!$B$3:$B$496,$B32,'B1 - Matriz de custos diretos'!$C$3:$C$496,"Materiais")*'A3 - Demanda Anual Agregada '!T9</f>
        <v>0</v>
      </c>
      <c r="U32" s="61">
        <f>SUMIFS('B1 - Matriz de custos diretos'!$G$3:$G$496,'B1 - Matriz de custos diretos'!$B$3:$B$496,$B32,'B1 - Matriz de custos diretos'!$C$3:$C$496,"Materiais")*'A3 - Demanda Anual Agregada '!U9</f>
        <v>0</v>
      </c>
      <c r="V32" s="61">
        <f>SUMIFS('B1 - Matriz de custos diretos'!$G$3:$G$496,'B1 - Matriz de custos diretos'!$B$3:$B$496,$B32,'B1 - Matriz de custos diretos'!$C$3:$C$496,"Materiais")*'A3 - Demanda Anual Agregada '!V9</f>
        <v>0</v>
      </c>
      <c r="W32" s="61">
        <f>SUMIFS('B1 - Matriz de custos diretos'!$G$3:$G$496,'B1 - Matriz de custos diretos'!$B$3:$B$496,$B32,'B1 - Matriz de custos diretos'!$C$3:$C$496,"Materiais")*'A3 - Demanda Anual Agregada '!W9</f>
        <v>0</v>
      </c>
      <c r="X32" s="61">
        <f>SUMIFS('B1 - Matriz de custos diretos'!$G$3:$G$496,'B1 - Matriz de custos diretos'!$B$3:$B$496,$B32,'B1 - Matriz de custos diretos'!$C$3:$C$496,"Materiais")*'A3 - Demanda Anual Agregada '!X9</f>
        <v>0</v>
      </c>
      <c r="Y32" s="61">
        <f>SUMIFS('B1 - Matriz de custos diretos'!$G$3:$G$496,'B1 - Matriz de custos diretos'!$B$3:$B$496,$B32,'B1 - Matriz de custos diretos'!$C$3:$C$496,"Materiais")*'A3 - Demanda Anual Agregada '!Y9</f>
        <v>0</v>
      </c>
      <c r="Z32" s="61">
        <f>SUMIFS('B1 - Matriz de custos diretos'!$G$3:$G$496,'B1 - Matriz de custos diretos'!$B$3:$B$496,$B32,'B1 - Matriz de custos diretos'!$C$3:$C$496,"Materiais")*'A3 - Demanda Anual Agregada '!Z9</f>
        <v>0</v>
      </c>
      <c r="AA32" s="61">
        <f>SUMIFS('B1 - Matriz de custos diretos'!$G$3:$G$496,'B1 - Matriz de custos diretos'!$B$3:$B$496,$B32,'B1 - Matriz de custos diretos'!$C$3:$C$496,"Materiais")*'A3 - Demanda Anual Agregada '!AA9</f>
        <v>0</v>
      </c>
      <c r="AB32" s="61">
        <f>SUMIFS('B1 - Matriz de custos diretos'!$G$3:$G$496,'B1 - Matriz de custos diretos'!$B$3:$B$496,$B32,'B1 - Matriz de custos diretos'!$C$3:$C$496,"Materiais")*'A3 - Demanda Anual Agregada '!AB9</f>
        <v>0</v>
      </c>
      <c r="AC32" s="61">
        <f>SUMIFS('B1 - Matriz de custos diretos'!$G$3:$G$496,'B1 - Matriz de custos diretos'!$B$3:$B$496,$B32,'B1 - Matriz de custos diretos'!$C$3:$C$496,"Materiais")*'A3 - Demanda Anual Agregada '!AC9</f>
        <v>0</v>
      </c>
      <c r="AD32" s="61">
        <f>SUMIFS('B1 - Matriz de custos diretos'!$G$3:$G$496,'B1 - Matriz de custos diretos'!$B$3:$B$496,$B32,'B1 - Matriz de custos diretos'!$C$3:$C$496,"Materiais")*'A3 - Demanda Anual Agregada '!AD9</f>
        <v>0</v>
      </c>
      <c r="AE32" s="61">
        <f>SUMIFS('B1 - Matriz de custos diretos'!$G$3:$G$496,'B1 - Matriz de custos diretos'!$B$3:$B$496,$B32,'B1 - Matriz de custos diretos'!$C$3:$C$496,"Materiais")*'A3 - Demanda Anual Agregada '!AE9</f>
        <v>0</v>
      </c>
      <c r="AF32" s="61">
        <f>SUMIFS('B1 - Matriz de custos diretos'!$G$3:$G$496,'B1 - Matriz de custos diretos'!$B$3:$B$496,$B32,'B1 - Matriz de custos diretos'!$C$3:$C$496,"Materiais")*'A3 - Demanda Anual Agregada '!AF9</f>
        <v>0</v>
      </c>
    </row>
    <row r="33" spans="1:32" ht="15.75" customHeight="1">
      <c r="A33" s="292"/>
      <c r="B33" s="60" t="str">
        <f>'A3 - Demanda Anual Agregada '!B10</f>
        <v>Árvore da Preguiça - Alimentação</v>
      </c>
      <c r="C33" s="61">
        <f>SUMIFS('B1 - Matriz de custos diretos'!$G$3:$G$496,'B1 - Matriz de custos diretos'!$B$3:$B$496,$B33,'B1 - Matriz de custos diretos'!$C$3:$C$496,"Materiais")*'A3 - Demanda Anual Agregada '!C10</f>
        <v>0</v>
      </c>
      <c r="D33" s="61">
        <f>SUMIFS('B1 - Matriz de custos diretos'!$G$3:$G$496,'B1 - Matriz de custos diretos'!$B$3:$B$496,$B33,'B1 - Matriz de custos diretos'!$C$3:$C$496,"Materiais")*'A3 - Demanda Anual Agregada '!D10</f>
        <v>584253</v>
      </c>
      <c r="E33" s="61">
        <f>SUMIFS('B1 - Matriz de custos diretos'!$G$3:$G$496,'B1 - Matriz de custos diretos'!$B$3:$B$496,$B33,'B1 - Matriz de custos diretos'!$C$3:$C$496,"Materiais")*'A3 - Demanda Anual Agregada '!E10</f>
        <v>604408.5</v>
      </c>
      <c r="F33" s="61">
        <f>SUMIFS('B1 - Matriz de custos diretos'!$G$3:$G$496,'B1 - Matriz de custos diretos'!$B$3:$B$496,$B33,'B1 - Matriz de custos diretos'!$C$3:$C$496,"Materiais")*'A3 - Demanda Anual Agregada '!F10</f>
        <v>623922.75</v>
      </c>
      <c r="G33" s="61">
        <f>SUMIFS('B1 - Matriz de custos diretos'!$G$3:$G$496,'B1 - Matriz de custos diretos'!$B$3:$B$496,$B33,'B1 - Matriz de custos diretos'!$C$3:$C$496,"Materiais")*'A3 - Demanda Anual Agregada '!G10</f>
        <v>643754.25</v>
      </c>
      <c r="H33" s="61">
        <f>SUMIFS('B1 - Matriz de custos diretos'!$G$3:$G$496,'B1 - Matriz de custos diretos'!$B$3:$B$496,$B33,'B1 - Matriz de custos diretos'!$C$3:$C$496,"Materiais")*'A3 - Demanda Anual Agregada '!H10</f>
        <v>663930</v>
      </c>
      <c r="I33" s="61">
        <f>SUMIFS('B1 - Matriz de custos diretos'!$G$3:$G$496,'B1 - Matriz de custos diretos'!$B$3:$B$496,$B33,'B1 - Matriz de custos diretos'!$C$3:$C$496,"Materiais")*'A3 - Demanda Anual Agregada '!I10</f>
        <v>684679.5</v>
      </c>
      <c r="J33" s="61">
        <f>SUMIFS('B1 - Matriz de custos diretos'!$G$3:$G$496,'B1 - Matriz de custos diretos'!$B$3:$B$496,$B33,'B1 - Matriz de custos diretos'!$C$3:$C$496,"Materiais")*'A3 - Demanda Anual Agregada '!J10</f>
        <v>706029.75</v>
      </c>
      <c r="K33" s="61">
        <f>SUMIFS('B1 - Matriz de custos diretos'!$G$3:$G$496,'B1 - Matriz de custos diretos'!$B$3:$B$496,$B33,'B1 - Matriz de custos diretos'!$C$3:$C$496,"Materiais")*'A3 - Demanda Anual Agregada '!K10</f>
        <v>727771.5</v>
      </c>
      <c r="L33" s="61">
        <f>SUMIFS('B1 - Matriz de custos diretos'!$G$3:$G$496,'B1 - Matriz de custos diretos'!$B$3:$B$496,$B33,'B1 - Matriz de custos diretos'!$C$3:$C$496,"Materiais")*'A3 - Demanda Anual Agregada '!L10</f>
        <v>749911.5</v>
      </c>
      <c r="M33" s="61">
        <f>SUMIFS('B1 - Matriz de custos diretos'!$G$3:$G$496,'B1 - Matriz de custos diretos'!$B$3:$B$496,$B33,'B1 - Matriz de custos diretos'!$C$3:$C$496,"Materiais")*'A3 - Demanda Anual Agregada '!M10</f>
        <v>772753.5</v>
      </c>
      <c r="N33" s="61">
        <f>SUMIFS('B1 - Matriz de custos diretos'!$G$3:$G$496,'B1 - Matriz de custos diretos'!$B$3:$B$496,$B33,'B1 - Matriz de custos diretos'!$C$3:$C$496,"Materiais")*'A3 - Demanda Anual Agregada '!N10</f>
        <v>796277.25</v>
      </c>
      <c r="O33" s="61">
        <f>SUMIFS('B1 - Matriz de custos diretos'!$G$3:$G$496,'B1 - Matriz de custos diretos'!$B$3:$B$496,$B33,'B1 - Matriz de custos diretos'!$C$3:$C$496,"Materiais")*'A3 - Demanda Anual Agregada '!O10</f>
        <v>820550.25</v>
      </c>
      <c r="P33" s="61">
        <f>SUMIFS('B1 - Matriz de custos diretos'!$G$3:$G$496,'B1 - Matriz de custos diretos'!$B$3:$B$496,$B33,'B1 - Matriz de custos diretos'!$C$3:$C$496,"Materiais")*'A3 - Demanda Anual Agregada '!P10</f>
        <v>845552.25</v>
      </c>
      <c r="Q33" s="61">
        <f>SUMIFS('B1 - Matriz de custos diretos'!$G$3:$G$496,'B1 - Matriz de custos diretos'!$B$3:$B$496,$B33,'B1 - Matriz de custos diretos'!$C$3:$C$496,"Materiais")*'A3 - Demanda Anual Agregada '!Q10</f>
        <v>871310.25</v>
      </c>
      <c r="R33" s="61">
        <f>SUMIFS('B1 - Matriz de custos diretos'!$G$3:$G$496,'B1 - Matriz de custos diretos'!$B$3:$B$496,$B33,'B1 - Matriz de custos diretos'!$C$3:$C$496,"Materiais")*'A3 - Demanda Anual Agregada '!R10</f>
        <v>897777</v>
      </c>
      <c r="S33" s="61">
        <f>SUMIFS('B1 - Matriz de custos diretos'!$G$3:$G$496,'B1 - Matriz de custos diretos'!$B$3:$B$496,$B33,'B1 - Matriz de custos diretos'!$C$3:$C$496,"Materiais")*'A3 - Demanda Anual Agregada '!S10</f>
        <v>924912</v>
      </c>
      <c r="T33" s="61">
        <f>SUMIFS('B1 - Matriz de custos diretos'!$G$3:$G$496,'B1 - Matriz de custos diretos'!$B$3:$B$496,$B33,'B1 - Matriz de custos diretos'!$C$3:$C$496,"Materiais")*'A3 - Demanda Anual Agregada '!T10</f>
        <v>952627.5</v>
      </c>
      <c r="U33" s="61">
        <f>SUMIFS('B1 - Matriz de custos diretos'!$G$3:$G$496,'B1 - Matriz de custos diretos'!$B$3:$B$496,$B33,'B1 - Matriz de custos diretos'!$C$3:$C$496,"Materiais")*'A3 - Demanda Anual Agregada '!U10</f>
        <v>980856</v>
      </c>
      <c r="V33" s="61">
        <f>SUMIFS('B1 - Matriz de custos diretos'!$G$3:$G$496,'B1 - Matriz de custos diretos'!$B$3:$B$496,$B33,'B1 - Matriz de custos diretos'!$C$3:$C$496,"Materiais")*'A3 - Demanda Anual Agregada '!V10</f>
        <v>1009455.75</v>
      </c>
      <c r="W33" s="61">
        <f>SUMIFS('B1 - Matriz de custos diretos'!$G$3:$G$496,'B1 - Matriz de custos diretos'!$B$3:$B$496,$B33,'B1 - Matriz de custos diretos'!$C$3:$C$496,"Materiais")*'A3 - Demanda Anual Agregada '!W10</f>
        <v>1009455.75</v>
      </c>
      <c r="X33" s="61">
        <f>SUMIFS('B1 - Matriz de custos diretos'!$G$3:$G$496,'B1 - Matriz de custos diretos'!$B$3:$B$496,$B33,'B1 - Matriz de custos diretos'!$C$3:$C$496,"Materiais")*'A3 - Demanda Anual Agregada '!X10</f>
        <v>1009455.75</v>
      </c>
      <c r="Y33" s="61">
        <f>SUMIFS('B1 - Matriz de custos diretos'!$G$3:$G$496,'B1 - Matriz de custos diretos'!$B$3:$B$496,$B33,'B1 - Matriz de custos diretos'!$C$3:$C$496,"Materiais")*'A3 - Demanda Anual Agregada '!Y10</f>
        <v>1009455.75</v>
      </c>
      <c r="Z33" s="61">
        <f>SUMIFS('B1 - Matriz de custos diretos'!$G$3:$G$496,'B1 - Matriz de custos diretos'!$B$3:$B$496,$B33,'B1 - Matriz de custos diretos'!$C$3:$C$496,"Materiais")*'A3 - Demanda Anual Agregada '!Z10</f>
        <v>1009455.75</v>
      </c>
      <c r="AA33" s="61">
        <f>SUMIFS('B1 - Matriz de custos diretos'!$G$3:$G$496,'B1 - Matriz de custos diretos'!$B$3:$B$496,$B33,'B1 - Matriz de custos diretos'!$C$3:$C$496,"Materiais")*'A3 - Demanda Anual Agregada '!AA10</f>
        <v>1009455.75</v>
      </c>
      <c r="AB33" s="61">
        <f>SUMIFS('B1 - Matriz de custos diretos'!$G$3:$G$496,'B1 - Matriz de custos diretos'!$B$3:$B$496,$B33,'B1 - Matriz de custos diretos'!$C$3:$C$496,"Materiais")*'A3 - Demanda Anual Agregada '!AB10</f>
        <v>1009455.75</v>
      </c>
      <c r="AC33" s="61">
        <f>SUMIFS('B1 - Matriz de custos diretos'!$G$3:$G$496,'B1 - Matriz de custos diretos'!$B$3:$B$496,$B33,'B1 - Matriz de custos diretos'!$C$3:$C$496,"Materiais")*'A3 - Demanda Anual Agregada '!AC10</f>
        <v>1009455.75</v>
      </c>
      <c r="AD33" s="61">
        <f>SUMIFS('B1 - Matriz de custos diretos'!$G$3:$G$496,'B1 - Matriz de custos diretos'!$B$3:$B$496,$B33,'B1 - Matriz de custos diretos'!$C$3:$C$496,"Materiais")*'A3 - Demanda Anual Agregada '!AD10</f>
        <v>1009455.75</v>
      </c>
      <c r="AE33" s="61">
        <f>SUMIFS('B1 - Matriz de custos diretos'!$G$3:$G$496,'B1 - Matriz de custos diretos'!$B$3:$B$496,$B33,'B1 - Matriz de custos diretos'!$C$3:$C$496,"Materiais")*'A3 - Demanda Anual Agregada '!AE10</f>
        <v>1009455.75</v>
      </c>
      <c r="AF33" s="61">
        <f>SUMIFS('B1 - Matriz de custos diretos'!$G$3:$G$496,'B1 - Matriz de custos diretos'!$B$3:$B$496,$B33,'B1 - Matriz de custos diretos'!$C$3:$C$496,"Materiais")*'A3 - Demanda Anual Agregada '!AF10</f>
        <v>1009455.75</v>
      </c>
    </row>
    <row r="34" spans="1:32" ht="15.75" customHeight="1">
      <c r="A34" s="292"/>
      <c r="B34" s="60" t="str">
        <f>'A3 - Demanda Anual Agregada '!B11</f>
        <v>Árvore da Preguiça - Comércio</v>
      </c>
      <c r="C34" s="61">
        <f>SUMIFS('B1 - Matriz de custos diretos'!$G$3:$G$496,'B1 - Matriz de custos diretos'!$B$3:$B$496,$B34,'B1 - Matriz de custos diretos'!$C$3:$C$496,"Materiais")*'A3 - Demanda Anual Agregada '!C11</f>
        <v>0</v>
      </c>
      <c r="D34" s="61">
        <f>SUMIFS('B1 - Matriz de custos diretos'!$G$3:$G$496,'B1 - Matriz de custos diretos'!$B$3:$B$496,$B34,'B1 - Matriz de custos diretos'!$C$3:$C$496,"Materiais")*'A3 - Demanda Anual Agregada '!D11</f>
        <v>252455</v>
      </c>
      <c r="E34" s="61">
        <f>SUMIFS('B1 - Matriz de custos diretos'!$G$3:$G$496,'B1 - Matriz de custos diretos'!$B$3:$B$496,$B34,'B1 - Matriz de custos diretos'!$C$3:$C$496,"Materiais")*'A3 - Demanda Anual Agregada '!E11</f>
        <v>261170</v>
      </c>
      <c r="F34" s="61">
        <f>SUMIFS('B1 - Matriz de custos diretos'!$G$3:$G$496,'B1 - Matriz de custos diretos'!$B$3:$B$496,$B34,'B1 - Matriz de custos diretos'!$C$3:$C$496,"Materiais")*'A3 - Demanda Anual Agregada '!F11</f>
        <v>269605</v>
      </c>
      <c r="G34" s="61">
        <f>SUMIFS('B1 - Matriz de custos diretos'!$G$3:$G$496,'B1 - Matriz de custos diretos'!$B$3:$B$496,$B34,'B1 - Matriz de custos diretos'!$C$3:$C$496,"Materiais")*'A3 - Demanda Anual Agregada '!G11</f>
        <v>278162.5</v>
      </c>
      <c r="H34" s="61">
        <f>SUMIFS('B1 - Matriz de custos diretos'!$G$3:$G$496,'B1 - Matriz de custos diretos'!$B$3:$B$496,$B34,'B1 - Matriz de custos diretos'!$C$3:$C$496,"Materiais")*'A3 - Demanda Anual Agregada '!H11</f>
        <v>286877.5</v>
      </c>
      <c r="I34" s="61">
        <f>SUMIFS('B1 - Matriz de custos diretos'!$G$3:$G$496,'B1 - Matriz de custos diretos'!$B$3:$B$496,$B34,'B1 - Matriz de custos diretos'!$C$3:$C$496,"Materiais")*'A3 - Demanda Anual Agregada '!I11</f>
        <v>295855</v>
      </c>
      <c r="J34" s="61">
        <f>SUMIFS('B1 - Matriz de custos diretos'!$G$3:$G$496,'B1 - Matriz de custos diretos'!$B$3:$B$496,$B34,'B1 - Matriz de custos diretos'!$C$3:$C$496,"Materiais")*'A3 - Demanda Anual Agregada '!J11</f>
        <v>305077.5</v>
      </c>
      <c r="K34" s="61">
        <f>SUMIFS('B1 - Matriz de custos diretos'!$G$3:$G$496,'B1 - Matriz de custos diretos'!$B$3:$B$496,$B34,'B1 - Matriz de custos diretos'!$C$3:$C$496,"Materiais")*'A3 - Demanda Anual Agregada '!K11</f>
        <v>314475</v>
      </c>
      <c r="L34" s="61">
        <f>SUMIFS('B1 - Matriz de custos diretos'!$G$3:$G$496,'B1 - Matriz de custos diretos'!$B$3:$B$496,$B34,'B1 - Matriz de custos diretos'!$C$3:$C$496,"Materiais")*'A3 - Demanda Anual Agregada '!L11</f>
        <v>324030</v>
      </c>
      <c r="M34" s="61">
        <f>SUMIFS('B1 - Matriz de custos diretos'!$G$3:$G$496,'B1 - Matriz de custos diretos'!$B$3:$B$496,$B34,'B1 - Matriz de custos diretos'!$C$3:$C$496,"Materiais")*'A3 - Demanda Anual Agregada '!M11</f>
        <v>333900</v>
      </c>
      <c r="N34" s="61">
        <f>SUMIFS('B1 - Matriz de custos diretos'!$G$3:$G$496,'B1 - Matriz de custos diretos'!$B$3:$B$496,$B34,'B1 - Matriz de custos diretos'!$C$3:$C$496,"Materiais")*'A3 - Demanda Anual Agregada '!N11</f>
        <v>344067.5</v>
      </c>
      <c r="O34" s="61">
        <f>SUMIFS('B1 - Matriz de custos diretos'!$G$3:$G$496,'B1 - Matriz de custos diretos'!$B$3:$B$496,$B34,'B1 - Matriz de custos diretos'!$C$3:$C$496,"Materiais")*'A3 - Demanda Anual Agregada '!O11</f>
        <v>354550</v>
      </c>
      <c r="P34" s="61">
        <f>SUMIFS('B1 - Matriz de custos diretos'!$G$3:$G$496,'B1 - Matriz de custos diretos'!$B$3:$B$496,$B34,'B1 - Matriz de custos diretos'!$C$3:$C$496,"Materiais")*'A3 - Demanda Anual Agregada '!P11</f>
        <v>365365</v>
      </c>
      <c r="Q34" s="61">
        <f>SUMIFS('B1 - Matriz de custos diretos'!$G$3:$G$496,'B1 - Matriz de custos diretos'!$B$3:$B$496,$B34,'B1 - Matriz de custos diretos'!$C$3:$C$496,"Materiais")*'A3 - Demanda Anual Agregada '!Q11</f>
        <v>376495</v>
      </c>
      <c r="R34" s="61">
        <f>SUMIFS('B1 - Matriz de custos diretos'!$G$3:$G$496,'B1 - Matriz de custos diretos'!$B$3:$B$496,$B34,'B1 - Matriz de custos diretos'!$C$3:$C$496,"Materiais")*'A3 - Demanda Anual Agregada '!R11</f>
        <v>387922.5</v>
      </c>
      <c r="S34" s="61">
        <f>SUMIFS('B1 - Matriz de custos diretos'!$G$3:$G$496,'B1 - Matriz de custos diretos'!$B$3:$B$496,$B34,'B1 - Matriz de custos diretos'!$C$3:$C$496,"Materiais")*'A3 - Demanda Anual Agregada '!S11</f>
        <v>399647.5</v>
      </c>
      <c r="T34" s="61">
        <f>SUMIFS('B1 - Matriz de custos diretos'!$G$3:$G$496,'B1 - Matriz de custos diretos'!$B$3:$B$496,$B34,'B1 - Matriz de custos diretos'!$C$3:$C$496,"Materiais")*'A3 - Demanda Anual Agregada '!T11</f>
        <v>411635</v>
      </c>
      <c r="U34" s="61">
        <f>SUMIFS('B1 - Matriz de custos diretos'!$G$3:$G$496,'B1 - Matriz de custos diretos'!$B$3:$B$496,$B34,'B1 - Matriz de custos diretos'!$C$3:$C$496,"Materiais")*'A3 - Demanda Anual Agregada '!U11</f>
        <v>423832.5</v>
      </c>
      <c r="V34" s="61">
        <f>SUMIFS('B1 - Matriz de custos diretos'!$G$3:$G$496,'B1 - Matriz de custos diretos'!$B$3:$B$496,$B34,'B1 - Matriz de custos diretos'!$C$3:$C$496,"Materiais")*'A3 - Demanda Anual Agregada '!V11</f>
        <v>436187.5</v>
      </c>
      <c r="W34" s="61">
        <f>SUMIFS('B1 - Matriz de custos diretos'!$G$3:$G$496,'B1 - Matriz de custos diretos'!$B$3:$B$496,$B34,'B1 - Matriz de custos diretos'!$C$3:$C$496,"Materiais")*'A3 - Demanda Anual Agregada '!W11</f>
        <v>436187.5</v>
      </c>
      <c r="X34" s="61">
        <f>SUMIFS('B1 - Matriz de custos diretos'!$G$3:$G$496,'B1 - Matriz de custos diretos'!$B$3:$B$496,$B34,'B1 - Matriz de custos diretos'!$C$3:$C$496,"Materiais")*'A3 - Demanda Anual Agregada '!X11</f>
        <v>436187.5</v>
      </c>
      <c r="Y34" s="61">
        <f>SUMIFS('B1 - Matriz de custos diretos'!$G$3:$G$496,'B1 - Matriz de custos diretos'!$B$3:$B$496,$B34,'B1 - Matriz de custos diretos'!$C$3:$C$496,"Materiais")*'A3 - Demanda Anual Agregada '!Y11</f>
        <v>436187.5</v>
      </c>
      <c r="Z34" s="61">
        <f>SUMIFS('B1 - Matriz de custos diretos'!$G$3:$G$496,'B1 - Matriz de custos diretos'!$B$3:$B$496,$B34,'B1 - Matriz de custos diretos'!$C$3:$C$496,"Materiais")*'A3 - Demanda Anual Agregada '!Z11</f>
        <v>436187.5</v>
      </c>
      <c r="AA34" s="61">
        <f>SUMIFS('B1 - Matriz de custos diretos'!$G$3:$G$496,'B1 - Matriz de custos diretos'!$B$3:$B$496,$B34,'B1 - Matriz de custos diretos'!$C$3:$C$496,"Materiais")*'A3 - Demanda Anual Agregada '!AA11</f>
        <v>436187.5</v>
      </c>
      <c r="AB34" s="61">
        <f>SUMIFS('B1 - Matriz de custos diretos'!$G$3:$G$496,'B1 - Matriz de custos diretos'!$B$3:$B$496,$B34,'B1 - Matriz de custos diretos'!$C$3:$C$496,"Materiais")*'A3 - Demanda Anual Agregada '!AB11</f>
        <v>436187.5</v>
      </c>
      <c r="AC34" s="61">
        <f>SUMIFS('B1 - Matriz de custos diretos'!$G$3:$G$496,'B1 - Matriz de custos diretos'!$B$3:$B$496,$B34,'B1 - Matriz de custos diretos'!$C$3:$C$496,"Materiais")*'A3 - Demanda Anual Agregada '!AC11</f>
        <v>436187.5</v>
      </c>
      <c r="AD34" s="61">
        <f>SUMIFS('B1 - Matriz de custos diretos'!$G$3:$G$496,'B1 - Matriz de custos diretos'!$B$3:$B$496,$B34,'B1 - Matriz de custos diretos'!$C$3:$C$496,"Materiais")*'A3 - Demanda Anual Agregada '!AD11</f>
        <v>436187.5</v>
      </c>
      <c r="AE34" s="61">
        <f>SUMIFS('B1 - Matriz de custos diretos'!$G$3:$G$496,'B1 - Matriz de custos diretos'!$B$3:$B$496,$B34,'B1 - Matriz de custos diretos'!$C$3:$C$496,"Materiais")*'A3 - Demanda Anual Agregada '!AE11</f>
        <v>436187.5</v>
      </c>
      <c r="AF34" s="61">
        <f>SUMIFS('B1 - Matriz de custos diretos'!$G$3:$G$496,'B1 - Matriz de custos diretos'!$B$3:$B$496,$B34,'B1 - Matriz de custos diretos'!$C$3:$C$496,"Materiais")*'A3 - Demanda Anual Agregada '!AF11</f>
        <v>436187.5</v>
      </c>
    </row>
    <row r="35" spans="1:32" ht="15.75" customHeight="1">
      <c r="A35" s="292"/>
      <c r="B35" s="60" t="str">
        <f>'A3 - Demanda Anual Agregada '!B12</f>
        <v>Silveira - Alimentação</v>
      </c>
      <c r="C35" s="61">
        <f>SUMIFS('B1 - Matriz de custos diretos'!$G$3:$G$496,'B1 - Matriz de custos diretos'!$B$3:$B$496,$B35,'B1 - Matriz de custos diretos'!$C$3:$C$496,"Materiais")*'A3 - Demanda Anual Agregada '!C12</f>
        <v>0</v>
      </c>
      <c r="D35" s="61">
        <f>SUMIFS('B1 - Matriz de custos diretos'!$G$3:$G$496,'B1 - Matriz de custos diretos'!$B$3:$B$496,$B35,'B1 - Matriz de custos diretos'!$C$3:$C$496,"Materiais")*'A3 - Demanda Anual Agregada '!D12</f>
        <v>0</v>
      </c>
      <c r="E35" s="61">
        <f>SUMIFS('B1 - Matriz de custos diretos'!$G$3:$G$496,'B1 - Matriz de custos diretos'!$B$3:$B$496,$B35,'B1 - Matriz de custos diretos'!$C$3:$C$496,"Materiais")*'A3 - Demanda Anual Agregada '!E12</f>
        <v>0</v>
      </c>
      <c r="F35" s="61">
        <f>SUMIFS('B1 - Matriz de custos diretos'!$G$3:$G$496,'B1 - Matriz de custos diretos'!$B$3:$B$496,$B35,'B1 - Matriz de custos diretos'!$C$3:$C$496,"Materiais")*'A3 - Demanda Anual Agregada '!F12</f>
        <v>0</v>
      </c>
      <c r="G35" s="61">
        <f>SUMIFS('B1 - Matriz de custos diretos'!$G$3:$G$496,'B1 - Matriz de custos diretos'!$B$3:$B$496,$B35,'B1 - Matriz de custos diretos'!$C$3:$C$496,"Materiais")*'A3 - Demanda Anual Agregada '!G12</f>
        <v>0</v>
      </c>
      <c r="H35" s="61">
        <f>SUMIFS('B1 - Matriz de custos diretos'!$G$3:$G$496,'B1 - Matriz de custos diretos'!$B$3:$B$496,$B35,'B1 - Matriz de custos diretos'!$C$3:$C$496,"Materiais")*'A3 - Demanda Anual Agregada '!H12</f>
        <v>0</v>
      </c>
      <c r="I35" s="61">
        <f>SUMIFS('B1 - Matriz de custos diretos'!$G$3:$G$496,'B1 - Matriz de custos diretos'!$B$3:$B$496,$B35,'B1 - Matriz de custos diretos'!$C$3:$C$496,"Materiais")*'A3 - Demanda Anual Agregada '!I12</f>
        <v>0</v>
      </c>
      <c r="J35" s="61">
        <f>SUMIFS('B1 - Matriz de custos diretos'!$G$3:$G$496,'B1 - Matriz de custos diretos'!$B$3:$B$496,$B35,'B1 - Matriz de custos diretos'!$C$3:$C$496,"Materiais")*'A3 - Demanda Anual Agregada '!J12</f>
        <v>0</v>
      </c>
      <c r="K35" s="61">
        <f>SUMIFS('B1 - Matriz de custos diretos'!$G$3:$G$496,'B1 - Matriz de custos diretos'!$B$3:$B$496,$B35,'B1 - Matriz de custos diretos'!$C$3:$C$496,"Materiais")*'A3 - Demanda Anual Agregada '!K12</f>
        <v>0</v>
      </c>
      <c r="L35" s="61">
        <f>SUMIFS('B1 - Matriz de custos diretos'!$G$3:$G$496,'B1 - Matriz de custos diretos'!$B$3:$B$496,$B35,'B1 - Matriz de custos diretos'!$C$3:$C$496,"Materiais")*'A3 - Demanda Anual Agregada '!L12</f>
        <v>0</v>
      </c>
      <c r="M35" s="61">
        <f>SUMIFS('B1 - Matriz de custos diretos'!$G$3:$G$496,'B1 - Matriz de custos diretos'!$B$3:$B$496,$B35,'B1 - Matriz de custos diretos'!$C$3:$C$496,"Materiais")*'A3 - Demanda Anual Agregada '!M12</f>
        <v>0</v>
      </c>
      <c r="N35" s="61">
        <f>SUMIFS('B1 - Matriz de custos diretos'!$G$3:$G$496,'B1 - Matriz de custos diretos'!$B$3:$B$496,$B35,'B1 - Matriz de custos diretos'!$C$3:$C$496,"Materiais")*'A3 - Demanda Anual Agregada '!N12</f>
        <v>0</v>
      </c>
      <c r="O35" s="61">
        <f>SUMIFS('B1 - Matriz de custos diretos'!$G$3:$G$496,'B1 - Matriz de custos diretos'!$B$3:$B$496,$B35,'B1 - Matriz de custos diretos'!$C$3:$C$496,"Materiais")*'A3 - Demanda Anual Agregada '!O12</f>
        <v>0</v>
      </c>
      <c r="P35" s="61">
        <f>SUMIFS('B1 - Matriz de custos diretos'!$G$3:$G$496,'B1 - Matriz de custos diretos'!$B$3:$B$496,$B35,'B1 - Matriz de custos diretos'!$C$3:$C$496,"Materiais")*'A3 - Demanda Anual Agregada '!P12</f>
        <v>0</v>
      </c>
      <c r="Q35" s="61">
        <f>SUMIFS('B1 - Matriz de custos diretos'!$G$3:$G$496,'B1 - Matriz de custos diretos'!$B$3:$B$496,$B35,'B1 - Matriz de custos diretos'!$C$3:$C$496,"Materiais")*'A3 - Demanda Anual Agregada '!Q12</f>
        <v>0</v>
      </c>
      <c r="R35" s="61">
        <f>SUMIFS('B1 - Matriz de custos diretos'!$G$3:$G$496,'B1 - Matriz de custos diretos'!$B$3:$B$496,$B35,'B1 - Matriz de custos diretos'!$C$3:$C$496,"Materiais")*'A3 - Demanda Anual Agregada '!R12</f>
        <v>0</v>
      </c>
      <c r="S35" s="61">
        <f>SUMIFS('B1 - Matriz de custos diretos'!$G$3:$G$496,'B1 - Matriz de custos diretos'!$B$3:$B$496,$B35,'B1 - Matriz de custos diretos'!$C$3:$C$496,"Materiais")*'A3 - Demanda Anual Agregada '!S12</f>
        <v>0</v>
      </c>
      <c r="T35" s="61">
        <f>SUMIFS('B1 - Matriz de custos diretos'!$G$3:$G$496,'B1 - Matriz de custos diretos'!$B$3:$B$496,$B35,'B1 - Matriz de custos diretos'!$C$3:$C$496,"Materiais")*'A3 - Demanda Anual Agregada '!T12</f>
        <v>0</v>
      </c>
      <c r="U35" s="61">
        <f>SUMIFS('B1 - Matriz de custos diretos'!$G$3:$G$496,'B1 - Matriz de custos diretos'!$B$3:$B$496,$B35,'B1 - Matriz de custos diretos'!$C$3:$C$496,"Materiais")*'A3 - Demanda Anual Agregada '!U12</f>
        <v>0</v>
      </c>
      <c r="V35" s="61">
        <f>SUMIFS('B1 - Matriz de custos diretos'!$G$3:$G$496,'B1 - Matriz de custos diretos'!$B$3:$B$496,$B35,'B1 - Matriz de custos diretos'!$C$3:$C$496,"Materiais")*'A3 - Demanda Anual Agregada '!V12</f>
        <v>0</v>
      </c>
      <c r="W35" s="61">
        <f>SUMIFS('B1 - Matriz de custos diretos'!$G$3:$G$496,'B1 - Matriz de custos diretos'!$B$3:$B$496,$B35,'B1 - Matriz de custos diretos'!$C$3:$C$496,"Materiais")*'A3 - Demanda Anual Agregada '!W12</f>
        <v>0</v>
      </c>
      <c r="X35" s="61">
        <f>SUMIFS('B1 - Matriz de custos diretos'!$G$3:$G$496,'B1 - Matriz de custos diretos'!$B$3:$B$496,$B35,'B1 - Matriz de custos diretos'!$C$3:$C$496,"Materiais")*'A3 - Demanda Anual Agregada '!X12</f>
        <v>0</v>
      </c>
      <c r="Y35" s="61">
        <f>SUMIFS('B1 - Matriz de custos diretos'!$G$3:$G$496,'B1 - Matriz de custos diretos'!$B$3:$B$496,$B35,'B1 - Matriz de custos diretos'!$C$3:$C$496,"Materiais")*'A3 - Demanda Anual Agregada '!Y12</f>
        <v>0</v>
      </c>
      <c r="Z35" s="61">
        <f>SUMIFS('B1 - Matriz de custos diretos'!$G$3:$G$496,'B1 - Matriz de custos diretos'!$B$3:$B$496,$B35,'B1 - Matriz de custos diretos'!$C$3:$C$496,"Materiais")*'A3 - Demanda Anual Agregada '!Z12</f>
        <v>0</v>
      </c>
      <c r="AA35" s="61">
        <f>SUMIFS('B1 - Matriz de custos diretos'!$G$3:$G$496,'B1 - Matriz de custos diretos'!$B$3:$B$496,$B35,'B1 - Matriz de custos diretos'!$C$3:$C$496,"Materiais")*'A3 - Demanda Anual Agregada '!AA12</f>
        <v>0</v>
      </c>
      <c r="AB35" s="61">
        <f>SUMIFS('B1 - Matriz de custos diretos'!$G$3:$G$496,'B1 - Matriz de custos diretos'!$B$3:$B$496,$B35,'B1 - Matriz de custos diretos'!$C$3:$C$496,"Materiais")*'A3 - Demanda Anual Agregada '!AB12</f>
        <v>0</v>
      </c>
      <c r="AC35" s="61">
        <f>SUMIFS('B1 - Matriz de custos diretos'!$G$3:$G$496,'B1 - Matriz de custos diretos'!$B$3:$B$496,$B35,'B1 - Matriz de custos diretos'!$C$3:$C$496,"Materiais")*'A3 - Demanda Anual Agregada '!AC12</f>
        <v>0</v>
      </c>
      <c r="AD35" s="61">
        <f>SUMIFS('B1 - Matriz de custos diretos'!$G$3:$G$496,'B1 - Matriz de custos diretos'!$B$3:$B$496,$B35,'B1 - Matriz de custos diretos'!$C$3:$C$496,"Materiais")*'A3 - Demanda Anual Agregada '!AD12</f>
        <v>0</v>
      </c>
      <c r="AE35" s="61">
        <f>SUMIFS('B1 - Matriz de custos diretos'!$G$3:$G$496,'B1 - Matriz de custos diretos'!$B$3:$B$496,$B35,'B1 - Matriz de custos diretos'!$C$3:$C$496,"Materiais")*'A3 - Demanda Anual Agregada '!AE12</f>
        <v>0</v>
      </c>
      <c r="AF35" s="61">
        <f>SUMIFS('B1 - Matriz de custos diretos'!$G$3:$G$496,'B1 - Matriz de custos diretos'!$B$3:$B$496,$B35,'B1 - Matriz de custos diretos'!$C$3:$C$496,"Materiais")*'A3 - Demanda Anual Agregada '!AF12</f>
        <v>0</v>
      </c>
    </row>
    <row r="36" spans="1:32" ht="15.75" customHeight="1">
      <c r="A36" s="292"/>
      <c r="B36" s="60" t="str">
        <f>'A3 - Demanda Anual Agregada '!B13</f>
        <v>Silveira - Comércio + Locação + Atividades</v>
      </c>
      <c r="C36" s="61">
        <f>SUMIFS('B1 - Matriz de custos diretos'!$G$3:$G$496,'B1 - Matriz de custos diretos'!$B$3:$B$496,$B36,'B1 - Matriz de custos diretos'!$C$3:$C$496,"Materiais")*'A3 - Demanda Anual Agregada '!C13</f>
        <v>0</v>
      </c>
      <c r="D36" s="61">
        <f>SUMIFS('B1 - Matriz de custos diretos'!$G$3:$G$496,'B1 - Matriz de custos diretos'!$B$3:$B$496,$B36,'B1 - Matriz de custos diretos'!$C$3:$C$496,"Materiais")*'A3 - Demanda Anual Agregada '!D13</f>
        <v>0</v>
      </c>
      <c r="E36" s="61">
        <f>SUMIFS('B1 - Matriz de custos diretos'!$G$3:$G$496,'B1 - Matriz de custos diretos'!$B$3:$B$496,$B36,'B1 - Matriz de custos diretos'!$C$3:$C$496,"Materiais")*'A3 - Demanda Anual Agregada '!E13</f>
        <v>0</v>
      </c>
      <c r="F36" s="61">
        <f>SUMIFS('B1 - Matriz de custos diretos'!$G$3:$G$496,'B1 - Matriz de custos diretos'!$B$3:$B$496,$B36,'B1 - Matriz de custos diretos'!$C$3:$C$496,"Materiais")*'A3 - Demanda Anual Agregada '!F13</f>
        <v>0</v>
      </c>
      <c r="G36" s="61">
        <f>SUMIFS('B1 - Matriz de custos diretos'!$G$3:$G$496,'B1 - Matriz de custos diretos'!$B$3:$B$496,$B36,'B1 - Matriz de custos diretos'!$C$3:$C$496,"Materiais")*'A3 - Demanda Anual Agregada '!G13</f>
        <v>0</v>
      </c>
      <c r="H36" s="61">
        <f>SUMIFS('B1 - Matriz de custos diretos'!$G$3:$G$496,'B1 - Matriz de custos diretos'!$B$3:$B$496,$B36,'B1 - Matriz de custos diretos'!$C$3:$C$496,"Materiais")*'A3 - Demanda Anual Agregada '!H13</f>
        <v>0</v>
      </c>
      <c r="I36" s="61">
        <f>SUMIFS('B1 - Matriz de custos diretos'!$G$3:$G$496,'B1 - Matriz de custos diretos'!$B$3:$B$496,$B36,'B1 - Matriz de custos diretos'!$C$3:$C$496,"Materiais")*'A3 - Demanda Anual Agregada '!I13</f>
        <v>0</v>
      </c>
      <c r="J36" s="61">
        <f>SUMIFS('B1 - Matriz de custos diretos'!$G$3:$G$496,'B1 - Matriz de custos diretos'!$B$3:$B$496,$B36,'B1 - Matriz de custos diretos'!$C$3:$C$496,"Materiais")*'A3 - Demanda Anual Agregada '!J13</f>
        <v>0</v>
      </c>
      <c r="K36" s="61">
        <f>SUMIFS('B1 - Matriz de custos diretos'!$G$3:$G$496,'B1 - Matriz de custos diretos'!$B$3:$B$496,$B36,'B1 - Matriz de custos diretos'!$C$3:$C$496,"Materiais")*'A3 - Demanda Anual Agregada '!K13</f>
        <v>0</v>
      </c>
      <c r="L36" s="61">
        <f>SUMIFS('B1 - Matriz de custos diretos'!$G$3:$G$496,'B1 - Matriz de custos diretos'!$B$3:$B$496,$B36,'B1 - Matriz de custos diretos'!$C$3:$C$496,"Materiais")*'A3 - Demanda Anual Agregada '!L13</f>
        <v>0</v>
      </c>
      <c r="M36" s="61">
        <f>SUMIFS('B1 - Matriz de custos diretos'!$G$3:$G$496,'B1 - Matriz de custos diretos'!$B$3:$B$496,$B36,'B1 - Matriz de custos diretos'!$C$3:$C$496,"Materiais")*'A3 - Demanda Anual Agregada '!M13</f>
        <v>0</v>
      </c>
      <c r="N36" s="61">
        <f>SUMIFS('B1 - Matriz de custos diretos'!$G$3:$G$496,'B1 - Matriz de custos diretos'!$B$3:$B$496,$B36,'B1 - Matriz de custos diretos'!$C$3:$C$496,"Materiais")*'A3 - Demanda Anual Agregada '!N13</f>
        <v>0</v>
      </c>
      <c r="O36" s="61">
        <f>SUMIFS('B1 - Matriz de custos diretos'!$G$3:$G$496,'B1 - Matriz de custos diretos'!$B$3:$B$496,$B36,'B1 - Matriz de custos diretos'!$C$3:$C$496,"Materiais")*'A3 - Demanda Anual Agregada '!O13</f>
        <v>0</v>
      </c>
      <c r="P36" s="61">
        <f>SUMIFS('B1 - Matriz de custos diretos'!$G$3:$G$496,'B1 - Matriz de custos diretos'!$B$3:$B$496,$B36,'B1 - Matriz de custos diretos'!$C$3:$C$496,"Materiais")*'A3 - Demanda Anual Agregada '!P13</f>
        <v>0</v>
      </c>
      <c r="Q36" s="61">
        <f>SUMIFS('B1 - Matriz de custos diretos'!$G$3:$G$496,'B1 - Matriz de custos diretos'!$B$3:$B$496,$B36,'B1 - Matriz de custos diretos'!$C$3:$C$496,"Materiais")*'A3 - Demanda Anual Agregada '!Q13</f>
        <v>0</v>
      </c>
      <c r="R36" s="61">
        <f>SUMIFS('B1 - Matriz de custos diretos'!$G$3:$G$496,'B1 - Matriz de custos diretos'!$B$3:$B$496,$B36,'B1 - Matriz de custos diretos'!$C$3:$C$496,"Materiais")*'A3 - Demanda Anual Agregada '!R13</f>
        <v>0</v>
      </c>
      <c r="S36" s="61">
        <f>SUMIFS('B1 - Matriz de custos diretos'!$G$3:$G$496,'B1 - Matriz de custos diretos'!$B$3:$B$496,$B36,'B1 - Matriz de custos diretos'!$C$3:$C$496,"Materiais")*'A3 - Demanda Anual Agregada '!S13</f>
        <v>0</v>
      </c>
      <c r="T36" s="61">
        <f>SUMIFS('B1 - Matriz de custos diretos'!$G$3:$G$496,'B1 - Matriz de custos diretos'!$B$3:$B$496,$B36,'B1 - Matriz de custos diretos'!$C$3:$C$496,"Materiais")*'A3 - Demanda Anual Agregada '!T13</f>
        <v>0</v>
      </c>
      <c r="U36" s="61">
        <f>SUMIFS('B1 - Matriz de custos diretos'!$G$3:$G$496,'B1 - Matriz de custos diretos'!$B$3:$B$496,$B36,'B1 - Matriz de custos diretos'!$C$3:$C$496,"Materiais")*'A3 - Demanda Anual Agregada '!U13</f>
        <v>0</v>
      </c>
      <c r="V36" s="61">
        <f>SUMIFS('B1 - Matriz de custos diretos'!$G$3:$G$496,'B1 - Matriz de custos diretos'!$B$3:$B$496,$B36,'B1 - Matriz de custos diretos'!$C$3:$C$496,"Materiais")*'A3 - Demanda Anual Agregada '!V13</f>
        <v>0</v>
      </c>
      <c r="W36" s="61">
        <f>SUMIFS('B1 - Matriz de custos diretos'!$G$3:$G$496,'B1 - Matriz de custos diretos'!$B$3:$B$496,$B36,'B1 - Matriz de custos diretos'!$C$3:$C$496,"Materiais")*'A3 - Demanda Anual Agregada '!W13</f>
        <v>0</v>
      </c>
      <c r="X36" s="61">
        <f>SUMIFS('B1 - Matriz de custos diretos'!$G$3:$G$496,'B1 - Matriz de custos diretos'!$B$3:$B$496,$B36,'B1 - Matriz de custos diretos'!$C$3:$C$496,"Materiais")*'A3 - Demanda Anual Agregada '!X13</f>
        <v>0</v>
      </c>
      <c r="Y36" s="61">
        <f>SUMIFS('B1 - Matriz de custos diretos'!$G$3:$G$496,'B1 - Matriz de custos diretos'!$B$3:$B$496,$B36,'B1 - Matriz de custos diretos'!$C$3:$C$496,"Materiais")*'A3 - Demanda Anual Agregada '!Y13</f>
        <v>0</v>
      </c>
      <c r="Z36" s="61">
        <f>SUMIFS('B1 - Matriz de custos diretos'!$G$3:$G$496,'B1 - Matriz de custos diretos'!$B$3:$B$496,$B36,'B1 - Matriz de custos diretos'!$C$3:$C$496,"Materiais")*'A3 - Demanda Anual Agregada '!Z13</f>
        <v>0</v>
      </c>
      <c r="AA36" s="61">
        <f>SUMIFS('B1 - Matriz de custos diretos'!$G$3:$G$496,'B1 - Matriz de custos diretos'!$B$3:$B$496,$B36,'B1 - Matriz de custos diretos'!$C$3:$C$496,"Materiais")*'A3 - Demanda Anual Agregada '!AA13</f>
        <v>0</v>
      </c>
      <c r="AB36" s="61">
        <f>SUMIFS('B1 - Matriz de custos diretos'!$G$3:$G$496,'B1 - Matriz de custos diretos'!$B$3:$B$496,$B36,'B1 - Matriz de custos diretos'!$C$3:$C$496,"Materiais")*'A3 - Demanda Anual Agregada '!AB13</f>
        <v>0</v>
      </c>
      <c r="AC36" s="61">
        <f>SUMIFS('B1 - Matriz de custos diretos'!$G$3:$G$496,'B1 - Matriz de custos diretos'!$B$3:$B$496,$B36,'B1 - Matriz de custos diretos'!$C$3:$C$496,"Materiais")*'A3 - Demanda Anual Agregada '!AC13</f>
        <v>0</v>
      </c>
      <c r="AD36" s="61">
        <f>SUMIFS('B1 - Matriz de custos diretos'!$G$3:$G$496,'B1 - Matriz de custos diretos'!$B$3:$B$496,$B36,'B1 - Matriz de custos diretos'!$C$3:$C$496,"Materiais")*'A3 - Demanda Anual Agregada '!AD13</f>
        <v>0</v>
      </c>
      <c r="AE36" s="61">
        <f>SUMIFS('B1 - Matriz de custos diretos'!$G$3:$G$496,'B1 - Matriz de custos diretos'!$B$3:$B$496,$B36,'B1 - Matriz de custos diretos'!$C$3:$C$496,"Materiais")*'A3 - Demanda Anual Agregada '!AE13</f>
        <v>0</v>
      </c>
      <c r="AF36" s="61">
        <f>SUMIFS('B1 - Matriz de custos diretos'!$G$3:$G$496,'B1 - Matriz de custos diretos'!$B$3:$B$496,$B36,'B1 - Matriz de custos diretos'!$C$3:$C$496,"Materiais")*'A3 - Demanda Anual Agregada '!AF13</f>
        <v>0</v>
      </c>
    </row>
    <row r="37" spans="1:32" ht="15.75" customHeight="1">
      <c r="A37" s="292"/>
      <c r="B37" s="60" t="str">
        <f>'A3 - Demanda Anual Agregada '!B14</f>
        <v>Silveira - Hospedagem</v>
      </c>
      <c r="C37" s="61">
        <f>SUMIFS('B1 - Matriz de custos diretos'!$G$3:$G$496,'B1 - Matriz de custos diretos'!$B$3:$B$496,$B37,'B1 - Matriz de custos diretos'!$C$3:$C$496,"Materiais")*'A3 - Demanda Anual Agregada '!C14</f>
        <v>0</v>
      </c>
      <c r="D37" s="61">
        <f>SUMIFS('B1 - Matriz de custos diretos'!$G$3:$G$496,'B1 - Matriz de custos diretos'!$B$3:$B$496,$B37,'B1 - Matriz de custos diretos'!$C$3:$C$496,"Materiais")*'A3 - Demanda Anual Agregada '!D14</f>
        <v>0</v>
      </c>
      <c r="E37" s="61">
        <f>SUMIFS('B1 - Matriz de custos diretos'!$G$3:$G$496,'B1 - Matriz de custos diretos'!$B$3:$B$496,$B37,'B1 - Matriz de custos diretos'!$C$3:$C$496,"Materiais")*'A3 - Demanda Anual Agregada '!E14</f>
        <v>0</v>
      </c>
      <c r="F37" s="61">
        <f>SUMIFS('B1 - Matriz de custos diretos'!$G$3:$G$496,'B1 - Matriz de custos diretos'!$B$3:$B$496,$B37,'B1 - Matriz de custos diretos'!$C$3:$C$496,"Materiais")*'A3 - Demanda Anual Agregada '!F14</f>
        <v>0</v>
      </c>
      <c r="G37" s="61">
        <f>SUMIFS('B1 - Matriz de custos diretos'!$G$3:$G$496,'B1 - Matriz de custos diretos'!$B$3:$B$496,$B37,'B1 - Matriz de custos diretos'!$C$3:$C$496,"Materiais")*'A3 - Demanda Anual Agregada '!G14</f>
        <v>0</v>
      </c>
      <c r="H37" s="61">
        <f>SUMIFS('B1 - Matriz de custos diretos'!$G$3:$G$496,'B1 - Matriz de custos diretos'!$B$3:$B$496,$B37,'B1 - Matriz de custos diretos'!$C$3:$C$496,"Materiais")*'A3 - Demanda Anual Agregada '!H14</f>
        <v>0</v>
      </c>
      <c r="I37" s="61">
        <f>SUMIFS('B1 - Matriz de custos diretos'!$G$3:$G$496,'B1 - Matriz de custos diretos'!$B$3:$B$496,$B37,'B1 - Matriz de custos diretos'!$C$3:$C$496,"Materiais")*'A3 - Demanda Anual Agregada '!I14</f>
        <v>0</v>
      </c>
      <c r="J37" s="61">
        <f>SUMIFS('B1 - Matriz de custos diretos'!$G$3:$G$496,'B1 - Matriz de custos diretos'!$B$3:$B$496,$B37,'B1 - Matriz de custos diretos'!$C$3:$C$496,"Materiais")*'A3 - Demanda Anual Agregada '!J14</f>
        <v>0</v>
      </c>
      <c r="K37" s="61">
        <f>SUMIFS('B1 - Matriz de custos diretos'!$G$3:$G$496,'B1 - Matriz de custos diretos'!$B$3:$B$496,$B37,'B1 - Matriz de custos diretos'!$C$3:$C$496,"Materiais")*'A3 - Demanda Anual Agregada '!K14</f>
        <v>0</v>
      </c>
      <c r="L37" s="61">
        <f>SUMIFS('B1 - Matriz de custos diretos'!$G$3:$G$496,'B1 - Matriz de custos diretos'!$B$3:$B$496,$B37,'B1 - Matriz de custos diretos'!$C$3:$C$496,"Materiais")*'A3 - Demanda Anual Agregada '!L14</f>
        <v>0</v>
      </c>
      <c r="M37" s="61">
        <f>SUMIFS('B1 - Matriz de custos diretos'!$G$3:$G$496,'B1 - Matriz de custos diretos'!$B$3:$B$496,$B37,'B1 - Matriz de custos diretos'!$C$3:$C$496,"Materiais")*'A3 - Demanda Anual Agregada '!M14</f>
        <v>0</v>
      </c>
      <c r="N37" s="61">
        <f>SUMIFS('B1 - Matriz de custos diretos'!$G$3:$G$496,'B1 - Matriz de custos diretos'!$B$3:$B$496,$B37,'B1 - Matriz de custos diretos'!$C$3:$C$496,"Materiais")*'A3 - Demanda Anual Agregada '!N14</f>
        <v>0</v>
      </c>
      <c r="O37" s="61">
        <f>SUMIFS('B1 - Matriz de custos diretos'!$G$3:$G$496,'B1 - Matriz de custos diretos'!$B$3:$B$496,$B37,'B1 - Matriz de custos diretos'!$C$3:$C$496,"Materiais")*'A3 - Demanda Anual Agregada '!O14</f>
        <v>0</v>
      </c>
      <c r="P37" s="61">
        <f>SUMIFS('B1 - Matriz de custos diretos'!$G$3:$G$496,'B1 - Matriz de custos diretos'!$B$3:$B$496,$B37,'B1 - Matriz de custos diretos'!$C$3:$C$496,"Materiais")*'A3 - Demanda Anual Agregada '!P14</f>
        <v>0</v>
      </c>
      <c r="Q37" s="61">
        <f>SUMIFS('B1 - Matriz de custos diretos'!$G$3:$G$496,'B1 - Matriz de custos diretos'!$B$3:$B$496,$B37,'B1 - Matriz de custos diretos'!$C$3:$C$496,"Materiais")*'A3 - Demanda Anual Agregada '!Q14</f>
        <v>0</v>
      </c>
      <c r="R37" s="61">
        <f>SUMIFS('B1 - Matriz de custos diretos'!$G$3:$G$496,'B1 - Matriz de custos diretos'!$B$3:$B$496,$B37,'B1 - Matriz de custos diretos'!$C$3:$C$496,"Materiais")*'A3 - Demanda Anual Agregada '!R14</f>
        <v>0</v>
      </c>
      <c r="S37" s="61">
        <f>SUMIFS('B1 - Matriz de custos diretos'!$G$3:$G$496,'B1 - Matriz de custos diretos'!$B$3:$B$496,$B37,'B1 - Matriz de custos diretos'!$C$3:$C$496,"Materiais")*'A3 - Demanda Anual Agregada '!S14</f>
        <v>0</v>
      </c>
      <c r="T37" s="61">
        <f>SUMIFS('B1 - Matriz de custos diretos'!$G$3:$G$496,'B1 - Matriz de custos diretos'!$B$3:$B$496,$B37,'B1 - Matriz de custos diretos'!$C$3:$C$496,"Materiais")*'A3 - Demanda Anual Agregada '!T14</f>
        <v>0</v>
      </c>
      <c r="U37" s="61">
        <f>SUMIFS('B1 - Matriz de custos diretos'!$G$3:$G$496,'B1 - Matriz de custos diretos'!$B$3:$B$496,$B37,'B1 - Matriz de custos diretos'!$C$3:$C$496,"Materiais")*'A3 - Demanda Anual Agregada '!U14</f>
        <v>0</v>
      </c>
      <c r="V37" s="61">
        <f>SUMIFS('B1 - Matriz de custos diretos'!$G$3:$G$496,'B1 - Matriz de custos diretos'!$B$3:$B$496,$B37,'B1 - Matriz de custos diretos'!$C$3:$C$496,"Materiais")*'A3 - Demanda Anual Agregada '!V14</f>
        <v>0</v>
      </c>
      <c r="W37" s="61">
        <f>SUMIFS('B1 - Matriz de custos diretos'!$G$3:$G$496,'B1 - Matriz de custos diretos'!$B$3:$B$496,$B37,'B1 - Matriz de custos diretos'!$C$3:$C$496,"Materiais")*'A3 - Demanda Anual Agregada '!W14</f>
        <v>0</v>
      </c>
      <c r="X37" s="61">
        <f>SUMIFS('B1 - Matriz de custos diretos'!$G$3:$G$496,'B1 - Matriz de custos diretos'!$B$3:$B$496,$B37,'B1 - Matriz de custos diretos'!$C$3:$C$496,"Materiais")*'A3 - Demanda Anual Agregada '!X14</f>
        <v>0</v>
      </c>
      <c r="Y37" s="61">
        <f>SUMIFS('B1 - Matriz de custos diretos'!$G$3:$G$496,'B1 - Matriz de custos diretos'!$B$3:$B$496,$B37,'B1 - Matriz de custos diretos'!$C$3:$C$496,"Materiais")*'A3 - Demanda Anual Agregada '!Y14</f>
        <v>0</v>
      </c>
      <c r="Z37" s="61">
        <f>SUMIFS('B1 - Matriz de custos diretos'!$G$3:$G$496,'B1 - Matriz de custos diretos'!$B$3:$B$496,$B37,'B1 - Matriz de custos diretos'!$C$3:$C$496,"Materiais")*'A3 - Demanda Anual Agregada '!Z14</f>
        <v>0</v>
      </c>
      <c r="AA37" s="61">
        <f>SUMIFS('B1 - Matriz de custos diretos'!$G$3:$G$496,'B1 - Matriz de custos diretos'!$B$3:$B$496,$B37,'B1 - Matriz de custos diretos'!$C$3:$C$496,"Materiais")*'A3 - Demanda Anual Agregada '!AA14</f>
        <v>0</v>
      </c>
      <c r="AB37" s="61">
        <f>SUMIFS('B1 - Matriz de custos diretos'!$G$3:$G$496,'B1 - Matriz de custos diretos'!$B$3:$B$496,$B37,'B1 - Matriz de custos diretos'!$C$3:$C$496,"Materiais")*'A3 - Demanda Anual Agregada '!AB14</f>
        <v>0</v>
      </c>
      <c r="AC37" s="61">
        <f>SUMIFS('B1 - Matriz de custos diretos'!$G$3:$G$496,'B1 - Matriz de custos diretos'!$B$3:$B$496,$B37,'B1 - Matriz de custos diretos'!$C$3:$C$496,"Materiais")*'A3 - Demanda Anual Agregada '!AC14</f>
        <v>0</v>
      </c>
      <c r="AD37" s="61">
        <f>SUMIFS('B1 - Matriz de custos diretos'!$G$3:$G$496,'B1 - Matriz de custos diretos'!$B$3:$B$496,$B37,'B1 - Matriz de custos diretos'!$C$3:$C$496,"Materiais")*'A3 - Demanda Anual Agregada '!AD14</f>
        <v>0</v>
      </c>
      <c r="AE37" s="61">
        <f>SUMIFS('B1 - Matriz de custos diretos'!$G$3:$G$496,'B1 - Matriz de custos diretos'!$B$3:$B$496,$B37,'B1 - Matriz de custos diretos'!$C$3:$C$496,"Materiais")*'A3 - Demanda Anual Agregada '!AE14</f>
        <v>0</v>
      </c>
      <c r="AF37" s="61">
        <f>SUMIFS('B1 - Matriz de custos diretos'!$G$3:$G$496,'B1 - Matriz de custos diretos'!$B$3:$B$496,$B37,'B1 - Matriz de custos diretos'!$C$3:$C$496,"Materiais")*'A3 - Demanda Anual Agregada '!AF14</f>
        <v>0</v>
      </c>
    </row>
    <row r="38" spans="1:32" ht="15.75" customHeight="1">
      <c r="A38" s="292"/>
      <c r="B38" s="60" t="str">
        <f>'A3 - Demanda Anual Agregada '!B15</f>
        <v>Pedra Furada - Alimentação</v>
      </c>
      <c r="C38" s="61">
        <f>SUMIFS('B1 - Matriz de custos diretos'!$G$3:$G$496,'B1 - Matriz de custos diretos'!$B$3:$B$496,$B38,'B1 - Matriz de custos diretos'!$C$3:$C$496,"Materiais")*'A3 - Demanda Anual Agregada '!C15</f>
        <v>0</v>
      </c>
      <c r="D38" s="61">
        <f>SUMIFS('B1 - Matriz de custos diretos'!$G$3:$G$496,'B1 - Matriz de custos diretos'!$B$3:$B$496,$B38,'B1 - Matriz de custos diretos'!$C$3:$C$496,"Materiais")*'A3 - Demanda Anual Agregada '!D15</f>
        <v>584253</v>
      </c>
      <c r="E38" s="61">
        <f>SUMIFS('B1 - Matriz de custos diretos'!$G$3:$G$496,'B1 - Matriz de custos diretos'!$B$3:$B$496,$B38,'B1 - Matriz de custos diretos'!$C$3:$C$496,"Materiais")*'A3 - Demanda Anual Agregada '!E15</f>
        <v>604408.5</v>
      </c>
      <c r="F38" s="61">
        <f>SUMIFS('B1 - Matriz de custos diretos'!$G$3:$G$496,'B1 - Matriz de custos diretos'!$B$3:$B$496,$B38,'B1 - Matriz de custos diretos'!$C$3:$C$496,"Materiais")*'A3 - Demanda Anual Agregada '!F15</f>
        <v>623922.75</v>
      </c>
      <c r="G38" s="61">
        <f>SUMIFS('B1 - Matriz de custos diretos'!$G$3:$G$496,'B1 - Matriz de custos diretos'!$B$3:$B$496,$B38,'B1 - Matriz de custos diretos'!$C$3:$C$496,"Materiais")*'A3 - Demanda Anual Agregada '!G15</f>
        <v>643754.25</v>
      </c>
      <c r="H38" s="61">
        <f>SUMIFS('B1 - Matriz de custos diretos'!$G$3:$G$496,'B1 - Matriz de custos diretos'!$B$3:$B$496,$B38,'B1 - Matriz de custos diretos'!$C$3:$C$496,"Materiais")*'A3 - Demanda Anual Agregada '!H15</f>
        <v>663930</v>
      </c>
      <c r="I38" s="61">
        <f>SUMIFS('B1 - Matriz de custos diretos'!$G$3:$G$496,'B1 - Matriz de custos diretos'!$B$3:$B$496,$B38,'B1 - Matriz de custos diretos'!$C$3:$C$496,"Materiais")*'A3 - Demanda Anual Agregada '!I15</f>
        <v>684679.5</v>
      </c>
      <c r="J38" s="61">
        <f>SUMIFS('B1 - Matriz de custos diretos'!$G$3:$G$496,'B1 - Matriz de custos diretos'!$B$3:$B$496,$B38,'B1 - Matriz de custos diretos'!$C$3:$C$496,"Materiais")*'A3 - Demanda Anual Agregada '!J15</f>
        <v>706029.75</v>
      </c>
      <c r="K38" s="61">
        <f>SUMIFS('B1 - Matriz de custos diretos'!$G$3:$G$496,'B1 - Matriz de custos diretos'!$B$3:$B$496,$B38,'B1 - Matriz de custos diretos'!$C$3:$C$496,"Materiais")*'A3 - Demanda Anual Agregada '!K15</f>
        <v>727771.5</v>
      </c>
      <c r="L38" s="61">
        <f>SUMIFS('B1 - Matriz de custos diretos'!$G$3:$G$496,'B1 - Matriz de custos diretos'!$B$3:$B$496,$B38,'B1 - Matriz de custos diretos'!$C$3:$C$496,"Materiais")*'A3 - Demanda Anual Agregada '!L15</f>
        <v>749911.5</v>
      </c>
      <c r="M38" s="61">
        <f>SUMIFS('B1 - Matriz de custos diretos'!$G$3:$G$496,'B1 - Matriz de custos diretos'!$B$3:$B$496,$B38,'B1 - Matriz de custos diretos'!$C$3:$C$496,"Materiais")*'A3 - Demanda Anual Agregada '!M15</f>
        <v>772753.5</v>
      </c>
      <c r="N38" s="61">
        <f>SUMIFS('B1 - Matriz de custos diretos'!$G$3:$G$496,'B1 - Matriz de custos diretos'!$B$3:$B$496,$B38,'B1 - Matriz de custos diretos'!$C$3:$C$496,"Materiais")*'A3 - Demanda Anual Agregada '!N15</f>
        <v>796277.25</v>
      </c>
      <c r="O38" s="61">
        <f>SUMIFS('B1 - Matriz de custos diretos'!$G$3:$G$496,'B1 - Matriz de custos diretos'!$B$3:$B$496,$B38,'B1 - Matriz de custos diretos'!$C$3:$C$496,"Materiais")*'A3 - Demanda Anual Agregada '!O15</f>
        <v>820550.25</v>
      </c>
      <c r="P38" s="61">
        <f>SUMIFS('B1 - Matriz de custos diretos'!$G$3:$G$496,'B1 - Matriz de custos diretos'!$B$3:$B$496,$B38,'B1 - Matriz de custos diretos'!$C$3:$C$496,"Materiais")*'A3 - Demanda Anual Agregada '!P15</f>
        <v>845552.25</v>
      </c>
      <c r="Q38" s="61">
        <f>SUMIFS('B1 - Matriz de custos diretos'!$G$3:$G$496,'B1 - Matriz de custos diretos'!$B$3:$B$496,$B38,'B1 - Matriz de custos diretos'!$C$3:$C$496,"Materiais")*'A3 - Demanda Anual Agregada '!Q15</f>
        <v>871310.25</v>
      </c>
      <c r="R38" s="61">
        <f>SUMIFS('B1 - Matriz de custos diretos'!$G$3:$G$496,'B1 - Matriz de custos diretos'!$B$3:$B$496,$B38,'B1 - Matriz de custos diretos'!$C$3:$C$496,"Materiais")*'A3 - Demanda Anual Agregada '!R15</f>
        <v>897777</v>
      </c>
      <c r="S38" s="61">
        <f>SUMIFS('B1 - Matriz de custos diretos'!$G$3:$G$496,'B1 - Matriz de custos diretos'!$B$3:$B$496,$B38,'B1 - Matriz de custos diretos'!$C$3:$C$496,"Materiais")*'A3 - Demanda Anual Agregada '!S15</f>
        <v>924912</v>
      </c>
      <c r="T38" s="61">
        <f>SUMIFS('B1 - Matriz de custos diretos'!$G$3:$G$496,'B1 - Matriz de custos diretos'!$B$3:$B$496,$B38,'B1 - Matriz de custos diretos'!$C$3:$C$496,"Materiais")*'A3 - Demanda Anual Agregada '!T15</f>
        <v>952627.5</v>
      </c>
      <c r="U38" s="61">
        <f>SUMIFS('B1 - Matriz de custos diretos'!$G$3:$G$496,'B1 - Matriz de custos diretos'!$B$3:$B$496,$B38,'B1 - Matriz de custos diretos'!$C$3:$C$496,"Materiais")*'A3 - Demanda Anual Agregada '!U15</f>
        <v>980856</v>
      </c>
      <c r="V38" s="61">
        <f>SUMIFS('B1 - Matriz de custos diretos'!$G$3:$G$496,'B1 - Matriz de custos diretos'!$B$3:$B$496,$B38,'B1 - Matriz de custos diretos'!$C$3:$C$496,"Materiais")*'A3 - Demanda Anual Agregada '!V15</f>
        <v>1009455.75</v>
      </c>
      <c r="W38" s="61">
        <f>SUMIFS('B1 - Matriz de custos diretos'!$G$3:$G$496,'B1 - Matriz de custos diretos'!$B$3:$B$496,$B38,'B1 - Matriz de custos diretos'!$C$3:$C$496,"Materiais")*'A3 - Demanda Anual Agregada '!W15</f>
        <v>1009455.75</v>
      </c>
      <c r="X38" s="61">
        <f>SUMIFS('B1 - Matriz de custos diretos'!$G$3:$G$496,'B1 - Matriz de custos diretos'!$B$3:$B$496,$B38,'B1 - Matriz de custos diretos'!$C$3:$C$496,"Materiais")*'A3 - Demanda Anual Agregada '!X15</f>
        <v>1009455.75</v>
      </c>
      <c r="Y38" s="61">
        <f>SUMIFS('B1 - Matriz de custos diretos'!$G$3:$G$496,'B1 - Matriz de custos diretos'!$B$3:$B$496,$B38,'B1 - Matriz de custos diretos'!$C$3:$C$496,"Materiais")*'A3 - Demanda Anual Agregada '!Y15</f>
        <v>1009455.75</v>
      </c>
      <c r="Z38" s="61">
        <f>SUMIFS('B1 - Matriz de custos diretos'!$G$3:$G$496,'B1 - Matriz de custos diretos'!$B$3:$B$496,$B38,'B1 - Matriz de custos diretos'!$C$3:$C$496,"Materiais")*'A3 - Demanda Anual Agregada '!Z15</f>
        <v>1009455.75</v>
      </c>
      <c r="AA38" s="61">
        <f>SUMIFS('B1 - Matriz de custos diretos'!$G$3:$G$496,'B1 - Matriz de custos diretos'!$B$3:$B$496,$B38,'B1 - Matriz de custos diretos'!$C$3:$C$496,"Materiais")*'A3 - Demanda Anual Agregada '!AA15</f>
        <v>1009455.75</v>
      </c>
      <c r="AB38" s="61">
        <f>SUMIFS('B1 - Matriz de custos diretos'!$G$3:$G$496,'B1 - Matriz de custos diretos'!$B$3:$B$496,$B38,'B1 - Matriz de custos diretos'!$C$3:$C$496,"Materiais")*'A3 - Demanda Anual Agregada '!AB15</f>
        <v>1009455.75</v>
      </c>
      <c r="AC38" s="61">
        <f>SUMIFS('B1 - Matriz de custos diretos'!$G$3:$G$496,'B1 - Matriz de custos diretos'!$B$3:$B$496,$B38,'B1 - Matriz de custos diretos'!$C$3:$C$496,"Materiais")*'A3 - Demanda Anual Agregada '!AC15</f>
        <v>1009455.75</v>
      </c>
      <c r="AD38" s="61">
        <f>SUMIFS('B1 - Matriz de custos diretos'!$G$3:$G$496,'B1 - Matriz de custos diretos'!$B$3:$B$496,$B38,'B1 - Matriz de custos diretos'!$C$3:$C$496,"Materiais")*'A3 - Demanda Anual Agregada '!AD15</f>
        <v>1009455.75</v>
      </c>
      <c r="AE38" s="61">
        <f>SUMIFS('B1 - Matriz de custos diretos'!$G$3:$G$496,'B1 - Matriz de custos diretos'!$B$3:$B$496,$B38,'B1 - Matriz de custos diretos'!$C$3:$C$496,"Materiais")*'A3 - Demanda Anual Agregada '!AE15</f>
        <v>1009455.75</v>
      </c>
      <c r="AF38" s="61">
        <f>SUMIFS('B1 - Matriz de custos diretos'!$G$3:$G$496,'B1 - Matriz de custos diretos'!$B$3:$B$496,$B38,'B1 - Matriz de custos diretos'!$C$3:$C$496,"Materiais")*'A3 - Demanda Anual Agregada '!AF15</f>
        <v>1009455.75</v>
      </c>
    </row>
    <row r="39" spans="1:32" ht="15.75" customHeight="1">
      <c r="A39" s="292"/>
      <c r="B39" s="60" t="str">
        <f>'A3 - Demanda Anual Agregada '!B16</f>
        <v>Pedra Furada - Comércio</v>
      </c>
      <c r="C39" s="61">
        <f>SUMIFS('B1 - Matriz de custos diretos'!$G$3:$G$496,'B1 - Matriz de custos diretos'!$B$3:$B$496,$B39,'B1 - Matriz de custos diretos'!$C$3:$C$496,"Materiais")*'A3 - Demanda Anual Agregada '!C16</f>
        <v>0</v>
      </c>
      <c r="D39" s="61">
        <f>SUMIFS('B1 - Matriz de custos diretos'!$G$3:$G$496,'B1 - Matriz de custos diretos'!$B$3:$B$496,$B39,'B1 - Matriz de custos diretos'!$C$3:$C$496,"Materiais")*'A3 - Demanda Anual Agregada '!D16</f>
        <v>252455</v>
      </c>
      <c r="E39" s="61">
        <f>SUMIFS('B1 - Matriz de custos diretos'!$G$3:$G$496,'B1 - Matriz de custos diretos'!$B$3:$B$496,$B39,'B1 - Matriz de custos diretos'!$C$3:$C$496,"Materiais")*'A3 - Demanda Anual Agregada '!E16</f>
        <v>261170</v>
      </c>
      <c r="F39" s="61">
        <f>SUMIFS('B1 - Matriz de custos diretos'!$G$3:$G$496,'B1 - Matriz de custos diretos'!$B$3:$B$496,$B39,'B1 - Matriz de custos diretos'!$C$3:$C$496,"Materiais")*'A3 - Demanda Anual Agregada '!F16</f>
        <v>269605</v>
      </c>
      <c r="G39" s="61">
        <f>SUMIFS('B1 - Matriz de custos diretos'!$G$3:$G$496,'B1 - Matriz de custos diretos'!$B$3:$B$496,$B39,'B1 - Matriz de custos diretos'!$C$3:$C$496,"Materiais")*'A3 - Demanda Anual Agregada '!G16</f>
        <v>278162.5</v>
      </c>
      <c r="H39" s="61">
        <f>SUMIFS('B1 - Matriz de custos diretos'!$G$3:$G$496,'B1 - Matriz de custos diretos'!$B$3:$B$496,$B39,'B1 - Matriz de custos diretos'!$C$3:$C$496,"Materiais")*'A3 - Demanda Anual Agregada '!H16</f>
        <v>286877.5</v>
      </c>
      <c r="I39" s="61">
        <f>SUMIFS('B1 - Matriz de custos diretos'!$G$3:$G$496,'B1 - Matriz de custos diretos'!$B$3:$B$496,$B39,'B1 - Matriz de custos diretos'!$C$3:$C$496,"Materiais")*'A3 - Demanda Anual Agregada '!I16</f>
        <v>295855</v>
      </c>
      <c r="J39" s="61">
        <f>SUMIFS('B1 - Matriz de custos diretos'!$G$3:$G$496,'B1 - Matriz de custos diretos'!$B$3:$B$496,$B39,'B1 - Matriz de custos diretos'!$C$3:$C$496,"Materiais")*'A3 - Demanda Anual Agregada '!J16</f>
        <v>305077.5</v>
      </c>
      <c r="K39" s="61">
        <f>SUMIFS('B1 - Matriz de custos diretos'!$G$3:$G$496,'B1 - Matriz de custos diretos'!$B$3:$B$496,$B39,'B1 - Matriz de custos diretos'!$C$3:$C$496,"Materiais")*'A3 - Demanda Anual Agregada '!K16</f>
        <v>314475</v>
      </c>
      <c r="L39" s="61">
        <f>SUMIFS('B1 - Matriz de custos diretos'!$G$3:$G$496,'B1 - Matriz de custos diretos'!$B$3:$B$496,$B39,'B1 - Matriz de custos diretos'!$C$3:$C$496,"Materiais")*'A3 - Demanda Anual Agregada '!L16</f>
        <v>324030</v>
      </c>
      <c r="M39" s="61">
        <f>SUMIFS('B1 - Matriz de custos diretos'!$G$3:$G$496,'B1 - Matriz de custos diretos'!$B$3:$B$496,$B39,'B1 - Matriz de custos diretos'!$C$3:$C$496,"Materiais")*'A3 - Demanda Anual Agregada '!M16</f>
        <v>333900</v>
      </c>
      <c r="N39" s="61">
        <f>SUMIFS('B1 - Matriz de custos diretos'!$G$3:$G$496,'B1 - Matriz de custos diretos'!$B$3:$B$496,$B39,'B1 - Matriz de custos diretos'!$C$3:$C$496,"Materiais")*'A3 - Demanda Anual Agregada '!N16</f>
        <v>344067.5</v>
      </c>
      <c r="O39" s="61">
        <f>SUMIFS('B1 - Matriz de custos diretos'!$G$3:$G$496,'B1 - Matriz de custos diretos'!$B$3:$B$496,$B39,'B1 - Matriz de custos diretos'!$C$3:$C$496,"Materiais")*'A3 - Demanda Anual Agregada '!O16</f>
        <v>354550</v>
      </c>
      <c r="P39" s="61">
        <f>SUMIFS('B1 - Matriz de custos diretos'!$G$3:$G$496,'B1 - Matriz de custos diretos'!$B$3:$B$496,$B39,'B1 - Matriz de custos diretos'!$C$3:$C$496,"Materiais")*'A3 - Demanda Anual Agregada '!P16</f>
        <v>365365</v>
      </c>
      <c r="Q39" s="61">
        <f>SUMIFS('B1 - Matriz de custos diretos'!$G$3:$G$496,'B1 - Matriz de custos diretos'!$B$3:$B$496,$B39,'B1 - Matriz de custos diretos'!$C$3:$C$496,"Materiais")*'A3 - Demanda Anual Agregada '!Q16</f>
        <v>376495</v>
      </c>
      <c r="R39" s="61">
        <f>SUMIFS('B1 - Matriz de custos diretos'!$G$3:$G$496,'B1 - Matriz de custos diretos'!$B$3:$B$496,$B39,'B1 - Matriz de custos diretos'!$C$3:$C$496,"Materiais")*'A3 - Demanda Anual Agregada '!R16</f>
        <v>387922.5</v>
      </c>
      <c r="S39" s="61">
        <f>SUMIFS('B1 - Matriz de custos diretos'!$G$3:$G$496,'B1 - Matriz de custos diretos'!$B$3:$B$496,$B39,'B1 - Matriz de custos diretos'!$C$3:$C$496,"Materiais")*'A3 - Demanda Anual Agregada '!S16</f>
        <v>399647.5</v>
      </c>
      <c r="T39" s="61">
        <f>SUMIFS('B1 - Matriz de custos diretos'!$G$3:$G$496,'B1 - Matriz de custos diretos'!$B$3:$B$496,$B39,'B1 - Matriz de custos diretos'!$C$3:$C$496,"Materiais")*'A3 - Demanda Anual Agregada '!T16</f>
        <v>411635</v>
      </c>
      <c r="U39" s="61">
        <f>SUMIFS('B1 - Matriz de custos diretos'!$G$3:$G$496,'B1 - Matriz de custos diretos'!$B$3:$B$496,$B39,'B1 - Matriz de custos diretos'!$C$3:$C$496,"Materiais")*'A3 - Demanda Anual Agregada '!U16</f>
        <v>423832.5</v>
      </c>
      <c r="V39" s="61">
        <f>SUMIFS('B1 - Matriz de custos diretos'!$G$3:$G$496,'B1 - Matriz de custos diretos'!$B$3:$B$496,$B39,'B1 - Matriz de custos diretos'!$C$3:$C$496,"Materiais")*'A3 - Demanda Anual Agregada '!V16</f>
        <v>436187.5</v>
      </c>
      <c r="W39" s="61">
        <f>SUMIFS('B1 - Matriz de custos diretos'!$G$3:$G$496,'B1 - Matriz de custos diretos'!$B$3:$B$496,$B39,'B1 - Matriz de custos diretos'!$C$3:$C$496,"Materiais")*'A3 - Demanda Anual Agregada '!W16</f>
        <v>436187.5</v>
      </c>
      <c r="X39" s="61">
        <f>SUMIFS('B1 - Matriz de custos diretos'!$G$3:$G$496,'B1 - Matriz de custos diretos'!$B$3:$B$496,$B39,'B1 - Matriz de custos diretos'!$C$3:$C$496,"Materiais")*'A3 - Demanda Anual Agregada '!X16</f>
        <v>436187.5</v>
      </c>
      <c r="Y39" s="61">
        <f>SUMIFS('B1 - Matriz de custos diretos'!$G$3:$G$496,'B1 - Matriz de custos diretos'!$B$3:$B$496,$B39,'B1 - Matriz de custos diretos'!$C$3:$C$496,"Materiais")*'A3 - Demanda Anual Agregada '!Y16</f>
        <v>436187.5</v>
      </c>
      <c r="Z39" s="61">
        <f>SUMIFS('B1 - Matriz de custos diretos'!$G$3:$G$496,'B1 - Matriz de custos diretos'!$B$3:$B$496,$B39,'B1 - Matriz de custos diretos'!$C$3:$C$496,"Materiais")*'A3 - Demanda Anual Agregada '!Z16</f>
        <v>436187.5</v>
      </c>
      <c r="AA39" s="61">
        <f>SUMIFS('B1 - Matriz de custos diretos'!$G$3:$G$496,'B1 - Matriz de custos diretos'!$B$3:$B$496,$B39,'B1 - Matriz de custos diretos'!$C$3:$C$496,"Materiais")*'A3 - Demanda Anual Agregada '!AA16</f>
        <v>436187.5</v>
      </c>
      <c r="AB39" s="61">
        <f>SUMIFS('B1 - Matriz de custos diretos'!$G$3:$G$496,'B1 - Matriz de custos diretos'!$B$3:$B$496,$B39,'B1 - Matriz de custos diretos'!$C$3:$C$496,"Materiais")*'A3 - Demanda Anual Agregada '!AB16</f>
        <v>436187.5</v>
      </c>
      <c r="AC39" s="61">
        <f>SUMIFS('B1 - Matriz de custos diretos'!$G$3:$G$496,'B1 - Matriz de custos diretos'!$B$3:$B$496,$B39,'B1 - Matriz de custos diretos'!$C$3:$C$496,"Materiais")*'A3 - Demanda Anual Agregada '!AC16</f>
        <v>436187.5</v>
      </c>
      <c r="AD39" s="61">
        <f>SUMIFS('B1 - Matriz de custos diretos'!$G$3:$G$496,'B1 - Matriz de custos diretos'!$B$3:$B$496,$B39,'B1 - Matriz de custos diretos'!$C$3:$C$496,"Materiais")*'A3 - Demanda Anual Agregada '!AD16</f>
        <v>436187.5</v>
      </c>
      <c r="AE39" s="61">
        <f>SUMIFS('B1 - Matriz de custos diretos'!$G$3:$G$496,'B1 - Matriz de custos diretos'!$B$3:$B$496,$B39,'B1 - Matriz de custos diretos'!$C$3:$C$496,"Materiais")*'A3 - Demanda Anual Agregada '!AE16</f>
        <v>436187.5</v>
      </c>
      <c r="AF39" s="61">
        <f>SUMIFS('B1 - Matriz de custos diretos'!$G$3:$G$496,'B1 - Matriz de custos diretos'!$B$3:$B$496,$B39,'B1 - Matriz de custos diretos'!$C$3:$C$496,"Materiais")*'A3 - Demanda Anual Agregada '!AF16</f>
        <v>436187.5</v>
      </c>
    </row>
    <row r="40" spans="1:32" ht="15.75" customHeight="1">
      <c r="A40" s="292"/>
      <c r="B40" s="60" t="str">
        <f>'A3 - Demanda Anual Agregada '!B17</f>
        <v>Serrote - Alimentação</v>
      </c>
      <c r="C40" s="61">
        <f>SUMIFS('B1 - Matriz de custos diretos'!$G$3:$G$496,'B1 - Matriz de custos diretos'!$B$3:$B$496,$B40,'B1 - Matriz de custos diretos'!$C$3:$C$496,"Materiais")*'A3 - Demanda Anual Agregada '!C17</f>
        <v>0</v>
      </c>
      <c r="D40" s="61">
        <f>SUMIFS('B1 - Matriz de custos diretos'!$G$3:$G$496,'B1 - Matriz de custos diretos'!$B$3:$B$496,$B40,'B1 - Matriz de custos diretos'!$C$3:$C$496,"Materiais")*'A3 - Demanda Anual Agregada '!D17</f>
        <v>584253</v>
      </c>
      <c r="E40" s="61">
        <f>SUMIFS('B1 - Matriz de custos diretos'!$G$3:$G$496,'B1 - Matriz de custos diretos'!$B$3:$B$496,$B40,'B1 - Matriz de custos diretos'!$C$3:$C$496,"Materiais")*'A3 - Demanda Anual Agregada '!E17</f>
        <v>604408.5</v>
      </c>
      <c r="F40" s="61">
        <f>SUMIFS('B1 - Matriz de custos diretos'!$G$3:$G$496,'B1 - Matriz de custos diretos'!$B$3:$B$496,$B40,'B1 - Matriz de custos diretos'!$C$3:$C$496,"Materiais")*'A3 - Demanda Anual Agregada '!F17</f>
        <v>623922.75</v>
      </c>
      <c r="G40" s="61">
        <f>SUMIFS('B1 - Matriz de custos diretos'!$G$3:$G$496,'B1 - Matriz de custos diretos'!$B$3:$B$496,$B40,'B1 - Matriz de custos diretos'!$C$3:$C$496,"Materiais")*'A3 - Demanda Anual Agregada '!G17</f>
        <v>643754.25</v>
      </c>
      <c r="H40" s="61">
        <f>SUMIFS('B1 - Matriz de custos diretos'!$G$3:$G$496,'B1 - Matriz de custos diretos'!$B$3:$B$496,$B40,'B1 - Matriz de custos diretos'!$C$3:$C$496,"Materiais")*'A3 - Demanda Anual Agregada '!H17</f>
        <v>663930</v>
      </c>
      <c r="I40" s="61">
        <f>SUMIFS('B1 - Matriz de custos diretos'!$G$3:$G$496,'B1 - Matriz de custos diretos'!$B$3:$B$496,$B40,'B1 - Matriz de custos diretos'!$C$3:$C$496,"Materiais")*'A3 - Demanda Anual Agregada '!I17</f>
        <v>684679.5</v>
      </c>
      <c r="J40" s="61">
        <f>SUMIFS('B1 - Matriz de custos diretos'!$G$3:$G$496,'B1 - Matriz de custos diretos'!$B$3:$B$496,$B40,'B1 - Matriz de custos diretos'!$C$3:$C$496,"Materiais")*'A3 - Demanda Anual Agregada '!J17</f>
        <v>706029.75</v>
      </c>
      <c r="K40" s="61">
        <f>SUMIFS('B1 - Matriz de custos diretos'!$G$3:$G$496,'B1 - Matriz de custos diretos'!$B$3:$B$496,$B40,'B1 - Matriz de custos diretos'!$C$3:$C$496,"Materiais")*'A3 - Demanda Anual Agregada '!K17</f>
        <v>727771.5</v>
      </c>
      <c r="L40" s="61">
        <f>SUMIFS('B1 - Matriz de custos diretos'!$G$3:$G$496,'B1 - Matriz de custos diretos'!$B$3:$B$496,$B40,'B1 - Matriz de custos diretos'!$C$3:$C$496,"Materiais")*'A3 - Demanda Anual Agregada '!L17</f>
        <v>749911.5</v>
      </c>
      <c r="M40" s="61">
        <f>SUMIFS('B1 - Matriz de custos diretos'!$G$3:$G$496,'B1 - Matriz de custos diretos'!$B$3:$B$496,$B40,'B1 - Matriz de custos diretos'!$C$3:$C$496,"Materiais")*'A3 - Demanda Anual Agregada '!M17</f>
        <v>772753.5</v>
      </c>
      <c r="N40" s="61">
        <f>SUMIFS('B1 - Matriz de custos diretos'!$G$3:$G$496,'B1 - Matriz de custos diretos'!$B$3:$B$496,$B40,'B1 - Matriz de custos diretos'!$C$3:$C$496,"Materiais")*'A3 - Demanda Anual Agregada '!N17</f>
        <v>796277.25</v>
      </c>
      <c r="O40" s="61">
        <f>SUMIFS('B1 - Matriz de custos diretos'!$G$3:$G$496,'B1 - Matriz de custos diretos'!$B$3:$B$496,$B40,'B1 - Matriz de custos diretos'!$C$3:$C$496,"Materiais")*'A3 - Demanda Anual Agregada '!O17</f>
        <v>820550.25</v>
      </c>
      <c r="P40" s="61">
        <f>SUMIFS('B1 - Matriz de custos diretos'!$G$3:$G$496,'B1 - Matriz de custos diretos'!$B$3:$B$496,$B40,'B1 - Matriz de custos diretos'!$C$3:$C$496,"Materiais")*'A3 - Demanda Anual Agregada '!P17</f>
        <v>845552.25</v>
      </c>
      <c r="Q40" s="61">
        <f>SUMIFS('B1 - Matriz de custos diretos'!$G$3:$G$496,'B1 - Matriz de custos diretos'!$B$3:$B$496,$B40,'B1 - Matriz de custos diretos'!$C$3:$C$496,"Materiais")*'A3 - Demanda Anual Agregada '!Q17</f>
        <v>871310.25</v>
      </c>
      <c r="R40" s="61">
        <f>SUMIFS('B1 - Matriz de custos diretos'!$G$3:$G$496,'B1 - Matriz de custos diretos'!$B$3:$B$496,$B40,'B1 - Matriz de custos diretos'!$C$3:$C$496,"Materiais")*'A3 - Demanda Anual Agregada '!R17</f>
        <v>897777</v>
      </c>
      <c r="S40" s="61">
        <f>SUMIFS('B1 - Matriz de custos diretos'!$G$3:$G$496,'B1 - Matriz de custos diretos'!$B$3:$B$496,$B40,'B1 - Matriz de custos diretos'!$C$3:$C$496,"Materiais")*'A3 - Demanda Anual Agregada '!S17</f>
        <v>924912</v>
      </c>
      <c r="T40" s="61">
        <f>SUMIFS('B1 - Matriz de custos diretos'!$G$3:$G$496,'B1 - Matriz de custos diretos'!$B$3:$B$496,$B40,'B1 - Matriz de custos diretos'!$C$3:$C$496,"Materiais")*'A3 - Demanda Anual Agregada '!T17</f>
        <v>952627.5</v>
      </c>
      <c r="U40" s="61">
        <f>SUMIFS('B1 - Matriz de custos diretos'!$G$3:$G$496,'B1 - Matriz de custos diretos'!$B$3:$B$496,$B40,'B1 - Matriz de custos diretos'!$C$3:$C$496,"Materiais")*'A3 - Demanda Anual Agregada '!U17</f>
        <v>980856</v>
      </c>
      <c r="V40" s="61">
        <f>SUMIFS('B1 - Matriz de custos diretos'!$G$3:$G$496,'B1 - Matriz de custos diretos'!$B$3:$B$496,$B40,'B1 - Matriz de custos diretos'!$C$3:$C$496,"Materiais")*'A3 - Demanda Anual Agregada '!V17</f>
        <v>1009455.75</v>
      </c>
      <c r="W40" s="61">
        <f>SUMIFS('B1 - Matriz de custos diretos'!$G$3:$G$496,'B1 - Matriz de custos diretos'!$B$3:$B$496,$B40,'B1 - Matriz de custos diretos'!$C$3:$C$496,"Materiais")*'A3 - Demanda Anual Agregada '!W17</f>
        <v>1009455.75</v>
      </c>
      <c r="X40" s="61">
        <f>SUMIFS('B1 - Matriz de custos diretos'!$G$3:$G$496,'B1 - Matriz de custos diretos'!$B$3:$B$496,$B40,'B1 - Matriz de custos diretos'!$C$3:$C$496,"Materiais")*'A3 - Demanda Anual Agregada '!X17</f>
        <v>1009455.75</v>
      </c>
      <c r="Y40" s="61">
        <f>SUMIFS('B1 - Matriz de custos diretos'!$G$3:$G$496,'B1 - Matriz de custos diretos'!$B$3:$B$496,$B40,'B1 - Matriz de custos diretos'!$C$3:$C$496,"Materiais")*'A3 - Demanda Anual Agregada '!Y17</f>
        <v>1009455.75</v>
      </c>
      <c r="Z40" s="61">
        <f>SUMIFS('B1 - Matriz de custos diretos'!$G$3:$G$496,'B1 - Matriz de custos diretos'!$B$3:$B$496,$B40,'B1 - Matriz de custos diretos'!$C$3:$C$496,"Materiais")*'A3 - Demanda Anual Agregada '!Z17</f>
        <v>1009455.75</v>
      </c>
      <c r="AA40" s="61">
        <f>SUMIFS('B1 - Matriz de custos diretos'!$G$3:$G$496,'B1 - Matriz de custos diretos'!$B$3:$B$496,$B40,'B1 - Matriz de custos diretos'!$C$3:$C$496,"Materiais")*'A3 - Demanda Anual Agregada '!AA17</f>
        <v>1009455.75</v>
      </c>
      <c r="AB40" s="61">
        <f>SUMIFS('B1 - Matriz de custos diretos'!$G$3:$G$496,'B1 - Matriz de custos diretos'!$B$3:$B$496,$B40,'B1 - Matriz de custos diretos'!$C$3:$C$496,"Materiais")*'A3 - Demanda Anual Agregada '!AB17</f>
        <v>1009455.75</v>
      </c>
      <c r="AC40" s="61">
        <f>SUMIFS('B1 - Matriz de custos diretos'!$G$3:$G$496,'B1 - Matriz de custos diretos'!$B$3:$B$496,$B40,'B1 - Matriz de custos diretos'!$C$3:$C$496,"Materiais")*'A3 - Demanda Anual Agregada '!AC17</f>
        <v>1009455.75</v>
      </c>
      <c r="AD40" s="61">
        <f>SUMIFS('B1 - Matriz de custos diretos'!$G$3:$G$496,'B1 - Matriz de custos diretos'!$B$3:$B$496,$B40,'B1 - Matriz de custos diretos'!$C$3:$C$496,"Materiais")*'A3 - Demanda Anual Agregada '!AD17</f>
        <v>1009455.75</v>
      </c>
      <c r="AE40" s="61">
        <f>SUMIFS('B1 - Matriz de custos diretos'!$G$3:$G$496,'B1 - Matriz de custos diretos'!$B$3:$B$496,$B40,'B1 - Matriz de custos diretos'!$C$3:$C$496,"Materiais")*'A3 - Demanda Anual Agregada '!AE17</f>
        <v>1009455.75</v>
      </c>
      <c r="AF40" s="61">
        <f>SUMIFS('B1 - Matriz de custos diretos'!$G$3:$G$496,'B1 - Matriz de custos diretos'!$B$3:$B$496,$B40,'B1 - Matriz de custos diretos'!$C$3:$C$496,"Materiais")*'A3 - Demanda Anual Agregada '!AF17</f>
        <v>1009455.75</v>
      </c>
    </row>
    <row r="41" spans="1:32" ht="15.75" customHeight="1">
      <c r="A41" s="292"/>
      <c r="B41" s="60" t="str">
        <f>'A3 - Demanda Anual Agregada '!B18</f>
        <v>Serrote - Comércio</v>
      </c>
      <c r="C41" s="61">
        <f>SUMIFS('B1 - Matriz de custos diretos'!$G$3:$G$496,'B1 - Matriz de custos diretos'!$B$3:$B$496,$B41,'B1 - Matriz de custos diretos'!$C$3:$C$496,"Materiais")*'A3 - Demanda Anual Agregada '!C18</f>
        <v>0</v>
      </c>
      <c r="D41" s="61">
        <f>SUMIFS('B1 - Matriz de custos diretos'!$G$3:$G$496,'B1 - Matriz de custos diretos'!$B$3:$B$496,$B41,'B1 - Matriz de custos diretos'!$C$3:$C$496,"Materiais")*'A3 - Demanda Anual Agregada '!D18</f>
        <v>252455</v>
      </c>
      <c r="E41" s="61">
        <f>SUMIFS('B1 - Matriz de custos diretos'!$G$3:$G$496,'B1 - Matriz de custos diretos'!$B$3:$B$496,$B41,'B1 - Matriz de custos diretos'!$C$3:$C$496,"Materiais")*'A3 - Demanda Anual Agregada '!E18</f>
        <v>261170</v>
      </c>
      <c r="F41" s="61">
        <f>SUMIFS('B1 - Matriz de custos diretos'!$G$3:$G$496,'B1 - Matriz de custos diretos'!$B$3:$B$496,$B41,'B1 - Matriz de custos diretos'!$C$3:$C$496,"Materiais")*'A3 - Demanda Anual Agregada '!F18</f>
        <v>269605</v>
      </c>
      <c r="G41" s="61">
        <f>SUMIFS('B1 - Matriz de custos diretos'!$G$3:$G$496,'B1 - Matriz de custos diretos'!$B$3:$B$496,$B41,'B1 - Matriz de custos diretos'!$C$3:$C$496,"Materiais")*'A3 - Demanda Anual Agregada '!G18</f>
        <v>278162.5</v>
      </c>
      <c r="H41" s="61">
        <f>SUMIFS('B1 - Matriz de custos diretos'!$G$3:$G$496,'B1 - Matriz de custos diretos'!$B$3:$B$496,$B41,'B1 - Matriz de custos diretos'!$C$3:$C$496,"Materiais")*'A3 - Demanda Anual Agregada '!H18</f>
        <v>286877.5</v>
      </c>
      <c r="I41" s="61">
        <f>SUMIFS('B1 - Matriz de custos diretos'!$G$3:$G$496,'B1 - Matriz de custos diretos'!$B$3:$B$496,$B41,'B1 - Matriz de custos diretos'!$C$3:$C$496,"Materiais")*'A3 - Demanda Anual Agregada '!I18</f>
        <v>295855</v>
      </c>
      <c r="J41" s="61">
        <f>SUMIFS('B1 - Matriz de custos diretos'!$G$3:$G$496,'B1 - Matriz de custos diretos'!$B$3:$B$496,$B41,'B1 - Matriz de custos diretos'!$C$3:$C$496,"Materiais")*'A3 - Demanda Anual Agregada '!J18</f>
        <v>305077.5</v>
      </c>
      <c r="K41" s="61">
        <f>SUMIFS('B1 - Matriz de custos diretos'!$G$3:$G$496,'B1 - Matriz de custos diretos'!$B$3:$B$496,$B41,'B1 - Matriz de custos diretos'!$C$3:$C$496,"Materiais")*'A3 - Demanda Anual Agregada '!K18</f>
        <v>314475</v>
      </c>
      <c r="L41" s="61">
        <f>SUMIFS('B1 - Matriz de custos diretos'!$G$3:$G$496,'B1 - Matriz de custos diretos'!$B$3:$B$496,$B41,'B1 - Matriz de custos diretos'!$C$3:$C$496,"Materiais")*'A3 - Demanda Anual Agregada '!L18</f>
        <v>324030</v>
      </c>
      <c r="M41" s="61">
        <f>SUMIFS('B1 - Matriz de custos diretos'!$G$3:$G$496,'B1 - Matriz de custos diretos'!$B$3:$B$496,$B41,'B1 - Matriz de custos diretos'!$C$3:$C$496,"Materiais")*'A3 - Demanda Anual Agregada '!M18</f>
        <v>333900</v>
      </c>
      <c r="N41" s="61">
        <f>SUMIFS('B1 - Matriz de custos diretos'!$G$3:$G$496,'B1 - Matriz de custos diretos'!$B$3:$B$496,$B41,'B1 - Matriz de custos diretos'!$C$3:$C$496,"Materiais")*'A3 - Demanda Anual Agregada '!N18</f>
        <v>344067.5</v>
      </c>
      <c r="O41" s="61">
        <f>SUMIFS('B1 - Matriz de custos diretos'!$G$3:$G$496,'B1 - Matriz de custos diretos'!$B$3:$B$496,$B41,'B1 - Matriz de custos diretos'!$C$3:$C$496,"Materiais")*'A3 - Demanda Anual Agregada '!O18</f>
        <v>354550</v>
      </c>
      <c r="P41" s="61">
        <f>SUMIFS('B1 - Matriz de custos diretos'!$G$3:$G$496,'B1 - Matriz de custos diretos'!$B$3:$B$496,$B41,'B1 - Matriz de custos diretos'!$C$3:$C$496,"Materiais")*'A3 - Demanda Anual Agregada '!P18</f>
        <v>365365</v>
      </c>
      <c r="Q41" s="61">
        <f>SUMIFS('B1 - Matriz de custos diretos'!$G$3:$G$496,'B1 - Matriz de custos diretos'!$B$3:$B$496,$B41,'B1 - Matriz de custos diretos'!$C$3:$C$496,"Materiais")*'A3 - Demanda Anual Agregada '!Q18</f>
        <v>376495</v>
      </c>
      <c r="R41" s="61">
        <f>SUMIFS('B1 - Matriz de custos diretos'!$G$3:$G$496,'B1 - Matriz de custos diretos'!$B$3:$B$496,$B41,'B1 - Matriz de custos diretos'!$C$3:$C$496,"Materiais")*'A3 - Demanda Anual Agregada '!R18</f>
        <v>387922.5</v>
      </c>
      <c r="S41" s="61">
        <f>SUMIFS('B1 - Matriz de custos diretos'!$G$3:$G$496,'B1 - Matriz de custos diretos'!$B$3:$B$496,$B41,'B1 - Matriz de custos diretos'!$C$3:$C$496,"Materiais")*'A3 - Demanda Anual Agregada '!S18</f>
        <v>399647.5</v>
      </c>
      <c r="T41" s="61">
        <f>SUMIFS('B1 - Matriz de custos diretos'!$G$3:$G$496,'B1 - Matriz de custos diretos'!$B$3:$B$496,$B41,'B1 - Matriz de custos diretos'!$C$3:$C$496,"Materiais")*'A3 - Demanda Anual Agregada '!T18</f>
        <v>411635</v>
      </c>
      <c r="U41" s="61">
        <f>SUMIFS('B1 - Matriz de custos diretos'!$G$3:$G$496,'B1 - Matriz de custos diretos'!$B$3:$B$496,$B41,'B1 - Matriz de custos diretos'!$C$3:$C$496,"Materiais")*'A3 - Demanda Anual Agregada '!U18</f>
        <v>423832.5</v>
      </c>
      <c r="V41" s="61">
        <f>SUMIFS('B1 - Matriz de custos diretos'!$G$3:$G$496,'B1 - Matriz de custos diretos'!$B$3:$B$496,$B41,'B1 - Matriz de custos diretos'!$C$3:$C$496,"Materiais")*'A3 - Demanda Anual Agregada '!V18</f>
        <v>436187.5</v>
      </c>
      <c r="W41" s="61">
        <f>SUMIFS('B1 - Matriz de custos diretos'!$G$3:$G$496,'B1 - Matriz de custos diretos'!$B$3:$B$496,$B41,'B1 - Matriz de custos diretos'!$C$3:$C$496,"Materiais")*'A3 - Demanda Anual Agregada '!W18</f>
        <v>436187.5</v>
      </c>
      <c r="X41" s="61">
        <f>SUMIFS('B1 - Matriz de custos diretos'!$G$3:$G$496,'B1 - Matriz de custos diretos'!$B$3:$B$496,$B41,'B1 - Matriz de custos diretos'!$C$3:$C$496,"Materiais")*'A3 - Demanda Anual Agregada '!X18</f>
        <v>436187.5</v>
      </c>
      <c r="Y41" s="61">
        <f>SUMIFS('B1 - Matriz de custos diretos'!$G$3:$G$496,'B1 - Matriz de custos diretos'!$B$3:$B$496,$B41,'B1 - Matriz de custos diretos'!$C$3:$C$496,"Materiais")*'A3 - Demanda Anual Agregada '!Y18</f>
        <v>436187.5</v>
      </c>
      <c r="Z41" s="61">
        <f>SUMIFS('B1 - Matriz de custos diretos'!$G$3:$G$496,'B1 - Matriz de custos diretos'!$B$3:$B$496,$B41,'B1 - Matriz de custos diretos'!$C$3:$C$496,"Materiais")*'A3 - Demanda Anual Agregada '!Z18</f>
        <v>436187.5</v>
      </c>
      <c r="AA41" s="61">
        <f>SUMIFS('B1 - Matriz de custos diretos'!$G$3:$G$496,'B1 - Matriz de custos diretos'!$B$3:$B$496,$B41,'B1 - Matriz de custos diretos'!$C$3:$C$496,"Materiais")*'A3 - Demanda Anual Agregada '!AA18</f>
        <v>436187.5</v>
      </c>
      <c r="AB41" s="61">
        <f>SUMIFS('B1 - Matriz de custos diretos'!$G$3:$G$496,'B1 - Matriz de custos diretos'!$B$3:$B$496,$B41,'B1 - Matriz de custos diretos'!$C$3:$C$496,"Materiais")*'A3 - Demanda Anual Agregada '!AB18</f>
        <v>436187.5</v>
      </c>
      <c r="AC41" s="61">
        <f>SUMIFS('B1 - Matriz de custos diretos'!$G$3:$G$496,'B1 - Matriz de custos diretos'!$B$3:$B$496,$B41,'B1 - Matriz de custos diretos'!$C$3:$C$496,"Materiais")*'A3 - Demanda Anual Agregada '!AC18</f>
        <v>436187.5</v>
      </c>
      <c r="AD41" s="61">
        <f>SUMIFS('B1 - Matriz de custos diretos'!$G$3:$G$496,'B1 - Matriz de custos diretos'!$B$3:$B$496,$B41,'B1 - Matriz de custos diretos'!$C$3:$C$496,"Materiais")*'A3 - Demanda Anual Agregada '!AD18</f>
        <v>436187.5</v>
      </c>
      <c r="AE41" s="61">
        <f>SUMIFS('B1 - Matriz de custos diretos'!$G$3:$G$496,'B1 - Matriz de custos diretos'!$B$3:$B$496,$B41,'B1 - Matriz de custos diretos'!$C$3:$C$496,"Materiais")*'A3 - Demanda Anual Agregada '!AE18</f>
        <v>436187.5</v>
      </c>
      <c r="AF41" s="61">
        <f>SUMIFS('B1 - Matriz de custos diretos'!$G$3:$G$496,'B1 - Matriz de custos diretos'!$B$3:$B$496,$B41,'B1 - Matriz de custos diretos'!$C$3:$C$496,"Materiais")*'A3 - Demanda Anual Agregada '!AF18</f>
        <v>436187.5</v>
      </c>
    </row>
    <row r="42" spans="1:32" ht="15.75" customHeight="1">
      <c r="A42" s="292"/>
      <c r="B42" s="60" t="str">
        <f>'A3 - Demanda Anual Agregada '!B19</f>
        <v>Paraíso - Alimentação</v>
      </c>
      <c r="C42" s="61">
        <f>SUMIFS('B1 - Matriz de custos diretos'!$G$3:$G$496,'B1 - Matriz de custos diretos'!$B$3:$B$496,$B42,'B1 - Matriz de custos diretos'!$C$3:$C$496,"Materiais")*'A3 - Demanda Anual Agregada '!C19</f>
        <v>0</v>
      </c>
      <c r="D42" s="61">
        <f>SUMIFS('B1 - Matriz de custos diretos'!$G$3:$G$496,'B1 - Matriz de custos diretos'!$B$3:$B$496,$B42,'B1 - Matriz de custos diretos'!$C$3:$C$496,"Materiais")*'A3 - Demanda Anual Agregada '!D19</f>
        <v>0</v>
      </c>
      <c r="E42" s="61">
        <f>SUMIFS('B1 - Matriz de custos diretos'!$G$3:$G$496,'B1 - Matriz de custos diretos'!$B$3:$B$496,$B42,'B1 - Matriz de custos diretos'!$C$3:$C$496,"Materiais")*'A3 - Demanda Anual Agregada '!E19</f>
        <v>0</v>
      </c>
      <c r="F42" s="61">
        <f>SUMIFS('B1 - Matriz de custos diretos'!$G$3:$G$496,'B1 - Matriz de custos diretos'!$B$3:$B$496,$B42,'B1 - Matriz de custos diretos'!$C$3:$C$496,"Materiais")*'A3 - Demanda Anual Agregada '!F19</f>
        <v>0</v>
      </c>
      <c r="G42" s="61">
        <f>SUMIFS('B1 - Matriz de custos diretos'!$G$3:$G$496,'B1 - Matriz de custos diretos'!$B$3:$B$496,$B42,'B1 - Matriz de custos diretos'!$C$3:$C$496,"Materiais")*'A3 - Demanda Anual Agregada '!G19</f>
        <v>0</v>
      </c>
      <c r="H42" s="61">
        <f>SUMIFS('B1 - Matriz de custos diretos'!$G$3:$G$496,'B1 - Matriz de custos diretos'!$B$3:$B$496,$B42,'B1 - Matriz de custos diretos'!$C$3:$C$496,"Materiais")*'A3 - Demanda Anual Agregada '!H19</f>
        <v>0</v>
      </c>
      <c r="I42" s="61">
        <f>SUMIFS('B1 - Matriz de custos diretos'!$G$3:$G$496,'B1 - Matriz de custos diretos'!$B$3:$B$496,$B42,'B1 - Matriz de custos diretos'!$C$3:$C$496,"Materiais")*'A3 - Demanda Anual Agregada '!I19</f>
        <v>0</v>
      </c>
      <c r="J42" s="61">
        <f>SUMIFS('B1 - Matriz de custos diretos'!$G$3:$G$496,'B1 - Matriz de custos diretos'!$B$3:$B$496,$B42,'B1 - Matriz de custos diretos'!$C$3:$C$496,"Materiais")*'A3 - Demanda Anual Agregada '!J19</f>
        <v>0</v>
      </c>
      <c r="K42" s="61">
        <f>SUMIFS('B1 - Matriz de custos diretos'!$G$3:$G$496,'B1 - Matriz de custos diretos'!$B$3:$B$496,$B42,'B1 - Matriz de custos diretos'!$C$3:$C$496,"Materiais")*'A3 - Demanda Anual Agregada '!K19</f>
        <v>0</v>
      </c>
      <c r="L42" s="61">
        <f>SUMIFS('B1 - Matriz de custos diretos'!$G$3:$G$496,'B1 - Matriz de custos diretos'!$B$3:$B$496,$B42,'B1 - Matriz de custos diretos'!$C$3:$C$496,"Materiais")*'A3 - Demanda Anual Agregada '!L19</f>
        <v>0</v>
      </c>
      <c r="M42" s="61">
        <f>SUMIFS('B1 - Matriz de custos diretos'!$G$3:$G$496,'B1 - Matriz de custos diretos'!$B$3:$B$496,$B42,'B1 - Matriz de custos diretos'!$C$3:$C$496,"Materiais")*'A3 - Demanda Anual Agregada '!M19</f>
        <v>0</v>
      </c>
      <c r="N42" s="61">
        <f>SUMIFS('B1 - Matriz de custos diretos'!$G$3:$G$496,'B1 - Matriz de custos diretos'!$B$3:$B$496,$B42,'B1 - Matriz de custos diretos'!$C$3:$C$496,"Materiais")*'A3 - Demanda Anual Agregada '!N19</f>
        <v>0</v>
      </c>
      <c r="O42" s="61">
        <f>SUMIFS('B1 - Matriz de custos diretos'!$G$3:$G$496,'B1 - Matriz de custos diretos'!$B$3:$B$496,$B42,'B1 - Matriz de custos diretos'!$C$3:$C$496,"Materiais")*'A3 - Demanda Anual Agregada '!O19</f>
        <v>0</v>
      </c>
      <c r="P42" s="61">
        <f>SUMIFS('B1 - Matriz de custos diretos'!$G$3:$G$496,'B1 - Matriz de custos diretos'!$B$3:$B$496,$B42,'B1 - Matriz de custos diretos'!$C$3:$C$496,"Materiais")*'A3 - Demanda Anual Agregada '!P19</f>
        <v>0</v>
      </c>
      <c r="Q42" s="61">
        <f>SUMIFS('B1 - Matriz de custos diretos'!$G$3:$G$496,'B1 - Matriz de custos diretos'!$B$3:$B$496,$B42,'B1 - Matriz de custos diretos'!$C$3:$C$496,"Materiais")*'A3 - Demanda Anual Agregada '!Q19</f>
        <v>0</v>
      </c>
      <c r="R42" s="61">
        <f>SUMIFS('B1 - Matriz de custos diretos'!$G$3:$G$496,'B1 - Matriz de custos diretos'!$B$3:$B$496,$B42,'B1 - Matriz de custos diretos'!$C$3:$C$496,"Materiais")*'A3 - Demanda Anual Agregada '!R19</f>
        <v>0</v>
      </c>
      <c r="S42" s="61">
        <f>SUMIFS('B1 - Matriz de custos diretos'!$G$3:$G$496,'B1 - Matriz de custos diretos'!$B$3:$B$496,$B42,'B1 - Matriz de custos diretos'!$C$3:$C$496,"Materiais")*'A3 - Demanda Anual Agregada '!S19</f>
        <v>0</v>
      </c>
      <c r="T42" s="61">
        <f>SUMIFS('B1 - Matriz de custos diretos'!$G$3:$G$496,'B1 - Matriz de custos diretos'!$B$3:$B$496,$B42,'B1 - Matriz de custos diretos'!$C$3:$C$496,"Materiais")*'A3 - Demanda Anual Agregada '!T19</f>
        <v>0</v>
      </c>
      <c r="U42" s="61">
        <f>SUMIFS('B1 - Matriz de custos diretos'!$G$3:$G$496,'B1 - Matriz de custos diretos'!$B$3:$B$496,$B42,'B1 - Matriz de custos diretos'!$C$3:$C$496,"Materiais")*'A3 - Demanda Anual Agregada '!U19</f>
        <v>0</v>
      </c>
      <c r="V42" s="61">
        <f>SUMIFS('B1 - Matriz de custos diretos'!$G$3:$G$496,'B1 - Matriz de custos diretos'!$B$3:$B$496,$B42,'B1 - Matriz de custos diretos'!$C$3:$C$496,"Materiais")*'A3 - Demanda Anual Agregada '!V19</f>
        <v>0</v>
      </c>
      <c r="W42" s="61">
        <f>SUMIFS('B1 - Matriz de custos diretos'!$G$3:$G$496,'B1 - Matriz de custos diretos'!$B$3:$B$496,$B42,'B1 - Matriz de custos diretos'!$C$3:$C$496,"Materiais")*'A3 - Demanda Anual Agregada '!W19</f>
        <v>0</v>
      </c>
      <c r="X42" s="61">
        <f>SUMIFS('B1 - Matriz de custos diretos'!$G$3:$G$496,'B1 - Matriz de custos diretos'!$B$3:$B$496,$B42,'B1 - Matriz de custos diretos'!$C$3:$C$496,"Materiais")*'A3 - Demanda Anual Agregada '!X19</f>
        <v>0</v>
      </c>
      <c r="Y42" s="61">
        <f>SUMIFS('B1 - Matriz de custos diretos'!$G$3:$G$496,'B1 - Matriz de custos diretos'!$B$3:$B$496,$B42,'B1 - Matriz de custos diretos'!$C$3:$C$496,"Materiais")*'A3 - Demanda Anual Agregada '!Y19</f>
        <v>0</v>
      </c>
      <c r="Z42" s="61">
        <f>SUMIFS('B1 - Matriz de custos diretos'!$G$3:$G$496,'B1 - Matriz de custos diretos'!$B$3:$B$496,$B42,'B1 - Matriz de custos diretos'!$C$3:$C$496,"Materiais")*'A3 - Demanda Anual Agregada '!Z19</f>
        <v>0</v>
      </c>
      <c r="AA42" s="61">
        <f>SUMIFS('B1 - Matriz de custos diretos'!$G$3:$G$496,'B1 - Matriz de custos diretos'!$B$3:$B$496,$B42,'B1 - Matriz de custos diretos'!$C$3:$C$496,"Materiais")*'A3 - Demanda Anual Agregada '!AA19</f>
        <v>0</v>
      </c>
      <c r="AB42" s="61">
        <f>SUMIFS('B1 - Matriz de custos diretos'!$G$3:$G$496,'B1 - Matriz de custos diretos'!$B$3:$B$496,$B42,'B1 - Matriz de custos diretos'!$C$3:$C$496,"Materiais")*'A3 - Demanda Anual Agregada '!AB19</f>
        <v>0</v>
      </c>
      <c r="AC42" s="61">
        <f>SUMIFS('B1 - Matriz de custos diretos'!$G$3:$G$496,'B1 - Matriz de custos diretos'!$B$3:$B$496,$B42,'B1 - Matriz de custos diretos'!$C$3:$C$496,"Materiais")*'A3 - Demanda Anual Agregada '!AC19</f>
        <v>0</v>
      </c>
      <c r="AD42" s="61">
        <f>SUMIFS('B1 - Matriz de custos diretos'!$G$3:$G$496,'B1 - Matriz de custos diretos'!$B$3:$B$496,$B42,'B1 - Matriz de custos diretos'!$C$3:$C$496,"Materiais")*'A3 - Demanda Anual Agregada '!AD19</f>
        <v>0</v>
      </c>
      <c r="AE42" s="61">
        <f>SUMIFS('B1 - Matriz de custos diretos'!$G$3:$G$496,'B1 - Matriz de custos diretos'!$B$3:$B$496,$B42,'B1 - Matriz de custos diretos'!$C$3:$C$496,"Materiais")*'A3 - Demanda Anual Agregada '!AE19</f>
        <v>0</v>
      </c>
      <c r="AF42" s="61">
        <f>SUMIFS('B1 - Matriz de custos diretos'!$G$3:$G$496,'B1 - Matriz de custos diretos'!$B$3:$B$496,$B42,'B1 - Matriz de custos diretos'!$C$3:$C$496,"Materiais")*'A3 - Demanda Anual Agregada '!AF19</f>
        <v>0</v>
      </c>
    </row>
    <row r="43" spans="1:32" ht="15.75" customHeight="1">
      <c r="A43" s="292"/>
      <c r="B43" s="60" t="str">
        <f>'A3 - Demanda Anual Agregada '!B20</f>
        <v>Paraíso - Comércio + Locação + Atividades</v>
      </c>
      <c r="C43" s="61">
        <f>SUMIFS('B1 - Matriz de custos diretos'!$G$3:$G$496,'B1 - Matriz de custos diretos'!$B$3:$B$496,$B43,'B1 - Matriz de custos diretos'!$C$3:$C$496,"Materiais")*'A3 - Demanda Anual Agregada '!C20</f>
        <v>0</v>
      </c>
      <c r="D43" s="61">
        <f>SUMIFS('B1 - Matriz de custos diretos'!$G$3:$G$496,'B1 - Matriz de custos diretos'!$B$3:$B$496,$B43,'B1 - Matriz de custos diretos'!$C$3:$C$496,"Materiais")*'A3 - Demanda Anual Agregada '!D20</f>
        <v>0</v>
      </c>
      <c r="E43" s="61">
        <f>SUMIFS('B1 - Matriz de custos diretos'!$G$3:$G$496,'B1 - Matriz de custos diretos'!$B$3:$B$496,$B43,'B1 - Matriz de custos diretos'!$C$3:$C$496,"Materiais")*'A3 - Demanda Anual Agregada '!E20</f>
        <v>0</v>
      </c>
      <c r="F43" s="61">
        <f>SUMIFS('B1 - Matriz de custos diretos'!$G$3:$G$496,'B1 - Matriz de custos diretos'!$B$3:$B$496,$B43,'B1 - Matriz de custos diretos'!$C$3:$C$496,"Materiais")*'A3 - Demanda Anual Agregada '!F20</f>
        <v>0</v>
      </c>
      <c r="G43" s="61">
        <f>SUMIFS('B1 - Matriz de custos diretos'!$G$3:$G$496,'B1 - Matriz de custos diretos'!$B$3:$B$496,$B43,'B1 - Matriz de custos diretos'!$C$3:$C$496,"Materiais")*'A3 - Demanda Anual Agregada '!G20</f>
        <v>0</v>
      </c>
      <c r="H43" s="61">
        <f>SUMIFS('B1 - Matriz de custos diretos'!$G$3:$G$496,'B1 - Matriz de custos diretos'!$B$3:$B$496,$B43,'B1 - Matriz de custos diretos'!$C$3:$C$496,"Materiais")*'A3 - Demanda Anual Agregada '!H20</f>
        <v>0</v>
      </c>
      <c r="I43" s="61">
        <f>SUMIFS('B1 - Matriz de custos diretos'!$G$3:$G$496,'B1 - Matriz de custos diretos'!$B$3:$B$496,$B43,'B1 - Matriz de custos diretos'!$C$3:$C$496,"Materiais")*'A3 - Demanda Anual Agregada '!I20</f>
        <v>0</v>
      </c>
      <c r="J43" s="61">
        <f>SUMIFS('B1 - Matriz de custos diretos'!$G$3:$G$496,'B1 - Matriz de custos diretos'!$B$3:$B$496,$B43,'B1 - Matriz de custos diretos'!$C$3:$C$496,"Materiais")*'A3 - Demanda Anual Agregada '!J20</f>
        <v>0</v>
      </c>
      <c r="K43" s="61">
        <f>SUMIFS('B1 - Matriz de custos diretos'!$G$3:$G$496,'B1 - Matriz de custos diretos'!$B$3:$B$496,$B43,'B1 - Matriz de custos diretos'!$C$3:$C$496,"Materiais")*'A3 - Demanda Anual Agregada '!K20</f>
        <v>0</v>
      </c>
      <c r="L43" s="61">
        <f>SUMIFS('B1 - Matriz de custos diretos'!$G$3:$G$496,'B1 - Matriz de custos diretos'!$B$3:$B$496,$B43,'B1 - Matriz de custos diretos'!$C$3:$C$496,"Materiais")*'A3 - Demanda Anual Agregada '!L20</f>
        <v>0</v>
      </c>
      <c r="M43" s="61">
        <f>SUMIFS('B1 - Matriz de custos diretos'!$G$3:$G$496,'B1 - Matriz de custos diretos'!$B$3:$B$496,$B43,'B1 - Matriz de custos diretos'!$C$3:$C$496,"Materiais")*'A3 - Demanda Anual Agregada '!M20</f>
        <v>0</v>
      </c>
      <c r="N43" s="61">
        <f>SUMIFS('B1 - Matriz de custos diretos'!$G$3:$G$496,'B1 - Matriz de custos diretos'!$B$3:$B$496,$B43,'B1 - Matriz de custos diretos'!$C$3:$C$496,"Materiais")*'A3 - Demanda Anual Agregada '!N20</f>
        <v>0</v>
      </c>
      <c r="O43" s="61">
        <f>SUMIFS('B1 - Matriz de custos diretos'!$G$3:$G$496,'B1 - Matriz de custos diretos'!$B$3:$B$496,$B43,'B1 - Matriz de custos diretos'!$C$3:$C$496,"Materiais")*'A3 - Demanda Anual Agregada '!O20</f>
        <v>0</v>
      </c>
      <c r="P43" s="61">
        <f>SUMIFS('B1 - Matriz de custos diretos'!$G$3:$G$496,'B1 - Matriz de custos diretos'!$B$3:$B$496,$B43,'B1 - Matriz de custos diretos'!$C$3:$C$496,"Materiais")*'A3 - Demanda Anual Agregada '!P20</f>
        <v>0</v>
      </c>
      <c r="Q43" s="61">
        <f>SUMIFS('B1 - Matriz de custos diretos'!$G$3:$G$496,'B1 - Matriz de custos diretos'!$B$3:$B$496,$B43,'B1 - Matriz de custos diretos'!$C$3:$C$496,"Materiais")*'A3 - Demanda Anual Agregada '!Q20</f>
        <v>0</v>
      </c>
      <c r="R43" s="61">
        <f>SUMIFS('B1 - Matriz de custos diretos'!$G$3:$G$496,'B1 - Matriz de custos diretos'!$B$3:$B$496,$B43,'B1 - Matriz de custos diretos'!$C$3:$C$496,"Materiais")*'A3 - Demanda Anual Agregada '!R20</f>
        <v>0</v>
      </c>
      <c r="S43" s="61">
        <f>SUMIFS('B1 - Matriz de custos diretos'!$G$3:$G$496,'B1 - Matriz de custos diretos'!$B$3:$B$496,$B43,'B1 - Matriz de custos diretos'!$C$3:$C$496,"Materiais")*'A3 - Demanda Anual Agregada '!S20</f>
        <v>0</v>
      </c>
      <c r="T43" s="61">
        <f>SUMIFS('B1 - Matriz de custos diretos'!$G$3:$G$496,'B1 - Matriz de custos diretos'!$B$3:$B$496,$B43,'B1 - Matriz de custos diretos'!$C$3:$C$496,"Materiais")*'A3 - Demanda Anual Agregada '!T20</f>
        <v>0</v>
      </c>
      <c r="U43" s="61">
        <f>SUMIFS('B1 - Matriz de custos diretos'!$G$3:$G$496,'B1 - Matriz de custos diretos'!$B$3:$B$496,$B43,'B1 - Matriz de custos diretos'!$C$3:$C$496,"Materiais")*'A3 - Demanda Anual Agregada '!U20</f>
        <v>0</v>
      </c>
      <c r="V43" s="61">
        <f>SUMIFS('B1 - Matriz de custos diretos'!$G$3:$G$496,'B1 - Matriz de custos diretos'!$B$3:$B$496,$B43,'B1 - Matriz de custos diretos'!$C$3:$C$496,"Materiais")*'A3 - Demanda Anual Agregada '!V20</f>
        <v>0</v>
      </c>
      <c r="W43" s="61">
        <f>SUMIFS('B1 - Matriz de custos diretos'!$G$3:$G$496,'B1 - Matriz de custos diretos'!$B$3:$B$496,$B43,'B1 - Matriz de custos diretos'!$C$3:$C$496,"Materiais")*'A3 - Demanda Anual Agregada '!W20</f>
        <v>0</v>
      </c>
      <c r="X43" s="61">
        <f>SUMIFS('B1 - Matriz de custos diretos'!$G$3:$G$496,'B1 - Matriz de custos diretos'!$B$3:$B$496,$B43,'B1 - Matriz de custos diretos'!$C$3:$C$496,"Materiais")*'A3 - Demanda Anual Agregada '!X20</f>
        <v>0</v>
      </c>
      <c r="Y43" s="61">
        <f>SUMIFS('B1 - Matriz de custos diretos'!$G$3:$G$496,'B1 - Matriz de custos diretos'!$B$3:$B$496,$B43,'B1 - Matriz de custos diretos'!$C$3:$C$496,"Materiais")*'A3 - Demanda Anual Agregada '!Y20</f>
        <v>0</v>
      </c>
      <c r="Z43" s="61">
        <f>SUMIFS('B1 - Matriz de custos diretos'!$G$3:$G$496,'B1 - Matriz de custos diretos'!$B$3:$B$496,$B43,'B1 - Matriz de custos diretos'!$C$3:$C$496,"Materiais")*'A3 - Demanda Anual Agregada '!Z20</f>
        <v>0</v>
      </c>
      <c r="AA43" s="61">
        <f>SUMIFS('B1 - Matriz de custos diretos'!$G$3:$G$496,'B1 - Matriz de custos diretos'!$B$3:$B$496,$B43,'B1 - Matriz de custos diretos'!$C$3:$C$496,"Materiais")*'A3 - Demanda Anual Agregada '!AA20</f>
        <v>0</v>
      </c>
      <c r="AB43" s="61">
        <f>SUMIFS('B1 - Matriz de custos diretos'!$G$3:$G$496,'B1 - Matriz de custos diretos'!$B$3:$B$496,$B43,'B1 - Matriz de custos diretos'!$C$3:$C$496,"Materiais")*'A3 - Demanda Anual Agregada '!AB20</f>
        <v>0</v>
      </c>
      <c r="AC43" s="61">
        <f>SUMIFS('B1 - Matriz de custos diretos'!$G$3:$G$496,'B1 - Matriz de custos diretos'!$B$3:$B$496,$B43,'B1 - Matriz de custos diretos'!$C$3:$C$496,"Materiais")*'A3 - Demanda Anual Agregada '!AC20</f>
        <v>0</v>
      </c>
      <c r="AD43" s="61">
        <f>SUMIFS('B1 - Matriz de custos diretos'!$G$3:$G$496,'B1 - Matriz de custos diretos'!$B$3:$B$496,$B43,'B1 - Matriz de custos diretos'!$C$3:$C$496,"Materiais")*'A3 - Demanda Anual Agregada '!AD20</f>
        <v>0</v>
      </c>
      <c r="AE43" s="61">
        <f>SUMIFS('B1 - Matriz de custos diretos'!$G$3:$G$496,'B1 - Matriz de custos diretos'!$B$3:$B$496,$B43,'B1 - Matriz de custos diretos'!$C$3:$C$496,"Materiais")*'A3 - Demanda Anual Agregada '!AE20</f>
        <v>0</v>
      </c>
      <c r="AF43" s="61">
        <f>SUMIFS('B1 - Matriz de custos diretos'!$G$3:$G$496,'B1 - Matriz de custos diretos'!$B$3:$B$496,$B43,'B1 - Matriz de custos diretos'!$C$3:$C$496,"Materiais")*'A3 - Demanda Anual Agregada '!AF20</f>
        <v>0</v>
      </c>
    </row>
    <row r="44" spans="1:32" ht="15.75" customHeight="1">
      <c r="A44" s="292"/>
      <c r="B44" s="60" t="str">
        <f>'A3 - Demanda Anual Agregada '!B21</f>
        <v>Geral - Unidade móvel - Alimentação</v>
      </c>
      <c r="C44" s="61">
        <f>SUMIFS('B1 - Matriz de custos diretos'!$G$3:$G$496,'B1 - Matriz de custos diretos'!$B$3:$B$496,$B44,'B1 - Matriz de custos diretos'!$C$3:$C$496,"Materiais")*'A3 - Demanda Anual Agregada '!C21</f>
        <v>0</v>
      </c>
      <c r="D44" s="61">
        <f>SUMIFS('B1 - Matriz de custos diretos'!$G$3:$G$496,'B1 - Matriz de custos diretos'!$B$3:$B$496,$B44,'B1 - Matriz de custos diretos'!$C$3:$C$496,"Materiais")*'A3 - Demanda Anual Agregada '!D21</f>
        <v>0</v>
      </c>
      <c r="E44" s="61">
        <f>SUMIFS('B1 - Matriz de custos diretos'!$G$3:$G$496,'B1 - Matriz de custos diretos'!$B$3:$B$496,$B44,'B1 - Matriz de custos diretos'!$C$3:$C$496,"Materiais")*'A3 - Demanda Anual Agregada '!E21</f>
        <v>0</v>
      </c>
      <c r="F44" s="61">
        <f>SUMIFS('B1 - Matriz de custos diretos'!$G$3:$G$496,'B1 - Matriz de custos diretos'!$B$3:$B$496,$B44,'B1 - Matriz de custos diretos'!$C$3:$C$496,"Materiais")*'A3 - Demanda Anual Agregada '!F21</f>
        <v>0</v>
      </c>
      <c r="G44" s="61">
        <f>SUMIFS('B1 - Matriz de custos diretos'!$G$3:$G$496,'B1 - Matriz de custos diretos'!$B$3:$B$496,$B44,'B1 - Matriz de custos diretos'!$C$3:$C$496,"Materiais")*'A3 - Demanda Anual Agregada '!G21</f>
        <v>0</v>
      </c>
      <c r="H44" s="61">
        <f>SUMIFS('B1 - Matriz de custos diretos'!$G$3:$G$496,'B1 - Matriz de custos diretos'!$B$3:$B$496,$B44,'B1 - Matriz de custos diretos'!$C$3:$C$496,"Materiais")*'A3 - Demanda Anual Agregada '!H21</f>
        <v>0</v>
      </c>
      <c r="I44" s="61">
        <f>SUMIFS('B1 - Matriz de custos diretos'!$G$3:$G$496,'B1 - Matriz de custos diretos'!$B$3:$B$496,$B44,'B1 - Matriz de custos diretos'!$C$3:$C$496,"Materiais")*'A3 - Demanda Anual Agregada '!I21</f>
        <v>0</v>
      </c>
      <c r="J44" s="61">
        <f>SUMIFS('B1 - Matriz de custos diretos'!$G$3:$G$496,'B1 - Matriz de custos diretos'!$B$3:$B$496,$B44,'B1 - Matriz de custos diretos'!$C$3:$C$496,"Materiais")*'A3 - Demanda Anual Agregada '!J21</f>
        <v>0</v>
      </c>
      <c r="K44" s="61">
        <f>SUMIFS('B1 - Matriz de custos diretos'!$G$3:$G$496,'B1 - Matriz de custos diretos'!$B$3:$B$496,$B44,'B1 - Matriz de custos diretos'!$C$3:$C$496,"Materiais")*'A3 - Demanda Anual Agregada '!K21</f>
        <v>0</v>
      </c>
      <c r="L44" s="61">
        <f>SUMIFS('B1 - Matriz de custos diretos'!$G$3:$G$496,'B1 - Matriz de custos diretos'!$B$3:$B$496,$B44,'B1 - Matriz de custos diretos'!$C$3:$C$496,"Materiais")*'A3 - Demanda Anual Agregada '!L21</f>
        <v>0</v>
      </c>
      <c r="M44" s="61">
        <f>SUMIFS('B1 - Matriz de custos diretos'!$G$3:$G$496,'B1 - Matriz de custos diretos'!$B$3:$B$496,$B44,'B1 - Matriz de custos diretos'!$C$3:$C$496,"Materiais")*'A3 - Demanda Anual Agregada '!M21</f>
        <v>0</v>
      </c>
      <c r="N44" s="61">
        <f>SUMIFS('B1 - Matriz de custos diretos'!$G$3:$G$496,'B1 - Matriz de custos diretos'!$B$3:$B$496,$B44,'B1 - Matriz de custos diretos'!$C$3:$C$496,"Materiais")*'A3 - Demanda Anual Agregada '!N21</f>
        <v>0</v>
      </c>
      <c r="O44" s="61">
        <f>SUMIFS('B1 - Matriz de custos diretos'!$G$3:$G$496,'B1 - Matriz de custos diretos'!$B$3:$B$496,$B44,'B1 - Matriz de custos diretos'!$C$3:$C$496,"Materiais")*'A3 - Demanda Anual Agregada '!O21</f>
        <v>0</v>
      </c>
      <c r="P44" s="61">
        <f>SUMIFS('B1 - Matriz de custos diretos'!$G$3:$G$496,'B1 - Matriz de custos diretos'!$B$3:$B$496,$B44,'B1 - Matriz de custos diretos'!$C$3:$C$496,"Materiais")*'A3 - Demanda Anual Agregada '!P21</f>
        <v>0</v>
      </c>
      <c r="Q44" s="61">
        <f>SUMIFS('B1 - Matriz de custos diretos'!$G$3:$G$496,'B1 - Matriz de custos diretos'!$B$3:$B$496,$B44,'B1 - Matriz de custos diretos'!$C$3:$C$496,"Materiais")*'A3 - Demanda Anual Agregada '!Q21</f>
        <v>0</v>
      </c>
      <c r="R44" s="61">
        <f>SUMIFS('B1 - Matriz de custos diretos'!$G$3:$G$496,'B1 - Matriz de custos diretos'!$B$3:$B$496,$B44,'B1 - Matriz de custos diretos'!$C$3:$C$496,"Materiais")*'A3 - Demanda Anual Agregada '!R21</f>
        <v>0</v>
      </c>
      <c r="S44" s="61">
        <f>SUMIFS('B1 - Matriz de custos diretos'!$G$3:$G$496,'B1 - Matriz de custos diretos'!$B$3:$B$496,$B44,'B1 - Matriz de custos diretos'!$C$3:$C$496,"Materiais")*'A3 - Demanda Anual Agregada '!S21</f>
        <v>0</v>
      </c>
      <c r="T44" s="61">
        <f>SUMIFS('B1 - Matriz de custos diretos'!$G$3:$G$496,'B1 - Matriz de custos diretos'!$B$3:$B$496,$B44,'B1 - Matriz de custos diretos'!$C$3:$C$496,"Materiais")*'A3 - Demanda Anual Agregada '!T21</f>
        <v>0</v>
      </c>
      <c r="U44" s="61">
        <f>SUMIFS('B1 - Matriz de custos diretos'!$G$3:$G$496,'B1 - Matriz de custos diretos'!$B$3:$B$496,$B44,'B1 - Matriz de custos diretos'!$C$3:$C$496,"Materiais")*'A3 - Demanda Anual Agregada '!U21</f>
        <v>0</v>
      </c>
      <c r="V44" s="61">
        <f>SUMIFS('B1 - Matriz de custos diretos'!$G$3:$G$496,'B1 - Matriz de custos diretos'!$B$3:$B$496,$B44,'B1 - Matriz de custos diretos'!$C$3:$C$496,"Materiais")*'A3 - Demanda Anual Agregada '!V21</f>
        <v>0</v>
      </c>
      <c r="W44" s="61">
        <f>SUMIFS('B1 - Matriz de custos diretos'!$G$3:$G$496,'B1 - Matriz de custos diretos'!$B$3:$B$496,$B44,'B1 - Matriz de custos diretos'!$C$3:$C$496,"Materiais")*'A3 - Demanda Anual Agregada '!W21</f>
        <v>0</v>
      </c>
      <c r="X44" s="61">
        <f>SUMIFS('B1 - Matriz de custos diretos'!$G$3:$G$496,'B1 - Matriz de custos diretos'!$B$3:$B$496,$B44,'B1 - Matriz de custos diretos'!$C$3:$C$496,"Materiais")*'A3 - Demanda Anual Agregada '!X21</f>
        <v>0</v>
      </c>
      <c r="Y44" s="61">
        <f>SUMIFS('B1 - Matriz de custos diretos'!$G$3:$G$496,'B1 - Matriz de custos diretos'!$B$3:$B$496,$B44,'B1 - Matriz de custos diretos'!$C$3:$C$496,"Materiais")*'A3 - Demanda Anual Agregada '!Y21</f>
        <v>0</v>
      </c>
      <c r="Z44" s="61">
        <f>SUMIFS('B1 - Matriz de custos diretos'!$G$3:$G$496,'B1 - Matriz de custos diretos'!$B$3:$B$496,$B44,'B1 - Matriz de custos diretos'!$C$3:$C$496,"Materiais")*'A3 - Demanda Anual Agregada '!Z21</f>
        <v>0</v>
      </c>
      <c r="AA44" s="61">
        <f>SUMIFS('B1 - Matriz de custos diretos'!$G$3:$G$496,'B1 - Matriz de custos diretos'!$B$3:$B$496,$B44,'B1 - Matriz de custos diretos'!$C$3:$C$496,"Materiais")*'A3 - Demanda Anual Agregada '!AA21</f>
        <v>0</v>
      </c>
      <c r="AB44" s="61">
        <f>SUMIFS('B1 - Matriz de custos diretos'!$G$3:$G$496,'B1 - Matriz de custos diretos'!$B$3:$B$496,$B44,'B1 - Matriz de custos diretos'!$C$3:$C$496,"Materiais")*'A3 - Demanda Anual Agregada '!AB21</f>
        <v>0</v>
      </c>
      <c r="AC44" s="61">
        <f>SUMIFS('B1 - Matriz de custos diretos'!$G$3:$G$496,'B1 - Matriz de custos diretos'!$B$3:$B$496,$B44,'B1 - Matriz de custos diretos'!$C$3:$C$496,"Materiais")*'A3 - Demanda Anual Agregada '!AC21</f>
        <v>0</v>
      </c>
      <c r="AD44" s="61">
        <f>SUMIFS('B1 - Matriz de custos diretos'!$G$3:$G$496,'B1 - Matriz de custos diretos'!$B$3:$B$496,$B44,'B1 - Matriz de custos diretos'!$C$3:$C$496,"Materiais")*'A3 - Demanda Anual Agregada '!AD21</f>
        <v>0</v>
      </c>
      <c r="AE44" s="61">
        <f>SUMIFS('B1 - Matriz de custos diretos'!$G$3:$G$496,'B1 - Matriz de custos diretos'!$B$3:$B$496,$B44,'B1 - Matriz de custos diretos'!$C$3:$C$496,"Materiais")*'A3 - Demanda Anual Agregada '!AE21</f>
        <v>0</v>
      </c>
      <c r="AF44" s="61">
        <f>SUMIFS('B1 - Matriz de custos diretos'!$G$3:$G$496,'B1 - Matriz de custos diretos'!$B$3:$B$496,$B44,'B1 - Matriz de custos diretos'!$C$3:$C$496,"Materiais")*'A3 - Demanda Anual Agregada '!AF21</f>
        <v>0</v>
      </c>
    </row>
    <row r="45" spans="1:32" ht="15.75" customHeight="1">
      <c r="A45" s="292"/>
      <c r="B45" s="60" t="str">
        <f>'A3 - Demanda Anual Agregada '!B22</f>
        <v>Mangue Seco - Estacionamento</v>
      </c>
      <c r="C45" s="61">
        <f>SUMIFS('B1 - Matriz de custos diretos'!$G$3:$G$496,'B1 - Matriz de custos diretos'!$B$3:$B$496,$B45,'B1 - Matriz de custos diretos'!$C$3:$C$496,"Materiais")*'A3 - Demanda Anual Agregada '!C22</f>
        <v>0</v>
      </c>
      <c r="D45" s="61">
        <f>SUMIFS('B1 - Matriz de custos diretos'!$G$3:$G$496,'B1 - Matriz de custos diretos'!$B$3:$B$496,$B45,'B1 - Matriz de custos diretos'!$C$3:$C$496,"Materiais")*'A3 - Demanda Anual Agregada '!D22</f>
        <v>0</v>
      </c>
      <c r="E45" s="61">
        <f>SUMIFS('B1 - Matriz de custos diretos'!$G$3:$G$496,'B1 - Matriz de custos diretos'!$B$3:$B$496,$B45,'B1 - Matriz de custos diretos'!$C$3:$C$496,"Materiais")*'A3 - Demanda Anual Agregada '!E22</f>
        <v>0</v>
      </c>
      <c r="F45" s="61">
        <f>SUMIFS('B1 - Matriz de custos diretos'!$G$3:$G$496,'B1 - Matriz de custos diretos'!$B$3:$B$496,$B45,'B1 - Matriz de custos diretos'!$C$3:$C$496,"Materiais")*'A3 - Demanda Anual Agregada '!F22</f>
        <v>0</v>
      </c>
      <c r="G45" s="61">
        <f>SUMIFS('B1 - Matriz de custos diretos'!$G$3:$G$496,'B1 - Matriz de custos diretos'!$B$3:$B$496,$B45,'B1 - Matriz de custos diretos'!$C$3:$C$496,"Materiais")*'A3 - Demanda Anual Agregada '!G22</f>
        <v>0</v>
      </c>
      <c r="H45" s="61">
        <f>SUMIFS('B1 - Matriz de custos diretos'!$G$3:$G$496,'B1 - Matriz de custos diretos'!$B$3:$B$496,$B45,'B1 - Matriz de custos diretos'!$C$3:$C$496,"Materiais")*'A3 - Demanda Anual Agregada '!H22</f>
        <v>0</v>
      </c>
      <c r="I45" s="61">
        <f>SUMIFS('B1 - Matriz de custos diretos'!$G$3:$G$496,'B1 - Matriz de custos diretos'!$B$3:$B$496,$B45,'B1 - Matriz de custos diretos'!$C$3:$C$496,"Materiais")*'A3 - Demanda Anual Agregada '!I22</f>
        <v>0</v>
      </c>
      <c r="J45" s="61">
        <f>SUMIFS('B1 - Matriz de custos diretos'!$G$3:$G$496,'B1 - Matriz de custos diretos'!$B$3:$B$496,$B45,'B1 - Matriz de custos diretos'!$C$3:$C$496,"Materiais")*'A3 - Demanda Anual Agregada '!J22</f>
        <v>0</v>
      </c>
      <c r="K45" s="61">
        <f>SUMIFS('B1 - Matriz de custos diretos'!$G$3:$G$496,'B1 - Matriz de custos diretos'!$B$3:$B$496,$B45,'B1 - Matriz de custos diretos'!$C$3:$C$496,"Materiais")*'A3 - Demanda Anual Agregada '!K22</f>
        <v>0</v>
      </c>
      <c r="L45" s="61">
        <f>SUMIFS('B1 - Matriz de custos diretos'!$G$3:$G$496,'B1 - Matriz de custos diretos'!$B$3:$B$496,$B45,'B1 - Matriz de custos diretos'!$C$3:$C$496,"Materiais")*'A3 - Demanda Anual Agregada '!L22</f>
        <v>0</v>
      </c>
      <c r="M45" s="61">
        <f>SUMIFS('B1 - Matriz de custos diretos'!$G$3:$G$496,'B1 - Matriz de custos diretos'!$B$3:$B$496,$B45,'B1 - Matriz de custos diretos'!$C$3:$C$496,"Materiais")*'A3 - Demanda Anual Agregada '!M22</f>
        <v>0</v>
      </c>
      <c r="N45" s="61">
        <f>SUMIFS('B1 - Matriz de custos diretos'!$G$3:$G$496,'B1 - Matriz de custos diretos'!$B$3:$B$496,$B45,'B1 - Matriz de custos diretos'!$C$3:$C$496,"Materiais")*'A3 - Demanda Anual Agregada '!N22</f>
        <v>0</v>
      </c>
      <c r="O45" s="61">
        <f>SUMIFS('B1 - Matriz de custos diretos'!$G$3:$G$496,'B1 - Matriz de custos diretos'!$B$3:$B$496,$B45,'B1 - Matriz de custos diretos'!$C$3:$C$496,"Materiais")*'A3 - Demanda Anual Agregada '!O22</f>
        <v>0</v>
      </c>
      <c r="P45" s="61">
        <f>SUMIFS('B1 - Matriz de custos diretos'!$G$3:$G$496,'B1 - Matriz de custos diretos'!$B$3:$B$496,$B45,'B1 - Matriz de custos diretos'!$C$3:$C$496,"Materiais")*'A3 - Demanda Anual Agregada '!P22</f>
        <v>0</v>
      </c>
      <c r="Q45" s="61">
        <f>SUMIFS('B1 - Matriz de custos diretos'!$G$3:$G$496,'B1 - Matriz de custos diretos'!$B$3:$B$496,$B45,'B1 - Matriz de custos diretos'!$C$3:$C$496,"Materiais")*'A3 - Demanda Anual Agregada '!Q22</f>
        <v>0</v>
      </c>
      <c r="R45" s="61">
        <f>SUMIFS('B1 - Matriz de custos diretos'!$G$3:$G$496,'B1 - Matriz de custos diretos'!$B$3:$B$496,$B45,'B1 - Matriz de custos diretos'!$C$3:$C$496,"Materiais")*'A3 - Demanda Anual Agregada '!R22</f>
        <v>0</v>
      </c>
      <c r="S45" s="61">
        <f>SUMIFS('B1 - Matriz de custos diretos'!$G$3:$G$496,'B1 - Matriz de custos diretos'!$B$3:$B$496,$B45,'B1 - Matriz de custos diretos'!$C$3:$C$496,"Materiais")*'A3 - Demanda Anual Agregada '!S22</f>
        <v>0</v>
      </c>
      <c r="T45" s="61">
        <f>SUMIFS('B1 - Matriz de custos diretos'!$G$3:$G$496,'B1 - Matriz de custos diretos'!$B$3:$B$496,$B45,'B1 - Matriz de custos diretos'!$C$3:$C$496,"Materiais")*'A3 - Demanda Anual Agregada '!T22</f>
        <v>0</v>
      </c>
      <c r="U45" s="61">
        <f>SUMIFS('B1 - Matriz de custos diretos'!$G$3:$G$496,'B1 - Matriz de custos diretos'!$B$3:$B$496,$B45,'B1 - Matriz de custos diretos'!$C$3:$C$496,"Materiais")*'A3 - Demanda Anual Agregada '!U22</f>
        <v>0</v>
      </c>
      <c r="V45" s="61">
        <f>SUMIFS('B1 - Matriz de custos diretos'!$G$3:$G$496,'B1 - Matriz de custos diretos'!$B$3:$B$496,$B45,'B1 - Matriz de custos diretos'!$C$3:$C$496,"Materiais")*'A3 - Demanda Anual Agregada '!V22</f>
        <v>0</v>
      </c>
      <c r="W45" s="61">
        <f>SUMIFS('B1 - Matriz de custos diretos'!$G$3:$G$496,'B1 - Matriz de custos diretos'!$B$3:$B$496,$B45,'B1 - Matriz de custos diretos'!$C$3:$C$496,"Materiais")*'A3 - Demanda Anual Agregada '!W22</f>
        <v>0</v>
      </c>
      <c r="X45" s="61">
        <f>SUMIFS('B1 - Matriz de custos diretos'!$G$3:$G$496,'B1 - Matriz de custos diretos'!$B$3:$B$496,$B45,'B1 - Matriz de custos diretos'!$C$3:$C$496,"Materiais")*'A3 - Demanda Anual Agregada '!X22</f>
        <v>0</v>
      </c>
      <c r="Y45" s="61">
        <f>SUMIFS('B1 - Matriz de custos diretos'!$G$3:$G$496,'B1 - Matriz de custos diretos'!$B$3:$B$496,$B45,'B1 - Matriz de custos diretos'!$C$3:$C$496,"Materiais")*'A3 - Demanda Anual Agregada '!Y22</f>
        <v>0</v>
      </c>
      <c r="Z45" s="61">
        <f>SUMIFS('B1 - Matriz de custos diretos'!$G$3:$G$496,'B1 - Matriz de custos diretos'!$B$3:$B$496,$B45,'B1 - Matriz de custos diretos'!$C$3:$C$496,"Materiais")*'A3 - Demanda Anual Agregada '!Z22</f>
        <v>0</v>
      </c>
      <c r="AA45" s="61">
        <f>SUMIFS('B1 - Matriz de custos diretos'!$G$3:$G$496,'B1 - Matriz de custos diretos'!$B$3:$B$496,$B45,'B1 - Matriz de custos diretos'!$C$3:$C$496,"Materiais")*'A3 - Demanda Anual Agregada '!AA22</f>
        <v>0</v>
      </c>
      <c r="AB45" s="61">
        <f>SUMIFS('B1 - Matriz de custos diretos'!$G$3:$G$496,'B1 - Matriz de custos diretos'!$B$3:$B$496,$B45,'B1 - Matriz de custos diretos'!$C$3:$C$496,"Materiais")*'A3 - Demanda Anual Agregada '!AB22</f>
        <v>0</v>
      </c>
      <c r="AC45" s="61">
        <f>SUMIFS('B1 - Matriz de custos diretos'!$G$3:$G$496,'B1 - Matriz de custos diretos'!$B$3:$B$496,$B45,'B1 - Matriz de custos diretos'!$C$3:$C$496,"Materiais")*'A3 - Demanda Anual Agregada '!AC22</f>
        <v>0</v>
      </c>
      <c r="AD45" s="61">
        <f>SUMIFS('B1 - Matriz de custos diretos'!$G$3:$G$496,'B1 - Matriz de custos diretos'!$B$3:$B$496,$B45,'B1 - Matriz de custos diretos'!$C$3:$C$496,"Materiais")*'A3 - Demanda Anual Agregada '!AD22</f>
        <v>0</v>
      </c>
      <c r="AE45" s="61">
        <f>SUMIFS('B1 - Matriz de custos diretos'!$G$3:$G$496,'B1 - Matriz de custos diretos'!$B$3:$B$496,$B45,'B1 - Matriz de custos diretos'!$C$3:$C$496,"Materiais")*'A3 - Demanda Anual Agregada '!AE22</f>
        <v>0</v>
      </c>
      <c r="AF45" s="61">
        <f>SUMIFS('B1 - Matriz de custos diretos'!$G$3:$G$496,'B1 - Matriz de custos diretos'!$B$3:$B$496,$B45,'B1 - Matriz de custos diretos'!$C$3:$C$496,"Materiais")*'A3 - Demanda Anual Agregada '!AF22</f>
        <v>0</v>
      </c>
    </row>
    <row r="46" spans="1:32" ht="15.75" customHeight="1">
      <c r="A46" s="292"/>
      <c r="B46" s="60" t="str">
        <f>'A3 - Demanda Anual Agregada '!B23</f>
        <v>Lagoa Grande - Estacionamento</v>
      </c>
      <c r="C46" s="61">
        <f>SUMIFS('B1 - Matriz de custos diretos'!$G$3:$G$496,'B1 - Matriz de custos diretos'!$B$3:$B$496,$B46,'B1 - Matriz de custos diretos'!$C$3:$C$496,"Materiais")*'A3 - Demanda Anual Agregada '!C23</f>
        <v>0</v>
      </c>
      <c r="D46" s="61">
        <f>SUMIFS('B1 - Matriz de custos diretos'!$G$3:$G$496,'B1 - Matriz de custos diretos'!$B$3:$B$496,$B46,'B1 - Matriz de custos diretos'!$C$3:$C$496,"Materiais")*'A3 - Demanda Anual Agregada '!D23</f>
        <v>0</v>
      </c>
      <c r="E46" s="61">
        <f>SUMIFS('B1 - Matriz de custos diretos'!$G$3:$G$496,'B1 - Matriz de custos diretos'!$B$3:$B$496,$B46,'B1 - Matriz de custos diretos'!$C$3:$C$496,"Materiais")*'A3 - Demanda Anual Agregada '!E23</f>
        <v>0</v>
      </c>
      <c r="F46" s="61">
        <f>SUMIFS('B1 - Matriz de custos diretos'!$G$3:$G$496,'B1 - Matriz de custos diretos'!$B$3:$B$496,$B46,'B1 - Matriz de custos diretos'!$C$3:$C$496,"Materiais")*'A3 - Demanda Anual Agregada '!F23</f>
        <v>0</v>
      </c>
      <c r="G46" s="61">
        <f>SUMIFS('B1 - Matriz de custos diretos'!$G$3:$G$496,'B1 - Matriz de custos diretos'!$B$3:$B$496,$B46,'B1 - Matriz de custos diretos'!$C$3:$C$496,"Materiais")*'A3 - Demanda Anual Agregada '!G23</f>
        <v>0</v>
      </c>
      <c r="H46" s="61">
        <f>SUMIFS('B1 - Matriz de custos diretos'!$G$3:$G$496,'B1 - Matriz de custos diretos'!$B$3:$B$496,$B46,'B1 - Matriz de custos diretos'!$C$3:$C$496,"Materiais")*'A3 - Demanda Anual Agregada '!H23</f>
        <v>0</v>
      </c>
      <c r="I46" s="61">
        <f>SUMIFS('B1 - Matriz de custos diretos'!$G$3:$G$496,'B1 - Matriz de custos diretos'!$B$3:$B$496,$B46,'B1 - Matriz de custos diretos'!$C$3:$C$496,"Materiais")*'A3 - Demanda Anual Agregada '!I23</f>
        <v>0</v>
      </c>
      <c r="J46" s="61">
        <f>SUMIFS('B1 - Matriz de custos diretos'!$G$3:$G$496,'B1 - Matriz de custos diretos'!$B$3:$B$496,$B46,'B1 - Matriz de custos diretos'!$C$3:$C$496,"Materiais")*'A3 - Demanda Anual Agregada '!J23</f>
        <v>0</v>
      </c>
      <c r="K46" s="61">
        <f>SUMIFS('B1 - Matriz de custos diretos'!$G$3:$G$496,'B1 - Matriz de custos diretos'!$B$3:$B$496,$B46,'B1 - Matriz de custos diretos'!$C$3:$C$496,"Materiais")*'A3 - Demanda Anual Agregada '!K23</f>
        <v>0</v>
      </c>
      <c r="L46" s="61">
        <f>SUMIFS('B1 - Matriz de custos diretos'!$G$3:$G$496,'B1 - Matriz de custos diretos'!$B$3:$B$496,$B46,'B1 - Matriz de custos diretos'!$C$3:$C$496,"Materiais")*'A3 - Demanda Anual Agregada '!L23</f>
        <v>0</v>
      </c>
      <c r="M46" s="61">
        <f>SUMIFS('B1 - Matriz de custos diretos'!$G$3:$G$496,'B1 - Matriz de custos diretos'!$B$3:$B$496,$B46,'B1 - Matriz de custos diretos'!$C$3:$C$496,"Materiais")*'A3 - Demanda Anual Agregada '!M23</f>
        <v>0</v>
      </c>
      <c r="N46" s="61">
        <f>SUMIFS('B1 - Matriz de custos diretos'!$G$3:$G$496,'B1 - Matriz de custos diretos'!$B$3:$B$496,$B46,'B1 - Matriz de custos diretos'!$C$3:$C$496,"Materiais")*'A3 - Demanda Anual Agregada '!N23</f>
        <v>0</v>
      </c>
      <c r="O46" s="61">
        <f>SUMIFS('B1 - Matriz de custos diretos'!$G$3:$G$496,'B1 - Matriz de custos diretos'!$B$3:$B$496,$B46,'B1 - Matriz de custos diretos'!$C$3:$C$496,"Materiais")*'A3 - Demanda Anual Agregada '!O23</f>
        <v>0</v>
      </c>
      <c r="P46" s="61">
        <f>SUMIFS('B1 - Matriz de custos diretos'!$G$3:$G$496,'B1 - Matriz de custos diretos'!$B$3:$B$496,$B46,'B1 - Matriz de custos diretos'!$C$3:$C$496,"Materiais")*'A3 - Demanda Anual Agregada '!P23</f>
        <v>0</v>
      </c>
      <c r="Q46" s="61">
        <f>SUMIFS('B1 - Matriz de custos diretos'!$G$3:$G$496,'B1 - Matriz de custos diretos'!$B$3:$B$496,$B46,'B1 - Matriz de custos diretos'!$C$3:$C$496,"Materiais")*'A3 - Demanda Anual Agregada '!Q23</f>
        <v>0</v>
      </c>
      <c r="R46" s="61">
        <f>SUMIFS('B1 - Matriz de custos diretos'!$G$3:$G$496,'B1 - Matriz de custos diretos'!$B$3:$B$496,$B46,'B1 - Matriz de custos diretos'!$C$3:$C$496,"Materiais")*'A3 - Demanda Anual Agregada '!R23</f>
        <v>0</v>
      </c>
      <c r="S46" s="61">
        <f>SUMIFS('B1 - Matriz de custos diretos'!$G$3:$G$496,'B1 - Matriz de custos diretos'!$B$3:$B$496,$B46,'B1 - Matriz de custos diretos'!$C$3:$C$496,"Materiais")*'A3 - Demanda Anual Agregada '!S23</f>
        <v>0</v>
      </c>
      <c r="T46" s="61">
        <f>SUMIFS('B1 - Matriz de custos diretos'!$G$3:$G$496,'B1 - Matriz de custos diretos'!$B$3:$B$496,$B46,'B1 - Matriz de custos diretos'!$C$3:$C$496,"Materiais")*'A3 - Demanda Anual Agregada '!T23</f>
        <v>0</v>
      </c>
      <c r="U46" s="61">
        <f>SUMIFS('B1 - Matriz de custos diretos'!$G$3:$G$496,'B1 - Matriz de custos diretos'!$B$3:$B$496,$B46,'B1 - Matriz de custos diretos'!$C$3:$C$496,"Materiais")*'A3 - Demanda Anual Agregada '!U23</f>
        <v>0</v>
      </c>
      <c r="V46" s="61">
        <f>SUMIFS('B1 - Matriz de custos diretos'!$G$3:$G$496,'B1 - Matriz de custos diretos'!$B$3:$B$496,$B46,'B1 - Matriz de custos diretos'!$C$3:$C$496,"Materiais")*'A3 - Demanda Anual Agregada '!V23</f>
        <v>0</v>
      </c>
      <c r="W46" s="61">
        <f>SUMIFS('B1 - Matriz de custos diretos'!$G$3:$G$496,'B1 - Matriz de custos diretos'!$B$3:$B$496,$B46,'B1 - Matriz de custos diretos'!$C$3:$C$496,"Materiais")*'A3 - Demanda Anual Agregada '!W23</f>
        <v>0</v>
      </c>
      <c r="X46" s="61">
        <f>SUMIFS('B1 - Matriz de custos diretos'!$G$3:$G$496,'B1 - Matriz de custos diretos'!$B$3:$B$496,$B46,'B1 - Matriz de custos diretos'!$C$3:$C$496,"Materiais")*'A3 - Demanda Anual Agregada '!X23</f>
        <v>0</v>
      </c>
      <c r="Y46" s="61">
        <f>SUMIFS('B1 - Matriz de custos diretos'!$G$3:$G$496,'B1 - Matriz de custos diretos'!$B$3:$B$496,$B46,'B1 - Matriz de custos diretos'!$C$3:$C$496,"Materiais")*'A3 - Demanda Anual Agregada '!Y23</f>
        <v>0</v>
      </c>
      <c r="Z46" s="61">
        <f>SUMIFS('B1 - Matriz de custos diretos'!$G$3:$G$496,'B1 - Matriz de custos diretos'!$B$3:$B$496,$B46,'B1 - Matriz de custos diretos'!$C$3:$C$496,"Materiais")*'A3 - Demanda Anual Agregada '!Z23</f>
        <v>0</v>
      </c>
      <c r="AA46" s="61">
        <f>SUMIFS('B1 - Matriz de custos diretos'!$G$3:$G$496,'B1 - Matriz de custos diretos'!$B$3:$B$496,$B46,'B1 - Matriz de custos diretos'!$C$3:$C$496,"Materiais")*'A3 - Demanda Anual Agregada '!AA23</f>
        <v>0</v>
      </c>
      <c r="AB46" s="61">
        <f>SUMIFS('B1 - Matriz de custos diretos'!$G$3:$G$496,'B1 - Matriz de custos diretos'!$B$3:$B$496,$B46,'B1 - Matriz de custos diretos'!$C$3:$C$496,"Materiais")*'A3 - Demanda Anual Agregada '!AB23</f>
        <v>0</v>
      </c>
      <c r="AC46" s="61">
        <f>SUMIFS('B1 - Matriz de custos diretos'!$G$3:$G$496,'B1 - Matriz de custos diretos'!$B$3:$B$496,$B46,'B1 - Matriz de custos diretos'!$C$3:$C$496,"Materiais")*'A3 - Demanda Anual Agregada '!AC23</f>
        <v>0</v>
      </c>
      <c r="AD46" s="61">
        <f>SUMIFS('B1 - Matriz de custos diretos'!$G$3:$G$496,'B1 - Matriz de custos diretos'!$B$3:$B$496,$B46,'B1 - Matriz de custos diretos'!$C$3:$C$496,"Materiais")*'A3 - Demanda Anual Agregada '!AD23</f>
        <v>0</v>
      </c>
      <c r="AE46" s="61">
        <f>SUMIFS('B1 - Matriz de custos diretos'!$G$3:$G$496,'B1 - Matriz de custos diretos'!$B$3:$B$496,$B46,'B1 - Matriz de custos diretos'!$C$3:$C$496,"Materiais")*'A3 - Demanda Anual Agregada '!AE23</f>
        <v>0</v>
      </c>
      <c r="AF46" s="61">
        <f>SUMIFS('B1 - Matriz de custos diretos'!$G$3:$G$496,'B1 - Matriz de custos diretos'!$B$3:$B$496,$B46,'B1 - Matriz de custos diretos'!$C$3:$C$496,"Materiais")*'A3 - Demanda Anual Agregada '!AF23</f>
        <v>0</v>
      </c>
    </row>
    <row r="47" spans="1:32" ht="15.75" customHeight="1">
      <c r="A47" s="292"/>
      <c r="B47" s="60" t="str">
        <f>'A3 - Demanda Anual Agregada '!B24</f>
        <v/>
      </c>
      <c r="C47" s="61">
        <f>SUMIFS('B1 - Matriz de custos diretos'!$G$3:$G$496,'B1 - Matriz de custos diretos'!$B$3:$B$496,$B47,'B1 - Matriz de custos diretos'!$C$3:$C$496,"Materiais")*'A3 - Demanda Anual Agregada '!C24</f>
        <v>0</v>
      </c>
      <c r="D47" s="61">
        <f>SUMIFS('B1 - Matriz de custos diretos'!$G$3:$G$496,'B1 - Matriz de custos diretos'!$B$3:$B$496,$B47,'B1 - Matriz de custos diretos'!$C$3:$C$496,"Materiais")*'A3 - Demanda Anual Agregada '!D24</f>
        <v>0</v>
      </c>
      <c r="E47" s="61">
        <f>SUMIFS('B1 - Matriz de custos diretos'!$G$3:$G$496,'B1 - Matriz de custos diretos'!$B$3:$B$496,$B47,'B1 - Matriz de custos diretos'!$C$3:$C$496,"Materiais")*'A3 - Demanda Anual Agregada '!E24</f>
        <v>0</v>
      </c>
      <c r="F47" s="61">
        <f>SUMIFS('B1 - Matriz de custos diretos'!$G$3:$G$496,'B1 - Matriz de custos diretos'!$B$3:$B$496,$B47,'B1 - Matriz de custos diretos'!$C$3:$C$496,"Materiais")*'A3 - Demanda Anual Agregada '!F24</f>
        <v>0</v>
      </c>
      <c r="G47" s="61">
        <f>SUMIFS('B1 - Matriz de custos diretos'!$G$3:$G$496,'B1 - Matriz de custos diretos'!$B$3:$B$496,$B47,'B1 - Matriz de custos diretos'!$C$3:$C$496,"Materiais")*'A3 - Demanda Anual Agregada '!G24</f>
        <v>0</v>
      </c>
      <c r="H47" s="61">
        <f>SUMIFS('B1 - Matriz de custos diretos'!$G$3:$G$496,'B1 - Matriz de custos diretos'!$B$3:$B$496,$B47,'B1 - Matriz de custos diretos'!$C$3:$C$496,"Materiais")*'A3 - Demanda Anual Agregada '!H24</f>
        <v>0</v>
      </c>
      <c r="I47" s="61">
        <f>SUMIFS('B1 - Matriz de custos diretos'!$G$3:$G$496,'B1 - Matriz de custos diretos'!$B$3:$B$496,$B47,'B1 - Matriz de custos diretos'!$C$3:$C$496,"Materiais")*'A3 - Demanda Anual Agregada '!I24</f>
        <v>0</v>
      </c>
      <c r="J47" s="61">
        <f>SUMIFS('B1 - Matriz de custos diretos'!$G$3:$G$496,'B1 - Matriz de custos diretos'!$B$3:$B$496,$B47,'B1 - Matriz de custos diretos'!$C$3:$C$496,"Materiais")*'A3 - Demanda Anual Agregada '!J24</f>
        <v>0</v>
      </c>
      <c r="K47" s="61">
        <f>SUMIFS('B1 - Matriz de custos diretos'!$G$3:$G$496,'B1 - Matriz de custos diretos'!$B$3:$B$496,$B47,'B1 - Matriz de custos diretos'!$C$3:$C$496,"Materiais")*'A3 - Demanda Anual Agregada '!K24</f>
        <v>0</v>
      </c>
      <c r="L47" s="61">
        <f>SUMIFS('B1 - Matriz de custos diretos'!$G$3:$G$496,'B1 - Matriz de custos diretos'!$B$3:$B$496,$B47,'B1 - Matriz de custos diretos'!$C$3:$C$496,"Materiais")*'A3 - Demanda Anual Agregada '!L24</f>
        <v>0</v>
      </c>
      <c r="M47" s="61">
        <f>SUMIFS('B1 - Matriz de custos diretos'!$G$3:$G$496,'B1 - Matriz de custos diretos'!$B$3:$B$496,$B47,'B1 - Matriz de custos diretos'!$C$3:$C$496,"Materiais")*'A3 - Demanda Anual Agregada '!M24</f>
        <v>0</v>
      </c>
      <c r="N47" s="61">
        <f>SUMIFS('B1 - Matriz de custos diretos'!$G$3:$G$496,'B1 - Matriz de custos diretos'!$B$3:$B$496,$B47,'B1 - Matriz de custos diretos'!$C$3:$C$496,"Materiais")*'A3 - Demanda Anual Agregada '!N24</f>
        <v>0</v>
      </c>
      <c r="O47" s="61">
        <f>SUMIFS('B1 - Matriz de custos diretos'!$G$3:$G$496,'B1 - Matriz de custos diretos'!$B$3:$B$496,$B47,'B1 - Matriz de custos diretos'!$C$3:$C$496,"Materiais")*'A3 - Demanda Anual Agregada '!O24</f>
        <v>0</v>
      </c>
      <c r="P47" s="61">
        <f>SUMIFS('B1 - Matriz de custos diretos'!$G$3:$G$496,'B1 - Matriz de custos diretos'!$B$3:$B$496,$B47,'B1 - Matriz de custos diretos'!$C$3:$C$496,"Materiais")*'A3 - Demanda Anual Agregada '!P24</f>
        <v>0</v>
      </c>
      <c r="Q47" s="61">
        <f>SUMIFS('B1 - Matriz de custos diretos'!$G$3:$G$496,'B1 - Matriz de custos diretos'!$B$3:$B$496,$B47,'B1 - Matriz de custos diretos'!$C$3:$C$496,"Materiais")*'A3 - Demanda Anual Agregada '!Q24</f>
        <v>0</v>
      </c>
      <c r="R47" s="61">
        <f>SUMIFS('B1 - Matriz de custos diretos'!$G$3:$G$496,'B1 - Matriz de custos diretos'!$B$3:$B$496,$B47,'B1 - Matriz de custos diretos'!$C$3:$C$496,"Materiais")*'A3 - Demanda Anual Agregada '!R24</f>
        <v>0</v>
      </c>
      <c r="S47" s="61">
        <f>SUMIFS('B1 - Matriz de custos diretos'!$G$3:$G$496,'B1 - Matriz de custos diretos'!$B$3:$B$496,$B47,'B1 - Matriz de custos diretos'!$C$3:$C$496,"Materiais")*'A3 - Demanda Anual Agregada '!S24</f>
        <v>0</v>
      </c>
      <c r="T47" s="61">
        <f>SUMIFS('B1 - Matriz de custos diretos'!$G$3:$G$496,'B1 - Matriz de custos diretos'!$B$3:$B$496,$B47,'B1 - Matriz de custos diretos'!$C$3:$C$496,"Materiais")*'A3 - Demanda Anual Agregada '!T24</f>
        <v>0</v>
      </c>
      <c r="U47" s="61">
        <f>SUMIFS('B1 - Matriz de custos diretos'!$G$3:$G$496,'B1 - Matriz de custos diretos'!$B$3:$B$496,$B47,'B1 - Matriz de custos diretos'!$C$3:$C$496,"Materiais")*'A3 - Demanda Anual Agregada '!U24</f>
        <v>0</v>
      </c>
      <c r="V47" s="61">
        <f>SUMIFS('B1 - Matriz de custos diretos'!$G$3:$G$496,'B1 - Matriz de custos diretos'!$B$3:$B$496,$B47,'B1 - Matriz de custos diretos'!$C$3:$C$496,"Materiais")*'A3 - Demanda Anual Agregada '!V24</f>
        <v>0</v>
      </c>
      <c r="W47" s="61">
        <f>SUMIFS('B1 - Matriz de custos diretos'!$G$3:$G$496,'B1 - Matriz de custos diretos'!$B$3:$B$496,$B47,'B1 - Matriz de custos diretos'!$C$3:$C$496,"Materiais")*'A3 - Demanda Anual Agregada '!W24</f>
        <v>0</v>
      </c>
      <c r="X47" s="61">
        <f>SUMIFS('B1 - Matriz de custos diretos'!$G$3:$G$496,'B1 - Matriz de custos diretos'!$B$3:$B$496,$B47,'B1 - Matriz de custos diretos'!$C$3:$C$496,"Materiais")*'A3 - Demanda Anual Agregada '!X24</f>
        <v>0</v>
      </c>
      <c r="Y47" s="61">
        <f>SUMIFS('B1 - Matriz de custos diretos'!$G$3:$G$496,'B1 - Matriz de custos diretos'!$B$3:$B$496,$B47,'B1 - Matriz de custos diretos'!$C$3:$C$496,"Materiais")*'A3 - Demanda Anual Agregada '!Y24</f>
        <v>0</v>
      </c>
      <c r="Z47" s="61">
        <f>SUMIFS('B1 - Matriz de custos diretos'!$G$3:$G$496,'B1 - Matriz de custos diretos'!$B$3:$B$496,$B47,'B1 - Matriz de custos diretos'!$C$3:$C$496,"Materiais")*'A3 - Demanda Anual Agregada '!Z24</f>
        <v>0</v>
      </c>
      <c r="AA47" s="61">
        <f>SUMIFS('B1 - Matriz de custos diretos'!$G$3:$G$496,'B1 - Matriz de custos diretos'!$B$3:$B$496,$B47,'B1 - Matriz de custos diretos'!$C$3:$C$496,"Materiais")*'A3 - Demanda Anual Agregada '!AA24</f>
        <v>0</v>
      </c>
      <c r="AB47" s="61">
        <f>SUMIFS('B1 - Matriz de custos diretos'!$G$3:$G$496,'B1 - Matriz de custos diretos'!$B$3:$B$496,$B47,'B1 - Matriz de custos diretos'!$C$3:$C$496,"Materiais")*'A3 - Demanda Anual Agregada '!AB24</f>
        <v>0</v>
      </c>
      <c r="AC47" s="61">
        <f>SUMIFS('B1 - Matriz de custos diretos'!$G$3:$G$496,'B1 - Matriz de custos diretos'!$B$3:$B$496,$B47,'B1 - Matriz de custos diretos'!$C$3:$C$496,"Materiais")*'A3 - Demanda Anual Agregada '!AC24</f>
        <v>0</v>
      </c>
      <c r="AD47" s="61">
        <f>SUMIFS('B1 - Matriz de custos diretos'!$G$3:$G$496,'B1 - Matriz de custos diretos'!$B$3:$B$496,$B47,'B1 - Matriz de custos diretos'!$C$3:$C$496,"Materiais")*'A3 - Demanda Anual Agregada '!AD24</f>
        <v>0</v>
      </c>
      <c r="AE47" s="61">
        <f>SUMIFS('B1 - Matriz de custos diretos'!$G$3:$G$496,'B1 - Matriz de custos diretos'!$B$3:$B$496,$B47,'B1 - Matriz de custos diretos'!$C$3:$C$496,"Materiais")*'A3 - Demanda Anual Agregada '!AE24</f>
        <v>0</v>
      </c>
      <c r="AF47" s="61">
        <f>SUMIFS('B1 - Matriz de custos diretos'!$G$3:$G$496,'B1 - Matriz de custos diretos'!$B$3:$B$496,$B47,'B1 - Matriz de custos diretos'!$C$3:$C$496,"Materiais")*'A3 - Demanda Anual Agregada '!AF24</f>
        <v>0</v>
      </c>
    </row>
    <row r="48" spans="1:32" ht="15.75" customHeight="1">
      <c r="A48" s="292"/>
      <c r="B48" s="60" t="str">
        <f>'A3 - Demanda Anual Agregada '!B25</f>
        <v/>
      </c>
      <c r="C48" s="61">
        <f>SUMIFS('B1 - Matriz de custos diretos'!$G$3:$G$496,'B1 - Matriz de custos diretos'!$B$3:$B$496,$B48,'B1 - Matriz de custos diretos'!$C$3:$C$496,"Materiais")*'A3 - Demanda Anual Agregada '!C25</f>
        <v>0</v>
      </c>
      <c r="D48" s="61">
        <f>SUMIFS('B1 - Matriz de custos diretos'!$G$3:$G$496,'B1 - Matriz de custos diretos'!$B$3:$B$496,$B48,'B1 - Matriz de custos diretos'!$C$3:$C$496,"Materiais")*'A3 - Demanda Anual Agregada '!D25</f>
        <v>0</v>
      </c>
      <c r="E48" s="61">
        <f>SUMIFS('B1 - Matriz de custos diretos'!$G$3:$G$496,'B1 - Matriz de custos diretos'!$B$3:$B$496,$B48,'B1 - Matriz de custos diretos'!$C$3:$C$496,"Materiais")*'A3 - Demanda Anual Agregada '!E25</f>
        <v>0</v>
      </c>
      <c r="F48" s="61">
        <f>SUMIFS('B1 - Matriz de custos diretos'!$G$3:$G$496,'B1 - Matriz de custos diretos'!$B$3:$B$496,$B48,'B1 - Matriz de custos diretos'!$C$3:$C$496,"Materiais")*'A3 - Demanda Anual Agregada '!F25</f>
        <v>0</v>
      </c>
      <c r="G48" s="61">
        <f>SUMIFS('B1 - Matriz de custos diretos'!$G$3:$G$496,'B1 - Matriz de custos diretos'!$B$3:$B$496,$B48,'B1 - Matriz de custos diretos'!$C$3:$C$496,"Materiais")*'A3 - Demanda Anual Agregada '!G25</f>
        <v>0</v>
      </c>
      <c r="H48" s="61">
        <f>SUMIFS('B1 - Matriz de custos diretos'!$G$3:$G$496,'B1 - Matriz de custos diretos'!$B$3:$B$496,$B48,'B1 - Matriz de custos diretos'!$C$3:$C$496,"Materiais")*'A3 - Demanda Anual Agregada '!H25</f>
        <v>0</v>
      </c>
      <c r="I48" s="61">
        <f>SUMIFS('B1 - Matriz de custos diretos'!$G$3:$G$496,'B1 - Matriz de custos diretos'!$B$3:$B$496,$B48,'B1 - Matriz de custos diretos'!$C$3:$C$496,"Materiais")*'A3 - Demanda Anual Agregada '!I25</f>
        <v>0</v>
      </c>
      <c r="J48" s="61">
        <f>SUMIFS('B1 - Matriz de custos diretos'!$G$3:$G$496,'B1 - Matriz de custos diretos'!$B$3:$B$496,$B48,'B1 - Matriz de custos diretos'!$C$3:$C$496,"Materiais")*'A3 - Demanda Anual Agregada '!J25</f>
        <v>0</v>
      </c>
      <c r="K48" s="61">
        <f>SUMIFS('B1 - Matriz de custos diretos'!$G$3:$G$496,'B1 - Matriz de custos diretos'!$B$3:$B$496,$B48,'B1 - Matriz de custos diretos'!$C$3:$C$496,"Materiais")*'A3 - Demanda Anual Agregada '!K25</f>
        <v>0</v>
      </c>
      <c r="L48" s="61">
        <f>SUMIFS('B1 - Matriz de custos diretos'!$G$3:$G$496,'B1 - Matriz de custos diretos'!$B$3:$B$496,$B48,'B1 - Matriz de custos diretos'!$C$3:$C$496,"Materiais")*'A3 - Demanda Anual Agregada '!L25</f>
        <v>0</v>
      </c>
      <c r="M48" s="61">
        <f>SUMIFS('B1 - Matriz de custos diretos'!$G$3:$G$496,'B1 - Matriz de custos diretos'!$B$3:$B$496,$B48,'B1 - Matriz de custos diretos'!$C$3:$C$496,"Materiais")*'A3 - Demanda Anual Agregada '!M25</f>
        <v>0</v>
      </c>
      <c r="N48" s="61">
        <f>SUMIFS('B1 - Matriz de custos diretos'!$G$3:$G$496,'B1 - Matriz de custos diretos'!$B$3:$B$496,$B48,'B1 - Matriz de custos diretos'!$C$3:$C$496,"Materiais")*'A3 - Demanda Anual Agregada '!N25</f>
        <v>0</v>
      </c>
      <c r="O48" s="61">
        <f>SUMIFS('B1 - Matriz de custos diretos'!$G$3:$G$496,'B1 - Matriz de custos diretos'!$B$3:$B$496,$B48,'B1 - Matriz de custos diretos'!$C$3:$C$496,"Materiais")*'A3 - Demanda Anual Agregada '!O25</f>
        <v>0</v>
      </c>
      <c r="P48" s="61">
        <f>SUMIFS('B1 - Matriz de custos diretos'!$G$3:$G$496,'B1 - Matriz de custos diretos'!$B$3:$B$496,$B48,'B1 - Matriz de custos diretos'!$C$3:$C$496,"Materiais")*'A3 - Demanda Anual Agregada '!P25</f>
        <v>0</v>
      </c>
      <c r="Q48" s="61">
        <f>SUMIFS('B1 - Matriz de custos diretos'!$G$3:$G$496,'B1 - Matriz de custos diretos'!$B$3:$B$496,$B48,'B1 - Matriz de custos diretos'!$C$3:$C$496,"Materiais")*'A3 - Demanda Anual Agregada '!Q25</f>
        <v>0</v>
      </c>
      <c r="R48" s="61">
        <f>SUMIFS('B1 - Matriz de custos diretos'!$G$3:$G$496,'B1 - Matriz de custos diretos'!$B$3:$B$496,$B48,'B1 - Matriz de custos diretos'!$C$3:$C$496,"Materiais")*'A3 - Demanda Anual Agregada '!R25</f>
        <v>0</v>
      </c>
      <c r="S48" s="61">
        <f>SUMIFS('B1 - Matriz de custos diretos'!$G$3:$G$496,'B1 - Matriz de custos diretos'!$B$3:$B$496,$B48,'B1 - Matriz de custos diretos'!$C$3:$C$496,"Materiais")*'A3 - Demanda Anual Agregada '!S25</f>
        <v>0</v>
      </c>
      <c r="T48" s="61">
        <f>SUMIFS('B1 - Matriz de custos diretos'!$G$3:$G$496,'B1 - Matriz de custos diretos'!$B$3:$B$496,$B48,'B1 - Matriz de custos diretos'!$C$3:$C$496,"Materiais")*'A3 - Demanda Anual Agregada '!T25</f>
        <v>0</v>
      </c>
      <c r="U48" s="61">
        <f>SUMIFS('B1 - Matriz de custos diretos'!$G$3:$G$496,'B1 - Matriz de custos diretos'!$B$3:$B$496,$B48,'B1 - Matriz de custos diretos'!$C$3:$C$496,"Materiais")*'A3 - Demanda Anual Agregada '!U25</f>
        <v>0</v>
      </c>
      <c r="V48" s="61">
        <f>SUMIFS('B1 - Matriz de custos diretos'!$G$3:$G$496,'B1 - Matriz de custos diretos'!$B$3:$B$496,$B48,'B1 - Matriz de custos diretos'!$C$3:$C$496,"Materiais")*'A3 - Demanda Anual Agregada '!V25</f>
        <v>0</v>
      </c>
      <c r="W48" s="61">
        <f>SUMIFS('B1 - Matriz de custos diretos'!$G$3:$G$496,'B1 - Matriz de custos diretos'!$B$3:$B$496,$B48,'B1 - Matriz de custos diretos'!$C$3:$C$496,"Materiais")*'A3 - Demanda Anual Agregada '!W25</f>
        <v>0</v>
      </c>
      <c r="X48" s="61">
        <f>SUMIFS('B1 - Matriz de custos diretos'!$G$3:$G$496,'B1 - Matriz de custos diretos'!$B$3:$B$496,$B48,'B1 - Matriz de custos diretos'!$C$3:$C$496,"Materiais")*'A3 - Demanda Anual Agregada '!X25</f>
        <v>0</v>
      </c>
      <c r="Y48" s="61">
        <f>SUMIFS('B1 - Matriz de custos diretos'!$G$3:$G$496,'B1 - Matriz de custos diretos'!$B$3:$B$496,$B48,'B1 - Matriz de custos diretos'!$C$3:$C$496,"Materiais")*'A3 - Demanda Anual Agregada '!Y25</f>
        <v>0</v>
      </c>
      <c r="Z48" s="61">
        <f>SUMIFS('B1 - Matriz de custos diretos'!$G$3:$G$496,'B1 - Matriz de custos diretos'!$B$3:$B$496,$B48,'B1 - Matriz de custos diretos'!$C$3:$C$496,"Materiais")*'A3 - Demanda Anual Agregada '!Z25</f>
        <v>0</v>
      </c>
      <c r="AA48" s="61">
        <f>SUMIFS('B1 - Matriz de custos diretos'!$G$3:$G$496,'B1 - Matriz de custos diretos'!$B$3:$B$496,$B48,'B1 - Matriz de custos diretos'!$C$3:$C$496,"Materiais")*'A3 - Demanda Anual Agregada '!AA25</f>
        <v>0</v>
      </c>
      <c r="AB48" s="61">
        <f>SUMIFS('B1 - Matriz de custos diretos'!$G$3:$G$496,'B1 - Matriz de custos diretos'!$B$3:$B$496,$B48,'B1 - Matriz de custos diretos'!$C$3:$C$496,"Materiais")*'A3 - Demanda Anual Agregada '!AB25</f>
        <v>0</v>
      </c>
      <c r="AC48" s="61">
        <f>SUMIFS('B1 - Matriz de custos diretos'!$G$3:$G$496,'B1 - Matriz de custos diretos'!$B$3:$B$496,$B48,'B1 - Matriz de custos diretos'!$C$3:$C$496,"Materiais")*'A3 - Demanda Anual Agregada '!AC25</f>
        <v>0</v>
      </c>
      <c r="AD48" s="61">
        <f>SUMIFS('B1 - Matriz de custos diretos'!$G$3:$G$496,'B1 - Matriz de custos diretos'!$B$3:$B$496,$B48,'B1 - Matriz de custos diretos'!$C$3:$C$496,"Materiais")*'A3 - Demanda Anual Agregada '!AD25</f>
        <v>0</v>
      </c>
      <c r="AE48" s="61">
        <f>SUMIFS('B1 - Matriz de custos diretos'!$G$3:$G$496,'B1 - Matriz de custos diretos'!$B$3:$B$496,$B48,'B1 - Matriz de custos diretos'!$C$3:$C$496,"Materiais")*'A3 - Demanda Anual Agregada '!AE25</f>
        <v>0</v>
      </c>
      <c r="AF48" s="61">
        <f>SUMIFS('B1 - Matriz de custos diretos'!$G$3:$G$496,'B1 - Matriz de custos diretos'!$B$3:$B$496,$B48,'B1 - Matriz de custos diretos'!$C$3:$C$496,"Materiais")*'A3 - Demanda Anual Agregada '!AF25</f>
        <v>0</v>
      </c>
    </row>
    <row r="49" spans="1:32" ht="21.75" customHeight="1">
      <c r="A49" s="292"/>
      <c r="B49" s="464" t="s">
        <v>52</v>
      </c>
      <c r="C49" s="547">
        <f t="shared" ref="C49:AF49" si="1">SUM(C29:C48)</f>
        <v>434036.05</v>
      </c>
      <c r="D49" s="547">
        <f t="shared" si="1"/>
        <v>4244851.33</v>
      </c>
      <c r="E49" s="547">
        <f t="shared" si="1"/>
        <v>4391308.93</v>
      </c>
      <c r="F49" s="547">
        <f t="shared" si="1"/>
        <v>4533107.9399999995</v>
      </c>
      <c r="G49" s="547">
        <f t="shared" si="1"/>
        <v>4677142.37</v>
      </c>
      <c r="H49" s="547">
        <f t="shared" si="1"/>
        <v>4823718.32</v>
      </c>
      <c r="I49" s="547">
        <f t="shared" si="1"/>
        <v>4974513.26</v>
      </c>
      <c r="J49" s="547">
        <f t="shared" si="1"/>
        <v>5129621.63</v>
      </c>
      <c r="K49" s="547">
        <f t="shared" si="1"/>
        <v>5287593.5999999996</v>
      </c>
      <c r="L49" s="547">
        <f t="shared" si="1"/>
        <v>5448412.7300000004</v>
      </c>
      <c r="M49" s="547">
        <f t="shared" si="1"/>
        <v>5614363.9199999999</v>
      </c>
      <c r="N49" s="547">
        <f t="shared" si="1"/>
        <v>5785282.8899999997</v>
      </c>
      <c r="O49" s="547">
        <f t="shared" si="1"/>
        <v>5961613.3899999997</v>
      </c>
      <c r="P49" s="547">
        <f t="shared" si="1"/>
        <v>6143317.0300000003</v>
      </c>
      <c r="Q49" s="547">
        <f t="shared" si="1"/>
        <v>6330460.0300000003</v>
      </c>
      <c r="R49" s="547">
        <f t="shared" si="1"/>
        <v>6522713.6699999999</v>
      </c>
      <c r="S49" s="547">
        <f t="shared" si="1"/>
        <v>6719866.1500000004</v>
      </c>
      <c r="T49" s="547">
        <f t="shared" si="1"/>
        <v>6921278.7300000004</v>
      </c>
      <c r="U49" s="547">
        <f t="shared" si="1"/>
        <v>7126362.6799999997</v>
      </c>
      <c r="V49" s="547">
        <f t="shared" si="1"/>
        <v>7334139.3099999996</v>
      </c>
      <c r="W49" s="547">
        <f t="shared" si="1"/>
        <v>7334139.3099999996</v>
      </c>
      <c r="X49" s="547">
        <f t="shared" si="1"/>
        <v>7334139.3099999996</v>
      </c>
      <c r="Y49" s="547">
        <f t="shared" si="1"/>
        <v>7334139.3099999996</v>
      </c>
      <c r="Z49" s="547">
        <f t="shared" si="1"/>
        <v>7334139.3099999996</v>
      </c>
      <c r="AA49" s="547">
        <f t="shared" si="1"/>
        <v>7334139.3099999996</v>
      </c>
      <c r="AB49" s="547">
        <f t="shared" si="1"/>
        <v>7334139.3099999996</v>
      </c>
      <c r="AC49" s="547">
        <f t="shared" si="1"/>
        <v>7334139.3099999996</v>
      </c>
      <c r="AD49" s="547">
        <f t="shared" si="1"/>
        <v>7334139.3099999996</v>
      </c>
      <c r="AE49" s="547">
        <f t="shared" si="1"/>
        <v>7334139.3099999996</v>
      </c>
      <c r="AF49" s="547">
        <f t="shared" si="1"/>
        <v>7334139.3099999996</v>
      </c>
    </row>
    <row r="50" spans="1:32" ht="15.75" customHeight="1">
      <c r="A50" s="292"/>
      <c r="B50" s="292"/>
      <c r="C50" s="292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</row>
    <row r="51" spans="1:32" ht="15.75" customHeight="1">
      <c r="A51" s="292"/>
      <c r="B51" s="538" t="s">
        <v>183</v>
      </c>
      <c r="C51" s="292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</row>
    <row r="52" spans="1:32" ht="15.75" customHeight="1">
      <c r="A52" s="292"/>
      <c r="B52" s="769" t="s">
        <v>146</v>
      </c>
      <c r="C52" s="770" t="s">
        <v>147</v>
      </c>
      <c r="D52" s="817"/>
      <c r="E52" s="817"/>
      <c r="F52" s="817"/>
      <c r="G52" s="817"/>
      <c r="H52" s="817"/>
      <c r="I52" s="817"/>
      <c r="J52" s="817"/>
      <c r="K52" s="817"/>
      <c r="L52" s="817"/>
      <c r="M52" s="817"/>
      <c r="N52" s="817"/>
      <c r="O52" s="817"/>
      <c r="P52" s="817"/>
      <c r="Q52" s="817"/>
      <c r="R52" s="817"/>
      <c r="S52" s="817"/>
      <c r="T52" s="817"/>
      <c r="U52" s="817"/>
      <c r="V52" s="817"/>
      <c r="W52" s="817"/>
      <c r="X52" s="817"/>
      <c r="Y52" s="817"/>
      <c r="Z52" s="817"/>
      <c r="AA52" s="817"/>
      <c r="AB52" s="817"/>
      <c r="AC52" s="817"/>
      <c r="AD52" s="817"/>
      <c r="AE52" s="817"/>
      <c r="AF52" s="818"/>
    </row>
    <row r="53" spans="1:32" ht="15.75" customHeight="1">
      <c r="A53" s="292"/>
      <c r="B53" s="820"/>
      <c r="C53" s="546">
        <v>1</v>
      </c>
      <c r="D53" s="546">
        <v>2</v>
      </c>
      <c r="E53" s="546">
        <v>3</v>
      </c>
      <c r="F53" s="546">
        <v>4</v>
      </c>
      <c r="G53" s="546">
        <v>5</v>
      </c>
      <c r="H53" s="546">
        <v>6</v>
      </c>
      <c r="I53" s="546">
        <v>7</v>
      </c>
      <c r="J53" s="546">
        <v>8</v>
      </c>
      <c r="K53" s="546">
        <v>9</v>
      </c>
      <c r="L53" s="546">
        <v>10</v>
      </c>
      <c r="M53" s="546">
        <v>11</v>
      </c>
      <c r="N53" s="546">
        <v>12</v>
      </c>
      <c r="O53" s="546">
        <v>13</v>
      </c>
      <c r="P53" s="546">
        <v>14</v>
      </c>
      <c r="Q53" s="546">
        <v>15</v>
      </c>
      <c r="R53" s="546">
        <v>16</v>
      </c>
      <c r="S53" s="546">
        <v>17</v>
      </c>
      <c r="T53" s="546">
        <v>18</v>
      </c>
      <c r="U53" s="546">
        <v>19</v>
      </c>
      <c r="V53" s="546">
        <v>20</v>
      </c>
      <c r="W53" s="546">
        <v>21</v>
      </c>
      <c r="X53" s="546">
        <v>22</v>
      </c>
      <c r="Y53" s="546">
        <v>23</v>
      </c>
      <c r="Z53" s="546">
        <v>24</v>
      </c>
      <c r="AA53" s="546">
        <v>25</v>
      </c>
      <c r="AB53" s="546">
        <v>26</v>
      </c>
      <c r="AC53" s="546">
        <v>27</v>
      </c>
      <c r="AD53" s="546">
        <v>28</v>
      </c>
      <c r="AE53" s="546">
        <v>29</v>
      </c>
      <c r="AF53" s="546">
        <v>30</v>
      </c>
    </row>
    <row r="54" spans="1:32" ht="15.75" customHeight="1">
      <c r="A54" s="292"/>
      <c r="B54" s="60" t="str">
        <f>'A3 - Demanda Anual Agregada '!B6</f>
        <v>Ingresso</v>
      </c>
      <c r="C54" s="61">
        <f>SUMIFS('B1 - Matriz de custos diretos'!$G$3:$G$496,'B1 - Matriz de custos diretos'!$B$3:$B$496,$B29,'B1 - Matriz de custos diretos'!$C$3:$C$496,"Mão-de-obra")*'A3 - Demanda Anual Agregada '!C6</f>
        <v>0</v>
      </c>
      <c r="D54" s="61">
        <f>SUMIFS('B1 - Matriz de custos diretos'!$G$3:$G$496,'B1 - Matriz de custos diretos'!$B$3:$B$496,$B29,'B1 - Matriz de custos diretos'!$C$3:$C$496,"Mão-de-obra")*'A3 - Demanda Anual Agregada '!D6</f>
        <v>0</v>
      </c>
      <c r="E54" s="61">
        <f>SUMIFS('B1 - Matriz de custos diretos'!$G$3:$G$496,'B1 - Matriz de custos diretos'!$B$3:$B$496,$B29,'B1 - Matriz de custos diretos'!$C$3:$C$496,"Mão-de-obra")*'A3 - Demanda Anual Agregada '!E6</f>
        <v>0</v>
      </c>
      <c r="F54" s="61">
        <f>SUMIFS('B1 - Matriz de custos diretos'!$G$3:$G$496,'B1 - Matriz de custos diretos'!$B$3:$B$496,$B29,'B1 - Matriz de custos diretos'!$C$3:$C$496,"Mão-de-obra")*'A3 - Demanda Anual Agregada '!F6</f>
        <v>0</v>
      </c>
      <c r="G54" s="61">
        <f>SUMIFS('B1 - Matriz de custos diretos'!$G$3:$G$496,'B1 - Matriz de custos diretos'!$B$3:$B$496,$B29,'B1 - Matriz de custos diretos'!$C$3:$C$496,"Mão-de-obra")*'A3 - Demanda Anual Agregada '!G6</f>
        <v>0</v>
      </c>
      <c r="H54" s="61">
        <f>SUMIFS('B1 - Matriz de custos diretos'!$G$3:$G$496,'B1 - Matriz de custos diretos'!$B$3:$B$496,$B29,'B1 - Matriz de custos diretos'!$C$3:$C$496,"Mão-de-obra")*'A3 - Demanda Anual Agregada '!H6</f>
        <v>0</v>
      </c>
      <c r="I54" s="61">
        <f>SUMIFS('B1 - Matriz de custos diretos'!$G$3:$G$496,'B1 - Matriz de custos diretos'!$B$3:$B$496,$B29,'B1 - Matriz de custos diretos'!$C$3:$C$496,"Mão-de-obra")*'A3 - Demanda Anual Agregada '!I6</f>
        <v>0</v>
      </c>
      <c r="J54" s="61">
        <f>SUMIFS('B1 - Matriz de custos diretos'!$G$3:$G$496,'B1 - Matriz de custos diretos'!$B$3:$B$496,$B29,'B1 - Matriz de custos diretos'!$C$3:$C$496,"Mão-de-obra")*'A3 - Demanda Anual Agregada '!J6</f>
        <v>0</v>
      </c>
      <c r="K54" s="61">
        <f>SUMIFS('B1 - Matriz de custos diretos'!$G$3:$G$496,'B1 - Matriz de custos diretos'!$B$3:$B$496,$B29,'B1 - Matriz de custos diretos'!$C$3:$C$496,"Mão-de-obra")*'A3 - Demanda Anual Agregada '!K6</f>
        <v>0</v>
      </c>
      <c r="L54" s="61">
        <f>SUMIFS('B1 - Matriz de custos diretos'!$G$3:$G$496,'B1 - Matriz de custos diretos'!$B$3:$B$496,$B29,'B1 - Matriz de custos diretos'!$C$3:$C$496,"Mão-de-obra")*'A3 - Demanda Anual Agregada '!L6</f>
        <v>0</v>
      </c>
      <c r="M54" s="61">
        <f>SUMIFS('B1 - Matriz de custos diretos'!$G$3:$G$496,'B1 - Matriz de custos diretos'!$B$3:$B$496,$B29,'B1 - Matriz de custos diretos'!$C$3:$C$496,"Mão-de-obra")*'A3 - Demanda Anual Agregada '!M6</f>
        <v>0</v>
      </c>
      <c r="N54" s="61">
        <f>SUMIFS('B1 - Matriz de custos diretos'!$G$3:$G$496,'B1 - Matriz de custos diretos'!$B$3:$B$496,$B29,'B1 - Matriz de custos diretos'!$C$3:$C$496,"Mão-de-obra")*'A3 - Demanda Anual Agregada '!N6</f>
        <v>0</v>
      </c>
      <c r="O54" s="61">
        <f>SUMIFS('B1 - Matriz de custos diretos'!$G$3:$G$496,'B1 - Matriz de custos diretos'!$B$3:$B$496,$B29,'B1 - Matriz de custos diretos'!$C$3:$C$496,"Mão-de-obra")*'A3 - Demanda Anual Agregada '!O6</f>
        <v>0</v>
      </c>
      <c r="P54" s="61">
        <f>SUMIFS('B1 - Matriz de custos diretos'!$G$3:$G$496,'B1 - Matriz de custos diretos'!$B$3:$B$496,$B29,'B1 - Matriz de custos diretos'!$C$3:$C$496,"Mão-de-obra")*'A3 - Demanda Anual Agregada '!P6</f>
        <v>0</v>
      </c>
      <c r="Q54" s="61">
        <f>SUMIFS('B1 - Matriz de custos diretos'!$G$3:$G$496,'B1 - Matriz de custos diretos'!$B$3:$B$496,$B29,'B1 - Matriz de custos diretos'!$C$3:$C$496,"Mão-de-obra")*'A3 - Demanda Anual Agregada '!Q6</f>
        <v>0</v>
      </c>
      <c r="R54" s="61">
        <f>SUMIFS('B1 - Matriz de custos diretos'!$G$3:$G$496,'B1 - Matriz de custos diretos'!$B$3:$B$496,$B29,'B1 - Matriz de custos diretos'!$C$3:$C$496,"Mão-de-obra")*'A3 - Demanda Anual Agregada '!R6</f>
        <v>0</v>
      </c>
      <c r="S54" s="61">
        <f>SUMIFS('B1 - Matriz de custos diretos'!$G$3:$G$496,'B1 - Matriz de custos diretos'!$B$3:$B$496,$B29,'B1 - Matriz de custos diretos'!$C$3:$C$496,"Mão-de-obra")*'A3 - Demanda Anual Agregada '!S6</f>
        <v>0</v>
      </c>
      <c r="T54" s="61">
        <f>SUMIFS('B1 - Matriz de custos diretos'!$G$3:$G$496,'B1 - Matriz de custos diretos'!$B$3:$B$496,$B29,'B1 - Matriz de custos diretos'!$C$3:$C$496,"Mão-de-obra")*'A3 - Demanda Anual Agregada '!T6</f>
        <v>0</v>
      </c>
      <c r="U54" s="61">
        <f>SUMIFS('B1 - Matriz de custos diretos'!$G$3:$G$496,'B1 - Matriz de custos diretos'!$B$3:$B$496,$B29,'B1 - Matriz de custos diretos'!$C$3:$C$496,"Mão-de-obra")*'A3 - Demanda Anual Agregada '!U6</f>
        <v>0</v>
      </c>
      <c r="V54" s="61">
        <f>SUMIFS('B1 - Matriz de custos diretos'!$G$3:$G$496,'B1 - Matriz de custos diretos'!$B$3:$B$496,$B29,'B1 - Matriz de custos diretos'!$C$3:$C$496,"Mão-de-obra")*'A3 - Demanda Anual Agregada '!V6</f>
        <v>0</v>
      </c>
      <c r="W54" s="61">
        <f>SUMIFS('B1 - Matriz de custos diretos'!$G$3:$G$496,'B1 - Matriz de custos diretos'!$B$3:$B$496,$B29,'B1 - Matriz de custos diretos'!$C$3:$C$496,"Mão-de-obra")*'A3 - Demanda Anual Agregada '!W6</f>
        <v>0</v>
      </c>
      <c r="X54" s="61">
        <f>SUMIFS('B1 - Matriz de custos diretos'!$G$3:$G$496,'B1 - Matriz de custos diretos'!$B$3:$B$496,$B29,'B1 - Matriz de custos diretos'!$C$3:$C$496,"Mão-de-obra")*'A3 - Demanda Anual Agregada '!X6</f>
        <v>0</v>
      </c>
      <c r="Y54" s="61">
        <f>SUMIFS('B1 - Matriz de custos diretos'!$G$3:$G$496,'B1 - Matriz de custos diretos'!$B$3:$B$496,$B29,'B1 - Matriz de custos diretos'!$C$3:$C$496,"Mão-de-obra")*'A3 - Demanda Anual Agregada '!Y6</f>
        <v>0</v>
      </c>
      <c r="Z54" s="61">
        <f>SUMIFS('B1 - Matriz de custos diretos'!$G$3:$G$496,'B1 - Matriz de custos diretos'!$B$3:$B$496,$B29,'B1 - Matriz de custos diretos'!$C$3:$C$496,"Mão-de-obra")*'A3 - Demanda Anual Agregada '!Z6</f>
        <v>0</v>
      </c>
      <c r="AA54" s="61">
        <f>SUMIFS('B1 - Matriz de custos diretos'!$G$3:$G$496,'B1 - Matriz de custos diretos'!$B$3:$B$496,$B29,'B1 - Matriz de custos diretos'!$C$3:$C$496,"Mão-de-obra")*'A3 - Demanda Anual Agregada '!AA6</f>
        <v>0</v>
      </c>
      <c r="AB54" s="61">
        <f>SUMIFS('B1 - Matriz de custos diretos'!$G$3:$G$496,'B1 - Matriz de custos diretos'!$B$3:$B$496,$B29,'B1 - Matriz de custos diretos'!$C$3:$C$496,"Mão-de-obra")*'A3 - Demanda Anual Agregada '!AB6</f>
        <v>0</v>
      </c>
      <c r="AC54" s="61">
        <f>SUMIFS('B1 - Matriz de custos diretos'!$G$3:$G$496,'B1 - Matriz de custos diretos'!$B$3:$B$496,$B29,'B1 - Matriz de custos diretos'!$C$3:$C$496,"Mão-de-obra")*'A3 - Demanda Anual Agregada '!AC6</f>
        <v>0</v>
      </c>
      <c r="AD54" s="61">
        <f>SUMIFS('B1 - Matriz de custos diretos'!$G$3:$G$496,'B1 - Matriz de custos diretos'!$B$3:$B$496,$B29,'B1 - Matriz de custos diretos'!$C$3:$C$496,"Mão-de-obra")*'A3 - Demanda Anual Agregada '!AD6</f>
        <v>0</v>
      </c>
      <c r="AE54" s="61">
        <f>SUMIFS('B1 - Matriz de custos diretos'!$G$3:$G$496,'B1 - Matriz de custos diretos'!$B$3:$B$496,$B29,'B1 - Matriz de custos diretos'!$C$3:$C$496,"Mão-de-obra")*'A3 - Demanda Anual Agregada '!AE6</f>
        <v>0</v>
      </c>
      <c r="AF54" s="61">
        <f>SUMIFS('B1 - Matriz de custos diretos'!$G$3:$G$496,'B1 - Matriz de custos diretos'!$B$3:$B$496,$B29,'B1 - Matriz de custos diretos'!$C$3:$C$496,"Mão-de-obra")*'A3 - Demanda Anual Agregada '!AF6</f>
        <v>0</v>
      </c>
    </row>
    <row r="55" spans="1:32" ht="15.75" customHeight="1">
      <c r="A55" s="292"/>
      <c r="B55" s="60" t="str">
        <f>'A3 - Demanda Anual Agregada '!B7</f>
        <v>Preá - Alimentação</v>
      </c>
      <c r="C55" s="61">
        <f>SUMIFS('B1 - Matriz de custos diretos'!$G$3:$G$496,'B1 - Matriz de custos diretos'!$B$3:$B$496,$B30,'B1 - Matriz de custos diretos'!$C$3:$C$496,"Mão-de-obra")*'A3 - Demanda Anual Agregada '!C7</f>
        <v>0</v>
      </c>
      <c r="D55" s="61">
        <f>SUMIFS('B1 - Matriz de custos diretos'!$G$3:$G$496,'B1 - Matriz de custos diretos'!$B$3:$B$496,$B30,'B1 - Matriz de custos diretos'!$C$3:$C$496,"Mão-de-obra")*'A3 - Demanda Anual Agregada '!D7</f>
        <v>0</v>
      </c>
      <c r="E55" s="61">
        <f>SUMIFS('B1 - Matriz de custos diretos'!$G$3:$G$496,'B1 - Matriz de custos diretos'!$B$3:$B$496,$B30,'B1 - Matriz de custos diretos'!$C$3:$C$496,"Mão-de-obra")*'A3 - Demanda Anual Agregada '!E7</f>
        <v>0</v>
      </c>
      <c r="F55" s="61">
        <f>SUMIFS('B1 - Matriz de custos diretos'!$G$3:$G$496,'B1 - Matriz de custos diretos'!$B$3:$B$496,$B30,'B1 - Matriz de custos diretos'!$C$3:$C$496,"Mão-de-obra")*'A3 - Demanda Anual Agregada '!F7</f>
        <v>0</v>
      </c>
      <c r="G55" s="61">
        <f>SUMIFS('B1 - Matriz de custos diretos'!$G$3:$G$496,'B1 - Matriz de custos diretos'!$B$3:$B$496,$B30,'B1 - Matriz de custos diretos'!$C$3:$C$496,"Mão-de-obra")*'A3 - Demanda Anual Agregada '!G7</f>
        <v>0</v>
      </c>
      <c r="H55" s="61">
        <f>SUMIFS('B1 - Matriz de custos diretos'!$G$3:$G$496,'B1 - Matriz de custos diretos'!$B$3:$B$496,$B30,'B1 - Matriz de custos diretos'!$C$3:$C$496,"Mão-de-obra")*'A3 - Demanda Anual Agregada '!H7</f>
        <v>0</v>
      </c>
      <c r="I55" s="61">
        <f>SUMIFS('B1 - Matriz de custos diretos'!$G$3:$G$496,'B1 - Matriz de custos diretos'!$B$3:$B$496,$B30,'B1 - Matriz de custos diretos'!$C$3:$C$496,"Mão-de-obra")*'A3 - Demanda Anual Agregada '!I7</f>
        <v>0</v>
      </c>
      <c r="J55" s="61">
        <f>SUMIFS('B1 - Matriz de custos diretos'!$G$3:$G$496,'B1 - Matriz de custos diretos'!$B$3:$B$496,$B30,'B1 - Matriz de custos diretos'!$C$3:$C$496,"Mão-de-obra")*'A3 - Demanda Anual Agregada '!J7</f>
        <v>0</v>
      </c>
      <c r="K55" s="61">
        <f>SUMIFS('B1 - Matriz de custos diretos'!$G$3:$G$496,'B1 - Matriz de custos diretos'!$B$3:$B$496,$B30,'B1 - Matriz de custos diretos'!$C$3:$C$496,"Mão-de-obra")*'A3 - Demanda Anual Agregada '!K7</f>
        <v>0</v>
      </c>
      <c r="L55" s="61">
        <f>SUMIFS('B1 - Matriz de custos diretos'!$G$3:$G$496,'B1 - Matriz de custos diretos'!$B$3:$B$496,$B30,'B1 - Matriz de custos diretos'!$C$3:$C$496,"Mão-de-obra")*'A3 - Demanda Anual Agregada '!L7</f>
        <v>0</v>
      </c>
      <c r="M55" s="61">
        <f>SUMIFS('B1 - Matriz de custos diretos'!$G$3:$G$496,'B1 - Matriz de custos diretos'!$B$3:$B$496,$B30,'B1 - Matriz de custos diretos'!$C$3:$C$496,"Mão-de-obra")*'A3 - Demanda Anual Agregada '!M7</f>
        <v>0</v>
      </c>
      <c r="N55" s="61">
        <f>SUMIFS('B1 - Matriz de custos diretos'!$G$3:$G$496,'B1 - Matriz de custos diretos'!$B$3:$B$496,$B30,'B1 - Matriz de custos diretos'!$C$3:$C$496,"Mão-de-obra")*'A3 - Demanda Anual Agregada '!N7</f>
        <v>0</v>
      </c>
      <c r="O55" s="61">
        <f>SUMIFS('B1 - Matriz de custos diretos'!$G$3:$G$496,'B1 - Matriz de custos diretos'!$B$3:$B$496,$B30,'B1 - Matriz de custos diretos'!$C$3:$C$496,"Mão-de-obra")*'A3 - Demanda Anual Agregada '!O7</f>
        <v>0</v>
      </c>
      <c r="P55" s="61">
        <f>SUMIFS('B1 - Matriz de custos diretos'!$G$3:$G$496,'B1 - Matriz de custos diretos'!$B$3:$B$496,$B30,'B1 - Matriz de custos diretos'!$C$3:$C$496,"Mão-de-obra")*'A3 - Demanda Anual Agregada '!P7</f>
        <v>0</v>
      </c>
      <c r="Q55" s="61">
        <f>SUMIFS('B1 - Matriz de custos diretos'!$G$3:$G$496,'B1 - Matriz de custos diretos'!$B$3:$B$496,$B30,'B1 - Matriz de custos diretos'!$C$3:$C$496,"Mão-de-obra")*'A3 - Demanda Anual Agregada '!Q7</f>
        <v>0</v>
      </c>
      <c r="R55" s="61">
        <f>SUMIFS('B1 - Matriz de custos diretos'!$G$3:$G$496,'B1 - Matriz de custos diretos'!$B$3:$B$496,$B30,'B1 - Matriz de custos diretos'!$C$3:$C$496,"Mão-de-obra")*'A3 - Demanda Anual Agregada '!R7</f>
        <v>0</v>
      </c>
      <c r="S55" s="61">
        <f>SUMIFS('B1 - Matriz de custos diretos'!$G$3:$G$496,'B1 - Matriz de custos diretos'!$B$3:$B$496,$B30,'B1 - Matriz de custos diretos'!$C$3:$C$496,"Mão-de-obra")*'A3 - Demanda Anual Agregada '!S7</f>
        <v>0</v>
      </c>
      <c r="T55" s="61">
        <f>SUMIFS('B1 - Matriz de custos diretos'!$G$3:$G$496,'B1 - Matriz de custos diretos'!$B$3:$B$496,$B30,'B1 - Matriz de custos diretos'!$C$3:$C$496,"Mão-de-obra")*'A3 - Demanda Anual Agregada '!T7</f>
        <v>0</v>
      </c>
      <c r="U55" s="61">
        <f>SUMIFS('B1 - Matriz de custos diretos'!$G$3:$G$496,'B1 - Matriz de custos diretos'!$B$3:$B$496,$B30,'B1 - Matriz de custos diretos'!$C$3:$C$496,"Mão-de-obra")*'A3 - Demanda Anual Agregada '!U7</f>
        <v>0</v>
      </c>
      <c r="V55" s="61">
        <f>SUMIFS('B1 - Matriz de custos diretos'!$G$3:$G$496,'B1 - Matriz de custos diretos'!$B$3:$B$496,$B30,'B1 - Matriz de custos diretos'!$C$3:$C$496,"Mão-de-obra")*'A3 - Demanda Anual Agregada '!V7</f>
        <v>0</v>
      </c>
      <c r="W55" s="61">
        <f>SUMIFS('B1 - Matriz de custos diretos'!$G$3:$G$496,'B1 - Matriz de custos diretos'!$B$3:$B$496,$B30,'B1 - Matriz de custos diretos'!$C$3:$C$496,"Mão-de-obra")*'A3 - Demanda Anual Agregada '!W7</f>
        <v>0</v>
      </c>
      <c r="X55" s="61">
        <f>SUMIFS('B1 - Matriz de custos diretos'!$G$3:$G$496,'B1 - Matriz de custos diretos'!$B$3:$B$496,$B30,'B1 - Matriz de custos diretos'!$C$3:$C$496,"Mão-de-obra")*'A3 - Demanda Anual Agregada '!X7</f>
        <v>0</v>
      </c>
      <c r="Y55" s="61">
        <f>SUMIFS('B1 - Matriz de custos diretos'!$G$3:$G$496,'B1 - Matriz de custos diretos'!$B$3:$B$496,$B30,'B1 - Matriz de custos diretos'!$C$3:$C$496,"Mão-de-obra")*'A3 - Demanda Anual Agregada '!Y7</f>
        <v>0</v>
      </c>
      <c r="Z55" s="61">
        <f>SUMIFS('B1 - Matriz de custos diretos'!$G$3:$G$496,'B1 - Matriz de custos diretos'!$B$3:$B$496,$B30,'B1 - Matriz de custos diretos'!$C$3:$C$496,"Mão-de-obra")*'A3 - Demanda Anual Agregada '!Z7</f>
        <v>0</v>
      </c>
      <c r="AA55" s="61">
        <f>SUMIFS('B1 - Matriz de custos diretos'!$G$3:$G$496,'B1 - Matriz de custos diretos'!$B$3:$B$496,$B30,'B1 - Matriz de custos diretos'!$C$3:$C$496,"Mão-de-obra")*'A3 - Demanda Anual Agregada '!AA7</f>
        <v>0</v>
      </c>
      <c r="AB55" s="61">
        <f>SUMIFS('B1 - Matriz de custos diretos'!$G$3:$G$496,'B1 - Matriz de custos diretos'!$B$3:$B$496,$B30,'B1 - Matriz de custos diretos'!$C$3:$C$496,"Mão-de-obra")*'A3 - Demanda Anual Agregada '!AB7</f>
        <v>0</v>
      </c>
      <c r="AC55" s="61">
        <f>SUMIFS('B1 - Matriz de custos diretos'!$G$3:$G$496,'B1 - Matriz de custos diretos'!$B$3:$B$496,$B30,'B1 - Matriz de custos diretos'!$C$3:$C$496,"Mão-de-obra")*'A3 - Demanda Anual Agregada '!AC7</f>
        <v>0</v>
      </c>
      <c r="AD55" s="61">
        <f>SUMIFS('B1 - Matriz de custos diretos'!$G$3:$G$496,'B1 - Matriz de custos diretos'!$B$3:$B$496,$B30,'B1 - Matriz de custos diretos'!$C$3:$C$496,"Mão-de-obra")*'A3 - Demanda Anual Agregada '!AD7</f>
        <v>0</v>
      </c>
      <c r="AE55" s="61">
        <f>SUMIFS('B1 - Matriz de custos diretos'!$G$3:$G$496,'B1 - Matriz de custos diretos'!$B$3:$B$496,$B30,'B1 - Matriz de custos diretos'!$C$3:$C$496,"Mão-de-obra")*'A3 - Demanda Anual Agregada '!AE7</f>
        <v>0</v>
      </c>
      <c r="AF55" s="61">
        <f>SUMIFS('B1 - Matriz de custos diretos'!$G$3:$G$496,'B1 - Matriz de custos diretos'!$B$3:$B$496,$B30,'B1 - Matriz de custos diretos'!$C$3:$C$496,"Mão-de-obra")*'A3 - Demanda Anual Agregada '!AF7</f>
        <v>0</v>
      </c>
    </row>
    <row r="56" spans="1:32" ht="15.75" customHeight="1">
      <c r="A56" s="292"/>
      <c r="B56" s="60" t="str">
        <f>'A3 - Demanda Anual Agregada '!B8</f>
        <v>Preá - Comércio</v>
      </c>
      <c r="C56" s="61">
        <f>SUMIFS('B1 - Matriz de custos diretos'!$G$3:$G$496,'B1 - Matriz de custos diretos'!$B$3:$B$496,$B31,'B1 - Matriz de custos diretos'!$C$3:$C$496,"Mão-de-obra")*'A3 - Demanda Anual Agregada '!C8</f>
        <v>0</v>
      </c>
      <c r="D56" s="61">
        <f>SUMIFS('B1 - Matriz de custos diretos'!$G$3:$G$496,'B1 - Matriz de custos diretos'!$B$3:$B$496,$B31,'B1 - Matriz de custos diretos'!$C$3:$C$496,"Mão-de-obra")*'A3 - Demanda Anual Agregada '!D8</f>
        <v>0</v>
      </c>
      <c r="E56" s="61">
        <f>SUMIFS('B1 - Matriz de custos diretos'!$G$3:$G$496,'B1 - Matriz de custos diretos'!$B$3:$B$496,$B31,'B1 - Matriz de custos diretos'!$C$3:$C$496,"Mão-de-obra")*'A3 - Demanda Anual Agregada '!E8</f>
        <v>0</v>
      </c>
      <c r="F56" s="61">
        <f>SUMIFS('B1 - Matriz de custos diretos'!$G$3:$G$496,'B1 - Matriz de custos diretos'!$B$3:$B$496,$B31,'B1 - Matriz de custos diretos'!$C$3:$C$496,"Mão-de-obra")*'A3 - Demanda Anual Agregada '!F8</f>
        <v>0</v>
      </c>
      <c r="G56" s="61">
        <f>SUMIFS('B1 - Matriz de custos diretos'!$G$3:$G$496,'B1 - Matriz de custos diretos'!$B$3:$B$496,$B31,'B1 - Matriz de custos diretos'!$C$3:$C$496,"Mão-de-obra")*'A3 - Demanda Anual Agregada '!G8</f>
        <v>0</v>
      </c>
      <c r="H56" s="61">
        <f>SUMIFS('B1 - Matriz de custos diretos'!$G$3:$G$496,'B1 - Matriz de custos diretos'!$B$3:$B$496,$B31,'B1 - Matriz de custos diretos'!$C$3:$C$496,"Mão-de-obra")*'A3 - Demanda Anual Agregada '!H8</f>
        <v>0</v>
      </c>
      <c r="I56" s="61">
        <f>SUMIFS('B1 - Matriz de custos diretos'!$G$3:$G$496,'B1 - Matriz de custos diretos'!$B$3:$B$496,$B31,'B1 - Matriz de custos diretos'!$C$3:$C$496,"Mão-de-obra")*'A3 - Demanda Anual Agregada '!I8</f>
        <v>0</v>
      </c>
      <c r="J56" s="61">
        <f>SUMIFS('B1 - Matriz de custos diretos'!$G$3:$G$496,'B1 - Matriz de custos diretos'!$B$3:$B$496,$B31,'B1 - Matriz de custos diretos'!$C$3:$C$496,"Mão-de-obra")*'A3 - Demanda Anual Agregada '!J8</f>
        <v>0</v>
      </c>
      <c r="K56" s="61">
        <f>SUMIFS('B1 - Matriz de custos diretos'!$G$3:$G$496,'B1 - Matriz de custos diretos'!$B$3:$B$496,$B31,'B1 - Matriz de custos diretos'!$C$3:$C$496,"Mão-de-obra")*'A3 - Demanda Anual Agregada '!K8</f>
        <v>0</v>
      </c>
      <c r="L56" s="61">
        <f>SUMIFS('B1 - Matriz de custos diretos'!$G$3:$G$496,'B1 - Matriz de custos diretos'!$B$3:$B$496,$B31,'B1 - Matriz de custos diretos'!$C$3:$C$496,"Mão-de-obra")*'A3 - Demanda Anual Agregada '!L8</f>
        <v>0</v>
      </c>
      <c r="M56" s="61">
        <f>SUMIFS('B1 - Matriz de custos diretos'!$G$3:$G$496,'B1 - Matriz de custos diretos'!$B$3:$B$496,$B31,'B1 - Matriz de custos diretos'!$C$3:$C$496,"Mão-de-obra")*'A3 - Demanda Anual Agregada '!M8</f>
        <v>0</v>
      </c>
      <c r="N56" s="61">
        <f>SUMIFS('B1 - Matriz de custos diretos'!$G$3:$G$496,'B1 - Matriz de custos diretos'!$B$3:$B$496,$B31,'B1 - Matriz de custos diretos'!$C$3:$C$496,"Mão-de-obra")*'A3 - Demanda Anual Agregada '!N8</f>
        <v>0</v>
      </c>
      <c r="O56" s="61">
        <f>SUMIFS('B1 - Matriz de custos diretos'!$G$3:$G$496,'B1 - Matriz de custos diretos'!$B$3:$B$496,$B31,'B1 - Matriz de custos diretos'!$C$3:$C$496,"Mão-de-obra")*'A3 - Demanda Anual Agregada '!O8</f>
        <v>0</v>
      </c>
      <c r="P56" s="61">
        <f>SUMIFS('B1 - Matriz de custos diretos'!$G$3:$G$496,'B1 - Matriz de custos diretos'!$B$3:$B$496,$B31,'B1 - Matriz de custos diretos'!$C$3:$C$496,"Mão-de-obra")*'A3 - Demanda Anual Agregada '!P8</f>
        <v>0</v>
      </c>
      <c r="Q56" s="61">
        <f>SUMIFS('B1 - Matriz de custos diretos'!$G$3:$G$496,'B1 - Matriz de custos diretos'!$B$3:$B$496,$B31,'B1 - Matriz de custos diretos'!$C$3:$C$496,"Mão-de-obra")*'A3 - Demanda Anual Agregada '!Q8</f>
        <v>0</v>
      </c>
      <c r="R56" s="61">
        <f>SUMIFS('B1 - Matriz de custos diretos'!$G$3:$G$496,'B1 - Matriz de custos diretos'!$B$3:$B$496,$B31,'B1 - Matriz de custos diretos'!$C$3:$C$496,"Mão-de-obra")*'A3 - Demanda Anual Agregada '!R8</f>
        <v>0</v>
      </c>
      <c r="S56" s="61">
        <f>SUMIFS('B1 - Matriz de custos diretos'!$G$3:$G$496,'B1 - Matriz de custos diretos'!$B$3:$B$496,$B31,'B1 - Matriz de custos diretos'!$C$3:$C$496,"Mão-de-obra")*'A3 - Demanda Anual Agregada '!S8</f>
        <v>0</v>
      </c>
      <c r="T56" s="61">
        <f>SUMIFS('B1 - Matriz de custos diretos'!$G$3:$G$496,'B1 - Matriz de custos diretos'!$B$3:$B$496,$B31,'B1 - Matriz de custos diretos'!$C$3:$C$496,"Mão-de-obra")*'A3 - Demanda Anual Agregada '!T8</f>
        <v>0</v>
      </c>
      <c r="U56" s="61">
        <f>SUMIFS('B1 - Matriz de custos diretos'!$G$3:$G$496,'B1 - Matriz de custos diretos'!$B$3:$B$496,$B31,'B1 - Matriz de custos diretos'!$C$3:$C$496,"Mão-de-obra")*'A3 - Demanda Anual Agregada '!U8</f>
        <v>0</v>
      </c>
      <c r="V56" s="61">
        <f>SUMIFS('B1 - Matriz de custos diretos'!$G$3:$G$496,'B1 - Matriz de custos diretos'!$B$3:$B$496,$B31,'B1 - Matriz de custos diretos'!$C$3:$C$496,"Mão-de-obra")*'A3 - Demanda Anual Agregada '!V8</f>
        <v>0</v>
      </c>
      <c r="W56" s="61">
        <f>SUMIFS('B1 - Matriz de custos diretos'!$G$3:$G$496,'B1 - Matriz de custos diretos'!$B$3:$B$496,$B31,'B1 - Matriz de custos diretos'!$C$3:$C$496,"Mão-de-obra")*'A3 - Demanda Anual Agregada '!W8</f>
        <v>0</v>
      </c>
      <c r="X56" s="61">
        <f>SUMIFS('B1 - Matriz de custos diretos'!$G$3:$G$496,'B1 - Matriz de custos diretos'!$B$3:$B$496,$B31,'B1 - Matriz de custos diretos'!$C$3:$C$496,"Mão-de-obra")*'A3 - Demanda Anual Agregada '!X8</f>
        <v>0</v>
      </c>
      <c r="Y56" s="61">
        <f>SUMIFS('B1 - Matriz de custos diretos'!$G$3:$G$496,'B1 - Matriz de custos diretos'!$B$3:$B$496,$B31,'B1 - Matriz de custos diretos'!$C$3:$C$496,"Mão-de-obra")*'A3 - Demanda Anual Agregada '!Y8</f>
        <v>0</v>
      </c>
      <c r="Z56" s="61">
        <f>SUMIFS('B1 - Matriz de custos diretos'!$G$3:$G$496,'B1 - Matriz de custos diretos'!$B$3:$B$496,$B31,'B1 - Matriz de custos diretos'!$C$3:$C$496,"Mão-de-obra")*'A3 - Demanda Anual Agregada '!Z8</f>
        <v>0</v>
      </c>
      <c r="AA56" s="61">
        <f>SUMIFS('B1 - Matriz de custos diretos'!$G$3:$G$496,'B1 - Matriz de custos diretos'!$B$3:$B$496,$B31,'B1 - Matriz de custos diretos'!$C$3:$C$496,"Mão-de-obra")*'A3 - Demanda Anual Agregada '!AA8</f>
        <v>0</v>
      </c>
      <c r="AB56" s="61">
        <f>SUMIFS('B1 - Matriz de custos diretos'!$G$3:$G$496,'B1 - Matriz de custos diretos'!$B$3:$B$496,$B31,'B1 - Matriz de custos diretos'!$C$3:$C$496,"Mão-de-obra")*'A3 - Demanda Anual Agregada '!AB8</f>
        <v>0</v>
      </c>
      <c r="AC56" s="61">
        <f>SUMIFS('B1 - Matriz de custos diretos'!$G$3:$G$496,'B1 - Matriz de custos diretos'!$B$3:$B$496,$B31,'B1 - Matriz de custos diretos'!$C$3:$C$496,"Mão-de-obra")*'A3 - Demanda Anual Agregada '!AC8</f>
        <v>0</v>
      </c>
      <c r="AD56" s="61">
        <f>SUMIFS('B1 - Matriz de custos diretos'!$G$3:$G$496,'B1 - Matriz de custos diretos'!$B$3:$B$496,$B31,'B1 - Matriz de custos diretos'!$C$3:$C$496,"Mão-de-obra")*'A3 - Demanda Anual Agregada '!AD8</f>
        <v>0</v>
      </c>
      <c r="AE56" s="61">
        <f>SUMIFS('B1 - Matriz de custos diretos'!$G$3:$G$496,'B1 - Matriz de custos diretos'!$B$3:$B$496,$B31,'B1 - Matriz de custos diretos'!$C$3:$C$496,"Mão-de-obra")*'A3 - Demanda Anual Agregada '!AE8</f>
        <v>0</v>
      </c>
      <c r="AF56" s="61">
        <f>SUMIFS('B1 - Matriz de custos diretos'!$G$3:$G$496,'B1 - Matriz de custos diretos'!$B$3:$B$496,$B31,'B1 - Matriz de custos diretos'!$C$3:$C$496,"Mão-de-obra")*'A3 - Demanda Anual Agregada '!AF8</f>
        <v>0</v>
      </c>
    </row>
    <row r="57" spans="1:32" ht="15.75" customHeight="1">
      <c r="A57" s="292"/>
      <c r="B57" s="60" t="str">
        <f>'A3 - Demanda Anual Agregada '!B9</f>
        <v>Preá - Estacionamento</v>
      </c>
      <c r="C57" s="61">
        <f>SUMIFS('B1 - Matriz de custos diretos'!$G$3:$G$496,'B1 - Matriz de custos diretos'!$B$3:$B$496,$B32,'B1 - Matriz de custos diretos'!$C$3:$C$496,"Mão-de-obra")*'A3 - Demanda Anual Agregada '!C9</f>
        <v>0</v>
      </c>
      <c r="D57" s="61">
        <f>SUMIFS('B1 - Matriz de custos diretos'!$G$3:$G$496,'B1 - Matriz de custos diretos'!$B$3:$B$496,$B32,'B1 - Matriz de custos diretos'!$C$3:$C$496,"Mão-de-obra")*'A3 - Demanda Anual Agregada '!D9</f>
        <v>0</v>
      </c>
      <c r="E57" s="61">
        <f>SUMIFS('B1 - Matriz de custos diretos'!$G$3:$G$496,'B1 - Matriz de custos diretos'!$B$3:$B$496,$B32,'B1 - Matriz de custos diretos'!$C$3:$C$496,"Mão-de-obra")*'A3 - Demanda Anual Agregada '!E9</f>
        <v>0</v>
      </c>
      <c r="F57" s="61">
        <f>SUMIFS('B1 - Matriz de custos diretos'!$G$3:$G$496,'B1 - Matriz de custos diretos'!$B$3:$B$496,$B32,'B1 - Matriz de custos diretos'!$C$3:$C$496,"Mão-de-obra")*'A3 - Demanda Anual Agregada '!F9</f>
        <v>0</v>
      </c>
      <c r="G57" s="61">
        <f>SUMIFS('B1 - Matriz de custos diretos'!$G$3:$G$496,'B1 - Matriz de custos diretos'!$B$3:$B$496,$B32,'B1 - Matriz de custos diretos'!$C$3:$C$496,"Mão-de-obra")*'A3 - Demanda Anual Agregada '!G9</f>
        <v>0</v>
      </c>
      <c r="H57" s="61">
        <f>SUMIFS('B1 - Matriz de custos diretos'!$G$3:$G$496,'B1 - Matriz de custos diretos'!$B$3:$B$496,$B32,'B1 - Matriz de custos diretos'!$C$3:$C$496,"Mão-de-obra")*'A3 - Demanda Anual Agregada '!H9</f>
        <v>0</v>
      </c>
      <c r="I57" s="61">
        <f>SUMIFS('B1 - Matriz de custos diretos'!$G$3:$G$496,'B1 - Matriz de custos diretos'!$B$3:$B$496,$B32,'B1 - Matriz de custos diretos'!$C$3:$C$496,"Mão-de-obra")*'A3 - Demanda Anual Agregada '!I9</f>
        <v>0</v>
      </c>
      <c r="J57" s="61">
        <f>SUMIFS('B1 - Matriz de custos diretos'!$G$3:$G$496,'B1 - Matriz de custos diretos'!$B$3:$B$496,$B32,'B1 - Matriz de custos diretos'!$C$3:$C$496,"Mão-de-obra")*'A3 - Demanda Anual Agregada '!J9</f>
        <v>0</v>
      </c>
      <c r="K57" s="61">
        <f>SUMIFS('B1 - Matriz de custos diretos'!$G$3:$G$496,'B1 - Matriz de custos diretos'!$B$3:$B$496,$B32,'B1 - Matriz de custos diretos'!$C$3:$C$496,"Mão-de-obra")*'A3 - Demanda Anual Agregada '!K9</f>
        <v>0</v>
      </c>
      <c r="L57" s="61">
        <f>SUMIFS('B1 - Matriz de custos diretos'!$G$3:$G$496,'B1 - Matriz de custos diretos'!$B$3:$B$496,$B32,'B1 - Matriz de custos diretos'!$C$3:$C$496,"Mão-de-obra")*'A3 - Demanda Anual Agregada '!L9</f>
        <v>0</v>
      </c>
      <c r="M57" s="61">
        <f>SUMIFS('B1 - Matriz de custos diretos'!$G$3:$G$496,'B1 - Matriz de custos diretos'!$B$3:$B$496,$B32,'B1 - Matriz de custos diretos'!$C$3:$C$496,"Mão-de-obra")*'A3 - Demanda Anual Agregada '!M9</f>
        <v>0</v>
      </c>
      <c r="N57" s="61">
        <f>SUMIFS('B1 - Matriz de custos diretos'!$G$3:$G$496,'B1 - Matriz de custos diretos'!$B$3:$B$496,$B32,'B1 - Matriz de custos diretos'!$C$3:$C$496,"Mão-de-obra")*'A3 - Demanda Anual Agregada '!N9</f>
        <v>0</v>
      </c>
      <c r="O57" s="61">
        <f>SUMIFS('B1 - Matriz de custos diretos'!$G$3:$G$496,'B1 - Matriz de custos diretos'!$B$3:$B$496,$B32,'B1 - Matriz de custos diretos'!$C$3:$C$496,"Mão-de-obra")*'A3 - Demanda Anual Agregada '!O9</f>
        <v>0</v>
      </c>
      <c r="P57" s="61">
        <f>SUMIFS('B1 - Matriz de custos diretos'!$G$3:$G$496,'B1 - Matriz de custos diretos'!$B$3:$B$496,$B32,'B1 - Matriz de custos diretos'!$C$3:$C$496,"Mão-de-obra")*'A3 - Demanda Anual Agregada '!P9</f>
        <v>0</v>
      </c>
      <c r="Q57" s="61">
        <f>SUMIFS('B1 - Matriz de custos diretos'!$G$3:$G$496,'B1 - Matriz de custos diretos'!$B$3:$B$496,$B32,'B1 - Matriz de custos diretos'!$C$3:$C$496,"Mão-de-obra")*'A3 - Demanda Anual Agregada '!Q9</f>
        <v>0</v>
      </c>
      <c r="R57" s="61">
        <f>SUMIFS('B1 - Matriz de custos diretos'!$G$3:$G$496,'B1 - Matriz de custos diretos'!$B$3:$B$496,$B32,'B1 - Matriz de custos diretos'!$C$3:$C$496,"Mão-de-obra")*'A3 - Demanda Anual Agregada '!R9</f>
        <v>0</v>
      </c>
      <c r="S57" s="61">
        <f>SUMIFS('B1 - Matriz de custos diretos'!$G$3:$G$496,'B1 - Matriz de custos diretos'!$B$3:$B$496,$B32,'B1 - Matriz de custos diretos'!$C$3:$C$496,"Mão-de-obra")*'A3 - Demanda Anual Agregada '!S9</f>
        <v>0</v>
      </c>
      <c r="T57" s="61">
        <f>SUMIFS('B1 - Matriz de custos diretos'!$G$3:$G$496,'B1 - Matriz de custos diretos'!$B$3:$B$496,$B32,'B1 - Matriz de custos diretos'!$C$3:$C$496,"Mão-de-obra")*'A3 - Demanda Anual Agregada '!T9</f>
        <v>0</v>
      </c>
      <c r="U57" s="61">
        <f>SUMIFS('B1 - Matriz de custos diretos'!$G$3:$G$496,'B1 - Matriz de custos diretos'!$B$3:$B$496,$B32,'B1 - Matriz de custos diretos'!$C$3:$C$496,"Mão-de-obra")*'A3 - Demanda Anual Agregada '!U9</f>
        <v>0</v>
      </c>
      <c r="V57" s="61">
        <f>SUMIFS('B1 - Matriz de custos diretos'!$G$3:$G$496,'B1 - Matriz de custos diretos'!$B$3:$B$496,$B32,'B1 - Matriz de custos diretos'!$C$3:$C$496,"Mão-de-obra")*'A3 - Demanda Anual Agregada '!V9</f>
        <v>0</v>
      </c>
      <c r="W57" s="61">
        <f>SUMIFS('B1 - Matriz de custos diretos'!$G$3:$G$496,'B1 - Matriz de custos diretos'!$B$3:$B$496,$B32,'B1 - Matriz de custos diretos'!$C$3:$C$496,"Mão-de-obra")*'A3 - Demanda Anual Agregada '!W9</f>
        <v>0</v>
      </c>
      <c r="X57" s="61">
        <f>SUMIFS('B1 - Matriz de custos diretos'!$G$3:$G$496,'B1 - Matriz de custos diretos'!$B$3:$B$496,$B32,'B1 - Matriz de custos diretos'!$C$3:$C$496,"Mão-de-obra")*'A3 - Demanda Anual Agregada '!X9</f>
        <v>0</v>
      </c>
      <c r="Y57" s="61">
        <f>SUMIFS('B1 - Matriz de custos diretos'!$G$3:$G$496,'B1 - Matriz de custos diretos'!$B$3:$B$496,$B32,'B1 - Matriz de custos diretos'!$C$3:$C$496,"Mão-de-obra")*'A3 - Demanda Anual Agregada '!Y9</f>
        <v>0</v>
      </c>
      <c r="Z57" s="61">
        <f>SUMIFS('B1 - Matriz de custos diretos'!$G$3:$G$496,'B1 - Matriz de custos diretos'!$B$3:$B$496,$B32,'B1 - Matriz de custos diretos'!$C$3:$C$496,"Mão-de-obra")*'A3 - Demanda Anual Agregada '!Z9</f>
        <v>0</v>
      </c>
      <c r="AA57" s="61">
        <f>SUMIFS('B1 - Matriz de custos diretos'!$G$3:$G$496,'B1 - Matriz de custos diretos'!$B$3:$B$496,$B32,'B1 - Matriz de custos diretos'!$C$3:$C$496,"Mão-de-obra")*'A3 - Demanda Anual Agregada '!AA9</f>
        <v>0</v>
      </c>
      <c r="AB57" s="61">
        <f>SUMIFS('B1 - Matriz de custos diretos'!$G$3:$G$496,'B1 - Matriz de custos diretos'!$B$3:$B$496,$B32,'B1 - Matriz de custos diretos'!$C$3:$C$496,"Mão-de-obra")*'A3 - Demanda Anual Agregada '!AB9</f>
        <v>0</v>
      </c>
      <c r="AC57" s="61">
        <f>SUMIFS('B1 - Matriz de custos diretos'!$G$3:$G$496,'B1 - Matriz de custos diretos'!$B$3:$B$496,$B32,'B1 - Matriz de custos diretos'!$C$3:$C$496,"Mão-de-obra")*'A3 - Demanda Anual Agregada '!AC9</f>
        <v>0</v>
      </c>
      <c r="AD57" s="61">
        <f>SUMIFS('B1 - Matriz de custos diretos'!$G$3:$G$496,'B1 - Matriz de custos diretos'!$B$3:$B$496,$B32,'B1 - Matriz de custos diretos'!$C$3:$C$496,"Mão-de-obra")*'A3 - Demanda Anual Agregada '!AD9</f>
        <v>0</v>
      </c>
      <c r="AE57" s="61">
        <f>SUMIFS('B1 - Matriz de custos diretos'!$G$3:$G$496,'B1 - Matriz de custos diretos'!$B$3:$B$496,$B32,'B1 - Matriz de custos diretos'!$C$3:$C$496,"Mão-de-obra")*'A3 - Demanda Anual Agregada '!AE9</f>
        <v>0</v>
      </c>
      <c r="AF57" s="61">
        <f>SUMIFS('B1 - Matriz de custos diretos'!$G$3:$G$496,'B1 - Matriz de custos diretos'!$B$3:$B$496,$B32,'B1 - Matriz de custos diretos'!$C$3:$C$496,"Mão-de-obra")*'A3 - Demanda Anual Agregada '!AF9</f>
        <v>0</v>
      </c>
    </row>
    <row r="58" spans="1:32" ht="15.75" customHeight="1">
      <c r="A58" s="292"/>
      <c r="B58" s="60" t="str">
        <f>'A3 - Demanda Anual Agregada '!B10</f>
        <v>Árvore da Preguiça - Alimentação</v>
      </c>
      <c r="C58" s="61">
        <f>SUMIFS('B1 - Matriz de custos diretos'!$G$3:$G$496,'B1 - Matriz de custos diretos'!$B$3:$B$496,$B33,'B1 - Matriz de custos diretos'!$C$3:$C$496,"Mão-de-obra")*'A3 - Demanda Anual Agregada '!C10</f>
        <v>0</v>
      </c>
      <c r="D58" s="61">
        <f>SUMIFS('B1 - Matriz de custos diretos'!$G$3:$G$496,'B1 - Matriz de custos diretos'!$B$3:$B$496,$B33,'B1 - Matriz de custos diretos'!$C$3:$C$496,"Mão-de-obra")*'A3 - Demanda Anual Agregada '!D10</f>
        <v>0</v>
      </c>
      <c r="E58" s="61">
        <f>SUMIFS('B1 - Matriz de custos diretos'!$G$3:$G$496,'B1 - Matriz de custos diretos'!$B$3:$B$496,$B33,'B1 - Matriz de custos diretos'!$C$3:$C$496,"Mão-de-obra")*'A3 - Demanda Anual Agregada '!E10</f>
        <v>0</v>
      </c>
      <c r="F58" s="61">
        <f>SUMIFS('B1 - Matriz de custos diretos'!$G$3:$G$496,'B1 - Matriz de custos diretos'!$B$3:$B$496,$B33,'B1 - Matriz de custos diretos'!$C$3:$C$496,"Mão-de-obra")*'A3 - Demanda Anual Agregada '!F10</f>
        <v>0</v>
      </c>
      <c r="G58" s="61">
        <f>SUMIFS('B1 - Matriz de custos diretos'!$G$3:$G$496,'B1 - Matriz de custos diretos'!$B$3:$B$496,$B33,'B1 - Matriz de custos diretos'!$C$3:$C$496,"Mão-de-obra")*'A3 - Demanda Anual Agregada '!G10</f>
        <v>0</v>
      </c>
      <c r="H58" s="61">
        <f>SUMIFS('B1 - Matriz de custos diretos'!$G$3:$G$496,'B1 - Matriz de custos diretos'!$B$3:$B$496,$B33,'B1 - Matriz de custos diretos'!$C$3:$C$496,"Mão-de-obra")*'A3 - Demanda Anual Agregada '!H10</f>
        <v>0</v>
      </c>
      <c r="I58" s="61">
        <f>SUMIFS('B1 - Matriz de custos diretos'!$G$3:$G$496,'B1 - Matriz de custos diretos'!$B$3:$B$496,$B33,'B1 - Matriz de custos diretos'!$C$3:$C$496,"Mão-de-obra")*'A3 - Demanda Anual Agregada '!I10</f>
        <v>0</v>
      </c>
      <c r="J58" s="61">
        <f>SUMIFS('B1 - Matriz de custos diretos'!$G$3:$G$496,'B1 - Matriz de custos diretos'!$B$3:$B$496,$B33,'B1 - Matriz de custos diretos'!$C$3:$C$496,"Mão-de-obra")*'A3 - Demanda Anual Agregada '!J10</f>
        <v>0</v>
      </c>
      <c r="K58" s="61">
        <f>SUMIFS('B1 - Matriz de custos diretos'!$G$3:$G$496,'B1 - Matriz de custos diretos'!$B$3:$B$496,$B33,'B1 - Matriz de custos diretos'!$C$3:$C$496,"Mão-de-obra")*'A3 - Demanda Anual Agregada '!K10</f>
        <v>0</v>
      </c>
      <c r="L58" s="61">
        <f>SUMIFS('B1 - Matriz de custos diretos'!$G$3:$G$496,'B1 - Matriz de custos diretos'!$B$3:$B$496,$B33,'B1 - Matriz de custos diretos'!$C$3:$C$496,"Mão-de-obra")*'A3 - Demanda Anual Agregada '!L10</f>
        <v>0</v>
      </c>
      <c r="M58" s="61">
        <f>SUMIFS('B1 - Matriz de custos diretos'!$G$3:$G$496,'B1 - Matriz de custos diretos'!$B$3:$B$496,$B33,'B1 - Matriz de custos diretos'!$C$3:$C$496,"Mão-de-obra")*'A3 - Demanda Anual Agregada '!M10</f>
        <v>0</v>
      </c>
      <c r="N58" s="61">
        <f>SUMIFS('B1 - Matriz de custos diretos'!$G$3:$G$496,'B1 - Matriz de custos diretos'!$B$3:$B$496,$B33,'B1 - Matriz de custos diretos'!$C$3:$C$496,"Mão-de-obra")*'A3 - Demanda Anual Agregada '!N10</f>
        <v>0</v>
      </c>
      <c r="O58" s="61">
        <f>SUMIFS('B1 - Matriz de custos diretos'!$G$3:$G$496,'B1 - Matriz de custos diretos'!$B$3:$B$496,$B33,'B1 - Matriz de custos diretos'!$C$3:$C$496,"Mão-de-obra")*'A3 - Demanda Anual Agregada '!O10</f>
        <v>0</v>
      </c>
      <c r="P58" s="61">
        <f>SUMIFS('B1 - Matriz de custos diretos'!$G$3:$G$496,'B1 - Matriz de custos diretos'!$B$3:$B$496,$B33,'B1 - Matriz de custos diretos'!$C$3:$C$496,"Mão-de-obra")*'A3 - Demanda Anual Agregada '!P10</f>
        <v>0</v>
      </c>
      <c r="Q58" s="61">
        <f>SUMIFS('B1 - Matriz de custos diretos'!$G$3:$G$496,'B1 - Matriz de custos diretos'!$B$3:$B$496,$B33,'B1 - Matriz de custos diretos'!$C$3:$C$496,"Mão-de-obra")*'A3 - Demanda Anual Agregada '!Q10</f>
        <v>0</v>
      </c>
      <c r="R58" s="61">
        <f>SUMIFS('B1 - Matriz de custos diretos'!$G$3:$G$496,'B1 - Matriz de custos diretos'!$B$3:$B$496,$B33,'B1 - Matriz de custos diretos'!$C$3:$C$496,"Mão-de-obra")*'A3 - Demanda Anual Agregada '!R10</f>
        <v>0</v>
      </c>
      <c r="S58" s="61">
        <f>SUMIFS('B1 - Matriz de custos diretos'!$G$3:$G$496,'B1 - Matriz de custos diretos'!$B$3:$B$496,$B33,'B1 - Matriz de custos diretos'!$C$3:$C$496,"Mão-de-obra")*'A3 - Demanda Anual Agregada '!S10</f>
        <v>0</v>
      </c>
      <c r="T58" s="61">
        <f>SUMIFS('B1 - Matriz de custos diretos'!$G$3:$G$496,'B1 - Matriz de custos diretos'!$B$3:$B$496,$B33,'B1 - Matriz de custos diretos'!$C$3:$C$496,"Mão-de-obra")*'A3 - Demanda Anual Agregada '!T10</f>
        <v>0</v>
      </c>
      <c r="U58" s="61">
        <f>SUMIFS('B1 - Matriz de custos diretos'!$G$3:$G$496,'B1 - Matriz de custos diretos'!$B$3:$B$496,$B33,'B1 - Matriz de custos diretos'!$C$3:$C$496,"Mão-de-obra")*'A3 - Demanda Anual Agregada '!U10</f>
        <v>0</v>
      </c>
      <c r="V58" s="61">
        <f>SUMIFS('B1 - Matriz de custos diretos'!$G$3:$G$496,'B1 - Matriz de custos diretos'!$B$3:$B$496,$B33,'B1 - Matriz de custos diretos'!$C$3:$C$496,"Mão-de-obra")*'A3 - Demanda Anual Agregada '!V10</f>
        <v>0</v>
      </c>
      <c r="W58" s="61">
        <f>SUMIFS('B1 - Matriz de custos diretos'!$G$3:$G$496,'B1 - Matriz de custos diretos'!$B$3:$B$496,$B33,'B1 - Matriz de custos diretos'!$C$3:$C$496,"Mão-de-obra")*'A3 - Demanda Anual Agregada '!W10</f>
        <v>0</v>
      </c>
      <c r="X58" s="61">
        <f>SUMIFS('B1 - Matriz de custos diretos'!$G$3:$G$496,'B1 - Matriz de custos diretos'!$B$3:$B$496,$B33,'B1 - Matriz de custos diretos'!$C$3:$C$496,"Mão-de-obra")*'A3 - Demanda Anual Agregada '!X10</f>
        <v>0</v>
      </c>
      <c r="Y58" s="61">
        <f>SUMIFS('B1 - Matriz de custos diretos'!$G$3:$G$496,'B1 - Matriz de custos diretos'!$B$3:$B$496,$B33,'B1 - Matriz de custos diretos'!$C$3:$C$496,"Mão-de-obra")*'A3 - Demanda Anual Agregada '!Y10</f>
        <v>0</v>
      </c>
      <c r="Z58" s="61">
        <f>SUMIFS('B1 - Matriz de custos diretos'!$G$3:$G$496,'B1 - Matriz de custos diretos'!$B$3:$B$496,$B33,'B1 - Matriz de custos diretos'!$C$3:$C$496,"Mão-de-obra")*'A3 - Demanda Anual Agregada '!Z10</f>
        <v>0</v>
      </c>
      <c r="AA58" s="61">
        <f>SUMIFS('B1 - Matriz de custos diretos'!$G$3:$G$496,'B1 - Matriz de custos diretos'!$B$3:$B$496,$B33,'B1 - Matriz de custos diretos'!$C$3:$C$496,"Mão-de-obra")*'A3 - Demanda Anual Agregada '!AA10</f>
        <v>0</v>
      </c>
      <c r="AB58" s="61">
        <f>SUMIFS('B1 - Matriz de custos diretos'!$G$3:$G$496,'B1 - Matriz de custos diretos'!$B$3:$B$496,$B33,'B1 - Matriz de custos diretos'!$C$3:$C$496,"Mão-de-obra")*'A3 - Demanda Anual Agregada '!AB10</f>
        <v>0</v>
      </c>
      <c r="AC58" s="61">
        <f>SUMIFS('B1 - Matriz de custos diretos'!$G$3:$G$496,'B1 - Matriz de custos diretos'!$B$3:$B$496,$B33,'B1 - Matriz de custos diretos'!$C$3:$C$496,"Mão-de-obra")*'A3 - Demanda Anual Agregada '!AC10</f>
        <v>0</v>
      </c>
      <c r="AD58" s="61">
        <f>SUMIFS('B1 - Matriz de custos diretos'!$G$3:$G$496,'B1 - Matriz de custos diretos'!$B$3:$B$496,$B33,'B1 - Matriz de custos diretos'!$C$3:$C$496,"Mão-de-obra")*'A3 - Demanda Anual Agregada '!AD10</f>
        <v>0</v>
      </c>
      <c r="AE58" s="61">
        <f>SUMIFS('B1 - Matriz de custos diretos'!$G$3:$G$496,'B1 - Matriz de custos diretos'!$B$3:$B$496,$B33,'B1 - Matriz de custos diretos'!$C$3:$C$496,"Mão-de-obra")*'A3 - Demanda Anual Agregada '!AE10</f>
        <v>0</v>
      </c>
      <c r="AF58" s="61">
        <f>SUMIFS('B1 - Matriz de custos diretos'!$G$3:$G$496,'B1 - Matriz de custos diretos'!$B$3:$B$496,$B33,'B1 - Matriz de custos diretos'!$C$3:$C$496,"Mão-de-obra")*'A3 - Demanda Anual Agregada '!AF10</f>
        <v>0</v>
      </c>
    </row>
    <row r="59" spans="1:32" ht="15.75" customHeight="1">
      <c r="A59" s="292"/>
      <c r="B59" s="60" t="str">
        <f>'A3 - Demanda Anual Agregada '!B11</f>
        <v>Árvore da Preguiça - Comércio</v>
      </c>
      <c r="C59" s="61">
        <f>SUMIFS('B1 - Matriz de custos diretos'!$G$3:$G$496,'B1 - Matriz de custos diretos'!$B$3:$B$496,$B34,'B1 - Matriz de custos diretos'!$C$3:$C$496,"Mão-de-obra")*'A3 - Demanda Anual Agregada '!C11</f>
        <v>0</v>
      </c>
      <c r="D59" s="61">
        <f>SUMIFS('B1 - Matriz de custos diretos'!$G$3:$G$496,'B1 - Matriz de custos diretos'!$B$3:$B$496,$B34,'B1 - Matriz de custos diretos'!$C$3:$C$496,"Mão-de-obra")*'A3 - Demanda Anual Agregada '!D11</f>
        <v>0</v>
      </c>
      <c r="E59" s="61">
        <f>SUMIFS('B1 - Matriz de custos diretos'!$G$3:$G$496,'B1 - Matriz de custos diretos'!$B$3:$B$496,$B34,'B1 - Matriz de custos diretos'!$C$3:$C$496,"Mão-de-obra")*'A3 - Demanda Anual Agregada '!E11</f>
        <v>0</v>
      </c>
      <c r="F59" s="61">
        <f>SUMIFS('B1 - Matriz de custos diretos'!$G$3:$G$496,'B1 - Matriz de custos diretos'!$B$3:$B$496,$B34,'B1 - Matriz de custos diretos'!$C$3:$C$496,"Mão-de-obra")*'A3 - Demanda Anual Agregada '!F11</f>
        <v>0</v>
      </c>
      <c r="G59" s="61">
        <f>SUMIFS('B1 - Matriz de custos diretos'!$G$3:$G$496,'B1 - Matriz de custos diretos'!$B$3:$B$496,$B34,'B1 - Matriz de custos diretos'!$C$3:$C$496,"Mão-de-obra")*'A3 - Demanda Anual Agregada '!G11</f>
        <v>0</v>
      </c>
      <c r="H59" s="61">
        <f>SUMIFS('B1 - Matriz de custos diretos'!$G$3:$G$496,'B1 - Matriz de custos diretos'!$B$3:$B$496,$B34,'B1 - Matriz de custos diretos'!$C$3:$C$496,"Mão-de-obra")*'A3 - Demanda Anual Agregada '!H11</f>
        <v>0</v>
      </c>
      <c r="I59" s="61">
        <f>SUMIFS('B1 - Matriz de custos diretos'!$G$3:$G$496,'B1 - Matriz de custos diretos'!$B$3:$B$496,$B34,'B1 - Matriz de custos diretos'!$C$3:$C$496,"Mão-de-obra")*'A3 - Demanda Anual Agregada '!I11</f>
        <v>0</v>
      </c>
      <c r="J59" s="61">
        <f>SUMIFS('B1 - Matriz de custos diretos'!$G$3:$G$496,'B1 - Matriz de custos diretos'!$B$3:$B$496,$B34,'B1 - Matriz de custos diretos'!$C$3:$C$496,"Mão-de-obra")*'A3 - Demanda Anual Agregada '!J11</f>
        <v>0</v>
      </c>
      <c r="K59" s="61">
        <f>SUMIFS('B1 - Matriz de custos diretos'!$G$3:$G$496,'B1 - Matriz de custos diretos'!$B$3:$B$496,$B34,'B1 - Matriz de custos diretos'!$C$3:$C$496,"Mão-de-obra")*'A3 - Demanda Anual Agregada '!K11</f>
        <v>0</v>
      </c>
      <c r="L59" s="61">
        <f>SUMIFS('B1 - Matriz de custos diretos'!$G$3:$G$496,'B1 - Matriz de custos diretos'!$B$3:$B$496,$B34,'B1 - Matriz de custos diretos'!$C$3:$C$496,"Mão-de-obra")*'A3 - Demanda Anual Agregada '!L11</f>
        <v>0</v>
      </c>
      <c r="M59" s="61">
        <f>SUMIFS('B1 - Matriz de custos diretos'!$G$3:$G$496,'B1 - Matriz de custos diretos'!$B$3:$B$496,$B34,'B1 - Matriz de custos diretos'!$C$3:$C$496,"Mão-de-obra")*'A3 - Demanda Anual Agregada '!M11</f>
        <v>0</v>
      </c>
      <c r="N59" s="61">
        <f>SUMIFS('B1 - Matriz de custos diretos'!$G$3:$G$496,'B1 - Matriz de custos diretos'!$B$3:$B$496,$B34,'B1 - Matriz de custos diretos'!$C$3:$C$496,"Mão-de-obra")*'A3 - Demanda Anual Agregada '!N11</f>
        <v>0</v>
      </c>
      <c r="O59" s="61">
        <f>SUMIFS('B1 - Matriz de custos diretos'!$G$3:$G$496,'B1 - Matriz de custos diretos'!$B$3:$B$496,$B34,'B1 - Matriz de custos diretos'!$C$3:$C$496,"Mão-de-obra")*'A3 - Demanda Anual Agregada '!O11</f>
        <v>0</v>
      </c>
      <c r="P59" s="61">
        <f>SUMIFS('B1 - Matriz de custos diretos'!$G$3:$G$496,'B1 - Matriz de custos diretos'!$B$3:$B$496,$B34,'B1 - Matriz de custos diretos'!$C$3:$C$496,"Mão-de-obra")*'A3 - Demanda Anual Agregada '!P11</f>
        <v>0</v>
      </c>
      <c r="Q59" s="61">
        <f>SUMIFS('B1 - Matriz de custos diretos'!$G$3:$G$496,'B1 - Matriz de custos diretos'!$B$3:$B$496,$B34,'B1 - Matriz de custos diretos'!$C$3:$C$496,"Mão-de-obra")*'A3 - Demanda Anual Agregada '!Q11</f>
        <v>0</v>
      </c>
      <c r="R59" s="61">
        <f>SUMIFS('B1 - Matriz de custos diretos'!$G$3:$G$496,'B1 - Matriz de custos diretos'!$B$3:$B$496,$B34,'B1 - Matriz de custos diretos'!$C$3:$C$496,"Mão-de-obra")*'A3 - Demanda Anual Agregada '!R11</f>
        <v>0</v>
      </c>
      <c r="S59" s="61">
        <f>SUMIFS('B1 - Matriz de custos diretos'!$G$3:$G$496,'B1 - Matriz de custos diretos'!$B$3:$B$496,$B34,'B1 - Matriz de custos diretos'!$C$3:$C$496,"Mão-de-obra")*'A3 - Demanda Anual Agregada '!S11</f>
        <v>0</v>
      </c>
      <c r="T59" s="61">
        <f>SUMIFS('B1 - Matriz de custos diretos'!$G$3:$G$496,'B1 - Matriz de custos diretos'!$B$3:$B$496,$B34,'B1 - Matriz de custos diretos'!$C$3:$C$496,"Mão-de-obra")*'A3 - Demanda Anual Agregada '!T11</f>
        <v>0</v>
      </c>
      <c r="U59" s="61">
        <f>SUMIFS('B1 - Matriz de custos diretos'!$G$3:$G$496,'B1 - Matriz de custos diretos'!$B$3:$B$496,$B34,'B1 - Matriz de custos diretos'!$C$3:$C$496,"Mão-de-obra")*'A3 - Demanda Anual Agregada '!U11</f>
        <v>0</v>
      </c>
      <c r="V59" s="61">
        <f>SUMIFS('B1 - Matriz de custos diretos'!$G$3:$G$496,'B1 - Matriz de custos diretos'!$B$3:$B$496,$B34,'B1 - Matriz de custos diretos'!$C$3:$C$496,"Mão-de-obra")*'A3 - Demanda Anual Agregada '!V11</f>
        <v>0</v>
      </c>
      <c r="W59" s="61">
        <f>SUMIFS('B1 - Matriz de custos diretos'!$G$3:$G$496,'B1 - Matriz de custos diretos'!$B$3:$B$496,$B34,'B1 - Matriz de custos diretos'!$C$3:$C$496,"Mão-de-obra")*'A3 - Demanda Anual Agregada '!W11</f>
        <v>0</v>
      </c>
      <c r="X59" s="61">
        <f>SUMIFS('B1 - Matriz de custos diretos'!$G$3:$G$496,'B1 - Matriz de custos diretos'!$B$3:$B$496,$B34,'B1 - Matriz de custos diretos'!$C$3:$C$496,"Mão-de-obra")*'A3 - Demanda Anual Agregada '!X11</f>
        <v>0</v>
      </c>
      <c r="Y59" s="61">
        <f>SUMIFS('B1 - Matriz de custos diretos'!$G$3:$G$496,'B1 - Matriz de custos diretos'!$B$3:$B$496,$B34,'B1 - Matriz de custos diretos'!$C$3:$C$496,"Mão-de-obra")*'A3 - Demanda Anual Agregada '!Y11</f>
        <v>0</v>
      </c>
      <c r="Z59" s="61">
        <f>SUMIFS('B1 - Matriz de custos diretos'!$G$3:$G$496,'B1 - Matriz de custos diretos'!$B$3:$B$496,$B34,'B1 - Matriz de custos diretos'!$C$3:$C$496,"Mão-de-obra")*'A3 - Demanda Anual Agregada '!Z11</f>
        <v>0</v>
      </c>
      <c r="AA59" s="61">
        <f>SUMIFS('B1 - Matriz de custos diretos'!$G$3:$G$496,'B1 - Matriz de custos diretos'!$B$3:$B$496,$B34,'B1 - Matriz de custos diretos'!$C$3:$C$496,"Mão-de-obra")*'A3 - Demanda Anual Agregada '!AA11</f>
        <v>0</v>
      </c>
      <c r="AB59" s="61">
        <f>SUMIFS('B1 - Matriz de custos diretos'!$G$3:$G$496,'B1 - Matriz de custos diretos'!$B$3:$B$496,$B34,'B1 - Matriz de custos diretos'!$C$3:$C$496,"Mão-de-obra")*'A3 - Demanda Anual Agregada '!AB11</f>
        <v>0</v>
      </c>
      <c r="AC59" s="61">
        <f>SUMIFS('B1 - Matriz de custos diretos'!$G$3:$G$496,'B1 - Matriz de custos diretos'!$B$3:$B$496,$B34,'B1 - Matriz de custos diretos'!$C$3:$C$496,"Mão-de-obra")*'A3 - Demanda Anual Agregada '!AC11</f>
        <v>0</v>
      </c>
      <c r="AD59" s="61">
        <f>SUMIFS('B1 - Matriz de custos diretos'!$G$3:$G$496,'B1 - Matriz de custos diretos'!$B$3:$B$496,$B34,'B1 - Matriz de custos diretos'!$C$3:$C$496,"Mão-de-obra")*'A3 - Demanda Anual Agregada '!AD11</f>
        <v>0</v>
      </c>
      <c r="AE59" s="61">
        <f>SUMIFS('B1 - Matriz de custos diretos'!$G$3:$G$496,'B1 - Matriz de custos diretos'!$B$3:$B$496,$B34,'B1 - Matriz de custos diretos'!$C$3:$C$496,"Mão-de-obra")*'A3 - Demanda Anual Agregada '!AE11</f>
        <v>0</v>
      </c>
      <c r="AF59" s="61">
        <f>SUMIFS('B1 - Matriz de custos diretos'!$G$3:$G$496,'B1 - Matriz de custos diretos'!$B$3:$B$496,$B34,'B1 - Matriz de custos diretos'!$C$3:$C$496,"Mão-de-obra")*'A3 - Demanda Anual Agregada '!AF11</f>
        <v>0</v>
      </c>
    </row>
    <row r="60" spans="1:32" ht="15.75" customHeight="1">
      <c r="A60" s="292"/>
      <c r="B60" s="60" t="str">
        <f>'A3 - Demanda Anual Agregada '!B12</f>
        <v>Silveira - Alimentação</v>
      </c>
      <c r="C60" s="61">
        <f>SUMIFS('B1 - Matriz de custos diretos'!$G$3:$G$496,'B1 - Matriz de custos diretos'!$B$3:$B$496,$B35,'B1 - Matriz de custos diretos'!$C$3:$C$496,"Mão-de-obra")*'A3 - Demanda Anual Agregada '!C12</f>
        <v>0</v>
      </c>
      <c r="D60" s="61">
        <f>SUMIFS('B1 - Matriz de custos diretos'!$G$3:$G$496,'B1 - Matriz de custos diretos'!$B$3:$B$496,$B35,'B1 - Matriz de custos diretos'!$C$3:$C$496,"Mão-de-obra")*'A3 - Demanda Anual Agregada '!D12</f>
        <v>0</v>
      </c>
      <c r="E60" s="61">
        <f>SUMIFS('B1 - Matriz de custos diretos'!$G$3:$G$496,'B1 - Matriz de custos diretos'!$B$3:$B$496,$B35,'B1 - Matriz de custos diretos'!$C$3:$C$496,"Mão-de-obra")*'A3 - Demanda Anual Agregada '!E12</f>
        <v>0</v>
      </c>
      <c r="F60" s="61">
        <f>SUMIFS('B1 - Matriz de custos diretos'!$G$3:$G$496,'B1 - Matriz de custos diretos'!$B$3:$B$496,$B35,'B1 - Matriz de custos diretos'!$C$3:$C$496,"Mão-de-obra")*'A3 - Demanda Anual Agregada '!F12</f>
        <v>0</v>
      </c>
      <c r="G60" s="61">
        <f>SUMIFS('B1 - Matriz de custos diretos'!$G$3:$G$496,'B1 - Matriz de custos diretos'!$B$3:$B$496,$B35,'B1 - Matriz de custos diretos'!$C$3:$C$496,"Mão-de-obra")*'A3 - Demanda Anual Agregada '!G12</f>
        <v>0</v>
      </c>
      <c r="H60" s="61">
        <f>SUMIFS('B1 - Matriz de custos diretos'!$G$3:$G$496,'B1 - Matriz de custos diretos'!$B$3:$B$496,$B35,'B1 - Matriz de custos diretos'!$C$3:$C$496,"Mão-de-obra")*'A3 - Demanda Anual Agregada '!H12</f>
        <v>0</v>
      </c>
      <c r="I60" s="61">
        <f>SUMIFS('B1 - Matriz de custos diretos'!$G$3:$G$496,'B1 - Matriz de custos diretos'!$B$3:$B$496,$B35,'B1 - Matriz de custos diretos'!$C$3:$C$496,"Mão-de-obra")*'A3 - Demanda Anual Agregada '!I12</f>
        <v>0</v>
      </c>
      <c r="J60" s="61">
        <f>SUMIFS('B1 - Matriz de custos diretos'!$G$3:$G$496,'B1 - Matriz de custos diretos'!$B$3:$B$496,$B35,'B1 - Matriz de custos diretos'!$C$3:$C$496,"Mão-de-obra")*'A3 - Demanda Anual Agregada '!J12</f>
        <v>0</v>
      </c>
      <c r="K60" s="61">
        <f>SUMIFS('B1 - Matriz de custos diretos'!$G$3:$G$496,'B1 - Matriz de custos diretos'!$B$3:$B$496,$B35,'B1 - Matriz de custos diretos'!$C$3:$C$496,"Mão-de-obra")*'A3 - Demanda Anual Agregada '!K12</f>
        <v>0</v>
      </c>
      <c r="L60" s="61">
        <f>SUMIFS('B1 - Matriz de custos diretos'!$G$3:$G$496,'B1 - Matriz de custos diretos'!$B$3:$B$496,$B35,'B1 - Matriz de custos diretos'!$C$3:$C$496,"Mão-de-obra")*'A3 - Demanda Anual Agregada '!L12</f>
        <v>0</v>
      </c>
      <c r="M60" s="61">
        <f>SUMIFS('B1 - Matriz de custos diretos'!$G$3:$G$496,'B1 - Matriz de custos diretos'!$B$3:$B$496,$B35,'B1 - Matriz de custos diretos'!$C$3:$C$496,"Mão-de-obra")*'A3 - Demanda Anual Agregada '!M12</f>
        <v>0</v>
      </c>
      <c r="N60" s="61">
        <f>SUMIFS('B1 - Matriz de custos diretos'!$G$3:$G$496,'B1 - Matriz de custos diretos'!$B$3:$B$496,$B35,'B1 - Matriz de custos diretos'!$C$3:$C$496,"Mão-de-obra")*'A3 - Demanda Anual Agregada '!N12</f>
        <v>0</v>
      </c>
      <c r="O60" s="61">
        <f>SUMIFS('B1 - Matriz de custos diretos'!$G$3:$G$496,'B1 - Matriz de custos diretos'!$B$3:$B$496,$B35,'B1 - Matriz de custos diretos'!$C$3:$C$496,"Mão-de-obra")*'A3 - Demanda Anual Agregada '!O12</f>
        <v>0</v>
      </c>
      <c r="P60" s="61">
        <f>SUMIFS('B1 - Matriz de custos diretos'!$G$3:$G$496,'B1 - Matriz de custos diretos'!$B$3:$B$496,$B35,'B1 - Matriz de custos diretos'!$C$3:$C$496,"Mão-de-obra")*'A3 - Demanda Anual Agregada '!P12</f>
        <v>0</v>
      </c>
      <c r="Q60" s="61">
        <f>SUMIFS('B1 - Matriz de custos diretos'!$G$3:$G$496,'B1 - Matriz de custos diretos'!$B$3:$B$496,$B35,'B1 - Matriz de custos diretos'!$C$3:$C$496,"Mão-de-obra")*'A3 - Demanda Anual Agregada '!Q12</f>
        <v>0</v>
      </c>
      <c r="R60" s="61">
        <f>SUMIFS('B1 - Matriz de custos diretos'!$G$3:$G$496,'B1 - Matriz de custos diretos'!$B$3:$B$496,$B35,'B1 - Matriz de custos diretos'!$C$3:$C$496,"Mão-de-obra")*'A3 - Demanda Anual Agregada '!R12</f>
        <v>0</v>
      </c>
      <c r="S60" s="61">
        <f>SUMIFS('B1 - Matriz de custos diretos'!$G$3:$G$496,'B1 - Matriz de custos diretos'!$B$3:$B$496,$B35,'B1 - Matriz de custos diretos'!$C$3:$C$496,"Mão-de-obra")*'A3 - Demanda Anual Agregada '!S12</f>
        <v>0</v>
      </c>
      <c r="T60" s="61">
        <f>SUMIFS('B1 - Matriz de custos diretos'!$G$3:$G$496,'B1 - Matriz de custos diretos'!$B$3:$B$496,$B35,'B1 - Matriz de custos diretos'!$C$3:$C$496,"Mão-de-obra")*'A3 - Demanda Anual Agregada '!T12</f>
        <v>0</v>
      </c>
      <c r="U60" s="61">
        <f>SUMIFS('B1 - Matriz de custos diretos'!$G$3:$G$496,'B1 - Matriz de custos diretos'!$B$3:$B$496,$B35,'B1 - Matriz de custos diretos'!$C$3:$C$496,"Mão-de-obra")*'A3 - Demanda Anual Agregada '!U12</f>
        <v>0</v>
      </c>
      <c r="V60" s="61">
        <f>SUMIFS('B1 - Matriz de custos diretos'!$G$3:$G$496,'B1 - Matriz de custos diretos'!$B$3:$B$496,$B35,'B1 - Matriz de custos diretos'!$C$3:$C$496,"Mão-de-obra")*'A3 - Demanda Anual Agregada '!V12</f>
        <v>0</v>
      </c>
      <c r="W60" s="61">
        <f>SUMIFS('B1 - Matriz de custos diretos'!$G$3:$G$496,'B1 - Matriz de custos diretos'!$B$3:$B$496,$B35,'B1 - Matriz de custos diretos'!$C$3:$C$496,"Mão-de-obra")*'A3 - Demanda Anual Agregada '!W12</f>
        <v>0</v>
      </c>
      <c r="X60" s="61">
        <f>SUMIFS('B1 - Matriz de custos diretos'!$G$3:$G$496,'B1 - Matriz de custos diretos'!$B$3:$B$496,$B35,'B1 - Matriz de custos diretos'!$C$3:$C$496,"Mão-de-obra")*'A3 - Demanda Anual Agregada '!X12</f>
        <v>0</v>
      </c>
      <c r="Y60" s="61">
        <f>SUMIFS('B1 - Matriz de custos diretos'!$G$3:$G$496,'B1 - Matriz de custos diretos'!$B$3:$B$496,$B35,'B1 - Matriz de custos diretos'!$C$3:$C$496,"Mão-de-obra")*'A3 - Demanda Anual Agregada '!Y12</f>
        <v>0</v>
      </c>
      <c r="Z60" s="61">
        <f>SUMIFS('B1 - Matriz de custos diretos'!$G$3:$G$496,'B1 - Matriz de custos diretos'!$B$3:$B$496,$B35,'B1 - Matriz de custos diretos'!$C$3:$C$496,"Mão-de-obra")*'A3 - Demanda Anual Agregada '!Z12</f>
        <v>0</v>
      </c>
      <c r="AA60" s="61">
        <f>SUMIFS('B1 - Matriz de custos diretos'!$G$3:$G$496,'B1 - Matriz de custos diretos'!$B$3:$B$496,$B35,'B1 - Matriz de custos diretos'!$C$3:$C$496,"Mão-de-obra")*'A3 - Demanda Anual Agregada '!AA12</f>
        <v>0</v>
      </c>
      <c r="AB60" s="61">
        <f>SUMIFS('B1 - Matriz de custos diretos'!$G$3:$G$496,'B1 - Matriz de custos diretos'!$B$3:$B$496,$B35,'B1 - Matriz de custos diretos'!$C$3:$C$496,"Mão-de-obra")*'A3 - Demanda Anual Agregada '!AB12</f>
        <v>0</v>
      </c>
      <c r="AC60" s="61">
        <f>SUMIFS('B1 - Matriz de custos diretos'!$G$3:$G$496,'B1 - Matriz de custos diretos'!$B$3:$B$496,$B35,'B1 - Matriz de custos diretos'!$C$3:$C$496,"Mão-de-obra")*'A3 - Demanda Anual Agregada '!AC12</f>
        <v>0</v>
      </c>
      <c r="AD60" s="61">
        <f>SUMIFS('B1 - Matriz de custos diretos'!$G$3:$G$496,'B1 - Matriz de custos diretos'!$B$3:$B$496,$B35,'B1 - Matriz de custos diretos'!$C$3:$C$496,"Mão-de-obra")*'A3 - Demanda Anual Agregada '!AD12</f>
        <v>0</v>
      </c>
      <c r="AE60" s="61">
        <f>SUMIFS('B1 - Matriz de custos diretos'!$G$3:$G$496,'B1 - Matriz de custos diretos'!$B$3:$B$496,$B35,'B1 - Matriz de custos diretos'!$C$3:$C$496,"Mão-de-obra")*'A3 - Demanda Anual Agregada '!AE12</f>
        <v>0</v>
      </c>
      <c r="AF60" s="61">
        <f>SUMIFS('B1 - Matriz de custos diretos'!$G$3:$G$496,'B1 - Matriz de custos diretos'!$B$3:$B$496,$B35,'B1 - Matriz de custos diretos'!$C$3:$C$496,"Mão-de-obra")*'A3 - Demanda Anual Agregada '!AF12</f>
        <v>0</v>
      </c>
    </row>
    <row r="61" spans="1:32" ht="15.75" customHeight="1">
      <c r="A61" s="292"/>
      <c r="B61" s="60" t="str">
        <f>'A3 - Demanda Anual Agregada '!B13</f>
        <v>Silveira - Comércio + Locação + Atividades</v>
      </c>
      <c r="C61" s="61">
        <f>SUMIFS('B1 - Matriz de custos diretos'!$G$3:$G$496,'B1 - Matriz de custos diretos'!$B$3:$B$496,$B36,'B1 - Matriz de custos diretos'!$C$3:$C$496,"Mão-de-obra")*'A3 - Demanda Anual Agregada '!C13</f>
        <v>0</v>
      </c>
      <c r="D61" s="61">
        <f>SUMIFS('B1 - Matriz de custos diretos'!$G$3:$G$496,'B1 - Matriz de custos diretos'!$B$3:$B$496,$B36,'B1 - Matriz de custos diretos'!$C$3:$C$496,"Mão-de-obra")*'A3 - Demanda Anual Agregada '!D13</f>
        <v>0</v>
      </c>
      <c r="E61" s="61">
        <f>SUMIFS('B1 - Matriz de custos diretos'!$G$3:$G$496,'B1 - Matriz de custos diretos'!$B$3:$B$496,$B36,'B1 - Matriz de custos diretos'!$C$3:$C$496,"Mão-de-obra")*'A3 - Demanda Anual Agregada '!E13</f>
        <v>0</v>
      </c>
      <c r="F61" s="61">
        <f>SUMIFS('B1 - Matriz de custos diretos'!$G$3:$G$496,'B1 - Matriz de custos diretos'!$B$3:$B$496,$B36,'B1 - Matriz de custos diretos'!$C$3:$C$496,"Mão-de-obra")*'A3 - Demanda Anual Agregada '!F13</f>
        <v>0</v>
      </c>
      <c r="G61" s="61">
        <f>SUMIFS('B1 - Matriz de custos diretos'!$G$3:$G$496,'B1 - Matriz de custos diretos'!$B$3:$B$496,$B36,'B1 - Matriz de custos diretos'!$C$3:$C$496,"Mão-de-obra")*'A3 - Demanda Anual Agregada '!G13</f>
        <v>0</v>
      </c>
      <c r="H61" s="61">
        <f>SUMIFS('B1 - Matriz de custos diretos'!$G$3:$G$496,'B1 - Matriz de custos diretos'!$B$3:$B$496,$B36,'B1 - Matriz de custos diretos'!$C$3:$C$496,"Mão-de-obra")*'A3 - Demanda Anual Agregada '!H13</f>
        <v>0</v>
      </c>
      <c r="I61" s="61">
        <f>SUMIFS('B1 - Matriz de custos diretos'!$G$3:$G$496,'B1 - Matriz de custos diretos'!$B$3:$B$496,$B36,'B1 - Matriz de custos diretos'!$C$3:$C$496,"Mão-de-obra")*'A3 - Demanda Anual Agregada '!I13</f>
        <v>0</v>
      </c>
      <c r="J61" s="61">
        <f>SUMIFS('B1 - Matriz de custos diretos'!$G$3:$G$496,'B1 - Matriz de custos diretos'!$B$3:$B$496,$B36,'B1 - Matriz de custos diretos'!$C$3:$C$496,"Mão-de-obra")*'A3 - Demanda Anual Agregada '!J13</f>
        <v>0</v>
      </c>
      <c r="K61" s="61">
        <f>SUMIFS('B1 - Matriz de custos diretos'!$G$3:$G$496,'B1 - Matriz de custos diretos'!$B$3:$B$496,$B36,'B1 - Matriz de custos diretos'!$C$3:$C$496,"Mão-de-obra")*'A3 - Demanda Anual Agregada '!K13</f>
        <v>0</v>
      </c>
      <c r="L61" s="61">
        <f>SUMIFS('B1 - Matriz de custos diretos'!$G$3:$G$496,'B1 - Matriz de custos diretos'!$B$3:$B$496,$B36,'B1 - Matriz de custos diretos'!$C$3:$C$496,"Mão-de-obra")*'A3 - Demanda Anual Agregada '!L13</f>
        <v>0</v>
      </c>
      <c r="M61" s="61">
        <f>SUMIFS('B1 - Matriz de custos diretos'!$G$3:$G$496,'B1 - Matriz de custos diretos'!$B$3:$B$496,$B36,'B1 - Matriz de custos diretos'!$C$3:$C$496,"Mão-de-obra")*'A3 - Demanda Anual Agregada '!M13</f>
        <v>0</v>
      </c>
      <c r="N61" s="61">
        <f>SUMIFS('B1 - Matriz de custos diretos'!$G$3:$G$496,'B1 - Matriz de custos diretos'!$B$3:$B$496,$B36,'B1 - Matriz de custos diretos'!$C$3:$C$496,"Mão-de-obra")*'A3 - Demanda Anual Agregada '!N13</f>
        <v>0</v>
      </c>
      <c r="O61" s="61">
        <f>SUMIFS('B1 - Matriz de custos diretos'!$G$3:$G$496,'B1 - Matriz de custos diretos'!$B$3:$B$496,$B36,'B1 - Matriz de custos diretos'!$C$3:$C$496,"Mão-de-obra")*'A3 - Demanda Anual Agregada '!O13</f>
        <v>0</v>
      </c>
      <c r="P61" s="61">
        <f>SUMIFS('B1 - Matriz de custos diretos'!$G$3:$G$496,'B1 - Matriz de custos diretos'!$B$3:$B$496,$B36,'B1 - Matriz de custos diretos'!$C$3:$C$496,"Mão-de-obra")*'A3 - Demanda Anual Agregada '!P13</f>
        <v>0</v>
      </c>
      <c r="Q61" s="61">
        <f>SUMIFS('B1 - Matriz de custos diretos'!$G$3:$G$496,'B1 - Matriz de custos diretos'!$B$3:$B$496,$B36,'B1 - Matriz de custos diretos'!$C$3:$C$496,"Mão-de-obra")*'A3 - Demanda Anual Agregada '!Q13</f>
        <v>0</v>
      </c>
      <c r="R61" s="61">
        <f>SUMIFS('B1 - Matriz de custos diretos'!$G$3:$G$496,'B1 - Matriz de custos diretos'!$B$3:$B$496,$B36,'B1 - Matriz de custos diretos'!$C$3:$C$496,"Mão-de-obra")*'A3 - Demanda Anual Agregada '!R13</f>
        <v>0</v>
      </c>
      <c r="S61" s="61">
        <f>SUMIFS('B1 - Matriz de custos diretos'!$G$3:$G$496,'B1 - Matriz de custos diretos'!$B$3:$B$496,$B36,'B1 - Matriz de custos diretos'!$C$3:$C$496,"Mão-de-obra")*'A3 - Demanda Anual Agregada '!S13</f>
        <v>0</v>
      </c>
      <c r="T61" s="61">
        <f>SUMIFS('B1 - Matriz de custos diretos'!$G$3:$G$496,'B1 - Matriz de custos diretos'!$B$3:$B$496,$B36,'B1 - Matriz de custos diretos'!$C$3:$C$496,"Mão-de-obra")*'A3 - Demanda Anual Agregada '!T13</f>
        <v>0</v>
      </c>
      <c r="U61" s="61">
        <f>SUMIFS('B1 - Matriz de custos diretos'!$G$3:$G$496,'B1 - Matriz de custos diretos'!$B$3:$B$496,$B36,'B1 - Matriz de custos diretos'!$C$3:$C$496,"Mão-de-obra")*'A3 - Demanda Anual Agregada '!U13</f>
        <v>0</v>
      </c>
      <c r="V61" s="61">
        <f>SUMIFS('B1 - Matriz de custos diretos'!$G$3:$G$496,'B1 - Matriz de custos diretos'!$B$3:$B$496,$B36,'B1 - Matriz de custos diretos'!$C$3:$C$496,"Mão-de-obra")*'A3 - Demanda Anual Agregada '!V13</f>
        <v>0</v>
      </c>
      <c r="W61" s="61">
        <f>SUMIFS('B1 - Matriz de custos diretos'!$G$3:$G$496,'B1 - Matriz de custos diretos'!$B$3:$B$496,$B36,'B1 - Matriz de custos diretos'!$C$3:$C$496,"Mão-de-obra")*'A3 - Demanda Anual Agregada '!W13</f>
        <v>0</v>
      </c>
      <c r="X61" s="61">
        <f>SUMIFS('B1 - Matriz de custos diretos'!$G$3:$G$496,'B1 - Matriz de custos diretos'!$B$3:$B$496,$B36,'B1 - Matriz de custos diretos'!$C$3:$C$496,"Mão-de-obra")*'A3 - Demanda Anual Agregada '!X13</f>
        <v>0</v>
      </c>
      <c r="Y61" s="61">
        <f>SUMIFS('B1 - Matriz de custos diretos'!$G$3:$G$496,'B1 - Matriz de custos diretos'!$B$3:$B$496,$B36,'B1 - Matriz de custos diretos'!$C$3:$C$496,"Mão-de-obra")*'A3 - Demanda Anual Agregada '!Y13</f>
        <v>0</v>
      </c>
      <c r="Z61" s="61">
        <f>SUMIFS('B1 - Matriz de custos diretos'!$G$3:$G$496,'B1 - Matriz de custos diretos'!$B$3:$B$496,$B36,'B1 - Matriz de custos diretos'!$C$3:$C$496,"Mão-de-obra")*'A3 - Demanda Anual Agregada '!Z13</f>
        <v>0</v>
      </c>
      <c r="AA61" s="61">
        <f>SUMIFS('B1 - Matriz de custos diretos'!$G$3:$G$496,'B1 - Matriz de custos diretos'!$B$3:$B$496,$B36,'B1 - Matriz de custos diretos'!$C$3:$C$496,"Mão-de-obra")*'A3 - Demanda Anual Agregada '!AA13</f>
        <v>0</v>
      </c>
      <c r="AB61" s="61">
        <f>SUMIFS('B1 - Matriz de custos diretos'!$G$3:$G$496,'B1 - Matriz de custos diretos'!$B$3:$B$496,$B36,'B1 - Matriz de custos diretos'!$C$3:$C$496,"Mão-de-obra")*'A3 - Demanda Anual Agregada '!AB13</f>
        <v>0</v>
      </c>
      <c r="AC61" s="61">
        <f>SUMIFS('B1 - Matriz de custos diretos'!$G$3:$G$496,'B1 - Matriz de custos diretos'!$B$3:$B$496,$B36,'B1 - Matriz de custos diretos'!$C$3:$C$496,"Mão-de-obra")*'A3 - Demanda Anual Agregada '!AC13</f>
        <v>0</v>
      </c>
      <c r="AD61" s="61">
        <f>SUMIFS('B1 - Matriz de custos diretos'!$G$3:$G$496,'B1 - Matriz de custos diretos'!$B$3:$B$496,$B36,'B1 - Matriz de custos diretos'!$C$3:$C$496,"Mão-de-obra")*'A3 - Demanda Anual Agregada '!AD13</f>
        <v>0</v>
      </c>
      <c r="AE61" s="61">
        <f>SUMIFS('B1 - Matriz de custos diretos'!$G$3:$G$496,'B1 - Matriz de custos diretos'!$B$3:$B$496,$B36,'B1 - Matriz de custos diretos'!$C$3:$C$496,"Mão-de-obra")*'A3 - Demanda Anual Agregada '!AE13</f>
        <v>0</v>
      </c>
      <c r="AF61" s="61">
        <f>SUMIFS('B1 - Matriz de custos diretos'!$G$3:$G$496,'B1 - Matriz de custos diretos'!$B$3:$B$496,$B36,'B1 - Matriz de custos diretos'!$C$3:$C$496,"Mão-de-obra")*'A3 - Demanda Anual Agregada '!AF13</f>
        <v>0</v>
      </c>
    </row>
    <row r="62" spans="1:32" ht="15.75" customHeight="1">
      <c r="A62" s="292"/>
      <c r="B62" s="60" t="str">
        <f>'A3 - Demanda Anual Agregada '!B14</f>
        <v>Silveira - Hospedagem</v>
      </c>
      <c r="C62" s="61">
        <f>SUMIFS('B1 - Matriz de custos diretos'!$G$3:$G$496,'B1 - Matriz de custos diretos'!$B$3:$B$496,$B37,'B1 - Matriz de custos diretos'!$C$3:$C$496,"Mão-de-obra")*'A3 - Demanda Anual Agregada '!C14</f>
        <v>0</v>
      </c>
      <c r="D62" s="61">
        <f>SUMIFS('B1 - Matriz de custos diretos'!$G$3:$G$496,'B1 - Matriz de custos diretos'!$B$3:$B$496,$B37,'B1 - Matriz de custos diretos'!$C$3:$C$496,"Mão-de-obra")*'A3 - Demanda Anual Agregada '!D14</f>
        <v>0</v>
      </c>
      <c r="E62" s="61">
        <f>SUMIFS('B1 - Matriz de custos diretos'!$G$3:$G$496,'B1 - Matriz de custos diretos'!$B$3:$B$496,$B37,'B1 - Matriz de custos diretos'!$C$3:$C$496,"Mão-de-obra")*'A3 - Demanda Anual Agregada '!E14</f>
        <v>0</v>
      </c>
      <c r="F62" s="61">
        <f>SUMIFS('B1 - Matriz de custos diretos'!$G$3:$G$496,'B1 - Matriz de custos diretos'!$B$3:$B$496,$B37,'B1 - Matriz de custos diretos'!$C$3:$C$496,"Mão-de-obra")*'A3 - Demanda Anual Agregada '!F14</f>
        <v>0</v>
      </c>
      <c r="G62" s="61">
        <f>SUMIFS('B1 - Matriz de custos diretos'!$G$3:$G$496,'B1 - Matriz de custos diretos'!$B$3:$B$496,$B37,'B1 - Matriz de custos diretos'!$C$3:$C$496,"Mão-de-obra")*'A3 - Demanda Anual Agregada '!G14</f>
        <v>0</v>
      </c>
      <c r="H62" s="61">
        <f>SUMIFS('B1 - Matriz de custos diretos'!$G$3:$G$496,'B1 - Matriz de custos diretos'!$B$3:$B$496,$B37,'B1 - Matriz de custos diretos'!$C$3:$C$496,"Mão-de-obra")*'A3 - Demanda Anual Agregada '!H14</f>
        <v>0</v>
      </c>
      <c r="I62" s="61">
        <f>SUMIFS('B1 - Matriz de custos diretos'!$G$3:$G$496,'B1 - Matriz de custos diretos'!$B$3:$B$496,$B37,'B1 - Matriz de custos diretos'!$C$3:$C$496,"Mão-de-obra")*'A3 - Demanda Anual Agregada '!I14</f>
        <v>0</v>
      </c>
      <c r="J62" s="61">
        <f>SUMIFS('B1 - Matriz de custos diretos'!$G$3:$G$496,'B1 - Matriz de custos diretos'!$B$3:$B$496,$B37,'B1 - Matriz de custos diretos'!$C$3:$C$496,"Mão-de-obra")*'A3 - Demanda Anual Agregada '!J14</f>
        <v>0</v>
      </c>
      <c r="K62" s="61">
        <f>SUMIFS('B1 - Matriz de custos diretos'!$G$3:$G$496,'B1 - Matriz de custos diretos'!$B$3:$B$496,$B37,'B1 - Matriz de custos diretos'!$C$3:$C$496,"Mão-de-obra")*'A3 - Demanda Anual Agregada '!K14</f>
        <v>0</v>
      </c>
      <c r="L62" s="61">
        <f>SUMIFS('B1 - Matriz de custos diretos'!$G$3:$G$496,'B1 - Matriz de custos diretos'!$B$3:$B$496,$B37,'B1 - Matriz de custos diretos'!$C$3:$C$496,"Mão-de-obra")*'A3 - Demanda Anual Agregada '!L14</f>
        <v>0</v>
      </c>
      <c r="M62" s="61">
        <f>SUMIFS('B1 - Matriz de custos diretos'!$G$3:$G$496,'B1 - Matriz de custos diretos'!$B$3:$B$496,$B37,'B1 - Matriz de custos diretos'!$C$3:$C$496,"Mão-de-obra")*'A3 - Demanda Anual Agregada '!M14</f>
        <v>0</v>
      </c>
      <c r="N62" s="61">
        <f>SUMIFS('B1 - Matriz de custos diretos'!$G$3:$G$496,'B1 - Matriz de custos diretos'!$B$3:$B$496,$B37,'B1 - Matriz de custos diretos'!$C$3:$C$496,"Mão-de-obra")*'A3 - Demanda Anual Agregada '!N14</f>
        <v>0</v>
      </c>
      <c r="O62" s="61">
        <f>SUMIFS('B1 - Matriz de custos diretos'!$G$3:$G$496,'B1 - Matriz de custos diretos'!$B$3:$B$496,$B37,'B1 - Matriz de custos diretos'!$C$3:$C$496,"Mão-de-obra")*'A3 - Demanda Anual Agregada '!O14</f>
        <v>0</v>
      </c>
      <c r="P62" s="61">
        <f>SUMIFS('B1 - Matriz de custos diretos'!$G$3:$G$496,'B1 - Matriz de custos diretos'!$B$3:$B$496,$B37,'B1 - Matriz de custos diretos'!$C$3:$C$496,"Mão-de-obra")*'A3 - Demanda Anual Agregada '!P14</f>
        <v>0</v>
      </c>
      <c r="Q62" s="61">
        <f>SUMIFS('B1 - Matriz de custos diretos'!$G$3:$G$496,'B1 - Matriz de custos diretos'!$B$3:$B$496,$B37,'B1 - Matriz de custos diretos'!$C$3:$C$496,"Mão-de-obra")*'A3 - Demanda Anual Agregada '!Q14</f>
        <v>0</v>
      </c>
      <c r="R62" s="61">
        <f>SUMIFS('B1 - Matriz de custos diretos'!$G$3:$G$496,'B1 - Matriz de custos diretos'!$B$3:$B$496,$B37,'B1 - Matriz de custos diretos'!$C$3:$C$496,"Mão-de-obra")*'A3 - Demanda Anual Agregada '!R14</f>
        <v>0</v>
      </c>
      <c r="S62" s="61">
        <f>SUMIFS('B1 - Matriz de custos diretos'!$G$3:$G$496,'B1 - Matriz de custos diretos'!$B$3:$B$496,$B37,'B1 - Matriz de custos diretos'!$C$3:$C$496,"Mão-de-obra")*'A3 - Demanda Anual Agregada '!S14</f>
        <v>0</v>
      </c>
      <c r="T62" s="61">
        <f>SUMIFS('B1 - Matriz de custos diretos'!$G$3:$G$496,'B1 - Matriz de custos diretos'!$B$3:$B$496,$B37,'B1 - Matriz de custos diretos'!$C$3:$C$496,"Mão-de-obra")*'A3 - Demanda Anual Agregada '!T14</f>
        <v>0</v>
      </c>
      <c r="U62" s="61">
        <f>SUMIFS('B1 - Matriz de custos diretos'!$G$3:$G$496,'B1 - Matriz de custos diretos'!$B$3:$B$496,$B37,'B1 - Matriz de custos diretos'!$C$3:$C$496,"Mão-de-obra")*'A3 - Demanda Anual Agregada '!U14</f>
        <v>0</v>
      </c>
      <c r="V62" s="61">
        <f>SUMIFS('B1 - Matriz de custos diretos'!$G$3:$G$496,'B1 - Matriz de custos diretos'!$B$3:$B$496,$B37,'B1 - Matriz de custos diretos'!$C$3:$C$496,"Mão-de-obra")*'A3 - Demanda Anual Agregada '!V14</f>
        <v>0</v>
      </c>
      <c r="W62" s="61">
        <f>SUMIFS('B1 - Matriz de custos diretos'!$G$3:$G$496,'B1 - Matriz de custos diretos'!$B$3:$B$496,$B37,'B1 - Matriz de custos diretos'!$C$3:$C$496,"Mão-de-obra")*'A3 - Demanda Anual Agregada '!W14</f>
        <v>0</v>
      </c>
      <c r="X62" s="61">
        <f>SUMIFS('B1 - Matriz de custos diretos'!$G$3:$G$496,'B1 - Matriz de custos diretos'!$B$3:$B$496,$B37,'B1 - Matriz de custos diretos'!$C$3:$C$496,"Mão-de-obra")*'A3 - Demanda Anual Agregada '!X14</f>
        <v>0</v>
      </c>
      <c r="Y62" s="61">
        <f>SUMIFS('B1 - Matriz de custos diretos'!$G$3:$G$496,'B1 - Matriz de custos diretos'!$B$3:$B$496,$B37,'B1 - Matriz de custos diretos'!$C$3:$C$496,"Mão-de-obra")*'A3 - Demanda Anual Agregada '!Y14</f>
        <v>0</v>
      </c>
      <c r="Z62" s="61">
        <f>SUMIFS('B1 - Matriz de custos diretos'!$G$3:$G$496,'B1 - Matriz de custos diretos'!$B$3:$B$496,$B37,'B1 - Matriz de custos diretos'!$C$3:$C$496,"Mão-de-obra")*'A3 - Demanda Anual Agregada '!Z14</f>
        <v>0</v>
      </c>
      <c r="AA62" s="61">
        <f>SUMIFS('B1 - Matriz de custos diretos'!$G$3:$G$496,'B1 - Matriz de custos diretos'!$B$3:$B$496,$B37,'B1 - Matriz de custos diretos'!$C$3:$C$496,"Mão-de-obra")*'A3 - Demanda Anual Agregada '!AA14</f>
        <v>0</v>
      </c>
      <c r="AB62" s="61">
        <f>SUMIFS('B1 - Matriz de custos diretos'!$G$3:$G$496,'B1 - Matriz de custos diretos'!$B$3:$B$496,$B37,'B1 - Matriz de custos diretos'!$C$3:$C$496,"Mão-de-obra")*'A3 - Demanda Anual Agregada '!AB14</f>
        <v>0</v>
      </c>
      <c r="AC62" s="61">
        <f>SUMIFS('B1 - Matriz de custos diretos'!$G$3:$G$496,'B1 - Matriz de custos diretos'!$B$3:$B$496,$B37,'B1 - Matriz de custos diretos'!$C$3:$C$496,"Mão-de-obra")*'A3 - Demanda Anual Agregada '!AC14</f>
        <v>0</v>
      </c>
      <c r="AD62" s="61">
        <f>SUMIFS('B1 - Matriz de custos diretos'!$G$3:$G$496,'B1 - Matriz de custos diretos'!$B$3:$B$496,$B37,'B1 - Matriz de custos diretos'!$C$3:$C$496,"Mão-de-obra")*'A3 - Demanda Anual Agregada '!AD14</f>
        <v>0</v>
      </c>
      <c r="AE62" s="61">
        <f>SUMIFS('B1 - Matriz de custos diretos'!$G$3:$G$496,'B1 - Matriz de custos diretos'!$B$3:$B$496,$B37,'B1 - Matriz de custos diretos'!$C$3:$C$496,"Mão-de-obra")*'A3 - Demanda Anual Agregada '!AE14</f>
        <v>0</v>
      </c>
      <c r="AF62" s="61">
        <f>SUMIFS('B1 - Matriz de custos diretos'!$G$3:$G$496,'B1 - Matriz de custos diretos'!$B$3:$B$496,$B37,'B1 - Matriz de custos diretos'!$C$3:$C$496,"Mão-de-obra")*'A3 - Demanda Anual Agregada '!AF14</f>
        <v>0</v>
      </c>
    </row>
    <row r="63" spans="1:32" ht="15.75" customHeight="1">
      <c r="A63" s="292"/>
      <c r="B63" s="60" t="str">
        <f>'A3 - Demanda Anual Agregada '!B15</f>
        <v>Pedra Furada - Alimentação</v>
      </c>
      <c r="C63" s="61">
        <f>SUMIFS('B1 - Matriz de custos diretos'!$G$3:$G$496,'B1 - Matriz de custos diretos'!$B$3:$B$496,$B38,'B1 - Matriz de custos diretos'!$C$3:$C$496,"Mão-de-obra")*'A3 - Demanda Anual Agregada '!C15</f>
        <v>0</v>
      </c>
      <c r="D63" s="61">
        <f>SUMIFS('B1 - Matriz de custos diretos'!$G$3:$G$496,'B1 - Matriz de custos diretos'!$B$3:$B$496,$B38,'B1 - Matriz de custos diretos'!$C$3:$C$496,"Mão-de-obra")*'A3 - Demanda Anual Agregada '!D15</f>
        <v>0</v>
      </c>
      <c r="E63" s="61">
        <f>SUMIFS('B1 - Matriz de custos diretos'!$G$3:$G$496,'B1 - Matriz de custos diretos'!$B$3:$B$496,$B38,'B1 - Matriz de custos diretos'!$C$3:$C$496,"Mão-de-obra")*'A3 - Demanda Anual Agregada '!E15</f>
        <v>0</v>
      </c>
      <c r="F63" s="61">
        <f>SUMIFS('B1 - Matriz de custos diretos'!$G$3:$G$496,'B1 - Matriz de custos diretos'!$B$3:$B$496,$B38,'B1 - Matriz de custos diretos'!$C$3:$C$496,"Mão-de-obra")*'A3 - Demanda Anual Agregada '!F15</f>
        <v>0</v>
      </c>
      <c r="G63" s="61">
        <f>SUMIFS('B1 - Matriz de custos diretos'!$G$3:$G$496,'B1 - Matriz de custos diretos'!$B$3:$B$496,$B38,'B1 - Matriz de custos diretos'!$C$3:$C$496,"Mão-de-obra")*'A3 - Demanda Anual Agregada '!G15</f>
        <v>0</v>
      </c>
      <c r="H63" s="61">
        <f>SUMIFS('B1 - Matriz de custos diretos'!$G$3:$G$496,'B1 - Matriz de custos diretos'!$B$3:$B$496,$B38,'B1 - Matriz de custos diretos'!$C$3:$C$496,"Mão-de-obra")*'A3 - Demanda Anual Agregada '!H15</f>
        <v>0</v>
      </c>
      <c r="I63" s="61">
        <f>SUMIFS('B1 - Matriz de custos diretos'!$G$3:$G$496,'B1 - Matriz de custos diretos'!$B$3:$B$496,$B38,'B1 - Matriz de custos diretos'!$C$3:$C$496,"Mão-de-obra")*'A3 - Demanda Anual Agregada '!I15</f>
        <v>0</v>
      </c>
      <c r="J63" s="61">
        <f>SUMIFS('B1 - Matriz de custos diretos'!$G$3:$G$496,'B1 - Matriz de custos diretos'!$B$3:$B$496,$B38,'B1 - Matriz de custos diretos'!$C$3:$C$496,"Mão-de-obra")*'A3 - Demanda Anual Agregada '!J15</f>
        <v>0</v>
      </c>
      <c r="K63" s="61">
        <f>SUMIFS('B1 - Matriz de custos diretos'!$G$3:$G$496,'B1 - Matriz de custos diretos'!$B$3:$B$496,$B38,'B1 - Matriz de custos diretos'!$C$3:$C$496,"Mão-de-obra")*'A3 - Demanda Anual Agregada '!K15</f>
        <v>0</v>
      </c>
      <c r="L63" s="61">
        <f>SUMIFS('B1 - Matriz de custos diretos'!$G$3:$G$496,'B1 - Matriz de custos diretos'!$B$3:$B$496,$B38,'B1 - Matriz de custos diretos'!$C$3:$C$496,"Mão-de-obra")*'A3 - Demanda Anual Agregada '!L15</f>
        <v>0</v>
      </c>
      <c r="M63" s="61">
        <f>SUMIFS('B1 - Matriz de custos diretos'!$G$3:$G$496,'B1 - Matriz de custos diretos'!$B$3:$B$496,$B38,'B1 - Matriz de custos diretos'!$C$3:$C$496,"Mão-de-obra")*'A3 - Demanda Anual Agregada '!M15</f>
        <v>0</v>
      </c>
      <c r="N63" s="61">
        <f>SUMIFS('B1 - Matriz de custos diretos'!$G$3:$G$496,'B1 - Matriz de custos diretos'!$B$3:$B$496,$B38,'B1 - Matriz de custos diretos'!$C$3:$C$496,"Mão-de-obra")*'A3 - Demanda Anual Agregada '!N15</f>
        <v>0</v>
      </c>
      <c r="O63" s="61">
        <f>SUMIFS('B1 - Matriz de custos diretos'!$G$3:$G$496,'B1 - Matriz de custos diretos'!$B$3:$B$496,$B38,'B1 - Matriz de custos diretos'!$C$3:$C$496,"Mão-de-obra")*'A3 - Demanda Anual Agregada '!O15</f>
        <v>0</v>
      </c>
      <c r="P63" s="61">
        <f>SUMIFS('B1 - Matriz de custos diretos'!$G$3:$G$496,'B1 - Matriz de custos diretos'!$B$3:$B$496,$B38,'B1 - Matriz de custos diretos'!$C$3:$C$496,"Mão-de-obra")*'A3 - Demanda Anual Agregada '!P15</f>
        <v>0</v>
      </c>
      <c r="Q63" s="61">
        <f>SUMIFS('B1 - Matriz de custos diretos'!$G$3:$G$496,'B1 - Matriz de custos diretos'!$B$3:$B$496,$B38,'B1 - Matriz de custos diretos'!$C$3:$C$496,"Mão-de-obra")*'A3 - Demanda Anual Agregada '!Q15</f>
        <v>0</v>
      </c>
      <c r="R63" s="61">
        <f>SUMIFS('B1 - Matriz de custos diretos'!$G$3:$G$496,'B1 - Matriz de custos diretos'!$B$3:$B$496,$B38,'B1 - Matriz de custos diretos'!$C$3:$C$496,"Mão-de-obra")*'A3 - Demanda Anual Agregada '!R15</f>
        <v>0</v>
      </c>
      <c r="S63" s="61">
        <f>SUMIFS('B1 - Matriz de custos diretos'!$G$3:$G$496,'B1 - Matriz de custos diretos'!$B$3:$B$496,$B38,'B1 - Matriz de custos diretos'!$C$3:$C$496,"Mão-de-obra")*'A3 - Demanda Anual Agregada '!S15</f>
        <v>0</v>
      </c>
      <c r="T63" s="61">
        <f>SUMIFS('B1 - Matriz de custos diretos'!$G$3:$G$496,'B1 - Matriz de custos diretos'!$B$3:$B$496,$B38,'B1 - Matriz de custos diretos'!$C$3:$C$496,"Mão-de-obra")*'A3 - Demanda Anual Agregada '!T15</f>
        <v>0</v>
      </c>
      <c r="U63" s="61">
        <f>SUMIFS('B1 - Matriz de custos diretos'!$G$3:$G$496,'B1 - Matriz de custos diretos'!$B$3:$B$496,$B38,'B1 - Matriz de custos diretos'!$C$3:$C$496,"Mão-de-obra")*'A3 - Demanda Anual Agregada '!U15</f>
        <v>0</v>
      </c>
      <c r="V63" s="61">
        <f>SUMIFS('B1 - Matriz de custos diretos'!$G$3:$G$496,'B1 - Matriz de custos diretos'!$B$3:$B$496,$B38,'B1 - Matriz de custos diretos'!$C$3:$C$496,"Mão-de-obra")*'A3 - Demanda Anual Agregada '!V15</f>
        <v>0</v>
      </c>
      <c r="W63" s="61">
        <f>SUMIFS('B1 - Matriz de custos diretos'!$G$3:$G$496,'B1 - Matriz de custos diretos'!$B$3:$B$496,$B38,'B1 - Matriz de custos diretos'!$C$3:$C$496,"Mão-de-obra")*'A3 - Demanda Anual Agregada '!W15</f>
        <v>0</v>
      </c>
      <c r="X63" s="61">
        <f>SUMIFS('B1 - Matriz de custos diretos'!$G$3:$G$496,'B1 - Matriz de custos diretos'!$B$3:$B$496,$B38,'B1 - Matriz de custos diretos'!$C$3:$C$496,"Mão-de-obra")*'A3 - Demanda Anual Agregada '!X15</f>
        <v>0</v>
      </c>
      <c r="Y63" s="61">
        <f>SUMIFS('B1 - Matriz de custos diretos'!$G$3:$G$496,'B1 - Matriz de custos diretos'!$B$3:$B$496,$B38,'B1 - Matriz de custos diretos'!$C$3:$C$496,"Mão-de-obra")*'A3 - Demanda Anual Agregada '!Y15</f>
        <v>0</v>
      </c>
      <c r="Z63" s="61">
        <f>SUMIFS('B1 - Matriz de custos diretos'!$G$3:$G$496,'B1 - Matriz de custos diretos'!$B$3:$B$496,$B38,'B1 - Matriz de custos diretos'!$C$3:$C$496,"Mão-de-obra")*'A3 - Demanda Anual Agregada '!Z15</f>
        <v>0</v>
      </c>
      <c r="AA63" s="61">
        <f>SUMIFS('B1 - Matriz de custos diretos'!$G$3:$G$496,'B1 - Matriz de custos diretos'!$B$3:$B$496,$B38,'B1 - Matriz de custos diretos'!$C$3:$C$496,"Mão-de-obra")*'A3 - Demanda Anual Agregada '!AA15</f>
        <v>0</v>
      </c>
      <c r="AB63" s="61">
        <f>SUMIFS('B1 - Matriz de custos diretos'!$G$3:$G$496,'B1 - Matriz de custos diretos'!$B$3:$B$496,$B38,'B1 - Matriz de custos diretos'!$C$3:$C$496,"Mão-de-obra")*'A3 - Demanda Anual Agregada '!AB15</f>
        <v>0</v>
      </c>
      <c r="AC63" s="61">
        <f>SUMIFS('B1 - Matriz de custos diretos'!$G$3:$G$496,'B1 - Matriz de custos diretos'!$B$3:$B$496,$B38,'B1 - Matriz de custos diretos'!$C$3:$C$496,"Mão-de-obra")*'A3 - Demanda Anual Agregada '!AC15</f>
        <v>0</v>
      </c>
      <c r="AD63" s="61">
        <f>SUMIFS('B1 - Matriz de custos diretos'!$G$3:$G$496,'B1 - Matriz de custos diretos'!$B$3:$B$496,$B38,'B1 - Matriz de custos diretos'!$C$3:$C$496,"Mão-de-obra")*'A3 - Demanda Anual Agregada '!AD15</f>
        <v>0</v>
      </c>
      <c r="AE63" s="61">
        <f>SUMIFS('B1 - Matriz de custos diretos'!$G$3:$G$496,'B1 - Matriz de custos diretos'!$B$3:$B$496,$B38,'B1 - Matriz de custos diretos'!$C$3:$C$496,"Mão-de-obra")*'A3 - Demanda Anual Agregada '!AE15</f>
        <v>0</v>
      </c>
      <c r="AF63" s="61">
        <f>SUMIFS('B1 - Matriz de custos diretos'!$G$3:$G$496,'B1 - Matriz de custos diretos'!$B$3:$B$496,$B38,'B1 - Matriz de custos diretos'!$C$3:$C$496,"Mão-de-obra")*'A3 - Demanda Anual Agregada '!AF15</f>
        <v>0</v>
      </c>
    </row>
    <row r="64" spans="1:32" ht="15.75" customHeight="1">
      <c r="A64" s="292"/>
      <c r="B64" s="60" t="str">
        <f>'A3 - Demanda Anual Agregada '!B16</f>
        <v>Pedra Furada - Comércio</v>
      </c>
      <c r="C64" s="61">
        <f>SUMIFS('B1 - Matriz de custos diretos'!$G$3:$G$496,'B1 - Matriz de custos diretos'!$B$3:$B$496,$B39,'B1 - Matriz de custos diretos'!$C$3:$C$496,"Mão-de-obra")*'A3 - Demanda Anual Agregada '!C16</f>
        <v>0</v>
      </c>
      <c r="D64" s="61">
        <f>SUMIFS('B1 - Matriz de custos diretos'!$G$3:$G$496,'B1 - Matriz de custos diretos'!$B$3:$B$496,$B39,'B1 - Matriz de custos diretos'!$C$3:$C$496,"Mão-de-obra")*'A3 - Demanda Anual Agregada '!D16</f>
        <v>0</v>
      </c>
      <c r="E64" s="61">
        <f>SUMIFS('B1 - Matriz de custos diretos'!$G$3:$G$496,'B1 - Matriz de custos diretos'!$B$3:$B$496,$B39,'B1 - Matriz de custos diretos'!$C$3:$C$496,"Mão-de-obra")*'A3 - Demanda Anual Agregada '!E16</f>
        <v>0</v>
      </c>
      <c r="F64" s="61">
        <f>SUMIFS('B1 - Matriz de custos diretos'!$G$3:$G$496,'B1 - Matriz de custos diretos'!$B$3:$B$496,$B39,'B1 - Matriz de custos diretos'!$C$3:$C$496,"Mão-de-obra")*'A3 - Demanda Anual Agregada '!F16</f>
        <v>0</v>
      </c>
      <c r="G64" s="61">
        <f>SUMIFS('B1 - Matriz de custos diretos'!$G$3:$G$496,'B1 - Matriz de custos diretos'!$B$3:$B$496,$B39,'B1 - Matriz de custos diretos'!$C$3:$C$496,"Mão-de-obra")*'A3 - Demanda Anual Agregada '!G16</f>
        <v>0</v>
      </c>
      <c r="H64" s="61">
        <f>SUMIFS('B1 - Matriz de custos diretos'!$G$3:$G$496,'B1 - Matriz de custos diretos'!$B$3:$B$496,$B39,'B1 - Matriz de custos diretos'!$C$3:$C$496,"Mão-de-obra")*'A3 - Demanda Anual Agregada '!H16</f>
        <v>0</v>
      </c>
      <c r="I64" s="61">
        <f>SUMIFS('B1 - Matriz de custos diretos'!$G$3:$G$496,'B1 - Matriz de custos diretos'!$B$3:$B$496,$B39,'B1 - Matriz de custos diretos'!$C$3:$C$496,"Mão-de-obra")*'A3 - Demanda Anual Agregada '!I16</f>
        <v>0</v>
      </c>
      <c r="J64" s="61">
        <f>SUMIFS('B1 - Matriz de custos diretos'!$G$3:$G$496,'B1 - Matriz de custos diretos'!$B$3:$B$496,$B39,'B1 - Matriz de custos diretos'!$C$3:$C$496,"Mão-de-obra")*'A3 - Demanda Anual Agregada '!J16</f>
        <v>0</v>
      </c>
      <c r="K64" s="61">
        <f>SUMIFS('B1 - Matriz de custos diretos'!$G$3:$G$496,'B1 - Matriz de custos diretos'!$B$3:$B$496,$B39,'B1 - Matriz de custos diretos'!$C$3:$C$496,"Mão-de-obra")*'A3 - Demanda Anual Agregada '!K16</f>
        <v>0</v>
      </c>
      <c r="L64" s="61">
        <f>SUMIFS('B1 - Matriz de custos diretos'!$G$3:$G$496,'B1 - Matriz de custos diretos'!$B$3:$B$496,$B39,'B1 - Matriz de custos diretos'!$C$3:$C$496,"Mão-de-obra")*'A3 - Demanda Anual Agregada '!L16</f>
        <v>0</v>
      </c>
      <c r="M64" s="61">
        <f>SUMIFS('B1 - Matriz de custos diretos'!$G$3:$G$496,'B1 - Matriz de custos diretos'!$B$3:$B$496,$B39,'B1 - Matriz de custos diretos'!$C$3:$C$496,"Mão-de-obra")*'A3 - Demanda Anual Agregada '!M16</f>
        <v>0</v>
      </c>
      <c r="N64" s="61">
        <f>SUMIFS('B1 - Matriz de custos diretos'!$G$3:$G$496,'B1 - Matriz de custos diretos'!$B$3:$B$496,$B39,'B1 - Matriz de custos diretos'!$C$3:$C$496,"Mão-de-obra")*'A3 - Demanda Anual Agregada '!N16</f>
        <v>0</v>
      </c>
      <c r="O64" s="61">
        <f>SUMIFS('B1 - Matriz de custos diretos'!$G$3:$G$496,'B1 - Matriz de custos diretos'!$B$3:$B$496,$B39,'B1 - Matriz de custos diretos'!$C$3:$C$496,"Mão-de-obra")*'A3 - Demanda Anual Agregada '!O16</f>
        <v>0</v>
      </c>
      <c r="P64" s="61">
        <f>SUMIFS('B1 - Matriz de custos diretos'!$G$3:$G$496,'B1 - Matriz de custos diretos'!$B$3:$B$496,$B39,'B1 - Matriz de custos diretos'!$C$3:$C$496,"Mão-de-obra")*'A3 - Demanda Anual Agregada '!P16</f>
        <v>0</v>
      </c>
      <c r="Q64" s="61">
        <f>SUMIFS('B1 - Matriz de custos diretos'!$G$3:$G$496,'B1 - Matriz de custos diretos'!$B$3:$B$496,$B39,'B1 - Matriz de custos diretos'!$C$3:$C$496,"Mão-de-obra")*'A3 - Demanda Anual Agregada '!Q16</f>
        <v>0</v>
      </c>
      <c r="R64" s="61">
        <f>SUMIFS('B1 - Matriz de custos diretos'!$G$3:$G$496,'B1 - Matriz de custos diretos'!$B$3:$B$496,$B39,'B1 - Matriz de custos diretos'!$C$3:$C$496,"Mão-de-obra")*'A3 - Demanda Anual Agregada '!R16</f>
        <v>0</v>
      </c>
      <c r="S64" s="61">
        <f>SUMIFS('B1 - Matriz de custos diretos'!$G$3:$G$496,'B1 - Matriz de custos diretos'!$B$3:$B$496,$B39,'B1 - Matriz de custos diretos'!$C$3:$C$496,"Mão-de-obra")*'A3 - Demanda Anual Agregada '!S16</f>
        <v>0</v>
      </c>
      <c r="T64" s="61">
        <f>SUMIFS('B1 - Matriz de custos diretos'!$G$3:$G$496,'B1 - Matriz de custos diretos'!$B$3:$B$496,$B39,'B1 - Matriz de custos diretos'!$C$3:$C$496,"Mão-de-obra")*'A3 - Demanda Anual Agregada '!T16</f>
        <v>0</v>
      </c>
      <c r="U64" s="61">
        <f>SUMIFS('B1 - Matriz de custos diretos'!$G$3:$G$496,'B1 - Matriz de custos diretos'!$B$3:$B$496,$B39,'B1 - Matriz de custos diretos'!$C$3:$C$496,"Mão-de-obra")*'A3 - Demanda Anual Agregada '!U16</f>
        <v>0</v>
      </c>
      <c r="V64" s="61">
        <f>SUMIFS('B1 - Matriz de custos diretos'!$G$3:$G$496,'B1 - Matriz de custos diretos'!$B$3:$B$496,$B39,'B1 - Matriz de custos diretos'!$C$3:$C$496,"Mão-de-obra")*'A3 - Demanda Anual Agregada '!V16</f>
        <v>0</v>
      </c>
      <c r="W64" s="61">
        <f>SUMIFS('B1 - Matriz de custos diretos'!$G$3:$G$496,'B1 - Matriz de custos diretos'!$B$3:$B$496,$B39,'B1 - Matriz de custos diretos'!$C$3:$C$496,"Mão-de-obra")*'A3 - Demanda Anual Agregada '!W16</f>
        <v>0</v>
      </c>
      <c r="X64" s="61">
        <f>SUMIFS('B1 - Matriz de custos diretos'!$G$3:$G$496,'B1 - Matriz de custos diretos'!$B$3:$B$496,$B39,'B1 - Matriz de custos diretos'!$C$3:$C$496,"Mão-de-obra")*'A3 - Demanda Anual Agregada '!X16</f>
        <v>0</v>
      </c>
      <c r="Y64" s="61">
        <f>SUMIFS('B1 - Matriz de custos diretos'!$G$3:$G$496,'B1 - Matriz de custos diretos'!$B$3:$B$496,$B39,'B1 - Matriz de custos diretos'!$C$3:$C$496,"Mão-de-obra")*'A3 - Demanda Anual Agregada '!Y16</f>
        <v>0</v>
      </c>
      <c r="Z64" s="61">
        <f>SUMIFS('B1 - Matriz de custos diretos'!$G$3:$G$496,'B1 - Matriz de custos diretos'!$B$3:$B$496,$B39,'B1 - Matriz de custos diretos'!$C$3:$C$496,"Mão-de-obra")*'A3 - Demanda Anual Agregada '!Z16</f>
        <v>0</v>
      </c>
      <c r="AA64" s="61">
        <f>SUMIFS('B1 - Matriz de custos diretos'!$G$3:$G$496,'B1 - Matriz de custos diretos'!$B$3:$B$496,$B39,'B1 - Matriz de custos diretos'!$C$3:$C$496,"Mão-de-obra")*'A3 - Demanda Anual Agregada '!AA16</f>
        <v>0</v>
      </c>
      <c r="AB64" s="61">
        <f>SUMIFS('B1 - Matriz de custos diretos'!$G$3:$G$496,'B1 - Matriz de custos diretos'!$B$3:$B$496,$B39,'B1 - Matriz de custos diretos'!$C$3:$C$496,"Mão-de-obra")*'A3 - Demanda Anual Agregada '!AB16</f>
        <v>0</v>
      </c>
      <c r="AC64" s="61">
        <f>SUMIFS('B1 - Matriz de custos diretos'!$G$3:$G$496,'B1 - Matriz de custos diretos'!$B$3:$B$496,$B39,'B1 - Matriz de custos diretos'!$C$3:$C$496,"Mão-de-obra")*'A3 - Demanda Anual Agregada '!AC16</f>
        <v>0</v>
      </c>
      <c r="AD64" s="61">
        <f>SUMIFS('B1 - Matriz de custos diretos'!$G$3:$G$496,'B1 - Matriz de custos diretos'!$B$3:$B$496,$B39,'B1 - Matriz de custos diretos'!$C$3:$C$496,"Mão-de-obra")*'A3 - Demanda Anual Agregada '!AD16</f>
        <v>0</v>
      </c>
      <c r="AE64" s="61">
        <f>SUMIFS('B1 - Matriz de custos diretos'!$G$3:$G$496,'B1 - Matriz de custos diretos'!$B$3:$B$496,$B39,'B1 - Matriz de custos diretos'!$C$3:$C$496,"Mão-de-obra")*'A3 - Demanda Anual Agregada '!AE16</f>
        <v>0</v>
      </c>
      <c r="AF64" s="61">
        <f>SUMIFS('B1 - Matriz de custos diretos'!$G$3:$G$496,'B1 - Matriz de custos diretos'!$B$3:$B$496,$B39,'B1 - Matriz de custos diretos'!$C$3:$C$496,"Mão-de-obra")*'A3 - Demanda Anual Agregada '!AF16</f>
        <v>0</v>
      </c>
    </row>
    <row r="65" spans="1:32" ht="15.75" customHeight="1">
      <c r="A65" s="292"/>
      <c r="B65" s="60" t="str">
        <f>'A3 - Demanda Anual Agregada '!B17</f>
        <v>Serrote - Alimentação</v>
      </c>
      <c r="C65" s="61">
        <f>SUMIFS('B1 - Matriz de custos diretos'!$G$3:$G$496,'B1 - Matriz de custos diretos'!$B$3:$B$496,$B40,'B1 - Matriz de custos diretos'!$C$3:$C$496,"Mão-de-obra")*'A3 - Demanda Anual Agregada '!C17</f>
        <v>0</v>
      </c>
      <c r="D65" s="61">
        <f>SUMIFS('B1 - Matriz de custos diretos'!$G$3:$G$496,'B1 - Matriz de custos diretos'!$B$3:$B$496,$B40,'B1 - Matriz de custos diretos'!$C$3:$C$496,"Mão-de-obra")*'A3 - Demanda Anual Agregada '!D17</f>
        <v>0</v>
      </c>
      <c r="E65" s="61">
        <f>SUMIFS('B1 - Matriz de custos diretos'!$G$3:$G$496,'B1 - Matriz de custos diretos'!$B$3:$B$496,$B40,'B1 - Matriz de custos diretos'!$C$3:$C$496,"Mão-de-obra")*'A3 - Demanda Anual Agregada '!E17</f>
        <v>0</v>
      </c>
      <c r="F65" s="61">
        <f>SUMIFS('B1 - Matriz de custos diretos'!$G$3:$G$496,'B1 - Matriz de custos diretos'!$B$3:$B$496,$B40,'B1 - Matriz de custos diretos'!$C$3:$C$496,"Mão-de-obra")*'A3 - Demanda Anual Agregada '!F17</f>
        <v>0</v>
      </c>
      <c r="G65" s="61">
        <f>SUMIFS('B1 - Matriz de custos diretos'!$G$3:$G$496,'B1 - Matriz de custos diretos'!$B$3:$B$496,$B40,'B1 - Matriz de custos diretos'!$C$3:$C$496,"Mão-de-obra")*'A3 - Demanda Anual Agregada '!G17</f>
        <v>0</v>
      </c>
      <c r="H65" s="61">
        <f>SUMIFS('B1 - Matriz de custos diretos'!$G$3:$G$496,'B1 - Matriz de custos diretos'!$B$3:$B$496,$B40,'B1 - Matriz de custos diretos'!$C$3:$C$496,"Mão-de-obra")*'A3 - Demanda Anual Agregada '!H17</f>
        <v>0</v>
      </c>
      <c r="I65" s="61">
        <f>SUMIFS('B1 - Matriz de custos diretos'!$G$3:$G$496,'B1 - Matriz de custos diretos'!$B$3:$B$496,$B40,'B1 - Matriz de custos diretos'!$C$3:$C$496,"Mão-de-obra")*'A3 - Demanda Anual Agregada '!I17</f>
        <v>0</v>
      </c>
      <c r="J65" s="61">
        <f>SUMIFS('B1 - Matriz de custos diretos'!$G$3:$G$496,'B1 - Matriz de custos diretos'!$B$3:$B$496,$B40,'B1 - Matriz de custos diretos'!$C$3:$C$496,"Mão-de-obra")*'A3 - Demanda Anual Agregada '!J17</f>
        <v>0</v>
      </c>
      <c r="K65" s="61">
        <f>SUMIFS('B1 - Matriz de custos diretos'!$G$3:$G$496,'B1 - Matriz de custos diretos'!$B$3:$B$496,$B40,'B1 - Matriz de custos diretos'!$C$3:$C$496,"Mão-de-obra")*'A3 - Demanda Anual Agregada '!K17</f>
        <v>0</v>
      </c>
      <c r="L65" s="61">
        <f>SUMIFS('B1 - Matriz de custos diretos'!$G$3:$G$496,'B1 - Matriz de custos diretos'!$B$3:$B$496,$B40,'B1 - Matriz de custos diretos'!$C$3:$C$496,"Mão-de-obra")*'A3 - Demanda Anual Agregada '!L17</f>
        <v>0</v>
      </c>
      <c r="M65" s="61">
        <f>SUMIFS('B1 - Matriz de custos diretos'!$G$3:$G$496,'B1 - Matriz de custos diretos'!$B$3:$B$496,$B40,'B1 - Matriz de custos diretos'!$C$3:$C$496,"Mão-de-obra")*'A3 - Demanda Anual Agregada '!M17</f>
        <v>0</v>
      </c>
      <c r="N65" s="61">
        <f>SUMIFS('B1 - Matriz de custos diretos'!$G$3:$G$496,'B1 - Matriz de custos diretos'!$B$3:$B$496,$B40,'B1 - Matriz de custos diretos'!$C$3:$C$496,"Mão-de-obra")*'A3 - Demanda Anual Agregada '!N17</f>
        <v>0</v>
      </c>
      <c r="O65" s="61">
        <f>SUMIFS('B1 - Matriz de custos diretos'!$G$3:$G$496,'B1 - Matriz de custos diretos'!$B$3:$B$496,$B40,'B1 - Matriz de custos diretos'!$C$3:$C$496,"Mão-de-obra")*'A3 - Demanda Anual Agregada '!O17</f>
        <v>0</v>
      </c>
      <c r="P65" s="61">
        <f>SUMIFS('B1 - Matriz de custos diretos'!$G$3:$G$496,'B1 - Matriz de custos diretos'!$B$3:$B$496,$B40,'B1 - Matriz de custos diretos'!$C$3:$C$496,"Mão-de-obra")*'A3 - Demanda Anual Agregada '!P17</f>
        <v>0</v>
      </c>
      <c r="Q65" s="61">
        <f>SUMIFS('B1 - Matriz de custos diretos'!$G$3:$G$496,'B1 - Matriz de custos diretos'!$B$3:$B$496,$B40,'B1 - Matriz de custos diretos'!$C$3:$C$496,"Mão-de-obra")*'A3 - Demanda Anual Agregada '!Q17</f>
        <v>0</v>
      </c>
      <c r="R65" s="61">
        <f>SUMIFS('B1 - Matriz de custos diretos'!$G$3:$G$496,'B1 - Matriz de custos diretos'!$B$3:$B$496,$B40,'B1 - Matriz de custos diretos'!$C$3:$C$496,"Mão-de-obra")*'A3 - Demanda Anual Agregada '!R17</f>
        <v>0</v>
      </c>
      <c r="S65" s="61">
        <f>SUMIFS('B1 - Matriz de custos diretos'!$G$3:$G$496,'B1 - Matriz de custos diretos'!$B$3:$B$496,$B40,'B1 - Matriz de custos diretos'!$C$3:$C$496,"Mão-de-obra")*'A3 - Demanda Anual Agregada '!S17</f>
        <v>0</v>
      </c>
      <c r="T65" s="61">
        <f>SUMIFS('B1 - Matriz de custos diretos'!$G$3:$G$496,'B1 - Matriz de custos diretos'!$B$3:$B$496,$B40,'B1 - Matriz de custos diretos'!$C$3:$C$496,"Mão-de-obra")*'A3 - Demanda Anual Agregada '!T17</f>
        <v>0</v>
      </c>
      <c r="U65" s="61">
        <f>SUMIFS('B1 - Matriz de custos diretos'!$G$3:$G$496,'B1 - Matriz de custos diretos'!$B$3:$B$496,$B40,'B1 - Matriz de custos diretos'!$C$3:$C$496,"Mão-de-obra")*'A3 - Demanda Anual Agregada '!U17</f>
        <v>0</v>
      </c>
      <c r="V65" s="61">
        <f>SUMIFS('B1 - Matriz de custos diretos'!$G$3:$G$496,'B1 - Matriz de custos diretos'!$B$3:$B$496,$B40,'B1 - Matriz de custos diretos'!$C$3:$C$496,"Mão-de-obra")*'A3 - Demanda Anual Agregada '!V17</f>
        <v>0</v>
      </c>
      <c r="W65" s="61">
        <f>SUMIFS('B1 - Matriz de custos diretos'!$G$3:$G$496,'B1 - Matriz de custos diretos'!$B$3:$B$496,$B40,'B1 - Matriz de custos diretos'!$C$3:$C$496,"Mão-de-obra")*'A3 - Demanda Anual Agregada '!W17</f>
        <v>0</v>
      </c>
      <c r="X65" s="61">
        <f>SUMIFS('B1 - Matriz de custos diretos'!$G$3:$G$496,'B1 - Matriz de custos diretos'!$B$3:$B$496,$B40,'B1 - Matriz de custos diretos'!$C$3:$C$496,"Mão-de-obra")*'A3 - Demanda Anual Agregada '!X17</f>
        <v>0</v>
      </c>
      <c r="Y65" s="61">
        <f>SUMIFS('B1 - Matriz de custos diretos'!$G$3:$G$496,'B1 - Matriz de custos diretos'!$B$3:$B$496,$B40,'B1 - Matriz de custos diretos'!$C$3:$C$496,"Mão-de-obra")*'A3 - Demanda Anual Agregada '!Y17</f>
        <v>0</v>
      </c>
      <c r="Z65" s="61">
        <f>SUMIFS('B1 - Matriz de custos diretos'!$G$3:$G$496,'B1 - Matriz de custos diretos'!$B$3:$B$496,$B40,'B1 - Matriz de custos diretos'!$C$3:$C$496,"Mão-de-obra")*'A3 - Demanda Anual Agregada '!Z17</f>
        <v>0</v>
      </c>
      <c r="AA65" s="61">
        <f>SUMIFS('B1 - Matriz de custos diretos'!$G$3:$G$496,'B1 - Matriz de custos diretos'!$B$3:$B$496,$B40,'B1 - Matriz de custos diretos'!$C$3:$C$496,"Mão-de-obra")*'A3 - Demanda Anual Agregada '!AA17</f>
        <v>0</v>
      </c>
      <c r="AB65" s="61">
        <f>SUMIFS('B1 - Matriz de custos diretos'!$G$3:$G$496,'B1 - Matriz de custos diretos'!$B$3:$B$496,$B40,'B1 - Matriz de custos diretos'!$C$3:$C$496,"Mão-de-obra")*'A3 - Demanda Anual Agregada '!AB17</f>
        <v>0</v>
      </c>
      <c r="AC65" s="61">
        <f>SUMIFS('B1 - Matriz de custos diretos'!$G$3:$G$496,'B1 - Matriz de custos diretos'!$B$3:$B$496,$B40,'B1 - Matriz de custos diretos'!$C$3:$C$496,"Mão-de-obra")*'A3 - Demanda Anual Agregada '!AC17</f>
        <v>0</v>
      </c>
      <c r="AD65" s="61">
        <f>SUMIFS('B1 - Matriz de custos diretos'!$G$3:$G$496,'B1 - Matriz de custos diretos'!$B$3:$B$496,$B40,'B1 - Matriz de custos diretos'!$C$3:$C$496,"Mão-de-obra")*'A3 - Demanda Anual Agregada '!AD17</f>
        <v>0</v>
      </c>
      <c r="AE65" s="61">
        <f>SUMIFS('B1 - Matriz de custos diretos'!$G$3:$G$496,'B1 - Matriz de custos diretos'!$B$3:$B$496,$B40,'B1 - Matriz de custos diretos'!$C$3:$C$496,"Mão-de-obra")*'A3 - Demanda Anual Agregada '!AE17</f>
        <v>0</v>
      </c>
      <c r="AF65" s="61">
        <f>SUMIFS('B1 - Matriz de custos diretos'!$G$3:$G$496,'B1 - Matriz de custos diretos'!$B$3:$B$496,$B40,'B1 - Matriz de custos diretos'!$C$3:$C$496,"Mão-de-obra")*'A3 - Demanda Anual Agregada '!AF17</f>
        <v>0</v>
      </c>
    </row>
    <row r="66" spans="1:32" ht="15.75" customHeight="1">
      <c r="A66" s="292"/>
      <c r="B66" s="60" t="str">
        <f>'A3 - Demanda Anual Agregada '!B18</f>
        <v>Serrote - Comércio</v>
      </c>
      <c r="C66" s="61">
        <f>SUMIFS('B1 - Matriz de custos diretos'!$G$3:$G$496,'B1 - Matriz de custos diretos'!$B$3:$B$496,$B41,'B1 - Matriz de custos diretos'!$C$3:$C$496,"Mão-de-obra")*'A3 - Demanda Anual Agregada '!C18</f>
        <v>0</v>
      </c>
      <c r="D66" s="61">
        <f>SUMIFS('B1 - Matriz de custos diretos'!$G$3:$G$496,'B1 - Matriz de custos diretos'!$B$3:$B$496,$B41,'B1 - Matriz de custos diretos'!$C$3:$C$496,"Mão-de-obra")*'A3 - Demanda Anual Agregada '!D18</f>
        <v>0</v>
      </c>
      <c r="E66" s="61">
        <f>SUMIFS('B1 - Matriz de custos diretos'!$G$3:$G$496,'B1 - Matriz de custos diretos'!$B$3:$B$496,$B41,'B1 - Matriz de custos diretos'!$C$3:$C$496,"Mão-de-obra")*'A3 - Demanda Anual Agregada '!E18</f>
        <v>0</v>
      </c>
      <c r="F66" s="61">
        <f>SUMIFS('B1 - Matriz de custos diretos'!$G$3:$G$496,'B1 - Matriz de custos diretos'!$B$3:$B$496,$B41,'B1 - Matriz de custos diretos'!$C$3:$C$496,"Mão-de-obra")*'A3 - Demanda Anual Agregada '!F18</f>
        <v>0</v>
      </c>
      <c r="G66" s="61">
        <f>SUMIFS('B1 - Matriz de custos diretos'!$G$3:$G$496,'B1 - Matriz de custos diretos'!$B$3:$B$496,$B41,'B1 - Matriz de custos diretos'!$C$3:$C$496,"Mão-de-obra")*'A3 - Demanda Anual Agregada '!G18</f>
        <v>0</v>
      </c>
      <c r="H66" s="61">
        <f>SUMIFS('B1 - Matriz de custos diretos'!$G$3:$G$496,'B1 - Matriz de custos diretos'!$B$3:$B$496,$B41,'B1 - Matriz de custos diretos'!$C$3:$C$496,"Mão-de-obra")*'A3 - Demanda Anual Agregada '!H18</f>
        <v>0</v>
      </c>
      <c r="I66" s="61">
        <f>SUMIFS('B1 - Matriz de custos diretos'!$G$3:$G$496,'B1 - Matriz de custos diretos'!$B$3:$B$496,$B41,'B1 - Matriz de custos diretos'!$C$3:$C$496,"Mão-de-obra")*'A3 - Demanda Anual Agregada '!I18</f>
        <v>0</v>
      </c>
      <c r="J66" s="61">
        <f>SUMIFS('B1 - Matriz de custos diretos'!$G$3:$G$496,'B1 - Matriz de custos diretos'!$B$3:$B$496,$B41,'B1 - Matriz de custos diretos'!$C$3:$C$496,"Mão-de-obra")*'A3 - Demanda Anual Agregada '!J18</f>
        <v>0</v>
      </c>
      <c r="K66" s="61">
        <f>SUMIFS('B1 - Matriz de custos diretos'!$G$3:$G$496,'B1 - Matriz de custos diretos'!$B$3:$B$496,$B41,'B1 - Matriz de custos diretos'!$C$3:$C$496,"Mão-de-obra")*'A3 - Demanda Anual Agregada '!K18</f>
        <v>0</v>
      </c>
      <c r="L66" s="61">
        <f>SUMIFS('B1 - Matriz de custos diretos'!$G$3:$G$496,'B1 - Matriz de custos diretos'!$B$3:$B$496,$B41,'B1 - Matriz de custos diretos'!$C$3:$C$496,"Mão-de-obra")*'A3 - Demanda Anual Agregada '!L18</f>
        <v>0</v>
      </c>
      <c r="M66" s="61">
        <f>SUMIFS('B1 - Matriz de custos diretos'!$G$3:$G$496,'B1 - Matriz de custos diretos'!$B$3:$B$496,$B41,'B1 - Matriz de custos diretos'!$C$3:$C$496,"Mão-de-obra")*'A3 - Demanda Anual Agregada '!M18</f>
        <v>0</v>
      </c>
      <c r="N66" s="61">
        <f>SUMIFS('B1 - Matriz de custos diretos'!$G$3:$G$496,'B1 - Matriz de custos diretos'!$B$3:$B$496,$B41,'B1 - Matriz de custos diretos'!$C$3:$C$496,"Mão-de-obra")*'A3 - Demanda Anual Agregada '!N18</f>
        <v>0</v>
      </c>
      <c r="O66" s="61">
        <f>SUMIFS('B1 - Matriz de custos diretos'!$G$3:$G$496,'B1 - Matriz de custos diretos'!$B$3:$B$496,$B41,'B1 - Matriz de custos diretos'!$C$3:$C$496,"Mão-de-obra")*'A3 - Demanda Anual Agregada '!O18</f>
        <v>0</v>
      </c>
      <c r="P66" s="61">
        <f>SUMIFS('B1 - Matriz de custos diretos'!$G$3:$G$496,'B1 - Matriz de custos diretos'!$B$3:$B$496,$B41,'B1 - Matriz de custos diretos'!$C$3:$C$496,"Mão-de-obra")*'A3 - Demanda Anual Agregada '!P18</f>
        <v>0</v>
      </c>
      <c r="Q66" s="61">
        <f>SUMIFS('B1 - Matriz de custos diretos'!$G$3:$G$496,'B1 - Matriz de custos diretos'!$B$3:$B$496,$B41,'B1 - Matriz de custos diretos'!$C$3:$C$496,"Mão-de-obra")*'A3 - Demanda Anual Agregada '!Q18</f>
        <v>0</v>
      </c>
      <c r="R66" s="61">
        <f>SUMIFS('B1 - Matriz de custos diretos'!$G$3:$G$496,'B1 - Matriz de custos diretos'!$B$3:$B$496,$B41,'B1 - Matriz de custos diretos'!$C$3:$C$496,"Mão-de-obra")*'A3 - Demanda Anual Agregada '!R18</f>
        <v>0</v>
      </c>
      <c r="S66" s="61">
        <f>SUMIFS('B1 - Matriz de custos diretos'!$G$3:$G$496,'B1 - Matriz de custos diretos'!$B$3:$B$496,$B41,'B1 - Matriz de custos diretos'!$C$3:$C$496,"Mão-de-obra")*'A3 - Demanda Anual Agregada '!S18</f>
        <v>0</v>
      </c>
      <c r="T66" s="61">
        <f>SUMIFS('B1 - Matriz de custos diretos'!$G$3:$G$496,'B1 - Matriz de custos diretos'!$B$3:$B$496,$B41,'B1 - Matriz de custos diretos'!$C$3:$C$496,"Mão-de-obra")*'A3 - Demanda Anual Agregada '!T18</f>
        <v>0</v>
      </c>
      <c r="U66" s="61">
        <f>SUMIFS('B1 - Matriz de custos diretos'!$G$3:$G$496,'B1 - Matriz de custos diretos'!$B$3:$B$496,$B41,'B1 - Matriz de custos diretos'!$C$3:$C$496,"Mão-de-obra")*'A3 - Demanda Anual Agregada '!U18</f>
        <v>0</v>
      </c>
      <c r="V66" s="61">
        <f>SUMIFS('B1 - Matriz de custos diretos'!$G$3:$G$496,'B1 - Matriz de custos diretos'!$B$3:$B$496,$B41,'B1 - Matriz de custos diretos'!$C$3:$C$496,"Mão-de-obra")*'A3 - Demanda Anual Agregada '!V18</f>
        <v>0</v>
      </c>
      <c r="W66" s="61">
        <f>SUMIFS('B1 - Matriz de custos diretos'!$G$3:$G$496,'B1 - Matriz de custos diretos'!$B$3:$B$496,$B41,'B1 - Matriz de custos diretos'!$C$3:$C$496,"Mão-de-obra")*'A3 - Demanda Anual Agregada '!W18</f>
        <v>0</v>
      </c>
      <c r="X66" s="61">
        <f>SUMIFS('B1 - Matriz de custos diretos'!$G$3:$G$496,'B1 - Matriz de custos diretos'!$B$3:$B$496,$B41,'B1 - Matriz de custos diretos'!$C$3:$C$496,"Mão-de-obra")*'A3 - Demanda Anual Agregada '!X18</f>
        <v>0</v>
      </c>
      <c r="Y66" s="61">
        <f>SUMIFS('B1 - Matriz de custos diretos'!$G$3:$G$496,'B1 - Matriz de custos diretos'!$B$3:$B$496,$B41,'B1 - Matriz de custos diretos'!$C$3:$C$496,"Mão-de-obra")*'A3 - Demanda Anual Agregada '!Y18</f>
        <v>0</v>
      </c>
      <c r="Z66" s="61">
        <f>SUMIFS('B1 - Matriz de custos diretos'!$G$3:$G$496,'B1 - Matriz de custos diretos'!$B$3:$B$496,$B41,'B1 - Matriz de custos diretos'!$C$3:$C$496,"Mão-de-obra")*'A3 - Demanda Anual Agregada '!Z18</f>
        <v>0</v>
      </c>
      <c r="AA66" s="61">
        <f>SUMIFS('B1 - Matriz de custos diretos'!$G$3:$G$496,'B1 - Matriz de custos diretos'!$B$3:$B$496,$B41,'B1 - Matriz de custos diretos'!$C$3:$C$496,"Mão-de-obra")*'A3 - Demanda Anual Agregada '!AA18</f>
        <v>0</v>
      </c>
      <c r="AB66" s="61">
        <f>SUMIFS('B1 - Matriz de custos diretos'!$G$3:$G$496,'B1 - Matriz de custos diretos'!$B$3:$B$496,$B41,'B1 - Matriz de custos diretos'!$C$3:$C$496,"Mão-de-obra")*'A3 - Demanda Anual Agregada '!AB18</f>
        <v>0</v>
      </c>
      <c r="AC66" s="61">
        <f>SUMIFS('B1 - Matriz de custos diretos'!$G$3:$G$496,'B1 - Matriz de custos diretos'!$B$3:$B$496,$B41,'B1 - Matriz de custos diretos'!$C$3:$C$496,"Mão-de-obra")*'A3 - Demanda Anual Agregada '!AC18</f>
        <v>0</v>
      </c>
      <c r="AD66" s="61">
        <f>SUMIFS('B1 - Matriz de custos diretos'!$G$3:$G$496,'B1 - Matriz de custos diretos'!$B$3:$B$496,$B41,'B1 - Matriz de custos diretos'!$C$3:$C$496,"Mão-de-obra")*'A3 - Demanda Anual Agregada '!AD18</f>
        <v>0</v>
      </c>
      <c r="AE66" s="61">
        <f>SUMIFS('B1 - Matriz de custos diretos'!$G$3:$G$496,'B1 - Matriz de custos diretos'!$B$3:$B$496,$B41,'B1 - Matriz de custos diretos'!$C$3:$C$496,"Mão-de-obra")*'A3 - Demanda Anual Agregada '!AE18</f>
        <v>0</v>
      </c>
      <c r="AF66" s="61">
        <f>SUMIFS('B1 - Matriz de custos diretos'!$G$3:$G$496,'B1 - Matriz de custos diretos'!$B$3:$B$496,$B41,'B1 - Matriz de custos diretos'!$C$3:$C$496,"Mão-de-obra")*'A3 - Demanda Anual Agregada '!AF18</f>
        <v>0</v>
      </c>
    </row>
    <row r="67" spans="1:32" ht="15.75" customHeight="1">
      <c r="A67" s="292"/>
      <c r="B67" s="60" t="str">
        <f>'A3 - Demanda Anual Agregada '!B19</f>
        <v>Paraíso - Alimentação</v>
      </c>
      <c r="C67" s="61">
        <f>SUMIFS('B1 - Matriz de custos diretos'!$G$3:$G$496,'B1 - Matriz de custos diretos'!$B$3:$B$496,$B42,'B1 - Matriz de custos diretos'!$C$3:$C$496,"Mão-de-obra")*'A3 - Demanda Anual Agregada '!C19</f>
        <v>0</v>
      </c>
      <c r="D67" s="61">
        <f>SUMIFS('B1 - Matriz de custos diretos'!$G$3:$G$496,'B1 - Matriz de custos diretos'!$B$3:$B$496,$B42,'B1 - Matriz de custos diretos'!$C$3:$C$496,"Mão-de-obra")*'A3 - Demanda Anual Agregada '!D19</f>
        <v>0</v>
      </c>
      <c r="E67" s="61">
        <f>SUMIFS('B1 - Matriz de custos diretos'!$G$3:$G$496,'B1 - Matriz de custos diretos'!$B$3:$B$496,$B42,'B1 - Matriz de custos diretos'!$C$3:$C$496,"Mão-de-obra")*'A3 - Demanda Anual Agregada '!E19</f>
        <v>0</v>
      </c>
      <c r="F67" s="61">
        <f>SUMIFS('B1 - Matriz de custos diretos'!$G$3:$G$496,'B1 - Matriz de custos diretos'!$B$3:$B$496,$B42,'B1 - Matriz de custos diretos'!$C$3:$C$496,"Mão-de-obra")*'A3 - Demanda Anual Agregada '!F19</f>
        <v>0</v>
      </c>
      <c r="G67" s="61">
        <f>SUMIFS('B1 - Matriz de custos diretos'!$G$3:$G$496,'B1 - Matriz de custos diretos'!$B$3:$B$496,$B42,'B1 - Matriz de custos diretos'!$C$3:$C$496,"Mão-de-obra")*'A3 - Demanda Anual Agregada '!G19</f>
        <v>0</v>
      </c>
      <c r="H67" s="61">
        <f>SUMIFS('B1 - Matriz de custos diretos'!$G$3:$G$496,'B1 - Matriz de custos diretos'!$B$3:$B$496,$B42,'B1 - Matriz de custos diretos'!$C$3:$C$496,"Mão-de-obra")*'A3 - Demanda Anual Agregada '!H19</f>
        <v>0</v>
      </c>
      <c r="I67" s="61">
        <f>SUMIFS('B1 - Matriz de custos diretos'!$G$3:$G$496,'B1 - Matriz de custos diretos'!$B$3:$B$496,$B42,'B1 - Matriz de custos diretos'!$C$3:$C$496,"Mão-de-obra")*'A3 - Demanda Anual Agregada '!I19</f>
        <v>0</v>
      </c>
      <c r="J67" s="61">
        <f>SUMIFS('B1 - Matriz de custos diretos'!$G$3:$G$496,'B1 - Matriz de custos diretos'!$B$3:$B$496,$B42,'B1 - Matriz de custos diretos'!$C$3:$C$496,"Mão-de-obra")*'A3 - Demanda Anual Agregada '!J19</f>
        <v>0</v>
      </c>
      <c r="K67" s="61">
        <f>SUMIFS('B1 - Matriz de custos diretos'!$G$3:$G$496,'B1 - Matriz de custos diretos'!$B$3:$B$496,$B42,'B1 - Matriz de custos diretos'!$C$3:$C$496,"Mão-de-obra")*'A3 - Demanda Anual Agregada '!K19</f>
        <v>0</v>
      </c>
      <c r="L67" s="61">
        <f>SUMIFS('B1 - Matriz de custos diretos'!$G$3:$G$496,'B1 - Matriz de custos diretos'!$B$3:$B$496,$B42,'B1 - Matriz de custos diretos'!$C$3:$C$496,"Mão-de-obra")*'A3 - Demanda Anual Agregada '!L19</f>
        <v>0</v>
      </c>
      <c r="M67" s="61">
        <f>SUMIFS('B1 - Matriz de custos diretos'!$G$3:$G$496,'B1 - Matriz de custos diretos'!$B$3:$B$496,$B42,'B1 - Matriz de custos diretos'!$C$3:$C$496,"Mão-de-obra")*'A3 - Demanda Anual Agregada '!M19</f>
        <v>0</v>
      </c>
      <c r="N67" s="61">
        <f>SUMIFS('B1 - Matriz de custos diretos'!$G$3:$G$496,'B1 - Matriz de custos diretos'!$B$3:$B$496,$B42,'B1 - Matriz de custos diretos'!$C$3:$C$496,"Mão-de-obra")*'A3 - Demanda Anual Agregada '!N19</f>
        <v>0</v>
      </c>
      <c r="O67" s="61">
        <f>SUMIFS('B1 - Matriz de custos diretos'!$G$3:$G$496,'B1 - Matriz de custos diretos'!$B$3:$B$496,$B42,'B1 - Matriz de custos diretos'!$C$3:$C$496,"Mão-de-obra")*'A3 - Demanda Anual Agregada '!O19</f>
        <v>0</v>
      </c>
      <c r="P67" s="61">
        <f>SUMIFS('B1 - Matriz de custos diretos'!$G$3:$G$496,'B1 - Matriz de custos diretos'!$B$3:$B$496,$B42,'B1 - Matriz de custos diretos'!$C$3:$C$496,"Mão-de-obra")*'A3 - Demanda Anual Agregada '!P19</f>
        <v>0</v>
      </c>
      <c r="Q67" s="61">
        <f>SUMIFS('B1 - Matriz de custos diretos'!$G$3:$G$496,'B1 - Matriz de custos diretos'!$B$3:$B$496,$B42,'B1 - Matriz de custos diretos'!$C$3:$C$496,"Mão-de-obra")*'A3 - Demanda Anual Agregada '!Q19</f>
        <v>0</v>
      </c>
      <c r="R67" s="61">
        <f>SUMIFS('B1 - Matriz de custos diretos'!$G$3:$G$496,'B1 - Matriz de custos diretos'!$B$3:$B$496,$B42,'B1 - Matriz de custos diretos'!$C$3:$C$496,"Mão-de-obra")*'A3 - Demanda Anual Agregada '!R19</f>
        <v>0</v>
      </c>
      <c r="S67" s="61">
        <f>SUMIFS('B1 - Matriz de custos diretos'!$G$3:$G$496,'B1 - Matriz de custos diretos'!$B$3:$B$496,$B42,'B1 - Matriz de custos diretos'!$C$3:$C$496,"Mão-de-obra")*'A3 - Demanda Anual Agregada '!S19</f>
        <v>0</v>
      </c>
      <c r="T67" s="61">
        <f>SUMIFS('B1 - Matriz de custos diretos'!$G$3:$G$496,'B1 - Matriz de custos diretos'!$B$3:$B$496,$B42,'B1 - Matriz de custos diretos'!$C$3:$C$496,"Mão-de-obra")*'A3 - Demanda Anual Agregada '!T19</f>
        <v>0</v>
      </c>
      <c r="U67" s="61">
        <f>SUMIFS('B1 - Matriz de custos diretos'!$G$3:$G$496,'B1 - Matriz de custos diretos'!$B$3:$B$496,$B42,'B1 - Matriz de custos diretos'!$C$3:$C$496,"Mão-de-obra")*'A3 - Demanda Anual Agregada '!U19</f>
        <v>0</v>
      </c>
      <c r="V67" s="61">
        <f>SUMIFS('B1 - Matriz de custos diretos'!$G$3:$G$496,'B1 - Matriz de custos diretos'!$B$3:$B$496,$B42,'B1 - Matriz de custos diretos'!$C$3:$C$496,"Mão-de-obra")*'A3 - Demanda Anual Agregada '!V19</f>
        <v>0</v>
      </c>
      <c r="W67" s="61">
        <f>SUMIFS('B1 - Matriz de custos diretos'!$G$3:$G$496,'B1 - Matriz de custos diretos'!$B$3:$B$496,$B42,'B1 - Matriz de custos diretos'!$C$3:$C$496,"Mão-de-obra")*'A3 - Demanda Anual Agregada '!W19</f>
        <v>0</v>
      </c>
      <c r="X67" s="61">
        <f>SUMIFS('B1 - Matriz de custos diretos'!$G$3:$G$496,'B1 - Matriz de custos diretos'!$B$3:$B$496,$B42,'B1 - Matriz de custos diretos'!$C$3:$C$496,"Mão-de-obra")*'A3 - Demanda Anual Agregada '!X19</f>
        <v>0</v>
      </c>
      <c r="Y67" s="61">
        <f>SUMIFS('B1 - Matriz de custos diretos'!$G$3:$G$496,'B1 - Matriz de custos diretos'!$B$3:$B$496,$B42,'B1 - Matriz de custos diretos'!$C$3:$C$496,"Mão-de-obra")*'A3 - Demanda Anual Agregada '!Y19</f>
        <v>0</v>
      </c>
      <c r="Z67" s="61">
        <f>SUMIFS('B1 - Matriz de custos diretos'!$G$3:$G$496,'B1 - Matriz de custos diretos'!$B$3:$B$496,$B42,'B1 - Matriz de custos diretos'!$C$3:$C$496,"Mão-de-obra")*'A3 - Demanda Anual Agregada '!Z19</f>
        <v>0</v>
      </c>
      <c r="AA67" s="61">
        <f>SUMIFS('B1 - Matriz de custos diretos'!$G$3:$G$496,'B1 - Matriz de custos diretos'!$B$3:$B$496,$B42,'B1 - Matriz de custos diretos'!$C$3:$C$496,"Mão-de-obra")*'A3 - Demanda Anual Agregada '!AA19</f>
        <v>0</v>
      </c>
      <c r="AB67" s="61">
        <f>SUMIFS('B1 - Matriz de custos diretos'!$G$3:$G$496,'B1 - Matriz de custos diretos'!$B$3:$B$496,$B42,'B1 - Matriz de custos diretos'!$C$3:$C$496,"Mão-de-obra")*'A3 - Demanda Anual Agregada '!AB19</f>
        <v>0</v>
      </c>
      <c r="AC67" s="61">
        <f>SUMIFS('B1 - Matriz de custos diretos'!$G$3:$G$496,'B1 - Matriz de custos diretos'!$B$3:$B$496,$B42,'B1 - Matriz de custos diretos'!$C$3:$C$496,"Mão-de-obra")*'A3 - Demanda Anual Agregada '!AC19</f>
        <v>0</v>
      </c>
      <c r="AD67" s="61">
        <f>SUMIFS('B1 - Matriz de custos diretos'!$G$3:$G$496,'B1 - Matriz de custos diretos'!$B$3:$B$496,$B42,'B1 - Matriz de custos diretos'!$C$3:$C$496,"Mão-de-obra")*'A3 - Demanda Anual Agregada '!AD19</f>
        <v>0</v>
      </c>
      <c r="AE67" s="61">
        <f>SUMIFS('B1 - Matriz de custos diretos'!$G$3:$G$496,'B1 - Matriz de custos diretos'!$B$3:$B$496,$B42,'B1 - Matriz de custos diretos'!$C$3:$C$496,"Mão-de-obra")*'A3 - Demanda Anual Agregada '!AE19</f>
        <v>0</v>
      </c>
      <c r="AF67" s="61">
        <f>SUMIFS('B1 - Matriz de custos diretos'!$G$3:$G$496,'B1 - Matriz de custos diretos'!$B$3:$B$496,$B42,'B1 - Matriz de custos diretos'!$C$3:$C$496,"Mão-de-obra")*'A3 - Demanda Anual Agregada '!AF19</f>
        <v>0</v>
      </c>
    </row>
    <row r="68" spans="1:32" ht="15.75" customHeight="1">
      <c r="A68" s="292"/>
      <c r="B68" s="60" t="str">
        <f>'A3 - Demanda Anual Agregada '!B20</f>
        <v>Paraíso - Comércio + Locação + Atividades</v>
      </c>
      <c r="C68" s="61">
        <f>SUMIFS('B1 - Matriz de custos diretos'!$G$3:$G$496,'B1 - Matriz de custos diretos'!$B$3:$B$496,$B43,'B1 - Matriz de custos diretos'!$C$3:$C$496,"Mão-de-obra")*'A3 - Demanda Anual Agregada '!C20</f>
        <v>0</v>
      </c>
      <c r="D68" s="61">
        <f>SUMIFS('B1 - Matriz de custos diretos'!$G$3:$G$496,'B1 - Matriz de custos diretos'!$B$3:$B$496,$B43,'B1 - Matriz de custos diretos'!$C$3:$C$496,"Mão-de-obra")*'A3 - Demanda Anual Agregada '!D20</f>
        <v>0</v>
      </c>
      <c r="E68" s="61">
        <f>SUMIFS('B1 - Matriz de custos diretos'!$G$3:$G$496,'B1 - Matriz de custos diretos'!$B$3:$B$496,$B43,'B1 - Matriz de custos diretos'!$C$3:$C$496,"Mão-de-obra")*'A3 - Demanda Anual Agregada '!E20</f>
        <v>0</v>
      </c>
      <c r="F68" s="61">
        <f>SUMIFS('B1 - Matriz de custos diretos'!$G$3:$G$496,'B1 - Matriz de custos diretos'!$B$3:$B$496,$B43,'B1 - Matriz de custos diretos'!$C$3:$C$496,"Mão-de-obra")*'A3 - Demanda Anual Agregada '!F20</f>
        <v>0</v>
      </c>
      <c r="G68" s="61">
        <f>SUMIFS('B1 - Matriz de custos diretos'!$G$3:$G$496,'B1 - Matriz de custos diretos'!$B$3:$B$496,$B43,'B1 - Matriz de custos diretos'!$C$3:$C$496,"Mão-de-obra")*'A3 - Demanda Anual Agregada '!G20</f>
        <v>0</v>
      </c>
      <c r="H68" s="61">
        <f>SUMIFS('B1 - Matriz de custos diretos'!$G$3:$G$496,'B1 - Matriz de custos diretos'!$B$3:$B$496,$B43,'B1 - Matriz de custos diretos'!$C$3:$C$496,"Mão-de-obra")*'A3 - Demanda Anual Agregada '!H20</f>
        <v>0</v>
      </c>
      <c r="I68" s="61">
        <f>SUMIFS('B1 - Matriz de custos diretos'!$G$3:$G$496,'B1 - Matriz de custos diretos'!$B$3:$B$496,$B43,'B1 - Matriz de custos diretos'!$C$3:$C$496,"Mão-de-obra")*'A3 - Demanda Anual Agregada '!I20</f>
        <v>0</v>
      </c>
      <c r="J68" s="61">
        <f>SUMIFS('B1 - Matriz de custos diretos'!$G$3:$G$496,'B1 - Matriz de custos diretos'!$B$3:$B$496,$B43,'B1 - Matriz de custos diretos'!$C$3:$C$496,"Mão-de-obra")*'A3 - Demanda Anual Agregada '!J20</f>
        <v>0</v>
      </c>
      <c r="K68" s="61">
        <f>SUMIFS('B1 - Matriz de custos diretos'!$G$3:$G$496,'B1 - Matriz de custos diretos'!$B$3:$B$496,$B43,'B1 - Matriz de custos diretos'!$C$3:$C$496,"Mão-de-obra")*'A3 - Demanda Anual Agregada '!K20</f>
        <v>0</v>
      </c>
      <c r="L68" s="61">
        <f>SUMIFS('B1 - Matriz de custos diretos'!$G$3:$G$496,'B1 - Matriz de custos diretos'!$B$3:$B$496,$B43,'B1 - Matriz de custos diretos'!$C$3:$C$496,"Mão-de-obra")*'A3 - Demanda Anual Agregada '!L20</f>
        <v>0</v>
      </c>
      <c r="M68" s="61">
        <f>SUMIFS('B1 - Matriz de custos diretos'!$G$3:$G$496,'B1 - Matriz de custos diretos'!$B$3:$B$496,$B43,'B1 - Matriz de custos diretos'!$C$3:$C$496,"Mão-de-obra")*'A3 - Demanda Anual Agregada '!M20</f>
        <v>0</v>
      </c>
      <c r="N68" s="61">
        <f>SUMIFS('B1 - Matriz de custos diretos'!$G$3:$G$496,'B1 - Matriz de custos diretos'!$B$3:$B$496,$B43,'B1 - Matriz de custos diretos'!$C$3:$C$496,"Mão-de-obra")*'A3 - Demanda Anual Agregada '!N20</f>
        <v>0</v>
      </c>
      <c r="O68" s="61">
        <f>SUMIFS('B1 - Matriz de custos diretos'!$G$3:$G$496,'B1 - Matriz de custos diretos'!$B$3:$B$496,$B43,'B1 - Matriz de custos diretos'!$C$3:$C$496,"Mão-de-obra")*'A3 - Demanda Anual Agregada '!O20</f>
        <v>0</v>
      </c>
      <c r="P68" s="61">
        <f>SUMIFS('B1 - Matriz de custos diretos'!$G$3:$G$496,'B1 - Matriz de custos diretos'!$B$3:$B$496,$B43,'B1 - Matriz de custos diretos'!$C$3:$C$496,"Mão-de-obra")*'A3 - Demanda Anual Agregada '!P20</f>
        <v>0</v>
      </c>
      <c r="Q68" s="61">
        <f>SUMIFS('B1 - Matriz de custos diretos'!$G$3:$G$496,'B1 - Matriz de custos diretos'!$B$3:$B$496,$B43,'B1 - Matriz de custos diretos'!$C$3:$C$496,"Mão-de-obra")*'A3 - Demanda Anual Agregada '!Q20</f>
        <v>0</v>
      </c>
      <c r="R68" s="61">
        <f>SUMIFS('B1 - Matriz de custos diretos'!$G$3:$G$496,'B1 - Matriz de custos diretos'!$B$3:$B$496,$B43,'B1 - Matriz de custos diretos'!$C$3:$C$496,"Mão-de-obra")*'A3 - Demanda Anual Agregada '!R20</f>
        <v>0</v>
      </c>
      <c r="S68" s="61">
        <f>SUMIFS('B1 - Matriz de custos diretos'!$G$3:$G$496,'B1 - Matriz de custos diretos'!$B$3:$B$496,$B43,'B1 - Matriz de custos diretos'!$C$3:$C$496,"Mão-de-obra")*'A3 - Demanda Anual Agregada '!S20</f>
        <v>0</v>
      </c>
      <c r="T68" s="61">
        <f>SUMIFS('B1 - Matriz de custos diretos'!$G$3:$G$496,'B1 - Matriz de custos diretos'!$B$3:$B$496,$B43,'B1 - Matriz de custos diretos'!$C$3:$C$496,"Mão-de-obra")*'A3 - Demanda Anual Agregada '!T20</f>
        <v>0</v>
      </c>
      <c r="U68" s="61">
        <f>SUMIFS('B1 - Matriz de custos diretos'!$G$3:$G$496,'B1 - Matriz de custos diretos'!$B$3:$B$496,$B43,'B1 - Matriz de custos diretos'!$C$3:$C$496,"Mão-de-obra")*'A3 - Demanda Anual Agregada '!U20</f>
        <v>0</v>
      </c>
      <c r="V68" s="61">
        <f>SUMIFS('B1 - Matriz de custos diretos'!$G$3:$G$496,'B1 - Matriz de custos diretos'!$B$3:$B$496,$B43,'B1 - Matriz de custos diretos'!$C$3:$C$496,"Mão-de-obra")*'A3 - Demanda Anual Agregada '!V20</f>
        <v>0</v>
      </c>
      <c r="W68" s="61">
        <f>SUMIFS('B1 - Matriz de custos diretos'!$G$3:$G$496,'B1 - Matriz de custos diretos'!$B$3:$B$496,$B43,'B1 - Matriz de custos diretos'!$C$3:$C$496,"Mão-de-obra")*'A3 - Demanda Anual Agregada '!W20</f>
        <v>0</v>
      </c>
      <c r="X68" s="61">
        <f>SUMIFS('B1 - Matriz de custos diretos'!$G$3:$G$496,'B1 - Matriz de custos diretos'!$B$3:$B$496,$B43,'B1 - Matriz de custos diretos'!$C$3:$C$496,"Mão-de-obra")*'A3 - Demanda Anual Agregada '!X20</f>
        <v>0</v>
      </c>
      <c r="Y68" s="61">
        <f>SUMIFS('B1 - Matriz de custos diretos'!$G$3:$G$496,'B1 - Matriz de custos diretos'!$B$3:$B$496,$B43,'B1 - Matriz de custos diretos'!$C$3:$C$496,"Mão-de-obra")*'A3 - Demanda Anual Agregada '!Y20</f>
        <v>0</v>
      </c>
      <c r="Z68" s="61">
        <f>SUMIFS('B1 - Matriz de custos diretos'!$G$3:$G$496,'B1 - Matriz de custos diretos'!$B$3:$B$496,$B43,'B1 - Matriz de custos diretos'!$C$3:$C$496,"Mão-de-obra")*'A3 - Demanda Anual Agregada '!Z20</f>
        <v>0</v>
      </c>
      <c r="AA68" s="61">
        <f>SUMIFS('B1 - Matriz de custos diretos'!$G$3:$G$496,'B1 - Matriz de custos diretos'!$B$3:$B$496,$B43,'B1 - Matriz de custos diretos'!$C$3:$C$496,"Mão-de-obra")*'A3 - Demanda Anual Agregada '!AA20</f>
        <v>0</v>
      </c>
      <c r="AB68" s="61">
        <f>SUMIFS('B1 - Matriz de custos diretos'!$G$3:$G$496,'B1 - Matriz de custos diretos'!$B$3:$B$496,$B43,'B1 - Matriz de custos diretos'!$C$3:$C$496,"Mão-de-obra")*'A3 - Demanda Anual Agregada '!AB20</f>
        <v>0</v>
      </c>
      <c r="AC68" s="61">
        <f>SUMIFS('B1 - Matriz de custos diretos'!$G$3:$G$496,'B1 - Matriz de custos diretos'!$B$3:$B$496,$B43,'B1 - Matriz de custos diretos'!$C$3:$C$496,"Mão-de-obra")*'A3 - Demanda Anual Agregada '!AC20</f>
        <v>0</v>
      </c>
      <c r="AD68" s="61">
        <f>SUMIFS('B1 - Matriz de custos diretos'!$G$3:$G$496,'B1 - Matriz de custos diretos'!$B$3:$B$496,$B43,'B1 - Matriz de custos diretos'!$C$3:$C$496,"Mão-de-obra")*'A3 - Demanda Anual Agregada '!AD20</f>
        <v>0</v>
      </c>
      <c r="AE68" s="61">
        <f>SUMIFS('B1 - Matriz de custos diretos'!$G$3:$G$496,'B1 - Matriz de custos diretos'!$B$3:$B$496,$B43,'B1 - Matriz de custos diretos'!$C$3:$C$496,"Mão-de-obra")*'A3 - Demanda Anual Agregada '!AE20</f>
        <v>0</v>
      </c>
      <c r="AF68" s="61">
        <f>SUMIFS('B1 - Matriz de custos diretos'!$G$3:$G$496,'B1 - Matriz de custos diretos'!$B$3:$B$496,$B43,'B1 - Matriz de custos diretos'!$C$3:$C$496,"Mão-de-obra")*'A3 - Demanda Anual Agregada '!AF20</f>
        <v>0</v>
      </c>
    </row>
    <row r="69" spans="1:32" ht="15.75" customHeight="1">
      <c r="A69" s="292"/>
      <c r="B69" s="60" t="str">
        <f>'A3 - Demanda Anual Agregada '!B21</f>
        <v>Geral - Unidade móvel - Alimentação</v>
      </c>
      <c r="C69" s="61">
        <f>SUMIFS('B1 - Matriz de custos diretos'!$G$3:$G$496,'B1 - Matriz de custos diretos'!$B$3:$B$496,$B44,'B1 - Matriz de custos diretos'!$C$3:$C$496,"Mão-de-obra")*'A3 - Demanda Anual Agregada '!C21</f>
        <v>0</v>
      </c>
      <c r="D69" s="61">
        <f>SUMIFS('B1 - Matriz de custos diretos'!$G$3:$G$496,'B1 - Matriz de custos diretos'!$B$3:$B$496,$B44,'B1 - Matriz de custos diretos'!$C$3:$C$496,"Mão-de-obra")*'A3 - Demanda Anual Agregada '!D21</f>
        <v>0</v>
      </c>
      <c r="E69" s="61">
        <f>SUMIFS('B1 - Matriz de custos diretos'!$G$3:$G$496,'B1 - Matriz de custos diretos'!$B$3:$B$496,$B44,'B1 - Matriz de custos diretos'!$C$3:$C$496,"Mão-de-obra")*'A3 - Demanda Anual Agregada '!E21</f>
        <v>0</v>
      </c>
      <c r="F69" s="61">
        <f>SUMIFS('B1 - Matriz de custos diretos'!$G$3:$G$496,'B1 - Matriz de custos diretos'!$B$3:$B$496,$B44,'B1 - Matriz de custos diretos'!$C$3:$C$496,"Mão-de-obra")*'A3 - Demanda Anual Agregada '!F21</f>
        <v>0</v>
      </c>
      <c r="G69" s="61">
        <f>SUMIFS('B1 - Matriz de custos diretos'!$G$3:$G$496,'B1 - Matriz de custos diretos'!$B$3:$B$496,$B44,'B1 - Matriz de custos diretos'!$C$3:$C$496,"Mão-de-obra")*'A3 - Demanda Anual Agregada '!G21</f>
        <v>0</v>
      </c>
      <c r="H69" s="61">
        <f>SUMIFS('B1 - Matriz de custos diretos'!$G$3:$G$496,'B1 - Matriz de custos diretos'!$B$3:$B$496,$B44,'B1 - Matriz de custos diretos'!$C$3:$C$496,"Mão-de-obra")*'A3 - Demanda Anual Agregada '!H21</f>
        <v>0</v>
      </c>
      <c r="I69" s="61">
        <f>SUMIFS('B1 - Matriz de custos diretos'!$G$3:$G$496,'B1 - Matriz de custos diretos'!$B$3:$B$496,$B44,'B1 - Matriz de custos diretos'!$C$3:$C$496,"Mão-de-obra")*'A3 - Demanda Anual Agregada '!I21</f>
        <v>0</v>
      </c>
      <c r="J69" s="61">
        <f>SUMIFS('B1 - Matriz de custos diretos'!$G$3:$G$496,'B1 - Matriz de custos diretos'!$B$3:$B$496,$B44,'B1 - Matriz de custos diretos'!$C$3:$C$496,"Mão-de-obra")*'A3 - Demanda Anual Agregada '!J21</f>
        <v>0</v>
      </c>
      <c r="K69" s="61">
        <f>SUMIFS('B1 - Matriz de custos diretos'!$G$3:$G$496,'B1 - Matriz de custos diretos'!$B$3:$B$496,$B44,'B1 - Matriz de custos diretos'!$C$3:$C$496,"Mão-de-obra")*'A3 - Demanda Anual Agregada '!K21</f>
        <v>0</v>
      </c>
      <c r="L69" s="61">
        <f>SUMIFS('B1 - Matriz de custos diretos'!$G$3:$G$496,'B1 - Matriz de custos diretos'!$B$3:$B$496,$B44,'B1 - Matriz de custos diretos'!$C$3:$C$496,"Mão-de-obra")*'A3 - Demanda Anual Agregada '!L21</f>
        <v>0</v>
      </c>
      <c r="M69" s="61">
        <f>SUMIFS('B1 - Matriz de custos diretos'!$G$3:$G$496,'B1 - Matriz de custos diretos'!$B$3:$B$496,$B44,'B1 - Matriz de custos diretos'!$C$3:$C$496,"Mão-de-obra")*'A3 - Demanda Anual Agregada '!M21</f>
        <v>0</v>
      </c>
      <c r="N69" s="61">
        <f>SUMIFS('B1 - Matriz de custos diretos'!$G$3:$G$496,'B1 - Matriz de custos diretos'!$B$3:$B$496,$B44,'B1 - Matriz de custos diretos'!$C$3:$C$496,"Mão-de-obra")*'A3 - Demanda Anual Agregada '!N21</f>
        <v>0</v>
      </c>
      <c r="O69" s="61">
        <f>SUMIFS('B1 - Matriz de custos diretos'!$G$3:$G$496,'B1 - Matriz de custos diretos'!$B$3:$B$496,$B44,'B1 - Matriz de custos diretos'!$C$3:$C$496,"Mão-de-obra")*'A3 - Demanda Anual Agregada '!O21</f>
        <v>0</v>
      </c>
      <c r="P69" s="61">
        <f>SUMIFS('B1 - Matriz de custos diretos'!$G$3:$G$496,'B1 - Matriz de custos diretos'!$B$3:$B$496,$B44,'B1 - Matriz de custos diretos'!$C$3:$C$496,"Mão-de-obra")*'A3 - Demanda Anual Agregada '!P21</f>
        <v>0</v>
      </c>
      <c r="Q69" s="61">
        <f>SUMIFS('B1 - Matriz de custos diretos'!$G$3:$G$496,'B1 - Matriz de custos diretos'!$B$3:$B$496,$B44,'B1 - Matriz de custos diretos'!$C$3:$C$496,"Mão-de-obra")*'A3 - Demanda Anual Agregada '!Q21</f>
        <v>0</v>
      </c>
      <c r="R69" s="61">
        <f>SUMIFS('B1 - Matriz de custos diretos'!$G$3:$G$496,'B1 - Matriz de custos diretos'!$B$3:$B$496,$B44,'B1 - Matriz de custos diretos'!$C$3:$C$496,"Mão-de-obra")*'A3 - Demanda Anual Agregada '!R21</f>
        <v>0</v>
      </c>
      <c r="S69" s="61">
        <f>SUMIFS('B1 - Matriz de custos diretos'!$G$3:$G$496,'B1 - Matriz de custos diretos'!$B$3:$B$496,$B44,'B1 - Matriz de custos diretos'!$C$3:$C$496,"Mão-de-obra")*'A3 - Demanda Anual Agregada '!S21</f>
        <v>0</v>
      </c>
      <c r="T69" s="61">
        <f>SUMIFS('B1 - Matriz de custos diretos'!$G$3:$G$496,'B1 - Matriz de custos diretos'!$B$3:$B$496,$B44,'B1 - Matriz de custos diretos'!$C$3:$C$496,"Mão-de-obra")*'A3 - Demanda Anual Agregada '!T21</f>
        <v>0</v>
      </c>
      <c r="U69" s="61">
        <f>SUMIFS('B1 - Matriz de custos diretos'!$G$3:$G$496,'B1 - Matriz de custos diretos'!$B$3:$B$496,$B44,'B1 - Matriz de custos diretos'!$C$3:$C$496,"Mão-de-obra")*'A3 - Demanda Anual Agregada '!U21</f>
        <v>0</v>
      </c>
      <c r="V69" s="61">
        <f>SUMIFS('B1 - Matriz de custos diretos'!$G$3:$G$496,'B1 - Matriz de custos diretos'!$B$3:$B$496,$B44,'B1 - Matriz de custos diretos'!$C$3:$C$496,"Mão-de-obra")*'A3 - Demanda Anual Agregada '!V21</f>
        <v>0</v>
      </c>
      <c r="W69" s="61">
        <f>SUMIFS('B1 - Matriz de custos diretos'!$G$3:$G$496,'B1 - Matriz de custos diretos'!$B$3:$B$496,$B44,'B1 - Matriz de custos diretos'!$C$3:$C$496,"Mão-de-obra")*'A3 - Demanda Anual Agregada '!W21</f>
        <v>0</v>
      </c>
      <c r="X69" s="61">
        <f>SUMIFS('B1 - Matriz de custos diretos'!$G$3:$G$496,'B1 - Matriz de custos diretos'!$B$3:$B$496,$B44,'B1 - Matriz de custos diretos'!$C$3:$C$496,"Mão-de-obra")*'A3 - Demanda Anual Agregada '!X21</f>
        <v>0</v>
      </c>
      <c r="Y69" s="61">
        <f>SUMIFS('B1 - Matriz de custos diretos'!$G$3:$G$496,'B1 - Matriz de custos diretos'!$B$3:$B$496,$B44,'B1 - Matriz de custos diretos'!$C$3:$C$496,"Mão-de-obra")*'A3 - Demanda Anual Agregada '!Y21</f>
        <v>0</v>
      </c>
      <c r="Z69" s="61">
        <f>SUMIFS('B1 - Matriz de custos diretos'!$G$3:$G$496,'B1 - Matriz de custos diretos'!$B$3:$B$496,$B44,'B1 - Matriz de custos diretos'!$C$3:$C$496,"Mão-de-obra")*'A3 - Demanda Anual Agregada '!Z21</f>
        <v>0</v>
      </c>
      <c r="AA69" s="61">
        <f>SUMIFS('B1 - Matriz de custos diretos'!$G$3:$G$496,'B1 - Matriz de custos diretos'!$B$3:$B$496,$B44,'B1 - Matriz de custos diretos'!$C$3:$C$496,"Mão-de-obra")*'A3 - Demanda Anual Agregada '!AA21</f>
        <v>0</v>
      </c>
      <c r="AB69" s="61">
        <f>SUMIFS('B1 - Matriz de custos diretos'!$G$3:$G$496,'B1 - Matriz de custos diretos'!$B$3:$B$496,$B44,'B1 - Matriz de custos diretos'!$C$3:$C$496,"Mão-de-obra")*'A3 - Demanda Anual Agregada '!AB21</f>
        <v>0</v>
      </c>
      <c r="AC69" s="61">
        <f>SUMIFS('B1 - Matriz de custos diretos'!$G$3:$G$496,'B1 - Matriz de custos diretos'!$B$3:$B$496,$B44,'B1 - Matriz de custos diretos'!$C$3:$C$496,"Mão-de-obra")*'A3 - Demanda Anual Agregada '!AC21</f>
        <v>0</v>
      </c>
      <c r="AD69" s="61">
        <f>SUMIFS('B1 - Matriz de custos diretos'!$G$3:$G$496,'B1 - Matriz de custos diretos'!$B$3:$B$496,$B44,'B1 - Matriz de custos diretos'!$C$3:$C$496,"Mão-de-obra")*'A3 - Demanda Anual Agregada '!AD21</f>
        <v>0</v>
      </c>
      <c r="AE69" s="61">
        <f>SUMIFS('B1 - Matriz de custos diretos'!$G$3:$G$496,'B1 - Matriz de custos diretos'!$B$3:$B$496,$B44,'B1 - Matriz de custos diretos'!$C$3:$C$496,"Mão-de-obra")*'A3 - Demanda Anual Agregada '!AE21</f>
        <v>0</v>
      </c>
      <c r="AF69" s="61">
        <f>SUMIFS('B1 - Matriz de custos diretos'!$G$3:$G$496,'B1 - Matriz de custos diretos'!$B$3:$B$496,$B44,'B1 - Matriz de custos diretos'!$C$3:$C$496,"Mão-de-obra")*'A3 - Demanda Anual Agregada '!AF21</f>
        <v>0</v>
      </c>
    </row>
    <row r="70" spans="1:32" ht="15.75" customHeight="1">
      <c r="A70" s="292"/>
      <c r="B70" s="60" t="str">
        <f>'A3 - Demanda Anual Agregada '!B22</f>
        <v>Mangue Seco - Estacionamento</v>
      </c>
      <c r="C70" s="61">
        <f>SUMIFS('B1 - Matriz de custos diretos'!$G$3:$G$496,'B1 - Matriz de custos diretos'!$B$3:$B$496,$B45,'B1 - Matriz de custos diretos'!$C$3:$C$496,"Mão-de-obra")*'A3 - Demanda Anual Agregada '!C22</f>
        <v>0</v>
      </c>
      <c r="D70" s="61">
        <f>SUMIFS('B1 - Matriz de custos diretos'!$G$3:$G$496,'B1 - Matriz de custos diretos'!$B$3:$B$496,$B45,'B1 - Matriz de custos diretos'!$C$3:$C$496,"Mão-de-obra")*'A3 - Demanda Anual Agregada '!D22</f>
        <v>0</v>
      </c>
      <c r="E70" s="61">
        <f>SUMIFS('B1 - Matriz de custos diretos'!$G$3:$G$496,'B1 - Matriz de custos diretos'!$B$3:$B$496,$B45,'B1 - Matriz de custos diretos'!$C$3:$C$496,"Mão-de-obra")*'A3 - Demanda Anual Agregada '!E22</f>
        <v>0</v>
      </c>
      <c r="F70" s="61">
        <f>SUMIFS('B1 - Matriz de custos diretos'!$G$3:$G$496,'B1 - Matriz de custos diretos'!$B$3:$B$496,$B45,'B1 - Matriz de custos diretos'!$C$3:$C$496,"Mão-de-obra")*'A3 - Demanda Anual Agregada '!F22</f>
        <v>0</v>
      </c>
      <c r="G70" s="61">
        <f>SUMIFS('B1 - Matriz de custos diretos'!$G$3:$G$496,'B1 - Matriz de custos diretos'!$B$3:$B$496,$B45,'B1 - Matriz de custos diretos'!$C$3:$C$496,"Mão-de-obra")*'A3 - Demanda Anual Agregada '!G22</f>
        <v>0</v>
      </c>
      <c r="H70" s="61">
        <f>SUMIFS('B1 - Matriz de custos diretos'!$G$3:$G$496,'B1 - Matriz de custos diretos'!$B$3:$B$496,$B45,'B1 - Matriz de custos diretos'!$C$3:$C$496,"Mão-de-obra")*'A3 - Demanda Anual Agregada '!H22</f>
        <v>0</v>
      </c>
      <c r="I70" s="61">
        <f>SUMIFS('B1 - Matriz de custos diretos'!$G$3:$G$496,'B1 - Matriz de custos diretos'!$B$3:$B$496,$B45,'B1 - Matriz de custos diretos'!$C$3:$C$496,"Mão-de-obra")*'A3 - Demanda Anual Agregada '!I22</f>
        <v>0</v>
      </c>
      <c r="J70" s="61">
        <f>SUMIFS('B1 - Matriz de custos diretos'!$G$3:$G$496,'B1 - Matriz de custos diretos'!$B$3:$B$496,$B45,'B1 - Matriz de custos diretos'!$C$3:$C$496,"Mão-de-obra")*'A3 - Demanda Anual Agregada '!J22</f>
        <v>0</v>
      </c>
      <c r="K70" s="61">
        <f>SUMIFS('B1 - Matriz de custos diretos'!$G$3:$G$496,'B1 - Matriz de custos diretos'!$B$3:$B$496,$B45,'B1 - Matriz de custos diretos'!$C$3:$C$496,"Mão-de-obra")*'A3 - Demanda Anual Agregada '!K22</f>
        <v>0</v>
      </c>
      <c r="L70" s="61">
        <f>SUMIFS('B1 - Matriz de custos diretos'!$G$3:$G$496,'B1 - Matriz de custos diretos'!$B$3:$B$496,$B45,'B1 - Matriz de custos diretos'!$C$3:$C$496,"Mão-de-obra")*'A3 - Demanda Anual Agregada '!L22</f>
        <v>0</v>
      </c>
      <c r="M70" s="61">
        <f>SUMIFS('B1 - Matriz de custos diretos'!$G$3:$G$496,'B1 - Matriz de custos diretos'!$B$3:$B$496,$B45,'B1 - Matriz de custos diretos'!$C$3:$C$496,"Mão-de-obra")*'A3 - Demanda Anual Agregada '!M22</f>
        <v>0</v>
      </c>
      <c r="N70" s="61">
        <f>SUMIFS('B1 - Matriz de custos diretos'!$G$3:$G$496,'B1 - Matriz de custos diretos'!$B$3:$B$496,$B45,'B1 - Matriz de custos diretos'!$C$3:$C$496,"Mão-de-obra")*'A3 - Demanda Anual Agregada '!N22</f>
        <v>0</v>
      </c>
      <c r="O70" s="61">
        <f>SUMIFS('B1 - Matriz de custos diretos'!$G$3:$G$496,'B1 - Matriz de custos diretos'!$B$3:$B$496,$B45,'B1 - Matriz de custos diretos'!$C$3:$C$496,"Mão-de-obra")*'A3 - Demanda Anual Agregada '!O22</f>
        <v>0</v>
      </c>
      <c r="P70" s="61">
        <f>SUMIFS('B1 - Matriz de custos diretos'!$G$3:$G$496,'B1 - Matriz de custos diretos'!$B$3:$B$496,$B45,'B1 - Matriz de custos diretos'!$C$3:$C$496,"Mão-de-obra")*'A3 - Demanda Anual Agregada '!P22</f>
        <v>0</v>
      </c>
      <c r="Q70" s="61">
        <f>SUMIFS('B1 - Matriz de custos diretos'!$G$3:$G$496,'B1 - Matriz de custos diretos'!$B$3:$B$496,$B45,'B1 - Matriz de custos diretos'!$C$3:$C$496,"Mão-de-obra")*'A3 - Demanda Anual Agregada '!Q22</f>
        <v>0</v>
      </c>
      <c r="R70" s="61">
        <f>SUMIFS('B1 - Matriz de custos diretos'!$G$3:$G$496,'B1 - Matriz de custos diretos'!$B$3:$B$496,$B45,'B1 - Matriz de custos diretos'!$C$3:$C$496,"Mão-de-obra")*'A3 - Demanda Anual Agregada '!R22</f>
        <v>0</v>
      </c>
      <c r="S70" s="61">
        <f>SUMIFS('B1 - Matriz de custos diretos'!$G$3:$G$496,'B1 - Matriz de custos diretos'!$B$3:$B$496,$B45,'B1 - Matriz de custos diretos'!$C$3:$C$496,"Mão-de-obra")*'A3 - Demanda Anual Agregada '!S22</f>
        <v>0</v>
      </c>
      <c r="T70" s="61">
        <f>SUMIFS('B1 - Matriz de custos diretos'!$G$3:$G$496,'B1 - Matriz de custos diretos'!$B$3:$B$496,$B45,'B1 - Matriz de custos diretos'!$C$3:$C$496,"Mão-de-obra")*'A3 - Demanda Anual Agregada '!T22</f>
        <v>0</v>
      </c>
      <c r="U70" s="61">
        <f>SUMIFS('B1 - Matriz de custos diretos'!$G$3:$G$496,'B1 - Matriz de custos diretos'!$B$3:$B$496,$B45,'B1 - Matriz de custos diretos'!$C$3:$C$496,"Mão-de-obra")*'A3 - Demanda Anual Agregada '!U22</f>
        <v>0</v>
      </c>
      <c r="V70" s="61">
        <f>SUMIFS('B1 - Matriz de custos diretos'!$G$3:$G$496,'B1 - Matriz de custos diretos'!$B$3:$B$496,$B45,'B1 - Matriz de custos diretos'!$C$3:$C$496,"Mão-de-obra")*'A3 - Demanda Anual Agregada '!V22</f>
        <v>0</v>
      </c>
      <c r="W70" s="61">
        <f>SUMIFS('B1 - Matriz de custos diretos'!$G$3:$G$496,'B1 - Matriz de custos diretos'!$B$3:$B$496,$B45,'B1 - Matriz de custos diretos'!$C$3:$C$496,"Mão-de-obra")*'A3 - Demanda Anual Agregada '!W22</f>
        <v>0</v>
      </c>
      <c r="X70" s="61">
        <f>SUMIFS('B1 - Matriz de custos diretos'!$G$3:$G$496,'B1 - Matriz de custos diretos'!$B$3:$B$496,$B45,'B1 - Matriz de custos diretos'!$C$3:$C$496,"Mão-de-obra")*'A3 - Demanda Anual Agregada '!X22</f>
        <v>0</v>
      </c>
      <c r="Y70" s="61">
        <f>SUMIFS('B1 - Matriz de custos diretos'!$G$3:$G$496,'B1 - Matriz de custos diretos'!$B$3:$B$496,$B45,'B1 - Matriz de custos diretos'!$C$3:$C$496,"Mão-de-obra")*'A3 - Demanda Anual Agregada '!Y22</f>
        <v>0</v>
      </c>
      <c r="Z70" s="61">
        <f>SUMIFS('B1 - Matriz de custos diretos'!$G$3:$G$496,'B1 - Matriz de custos diretos'!$B$3:$B$496,$B45,'B1 - Matriz de custos diretos'!$C$3:$C$496,"Mão-de-obra")*'A3 - Demanda Anual Agregada '!Z22</f>
        <v>0</v>
      </c>
      <c r="AA70" s="61">
        <f>SUMIFS('B1 - Matriz de custos diretos'!$G$3:$G$496,'B1 - Matriz de custos diretos'!$B$3:$B$496,$B45,'B1 - Matriz de custos diretos'!$C$3:$C$496,"Mão-de-obra")*'A3 - Demanda Anual Agregada '!AA22</f>
        <v>0</v>
      </c>
      <c r="AB70" s="61">
        <f>SUMIFS('B1 - Matriz de custos diretos'!$G$3:$G$496,'B1 - Matriz de custos diretos'!$B$3:$B$496,$B45,'B1 - Matriz de custos diretos'!$C$3:$C$496,"Mão-de-obra")*'A3 - Demanda Anual Agregada '!AB22</f>
        <v>0</v>
      </c>
      <c r="AC70" s="61">
        <f>SUMIFS('B1 - Matriz de custos diretos'!$G$3:$G$496,'B1 - Matriz de custos diretos'!$B$3:$B$496,$B45,'B1 - Matriz de custos diretos'!$C$3:$C$496,"Mão-de-obra")*'A3 - Demanda Anual Agregada '!AC22</f>
        <v>0</v>
      </c>
      <c r="AD70" s="61">
        <f>SUMIFS('B1 - Matriz de custos diretos'!$G$3:$G$496,'B1 - Matriz de custos diretos'!$B$3:$B$496,$B45,'B1 - Matriz de custos diretos'!$C$3:$C$496,"Mão-de-obra")*'A3 - Demanda Anual Agregada '!AD22</f>
        <v>0</v>
      </c>
      <c r="AE70" s="61">
        <f>SUMIFS('B1 - Matriz de custos diretos'!$G$3:$G$496,'B1 - Matriz de custos diretos'!$B$3:$B$496,$B45,'B1 - Matriz de custos diretos'!$C$3:$C$496,"Mão-de-obra")*'A3 - Demanda Anual Agregada '!AE22</f>
        <v>0</v>
      </c>
      <c r="AF70" s="61">
        <f>SUMIFS('B1 - Matriz de custos diretos'!$G$3:$G$496,'B1 - Matriz de custos diretos'!$B$3:$B$496,$B45,'B1 - Matriz de custos diretos'!$C$3:$C$496,"Mão-de-obra")*'A3 - Demanda Anual Agregada '!AF22</f>
        <v>0</v>
      </c>
    </row>
    <row r="71" spans="1:32" ht="15.75" customHeight="1">
      <c r="A71" s="292"/>
      <c r="B71" s="60" t="str">
        <f>'A3 - Demanda Anual Agregada '!B23</f>
        <v>Lagoa Grande - Estacionamento</v>
      </c>
      <c r="C71" s="61">
        <f>SUMIFS('B1 - Matriz de custos diretos'!$G$3:$G$496,'B1 - Matriz de custos diretos'!$B$3:$B$496,$B46,'B1 - Matriz de custos diretos'!$C$3:$C$496,"Mão-de-obra")*'A3 - Demanda Anual Agregada '!C23</f>
        <v>0</v>
      </c>
      <c r="D71" s="61">
        <f>SUMIFS('B1 - Matriz de custos diretos'!$G$3:$G$496,'B1 - Matriz de custos diretos'!$B$3:$B$496,$B46,'B1 - Matriz de custos diretos'!$C$3:$C$496,"Mão-de-obra")*'A3 - Demanda Anual Agregada '!D23</f>
        <v>0</v>
      </c>
      <c r="E71" s="61">
        <f>SUMIFS('B1 - Matriz de custos diretos'!$G$3:$G$496,'B1 - Matriz de custos diretos'!$B$3:$B$496,$B46,'B1 - Matriz de custos diretos'!$C$3:$C$496,"Mão-de-obra")*'A3 - Demanda Anual Agregada '!E23</f>
        <v>0</v>
      </c>
      <c r="F71" s="61">
        <f>SUMIFS('B1 - Matriz de custos diretos'!$G$3:$G$496,'B1 - Matriz de custos diretos'!$B$3:$B$496,$B46,'B1 - Matriz de custos diretos'!$C$3:$C$496,"Mão-de-obra")*'A3 - Demanda Anual Agregada '!F23</f>
        <v>0</v>
      </c>
      <c r="G71" s="61">
        <f>SUMIFS('B1 - Matriz de custos diretos'!$G$3:$G$496,'B1 - Matriz de custos diretos'!$B$3:$B$496,$B46,'B1 - Matriz de custos diretos'!$C$3:$C$496,"Mão-de-obra")*'A3 - Demanda Anual Agregada '!G23</f>
        <v>0</v>
      </c>
      <c r="H71" s="61">
        <f>SUMIFS('B1 - Matriz de custos diretos'!$G$3:$G$496,'B1 - Matriz de custos diretos'!$B$3:$B$496,$B46,'B1 - Matriz de custos diretos'!$C$3:$C$496,"Mão-de-obra")*'A3 - Demanda Anual Agregada '!H23</f>
        <v>0</v>
      </c>
      <c r="I71" s="61">
        <f>SUMIFS('B1 - Matriz de custos diretos'!$G$3:$G$496,'B1 - Matriz de custos diretos'!$B$3:$B$496,$B46,'B1 - Matriz de custos diretos'!$C$3:$C$496,"Mão-de-obra")*'A3 - Demanda Anual Agregada '!I23</f>
        <v>0</v>
      </c>
      <c r="J71" s="61">
        <f>SUMIFS('B1 - Matriz de custos diretos'!$G$3:$G$496,'B1 - Matriz de custos diretos'!$B$3:$B$496,$B46,'B1 - Matriz de custos diretos'!$C$3:$C$496,"Mão-de-obra")*'A3 - Demanda Anual Agregada '!J23</f>
        <v>0</v>
      </c>
      <c r="K71" s="61">
        <f>SUMIFS('B1 - Matriz de custos diretos'!$G$3:$G$496,'B1 - Matriz de custos diretos'!$B$3:$B$496,$B46,'B1 - Matriz de custos diretos'!$C$3:$C$496,"Mão-de-obra")*'A3 - Demanda Anual Agregada '!K23</f>
        <v>0</v>
      </c>
      <c r="L71" s="61">
        <f>SUMIFS('B1 - Matriz de custos diretos'!$G$3:$G$496,'B1 - Matriz de custos diretos'!$B$3:$B$496,$B46,'B1 - Matriz de custos diretos'!$C$3:$C$496,"Mão-de-obra")*'A3 - Demanda Anual Agregada '!L23</f>
        <v>0</v>
      </c>
      <c r="M71" s="61">
        <f>SUMIFS('B1 - Matriz de custos diretos'!$G$3:$G$496,'B1 - Matriz de custos diretos'!$B$3:$B$496,$B46,'B1 - Matriz de custos diretos'!$C$3:$C$496,"Mão-de-obra")*'A3 - Demanda Anual Agregada '!M23</f>
        <v>0</v>
      </c>
      <c r="N71" s="61">
        <f>SUMIFS('B1 - Matriz de custos diretos'!$G$3:$G$496,'B1 - Matriz de custos diretos'!$B$3:$B$496,$B46,'B1 - Matriz de custos diretos'!$C$3:$C$496,"Mão-de-obra")*'A3 - Demanda Anual Agregada '!N23</f>
        <v>0</v>
      </c>
      <c r="O71" s="61">
        <f>SUMIFS('B1 - Matriz de custos diretos'!$G$3:$G$496,'B1 - Matriz de custos diretos'!$B$3:$B$496,$B46,'B1 - Matriz de custos diretos'!$C$3:$C$496,"Mão-de-obra")*'A3 - Demanda Anual Agregada '!O23</f>
        <v>0</v>
      </c>
      <c r="P71" s="61">
        <f>SUMIFS('B1 - Matriz de custos diretos'!$G$3:$G$496,'B1 - Matriz de custos diretos'!$B$3:$B$496,$B46,'B1 - Matriz de custos diretos'!$C$3:$C$496,"Mão-de-obra")*'A3 - Demanda Anual Agregada '!P23</f>
        <v>0</v>
      </c>
      <c r="Q71" s="61">
        <f>SUMIFS('B1 - Matriz de custos diretos'!$G$3:$G$496,'B1 - Matriz de custos diretos'!$B$3:$B$496,$B46,'B1 - Matriz de custos diretos'!$C$3:$C$496,"Mão-de-obra")*'A3 - Demanda Anual Agregada '!Q23</f>
        <v>0</v>
      </c>
      <c r="R71" s="61">
        <f>SUMIFS('B1 - Matriz de custos diretos'!$G$3:$G$496,'B1 - Matriz de custos diretos'!$B$3:$B$496,$B46,'B1 - Matriz de custos diretos'!$C$3:$C$496,"Mão-de-obra")*'A3 - Demanda Anual Agregada '!R23</f>
        <v>0</v>
      </c>
      <c r="S71" s="61">
        <f>SUMIFS('B1 - Matriz de custos diretos'!$G$3:$G$496,'B1 - Matriz de custos diretos'!$B$3:$B$496,$B46,'B1 - Matriz de custos diretos'!$C$3:$C$496,"Mão-de-obra")*'A3 - Demanda Anual Agregada '!S23</f>
        <v>0</v>
      </c>
      <c r="T71" s="61">
        <f>SUMIFS('B1 - Matriz de custos diretos'!$G$3:$G$496,'B1 - Matriz de custos diretos'!$B$3:$B$496,$B46,'B1 - Matriz de custos diretos'!$C$3:$C$496,"Mão-de-obra")*'A3 - Demanda Anual Agregada '!T23</f>
        <v>0</v>
      </c>
      <c r="U71" s="61">
        <f>SUMIFS('B1 - Matriz de custos diretos'!$G$3:$G$496,'B1 - Matriz de custos diretos'!$B$3:$B$496,$B46,'B1 - Matriz de custos diretos'!$C$3:$C$496,"Mão-de-obra")*'A3 - Demanda Anual Agregada '!U23</f>
        <v>0</v>
      </c>
      <c r="V71" s="61">
        <f>SUMIFS('B1 - Matriz de custos diretos'!$G$3:$G$496,'B1 - Matriz de custos diretos'!$B$3:$B$496,$B46,'B1 - Matriz de custos diretos'!$C$3:$C$496,"Mão-de-obra")*'A3 - Demanda Anual Agregada '!V23</f>
        <v>0</v>
      </c>
      <c r="W71" s="61">
        <f>SUMIFS('B1 - Matriz de custos diretos'!$G$3:$G$496,'B1 - Matriz de custos diretos'!$B$3:$B$496,$B46,'B1 - Matriz de custos diretos'!$C$3:$C$496,"Mão-de-obra")*'A3 - Demanda Anual Agregada '!W23</f>
        <v>0</v>
      </c>
      <c r="X71" s="61">
        <f>SUMIFS('B1 - Matriz de custos diretos'!$G$3:$G$496,'B1 - Matriz de custos diretos'!$B$3:$B$496,$B46,'B1 - Matriz de custos diretos'!$C$3:$C$496,"Mão-de-obra")*'A3 - Demanda Anual Agregada '!X23</f>
        <v>0</v>
      </c>
      <c r="Y71" s="61">
        <f>SUMIFS('B1 - Matriz de custos diretos'!$G$3:$G$496,'B1 - Matriz de custos diretos'!$B$3:$B$496,$B46,'B1 - Matriz de custos diretos'!$C$3:$C$496,"Mão-de-obra")*'A3 - Demanda Anual Agregada '!Y23</f>
        <v>0</v>
      </c>
      <c r="Z71" s="61">
        <f>SUMIFS('B1 - Matriz de custos diretos'!$G$3:$G$496,'B1 - Matriz de custos diretos'!$B$3:$B$496,$B46,'B1 - Matriz de custos diretos'!$C$3:$C$496,"Mão-de-obra")*'A3 - Demanda Anual Agregada '!Z23</f>
        <v>0</v>
      </c>
      <c r="AA71" s="61">
        <f>SUMIFS('B1 - Matriz de custos diretos'!$G$3:$G$496,'B1 - Matriz de custos diretos'!$B$3:$B$496,$B46,'B1 - Matriz de custos diretos'!$C$3:$C$496,"Mão-de-obra")*'A3 - Demanda Anual Agregada '!AA23</f>
        <v>0</v>
      </c>
      <c r="AB71" s="61">
        <f>SUMIFS('B1 - Matriz de custos diretos'!$G$3:$G$496,'B1 - Matriz de custos diretos'!$B$3:$B$496,$B46,'B1 - Matriz de custos diretos'!$C$3:$C$496,"Mão-de-obra")*'A3 - Demanda Anual Agregada '!AB23</f>
        <v>0</v>
      </c>
      <c r="AC71" s="61">
        <f>SUMIFS('B1 - Matriz de custos diretos'!$G$3:$G$496,'B1 - Matriz de custos diretos'!$B$3:$B$496,$B46,'B1 - Matriz de custos diretos'!$C$3:$C$496,"Mão-de-obra")*'A3 - Demanda Anual Agregada '!AC23</f>
        <v>0</v>
      </c>
      <c r="AD71" s="61">
        <f>SUMIFS('B1 - Matriz de custos diretos'!$G$3:$G$496,'B1 - Matriz de custos diretos'!$B$3:$B$496,$B46,'B1 - Matriz de custos diretos'!$C$3:$C$496,"Mão-de-obra")*'A3 - Demanda Anual Agregada '!AD23</f>
        <v>0</v>
      </c>
      <c r="AE71" s="61">
        <f>SUMIFS('B1 - Matriz de custos diretos'!$G$3:$G$496,'B1 - Matriz de custos diretos'!$B$3:$B$496,$B46,'B1 - Matriz de custos diretos'!$C$3:$C$496,"Mão-de-obra")*'A3 - Demanda Anual Agregada '!AE23</f>
        <v>0</v>
      </c>
      <c r="AF71" s="61">
        <f>SUMIFS('B1 - Matriz de custos diretos'!$G$3:$G$496,'B1 - Matriz de custos diretos'!$B$3:$B$496,$B46,'B1 - Matriz de custos diretos'!$C$3:$C$496,"Mão-de-obra")*'A3 - Demanda Anual Agregada '!AF23</f>
        <v>0</v>
      </c>
    </row>
    <row r="72" spans="1:32" ht="15.75" customHeight="1">
      <c r="A72" s="292"/>
      <c r="B72" s="60" t="str">
        <f>'A3 - Demanda Anual Agregada '!B24</f>
        <v/>
      </c>
      <c r="C72" s="61">
        <f>SUMIFS('B1 - Matriz de custos diretos'!$G$3:$G$496,'B1 - Matriz de custos diretos'!$B$3:$B$496,$B47,'B1 - Matriz de custos diretos'!$C$3:$C$496,"Mão-de-obra")*'A3 - Demanda Anual Agregada '!C24</f>
        <v>0</v>
      </c>
      <c r="D72" s="61">
        <f>SUMIFS('B1 - Matriz de custos diretos'!$G$3:$G$496,'B1 - Matriz de custos diretos'!$B$3:$B$496,$B47,'B1 - Matriz de custos diretos'!$C$3:$C$496,"Mão-de-obra")*'A3 - Demanda Anual Agregada '!D24</f>
        <v>0</v>
      </c>
      <c r="E72" s="61">
        <f>SUMIFS('B1 - Matriz de custos diretos'!$G$3:$G$496,'B1 - Matriz de custos diretos'!$B$3:$B$496,$B47,'B1 - Matriz de custos diretos'!$C$3:$C$496,"Mão-de-obra")*'A3 - Demanda Anual Agregada '!E24</f>
        <v>0</v>
      </c>
      <c r="F72" s="61">
        <f>SUMIFS('B1 - Matriz de custos diretos'!$G$3:$G$496,'B1 - Matriz de custos diretos'!$B$3:$B$496,$B47,'B1 - Matriz de custos diretos'!$C$3:$C$496,"Mão-de-obra")*'A3 - Demanda Anual Agregada '!F24</f>
        <v>0</v>
      </c>
      <c r="G72" s="61">
        <f>SUMIFS('B1 - Matriz de custos diretos'!$G$3:$G$496,'B1 - Matriz de custos diretos'!$B$3:$B$496,$B47,'B1 - Matriz de custos diretos'!$C$3:$C$496,"Mão-de-obra")*'A3 - Demanda Anual Agregada '!G24</f>
        <v>0</v>
      </c>
      <c r="H72" s="61">
        <f>SUMIFS('B1 - Matriz de custos diretos'!$G$3:$G$496,'B1 - Matriz de custos diretos'!$B$3:$B$496,$B47,'B1 - Matriz de custos diretos'!$C$3:$C$496,"Mão-de-obra")*'A3 - Demanda Anual Agregada '!H24</f>
        <v>0</v>
      </c>
      <c r="I72" s="61">
        <f>SUMIFS('B1 - Matriz de custos diretos'!$G$3:$G$496,'B1 - Matriz de custos diretos'!$B$3:$B$496,$B47,'B1 - Matriz de custos diretos'!$C$3:$C$496,"Mão-de-obra")*'A3 - Demanda Anual Agregada '!I24</f>
        <v>0</v>
      </c>
      <c r="J72" s="61">
        <f>SUMIFS('B1 - Matriz de custos diretos'!$G$3:$G$496,'B1 - Matriz de custos diretos'!$B$3:$B$496,$B47,'B1 - Matriz de custos diretos'!$C$3:$C$496,"Mão-de-obra")*'A3 - Demanda Anual Agregada '!J24</f>
        <v>0</v>
      </c>
      <c r="K72" s="61">
        <f>SUMIFS('B1 - Matriz de custos diretos'!$G$3:$G$496,'B1 - Matriz de custos diretos'!$B$3:$B$496,$B47,'B1 - Matriz de custos diretos'!$C$3:$C$496,"Mão-de-obra")*'A3 - Demanda Anual Agregada '!K24</f>
        <v>0</v>
      </c>
      <c r="L72" s="61">
        <f>SUMIFS('B1 - Matriz de custos diretos'!$G$3:$G$496,'B1 - Matriz de custos diretos'!$B$3:$B$496,$B47,'B1 - Matriz de custos diretos'!$C$3:$C$496,"Mão-de-obra")*'A3 - Demanda Anual Agregada '!L24</f>
        <v>0</v>
      </c>
      <c r="M72" s="61">
        <f>SUMIFS('B1 - Matriz de custos diretos'!$G$3:$G$496,'B1 - Matriz de custos diretos'!$B$3:$B$496,$B47,'B1 - Matriz de custos diretos'!$C$3:$C$496,"Mão-de-obra")*'A3 - Demanda Anual Agregada '!M24</f>
        <v>0</v>
      </c>
      <c r="N72" s="61">
        <f>SUMIFS('B1 - Matriz de custos diretos'!$G$3:$G$496,'B1 - Matriz de custos diretos'!$B$3:$B$496,$B47,'B1 - Matriz de custos diretos'!$C$3:$C$496,"Mão-de-obra")*'A3 - Demanda Anual Agregada '!N24</f>
        <v>0</v>
      </c>
      <c r="O72" s="61">
        <f>SUMIFS('B1 - Matriz de custos diretos'!$G$3:$G$496,'B1 - Matriz de custos diretos'!$B$3:$B$496,$B47,'B1 - Matriz de custos diretos'!$C$3:$C$496,"Mão-de-obra")*'A3 - Demanda Anual Agregada '!O24</f>
        <v>0</v>
      </c>
      <c r="P72" s="61">
        <f>SUMIFS('B1 - Matriz de custos diretos'!$G$3:$G$496,'B1 - Matriz de custos diretos'!$B$3:$B$496,$B47,'B1 - Matriz de custos diretos'!$C$3:$C$496,"Mão-de-obra")*'A3 - Demanda Anual Agregada '!P24</f>
        <v>0</v>
      </c>
      <c r="Q72" s="61">
        <f>SUMIFS('B1 - Matriz de custos diretos'!$G$3:$G$496,'B1 - Matriz de custos diretos'!$B$3:$B$496,$B47,'B1 - Matriz de custos diretos'!$C$3:$C$496,"Mão-de-obra")*'A3 - Demanda Anual Agregada '!Q24</f>
        <v>0</v>
      </c>
      <c r="R72" s="61">
        <f>SUMIFS('B1 - Matriz de custos diretos'!$G$3:$G$496,'B1 - Matriz de custos diretos'!$B$3:$B$496,$B47,'B1 - Matriz de custos diretos'!$C$3:$C$496,"Mão-de-obra")*'A3 - Demanda Anual Agregada '!R24</f>
        <v>0</v>
      </c>
      <c r="S72" s="61">
        <f>SUMIFS('B1 - Matriz de custos diretos'!$G$3:$G$496,'B1 - Matriz de custos diretos'!$B$3:$B$496,$B47,'B1 - Matriz de custos diretos'!$C$3:$C$496,"Mão-de-obra")*'A3 - Demanda Anual Agregada '!S24</f>
        <v>0</v>
      </c>
      <c r="T72" s="61">
        <f>SUMIFS('B1 - Matriz de custos diretos'!$G$3:$G$496,'B1 - Matriz de custos diretos'!$B$3:$B$496,$B47,'B1 - Matriz de custos diretos'!$C$3:$C$496,"Mão-de-obra")*'A3 - Demanda Anual Agregada '!T24</f>
        <v>0</v>
      </c>
      <c r="U72" s="61">
        <f>SUMIFS('B1 - Matriz de custos diretos'!$G$3:$G$496,'B1 - Matriz de custos diretos'!$B$3:$B$496,$B47,'B1 - Matriz de custos diretos'!$C$3:$C$496,"Mão-de-obra")*'A3 - Demanda Anual Agregada '!U24</f>
        <v>0</v>
      </c>
      <c r="V72" s="61">
        <f>SUMIFS('B1 - Matriz de custos diretos'!$G$3:$G$496,'B1 - Matriz de custos diretos'!$B$3:$B$496,$B47,'B1 - Matriz de custos diretos'!$C$3:$C$496,"Mão-de-obra")*'A3 - Demanda Anual Agregada '!V24</f>
        <v>0</v>
      </c>
      <c r="W72" s="61">
        <f>SUMIFS('B1 - Matriz de custos diretos'!$G$3:$G$496,'B1 - Matriz de custos diretos'!$B$3:$B$496,$B47,'B1 - Matriz de custos diretos'!$C$3:$C$496,"Mão-de-obra")*'A3 - Demanda Anual Agregada '!W24</f>
        <v>0</v>
      </c>
      <c r="X72" s="61">
        <f>SUMIFS('B1 - Matriz de custos diretos'!$G$3:$G$496,'B1 - Matriz de custos diretos'!$B$3:$B$496,$B47,'B1 - Matriz de custos diretos'!$C$3:$C$496,"Mão-de-obra")*'A3 - Demanda Anual Agregada '!X24</f>
        <v>0</v>
      </c>
      <c r="Y72" s="61">
        <f>SUMIFS('B1 - Matriz de custos diretos'!$G$3:$G$496,'B1 - Matriz de custos diretos'!$B$3:$B$496,$B47,'B1 - Matriz de custos diretos'!$C$3:$C$496,"Mão-de-obra")*'A3 - Demanda Anual Agregada '!Y24</f>
        <v>0</v>
      </c>
      <c r="Z72" s="61">
        <f>SUMIFS('B1 - Matriz de custos diretos'!$G$3:$G$496,'B1 - Matriz de custos diretos'!$B$3:$B$496,$B47,'B1 - Matriz de custos diretos'!$C$3:$C$496,"Mão-de-obra")*'A3 - Demanda Anual Agregada '!Z24</f>
        <v>0</v>
      </c>
      <c r="AA72" s="61">
        <f>SUMIFS('B1 - Matriz de custos diretos'!$G$3:$G$496,'B1 - Matriz de custos diretos'!$B$3:$B$496,$B47,'B1 - Matriz de custos diretos'!$C$3:$C$496,"Mão-de-obra")*'A3 - Demanda Anual Agregada '!AA24</f>
        <v>0</v>
      </c>
      <c r="AB72" s="61">
        <f>SUMIFS('B1 - Matriz de custos diretos'!$G$3:$G$496,'B1 - Matriz de custos diretos'!$B$3:$B$496,$B47,'B1 - Matriz de custos diretos'!$C$3:$C$496,"Mão-de-obra")*'A3 - Demanda Anual Agregada '!AB24</f>
        <v>0</v>
      </c>
      <c r="AC72" s="61">
        <f>SUMIFS('B1 - Matriz de custos diretos'!$G$3:$G$496,'B1 - Matriz de custos diretos'!$B$3:$B$496,$B47,'B1 - Matriz de custos diretos'!$C$3:$C$496,"Mão-de-obra")*'A3 - Demanda Anual Agregada '!AC24</f>
        <v>0</v>
      </c>
      <c r="AD72" s="61">
        <f>SUMIFS('B1 - Matriz de custos diretos'!$G$3:$G$496,'B1 - Matriz de custos diretos'!$B$3:$B$496,$B47,'B1 - Matriz de custos diretos'!$C$3:$C$496,"Mão-de-obra")*'A3 - Demanda Anual Agregada '!AD24</f>
        <v>0</v>
      </c>
      <c r="AE72" s="61">
        <f>SUMIFS('B1 - Matriz de custos diretos'!$G$3:$G$496,'B1 - Matriz de custos diretos'!$B$3:$B$496,$B47,'B1 - Matriz de custos diretos'!$C$3:$C$496,"Mão-de-obra")*'A3 - Demanda Anual Agregada '!AE24</f>
        <v>0</v>
      </c>
      <c r="AF72" s="61">
        <f>SUMIFS('B1 - Matriz de custos diretos'!$G$3:$G$496,'B1 - Matriz de custos diretos'!$B$3:$B$496,$B47,'B1 - Matriz de custos diretos'!$C$3:$C$496,"Mão-de-obra")*'A3 - Demanda Anual Agregada '!AF24</f>
        <v>0</v>
      </c>
    </row>
    <row r="73" spans="1:32" ht="15.75" customHeight="1">
      <c r="A73" s="292"/>
      <c r="B73" s="60" t="str">
        <f>'A3 - Demanda Anual Agregada '!B25</f>
        <v/>
      </c>
      <c r="C73" s="61">
        <f>SUMIFS('B1 - Matriz de custos diretos'!$G$3:$G$496,'B1 - Matriz de custos diretos'!$B$3:$B$496,$B48,'B1 - Matriz de custos diretos'!$C$3:$C$496,"Mão-de-obra")*'A3 - Demanda Anual Agregada '!C25</f>
        <v>0</v>
      </c>
      <c r="D73" s="61">
        <f>SUMIFS('B1 - Matriz de custos diretos'!$G$3:$G$496,'B1 - Matriz de custos diretos'!$B$3:$B$496,$B48,'B1 - Matriz de custos diretos'!$C$3:$C$496,"Mão-de-obra")*'A3 - Demanda Anual Agregada '!D25</f>
        <v>0</v>
      </c>
      <c r="E73" s="61">
        <f>SUMIFS('B1 - Matriz de custos diretos'!$G$3:$G$496,'B1 - Matriz de custos diretos'!$B$3:$B$496,$B48,'B1 - Matriz de custos diretos'!$C$3:$C$496,"Mão-de-obra")*'A3 - Demanda Anual Agregada '!E25</f>
        <v>0</v>
      </c>
      <c r="F73" s="61">
        <f>SUMIFS('B1 - Matriz de custos diretos'!$G$3:$G$496,'B1 - Matriz de custos diretos'!$B$3:$B$496,$B48,'B1 - Matriz de custos diretos'!$C$3:$C$496,"Mão-de-obra")*'A3 - Demanda Anual Agregada '!F25</f>
        <v>0</v>
      </c>
      <c r="G73" s="61">
        <f>SUMIFS('B1 - Matriz de custos diretos'!$G$3:$G$496,'B1 - Matriz de custos diretos'!$B$3:$B$496,$B48,'B1 - Matriz de custos diretos'!$C$3:$C$496,"Mão-de-obra")*'A3 - Demanda Anual Agregada '!G25</f>
        <v>0</v>
      </c>
      <c r="H73" s="61">
        <f>SUMIFS('B1 - Matriz de custos diretos'!$G$3:$G$496,'B1 - Matriz de custos diretos'!$B$3:$B$496,$B48,'B1 - Matriz de custos diretos'!$C$3:$C$496,"Mão-de-obra")*'A3 - Demanda Anual Agregada '!H25</f>
        <v>0</v>
      </c>
      <c r="I73" s="61">
        <f>SUMIFS('B1 - Matriz de custos diretos'!$G$3:$G$496,'B1 - Matriz de custos diretos'!$B$3:$B$496,$B48,'B1 - Matriz de custos diretos'!$C$3:$C$496,"Mão-de-obra")*'A3 - Demanda Anual Agregada '!I25</f>
        <v>0</v>
      </c>
      <c r="J73" s="61">
        <f>SUMIFS('B1 - Matriz de custos diretos'!$G$3:$G$496,'B1 - Matriz de custos diretos'!$B$3:$B$496,$B48,'B1 - Matriz de custos diretos'!$C$3:$C$496,"Mão-de-obra")*'A3 - Demanda Anual Agregada '!J25</f>
        <v>0</v>
      </c>
      <c r="K73" s="61">
        <f>SUMIFS('B1 - Matriz de custos diretos'!$G$3:$G$496,'B1 - Matriz de custos diretos'!$B$3:$B$496,$B48,'B1 - Matriz de custos diretos'!$C$3:$C$496,"Mão-de-obra")*'A3 - Demanda Anual Agregada '!K25</f>
        <v>0</v>
      </c>
      <c r="L73" s="61">
        <f>SUMIFS('B1 - Matriz de custos diretos'!$G$3:$G$496,'B1 - Matriz de custos diretos'!$B$3:$B$496,$B48,'B1 - Matriz de custos diretos'!$C$3:$C$496,"Mão-de-obra")*'A3 - Demanda Anual Agregada '!L25</f>
        <v>0</v>
      </c>
      <c r="M73" s="61">
        <f>SUMIFS('B1 - Matriz de custos diretos'!$G$3:$G$496,'B1 - Matriz de custos diretos'!$B$3:$B$496,$B48,'B1 - Matriz de custos diretos'!$C$3:$C$496,"Mão-de-obra")*'A3 - Demanda Anual Agregada '!M25</f>
        <v>0</v>
      </c>
      <c r="N73" s="61">
        <f>SUMIFS('B1 - Matriz de custos diretos'!$G$3:$G$496,'B1 - Matriz de custos diretos'!$B$3:$B$496,$B48,'B1 - Matriz de custos diretos'!$C$3:$C$496,"Mão-de-obra")*'A3 - Demanda Anual Agregada '!N25</f>
        <v>0</v>
      </c>
      <c r="O73" s="61">
        <f>SUMIFS('B1 - Matriz de custos diretos'!$G$3:$G$496,'B1 - Matriz de custos diretos'!$B$3:$B$496,$B48,'B1 - Matriz de custos diretos'!$C$3:$C$496,"Mão-de-obra")*'A3 - Demanda Anual Agregada '!O25</f>
        <v>0</v>
      </c>
      <c r="P73" s="61">
        <f>SUMIFS('B1 - Matriz de custos diretos'!$G$3:$G$496,'B1 - Matriz de custos diretos'!$B$3:$B$496,$B48,'B1 - Matriz de custos diretos'!$C$3:$C$496,"Mão-de-obra")*'A3 - Demanda Anual Agregada '!P25</f>
        <v>0</v>
      </c>
      <c r="Q73" s="61">
        <f>SUMIFS('B1 - Matriz de custos diretos'!$G$3:$G$496,'B1 - Matriz de custos diretos'!$B$3:$B$496,$B48,'B1 - Matriz de custos diretos'!$C$3:$C$496,"Mão-de-obra")*'A3 - Demanda Anual Agregada '!Q25</f>
        <v>0</v>
      </c>
      <c r="R73" s="61">
        <f>SUMIFS('B1 - Matriz de custos diretos'!$G$3:$G$496,'B1 - Matriz de custos diretos'!$B$3:$B$496,$B48,'B1 - Matriz de custos diretos'!$C$3:$C$496,"Mão-de-obra")*'A3 - Demanda Anual Agregada '!R25</f>
        <v>0</v>
      </c>
      <c r="S73" s="61">
        <f>SUMIFS('B1 - Matriz de custos diretos'!$G$3:$G$496,'B1 - Matriz de custos diretos'!$B$3:$B$496,$B48,'B1 - Matriz de custos diretos'!$C$3:$C$496,"Mão-de-obra")*'A3 - Demanda Anual Agregada '!S25</f>
        <v>0</v>
      </c>
      <c r="T73" s="61">
        <f>SUMIFS('B1 - Matriz de custos diretos'!$G$3:$G$496,'B1 - Matriz de custos diretos'!$B$3:$B$496,$B48,'B1 - Matriz de custos diretos'!$C$3:$C$496,"Mão-de-obra")*'A3 - Demanda Anual Agregada '!T25</f>
        <v>0</v>
      </c>
      <c r="U73" s="61">
        <f>SUMIFS('B1 - Matriz de custos diretos'!$G$3:$G$496,'B1 - Matriz de custos diretos'!$B$3:$B$496,$B48,'B1 - Matriz de custos diretos'!$C$3:$C$496,"Mão-de-obra")*'A3 - Demanda Anual Agregada '!U25</f>
        <v>0</v>
      </c>
      <c r="V73" s="61">
        <f>SUMIFS('B1 - Matriz de custos diretos'!$G$3:$G$496,'B1 - Matriz de custos diretos'!$B$3:$B$496,$B48,'B1 - Matriz de custos diretos'!$C$3:$C$496,"Mão-de-obra")*'A3 - Demanda Anual Agregada '!V25</f>
        <v>0</v>
      </c>
      <c r="W73" s="61">
        <f>SUMIFS('B1 - Matriz de custos diretos'!$G$3:$G$496,'B1 - Matriz de custos diretos'!$B$3:$B$496,$B48,'B1 - Matriz de custos diretos'!$C$3:$C$496,"Mão-de-obra")*'A3 - Demanda Anual Agregada '!W25</f>
        <v>0</v>
      </c>
      <c r="X73" s="61">
        <f>SUMIFS('B1 - Matriz de custos diretos'!$G$3:$G$496,'B1 - Matriz de custos diretos'!$B$3:$B$496,$B48,'B1 - Matriz de custos diretos'!$C$3:$C$496,"Mão-de-obra")*'A3 - Demanda Anual Agregada '!X25</f>
        <v>0</v>
      </c>
      <c r="Y73" s="61">
        <f>SUMIFS('B1 - Matriz de custos diretos'!$G$3:$G$496,'B1 - Matriz de custos diretos'!$B$3:$B$496,$B48,'B1 - Matriz de custos diretos'!$C$3:$C$496,"Mão-de-obra")*'A3 - Demanda Anual Agregada '!Y25</f>
        <v>0</v>
      </c>
      <c r="Z73" s="61">
        <f>SUMIFS('B1 - Matriz de custos diretos'!$G$3:$G$496,'B1 - Matriz de custos diretos'!$B$3:$B$496,$B48,'B1 - Matriz de custos diretos'!$C$3:$C$496,"Mão-de-obra")*'A3 - Demanda Anual Agregada '!Z25</f>
        <v>0</v>
      </c>
      <c r="AA73" s="61">
        <f>SUMIFS('B1 - Matriz de custos diretos'!$G$3:$G$496,'B1 - Matriz de custos diretos'!$B$3:$B$496,$B48,'B1 - Matriz de custos diretos'!$C$3:$C$496,"Mão-de-obra")*'A3 - Demanda Anual Agregada '!AA25</f>
        <v>0</v>
      </c>
      <c r="AB73" s="61">
        <f>SUMIFS('B1 - Matriz de custos diretos'!$G$3:$G$496,'B1 - Matriz de custos diretos'!$B$3:$B$496,$B48,'B1 - Matriz de custos diretos'!$C$3:$C$496,"Mão-de-obra")*'A3 - Demanda Anual Agregada '!AB25</f>
        <v>0</v>
      </c>
      <c r="AC73" s="61">
        <f>SUMIFS('B1 - Matriz de custos diretos'!$G$3:$G$496,'B1 - Matriz de custos diretos'!$B$3:$B$496,$B48,'B1 - Matriz de custos diretos'!$C$3:$C$496,"Mão-de-obra")*'A3 - Demanda Anual Agregada '!AC25</f>
        <v>0</v>
      </c>
      <c r="AD73" s="61">
        <f>SUMIFS('B1 - Matriz de custos diretos'!$G$3:$G$496,'B1 - Matriz de custos diretos'!$B$3:$B$496,$B48,'B1 - Matriz de custos diretos'!$C$3:$C$496,"Mão-de-obra")*'A3 - Demanda Anual Agregada '!AD25</f>
        <v>0</v>
      </c>
      <c r="AE73" s="61">
        <f>SUMIFS('B1 - Matriz de custos diretos'!$G$3:$G$496,'B1 - Matriz de custos diretos'!$B$3:$B$496,$B48,'B1 - Matriz de custos diretos'!$C$3:$C$496,"Mão-de-obra")*'A3 - Demanda Anual Agregada '!AE25</f>
        <v>0</v>
      </c>
      <c r="AF73" s="61">
        <f>SUMIFS('B1 - Matriz de custos diretos'!$G$3:$G$496,'B1 - Matriz de custos diretos'!$B$3:$B$496,$B48,'B1 - Matriz de custos diretos'!$C$3:$C$496,"Mão-de-obra")*'A3 - Demanda Anual Agregada '!AF25</f>
        <v>0</v>
      </c>
    </row>
    <row r="74" spans="1:32" ht="21.75" customHeight="1">
      <c r="A74" s="292"/>
      <c r="B74" s="464" t="s">
        <v>52</v>
      </c>
      <c r="C74" s="547">
        <f t="shared" ref="C74:AF74" si="2">SUM(C54:C73)</f>
        <v>0</v>
      </c>
      <c r="D74" s="547">
        <f t="shared" si="2"/>
        <v>0</v>
      </c>
      <c r="E74" s="547">
        <f t="shared" si="2"/>
        <v>0</v>
      </c>
      <c r="F74" s="547">
        <f t="shared" si="2"/>
        <v>0</v>
      </c>
      <c r="G74" s="547">
        <f t="shared" si="2"/>
        <v>0</v>
      </c>
      <c r="H74" s="547">
        <f t="shared" si="2"/>
        <v>0</v>
      </c>
      <c r="I74" s="547">
        <f t="shared" si="2"/>
        <v>0</v>
      </c>
      <c r="J74" s="547">
        <f t="shared" si="2"/>
        <v>0</v>
      </c>
      <c r="K74" s="547">
        <f t="shared" si="2"/>
        <v>0</v>
      </c>
      <c r="L74" s="547">
        <f t="shared" si="2"/>
        <v>0</v>
      </c>
      <c r="M74" s="547">
        <f t="shared" si="2"/>
        <v>0</v>
      </c>
      <c r="N74" s="547">
        <f t="shared" si="2"/>
        <v>0</v>
      </c>
      <c r="O74" s="547">
        <f t="shared" si="2"/>
        <v>0</v>
      </c>
      <c r="P74" s="547">
        <f t="shared" si="2"/>
        <v>0</v>
      </c>
      <c r="Q74" s="547">
        <f t="shared" si="2"/>
        <v>0</v>
      </c>
      <c r="R74" s="547">
        <f t="shared" si="2"/>
        <v>0</v>
      </c>
      <c r="S74" s="547">
        <f t="shared" si="2"/>
        <v>0</v>
      </c>
      <c r="T74" s="547">
        <f t="shared" si="2"/>
        <v>0</v>
      </c>
      <c r="U74" s="547">
        <f t="shared" si="2"/>
        <v>0</v>
      </c>
      <c r="V74" s="547">
        <f t="shared" si="2"/>
        <v>0</v>
      </c>
      <c r="W74" s="547">
        <f t="shared" si="2"/>
        <v>0</v>
      </c>
      <c r="X74" s="547">
        <f t="shared" si="2"/>
        <v>0</v>
      </c>
      <c r="Y74" s="547">
        <f t="shared" si="2"/>
        <v>0</v>
      </c>
      <c r="Z74" s="547">
        <f t="shared" si="2"/>
        <v>0</v>
      </c>
      <c r="AA74" s="547">
        <f t="shared" si="2"/>
        <v>0</v>
      </c>
      <c r="AB74" s="547">
        <f t="shared" si="2"/>
        <v>0</v>
      </c>
      <c r="AC74" s="547">
        <f t="shared" si="2"/>
        <v>0</v>
      </c>
      <c r="AD74" s="547">
        <f t="shared" si="2"/>
        <v>0</v>
      </c>
      <c r="AE74" s="547">
        <f t="shared" si="2"/>
        <v>0</v>
      </c>
      <c r="AF74" s="547">
        <f t="shared" si="2"/>
        <v>0</v>
      </c>
    </row>
    <row r="75" spans="1:32" ht="15.75" customHeight="1">
      <c r="A75" s="292"/>
      <c r="B75" s="292"/>
      <c r="C75" s="292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</row>
    <row r="76" spans="1:32" ht="15.75" customHeight="1">
      <c r="A76" s="292"/>
      <c r="B76" s="538" t="s">
        <v>184</v>
      </c>
      <c r="C76" s="292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</row>
    <row r="77" spans="1:32" ht="15.75" customHeight="1">
      <c r="A77" s="292"/>
      <c r="B77" s="769" t="s">
        <v>146</v>
      </c>
      <c r="C77" s="770" t="s">
        <v>147</v>
      </c>
      <c r="D77" s="817"/>
      <c r="E77" s="817"/>
      <c r="F77" s="817"/>
      <c r="G77" s="817"/>
      <c r="H77" s="817"/>
      <c r="I77" s="817"/>
      <c r="J77" s="817"/>
      <c r="K77" s="817"/>
      <c r="L77" s="817"/>
      <c r="M77" s="817"/>
      <c r="N77" s="817"/>
      <c r="O77" s="817"/>
      <c r="P77" s="817"/>
      <c r="Q77" s="817"/>
      <c r="R77" s="817"/>
      <c r="S77" s="817"/>
      <c r="T77" s="817"/>
      <c r="U77" s="817"/>
      <c r="V77" s="817"/>
      <c r="W77" s="817"/>
      <c r="X77" s="817"/>
      <c r="Y77" s="817"/>
      <c r="Z77" s="817"/>
      <c r="AA77" s="817"/>
      <c r="AB77" s="817"/>
      <c r="AC77" s="817"/>
      <c r="AD77" s="817"/>
      <c r="AE77" s="817"/>
      <c r="AF77" s="818"/>
    </row>
    <row r="78" spans="1:32" ht="15.75" customHeight="1">
      <c r="A78" s="292"/>
      <c r="B78" s="820"/>
      <c r="C78" s="546">
        <v>1</v>
      </c>
      <c r="D78" s="546">
        <v>2</v>
      </c>
      <c r="E78" s="546">
        <v>3</v>
      </c>
      <c r="F78" s="546">
        <v>4</v>
      </c>
      <c r="G78" s="546">
        <v>5</v>
      </c>
      <c r="H78" s="546">
        <v>6</v>
      </c>
      <c r="I78" s="546">
        <v>7</v>
      </c>
      <c r="J78" s="546">
        <v>8</v>
      </c>
      <c r="K78" s="546">
        <v>9</v>
      </c>
      <c r="L78" s="546">
        <v>10</v>
      </c>
      <c r="M78" s="546">
        <v>11</v>
      </c>
      <c r="N78" s="546">
        <v>12</v>
      </c>
      <c r="O78" s="546">
        <v>13</v>
      </c>
      <c r="P78" s="546">
        <v>14</v>
      </c>
      <c r="Q78" s="546">
        <v>15</v>
      </c>
      <c r="R78" s="546">
        <v>16</v>
      </c>
      <c r="S78" s="546">
        <v>17</v>
      </c>
      <c r="T78" s="546">
        <v>18</v>
      </c>
      <c r="U78" s="546">
        <v>19</v>
      </c>
      <c r="V78" s="546">
        <v>20</v>
      </c>
      <c r="W78" s="546">
        <v>21</v>
      </c>
      <c r="X78" s="546">
        <v>22</v>
      </c>
      <c r="Y78" s="546">
        <v>23</v>
      </c>
      <c r="Z78" s="546">
        <v>24</v>
      </c>
      <c r="AA78" s="546">
        <v>25</v>
      </c>
      <c r="AB78" s="546">
        <v>26</v>
      </c>
      <c r="AC78" s="546">
        <v>27</v>
      </c>
      <c r="AD78" s="546">
        <v>28</v>
      </c>
      <c r="AE78" s="546">
        <v>29</v>
      </c>
      <c r="AF78" s="546">
        <v>30</v>
      </c>
    </row>
    <row r="79" spans="1:32" ht="15.75" customHeight="1">
      <c r="A79" s="292"/>
      <c r="B79" s="60" t="str">
        <f>'A3 - Demanda Anual Agregada '!B6</f>
        <v>Ingresso</v>
      </c>
      <c r="C79" s="61">
        <f>SUMIFS('B1 - Matriz de custos diretos'!$G$3:$G$496,'B1 - Matriz de custos diretos'!$B$3:$B$496,$B29,'B1 - Matriz de custos diretos'!$C$3:$C$496,"Outros")*'A3 - Demanda Anual Agregada '!C6</f>
        <v>522935</v>
      </c>
      <c r="D79" s="61">
        <f>SUMIFS('B1 - Matriz de custos diretos'!$G$3:$G$496,'B1 - Matriz de custos diretos'!$B$3:$B$496,$B29,'B1 - Matriz de custos diretos'!$C$3:$C$496,"Outros")*'A3 - Demanda Anual Agregada '!D6</f>
        <v>1081951</v>
      </c>
      <c r="E79" s="61">
        <f>SUMIFS('B1 - Matriz de custos diretos'!$G$3:$G$496,'B1 - Matriz de custos diretos'!$B$3:$B$496,$B29,'B1 - Matriz de custos diretos'!$C$3:$C$496,"Outros")*'A3 - Demanda Anual Agregada '!E6</f>
        <v>1119271</v>
      </c>
      <c r="F79" s="61">
        <f>SUMIFS('B1 - Matriz de custos diretos'!$G$3:$G$496,'B1 - Matriz de custos diretos'!$B$3:$B$496,$B29,'B1 - Matriz de custos diretos'!$C$3:$C$496,"Outros")*'A3 - Demanda Anual Agregada '!F6</f>
        <v>1155418</v>
      </c>
      <c r="G79" s="61">
        <f>SUMIFS('B1 - Matriz de custos diretos'!$G$3:$G$496,'B1 - Matriz de custos diretos'!$B$3:$B$496,$B29,'B1 - Matriz de custos diretos'!$C$3:$C$496,"Outros")*'A3 - Demanda Anual Agregada '!G6</f>
        <v>1192139</v>
      </c>
      <c r="H79" s="61">
        <f>SUMIFS('B1 - Matriz de custos diretos'!$G$3:$G$496,'B1 - Matriz de custos diretos'!$B$3:$B$496,$B29,'B1 - Matriz de custos diretos'!$C$3:$C$496,"Outros")*'A3 - Demanda Anual Agregada '!H6</f>
        <v>1229504</v>
      </c>
      <c r="I79" s="61">
        <f>SUMIFS('B1 - Matriz de custos diretos'!$G$3:$G$496,'B1 - Matriz de custos diretos'!$B$3:$B$496,$B29,'B1 - Matriz de custos diretos'!$C$3:$C$496,"Outros")*'A3 - Demanda Anual Agregada '!I6</f>
        <v>1267922</v>
      </c>
      <c r="J79" s="61">
        <f>SUMIFS('B1 - Matriz de custos diretos'!$G$3:$G$496,'B1 - Matriz de custos diretos'!$B$3:$B$496,$B29,'B1 - Matriz de custos diretos'!$C$3:$C$496,"Outros")*'A3 - Demanda Anual Agregada '!J6</f>
        <v>1307461</v>
      </c>
      <c r="K79" s="61">
        <f>SUMIFS('B1 - Matriz de custos diretos'!$G$3:$G$496,'B1 - Matriz de custos diretos'!$B$3:$B$496,$B29,'B1 - Matriz de custos diretos'!$C$3:$C$496,"Outros")*'A3 - Demanda Anual Agregada '!K6</f>
        <v>1347720</v>
      </c>
      <c r="L79" s="61">
        <f>SUMIFS('B1 - Matriz de custos diretos'!$G$3:$G$496,'B1 - Matriz de custos diretos'!$B$3:$B$496,$B29,'B1 - Matriz de custos diretos'!$C$3:$C$496,"Outros")*'A3 - Demanda Anual Agregada '!L6</f>
        <v>1388731</v>
      </c>
      <c r="M79" s="61">
        <f>SUMIFS('B1 - Matriz de custos diretos'!$G$3:$G$496,'B1 - Matriz de custos diretos'!$B$3:$B$496,$B29,'B1 - Matriz de custos diretos'!$C$3:$C$496,"Outros")*'A3 - Demanda Anual Agregada '!M6</f>
        <v>1431024</v>
      </c>
      <c r="N79" s="61">
        <f>SUMIFS('B1 - Matriz de custos diretos'!$G$3:$G$496,'B1 - Matriz de custos diretos'!$B$3:$B$496,$B29,'B1 - Matriz de custos diretos'!$C$3:$C$496,"Outros")*'A3 - Demanda Anual Agregada '!N6</f>
        <v>1474583</v>
      </c>
      <c r="O79" s="61">
        <f>SUMIFS('B1 - Matriz de custos diretos'!$G$3:$G$496,'B1 - Matriz de custos diretos'!$B$3:$B$496,$B29,'B1 - Matriz de custos diretos'!$C$3:$C$496,"Outros")*'A3 - Demanda Anual Agregada '!O6</f>
        <v>1519533</v>
      </c>
      <c r="P79" s="61">
        <f>SUMIFS('B1 - Matriz de custos diretos'!$G$3:$G$496,'B1 - Matriz de custos diretos'!$B$3:$B$496,$B29,'B1 - Matriz de custos diretos'!$C$3:$C$496,"Outros")*'A3 - Demanda Anual Agregada '!P6</f>
        <v>1565841</v>
      </c>
      <c r="Q79" s="61">
        <f>SUMIFS('B1 - Matriz de custos diretos'!$G$3:$G$496,'B1 - Matriz de custos diretos'!$B$3:$B$496,$B29,'B1 - Matriz de custos diretos'!$C$3:$C$496,"Outros")*'A3 - Demanda Anual Agregada '!Q6</f>
        <v>1613541</v>
      </c>
      <c r="R79" s="61">
        <f>SUMIFS('B1 - Matriz de custos diretos'!$G$3:$G$496,'B1 - Matriz de custos diretos'!$B$3:$B$496,$B29,'B1 - Matriz de custos diretos'!$C$3:$C$496,"Outros")*'A3 - Demanda Anual Agregada '!R6</f>
        <v>1662549</v>
      </c>
      <c r="S79" s="61">
        <f>SUMIFS('B1 - Matriz de custos diretos'!$G$3:$G$496,'B1 - Matriz de custos diretos'!$B$3:$B$496,$B29,'B1 - Matriz de custos diretos'!$C$3:$C$496,"Outros")*'A3 - Demanda Anual Agregada '!S6</f>
        <v>1712805</v>
      </c>
      <c r="T79" s="61">
        <f>SUMIFS('B1 - Matriz de custos diretos'!$G$3:$G$496,'B1 - Matriz de custos diretos'!$B$3:$B$496,$B29,'B1 - Matriz de custos diretos'!$C$3:$C$496,"Outros")*'A3 - Demanda Anual Agregada '!T6</f>
        <v>1764131</v>
      </c>
      <c r="U79" s="61">
        <f>SUMIFS('B1 - Matriz de custos diretos'!$G$3:$G$496,'B1 - Matriz de custos diretos'!$B$3:$B$496,$B29,'B1 - Matriz de custos diretos'!$C$3:$C$496,"Outros")*'A3 - Demanda Anual Agregada '!U6</f>
        <v>1816396</v>
      </c>
      <c r="V79" s="61">
        <f>SUMIFS('B1 - Matriz de custos diretos'!$G$3:$G$496,'B1 - Matriz de custos diretos'!$B$3:$B$496,$B29,'B1 - Matriz de custos diretos'!$C$3:$C$496,"Outros")*'A3 - Demanda Anual Agregada '!V6</f>
        <v>1869357</v>
      </c>
      <c r="W79" s="61">
        <f>SUMIFS('B1 - Matriz de custos diretos'!$G$3:$G$496,'B1 - Matriz de custos diretos'!$B$3:$B$496,$B29,'B1 - Matriz de custos diretos'!$C$3:$C$496,"Outros")*'A3 - Demanda Anual Agregada '!W6</f>
        <v>1869357</v>
      </c>
      <c r="X79" s="61">
        <f>SUMIFS('B1 - Matriz de custos diretos'!$G$3:$G$496,'B1 - Matriz de custos diretos'!$B$3:$B$496,$B29,'B1 - Matriz de custos diretos'!$C$3:$C$496,"Outros")*'A3 - Demanda Anual Agregada '!X6</f>
        <v>1869357</v>
      </c>
      <c r="Y79" s="61">
        <f>SUMIFS('B1 - Matriz de custos diretos'!$G$3:$G$496,'B1 - Matriz de custos diretos'!$B$3:$B$496,$B29,'B1 - Matriz de custos diretos'!$C$3:$C$496,"Outros")*'A3 - Demanda Anual Agregada '!Y6</f>
        <v>1869357</v>
      </c>
      <c r="Z79" s="61">
        <f>SUMIFS('B1 - Matriz de custos diretos'!$G$3:$G$496,'B1 - Matriz de custos diretos'!$B$3:$B$496,$B29,'B1 - Matriz de custos diretos'!$C$3:$C$496,"Outros")*'A3 - Demanda Anual Agregada '!Z6</f>
        <v>1869357</v>
      </c>
      <c r="AA79" s="61">
        <f>SUMIFS('B1 - Matriz de custos diretos'!$G$3:$G$496,'B1 - Matriz de custos diretos'!$B$3:$B$496,$B29,'B1 - Matriz de custos diretos'!$C$3:$C$496,"Outros")*'A3 - Demanda Anual Agregada '!AA6</f>
        <v>1869357</v>
      </c>
      <c r="AB79" s="61">
        <f>SUMIFS('B1 - Matriz de custos diretos'!$G$3:$G$496,'B1 - Matriz de custos diretos'!$B$3:$B$496,$B29,'B1 - Matriz de custos diretos'!$C$3:$C$496,"Outros")*'A3 - Demanda Anual Agregada '!AB6</f>
        <v>1869357</v>
      </c>
      <c r="AC79" s="61">
        <f>SUMIFS('B1 - Matriz de custos diretos'!$G$3:$G$496,'B1 - Matriz de custos diretos'!$B$3:$B$496,$B29,'B1 - Matriz de custos diretos'!$C$3:$C$496,"Outros")*'A3 - Demanda Anual Agregada '!AC6</f>
        <v>1869357</v>
      </c>
      <c r="AD79" s="61">
        <f>SUMIFS('B1 - Matriz de custos diretos'!$G$3:$G$496,'B1 - Matriz de custos diretos'!$B$3:$B$496,$B29,'B1 - Matriz de custos diretos'!$C$3:$C$496,"Outros")*'A3 - Demanda Anual Agregada '!AD6</f>
        <v>1869357</v>
      </c>
      <c r="AE79" s="61">
        <f>SUMIFS('B1 - Matriz de custos diretos'!$G$3:$G$496,'B1 - Matriz de custos diretos'!$B$3:$B$496,$B29,'B1 - Matriz de custos diretos'!$C$3:$C$496,"Outros")*'A3 - Demanda Anual Agregada '!AE6</f>
        <v>1869357</v>
      </c>
      <c r="AF79" s="61">
        <f>SUMIFS('B1 - Matriz de custos diretos'!$G$3:$G$496,'B1 - Matriz de custos diretos'!$B$3:$B$496,$B29,'B1 - Matriz de custos diretos'!$C$3:$C$496,"Outros")*'A3 - Demanda Anual Agregada '!AF6</f>
        <v>1869357</v>
      </c>
    </row>
    <row r="80" spans="1:32" ht="15.75" customHeight="1">
      <c r="A80" s="292"/>
      <c r="B80" s="60" t="str">
        <f>'A3 - Demanda Anual Agregada '!B7</f>
        <v>Preá - Alimentação</v>
      </c>
      <c r="C80" s="61">
        <f>SUMIFS('B1 - Matriz de custos diretos'!$G$3:$G$496,'B1 - Matriz de custos diretos'!$B$3:$B$496,$B30,'B1 - Matriz de custos diretos'!$C$3:$C$496,"Outros")*'A3 - Demanda Anual Agregada '!C7</f>
        <v>0</v>
      </c>
      <c r="D80" s="61">
        <f>SUMIFS('B1 - Matriz de custos diretos'!$G$3:$G$496,'B1 - Matriz de custos diretos'!$B$3:$B$496,$B30,'B1 - Matriz de custos diretos'!$C$3:$C$496,"Outros")*'A3 - Demanda Anual Agregada '!D7</f>
        <v>0</v>
      </c>
      <c r="E80" s="61">
        <f>SUMIFS('B1 - Matriz de custos diretos'!$G$3:$G$496,'B1 - Matriz de custos diretos'!$B$3:$B$496,$B30,'B1 - Matriz de custos diretos'!$C$3:$C$496,"Outros")*'A3 - Demanda Anual Agregada '!E7</f>
        <v>0</v>
      </c>
      <c r="F80" s="61">
        <f>SUMIFS('B1 - Matriz de custos diretos'!$G$3:$G$496,'B1 - Matriz de custos diretos'!$B$3:$B$496,$B30,'B1 - Matriz de custos diretos'!$C$3:$C$496,"Outros")*'A3 - Demanda Anual Agregada '!F7</f>
        <v>0</v>
      </c>
      <c r="G80" s="61">
        <f>SUMIFS('B1 - Matriz de custos diretos'!$G$3:$G$496,'B1 - Matriz de custos diretos'!$B$3:$B$496,$B30,'B1 - Matriz de custos diretos'!$C$3:$C$496,"Outros")*'A3 - Demanda Anual Agregada '!G7</f>
        <v>0</v>
      </c>
      <c r="H80" s="61">
        <f>SUMIFS('B1 - Matriz de custos diretos'!$G$3:$G$496,'B1 - Matriz de custos diretos'!$B$3:$B$496,$B30,'B1 - Matriz de custos diretos'!$C$3:$C$496,"Outros")*'A3 - Demanda Anual Agregada '!H7</f>
        <v>0</v>
      </c>
      <c r="I80" s="61">
        <f>SUMIFS('B1 - Matriz de custos diretos'!$G$3:$G$496,'B1 - Matriz de custos diretos'!$B$3:$B$496,$B30,'B1 - Matriz de custos diretos'!$C$3:$C$496,"Outros")*'A3 - Demanda Anual Agregada '!I7</f>
        <v>0</v>
      </c>
      <c r="J80" s="61">
        <f>SUMIFS('B1 - Matriz de custos diretos'!$G$3:$G$496,'B1 - Matriz de custos diretos'!$B$3:$B$496,$B30,'B1 - Matriz de custos diretos'!$C$3:$C$496,"Outros")*'A3 - Demanda Anual Agregada '!J7</f>
        <v>0</v>
      </c>
      <c r="K80" s="61">
        <f>SUMIFS('B1 - Matriz de custos diretos'!$G$3:$G$496,'B1 - Matriz de custos diretos'!$B$3:$B$496,$B30,'B1 - Matriz de custos diretos'!$C$3:$C$496,"Outros")*'A3 - Demanda Anual Agregada '!K7</f>
        <v>0</v>
      </c>
      <c r="L80" s="61">
        <f>SUMIFS('B1 - Matriz de custos diretos'!$G$3:$G$496,'B1 - Matriz de custos diretos'!$B$3:$B$496,$B30,'B1 - Matriz de custos diretos'!$C$3:$C$496,"Outros")*'A3 - Demanda Anual Agregada '!L7</f>
        <v>0</v>
      </c>
      <c r="M80" s="61">
        <f>SUMIFS('B1 - Matriz de custos diretos'!$G$3:$G$496,'B1 - Matriz de custos diretos'!$B$3:$B$496,$B30,'B1 - Matriz de custos diretos'!$C$3:$C$496,"Outros")*'A3 - Demanda Anual Agregada '!M7</f>
        <v>0</v>
      </c>
      <c r="N80" s="61">
        <f>SUMIFS('B1 - Matriz de custos diretos'!$G$3:$G$496,'B1 - Matriz de custos diretos'!$B$3:$B$496,$B30,'B1 - Matriz de custos diretos'!$C$3:$C$496,"Outros")*'A3 - Demanda Anual Agregada '!N7</f>
        <v>0</v>
      </c>
      <c r="O80" s="61">
        <f>SUMIFS('B1 - Matriz de custos diretos'!$G$3:$G$496,'B1 - Matriz de custos diretos'!$B$3:$B$496,$B30,'B1 - Matriz de custos diretos'!$C$3:$C$496,"Outros")*'A3 - Demanda Anual Agregada '!O7</f>
        <v>0</v>
      </c>
      <c r="P80" s="61">
        <f>SUMIFS('B1 - Matriz de custos diretos'!$G$3:$G$496,'B1 - Matriz de custos diretos'!$B$3:$B$496,$B30,'B1 - Matriz de custos diretos'!$C$3:$C$496,"Outros")*'A3 - Demanda Anual Agregada '!P7</f>
        <v>0</v>
      </c>
      <c r="Q80" s="61">
        <f>SUMIFS('B1 - Matriz de custos diretos'!$G$3:$G$496,'B1 - Matriz de custos diretos'!$B$3:$B$496,$B30,'B1 - Matriz de custos diretos'!$C$3:$C$496,"Outros")*'A3 - Demanda Anual Agregada '!Q7</f>
        <v>0</v>
      </c>
      <c r="R80" s="61">
        <f>SUMIFS('B1 - Matriz de custos diretos'!$G$3:$G$496,'B1 - Matriz de custos diretos'!$B$3:$B$496,$B30,'B1 - Matriz de custos diretos'!$C$3:$C$496,"Outros")*'A3 - Demanda Anual Agregada '!R7</f>
        <v>0</v>
      </c>
      <c r="S80" s="61">
        <f>SUMIFS('B1 - Matriz de custos diretos'!$G$3:$G$496,'B1 - Matriz de custos diretos'!$B$3:$B$496,$B30,'B1 - Matriz de custos diretos'!$C$3:$C$496,"Outros")*'A3 - Demanda Anual Agregada '!S7</f>
        <v>0</v>
      </c>
      <c r="T80" s="61">
        <f>SUMIFS('B1 - Matriz de custos diretos'!$G$3:$G$496,'B1 - Matriz de custos diretos'!$B$3:$B$496,$B30,'B1 - Matriz de custos diretos'!$C$3:$C$496,"Outros")*'A3 - Demanda Anual Agregada '!T7</f>
        <v>0</v>
      </c>
      <c r="U80" s="61">
        <f>SUMIFS('B1 - Matriz de custos diretos'!$G$3:$G$496,'B1 - Matriz de custos diretos'!$B$3:$B$496,$B30,'B1 - Matriz de custos diretos'!$C$3:$C$496,"Outros")*'A3 - Demanda Anual Agregada '!U7</f>
        <v>0</v>
      </c>
      <c r="V80" s="61">
        <f>SUMIFS('B1 - Matriz de custos diretos'!$G$3:$G$496,'B1 - Matriz de custos diretos'!$B$3:$B$496,$B30,'B1 - Matriz de custos diretos'!$C$3:$C$496,"Outros")*'A3 - Demanda Anual Agregada '!V7</f>
        <v>0</v>
      </c>
      <c r="W80" s="61">
        <f>SUMIFS('B1 - Matriz de custos diretos'!$G$3:$G$496,'B1 - Matriz de custos diretos'!$B$3:$B$496,$B30,'B1 - Matriz de custos diretos'!$C$3:$C$496,"Outros")*'A3 - Demanda Anual Agregada '!W7</f>
        <v>0</v>
      </c>
      <c r="X80" s="61">
        <f>SUMIFS('B1 - Matriz de custos diretos'!$G$3:$G$496,'B1 - Matriz de custos diretos'!$B$3:$B$496,$B30,'B1 - Matriz de custos diretos'!$C$3:$C$496,"Outros")*'A3 - Demanda Anual Agregada '!X7</f>
        <v>0</v>
      </c>
      <c r="Y80" s="61">
        <f>SUMIFS('B1 - Matriz de custos diretos'!$G$3:$G$496,'B1 - Matriz de custos diretos'!$B$3:$B$496,$B30,'B1 - Matriz de custos diretos'!$C$3:$C$496,"Outros")*'A3 - Demanda Anual Agregada '!Y7</f>
        <v>0</v>
      </c>
      <c r="Z80" s="61">
        <f>SUMIFS('B1 - Matriz de custos diretos'!$G$3:$G$496,'B1 - Matriz de custos diretos'!$B$3:$B$496,$B30,'B1 - Matriz de custos diretos'!$C$3:$C$496,"Outros")*'A3 - Demanda Anual Agregada '!Z7</f>
        <v>0</v>
      </c>
      <c r="AA80" s="61">
        <f>SUMIFS('B1 - Matriz de custos diretos'!$G$3:$G$496,'B1 - Matriz de custos diretos'!$B$3:$B$496,$B30,'B1 - Matriz de custos diretos'!$C$3:$C$496,"Outros")*'A3 - Demanda Anual Agregada '!AA7</f>
        <v>0</v>
      </c>
      <c r="AB80" s="61">
        <f>SUMIFS('B1 - Matriz de custos diretos'!$G$3:$G$496,'B1 - Matriz de custos diretos'!$B$3:$B$496,$B30,'B1 - Matriz de custos diretos'!$C$3:$C$496,"Outros")*'A3 - Demanda Anual Agregada '!AB7</f>
        <v>0</v>
      </c>
      <c r="AC80" s="61">
        <f>SUMIFS('B1 - Matriz de custos diretos'!$G$3:$G$496,'B1 - Matriz de custos diretos'!$B$3:$B$496,$B30,'B1 - Matriz de custos diretos'!$C$3:$C$496,"Outros")*'A3 - Demanda Anual Agregada '!AC7</f>
        <v>0</v>
      </c>
      <c r="AD80" s="61">
        <f>SUMIFS('B1 - Matriz de custos diretos'!$G$3:$G$496,'B1 - Matriz de custos diretos'!$B$3:$B$496,$B30,'B1 - Matriz de custos diretos'!$C$3:$C$496,"Outros")*'A3 - Demanda Anual Agregada '!AD7</f>
        <v>0</v>
      </c>
      <c r="AE80" s="61">
        <f>SUMIFS('B1 - Matriz de custos diretos'!$G$3:$G$496,'B1 - Matriz de custos diretos'!$B$3:$B$496,$B30,'B1 - Matriz de custos diretos'!$C$3:$C$496,"Outros")*'A3 - Demanda Anual Agregada '!AE7</f>
        <v>0</v>
      </c>
      <c r="AF80" s="61">
        <f>SUMIFS('B1 - Matriz de custos diretos'!$G$3:$G$496,'B1 - Matriz de custos diretos'!$B$3:$B$496,$B30,'B1 - Matriz de custos diretos'!$C$3:$C$496,"Outros")*'A3 - Demanda Anual Agregada '!AF7</f>
        <v>0</v>
      </c>
    </row>
    <row r="81" spans="1:32" ht="15.75" customHeight="1">
      <c r="A81" s="292"/>
      <c r="B81" s="60" t="str">
        <f>'A3 - Demanda Anual Agregada '!B8</f>
        <v>Preá - Comércio</v>
      </c>
      <c r="C81" s="61">
        <f>SUMIFS('B1 - Matriz de custos diretos'!$G$3:$G$496,'B1 - Matriz de custos diretos'!$B$3:$B$496,$B31,'B1 - Matriz de custos diretos'!$C$3:$C$496,"Outros")*'A3 - Demanda Anual Agregada '!C8</f>
        <v>0</v>
      </c>
      <c r="D81" s="61">
        <f>SUMIFS('B1 - Matriz de custos diretos'!$G$3:$G$496,'B1 - Matriz de custos diretos'!$B$3:$B$496,$B31,'B1 - Matriz de custos diretos'!$C$3:$C$496,"Outros")*'A3 - Demanda Anual Agregada '!D8</f>
        <v>0</v>
      </c>
      <c r="E81" s="61">
        <f>SUMIFS('B1 - Matriz de custos diretos'!$G$3:$G$496,'B1 - Matriz de custos diretos'!$B$3:$B$496,$B31,'B1 - Matriz de custos diretos'!$C$3:$C$496,"Outros")*'A3 - Demanda Anual Agregada '!E8</f>
        <v>0</v>
      </c>
      <c r="F81" s="61">
        <f>SUMIFS('B1 - Matriz de custos diretos'!$G$3:$G$496,'B1 - Matriz de custos diretos'!$B$3:$B$496,$B31,'B1 - Matriz de custos diretos'!$C$3:$C$496,"Outros")*'A3 - Demanda Anual Agregada '!F8</f>
        <v>0</v>
      </c>
      <c r="G81" s="61">
        <f>SUMIFS('B1 - Matriz de custos diretos'!$G$3:$G$496,'B1 - Matriz de custos diretos'!$B$3:$B$496,$B31,'B1 - Matriz de custos diretos'!$C$3:$C$496,"Outros")*'A3 - Demanda Anual Agregada '!G8</f>
        <v>0</v>
      </c>
      <c r="H81" s="61">
        <f>SUMIFS('B1 - Matriz de custos diretos'!$G$3:$G$496,'B1 - Matriz de custos diretos'!$B$3:$B$496,$B31,'B1 - Matriz de custos diretos'!$C$3:$C$496,"Outros")*'A3 - Demanda Anual Agregada '!H8</f>
        <v>0</v>
      </c>
      <c r="I81" s="61">
        <f>SUMIFS('B1 - Matriz de custos diretos'!$G$3:$G$496,'B1 - Matriz de custos diretos'!$B$3:$B$496,$B31,'B1 - Matriz de custos diretos'!$C$3:$C$496,"Outros")*'A3 - Demanda Anual Agregada '!I8</f>
        <v>0</v>
      </c>
      <c r="J81" s="61">
        <f>SUMIFS('B1 - Matriz de custos diretos'!$G$3:$G$496,'B1 - Matriz de custos diretos'!$B$3:$B$496,$B31,'B1 - Matriz de custos diretos'!$C$3:$C$496,"Outros")*'A3 - Demanda Anual Agregada '!J8</f>
        <v>0</v>
      </c>
      <c r="K81" s="61">
        <f>SUMIFS('B1 - Matriz de custos diretos'!$G$3:$G$496,'B1 - Matriz de custos diretos'!$B$3:$B$496,$B31,'B1 - Matriz de custos diretos'!$C$3:$C$496,"Outros")*'A3 - Demanda Anual Agregada '!K8</f>
        <v>0</v>
      </c>
      <c r="L81" s="61">
        <f>SUMIFS('B1 - Matriz de custos diretos'!$G$3:$G$496,'B1 - Matriz de custos diretos'!$B$3:$B$496,$B31,'B1 - Matriz de custos diretos'!$C$3:$C$496,"Outros")*'A3 - Demanda Anual Agregada '!L8</f>
        <v>0</v>
      </c>
      <c r="M81" s="61">
        <f>SUMIFS('B1 - Matriz de custos diretos'!$G$3:$G$496,'B1 - Matriz de custos diretos'!$B$3:$B$496,$B31,'B1 - Matriz de custos diretos'!$C$3:$C$496,"Outros")*'A3 - Demanda Anual Agregada '!M8</f>
        <v>0</v>
      </c>
      <c r="N81" s="61">
        <f>SUMIFS('B1 - Matriz de custos diretos'!$G$3:$G$496,'B1 - Matriz de custos diretos'!$B$3:$B$496,$B31,'B1 - Matriz de custos diretos'!$C$3:$C$496,"Outros")*'A3 - Demanda Anual Agregada '!N8</f>
        <v>0</v>
      </c>
      <c r="O81" s="61">
        <f>SUMIFS('B1 - Matriz de custos diretos'!$G$3:$G$496,'B1 - Matriz de custos diretos'!$B$3:$B$496,$B31,'B1 - Matriz de custos diretos'!$C$3:$C$496,"Outros")*'A3 - Demanda Anual Agregada '!O8</f>
        <v>0</v>
      </c>
      <c r="P81" s="61">
        <f>SUMIFS('B1 - Matriz de custos diretos'!$G$3:$G$496,'B1 - Matriz de custos diretos'!$B$3:$B$496,$B31,'B1 - Matriz de custos diretos'!$C$3:$C$496,"Outros")*'A3 - Demanda Anual Agregada '!P8</f>
        <v>0</v>
      </c>
      <c r="Q81" s="61">
        <f>SUMIFS('B1 - Matriz de custos diretos'!$G$3:$G$496,'B1 - Matriz de custos diretos'!$B$3:$B$496,$B31,'B1 - Matriz de custos diretos'!$C$3:$C$496,"Outros")*'A3 - Demanda Anual Agregada '!Q8</f>
        <v>0</v>
      </c>
      <c r="R81" s="61">
        <f>SUMIFS('B1 - Matriz de custos diretos'!$G$3:$G$496,'B1 - Matriz de custos diretos'!$B$3:$B$496,$B31,'B1 - Matriz de custos diretos'!$C$3:$C$496,"Outros")*'A3 - Demanda Anual Agregada '!R8</f>
        <v>0</v>
      </c>
      <c r="S81" s="61">
        <f>SUMIFS('B1 - Matriz de custos diretos'!$G$3:$G$496,'B1 - Matriz de custos diretos'!$B$3:$B$496,$B31,'B1 - Matriz de custos diretos'!$C$3:$C$496,"Outros")*'A3 - Demanda Anual Agregada '!S8</f>
        <v>0</v>
      </c>
      <c r="T81" s="61">
        <f>SUMIFS('B1 - Matriz de custos diretos'!$G$3:$G$496,'B1 - Matriz de custos diretos'!$B$3:$B$496,$B31,'B1 - Matriz de custos diretos'!$C$3:$C$496,"Outros")*'A3 - Demanda Anual Agregada '!T8</f>
        <v>0</v>
      </c>
      <c r="U81" s="61">
        <f>SUMIFS('B1 - Matriz de custos diretos'!$G$3:$G$496,'B1 - Matriz de custos diretos'!$B$3:$B$496,$B31,'B1 - Matriz de custos diretos'!$C$3:$C$496,"Outros")*'A3 - Demanda Anual Agregada '!U8</f>
        <v>0</v>
      </c>
      <c r="V81" s="61">
        <f>SUMIFS('B1 - Matriz de custos diretos'!$G$3:$G$496,'B1 - Matriz de custos diretos'!$B$3:$B$496,$B31,'B1 - Matriz de custos diretos'!$C$3:$C$496,"Outros")*'A3 - Demanda Anual Agregada '!V8</f>
        <v>0</v>
      </c>
      <c r="W81" s="61">
        <f>SUMIFS('B1 - Matriz de custos diretos'!$G$3:$G$496,'B1 - Matriz de custos diretos'!$B$3:$B$496,$B31,'B1 - Matriz de custos diretos'!$C$3:$C$496,"Outros")*'A3 - Demanda Anual Agregada '!W8</f>
        <v>0</v>
      </c>
      <c r="X81" s="61">
        <f>SUMIFS('B1 - Matriz de custos diretos'!$G$3:$G$496,'B1 - Matriz de custos diretos'!$B$3:$B$496,$B31,'B1 - Matriz de custos diretos'!$C$3:$C$496,"Outros")*'A3 - Demanda Anual Agregada '!X8</f>
        <v>0</v>
      </c>
      <c r="Y81" s="61">
        <f>SUMIFS('B1 - Matriz de custos diretos'!$G$3:$G$496,'B1 - Matriz de custos diretos'!$B$3:$B$496,$B31,'B1 - Matriz de custos diretos'!$C$3:$C$496,"Outros")*'A3 - Demanda Anual Agregada '!Y8</f>
        <v>0</v>
      </c>
      <c r="Z81" s="61">
        <f>SUMIFS('B1 - Matriz de custos diretos'!$G$3:$G$496,'B1 - Matriz de custos diretos'!$B$3:$B$496,$B31,'B1 - Matriz de custos diretos'!$C$3:$C$496,"Outros")*'A3 - Demanda Anual Agregada '!Z8</f>
        <v>0</v>
      </c>
      <c r="AA81" s="61">
        <f>SUMIFS('B1 - Matriz de custos diretos'!$G$3:$G$496,'B1 - Matriz de custos diretos'!$B$3:$B$496,$B31,'B1 - Matriz de custos diretos'!$C$3:$C$496,"Outros")*'A3 - Demanda Anual Agregada '!AA8</f>
        <v>0</v>
      </c>
      <c r="AB81" s="61">
        <f>SUMIFS('B1 - Matriz de custos diretos'!$G$3:$G$496,'B1 - Matriz de custos diretos'!$B$3:$B$496,$B31,'B1 - Matriz de custos diretos'!$C$3:$C$496,"Outros")*'A3 - Demanda Anual Agregada '!AB8</f>
        <v>0</v>
      </c>
      <c r="AC81" s="61">
        <f>SUMIFS('B1 - Matriz de custos diretos'!$G$3:$G$496,'B1 - Matriz de custos diretos'!$B$3:$B$496,$B31,'B1 - Matriz de custos diretos'!$C$3:$C$496,"Outros")*'A3 - Demanda Anual Agregada '!AC8</f>
        <v>0</v>
      </c>
      <c r="AD81" s="61">
        <f>SUMIFS('B1 - Matriz de custos diretos'!$G$3:$G$496,'B1 - Matriz de custos diretos'!$B$3:$B$496,$B31,'B1 - Matriz de custos diretos'!$C$3:$C$496,"Outros")*'A3 - Demanda Anual Agregada '!AD8</f>
        <v>0</v>
      </c>
      <c r="AE81" s="61">
        <f>SUMIFS('B1 - Matriz de custos diretos'!$G$3:$G$496,'B1 - Matriz de custos diretos'!$B$3:$B$496,$B31,'B1 - Matriz de custos diretos'!$C$3:$C$496,"Outros")*'A3 - Demanda Anual Agregada '!AE8</f>
        <v>0</v>
      </c>
      <c r="AF81" s="61">
        <f>SUMIFS('B1 - Matriz de custos diretos'!$G$3:$G$496,'B1 - Matriz de custos diretos'!$B$3:$B$496,$B31,'B1 - Matriz de custos diretos'!$C$3:$C$496,"Outros")*'A3 - Demanda Anual Agregada '!AF8</f>
        <v>0</v>
      </c>
    </row>
    <row r="82" spans="1:32" ht="15.75" customHeight="1">
      <c r="A82" s="292"/>
      <c r="B82" s="60" t="str">
        <f>'A3 - Demanda Anual Agregada '!B9</f>
        <v>Preá - Estacionamento</v>
      </c>
      <c r="C82" s="61">
        <f>SUMIFS('B1 - Matriz de custos diretos'!$G$3:$G$496,'B1 - Matriz de custos diretos'!$B$3:$B$496,$B32,'B1 - Matriz de custos diretos'!$C$3:$C$496,"Outros")*'A3 - Demanda Anual Agregada '!C9</f>
        <v>0</v>
      </c>
      <c r="D82" s="61">
        <f>SUMIFS('B1 - Matriz de custos diretos'!$G$3:$G$496,'B1 - Matriz de custos diretos'!$B$3:$B$496,$B32,'B1 - Matriz de custos diretos'!$C$3:$C$496,"Outros")*'A3 - Demanda Anual Agregada '!D9</f>
        <v>0</v>
      </c>
      <c r="E82" s="61">
        <f>SUMIFS('B1 - Matriz de custos diretos'!$G$3:$G$496,'B1 - Matriz de custos diretos'!$B$3:$B$496,$B32,'B1 - Matriz de custos diretos'!$C$3:$C$496,"Outros")*'A3 - Demanda Anual Agregada '!E9</f>
        <v>0</v>
      </c>
      <c r="F82" s="61">
        <f>SUMIFS('B1 - Matriz de custos diretos'!$G$3:$G$496,'B1 - Matriz de custos diretos'!$B$3:$B$496,$B32,'B1 - Matriz de custos diretos'!$C$3:$C$496,"Outros")*'A3 - Demanda Anual Agregada '!F9</f>
        <v>0</v>
      </c>
      <c r="G82" s="61">
        <f>SUMIFS('B1 - Matriz de custos diretos'!$G$3:$G$496,'B1 - Matriz de custos diretos'!$B$3:$B$496,$B32,'B1 - Matriz de custos diretos'!$C$3:$C$496,"Outros")*'A3 - Demanda Anual Agregada '!G9</f>
        <v>0</v>
      </c>
      <c r="H82" s="61">
        <f>SUMIFS('B1 - Matriz de custos diretos'!$G$3:$G$496,'B1 - Matriz de custos diretos'!$B$3:$B$496,$B32,'B1 - Matriz de custos diretos'!$C$3:$C$496,"Outros")*'A3 - Demanda Anual Agregada '!H9</f>
        <v>0</v>
      </c>
      <c r="I82" s="61">
        <f>SUMIFS('B1 - Matriz de custos diretos'!$G$3:$G$496,'B1 - Matriz de custos diretos'!$B$3:$B$496,$B32,'B1 - Matriz de custos diretos'!$C$3:$C$496,"Outros")*'A3 - Demanda Anual Agregada '!I9</f>
        <v>0</v>
      </c>
      <c r="J82" s="61">
        <f>SUMIFS('B1 - Matriz de custos diretos'!$G$3:$G$496,'B1 - Matriz de custos diretos'!$B$3:$B$496,$B32,'B1 - Matriz de custos diretos'!$C$3:$C$496,"Outros")*'A3 - Demanda Anual Agregada '!J9</f>
        <v>0</v>
      </c>
      <c r="K82" s="61">
        <f>SUMIFS('B1 - Matriz de custos diretos'!$G$3:$G$496,'B1 - Matriz de custos diretos'!$B$3:$B$496,$B32,'B1 - Matriz de custos diretos'!$C$3:$C$496,"Outros")*'A3 - Demanda Anual Agregada '!K9</f>
        <v>0</v>
      </c>
      <c r="L82" s="61">
        <f>SUMIFS('B1 - Matriz de custos diretos'!$G$3:$G$496,'B1 - Matriz de custos diretos'!$B$3:$B$496,$B32,'B1 - Matriz de custos diretos'!$C$3:$C$496,"Outros")*'A3 - Demanda Anual Agregada '!L9</f>
        <v>0</v>
      </c>
      <c r="M82" s="61">
        <f>SUMIFS('B1 - Matriz de custos diretos'!$G$3:$G$496,'B1 - Matriz de custos diretos'!$B$3:$B$496,$B32,'B1 - Matriz de custos diretos'!$C$3:$C$496,"Outros")*'A3 - Demanda Anual Agregada '!M9</f>
        <v>0</v>
      </c>
      <c r="N82" s="61">
        <f>SUMIFS('B1 - Matriz de custos diretos'!$G$3:$G$496,'B1 - Matriz de custos diretos'!$B$3:$B$496,$B32,'B1 - Matriz de custos diretos'!$C$3:$C$496,"Outros")*'A3 - Demanda Anual Agregada '!N9</f>
        <v>0</v>
      </c>
      <c r="O82" s="61">
        <f>SUMIFS('B1 - Matriz de custos diretos'!$G$3:$G$496,'B1 - Matriz de custos diretos'!$B$3:$B$496,$B32,'B1 - Matriz de custos diretos'!$C$3:$C$496,"Outros")*'A3 - Demanda Anual Agregada '!O9</f>
        <v>0</v>
      </c>
      <c r="P82" s="61">
        <f>SUMIFS('B1 - Matriz de custos diretos'!$G$3:$G$496,'B1 - Matriz de custos diretos'!$B$3:$B$496,$B32,'B1 - Matriz de custos diretos'!$C$3:$C$496,"Outros")*'A3 - Demanda Anual Agregada '!P9</f>
        <v>0</v>
      </c>
      <c r="Q82" s="61">
        <f>SUMIFS('B1 - Matriz de custos diretos'!$G$3:$G$496,'B1 - Matriz de custos diretos'!$B$3:$B$496,$B32,'B1 - Matriz de custos diretos'!$C$3:$C$496,"Outros")*'A3 - Demanda Anual Agregada '!Q9</f>
        <v>0</v>
      </c>
      <c r="R82" s="61">
        <f>SUMIFS('B1 - Matriz de custos diretos'!$G$3:$G$496,'B1 - Matriz de custos diretos'!$B$3:$B$496,$B32,'B1 - Matriz de custos diretos'!$C$3:$C$496,"Outros")*'A3 - Demanda Anual Agregada '!R9</f>
        <v>0</v>
      </c>
      <c r="S82" s="61">
        <f>SUMIFS('B1 - Matriz de custos diretos'!$G$3:$G$496,'B1 - Matriz de custos diretos'!$B$3:$B$496,$B32,'B1 - Matriz de custos diretos'!$C$3:$C$496,"Outros")*'A3 - Demanda Anual Agregada '!S9</f>
        <v>0</v>
      </c>
      <c r="T82" s="61">
        <f>SUMIFS('B1 - Matriz de custos diretos'!$G$3:$G$496,'B1 - Matriz de custos diretos'!$B$3:$B$496,$B32,'B1 - Matriz de custos diretos'!$C$3:$C$496,"Outros")*'A3 - Demanda Anual Agregada '!T9</f>
        <v>0</v>
      </c>
      <c r="U82" s="61">
        <f>SUMIFS('B1 - Matriz de custos diretos'!$G$3:$G$496,'B1 - Matriz de custos diretos'!$B$3:$B$496,$B32,'B1 - Matriz de custos diretos'!$C$3:$C$496,"Outros")*'A3 - Demanda Anual Agregada '!U9</f>
        <v>0</v>
      </c>
      <c r="V82" s="61">
        <f>SUMIFS('B1 - Matriz de custos diretos'!$G$3:$G$496,'B1 - Matriz de custos diretos'!$B$3:$B$496,$B32,'B1 - Matriz de custos diretos'!$C$3:$C$496,"Outros")*'A3 - Demanda Anual Agregada '!V9</f>
        <v>0</v>
      </c>
      <c r="W82" s="61">
        <f>SUMIFS('B1 - Matriz de custos diretos'!$G$3:$G$496,'B1 - Matriz de custos diretos'!$B$3:$B$496,$B32,'B1 - Matriz de custos diretos'!$C$3:$C$496,"Outros")*'A3 - Demanda Anual Agregada '!W9</f>
        <v>0</v>
      </c>
      <c r="X82" s="61">
        <f>SUMIFS('B1 - Matriz de custos diretos'!$G$3:$G$496,'B1 - Matriz de custos diretos'!$B$3:$B$496,$B32,'B1 - Matriz de custos diretos'!$C$3:$C$496,"Outros")*'A3 - Demanda Anual Agregada '!X9</f>
        <v>0</v>
      </c>
      <c r="Y82" s="61">
        <f>SUMIFS('B1 - Matriz de custos diretos'!$G$3:$G$496,'B1 - Matriz de custos diretos'!$B$3:$B$496,$B32,'B1 - Matriz de custos diretos'!$C$3:$C$496,"Outros")*'A3 - Demanda Anual Agregada '!Y9</f>
        <v>0</v>
      </c>
      <c r="Z82" s="61">
        <f>SUMIFS('B1 - Matriz de custos diretos'!$G$3:$G$496,'B1 - Matriz de custos diretos'!$B$3:$B$496,$B32,'B1 - Matriz de custos diretos'!$C$3:$C$496,"Outros")*'A3 - Demanda Anual Agregada '!Z9</f>
        <v>0</v>
      </c>
      <c r="AA82" s="61">
        <f>SUMIFS('B1 - Matriz de custos diretos'!$G$3:$G$496,'B1 - Matriz de custos diretos'!$B$3:$B$496,$B32,'B1 - Matriz de custos diretos'!$C$3:$C$496,"Outros")*'A3 - Demanda Anual Agregada '!AA9</f>
        <v>0</v>
      </c>
      <c r="AB82" s="61">
        <f>SUMIFS('B1 - Matriz de custos diretos'!$G$3:$G$496,'B1 - Matriz de custos diretos'!$B$3:$B$496,$B32,'B1 - Matriz de custos diretos'!$C$3:$C$496,"Outros")*'A3 - Demanda Anual Agregada '!AB9</f>
        <v>0</v>
      </c>
      <c r="AC82" s="61">
        <f>SUMIFS('B1 - Matriz de custos diretos'!$G$3:$G$496,'B1 - Matriz de custos diretos'!$B$3:$B$496,$B32,'B1 - Matriz de custos diretos'!$C$3:$C$496,"Outros")*'A3 - Demanda Anual Agregada '!AC9</f>
        <v>0</v>
      </c>
      <c r="AD82" s="61">
        <f>SUMIFS('B1 - Matriz de custos diretos'!$G$3:$G$496,'B1 - Matriz de custos diretos'!$B$3:$B$496,$B32,'B1 - Matriz de custos diretos'!$C$3:$C$496,"Outros")*'A3 - Demanda Anual Agregada '!AD9</f>
        <v>0</v>
      </c>
      <c r="AE82" s="61">
        <f>SUMIFS('B1 - Matriz de custos diretos'!$G$3:$G$496,'B1 - Matriz de custos diretos'!$B$3:$B$496,$B32,'B1 - Matriz de custos diretos'!$C$3:$C$496,"Outros")*'A3 - Demanda Anual Agregada '!AE9</f>
        <v>0</v>
      </c>
      <c r="AF82" s="61">
        <f>SUMIFS('B1 - Matriz de custos diretos'!$G$3:$G$496,'B1 - Matriz de custos diretos'!$B$3:$B$496,$B32,'B1 - Matriz de custos diretos'!$C$3:$C$496,"Outros")*'A3 - Demanda Anual Agregada '!AF9</f>
        <v>0</v>
      </c>
    </row>
    <row r="83" spans="1:32" ht="15.75" customHeight="1">
      <c r="A83" s="292"/>
      <c r="B83" s="60" t="str">
        <f>'A3 - Demanda Anual Agregada '!B10</f>
        <v>Árvore da Preguiça - Alimentação</v>
      </c>
      <c r="C83" s="61">
        <f>SUMIFS('B1 - Matriz de custos diretos'!$G$3:$G$496,'B1 - Matriz de custos diretos'!$B$3:$B$496,$B33,'B1 - Matriz de custos diretos'!$C$3:$C$496,"Outros")*'A3 - Demanda Anual Agregada '!C10</f>
        <v>0</v>
      </c>
      <c r="D83" s="61">
        <f>SUMIFS('B1 - Matriz de custos diretos'!$G$3:$G$496,'B1 - Matriz de custos diretos'!$B$3:$B$496,$B33,'B1 - Matriz de custos diretos'!$C$3:$C$496,"Outros")*'A3 - Demanda Anual Agregada '!D10</f>
        <v>0</v>
      </c>
      <c r="E83" s="61">
        <f>SUMIFS('B1 - Matriz de custos diretos'!$G$3:$G$496,'B1 - Matriz de custos diretos'!$B$3:$B$496,$B33,'B1 - Matriz de custos diretos'!$C$3:$C$496,"Outros")*'A3 - Demanda Anual Agregada '!E10</f>
        <v>0</v>
      </c>
      <c r="F83" s="61">
        <f>SUMIFS('B1 - Matriz de custos diretos'!$G$3:$G$496,'B1 - Matriz de custos diretos'!$B$3:$B$496,$B33,'B1 - Matriz de custos diretos'!$C$3:$C$496,"Outros")*'A3 - Demanda Anual Agregada '!F10</f>
        <v>0</v>
      </c>
      <c r="G83" s="61">
        <f>SUMIFS('B1 - Matriz de custos diretos'!$G$3:$G$496,'B1 - Matriz de custos diretos'!$B$3:$B$496,$B33,'B1 - Matriz de custos diretos'!$C$3:$C$496,"Outros")*'A3 - Demanda Anual Agregada '!G10</f>
        <v>0</v>
      </c>
      <c r="H83" s="61">
        <f>SUMIFS('B1 - Matriz de custos diretos'!$G$3:$G$496,'B1 - Matriz de custos diretos'!$B$3:$B$496,$B33,'B1 - Matriz de custos diretos'!$C$3:$C$496,"Outros")*'A3 - Demanda Anual Agregada '!H10</f>
        <v>0</v>
      </c>
      <c r="I83" s="61">
        <f>SUMIFS('B1 - Matriz de custos diretos'!$G$3:$G$496,'B1 - Matriz de custos diretos'!$B$3:$B$496,$B33,'B1 - Matriz de custos diretos'!$C$3:$C$496,"Outros")*'A3 - Demanda Anual Agregada '!I10</f>
        <v>0</v>
      </c>
      <c r="J83" s="61">
        <f>SUMIFS('B1 - Matriz de custos diretos'!$G$3:$G$496,'B1 - Matriz de custos diretos'!$B$3:$B$496,$B33,'B1 - Matriz de custos diretos'!$C$3:$C$496,"Outros")*'A3 - Demanda Anual Agregada '!J10</f>
        <v>0</v>
      </c>
      <c r="K83" s="61">
        <f>SUMIFS('B1 - Matriz de custos diretos'!$G$3:$G$496,'B1 - Matriz de custos diretos'!$B$3:$B$496,$B33,'B1 - Matriz de custos diretos'!$C$3:$C$496,"Outros")*'A3 - Demanda Anual Agregada '!K10</f>
        <v>0</v>
      </c>
      <c r="L83" s="61">
        <f>SUMIFS('B1 - Matriz de custos diretos'!$G$3:$G$496,'B1 - Matriz de custos diretos'!$B$3:$B$496,$B33,'B1 - Matriz de custos diretos'!$C$3:$C$496,"Outros")*'A3 - Demanda Anual Agregada '!L10</f>
        <v>0</v>
      </c>
      <c r="M83" s="61">
        <f>SUMIFS('B1 - Matriz de custos diretos'!$G$3:$G$496,'B1 - Matriz de custos diretos'!$B$3:$B$496,$B33,'B1 - Matriz de custos diretos'!$C$3:$C$496,"Outros")*'A3 - Demanda Anual Agregada '!M10</f>
        <v>0</v>
      </c>
      <c r="N83" s="61">
        <f>SUMIFS('B1 - Matriz de custos diretos'!$G$3:$G$496,'B1 - Matriz de custos diretos'!$B$3:$B$496,$B33,'B1 - Matriz de custos diretos'!$C$3:$C$496,"Outros")*'A3 - Demanda Anual Agregada '!N10</f>
        <v>0</v>
      </c>
      <c r="O83" s="61">
        <f>SUMIFS('B1 - Matriz de custos diretos'!$G$3:$G$496,'B1 - Matriz de custos diretos'!$B$3:$B$496,$B33,'B1 - Matriz de custos diretos'!$C$3:$C$496,"Outros")*'A3 - Demanda Anual Agregada '!O10</f>
        <v>0</v>
      </c>
      <c r="P83" s="61">
        <f>SUMIFS('B1 - Matriz de custos diretos'!$G$3:$G$496,'B1 - Matriz de custos diretos'!$B$3:$B$496,$B33,'B1 - Matriz de custos diretos'!$C$3:$C$496,"Outros")*'A3 - Demanda Anual Agregada '!P10</f>
        <v>0</v>
      </c>
      <c r="Q83" s="61">
        <f>SUMIFS('B1 - Matriz de custos diretos'!$G$3:$G$496,'B1 - Matriz de custos diretos'!$B$3:$B$496,$B33,'B1 - Matriz de custos diretos'!$C$3:$C$496,"Outros")*'A3 - Demanda Anual Agregada '!Q10</f>
        <v>0</v>
      </c>
      <c r="R83" s="61">
        <f>SUMIFS('B1 - Matriz de custos diretos'!$G$3:$G$496,'B1 - Matriz de custos diretos'!$B$3:$B$496,$B33,'B1 - Matriz de custos diretos'!$C$3:$C$496,"Outros")*'A3 - Demanda Anual Agregada '!R10</f>
        <v>0</v>
      </c>
      <c r="S83" s="61">
        <f>SUMIFS('B1 - Matriz de custos diretos'!$G$3:$G$496,'B1 - Matriz de custos diretos'!$B$3:$B$496,$B33,'B1 - Matriz de custos diretos'!$C$3:$C$496,"Outros")*'A3 - Demanda Anual Agregada '!S10</f>
        <v>0</v>
      </c>
      <c r="T83" s="61">
        <f>SUMIFS('B1 - Matriz de custos diretos'!$G$3:$G$496,'B1 - Matriz de custos diretos'!$B$3:$B$496,$B33,'B1 - Matriz de custos diretos'!$C$3:$C$496,"Outros")*'A3 - Demanda Anual Agregada '!T10</f>
        <v>0</v>
      </c>
      <c r="U83" s="61">
        <f>SUMIFS('B1 - Matriz de custos diretos'!$G$3:$G$496,'B1 - Matriz de custos diretos'!$B$3:$B$496,$B33,'B1 - Matriz de custos diretos'!$C$3:$C$496,"Outros")*'A3 - Demanda Anual Agregada '!U10</f>
        <v>0</v>
      </c>
      <c r="V83" s="61">
        <f>SUMIFS('B1 - Matriz de custos diretos'!$G$3:$G$496,'B1 - Matriz de custos diretos'!$B$3:$B$496,$B33,'B1 - Matriz de custos diretos'!$C$3:$C$496,"Outros")*'A3 - Demanda Anual Agregada '!V10</f>
        <v>0</v>
      </c>
      <c r="W83" s="61">
        <f>SUMIFS('B1 - Matriz de custos diretos'!$G$3:$G$496,'B1 - Matriz de custos diretos'!$B$3:$B$496,$B33,'B1 - Matriz de custos diretos'!$C$3:$C$496,"Outros")*'A3 - Demanda Anual Agregada '!W10</f>
        <v>0</v>
      </c>
      <c r="X83" s="61">
        <f>SUMIFS('B1 - Matriz de custos diretos'!$G$3:$G$496,'B1 - Matriz de custos diretos'!$B$3:$B$496,$B33,'B1 - Matriz de custos diretos'!$C$3:$C$496,"Outros")*'A3 - Demanda Anual Agregada '!X10</f>
        <v>0</v>
      </c>
      <c r="Y83" s="61">
        <f>SUMIFS('B1 - Matriz de custos diretos'!$G$3:$G$496,'B1 - Matriz de custos diretos'!$B$3:$B$496,$B33,'B1 - Matriz de custos diretos'!$C$3:$C$496,"Outros")*'A3 - Demanda Anual Agregada '!Y10</f>
        <v>0</v>
      </c>
      <c r="Z83" s="61">
        <f>SUMIFS('B1 - Matriz de custos diretos'!$G$3:$G$496,'B1 - Matriz de custos diretos'!$B$3:$B$496,$B33,'B1 - Matriz de custos diretos'!$C$3:$C$496,"Outros")*'A3 - Demanda Anual Agregada '!Z10</f>
        <v>0</v>
      </c>
      <c r="AA83" s="61">
        <f>SUMIFS('B1 - Matriz de custos diretos'!$G$3:$G$496,'B1 - Matriz de custos diretos'!$B$3:$B$496,$B33,'B1 - Matriz de custos diretos'!$C$3:$C$496,"Outros")*'A3 - Demanda Anual Agregada '!AA10</f>
        <v>0</v>
      </c>
      <c r="AB83" s="61">
        <f>SUMIFS('B1 - Matriz de custos diretos'!$G$3:$G$496,'B1 - Matriz de custos diretos'!$B$3:$B$496,$B33,'B1 - Matriz de custos diretos'!$C$3:$C$496,"Outros")*'A3 - Demanda Anual Agregada '!AB10</f>
        <v>0</v>
      </c>
      <c r="AC83" s="61">
        <f>SUMIFS('B1 - Matriz de custos diretos'!$G$3:$G$496,'B1 - Matriz de custos diretos'!$B$3:$B$496,$B33,'B1 - Matriz de custos diretos'!$C$3:$C$496,"Outros")*'A3 - Demanda Anual Agregada '!AC10</f>
        <v>0</v>
      </c>
      <c r="AD83" s="61">
        <f>SUMIFS('B1 - Matriz de custos diretos'!$G$3:$G$496,'B1 - Matriz de custos diretos'!$B$3:$B$496,$B33,'B1 - Matriz de custos diretos'!$C$3:$C$496,"Outros")*'A3 - Demanda Anual Agregada '!AD10</f>
        <v>0</v>
      </c>
      <c r="AE83" s="61">
        <f>SUMIFS('B1 - Matriz de custos diretos'!$G$3:$G$496,'B1 - Matriz de custos diretos'!$B$3:$B$496,$B33,'B1 - Matriz de custos diretos'!$C$3:$C$496,"Outros")*'A3 - Demanda Anual Agregada '!AE10</f>
        <v>0</v>
      </c>
      <c r="AF83" s="61">
        <f>SUMIFS('B1 - Matriz de custos diretos'!$G$3:$G$496,'B1 - Matriz de custos diretos'!$B$3:$B$496,$B33,'B1 - Matriz de custos diretos'!$C$3:$C$496,"Outros")*'A3 - Demanda Anual Agregada '!AF10</f>
        <v>0</v>
      </c>
    </row>
    <row r="84" spans="1:32" ht="15.75" customHeight="1">
      <c r="A84" s="292"/>
      <c r="B84" s="60" t="str">
        <f>'A3 - Demanda Anual Agregada '!B11</f>
        <v>Árvore da Preguiça - Comércio</v>
      </c>
      <c r="C84" s="61">
        <f>SUMIFS('B1 - Matriz de custos diretos'!$G$3:$G$496,'B1 - Matriz de custos diretos'!$B$3:$B$496,$B34,'B1 - Matriz de custos diretos'!$C$3:$C$496,"Outros")*'A3 - Demanda Anual Agregada '!C11</f>
        <v>0</v>
      </c>
      <c r="D84" s="61">
        <f>SUMIFS('B1 - Matriz de custos diretos'!$G$3:$G$496,'B1 - Matriz de custos diretos'!$B$3:$B$496,$B34,'B1 - Matriz de custos diretos'!$C$3:$C$496,"Outros")*'A3 - Demanda Anual Agregada '!D11</f>
        <v>0</v>
      </c>
      <c r="E84" s="61">
        <f>SUMIFS('B1 - Matriz de custos diretos'!$G$3:$G$496,'B1 - Matriz de custos diretos'!$B$3:$B$496,$B34,'B1 - Matriz de custos diretos'!$C$3:$C$496,"Outros")*'A3 - Demanda Anual Agregada '!E11</f>
        <v>0</v>
      </c>
      <c r="F84" s="61">
        <f>SUMIFS('B1 - Matriz de custos diretos'!$G$3:$G$496,'B1 - Matriz de custos diretos'!$B$3:$B$496,$B34,'B1 - Matriz de custos diretos'!$C$3:$C$496,"Outros")*'A3 - Demanda Anual Agregada '!F11</f>
        <v>0</v>
      </c>
      <c r="G84" s="61">
        <f>SUMIFS('B1 - Matriz de custos diretos'!$G$3:$G$496,'B1 - Matriz de custos diretos'!$B$3:$B$496,$B34,'B1 - Matriz de custos diretos'!$C$3:$C$496,"Outros")*'A3 - Demanda Anual Agregada '!G11</f>
        <v>0</v>
      </c>
      <c r="H84" s="61">
        <f>SUMIFS('B1 - Matriz de custos diretos'!$G$3:$G$496,'B1 - Matriz de custos diretos'!$B$3:$B$496,$B34,'B1 - Matriz de custos diretos'!$C$3:$C$496,"Outros")*'A3 - Demanda Anual Agregada '!H11</f>
        <v>0</v>
      </c>
      <c r="I84" s="61">
        <f>SUMIFS('B1 - Matriz de custos diretos'!$G$3:$G$496,'B1 - Matriz de custos diretos'!$B$3:$B$496,$B34,'B1 - Matriz de custos diretos'!$C$3:$C$496,"Outros")*'A3 - Demanda Anual Agregada '!I11</f>
        <v>0</v>
      </c>
      <c r="J84" s="61">
        <f>SUMIFS('B1 - Matriz de custos diretos'!$G$3:$G$496,'B1 - Matriz de custos diretos'!$B$3:$B$496,$B34,'B1 - Matriz de custos diretos'!$C$3:$C$496,"Outros")*'A3 - Demanda Anual Agregada '!J11</f>
        <v>0</v>
      </c>
      <c r="K84" s="61">
        <f>SUMIFS('B1 - Matriz de custos diretos'!$G$3:$G$496,'B1 - Matriz de custos diretos'!$B$3:$B$496,$B34,'B1 - Matriz de custos diretos'!$C$3:$C$496,"Outros")*'A3 - Demanda Anual Agregada '!K11</f>
        <v>0</v>
      </c>
      <c r="L84" s="61">
        <f>SUMIFS('B1 - Matriz de custos diretos'!$G$3:$G$496,'B1 - Matriz de custos diretos'!$B$3:$B$496,$B34,'B1 - Matriz de custos diretos'!$C$3:$C$496,"Outros")*'A3 - Demanda Anual Agregada '!L11</f>
        <v>0</v>
      </c>
      <c r="M84" s="61">
        <f>SUMIFS('B1 - Matriz de custos diretos'!$G$3:$G$496,'B1 - Matriz de custos diretos'!$B$3:$B$496,$B34,'B1 - Matriz de custos diretos'!$C$3:$C$496,"Outros")*'A3 - Demanda Anual Agregada '!M11</f>
        <v>0</v>
      </c>
      <c r="N84" s="61">
        <f>SUMIFS('B1 - Matriz de custos diretos'!$G$3:$G$496,'B1 - Matriz de custos diretos'!$B$3:$B$496,$B34,'B1 - Matriz de custos diretos'!$C$3:$C$496,"Outros")*'A3 - Demanda Anual Agregada '!N11</f>
        <v>0</v>
      </c>
      <c r="O84" s="61">
        <f>SUMIFS('B1 - Matriz de custos diretos'!$G$3:$G$496,'B1 - Matriz de custos diretos'!$B$3:$B$496,$B34,'B1 - Matriz de custos diretos'!$C$3:$C$496,"Outros")*'A3 - Demanda Anual Agregada '!O11</f>
        <v>0</v>
      </c>
      <c r="P84" s="61">
        <f>SUMIFS('B1 - Matriz de custos diretos'!$G$3:$G$496,'B1 - Matriz de custos diretos'!$B$3:$B$496,$B34,'B1 - Matriz de custos diretos'!$C$3:$C$496,"Outros")*'A3 - Demanda Anual Agregada '!P11</f>
        <v>0</v>
      </c>
      <c r="Q84" s="61">
        <f>SUMIFS('B1 - Matriz de custos diretos'!$G$3:$G$496,'B1 - Matriz de custos diretos'!$B$3:$B$496,$B34,'B1 - Matriz de custos diretos'!$C$3:$C$496,"Outros")*'A3 - Demanda Anual Agregada '!Q11</f>
        <v>0</v>
      </c>
      <c r="R84" s="61">
        <f>SUMIFS('B1 - Matriz de custos diretos'!$G$3:$G$496,'B1 - Matriz de custos diretos'!$B$3:$B$496,$B34,'B1 - Matriz de custos diretos'!$C$3:$C$496,"Outros")*'A3 - Demanda Anual Agregada '!R11</f>
        <v>0</v>
      </c>
      <c r="S84" s="61">
        <f>SUMIFS('B1 - Matriz de custos diretos'!$G$3:$G$496,'B1 - Matriz de custos diretos'!$B$3:$B$496,$B34,'B1 - Matriz de custos diretos'!$C$3:$C$496,"Outros")*'A3 - Demanda Anual Agregada '!S11</f>
        <v>0</v>
      </c>
      <c r="T84" s="61">
        <f>SUMIFS('B1 - Matriz de custos diretos'!$G$3:$G$496,'B1 - Matriz de custos diretos'!$B$3:$B$496,$B34,'B1 - Matriz de custos diretos'!$C$3:$C$496,"Outros")*'A3 - Demanda Anual Agregada '!T11</f>
        <v>0</v>
      </c>
      <c r="U84" s="61">
        <f>SUMIFS('B1 - Matriz de custos diretos'!$G$3:$G$496,'B1 - Matriz de custos diretos'!$B$3:$B$496,$B34,'B1 - Matriz de custos diretos'!$C$3:$C$496,"Outros")*'A3 - Demanda Anual Agregada '!U11</f>
        <v>0</v>
      </c>
      <c r="V84" s="61">
        <f>SUMIFS('B1 - Matriz de custos diretos'!$G$3:$G$496,'B1 - Matriz de custos diretos'!$B$3:$B$496,$B34,'B1 - Matriz de custos diretos'!$C$3:$C$496,"Outros")*'A3 - Demanda Anual Agregada '!V11</f>
        <v>0</v>
      </c>
      <c r="W84" s="61">
        <f>SUMIFS('B1 - Matriz de custos diretos'!$G$3:$G$496,'B1 - Matriz de custos diretos'!$B$3:$B$496,$B34,'B1 - Matriz de custos diretos'!$C$3:$C$496,"Outros")*'A3 - Demanda Anual Agregada '!W11</f>
        <v>0</v>
      </c>
      <c r="X84" s="61">
        <f>SUMIFS('B1 - Matriz de custos diretos'!$G$3:$G$496,'B1 - Matriz de custos diretos'!$B$3:$B$496,$B34,'B1 - Matriz de custos diretos'!$C$3:$C$496,"Outros")*'A3 - Demanda Anual Agregada '!X11</f>
        <v>0</v>
      </c>
      <c r="Y84" s="61">
        <f>SUMIFS('B1 - Matriz de custos diretos'!$G$3:$G$496,'B1 - Matriz de custos diretos'!$B$3:$B$496,$B34,'B1 - Matriz de custos diretos'!$C$3:$C$496,"Outros")*'A3 - Demanda Anual Agregada '!Y11</f>
        <v>0</v>
      </c>
      <c r="Z84" s="61">
        <f>SUMIFS('B1 - Matriz de custos diretos'!$G$3:$G$496,'B1 - Matriz de custos diretos'!$B$3:$B$496,$B34,'B1 - Matriz de custos diretos'!$C$3:$C$496,"Outros")*'A3 - Demanda Anual Agregada '!Z11</f>
        <v>0</v>
      </c>
      <c r="AA84" s="61">
        <f>SUMIFS('B1 - Matriz de custos diretos'!$G$3:$G$496,'B1 - Matriz de custos diretos'!$B$3:$B$496,$B34,'B1 - Matriz de custos diretos'!$C$3:$C$496,"Outros")*'A3 - Demanda Anual Agregada '!AA11</f>
        <v>0</v>
      </c>
      <c r="AB84" s="61">
        <f>SUMIFS('B1 - Matriz de custos diretos'!$G$3:$G$496,'B1 - Matriz de custos diretos'!$B$3:$B$496,$B34,'B1 - Matriz de custos diretos'!$C$3:$C$496,"Outros")*'A3 - Demanda Anual Agregada '!AB11</f>
        <v>0</v>
      </c>
      <c r="AC84" s="61">
        <f>SUMIFS('B1 - Matriz de custos diretos'!$G$3:$G$496,'B1 - Matriz de custos diretos'!$B$3:$B$496,$B34,'B1 - Matriz de custos diretos'!$C$3:$C$496,"Outros")*'A3 - Demanda Anual Agregada '!AC11</f>
        <v>0</v>
      </c>
      <c r="AD84" s="61">
        <f>SUMIFS('B1 - Matriz de custos diretos'!$G$3:$G$496,'B1 - Matriz de custos diretos'!$B$3:$B$496,$B34,'B1 - Matriz de custos diretos'!$C$3:$C$496,"Outros")*'A3 - Demanda Anual Agregada '!AD11</f>
        <v>0</v>
      </c>
      <c r="AE84" s="61">
        <f>SUMIFS('B1 - Matriz de custos diretos'!$G$3:$G$496,'B1 - Matriz de custos diretos'!$B$3:$B$496,$B34,'B1 - Matriz de custos diretos'!$C$3:$C$496,"Outros")*'A3 - Demanda Anual Agregada '!AE11</f>
        <v>0</v>
      </c>
      <c r="AF84" s="61">
        <f>SUMIFS('B1 - Matriz de custos diretos'!$G$3:$G$496,'B1 - Matriz de custos diretos'!$B$3:$B$496,$B34,'B1 - Matriz de custos diretos'!$C$3:$C$496,"Outros")*'A3 - Demanda Anual Agregada '!AF11</f>
        <v>0</v>
      </c>
    </row>
    <row r="85" spans="1:32" ht="15.75" customHeight="1">
      <c r="A85" s="292"/>
      <c r="B85" s="60" t="str">
        <f>'A3 - Demanda Anual Agregada '!B12</f>
        <v>Silveira - Alimentação</v>
      </c>
      <c r="C85" s="61">
        <f>SUMIFS('B1 - Matriz de custos diretos'!$G$3:$G$496,'B1 - Matriz de custos diretos'!$B$3:$B$496,$B35,'B1 - Matriz de custos diretos'!$C$3:$C$496,"Outros")*'A3 - Demanda Anual Agregada '!C12</f>
        <v>0</v>
      </c>
      <c r="D85" s="61">
        <f>SUMIFS('B1 - Matriz de custos diretos'!$G$3:$G$496,'B1 - Matriz de custos diretos'!$B$3:$B$496,$B35,'B1 - Matriz de custos diretos'!$C$3:$C$496,"Outros")*'A3 - Demanda Anual Agregada '!D12</f>
        <v>0</v>
      </c>
      <c r="E85" s="61">
        <f>SUMIFS('B1 - Matriz de custos diretos'!$G$3:$G$496,'B1 - Matriz de custos diretos'!$B$3:$B$496,$B35,'B1 - Matriz de custos diretos'!$C$3:$C$496,"Outros")*'A3 - Demanda Anual Agregada '!E12</f>
        <v>0</v>
      </c>
      <c r="F85" s="61">
        <f>SUMIFS('B1 - Matriz de custos diretos'!$G$3:$G$496,'B1 - Matriz de custos diretos'!$B$3:$B$496,$B35,'B1 - Matriz de custos diretos'!$C$3:$C$496,"Outros")*'A3 - Demanda Anual Agregada '!F12</f>
        <v>0</v>
      </c>
      <c r="G85" s="61">
        <f>SUMIFS('B1 - Matriz de custos diretos'!$G$3:$G$496,'B1 - Matriz de custos diretos'!$B$3:$B$496,$B35,'B1 - Matriz de custos diretos'!$C$3:$C$496,"Outros")*'A3 - Demanda Anual Agregada '!G12</f>
        <v>0</v>
      </c>
      <c r="H85" s="61">
        <f>SUMIFS('B1 - Matriz de custos diretos'!$G$3:$G$496,'B1 - Matriz de custos diretos'!$B$3:$B$496,$B35,'B1 - Matriz de custos diretos'!$C$3:$C$496,"Outros")*'A3 - Demanda Anual Agregada '!H12</f>
        <v>0</v>
      </c>
      <c r="I85" s="61">
        <f>SUMIFS('B1 - Matriz de custos diretos'!$G$3:$G$496,'B1 - Matriz de custos diretos'!$B$3:$B$496,$B35,'B1 - Matriz de custos diretos'!$C$3:$C$496,"Outros")*'A3 - Demanda Anual Agregada '!I12</f>
        <v>0</v>
      </c>
      <c r="J85" s="61">
        <f>SUMIFS('B1 - Matriz de custos diretos'!$G$3:$G$496,'B1 - Matriz de custos diretos'!$B$3:$B$496,$B35,'B1 - Matriz de custos diretos'!$C$3:$C$496,"Outros")*'A3 - Demanda Anual Agregada '!J12</f>
        <v>0</v>
      </c>
      <c r="K85" s="61">
        <f>SUMIFS('B1 - Matriz de custos diretos'!$G$3:$G$496,'B1 - Matriz de custos diretos'!$B$3:$B$496,$B35,'B1 - Matriz de custos diretos'!$C$3:$C$496,"Outros")*'A3 - Demanda Anual Agregada '!K12</f>
        <v>0</v>
      </c>
      <c r="L85" s="61">
        <f>SUMIFS('B1 - Matriz de custos diretos'!$G$3:$G$496,'B1 - Matriz de custos diretos'!$B$3:$B$496,$B35,'B1 - Matriz de custos diretos'!$C$3:$C$496,"Outros")*'A3 - Demanda Anual Agregada '!L12</f>
        <v>0</v>
      </c>
      <c r="M85" s="61">
        <f>SUMIFS('B1 - Matriz de custos diretos'!$G$3:$G$496,'B1 - Matriz de custos diretos'!$B$3:$B$496,$B35,'B1 - Matriz de custos diretos'!$C$3:$C$496,"Outros")*'A3 - Demanda Anual Agregada '!M12</f>
        <v>0</v>
      </c>
      <c r="N85" s="61">
        <f>SUMIFS('B1 - Matriz de custos diretos'!$G$3:$G$496,'B1 - Matriz de custos diretos'!$B$3:$B$496,$B35,'B1 - Matriz de custos diretos'!$C$3:$C$496,"Outros")*'A3 - Demanda Anual Agregada '!N12</f>
        <v>0</v>
      </c>
      <c r="O85" s="61">
        <f>SUMIFS('B1 - Matriz de custos diretos'!$G$3:$G$496,'B1 - Matriz de custos diretos'!$B$3:$B$496,$B35,'B1 - Matriz de custos diretos'!$C$3:$C$496,"Outros")*'A3 - Demanda Anual Agregada '!O12</f>
        <v>0</v>
      </c>
      <c r="P85" s="61">
        <f>SUMIFS('B1 - Matriz de custos diretos'!$G$3:$G$496,'B1 - Matriz de custos diretos'!$B$3:$B$496,$B35,'B1 - Matriz de custos diretos'!$C$3:$C$496,"Outros")*'A3 - Demanda Anual Agregada '!P12</f>
        <v>0</v>
      </c>
      <c r="Q85" s="61">
        <f>SUMIFS('B1 - Matriz de custos diretos'!$G$3:$G$496,'B1 - Matriz de custos diretos'!$B$3:$B$496,$B35,'B1 - Matriz de custos diretos'!$C$3:$C$496,"Outros")*'A3 - Demanda Anual Agregada '!Q12</f>
        <v>0</v>
      </c>
      <c r="R85" s="61">
        <f>SUMIFS('B1 - Matriz de custos diretos'!$G$3:$G$496,'B1 - Matriz de custos diretos'!$B$3:$B$496,$B35,'B1 - Matriz de custos diretos'!$C$3:$C$496,"Outros")*'A3 - Demanda Anual Agregada '!R12</f>
        <v>0</v>
      </c>
      <c r="S85" s="61">
        <f>SUMIFS('B1 - Matriz de custos diretos'!$G$3:$G$496,'B1 - Matriz de custos diretos'!$B$3:$B$496,$B35,'B1 - Matriz de custos diretos'!$C$3:$C$496,"Outros")*'A3 - Demanda Anual Agregada '!S12</f>
        <v>0</v>
      </c>
      <c r="T85" s="61">
        <f>SUMIFS('B1 - Matriz de custos diretos'!$G$3:$G$496,'B1 - Matriz de custos diretos'!$B$3:$B$496,$B35,'B1 - Matriz de custos diretos'!$C$3:$C$496,"Outros")*'A3 - Demanda Anual Agregada '!T12</f>
        <v>0</v>
      </c>
      <c r="U85" s="61">
        <f>SUMIFS('B1 - Matriz de custos diretos'!$G$3:$G$496,'B1 - Matriz de custos diretos'!$B$3:$B$496,$B35,'B1 - Matriz de custos diretos'!$C$3:$C$496,"Outros")*'A3 - Demanda Anual Agregada '!U12</f>
        <v>0</v>
      </c>
      <c r="V85" s="61">
        <f>SUMIFS('B1 - Matriz de custos diretos'!$G$3:$G$496,'B1 - Matriz de custos diretos'!$B$3:$B$496,$B35,'B1 - Matriz de custos diretos'!$C$3:$C$496,"Outros")*'A3 - Demanda Anual Agregada '!V12</f>
        <v>0</v>
      </c>
      <c r="W85" s="61">
        <f>SUMIFS('B1 - Matriz de custos diretos'!$G$3:$G$496,'B1 - Matriz de custos diretos'!$B$3:$B$496,$B35,'B1 - Matriz de custos diretos'!$C$3:$C$496,"Outros")*'A3 - Demanda Anual Agregada '!W12</f>
        <v>0</v>
      </c>
      <c r="X85" s="61">
        <f>SUMIFS('B1 - Matriz de custos diretos'!$G$3:$G$496,'B1 - Matriz de custos diretos'!$B$3:$B$496,$B35,'B1 - Matriz de custos diretos'!$C$3:$C$496,"Outros")*'A3 - Demanda Anual Agregada '!X12</f>
        <v>0</v>
      </c>
      <c r="Y85" s="61">
        <f>SUMIFS('B1 - Matriz de custos diretos'!$G$3:$G$496,'B1 - Matriz de custos diretos'!$B$3:$B$496,$B35,'B1 - Matriz de custos diretos'!$C$3:$C$496,"Outros")*'A3 - Demanda Anual Agregada '!Y12</f>
        <v>0</v>
      </c>
      <c r="Z85" s="61">
        <f>SUMIFS('B1 - Matriz de custos diretos'!$G$3:$G$496,'B1 - Matriz de custos diretos'!$B$3:$B$496,$B35,'B1 - Matriz de custos diretos'!$C$3:$C$496,"Outros")*'A3 - Demanda Anual Agregada '!Z12</f>
        <v>0</v>
      </c>
      <c r="AA85" s="61">
        <f>SUMIFS('B1 - Matriz de custos diretos'!$G$3:$G$496,'B1 - Matriz de custos diretos'!$B$3:$B$496,$B35,'B1 - Matriz de custos diretos'!$C$3:$C$496,"Outros")*'A3 - Demanda Anual Agregada '!AA12</f>
        <v>0</v>
      </c>
      <c r="AB85" s="61">
        <f>SUMIFS('B1 - Matriz de custos diretos'!$G$3:$G$496,'B1 - Matriz de custos diretos'!$B$3:$B$496,$B35,'B1 - Matriz de custos diretos'!$C$3:$C$496,"Outros")*'A3 - Demanda Anual Agregada '!AB12</f>
        <v>0</v>
      </c>
      <c r="AC85" s="61">
        <f>SUMIFS('B1 - Matriz de custos diretos'!$G$3:$G$496,'B1 - Matriz de custos diretos'!$B$3:$B$496,$B35,'B1 - Matriz de custos diretos'!$C$3:$C$496,"Outros")*'A3 - Demanda Anual Agregada '!AC12</f>
        <v>0</v>
      </c>
      <c r="AD85" s="61">
        <f>SUMIFS('B1 - Matriz de custos diretos'!$G$3:$G$496,'B1 - Matriz de custos diretos'!$B$3:$B$496,$B35,'B1 - Matriz de custos diretos'!$C$3:$C$496,"Outros")*'A3 - Demanda Anual Agregada '!AD12</f>
        <v>0</v>
      </c>
      <c r="AE85" s="61">
        <f>SUMIFS('B1 - Matriz de custos diretos'!$G$3:$G$496,'B1 - Matriz de custos diretos'!$B$3:$B$496,$B35,'B1 - Matriz de custos diretos'!$C$3:$C$496,"Outros")*'A3 - Demanda Anual Agregada '!AE12</f>
        <v>0</v>
      </c>
      <c r="AF85" s="61">
        <f>SUMIFS('B1 - Matriz de custos diretos'!$G$3:$G$496,'B1 - Matriz de custos diretos'!$B$3:$B$496,$B35,'B1 - Matriz de custos diretos'!$C$3:$C$496,"Outros")*'A3 - Demanda Anual Agregada '!AF12</f>
        <v>0</v>
      </c>
    </row>
    <row r="86" spans="1:32" ht="15.75" customHeight="1">
      <c r="A86" s="292"/>
      <c r="B86" s="60" t="str">
        <f>'A3 - Demanda Anual Agregada '!B13</f>
        <v>Silveira - Comércio + Locação + Atividades</v>
      </c>
      <c r="C86" s="61">
        <f>SUMIFS('B1 - Matriz de custos diretos'!$G$3:$G$496,'B1 - Matriz de custos diretos'!$B$3:$B$496,$B36,'B1 - Matriz de custos diretos'!$C$3:$C$496,"Outros")*'A3 - Demanda Anual Agregada '!C13</f>
        <v>0</v>
      </c>
      <c r="D86" s="61">
        <f>SUMIFS('B1 - Matriz de custos diretos'!$G$3:$G$496,'B1 - Matriz de custos diretos'!$B$3:$B$496,$B36,'B1 - Matriz de custos diretos'!$C$3:$C$496,"Outros")*'A3 - Demanda Anual Agregada '!D13</f>
        <v>0</v>
      </c>
      <c r="E86" s="61">
        <f>SUMIFS('B1 - Matriz de custos diretos'!$G$3:$G$496,'B1 - Matriz de custos diretos'!$B$3:$B$496,$B36,'B1 - Matriz de custos diretos'!$C$3:$C$496,"Outros")*'A3 - Demanda Anual Agregada '!E13</f>
        <v>0</v>
      </c>
      <c r="F86" s="61">
        <f>SUMIFS('B1 - Matriz de custos diretos'!$G$3:$G$496,'B1 - Matriz de custos diretos'!$B$3:$B$496,$B36,'B1 - Matriz de custos diretos'!$C$3:$C$496,"Outros")*'A3 - Demanda Anual Agregada '!F13</f>
        <v>0</v>
      </c>
      <c r="G86" s="61">
        <f>SUMIFS('B1 - Matriz de custos diretos'!$G$3:$G$496,'B1 - Matriz de custos diretos'!$B$3:$B$496,$B36,'B1 - Matriz de custos diretos'!$C$3:$C$496,"Outros")*'A3 - Demanda Anual Agregada '!G13</f>
        <v>0</v>
      </c>
      <c r="H86" s="61">
        <f>SUMIFS('B1 - Matriz de custos diretos'!$G$3:$G$496,'B1 - Matriz de custos diretos'!$B$3:$B$496,$B36,'B1 - Matriz de custos diretos'!$C$3:$C$496,"Outros")*'A3 - Demanda Anual Agregada '!H13</f>
        <v>0</v>
      </c>
      <c r="I86" s="61">
        <f>SUMIFS('B1 - Matriz de custos diretos'!$G$3:$G$496,'B1 - Matriz de custos diretos'!$B$3:$B$496,$B36,'B1 - Matriz de custos diretos'!$C$3:$C$496,"Outros")*'A3 - Demanda Anual Agregada '!I13</f>
        <v>0</v>
      </c>
      <c r="J86" s="61">
        <f>SUMIFS('B1 - Matriz de custos diretos'!$G$3:$G$496,'B1 - Matriz de custos diretos'!$B$3:$B$496,$B36,'B1 - Matriz de custos diretos'!$C$3:$C$496,"Outros")*'A3 - Demanda Anual Agregada '!J13</f>
        <v>0</v>
      </c>
      <c r="K86" s="61">
        <f>SUMIFS('B1 - Matriz de custos diretos'!$G$3:$G$496,'B1 - Matriz de custos diretos'!$B$3:$B$496,$B36,'B1 - Matriz de custos diretos'!$C$3:$C$496,"Outros")*'A3 - Demanda Anual Agregada '!K13</f>
        <v>0</v>
      </c>
      <c r="L86" s="61">
        <f>SUMIFS('B1 - Matriz de custos diretos'!$G$3:$G$496,'B1 - Matriz de custos diretos'!$B$3:$B$496,$B36,'B1 - Matriz de custos diretos'!$C$3:$C$496,"Outros")*'A3 - Demanda Anual Agregada '!L13</f>
        <v>0</v>
      </c>
      <c r="M86" s="61">
        <f>SUMIFS('B1 - Matriz de custos diretos'!$G$3:$G$496,'B1 - Matriz de custos diretos'!$B$3:$B$496,$B36,'B1 - Matriz de custos diretos'!$C$3:$C$496,"Outros")*'A3 - Demanda Anual Agregada '!M13</f>
        <v>0</v>
      </c>
      <c r="N86" s="61">
        <f>SUMIFS('B1 - Matriz de custos diretos'!$G$3:$G$496,'B1 - Matriz de custos diretos'!$B$3:$B$496,$B36,'B1 - Matriz de custos diretos'!$C$3:$C$496,"Outros")*'A3 - Demanda Anual Agregada '!N13</f>
        <v>0</v>
      </c>
      <c r="O86" s="61">
        <f>SUMIFS('B1 - Matriz de custos diretos'!$G$3:$G$496,'B1 - Matriz de custos diretos'!$B$3:$B$496,$B36,'B1 - Matriz de custos diretos'!$C$3:$C$496,"Outros")*'A3 - Demanda Anual Agregada '!O13</f>
        <v>0</v>
      </c>
      <c r="P86" s="61">
        <f>SUMIFS('B1 - Matriz de custos diretos'!$G$3:$G$496,'B1 - Matriz de custos diretos'!$B$3:$B$496,$B36,'B1 - Matriz de custos diretos'!$C$3:$C$496,"Outros")*'A3 - Demanda Anual Agregada '!P13</f>
        <v>0</v>
      </c>
      <c r="Q86" s="61">
        <f>SUMIFS('B1 - Matriz de custos diretos'!$G$3:$G$496,'B1 - Matriz de custos diretos'!$B$3:$B$496,$B36,'B1 - Matriz de custos diretos'!$C$3:$C$496,"Outros")*'A3 - Demanda Anual Agregada '!Q13</f>
        <v>0</v>
      </c>
      <c r="R86" s="61">
        <f>SUMIFS('B1 - Matriz de custos diretos'!$G$3:$G$496,'B1 - Matriz de custos diretos'!$B$3:$B$496,$B36,'B1 - Matriz de custos diretos'!$C$3:$C$496,"Outros")*'A3 - Demanda Anual Agregada '!R13</f>
        <v>0</v>
      </c>
      <c r="S86" s="61">
        <f>SUMIFS('B1 - Matriz de custos diretos'!$G$3:$G$496,'B1 - Matriz de custos diretos'!$B$3:$B$496,$B36,'B1 - Matriz de custos diretos'!$C$3:$C$496,"Outros")*'A3 - Demanda Anual Agregada '!S13</f>
        <v>0</v>
      </c>
      <c r="T86" s="61">
        <f>SUMIFS('B1 - Matriz de custos diretos'!$G$3:$G$496,'B1 - Matriz de custos diretos'!$B$3:$B$496,$B36,'B1 - Matriz de custos diretos'!$C$3:$C$496,"Outros")*'A3 - Demanda Anual Agregada '!T13</f>
        <v>0</v>
      </c>
      <c r="U86" s="61">
        <f>SUMIFS('B1 - Matriz de custos diretos'!$G$3:$G$496,'B1 - Matriz de custos diretos'!$B$3:$B$496,$B36,'B1 - Matriz de custos diretos'!$C$3:$C$496,"Outros")*'A3 - Demanda Anual Agregada '!U13</f>
        <v>0</v>
      </c>
      <c r="V86" s="61">
        <f>SUMIFS('B1 - Matriz de custos diretos'!$G$3:$G$496,'B1 - Matriz de custos diretos'!$B$3:$B$496,$B36,'B1 - Matriz de custos diretos'!$C$3:$C$496,"Outros")*'A3 - Demanda Anual Agregada '!V13</f>
        <v>0</v>
      </c>
      <c r="W86" s="61">
        <f>SUMIFS('B1 - Matriz de custos diretos'!$G$3:$G$496,'B1 - Matriz de custos diretos'!$B$3:$B$496,$B36,'B1 - Matriz de custos diretos'!$C$3:$C$496,"Outros")*'A3 - Demanda Anual Agregada '!W13</f>
        <v>0</v>
      </c>
      <c r="X86" s="61">
        <f>SUMIFS('B1 - Matriz de custos diretos'!$G$3:$G$496,'B1 - Matriz de custos diretos'!$B$3:$B$496,$B36,'B1 - Matriz de custos diretos'!$C$3:$C$496,"Outros")*'A3 - Demanda Anual Agregada '!X13</f>
        <v>0</v>
      </c>
      <c r="Y86" s="61">
        <f>SUMIFS('B1 - Matriz de custos diretos'!$G$3:$G$496,'B1 - Matriz de custos diretos'!$B$3:$B$496,$B36,'B1 - Matriz de custos diretos'!$C$3:$C$496,"Outros")*'A3 - Demanda Anual Agregada '!Y13</f>
        <v>0</v>
      </c>
      <c r="Z86" s="61">
        <f>SUMIFS('B1 - Matriz de custos diretos'!$G$3:$G$496,'B1 - Matriz de custos diretos'!$B$3:$B$496,$B36,'B1 - Matriz de custos diretos'!$C$3:$C$496,"Outros")*'A3 - Demanda Anual Agregada '!Z13</f>
        <v>0</v>
      </c>
      <c r="AA86" s="61">
        <f>SUMIFS('B1 - Matriz de custos diretos'!$G$3:$G$496,'B1 - Matriz de custos diretos'!$B$3:$B$496,$B36,'B1 - Matriz de custos diretos'!$C$3:$C$496,"Outros")*'A3 - Demanda Anual Agregada '!AA13</f>
        <v>0</v>
      </c>
      <c r="AB86" s="61">
        <f>SUMIFS('B1 - Matriz de custos diretos'!$G$3:$G$496,'B1 - Matriz de custos diretos'!$B$3:$B$496,$B36,'B1 - Matriz de custos diretos'!$C$3:$C$496,"Outros")*'A3 - Demanda Anual Agregada '!AB13</f>
        <v>0</v>
      </c>
      <c r="AC86" s="61">
        <f>SUMIFS('B1 - Matriz de custos diretos'!$G$3:$G$496,'B1 - Matriz de custos diretos'!$B$3:$B$496,$B36,'B1 - Matriz de custos diretos'!$C$3:$C$496,"Outros")*'A3 - Demanda Anual Agregada '!AC13</f>
        <v>0</v>
      </c>
      <c r="AD86" s="61">
        <f>SUMIFS('B1 - Matriz de custos diretos'!$G$3:$G$496,'B1 - Matriz de custos diretos'!$B$3:$B$496,$B36,'B1 - Matriz de custos diretos'!$C$3:$C$496,"Outros")*'A3 - Demanda Anual Agregada '!AD13</f>
        <v>0</v>
      </c>
      <c r="AE86" s="61">
        <f>SUMIFS('B1 - Matriz de custos diretos'!$G$3:$G$496,'B1 - Matriz de custos diretos'!$B$3:$B$496,$B36,'B1 - Matriz de custos diretos'!$C$3:$C$496,"Outros")*'A3 - Demanda Anual Agregada '!AE13</f>
        <v>0</v>
      </c>
      <c r="AF86" s="61">
        <f>SUMIFS('B1 - Matriz de custos diretos'!$G$3:$G$496,'B1 - Matriz de custos diretos'!$B$3:$B$496,$B36,'B1 - Matriz de custos diretos'!$C$3:$C$496,"Outros")*'A3 - Demanda Anual Agregada '!AF13</f>
        <v>0</v>
      </c>
    </row>
    <row r="87" spans="1:32" ht="15.75" customHeight="1">
      <c r="A87" s="292"/>
      <c r="B87" s="60" t="str">
        <f>'A3 - Demanda Anual Agregada '!B14</f>
        <v>Silveira - Hospedagem</v>
      </c>
      <c r="C87" s="61">
        <f>SUMIFS('B1 - Matriz de custos diretos'!$G$3:$G$496,'B1 - Matriz de custos diretos'!$B$3:$B$496,$B37,'B1 - Matriz de custos diretos'!$C$3:$C$496,"Outros")*'A3 - Demanda Anual Agregada '!C14</f>
        <v>0</v>
      </c>
      <c r="D87" s="61">
        <f>SUMIFS('B1 - Matriz de custos diretos'!$G$3:$G$496,'B1 - Matriz de custos diretos'!$B$3:$B$496,$B37,'B1 - Matriz de custos diretos'!$C$3:$C$496,"Outros")*'A3 - Demanda Anual Agregada '!D14</f>
        <v>0</v>
      </c>
      <c r="E87" s="61">
        <f>SUMIFS('B1 - Matriz de custos diretos'!$G$3:$G$496,'B1 - Matriz de custos diretos'!$B$3:$B$496,$B37,'B1 - Matriz de custos diretos'!$C$3:$C$496,"Outros")*'A3 - Demanda Anual Agregada '!E14</f>
        <v>0</v>
      </c>
      <c r="F87" s="61">
        <f>SUMIFS('B1 - Matriz de custos diretos'!$G$3:$G$496,'B1 - Matriz de custos diretos'!$B$3:$B$496,$B37,'B1 - Matriz de custos diretos'!$C$3:$C$496,"Outros")*'A3 - Demanda Anual Agregada '!F14</f>
        <v>0</v>
      </c>
      <c r="G87" s="61">
        <f>SUMIFS('B1 - Matriz de custos diretos'!$G$3:$G$496,'B1 - Matriz de custos diretos'!$B$3:$B$496,$B37,'B1 - Matriz de custos diretos'!$C$3:$C$496,"Outros")*'A3 - Demanda Anual Agregada '!G14</f>
        <v>0</v>
      </c>
      <c r="H87" s="61">
        <f>SUMIFS('B1 - Matriz de custos diretos'!$G$3:$G$496,'B1 - Matriz de custos diretos'!$B$3:$B$496,$B37,'B1 - Matriz de custos diretos'!$C$3:$C$496,"Outros")*'A3 - Demanda Anual Agregada '!H14</f>
        <v>0</v>
      </c>
      <c r="I87" s="61">
        <f>SUMIFS('B1 - Matriz de custos diretos'!$G$3:$G$496,'B1 - Matriz de custos diretos'!$B$3:$B$496,$B37,'B1 - Matriz de custos diretos'!$C$3:$C$496,"Outros")*'A3 - Demanda Anual Agregada '!I14</f>
        <v>0</v>
      </c>
      <c r="J87" s="61">
        <f>SUMIFS('B1 - Matriz de custos diretos'!$G$3:$G$496,'B1 - Matriz de custos diretos'!$B$3:$B$496,$B37,'B1 - Matriz de custos diretos'!$C$3:$C$496,"Outros")*'A3 - Demanda Anual Agregada '!J14</f>
        <v>0</v>
      </c>
      <c r="K87" s="61">
        <f>SUMIFS('B1 - Matriz de custos diretos'!$G$3:$G$496,'B1 - Matriz de custos diretos'!$B$3:$B$496,$B37,'B1 - Matriz de custos diretos'!$C$3:$C$496,"Outros")*'A3 - Demanda Anual Agregada '!K14</f>
        <v>0</v>
      </c>
      <c r="L87" s="61">
        <f>SUMIFS('B1 - Matriz de custos diretos'!$G$3:$G$496,'B1 - Matriz de custos diretos'!$B$3:$B$496,$B37,'B1 - Matriz de custos diretos'!$C$3:$C$496,"Outros")*'A3 - Demanda Anual Agregada '!L14</f>
        <v>0</v>
      </c>
      <c r="M87" s="61">
        <f>SUMIFS('B1 - Matriz de custos diretos'!$G$3:$G$496,'B1 - Matriz de custos diretos'!$B$3:$B$496,$B37,'B1 - Matriz de custos diretos'!$C$3:$C$496,"Outros")*'A3 - Demanda Anual Agregada '!M14</f>
        <v>0</v>
      </c>
      <c r="N87" s="61">
        <f>SUMIFS('B1 - Matriz de custos diretos'!$G$3:$G$496,'B1 - Matriz de custos diretos'!$B$3:$B$496,$B37,'B1 - Matriz de custos diretos'!$C$3:$C$496,"Outros")*'A3 - Demanda Anual Agregada '!N14</f>
        <v>0</v>
      </c>
      <c r="O87" s="61">
        <f>SUMIFS('B1 - Matriz de custos diretos'!$G$3:$G$496,'B1 - Matriz de custos diretos'!$B$3:$B$496,$B37,'B1 - Matriz de custos diretos'!$C$3:$C$496,"Outros")*'A3 - Demanda Anual Agregada '!O14</f>
        <v>0</v>
      </c>
      <c r="P87" s="61">
        <f>SUMIFS('B1 - Matriz de custos diretos'!$G$3:$G$496,'B1 - Matriz de custos diretos'!$B$3:$B$496,$B37,'B1 - Matriz de custos diretos'!$C$3:$C$496,"Outros")*'A3 - Demanda Anual Agregada '!P14</f>
        <v>0</v>
      </c>
      <c r="Q87" s="61">
        <f>SUMIFS('B1 - Matriz de custos diretos'!$G$3:$G$496,'B1 - Matriz de custos diretos'!$B$3:$B$496,$B37,'B1 - Matriz de custos diretos'!$C$3:$C$496,"Outros")*'A3 - Demanda Anual Agregada '!Q14</f>
        <v>0</v>
      </c>
      <c r="R87" s="61">
        <f>SUMIFS('B1 - Matriz de custos diretos'!$G$3:$G$496,'B1 - Matriz de custos diretos'!$B$3:$B$496,$B37,'B1 - Matriz de custos diretos'!$C$3:$C$496,"Outros")*'A3 - Demanda Anual Agregada '!R14</f>
        <v>0</v>
      </c>
      <c r="S87" s="61">
        <f>SUMIFS('B1 - Matriz de custos diretos'!$G$3:$G$496,'B1 - Matriz de custos diretos'!$B$3:$B$496,$B37,'B1 - Matriz de custos diretos'!$C$3:$C$496,"Outros")*'A3 - Demanda Anual Agregada '!S14</f>
        <v>0</v>
      </c>
      <c r="T87" s="61">
        <f>SUMIFS('B1 - Matriz de custos diretos'!$G$3:$G$496,'B1 - Matriz de custos diretos'!$B$3:$B$496,$B37,'B1 - Matriz de custos diretos'!$C$3:$C$496,"Outros")*'A3 - Demanda Anual Agregada '!T14</f>
        <v>0</v>
      </c>
      <c r="U87" s="61">
        <f>SUMIFS('B1 - Matriz de custos diretos'!$G$3:$G$496,'B1 - Matriz de custos diretos'!$B$3:$B$496,$B37,'B1 - Matriz de custos diretos'!$C$3:$C$496,"Outros")*'A3 - Demanda Anual Agregada '!U14</f>
        <v>0</v>
      </c>
      <c r="V87" s="61">
        <f>SUMIFS('B1 - Matriz de custos diretos'!$G$3:$G$496,'B1 - Matriz de custos diretos'!$B$3:$B$496,$B37,'B1 - Matriz de custos diretos'!$C$3:$C$496,"Outros")*'A3 - Demanda Anual Agregada '!V14</f>
        <v>0</v>
      </c>
      <c r="W87" s="61">
        <f>SUMIFS('B1 - Matriz de custos diretos'!$G$3:$G$496,'B1 - Matriz de custos diretos'!$B$3:$B$496,$B37,'B1 - Matriz de custos diretos'!$C$3:$C$496,"Outros")*'A3 - Demanda Anual Agregada '!W14</f>
        <v>0</v>
      </c>
      <c r="X87" s="61">
        <f>SUMIFS('B1 - Matriz de custos diretos'!$G$3:$G$496,'B1 - Matriz de custos diretos'!$B$3:$B$496,$B37,'B1 - Matriz de custos diretos'!$C$3:$C$496,"Outros")*'A3 - Demanda Anual Agregada '!X14</f>
        <v>0</v>
      </c>
      <c r="Y87" s="61">
        <f>SUMIFS('B1 - Matriz de custos diretos'!$G$3:$G$496,'B1 - Matriz de custos diretos'!$B$3:$B$496,$B37,'B1 - Matriz de custos diretos'!$C$3:$C$496,"Outros")*'A3 - Demanda Anual Agregada '!Y14</f>
        <v>0</v>
      </c>
      <c r="Z87" s="61">
        <f>SUMIFS('B1 - Matriz de custos diretos'!$G$3:$G$496,'B1 - Matriz de custos diretos'!$B$3:$B$496,$B37,'B1 - Matriz de custos diretos'!$C$3:$C$496,"Outros")*'A3 - Demanda Anual Agregada '!Z14</f>
        <v>0</v>
      </c>
      <c r="AA87" s="61">
        <f>SUMIFS('B1 - Matriz de custos diretos'!$G$3:$G$496,'B1 - Matriz de custos diretos'!$B$3:$B$496,$B37,'B1 - Matriz de custos diretos'!$C$3:$C$496,"Outros")*'A3 - Demanda Anual Agregada '!AA14</f>
        <v>0</v>
      </c>
      <c r="AB87" s="61">
        <f>SUMIFS('B1 - Matriz de custos diretos'!$G$3:$G$496,'B1 - Matriz de custos diretos'!$B$3:$B$496,$B37,'B1 - Matriz de custos diretos'!$C$3:$C$496,"Outros")*'A3 - Demanda Anual Agregada '!AB14</f>
        <v>0</v>
      </c>
      <c r="AC87" s="61">
        <f>SUMIFS('B1 - Matriz de custos diretos'!$G$3:$G$496,'B1 - Matriz de custos diretos'!$B$3:$B$496,$B37,'B1 - Matriz de custos diretos'!$C$3:$C$496,"Outros")*'A3 - Demanda Anual Agregada '!AC14</f>
        <v>0</v>
      </c>
      <c r="AD87" s="61">
        <f>SUMIFS('B1 - Matriz de custos diretos'!$G$3:$G$496,'B1 - Matriz de custos diretos'!$B$3:$B$496,$B37,'B1 - Matriz de custos diretos'!$C$3:$C$496,"Outros")*'A3 - Demanda Anual Agregada '!AD14</f>
        <v>0</v>
      </c>
      <c r="AE87" s="61">
        <f>SUMIFS('B1 - Matriz de custos diretos'!$G$3:$G$496,'B1 - Matriz de custos diretos'!$B$3:$B$496,$B37,'B1 - Matriz de custos diretos'!$C$3:$C$496,"Outros")*'A3 - Demanda Anual Agregada '!AE14</f>
        <v>0</v>
      </c>
      <c r="AF87" s="61">
        <f>SUMIFS('B1 - Matriz de custos diretos'!$G$3:$G$496,'B1 - Matriz de custos diretos'!$B$3:$B$496,$B37,'B1 - Matriz de custos diretos'!$C$3:$C$496,"Outros")*'A3 - Demanda Anual Agregada '!AF14</f>
        <v>0</v>
      </c>
    </row>
    <row r="88" spans="1:32" ht="15.75" customHeight="1">
      <c r="A88" s="292"/>
      <c r="B88" s="60" t="str">
        <f>'A3 - Demanda Anual Agregada '!B15</f>
        <v>Pedra Furada - Alimentação</v>
      </c>
      <c r="C88" s="61">
        <f>SUMIFS('B1 - Matriz de custos diretos'!$G$3:$G$496,'B1 - Matriz de custos diretos'!$B$3:$B$496,$B38,'B1 - Matriz de custos diretos'!$C$3:$C$496,"Outros")*'A3 - Demanda Anual Agregada '!C15</f>
        <v>0</v>
      </c>
      <c r="D88" s="61">
        <f>SUMIFS('B1 - Matriz de custos diretos'!$G$3:$G$496,'B1 - Matriz de custos diretos'!$B$3:$B$496,$B38,'B1 - Matriz de custos diretos'!$C$3:$C$496,"Outros")*'A3 - Demanda Anual Agregada '!D15</f>
        <v>0</v>
      </c>
      <c r="E88" s="61">
        <f>SUMIFS('B1 - Matriz de custos diretos'!$G$3:$G$496,'B1 - Matriz de custos diretos'!$B$3:$B$496,$B38,'B1 - Matriz de custos diretos'!$C$3:$C$496,"Outros")*'A3 - Demanda Anual Agregada '!E15</f>
        <v>0</v>
      </c>
      <c r="F88" s="61">
        <f>SUMIFS('B1 - Matriz de custos diretos'!$G$3:$G$496,'B1 - Matriz de custos diretos'!$B$3:$B$496,$B38,'B1 - Matriz de custos diretos'!$C$3:$C$496,"Outros")*'A3 - Demanda Anual Agregada '!F15</f>
        <v>0</v>
      </c>
      <c r="G88" s="61">
        <f>SUMIFS('B1 - Matriz de custos diretos'!$G$3:$G$496,'B1 - Matriz de custos diretos'!$B$3:$B$496,$B38,'B1 - Matriz de custos diretos'!$C$3:$C$496,"Outros")*'A3 - Demanda Anual Agregada '!G15</f>
        <v>0</v>
      </c>
      <c r="H88" s="61">
        <f>SUMIFS('B1 - Matriz de custos diretos'!$G$3:$G$496,'B1 - Matriz de custos diretos'!$B$3:$B$496,$B38,'B1 - Matriz de custos diretos'!$C$3:$C$496,"Outros")*'A3 - Demanda Anual Agregada '!H15</f>
        <v>0</v>
      </c>
      <c r="I88" s="61">
        <f>SUMIFS('B1 - Matriz de custos diretos'!$G$3:$G$496,'B1 - Matriz de custos diretos'!$B$3:$B$496,$B38,'B1 - Matriz de custos diretos'!$C$3:$C$496,"Outros")*'A3 - Demanda Anual Agregada '!I15</f>
        <v>0</v>
      </c>
      <c r="J88" s="61">
        <f>SUMIFS('B1 - Matriz de custos diretos'!$G$3:$G$496,'B1 - Matriz de custos diretos'!$B$3:$B$496,$B38,'B1 - Matriz de custos diretos'!$C$3:$C$496,"Outros")*'A3 - Demanda Anual Agregada '!J15</f>
        <v>0</v>
      </c>
      <c r="K88" s="61">
        <f>SUMIFS('B1 - Matriz de custos diretos'!$G$3:$G$496,'B1 - Matriz de custos diretos'!$B$3:$B$496,$B38,'B1 - Matriz de custos diretos'!$C$3:$C$496,"Outros")*'A3 - Demanda Anual Agregada '!K15</f>
        <v>0</v>
      </c>
      <c r="L88" s="61">
        <f>SUMIFS('B1 - Matriz de custos diretos'!$G$3:$G$496,'B1 - Matriz de custos diretos'!$B$3:$B$496,$B38,'B1 - Matriz de custos diretos'!$C$3:$C$496,"Outros")*'A3 - Demanda Anual Agregada '!L15</f>
        <v>0</v>
      </c>
      <c r="M88" s="61">
        <f>SUMIFS('B1 - Matriz de custos diretos'!$G$3:$G$496,'B1 - Matriz de custos diretos'!$B$3:$B$496,$B38,'B1 - Matriz de custos diretos'!$C$3:$C$496,"Outros")*'A3 - Demanda Anual Agregada '!M15</f>
        <v>0</v>
      </c>
      <c r="N88" s="61">
        <f>SUMIFS('B1 - Matriz de custos diretos'!$G$3:$G$496,'B1 - Matriz de custos diretos'!$B$3:$B$496,$B38,'B1 - Matriz de custos diretos'!$C$3:$C$496,"Outros")*'A3 - Demanda Anual Agregada '!N15</f>
        <v>0</v>
      </c>
      <c r="O88" s="61">
        <f>SUMIFS('B1 - Matriz de custos diretos'!$G$3:$G$496,'B1 - Matriz de custos diretos'!$B$3:$B$496,$B38,'B1 - Matriz de custos diretos'!$C$3:$C$496,"Outros")*'A3 - Demanda Anual Agregada '!O15</f>
        <v>0</v>
      </c>
      <c r="P88" s="61">
        <f>SUMIFS('B1 - Matriz de custos diretos'!$G$3:$G$496,'B1 - Matriz de custos diretos'!$B$3:$B$496,$B38,'B1 - Matriz de custos diretos'!$C$3:$C$496,"Outros")*'A3 - Demanda Anual Agregada '!P15</f>
        <v>0</v>
      </c>
      <c r="Q88" s="61">
        <f>SUMIFS('B1 - Matriz de custos diretos'!$G$3:$G$496,'B1 - Matriz de custos diretos'!$B$3:$B$496,$B38,'B1 - Matriz de custos diretos'!$C$3:$C$496,"Outros")*'A3 - Demanda Anual Agregada '!Q15</f>
        <v>0</v>
      </c>
      <c r="R88" s="61">
        <f>SUMIFS('B1 - Matriz de custos diretos'!$G$3:$G$496,'B1 - Matriz de custos diretos'!$B$3:$B$496,$B38,'B1 - Matriz de custos diretos'!$C$3:$C$496,"Outros")*'A3 - Demanda Anual Agregada '!R15</f>
        <v>0</v>
      </c>
      <c r="S88" s="61">
        <f>SUMIFS('B1 - Matriz de custos diretos'!$G$3:$G$496,'B1 - Matriz de custos diretos'!$B$3:$B$496,$B38,'B1 - Matriz de custos diretos'!$C$3:$C$496,"Outros")*'A3 - Demanda Anual Agregada '!S15</f>
        <v>0</v>
      </c>
      <c r="T88" s="61">
        <f>SUMIFS('B1 - Matriz de custos diretos'!$G$3:$G$496,'B1 - Matriz de custos diretos'!$B$3:$B$496,$B38,'B1 - Matriz de custos diretos'!$C$3:$C$496,"Outros")*'A3 - Demanda Anual Agregada '!T15</f>
        <v>0</v>
      </c>
      <c r="U88" s="61">
        <f>SUMIFS('B1 - Matriz de custos diretos'!$G$3:$G$496,'B1 - Matriz de custos diretos'!$B$3:$B$496,$B38,'B1 - Matriz de custos diretos'!$C$3:$C$496,"Outros")*'A3 - Demanda Anual Agregada '!U15</f>
        <v>0</v>
      </c>
      <c r="V88" s="61">
        <f>SUMIFS('B1 - Matriz de custos diretos'!$G$3:$G$496,'B1 - Matriz de custos diretos'!$B$3:$B$496,$B38,'B1 - Matriz de custos diretos'!$C$3:$C$496,"Outros")*'A3 - Demanda Anual Agregada '!V15</f>
        <v>0</v>
      </c>
      <c r="W88" s="61">
        <f>SUMIFS('B1 - Matriz de custos diretos'!$G$3:$G$496,'B1 - Matriz de custos diretos'!$B$3:$B$496,$B38,'B1 - Matriz de custos diretos'!$C$3:$C$496,"Outros")*'A3 - Demanda Anual Agregada '!W15</f>
        <v>0</v>
      </c>
      <c r="X88" s="61">
        <f>SUMIFS('B1 - Matriz de custos diretos'!$G$3:$G$496,'B1 - Matriz de custos diretos'!$B$3:$B$496,$B38,'B1 - Matriz de custos diretos'!$C$3:$C$496,"Outros")*'A3 - Demanda Anual Agregada '!X15</f>
        <v>0</v>
      </c>
      <c r="Y88" s="61">
        <f>SUMIFS('B1 - Matriz de custos diretos'!$G$3:$G$496,'B1 - Matriz de custos diretos'!$B$3:$B$496,$B38,'B1 - Matriz de custos diretos'!$C$3:$C$496,"Outros")*'A3 - Demanda Anual Agregada '!Y15</f>
        <v>0</v>
      </c>
      <c r="Z88" s="61">
        <f>SUMIFS('B1 - Matriz de custos diretos'!$G$3:$G$496,'B1 - Matriz de custos diretos'!$B$3:$B$496,$B38,'B1 - Matriz de custos diretos'!$C$3:$C$496,"Outros")*'A3 - Demanda Anual Agregada '!Z15</f>
        <v>0</v>
      </c>
      <c r="AA88" s="61">
        <f>SUMIFS('B1 - Matriz de custos diretos'!$G$3:$G$496,'B1 - Matriz de custos diretos'!$B$3:$B$496,$B38,'B1 - Matriz de custos diretos'!$C$3:$C$496,"Outros")*'A3 - Demanda Anual Agregada '!AA15</f>
        <v>0</v>
      </c>
      <c r="AB88" s="61">
        <f>SUMIFS('B1 - Matriz de custos diretos'!$G$3:$G$496,'B1 - Matriz de custos diretos'!$B$3:$B$496,$B38,'B1 - Matriz de custos diretos'!$C$3:$C$496,"Outros")*'A3 - Demanda Anual Agregada '!AB15</f>
        <v>0</v>
      </c>
      <c r="AC88" s="61">
        <f>SUMIFS('B1 - Matriz de custos diretos'!$G$3:$G$496,'B1 - Matriz de custos diretos'!$B$3:$B$496,$B38,'B1 - Matriz de custos diretos'!$C$3:$C$496,"Outros")*'A3 - Demanda Anual Agregada '!AC15</f>
        <v>0</v>
      </c>
      <c r="AD88" s="61">
        <f>SUMIFS('B1 - Matriz de custos diretos'!$G$3:$G$496,'B1 - Matriz de custos diretos'!$B$3:$B$496,$B38,'B1 - Matriz de custos diretos'!$C$3:$C$496,"Outros")*'A3 - Demanda Anual Agregada '!AD15</f>
        <v>0</v>
      </c>
      <c r="AE88" s="61">
        <f>SUMIFS('B1 - Matriz de custos diretos'!$G$3:$G$496,'B1 - Matriz de custos diretos'!$B$3:$B$496,$B38,'B1 - Matriz de custos diretos'!$C$3:$C$496,"Outros")*'A3 - Demanda Anual Agregada '!AE15</f>
        <v>0</v>
      </c>
      <c r="AF88" s="61">
        <f>SUMIFS('B1 - Matriz de custos diretos'!$G$3:$G$496,'B1 - Matriz de custos diretos'!$B$3:$B$496,$B38,'B1 - Matriz de custos diretos'!$C$3:$C$496,"Outros")*'A3 - Demanda Anual Agregada '!AF15</f>
        <v>0</v>
      </c>
    </row>
    <row r="89" spans="1:32" ht="15.75" customHeight="1">
      <c r="A89" s="292"/>
      <c r="B89" s="60" t="str">
        <f>'A3 - Demanda Anual Agregada '!B16</f>
        <v>Pedra Furada - Comércio</v>
      </c>
      <c r="C89" s="61">
        <f>SUMIFS('B1 - Matriz de custos diretos'!$G$3:$G$496,'B1 - Matriz de custos diretos'!$B$3:$B$496,$B39,'B1 - Matriz de custos diretos'!$C$3:$C$496,"Outros")*'A3 - Demanda Anual Agregada '!C16</f>
        <v>0</v>
      </c>
      <c r="D89" s="61">
        <f>SUMIFS('B1 - Matriz de custos diretos'!$G$3:$G$496,'B1 - Matriz de custos diretos'!$B$3:$B$496,$B39,'B1 - Matriz de custos diretos'!$C$3:$C$496,"Outros")*'A3 - Demanda Anual Agregada '!D16</f>
        <v>0</v>
      </c>
      <c r="E89" s="61">
        <f>SUMIFS('B1 - Matriz de custos diretos'!$G$3:$G$496,'B1 - Matriz de custos diretos'!$B$3:$B$496,$B39,'B1 - Matriz de custos diretos'!$C$3:$C$496,"Outros")*'A3 - Demanda Anual Agregada '!E16</f>
        <v>0</v>
      </c>
      <c r="F89" s="61">
        <f>SUMIFS('B1 - Matriz de custos diretos'!$G$3:$G$496,'B1 - Matriz de custos diretos'!$B$3:$B$496,$B39,'B1 - Matriz de custos diretos'!$C$3:$C$496,"Outros")*'A3 - Demanda Anual Agregada '!F16</f>
        <v>0</v>
      </c>
      <c r="G89" s="61">
        <f>SUMIFS('B1 - Matriz de custos diretos'!$G$3:$G$496,'B1 - Matriz de custos diretos'!$B$3:$B$496,$B39,'B1 - Matriz de custos diretos'!$C$3:$C$496,"Outros")*'A3 - Demanda Anual Agregada '!G16</f>
        <v>0</v>
      </c>
      <c r="H89" s="61">
        <f>SUMIFS('B1 - Matriz de custos diretos'!$G$3:$G$496,'B1 - Matriz de custos diretos'!$B$3:$B$496,$B39,'B1 - Matriz de custos diretos'!$C$3:$C$496,"Outros")*'A3 - Demanda Anual Agregada '!H16</f>
        <v>0</v>
      </c>
      <c r="I89" s="61">
        <f>SUMIFS('B1 - Matriz de custos diretos'!$G$3:$G$496,'B1 - Matriz de custos diretos'!$B$3:$B$496,$B39,'B1 - Matriz de custos diretos'!$C$3:$C$496,"Outros")*'A3 - Demanda Anual Agregada '!I16</f>
        <v>0</v>
      </c>
      <c r="J89" s="61">
        <f>SUMIFS('B1 - Matriz de custos diretos'!$G$3:$G$496,'B1 - Matriz de custos diretos'!$B$3:$B$496,$B39,'B1 - Matriz de custos diretos'!$C$3:$C$496,"Outros")*'A3 - Demanda Anual Agregada '!J16</f>
        <v>0</v>
      </c>
      <c r="K89" s="61">
        <f>SUMIFS('B1 - Matriz de custos diretos'!$G$3:$G$496,'B1 - Matriz de custos diretos'!$B$3:$B$496,$B39,'B1 - Matriz de custos diretos'!$C$3:$C$496,"Outros")*'A3 - Demanda Anual Agregada '!K16</f>
        <v>0</v>
      </c>
      <c r="L89" s="61">
        <f>SUMIFS('B1 - Matriz de custos diretos'!$G$3:$G$496,'B1 - Matriz de custos diretos'!$B$3:$B$496,$B39,'B1 - Matriz de custos diretos'!$C$3:$C$496,"Outros")*'A3 - Demanda Anual Agregada '!L16</f>
        <v>0</v>
      </c>
      <c r="M89" s="61">
        <f>SUMIFS('B1 - Matriz de custos diretos'!$G$3:$G$496,'B1 - Matriz de custos diretos'!$B$3:$B$496,$B39,'B1 - Matriz de custos diretos'!$C$3:$C$496,"Outros")*'A3 - Demanda Anual Agregada '!M16</f>
        <v>0</v>
      </c>
      <c r="N89" s="61">
        <f>SUMIFS('B1 - Matriz de custos diretos'!$G$3:$G$496,'B1 - Matriz de custos diretos'!$B$3:$B$496,$B39,'B1 - Matriz de custos diretos'!$C$3:$C$496,"Outros")*'A3 - Demanda Anual Agregada '!N16</f>
        <v>0</v>
      </c>
      <c r="O89" s="61">
        <f>SUMIFS('B1 - Matriz de custos diretos'!$G$3:$G$496,'B1 - Matriz de custos diretos'!$B$3:$B$496,$B39,'B1 - Matriz de custos diretos'!$C$3:$C$496,"Outros")*'A3 - Demanda Anual Agregada '!O16</f>
        <v>0</v>
      </c>
      <c r="P89" s="61">
        <f>SUMIFS('B1 - Matriz de custos diretos'!$G$3:$G$496,'B1 - Matriz de custos diretos'!$B$3:$B$496,$B39,'B1 - Matriz de custos diretos'!$C$3:$C$496,"Outros")*'A3 - Demanda Anual Agregada '!P16</f>
        <v>0</v>
      </c>
      <c r="Q89" s="61">
        <f>SUMIFS('B1 - Matriz de custos diretos'!$G$3:$G$496,'B1 - Matriz de custos diretos'!$B$3:$B$496,$B39,'B1 - Matriz de custos diretos'!$C$3:$C$496,"Outros")*'A3 - Demanda Anual Agregada '!Q16</f>
        <v>0</v>
      </c>
      <c r="R89" s="61">
        <f>SUMIFS('B1 - Matriz de custos diretos'!$G$3:$G$496,'B1 - Matriz de custos diretos'!$B$3:$B$496,$B39,'B1 - Matriz de custos diretos'!$C$3:$C$496,"Outros")*'A3 - Demanda Anual Agregada '!R16</f>
        <v>0</v>
      </c>
      <c r="S89" s="61">
        <f>SUMIFS('B1 - Matriz de custos diretos'!$G$3:$G$496,'B1 - Matriz de custos diretos'!$B$3:$B$496,$B39,'B1 - Matriz de custos diretos'!$C$3:$C$496,"Outros")*'A3 - Demanda Anual Agregada '!S16</f>
        <v>0</v>
      </c>
      <c r="T89" s="61">
        <f>SUMIFS('B1 - Matriz de custos diretos'!$G$3:$G$496,'B1 - Matriz de custos diretos'!$B$3:$B$496,$B39,'B1 - Matriz de custos diretos'!$C$3:$C$496,"Outros")*'A3 - Demanda Anual Agregada '!T16</f>
        <v>0</v>
      </c>
      <c r="U89" s="61">
        <f>SUMIFS('B1 - Matriz de custos diretos'!$G$3:$G$496,'B1 - Matriz de custos diretos'!$B$3:$B$496,$B39,'B1 - Matriz de custos diretos'!$C$3:$C$496,"Outros")*'A3 - Demanda Anual Agregada '!U16</f>
        <v>0</v>
      </c>
      <c r="V89" s="61">
        <f>SUMIFS('B1 - Matriz de custos diretos'!$G$3:$G$496,'B1 - Matriz de custos diretos'!$B$3:$B$496,$B39,'B1 - Matriz de custos diretos'!$C$3:$C$496,"Outros")*'A3 - Demanda Anual Agregada '!V16</f>
        <v>0</v>
      </c>
      <c r="W89" s="61">
        <f>SUMIFS('B1 - Matriz de custos diretos'!$G$3:$G$496,'B1 - Matriz de custos diretos'!$B$3:$B$496,$B39,'B1 - Matriz de custos diretos'!$C$3:$C$496,"Outros")*'A3 - Demanda Anual Agregada '!W16</f>
        <v>0</v>
      </c>
      <c r="X89" s="61">
        <f>SUMIFS('B1 - Matriz de custos diretos'!$G$3:$G$496,'B1 - Matriz de custos diretos'!$B$3:$B$496,$B39,'B1 - Matriz de custos diretos'!$C$3:$C$496,"Outros")*'A3 - Demanda Anual Agregada '!X16</f>
        <v>0</v>
      </c>
      <c r="Y89" s="61">
        <f>SUMIFS('B1 - Matriz de custos diretos'!$G$3:$G$496,'B1 - Matriz de custos diretos'!$B$3:$B$496,$B39,'B1 - Matriz de custos diretos'!$C$3:$C$496,"Outros")*'A3 - Demanda Anual Agregada '!Y16</f>
        <v>0</v>
      </c>
      <c r="Z89" s="61">
        <f>SUMIFS('B1 - Matriz de custos diretos'!$G$3:$G$496,'B1 - Matriz de custos diretos'!$B$3:$B$496,$B39,'B1 - Matriz de custos diretos'!$C$3:$C$496,"Outros")*'A3 - Demanda Anual Agregada '!Z16</f>
        <v>0</v>
      </c>
      <c r="AA89" s="61">
        <f>SUMIFS('B1 - Matriz de custos diretos'!$G$3:$G$496,'B1 - Matriz de custos diretos'!$B$3:$B$496,$B39,'B1 - Matriz de custos diretos'!$C$3:$C$496,"Outros")*'A3 - Demanda Anual Agregada '!AA16</f>
        <v>0</v>
      </c>
      <c r="AB89" s="61">
        <f>SUMIFS('B1 - Matriz de custos diretos'!$G$3:$G$496,'B1 - Matriz de custos diretos'!$B$3:$B$496,$B39,'B1 - Matriz de custos diretos'!$C$3:$C$496,"Outros")*'A3 - Demanda Anual Agregada '!AB16</f>
        <v>0</v>
      </c>
      <c r="AC89" s="61">
        <f>SUMIFS('B1 - Matriz de custos diretos'!$G$3:$G$496,'B1 - Matriz de custos diretos'!$B$3:$B$496,$B39,'B1 - Matriz de custos diretos'!$C$3:$C$496,"Outros")*'A3 - Demanda Anual Agregada '!AC16</f>
        <v>0</v>
      </c>
      <c r="AD89" s="61">
        <f>SUMIFS('B1 - Matriz de custos diretos'!$G$3:$G$496,'B1 - Matriz de custos diretos'!$B$3:$B$496,$B39,'B1 - Matriz de custos diretos'!$C$3:$C$496,"Outros")*'A3 - Demanda Anual Agregada '!AD16</f>
        <v>0</v>
      </c>
      <c r="AE89" s="61">
        <f>SUMIFS('B1 - Matriz de custos diretos'!$G$3:$G$496,'B1 - Matriz de custos diretos'!$B$3:$B$496,$B39,'B1 - Matriz de custos diretos'!$C$3:$C$496,"Outros")*'A3 - Demanda Anual Agregada '!AE16</f>
        <v>0</v>
      </c>
      <c r="AF89" s="61">
        <f>SUMIFS('B1 - Matriz de custos diretos'!$G$3:$G$496,'B1 - Matriz de custos diretos'!$B$3:$B$496,$B39,'B1 - Matriz de custos diretos'!$C$3:$C$496,"Outros")*'A3 - Demanda Anual Agregada '!AF16</f>
        <v>0</v>
      </c>
    </row>
    <row r="90" spans="1:32" ht="15.75" customHeight="1">
      <c r="A90" s="292"/>
      <c r="B90" s="60" t="str">
        <f>'A3 - Demanda Anual Agregada '!B17</f>
        <v>Serrote - Alimentação</v>
      </c>
      <c r="C90" s="61">
        <f>SUMIFS('B1 - Matriz de custos diretos'!$G$3:$G$496,'B1 - Matriz de custos diretos'!$B$3:$B$496,$B40,'B1 - Matriz de custos diretos'!$C$3:$C$496,"Outros")*'A3 - Demanda Anual Agregada '!C17</f>
        <v>0</v>
      </c>
      <c r="D90" s="61">
        <f>SUMIFS('B1 - Matriz de custos diretos'!$G$3:$G$496,'B1 - Matriz de custos diretos'!$B$3:$B$496,$B40,'B1 - Matriz de custos diretos'!$C$3:$C$496,"Outros")*'A3 - Demanda Anual Agregada '!D17</f>
        <v>0</v>
      </c>
      <c r="E90" s="61">
        <f>SUMIFS('B1 - Matriz de custos diretos'!$G$3:$G$496,'B1 - Matriz de custos diretos'!$B$3:$B$496,$B40,'B1 - Matriz de custos diretos'!$C$3:$C$496,"Outros")*'A3 - Demanda Anual Agregada '!E17</f>
        <v>0</v>
      </c>
      <c r="F90" s="61">
        <f>SUMIFS('B1 - Matriz de custos diretos'!$G$3:$G$496,'B1 - Matriz de custos diretos'!$B$3:$B$496,$B40,'B1 - Matriz de custos diretos'!$C$3:$C$496,"Outros")*'A3 - Demanda Anual Agregada '!F17</f>
        <v>0</v>
      </c>
      <c r="G90" s="61">
        <f>SUMIFS('B1 - Matriz de custos diretos'!$G$3:$G$496,'B1 - Matriz de custos diretos'!$B$3:$B$496,$B40,'B1 - Matriz de custos diretos'!$C$3:$C$496,"Outros")*'A3 - Demanda Anual Agregada '!G17</f>
        <v>0</v>
      </c>
      <c r="H90" s="61">
        <f>SUMIFS('B1 - Matriz de custos diretos'!$G$3:$G$496,'B1 - Matriz de custos diretos'!$B$3:$B$496,$B40,'B1 - Matriz de custos diretos'!$C$3:$C$496,"Outros")*'A3 - Demanda Anual Agregada '!H17</f>
        <v>0</v>
      </c>
      <c r="I90" s="61">
        <f>SUMIFS('B1 - Matriz de custos diretos'!$G$3:$G$496,'B1 - Matriz de custos diretos'!$B$3:$B$496,$B40,'B1 - Matriz de custos diretos'!$C$3:$C$496,"Outros")*'A3 - Demanda Anual Agregada '!I17</f>
        <v>0</v>
      </c>
      <c r="J90" s="61">
        <f>SUMIFS('B1 - Matriz de custos diretos'!$G$3:$G$496,'B1 - Matriz de custos diretos'!$B$3:$B$496,$B40,'B1 - Matriz de custos diretos'!$C$3:$C$496,"Outros")*'A3 - Demanda Anual Agregada '!J17</f>
        <v>0</v>
      </c>
      <c r="K90" s="61">
        <f>SUMIFS('B1 - Matriz de custos diretos'!$G$3:$G$496,'B1 - Matriz de custos diretos'!$B$3:$B$496,$B40,'B1 - Matriz de custos diretos'!$C$3:$C$496,"Outros")*'A3 - Demanda Anual Agregada '!K17</f>
        <v>0</v>
      </c>
      <c r="L90" s="61">
        <f>SUMIFS('B1 - Matriz de custos diretos'!$G$3:$G$496,'B1 - Matriz de custos diretos'!$B$3:$B$496,$B40,'B1 - Matriz de custos diretos'!$C$3:$C$496,"Outros")*'A3 - Demanda Anual Agregada '!L17</f>
        <v>0</v>
      </c>
      <c r="M90" s="61">
        <f>SUMIFS('B1 - Matriz de custos diretos'!$G$3:$G$496,'B1 - Matriz de custos diretos'!$B$3:$B$496,$B40,'B1 - Matriz de custos diretos'!$C$3:$C$496,"Outros")*'A3 - Demanda Anual Agregada '!M17</f>
        <v>0</v>
      </c>
      <c r="N90" s="61">
        <f>SUMIFS('B1 - Matriz de custos diretos'!$G$3:$G$496,'B1 - Matriz de custos diretos'!$B$3:$B$496,$B40,'B1 - Matriz de custos diretos'!$C$3:$C$496,"Outros")*'A3 - Demanda Anual Agregada '!N17</f>
        <v>0</v>
      </c>
      <c r="O90" s="61">
        <f>SUMIFS('B1 - Matriz de custos diretos'!$G$3:$G$496,'B1 - Matriz de custos diretos'!$B$3:$B$496,$B40,'B1 - Matriz de custos diretos'!$C$3:$C$496,"Outros")*'A3 - Demanda Anual Agregada '!O17</f>
        <v>0</v>
      </c>
      <c r="P90" s="61">
        <f>SUMIFS('B1 - Matriz de custos diretos'!$G$3:$G$496,'B1 - Matriz de custos diretos'!$B$3:$B$496,$B40,'B1 - Matriz de custos diretos'!$C$3:$C$496,"Outros")*'A3 - Demanda Anual Agregada '!P17</f>
        <v>0</v>
      </c>
      <c r="Q90" s="61">
        <f>SUMIFS('B1 - Matriz de custos diretos'!$G$3:$G$496,'B1 - Matriz de custos diretos'!$B$3:$B$496,$B40,'B1 - Matriz de custos diretos'!$C$3:$C$496,"Outros")*'A3 - Demanda Anual Agregada '!Q17</f>
        <v>0</v>
      </c>
      <c r="R90" s="61">
        <f>SUMIFS('B1 - Matriz de custos diretos'!$G$3:$G$496,'B1 - Matriz de custos diretos'!$B$3:$B$496,$B40,'B1 - Matriz de custos diretos'!$C$3:$C$496,"Outros")*'A3 - Demanda Anual Agregada '!R17</f>
        <v>0</v>
      </c>
      <c r="S90" s="61">
        <f>SUMIFS('B1 - Matriz de custos diretos'!$G$3:$G$496,'B1 - Matriz de custos diretos'!$B$3:$B$496,$B40,'B1 - Matriz de custos diretos'!$C$3:$C$496,"Outros")*'A3 - Demanda Anual Agregada '!S17</f>
        <v>0</v>
      </c>
      <c r="T90" s="61">
        <f>SUMIFS('B1 - Matriz de custos diretos'!$G$3:$G$496,'B1 - Matriz de custos diretos'!$B$3:$B$496,$B40,'B1 - Matriz de custos diretos'!$C$3:$C$496,"Outros")*'A3 - Demanda Anual Agregada '!T17</f>
        <v>0</v>
      </c>
      <c r="U90" s="61">
        <f>SUMIFS('B1 - Matriz de custos diretos'!$G$3:$G$496,'B1 - Matriz de custos diretos'!$B$3:$B$496,$B40,'B1 - Matriz de custos diretos'!$C$3:$C$496,"Outros")*'A3 - Demanda Anual Agregada '!U17</f>
        <v>0</v>
      </c>
      <c r="V90" s="61">
        <f>SUMIFS('B1 - Matriz de custos diretos'!$G$3:$G$496,'B1 - Matriz de custos diretos'!$B$3:$B$496,$B40,'B1 - Matriz de custos diretos'!$C$3:$C$496,"Outros")*'A3 - Demanda Anual Agregada '!V17</f>
        <v>0</v>
      </c>
      <c r="W90" s="61">
        <f>SUMIFS('B1 - Matriz de custos diretos'!$G$3:$G$496,'B1 - Matriz de custos diretos'!$B$3:$B$496,$B40,'B1 - Matriz de custos diretos'!$C$3:$C$496,"Outros")*'A3 - Demanda Anual Agregada '!W17</f>
        <v>0</v>
      </c>
      <c r="X90" s="61">
        <f>SUMIFS('B1 - Matriz de custos diretos'!$G$3:$G$496,'B1 - Matriz de custos diretos'!$B$3:$B$496,$B40,'B1 - Matriz de custos diretos'!$C$3:$C$496,"Outros")*'A3 - Demanda Anual Agregada '!X17</f>
        <v>0</v>
      </c>
      <c r="Y90" s="61">
        <f>SUMIFS('B1 - Matriz de custos diretos'!$G$3:$G$496,'B1 - Matriz de custos diretos'!$B$3:$B$496,$B40,'B1 - Matriz de custos diretos'!$C$3:$C$496,"Outros")*'A3 - Demanda Anual Agregada '!Y17</f>
        <v>0</v>
      </c>
      <c r="Z90" s="61">
        <f>SUMIFS('B1 - Matriz de custos diretos'!$G$3:$G$496,'B1 - Matriz de custos diretos'!$B$3:$B$496,$B40,'B1 - Matriz de custos diretos'!$C$3:$C$496,"Outros")*'A3 - Demanda Anual Agregada '!Z17</f>
        <v>0</v>
      </c>
      <c r="AA90" s="61">
        <f>SUMIFS('B1 - Matriz de custos diretos'!$G$3:$G$496,'B1 - Matriz de custos diretos'!$B$3:$B$496,$B40,'B1 - Matriz de custos diretos'!$C$3:$C$496,"Outros")*'A3 - Demanda Anual Agregada '!AA17</f>
        <v>0</v>
      </c>
      <c r="AB90" s="61">
        <f>SUMIFS('B1 - Matriz de custos diretos'!$G$3:$G$496,'B1 - Matriz de custos diretos'!$B$3:$B$496,$B40,'B1 - Matriz de custos diretos'!$C$3:$C$496,"Outros")*'A3 - Demanda Anual Agregada '!AB17</f>
        <v>0</v>
      </c>
      <c r="AC90" s="61">
        <f>SUMIFS('B1 - Matriz de custos diretos'!$G$3:$G$496,'B1 - Matriz de custos diretos'!$B$3:$B$496,$B40,'B1 - Matriz de custos diretos'!$C$3:$C$496,"Outros")*'A3 - Demanda Anual Agregada '!AC17</f>
        <v>0</v>
      </c>
      <c r="AD90" s="61">
        <f>SUMIFS('B1 - Matriz de custos diretos'!$G$3:$G$496,'B1 - Matriz de custos diretos'!$B$3:$B$496,$B40,'B1 - Matriz de custos diretos'!$C$3:$C$496,"Outros")*'A3 - Demanda Anual Agregada '!AD17</f>
        <v>0</v>
      </c>
      <c r="AE90" s="61">
        <f>SUMIFS('B1 - Matriz de custos diretos'!$G$3:$G$496,'B1 - Matriz de custos diretos'!$B$3:$B$496,$B40,'B1 - Matriz de custos diretos'!$C$3:$C$496,"Outros")*'A3 - Demanda Anual Agregada '!AE17</f>
        <v>0</v>
      </c>
      <c r="AF90" s="61">
        <f>SUMIFS('B1 - Matriz de custos diretos'!$G$3:$G$496,'B1 - Matriz de custos diretos'!$B$3:$B$496,$B40,'B1 - Matriz de custos diretos'!$C$3:$C$496,"Outros")*'A3 - Demanda Anual Agregada '!AF17</f>
        <v>0</v>
      </c>
    </row>
    <row r="91" spans="1:32" ht="15.75" customHeight="1">
      <c r="A91" s="292"/>
      <c r="B91" s="60" t="str">
        <f>'A3 - Demanda Anual Agregada '!B18</f>
        <v>Serrote - Comércio</v>
      </c>
      <c r="C91" s="61">
        <f>SUMIFS('B1 - Matriz de custos diretos'!$G$3:$G$496,'B1 - Matriz de custos diretos'!$B$3:$B$496,$B41,'B1 - Matriz de custos diretos'!$C$3:$C$496,"Outros")*'A3 - Demanda Anual Agregada '!C18</f>
        <v>0</v>
      </c>
      <c r="D91" s="61">
        <f>SUMIFS('B1 - Matriz de custos diretos'!$G$3:$G$496,'B1 - Matriz de custos diretos'!$B$3:$B$496,$B41,'B1 - Matriz de custos diretos'!$C$3:$C$496,"Outros")*'A3 - Demanda Anual Agregada '!D18</f>
        <v>0</v>
      </c>
      <c r="E91" s="61">
        <f>SUMIFS('B1 - Matriz de custos diretos'!$G$3:$G$496,'B1 - Matriz de custos diretos'!$B$3:$B$496,$B41,'B1 - Matriz de custos diretos'!$C$3:$C$496,"Outros")*'A3 - Demanda Anual Agregada '!E18</f>
        <v>0</v>
      </c>
      <c r="F91" s="61">
        <f>SUMIFS('B1 - Matriz de custos diretos'!$G$3:$G$496,'B1 - Matriz de custos diretos'!$B$3:$B$496,$B41,'B1 - Matriz de custos diretos'!$C$3:$C$496,"Outros")*'A3 - Demanda Anual Agregada '!F18</f>
        <v>0</v>
      </c>
      <c r="G91" s="61">
        <f>SUMIFS('B1 - Matriz de custos diretos'!$G$3:$G$496,'B1 - Matriz de custos diretos'!$B$3:$B$496,$B41,'B1 - Matriz de custos diretos'!$C$3:$C$496,"Outros")*'A3 - Demanda Anual Agregada '!G18</f>
        <v>0</v>
      </c>
      <c r="H91" s="61">
        <f>SUMIFS('B1 - Matriz de custos diretos'!$G$3:$G$496,'B1 - Matriz de custos diretos'!$B$3:$B$496,$B41,'B1 - Matriz de custos diretos'!$C$3:$C$496,"Outros")*'A3 - Demanda Anual Agregada '!H18</f>
        <v>0</v>
      </c>
      <c r="I91" s="61">
        <f>SUMIFS('B1 - Matriz de custos diretos'!$G$3:$G$496,'B1 - Matriz de custos diretos'!$B$3:$B$496,$B41,'B1 - Matriz de custos diretos'!$C$3:$C$496,"Outros")*'A3 - Demanda Anual Agregada '!I18</f>
        <v>0</v>
      </c>
      <c r="J91" s="61">
        <f>SUMIFS('B1 - Matriz de custos diretos'!$G$3:$G$496,'B1 - Matriz de custos diretos'!$B$3:$B$496,$B41,'B1 - Matriz de custos diretos'!$C$3:$C$496,"Outros")*'A3 - Demanda Anual Agregada '!J18</f>
        <v>0</v>
      </c>
      <c r="K91" s="61">
        <f>SUMIFS('B1 - Matriz de custos diretos'!$G$3:$G$496,'B1 - Matriz de custos diretos'!$B$3:$B$496,$B41,'B1 - Matriz de custos diretos'!$C$3:$C$496,"Outros")*'A3 - Demanda Anual Agregada '!K18</f>
        <v>0</v>
      </c>
      <c r="L91" s="61">
        <f>SUMIFS('B1 - Matriz de custos diretos'!$G$3:$G$496,'B1 - Matriz de custos diretos'!$B$3:$B$496,$B41,'B1 - Matriz de custos diretos'!$C$3:$C$496,"Outros")*'A3 - Demanda Anual Agregada '!L18</f>
        <v>0</v>
      </c>
      <c r="M91" s="61">
        <f>SUMIFS('B1 - Matriz de custos diretos'!$G$3:$G$496,'B1 - Matriz de custos diretos'!$B$3:$B$496,$B41,'B1 - Matriz de custos diretos'!$C$3:$C$496,"Outros")*'A3 - Demanda Anual Agregada '!M18</f>
        <v>0</v>
      </c>
      <c r="N91" s="61">
        <f>SUMIFS('B1 - Matriz de custos diretos'!$G$3:$G$496,'B1 - Matriz de custos diretos'!$B$3:$B$496,$B41,'B1 - Matriz de custos diretos'!$C$3:$C$496,"Outros")*'A3 - Demanda Anual Agregada '!N18</f>
        <v>0</v>
      </c>
      <c r="O91" s="61">
        <f>SUMIFS('B1 - Matriz de custos diretos'!$G$3:$G$496,'B1 - Matriz de custos diretos'!$B$3:$B$496,$B41,'B1 - Matriz de custos diretos'!$C$3:$C$496,"Outros")*'A3 - Demanda Anual Agregada '!O18</f>
        <v>0</v>
      </c>
      <c r="P91" s="61">
        <f>SUMIFS('B1 - Matriz de custos diretos'!$G$3:$G$496,'B1 - Matriz de custos diretos'!$B$3:$B$496,$B41,'B1 - Matriz de custos diretos'!$C$3:$C$496,"Outros")*'A3 - Demanda Anual Agregada '!P18</f>
        <v>0</v>
      </c>
      <c r="Q91" s="61">
        <f>SUMIFS('B1 - Matriz de custos diretos'!$G$3:$G$496,'B1 - Matriz de custos diretos'!$B$3:$B$496,$B41,'B1 - Matriz de custos diretos'!$C$3:$C$496,"Outros")*'A3 - Demanda Anual Agregada '!Q18</f>
        <v>0</v>
      </c>
      <c r="R91" s="61">
        <f>SUMIFS('B1 - Matriz de custos diretos'!$G$3:$G$496,'B1 - Matriz de custos diretos'!$B$3:$B$496,$B41,'B1 - Matriz de custos diretos'!$C$3:$C$496,"Outros")*'A3 - Demanda Anual Agregada '!R18</f>
        <v>0</v>
      </c>
      <c r="S91" s="61">
        <f>SUMIFS('B1 - Matriz de custos diretos'!$G$3:$G$496,'B1 - Matriz de custos diretos'!$B$3:$B$496,$B41,'B1 - Matriz de custos diretos'!$C$3:$C$496,"Outros")*'A3 - Demanda Anual Agregada '!S18</f>
        <v>0</v>
      </c>
      <c r="T91" s="61">
        <f>SUMIFS('B1 - Matriz de custos diretos'!$G$3:$G$496,'B1 - Matriz de custos diretos'!$B$3:$B$496,$B41,'B1 - Matriz de custos diretos'!$C$3:$C$496,"Outros")*'A3 - Demanda Anual Agregada '!T18</f>
        <v>0</v>
      </c>
      <c r="U91" s="61">
        <f>SUMIFS('B1 - Matriz de custos diretos'!$G$3:$G$496,'B1 - Matriz de custos diretos'!$B$3:$B$496,$B41,'B1 - Matriz de custos diretos'!$C$3:$C$496,"Outros")*'A3 - Demanda Anual Agregada '!U18</f>
        <v>0</v>
      </c>
      <c r="V91" s="61">
        <f>SUMIFS('B1 - Matriz de custos diretos'!$G$3:$G$496,'B1 - Matriz de custos diretos'!$B$3:$B$496,$B41,'B1 - Matriz de custos diretos'!$C$3:$C$496,"Outros")*'A3 - Demanda Anual Agregada '!V18</f>
        <v>0</v>
      </c>
      <c r="W91" s="61">
        <f>SUMIFS('B1 - Matriz de custos diretos'!$G$3:$G$496,'B1 - Matriz de custos diretos'!$B$3:$B$496,$B41,'B1 - Matriz de custos diretos'!$C$3:$C$496,"Outros")*'A3 - Demanda Anual Agregada '!W18</f>
        <v>0</v>
      </c>
      <c r="X91" s="61">
        <f>SUMIFS('B1 - Matriz de custos diretos'!$G$3:$G$496,'B1 - Matriz de custos diretos'!$B$3:$B$496,$B41,'B1 - Matriz de custos diretos'!$C$3:$C$496,"Outros")*'A3 - Demanda Anual Agregada '!X18</f>
        <v>0</v>
      </c>
      <c r="Y91" s="61">
        <f>SUMIFS('B1 - Matriz de custos diretos'!$G$3:$G$496,'B1 - Matriz de custos diretos'!$B$3:$B$496,$B41,'B1 - Matriz de custos diretos'!$C$3:$C$496,"Outros")*'A3 - Demanda Anual Agregada '!Y18</f>
        <v>0</v>
      </c>
      <c r="Z91" s="61">
        <f>SUMIFS('B1 - Matriz de custos diretos'!$G$3:$G$496,'B1 - Matriz de custos diretos'!$B$3:$B$496,$B41,'B1 - Matriz de custos diretos'!$C$3:$C$496,"Outros")*'A3 - Demanda Anual Agregada '!Z18</f>
        <v>0</v>
      </c>
      <c r="AA91" s="61">
        <f>SUMIFS('B1 - Matriz de custos diretos'!$G$3:$G$496,'B1 - Matriz de custos diretos'!$B$3:$B$496,$B41,'B1 - Matriz de custos diretos'!$C$3:$C$496,"Outros")*'A3 - Demanda Anual Agregada '!AA18</f>
        <v>0</v>
      </c>
      <c r="AB91" s="61">
        <f>SUMIFS('B1 - Matriz de custos diretos'!$G$3:$G$496,'B1 - Matriz de custos diretos'!$B$3:$B$496,$B41,'B1 - Matriz de custos diretos'!$C$3:$C$496,"Outros")*'A3 - Demanda Anual Agregada '!AB18</f>
        <v>0</v>
      </c>
      <c r="AC91" s="61">
        <f>SUMIFS('B1 - Matriz de custos diretos'!$G$3:$G$496,'B1 - Matriz de custos diretos'!$B$3:$B$496,$B41,'B1 - Matriz de custos diretos'!$C$3:$C$496,"Outros")*'A3 - Demanda Anual Agregada '!AC18</f>
        <v>0</v>
      </c>
      <c r="AD91" s="61">
        <f>SUMIFS('B1 - Matriz de custos diretos'!$G$3:$G$496,'B1 - Matriz de custos diretos'!$B$3:$B$496,$B41,'B1 - Matriz de custos diretos'!$C$3:$C$496,"Outros")*'A3 - Demanda Anual Agregada '!AD18</f>
        <v>0</v>
      </c>
      <c r="AE91" s="61">
        <f>SUMIFS('B1 - Matriz de custos diretos'!$G$3:$G$496,'B1 - Matriz de custos diretos'!$B$3:$B$496,$B41,'B1 - Matriz de custos diretos'!$C$3:$C$496,"Outros")*'A3 - Demanda Anual Agregada '!AE18</f>
        <v>0</v>
      </c>
      <c r="AF91" s="61">
        <f>SUMIFS('B1 - Matriz de custos diretos'!$G$3:$G$496,'B1 - Matriz de custos diretos'!$B$3:$B$496,$B41,'B1 - Matriz de custos diretos'!$C$3:$C$496,"Outros")*'A3 - Demanda Anual Agregada '!AF18</f>
        <v>0</v>
      </c>
    </row>
    <row r="92" spans="1:32" ht="15.75" customHeight="1">
      <c r="A92" s="292"/>
      <c r="B92" s="60" t="str">
        <f>'A3 - Demanda Anual Agregada '!B19</f>
        <v>Paraíso - Alimentação</v>
      </c>
      <c r="C92" s="61">
        <f>SUMIFS('B1 - Matriz de custos diretos'!$G$3:$G$496,'B1 - Matriz de custos diretos'!$B$3:$B$496,$B42,'B1 - Matriz de custos diretos'!$C$3:$C$496,"Outros")*'A3 - Demanda Anual Agregada '!C19</f>
        <v>0</v>
      </c>
      <c r="D92" s="61">
        <f>SUMIFS('B1 - Matriz de custos diretos'!$G$3:$G$496,'B1 - Matriz de custos diretos'!$B$3:$B$496,$B42,'B1 - Matriz de custos diretos'!$C$3:$C$496,"Outros")*'A3 - Demanda Anual Agregada '!D19</f>
        <v>0</v>
      </c>
      <c r="E92" s="61">
        <f>SUMIFS('B1 - Matriz de custos diretos'!$G$3:$G$496,'B1 - Matriz de custos diretos'!$B$3:$B$496,$B42,'B1 - Matriz de custos diretos'!$C$3:$C$496,"Outros")*'A3 - Demanda Anual Agregada '!E19</f>
        <v>0</v>
      </c>
      <c r="F92" s="61">
        <f>SUMIFS('B1 - Matriz de custos diretos'!$G$3:$G$496,'B1 - Matriz de custos diretos'!$B$3:$B$496,$B42,'B1 - Matriz de custos diretos'!$C$3:$C$496,"Outros")*'A3 - Demanda Anual Agregada '!F19</f>
        <v>0</v>
      </c>
      <c r="G92" s="61">
        <f>SUMIFS('B1 - Matriz de custos diretos'!$G$3:$G$496,'B1 - Matriz de custos diretos'!$B$3:$B$496,$B42,'B1 - Matriz de custos diretos'!$C$3:$C$496,"Outros")*'A3 - Demanda Anual Agregada '!G19</f>
        <v>0</v>
      </c>
      <c r="H92" s="61">
        <f>SUMIFS('B1 - Matriz de custos diretos'!$G$3:$G$496,'B1 - Matriz de custos diretos'!$B$3:$B$496,$B42,'B1 - Matriz de custos diretos'!$C$3:$C$496,"Outros")*'A3 - Demanda Anual Agregada '!H19</f>
        <v>0</v>
      </c>
      <c r="I92" s="61">
        <f>SUMIFS('B1 - Matriz de custos diretos'!$G$3:$G$496,'B1 - Matriz de custos diretos'!$B$3:$B$496,$B42,'B1 - Matriz de custos diretos'!$C$3:$C$496,"Outros")*'A3 - Demanda Anual Agregada '!I19</f>
        <v>0</v>
      </c>
      <c r="J92" s="61">
        <f>SUMIFS('B1 - Matriz de custos diretos'!$G$3:$G$496,'B1 - Matriz de custos diretos'!$B$3:$B$496,$B42,'B1 - Matriz de custos diretos'!$C$3:$C$496,"Outros")*'A3 - Demanda Anual Agregada '!J19</f>
        <v>0</v>
      </c>
      <c r="K92" s="61">
        <f>SUMIFS('B1 - Matriz de custos diretos'!$G$3:$G$496,'B1 - Matriz de custos diretos'!$B$3:$B$496,$B42,'B1 - Matriz de custos diretos'!$C$3:$C$496,"Outros")*'A3 - Demanda Anual Agregada '!K19</f>
        <v>0</v>
      </c>
      <c r="L92" s="61">
        <f>SUMIFS('B1 - Matriz de custos diretos'!$G$3:$G$496,'B1 - Matriz de custos diretos'!$B$3:$B$496,$B42,'B1 - Matriz de custos diretos'!$C$3:$C$496,"Outros")*'A3 - Demanda Anual Agregada '!L19</f>
        <v>0</v>
      </c>
      <c r="M92" s="61">
        <f>SUMIFS('B1 - Matriz de custos diretos'!$G$3:$G$496,'B1 - Matriz de custos diretos'!$B$3:$B$496,$B42,'B1 - Matriz de custos diretos'!$C$3:$C$496,"Outros")*'A3 - Demanda Anual Agregada '!M19</f>
        <v>0</v>
      </c>
      <c r="N92" s="61">
        <f>SUMIFS('B1 - Matriz de custos diretos'!$G$3:$G$496,'B1 - Matriz de custos diretos'!$B$3:$B$496,$B42,'B1 - Matriz de custos diretos'!$C$3:$C$496,"Outros")*'A3 - Demanda Anual Agregada '!N19</f>
        <v>0</v>
      </c>
      <c r="O92" s="61">
        <f>SUMIFS('B1 - Matriz de custos diretos'!$G$3:$G$496,'B1 - Matriz de custos diretos'!$B$3:$B$496,$B42,'B1 - Matriz de custos diretos'!$C$3:$C$496,"Outros")*'A3 - Demanda Anual Agregada '!O19</f>
        <v>0</v>
      </c>
      <c r="P92" s="61">
        <f>SUMIFS('B1 - Matriz de custos diretos'!$G$3:$G$496,'B1 - Matriz de custos diretos'!$B$3:$B$496,$B42,'B1 - Matriz de custos diretos'!$C$3:$C$496,"Outros")*'A3 - Demanda Anual Agregada '!P19</f>
        <v>0</v>
      </c>
      <c r="Q92" s="61">
        <f>SUMIFS('B1 - Matriz de custos diretos'!$G$3:$G$496,'B1 - Matriz de custos diretos'!$B$3:$B$496,$B42,'B1 - Matriz de custos diretos'!$C$3:$C$496,"Outros")*'A3 - Demanda Anual Agregada '!Q19</f>
        <v>0</v>
      </c>
      <c r="R92" s="61">
        <f>SUMIFS('B1 - Matriz de custos diretos'!$G$3:$G$496,'B1 - Matriz de custos diretos'!$B$3:$B$496,$B42,'B1 - Matriz de custos diretos'!$C$3:$C$496,"Outros")*'A3 - Demanda Anual Agregada '!R19</f>
        <v>0</v>
      </c>
      <c r="S92" s="61">
        <f>SUMIFS('B1 - Matriz de custos diretos'!$G$3:$G$496,'B1 - Matriz de custos diretos'!$B$3:$B$496,$B42,'B1 - Matriz de custos diretos'!$C$3:$C$496,"Outros")*'A3 - Demanda Anual Agregada '!S19</f>
        <v>0</v>
      </c>
      <c r="T92" s="61">
        <f>SUMIFS('B1 - Matriz de custos diretos'!$G$3:$G$496,'B1 - Matriz de custos diretos'!$B$3:$B$496,$B42,'B1 - Matriz de custos diretos'!$C$3:$C$496,"Outros")*'A3 - Demanda Anual Agregada '!T19</f>
        <v>0</v>
      </c>
      <c r="U92" s="61">
        <f>SUMIFS('B1 - Matriz de custos diretos'!$G$3:$G$496,'B1 - Matriz de custos diretos'!$B$3:$B$496,$B42,'B1 - Matriz de custos diretos'!$C$3:$C$496,"Outros")*'A3 - Demanda Anual Agregada '!U19</f>
        <v>0</v>
      </c>
      <c r="V92" s="61">
        <f>SUMIFS('B1 - Matriz de custos diretos'!$G$3:$G$496,'B1 - Matriz de custos diretos'!$B$3:$B$496,$B42,'B1 - Matriz de custos diretos'!$C$3:$C$496,"Outros")*'A3 - Demanda Anual Agregada '!V19</f>
        <v>0</v>
      </c>
      <c r="W92" s="61">
        <f>SUMIFS('B1 - Matriz de custos diretos'!$G$3:$G$496,'B1 - Matriz de custos diretos'!$B$3:$B$496,$B42,'B1 - Matriz de custos diretos'!$C$3:$C$496,"Outros")*'A3 - Demanda Anual Agregada '!W19</f>
        <v>0</v>
      </c>
      <c r="X92" s="61">
        <f>SUMIFS('B1 - Matriz de custos diretos'!$G$3:$G$496,'B1 - Matriz de custos diretos'!$B$3:$B$496,$B42,'B1 - Matriz de custos diretos'!$C$3:$C$496,"Outros")*'A3 - Demanda Anual Agregada '!X19</f>
        <v>0</v>
      </c>
      <c r="Y92" s="61">
        <f>SUMIFS('B1 - Matriz de custos diretos'!$G$3:$G$496,'B1 - Matriz de custos diretos'!$B$3:$B$496,$B42,'B1 - Matriz de custos diretos'!$C$3:$C$496,"Outros")*'A3 - Demanda Anual Agregada '!Y19</f>
        <v>0</v>
      </c>
      <c r="Z92" s="61">
        <f>SUMIFS('B1 - Matriz de custos diretos'!$G$3:$G$496,'B1 - Matriz de custos diretos'!$B$3:$B$496,$B42,'B1 - Matriz de custos diretos'!$C$3:$C$496,"Outros")*'A3 - Demanda Anual Agregada '!Z19</f>
        <v>0</v>
      </c>
      <c r="AA92" s="61">
        <f>SUMIFS('B1 - Matriz de custos diretos'!$G$3:$G$496,'B1 - Matriz de custos diretos'!$B$3:$B$496,$B42,'B1 - Matriz de custos diretos'!$C$3:$C$496,"Outros")*'A3 - Demanda Anual Agregada '!AA19</f>
        <v>0</v>
      </c>
      <c r="AB92" s="61">
        <f>SUMIFS('B1 - Matriz de custos diretos'!$G$3:$G$496,'B1 - Matriz de custos diretos'!$B$3:$B$496,$B42,'B1 - Matriz de custos diretos'!$C$3:$C$496,"Outros")*'A3 - Demanda Anual Agregada '!AB19</f>
        <v>0</v>
      </c>
      <c r="AC92" s="61">
        <f>SUMIFS('B1 - Matriz de custos diretos'!$G$3:$G$496,'B1 - Matriz de custos diretos'!$B$3:$B$496,$B42,'B1 - Matriz de custos diretos'!$C$3:$C$496,"Outros")*'A3 - Demanda Anual Agregada '!AC19</f>
        <v>0</v>
      </c>
      <c r="AD92" s="61">
        <f>SUMIFS('B1 - Matriz de custos diretos'!$G$3:$G$496,'B1 - Matriz de custos diretos'!$B$3:$B$496,$B42,'B1 - Matriz de custos diretos'!$C$3:$C$496,"Outros")*'A3 - Demanda Anual Agregada '!AD19</f>
        <v>0</v>
      </c>
      <c r="AE92" s="61">
        <f>SUMIFS('B1 - Matriz de custos diretos'!$G$3:$G$496,'B1 - Matriz de custos diretos'!$B$3:$B$496,$B42,'B1 - Matriz de custos diretos'!$C$3:$C$496,"Outros")*'A3 - Demanda Anual Agregada '!AE19</f>
        <v>0</v>
      </c>
      <c r="AF92" s="61">
        <f>SUMIFS('B1 - Matriz de custos diretos'!$G$3:$G$496,'B1 - Matriz de custos diretos'!$B$3:$B$496,$B42,'B1 - Matriz de custos diretos'!$C$3:$C$496,"Outros")*'A3 - Demanda Anual Agregada '!AF19</f>
        <v>0</v>
      </c>
    </row>
    <row r="93" spans="1:32" ht="15.75" customHeight="1">
      <c r="A93" s="292"/>
      <c r="B93" s="60" t="str">
        <f>'A3 - Demanda Anual Agregada '!B20</f>
        <v>Paraíso - Comércio + Locação + Atividades</v>
      </c>
      <c r="C93" s="61">
        <f>SUMIFS('B1 - Matriz de custos diretos'!$G$3:$G$496,'B1 - Matriz de custos diretos'!$B$3:$B$496,$B43,'B1 - Matriz de custos diretos'!$C$3:$C$496,"Outros")*'A3 - Demanda Anual Agregada '!C20</f>
        <v>0</v>
      </c>
      <c r="D93" s="61">
        <f>SUMIFS('B1 - Matriz de custos diretos'!$G$3:$G$496,'B1 - Matriz de custos diretos'!$B$3:$B$496,$B43,'B1 - Matriz de custos diretos'!$C$3:$C$496,"Outros")*'A3 - Demanda Anual Agregada '!D20</f>
        <v>0</v>
      </c>
      <c r="E93" s="61">
        <f>SUMIFS('B1 - Matriz de custos diretos'!$G$3:$G$496,'B1 - Matriz de custos diretos'!$B$3:$B$496,$B43,'B1 - Matriz de custos diretos'!$C$3:$C$496,"Outros")*'A3 - Demanda Anual Agregada '!E20</f>
        <v>0</v>
      </c>
      <c r="F93" s="61">
        <f>SUMIFS('B1 - Matriz de custos diretos'!$G$3:$G$496,'B1 - Matriz de custos diretos'!$B$3:$B$496,$B43,'B1 - Matriz de custos diretos'!$C$3:$C$496,"Outros")*'A3 - Demanda Anual Agregada '!F20</f>
        <v>0</v>
      </c>
      <c r="G93" s="61">
        <f>SUMIFS('B1 - Matriz de custos diretos'!$G$3:$G$496,'B1 - Matriz de custos diretos'!$B$3:$B$496,$B43,'B1 - Matriz de custos diretos'!$C$3:$C$496,"Outros")*'A3 - Demanda Anual Agregada '!G20</f>
        <v>0</v>
      </c>
      <c r="H93" s="61">
        <f>SUMIFS('B1 - Matriz de custos diretos'!$G$3:$G$496,'B1 - Matriz de custos diretos'!$B$3:$B$496,$B43,'B1 - Matriz de custos diretos'!$C$3:$C$496,"Outros")*'A3 - Demanda Anual Agregada '!H20</f>
        <v>0</v>
      </c>
      <c r="I93" s="61">
        <f>SUMIFS('B1 - Matriz de custos diretos'!$G$3:$G$496,'B1 - Matriz de custos diretos'!$B$3:$B$496,$B43,'B1 - Matriz de custos diretos'!$C$3:$C$496,"Outros")*'A3 - Demanda Anual Agregada '!I20</f>
        <v>0</v>
      </c>
      <c r="J93" s="61">
        <f>SUMIFS('B1 - Matriz de custos diretos'!$G$3:$G$496,'B1 - Matriz de custos diretos'!$B$3:$B$496,$B43,'B1 - Matriz de custos diretos'!$C$3:$C$496,"Outros")*'A3 - Demanda Anual Agregada '!J20</f>
        <v>0</v>
      </c>
      <c r="K93" s="61">
        <f>SUMIFS('B1 - Matriz de custos diretos'!$G$3:$G$496,'B1 - Matriz de custos diretos'!$B$3:$B$496,$B43,'B1 - Matriz de custos diretos'!$C$3:$C$496,"Outros")*'A3 - Demanda Anual Agregada '!K20</f>
        <v>0</v>
      </c>
      <c r="L93" s="61">
        <f>SUMIFS('B1 - Matriz de custos diretos'!$G$3:$G$496,'B1 - Matriz de custos diretos'!$B$3:$B$496,$B43,'B1 - Matriz de custos diretos'!$C$3:$C$496,"Outros")*'A3 - Demanda Anual Agregada '!L20</f>
        <v>0</v>
      </c>
      <c r="M93" s="61">
        <f>SUMIFS('B1 - Matriz de custos diretos'!$G$3:$G$496,'B1 - Matriz de custos diretos'!$B$3:$B$496,$B43,'B1 - Matriz de custos diretos'!$C$3:$C$496,"Outros")*'A3 - Demanda Anual Agregada '!M20</f>
        <v>0</v>
      </c>
      <c r="N93" s="61">
        <f>SUMIFS('B1 - Matriz de custos diretos'!$G$3:$G$496,'B1 - Matriz de custos diretos'!$B$3:$B$496,$B43,'B1 - Matriz de custos diretos'!$C$3:$C$496,"Outros")*'A3 - Demanda Anual Agregada '!N20</f>
        <v>0</v>
      </c>
      <c r="O93" s="61">
        <f>SUMIFS('B1 - Matriz de custos diretos'!$G$3:$G$496,'B1 - Matriz de custos diretos'!$B$3:$B$496,$B43,'B1 - Matriz de custos diretos'!$C$3:$C$496,"Outros")*'A3 - Demanda Anual Agregada '!O20</f>
        <v>0</v>
      </c>
      <c r="P93" s="61">
        <f>SUMIFS('B1 - Matriz de custos diretos'!$G$3:$G$496,'B1 - Matriz de custos diretos'!$B$3:$B$496,$B43,'B1 - Matriz de custos diretos'!$C$3:$C$496,"Outros")*'A3 - Demanda Anual Agregada '!P20</f>
        <v>0</v>
      </c>
      <c r="Q93" s="61">
        <f>SUMIFS('B1 - Matriz de custos diretos'!$G$3:$G$496,'B1 - Matriz de custos diretos'!$B$3:$B$496,$B43,'B1 - Matriz de custos diretos'!$C$3:$C$496,"Outros")*'A3 - Demanda Anual Agregada '!Q20</f>
        <v>0</v>
      </c>
      <c r="R93" s="61">
        <f>SUMIFS('B1 - Matriz de custos diretos'!$G$3:$G$496,'B1 - Matriz de custos diretos'!$B$3:$B$496,$B43,'B1 - Matriz de custos diretos'!$C$3:$C$496,"Outros")*'A3 - Demanda Anual Agregada '!R20</f>
        <v>0</v>
      </c>
      <c r="S93" s="61">
        <f>SUMIFS('B1 - Matriz de custos diretos'!$G$3:$G$496,'B1 - Matriz de custos diretos'!$B$3:$B$496,$B43,'B1 - Matriz de custos diretos'!$C$3:$C$496,"Outros")*'A3 - Demanda Anual Agregada '!S20</f>
        <v>0</v>
      </c>
      <c r="T93" s="61">
        <f>SUMIFS('B1 - Matriz de custos diretos'!$G$3:$G$496,'B1 - Matriz de custos diretos'!$B$3:$B$496,$B43,'B1 - Matriz de custos diretos'!$C$3:$C$496,"Outros")*'A3 - Demanda Anual Agregada '!T20</f>
        <v>0</v>
      </c>
      <c r="U93" s="61">
        <f>SUMIFS('B1 - Matriz de custos diretos'!$G$3:$G$496,'B1 - Matriz de custos diretos'!$B$3:$B$496,$B43,'B1 - Matriz de custos diretos'!$C$3:$C$496,"Outros")*'A3 - Demanda Anual Agregada '!U20</f>
        <v>0</v>
      </c>
      <c r="V93" s="61">
        <f>SUMIFS('B1 - Matriz de custos diretos'!$G$3:$G$496,'B1 - Matriz de custos diretos'!$B$3:$B$496,$B43,'B1 - Matriz de custos diretos'!$C$3:$C$496,"Outros")*'A3 - Demanda Anual Agregada '!V20</f>
        <v>0</v>
      </c>
      <c r="W93" s="61">
        <f>SUMIFS('B1 - Matriz de custos diretos'!$G$3:$G$496,'B1 - Matriz de custos diretos'!$B$3:$B$496,$B43,'B1 - Matriz de custos diretos'!$C$3:$C$496,"Outros")*'A3 - Demanda Anual Agregada '!W20</f>
        <v>0</v>
      </c>
      <c r="X93" s="61">
        <f>SUMIFS('B1 - Matriz de custos diretos'!$G$3:$G$496,'B1 - Matriz de custos diretos'!$B$3:$B$496,$B43,'B1 - Matriz de custos diretos'!$C$3:$C$496,"Outros")*'A3 - Demanda Anual Agregada '!X20</f>
        <v>0</v>
      </c>
      <c r="Y93" s="61">
        <f>SUMIFS('B1 - Matriz de custos diretos'!$G$3:$G$496,'B1 - Matriz de custos diretos'!$B$3:$B$496,$B43,'B1 - Matriz de custos diretos'!$C$3:$C$496,"Outros")*'A3 - Demanda Anual Agregada '!Y20</f>
        <v>0</v>
      </c>
      <c r="Z93" s="61">
        <f>SUMIFS('B1 - Matriz de custos diretos'!$G$3:$G$496,'B1 - Matriz de custos diretos'!$B$3:$B$496,$B43,'B1 - Matriz de custos diretos'!$C$3:$C$496,"Outros")*'A3 - Demanda Anual Agregada '!Z20</f>
        <v>0</v>
      </c>
      <c r="AA93" s="61">
        <f>SUMIFS('B1 - Matriz de custos diretos'!$G$3:$G$496,'B1 - Matriz de custos diretos'!$B$3:$B$496,$B43,'B1 - Matriz de custos diretos'!$C$3:$C$496,"Outros")*'A3 - Demanda Anual Agregada '!AA20</f>
        <v>0</v>
      </c>
      <c r="AB93" s="61">
        <f>SUMIFS('B1 - Matriz de custos diretos'!$G$3:$G$496,'B1 - Matriz de custos diretos'!$B$3:$B$496,$B43,'B1 - Matriz de custos diretos'!$C$3:$C$496,"Outros")*'A3 - Demanda Anual Agregada '!AB20</f>
        <v>0</v>
      </c>
      <c r="AC93" s="61">
        <f>SUMIFS('B1 - Matriz de custos diretos'!$G$3:$G$496,'B1 - Matriz de custos diretos'!$B$3:$B$496,$B43,'B1 - Matriz de custos diretos'!$C$3:$C$496,"Outros")*'A3 - Demanda Anual Agregada '!AC20</f>
        <v>0</v>
      </c>
      <c r="AD93" s="61">
        <f>SUMIFS('B1 - Matriz de custos diretos'!$G$3:$G$496,'B1 - Matriz de custos diretos'!$B$3:$B$496,$B43,'B1 - Matriz de custos diretos'!$C$3:$C$496,"Outros")*'A3 - Demanda Anual Agregada '!AD20</f>
        <v>0</v>
      </c>
      <c r="AE93" s="61">
        <f>SUMIFS('B1 - Matriz de custos diretos'!$G$3:$G$496,'B1 - Matriz de custos diretos'!$B$3:$B$496,$B43,'B1 - Matriz de custos diretos'!$C$3:$C$496,"Outros")*'A3 - Demanda Anual Agregada '!AE20</f>
        <v>0</v>
      </c>
      <c r="AF93" s="61">
        <f>SUMIFS('B1 - Matriz de custos diretos'!$G$3:$G$496,'B1 - Matriz de custos diretos'!$B$3:$B$496,$B43,'B1 - Matriz de custos diretos'!$C$3:$C$496,"Outros")*'A3 - Demanda Anual Agregada '!AF20</f>
        <v>0</v>
      </c>
    </row>
    <row r="94" spans="1:32" ht="15.75" customHeight="1">
      <c r="A94" s="292"/>
      <c r="B94" s="60" t="str">
        <f>'A3 - Demanda Anual Agregada '!B21</f>
        <v>Geral - Unidade móvel - Alimentação</v>
      </c>
      <c r="C94" s="61">
        <f>SUMIFS('B1 - Matriz de custos diretos'!$G$3:$G$496,'B1 - Matriz de custos diretos'!$B$3:$B$496,$B44,'B1 - Matriz de custos diretos'!$C$3:$C$496,"Outros")*'A3 - Demanda Anual Agregada '!C21</f>
        <v>0</v>
      </c>
      <c r="D94" s="61">
        <f>SUMIFS('B1 - Matriz de custos diretos'!$G$3:$G$496,'B1 - Matriz de custos diretos'!$B$3:$B$496,$B44,'B1 - Matriz de custos diretos'!$C$3:$C$496,"Outros")*'A3 - Demanda Anual Agregada '!D21</f>
        <v>0</v>
      </c>
      <c r="E94" s="61">
        <f>SUMIFS('B1 - Matriz de custos diretos'!$G$3:$G$496,'B1 - Matriz de custos diretos'!$B$3:$B$496,$B44,'B1 - Matriz de custos diretos'!$C$3:$C$496,"Outros")*'A3 - Demanda Anual Agregada '!E21</f>
        <v>0</v>
      </c>
      <c r="F94" s="61">
        <f>SUMIFS('B1 - Matriz de custos diretos'!$G$3:$G$496,'B1 - Matriz de custos diretos'!$B$3:$B$496,$B44,'B1 - Matriz de custos diretos'!$C$3:$C$496,"Outros")*'A3 - Demanda Anual Agregada '!F21</f>
        <v>0</v>
      </c>
      <c r="G94" s="61">
        <f>SUMIFS('B1 - Matriz de custos diretos'!$G$3:$G$496,'B1 - Matriz de custos diretos'!$B$3:$B$496,$B44,'B1 - Matriz de custos diretos'!$C$3:$C$496,"Outros")*'A3 - Demanda Anual Agregada '!G21</f>
        <v>0</v>
      </c>
      <c r="H94" s="61">
        <f>SUMIFS('B1 - Matriz de custos diretos'!$G$3:$G$496,'B1 - Matriz de custos diretos'!$B$3:$B$496,$B44,'B1 - Matriz de custos diretos'!$C$3:$C$496,"Outros")*'A3 - Demanda Anual Agregada '!H21</f>
        <v>0</v>
      </c>
      <c r="I94" s="61">
        <f>SUMIFS('B1 - Matriz de custos diretos'!$G$3:$G$496,'B1 - Matriz de custos diretos'!$B$3:$B$496,$B44,'B1 - Matriz de custos diretos'!$C$3:$C$496,"Outros")*'A3 - Demanda Anual Agregada '!I21</f>
        <v>0</v>
      </c>
      <c r="J94" s="61">
        <f>SUMIFS('B1 - Matriz de custos diretos'!$G$3:$G$496,'B1 - Matriz de custos diretos'!$B$3:$B$496,$B44,'B1 - Matriz de custos diretos'!$C$3:$C$496,"Outros")*'A3 - Demanda Anual Agregada '!J21</f>
        <v>0</v>
      </c>
      <c r="K94" s="61">
        <f>SUMIFS('B1 - Matriz de custos diretos'!$G$3:$G$496,'B1 - Matriz de custos diretos'!$B$3:$B$496,$B44,'B1 - Matriz de custos diretos'!$C$3:$C$496,"Outros")*'A3 - Demanda Anual Agregada '!K21</f>
        <v>0</v>
      </c>
      <c r="L94" s="61">
        <f>SUMIFS('B1 - Matriz de custos diretos'!$G$3:$G$496,'B1 - Matriz de custos diretos'!$B$3:$B$496,$B44,'B1 - Matriz de custos diretos'!$C$3:$C$496,"Outros")*'A3 - Demanda Anual Agregada '!L21</f>
        <v>0</v>
      </c>
      <c r="M94" s="61">
        <f>SUMIFS('B1 - Matriz de custos diretos'!$G$3:$G$496,'B1 - Matriz de custos diretos'!$B$3:$B$496,$B44,'B1 - Matriz de custos diretos'!$C$3:$C$496,"Outros")*'A3 - Demanda Anual Agregada '!M21</f>
        <v>0</v>
      </c>
      <c r="N94" s="61">
        <f>SUMIFS('B1 - Matriz de custos diretos'!$G$3:$G$496,'B1 - Matriz de custos diretos'!$B$3:$B$496,$B44,'B1 - Matriz de custos diretos'!$C$3:$C$496,"Outros")*'A3 - Demanda Anual Agregada '!N21</f>
        <v>0</v>
      </c>
      <c r="O94" s="61">
        <f>SUMIFS('B1 - Matriz de custos diretos'!$G$3:$G$496,'B1 - Matriz de custos diretos'!$B$3:$B$496,$B44,'B1 - Matriz de custos diretos'!$C$3:$C$496,"Outros")*'A3 - Demanda Anual Agregada '!O21</f>
        <v>0</v>
      </c>
      <c r="P94" s="61">
        <f>SUMIFS('B1 - Matriz de custos diretos'!$G$3:$G$496,'B1 - Matriz de custos diretos'!$B$3:$B$496,$B44,'B1 - Matriz de custos diretos'!$C$3:$C$496,"Outros")*'A3 - Demanda Anual Agregada '!P21</f>
        <v>0</v>
      </c>
      <c r="Q94" s="61">
        <f>SUMIFS('B1 - Matriz de custos diretos'!$G$3:$G$496,'B1 - Matriz de custos diretos'!$B$3:$B$496,$B44,'B1 - Matriz de custos diretos'!$C$3:$C$496,"Outros")*'A3 - Demanda Anual Agregada '!Q21</f>
        <v>0</v>
      </c>
      <c r="R94" s="61">
        <f>SUMIFS('B1 - Matriz de custos diretos'!$G$3:$G$496,'B1 - Matriz de custos diretos'!$B$3:$B$496,$B44,'B1 - Matriz de custos diretos'!$C$3:$C$496,"Outros")*'A3 - Demanda Anual Agregada '!R21</f>
        <v>0</v>
      </c>
      <c r="S94" s="61">
        <f>SUMIFS('B1 - Matriz de custos diretos'!$G$3:$G$496,'B1 - Matriz de custos diretos'!$B$3:$B$496,$B44,'B1 - Matriz de custos diretos'!$C$3:$C$496,"Outros")*'A3 - Demanda Anual Agregada '!S21</f>
        <v>0</v>
      </c>
      <c r="T94" s="61">
        <f>SUMIFS('B1 - Matriz de custos diretos'!$G$3:$G$496,'B1 - Matriz de custos diretos'!$B$3:$B$496,$B44,'B1 - Matriz de custos diretos'!$C$3:$C$496,"Outros")*'A3 - Demanda Anual Agregada '!T21</f>
        <v>0</v>
      </c>
      <c r="U94" s="61">
        <f>SUMIFS('B1 - Matriz de custos diretos'!$G$3:$G$496,'B1 - Matriz de custos diretos'!$B$3:$B$496,$B44,'B1 - Matriz de custos diretos'!$C$3:$C$496,"Outros")*'A3 - Demanda Anual Agregada '!U21</f>
        <v>0</v>
      </c>
      <c r="V94" s="61">
        <f>SUMIFS('B1 - Matriz de custos diretos'!$G$3:$G$496,'B1 - Matriz de custos diretos'!$B$3:$B$496,$B44,'B1 - Matriz de custos diretos'!$C$3:$C$496,"Outros")*'A3 - Demanda Anual Agregada '!V21</f>
        <v>0</v>
      </c>
      <c r="W94" s="61">
        <f>SUMIFS('B1 - Matriz de custos diretos'!$G$3:$G$496,'B1 - Matriz de custos diretos'!$B$3:$B$496,$B44,'B1 - Matriz de custos diretos'!$C$3:$C$496,"Outros")*'A3 - Demanda Anual Agregada '!W21</f>
        <v>0</v>
      </c>
      <c r="X94" s="61">
        <f>SUMIFS('B1 - Matriz de custos diretos'!$G$3:$G$496,'B1 - Matriz de custos diretos'!$B$3:$B$496,$B44,'B1 - Matriz de custos diretos'!$C$3:$C$496,"Outros")*'A3 - Demanda Anual Agregada '!X21</f>
        <v>0</v>
      </c>
      <c r="Y94" s="61">
        <f>SUMIFS('B1 - Matriz de custos diretos'!$G$3:$G$496,'B1 - Matriz de custos diretos'!$B$3:$B$496,$B44,'B1 - Matriz de custos diretos'!$C$3:$C$496,"Outros")*'A3 - Demanda Anual Agregada '!Y21</f>
        <v>0</v>
      </c>
      <c r="Z94" s="61">
        <f>SUMIFS('B1 - Matriz de custos diretos'!$G$3:$G$496,'B1 - Matriz de custos diretos'!$B$3:$B$496,$B44,'B1 - Matriz de custos diretos'!$C$3:$C$496,"Outros")*'A3 - Demanda Anual Agregada '!Z21</f>
        <v>0</v>
      </c>
      <c r="AA94" s="61">
        <f>SUMIFS('B1 - Matriz de custos diretos'!$G$3:$G$496,'B1 - Matriz de custos diretos'!$B$3:$B$496,$B44,'B1 - Matriz de custos diretos'!$C$3:$C$496,"Outros")*'A3 - Demanda Anual Agregada '!AA21</f>
        <v>0</v>
      </c>
      <c r="AB94" s="61">
        <f>SUMIFS('B1 - Matriz de custos diretos'!$G$3:$G$496,'B1 - Matriz de custos diretos'!$B$3:$B$496,$B44,'B1 - Matriz de custos diretos'!$C$3:$C$496,"Outros")*'A3 - Demanda Anual Agregada '!AB21</f>
        <v>0</v>
      </c>
      <c r="AC94" s="61">
        <f>SUMIFS('B1 - Matriz de custos diretos'!$G$3:$G$496,'B1 - Matriz de custos diretos'!$B$3:$B$496,$B44,'B1 - Matriz de custos diretos'!$C$3:$C$496,"Outros")*'A3 - Demanda Anual Agregada '!AC21</f>
        <v>0</v>
      </c>
      <c r="AD94" s="61">
        <f>SUMIFS('B1 - Matriz de custos diretos'!$G$3:$G$496,'B1 - Matriz de custos diretos'!$B$3:$B$496,$B44,'B1 - Matriz de custos diretos'!$C$3:$C$496,"Outros")*'A3 - Demanda Anual Agregada '!AD21</f>
        <v>0</v>
      </c>
      <c r="AE94" s="61">
        <f>SUMIFS('B1 - Matriz de custos diretos'!$G$3:$G$496,'B1 - Matriz de custos diretos'!$B$3:$B$496,$B44,'B1 - Matriz de custos diretos'!$C$3:$C$496,"Outros")*'A3 - Demanda Anual Agregada '!AE21</f>
        <v>0</v>
      </c>
      <c r="AF94" s="61">
        <f>SUMIFS('B1 - Matriz de custos diretos'!$G$3:$G$496,'B1 - Matriz de custos diretos'!$B$3:$B$496,$B44,'B1 - Matriz de custos diretos'!$C$3:$C$496,"Outros")*'A3 - Demanda Anual Agregada '!AF21</f>
        <v>0</v>
      </c>
    </row>
    <row r="95" spans="1:32" ht="15.75" customHeight="1">
      <c r="A95" s="292"/>
      <c r="B95" s="60" t="str">
        <f>'A3 - Demanda Anual Agregada '!B22</f>
        <v>Mangue Seco - Estacionamento</v>
      </c>
      <c r="C95" s="61">
        <f>SUMIFS('B1 - Matriz de custos diretos'!$G$3:$G$496,'B1 - Matriz de custos diretos'!$B$3:$B$496,$B45,'B1 - Matriz de custos diretos'!$C$3:$C$496,"Outros")*'A3 - Demanda Anual Agregada '!C22</f>
        <v>0</v>
      </c>
      <c r="D95" s="61">
        <f>SUMIFS('B1 - Matriz de custos diretos'!$G$3:$G$496,'B1 - Matriz de custos diretos'!$B$3:$B$496,$B45,'B1 - Matriz de custos diretos'!$C$3:$C$496,"Outros")*'A3 - Demanda Anual Agregada '!D22</f>
        <v>0</v>
      </c>
      <c r="E95" s="61">
        <f>SUMIFS('B1 - Matriz de custos diretos'!$G$3:$G$496,'B1 - Matriz de custos diretos'!$B$3:$B$496,$B45,'B1 - Matriz de custos diretos'!$C$3:$C$496,"Outros")*'A3 - Demanda Anual Agregada '!E22</f>
        <v>0</v>
      </c>
      <c r="F95" s="61">
        <f>SUMIFS('B1 - Matriz de custos diretos'!$G$3:$G$496,'B1 - Matriz de custos diretos'!$B$3:$B$496,$B45,'B1 - Matriz de custos diretos'!$C$3:$C$496,"Outros")*'A3 - Demanda Anual Agregada '!F22</f>
        <v>0</v>
      </c>
      <c r="G95" s="61">
        <f>SUMIFS('B1 - Matriz de custos diretos'!$G$3:$G$496,'B1 - Matriz de custos diretos'!$B$3:$B$496,$B45,'B1 - Matriz de custos diretos'!$C$3:$C$496,"Outros")*'A3 - Demanda Anual Agregada '!G22</f>
        <v>0</v>
      </c>
      <c r="H95" s="61">
        <f>SUMIFS('B1 - Matriz de custos diretos'!$G$3:$G$496,'B1 - Matriz de custos diretos'!$B$3:$B$496,$B45,'B1 - Matriz de custos diretos'!$C$3:$C$496,"Outros")*'A3 - Demanda Anual Agregada '!H22</f>
        <v>0</v>
      </c>
      <c r="I95" s="61">
        <f>SUMIFS('B1 - Matriz de custos diretos'!$G$3:$G$496,'B1 - Matriz de custos diretos'!$B$3:$B$496,$B45,'B1 - Matriz de custos diretos'!$C$3:$C$496,"Outros")*'A3 - Demanda Anual Agregada '!I22</f>
        <v>0</v>
      </c>
      <c r="J95" s="61">
        <f>SUMIFS('B1 - Matriz de custos diretos'!$G$3:$G$496,'B1 - Matriz de custos diretos'!$B$3:$B$496,$B45,'B1 - Matriz de custos diretos'!$C$3:$C$496,"Outros")*'A3 - Demanda Anual Agregada '!J22</f>
        <v>0</v>
      </c>
      <c r="K95" s="61">
        <f>SUMIFS('B1 - Matriz de custos diretos'!$G$3:$G$496,'B1 - Matriz de custos diretos'!$B$3:$B$496,$B45,'B1 - Matriz de custos diretos'!$C$3:$C$496,"Outros")*'A3 - Demanda Anual Agregada '!K22</f>
        <v>0</v>
      </c>
      <c r="L95" s="61">
        <f>SUMIFS('B1 - Matriz de custos diretos'!$G$3:$G$496,'B1 - Matriz de custos diretos'!$B$3:$B$496,$B45,'B1 - Matriz de custos diretos'!$C$3:$C$496,"Outros")*'A3 - Demanda Anual Agregada '!L22</f>
        <v>0</v>
      </c>
      <c r="M95" s="61">
        <f>SUMIFS('B1 - Matriz de custos diretos'!$G$3:$G$496,'B1 - Matriz de custos diretos'!$B$3:$B$496,$B45,'B1 - Matriz de custos diretos'!$C$3:$C$496,"Outros")*'A3 - Demanda Anual Agregada '!M22</f>
        <v>0</v>
      </c>
      <c r="N95" s="61">
        <f>SUMIFS('B1 - Matriz de custos diretos'!$G$3:$G$496,'B1 - Matriz de custos diretos'!$B$3:$B$496,$B45,'B1 - Matriz de custos diretos'!$C$3:$C$496,"Outros")*'A3 - Demanda Anual Agregada '!N22</f>
        <v>0</v>
      </c>
      <c r="O95" s="61">
        <f>SUMIFS('B1 - Matriz de custos diretos'!$G$3:$G$496,'B1 - Matriz de custos diretos'!$B$3:$B$496,$B45,'B1 - Matriz de custos diretos'!$C$3:$C$496,"Outros")*'A3 - Demanda Anual Agregada '!O22</f>
        <v>0</v>
      </c>
      <c r="P95" s="61">
        <f>SUMIFS('B1 - Matriz de custos diretos'!$G$3:$G$496,'B1 - Matriz de custos diretos'!$B$3:$B$496,$B45,'B1 - Matriz de custos diretos'!$C$3:$C$496,"Outros")*'A3 - Demanda Anual Agregada '!P22</f>
        <v>0</v>
      </c>
      <c r="Q95" s="61">
        <f>SUMIFS('B1 - Matriz de custos diretos'!$G$3:$G$496,'B1 - Matriz de custos diretos'!$B$3:$B$496,$B45,'B1 - Matriz de custos diretos'!$C$3:$C$496,"Outros")*'A3 - Demanda Anual Agregada '!Q22</f>
        <v>0</v>
      </c>
      <c r="R95" s="61">
        <f>SUMIFS('B1 - Matriz de custos diretos'!$G$3:$G$496,'B1 - Matriz de custos diretos'!$B$3:$B$496,$B45,'B1 - Matriz de custos diretos'!$C$3:$C$496,"Outros")*'A3 - Demanda Anual Agregada '!R22</f>
        <v>0</v>
      </c>
      <c r="S95" s="61">
        <f>SUMIFS('B1 - Matriz de custos diretos'!$G$3:$G$496,'B1 - Matriz de custos diretos'!$B$3:$B$496,$B45,'B1 - Matriz de custos diretos'!$C$3:$C$496,"Outros")*'A3 - Demanda Anual Agregada '!S22</f>
        <v>0</v>
      </c>
      <c r="T95" s="61">
        <f>SUMIFS('B1 - Matriz de custos diretos'!$G$3:$G$496,'B1 - Matriz de custos diretos'!$B$3:$B$496,$B45,'B1 - Matriz de custos diretos'!$C$3:$C$496,"Outros")*'A3 - Demanda Anual Agregada '!T22</f>
        <v>0</v>
      </c>
      <c r="U95" s="61">
        <f>SUMIFS('B1 - Matriz de custos diretos'!$G$3:$G$496,'B1 - Matriz de custos diretos'!$B$3:$B$496,$B45,'B1 - Matriz de custos diretos'!$C$3:$C$496,"Outros")*'A3 - Demanda Anual Agregada '!U22</f>
        <v>0</v>
      </c>
      <c r="V95" s="61">
        <f>SUMIFS('B1 - Matriz de custos diretos'!$G$3:$G$496,'B1 - Matriz de custos diretos'!$B$3:$B$496,$B45,'B1 - Matriz de custos diretos'!$C$3:$C$496,"Outros")*'A3 - Demanda Anual Agregada '!V22</f>
        <v>0</v>
      </c>
      <c r="W95" s="61">
        <f>SUMIFS('B1 - Matriz de custos diretos'!$G$3:$G$496,'B1 - Matriz de custos diretos'!$B$3:$B$496,$B45,'B1 - Matriz de custos diretos'!$C$3:$C$496,"Outros")*'A3 - Demanda Anual Agregada '!W22</f>
        <v>0</v>
      </c>
      <c r="X95" s="61">
        <f>SUMIFS('B1 - Matriz de custos diretos'!$G$3:$G$496,'B1 - Matriz de custos diretos'!$B$3:$B$496,$B45,'B1 - Matriz de custos diretos'!$C$3:$C$496,"Outros")*'A3 - Demanda Anual Agregada '!X22</f>
        <v>0</v>
      </c>
      <c r="Y95" s="61">
        <f>SUMIFS('B1 - Matriz de custos diretos'!$G$3:$G$496,'B1 - Matriz de custos diretos'!$B$3:$B$496,$B45,'B1 - Matriz de custos diretos'!$C$3:$C$496,"Outros")*'A3 - Demanda Anual Agregada '!Y22</f>
        <v>0</v>
      </c>
      <c r="Z95" s="61">
        <f>SUMIFS('B1 - Matriz de custos diretos'!$G$3:$G$496,'B1 - Matriz de custos diretos'!$B$3:$B$496,$B45,'B1 - Matriz de custos diretos'!$C$3:$C$496,"Outros")*'A3 - Demanda Anual Agregada '!Z22</f>
        <v>0</v>
      </c>
      <c r="AA95" s="61">
        <f>SUMIFS('B1 - Matriz de custos diretos'!$G$3:$G$496,'B1 - Matriz de custos diretos'!$B$3:$B$496,$B45,'B1 - Matriz de custos diretos'!$C$3:$C$496,"Outros")*'A3 - Demanda Anual Agregada '!AA22</f>
        <v>0</v>
      </c>
      <c r="AB95" s="61">
        <f>SUMIFS('B1 - Matriz de custos diretos'!$G$3:$G$496,'B1 - Matriz de custos diretos'!$B$3:$B$496,$B45,'B1 - Matriz de custos diretos'!$C$3:$C$496,"Outros")*'A3 - Demanda Anual Agregada '!AB22</f>
        <v>0</v>
      </c>
      <c r="AC95" s="61">
        <f>SUMIFS('B1 - Matriz de custos diretos'!$G$3:$G$496,'B1 - Matriz de custos diretos'!$B$3:$B$496,$B45,'B1 - Matriz de custos diretos'!$C$3:$C$496,"Outros")*'A3 - Demanda Anual Agregada '!AC22</f>
        <v>0</v>
      </c>
      <c r="AD95" s="61">
        <f>SUMIFS('B1 - Matriz de custos diretos'!$G$3:$G$496,'B1 - Matriz de custos diretos'!$B$3:$B$496,$B45,'B1 - Matriz de custos diretos'!$C$3:$C$496,"Outros")*'A3 - Demanda Anual Agregada '!AD22</f>
        <v>0</v>
      </c>
      <c r="AE95" s="61">
        <f>SUMIFS('B1 - Matriz de custos diretos'!$G$3:$G$496,'B1 - Matriz de custos diretos'!$B$3:$B$496,$B45,'B1 - Matriz de custos diretos'!$C$3:$C$496,"Outros")*'A3 - Demanda Anual Agregada '!AE22</f>
        <v>0</v>
      </c>
      <c r="AF95" s="61">
        <f>SUMIFS('B1 - Matriz de custos diretos'!$G$3:$G$496,'B1 - Matriz de custos diretos'!$B$3:$B$496,$B45,'B1 - Matriz de custos diretos'!$C$3:$C$496,"Outros")*'A3 - Demanda Anual Agregada '!AF22</f>
        <v>0</v>
      </c>
    </row>
    <row r="96" spans="1:32" ht="15.75" customHeight="1">
      <c r="A96" s="292"/>
      <c r="B96" s="60" t="str">
        <f>'A3 - Demanda Anual Agregada '!B23</f>
        <v>Lagoa Grande - Estacionamento</v>
      </c>
      <c r="C96" s="61">
        <f>SUMIFS('B1 - Matriz de custos diretos'!$G$3:$G$496,'B1 - Matriz de custos diretos'!$B$3:$B$496,$B46,'B1 - Matriz de custos diretos'!$C$3:$C$496,"Outros")*'A3 - Demanda Anual Agregada '!C23</f>
        <v>0</v>
      </c>
      <c r="D96" s="61">
        <f>SUMIFS('B1 - Matriz de custos diretos'!$G$3:$G$496,'B1 - Matriz de custos diretos'!$B$3:$B$496,$B46,'B1 - Matriz de custos diretos'!$C$3:$C$496,"Outros")*'A3 - Demanda Anual Agregada '!D23</f>
        <v>0</v>
      </c>
      <c r="E96" s="61">
        <f>SUMIFS('B1 - Matriz de custos diretos'!$G$3:$G$496,'B1 - Matriz de custos diretos'!$B$3:$B$496,$B46,'B1 - Matriz de custos diretos'!$C$3:$C$496,"Outros")*'A3 - Demanda Anual Agregada '!E23</f>
        <v>0</v>
      </c>
      <c r="F96" s="61">
        <f>SUMIFS('B1 - Matriz de custos diretos'!$G$3:$G$496,'B1 - Matriz de custos diretos'!$B$3:$B$496,$B46,'B1 - Matriz de custos diretos'!$C$3:$C$496,"Outros")*'A3 - Demanda Anual Agregada '!F23</f>
        <v>0</v>
      </c>
      <c r="G96" s="61">
        <f>SUMIFS('B1 - Matriz de custos diretos'!$G$3:$G$496,'B1 - Matriz de custos diretos'!$B$3:$B$496,$B46,'B1 - Matriz de custos diretos'!$C$3:$C$496,"Outros")*'A3 - Demanda Anual Agregada '!G23</f>
        <v>0</v>
      </c>
      <c r="H96" s="61">
        <f>SUMIFS('B1 - Matriz de custos diretos'!$G$3:$G$496,'B1 - Matriz de custos diretos'!$B$3:$B$496,$B46,'B1 - Matriz de custos diretos'!$C$3:$C$496,"Outros")*'A3 - Demanda Anual Agregada '!H23</f>
        <v>0</v>
      </c>
      <c r="I96" s="61">
        <f>SUMIFS('B1 - Matriz de custos diretos'!$G$3:$G$496,'B1 - Matriz de custos diretos'!$B$3:$B$496,$B46,'B1 - Matriz de custos diretos'!$C$3:$C$496,"Outros")*'A3 - Demanda Anual Agregada '!I23</f>
        <v>0</v>
      </c>
      <c r="J96" s="61">
        <f>SUMIFS('B1 - Matriz de custos diretos'!$G$3:$G$496,'B1 - Matriz de custos diretos'!$B$3:$B$496,$B46,'B1 - Matriz de custos diretos'!$C$3:$C$496,"Outros")*'A3 - Demanda Anual Agregada '!J23</f>
        <v>0</v>
      </c>
      <c r="K96" s="61">
        <f>SUMIFS('B1 - Matriz de custos diretos'!$G$3:$G$496,'B1 - Matriz de custos diretos'!$B$3:$B$496,$B46,'B1 - Matriz de custos diretos'!$C$3:$C$496,"Outros")*'A3 - Demanda Anual Agregada '!K23</f>
        <v>0</v>
      </c>
      <c r="L96" s="61">
        <f>SUMIFS('B1 - Matriz de custos diretos'!$G$3:$G$496,'B1 - Matriz de custos diretos'!$B$3:$B$496,$B46,'B1 - Matriz de custos diretos'!$C$3:$C$496,"Outros")*'A3 - Demanda Anual Agregada '!L23</f>
        <v>0</v>
      </c>
      <c r="M96" s="61">
        <f>SUMIFS('B1 - Matriz de custos diretos'!$G$3:$G$496,'B1 - Matriz de custos diretos'!$B$3:$B$496,$B46,'B1 - Matriz de custos diretos'!$C$3:$C$496,"Outros")*'A3 - Demanda Anual Agregada '!M23</f>
        <v>0</v>
      </c>
      <c r="N96" s="61">
        <f>SUMIFS('B1 - Matriz de custos diretos'!$G$3:$G$496,'B1 - Matriz de custos diretos'!$B$3:$B$496,$B46,'B1 - Matriz de custos diretos'!$C$3:$C$496,"Outros")*'A3 - Demanda Anual Agregada '!N23</f>
        <v>0</v>
      </c>
      <c r="O96" s="61">
        <f>SUMIFS('B1 - Matriz de custos diretos'!$G$3:$G$496,'B1 - Matriz de custos diretos'!$B$3:$B$496,$B46,'B1 - Matriz de custos diretos'!$C$3:$C$496,"Outros")*'A3 - Demanda Anual Agregada '!O23</f>
        <v>0</v>
      </c>
      <c r="P96" s="61">
        <f>SUMIFS('B1 - Matriz de custos diretos'!$G$3:$G$496,'B1 - Matriz de custos diretos'!$B$3:$B$496,$B46,'B1 - Matriz de custos diretos'!$C$3:$C$496,"Outros")*'A3 - Demanda Anual Agregada '!P23</f>
        <v>0</v>
      </c>
      <c r="Q96" s="61">
        <f>SUMIFS('B1 - Matriz de custos diretos'!$G$3:$G$496,'B1 - Matriz de custos diretos'!$B$3:$B$496,$B46,'B1 - Matriz de custos diretos'!$C$3:$C$496,"Outros")*'A3 - Demanda Anual Agregada '!Q23</f>
        <v>0</v>
      </c>
      <c r="R96" s="61">
        <f>SUMIFS('B1 - Matriz de custos diretos'!$G$3:$G$496,'B1 - Matriz de custos diretos'!$B$3:$B$496,$B46,'B1 - Matriz de custos diretos'!$C$3:$C$496,"Outros")*'A3 - Demanda Anual Agregada '!R23</f>
        <v>0</v>
      </c>
      <c r="S96" s="61">
        <f>SUMIFS('B1 - Matriz de custos diretos'!$G$3:$G$496,'B1 - Matriz de custos diretos'!$B$3:$B$496,$B46,'B1 - Matriz de custos diretos'!$C$3:$C$496,"Outros")*'A3 - Demanda Anual Agregada '!S23</f>
        <v>0</v>
      </c>
      <c r="T96" s="61">
        <f>SUMIFS('B1 - Matriz de custos diretos'!$G$3:$G$496,'B1 - Matriz de custos diretos'!$B$3:$B$496,$B46,'B1 - Matriz de custos diretos'!$C$3:$C$496,"Outros")*'A3 - Demanda Anual Agregada '!T23</f>
        <v>0</v>
      </c>
      <c r="U96" s="61">
        <f>SUMIFS('B1 - Matriz de custos diretos'!$G$3:$G$496,'B1 - Matriz de custos diretos'!$B$3:$B$496,$B46,'B1 - Matriz de custos diretos'!$C$3:$C$496,"Outros")*'A3 - Demanda Anual Agregada '!U23</f>
        <v>0</v>
      </c>
      <c r="V96" s="61">
        <f>SUMIFS('B1 - Matriz de custos diretos'!$G$3:$G$496,'B1 - Matriz de custos diretos'!$B$3:$B$496,$B46,'B1 - Matriz de custos diretos'!$C$3:$C$496,"Outros")*'A3 - Demanda Anual Agregada '!V23</f>
        <v>0</v>
      </c>
      <c r="W96" s="61">
        <f>SUMIFS('B1 - Matriz de custos diretos'!$G$3:$G$496,'B1 - Matriz de custos diretos'!$B$3:$B$496,$B46,'B1 - Matriz de custos diretos'!$C$3:$C$496,"Outros")*'A3 - Demanda Anual Agregada '!W23</f>
        <v>0</v>
      </c>
      <c r="X96" s="61">
        <f>SUMIFS('B1 - Matriz de custos diretos'!$G$3:$G$496,'B1 - Matriz de custos diretos'!$B$3:$B$496,$B46,'B1 - Matriz de custos diretos'!$C$3:$C$496,"Outros")*'A3 - Demanda Anual Agregada '!X23</f>
        <v>0</v>
      </c>
      <c r="Y96" s="61">
        <f>SUMIFS('B1 - Matriz de custos diretos'!$G$3:$G$496,'B1 - Matriz de custos diretos'!$B$3:$B$496,$B46,'B1 - Matriz de custos diretos'!$C$3:$C$496,"Outros")*'A3 - Demanda Anual Agregada '!Y23</f>
        <v>0</v>
      </c>
      <c r="Z96" s="61">
        <f>SUMIFS('B1 - Matriz de custos diretos'!$G$3:$G$496,'B1 - Matriz de custos diretos'!$B$3:$B$496,$B46,'B1 - Matriz de custos diretos'!$C$3:$C$496,"Outros")*'A3 - Demanda Anual Agregada '!Z23</f>
        <v>0</v>
      </c>
      <c r="AA96" s="61">
        <f>SUMIFS('B1 - Matriz de custos diretos'!$G$3:$G$496,'B1 - Matriz de custos diretos'!$B$3:$B$496,$B46,'B1 - Matriz de custos diretos'!$C$3:$C$496,"Outros")*'A3 - Demanda Anual Agregada '!AA23</f>
        <v>0</v>
      </c>
      <c r="AB96" s="61">
        <f>SUMIFS('B1 - Matriz de custos diretos'!$G$3:$G$496,'B1 - Matriz de custos diretos'!$B$3:$B$496,$B46,'B1 - Matriz de custos diretos'!$C$3:$C$496,"Outros")*'A3 - Demanda Anual Agregada '!AB23</f>
        <v>0</v>
      </c>
      <c r="AC96" s="61">
        <f>SUMIFS('B1 - Matriz de custos diretos'!$G$3:$G$496,'B1 - Matriz de custos diretos'!$B$3:$B$496,$B46,'B1 - Matriz de custos diretos'!$C$3:$C$496,"Outros")*'A3 - Demanda Anual Agregada '!AC23</f>
        <v>0</v>
      </c>
      <c r="AD96" s="61">
        <f>SUMIFS('B1 - Matriz de custos diretos'!$G$3:$G$496,'B1 - Matriz de custos diretos'!$B$3:$B$496,$B46,'B1 - Matriz de custos diretos'!$C$3:$C$496,"Outros")*'A3 - Demanda Anual Agregada '!AD23</f>
        <v>0</v>
      </c>
      <c r="AE96" s="61">
        <f>SUMIFS('B1 - Matriz de custos diretos'!$G$3:$G$496,'B1 - Matriz de custos diretos'!$B$3:$B$496,$B46,'B1 - Matriz de custos diretos'!$C$3:$C$496,"Outros")*'A3 - Demanda Anual Agregada '!AE23</f>
        <v>0</v>
      </c>
      <c r="AF96" s="61">
        <f>SUMIFS('B1 - Matriz de custos diretos'!$G$3:$G$496,'B1 - Matriz de custos diretos'!$B$3:$B$496,$B46,'B1 - Matriz de custos diretos'!$C$3:$C$496,"Outros")*'A3 - Demanda Anual Agregada '!AF23</f>
        <v>0</v>
      </c>
    </row>
    <row r="97" spans="1:32" ht="15.75" customHeight="1">
      <c r="A97" s="292"/>
      <c r="B97" s="60" t="str">
        <f>'A3 - Demanda Anual Agregada '!B24</f>
        <v/>
      </c>
      <c r="C97" s="61">
        <f>SUMIFS('B1 - Matriz de custos diretos'!$G$3:$G$496,'B1 - Matriz de custos diretos'!$B$3:$B$496,$B47,'B1 - Matriz de custos diretos'!$C$3:$C$496,"Outros")*'A3 - Demanda Anual Agregada '!C24</f>
        <v>0</v>
      </c>
      <c r="D97" s="61">
        <f>SUMIFS('B1 - Matriz de custos diretos'!$G$3:$G$496,'B1 - Matriz de custos diretos'!$B$3:$B$496,$B47,'B1 - Matriz de custos diretos'!$C$3:$C$496,"Outros")*'A3 - Demanda Anual Agregada '!D24</f>
        <v>0</v>
      </c>
      <c r="E97" s="61">
        <f>SUMIFS('B1 - Matriz de custos diretos'!$G$3:$G$496,'B1 - Matriz de custos diretos'!$B$3:$B$496,$B47,'B1 - Matriz de custos diretos'!$C$3:$C$496,"Outros")*'A3 - Demanda Anual Agregada '!E24</f>
        <v>0</v>
      </c>
      <c r="F97" s="61">
        <f>SUMIFS('B1 - Matriz de custos diretos'!$G$3:$G$496,'B1 - Matriz de custos diretos'!$B$3:$B$496,$B47,'B1 - Matriz de custos diretos'!$C$3:$C$496,"Outros")*'A3 - Demanda Anual Agregada '!F24</f>
        <v>0</v>
      </c>
      <c r="G97" s="61">
        <f>SUMIFS('B1 - Matriz de custos diretos'!$G$3:$G$496,'B1 - Matriz de custos diretos'!$B$3:$B$496,$B47,'B1 - Matriz de custos diretos'!$C$3:$C$496,"Outros")*'A3 - Demanda Anual Agregada '!G24</f>
        <v>0</v>
      </c>
      <c r="H97" s="61">
        <f>SUMIFS('B1 - Matriz de custos diretos'!$G$3:$G$496,'B1 - Matriz de custos diretos'!$B$3:$B$496,$B47,'B1 - Matriz de custos diretos'!$C$3:$C$496,"Outros")*'A3 - Demanda Anual Agregada '!H24</f>
        <v>0</v>
      </c>
      <c r="I97" s="61">
        <f>SUMIFS('B1 - Matriz de custos diretos'!$G$3:$G$496,'B1 - Matriz de custos diretos'!$B$3:$B$496,$B47,'B1 - Matriz de custos diretos'!$C$3:$C$496,"Outros")*'A3 - Demanda Anual Agregada '!I24</f>
        <v>0</v>
      </c>
      <c r="J97" s="61">
        <f>SUMIFS('B1 - Matriz de custos diretos'!$G$3:$G$496,'B1 - Matriz de custos diretos'!$B$3:$B$496,$B47,'B1 - Matriz de custos diretos'!$C$3:$C$496,"Outros")*'A3 - Demanda Anual Agregada '!J24</f>
        <v>0</v>
      </c>
      <c r="K97" s="61">
        <f>SUMIFS('B1 - Matriz de custos diretos'!$G$3:$G$496,'B1 - Matriz de custos diretos'!$B$3:$B$496,$B47,'B1 - Matriz de custos diretos'!$C$3:$C$496,"Outros")*'A3 - Demanda Anual Agregada '!K24</f>
        <v>0</v>
      </c>
      <c r="L97" s="61">
        <f>SUMIFS('B1 - Matriz de custos diretos'!$G$3:$G$496,'B1 - Matriz de custos diretos'!$B$3:$B$496,$B47,'B1 - Matriz de custos diretos'!$C$3:$C$496,"Outros")*'A3 - Demanda Anual Agregada '!L24</f>
        <v>0</v>
      </c>
      <c r="M97" s="61">
        <f>SUMIFS('B1 - Matriz de custos diretos'!$G$3:$G$496,'B1 - Matriz de custos diretos'!$B$3:$B$496,$B47,'B1 - Matriz de custos diretos'!$C$3:$C$496,"Outros")*'A3 - Demanda Anual Agregada '!M24</f>
        <v>0</v>
      </c>
      <c r="N97" s="61">
        <f>SUMIFS('B1 - Matriz de custos diretos'!$G$3:$G$496,'B1 - Matriz de custos diretos'!$B$3:$B$496,$B47,'B1 - Matriz de custos diretos'!$C$3:$C$496,"Outros")*'A3 - Demanda Anual Agregada '!N24</f>
        <v>0</v>
      </c>
      <c r="O97" s="61">
        <f>SUMIFS('B1 - Matriz de custos diretos'!$G$3:$G$496,'B1 - Matriz de custos diretos'!$B$3:$B$496,$B47,'B1 - Matriz de custos diretos'!$C$3:$C$496,"Outros")*'A3 - Demanda Anual Agregada '!O24</f>
        <v>0</v>
      </c>
      <c r="P97" s="61">
        <f>SUMIFS('B1 - Matriz de custos diretos'!$G$3:$G$496,'B1 - Matriz de custos diretos'!$B$3:$B$496,$B47,'B1 - Matriz de custos diretos'!$C$3:$C$496,"Outros")*'A3 - Demanda Anual Agregada '!P24</f>
        <v>0</v>
      </c>
      <c r="Q97" s="61">
        <f>SUMIFS('B1 - Matriz de custos diretos'!$G$3:$G$496,'B1 - Matriz de custos diretos'!$B$3:$B$496,$B47,'B1 - Matriz de custos diretos'!$C$3:$C$496,"Outros")*'A3 - Demanda Anual Agregada '!Q24</f>
        <v>0</v>
      </c>
      <c r="R97" s="61">
        <f>SUMIFS('B1 - Matriz de custos diretos'!$G$3:$G$496,'B1 - Matriz de custos diretos'!$B$3:$B$496,$B47,'B1 - Matriz de custos diretos'!$C$3:$C$496,"Outros")*'A3 - Demanda Anual Agregada '!R24</f>
        <v>0</v>
      </c>
      <c r="S97" s="61">
        <f>SUMIFS('B1 - Matriz de custos diretos'!$G$3:$G$496,'B1 - Matriz de custos diretos'!$B$3:$B$496,$B47,'B1 - Matriz de custos diretos'!$C$3:$C$496,"Outros")*'A3 - Demanda Anual Agregada '!S24</f>
        <v>0</v>
      </c>
      <c r="T97" s="61">
        <f>SUMIFS('B1 - Matriz de custos diretos'!$G$3:$G$496,'B1 - Matriz de custos diretos'!$B$3:$B$496,$B47,'B1 - Matriz de custos diretos'!$C$3:$C$496,"Outros")*'A3 - Demanda Anual Agregada '!T24</f>
        <v>0</v>
      </c>
      <c r="U97" s="61">
        <f>SUMIFS('B1 - Matriz de custos diretos'!$G$3:$G$496,'B1 - Matriz de custos diretos'!$B$3:$B$496,$B47,'B1 - Matriz de custos diretos'!$C$3:$C$496,"Outros")*'A3 - Demanda Anual Agregada '!U24</f>
        <v>0</v>
      </c>
      <c r="V97" s="61">
        <f>SUMIFS('B1 - Matriz de custos diretos'!$G$3:$G$496,'B1 - Matriz de custos diretos'!$B$3:$B$496,$B47,'B1 - Matriz de custos diretos'!$C$3:$C$496,"Outros")*'A3 - Demanda Anual Agregada '!V24</f>
        <v>0</v>
      </c>
      <c r="W97" s="61">
        <f>SUMIFS('B1 - Matriz de custos diretos'!$G$3:$G$496,'B1 - Matriz de custos diretos'!$B$3:$B$496,$B47,'B1 - Matriz de custos diretos'!$C$3:$C$496,"Outros")*'A3 - Demanda Anual Agregada '!W24</f>
        <v>0</v>
      </c>
      <c r="X97" s="61">
        <f>SUMIFS('B1 - Matriz de custos diretos'!$G$3:$G$496,'B1 - Matriz de custos diretos'!$B$3:$B$496,$B47,'B1 - Matriz de custos diretos'!$C$3:$C$496,"Outros")*'A3 - Demanda Anual Agregada '!X24</f>
        <v>0</v>
      </c>
      <c r="Y97" s="61">
        <f>SUMIFS('B1 - Matriz de custos diretos'!$G$3:$G$496,'B1 - Matriz de custos diretos'!$B$3:$B$496,$B47,'B1 - Matriz de custos diretos'!$C$3:$C$496,"Outros")*'A3 - Demanda Anual Agregada '!Y24</f>
        <v>0</v>
      </c>
      <c r="Z97" s="61">
        <f>SUMIFS('B1 - Matriz de custos diretos'!$G$3:$G$496,'B1 - Matriz de custos diretos'!$B$3:$B$496,$B47,'B1 - Matriz de custos diretos'!$C$3:$C$496,"Outros")*'A3 - Demanda Anual Agregada '!Z24</f>
        <v>0</v>
      </c>
      <c r="AA97" s="61">
        <f>SUMIFS('B1 - Matriz de custos diretos'!$G$3:$G$496,'B1 - Matriz de custos diretos'!$B$3:$B$496,$B47,'B1 - Matriz de custos diretos'!$C$3:$C$496,"Outros")*'A3 - Demanda Anual Agregada '!AA24</f>
        <v>0</v>
      </c>
      <c r="AB97" s="61">
        <f>SUMIFS('B1 - Matriz de custos diretos'!$G$3:$G$496,'B1 - Matriz de custos diretos'!$B$3:$B$496,$B47,'B1 - Matriz de custos diretos'!$C$3:$C$496,"Outros")*'A3 - Demanda Anual Agregada '!AB24</f>
        <v>0</v>
      </c>
      <c r="AC97" s="61">
        <f>SUMIFS('B1 - Matriz de custos diretos'!$G$3:$G$496,'B1 - Matriz de custos diretos'!$B$3:$B$496,$B47,'B1 - Matriz de custos diretos'!$C$3:$C$496,"Outros")*'A3 - Demanda Anual Agregada '!AC24</f>
        <v>0</v>
      </c>
      <c r="AD97" s="61">
        <f>SUMIFS('B1 - Matriz de custos diretos'!$G$3:$G$496,'B1 - Matriz de custos diretos'!$B$3:$B$496,$B47,'B1 - Matriz de custos diretos'!$C$3:$C$496,"Outros")*'A3 - Demanda Anual Agregada '!AD24</f>
        <v>0</v>
      </c>
      <c r="AE97" s="61">
        <f>SUMIFS('B1 - Matriz de custos diretos'!$G$3:$G$496,'B1 - Matriz de custos diretos'!$B$3:$B$496,$B47,'B1 - Matriz de custos diretos'!$C$3:$C$496,"Outros")*'A3 - Demanda Anual Agregada '!AE24</f>
        <v>0</v>
      </c>
      <c r="AF97" s="61">
        <f>SUMIFS('B1 - Matriz de custos diretos'!$G$3:$G$496,'B1 - Matriz de custos diretos'!$B$3:$B$496,$B47,'B1 - Matriz de custos diretos'!$C$3:$C$496,"Outros")*'A3 - Demanda Anual Agregada '!AF24</f>
        <v>0</v>
      </c>
    </row>
    <row r="98" spans="1:32" ht="15.75" customHeight="1">
      <c r="A98" s="292"/>
      <c r="B98" s="60" t="str">
        <f>'A3 - Demanda Anual Agregada '!B25</f>
        <v/>
      </c>
      <c r="C98" s="61">
        <f>SUMIFS('B1 - Matriz de custos diretos'!$G$3:$G$496,'B1 - Matriz de custos diretos'!$B$3:$B$496,$B48,'B1 - Matriz de custos diretos'!$C$3:$C$496,"Outros")*'A3 - Demanda Anual Agregada '!C25</f>
        <v>0</v>
      </c>
      <c r="D98" s="61">
        <f>SUMIFS('B1 - Matriz de custos diretos'!$G$3:$G$496,'B1 - Matriz de custos diretos'!$B$3:$B$496,$B48,'B1 - Matriz de custos diretos'!$C$3:$C$496,"Outros")*'A3 - Demanda Anual Agregada '!D25</f>
        <v>0</v>
      </c>
      <c r="E98" s="61">
        <f>SUMIFS('B1 - Matriz de custos diretos'!$G$3:$G$496,'B1 - Matriz de custos diretos'!$B$3:$B$496,$B48,'B1 - Matriz de custos diretos'!$C$3:$C$496,"Outros")*'A3 - Demanda Anual Agregada '!E25</f>
        <v>0</v>
      </c>
      <c r="F98" s="61">
        <f>SUMIFS('B1 - Matriz de custos diretos'!$G$3:$G$496,'B1 - Matriz de custos diretos'!$B$3:$B$496,$B48,'B1 - Matriz de custos diretos'!$C$3:$C$496,"Outros")*'A3 - Demanda Anual Agregada '!F25</f>
        <v>0</v>
      </c>
      <c r="G98" s="61">
        <f>SUMIFS('B1 - Matriz de custos diretos'!$G$3:$G$496,'B1 - Matriz de custos diretos'!$B$3:$B$496,$B48,'B1 - Matriz de custos diretos'!$C$3:$C$496,"Outros")*'A3 - Demanda Anual Agregada '!G25</f>
        <v>0</v>
      </c>
      <c r="H98" s="61">
        <f>SUMIFS('B1 - Matriz de custos diretos'!$G$3:$G$496,'B1 - Matriz de custos diretos'!$B$3:$B$496,$B48,'B1 - Matriz de custos diretos'!$C$3:$C$496,"Outros")*'A3 - Demanda Anual Agregada '!H25</f>
        <v>0</v>
      </c>
      <c r="I98" s="61">
        <f>SUMIFS('B1 - Matriz de custos diretos'!$G$3:$G$496,'B1 - Matriz de custos diretos'!$B$3:$B$496,$B48,'B1 - Matriz de custos diretos'!$C$3:$C$496,"Outros")*'A3 - Demanda Anual Agregada '!I25</f>
        <v>0</v>
      </c>
      <c r="J98" s="61">
        <f>SUMIFS('B1 - Matriz de custos diretos'!$G$3:$G$496,'B1 - Matriz de custos diretos'!$B$3:$B$496,$B48,'B1 - Matriz de custos diretos'!$C$3:$C$496,"Outros")*'A3 - Demanda Anual Agregada '!J25</f>
        <v>0</v>
      </c>
      <c r="K98" s="61">
        <f>SUMIFS('B1 - Matriz de custos diretos'!$G$3:$G$496,'B1 - Matriz de custos diretos'!$B$3:$B$496,$B48,'B1 - Matriz de custos diretos'!$C$3:$C$496,"Outros")*'A3 - Demanda Anual Agregada '!K25</f>
        <v>0</v>
      </c>
      <c r="L98" s="61">
        <f>SUMIFS('B1 - Matriz de custos diretos'!$G$3:$G$496,'B1 - Matriz de custos diretos'!$B$3:$B$496,$B48,'B1 - Matriz de custos diretos'!$C$3:$C$496,"Outros")*'A3 - Demanda Anual Agregada '!L25</f>
        <v>0</v>
      </c>
      <c r="M98" s="61">
        <f>SUMIFS('B1 - Matriz de custos diretos'!$G$3:$G$496,'B1 - Matriz de custos diretos'!$B$3:$B$496,$B48,'B1 - Matriz de custos diretos'!$C$3:$C$496,"Outros")*'A3 - Demanda Anual Agregada '!M25</f>
        <v>0</v>
      </c>
      <c r="N98" s="61">
        <f>SUMIFS('B1 - Matriz de custos diretos'!$G$3:$G$496,'B1 - Matriz de custos diretos'!$B$3:$B$496,$B48,'B1 - Matriz de custos diretos'!$C$3:$C$496,"Outros")*'A3 - Demanda Anual Agregada '!N25</f>
        <v>0</v>
      </c>
      <c r="O98" s="61">
        <f>SUMIFS('B1 - Matriz de custos diretos'!$G$3:$G$496,'B1 - Matriz de custos diretos'!$B$3:$B$496,$B48,'B1 - Matriz de custos diretos'!$C$3:$C$496,"Outros")*'A3 - Demanda Anual Agregada '!O25</f>
        <v>0</v>
      </c>
      <c r="P98" s="61">
        <f>SUMIFS('B1 - Matriz de custos diretos'!$G$3:$G$496,'B1 - Matriz de custos diretos'!$B$3:$B$496,$B48,'B1 - Matriz de custos diretos'!$C$3:$C$496,"Outros")*'A3 - Demanda Anual Agregada '!P25</f>
        <v>0</v>
      </c>
      <c r="Q98" s="61">
        <f>SUMIFS('B1 - Matriz de custos diretos'!$G$3:$G$496,'B1 - Matriz de custos diretos'!$B$3:$B$496,$B48,'B1 - Matriz de custos diretos'!$C$3:$C$496,"Outros")*'A3 - Demanda Anual Agregada '!Q25</f>
        <v>0</v>
      </c>
      <c r="R98" s="61">
        <f>SUMIFS('B1 - Matriz de custos diretos'!$G$3:$G$496,'B1 - Matriz de custos diretos'!$B$3:$B$496,$B48,'B1 - Matriz de custos diretos'!$C$3:$C$496,"Outros")*'A3 - Demanda Anual Agregada '!R25</f>
        <v>0</v>
      </c>
      <c r="S98" s="61">
        <f>SUMIFS('B1 - Matriz de custos diretos'!$G$3:$G$496,'B1 - Matriz de custos diretos'!$B$3:$B$496,$B48,'B1 - Matriz de custos diretos'!$C$3:$C$496,"Outros")*'A3 - Demanda Anual Agregada '!S25</f>
        <v>0</v>
      </c>
      <c r="T98" s="61">
        <f>SUMIFS('B1 - Matriz de custos diretos'!$G$3:$G$496,'B1 - Matriz de custos diretos'!$B$3:$B$496,$B48,'B1 - Matriz de custos diretos'!$C$3:$C$496,"Outros")*'A3 - Demanda Anual Agregada '!T25</f>
        <v>0</v>
      </c>
      <c r="U98" s="61">
        <f>SUMIFS('B1 - Matriz de custos diretos'!$G$3:$G$496,'B1 - Matriz de custos diretos'!$B$3:$B$496,$B48,'B1 - Matriz de custos diretos'!$C$3:$C$496,"Outros")*'A3 - Demanda Anual Agregada '!U25</f>
        <v>0</v>
      </c>
      <c r="V98" s="61">
        <f>SUMIFS('B1 - Matriz de custos diretos'!$G$3:$G$496,'B1 - Matriz de custos diretos'!$B$3:$B$496,$B48,'B1 - Matriz de custos diretos'!$C$3:$C$496,"Outros")*'A3 - Demanda Anual Agregada '!V25</f>
        <v>0</v>
      </c>
      <c r="W98" s="61">
        <f>SUMIFS('B1 - Matriz de custos diretos'!$G$3:$G$496,'B1 - Matriz de custos diretos'!$B$3:$B$496,$B48,'B1 - Matriz de custos diretos'!$C$3:$C$496,"Outros")*'A3 - Demanda Anual Agregada '!W25</f>
        <v>0</v>
      </c>
      <c r="X98" s="61">
        <f>SUMIFS('B1 - Matriz de custos diretos'!$G$3:$G$496,'B1 - Matriz de custos diretos'!$B$3:$B$496,$B48,'B1 - Matriz de custos diretos'!$C$3:$C$496,"Outros")*'A3 - Demanda Anual Agregada '!X25</f>
        <v>0</v>
      </c>
      <c r="Y98" s="61">
        <f>SUMIFS('B1 - Matriz de custos diretos'!$G$3:$G$496,'B1 - Matriz de custos diretos'!$B$3:$B$496,$B48,'B1 - Matriz de custos diretos'!$C$3:$C$496,"Outros")*'A3 - Demanda Anual Agregada '!Y25</f>
        <v>0</v>
      </c>
      <c r="Z98" s="61">
        <f>SUMIFS('B1 - Matriz de custos diretos'!$G$3:$G$496,'B1 - Matriz de custos diretos'!$B$3:$B$496,$B48,'B1 - Matriz de custos diretos'!$C$3:$C$496,"Outros")*'A3 - Demanda Anual Agregada '!Z25</f>
        <v>0</v>
      </c>
      <c r="AA98" s="61">
        <f>SUMIFS('B1 - Matriz de custos diretos'!$G$3:$G$496,'B1 - Matriz de custos diretos'!$B$3:$B$496,$B48,'B1 - Matriz de custos diretos'!$C$3:$C$496,"Outros")*'A3 - Demanda Anual Agregada '!AA25</f>
        <v>0</v>
      </c>
      <c r="AB98" s="61">
        <f>SUMIFS('B1 - Matriz de custos diretos'!$G$3:$G$496,'B1 - Matriz de custos diretos'!$B$3:$B$496,$B48,'B1 - Matriz de custos diretos'!$C$3:$C$496,"Outros")*'A3 - Demanda Anual Agregada '!AB25</f>
        <v>0</v>
      </c>
      <c r="AC98" s="61">
        <f>SUMIFS('B1 - Matriz de custos diretos'!$G$3:$G$496,'B1 - Matriz de custos diretos'!$B$3:$B$496,$B48,'B1 - Matriz de custos diretos'!$C$3:$C$496,"Outros")*'A3 - Demanda Anual Agregada '!AC25</f>
        <v>0</v>
      </c>
      <c r="AD98" s="61">
        <f>SUMIFS('B1 - Matriz de custos diretos'!$G$3:$G$496,'B1 - Matriz de custos diretos'!$B$3:$B$496,$B48,'B1 - Matriz de custos diretos'!$C$3:$C$496,"Outros")*'A3 - Demanda Anual Agregada '!AD25</f>
        <v>0</v>
      </c>
      <c r="AE98" s="61">
        <f>SUMIFS('B1 - Matriz de custos diretos'!$G$3:$G$496,'B1 - Matriz de custos diretos'!$B$3:$B$496,$B48,'B1 - Matriz de custos diretos'!$C$3:$C$496,"Outros")*'A3 - Demanda Anual Agregada '!AE25</f>
        <v>0</v>
      </c>
      <c r="AF98" s="61">
        <f>SUMIFS('B1 - Matriz de custos diretos'!$G$3:$G$496,'B1 - Matriz de custos diretos'!$B$3:$B$496,$B48,'B1 - Matriz de custos diretos'!$C$3:$C$496,"Outros")*'A3 - Demanda Anual Agregada '!AF25</f>
        <v>0</v>
      </c>
    </row>
    <row r="99" spans="1:32" ht="21.75" customHeight="1">
      <c r="A99" s="292"/>
      <c r="B99" s="464" t="s">
        <v>52</v>
      </c>
      <c r="C99" s="547">
        <f t="shared" ref="C99:AF99" si="3">SUM(C79:C98)</f>
        <v>522935</v>
      </c>
      <c r="D99" s="547">
        <f t="shared" si="3"/>
        <v>1081951</v>
      </c>
      <c r="E99" s="547">
        <f t="shared" si="3"/>
        <v>1119271</v>
      </c>
      <c r="F99" s="547">
        <f t="shared" si="3"/>
        <v>1155418</v>
      </c>
      <c r="G99" s="547">
        <f t="shared" si="3"/>
        <v>1192139</v>
      </c>
      <c r="H99" s="547">
        <f t="shared" si="3"/>
        <v>1229504</v>
      </c>
      <c r="I99" s="547">
        <f t="shared" si="3"/>
        <v>1267922</v>
      </c>
      <c r="J99" s="547">
        <f t="shared" si="3"/>
        <v>1307461</v>
      </c>
      <c r="K99" s="547">
        <f t="shared" si="3"/>
        <v>1347720</v>
      </c>
      <c r="L99" s="547">
        <f t="shared" si="3"/>
        <v>1388731</v>
      </c>
      <c r="M99" s="547">
        <f t="shared" si="3"/>
        <v>1431024</v>
      </c>
      <c r="N99" s="547">
        <f t="shared" si="3"/>
        <v>1474583</v>
      </c>
      <c r="O99" s="547">
        <f t="shared" si="3"/>
        <v>1519533</v>
      </c>
      <c r="P99" s="547">
        <f t="shared" si="3"/>
        <v>1565841</v>
      </c>
      <c r="Q99" s="547">
        <f t="shared" si="3"/>
        <v>1613541</v>
      </c>
      <c r="R99" s="547">
        <f t="shared" si="3"/>
        <v>1662549</v>
      </c>
      <c r="S99" s="547">
        <f t="shared" si="3"/>
        <v>1712805</v>
      </c>
      <c r="T99" s="547">
        <f t="shared" si="3"/>
        <v>1764131</v>
      </c>
      <c r="U99" s="547">
        <f t="shared" si="3"/>
        <v>1816396</v>
      </c>
      <c r="V99" s="547">
        <f t="shared" si="3"/>
        <v>1869357</v>
      </c>
      <c r="W99" s="547">
        <f t="shared" si="3"/>
        <v>1869357</v>
      </c>
      <c r="X99" s="547">
        <f t="shared" si="3"/>
        <v>1869357</v>
      </c>
      <c r="Y99" s="547">
        <f t="shared" si="3"/>
        <v>1869357</v>
      </c>
      <c r="Z99" s="547">
        <f t="shared" si="3"/>
        <v>1869357</v>
      </c>
      <c r="AA99" s="547">
        <f t="shared" si="3"/>
        <v>1869357</v>
      </c>
      <c r="AB99" s="547">
        <f t="shared" si="3"/>
        <v>1869357</v>
      </c>
      <c r="AC99" s="547">
        <f t="shared" si="3"/>
        <v>1869357</v>
      </c>
      <c r="AD99" s="547">
        <f t="shared" si="3"/>
        <v>1869357</v>
      </c>
      <c r="AE99" s="547">
        <f t="shared" si="3"/>
        <v>1869357</v>
      </c>
      <c r="AF99" s="547">
        <f t="shared" si="3"/>
        <v>1869357</v>
      </c>
    </row>
  </sheetData>
  <mergeCells count="8">
    <mergeCell ref="B77:B78"/>
    <mergeCell ref="C77:AF77"/>
    <mergeCell ref="B2:B3"/>
    <mergeCell ref="C2:AF2"/>
    <mergeCell ref="B27:B28"/>
    <mergeCell ref="C27:AF27"/>
    <mergeCell ref="B52:B53"/>
    <mergeCell ref="C52:AF52"/>
  </mergeCells>
  <pageMargins left="0.511811024" right="0.511811024" top="0.78740157499999996" bottom="0.78740157499999996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9">
    <tabColor rgb="FFC00000"/>
  </sheetPr>
  <dimension ref="A1:BO150"/>
  <sheetViews>
    <sheetView workbookViewId="0">
      <pane xSplit="1" ySplit="4" topLeftCell="C5" activePane="bottomRight" state="frozen"/>
      <selection pane="bottomRight" sqref="A1:Z1"/>
      <selection pane="bottomLeft" activeCell="A5" sqref="A5"/>
      <selection pane="topRight" activeCell="B1" sqref="B1"/>
    </sheetView>
  </sheetViews>
  <sheetFormatPr defaultColWidth="11.44140625" defaultRowHeight="15" customHeight="1"/>
  <cols>
    <col min="1" max="1" width="62.5546875" customWidth="1"/>
    <col min="2" max="2" width="20.21875" customWidth="1"/>
    <col min="3" max="3" width="12.44140625" customWidth="1"/>
    <col min="4" max="4" width="41.21875" customWidth="1"/>
    <col min="5" max="5" width="12" customWidth="1"/>
    <col min="6" max="6" width="11.21875" customWidth="1"/>
    <col min="7" max="26" width="13.44140625" customWidth="1"/>
    <col min="27" max="36" width="12.44140625" customWidth="1"/>
    <col min="37" max="66" width="10.5546875" customWidth="1"/>
    <col min="67" max="67" width="48.5546875" customWidth="1"/>
  </cols>
  <sheetData>
    <row r="1" spans="1:67" ht="27" customHeight="1">
      <c r="A1" s="772" t="s">
        <v>185</v>
      </c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  <c r="AA1" s="548"/>
      <c r="AB1" s="548"/>
      <c r="AC1" s="548"/>
      <c r="AD1" s="548"/>
      <c r="AE1" s="548"/>
      <c r="AF1" s="548"/>
      <c r="AG1" s="548"/>
      <c r="AH1" s="548"/>
      <c r="AI1" s="548"/>
      <c r="AJ1" s="548"/>
      <c r="AK1" s="548"/>
      <c r="AL1" s="548"/>
      <c r="AM1" s="548"/>
      <c r="AN1" s="548"/>
      <c r="AO1" s="548"/>
      <c r="AP1" s="548"/>
      <c r="AQ1" s="548"/>
      <c r="AR1" s="548"/>
      <c r="AS1" s="548"/>
      <c r="AT1" s="548"/>
      <c r="AU1" s="548"/>
      <c r="AV1" s="548"/>
      <c r="AW1" s="548"/>
      <c r="AX1" s="548"/>
      <c r="AY1" s="548"/>
      <c r="AZ1" s="548"/>
      <c r="BA1" s="548"/>
      <c r="BB1" s="548"/>
      <c r="BC1" s="548"/>
      <c r="BD1" s="548"/>
      <c r="BE1" s="548"/>
      <c r="BF1" s="548"/>
      <c r="BG1" s="548"/>
      <c r="BH1" s="548"/>
      <c r="BI1" s="548"/>
      <c r="BJ1" s="548"/>
      <c r="BK1" s="548"/>
      <c r="BL1" s="548"/>
      <c r="BM1" s="548"/>
      <c r="BN1" s="548"/>
      <c r="BO1" s="549"/>
    </row>
    <row r="2" spans="1:67" ht="13.5" customHeight="1">
      <c r="A2" s="550"/>
      <c r="B2" s="550"/>
      <c r="C2" s="550"/>
      <c r="D2" s="551">
        <f>-SUMIF('B3 - Custos despesas indiretos'!$B5:$B148,"Despesas",'B3 - Custos despesas indiretos'!AK5:AK148)</f>
        <v>-4840763.7496671993</v>
      </c>
      <c r="E2" s="552"/>
      <c r="F2" s="552"/>
      <c r="G2" s="552"/>
      <c r="H2" s="552"/>
      <c r="I2" s="552"/>
      <c r="J2" s="552"/>
      <c r="K2" s="552"/>
      <c r="L2" s="552"/>
      <c r="M2" s="552"/>
      <c r="N2" s="552"/>
      <c r="O2" s="552"/>
      <c r="P2" s="552"/>
      <c r="Q2" s="552"/>
      <c r="R2" s="552"/>
      <c r="S2" s="552"/>
      <c r="T2" s="552"/>
      <c r="U2" s="552"/>
      <c r="V2" s="552"/>
      <c r="W2" s="552"/>
      <c r="X2" s="552"/>
      <c r="Y2" s="552"/>
      <c r="Z2" s="553"/>
      <c r="AA2" s="553"/>
      <c r="AB2" s="553"/>
      <c r="AC2" s="553"/>
      <c r="AD2" s="553"/>
      <c r="AE2" s="553"/>
      <c r="AF2" s="553"/>
      <c r="AG2" s="553"/>
      <c r="AH2" s="553"/>
      <c r="AI2" s="553"/>
      <c r="AJ2" s="553"/>
      <c r="AK2" s="553"/>
      <c r="AL2" s="553"/>
      <c r="AM2" s="553"/>
      <c r="AN2" s="553"/>
      <c r="AO2" s="553"/>
      <c r="AP2" s="553"/>
      <c r="AQ2" s="553"/>
      <c r="AR2" s="553"/>
      <c r="AS2" s="553"/>
      <c r="AT2" s="553"/>
      <c r="AU2" s="553"/>
      <c r="AV2" s="553"/>
      <c r="AW2" s="553"/>
      <c r="AX2" s="553"/>
      <c r="AY2" s="553"/>
      <c r="AZ2" s="553"/>
      <c r="BA2" s="553"/>
      <c r="BB2" s="553"/>
      <c r="BC2" s="553"/>
      <c r="BD2" s="553"/>
      <c r="BE2" s="553"/>
      <c r="BF2" s="553"/>
      <c r="BG2" s="553"/>
      <c r="BH2" s="553"/>
      <c r="BI2" s="553"/>
      <c r="BJ2" s="553"/>
      <c r="BK2" s="553"/>
      <c r="BL2" s="553"/>
      <c r="BM2" s="553"/>
      <c r="BN2" s="553"/>
      <c r="BO2" s="554"/>
    </row>
    <row r="3" spans="1:67" ht="24" customHeight="1">
      <c r="A3" s="555"/>
      <c r="B3" s="555"/>
      <c r="C3" s="555"/>
      <c r="D3" s="555"/>
      <c r="E3" s="555"/>
      <c r="F3" s="556"/>
      <c r="G3" s="773" t="s">
        <v>147</v>
      </c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  <c r="Y3" s="815"/>
      <c r="Z3" s="815"/>
      <c r="AA3" s="815"/>
      <c r="AB3" s="815"/>
      <c r="AC3" s="815"/>
      <c r="AD3" s="815"/>
      <c r="AE3" s="815"/>
      <c r="AF3" s="815"/>
      <c r="AG3" s="815"/>
      <c r="AH3" s="815"/>
      <c r="AI3" s="815"/>
      <c r="AJ3" s="820"/>
      <c r="AK3" s="773" t="s">
        <v>147</v>
      </c>
      <c r="AL3" s="815"/>
      <c r="AM3" s="815"/>
      <c r="AN3" s="815"/>
      <c r="AO3" s="815"/>
      <c r="AP3" s="815"/>
      <c r="AQ3" s="815"/>
      <c r="AR3" s="815"/>
      <c r="AS3" s="815"/>
      <c r="AT3" s="815"/>
      <c r="AU3" s="815"/>
      <c r="AV3" s="815"/>
      <c r="AW3" s="815"/>
      <c r="AX3" s="815"/>
      <c r="AY3" s="815"/>
      <c r="AZ3" s="815"/>
      <c r="BA3" s="815"/>
      <c r="BB3" s="815"/>
      <c r="BC3" s="815"/>
      <c r="BD3" s="815"/>
      <c r="BE3" s="815"/>
      <c r="BF3" s="815"/>
      <c r="BG3" s="815"/>
      <c r="BH3" s="815"/>
      <c r="BI3" s="815"/>
      <c r="BJ3" s="815"/>
      <c r="BK3" s="815"/>
      <c r="BL3" s="815"/>
      <c r="BM3" s="815"/>
      <c r="BN3" s="815"/>
      <c r="BO3" s="557"/>
    </row>
    <row r="4" spans="1:67" ht="24" customHeight="1">
      <c r="A4" s="558" t="s">
        <v>164</v>
      </c>
      <c r="B4" s="555" t="s">
        <v>165</v>
      </c>
      <c r="C4" s="555" t="s">
        <v>186</v>
      </c>
      <c r="D4" s="555" t="s">
        <v>187</v>
      </c>
      <c r="E4" s="555" t="s">
        <v>8</v>
      </c>
      <c r="F4" s="556" t="s">
        <v>188</v>
      </c>
      <c r="G4" s="62">
        <v>1</v>
      </c>
      <c r="H4" s="62">
        <v>2</v>
      </c>
      <c r="I4" s="62">
        <v>3</v>
      </c>
      <c r="J4" s="62">
        <v>4</v>
      </c>
      <c r="K4" s="62">
        <v>5</v>
      </c>
      <c r="L4" s="62">
        <v>6</v>
      </c>
      <c r="M4" s="62">
        <v>7</v>
      </c>
      <c r="N4" s="62">
        <v>8</v>
      </c>
      <c r="O4" s="62">
        <v>9</v>
      </c>
      <c r="P4" s="62">
        <v>10</v>
      </c>
      <c r="Q4" s="62">
        <v>11</v>
      </c>
      <c r="R4" s="62">
        <v>12</v>
      </c>
      <c r="S4" s="62">
        <v>13</v>
      </c>
      <c r="T4" s="62">
        <v>14</v>
      </c>
      <c r="U4" s="62">
        <v>15</v>
      </c>
      <c r="V4" s="62">
        <v>16</v>
      </c>
      <c r="W4" s="62">
        <v>17</v>
      </c>
      <c r="X4" s="62">
        <v>18</v>
      </c>
      <c r="Y4" s="62">
        <v>19</v>
      </c>
      <c r="Z4" s="62">
        <v>20</v>
      </c>
      <c r="AA4" s="62">
        <v>21</v>
      </c>
      <c r="AB4" s="62">
        <v>22</v>
      </c>
      <c r="AC4" s="62">
        <v>23</v>
      </c>
      <c r="AD4" s="62">
        <v>24</v>
      </c>
      <c r="AE4" s="62">
        <v>25</v>
      </c>
      <c r="AF4" s="62">
        <v>26</v>
      </c>
      <c r="AG4" s="62">
        <v>27</v>
      </c>
      <c r="AH4" s="62">
        <v>28</v>
      </c>
      <c r="AI4" s="62">
        <v>29</v>
      </c>
      <c r="AJ4" s="62">
        <v>30</v>
      </c>
      <c r="AK4" s="62">
        <v>1</v>
      </c>
      <c r="AL4" s="62">
        <v>2</v>
      </c>
      <c r="AM4" s="62">
        <v>3</v>
      </c>
      <c r="AN4" s="62">
        <v>4</v>
      </c>
      <c r="AO4" s="62">
        <v>5</v>
      </c>
      <c r="AP4" s="62">
        <v>6</v>
      </c>
      <c r="AQ4" s="62">
        <v>7</v>
      </c>
      <c r="AR4" s="62">
        <v>8</v>
      </c>
      <c r="AS4" s="62">
        <v>9</v>
      </c>
      <c r="AT4" s="62">
        <v>10</v>
      </c>
      <c r="AU4" s="62">
        <v>11</v>
      </c>
      <c r="AV4" s="62">
        <v>12</v>
      </c>
      <c r="AW4" s="62">
        <v>13</v>
      </c>
      <c r="AX4" s="62">
        <v>14</v>
      </c>
      <c r="AY4" s="62">
        <v>15</v>
      </c>
      <c r="AZ4" s="62">
        <v>16</v>
      </c>
      <c r="BA4" s="62">
        <v>17</v>
      </c>
      <c r="BB4" s="62">
        <v>18</v>
      </c>
      <c r="BC4" s="62">
        <v>19</v>
      </c>
      <c r="BD4" s="62">
        <v>20</v>
      </c>
      <c r="BE4" s="62">
        <v>21</v>
      </c>
      <c r="BF4" s="62">
        <v>22</v>
      </c>
      <c r="BG4" s="62">
        <v>23</v>
      </c>
      <c r="BH4" s="62">
        <v>24</v>
      </c>
      <c r="BI4" s="62">
        <v>25</v>
      </c>
      <c r="BJ4" s="62">
        <v>26</v>
      </c>
      <c r="BK4" s="62">
        <v>27</v>
      </c>
      <c r="BL4" s="62">
        <v>28</v>
      </c>
      <c r="BM4" s="62">
        <v>29</v>
      </c>
      <c r="BN4" s="62">
        <v>30</v>
      </c>
      <c r="BO4" s="559" t="s">
        <v>169</v>
      </c>
    </row>
    <row r="5" spans="1:67" ht="13.5" customHeight="1">
      <c r="A5" s="560" t="s">
        <v>189</v>
      </c>
      <c r="B5" s="560" t="s">
        <v>190</v>
      </c>
      <c r="C5" s="63" t="s">
        <v>191</v>
      </c>
      <c r="D5" s="561" t="s">
        <v>192</v>
      </c>
      <c r="E5" s="64" t="s">
        <v>193</v>
      </c>
      <c r="F5" s="63">
        <f>11.59*12</f>
        <v>139.07999999999998</v>
      </c>
      <c r="G5" s="63">
        <v>3426.3</v>
      </c>
      <c r="H5" s="63">
        <f t="shared" ref="H5:AJ5" si="0">G5</f>
        <v>3426.3</v>
      </c>
      <c r="I5" s="63">
        <f t="shared" si="0"/>
        <v>3426.3</v>
      </c>
      <c r="J5" s="63">
        <f t="shared" si="0"/>
        <v>3426.3</v>
      </c>
      <c r="K5" s="63">
        <f t="shared" si="0"/>
        <v>3426.3</v>
      </c>
      <c r="L5" s="63">
        <f t="shared" si="0"/>
        <v>3426.3</v>
      </c>
      <c r="M5" s="63">
        <f t="shared" si="0"/>
        <v>3426.3</v>
      </c>
      <c r="N5" s="63">
        <f t="shared" si="0"/>
        <v>3426.3</v>
      </c>
      <c r="O5" s="63">
        <f t="shared" si="0"/>
        <v>3426.3</v>
      </c>
      <c r="P5" s="63">
        <f t="shared" si="0"/>
        <v>3426.3</v>
      </c>
      <c r="Q5" s="63">
        <f t="shared" si="0"/>
        <v>3426.3</v>
      </c>
      <c r="R5" s="63">
        <f t="shared" si="0"/>
        <v>3426.3</v>
      </c>
      <c r="S5" s="63">
        <f t="shared" si="0"/>
        <v>3426.3</v>
      </c>
      <c r="T5" s="63">
        <f t="shared" si="0"/>
        <v>3426.3</v>
      </c>
      <c r="U5" s="63">
        <f t="shared" si="0"/>
        <v>3426.3</v>
      </c>
      <c r="V5" s="63">
        <f t="shared" si="0"/>
        <v>3426.3</v>
      </c>
      <c r="W5" s="63">
        <f t="shared" si="0"/>
        <v>3426.3</v>
      </c>
      <c r="X5" s="63">
        <f t="shared" si="0"/>
        <v>3426.3</v>
      </c>
      <c r="Y5" s="63">
        <f t="shared" si="0"/>
        <v>3426.3</v>
      </c>
      <c r="Z5" s="63">
        <f t="shared" si="0"/>
        <v>3426.3</v>
      </c>
      <c r="AA5" s="63">
        <f t="shared" si="0"/>
        <v>3426.3</v>
      </c>
      <c r="AB5" s="63">
        <f t="shared" si="0"/>
        <v>3426.3</v>
      </c>
      <c r="AC5" s="63">
        <f t="shared" si="0"/>
        <v>3426.3</v>
      </c>
      <c r="AD5" s="63">
        <f t="shared" si="0"/>
        <v>3426.3</v>
      </c>
      <c r="AE5" s="63">
        <f t="shared" si="0"/>
        <v>3426.3</v>
      </c>
      <c r="AF5" s="63">
        <f t="shared" si="0"/>
        <v>3426.3</v>
      </c>
      <c r="AG5" s="63">
        <f t="shared" si="0"/>
        <v>3426.3</v>
      </c>
      <c r="AH5" s="63">
        <f t="shared" si="0"/>
        <v>3426.3</v>
      </c>
      <c r="AI5" s="63">
        <f t="shared" si="0"/>
        <v>3426.3</v>
      </c>
      <c r="AJ5" s="63">
        <f t="shared" si="0"/>
        <v>3426.3</v>
      </c>
      <c r="AK5" s="65">
        <f t="shared" ref="AK5:AK30" si="1">$F5*G5*IF(C5="Operacional",IFERROR(VLOOKUP($D5,SN_UGC,28,0),0),1)</f>
        <v>476529.80399999995</v>
      </c>
      <c r="AL5" s="65">
        <f t="shared" ref="AL5:BN5" si="2">$F5*H5</f>
        <v>476529.80399999995</v>
      </c>
      <c r="AM5" s="65">
        <f t="shared" si="2"/>
        <v>476529.80399999995</v>
      </c>
      <c r="AN5" s="65">
        <f t="shared" si="2"/>
        <v>476529.80399999995</v>
      </c>
      <c r="AO5" s="65">
        <f t="shared" si="2"/>
        <v>476529.80399999995</v>
      </c>
      <c r="AP5" s="65">
        <f t="shared" si="2"/>
        <v>476529.80399999995</v>
      </c>
      <c r="AQ5" s="65">
        <f t="shared" si="2"/>
        <v>476529.80399999995</v>
      </c>
      <c r="AR5" s="65">
        <f t="shared" si="2"/>
        <v>476529.80399999995</v>
      </c>
      <c r="AS5" s="65">
        <f t="shared" si="2"/>
        <v>476529.80399999995</v>
      </c>
      <c r="AT5" s="65">
        <f t="shared" si="2"/>
        <v>476529.80399999995</v>
      </c>
      <c r="AU5" s="65">
        <f t="shared" si="2"/>
        <v>476529.80399999995</v>
      </c>
      <c r="AV5" s="65">
        <f t="shared" si="2"/>
        <v>476529.80399999995</v>
      </c>
      <c r="AW5" s="65">
        <f t="shared" si="2"/>
        <v>476529.80399999995</v>
      </c>
      <c r="AX5" s="65">
        <f t="shared" si="2"/>
        <v>476529.80399999995</v>
      </c>
      <c r="AY5" s="65">
        <f t="shared" si="2"/>
        <v>476529.80399999995</v>
      </c>
      <c r="AZ5" s="65">
        <f t="shared" si="2"/>
        <v>476529.80399999995</v>
      </c>
      <c r="BA5" s="65">
        <f t="shared" si="2"/>
        <v>476529.80399999995</v>
      </c>
      <c r="BB5" s="65">
        <f t="shared" si="2"/>
        <v>476529.80399999995</v>
      </c>
      <c r="BC5" s="65">
        <f t="shared" si="2"/>
        <v>476529.80399999995</v>
      </c>
      <c r="BD5" s="65">
        <f t="shared" si="2"/>
        <v>476529.80399999995</v>
      </c>
      <c r="BE5" s="65">
        <f t="shared" si="2"/>
        <v>476529.80399999995</v>
      </c>
      <c r="BF5" s="65">
        <f t="shared" si="2"/>
        <v>476529.80399999995</v>
      </c>
      <c r="BG5" s="65">
        <f t="shared" si="2"/>
        <v>476529.80399999995</v>
      </c>
      <c r="BH5" s="65">
        <f t="shared" si="2"/>
        <v>476529.80399999995</v>
      </c>
      <c r="BI5" s="65">
        <f t="shared" si="2"/>
        <v>476529.80399999995</v>
      </c>
      <c r="BJ5" s="65">
        <f t="shared" si="2"/>
        <v>476529.80399999995</v>
      </c>
      <c r="BK5" s="65">
        <f t="shared" si="2"/>
        <v>476529.80399999995</v>
      </c>
      <c r="BL5" s="65">
        <f t="shared" si="2"/>
        <v>476529.80399999995</v>
      </c>
      <c r="BM5" s="65">
        <f t="shared" si="2"/>
        <v>476529.80399999995</v>
      </c>
      <c r="BN5" s="65">
        <f t="shared" si="2"/>
        <v>476529.80399999995</v>
      </c>
      <c r="BO5" s="66" t="s">
        <v>194</v>
      </c>
    </row>
    <row r="6" spans="1:67" ht="13.5" customHeight="1">
      <c r="A6" s="560" t="s">
        <v>195</v>
      </c>
      <c r="B6" s="560" t="s">
        <v>190</v>
      </c>
      <c r="C6" s="63" t="s">
        <v>191</v>
      </c>
      <c r="D6" s="561" t="s">
        <v>196</v>
      </c>
      <c r="E6" s="64" t="s">
        <v>197</v>
      </c>
      <c r="F6" s="63">
        <v>9606.16</v>
      </c>
      <c r="G6" s="63">
        <v>16</v>
      </c>
      <c r="H6" s="63">
        <f t="shared" ref="H6:AJ6" si="3">G6</f>
        <v>16</v>
      </c>
      <c r="I6" s="63">
        <f t="shared" si="3"/>
        <v>16</v>
      </c>
      <c r="J6" s="63">
        <f t="shared" si="3"/>
        <v>16</v>
      </c>
      <c r="K6" s="63">
        <f t="shared" si="3"/>
        <v>16</v>
      </c>
      <c r="L6" s="63">
        <f t="shared" si="3"/>
        <v>16</v>
      </c>
      <c r="M6" s="63">
        <f t="shared" si="3"/>
        <v>16</v>
      </c>
      <c r="N6" s="63">
        <f t="shared" si="3"/>
        <v>16</v>
      </c>
      <c r="O6" s="63">
        <f t="shared" si="3"/>
        <v>16</v>
      </c>
      <c r="P6" s="63">
        <f t="shared" si="3"/>
        <v>16</v>
      </c>
      <c r="Q6" s="63">
        <f t="shared" si="3"/>
        <v>16</v>
      </c>
      <c r="R6" s="63">
        <f t="shared" si="3"/>
        <v>16</v>
      </c>
      <c r="S6" s="63">
        <f t="shared" si="3"/>
        <v>16</v>
      </c>
      <c r="T6" s="63">
        <f t="shared" si="3"/>
        <v>16</v>
      </c>
      <c r="U6" s="63">
        <f t="shared" si="3"/>
        <v>16</v>
      </c>
      <c r="V6" s="63">
        <f t="shared" si="3"/>
        <v>16</v>
      </c>
      <c r="W6" s="63">
        <f t="shared" si="3"/>
        <v>16</v>
      </c>
      <c r="X6" s="63">
        <f t="shared" si="3"/>
        <v>16</v>
      </c>
      <c r="Y6" s="63">
        <f t="shared" si="3"/>
        <v>16</v>
      </c>
      <c r="Z6" s="63">
        <f t="shared" si="3"/>
        <v>16</v>
      </c>
      <c r="AA6" s="63">
        <f t="shared" si="3"/>
        <v>16</v>
      </c>
      <c r="AB6" s="63">
        <f t="shared" si="3"/>
        <v>16</v>
      </c>
      <c r="AC6" s="63">
        <f t="shared" si="3"/>
        <v>16</v>
      </c>
      <c r="AD6" s="63">
        <f t="shared" si="3"/>
        <v>16</v>
      </c>
      <c r="AE6" s="63">
        <f t="shared" si="3"/>
        <v>16</v>
      </c>
      <c r="AF6" s="63">
        <f t="shared" si="3"/>
        <v>16</v>
      </c>
      <c r="AG6" s="63">
        <f t="shared" si="3"/>
        <v>16</v>
      </c>
      <c r="AH6" s="63">
        <f t="shared" si="3"/>
        <v>16</v>
      </c>
      <c r="AI6" s="63">
        <f t="shared" si="3"/>
        <v>16</v>
      </c>
      <c r="AJ6" s="63">
        <f t="shared" si="3"/>
        <v>16</v>
      </c>
      <c r="AK6" s="65">
        <f t="shared" si="1"/>
        <v>153698.56</v>
      </c>
      <c r="AL6" s="65">
        <f t="shared" ref="AL6:AL31" si="4">$F6*H6*IF(D6="Operacional",IFERROR(VLOOKUP($D6,SN_UGC,28,0),0),1)</f>
        <v>153698.56</v>
      </c>
      <c r="AM6" s="65">
        <f t="shared" ref="AM6:AM31" si="5">$F6*I6*IF(E6="Operacional",IFERROR(VLOOKUP($D6,SN_UGC,28,0),0),1)</f>
        <v>153698.56</v>
      </c>
      <c r="AN6" s="65">
        <f t="shared" ref="AN6:AN31" si="6">$F6*J6*IF(F6="Operacional",IFERROR(VLOOKUP($D6,SN_UGC,28,0),0),1)</f>
        <v>153698.56</v>
      </c>
      <c r="AO6" s="65">
        <f t="shared" ref="AO6:AO31" si="7">$F6*K6*IF(G6="Operacional",IFERROR(VLOOKUP($D6,SN_UGC,28,0),0),1)</f>
        <v>153698.56</v>
      </c>
      <c r="AP6" s="65">
        <f t="shared" ref="AP6:AP31" si="8">$F6*L6*IF(H6="Operacional",IFERROR(VLOOKUP($D6,SN_UGC,28,0),0),1)</f>
        <v>153698.56</v>
      </c>
      <c r="AQ6" s="65">
        <f t="shared" ref="AQ6:AQ31" si="9">$F6*M6*IF(I6="Operacional",IFERROR(VLOOKUP($D6,SN_UGC,28,0),0),1)</f>
        <v>153698.56</v>
      </c>
      <c r="AR6" s="65">
        <f t="shared" ref="AR6:AR31" si="10">$F6*N6*IF(J6="Operacional",IFERROR(VLOOKUP($D6,SN_UGC,28,0),0),1)</f>
        <v>153698.56</v>
      </c>
      <c r="AS6" s="65">
        <f t="shared" ref="AS6:AS31" si="11">$F6*O6*IF(K6="Operacional",IFERROR(VLOOKUP($D6,SN_UGC,28,0),0),1)</f>
        <v>153698.56</v>
      </c>
      <c r="AT6" s="65">
        <f t="shared" ref="AT6:AT31" si="12">$F6*P6*IF(L6="Operacional",IFERROR(VLOOKUP($D6,SN_UGC,28,0),0),1)</f>
        <v>153698.56</v>
      </c>
      <c r="AU6" s="65">
        <f t="shared" ref="AU6:AU31" si="13">$F6*Q6*IF(M6="Operacional",IFERROR(VLOOKUP($D6,SN_UGC,28,0),0),1)</f>
        <v>153698.56</v>
      </c>
      <c r="AV6" s="65">
        <f t="shared" ref="AV6:AV31" si="14">$F6*R6*IF(N6="Operacional",IFERROR(VLOOKUP($D6,SN_UGC,28,0),0),1)</f>
        <v>153698.56</v>
      </c>
      <c r="AW6" s="65">
        <f t="shared" ref="AW6:AW31" si="15">$F6*S6*IF(O6="Operacional",IFERROR(VLOOKUP($D6,SN_UGC,28,0),0),1)</f>
        <v>153698.56</v>
      </c>
      <c r="AX6" s="65">
        <f t="shared" ref="AX6:AX31" si="16">$F6*T6*IF(P6="Operacional",IFERROR(VLOOKUP($D6,SN_UGC,28,0),0),1)</f>
        <v>153698.56</v>
      </c>
      <c r="AY6" s="65">
        <f t="shared" ref="AY6:AY31" si="17">$F6*U6*IF(Q6="Operacional",IFERROR(VLOOKUP($D6,SN_UGC,28,0),0),1)</f>
        <v>153698.56</v>
      </c>
      <c r="AZ6" s="65">
        <f t="shared" ref="AZ6:AZ31" si="18">$F6*V6*IF(R6="Operacional",IFERROR(VLOOKUP($D6,SN_UGC,28,0),0),1)</f>
        <v>153698.56</v>
      </c>
      <c r="BA6" s="65">
        <f t="shared" ref="BA6:BA31" si="19">$F6*W6*IF(S6="Operacional",IFERROR(VLOOKUP($D6,SN_UGC,28,0),0),1)</f>
        <v>153698.56</v>
      </c>
      <c r="BB6" s="65">
        <f t="shared" ref="BB6:BB31" si="20">$F6*X6*IF(T6="Operacional",IFERROR(VLOOKUP($D6,SN_UGC,28,0),0),1)</f>
        <v>153698.56</v>
      </c>
      <c r="BC6" s="65">
        <f t="shared" ref="BC6:BC31" si="21">$F6*Y6*IF(U6="Operacional",IFERROR(VLOOKUP($D6,SN_UGC,28,0),0),1)</f>
        <v>153698.56</v>
      </c>
      <c r="BD6" s="65">
        <f t="shared" ref="BD6:BD31" si="22">$F6*Z6*IF(V6="Operacional",IFERROR(VLOOKUP($D6,SN_UGC,28,0),0),1)</f>
        <v>153698.56</v>
      </c>
      <c r="BE6" s="65">
        <f t="shared" ref="BE6:BE31" si="23">$F6*AA6*IF(W6="Operacional",IFERROR(VLOOKUP($D6,SN_UGC,28,0),0),1)</f>
        <v>153698.56</v>
      </c>
      <c r="BF6" s="65">
        <f t="shared" ref="BF6:BF31" si="24">$F6*AB6*IF(X6="Operacional",IFERROR(VLOOKUP($D6,SN_UGC,28,0),0),1)</f>
        <v>153698.56</v>
      </c>
      <c r="BG6" s="65">
        <f t="shared" ref="BG6:BG31" si="25">$F6*AC6*IF(Y6="Operacional",IFERROR(VLOOKUP($D6,SN_UGC,28,0),0),1)</f>
        <v>153698.56</v>
      </c>
      <c r="BH6" s="65">
        <f t="shared" ref="BH6:BH31" si="26">$F6*AD6*IF(Z6="Operacional",IFERROR(VLOOKUP($D6,SN_UGC,28,0),0),1)</f>
        <v>153698.56</v>
      </c>
      <c r="BI6" s="65">
        <f t="shared" ref="BI6:BI31" si="27">$F6*AE6*IF(AA6="Operacional",IFERROR(VLOOKUP($D6,SN_UGC,28,0),0),1)</f>
        <v>153698.56</v>
      </c>
      <c r="BJ6" s="65">
        <f t="shared" ref="BJ6:BJ31" si="28">$F6*AF6*IF(AB6="Operacional",IFERROR(VLOOKUP($D6,SN_UGC,28,0),0),1)</f>
        <v>153698.56</v>
      </c>
      <c r="BK6" s="65">
        <f t="shared" ref="BK6:BK31" si="29">$F6*AG6*IF(AC6="Operacional",IFERROR(VLOOKUP($D6,SN_UGC,28,0),0),1)</f>
        <v>153698.56</v>
      </c>
      <c r="BL6" s="65">
        <f t="shared" ref="BL6:BL31" si="30">$F6*AH6*IF(AD6="Operacional",IFERROR(VLOOKUP($D6,SN_UGC,28,0),0),1)</f>
        <v>153698.56</v>
      </c>
      <c r="BM6" s="65">
        <f t="shared" ref="BM6:BM31" si="31">$F6*AI6*IF(AE6="Operacional",IFERROR(VLOOKUP($D6,SN_UGC,28,0),0),1)</f>
        <v>153698.56</v>
      </c>
      <c r="BN6" s="65">
        <f t="shared" ref="BN6:BN31" si="32">$F6*AJ6*IF(AF6="Operacional",IFERROR(VLOOKUP($D6,SN_UGC,28,0),0),1)</f>
        <v>153698.56</v>
      </c>
      <c r="BO6" s="66" t="s">
        <v>198</v>
      </c>
    </row>
    <row r="7" spans="1:67" ht="13.5" customHeight="1">
      <c r="A7" s="560" t="s">
        <v>199</v>
      </c>
      <c r="B7" s="560" t="s">
        <v>190</v>
      </c>
      <c r="C7" s="63" t="s">
        <v>191</v>
      </c>
      <c r="D7" s="561" t="s">
        <v>200</v>
      </c>
      <c r="E7" s="64" t="s">
        <v>201</v>
      </c>
      <c r="F7" s="63">
        <v>0.05</v>
      </c>
      <c r="G7" s="63">
        <f>'A1 - Serviços e demanda'!B70</f>
        <v>1045870</v>
      </c>
      <c r="H7" s="63">
        <f>'A1 - Serviços e demanda'!C70</f>
        <v>1081951</v>
      </c>
      <c r="I7" s="63">
        <f>'A1 - Serviços e demanda'!D70</f>
        <v>1119271</v>
      </c>
      <c r="J7" s="63">
        <f>'A1 - Serviços e demanda'!E70</f>
        <v>1155418</v>
      </c>
      <c r="K7" s="63">
        <f>'A1 - Serviços e demanda'!F70</f>
        <v>1192139</v>
      </c>
      <c r="L7" s="63">
        <f>'A1 - Serviços e demanda'!G70</f>
        <v>1229504</v>
      </c>
      <c r="M7" s="63">
        <f>'A1 - Serviços e demanda'!H70</f>
        <v>1267922</v>
      </c>
      <c r="N7" s="63">
        <f>'A1 - Serviços e demanda'!I70</f>
        <v>1307461</v>
      </c>
      <c r="O7" s="63">
        <f>'A1 - Serviços e demanda'!J70</f>
        <v>1347720</v>
      </c>
      <c r="P7" s="63">
        <f>'A1 - Serviços e demanda'!K70</f>
        <v>1388731</v>
      </c>
      <c r="Q7" s="63">
        <f>'A1 - Serviços e demanda'!L70</f>
        <v>1431024</v>
      </c>
      <c r="R7" s="63">
        <f>'A1 - Serviços e demanda'!M70</f>
        <v>1474583</v>
      </c>
      <c r="S7" s="63">
        <f>'A1 - Serviços e demanda'!N70</f>
        <v>1519533</v>
      </c>
      <c r="T7" s="63">
        <f>'A1 - Serviços e demanda'!O70</f>
        <v>1565841</v>
      </c>
      <c r="U7" s="63">
        <f>'A1 - Serviços e demanda'!P70</f>
        <v>1613541</v>
      </c>
      <c r="V7" s="63">
        <f>'A1 - Serviços e demanda'!Q70</f>
        <v>1662549</v>
      </c>
      <c r="W7" s="63">
        <f>'A1 - Serviços e demanda'!R70</f>
        <v>1712805</v>
      </c>
      <c r="X7" s="63">
        <f>'A1 - Serviços e demanda'!S70</f>
        <v>1764131</v>
      </c>
      <c r="Y7" s="63">
        <f>'A1 - Serviços e demanda'!T70</f>
        <v>1816396</v>
      </c>
      <c r="Z7" s="63">
        <f>'A1 - Serviços e demanda'!U70</f>
        <v>1869357</v>
      </c>
      <c r="AA7" s="63">
        <f>'A1 - Serviços e demanda'!V70</f>
        <v>1869357</v>
      </c>
      <c r="AB7" s="63">
        <f>'A1 - Serviços e demanda'!W70</f>
        <v>1869357</v>
      </c>
      <c r="AC7" s="63">
        <f>'A1 - Serviços e demanda'!X70</f>
        <v>1869357</v>
      </c>
      <c r="AD7" s="63">
        <f>'A1 - Serviços e demanda'!Y70</f>
        <v>1869357</v>
      </c>
      <c r="AE7" s="63">
        <f>'A1 - Serviços e demanda'!Z70</f>
        <v>1869357</v>
      </c>
      <c r="AF7" s="63">
        <f>'A1 - Serviços e demanda'!AA70</f>
        <v>1869357</v>
      </c>
      <c r="AG7" s="63">
        <f>'A1 - Serviços e demanda'!AB70</f>
        <v>1869357</v>
      </c>
      <c r="AH7" s="63">
        <f>'A1 - Serviços e demanda'!AC70</f>
        <v>1869357</v>
      </c>
      <c r="AI7" s="63">
        <f>'A1 - Serviços e demanda'!AD70</f>
        <v>1869357</v>
      </c>
      <c r="AJ7" s="63">
        <f>'A1 - Serviços e demanda'!AE70</f>
        <v>1869357</v>
      </c>
      <c r="AK7" s="65">
        <f t="shared" si="1"/>
        <v>52293.5</v>
      </c>
      <c r="AL7" s="65">
        <f t="shared" si="4"/>
        <v>54097.55</v>
      </c>
      <c r="AM7" s="65">
        <f t="shared" si="5"/>
        <v>55963.55</v>
      </c>
      <c r="AN7" s="65">
        <f t="shared" si="6"/>
        <v>57770.9</v>
      </c>
      <c r="AO7" s="65">
        <f t="shared" si="7"/>
        <v>59606.950000000004</v>
      </c>
      <c r="AP7" s="65">
        <f t="shared" si="8"/>
        <v>61475.200000000004</v>
      </c>
      <c r="AQ7" s="65">
        <f t="shared" si="9"/>
        <v>63396.100000000006</v>
      </c>
      <c r="AR7" s="65">
        <f t="shared" si="10"/>
        <v>65373.05</v>
      </c>
      <c r="AS7" s="65">
        <f t="shared" si="11"/>
        <v>67386</v>
      </c>
      <c r="AT7" s="65">
        <f t="shared" si="12"/>
        <v>69436.55</v>
      </c>
      <c r="AU7" s="65">
        <f t="shared" si="13"/>
        <v>71551.199999999997</v>
      </c>
      <c r="AV7" s="65">
        <f t="shared" si="14"/>
        <v>73729.150000000009</v>
      </c>
      <c r="AW7" s="65">
        <f t="shared" si="15"/>
        <v>75976.650000000009</v>
      </c>
      <c r="AX7" s="65">
        <f t="shared" si="16"/>
        <v>78292.05</v>
      </c>
      <c r="AY7" s="65">
        <f t="shared" si="17"/>
        <v>80677.05</v>
      </c>
      <c r="AZ7" s="65">
        <f t="shared" si="18"/>
        <v>83127.450000000012</v>
      </c>
      <c r="BA7" s="65">
        <f t="shared" si="19"/>
        <v>85640.25</v>
      </c>
      <c r="BB7" s="65">
        <f t="shared" si="20"/>
        <v>88206.55</v>
      </c>
      <c r="BC7" s="65">
        <f t="shared" si="21"/>
        <v>90819.8</v>
      </c>
      <c r="BD7" s="65">
        <f t="shared" si="22"/>
        <v>93467.85</v>
      </c>
      <c r="BE7" s="65">
        <f t="shared" si="23"/>
        <v>93467.85</v>
      </c>
      <c r="BF7" s="65">
        <f t="shared" si="24"/>
        <v>93467.85</v>
      </c>
      <c r="BG7" s="65">
        <f t="shared" si="25"/>
        <v>93467.85</v>
      </c>
      <c r="BH7" s="65">
        <f t="shared" si="26"/>
        <v>93467.85</v>
      </c>
      <c r="BI7" s="65">
        <f t="shared" si="27"/>
        <v>93467.85</v>
      </c>
      <c r="BJ7" s="65">
        <f t="shared" si="28"/>
        <v>93467.85</v>
      </c>
      <c r="BK7" s="65">
        <f t="shared" si="29"/>
        <v>93467.85</v>
      </c>
      <c r="BL7" s="65">
        <f t="shared" si="30"/>
        <v>93467.85</v>
      </c>
      <c r="BM7" s="65">
        <f t="shared" si="31"/>
        <v>93467.85</v>
      </c>
      <c r="BN7" s="65">
        <f t="shared" si="32"/>
        <v>93467.85</v>
      </c>
      <c r="BO7" s="66" t="s">
        <v>202</v>
      </c>
    </row>
    <row r="8" spans="1:67" ht="13.5" customHeight="1">
      <c r="A8" s="560"/>
      <c r="B8" s="560"/>
      <c r="C8" s="63"/>
      <c r="D8" s="561"/>
      <c r="E8" s="67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5">
        <f t="shared" si="1"/>
        <v>0</v>
      </c>
      <c r="AL8" s="65">
        <f t="shared" si="4"/>
        <v>0</v>
      </c>
      <c r="AM8" s="65">
        <f t="shared" si="5"/>
        <v>0</v>
      </c>
      <c r="AN8" s="65">
        <f t="shared" si="6"/>
        <v>0</v>
      </c>
      <c r="AO8" s="65">
        <f t="shared" si="7"/>
        <v>0</v>
      </c>
      <c r="AP8" s="65">
        <f t="shared" si="8"/>
        <v>0</v>
      </c>
      <c r="AQ8" s="65">
        <f t="shared" si="9"/>
        <v>0</v>
      </c>
      <c r="AR8" s="65">
        <f t="shared" si="10"/>
        <v>0</v>
      </c>
      <c r="AS8" s="65">
        <f t="shared" si="11"/>
        <v>0</v>
      </c>
      <c r="AT8" s="65">
        <f t="shared" si="12"/>
        <v>0</v>
      </c>
      <c r="AU8" s="65">
        <f t="shared" si="13"/>
        <v>0</v>
      </c>
      <c r="AV8" s="65">
        <f t="shared" si="14"/>
        <v>0</v>
      </c>
      <c r="AW8" s="65">
        <f t="shared" si="15"/>
        <v>0</v>
      </c>
      <c r="AX8" s="65">
        <f t="shared" si="16"/>
        <v>0</v>
      </c>
      <c r="AY8" s="65">
        <f t="shared" si="17"/>
        <v>0</v>
      </c>
      <c r="AZ8" s="65">
        <f t="shared" si="18"/>
        <v>0</v>
      </c>
      <c r="BA8" s="65">
        <f t="shared" si="19"/>
        <v>0</v>
      </c>
      <c r="BB8" s="65">
        <f t="shared" si="20"/>
        <v>0</v>
      </c>
      <c r="BC8" s="65">
        <f t="shared" si="21"/>
        <v>0</v>
      </c>
      <c r="BD8" s="65">
        <f t="shared" si="22"/>
        <v>0</v>
      </c>
      <c r="BE8" s="65">
        <f t="shared" si="23"/>
        <v>0</v>
      </c>
      <c r="BF8" s="65">
        <f t="shared" si="24"/>
        <v>0</v>
      </c>
      <c r="BG8" s="65">
        <f t="shared" si="25"/>
        <v>0</v>
      </c>
      <c r="BH8" s="65">
        <f t="shared" si="26"/>
        <v>0</v>
      </c>
      <c r="BI8" s="65">
        <f t="shared" si="27"/>
        <v>0</v>
      </c>
      <c r="BJ8" s="65">
        <f t="shared" si="28"/>
        <v>0</v>
      </c>
      <c r="BK8" s="65">
        <f t="shared" si="29"/>
        <v>0</v>
      </c>
      <c r="BL8" s="65">
        <f t="shared" si="30"/>
        <v>0</v>
      </c>
      <c r="BM8" s="65">
        <f t="shared" si="31"/>
        <v>0</v>
      </c>
      <c r="BN8" s="65">
        <f t="shared" si="32"/>
        <v>0</v>
      </c>
      <c r="BO8" s="68"/>
    </row>
    <row r="9" spans="1:67" ht="13.5" customHeight="1">
      <c r="A9" s="560" t="s">
        <v>203</v>
      </c>
      <c r="B9" s="560" t="s">
        <v>190</v>
      </c>
      <c r="C9" s="63" t="s">
        <v>191</v>
      </c>
      <c r="D9" s="561" t="s">
        <v>196</v>
      </c>
      <c r="E9" s="64" t="s">
        <v>204</v>
      </c>
      <c r="F9" s="63">
        <v>0.79</v>
      </c>
      <c r="G9" s="63">
        <f t="shared" ref="G9:AJ9" si="33">1000*12*10</f>
        <v>120000</v>
      </c>
      <c r="H9" s="63">
        <f t="shared" si="33"/>
        <v>120000</v>
      </c>
      <c r="I9" s="63">
        <f t="shared" si="33"/>
        <v>120000</v>
      </c>
      <c r="J9" s="63">
        <f t="shared" si="33"/>
        <v>120000</v>
      </c>
      <c r="K9" s="63">
        <f t="shared" si="33"/>
        <v>120000</v>
      </c>
      <c r="L9" s="63">
        <f t="shared" si="33"/>
        <v>120000</v>
      </c>
      <c r="M9" s="63">
        <f t="shared" si="33"/>
        <v>120000</v>
      </c>
      <c r="N9" s="63">
        <f t="shared" si="33"/>
        <v>120000</v>
      </c>
      <c r="O9" s="63">
        <f t="shared" si="33"/>
        <v>120000</v>
      </c>
      <c r="P9" s="63">
        <f t="shared" si="33"/>
        <v>120000</v>
      </c>
      <c r="Q9" s="63">
        <f t="shared" si="33"/>
        <v>120000</v>
      </c>
      <c r="R9" s="63">
        <f t="shared" si="33"/>
        <v>120000</v>
      </c>
      <c r="S9" s="63">
        <f t="shared" si="33"/>
        <v>120000</v>
      </c>
      <c r="T9" s="63">
        <f t="shared" si="33"/>
        <v>120000</v>
      </c>
      <c r="U9" s="63">
        <f t="shared" si="33"/>
        <v>120000</v>
      </c>
      <c r="V9" s="63">
        <f t="shared" si="33"/>
        <v>120000</v>
      </c>
      <c r="W9" s="63">
        <f t="shared" si="33"/>
        <v>120000</v>
      </c>
      <c r="X9" s="63">
        <f t="shared" si="33"/>
        <v>120000</v>
      </c>
      <c r="Y9" s="63">
        <f t="shared" si="33"/>
        <v>120000</v>
      </c>
      <c r="Z9" s="63">
        <f t="shared" si="33"/>
        <v>120000</v>
      </c>
      <c r="AA9" s="63">
        <f t="shared" si="33"/>
        <v>120000</v>
      </c>
      <c r="AB9" s="63">
        <f t="shared" si="33"/>
        <v>120000</v>
      </c>
      <c r="AC9" s="63">
        <f t="shared" si="33"/>
        <v>120000</v>
      </c>
      <c r="AD9" s="63">
        <f t="shared" si="33"/>
        <v>120000</v>
      </c>
      <c r="AE9" s="63">
        <f t="shared" si="33"/>
        <v>120000</v>
      </c>
      <c r="AF9" s="63">
        <f t="shared" si="33"/>
        <v>120000</v>
      </c>
      <c r="AG9" s="63">
        <f t="shared" si="33"/>
        <v>120000</v>
      </c>
      <c r="AH9" s="63">
        <f t="shared" si="33"/>
        <v>120000</v>
      </c>
      <c r="AI9" s="63">
        <f t="shared" si="33"/>
        <v>120000</v>
      </c>
      <c r="AJ9" s="63">
        <f t="shared" si="33"/>
        <v>120000</v>
      </c>
      <c r="AK9" s="65">
        <f t="shared" si="1"/>
        <v>94800</v>
      </c>
      <c r="AL9" s="65">
        <f t="shared" si="4"/>
        <v>94800</v>
      </c>
      <c r="AM9" s="65">
        <f t="shared" si="5"/>
        <v>94800</v>
      </c>
      <c r="AN9" s="65">
        <f t="shared" si="6"/>
        <v>94800</v>
      </c>
      <c r="AO9" s="65">
        <f t="shared" si="7"/>
        <v>94800</v>
      </c>
      <c r="AP9" s="65">
        <f t="shared" si="8"/>
        <v>94800</v>
      </c>
      <c r="AQ9" s="65">
        <f t="shared" si="9"/>
        <v>94800</v>
      </c>
      <c r="AR9" s="65">
        <f t="shared" si="10"/>
        <v>94800</v>
      </c>
      <c r="AS9" s="65">
        <f t="shared" si="11"/>
        <v>94800</v>
      </c>
      <c r="AT9" s="65">
        <f t="shared" si="12"/>
        <v>94800</v>
      </c>
      <c r="AU9" s="65">
        <f t="shared" si="13"/>
        <v>94800</v>
      </c>
      <c r="AV9" s="65">
        <f t="shared" si="14"/>
        <v>94800</v>
      </c>
      <c r="AW9" s="65">
        <f t="shared" si="15"/>
        <v>94800</v>
      </c>
      <c r="AX9" s="65">
        <f t="shared" si="16"/>
        <v>94800</v>
      </c>
      <c r="AY9" s="65">
        <f t="shared" si="17"/>
        <v>94800</v>
      </c>
      <c r="AZ9" s="65">
        <f t="shared" si="18"/>
        <v>94800</v>
      </c>
      <c r="BA9" s="65">
        <f t="shared" si="19"/>
        <v>94800</v>
      </c>
      <c r="BB9" s="65">
        <f t="shared" si="20"/>
        <v>94800</v>
      </c>
      <c r="BC9" s="65">
        <f t="shared" si="21"/>
        <v>94800</v>
      </c>
      <c r="BD9" s="65">
        <f t="shared" si="22"/>
        <v>94800</v>
      </c>
      <c r="BE9" s="65">
        <f t="shared" si="23"/>
        <v>94800</v>
      </c>
      <c r="BF9" s="65">
        <f t="shared" si="24"/>
        <v>94800</v>
      </c>
      <c r="BG9" s="65">
        <f t="shared" si="25"/>
        <v>94800</v>
      </c>
      <c r="BH9" s="65">
        <f t="shared" si="26"/>
        <v>94800</v>
      </c>
      <c r="BI9" s="65">
        <f t="shared" si="27"/>
        <v>94800</v>
      </c>
      <c r="BJ9" s="65">
        <f t="shared" si="28"/>
        <v>94800</v>
      </c>
      <c r="BK9" s="65">
        <f t="shared" si="29"/>
        <v>94800</v>
      </c>
      <c r="BL9" s="65">
        <f t="shared" si="30"/>
        <v>94800</v>
      </c>
      <c r="BM9" s="65">
        <f t="shared" si="31"/>
        <v>94800</v>
      </c>
      <c r="BN9" s="65">
        <f t="shared" si="32"/>
        <v>94800</v>
      </c>
      <c r="BO9" s="66" t="s">
        <v>205</v>
      </c>
    </row>
    <row r="10" spans="1:67" ht="13.5" customHeight="1">
      <c r="A10" s="560" t="s">
        <v>203</v>
      </c>
      <c r="B10" s="560" t="s">
        <v>190</v>
      </c>
      <c r="C10" s="63" t="s">
        <v>191</v>
      </c>
      <c r="D10" s="561" t="s">
        <v>206</v>
      </c>
      <c r="E10" s="64" t="s">
        <v>204</v>
      </c>
      <c r="F10" s="63">
        <v>0.79</v>
      </c>
      <c r="G10" s="63">
        <v>12000</v>
      </c>
      <c r="H10" s="63">
        <v>12000</v>
      </c>
      <c r="I10" s="63">
        <v>12000</v>
      </c>
      <c r="J10" s="63">
        <v>12000</v>
      </c>
      <c r="K10" s="63">
        <v>12000</v>
      </c>
      <c r="L10" s="63">
        <v>12000</v>
      </c>
      <c r="M10" s="63">
        <v>12000</v>
      </c>
      <c r="N10" s="63">
        <v>12000</v>
      </c>
      <c r="O10" s="63">
        <v>12000</v>
      </c>
      <c r="P10" s="63">
        <v>12000</v>
      </c>
      <c r="Q10" s="63">
        <v>12000</v>
      </c>
      <c r="R10" s="63">
        <v>12000</v>
      </c>
      <c r="S10" s="63">
        <v>12000</v>
      </c>
      <c r="T10" s="63">
        <v>12000</v>
      </c>
      <c r="U10" s="63">
        <v>12000</v>
      </c>
      <c r="V10" s="63">
        <v>12000</v>
      </c>
      <c r="W10" s="63">
        <v>12000</v>
      </c>
      <c r="X10" s="63">
        <v>12000</v>
      </c>
      <c r="Y10" s="63">
        <v>12000</v>
      </c>
      <c r="Z10" s="63">
        <v>12000</v>
      </c>
      <c r="AA10" s="63">
        <v>12000</v>
      </c>
      <c r="AB10" s="63">
        <v>12000</v>
      </c>
      <c r="AC10" s="63">
        <v>12000</v>
      </c>
      <c r="AD10" s="63">
        <v>12000</v>
      </c>
      <c r="AE10" s="63">
        <v>12000</v>
      </c>
      <c r="AF10" s="63">
        <v>12000</v>
      </c>
      <c r="AG10" s="63">
        <v>12000</v>
      </c>
      <c r="AH10" s="63">
        <v>12000</v>
      </c>
      <c r="AI10" s="63">
        <v>12000</v>
      </c>
      <c r="AJ10" s="63">
        <v>12000</v>
      </c>
      <c r="AK10" s="65">
        <f t="shared" si="1"/>
        <v>9480</v>
      </c>
      <c r="AL10" s="65">
        <f t="shared" si="4"/>
        <v>9480</v>
      </c>
      <c r="AM10" s="65">
        <f t="shared" si="5"/>
        <v>9480</v>
      </c>
      <c r="AN10" s="65">
        <f t="shared" si="6"/>
        <v>9480</v>
      </c>
      <c r="AO10" s="65">
        <f t="shared" si="7"/>
        <v>9480</v>
      </c>
      <c r="AP10" s="65">
        <f t="shared" si="8"/>
        <v>9480</v>
      </c>
      <c r="AQ10" s="65">
        <f t="shared" si="9"/>
        <v>9480</v>
      </c>
      <c r="AR10" s="65">
        <f t="shared" si="10"/>
        <v>9480</v>
      </c>
      <c r="AS10" s="65">
        <f t="shared" si="11"/>
        <v>9480</v>
      </c>
      <c r="AT10" s="65">
        <f t="shared" si="12"/>
        <v>9480</v>
      </c>
      <c r="AU10" s="65">
        <f t="shared" si="13"/>
        <v>9480</v>
      </c>
      <c r="AV10" s="65">
        <f t="shared" si="14"/>
        <v>9480</v>
      </c>
      <c r="AW10" s="65">
        <f t="shared" si="15"/>
        <v>9480</v>
      </c>
      <c r="AX10" s="65">
        <f t="shared" si="16"/>
        <v>9480</v>
      </c>
      <c r="AY10" s="65">
        <f t="shared" si="17"/>
        <v>9480</v>
      </c>
      <c r="AZ10" s="65">
        <f t="shared" si="18"/>
        <v>9480</v>
      </c>
      <c r="BA10" s="65">
        <f t="shared" si="19"/>
        <v>9480</v>
      </c>
      <c r="BB10" s="65">
        <f t="shared" si="20"/>
        <v>9480</v>
      </c>
      <c r="BC10" s="65">
        <f t="shared" si="21"/>
        <v>9480</v>
      </c>
      <c r="BD10" s="65">
        <f t="shared" si="22"/>
        <v>9480</v>
      </c>
      <c r="BE10" s="65">
        <f t="shared" si="23"/>
        <v>9480</v>
      </c>
      <c r="BF10" s="65">
        <f t="shared" si="24"/>
        <v>9480</v>
      </c>
      <c r="BG10" s="65">
        <f t="shared" si="25"/>
        <v>9480</v>
      </c>
      <c r="BH10" s="65">
        <f t="shared" si="26"/>
        <v>9480</v>
      </c>
      <c r="BI10" s="65">
        <f t="shared" si="27"/>
        <v>9480</v>
      </c>
      <c r="BJ10" s="65">
        <f t="shared" si="28"/>
        <v>9480</v>
      </c>
      <c r="BK10" s="65">
        <f t="shared" si="29"/>
        <v>9480</v>
      </c>
      <c r="BL10" s="65">
        <f t="shared" si="30"/>
        <v>9480</v>
      </c>
      <c r="BM10" s="65">
        <f t="shared" si="31"/>
        <v>9480</v>
      </c>
      <c r="BN10" s="65">
        <f t="shared" si="32"/>
        <v>9480</v>
      </c>
      <c r="BO10" s="66" t="s">
        <v>205</v>
      </c>
    </row>
    <row r="11" spans="1:67" ht="13.5" customHeight="1">
      <c r="A11" s="560" t="s">
        <v>203</v>
      </c>
      <c r="B11" s="560" t="s">
        <v>190</v>
      </c>
      <c r="C11" s="63" t="s">
        <v>191</v>
      </c>
      <c r="D11" s="561" t="s">
        <v>207</v>
      </c>
      <c r="E11" s="64" t="s">
        <v>204</v>
      </c>
      <c r="F11" s="63">
        <v>0.79</v>
      </c>
      <c r="G11" s="63">
        <v>12000</v>
      </c>
      <c r="H11" s="63">
        <v>12000</v>
      </c>
      <c r="I11" s="63">
        <v>12000</v>
      </c>
      <c r="J11" s="63">
        <v>12000</v>
      </c>
      <c r="K11" s="63">
        <v>12000</v>
      </c>
      <c r="L11" s="63">
        <v>12000</v>
      </c>
      <c r="M11" s="63">
        <v>12000</v>
      </c>
      <c r="N11" s="63">
        <v>12000</v>
      </c>
      <c r="O11" s="63">
        <v>12000</v>
      </c>
      <c r="P11" s="63">
        <v>12000</v>
      </c>
      <c r="Q11" s="63">
        <v>12000</v>
      </c>
      <c r="R11" s="63">
        <v>12000</v>
      </c>
      <c r="S11" s="63">
        <v>12000</v>
      </c>
      <c r="T11" s="63">
        <v>12000</v>
      </c>
      <c r="U11" s="63">
        <v>12000</v>
      </c>
      <c r="V11" s="63">
        <v>12000</v>
      </c>
      <c r="W11" s="63">
        <v>12000</v>
      </c>
      <c r="X11" s="63">
        <v>12000</v>
      </c>
      <c r="Y11" s="63">
        <v>12000</v>
      </c>
      <c r="Z11" s="63">
        <v>12000</v>
      </c>
      <c r="AA11" s="63">
        <v>12000</v>
      </c>
      <c r="AB11" s="63">
        <v>12000</v>
      </c>
      <c r="AC11" s="63">
        <v>12000</v>
      </c>
      <c r="AD11" s="63">
        <v>12000</v>
      </c>
      <c r="AE11" s="63">
        <v>12000</v>
      </c>
      <c r="AF11" s="63">
        <v>12000</v>
      </c>
      <c r="AG11" s="63">
        <v>12000</v>
      </c>
      <c r="AH11" s="63">
        <v>12000</v>
      </c>
      <c r="AI11" s="63">
        <v>12000</v>
      </c>
      <c r="AJ11" s="63">
        <v>12000</v>
      </c>
      <c r="AK11" s="65">
        <f t="shared" si="1"/>
        <v>9480</v>
      </c>
      <c r="AL11" s="65">
        <f t="shared" si="4"/>
        <v>9480</v>
      </c>
      <c r="AM11" s="65">
        <f t="shared" si="5"/>
        <v>9480</v>
      </c>
      <c r="AN11" s="65">
        <f t="shared" si="6"/>
        <v>9480</v>
      </c>
      <c r="AO11" s="65">
        <f t="shared" si="7"/>
        <v>9480</v>
      </c>
      <c r="AP11" s="65">
        <f t="shared" si="8"/>
        <v>9480</v>
      </c>
      <c r="AQ11" s="65">
        <f t="shared" si="9"/>
        <v>9480</v>
      </c>
      <c r="AR11" s="65">
        <f t="shared" si="10"/>
        <v>9480</v>
      </c>
      <c r="AS11" s="65">
        <f t="shared" si="11"/>
        <v>9480</v>
      </c>
      <c r="AT11" s="65">
        <f t="shared" si="12"/>
        <v>9480</v>
      </c>
      <c r="AU11" s="65">
        <f t="shared" si="13"/>
        <v>9480</v>
      </c>
      <c r="AV11" s="65">
        <f t="shared" si="14"/>
        <v>9480</v>
      </c>
      <c r="AW11" s="65">
        <f t="shared" si="15"/>
        <v>9480</v>
      </c>
      <c r="AX11" s="65">
        <f t="shared" si="16"/>
        <v>9480</v>
      </c>
      <c r="AY11" s="65">
        <f t="shared" si="17"/>
        <v>9480</v>
      </c>
      <c r="AZ11" s="65">
        <f t="shared" si="18"/>
        <v>9480</v>
      </c>
      <c r="BA11" s="65">
        <f t="shared" si="19"/>
        <v>9480</v>
      </c>
      <c r="BB11" s="65">
        <f t="shared" si="20"/>
        <v>9480</v>
      </c>
      <c r="BC11" s="65">
        <f t="shared" si="21"/>
        <v>9480</v>
      </c>
      <c r="BD11" s="65">
        <f t="shared" si="22"/>
        <v>9480</v>
      </c>
      <c r="BE11" s="65">
        <f t="shared" si="23"/>
        <v>9480</v>
      </c>
      <c r="BF11" s="65">
        <f t="shared" si="24"/>
        <v>9480</v>
      </c>
      <c r="BG11" s="65">
        <f t="shared" si="25"/>
        <v>9480</v>
      </c>
      <c r="BH11" s="65">
        <f t="shared" si="26"/>
        <v>9480</v>
      </c>
      <c r="BI11" s="65">
        <f t="shared" si="27"/>
        <v>9480</v>
      </c>
      <c r="BJ11" s="65">
        <f t="shared" si="28"/>
        <v>9480</v>
      </c>
      <c r="BK11" s="65">
        <f t="shared" si="29"/>
        <v>9480</v>
      </c>
      <c r="BL11" s="65">
        <f t="shared" si="30"/>
        <v>9480</v>
      </c>
      <c r="BM11" s="65">
        <f t="shared" si="31"/>
        <v>9480</v>
      </c>
      <c r="BN11" s="65">
        <f t="shared" si="32"/>
        <v>9480</v>
      </c>
      <c r="BO11" s="66" t="s">
        <v>205</v>
      </c>
    </row>
    <row r="12" spans="1:67" ht="13.5" customHeight="1">
      <c r="A12" s="560" t="s">
        <v>203</v>
      </c>
      <c r="B12" s="560" t="s">
        <v>208</v>
      </c>
      <c r="C12" s="63" t="s">
        <v>209</v>
      </c>
      <c r="D12" s="561" t="s">
        <v>79</v>
      </c>
      <c r="E12" s="64" t="s">
        <v>204</v>
      </c>
      <c r="F12" s="63">
        <v>0.79</v>
      </c>
      <c r="G12" s="63">
        <f t="shared" ref="G12:AJ12" si="34">2000*12</f>
        <v>24000</v>
      </c>
      <c r="H12" s="63">
        <f t="shared" si="34"/>
        <v>24000</v>
      </c>
      <c r="I12" s="63">
        <f t="shared" si="34"/>
        <v>24000</v>
      </c>
      <c r="J12" s="63">
        <f t="shared" si="34"/>
        <v>24000</v>
      </c>
      <c r="K12" s="63">
        <f t="shared" si="34"/>
        <v>24000</v>
      </c>
      <c r="L12" s="63">
        <f t="shared" si="34"/>
        <v>24000</v>
      </c>
      <c r="M12" s="63">
        <f t="shared" si="34"/>
        <v>24000</v>
      </c>
      <c r="N12" s="63">
        <f t="shared" si="34"/>
        <v>24000</v>
      </c>
      <c r="O12" s="63">
        <f t="shared" si="34"/>
        <v>24000</v>
      </c>
      <c r="P12" s="63">
        <f t="shared" si="34"/>
        <v>24000</v>
      </c>
      <c r="Q12" s="63">
        <f t="shared" si="34"/>
        <v>24000</v>
      </c>
      <c r="R12" s="63">
        <f t="shared" si="34"/>
        <v>24000</v>
      </c>
      <c r="S12" s="63">
        <f t="shared" si="34"/>
        <v>24000</v>
      </c>
      <c r="T12" s="63">
        <f t="shared" si="34"/>
        <v>24000</v>
      </c>
      <c r="U12" s="63">
        <f t="shared" si="34"/>
        <v>24000</v>
      </c>
      <c r="V12" s="63">
        <f t="shared" si="34"/>
        <v>24000</v>
      </c>
      <c r="W12" s="63">
        <f t="shared" si="34"/>
        <v>24000</v>
      </c>
      <c r="X12" s="63">
        <f t="shared" si="34"/>
        <v>24000</v>
      </c>
      <c r="Y12" s="63">
        <f t="shared" si="34"/>
        <v>24000</v>
      </c>
      <c r="Z12" s="63">
        <f t="shared" si="34"/>
        <v>24000</v>
      </c>
      <c r="AA12" s="63">
        <f t="shared" si="34"/>
        <v>24000</v>
      </c>
      <c r="AB12" s="63">
        <f t="shared" si="34"/>
        <v>24000</v>
      </c>
      <c r="AC12" s="63">
        <f t="shared" si="34"/>
        <v>24000</v>
      </c>
      <c r="AD12" s="63">
        <f t="shared" si="34"/>
        <v>24000</v>
      </c>
      <c r="AE12" s="63">
        <f t="shared" si="34"/>
        <v>24000</v>
      </c>
      <c r="AF12" s="63">
        <f t="shared" si="34"/>
        <v>24000</v>
      </c>
      <c r="AG12" s="63">
        <f t="shared" si="34"/>
        <v>24000</v>
      </c>
      <c r="AH12" s="63">
        <f t="shared" si="34"/>
        <v>24000</v>
      </c>
      <c r="AI12" s="63">
        <f t="shared" si="34"/>
        <v>24000</v>
      </c>
      <c r="AJ12" s="63">
        <f t="shared" si="34"/>
        <v>24000</v>
      </c>
      <c r="AK12" s="65">
        <f t="shared" si="1"/>
        <v>18960</v>
      </c>
      <c r="AL12" s="65">
        <f t="shared" si="4"/>
        <v>18960</v>
      </c>
      <c r="AM12" s="65">
        <f t="shared" si="5"/>
        <v>18960</v>
      </c>
      <c r="AN12" s="65">
        <f t="shared" si="6"/>
        <v>18960</v>
      </c>
      <c r="AO12" s="65">
        <f t="shared" si="7"/>
        <v>18960</v>
      </c>
      <c r="AP12" s="65">
        <f t="shared" si="8"/>
        <v>18960</v>
      </c>
      <c r="AQ12" s="65">
        <f t="shared" si="9"/>
        <v>18960</v>
      </c>
      <c r="AR12" s="65">
        <f t="shared" si="10"/>
        <v>18960</v>
      </c>
      <c r="AS12" s="65">
        <f t="shared" si="11"/>
        <v>18960</v>
      </c>
      <c r="AT12" s="65">
        <f t="shared" si="12"/>
        <v>18960</v>
      </c>
      <c r="AU12" s="65">
        <f t="shared" si="13"/>
        <v>18960</v>
      </c>
      <c r="AV12" s="65">
        <f t="shared" si="14"/>
        <v>18960</v>
      </c>
      <c r="AW12" s="65">
        <f t="shared" si="15"/>
        <v>18960</v>
      </c>
      <c r="AX12" s="65">
        <f t="shared" si="16"/>
        <v>18960</v>
      </c>
      <c r="AY12" s="65">
        <f t="shared" si="17"/>
        <v>18960</v>
      </c>
      <c r="AZ12" s="65">
        <f t="shared" si="18"/>
        <v>18960</v>
      </c>
      <c r="BA12" s="65">
        <f t="shared" si="19"/>
        <v>18960</v>
      </c>
      <c r="BB12" s="65">
        <f t="shared" si="20"/>
        <v>18960</v>
      </c>
      <c r="BC12" s="65">
        <f t="shared" si="21"/>
        <v>18960</v>
      </c>
      <c r="BD12" s="65">
        <f t="shared" si="22"/>
        <v>18960</v>
      </c>
      <c r="BE12" s="65">
        <f t="shared" si="23"/>
        <v>18960</v>
      </c>
      <c r="BF12" s="65">
        <f t="shared" si="24"/>
        <v>18960</v>
      </c>
      <c r="BG12" s="65">
        <f t="shared" si="25"/>
        <v>18960</v>
      </c>
      <c r="BH12" s="65">
        <f t="shared" si="26"/>
        <v>18960</v>
      </c>
      <c r="BI12" s="65">
        <f t="shared" si="27"/>
        <v>18960</v>
      </c>
      <c r="BJ12" s="65">
        <f t="shared" si="28"/>
        <v>18960</v>
      </c>
      <c r="BK12" s="65">
        <f t="shared" si="29"/>
        <v>18960</v>
      </c>
      <c r="BL12" s="65">
        <f t="shared" si="30"/>
        <v>18960</v>
      </c>
      <c r="BM12" s="65">
        <f t="shared" si="31"/>
        <v>18960</v>
      </c>
      <c r="BN12" s="65">
        <f t="shared" si="32"/>
        <v>18960</v>
      </c>
      <c r="BO12" s="66" t="s">
        <v>205</v>
      </c>
    </row>
    <row r="13" spans="1:67" ht="13.5" customHeight="1">
      <c r="A13" s="560" t="s">
        <v>203</v>
      </c>
      <c r="B13" s="560" t="s">
        <v>208</v>
      </c>
      <c r="C13" s="63" t="s">
        <v>209</v>
      </c>
      <c r="D13" s="561" t="s">
        <v>83</v>
      </c>
      <c r="E13" s="64" t="s">
        <v>204</v>
      </c>
      <c r="F13" s="63">
        <v>0.79</v>
      </c>
      <c r="G13" s="63">
        <f t="shared" ref="G13:AJ13" si="35">500*12</f>
        <v>6000</v>
      </c>
      <c r="H13" s="63">
        <f t="shared" si="35"/>
        <v>6000</v>
      </c>
      <c r="I13" s="63">
        <f t="shared" si="35"/>
        <v>6000</v>
      </c>
      <c r="J13" s="63">
        <f t="shared" si="35"/>
        <v>6000</v>
      </c>
      <c r="K13" s="63">
        <f t="shared" si="35"/>
        <v>6000</v>
      </c>
      <c r="L13" s="63">
        <f t="shared" si="35"/>
        <v>6000</v>
      </c>
      <c r="M13" s="63">
        <f t="shared" si="35"/>
        <v>6000</v>
      </c>
      <c r="N13" s="63">
        <f t="shared" si="35"/>
        <v>6000</v>
      </c>
      <c r="O13" s="63">
        <f t="shared" si="35"/>
        <v>6000</v>
      </c>
      <c r="P13" s="63">
        <f t="shared" si="35"/>
        <v>6000</v>
      </c>
      <c r="Q13" s="63">
        <f t="shared" si="35"/>
        <v>6000</v>
      </c>
      <c r="R13" s="63">
        <f t="shared" si="35"/>
        <v>6000</v>
      </c>
      <c r="S13" s="63">
        <f t="shared" si="35"/>
        <v>6000</v>
      </c>
      <c r="T13" s="63">
        <f t="shared" si="35"/>
        <v>6000</v>
      </c>
      <c r="U13" s="63">
        <f t="shared" si="35"/>
        <v>6000</v>
      </c>
      <c r="V13" s="63">
        <f t="shared" si="35"/>
        <v>6000</v>
      </c>
      <c r="W13" s="63">
        <f t="shared" si="35"/>
        <v>6000</v>
      </c>
      <c r="X13" s="63">
        <f t="shared" si="35"/>
        <v>6000</v>
      </c>
      <c r="Y13" s="63">
        <f t="shared" si="35"/>
        <v>6000</v>
      </c>
      <c r="Z13" s="63">
        <f t="shared" si="35"/>
        <v>6000</v>
      </c>
      <c r="AA13" s="63">
        <f t="shared" si="35"/>
        <v>6000</v>
      </c>
      <c r="AB13" s="63">
        <f t="shared" si="35"/>
        <v>6000</v>
      </c>
      <c r="AC13" s="63">
        <f t="shared" si="35"/>
        <v>6000</v>
      </c>
      <c r="AD13" s="63">
        <f t="shared" si="35"/>
        <v>6000</v>
      </c>
      <c r="AE13" s="63">
        <f t="shared" si="35"/>
        <v>6000</v>
      </c>
      <c r="AF13" s="63">
        <f t="shared" si="35"/>
        <v>6000</v>
      </c>
      <c r="AG13" s="63">
        <f t="shared" si="35"/>
        <v>6000</v>
      </c>
      <c r="AH13" s="63">
        <f t="shared" si="35"/>
        <v>6000</v>
      </c>
      <c r="AI13" s="63">
        <f t="shared" si="35"/>
        <v>6000</v>
      </c>
      <c r="AJ13" s="63">
        <f t="shared" si="35"/>
        <v>6000</v>
      </c>
      <c r="AK13" s="65">
        <f t="shared" si="1"/>
        <v>4740</v>
      </c>
      <c r="AL13" s="65">
        <f t="shared" si="4"/>
        <v>4740</v>
      </c>
      <c r="AM13" s="65">
        <f t="shared" si="5"/>
        <v>4740</v>
      </c>
      <c r="AN13" s="65">
        <f t="shared" si="6"/>
        <v>4740</v>
      </c>
      <c r="AO13" s="65">
        <f t="shared" si="7"/>
        <v>4740</v>
      </c>
      <c r="AP13" s="65">
        <f t="shared" si="8"/>
        <v>4740</v>
      </c>
      <c r="AQ13" s="65">
        <f t="shared" si="9"/>
        <v>4740</v>
      </c>
      <c r="AR13" s="65">
        <f t="shared" si="10"/>
        <v>4740</v>
      </c>
      <c r="AS13" s="65">
        <f t="shared" si="11"/>
        <v>4740</v>
      </c>
      <c r="AT13" s="65">
        <f t="shared" si="12"/>
        <v>4740</v>
      </c>
      <c r="AU13" s="65">
        <f t="shared" si="13"/>
        <v>4740</v>
      </c>
      <c r="AV13" s="65">
        <f t="shared" si="14"/>
        <v>4740</v>
      </c>
      <c r="AW13" s="65">
        <f t="shared" si="15"/>
        <v>4740</v>
      </c>
      <c r="AX13" s="65">
        <f t="shared" si="16"/>
        <v>4740</v>
      </c>
      <c r="AY13" s="65">
        <f t="shared" si="17"/>
        <v>4740</v>
      </c>
      <c r="AZ13" s="65">
        <f t="shared" si="18"/>
        <v>4740</v>
      </c>
      <c r="BA13" s="65">
        <f t="shared" si="19"/>
        <v>4740</v>
      </c>
      <c r="BB13" s="65">
        <f t="shared" si="20"/>
        <v>4740</v>
      </c>
      <c r="BC13" s="65">
        <f t="shared" si="21"/>
        <v>4740</v>
      </c>
      <c r="BD13" s="65">
        <f t="shared" si="22"/>
        <v>4740</v>
      </c>
      <c r="BE13" s="65">
        <f t="shared" si="23"/>
        <v>4740</v>
      </c>
      <c r="BF13" s="65">
        <f t="shared" si="24"/>
        <v>4740</v>
      </c>
      <c r="BG13" s="65">
        <f t="shared" si="25"/>
        <v>4740</v>
      </c>
      <c r="BH13" s="65">
        <f t="shared" si="26"/>
        <v>4740</v>
      </c>
      <c r="BI13" s="65">
        <f t="shared" si="27"/>
        <v>4740</v>
      </c>
      <c r="BJ13" s="65">
        <f t="shared" si="28"/>
        <v>4740</v>
      </c>
      <c r="BK13" s="65">
        <f t="shared" si="29"/>
        <v>4740</v>
      </c>
      <c r="BL13" s="65">
        <f t="shared" si="30"/>
        <v>4740</v>
      </c>
      <c r="BM13" s="65">
        <f t="shared" si="31"/>
        <v>4740</v>
      </c>
      <c r="BN13" s="65">
        <f t="shared" si="32"/>
        <v>4740</v>
      </c>
      <c r="BO13" s="66" t="s">
        <v>205</v>
      </c>
    </row>
    <row r="14" spans="1:67" ht="13.5" customHeight="1">
      <c r="A14" s="560" t="s">
        <v>203</v>
      </c>
      <c r="B14" s="560" t="s">
        <v>208</v>
      </c>
      <c r="C14" s="63" t="s">
        <v>209</v>
      </c>
      <c r="D14" s="561" t="s">
        <v>85</v>
      </c>
      <c r="E14" s="64" t="s">
        <v>204</v>
      </c>
      <c r="F14" s="63">
        <v>0.79</v>
      </c>
      <c r="G14" s="63">
        <f t="shared" ref="G14:AJ14" si="36">500*12</f>
        <v>6000</v>
      </c>
      <c r="H14" s="63">
        <f t="shared" si="36"/>
        <v>6000</v>
      </c>
      <c r="I14" s="63">
        <f t="shared" si="36"/>
        <v>6000</v>
      </c>
      <c r="J14" s="63">
        <f t="shared" si="36"/>
        <v>6000</v>
      </c>
      <c r="K14" s="63">
        <f t="shared" si="36"/>
        <v>6000</v>
      </c>
      <c r="L14" s="63">
        <f t="shared" si="36"/>
        <v>6000</v>
      </c>
      <c r="M14" s="63">
        <f t="shared" si="36"/>
        <v>6000</v>
      </c>
      <c r="N14" s="63">
        <f t="shared" si="36"/>
        <v>6000</v>
      </c>
      <c r="O14" s="63">
        <f t="shared" si="36"/>
        <v>6000</v>
      </c>
      <c r="P14" s="63">
        <f t="shared" si="36"/>
        <v>6000</v>
      </c>
      <c r="Q14" s="63">
        <f t="shared" si="36"/>
        <v>6000</v>
      </c>
      <c r="R14" s="63">
        <f t="shared" si="36"/>
        <v>6000</v>
      </c>
      <c r="S14" s="63">
        <f t="shared" si="36"/>
        <v>6000</v>
      </c>
      <c r="T14" s="63">
        <f t="shared" si="36"/>
        <v>6000</v>
      </c>
      <c r="U14" s="63">
        <f t="shared" si="36"/>
        <v>6000</v>
      </c>
      <c r="V14" s="63">
        <f t="shared" si="36"/>
        <v>6000</v>
      </c>
      <c r="W14" s="63">
        <f t="shared" si="36"/>
        <v>6000</v>
      </c>
      <c r="X14" s="63">
        <f t="shared" si="36"/>
        <v>6000</v>
      </c>
      <c r="Y14" s="63">
        <f t="shared" si="36"/>
        <v>6000</v>
      </c>
      <c r="Z14" s="63">
        <f t="shared" si="36"/>
        <v>6000</v>
      </c>
      <c r="AA14" s="63">
        <f t="shared" si="36"/>
        <v>6000</v>
      </c>
      <c r="AB14" s="63">
        <f t="shared" si="36"/>
        <v>6000</v>
      </c>
      <c r="AC14" s="63">
        <f t="shared" si="36"/>
        <v>6000</v>
      </c>
      <c r="AD14" s="63">
        <f t="shared" si="36"/>
        <v>6000</v>
      </c>
      <c r="AE14" s="63">
        <f t="shared" si="36"/>
        <v>6000</v>
      </c>
      <c r="AF14" s="63">
        <f t="shared" si="36"/>
        <v>6000</v>
      </c>
      <c r="AG14" s="63">
        <f t="shared" si="36"/>
        <v>6000</v>
      </c>
      <c r="AH14" s="63">
        <f t="shared" si="36"/>
        <v>6000</v>
      </c>
      <c r="AI14" s="63">
        <f t="shared" si="36"/>
        <v>6000</v>
      </c>
      <c r="AJ14" s="63">
        <f t="shared" si="36"/>
        <v>6000</v>
      </c>
      <c r="AK14" s="65">
        <f t="shared" si="1"/>
        <v>4740</v>
      </c>
      <c r="AL14" s="65">
        <f t="shared" si="4"/>
        <v>4740</v>
      </c>
      <c r="AM14" s="65">
        <f t="shared" si="5"/>
        <v>4740</v>
      </c>
      <c r="AN14" s="65">
        <f t="shared" si="6"/>
        <v>4740</v>
      </c>
      <c r="AO14" s="65">
        <f t="shared" si="7"/>
        <v>4740</v>
      </c>
      <c r="AP14" s="65">
        <f t="shared" si="8"/>
        <v>4740</v>
      </c>
      <c r="AQ14" s="65">
        <f t="shared" si="9"/>
        <v>4740</v>
      </c>
      <c r="AR14" s="65">
        <f t="shared" si="10"/>
        <v>4740</v>
      </c>
      <c r="AS14" s="65">
        <f t="shared" si="11"/>
        <v>4740</v>
      </c>
      <c r="AT14" s="65">
        <f t="shared" si="12"/>
        <v>4740</v>
      </c>
      <c r="AU14" s="65">
        <f t="shared" si="13"/>
        <v>4740</v>
      </c>
      <c r="AV14" s="65">
        <f t="shared" si="14"/>
        <v>4740</v>
      </c>
      <c r="AW14" s="65">
        <f t="shared" si="15"/>
        <v>4740</v>
      </c>
      <c r="AX14" s="65">
        <f t="shared" si="16"/>
        <v>4740</v>
      </c>
      <c r="AY14" s="65">
        <f t="shared" si="17"/>
        <v>4740</v>
      </c>
      <c r="AZ14" s="65">
        <f t="shared" si="18"/>
        <v>4740</v>
      </c>
      <c r="BA14" s="65">
        <f t="shared" si="19"/>
        <v>4740</v>
      </c>
      <c r="BB14" s="65">
        <f t="shared" si="20"/>
        <v>4740</v>
      </c>
      <c r="BC14" s="65">
        <f t="shared" si="21"/>
        <v>4740</v>
      </c>
      <c r="BD14" s="65">
        <f t="shared" si="22"/>
        <v>4740</v>
      </c>
      <c r="BE14" s="65">
        <f t="shared" si="23"/>
        <v>4740</v>
      </c>
      <c r="BF14" s="65">
        <f t="shared" si="24"/>
        <v>4740</v>
      </c>
      <c r="BG14" s="65">
        <f t="shared" si="25"/>
        <v>4740</v>
      </c>
      <c r="BH14" s="65">
        <f t="shared" si="26"/>
        <v>4740</v>
      </c>
      <c r="BI14" s="65">
        <f t="shared" si="27"/>
        <v>4740</v>
      </c>
      <c r="BJ14" s="65">
        <f t="shared" si="28"/>
        <v>4740</v>
      </c>
      <c r="BK14" s="65">
        <f t="shared" si="29"/>
        <v>4740</v>
      </c>
      <c r="BL14" s="65">
        <f t="shared" si="30"/>
        <v>4740</v>
      </c>
      <c r="BM14" s="65">
        <f t="shared" si="31"/>
        <v>4740</v>
      </c>
      <c r="BN14" s="65">
        <f t="shared" si="32"/>
        <v>4740</v>
      </c>
      <c r="BO14" s="66" t="s">
        <v>205</v>
      </c>
    </row>
    <row r="15" spans="1:67" ht="13.5" customHeight="1">
      <c r="A15" s="560" t="s">
        <v>203</v>
      </c>
      <c r="B15" s="560" t="s">
        <v>208</v>
      </c>
      <c r="C15" s="63" t="s">
        <v>209</v>
      </c>
      <c r="D15" s="561" t="s">
        <v>87</v>
      </c>
      <c r="E15" s="64" t="s">
        <v>204</v>
      </c>
      <c r="F15" s="63">
        <v>0.79</v>
      </c>
      <c r="G15" s="63">
        <f t="shared" ref="G15:AJ15" si="37">500*12</f>
        <v>6000</v>
      </c>
      <c r="H15" s="63">
        <f t="shared" si="37"/>
        <v>6000</v>
      </c>
      <c r="I15" s="63">
        <f t="shared" si="37"/>
        <v>6000</v>
      </c>
      <c r="J15" s="63">
        <f t="shared" si="37"/>
        <v>6000</v>
      </c>
      <c r="K15" s="63">
        <f t="shared" si="37"/>
        <v>6000</v>
      </c>
      <c r="L15" s="63">
        <f t="shared" si="37"/>
        <v>6000</v>
      </c>
      <c r="M15" s="63">
        <f t="shared" si="37"/>
        <v>6000</v>
      </c>
      <c r="N15" s="63">
        <f t="shared" si="37"/>
        <v>6000</v>
      </c>
      <c r="O15" s="63">
        <f t="shared" si="37"/>
        <v>6000</v>
      </c>
      <c r="P15" s="63">
        <f t="shared" si="37"/>
        <v>6000</v>
      </c>
      <c r="Q15" s="63">
        <f t="shared" si="37"/>
        <v>6000</v>
      </c>
      <c r="R15" s="63">
        <f t="shared" si="37"/>
        <v>6000</v>
      </c>
      <c r="S15" s="63">
        <f t="shared" si="37"/>
        <v>6000</v>
      </c>
      <c r="T15" s="63">
        <f t="shared" si="37"/>
        <v>6000</v>
      </c>
      <c r="U15" s="63">
        <f t="shared" si="37"/>
        <v>6000</v>
      </c>
      <c r="V15" s="63">
        <f t="shared" si="37"/>
        <v>6000</v>
      </c>
      <c r="W15" s="63">
        <f t="shared" si="37"/>
        <v>6000</v>
      </c>
      <c r="X15" s="63">
        <f t="shared" si="37"/>
        <v>6000</v>
      </c>
      <c r="Y15" s="63">
        <f t="shared" si="37"/>
        <v>6000</v>
      </c>
      <c r="Z15" s="63">
        <f t="shared" si="37"/>
        <v>6000</v>
      </c>
      <c r="AA15" s="63">
        <f t="shared" si="37"/>
        <v>6000</v>
      </c>
      <c r="AB15" s="63">
        <f t="shared" si="37"/>
        <v>6000</v>
      </c>
      <c r="AC15" s="63">
        <f t="shared" si="37"/>
        <v>6000</v>
      </c>
      <c r="AD15" s="63">
        <f t="shared" si="37"/>
        <v>6000</v>
      </c>
      <c r="AE15" s="63">
        <f t="shared" si="37"/>
        <v>6000</v>
      </c>
      <c r="AF15" s="63">
        <f t="shared" si="37"/>
        <v>6000</v>
      </c>
      <c r="AG15" s="63">
        <f t="shared" si="37"/>
        <v>6000</v>
      </c>
      <c r="AH15" s="63">
        <f t="shared" si="37"/>
        <v>6000</v>
      </c>
      <c r="AI15" s="63">
        <f t="shared" si="37"/>
        <v>6000</v>
      </c>
      <c r="AJ15" s="63">
        <f t="shared" si="37"/>
        <v>6000</v>
      </c>
      <c r="AK15" s="65">
        <f t="shared" si="1"/>
        <v>4740</v>
      </c>
      <c r="AL15" s="65">
        <f t="shared" si="4"/>
        <v>4740</v>
      </c>
      <c r="AM15" s="65">
        <f t="shared" si="5"/>
        <v>4740</v>
      </c>
      <c r="AN15" s="65">
        <f t="shared" si="6"/>
        <v>4740</v>
      </c>
      <c r="AO15" s="65">
        <f t="shared" si="7"/>
        <v>4740</v>
      </c>
      <c r="AP15" s="65">
        <f t="shared" si="8"/>
        <v>4740</v>
      </c>
      <c r="AQ15" s="65">
        <f t="shared" si="9"/>
        <v>4740</v>
      </c>
      <c r="AR15" s="65">
        <f t="shared" si="10"/>
        <v>4740</v>
      </c>
      <c r="AS15" s="65">
        <f t="shared" si="11"/>
        <v>4740</v>
      </c>
      <c r="AT15" s="65">
        <f t="shared" si="12"/>
        <v>4740</v>
      </c>
      <c r="AU15" s="65">
        <f t="shared" si="13"/>
        <v>4740</v>
      </c>
      <c r="AV15" s="65">
        <f t="shared" si="14"/>
        <v>4740</v>
      </c>
      <c r="AW15" s="65">
        <f t="shared" si="15"/>
        <v>4740</v>
      </c>
      <c r="AX15" s="65">
        <f t="shared" si="16"/>
        <v>4740</v>
      </c>
      <c r="AY15" s="65">
        <f t="shared" si="17"/>
        <v>4740</v>
      </c>
      <c r="AZ15" s="65">
        <f t="shared" si="18"/>
        <v>4740</v>
      </c>
      <c r="BA15" s="65">
        <f t="shared" si="19"/>
        <v>4740</v>
      </c>
      <c r="BB15" s="65">
        <f t="shared" si="20"/>
        <v>4740</v>
      </c>
      <c r="BC15" s="65">
        <f t="shared" si="21"/>
        <v>4740</v>
      </c>
      <c r="BD15" s="65">
        <f t="shared" si="22"/>
        <v>4740</v>
      </c>
      <c r="BE15" s="65">
        <f t="shared" si="23"/>
        <v>4740</v>
      </c>
      <c r="BF15" s="65">
        <f t="shared" si="24"/>
        <v>4740</v>
      </c>
      <c r="BG15" s="65">
        <f t="shared" si="25"/>
        <v>4740</v>
      </c>
      <c r="BH15" s="65">
        <f t="shared" si="26"/>
        <v>4740</v>
      </c>
      <c r="BI15" s="65">
        <f t="shared" si="27"/>
        <v>4740</v>
      </c>
      <c r="BJ15" s="65">
        <f t="shared" si="28"/>
        <v>4740</v>
      </c>
      <c r="BK15" s="65">
        <f t="shared" si="29"/>
        <v>4740</v>
      </c>
      <c r="BL15" s="65">
        <f t="shared" si="30"/>
        <v>4740</v>
      </c>
      <c r="BM15" s="65">
        <f t="shared" si="31"/>
        <v>4740</v>
      </c>
      <c r="BN15" s="65">
        <f t="shared" si="32"/>
        <v>4740</v>
      </c>
      <c r="BO15" s="66" t="s">
        <v>205</v>
      </c>
    </row>
    <row r="16" spans="1:67" ht="13.5" customHeight="1">
      <c r="A16" s="560" t="s">
        <v>203</v>
      </c>
      <c r="B16" s="560" t="s">
        <v>208</v>
      </c>
      <c r="C16" s="63" t="s">
        <v>209</v>
      </c>
      <c r="D16" s="561" t="s">
        <v>88</v>
      </c>
      <c r="E16" s="64" t="s">
        <v>204</v>
      </c>
      <c r="F16" s="63">
        <v>0.79</v>
      </c>
      <c r="G16" s="63">
        <f t="shared" ref="G16:AJ16" si="38">500*12</f>
        <v>6000</v>
      </c>
      <c r="H16" s="63">
        <f t="shared" si="38"/>
        <v>6000</v>
      </c>
      <c r="I16" s="63">
        <f t="shared" si="38"/>
        <v>6000</v>
      </c>
      <c r="J16" s="63">
        <f t="shared" si="38"/>
        <v>6000</v>
      </c>
      <c r="K16" s="63">
        <f t="shared" si="38"/>
        <v>6000</v>
      </c>
      <c r="L16" s="63">
        <f t="shared" si="38"/>
        <v>6000</v>
      </c>
      <c r="M16" s="63">
        <f t="shared" si="38"/>
        <v>6000</v>
      </c>
      <c r="N16" s="63">
        <f t="shared" si="38"/>
        <v>6000</v>
      </c>
      <c r="O16" s="63">
        <f t="shared" si="38"/>
        <v>6000</v>
      </c>
      <c r="P16" s="63">
        <f t="shared" si="38"/>
        <v>6000</v>
      </c>
      <c r="Q16" s="63">
        <f t="shared" si="38"/>
        <v>6000</v>
      </c>
      <c r="R16" s="63">
        <f t="shared" si="38"/>
        <v>6000</v>
      </c>
      <c r="S16" s="63">
        <f t="shared" si="38"/>
        <v>6000</v>
      </c>
      <c r="T16" s="63">
        <f t="shared" si="38"/>
        <v>6000</v>
      </c>
      <c r="U16" s="63">
        <f t="shared" si="38"/>
        <v>6000</v>
      </c>
      <c r="V16" s="63">
        <f t="shared" si="38"/>
        <v>6000</v>
      </c>
      <c r="W16" s="63">
        <f t="shared" si="38"/>
        <v>6000</v>
      </c>
      <c r="X16" s="63">
        <f t="shared" si="38"/>
        <v>6000</v>
      </c>
      <c r="Y16" s="63">
        <f t="shared" si="38"/>
        <v>6000</v>
      </c>
      <c r="Z16" s="63">
        <f t="shared" si="38"/>
        <v>6000</v>
      </c>
      <c r="AA16" s="63">
        <f t="shared" si="38"/>
        <v>6000</v>
      </c>
      <c r="AB16" s="63">
        <f t="shared" si="38"/>
        <v>6000</v>
      </c>
      <c r="AC16" s="63">
        <f t="shared" si="38"/>
        <v>6000</v>
      </c>
      <c r="AD16" s="63">
        <f t="shared" si="38"/>
        <v>6000</v>
      </c>
      <c r="AE16" s="63">
        <f t="shared" si="38"/>
        <v>6000</v>
      </c>
      <c r="AF16" s="63">
        <f t="shared" si="38"/>
        <v>6000</v>
      </c>
      <c r="AG16" s="63">
        <f t="shared" si="38"/>
        <v>6000</v>
      </c>
      <c r="AH16" s="63">
        <f t="shared" si="38"/>
        <v>6000</v>
      </c>
      <c r="AI16" s="63">
        <f t="shared" si="38"/>
        <v>6000</v>
      </c>
      <c r="AJ16" s="63">
        <f t="shared" si="38"/>
        <v>6000</v>
      </c>
      <c r="AK16" s="65">
        <f t="shared" si="1"/>
        <v>4740</v>
      </c>
      <c r="AL16" s="65">
        <f t="shared" si="4"/>
        <v>4740</v>
      </c>
      <c r="AM16" s="65">
        <f t="shared" si="5"/>
        <v>4740</v>
      </c>
      <c r="AN16" s="65">
        <f t="shared" si="6"/>
        <v>4740</v>
      </c>
      <c r="AO16" s="65">
        <f t="shared" si="7"/>
        <v>4740</v>
      </c>
      <c r="AP16" s="65">
        <f t="shared" si="8"/>
        <v>4740</v>
      </c>
      <c r="AQ16" s="65">
        <f t="shared" si="9"/>
        <v>4740</v>
      </c>
      <c r="AR16" s="65">
        <f t="shared" si="10"/>
        <v>4740</v>
      </c>
      <c r="AS16" s="65">
        <f t="shared" si="11"/>
        <v>4740</v>
      </c>
      <c r="AT16" s="65">
        <f t="shared" si="12"/>
        <v>4740</v>
      </c>
      <c r="AU16" s="65">
        <f t="shared" si="13"/>
        <v>4740</v>
      </c>
      <c r="AV16" s="65">
        <f t="shared" si="14"/>
        <v>4740</v>
      </c>
      <c r="AW16" s="65">
        <f t="shared" si="15"/>
        <v>4740</v>
      </c>
      <c r="AX16" s="65">
        <f t="shared" si="16"/>
        <v>4740</v>
      </c>
      <c r="AY16" s="65">
        <f t="shared" si="17"/>
        <v>4740</v>
      </c>
      <c r="AZ16" s="65">
        <f t="shared" si="18"/>
        <v>4740</v>
      </c>
      <c r="BA16" s="65">
        <f t="shared" si="19"/>
        <v>4740</v>
      </c>
      <c r="BB16" s="65">
        <f t="shared" si="20"/>
        <v>4740</v>
      </c>
      <c r="BC16" s="65">
        <f t="shared" si="21"/>
        <v>4740</v>
      </c>
      <c r="BD16" s="65">
        <f t="shared" si="22"/>
        <v>4740</v>
      </c>
      <c r="BE16" s="65">
        <f t="shared" si="23"/>
        <v>4740</v>
      </c>
      <c r="BF16" s="65">
        <f t="shared" si="24"/>
        <v>4740</v>
      </c>
      <c r="BG16" s="65">
        <f t="shared" si="25"/>
        <v>4740</v>
      </c>
      <c r="BH16" s="65">
        <f t="shared" si="26"/>
        <v>4740</v>
      </c>
      <c r="BI16" s="65">
        <f t="shared" si="27"/>
        <v>4740</v>
      </c>
      <c r="BJ16" s="65">
        <f t="shared" si="28"/>
        <v>4740</v>
      </c>
      <c r="BK16" s="65">
        <f t="shared" si="29"/>
        <v>4740</v>
      </c>
      <c r="BL16" s="65">
        <f t="shared" si="30"/>
        <v>4740</v>
      </c>
      <c r="BM16" s="65">
        <f t="shared" si="31"/>
        <v>4740</v>
      </c>
      <c r="BN16" s="65">
        <f t="shared" si="32"/>
        <v>4740</v>
      </c>
      <c r="BO16" s="66" t="s">
        <v>205</v>
      </c>
    </row>
    <row r="17" spans="1:67" ht="13.5" customHeight="1">
      <c r="A17" s="560" t="s">
        <v>203</v>
      </c>
      <c r="B17" s="560" t="s">
        <v>208</v>
      </c>
      <c r="C17" s="63" t="s">
        <v>209</v>
      </c>
      <c r="D17" s="561" t="s">
        <v>89</v>
      </c>
      <c r="E17" s="64" t="s">
        <v>204</v>
      </c>
      <c r="F17" s="63">
        <v>0.79</v>
      </c>
      <c r="G17" s="63">
        <f t="shared" ref="G17:AJ17" si="39">500*12</f>
        <v>6000</v>
      </c>
      <c r="H17" s="63">
        <f t="shared" si="39"/>
        <v>6000</v>
      </c>
      <c r="I17" s="63">
        <f t="shared" si="39"/>
        <v>6000</v>
      </c>
      <c r="J17" s="63">
        <f t="shared" si="39"/>
        <v>6000</v>
      </c>
      <c r="K17" s="63">
        <f t="shared" si="39"/>
        <v>6000</v>
      </c>
      <c r="L17" s="63">
        <f t="shared" si="39"/>
        <v>6000</v>
      </c>
      <c r="M17" s="63">
        <f t="shared" si="39"/>
        <v>6000</v>
      </c>
      <c r="N17" s="63">
        <f t="shared" si="39"/>
        <v>6000</v>
      </c>
      <c r="O17" s="63">
        <f t="shared" si="39"/>
        <v>6000</v>
      </c>
      <c r="P17" s="63">
        <f t="shared" si="39"/>
        <v>6000</v>
      </c>
      <c r="Q17" s="63">
        <f t="shared" si="39"/>
        <v>6000</v>
      </c>
      <c r="R17" s="63">
        <f t="shared" si="39"/>
        <v>6000</v>
      </c>
      <c r="S17" s="63">
        <f t="shared" si="39"/>
        <v>6000</v>
      </c>
      <c r="T17" s="63">
        <f t="shared" si="39"/>
        <v>6000</v>
      </c>
      <c r="U17" s="63">
        <f t="shared" si="39"/>
        <v>6000</v>
      </c>
      <c r="V17" s="63">
        <f t="shared" si="39"/>
        <v>6000</v>
      </c>
      <c r="W17" s="63">
        <f t="shared" si="39"/>
        <v>6000</v>
      </c>
      <c r="X17" s="63">
        <f t="shared" si="39"/>
        <v>6000</v>
      </c>
      <c r="Y17" s="63">
        <f t="shared" si="39"/>
        <v>6000</v>
      </c>
      <c r="Z17" s="63">
        <f t="shared" si="39"/>
        <v>6000</v>
      </c>
      <c r="AA17" s="63">
        <f t="shared" si="39"/>
        <v>6000</v>
      </c>
      <c r="AB17" s="63">
        <f t="shared" si="39"/>
        <v>6000</v>
      </c>
      <c r="AC17" s="63">
        <f t="shared" si="39"/>
        <v>6000</v>
      </c>
      <c r="AD17" s="63">
        <f t="shared" si="39"/>
        <v>6000</v>
      </c>
      <c r="AE17" s="63">
        <f t="shared" si="39"/>
        <v>6000</v>
      </c>
      <c r="AF17" s="63">
        <f t="shared" si="39"/>
        <v>6000</v>
      </c>
      <c r="AG17" s="63">
        <f t="shared" si="39"/>
        <v>6000</v>
      </c>
      <c r="AH17" s="63">
        <f t="shared" si="39"/>
        <v>6000</v>
      </c>
      <c r="AI17" s="63">
        <f t="shared" si="39"/>
        <v>6000</v>
      </c>
      <c r="AJ17" s="63">
        <f t="shared" si="39"/>
        <v>6000</v>
      </c>
      <c r="AK17" s="65">
        <f t="shared" si="1"/>
        <v>4740</v>
      </c>
      <c r="AL17" s="65">
        <f t="shared" si="4"/>
        <v>4740</v>
      </c>
      <c r="AM17" s="65">
        <f t="shared" si="5"/>
        <v>4740</v>
      </c>
      <c r="AN17" s="65">
        <f t="shared" si="6"/>
        <v>4740</v>
      </c>
      <c r="AO17" s="65">
        <f t="shared" si="7"/>
        <v>4740</v>
      </c>
      <c r="AP17" s="65">
        <f t="shared" si="8"/>
        <v>4740</v>
      </c>
      <c r="AQ17" s="65">
        <f t="shared" si="9"/>
        <v>4740</v>
      </c>
      <c r="AR17" s="65">
        <f t="shared" si="10"/>
        <v>4740</v>
      </c>
      <c r="AS17" s="65">
        <f t="shared" si="11"/>
        <v>4740</v>
      </c>
      <c r="AT17" s="65">
        <f t="shared" si="12"/>
        <v>4740</v>
      </c>
      <c r="AU17" s="65">
        <f t="shared" si="13"/>
        <v>4740</v>
      </c>
      <c r="AV17" s="65">
        <f t="shared" si="14"/>
        <v>4740</v>
      </c>
      <c r="AW17" s="65">
        <f t="shared" si="15"/>
        <v>4740</v>
      </c>
      <c r="AX17" s="65">
        <f t="shared" si="16"/>
        <v>4740</v>
      </c>
      <c r="AY17" s="65">
        <f t="shared" si="17"/>
        <v>4740</v>
      </c>
      <c r="AZ17" s="65">
        <f t="shared" si="18"/>
        <v>4740</v>
      </c>
      <c r="BA17" s="65">
        <f t="shared" si="19"/>
        <v>4740</v>
      </c>
      <c r="BB17" s="65">
        <f t="shared" si="20"/>
        <v>4740</v>
      </c>
      <c r="BC17" s="65">
        <f t="shared" si="21"/>
        <v>4740</v>
      </c>
      <c r="BD17" s="65">
        <f t="shared" si="22"/>
        <v>4740</v>
      </c>
      <c r="BE17" s="65">
        <f t="shared" si="23"/>
        <v>4740</v>
      </c>
      <c r="BF17" s="65">
        <f t="shared" si="24"/>
        <v>4740</v>
      </c>
      <c r="BG17" s="65">
        <f t="shared" si="25"/>
        <v>4740</v>
      </c>
      <c r="BH17" s="65">
        <f t="shared" si="26"/>
        <v>4740</v>
      </c>
      <c r="BI17" s="65">
        <f t="shared" si="27"/>
        <v>4740</v>
      </c>
      <c r="BJ17" s="65">
        <f t="shared" si="28"/>
        <v>4740</v>
      </c>
      <c r="BK17" s="65">
        <f t="shared" si="29"/>
        <v>4740</v>
      </c>
      <c r="BL17" s="65">
        <f t="shared" si="30"/>
        <v>4740</v>
      </c>
      <c r="BM17" s="65">
        <f t="shared" si="31"/>
        <v>4740</v>
      </c>
      <c r="BN17" s="65">
        <f t="shared" si="32"/>
        <v>4740</v>
      </c>
      <c r="BO17" s="66" t="s">
        <v>205</v>
      </c>
    </row>
    <row r="18" spans="1:67" ht="13.5" customHeight="1">
      <c r="A18" s="560" t="s">
        <v>203</v>
      </c>
      <c r="B18" s="560" t="s">
        <v>208</v>
      </c>
      <c r="C18" s="63" t="s">
        <v>209</v>
      </c>
      <c r="D18" s="561" t="s">
        <v>93</v>
      </c>
      <c r="E18" s="64" t="s">
        <v>204</v>
      </c>
      <c r="F18" s="63">
        <v>0.79</v>
      </c>
      <c r="G18" s="63">
        <f t="shared" ref="G18:AJ18" si="40">500*12</f>
        <v>6000</v>
      </c>
      <c r="H18" s="63">
        <f t="shared" si="40"/>
        <v>6000</v>
      </c>
      <c r="I18" s="63">
        <f t="shared" si="40"/>
        <v>6000</v>
      </c>
      <c r="J18" s="63">
        <f t="shared" si="40"/>
        <v>6000</v>
      </c>
      <c r="K18" s="63">
        <f t="shared" si="40"/>
        <v>6000</v>
      </c>
      <c r="L18" s="63">
        <f t="shared" si="40"/>
        <v>6000</v>
      </c>
      <c r="M18" s="63">
        <f t="shared" si="40"/>
        <v>6000</v>
      </c>
      <c r="N18" s="63">
        <f t="shared" si="40"/>
        <v>6000</v>
      </c>
      <c r="O18" s="63">
        <f t="shared" si="40"/>
        <v>6000</v>
      </c>
      <c r="P18" s="63">
        <f t="shared" si="40"/>
        <v>6000</v>
      </c>
      <c r="Q18" s="63">
        <f t="shared" si="40"/>
        <v>6000</v>
      </c>
      <c r="R18" s="63">
        <f t="shared" si="40"/>
        <v>6000</v>
      </c>
      <c r="S18" s="63">
        <f t="shared" si="40"/>
        <v>6000</v>
      </c>
      <c r="T18" s="63">
        <f t="shared" si="40"/>
        <v>6000</v>
      </c>
      <c r="U18" s="63">
        <f t="shared" si="40"/>
        <v>6000</v>
      </c>
      <c r="V18" s="63">
        <f t="shared" si="40"/>
        <v>6000</v>
      </c>
      <c r="W18" s="63">
        <f t="shared" si="40"/>
        <v>6000</v>
      </c>
      <c r="X18" s="63">
        <f t="shared" si="40"/>
        <v>6000</v>
      </c>
      <c r="Y18" s="63">
        <f t="shared" si="40"/>
        <v>6000</v>
      </c>
      <c r="Z18" s="63">
        <f t="shared" si="40"/>
        <v>6000</v>
      </c>
      <c r="AA18" s="63">
        <f t="shared" si="40"/>
        <v>6000</v>
      </c>
      <c r="AB18" s="63">
        <f t="shared" si="40"/>
        <v>6000</v>
      </c>
      <c r="AC18" s="63">
        <f t="shared" si="40"/>
        <v>6000</v>
      </c>
      <c r="AD18" s="63">
        <f t="shared" si="40"/>
        <v>6000</v>
      </c>
      <c r="AE18" s="63">
        <f t="shared" si="40"/>
        <v>6000</v>
      </c>
      <c r="AF18" s="63">
        <f t="shared" si="40"/>
        <v>6000</v>
      </c>
      <c r="AG18" s="63">
        <f t="shared" si="40"/>
        <v>6000</v>
      </c>
      <c r="AH18" s="63">
        <f t="shared" si="40"/>
        <v>6000</v>
      </c>
      <c r="AI18" s="63">
        <f t="shared" si="40"/>
        <v>6000</v>
      </c>
      <c r="AJ18" s="63">
        <f t="shared" si="40"/>
        <v>6000</v>
      </c>
      <c r="AK18" s="65">
        <f t="shared" si="1"/>
        <v>4740</v>
      </c>
      <c r="AL18" s="65">
        <f t="shared" si="4"/>
        <v>4740</v>
      </c>
      <c r="AM18" s="65">
        <f t="shared" si="5"/>
        <v>4740</v>
      </c>
      <c r="AN18" s="65">
        <f t="shared" si="6"/>
        <v>4740</v>
      </c>
      <c r="AO18" s="65">
        <f t="shared" si="7"/>
        <v>4740</v>
      </c>
      <c r="AP18" s="65">
        <f t="shared" si="8"/>
        <v>4740</v>
      </c>
      <c r="AQ18" s="65">
        <f t="shared" si="9"/>
        <v>4740</v>
      </c>
      <c r="AR18" s="65">
        <f t="shared" si="10"/>
        <v>4740</v>
      </c>
      <c r="AS18" s="65">
        <f t="shared" si="11"/>
        <v>4740</v>
      </c>
      <c r="AT18" s="65">
        <f t="shared" si="12"/>
        <v>4740</v>
      </c>
      <c r="AU18" s="65">
        <f t="shared" si="13"/>
        <v>4740</v>
      </c>
      <c r="AV18" s="65">
        <f t="shared" si="14"/>
        <v>4740</v>
      </c>
      <c r="AW18" s="65">
        <f t="shared" si="15"/>
        <v>4740</v>
      </c>
      <c r="AX18" s="65">
        <f t="shared" si="16"/>
        <v>4740</v>
      </c>
      <c r="AY18" s="65">
        <f t="shared" si="17"/>
        <v>4740</v>
      </c>
      <c r="AZ18" s="65">
        <f t="shared" si="18"/>
        <v>4740</v>
      </c>
      <c r="BA18" s="65">
        <f t="shared" si="19"/>
        <v>4740</v>
      </c>
      <c r="BB18" s="65">
        <f t="shared" si="20"/>
        <v>4740</v>
      </c>
      <c r="BC18" s="65">
        <f t="shared" si="21"/>
        <v>4740</v>
      </c>
      <c r="BD18" s="65">
        <f t="shared" si="22"/>
        <v>4740</v>
      </c>
      <c r="BE18" s="65">
        <f t="shared" si="23"/>
        <v>4740</v>
      </c>
      <c r="BF18" s="65">
        <f t="shared" si="24"/>
        <v>4740</v>
      </c>
      <c r="BG18" s="65">
        <f t="shared" si="25"/>
        <v>4740</v>
      </c>
      <c r="BH18" s="65">
        <f t="shared" si="26"/>
        <v>4740</v>
      </c>
      <c r="BI18" s="65">
        <f t="shared" si="27"/>
        <v>4740</v>
      </c>
      <c r="BJ18" s="65">
        <f t="shared" si="28"/>
        <v>4740</v>
      </c>
      <c r="BK18" s="65">
        <f t="shared" si="29"/>
        <v>4740</v>
      </c>
      <c r="BL18" s="65">
        <f t="shared" si="30"/>
        <v>4740</v>
      </c>
      <c r="BM18" s="65">
        <f t="shared" si="31"/>
        <v>4740</v>
      </c>
      <c r="BN18" s="65">
        <f t="shared" si="32"/>
        <v>4740</v>
      </c>
      <c r="BO18" s="66" t="s">
        <v>205</v>
      </c>
    </row>
    <row r="19" spans="1:67" ht="13.5" customHeight="1">
      <c r="A19" s="560" t="s">
        <v>203</v>
      </c>
      <c r="B19" s="560" t="s">
        <v>208</v>
      </c>
      <c r="C19" s="63" t="s">
        <v>209</v>
      </c>
      <c r="D19" s="561" t="s">
        <v>94</v>
      </c>
      <c r="E19" s="64" t="s">
        <v>204</v>
      </c>
      <c r="F19" s="63">
        <v>0.79</v>
      </c>
      <c r="G19" s="63">
        <f t="shared" ref="G19:AJ19" si="41">500*12</f>
        <v>6000</v>
      </c>
      <c r="H19" s="63">
        <f t="shared" si="41"/>
        <v>6000</v>
      </c>
      <c r="I19" s="63">
        <f t="shared" si="41"/>
        <v>6000</v>
      </c>
      <c r="J19" s="63">
        <f t="shared" si="41"/>
        <v>6000</v>
      </c>
      <c r="K19" s="63">
        <f t="shared" si="41"/>
        <v>6000</v>
      </c>
      <c r="L19" s="63">
        <f t="shared" si="41"/>
        <v>6000</v>
      </c>
      <c r="M19" s="63">
        <f t="shared" si="41"/>
        <v>6000</v>
      </c>
      <c r="N19" s="63">
        <f t="shared" si="41"/>
        <v>6000</v>
      </c>
      <c r="O19" s="63">
        <f t="shared" si="41"/>
        <v>6000</v>
      </c>
      <c r="P19" s="63">
        <f t="shared" si="41"/>
        <v>6000</v>
      </c>
      <c r="Q19" s="63">
        <f t="shared" si="41"/>
        <v>6000</v>
      </c>
      <c r="R19" s="63">
        <f t="shared" si="41"/>
        <v>6000</v>
      </c>
      <c r="S19" s="63">
        <f t="shared" si="41"/>
        <v>6000</v>
      </c>
      <c r="T19" s="63">
        <f t="shared" si="41"/>
        <v>6000</v>
      </c>
      <c r="U19" s="63">
        <f t="shared" si="41"/>
        <v>6000</v>
      </c>
      <c r="V19" s="63">
        <f t="shared" si="41"/>
        <v>6000</v>
      </c>
      <c r="W19" s="63">
        <f t="shared" si="41"/>
        <v>6000</v>
      </c>
      <c r="X19" s="63">
        <f t="shared" si="41"/>
        <v>6000</v>
      </c>
      <c r="Y19" s="63">
        <f t="shared" si="41"/>
        <v>6000</v>
      </c>
      <c r="Z19" s="63">
        <f t="shared" si="41"/>
        <v>6000</v>
      </c>
      <c r="AA19" s="63">
        <f t="shared" si="41"/>
        <v>6000</v>
      </c>
      <c r="AB19" s="63">
        <f t="shared" si="41"/>
        <v>6000</v>
      </c>
      <c r="AC19" s="63">
        <f t="shared" si="41"/>
        <v>6000</v>
      </c>
      <c r="AD19" s="63">
        <f t="shared" si="41"/>
        <v>6000</v>
      </c>
      <c r="AE19" s="63">
        <f t="shared" si="41"/>
        <v>6000</v>
      </c>
      <c r="AF19" s="63">
        <f t="shared" si="41"/>
        <v>6000</v>
      </c>
      <c r="AG19" s="63">
        <f t="shared" si="41"/>
        <v>6000</v>
      </c>
      <c r="AH19" s="63">
        <f t="shared" si="41"/>
        <v>6000</v>
      </c>
      <c r="AI19" s="63">
        <f t="shared" si="41"/>
        <v>6000</v>
      </c>
      <c r="AJ19" s="63">
        <f t="shared" si="41"/>
        <v>6000</v>
      </c>
      <c r="AK19" s="65">
        <f t="shared" si="1"/>
        <v>4740</v>
      </c>
      <c r="AL19" s="65">
        <f t="shared" si="4"/>
        <v>4740</v>
      </c>
      <c r="AM19" s="65">
        <f t="shared" si="5"/>
        <v>4740</v>
      </c>
      <c r="AN19" s="65">
        <f t="shared" si="6"/>
        <v>4740</v>
      </c>
      <c r="AO19" s="65">
        <f t="shared" si="7"/>
        <v>4740</v>
      </c>
      <c r="AP19" s="65">
        <f t="shared" si="8"/>
        <v>4740</v>
      </c>
      <c r="AQ19" s="65">
        <f t="shared" si="9"/>
        <v>4740</v>
      </c>
      <c r="AR19" s="65">
        <f t="shared" si="10"/>
        <v>4740</v>
      </c>
      <c r="AS19" s="65">
        <f t="shared" si="11"/>
        <v>4740</v>
      </c>
      <c r="AT19" s="65">
        <f t="shared" si="12"/>
        <v>4740</v>
      </c>
      <c r="AU19" s="65">
        <f t="shared" si="13"/>
        <v>4740</v>
      </c>
      <c r="AV19" s="65">
        <f t="shared" si="14"/>
        <v>4740</v>
      </c>
      <c r="AW19" s="65">
        <f t="shared" si="15"/>
        <v>4740</v>
      </c>
      <c r="AX19" s="65">
        <f t="shared" si="16"/>
        <v>4740</v>
      </c>
      <c r="AY19" s="65">
        <f t="shared" si="17"/>
        <v>4740</v>
      </c>
      <c r="AZ19" s="65">
        <f t="shared" si="18"/>
        <v>4740</v>
      </c>
      <c r="BA19" s="65">
        <f t="shared" si="19"/>
        <v>4740</v>
      </c>
      <c r="BB19" s="65">
        <f t="shared" si="20"/>
        <v>4740</v>
      </c>
      <c r="BC19" s="65">
        <f t="shared" si="21"/>
        <v>4740</v>
      </c>
      <c r="BD19" s="65">
        <f t="shared" si="22"/>
        <v>4740</v>
      </c>
      <c r="BE19" s="65">
        <f t="shared" si="23"/>
        <v>4740</v>
      </c>
      <c r="BF19" s="65">
        <f t="shared" si="24"/>
        <v>4740</v>
      </c>
      <c r="BG19" s="65">
        <f t="shared" si="25"/>
        <v>4740</v>
      </c>
      <c r="BH19" s="65">
        <f t="shared" si="26"/>
        <v>4740</v>
      </c>
      <c r="BI19" s="65">
        <f t="shared" si="27"/>
        <v>4740</v>
      </c>
      <c r="BJ19" s="65">
        <f t="shared" si="28"/>
        <v>4740</v>
      </c>
      <c r="BK19" s="65">
        <f t="shared" si="29"/>
        <v>4740</v>
      </c>
      <c r="BL19" s="65">
        <f t="shared" si="30"/>
        <v>4740</v>
      </c>
      <c r="BM19" s="65">
        <f t="shared" si="31"/>
        <v>4740</v>
      </c>
      <c r="BN19" s="65">
        <f t="shared" si="32"/>
        <v>4740</v>
      </c>
      <c r="BO19" s="66" t="s">
        <v>205</v>
      </c>
    </row>
    <row r="20" spans="1:67" ht="13.5" customHeight="1">
      <c r="A20" s="560" t="s">
        <v>203</v>
      </c>
      <c r="B20" s="560" t="s">
        <v>208</v>
      </c>
      <c r="C20" s="63" t="s">
        <v>209</v>
      </c>
      <c r="D20" s="561" t="s">
        <v>95</v>
      </c>
      <c r="E20" s="64" t="s">
        <v>204</v>
      </c>
      <c r="F20" s="63">
        <v>0.79</v>
      </c>
      <c r="G20" s="63">
        <f t="shared" ref="G20:AJ20" si="42">500*12</f>
        <v>6000</v>
      </c>
      <c r="H20" s="63">
        <f t="shared" si="42"/>
        <v>6000</v>
      </c>
      <c r="I20" s="63">
        <f t="shared" si="42"/>
        <v>6000</v>
      </c>
      <c r="J20" s="63">
        <f t="shared" si="42"/>
        <v>6000</v>
      </c>
      <c r="K20" s="63">
        <f t="shared" si="42"/>
        <v>6000</v>
      </c>
      <c r="L20" s="63">
        <f t="shared" si="42"/>
        <v>6000</v>
      </c>
      <c r="M20" s="63">
        <f t="shared" si="42"/>
        <v>6000</v>
      </c>
      <c r="N20" s="63">
        <f t="shared" si="42"/>
        <v>6000</v>
      </c>
      <c r="O20" s="63">
        <f t="shared" si="42"/>
        <v>6000</v>
      </c>
      <c r="P20" s="63">
        <f t="shared" si="42"/>
        <v>6000</v>
      </c>
      <c r="Q20" s="63">
        <f t="shared" si="42"/>
        <v>6000</v>
      </c>
      <c r="R20" s="63">
        <f t="shared" si="42"/>
        <v>6000</v>
      </c>
      <c r="S20" s="63">
        <f t="shared" si="42"/>
        <v>6000</v>
      </c>
      <c r="T20" s="63">
        <f t="shared" si="42"/>
        <v>6000</v>
      </c>
      <c r="U20" s="63">
        <f t="shared" si="42"/>
        <v>6000</v>
      </c>
      <c r="V20" s="63">
        <f t="shared" si="42"/>
        <v>6000</v>
      </c>
      <c r="W20" s="63">
        <f t="shared" si="42"/>
        <v>6000</v>
      </c>
      <c r="X20" s="63">
        <f t="shared" si="42"/>
        <v>6000</v>
      </c>
      <c r="Y20" s="63">
        <f t="shared" si="42"/>
        <v>6000</v>
      </c>
      <c r="Z20" s="63">
        <f t="shared" si="42"/>
        <v>6000</v>
      </c>
      <c r="AA20" s="63">
        <f t="shared" si="42"/>
        <v>6000</v>
      </c>
      <c r="AB20" s="63">
        <f t="shared" si="42"/>
        <v>6000</v>
      </c>
      <c r="AC20" s="63">
        <f t="shared" si="42"/>
        <v>6000</v>
      </c>
      <c r="AD20" s="63">
        <f t="shared" si="42"/>
        <v>6000</v>
      </c>
      <c r="AE20" s="63">
        <f t="shared" si="42"/>
        <v>6000</v>
      </c>
      <c r="AF20" s="63">
        <f t="shared" si="42"/>
        <v>6000</v>
      </c>
      <c r="AG20" s="63">
        <f t="shared" si="42"/>
        <v>6000</v>
      </c>
      <c r="AH20" s="63">
        <f t="shared" si="42"/>
        <v>6000</v>
      </c>
      <c r="AI20" s="63">
        <f t="shared" si="42"/>
        <v>6000</v>
      </c>
      <c r="AJ20" s="63">
        <f t="shared" si="42"/>
        <v>6000</v>
      </c>
      <c r="AK20" s="65">
        <f t="shared" si="1"/>
        <v>4740</v>
      </c>
      <c r="AL20" s="65">
        <f t="shared" si="4"/>
        <v>4740</v>
      </c>
      <c r="AM20" s="65">
        <f t="shared" si="5"/>
        <v>4740</v>
      </c>
      <c r="AN20" s="65">
        <f t="shared" si="6"/>
        <v>4740</v>
      </c>
      <c r="AO20" s="65">
        <f t="shared" si="7"/>
        <v>4740</v>
      </c>
      <c r="AP20" s="65">
        <f t="shared" si="8"/>
        <v>4740</v>
      </c>
      <c r="AQ20" s="65">
        <f t="shared" si="9"/>
        <v>4740</v>
      </c>
      <c r="AR20" s="65">
        <f t="shared" si="10"/>
        <v>4740</v>
      </c>
      <c r="AS20" s="65">
        <f t="shared" si="11"/>
        <v>4740</v>
      </c>
      <c r="AT20" s="65">
        <f t="shared" si="12"/>
        <v>4740</v>
      </c>
      <c r="AU20" s="65">
        <f t="shared" si="13"/>
        <v>4740</v>
      </c>
      <c r="AV20" s="65">
        <f t="shared" si="14"/>
        <v>4740</v>
      </c>
      <c r="AW20" s="65">
        <f t="shared" si="15"/>
        <v>4740</v>
      </c>
      <c r="AX20" s="65">
        <f t="shared" si="16"/>
        <v>4740</v>
      </c>
      <c r="AY20" s="65">
        <f t="shared" si="17"/>
        <v>4740</v>
      </c>
      <c r="AZ20" s="65">
        <f t="shared" si="18"/>
        <v>4740</v>
      </c>
      <c r="BA20" s="65">
        <f t="shared" si="19"/>
        <v>4740</v>
      </c>
      <c r="BB20" s="65">
        <f t="shared" si="20"/>
        <v>4740</v>
      </c>
      <c r="BC20" s="65">
        <f t="shared" si="21"/>
        <v>4740</v>
      </c>
      <c r="BD20" s="65">
        <f t="shared" si="22"/>
        <v>4740</v>
      </c>
      <c r="BE20" s="65">
        <f t="shared" si="23"/>
        <v>4740</v>
      </c>
      <c r="BF20" s="65">
        <f t="shared" si="24"/>
        <v>4740</v>
      </c>
      <c r="BG20" s="65">
        <f t="shared" si="25"/>
        <v>4740</v>
      </c>
      <c r="BH20" s="65">
        <f t="shared" si="26"/>
        <v>4740</v>
      </c>
      <c r="BI20" s="65">
        <f t="shared" si="27"/>
        <v>4740</v>
      </c>
      <c r="BJ20" s="65">
        <f t="shared" si="28"/>
        <v>4740</v>
      </c>
      <c r="BK20" s="65">
        <f t="shared" si="29"/>
        <v>4740</v>
      </c>
      <c r="BL20" s="65">
        <f t="shared" si="30"/>
        <v>4740</v>
      </c>
      <c r="BM20" s="65">
        <f t="shared" si="31"/>
        <v>4740</v>
      </c>
      <c r="BN20" s="65">
        <f t="shared" si="32"/>
        <v>4740</v>
      </c>
      <c r="BO20" s="66" t="s">
        <v>205</v>
      </c>
    </row>
    <row r="21" spans="1:67" ht="13.5" customHeight="1">
      <c r="A21" s="560" t="s">
        <v>203</v>
      </c>
      <c r="B21" s="560" t="s">
        <v>208</v>
      </c>
      <c r="C21" s="63" t="s">
        <v>209</v>
      </c>
      <c r="D21" s="561" t="s">
        <v>96</v>
      </c>
      <c r="E21" s="64" t="s">
        <v>204</v>
      </c>
      <c r="F21" s="63">
        <v>0.79</v>
      </c>
      <c r="G21" s="63">
        <f t="shared" ref="G21:AJ21" si="43">500*12</f>
        <v>6000</v>
      </c>
      <c r="H21" s="63">
        <f t="shared" si="43"/>
        <v>6000</v>
      </c>
      <c r="I21" s="63">
        <f t="shared" si="43"/>
        <v>6000</v>
      </c>
      <c r="J21" s="63">
        <f t="shared" si="43"/>
        <v>6000</v>
      </c>
      <c r="K21" s="63">
        <f t="shared" si="43"/>
        <v>6000</v>
      </c>
      <c r="L21" s="63">
        <f t="shared" si="43"/>
        <v>6000</v>
      </c>
      <c r="M21" s="63">
        <f t="shared" si="43"/>
        <v>6000</v>
      </c>
      <c r="N21" s="63">
        <f t="shared" si="43"/>
        <v>6000</v>
      </c>
      <c r="O21" s="63">
        <f t="shared" si="43"/>
        <v>6000</v>
      </c>
      <c r="P21" s="63">
        <f t="shared" si="43"/>
        <v>6000</v>
      </c>
      <c r="Q21" s="63">
        <f t="shared" si="43"/>
        <v>6000</v>
      </c>
      <c r="R21" s="63">
        <f t="shared" si="43"/>
        <v>6000</v>
      </c>
      <c r="S21" s="63">
        <f t="shared" si="43"/>
        <v>6000</v>
      </c>
      <c r="T21" s="63">
        <f t="shared" si="43"/>
        <v>6000</v>
      </c>
      <c r="U21" s="63">
        <f t="shared" si="43"/>
        <v>6000</v>
      </c>
      <c r="V21" s="63">
        <f t="shared" si="43"/>
        <v>6000</v>
      </c>
      <c r="W21" s="63">
        <f t="shared" si="43"/>
        <v>6000</v>
      </c>
      <c r="X21" s="63">
        <f t="shared" si="43"/>
        <v>6000</v>
      </c>
      <c r="Y21" s="63">
        <f t="shared" si="43"/>
        <v>6000</v>
      </c>
      <c r="Z21" s="63">
        <f t="shared" si="43"/>
        <v>6000</v>
      </c>
      <c r="AA21" s="63">
        <f t="shared" si="43"/>
        <v>6000</v>
      </c>
      <c r="AB21" s="63">
        <f t="shared" si="43"/>
        <v>6000</v>
      </c>
      <c r="AC21" s="63">
        <f t="shared" si="43"/>
        <v>6000</v>
      </c>
      <c r="AD21" s="63">
        <f t="shared" si="43"/>
        <v>6000</v>
      </c>
      <c r="AE21" s="63">
        <f t="shared" si="43"/>
        <v>6000</v>
      </c>
      <c r="AF21" s="63">
        <f t="shared" si="43"/>
        <v>6000</v>
      </c>
      <c r="AG21" s="63">
        <f t="shared" si="43"/>
        <v>6000</v>
      </c>
      <c r="AH21" s="63">
        <f t="shared" si="43"/>
        <v>6000</v>
      </c>
      <c r="AI21" s="63">
        <f t="shared" si="43"/>
        <v>6000</v>
      </c>
      <c r="AJ21" s="63">
        <f t="shared" si="43"/>
        <v>6000</v>
      </c>
      <c r="AK21" s="65">
        <f t="shared" si="1"/>
        <v>4740</v>
      </c>
      <c r="AL21" s="65">
        <f t="shared" si="4"/>
        <v>4740</v>
      </c>
      <c r="AM21" s="65">
        <f t="shared" si="5"/>
        <v>4740</v>
      </c>
      <c r="AN21" s="65">
        <f t="shared" si="6"/>
        <v>4740</v>
      </c>
      <c r="AO21" s="65">
        <f t="shared" si="7"/>
        <v>4740</v>
      </c>
      <c r="AP21" s="65">
        <f t="shared" si="8"/>
        <v>4740</v>
      </c>
      <c r="AQ21" s="65">
        <f t="shared" si="9"/>
        <v>4740</v>
      </c>
      <c r="AR21" s="65">
        <f t="shared" si="10"/>
        <v>4740</v>
      </c>
      <c r="AS21" s="65">
        <f t="shared" si="11"/>
        <v>4740</v>
      </c>
      <c r="AT21" s="65">
        <f t="shared" si="12"/>
        <v>4740</v>
      </c>
      <c r="AU21" s="65">
        <f t="shared" si="13"/>
        <v>4740</v>
      </c>
      <c r="AV21" s="65">
        <f t="shared" si="14"/>
        <v>4740</v>
      </c>
      <c r="AW21" s="65">
        <f t="shared" si="15"/>
        <v>4740</v>
      </c>
      <c r="AX21" s="65">
        <f t="shared" si="16"/>
        <v>4740</v>
      </c>
      <c r="AY21" s="65">
        <f t="shared" si="17"/>
        <v>4740</v>
      </c>
      <c r="AZ21" s="65">
        <f t="shared" si="18"/>
        <v>4740</v>
      </c>
      <c r="BA21" s="65">
        <f t="shared" si="19"/>
        <v>4740</v>
      </c>
      <c r="BB21" s="65">
        <f t="shared" si="20"/>
        <v>4740</v>
      </c>
      <c r="BC21" s="65">
        <f t="shared" si="21"/>
        <v>4740</v>
      </c>
      <c r="BD21" s="65">
        <f t="shared" si="22"/>
        <v>4740</v>
      </c>
      <c r="BE21" s="65">
        <f t="shared" si="23"/>
        <v>4740</v>
      </c>
      <c r="BF21" s="65">
        <f t="shared" si="24"/>
        <v>4740</v>
      </c>
      <c r="BG21" s="65">
        <f t="shared" si="25"/>
        <v>4740</v>
      </c>
      <c r="BH21" s="65">
        <f t="shared" si="26"/>
        <v>4740</v>
      </c>
      <c r="BI21" s="65">
        <f t="shared" si="27"/>
        <v>4740</v>
      </c>
      <c r="BJ21" s="65">
        <f t="shared" si="28"/>
        <v>4740</v>
      </c>
      <c r="BK21" s="65">
        <f t="shared" si="29"/>
        <v>4740</v>
      </c>
      <c r="BL21" s="65">
        <f t="shared" si="30"/>
        <v>4740</v>
      </c>
      <c r="BM21" s="65">
        <f t="shared" si="31"/>
        <v>4740</v>
      </c>
      <c r="BN21" s="65">
        <f t="shared" si="32"/>
        <v>4740</v>
      </c>
      <c r="BO21" s="66"/>
    </row>
    <row r="22" spans="1:67" ht="13.5" customHeight="1">
      <c r="A22" s="560" t="s">
        <v>203</v>
      </c>
      <c r="B22" s="560" t="s">
        <v>208</v>
      </c>
      <c r="C22" s="63" t="s">
        <v>209</v>
      </c>
      <c r="D22" s="561" t="s">
        <v>100</v>
      </c>
      <c r="E22" s="64" t="s">
        <v>204</v>
      </c>
      <c r="F22" s="63">
        <v>0.79</v>
      </c>
      <c r="G22" s="63">
        <f t="shared" ref="G22:AJ22" si="44">500*12</f>
        <v>6000</v>
      </c>
      <c r="H22" s="63">
        <f t="shared" si="44"/>
        <v>6000</v>
      </c>
      <c r="I22" s="63">
        <f t="shared" si="44"/>
        <v>6000</v>
      </c>
      <c r="J22" s="63">
        <f t="shared" si="44"/>
        <v>6000</v>
      </c>
      <c r="K22" s="63">
        <f t="shared" si="44"/>
        <v>6000</v>
      </c>
      <c r="L22" s="63">
        <f t="shared" si="44"/>
        <v>6000</v>
      </c>
      <c r="M22" s="63">
        <f t="shared" si="44"/>
        <v>6000</v>
      </c>
      <c r="N22" s="63">
        <f t="shared" si="44"/>
        <v>6000</v>
      </c>
      <c r="O22" s="63">
        <f t="shared" si="44"/>
        <v>6000</v>
      </c>
      <c r="P22" s="63">
        <f t="shared" si="44"/>
        <v>6000</v>
      </c>
      <c r="Q22" s="63">
        <f t="shared" si="44"/>
        <v>6000</v>
      </c>
      <c r="R22" s="63">
        <f t="shared" si="44"/>
        <v>6000</v>
      </c>
      <c r="S22" s="63">
        <f t="shared" si="44"/>
        <v>6000</v>
      </c>
      <c r="T22" s="63">
        <f t="shared" si="44"/>
        <v>6000</v>
      </c>
      <c r="U22" s="63">
        <f t="shared" si="44"/>
        <v>6000</v>
      </c>
      <c r="V22" s="63">
        <f t="shared" si="44"/>
        <v>6000</v>
      </c>
      <c r="W22" s="63">
        <f t="shared" si="44"/>
        <v>6000</v>
      </c>
      <c r="X22" s="63">
        <f t="shared" si="44"/>
        <v>6000</v>
      </c>
      <c r="Y22" s="63">
        <f t="shared" si="44"/>
        <v>6000</v>
      </c>
      <c r="Z22" s="63">
        <f t="shared" si="44"/>
        <v>6000</v>
      </c>
      <c r="AA22" s="63">
        <f t="shared" si="44"/>
        <v>6000</v>
      </c>
      <c r="AB22" s="63">
        <f t="shared" si="44"/>
        <v>6000</v>
      </c>
      <c r="AC22" s="63">
        <f t="shared" si="44"/>
        <v>6000</v>
      </c>
      <c r="AD22" s="63">
        <f t="shared" si="44"/>
        <v>6000</v>
      </c>
      <c r="AE22" s="63">
        <f t="shared" si="44"/>
        <v>6000</v>
      </c>
      <c r="AF22" s="63">
        <f t="shared" si="44"/>
        <v>6000</v>
      </c>
      <c r="AG22" s="63">
        <f t="shared" si="44"/>
        <v>6000</v>
      </c>
      <c r="AH22" s="63">
        <f t="shared" si="44"/>
        <v>6000</v>
      </c>
      <c r="AI22" s="63">
        <f t="shared" si="44"/>
        <v>6000</v>
      </c>
      <c r="AJ22" s="63">
        <f t="shared" si="44"/>
        <v>6000</v>
      </c>
      <c r="AK22" s="65">
        <f t="shared" si="1"/>
        <v>4740</v>
      </c>
      <c r="AL22" s="65">
        <f t="shared" si="4"/>
        <v>4740</v>
      </c>
      <c r="AM22" s="65">
        <f t="shared" si="5"/>
        <v>4740</v>
      </c>
      <c r="AN22" s="65">
        <f t="shared" si="6"/>
        <v>4740</v>
      </c>
      <c r="AO22" s="65">
        <f t="shared" si="7"/>
        <v>4740</v>
      </c>
      <c r="AP22" s="65">
        <f t="shared" si="8"/>
        <v>4740</v>
      </c>
      <c r="AQ22" s="65">
        <f t="shared" si="9"/>
        <v>4740</v>
      </c>
      <c r="AR22" s="65">
        <f t="shared" si="10"/>
        <v>4740</v>
      </c>
      <c r="AS22" s="65">
        <f t="shared" si="11"/>
        <v>4740</v>
      </c>
      <c r="AT22" s="65">
        <f t="shared" si="12"/>
        <v>4740</v>
      </c>
      <c r="AU22" s="65">
        <f t="shared" si="13"/>
        <v>4740</v>
      </c>
      <c r="AV22" s="65">
        <f t="shared" si="14"/>
        <v>4740</v>
      </c>
      <c r="AW22" s="65">
        <f t="shared" si="15"/>
        <v>4740</v>
      </c>
      <c r="AX22" s="65">
        <f t="shared" si="16"/>
        <v>4740</v>
      </c>
      <c r="AY22" s="65">
        <f t="shared" si="17"/>
        <v>4740</v>
      </c>
      <c r="AZ22" s="65">
        <f t="shared" si="18"/>
        <v>4740</v>
      </c>
      <c r="BA22" s="65">
        <f t="shared" si="19"/>
        <v>4740</v>
      </c>
      <c r="BB22" s="65">
        <f t="shared" si="20"/>
        <v>4740</v>
      </c>
      <c r="BC22" s="65">
        <f t="shared" si="21"/>
        <v>4740</v>
      </c>
      <c r="BD22" s="65">
        <f t="shared" si="22"/>
        <v>4740</v>
      </c>
      <c r="BE22" s="65">
        <f t="shared" si="23"/>
        <v>4740</v>
      </c>
      <c r="BF22" s="65">
        <f t="shared" si="24"/>
        <v>4740</v>
      </c>
      <c r="BG22" s="65">
        <f t="shared" si="25"/>
        <v>4740</v>
      </c>
      <c r="BH22" s="65">
        <f t="shared" si="26"/>
        <v>4740</v>
      </c>
      <c r="BI22" s="65">
        <f t="shared" si="27"/>
        <v>4740</v>
      </c>
      <c r="BJ22" s="65">
        <f t="shared" si="28"/>
        <v>4740</v>
      </c>
      <c r="BK22" s="65">
        <f t="shared" si="29"/>
        <v>4740</v>
      </c>
      <c r="BL22" s="65">
        <f t="shared" si="30"/>
        <v>4740</v>
      </c>
      <c r="BM22" s="65">
        <f t="shared" si="31"/>
        <v>4740</v>
      </c>
      <c r="BN22" s="65">
        <f t="shared" si="32"/>
        <v>4740</v>
      </c>
      <c r="BO22" s="66"/>
    </row>
    <row r="23" spans="1:67" ht="13.5" customHeight="1">
      <c r="A23" s="560" t="s">
        <v>203</v>
      </c>
      <c r="B23" s="560" t="s">
        <v>208</v>
      </c>
      <c r="C23" s="63" t="s">
        <v>209</v>
      </c>
      <c r="D23" s="561" t="s">
        <v>101</v>
      </c>
      <c r="E23" s="64" t="s">
        <v>204</v>
      </c>
      <c r="F23" s="63">
        <v>0.79</v>
      </c>
      <c r="G23" s="63">
        <f t="shared" ref="G23:AJ23" si="45">1000*12</f>
        <v>12000</v>
      </c>
      <c r="H23" s="63">
        <f t="shared" si="45"/>
        <v>12000</v>
      </c>
      <c r="I23" s="63">
        <f t="shared" si="45"/>
        <v>12000</v>
      </c>
      <c r="J23" s="63">
        <f t="shared" si="45"/>
        <v>12000</v>
      </c>
      <c r="K23" s="63">
        <f t="shared" si="45"/>
        <v>12000</v>
      </c>
      <c r="L23" s="63">
        <f t="shared" si="45"/>
        <v>12000</v>
      </c>
      <c r="M23" s="63">
        <f t="shared" si="45"/>
        <v>12000</v>
      </c>
      <c r="N23" s="63">
        <f t="shared" si="45"/>
        <v>12000</v>
      </c>
      <c r="O23" s="63">
        <f t="shared" si="45"/>
        <v>12000</v>
      </c>
      <c r="P23" s="63">
        <f t="shared" si="45"/>
        <v>12000</v>
      </c>
      <c r="Q23" s="63">
        <f t="shared" si="45"/>
        <v>12000</v>
      </c>
      <c r="R23" s="63">
        <f t="shared" si="45"/>
        <v>12000</v>
      </c>
      <c r="S23" s="63">
        <f t="shared" si="45"/>
        <v>12000</v>
      </c>
      <c r="T23" s="63">
        <f t="shared" si="45"/>
        <v>12000</v>
      </c>
      <c r="U23" s="63">
        <f t="shared" si="45"/>
        <v>12000</v>
      </c>
      <c r="V23" s="63">
        <f t="shared" si="45"/>
        <v>12000</v>
      </c>
      <c r="W23" s="63">
        <f t="shared" si="45"/>
        <v>12000</v>
      </c>
      <c r="X23" s="63">
        <f t="shared" si="45"/>
        <v>12000</v>
      </c>
      <c r="Y23" s="63">
        <f t="shared" si="45"/>
        <v>12000</v>
      </c>
      <c r="Z23" s="63">
        <f t="shared" si="45"/>
        <v>12000</v>
      </c>
      <c r="AA23" s="63">
        <f t="shared" si="45"/>
        <v>12000</v>
      </c>
      <c r="AB23" s="63">
        <f t="shared" si="45"/>
        <v>12000</v>
      </c>
      <c r="AC23" s="63">
        <f t="shared" si="45"/>
        <v>12000</v>
      </c>
      <c r="AD23" s="63">
        <f t="shared" si="45"/>
        <v>12000</v>
      </c>
      <c r="AE23" s="63">
        <f t="shared" si="45"/>
        <v>12000</v>
      </c>
      <c r="AF23" s="63">
        <f t="shared" si="45"/>
        <v>12000</v>
      </c>
      <c r="AG23" s="63">
        <f t="shared" si="45"/>
        <v>12000</v>
      </c>
      <c r="AH23" s="63">
        <f t="shared" si="45"/>
        <v>12000</v>
      </c>
      <c r="AI23" s="63">
        <f t="shared" si="45"/>
        <v>12000</v>
      </c>
      <c r="AJ23" s="63">
        <f t="shared" si="45"/>
        <v>12000</v>
      </c>
      <c r="AK23" s="65">
        <f t="shared" si="1"/>
        <v>9480</v>
      </c>
      <c r="AL23" s="65">
        <f t="shared" si="4"/>
        <v>9480</v>
      </c>
      <c r="AM23" s="65">
        <f t="shared" si="5"/>
        <v>9480</v>
      </c>
      <c r="AN23" s="65">
        <f t="shared" si="6"/>
        <v>9480</v>
      </c>
      <c r="AO23" s="65">
        <f t="shared" si="7"/>
        <v>9480</v>
      </c>
      <c r="AP23" s="65">
        <f t="shared" si="8"/>
        <v>9480</v>
      </c>
      <c r="AQ23" s="65">
        <f t="shared" si="9"/>
        <v>9480</v>
      </c>
      <c r="AR23" s="65">
        <f t="shared" si="10"/>
        <v>9480</v>
      </c>
      <c r="AS23" s="65">
        <f t="shared" si="11"/>
        <v>9480</v>
      </c>
      <c r="AT23" s="65">
        <f t="shared" si="12"/>
        <v>9480</v>
      </c>
      <c r="AU23" s="65">
        <f t="shared" si="13"/>
        <v>9480</v>
      </c>
      <c r="AV23" s="65">
        <f t="shared" si="14"/>
        <v>9480</v>
      </c>
      <c r="AW23" s="65">
        <f t="shared" si="15"/>
        <v>9480</v>
      </c>
      <c r="AX23" s="65">
        <f t="shared" si="16"/>
        <v>9480</v>
      </c>
      <c r="AY23" s="65">
        <f t="shared" si="17"/>
        <v>9480</v>
      </c>
      <c r="AZ23" s="65">
        <f t="shared" si="18"/>
        <v>9480</v>
      </c>
      <c r="BA23" s="65">
        <f t="shared" si="19"/>
        <v>9480</v>
      </c>
      <c r="BB23" s="65">
        <f t="shared" si="20"/>
        <v>9480</v>
      </c>
      <c r="BC23" s="65">
        <f t="shared" si="21"/>
        <v>9480</v>
      </c>
      <c r="BD23" s="65">
        <f t="shared" si="22"/>
        <v>9480</v>
      </c>
      <c r="BE23" s="65">
        <f t="shared" si="23"/>
        <v>9480</v>
      </c>
      <c r="BF23" s="65">
        <f t="shared" si="24"/>
        <v>9480</v>
      </c>
      <c r="BG23" s="65">
        <f t="shared" si="25"/>
        <v>9480</v>
      </c>
      <c r="BH23" s="65">
        <f t="shared" si="26"/>
        <v>9480</v>
      </c>
      <c r="BI23" s="65">
        <f t="shared" si="27"/>
        <v>9480</v>
      </c>
      <c r="BJ23" s="65">
        <f t="shared" si="28"/>
        <v>9480</v>
      </c>
      <c r="BK23" s="65">
        <f t="shared" si="29"/>
        <v>9480</v>
      </c>
      <c r="BL23" s="65">
        <f t="shared" si="30"/>
        <v>9480</v>
      </c>
      <c r="BM23" s="65">
        <f t="shared" si="31"/>
        <v>9480</v>
      </c>
      <c r="BN23" s="65">
        <f t="shared" si="32"/>
        <v>9480</v>
      </c>
      <c r="BO23" s="66"/>
    </row>
    <row r="24" spans="1:67" ht="13.5" customHeight="1">
      <c r="A24" s="560" t="s">
        <v>203</v>
      </c>
      <c r="B24" s="560" t="s">
        <v>208</v>
      </c>
      <c r="C24" s="63" t="s">
        <v>209</v>
      </c>
      <c r="D24" s="561" t="s">
        <v>102</v>
      </c>
      <c r="E24" s="64" t="s">
        <v>204</v>
      </c>
      <c r="F24" s="63">
        <v>0.79</v>
      </c>
      <c r="G24" s="63">
        <f t="shared" ref="G24:AJ24" si="46">1000*12</f>
        <v>12000</v>
      </c>
      <c r="H24" s="63">
        <f t="shared" si="46"/>
        <v>12000</v>
      </c>
      <c r="I24" s="63">
        <f t="shared" si="46"/>
        <v>12000</v>
      </c>
      <c r="J24" s="63">
        <f t="shared" si="46"/>
        <v>12000</v>
      </c>
      <c r="K24" s="63">
        <f t="shared" si="46"/>
        <v>12000</v>
      </c>
      <c r="L24" s="63">
        <f t="shared" si="46"/>
        <v>12000</v>
      </c>
      <c r="M24" s="63">
        <f t="shared" si="46"/>
        <v>12000</v>
      </c>
      <c r="N24" s="63">
        <f t="shared" si="46"/>
        <v>12000</v>
      </c>
      <c r="O24" s="63">
        <f t="shared" si="46"/>
        <v>12000</v>
      </c>
      <c r="P24" s="63">
        <f t="shared" si="46"/>
        <v>12000</v>
      </c>
      <c r="Q24" s="63">
        <f t="shared" si="46"/>
        <v>12000</v>
      </c>
      <c r="R24" s="63">
        <f t="shared" si="46"/>
        <v>12000</v>
      </c>
      <c r="S24" s="63">
        <f t="shared" si="46"/>
        <v>12000</v>
      </c>
      <c r="T24" s="63">
        <f t="shared" si="46"/>
        <v>12000</v>
      </c>
      <c r="U24" s="63">
        <f t="shared" si="46"/>
        <v>12000</v>
      </c>
      <c r="V24" s="63">
        <f t="shared" si="46"/>
        <v>12000</v>
      </c>
      <c r="W24" s="63">
        <f t="shared" si="46"/>
        <v>12000</v>
      </c>
      <c r="X24" s="63">
        <f t="shared" si="46"/>
        <v>12000</v>
      </c>
      <c r="Y24" s="63">
        <f t="shared" si="46"/>
        <v>12000</v>
      </c>
      <c r="Z24" s="63">
        <f t="shared" si="46"/>
        <v>12000</v>
      </c>
      <c r="AA24" s="63">
        <f t="shared" si="46"/>
        <v>12000</v>
      </c>
      <c r="AB24" s="63">
        <f t="shared" si="46"/>
        <v>12000</v>
      </c>
      <c r="AC24" s="63">
        <f t="shared" si="46"/>
        <v>12000</v>
      </c>
      <c r="AD24" s="63">
        <f t="shared" si="46"/>
        <v>12000</v>
      </c>
      <c r="AE24" s="63">
        <f t="shared" si="46"/>
        <v>12000</v>
      </c>
      <c r="AF24" s="63">
        <f t="shared" si="46"/>
        <v>12000</v>
      </c>
      <c r="AG24" s="63">
        <f t="shared" si="46"/>
        <v>12000</v>
      </c>
      <c r="AH24" s="63">
        <f t="shared" si="46"/>
        <v>12000</v>
      </c>
      <c r="AI24" s="63">
        <f t="shared" si="46"/>
        <v>12000</v>
      </c>
      <c r="AJ24" s="63">
        <f t="shared" si="46"/>
        <v>12000</v>
      </c>
      <c r="AK24" s="65">
        <f t="shared" si="1"/>
        <v>9480</v>
      </c>
      <c r="AL24" s="65">
        <f t="shared" si="4"/>
        <v>9480</v>
      </c>
      <c r="AM24" s="65">
        <f t="shared" si="5"/>
        <v>9480</v>
      </c>
      <c r="AN24" s="65">
        <f t="shared" si="6"/>
        <v>9480</v>
      </c>
      <c r="AO24" s="65">
        <f t="shared" si="7"/>
        <v>9480</v>
      </c>
      <c r="AP24" s="65">
        <f t="shared" si="8"/>
        <v>9480</v>
      </c>
      <c r="AQ24" s="65">
        <f t="shared" si="9"/>
        <v>9480</v>
      </c>
      <c r="AR24" s="65">
        <f t="shared" si="10"/>
        <v>9480</v>
      </c>
      <c r="AS24" s="65">
        <f t="shared" si="11"/>
        <v>9480</v>
      </c>
      <c r="AT24" s="65">
        <f t="shared" si="12"/>
        <v>9480</v>
      </c>
      <c r="AU24" s="65">
        <f t="shared" si="13"/>
        <v>9480</v>
      </c>
      <c r="AV24" s="65">
        <f t="shared" si="14"/>
        <v>9480</v>
      </c>
      <c r="AW24" s="65">
        <f t="shared" si="15"/>
        <v>9480</v>
      </c>
      <c r="AX24" s="65">
        <f t="shared" si="16"/>
        <v>9480</v>
      </c>
      <c r="AY24" s="65">
        <f t="shared" si="17"/>
        <v>9480</v>
      </c>
      <c r="AZ24" s="65">
        <f t="shared" si="18"/>
        <v>9480</v>
      </c>
      <c r="BA24" s="65">
        <f t="shared" si="19"/>
        <v>9480</v>
      </c>
      <c r="BB24" s="65">
        <f t="shared" si="20"/>
        <v>9480</v>
      </c>
      <c r="BC24" s="65">
        <f t="shared" si="21"/>
        <v>9480</v>
      </c>
      <c r="BD24" s="65">
        <f t="shared" si="22"/>
        <v>9480</v>
      </c>
      <c r="BE24" s="65">
        <f t="shared" si="23"/>
        <v>9480</v>
      </c>
      <c r="BF24" s="65">
        <f t="shared" si="24"/>
        <v>9480</v>
      </c>
      <c r="BG24" s="65">
        <f t="shared" si="25"/>
        <v>9480</v>
      </c>
      <c r="BH24" s="65">
        <f t="shared" si="26"/>
        <v>9480</v>
      </c>
      <c r="BI24" s="65">
        <f t="shared" si="27"/>
        <v>9480</v>
      </c>
      <c r="BJ24" s="65">
        <f t="shared" si="28"/>
        <v>9480</v>
      </c>
      <c r="BK24" s="65">
        <f t="shared" si="29"/>
        <v>9480</v>
      </c>
      <c r="BL24" s="65">
        <f t="shared" si="30"/>
        <v>9480</v>
      </c>
      <c r="BM24" s="65">
        <f t="shared" si="31"/>
        <v>9480</v>
      </c>
      <c r="BN24" s="65">
        <f t="shared" si="32"/>
        <v>9480</v>
      </c>
      <c r="BO24" s="66"/>
    </row>
    <row r="25" spans="1:67" ht="13.5" customHeight="1">
      <c r="A25" s="560" t="s">
        <v>203</v>
      </c>
      <c r="B25" s="560" t="s">
        <v>208</v>
      </c>
      <c r="C25" s="63" t="s">
        <v>209</v>
      </c>
      <c r="D25" s="561"/>
      <c r="E25" s="64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5">
        <f t="shared" si="1"/>
        <v>0</v>
      </c>
      <c r="AL25" s="65">
        <f t="shared" si="4"/>
        <v>0</v>
      </c>
      <c r="AM25" s="65">
        <f t="shared" si="5"/>
        <v>0</v>
      </c>
      <c r="AN25" s="65">
        <f t="shared" si="6"/>
        <v>0</v>
      </c>
      <c r="AO25" s="65">
        <f t="shared" si="7"/>
        <v>0</v>
      </c>
      <c r="AP25" s="65">
        <f t="shared" si="8"/>
        <v>0</v>
      </c>
      <c r="AQ25" s="65">
        <f t="shared" si="9"/>
        <v>0</v>
      </c>
      <c r="AR25" s="65">
        <f t="shared" si="10"/>
        <v>0</v>
      </c>
      <c r="AS25" s="65">
        <f t="shared" si="11"/>
        <v>0</v>
      </c>
      <c r="AT25" s="65">
        <f t="shared" si="12"/>
        <v>0</v>
      </c>
      <c r="AU25" s="65">
        <f t="shared" si="13"/>
        <v>0</v>
      </c>
      <c r="AV25" s="65">
        <f t="shared" si="14"/>
        <v>0</v>
      </c>
      <c r="AW25" s="65">
        <f t="shared" si="15"/>
        <v>0</v>
      </c>
      <c r="AX25" s="65">
        <f t="shared" si="16"/>
        <v>0</v>
      </c>
      <c r="AY25" s="65">
        <f t="shared" si="17"/>
        <v>0</v>
      </c>
      <c r="AZ25" s="65">
        <f t="shared" si="18"/>
        <v>0</v>
      </c>
      <c r="BA25" s="65">
        <f t="shared" si="19"/>
        <v>0</v>
      </c>
      <c r="BB25" s="65">
        <f t="shared" si="20"/>
        <v>0</v>
      </c>
      <c r="BC25" s="65">
        <f t="shared" si="21"/>
        <v>0</v>
      </c>
      <c r="BD25" s="65">
        <f t="shared" si="22"/>
        <v>0</v>
      </c>
      <c r="BE25" s="65">
        <f t="shared" si="23"/>
        <v>0</v>
      </c>
      <c r="BF25" s="65">
        <f t="shared" si="24"/>
        <v>0</v>
      </c>
      <c r="BG25" s="65">
        <f t="shared" si="25"/>
        <v>0</v>
      </c>
      <c r="BH25" s="65">
        <f t="shared" si="26"/>
        <v>0</v>
      </c>
      <c r="BI25" s="65">
        <f t="shared" si="27"/>
        <v>0</v>
      </c>
      <c r="BJ25" s="65">
        <f t="shared" si="28"/>
        <v>0</v>
      </c>
      <c r="BK25" s="65">
        <f t="shared" si="29"/>
        <v>0</v>
      </c>
      <c r="BL25" s="65">
        <f t="shared" si="30"/>
        <v>0</v>
      </c>
      <c r="BM25" s="65">
        <f t="shared" si="31"/>
        <v>0</v>
      </c>
      <c r="BN25" s="65">
        <f t="shared" si="32"/>
        <v>0</v>
      </c>
      <c r="BO25" s="66"/>
    </row>
    <row r="26" spans="1:67" ht="13.5" customHeight="1">
      <c r="A26" s="560"/>
      <c r="B26" s="560"/>
      <c r="C26" s="63"/>
      <c r="D26" s="561"/>
      <c r="E26" s="69"/>
      <c r="F26" s="70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  <c r="AG26" s="71"/>
      <c r="AH26" s="71"/>
      <c r="AI26" s="71"/>
      <c r="AJ26" s="71"/>
      <c r="AK26" s="65">
        <f t="shared" si="1"/>
        <v>0</v>
      </c>
      <c r="AL26" s="65">
        <f t="shared" si="4"/>
        <v>0</v>
      </c>
      <c r="AM26" s="65">
        <f t="shared" si="5"/>
        <v>0</v>
      </c>
      <c r="AN26" s="65">
        <f t="shared" si="6"/>
        <v>0</v>
      </c>
      <c r="AO26" s="65">
        <f t="shared" si="7"/>
        <v>0</v>
      </c>
      <c r="AP26" s="65">
        <f t="shared" si="8"/>
        <v>0</v>
      </c>
      <c r="AQ26" s="65">
        <f t="shared" si="9"/>
        <v>0</v>
      </c>
      <c r="AR26" s="65">
        <f t="shared" si="10"/>
        <v>0</v>
      </c>
      <c r="AS26" s="65">
        <f t="shared" si="11"/>
        <v>0</v>
      </c>
      <c r="AT26" s="65">
        <f t="shared" si="12"/>
        <v>0</v>
      </c>
      <c r="AU26" s="65">
        <f t="shared" si="13"/>
        <v>0</v>
      </c>
      <c r="AV26" s="65">
        <f t="shared" si="14"/>
        <v>0</v>
      </c>
      <c r="AW26" s="65">
        <f t="shared" si="15"/>
        <v>0</v>
      </c>
      <c r="AX26" s="65">
        <f t="shared" si="16"/>
        <v>0</v>
      </c>
      <c r="AY26" s="65">
        <f t="shared" si="17"/>
        <v>0</v>
      </c>
      <c r="AZ26" s="65">
        <f t="shared" si="18"/>
        <v>0</v>
      </c>
      <c r="BA26" s="65">
        <f t="shared" si="19"/>
        <v>0</v>
      </c>
      <c r="BB26" s="65">
        <f t="shared" si="20"/>
        <v>0</v>
      </c>
      <c r="BC26" s="65">
        <f t="shared" si="21"/>
        <v>0</v>
      </c>
      <c r="BD26" s="65">
        <f t="shared" si="22"/>
        <v>0</v>
      </c>
      <c r="BE26" s="65">
        <f t="shared" si="23"/>
        <v>0</v>
      </c>
      <c r="BF26" s="65">
        <f t="shared" si="24"/>
        <v>0</v>
      </c>
      <c r="BG26" s="65">
        <f t="shared" si="25"/>
        <v>0</v>
      </c>
      <c r="BH26" s="65">
        <f t="shared" si="26"/>
        <v>0</v>
      </c>
      <c r="BI26" s="65">
        <f t="shared" si="27"/>
        <v>0</v>
      </c>
      <c r="BJ26" s="65">
        <f t="shared" si="28"/>
        <v>0</v>
      </c>
      <c r="BK26" s="65">
        <f t="shared" si="29"/>
        <v>0</v>
      </c>
      <c r="BL26" s="65">
        <f t="shared" si="30"/>
        <v>0</v>
      </c>
      <c r="BM26" s="65">
        <f t="shared" si="31"/>
        <v>0</v>
      </c>
      <c r="BN26" s="65">
        <f t="shared" si="32"/>
        <v>0</v>
      </c>
      <c r="BO26" s="66"/>
    </row>
    <row r="27" spans="1:67" ht="13.5" customHeight="1">
      <c r="A27" s="560" t="s">
        <v>210</v>
      </c>
      <c r="B27" s="560" t="s">
        <v>208</v>
      </c>
      <c r="C27" s="63" t="s">
        <v>209</v>
      </c>
      <c r="D27" s="561" t="s">
        <v>79</v>
      </c>
      <c r="E27" s="64" t="s">
        <v>204</v>
      </c>
      <c r="F27" s="63">
        <v>1.22</v>
      </c>
      <c r="G27" s="71">
        <f t="shared" ref="G27:AJ27" si="47">5*365</f>
        <v>1825</v>
      </c>
      <c r="H27" s="71">
        <f t="shared" si="47"/>
        <v>1825</v>
      </c>
      <c r="I27" s="71">
        <f t="shared" si="47"/>
        <v>1825</v>
      </c>
      <c r="J27" s="71">
        <f t="shared" si="47"/>
        <v>1825</v>
      </c>
      <c r="K27" s="71">
        <f t="shared" si="47"/>
        <v>1825</v>
      </c>
      <c r="L27" s="71">
        <f t="shared" si="47"/>
        <v>1825</v>
      </c>
      <c r="M27" s="71">
        <f t="shared" si="47"/>
        <v>1825</v>
      </c>
      <c r="N27" s="71">
        <f t="shared" si="47"/>
        <v>1825</v>
      </c>
      <c r="O27" s="71">
        <f t="shared" si="47"/>
        <v>1825</v>
      </c>
      <c r="P27" s="71">
        <f t="shared" si="47"/>
        <v>1825</v>
      </c>
      <c r="Q27" s="71">
        <f t="shared" si="47"/>
        <v>1825</v>
      </c>
      <c r="R27" s="71">
        <f t="shared" si="47"/>
        <v>1825</v>
      </c>
      <c r="S27" s="71">
        <f t="shared" si="47"/>
        <v>1825</v>
      </c>
      <c r="T27" s="71">
        <f t="shared" si="47"/>
        <v>1825</v>
      </c>
      <c r="U27" s="71">
        <f t="shared" si="47"/>
        <v>1825</v>
      </c>
      <c r="V27" s="71">
        <f t="shared" si="47"/>
        <v>1825</v>
      </c>
      <c r="W27" s="71">
        <f t="shared" si="47"/>
        <v>1825</v>
      </c>
      <c r="X27" s="71">
        <f t="shared" si="47"/>
        <v>1825</v>
      </c>
      <c r="Y27" s="71">
        <f t="shared" si="47"/>
        <v>1825</v>
      </c>
      <c r="Z27" s="71">
        <f t="shared" si="47"/>
        <v>1825</v>
      </c>
      <c r="AA27" s="71">
        <f t="shared" si="47"/>
        <v>1825</v>
      </c>
      <c r="AB27" s="71">
        <f t="shared" si="47"/>
        <v>1825</v>
      </c>
      <c r="AC27" s="71">
        <f t="shared" si="47"/>
        <v>1825</v>
      </c>
      <c r="AD27" s="71">
        <f t="shared" si="47"/>
        <v>1825</v>
      </c>
      <c r="AE27" s="71">
        <f t="shared" si="47"/>
        <v>1825</v>
      </c>
      <c r="AF27" s="71">
        <f t="shared" si="47"/>
        <v>1825</v>
      </c>
      <c r="AG27" s="71">
        <f t="shared" si="47"/>
        <v>1825</v>
      </c>
      <c r="AH27" s="71">
        <f t="shared" si="47"/>
        <v>1825</v>
      </c>
      <c r="AI27" s="71">
        <f t="shared" si="47"/>
        <v>1825</v>
      </c>
      <c r="AJ27" s="71">
        <f t="shared" si="47"/>
        <v>1825</v>
      </c>
      <c r="AK27" s="65">
        <f t="shared" si="1"/>
        <v>2226.5</v>
      </c>
      <c r="AL27" s="65">
        <f t="shared" si="4"/>
        <v>2226.5</v>
      </c>
      <c r="AM27" s="65">
        <f t="shared" si="5"/>
        <v>2226.5</v>
      </c>
      <c r="AN27" s="65">
        <f t="shared" si="6"/>
        <v>2226.5</v>
      </c>
      <c r="AO27" s="65">
        <f t="shared" si="7"/>
        <v>2226.5</v>
      </c>
      <c r="AP27" s="65">
        <f t="shared" si="8"/>
        <v>2226.5</v>
      </c>
      <c r="AQ27" s="65">
        <f t="shared" si="9"/>
        <v>2226.5</v>
      </c>
      <c r="AR27" s="65">
        <f t="shared" si="10"/>
        <v>2226.5</v>
      </c>
      <c r="AS27" s="65">
        <f t="shared" si="11"/>
        <v>2226.5</v>
      </c>
      <c r="AT27" s="65">
        <f t="shared" si="12"/>
        <v>2226.5</v>
      </c>
      <c r="AU27" s="65">
        <f t="shared" si="13"/>
        <v>2226.5</v>
      </c>
      <c r="AV27" s="65">
        <f t="shared" si="14"/>
        <v>2226.5</v>
      </c>
      <c r="AW27" s="65">
        <f t="shared" si="15"/>
        <v>2226.5</v>
      </c>
      <c r="AX27" s="65">
        <f t="shared" si="16"/>
        <v>2226.5</v>
      </c>
      <c r="AY27" s="65">
        <f t="shared" si="17"/>
        <v>2226.5</v>
      </c>
      <c r="AZ27" s="65">
        <f t="shared" si="18"/>
        <v>2226.5</v>
      </c>
      <c r="BA27" s="65">
        <f t="shared" si="19"/>
        <v>2226.5</v>
      </c>
      <c r="BB27" s="65">
        <f t="shared" si="20"/>
        <v>2226.5</v>
      </c>
      <c r="BC27" s="65">
        <f t="shared" si="21"/>
        <v>2226.5</v>
      </c>
      <c r="BD27" s="65">
        <f t="shared" si="22"/>
        <v>2226.5</v>
      </c>
      <c r="BE27" s="65">
        <f t="shared" si="23"/>
        <v>2226.5</v>
      </c>
      <c r="BF27" s="65">
        <f t="shared" si="24"/>
        <v>2226.5</v>
      </c>
      <c r="BG27" s="65">
        <f t="shared" si="25"/>
        <v>2226.5</v>
      </c>
      <c r="BH27" s="65">
        <f t="shared" si="26"/>
        <v>2226.5</v>
      </c>
      <c r="BI27" s="65">
        <f t="shared" si="27"/>
        <v>2226.5</v>
      </c>
      <c r="BJ27" s="65">
        <f t="shared" si="28"/>
        <v>2226.5</v>
      </c>
      <c r="BK27" s="65">
        <f t="shared" si="29"/>
        <v>2226.5</v>
      </c>
      <c r="BL27" s="65">
        <f t="shared" si="30"/>
        <v>2226.5</v>
      </c>
      <c r="BM27" s="65">
        <f t="shared" si="31"/>
        <v>2226.5</v>
      </c>
      <c r="BN27" s="65">
        <f t="shared" si="32"/>
        <v>2226.5</v>
      </c>
      <c r="BO27" s="66" t="s">
        <v>211</v>
      </c>
    </row>
    <row r="28" spans="1:67" ht="13.5" customHeight="1">
      <c r="A28" s="560" t="s">
        <v>210</v>
      </c>
      <c r="B28" s="560" t="s">
        <v>208</v>
      </c>
      <c r="C28" s="63" t="s">
        <v>209</v>
      </c>
      <c r="D28" s="561" t="s">
        <v>83</v>
      </c>
      <c r="E28" s="64" t="s">
        <v>204</v>
      </c>
      <c r="F28" s="63">
        <v>1.22</v>
      </c>
      <c r="G28" s="71">
        <f t="shared" ref="G28:AJ28" si="48">5*365</f>
        <v>1825</v>
      </c>
      <c r="H28" s="71">
        <f t="shared" si="48"/>
        <v>1825</v>
      </c>
      <c r="I28" s="71">
        <f t="shared" si="48"/>
        <v>1825</v>
      </c>
      <c r="J28" s="71">
        <f t="shared" si="48"/>
        <v>1825</v>
      </c>
      <c r="K28" s="71">
        <f t="shared" si="48"/>
        <v>1825</v>
      </c>
      <c r="L28" s="71">
        <f t="shared" si="48"/>
        <v>1825</v>
      </c>
      <c r="M28" s="71">
        <f t="shared" si="48"/>
        <v>1825</v>
      </c>
      <c r="N28" s="71">
        <f t="shared" si="48"/>
        <v>1825</v>
      </c>
      <c r="O28" s="71">
        <f t="shared" si="48"/>
        <v>1825</v>
      </c>
      <c r="P28" s="71">
        <f t="shared" si="48"/>
        <v>1825</v>
      </c>
      <c r="Q28" s="71">
        <f t="shared" si="48"/>
        <v>1825</v>
      </c>
      <c r="R28" s="71">
        <f t="shared" si="48"/>
        <v>1825</v>
      </c>
      <c r="S28" s="71">
        <f t="shared" si="48"/>
        <v>1825</v>
      </c>
      <c r="T28" s="71">
        <f t="shared" si="48"/>
        <v>1825</v>
      </c>
      <c r="U28" s="71">
        <f t="shared" si="48"/>
        <v>1825</v>
      </c>
      <c r="V28" s="71">
        <f t="shared" si="48"/>
        <v>1825</v>
      </c>
      <c r="W28" s="71">
        <f t="shared" si="48"/>
        <v>1825</v>
      </c>
      <c r="X28" s="71">
        <f t="shared" si="48"/>
        <v>1825</v>
      </c>
      <c r="Y28" s="71">
        <f t="shared" si="48"/>
        <v>1825</v>
      </c>
      <c r="Z28" s="71">
        <f t="shared" si="48"/>
        <v>1825</v>
      </c>
      <c r="AA28" s="71">
        <f t="shared" si="48"/>
        <v>1825</v>
      </c>
      <c r="AB28" s="71">
        <f t="shared" si="48"/>
        <v>1825</v>
      </c>
      <c r="AC28" s="71">
        <f t="shared" si="48"/>
        <v>1825</v>
      </c>
      <c r="AD28" s="71">
        <f t="shared" si="48"/>
        <v>1825</v>
      </c>
      <c r="AE28" s="71">
        <f t="shared" si="48"/>
        <v>1825</v>
      </c>
      <c r="AF28" s="71">
        <f t="shared" si="48"/>
        <v>1825</v>
      </c>
      <c r="AG28" s="71">
        <f t="shared" si="48"/>
        <v>1825</v>
      </c>
      <c r="AH28" s="71">
        <f t="shared" si="48"/>
        <v>1825</v>
      </c>
      <c r="AI28" s="71">
        <f t="shared" si="48"/>
        <v>1825</v>
      </c>
      <c r="AJ28" s="71">
        <f t="shared" si="48"/>
        <v>1825</v>
      </c>
      <c r="AK28" s="65">
        <f t="shared" si="1"/>
        <v>2226.5</v>
      </c>
      <c r="AL28" s="65">
        <f t="shared" si="4"/>
        <v>2226.5</v>
      </c>
      <c r="AM28" s="65">
        <f t="shared" si="5"/>
        <v>2226.5</v>
      </c>
      <c r="AN28" s="65">
        <f t="shared" si="6"/>
        <v>2226.5</v>
      </c>
      <c r="AO28" s="65">
        <f t="shared" si="7"/>
        <v>2226.5</v>
      </c>
      <c r="AP28" s="65">
        <f t="shared" si="8"/>
        <v>2226.5</v>
      </c>
      <c r="AQ28" s="65">
        <f t="shared" si="9"/>
        <v>2226.5</v>
      </c>
      <c r="AR28" s="65">
        <f t="shared" si="10"/>
        <v>2226.5</v>
      </c>
      <c r="AS28" s="65">
        <f t="shared" si="11"/>
        <v>2226.5</v>
      </c>
      <c r="AT28" s="65">
        <f t="shared" si="12"/>
        <v>2226.5</v>
      </c>
      <c r="AU28" s="65">
        <f t="shared" si="13"/>
        <v>2226.5</v>
      </c>
      <c r="AV28" s="65">
        <f t="shared" si="14"/>
        <v>2226.5</v>
      </c>
      <c r="AW28" s="65">
        <f t="shared" si="15"/>
        <v>2226.5</v>
      </c>
      <c r="AX28" s="65">
        <f t="shared" si="16"/>
        <v>2226.5</v>
      </c>
      <c r="AY28" s="65">
        <f t="shared" si="17"/>
        <v>2226.5</v>
      </c>
      <c r="AZ28" s="65">
        <f t="shared" si="18"/>
        <v>2226.5</v>
      </c>
      <c r="BA28" s="65">
        <f t="shared" si="19"/>
        <v>2226.5</v>
      </c>
      <c r="BB28" s="65">
        <f t="shared" si="20"/>
        <v>2226.5</v>
      </c>
      <c r="BC28" s="65">
        <f t="shared" si="21"/>
        <v>2226.5</v>
      </c>
      <c r="BD28" s="65">
        <f t="shared" si="22"/>
        <v>2226.5</v>
      </c>
      <c r="BE28" s="65">
        <f t="shared" si="23"/>
        <v>2226.5</v>
      </c>
      <c r="BF28" s="65">
        <f t="shared" si="24"/>
        <v>2226.5</v>
      </c>
      <c r="BG28" s="65">
        <f t="shared" si="25"/>
        <v>2226.5</v>
      </c>
      <c r="BH28" s="65">
        <f t="shared" si="26"/>
        <v>2226.5</v>
      </c>
      <c r="BI28" s="65">
        <f t="shared" si="27"/>
        <v>2226.5</v>
      </c>
      <c r="BJ28" s="65">
        <f t="shared" si="28"/>
        <v>2226.5</v>
      </c>
      <c r="BK28" s="65">
        <f t="shared" si="29"/>
        <v>2226.5</v>
      </c>
      <c r="BL28" s="65">
        <f t="shared" si="30"/>
        <v>2226.5</v>
      </c>
      <c r="BM28" s="65">
        <f t="shared" si="31"/>
        <v>2226.5</v>
      </c>
      <c r="BN28" s="65">
        <f t="shared" si="32"/>
        <v>2226.5</v>
      </c>
      <c r="BO28" s="66" t="s">
        <v>211</v>
      </c>
    </row>
    <row r="29" spans="1:67" ht="13.5" customHeight="1">
      <c r="A29" s="560" t="s">
        <v>210</v>
      </c>
      <c r="B29" s="560" t="s">
        <v>208</v>
      </c>
      <c r="C29" s="63" t="s">
        <v>209</v>
      </c>
      <c r="D29" s="561" t="s">
        <v>85</v>
      </c>
      <c r="E29" s="64" t="s">
        <v>204</v>
      </c>
      <c r="F29" s="63">
        <v>1.22</v>
      </c>
      <c r="G29" s="71">
        <f t="shared" ref="G29:AJ29" si="49">5*365</f>
        <v>1825</v>
      </c>
      <c r="H29" s="71">
        <f t="shared" si="49"/>
        <v>1825</v>
      </c>
      <c r="I29" s="71">
        <f t="shared" si="49"/>
        <v>1825</v>
      </c>
      <c r="J29" s="71">
        <f t="shared" si="49"/>
        <v>1825</v>
      </c>
      <c r="K29" s="71">
        <f t="shared" si="49"/>
        <v>1825</v>
      </c>
      <c r="L29" s="71">
        <f t="shared" si="49"/>
        <v>1825</v>
      </c>
      <c r="M29" s="71">
        <f t="shared" si="49"/>
        <v>1825</v>
      </c>
      <c r="N29" s="71">
        <f t="shared" si="49"/>
        <v>1825</v>
      </c>
      <c r="O29" s="71">
        <f t="shared" si="49"/>
        <v>1825</v>
      </c>
      <c r="P29" s="71">
        <f t="shared" si="49"/>
        <v>1825</v>
      </c>
      <c r="Q29" s="71">
        <f t="shared" si="49"/>
        <v>1825</v>
      </c>
      <c r="R29" s="71">
        <f t="shared" si="49"/>
        <v>1825</v>
      </c>
      <c r="S29" s="71">
        <f t="shared" si="49"/>
        <v>1825</v>
      </c>
      <c r="T29" s="71">
        <f t="shared" si="49"/>
        <v>1825</v>
      </c>
      <c r="U29" s="71">
        <f t="shared" si="49"/>
        <v>1825</v>
      </c>
      <c r="V29" s="71">
        <f t="shared" si="49"/>
        <v>1825</v>
      </c>
      <c r="W29" s="71">
        <f t="shared" si="49"/>
        <v>1825</v>
      </c>
      <c r="X29" s="71">
        <f t="shared" si="49"/>
        <v>1825</v>
      </c>
      <c r="Y29" s="71">
        <f t="shared" si="49"/>
        <v>1825</v>
      </c>
      <c r="Z29" s="71">
        <f t="shared" si="49"/>
        <v>1825</v>
      </c>
      <c r="AA29" s="71">
        <f t="shared" si="49"/>
        <v>1825</v>
      </c>
      <c r="AB29" s="71">
        <f t="shared" si="49"/>
        <v>1825</v>
      </c>
      <c r="AC29" s="71">
        <f t="shared" si="49"/>
        <v>1825</v>
      </c>
      <c r="AD29" s="71">
        <f t="shared" si="49"/>
        <v>1825</v>
      </c>
      <c r="AE29" s="71">
        <f t="shared" si="49"/>
        <v>1825</v>
      </c>
      <c r="AF29" s="71">
        <f t="shared" si="49"/>
        <v>1825</v>
      </c>
      <c r="AG29" s="71">
        <f t="shared" si="49"/>
        <v>1825</v>
      </c>
      <c r="AH29" s="71">
        <f t="shared" si="49"/>
        <v>1825</v>
      </c>
      <c r="AI29" s="71">
        <f t="shared" si="49"/>
        <v>1825</v>
      </c>
      <c r="AJ29" s="71">
        <f t="shared" si="49"/>
        <v>1825</v>
      </c>
      <c r="AK29" s="65">
        <f t="shared" si="1"/>
        <v>2226.5</v>
      </c>
      <c r="AL29" s="65">
        <f t="shared" si="4"/>
        <v>2226.5</v>
      </c>
      <c r="AM29" s="65">
        <f t="shared" si="5"/>
        <v>2226.5</v>
      </c>
      <c r="AN29" s="65">
        <f t="shared" si="6"/>
        <v>2226.5</v>
      </c>
      <c r="AO29" s="65">
        <f t="shared" si="7"/>
        <v>2226.5</v>
      </c>
      <c r="AP29" s="65">
        <f t="shared" si="8"/>
        <v>2226.5</v>
      </c>
      <c r="AQ29" s="65">
        <f t="shared" si="9"/>
        <v>2226.5</v>
      </c>
      <c r="AR29" s="65">
        <f t="shared" si="10"/>
        <v>2226.5</v>
      </c>
      <c r="AS29" s="65">
        <f t="shared" si="11"/>
        <v>2226.5</v>
      </c>
      <c r="AT29" s="65">
        <f t="shared" si="12"/>
        <v>2226.5</v>
      </c>
      <c r="AU29" s="65">
        <f t="shared" si="13"/>
        <v>2226.5</v>
      </c>
      <c r="AV29" s="65">
        <f t="shared" si="14"/>
        <v>2226.5</v>
      </c>
      <c r="AW29" s="65">
        <f t="shared" si="15"/>
        <v>2226.5</v>
      </c>
      <c r="AX29" s="65">
        <f t="shared" si="16"/>
        <v>2226.5</v>
      </c>
      <c r="AY29" s="65">
        <f t="shared" si="17"/>
        <v>2226.5</v>
      </c>
      <c r="AZ29" s="65">
        <f t="shared" si="18"/>
        <v>2226.5</v>
      </c>
      <c r="BA29" s="65">
        <f t="shared" si="19"/>
        <v>2226.5</v>
      </c>
      <c r="BB29" s="65">
        <f t="shared" si="20"/>
        <v>2226.5</v>
      </c>
      <c r="BC29" s="65">
        <f t="shared" si="21"/>
        <v>2226.5</v>
      </c>
      <c r="BD29" s="65">
        <f t="shared" si="22"/>
        <v>2226.5</v>
      </c>
      <c r="BE29" s="65">
        <f t="shared" si="23"/>
        <v>2226.5</v>
      </c>
      <c r="BF29" s="65">
        <f t="shared" si="24"/>
        <v>2226.5</v>
      </c>
      <c r="BG29" s="65">
        <f t="shared" si="25"/>
        <v>2226.5</v>
      </c>
      <c r="BH29" s="65">
        <f t="shared" si="26"/>
        <v>2226.5</v>
      </c>
      <c r="BI29" s="65">
        <f t="shared" si="27"/>
        <v>2226.5</v>
      </c>
      <c r="BJ29" s="65">
        <f t="shared" si="28"/>
        <v>2226.5</v>
      </c>
      <c r="BK29" s="65">
        <f t="shared" si="29"/>
        <v>2226.5</v>
      </c>
      <c r="BL29" s="65">
        <f t="shared" si="30"/>
        <v>2226.5</v>
      </c>
      <c r="BM29" s="65">
        <f t="shared" si="31"/>
        <v>2226.5</v>
      </c>
      <c r="BN29" s="65">
        <f t="shared" si="32"/>
        <v>2226.5</v>
      </c>
      <c r="BO29" s="66" t="s">
        <v>211</v>
      </c>
    </row>
    <row r="30" spans="1:67" ht="13.5" customHeight="1">
      <c r="A30" s="560" t="s">
        <v>210</v>
      </c>
      <c r="B30" s="560" t="s">
        <v>208</v>
      </c>
      <c r="C30" s="63" t="s">
        <v>209</v>
      </c>
      <c r="D30" s="561" t="s">
        <v>87</v>
      </c>
      <c r="E30" s="64" t="s">
        <v>204</v>
      </c>
      <c r="F30" s="63">
        <v>1.22</v>
      </c>
      <c r="G30" s="71">
        <f t="shared" ref="G30:AJ30" si="50">5*365</f>
        <v>1825</v>
      </c>
      <c r="H30" s="71">
        <f t="shared" si="50"/>
        <v>1825</v>
      </c>
      <c r="I30" s="71">
        <f t="shared" si="50"/>
        <v>1825</v>
      </c>
      <c r="J30" s="71">
        <f t="shared" si="50"/>
        <v>1825</v>
      </c>
      <c r="K30" s="71">
        <f t="shared" si="50"/>
        <v>1825</v>
      </c>
      <c r="L30" s="71">
        <f t="shared" si="50"/>
        <v>1825</v>
      </c>
      <c r="M30" s="71">
        <f t="shared" si="50"/>
        <v>1825</v>
      </c>
      <c r="N30" s="71">
        <f t="shared" si="50"/>
        <v>1825</v>
      </c>
      <c r="O30" s="71">
        <f t="shared" si="50"/>
        <v>1825</v>
      </c>
      <c r="P30" s="71">
        <f t="shared" si="50"/>
        <v>1825</v>
      </c>
      <c r="Q30" s="71">
        <f t="shared" si="50"/>
        <v>1825</v>
      </c>
      <c r="R30" s="71">
        <f t="shared" si="50"/>
        <v>1825</v>
      </c>
      <c r="S30" s="71">
        <f t="shared" si="50"/>
        <v>1825</v>
      </c>
      <c r="T30" s="71">
        <f t="shared" si="50"/>
        <v>1825</v>
      </c>
      <c r="U30" s="71">
        <f t="shared" si="50"/>
        <v>1825</v>
      </c>
      <c r="V30" s="71">
        <f t="shared" si="50"/>
        <v>1825</v>
      </c>
      <c r="W30" s="71">
        <f t="shared" si="50"/>
        <v>1825</v>
      </c>
      <c r="X30" s="71">
        <f t="shared" si="50"/>
        <v>1825</v>
      </c>
      <c r="Y30" s="71">
        <f t="shared" si="50"/>
        <v>1825</v>
      </c>
      <c r="Z30" s="71">
        <f t="shared" si="50"/>
        <v>1825</v>
      </c>
      <c r="AA30" s="71">
        <f t="shared" si="50"/>
        <v>1825</v>
      </c>
      <c r="AB30" s="71">
        <f t="shared" si="50"/>
        <v>1825</v>
      </c>
      <c r="AC30" s="71">
        <f t="shared" si="50"/>
        <v>1825</v>
      </c>
      <c r="AD30" s="71">
        <f t="shared" si="50"/>
        <v>1825</v>
      </c>
      <c r="AE30" s="71">
        <f t="shared" si="50"/>
        <v>1825</v>
      </c>
      <c r="AF30" s="71">
        <f t="shared" si="50"/>
        <v>1825</v>
      </c>
      <c r="AG30" s="71">
        <f t="shared" si="50"/>
        <v>1825</v>
      </c>
      <c r="AH30" s="71">
        <f t="shared" si="50"/>
        <v>1825</v>
      </c>
      <c r="AI30" s="71">
        <f t="shared" si="50"/>
        <v>1825</v>
      </c>
      <c r="AJ30" s="71">
        <f t="shared" si="50"/>
        <v>1825</v>
      </c>
      <c r="AK30" s="65">
        <f t="shared" si="1"/>
        <v>2226.5</v>
      </c>
      <c r="AL30" s="65">
        <f t="shared" si="4"/>
        <v>2226.5</v>
      </c>
      <c r="AM30" s="65">
        <f t="shared" si="5"/>
        <v>2226.5</v>
      </c>
      <c r="AN30" s="65">
        <f t="shared" si="6"/>
        <v>2226.5</v>
      </c>
      <c r="AO30" s="65">
        <f t="shared" si="7"/>
        <v>2226.5</v>
      </c>
      <c r="AP30" s="65">
        <f t="shared" si="8"/>
        <v>2226.5</v>
      </c>
      <c r="AQ30" s="65">
        <f t="shared" si="9"/>
        <v>2226.5</v>
      </c>
      <c r="AR30" s="65">
        <f t="shared" si="10"/>
        <v>2226.5</v>
      </c>
      <c r="AS30" s="65">
        <f t="shared" si="11"/>
        <v>2226.5</v>
      </c>
      <c r="AT30" s="65">
        <f t="shared" si="12"/>
        <v>2226.5</v>
      </c>
      <c r="AU30" s="65">
        <f t="shared" si="13"/>
        <v>2226.5</v>
      </c>
      <c r="AV30" s="65">
        <f t="shared" si="14"/>
        <v>2226.5</v>
      </c>
      <c r="AW30" s="65">
        <f t="shared" si="15"/>
        <v>2226.5</v>
      </c>
      <c r="AX30" s="65">
        <f t="shared" si="16"/>
        <v>2226.5</v>
      </c>
      <c r="AY30" s="65">
        <f t="shared" si="17"/>
        <v>2226.5</v>
      </c>
      <c r="AZ30" s="65">
        <f t="shared" si="18"/>
        <v>2226.5</v>
      </c>
      <c r="BA30" s="65">
        <f t="shared" si="19"/>
        <v>2226.5</v>
      </c>
      <c r="BB30" s="65">
        <f t="shared" si="20"/>
        <v>2226.5</v>
      </c>
      <c r="BC30" s="65">
        <f t="shared" si="21"/>
        <v>2226.5</v>
      </c>
      <c r="BD30" s="65">
        <f t="shared" si="22"/>
        <v>2226.5</v>
      </c>
      <c r="BE30" s="65">
        <f t="shared" si="23"/>
        <v>2226.5</v>
      </c>
      <c r="BF30" s="65">
        <f t="shared" si="24"/>
        <v>2226.5</v>
      </c>
      <c r="BG30" s="65">
        <f t="shared" si="25"/>
        <v>2226.5</v>
      </c>
      <c r="BH30" s="65">
        <f t="shared" si="26"/>
        <v>2226.5</v>
      </c>
      <c r="BI30" s="65">
        <f t="shared" si="27"/>
        <v>2226.5</v>
      </c>
      <c r="BJ30" s="65">
        <f t="shared" si="28"/>
        <v>2226.5</v>
      </c>
      <c r="BK30" s="65">
        <f t="shared" si="29"/>
        <v>2226.5</v>
      </c>
      <c r="BL30" s="65">
        <f t="shared" si="30"/>
        <v>2226.5</v>
      </c>
      <c r="BM30" s="65">
        <f t="shared" si="31"/>
        <v>2226.5</v>
      </c>
      <c r="BN30" s="65">
        <f t="shared" si="32"/>
        <v>2226.5</v>
      </c>
      <c r="BO30" s="66" t="s">
        <v>211</v>
      </c>
    </row>
    <row r="31" spans="1:67" ht="13.5" customHeight="1">
      <c r="A31" s="560" t="s">
        <v>210</v>
      </c>
      <c r="B31" s="560" t="s">
        <v>208</v>
      </c>
      <c r="C31" s="63" t="s">
        <v>209</v>
      </c>
      <c r="D31" s="561" t="s">
        <v>88</v>
      </c>
      <c r="E31" s="64" t="s">
        <v>204</v>
      </c>
      <c r="F31" s="63">
        <v>1.22</v>
      </c>
      <c r="G31" s="71">
        <f t="shared" ref="G31:AJ31" si="51">5*365</f>
        <v>1825</v>
      </c>
      <c r="H31" s="71">
        <f t="shared" si="51"/>
        <v>1825</v>
      </c>
      <c r="I31" s="71">
        <f t="shared" si="51"/>
        <v>1825</v>
      </c>
      <c r="J31" s="71">
        <f t="shared" si="51"/>
        <v>1825</v>
      </c>
      <c r="K31" s="71">
        <f t="shared" si="51"/>
        <v>1825</v>
      </c>
      <c r="L31" s="71">
        <f t="shared" si="51"/>
        <v>1825</v>
      </c>
      <c r="M31" s="71">
        <f t="shared" si="51"/>
        <v>1825</v>
      </c>
      <c r="N31" s="71">
        <f t="shared" si="51"/>
        <v>1825</v>
      </c>
      <c r="O31" s="71">
        <f t="shared" si="51"/>
        <v>1825</v>
      </c>
      <c r="P31" s="71">
        <f t="shared" si="51"/>
        <v>1825</v>
      </c>
      <c r="Q31" s="71">
        <f t="shared" si="51"/>
        <v>1825</v>
      </c>
      <c r="R31" s="71">
        <f t="shared" si="51"/>
        <v>1825</v>
      </c>
      <c r="S31" s="71">
        <f t="shared" si="51"/>
        <v>1825</v>
      </c>
      <c r="T31" s="71">
        <f t="shared" si="51"/>
        <v>1825</v>
      </c>
      <c r="U31" s="71">
        <f t="shared" si="51"/>
        <v>1825</v>
      </c>
      <c r="V31" s="71">
        <f t="shared" si="51"/>
        <v>1825</v>
      </c>
      <c r="W31" s="71">
        <f t="shared" si="51"/>
        <v>1825</v>
      </c>
      <c r="X31" s="71">
        <f t="shared" si="51"/>
        <v>1825</v>
      </c>
      <c r="Y31" s="71">
        <f t="shared" si="51"/>
        <v>1825</v>
      </c>
      <c r="Z31" s="71">
        <f t="shared" si="51"/>
        <v>1825</v>
      </c>
      <c r="AA31" s="71">
        <f t="shared" si="51"/>
        <v>1825</v>
      </c>
      <c r="AB31" s="71">
        <f t="shared" si="51"/>
        <v>1825</v>
      </c>
      <c r="AC31" s="71">
        <f t="shared" si="51"/>
        <v>1825</v>
      </c>
      <c r="AD31" s="71">
        <f t="shared" si="51"/>
        <v>1825</v>
      </c>
      <c r="AE31" s="71">
        <f t="shared" si="51"/>
        <v>1825</v>
      </c>
      <c r="AF31" s="71">
        <f t="shared" si="51"/>
        <v>1825</v>
      </c>
      <c r="AG31" s="71">
        <f t="shared" si="51"/>
        <v>1825</v>
      </c>
      <c r="AH31" s="71">
        <f t="shared" si="51"/>
        <v>1825</v>
      </c>
      <c r="AI31" s="71">
        <f t="shared" si="51"/>
        <v>1825</v>
      </c>
      <c r="AJ31" s="71">
        <f t="shared" si="51"/>
        <v>1825</v>
      </c>
      <c r="AK31" s="65">
        <f t="shared" ref="AK31:AK54" si="52">$F31*G31*IF(C31="Operacional",IFERROR(VLOOKUP($D31,SN_UGC,28,0),0),1)</f>
        <v>2226.5</v>
      </c>
      <c r="AL31" s="65">
        <f t="shared" si="4"/>
        <v>2226.5</v>
      </c>
      <c r="AM31" s="65">
        <f t="shared" si="5"/>
        <v>2226.5</v>
      </c>
      <c r="AN31" s="65">
        <f t="shared" si="6"/>
        <v>2226.5</v>
      </c>
      <c r="AO31" s="65">
        <f t="shared" si="7"/>
        <v>2226.5</v>
      </c>
      <c r="AP31" s="65">
        <f t="shared" si="8"/>
        <v>2226.5</v>
      </c>
      <c r="AQ31" s="65">
        <f t="shared" si="9"/>
        <v>2226.5</v>
      </c>
      <c r="AR31" s="65">
        <f t="shared" si="10"/>
        <v>2226.5</v>
      </c>
      <c r="AS31" s="65">
        <f t="shared" si="11"/>
        <v>2226.5</v>
      </c>
      <c r="AT31" s="65">
        <f t="shared" si="12"/>
        <v>2226.5</v>
      </c>
      <c r="AU31" s="65">
        <f t="shared" si="13"/>
        <v>2226.5</v>
      </c>
      <c r="AV31" s="65">
        <f t="shared" si="14"/>
        <v>2226.5</v>
      </c>
      <c r="AW31" s="65">
        <f t="shared" si="15"/>
        <v>2226.5</v>
      </c>
      <c r="AX31" s="65">
        <f t="shared" si="16"/>
        <v>2226.5</v>
      </c>
      <c r="AY31" s="65">
        <f t="shared" si="17"/>
        <v>2226.5</v>
      </c>
      <c r="AZ31" s="65">
        <f t="shared" si="18"/>
        <v>2226.5</v>
      </c>
      <c r="BA31" s="65">
        <f t="shared" si="19"/>
        <v>2226.5</v>
      </c>
      <c r="BB31" s="65">
        <f t="shared" si="20"/>
        <v>2226.5</v>
      </c>
      <c r="BC31" s="65">
        <f t="shared" si="21"/>
        <v>2226.5</v>
      </c>
      <c r="BD31" s="65">
        <f t="shared" si="22"/>
        <v>2226.5</v>
      </c>
      <c r="BE31" s="65">
        <f t="shared" si="23"/>
        <v>2226.5</v>
      </c>
      <c r="BF31" s="65">
        <f t="shared" si="24"/>
        <v>2226.5</v>
      </c>
      <c r="BG31" s="65">
        <f t="shared" si="25"/>
        <v>2226.5</v>
      </c>
      <c r="BH31" s="65">
        <f t="shared" si="26"/>
        <v>2226.5</v>
      </c>
      <c r="BI31" s="65">
        <f t="shared" si="27"/>
        <v>2226.5</v>
      </c>
      <c r="BJ31" s="65">
        <f t="shared" si="28"/>
        <v>2226.5</v>
      </c>
      <c r="BK31" s="65">
        <f t="shared" si="29"/>
        <v>2226.5</v>
      </c>
      <c r="BL31" s="65">
        <f t="shared" si="30"/>
        <v>2226.5</v>
      </c>
      <c r="BM31" s="65">
        <f t="shared" si="31"/>
        <v>2226.5</v>
      </c>
      <c r="BN31" s="65">
        <f t="shared" si="32"/>
        <v>2226.5</v>
      </c>
      <c r="BO31" s="66" t="s">
        <v>211</v>
      </c>
    </row>
    <row r="32" spans="1:67" ht="13.5" customHeight="1">
      <c r="A32" s="560" t="s">
        <v>210</v>
      </c>
      <c r="B32" s="560" t="s">
        <v>208</v>
      </c>
      <c r="C32" s="63" t="s">
        <v>209</v>
      </c>
      <c r="D32" s="561" t="s">
        <v>89</v>
      </c>
      <c r="E32" s="64" t="s">
        <v>204</v>
      </c>
      <c r="F32" s="63">
        <v>1.22</v>
      </c>
      <c r="G32" s="71">
        <f t="shared" ref="G32:AJ32" si="53">5*365</f>
        <v>1825</v>
      </c>
      <c r="H32" s="71">
        <f t="shared" si="53"/>
        <v>1825</v>
      </c>
      <c r="I32" s="71">
        <f t="shared" si="53"/>
        <v>1825</v>
      </c>
      <c r="J32" s="71">
        <f t="shared" si="53"/>
        <v>1825</v>
      </c>
      <c r="K32" s="71">
        <f t="shared" si="53"/>
        <v>1825</v>
      </c>
      <c r="L32" s="71">
        <f t="shared" si="53"/>
        <v>1825</v>
      </c>
      <c r="M32" s="71">
        <f t="shared" si="53"/>
        <v>1825</v>
      </c>
      <c r="N32" s="71">
        <f t="shared" si="53"/>
        <v>1825</v>
      </c>
      <c r="O32" s="71">
        <f t="shared" si="53"/>
        <v>1825</v>
      </c>
      <c r="P32" s="71">
        <f t="shared" si="53"/>
        <v>1825</v>
      </c>
      <c r="Q32" s="71">
        <f t="shared" si="53"/>
        <v>1825</v>
      </c>
      <c r="R32" s="71">
        <f t="shared" si="53"/>
        <v>1825</v>
      </c>
      <c r="S32" s="71">
        <f t="shared" si="53"/>
        <v>1825</v>
      </c>
      <c r="T32" s="71">
        <f t="shared" si="53"/>
        <v>1825</v>
      </c>
      <c r="U32" s="71">
        <f t="shared" si="53"/>
        <v>1825</v>
      </c>
      <c r="V32" s="71">
        <f t="shared" si="53"/>
        <v>1825</v>
      </c>
      <c r="W32" s="71">
        <f t="shared" si="53"/>
        <v>1825</v>
      </c>
      <c r="X32" s="71">
        <f t="shared" si="53"/>
        <v>1825</v>
      </c>
      <c r="Y32" s="71">
        <f t="shared" si="53"/>
        <v>1825</v>
      </c>
      <c r="Z32" s="71">
        <f t="shared" si="53"/>
        <v>1825</v>
      </c>
      <c r="AA32" s="71">
        <f t="shared" si="53"/>
        <v>1825</v>
      </c>
      <c r="AB32" s="71">
        <f t="shared" si="53"/>
        <v>1825</v>
      </c>
      <c r="AC32" s="71">
        <f t="shared" si="53"/>
        <v>1825</v>
      </c>
      <c r="AD32" s="71">
        <f t="shared" si="53"/>
        <v>1825</v>
      </c>
      <c r="AE32" s="71">
        <f t="shared" si="53"/>
        <v>1825</v>
      </c>
      <c r="AF32" s="71">
        <f t="shared" si="53"/>
        <v>1825</v>
      </c>
      <c r="AG32" s="71">
        <f t="shared" si="53"/>
        <v>1825</v>
      </c>
      <c r="AH32" s="71">
        <f t="shared" si="53"/>
        <v>1825</v>
      </c>
      <c r="AI32" s="71">
        <f t="shared" si="53"/>
        <v>1825</v>
      </c>
      <c r="AJ32" s="71">
        <f t="shared" si="53"/>
        <v>1825</v>
      </c>
      <c r="AK32" s="65">
        <f t="shared" si="52"/>
        <v>2226.5</v>
      </c>
      <c r="AL32" s="65">
        <f t="shared" ref="AL32:AL55" si="54">$F32*H32*IF(D32="Operacional",IFERROR(VLOOKUP($D32,SN_UGC,28,0),0),1)</f>
        <v>2226.5</v>
      </c>
      <c r="AM32" s="65">
        <f t="shared" ref="AM32:AM55" si="55">$F32*I32*IF(E32="Operacional",IFERROR(VLOOKUP($D32,SN_UGC,28,0),0),1)</f>
        <v>2226.5</v>
      </c>
      <c r="AN32" s="65">
        <f t="shared" ref="AN32:AN55" si="56">$F32*J32*IF(F32="Operacional",IFERROR(VLOOKUP($D32,SN_UGC,28,0),0),1)</f>
        <v>2226.5</v>
      </c>
      <c r="AO32" s="65">
        <f t="shared" ref="AO32:AO55" si="57">$F32*K32*IF(G32="Operacional",IFERROR(VLOOKUP($D32,SN_UGC,28,0),0),1)</f>
        <v>2226.5</v>
      </c>
      <c r="AP32" s="65">
        <f t="shared" ref="AP32:AP55" si="58">$F32*L32*IF(H32="Operacional",IFERROR(VLOOKUP($D32,SN_UGC,28,0),0),1)</f>
        <v>2226.5</v>
      </c>
      <c r="AQ32" s="65">
        <f t="shared" ref="AQ32:AQ55" si="59">$F32*M32*IF(I32="Operacional",IFERROR(VLOOKUP($D32,SN_UGC,28,0),0),1)</f>
        <v>2226.5</v>
      </c>
      <c r="AR32" s="65">
        <f t="shared" ref="AR32:AR55" si="60">$F32*N32*IF(J32="Operacional",IFERROR(VLOOKUP($D32,SN_UGC,28,0),0),1)</f>
        <v>2226.5</v>
      </c>
      <c r="AS32" s="65">
        <f t="shared" ref="AS32:AS55" si="61">$F32*O32*IF(K32="Operacional",IFERROR(VLOOKUP($D32,SN_UGC,28,0),0),1)</f>
        <v>2226.5</v>
      </c>
      <c r="AT32" s="65">
        <f t="shared" ref="AT32:AT55" si="62">$F32*P32*IF(L32="Operacional",IFERROR(VLOOKUP($D32,SN_UGC,28,0),0),1)</f>
        <v>2226.5</v>
      </c>
      <c r="AU32" s="65">
        <f t="shared" ref="AU32:AU55" si="63">$F32*Q32*IF(M32="Operacional",IFERROR(VLOOKUP($D32,SN_UGC,28,0),0),1)</f>
        <v>2226.5</v>
      </c>
      <c r="AV32" s="65">
        <f t="shared" ref="AV32:AV55" si="64">$F32*R32*IF(N32="Operacional",IFERROR(VLOOKUP($D32,SN_UGC,28,0),0),1)</f>
        <v>2226.5</v>
      </c>
      <c r="AW32" s="65">
        <f t="shared" ref="AW32:AW55" si="65">$F32*S32*IF(O32="Operacional",IFERROR(VLOOKUP($D32,SN_UGC,28,0),0),1)</f>
        <v>2226.5</v>
      </c>
      <c r="AX32" s="65">
        <f t="shared" ref="AX32:AX55" si="66">$F32*T32*IF(P32="Operacional",IFERROR(VLOOKUP($D32,SN_UGC,28,0),0),1)</f>
        <v>2226.5</v>
      </c>
      <c r="AY32" s="65">
        <f t="shared" ref="AY32:AY55" si="67">$F32*U32*IF(Q32="Operacional",IFERROR(VLOOKUP($D32,SN_UGC,28,0),0),1)</f>
        <v>2226.5</v>
      </c>
      <c r="AZ32" s="65">
        <f t="shared" ref="AZ32:AZ55" si="68">$F32*V32*IF(R32="Operacional",IFERROR(VLOOKUP($D32,SN_UGC,28,0),0),1)</f>
        <v>2226.5</v>
      </c>
      <c r="BA32" s="65">
        <f t="shared" ref="BA32:BA55" si="69">$F32*W32*IF(S32="Operacional",IFERROR(VLOOKUP($D32,SN_UGC,28,0),0),1)</f>
        <v>2226.5</v>
      </c>
      <c r="BB32" s="65">
        <f t="shared" ref="BB32:BB55" si="70">$F32*X32*IF(T32="Operacional",IFERROR(VLOOKUP($D32,SN_UGC,28,0),0),1)</f>
        <v>2226.5</v>
      </c>
      <c r="BC32" s="65">
        <f t="shared" ref="BC32:BC55" si="71">$F32*Y32*IF(U32="Operacional",IFERROR(VLOOKUP($D32,SN_UGC,28,0),0),1)</f>
        <v>2226.5</v>
      </c>
      <c r="BD32" s="65">
        <f t="shared" ref="BD32:BD55" si="72">$F32*Z32*IF(V32="Operacional",IFERROR(VLOOKUP($D32,SN_UGC,28,0),0),1)</f>
        <v>2226.5</v>
      </c>
      <c r="BE32" s="65">
        <f t="shared" ref="BE32:BE55" si="73">$F32*AA32*IF(W32="Operacional",IFERROR(VLOOKUP($D32,SN_UGC,28,0),0),1)</f>
        <v>2226.5</v>
      </c>
      <c r="BF32" s="65">
        <f t="shared" ref="BF32:BF55" si="74">$F32*AB32*IF(X32="Operacional",IFERROR(VLOOKUP($D32,SN_UGC,28,0),0),1)</f>
        <v>2226.5</v>
      </c>
      <c r="BG32" s="65">
        <f t="shared" ref="BG32:BG55" si="75">$F32*AC32*IF(Y32="Operacional",IFERROR(VLOOKUP($D32,SN_UGC,28,0),0),1)</f>
        <v>2226.5</v>
      </c>
      <c r="BH32" s="65">
        <f t="shared" ref="BH32:BH55" si="76">$F32*AD32*IF(Z32="Operacional",IFERROR(VLOOKUP($D32,SN_UGC,28,0),0),1)</f>
        <v>2226.5</v>
      </c>
      <c r="BI32" s="65">
        <f t="shared" ref="BI32:BI55" si="77">$F32*AE32*IF(AA32="Operacional",IFERROR(VLOOKUP($D32,SN_UGC,28,0),0),1)</f>
        <v>2226.5</v>
      </c>
      <c r="BJ32" s="65">
        <f t="shared" ref="BJ32:BJ55" si="78">$F32*AF32*IF(AB32="Operacional",IFERROR(VLOOKUP($D32,SN_UGC,28,0),0),1)</f>
        <v>2226.5</v>
      </c>
      <c r="BK32" s="65">
        <f t="shared" ref="BK32:BK55" si="79">$F32*AG32*IF(AC32="Operacional",IFERROR(VLOOKUP($D32,SN_UGC,28,0),0),1)</f>
        <v>2226.5</v>
      </c>
      <c r="BL32" s="65">
        <f t="shared" ref="BL32:BL55" si="80">$F32*AH32*IF(AD32="Operacional",IFERROR(VLOOKUP($D32,SN_UGC,28,0),0),1)</f>
        <v>2226.5</v>
      </c>
      <c r="BM32" s="65">
        <f t="shared" ref="BM32:BM55" si="81">$F32*AI32*IF(AE32="Operacional",IFERROR(VLOOKUP($D32,SN_UGC,28,0),0),1)</f>
        <v>2226.5</v>
      </c>
      <c r="BN32" s="65">
        <f t="shared" ref="BN32:BN55" si="82">$F32*AJ32*IF(AF32="Operacional",IFERROR(VLOOKUP($D32,SN_UGC,28,0),0),1)</f>
        <v>2226.5</v>
      </c>
      <c r="BO32" s="66" t="s">
        <v>211</v>
      </c>
    </row>
    <row r="33" spans="1:67" ht="13.5" customHeight="1">
      <c r="A33" s="560" t="s">
        <v>210</v>
      </c>
      <c r="B33" s="560" t="s">
        <v>208</v>
      </c>
      <c r="C33" s="63" t="s">
        <v>209</v>
      </c>
      <c r="D33" s="561" t="s">
        <v>93</v>
      </c>
      <c r="E33" s="64" t="s">
        <v>204</v>
      </c>
      <c r="F33" s="63">
        <v>1.22</v>
      </c>
      <c r="G33" s="71">
        <f t="shared" ref="G33:AJ33" si="83">5*365</f>
        <v>1825</v>
      </c>
      <c r="H33" s="71">
        <f t="shared" si="83"/>
        <v>1825</v>
      </c>
      <c r="I33" s="71">
        <f t="shared" si="83"/>
        <v>1825</v>
      </c>
      <c r="J33" s="71">
        <f t="shared" si="83"/>
        <v>1825</v>
      </c>
      <c r="K33" s="71">
        <f t="shared" si="83"/>
        <v>1825</v>
      </c>
      <c r="L33" s="71">
        <f t="shared" si="83"/>
        <v>1825</v>
      </c>
      <c r="M33" s="71">
        <f t="shared" si="83"/>
        <v>1825</v>
      </c>
      <c r="N33" s="71">
        <f t="shared" si="83"/>
        <v>1825</v>
      </c>
      <c r="O33" s="71">
        <f t="shared" si="83"/>
        <v>1825</v>
      </c>
      <c r="P33" s="71">
        <f t="shared" si="83"/>
        <v>1825</v>
      </c>
      <c r="Q33" s="71">
        <f t="shared" si="83"/>
        <v>1825</v>
      </c>
      <c r="R33" s="71">
        <f t="shared" si="83"/>
        <v>1825</v>
      </c>
      <c r="S33" s="71">
        <f t="shared" si="83"/>
        <v>1825</v>
      </c>
      <c r="T33" s="71">
        <f t="shared" si="83"/>
        <v>1825</v>
      </c>
      <c r="U33" s="71">
        <f t="shared" si="83"/>
        <v>1825</v>
      </c>
      <c r="V33" s="71">
        <f t="shared" si="83"/>
        <v>1825</v>
      </c>
      <c r="W33" s="71">
        <f t="shared" si="83"/>
        <v>1825</v>
      </c>
      <c r="X33" s="71">
        <f t="shared" si="83"/>
        <v>1825</v>
      </c>
      <c r="Y33" s="71">
        <f t="shared" si="83"/>
        <v>1825</v>
      </c>
      <c r="Z33" s="71">
        <f t="shared" si="83"/>
        <v>1825</v>
      </c>
      <c r="AA33" s="71">
        <f t="shared" si="83"/>
        <v>1825</v>
      </c>
      <c r="AB33" s="71">
        <f t="shared" si="83"/>
        <v>1825</v>
      </c>
      <c r="AC33" s="71">
        <f t="shared" si="83"/>
        <v>1825</v>
      </c>
      <c r="AD33" s="71">
        <f t="shared" si="83"/>
        <v>1825</v>
      </c>
      <c r="AE33" s="71">
        <f t="shared" si="83"/>
        <v>1825</v>
      </c>
      <c r="AF33" s="71">
        <f t="shared" si="83"/>
        <v>1825</v>
      </c>
      <c r="AG33" s="71">
        <f t="shared" si="83"/>
        <v>1825</v>
      </c>
      <c r="AH33" s="71">
        <f t="shared" si="83"/>
        <v>1825</v>
      </c>
      <c r="AI33" s="71">
        <f t="shared" si="83"/>
        <v>1825</v>
      </c>
      <c r="AJ33" s="71">
        <f t="shared" si="83"/>
        <v>1825</v>
      </c>
      <c r="AK33" s="65">
        <f t="shared" si="52"/>
        <v>2226.5</v>
      </c>
      <c r="AL33" s="65">
        <f t="shared" si="54"/>
        <v>2226.5</v>
      </c>
      <c r="AM33" s="65">
        <f t="shared" si="55"/>
        <v>2226.5</v>
      </c>
      <c r="AN33" s="65">
        <f t="shared" si="56"/>
        <v>2226.5</v>
      </c>
      <c r="AO33" s="65">
        <f t="shared" si="57"/>
        <v>2226.5</v>
      </c>
      <c r="AP33" s="65">
        <f t="shared" si="58"/>
        <v>2226.5</v>
      </c>
      <c r="AQ33" s="65">
        <f t="shared" si="59"/>
        <v>2226.5</v>
      </c>
      <c r="AR33" s="65">
        <f t="shared" si="60"/>
        <v>2226.5</v>
      </c>
      <c r="AS33" s="65">
        <f t="shared" si="61"/>
        <v>2226.5</v>
      </c>
      <c r="AT33" s="65">
        <f t="shared" si="62"/>
        <v>2226.5</v>
      </c>
      <c r="AU33" s="65">
        <f t="shared" si="63"/>
        <v>2226.5</v>
      </c>
      <c r="AV33" s="65">
        <f t="shared" si="64"/>
        <v>2226.5</v>
      </c>
      <c r="AW33" s="65">
        <f t="shared" si="65"/>
        <v>2226.5</v>
      </c>
      <c r="AX33" s="65">
        <f t="shared" si="66"/>
        <v>2226.5</v>
      </c>
      <c r="AY33" s="65">
        <f t="shared" si="67"/>
        <v>2226.5</v>
      </c>
      <c r="AZ33" s="65">
        <f t="shared" si="68"/>
        <v>2226.5</v>
      </c>
      <c r="BA33" s="65">
        <f t="shared" si="69"/>
        <v>2226.5</v>
      </c>
      <c r="BB33" s="65">
        <f t="shared" si="70"/>
        <v>2226.5</v>
      </c>
      <c r="BC33" s="65">
        <f t="shared" si="71"/>
        <v>2226.5</v>
      </c>
      <c r="BD33" s="65">
        <f t="shared" si="72"/>
        <v>2226.5</v>
      </c>
      <c r="BE33" s="65">
        <f t="shared" si="73"/>
        <v>2226.5</v>
      </c>
      <c r="BF33" s="65">
        <f t="shared" si="74"/>
        <v>2226.5</v>
      </c>
      <c r="BG33" s="65">
        <f t="shared" si="75"/>
        <v>2226.5</v>
      </c>
      <c r="BH33" s="65">
        <f t="shared" si="76"/>
        <v>2226.5</v>
      </c>
      <c r="BI33" s="65">
        <f t="shared" si="77"/>
        <v>2226.5</v>
      </c>
      <c r="BJ33" s="65">
        <f t="shared" si="78"/>
        <v>2226.5</v>
      </c>
      <c r="BK33" s="65">
        <f t="shared" si="79"/>
        <v>2226.5</v>
      </c>
      <c r="BL33" s="65">
        <f t="shared" si="80"/>
        <v>2226.5</v>
      </c>
      <c r="BM33" s="65">
        <f t="shared" si="81"/>
        <v>2226.5</v>
      </c>
      <c r="BN33" s="65">
        <f t="shared" si="82"/>
        <v>2226.5</v>
      </c>
      <c r="BO33" s="66" t="s">
        <v>211</v>
      </c>
    </row>
    <row r="34" spans="1:67" ht="13.5" customHeight="1">
      <c r="A34" s="560" t="s">
        <v>210</v>
      </c>
      <c r="B34" s="560" t="s">
        <v>208</v>
      </c>
      <c r="C34" s="63" t="s">
        <v>209</v>
      </c>
      <c r="D34" s="561" t="s">
        <v>94</v>
      </c>
      <c r="E34" s="64" t="s">
        <v>204</v>
      </c>
      <c r="F34" s="63">
        <v>1.22</v>
      </c>
      <c r="G34" s="71">
        <f t="shared" ref="G34:AJ34" si="84">5*365</f>
        <v>1825</v>
      </c>
      <c r="H34" s="71">
        <f t="shared" si="84"/>
        <v>1825</v>
      </c>
      <c r="I34" s="71">
        <f t="shared" si="84"/>
        <v>1825</v>
      </c>
      <c r="J34" s="71">
        <f t="shared" si="84"/>
        <v>1825</v>
      </c>
      <c r="K34" s="71">
        <f t="shared" si="84"/>
        <v>1825</v>
      </c>
      <c r="L34" s="71">
        <f t="shared" si="84"/>
        <v>1825</v>
      </c>
      <c r="M34" s="71">
        <f t="shared" si="84"/>
        <v>1825</v>
      </c>
      <c r="N34" s="71">
        <f t="shared" si="84"/>
        <v>1825</v>
      </c>
      <c r="O34" s="71">
        <f t="shared" si="84"/>
        <v>1825</v>
      </c>
      <c r="P34" s="71">
        <f t="shared" si="84"/>
        <v>1825</v>
      </c>
      <c r="Q34" s="71">
        <f t="shared" si="84"/>
        <v>1825</v>
      </c>
      <c r="R34" s="71">
        <f t="shared" si="84"/>
        <v>1825</v>
      </c>
      <c r="S34" s="71">
        <f t="shared" si="84"/>
        <v>1825</v>
      </c>
      <c r="T34" s="71">
        <f t="shared" si="84"/>
        <v>1825</v>
      </c>
      <c r="U34" s="71">
        <f t="shared" si="84"/>
        <v>1825</v>
      </c>
      <c r="V34" s="71">
        <f t="shared" si="84"/>
        <v>1825</v>
      </c>
      <c r="W34" s="71">
        <f t="shared" si="84"/>
        <v>1825</v>
      </c>
      <c r="X34" s="71">
        <f t="shared" si="84"/>
        <v>1825</v>
      </c>
      <c r="Y34" s="71">
        <f t="shared" si="84"/>
        <v>1825</v>
      </c>
      <c r="Z34" s="71">
        <f t="shared" si="84"/>
        <v>1825</v>
      </c>
      <c r="AA34" s="71">
        <f t="shared" si="84"/>
        <v>1825</v>
      </c>
      <c r="AB34" s="71">
        <f t="shared" si="84"/>
        <v>1825</v>
      </c>
      <c r="AC34" s="71">
        <f t="shared" si="84"/>
        <v>1825</v>
      </c>
      <c r="AD34" s="71">
        <f t="shared" si="84"/>
        <v>1825</v>
      </c>
      <c r="AE34" s="71">
        <f t="shared" si="84"/>
        <v>1825</v>
      </c>
      <c r="AF34" s="71">
        <f t="shared" si="84"/>
        <v>1825</v>
      </c>
      <c r="AG34" s="71">
        <f t="shared" si="84"/>
        <v>1825</v>
      </c>
      <c r="AH34" s="71">
        <f t="shared" si="84"/>
        <v>1825</v>
      </c>
      <c r="AI34" s="71">
        <f t="shared" si="84"/>
        <v>1825</v>
      </c>
      <c r="AJ34" s="71">
        <f t="shared" si="84"/>
        <v>1825</v>
      </c>
      <c r="AK34" s="65">
        <f t="shared" si="52"/>
        <v>2226.5</v>
      </c>
      <c r="AL34" s="65">
        <f t="shared" si="54"/>
        <v>2226.5</v>
      </c>
      <c r="AM34" s="65">
        <f t="shared" si="55"/>
        <v>2226.5</v>
      </c>
      <c r="AN34" s="65">
        <f t="shared" si="56"/>
        <v>2226.5</v>
      </c>
      <c r="AO34" s="65">
        <f t="shared" si="57"/>
        <v>2226.5</v>
      </c>
      <c r="AP34" s="65">
        <f t="shared" si="58"/>
        <v>2226.5</v>
      </c>
      <c r="AQ34" s="65">
        <f t="shared" si="59"/>
        <v>2226.5</v>
      </c>
      <c r="AR34" s="65">
        <f t="shared" si="60"/>
        <v>2226.5</v>
      </c>
      <c r="AS34" s="65">
        <f t="shared" si="61"/>
        <v>2226.5</v>
      </c>
      <c r="AT34" s="65">
        <f t="shared" si="62"/>
        <v>2226.5</v>
      </c>
      <c r="AU34" s="65">
        <f t="shared" si="63"/>
        <v>2226.5</v>
      </c>
      <c r="AV34" s="65">
        <f t="shared" si="64"/>
        <v>2226.5</v>
      </c>
      <c r="AW34" s="65">
        <f t="shared" si="65"/>
        <v>2226.5</v>
      </c>
      <c r="AX34" s="65">
        <f t="shared" si="66"/>
        <v>2226.5</v>
      </c>
      <c r="AY34" s="65">
        <f t="shared" si="67"/>
        <v>2226.5</v>
      </c>
      <c r="AZ34" s="65">
        <f t="shared" si="68"/>
        <v>2226.5</v>
      </c>
      <c r="BA34" s="65">
        <f t="shared" si="69"/>
        <v>2226.5</v>
      </c>
      <c r="BB34" s="65">
        <f t="shared" si="70"/>
        <v>2226.5</v>
      </c>
      <c r="BC34" s="65">
        <f t="shared" si="71"/>
        <v>2226.5</v>
      </c>
      <c r="BD34" s="65">
        <f t="shared" si="72"/>
        <v>2226.5</v>
      </c>
      <c r="BE34" s="65">
        <f t="shared" si="73"/>
        <v>2226.5</v>
      </c>
      <c r="BF34" s="65">
        <f t="shared" si="74"/>
        <v>2226.5</v>
      </c>
      <c r="BG34" s="65">
        <f t="shared" si="75"/>
        <v>2226.5</v>
      </c>
      <c r="BH34" s="65">
        <f t="shared" si="76"/>
        <v>2226.5</v>
      </c>
      <c r="BI34" s="65">
        <f t="shared" si="77"/>
        <v>2226.5</v>
      </c>
      <c r="BJ34" s="65">
        <f t="shared" si="78"/>
        <v>2226.5</v>
      </c>
      <c r="BK34" s="65">
        <f t="shared" si="79"/>
        <v>2226.5</v>
      </c>
      <c r="BL34" s="65">
        <f t="shared" si="80"/>
        <v>2226.5</v>
      </c>
      <c r="BM34" s="65">
        <f t="shared" si="81"/>
        <v>2226.5</v>
      </c>
      <c r="BN34" s="65">
        <f t="shared" si="82"/>
        <v>2226.5</v>
      </c>
      <c r="BO34" s="66" t="s">
        <v>211</v>
      </c>
    </row>
    <row r="35" spans="1:67" ht="12.75" customHeight="1">
      <c r="A35" s="560" t="s">
        <v>210</v>
      </c>
      <c r="B35" s="560" t="s">
        <v>208</v>
      </c>
      <c r="C35" s="63" t="s">
        <v>209</v>
      </c>
      <c r="D35" s="561" t="s">
        <v>95</v>
      </c>
      <c r="E35" s="64" t="s">
        <v>204</v>
      </c>
      <c r="F35" s="63">
        <v>1.22</v>
      </c>
      <c r="G35" s="71">
        <f t="shared" ref="G35:AJ35" si="85">5*365</f>
        <v>1825</v>
      </c>
      <c r="H35" s="71">
        <f t="shared" si="85"/>
        <v>1825</v>
      </c>
      <c r="I35" s="71">
        <f t="shared" si="85"/>
        <v>1825</v>
      </c>
      <c r="J35" s="71">
        <f t="shared" si="85"/>
        <v>1825</v>
      </c>
      <c r="K35" s="71">
        <f t="shared" si="85"/>
        <v>1825</v>
      </c>
      <c r="L35" s="71">
        <f t="shared" si="85"/>
        <v>1825</v>
      </c>
      <c r="M35" s="71">
        <f t="shared" si="85"/>
        <v>1825</v>
      </c>
      <c r="N35" s="71">
        <f t="shared" si="85"/>
        <v>1825</v>
      </c>
      <c r="O35" s="71">
        <f t="shared" si="85"/>
        <v>1825</v>
      </c>
      <c r="P35" s="71">
        <f t="shared" si="85"/>
        <v>1825</v>
      </c>
      <c r="Q35" s="71">
        <f t="shared" si="85"/>
        <v>1825</v>
      </c>
      <c r="R35" s="71">
        <f t="shared" si="85"/>
        <v>1825</v>
      </c>
      <c r="S35" s="71">
        <f t="shared" si="85"/>
        <v>1825</v>
      </c>
      <c r="T35" s="71">
        <f t="shared" si="85"/>
        <v>1825</v>
      </c>
      <c r="U35" s="71">
        <f t="shared" si="85"/>
        <v>1825</v>
      </c>
      <c r="V35" s="71">
        <f t="shared" si="85"/>
        <v>1825</v>
      </c>
      <c r="W35" s="71">
        <f t="shared" si="85"/>
        <v>1825</v>
      </c>
      <c r="X35" s="71">
        <f t="shared" si="85"/>
        <v>1825</v>
      </c>
      <c r="Y35" s="71">
        <f t="shared" si="85"/>
        <v>1825</v>
      </c>
      <c r="Z35" s="71">
        <f t="shared" si="85"/>
        <v>1825</v>
      </c>
      <c r="AA35" s="71">
        <f t="shared" si="85"/>
        <v>1825</v>
      </c>
      <c r="AB35" s="71">
        <f t="shared" si="85"/>
        <v>1825</v>
      </c>
      <c r="AC35" s="71">
        <f t="shared" si="85"/>
        <v>1825</v>
      </c>
      <c r="AD35" s="71">
        <f t="shared" si="85"/>
        <v>1825</v>
      </c>
      <c r="AE35" s="71">
        <f t="shared" si="85"/>
        <v>1825</v>
      </c>
      <c r="AF35" s="71">
        <f t="shared" si="85"/>
        <v>1825</v>
      </c>
      <c r="AG35" s="71">
        <f t="shared" si="85"/>
        <v>1825</v>
      </c>
      <c r="AH35" s="71">
        <f t="shared" si="85"/>
        <v>1825</v>
      </c>
      <c r="AI35" s="71">
        <f t="shared" si="85"/>
        <v>1825</v>
      </c>
      <c r="AJ35" s="71">
        <f t="shared" si="85"/>
        <v>1825</v>
      </c>
      <c r="AK35" s="65">
        <f t="shared" si="52"/>
        <v>2226.5</v>
      </c>
      <c r="AL35" s="65">
        <f t="shared" si="54"/>
        <v>2226.5</v>
      </c>
      <c r="AM35" s="65">
        <f t="shared" si="55"/>
        <v>2226.5</v>
      </c>
      <c r="AN35" s="65">
        <f t="shared" si="56"/>
        <v>2226.5</v>
      </c>
      <c r="AO35" s="65">
        <f t="shared" si="57"/>
        <v>2226.5</v>
      </c>
      <c r="AP35" s="65">
        <f t="shared" si="58"/>
        <v>2226.5</v>
      </c>
      <c r="AQ35" s="65">
        <f t="shared" si="59"/>
        <v>2226.5</v>
      </c>
      <c r="AR35" s="65">
        <f t="shared" si="60"/>
        <v>2226.5</v>
      </c>
      <c r="AS35" s="65">
        <f t="shared" si="61"/>
        <v>2226.5</v>
      </c>
      <c r="AT35" s="65">
        <f t="shared" si="62"/>
        <v>2226.5</v>
      </c>
      <c r="AU35" s="65">
        <f t="shared" si="63"/>
        <v>2226.5</v>
      </c>
      <c r="AV35" s="65">
        <f t="shared" si="64"/>
        <v>2226.5</v>
      </c>
      <c r="AW35" s="65">
        <f t="shared" si="65"/>
        <v>2226.5</v>
      </c>
      <c r="AX35" s="65">
        <f t="shared" si="66"/>
        <v>2226.5</v>
      </c>
      <c r="AY35" s="65">
        <f t="shared" si="67"/>
        <v>2226.5</v>
      </c>
      <c r="AZ35" s="65">
        <f t="shared" si="68"/>
        <v>2226.5</v>
      </c>
      <c r="BA35" s="65">
        <f t="shared" si="69"/>
        <v>2226.5</v>
      </c>
      <c r="BB35" s="65">
        <f t="shared" si="70"/>
        <v>2226.5</v>
      </c>
      <c r="BC35" s="65">
        <f t="shared" si="71"/>
        <v>2226.5</v>
      </c>
      <c r="BD35" s="65">
        <f t="shared" si="72"/>
        <v>2226.5</v>
      </c>
      <c r="BE35" s="65">
        <f t="shared" si="73"/>
        <v>2226.5</v>
      </c>
      <c r="BF35" s="65">
        <f t="shared" si="74"/>
        <v>2226.5</v>
      </c>
      <c r="BG35" s="65">
        <f t="shared" si="75"/>
        <v>2226.5</v>
      </c>
      <c r="BH35" s="65">
        <f t="shared" si="76"/>
        <v>2226.5</v>
      </c>
      <c r="BI35" s="65">
        <f t="shared" si="77"/>
        <v>2226.5</v>
      </c>
      <c r="BJ35" s="65">
        <f t="shared" si="78"/>
        <v>2226.5</v>
      </c>
      <c r="BK35" s="65">
        <f t="shared" si="79"/>
        <v>2226.5</v>
      </c>
      <c r="BL35" s="65">
        <f t="shared" si="80"/>
        <v>2226.5</v>
      </c>
      <c r="BM35" s="65">
        <f t="shared" si="81"/>
        <v>2226.5</v>
      </c>
      <c r="BN35" s="65">
        <f t="shared" si="82"/>
        <v>2226.5</v>
      </c>
      <c r="BO35" s="66"/>
    </row>
    <row r="36" spans="1:67" ht="13.5" customHeight="1">
      <c r="A36" s="560" t="s">
        <v>210</v>
      </c>
      <c r="B36" s="560" t="s">
        <v>208</v>
      </c>
      <c r="C36" s="63" t="s">
        <v>209</v>
      </c>
      <c r="D36" s="561" t="s">
        <v>96</v>
      </c>
      <c r="E36" s="64" t="s">
        <v>204</v>
      </c>
      <c r="F36" s="63">
        <v>1.22</v>
      </c>
      <c r="G36" s="71">
        <f t="shared" ref="G36:AJ36" si="86">5*365</f>
        <v>1825</v>
      </c>
      <c r="H36" s="71">
        <f t="shared" si="86"/>
        <v>1825</v>
      </c>
      <c r="I36" s="71">
        <f t="shared" si="86"/>
        <v>1825</v>
      </c>
      <c r="J36" s="71">
        <f t="shared" si="86"/>
        <v>1825</v>
      </c>
      <c r="K36" s="71">
        <f t="shared" si="86"/>
        <v>1825</v>
      </c>
      <c r="L36" s="71">
        <f t="shared" si="86"/>
        <v>1825</v>
      </c>
      <c r="M36" s="71">
        <f t="shared" si="86"/>
        <v>1825</v>
      </c>
      <c r="N36" s="71">
        <f t="shared" si="86"/>
        <v>1825</v>
      </c>
      <c r="O36" s="71">
        <f t="shared" si="86"/>
        <v>1825</v>
      </c>
      <c r="P36" s="71">
        <f t="shared" si="86"/>
        <v>1825</v>
      </c>
      <c r="Q36" s="71">
        <f t="shared" si="86"/>
        <v>1825</v>
      </c>
      <c r="R36" s="71">
        <f t="shared" si="86"/>
        <v>1825</v>
      </c>
      <c r="S36" s="71">
        <f t="shared" si="86"/>
        <v>1825</v>
      </c>
      <c r="T36" s="71">
        <f t="shared" si="86"/>
        <v>1825</v>
      </c>
      <c r="U36" s="71">
        <f t="shared" si="86"/>
        <v>1825</v>
      </c>
      <c r="V36" s="71">
        <f t="shared" si="86"/>
        <v>1825</v>
      </c>
      <c r="W36" s="71">
        <f t="shared" si="86"/>
        <v>1825</v>
      </c>
      <c r="X36" s="71">
        <f t="shared" si="86"/>
        <v>1825</v>
      </c>
      <c r="Y36" s="71">
        <f t="shared" si="86"/>
        <v>1825</v>
      </c>
      <c r="Z36" s="71">
        <f t="shared" si="86"/>
        <v>1825</v>
      </c>
      <c r="AA36" s="71">
        <f t="shared" si="86"/>
        <v>1825</v>
      </c>
      <c r="AB36" s="71">
        <f t="shared" si="86"/>
        <v>1825</v>
      </c>
      <c r="AC36" s="71">
        <f t="shared" si="86"/>
        <v>1825</v>
      </c>
      <c r="AD36" s="71">
        <f t="shared" si="86"/>
        <v>1825</v>
      </c>
      <c r="AE36" s="71">
        <f t="shared" si="86"/>
        <v>1825</v>
      </c>
      <c r="AF36" s="71">
        <f t="shared" si="86"/>
        <v>1825</v>
      </c>
      <c r="AG36" s="71">
        <f t="shared" si="86"/>
        <v>1825</v>
      </c>
      <c r="AH36" s="71">
        <f t="shared" si="86"/>
        <v>1825</v>
      </c>
      <c r="AI36" s="71">
        <f t="shared" si="86"/>
        <v>1825</v>
      </c>
      <c r="AJ36" s="71">
        <f t="shared" si="86"/>
        <v>1825</v>
      </c>
      <c r="AK36" s="65">
        <f t="shared" si="52"/>
        <v>2226.5</v>
      </c>
      <c r="AL36" s="65">
        <f t="shared" si="54"/>
        <v>2226.5</v>
      </c>
      <c r="AM36" s="65">
        <f t="shared" si="55"/>
        <v>2226.5</v>
      </c>
      <c r="AN36" s="65">
        <f t="shared" si="56"/>
        <v>2226.5</v>
      </c>
      <c r="AO36" s="65">
        <f t="shared" si="57"/>
        <v>2226.5</v>
      </c>
      <c r="AP36" s="65">
        <f t="shared" si="58"/>
        <v>2226.5</v>
      </c>
      <c r="AQ36" s="65">
        <f t="shared" si="59"/>
        <v>2226.5</v>
      </c>
      <c r="AR36" s="65">
        <f t="shared" si="60"/>
        <v>2226.5</v>
      </c>
      <c r="AS36" s="65">
        <f t="shared" si="61"/>
        <v>2226.5</v>
      </c>
      <c r="AT36" s="65">
        <f t="shared" si="62"/>
        <v>2226.5</v>
      </c>
      <c r="AU36" s="65">
        <f t="shared" si="63"/>
        <v>2226.5</v>
      </c>
      <c r="AV36" s="65">
        <f t="shared" si="64"/>
        <v>2226.5</v>
      </c>
      <c r="AW36" s="65">
        <f t="shared" si="65"/>
        <v>2226.5</v>
      </c>
      <c r="AX36" s="65">
        <f t="shared" si="66"/>
        <v>2226.5</v>
      </c>
      <c r="AY36" s="65">
        <f t="shared" si="67"/>
        <v>2226.5</v>
      </c>
      <c r="AZ36" s="65">
        <f t="shared" si="68"/>
        <v>2226.5</v>
      </c>
      <c r="BA36" s="65">
        <f t="shared" si="69"/>
        <v>2226.5</v>
      </c>
      <c r="BB36" s="65">
        <f t="shared" si="70"/>
        <v>2226.5</v>
      </c>
      <c r="BC36" s="65">
        <f t="shared" si="71"/>
        <v>2226.5</v>
      </c>
      <c r="BD36" s="65">
        <f t="shared" si="72"/>
        <v>2226.5</v>
      </c>
      <c r="BE36" s="65">
        <f t="shared" si="73"/>
        <v>2226.5</v>
      </c>
      <c r="BF36" s="65">
        <f t="shared" si="74"/>
        <v>2226.5</v>
      </c>
      <c r="BG36" s="65">
        <f t="shared" si="75"/>
        <v>2226.5</v>
      </c>
      <c r="BH36" s="65">
        <f t="shared" si="76"/>
        <v>2226.5</v>
      </c>
      <c r="BI36" s="65">
        <f t="shared" si="77"/>
        <v>2226.5</v>
      </c>
      <c r="BJ36" s="65">
        <f t="shared" si="78"/>
        <v>2226.5</v>
      </c>
      <c r="BK36" s="65">
        <f t="shared" si="79"/>
        <v>2226.5</v>
      </c>
      <c r="BL36" s="65">
        <f t="shared" si="80"/>
        <v>2226.5</v>
      </c>
      <c r="BM36" s="65">
        <f t="shared" si="81"/>
        <v>2226.5</v>
      </c>
      <c r="BN36" s="65">
        <f t="shared" si="82"/>
        <v>2226.5</v>
      </c>
      <c r="BO36" s="66"/>
    </row>
    <row r="37" spans="1:67" ht="13.5" customHeight="1">
      <c r="A37" s="560" t="s">
        <v>210</v>
      </c>
      <c r="B37" s="560" t="s">
        <v>208</v>
      </c>
      <c r="C37" s="63" t="s">
        <v>209</v>
      </c>
      <c r="D37" s="561" t="s">
        <v>100</v>
      </c>
      <c r="E37" s="64" t="s">
        <v>204</v>
      </c>
      <c r="F37" s="63">
        <v>1.22</v>
      </c>
      <c r="G37" s="71">
        <f t="shared" ref="G37:AJ37" si="87">5*365</f>
        <v>1825</v>
      </c>
      <c r="H37" s="71">
        <f t="shared" si="87"/>
        <v>1825</v>
      </c>
      <c r="I37" s="71">
        <f t="shared" si="87"/>
        <v>1825</v>
      </c>
      <c r="J37" s="71">
        <f t="shared" si="87"/>
        <v>1825</v>
      </c>
      <c r="K37" s="71">
        <f t="shared" si="87"/>
        <v>1825</v>
      </c>
      <c r="L37" s="71">
        <f t="shared" si="87"/>
        <v>1825</v>
      </c>
      <c r="M37" s="71">
        <f t="shared" si="87"/>
        <v>1825</v>
      </c>
      <c r="N37" s="71">
        <f t="shared" si="87"/>
        <v>1825</v>
      </c>
      <c r="O37" s="71">
        <f t="shared" si="87"/>
        <v>1825</v>
      </c>
      <c r="P37" s="71">
        <f t="shared" si="87"/>
        <v>1825</v>
      </c>
      <c r="Q37" s="71">
        <f t="shared" si="87"/>
        <v>1825</v>
      </c>
      <c r="R37" s="71">
        <f t="shared" si="87"/>
        <v>1825</v>
      </c>
      <c r="S37" s="71">
        <f t="shared" si="87"/>
        <v>1825</v>
      </c>
      <c r="T37" s="71">
        <f t="shared" si="87"/>
        <v>1825</v>
      </c>
      <c r="U37" s="71">
        <f t="shared" si="87"/>
        <v>1825</v>
      </c>
      <c r="V37" s="71">
        <f t="shared" si="87"/>
        <v>1825</v>
      </c>
      <c r="W37" s="71">
        <f t="shared" si="87"/>
        <v>1825</v>
      </c>
      <c r="X37" s="71">
        <f t="shared" si="87"/>
        <v>1825</v>
      </c>
      <c r="Y37" s="71">
        <f t="shared" si="87"/>
        <v>1825</v>
      </c>
      <c r="Z37" s="71">
        <f t="shared" si="87"/>
        <v>1825</v>
      </c>
      <c r="AA37" s="71">
        <f t="shared" si="87"/>
        <v>1825</v>
      </c>
      <c r="AB37" s="71">
        <f t="shared" si="87"/>
        <v>1825</v>
      </c>
      <c r="AC37" s="71">
        <f t="shared" si="87"/>
        <v>1825</v>
      </c>
      <c r="AD37" s="71">
        <f t="shared" si="87"/>
        <v>1825</v>
      </c>
      <c r="AE37" s="71">
        <f t="shared" si="87"/>
        <v>1825</v>
      </c>
      <c r="AF37" s="71">
        <f t="shared" si="87"/>
        <v>1825</v>
      </c>
      <c r="AG37" s="71">
        <f t="shared" si="87"/>
        <v>1825</v>
      </c>
      <c r="AH37" s="71">
        <f t="shared" si="87"/>
        <v>1825</v>
      </c>
      <c r="AI37" s="71">
        <f t="shared" si="87"/>
        <v>1825</v>
      </c>
      <c r="AJ37" s="71">
        <f t="shared" si="87"/>
        <v>1825</v>
      </c>
      <c r="AK37" s="65">
        <f t="shared" si="52"/>
        <v>2226.5</v>
      </c>
      <c r="AL37" s="65">
        <f t="shared" si="54"/>
        <v>2226.5</v>
      </c>
      <c r="AM37" s="65">
        <f t="shared" si="55"/>
        <v>2226.5</v>
      </c>
      <c r="AN37" s="65">
        <f t="shared" si="56"/>
        <v>2226.5</v>
      </c>
      <c r="AO37" s="65">
        <f t="shared" si="57"/>
        <v>2226.5</v>
      </c>
      <c r="AP37" s="65">
        <f t="shared" si="58"/>
        <v>2226.5</v>
      </c>
      <c r="AQ37" s="65">
        <f t="shared" si="59"/>
        <v>2226.5</v>
      </c>
      <c r="AR37" s="65">
        <f t="shared" si="60"/>
        <v>2226.5</v>
      </c>
      <c r="AS37" s="65">
        <f t="shared" si="61"/>
        <v>2226.5</v>
      </c>
      <c r="AT37" s="65">
        <f t="shared" si="62"/>
        <v>2226.5</v>
      </c>
      <c r="AU37" s="65">
        <f t="shared" si="63"/>
        <v>2226.5</v>
      </c>
      <c r="AV37" s="65">
        <f t="shared" si="64"/>
        <v>2226.5</v>
      </c>
      <c r="AW37" s="65">
        <f t="shared" si="65"/>
        <v>2226.5</v>
      </c>
      <c r="AX37" s="65">
        <f t="shared" si="66"/>
        <v>2226.5</v>
      </c>
      <c r="AY37" s="65">
        <f t="shared" si="67"/>
        <v>2226.5</v>
      </c>
      <c r="AZ37" s="65">
        <f t="shared" si="68"/>
        <v>2226.5</v>
      </c>
      <c r="BA37" s="65">
        <f t="shared" si="69"/>
        <v>2226.5</v>
      </c>
      <c r="BB37" s="65">
        <f t="shared" si="70"/>
        <v>2226.5</v>
      </c>
      <c r="BC37" s="65">
        <f t="shared" si="71"/>
        <v>2226.5</v>
      </c>
      <c r="BD37" s="65">
        <f t="shared" si="72"/>
        <v>2226.5</v>
      </c>
      <c r="BE37" s="65">
        <f t="shared" si="73"/>
        <v>2226.5</v>
      </c>
      <c r="BF37" s="65">
        <f t="shared" si="74"/>
        <v>2226.5</v>
      </c>
      <c r="BG37" s="65">
        <f t="shared" si="75"/>
        <v>2226.5</v>
      </c>
      <c r="BH37" s="65">
        <f t="shared" si="76"/>
        <v>2226.5</v>
      </c>
      <c r="BI37" s="65">
        <f t="shared" si="77"/>
        <v>2226.5</v>
      </c>
      <c r="BJ37" s="65">
        <f t="shared" si="78"/>
        <v>2226.5</v>
      </c>
      <c r="BK37" s="65">
        <f t="shared" si="79"/>
        <v>2226.5</v>
      </c>
      <c r="BL37" s="65">
        <f t="shared" si="80"/>
        <v>2226.5</v>
      </c>
      <c r="BM37" s="65">
        <f t="shared" si="81"/>
        <v>2226.5</v>
      </c>
      <c r="BN37" s="65">
        <f t="shared" si="82"/>
        <v>2226.5</v>
      </c>
      <c r="BO37" s="66"/>
    </row>
    <row r="38" spans="1:67" ht="13.5" customHeight="1">
      <c r="A38" s="560" t="s">
        <v>210</v>
      </c>
      <c r="B38" s="560" t="s">
        <v>208</v>
      </c>
      <c r="C38" s="63" t="s">
        <v>209</v>
      </c>
      <c r="D38" s="561" t="s">
        <v>101</v>
      </c>
      <c r="E38" s="64" t="s">
        <v>204</v>
      </c>
      <c r="F38" s="63">
        <v>1.22</v>
      </c>
      <c r="G38" s="71">
        <f t="shared" ref="G38:AJ38" si="88">5*365</f>
        <v>1825</v>
      </c>
      <c r="H38" s="71">
        <f t="shared" si="88"/>
        <v>1825</v>
      </c>
      <c r="I38" s="71">
        <f t="shared" si="88"/>
        <v>1825</v>
      </c>
      <c r="J38" s="71">
        <f t="shared" si="88"/>
        <v>1825</v>
      </c>
      <c r="K38" s="71">
        <f t="shared" si="88"/>
        <v>1825</v>
      </c>
      <c r="L38" s="71">
        <f t="shared" si="88"/>
        <v>1825</v>
      </c>
      <c r="M38" s="71">
        <f t="shared" si="88"/>
        <v>1825</v>
      </c>
      <c r="N38" s="71">
        <f t="shared" si="88"/>
        <v>1825</v>
      </c>
      <c r="O38" s="71">
        <f t="shared" si="88"/>
        <v>1825</v>
      </c>
      <c r="P38" s="71">
        <f t="shared" si="88"/>
        <v>1825</v>
      </c>
      <c r="Q38" s="71">
        <f t="shared" si="88"/>
        <v>1825</v>
      </c>
      <c r="R38" s="71">
        <f t="shared" si="88"/>
        <v>1825</v>
      </c>
      <c r="S38" s="71">
        <f t="shared" si="88"/>
        <v>1825</v>
      </c>
      <c r="T38" s="71">
        <f t="shared" si="88"/>
        <v>1825</v>
      </c>
      <c r="U38" s="71">
        <f t="shared" si="88"/>
        <v>1825</v>
      </c>
      <c r="V38" s="71">
        <f t="shared" si="88"/>
        <v>1825</v>
      </c>
      <c r="W38" s="71">
        <f t="shared" si="88"/>
        <v>1825</v>
      </c>
      <c r="X38" s="71">
        <f t="shared" si="88"/>
        <v>1825</v>
      </c>
      <c r="Y38" s="71">
        <f t="shared" si="88"/>
        <v>1825</v>
      </c>
      <c r="Z38" s="71">
        <f t="shared" si="88"/>
        <v>1825</v>
      </c>
      <c r="AA38" s="71">
        <f t="shared" si="88"/>
        <v>1825</v>
      </c>
      <c r="AB38" s="71">
        <f t="shared" si="88"/>
        <v>1825</v>
      </c>
      <c r="AC38" s="71">
        <f t="shared" si="88"/>
        <v>1825</v>
      </c>
      <c r="AD38" s="71">
        <f t="shared" si="88"/>
        <v>1825</v>
      </c>
      <c r="AE38" s="71">
        <f t="shared" si="88"/>
        <v>1825</v>
      </c>
      <c r="AF38" s="71">
        <f t="shared" si="88"/>
        <v>1825</v>
      </c>
      <c r="AG38" s="71">
        <f t="shared" si="88"/>
        <v>1825</v>
      </c>
      <c r="AH38" s="71">
        <f t="shared" si="88"/>
        <v>1825</v>
      </c>
      <c r="AI38" s="71">
        <f t="shared" si="88"/>
        <v>1825</v>
      </c>
      <c r="AJ38" s="71">
        <f t="shared" si="88"/>
        <v>1825</v>
      </c>
      <c r="AK38" s="65">
        <f t="shared" si="52"/>
        <v>2226.5</v>
      </c>
      <c r="AL38" s="65">
        <f t="shared" si="54"/>
        <v>2226.5</v>
      </c>
      <c r="AM38" s="65">
        <f t="shared" si="55"/>
        <v>2226.5</v>
      </c>
      <c r="AN38" s="65">
        <f t="shared" si="56"/>
        <v>2226.5</v>
      </c>
      <c r="AO38" s="65">
        <f t="shared" si="57"/>
        <v>2226.5</v>
      </c>
      <c r="AP38" s="65">
        <f t="shared" si="58"/>
        <v>2226.5</v>
      </c>
      <c r="AQ38" s="65">
        <f t="shared" si="59"/>
        <v>2226.5</v>
      </c>
      <c r="AR38" s="65">
        <f t="shared" si="60"/>
        <v>2226.5</v>
      </c>
      <c r="AS38" s="65">
        <f t="shared" si="61"/>
        <v>2226.5</v>
      </c>
      <c r="AT38" s="65">
        <f t="shared" si="62"/>
        <v>2226.5</v>
      </c>
      <c r="AU38" s="65">
        <f t="shared" si="63"/>
        <v>2226.5</v>
      </c>
      <c r="AV38" s="65">
        <f t="shared" si="64"/>
        <v>2226.5</v>
      </c>
      <c r="AW38" s="65">
        <f t="shared" si="65"/>
        <v>2226.5</v>
      </c>
      <c r="AX38" s="65">
        <f t="shared" si="66"/>
        <v>2226.5</v>
      </c>
      <c r="AY38" s="65">
        <f t="shared" si="67"/>
        <v>2226.5</v>
      </c>
      <c r="AZ38" s="65">
        <f t="shared" si="68"/>
        <v>2226.5</v>
      </c>
      <c r="BA38" s="65">
        <f t="shared" si="69"/>
        <v>2226.5</v>
      </c>
      <c r="BB38" s="65">
        <f t="shared" si="70"/>
        <v>2226.5</v>
      </c>
      <c r="BC38" s="65">
        <f t="shared" si="71"/>
        <v>2226.5</v>
      </c>
      <c r="BD38" s="65">
        <f t="shared" si="72"/>
        <v>2226.5</v>
      </c>
      <c r="BE38" s="65">
        <f t="shared" si="73"/>
        <v>2226.5</v>
      </c>
      <c r="BF38" s="65">
        <f t="shared" si="74"/>
        <v>2226.5</v>
      </c>
      <c r="BG38" s="65">
        <f t="shared" si="75"/>
        <v>2226.5</v>
      </c>
      <c r="BH38" s="65">
        <f t="shared" si="76"/>
        <v>2226.5</v>
      </c>
      <c r="BI38" s="65">
        <f t="shared" si="77"/>
        <v>2226.5</v>
      </c>
      <c r="BJ38" s="65">
        <f t="shared" si="78"/>
        <v>2226.5</v>
      </c>
      <c r="BK38" s="65">
        <f t="shared" si="79"/>
        <v>2226.5</v>
      </c>
      <c r="BL38" s="65">
        <f t="shared" si="80"/>
        <v>2226.5</v>
      </c>
      <c r="BM38" s="65">
        <f t="shared" si="81"/>
        <v>2226.5</v>
      </c>
      <c r="BN38" s="65">
        <f t="shared" si="82"/>
        <v>2226.5</v>
      </c>
      <c r="BO38" s="66"/>
    </row>
    <row r="39" spans="1:67" ht="13.5" customHeight="1">
      <c r="A39" s="560" t="s">
        <v>210</v>
      </c>
      <c r="B39" s="560" t="s">
        <v>208</v>
      </c>
      <c r="C39" s="63" t="s">
        <v>209</v>
      </c>
      <c r="D39" s="561" t="s">
        <v>102</v>
      </c>
      <c r="E39" s="64" t="s">
        <v>204</v>
      </c>
      <c r="F39" s="63">
        <v>1.22</v>
      </c>
      <c r="G39" s="71">
        <f t="shared" ref="G39:AJ39" si="89">5*365</f>
        <v>1825</v>
      </c>
      <c r="H39" s="71">
        <f t="shared" si="89"/>
        <v>1825</v>
      </c>
      <c r="I39" s="71">
        <f t="shared" si="89"/>
        <v>1825</v>
      </c>
      <c r="J39" s="71">
        <f t="shared" si="89"/>
        <v>1825</v>
      </c>
      <c r="K39" s="71">
        <f t="shared" si="89"/>
        <v>1825</v>
      </c>
      <c r="L39" s="71">
        <f t="shared" si="89"/>
        <v>1825</v>
      </c>
      <c r="M39" s="71">
        <f t="shared" si="89"/>
        <v>1825</v>
      </c>
      <c r="N39" s="71">
        <f t="shared" si="89"/>
        <v>1825</v>
      </c>
      <c r="O39" s="71">
        <f t="shared" si="89"/>
        <v>1825</v>
      </c>
      <c r="P39" s="71">
        <f t="shared" si="89"/>
        <v>1825</v>
      </c>
      <c r="Q39" s="71">
        <f t="shared" si="89"/>
        <v>1825</v>
      </c>
      <c r="R39" s="71">
        <f t="shared" si="89"/>
        <v>1825</v>
      </c>
      <c r="S39" s="71">
        <f t="shared" si="89"/>
        <v>1825</v>
      </c>
      <c r="T39" s="71">
        <f t="shared" si="89"/>
        <v>1825</v>
      </c>
      <c r="U39" s="71">
        <f t="shared" si="89"/>
        <v>1825</v>
      </c>
      <c r="V39" s="71">
        <f t="shared" si="89"/>
        <v>1825</v>
      </c>
      <c r="W39" s="71">
        <f t="shared" si="89"/>
        <v>1825</v>
      </c>
      <c r="X39" s="71">
        <f t="shared" si="89"/>
        <v>1825</v>
      </c>
      <c r="Y39" s="71">
        <f t="shared" si="89"/>
        <v>1825</v>
      </c>
      <c r="Z39" s="71">
        <f t="shared" si="89"/>
        <v>1825</v>
      </c>
      <c r="AA39" s="71">
        <f t="shared" si="89"/>
        <v>1825</v>
      </c>
      <c r="AB39" s="71">
        <f t="shared" si="89"/>
        <v>1825</v>
      </c>
      <c r="AC39" s="71">
        <f t="shared" si="89"/>
        <v>1825</v>
      </c>
      <c r="AD39" s="71">
        <f t="shared" si="89"/>
        <v>1825</v>
      </c>
      <c r="AE39" s="71">
        <f t="shared" si="89"/>
        <v>1825</v>
      </c>
      <c r="AF39" s="71">
        <f t="shared" si="89"/>
        <v>1825</v>
      </c>
      <c r="AG39" s="71">
        <f t="shared" si="89"/>
        <v>1825</v>
      </c>
      <c r="AH39" s="71">
        <f t="shared" si="89"/>
        <v>1825</v>
      </c>
      <c r="AI39" s="71">
        <f t="shared" si="89"/>
        <v>1825</v>
      </c>
      <c r="AJ39" s="71">
        <f t="shared" si="89"/>
        <v>1825</v>
      </c>
      <c r="AK39" s="65">
        <f t="shared" si="52"/>
        <v>2226.5</v>
      </c>
      <c r="AL39" s="65">
        <f t="shared" si="54"/>
        <v>2226.5</v>
      </c>
      <c r="AM39" s="65">
        <f t="shared" si="55"/>
        <v>2226.5</v>
      </c>
      <c r="AN39" s="65">
        <f t="shared" si="56"/>
        <v>2226.5</v>
      </c>
      <c r="AO39" s="65">
        <f t="shared" si="57"/>
        <v>2226.5</v>
      </c>
      <c r="AP39" s="65">
        <f t="shared" si="58"/>
        <v>2226.5</v>
      </c>
      <c r="AQ39" s="65">
        <f t="shared" si="59"/>
        <v>2226.5</v>
      </c>
      <c r="AR39" s="65">
        <f t="shared" si="60"/>
        <v>2226.5</v>
      </c>
      <c r="AS39" s="65">
        <f t="shared" si="61"/>
        <v>2226.5</v>
      </c>
      <c r="AT39" s="65">
        <f t="shared" si="62"/>
        <v>2226.5</v>
      </c>
      <c r="AU39" s="65">
        <f t="shared" si="63"/>
        <v>2226.5</v>
      </c>
      <c r="AV39" s="65">
        <f t="shared" si="64"/>
        <v>2226.5</v>
      </c>
      <c r="AW39" s="65">
        <f t="shared" si="65"/>
        <v>2226.5</v>
      </c>
      <c r="AX39" s="65">
        <f t="shared" si="66"/>
        <v>2226.5</v>
      </c>
      <c r="AY39" s="65">
        <f t="shared" si="67"/>
        <v>2226.5</v>
      </c>
      <c r="AZ39" s="65">
        <f t="shared" si="68"/>
        <v>2226.5</v>
      </c>
      <c r="BA39" s="65">
        <f t="shared" si="69"/>
        <v>2226.5</v>
      </c>
      <c r="BB39" s="65">
        <f t="shared" si="70"/>
        <v>2226.5</v>
      </c>
      <c r="BC39" s="65">
        <f t="shared" si="71"/>
        <v>2226.5</v>
      </c>
      <c r="BD39" s="65">
        <f t="shared" si="72"/>
        <v>2226.5</v>
      </c>
      <c r="BE39" s="65">
        <f t="shared" si="73"/>
        <v>2226.5</v>
      </c>
      <c r="BF39" s="65">
        <f t="shared" si="74"/>
        <v>2226.5</v>
      </c>
      <c r="BG39" s="65">
        <f t="shared" si="75"/>
        <v>2226.5</v>
      </c>
      <c r="BH39" s="65">
        <f t="shared" si="76"/>
        <v>2226.5</v>
      </c>
      <c r="BI39" s="65">
        <f t="shared" si="77"/>
        <v>2226.5</v>
      </c>
      <c r="BJ39" s="65">
        <f t="shared" si="78"/>
        <v>2226.5</v>
      </c>
      <c r="BK39" s="65">
        <f t="shared" si="79"/>
        <v>2226.5</v>
      </c>
      <c r="BL39" s="65">
        <f t="shared" si="80"/>
        <v>2226.5</v>
      </c>
      <c r="BM39" s="65">
        <f t="shared" si="81"/>
        <v>2226.5</v>
      </c>
      <c r="BN39" s="65">
        <f t="shared" si="82"/>
        <v>2226.5</v>
      </c>
      <c r="BO39" s="66"/>
    </row>
    <row r="40" spans="1:67" ht="13.5" customHeight="1">
      <c r="A40" s="560"/>
      <c r="B40" s="560"/>
      <c r="C40" s="63"/>
      <c r="D40" s="561"/>
      <c r="E40" s="64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5">
        <f t="shared" si="52"/>
        <v>0</v>
      </c>
      <c r="AL40" s="65">
        <f t="shared" si="54"/>
        <v>0</v>
      </c>
      <c r="AM40" s="65">
        <f t="shared" si="55"/>
        <v>0</v>
      </c>
      <c r="AN40" s="65">
        <f t="shared" si="56"/>
        <v>0</v>
      </c>
      <c r="AO40" s="65">
        <f t="shared" si="57"/>
        <v>0</v>
      </c>
      <c r="AP40" s="65">
        <f t="shared" si="58"/>
        <v>0</v>
      </c>
      <c r="AQ40" s="65">
        <f t="shared" si="59"/>
        <v>0</v>
      </c>
      <c r="AR40" s="65">
        <f t="shared" si="60"/>
        <v>0</v>
      </c>
      <c r="AS40" s="65">
        <f t="shared" si="61"/>
        <v>0</v>
      </c>
      <c r="AT40" s="65">
        <f t="shared" si="62"/>
        <v>0</v>
      </c>
      <c r="AU40" s="65">
        <f t="shared" si="63"/>
        <v>0</v>
      </c>
      <c r="AV40" s="65">
        <f t="shared" si="64"/>
        <v>0</v>
      </c>
      <c r="AW40" s="65">
        <f t="shared" si="65"/>
        <v>0</v>
      </c>
      <c r="AX40" s="65">
        <f t="shared" si="66"/>
        <v>0</v>
      </c>
      <c r="AY40" s="65">
        <f t="shared" si="67"/>
        <v>0</v>
      </c>
      <c r="AZ40" s="65">
        <f t="shared" si="68"/>
        <v>0</v>
      </c>
      <c r="BA40" s="65">
        <f t="shared" si="69"/>
        <v>0</v>
      </c>
      <c r="BB40" s="65">
        <f t="shared" si="70"/>
        <v>0</v>
      </c>
      <c r="BC40" s="65">
        <f t="shared" si="71"/>
        <v>0</v>
      </c>
      <c r="BD40" s="65">
        <f t="shared" si="72"/>
        <v>0</v>
      </c>
      <c r="BE40" s="65">
        <f t="shared" si="73"/>
        <v>0</v>
      </c>
      <c r="BF40" s="65">
        <f t="shared" si="74"/>
        <v>0</v>
      </c>
      <c r="BG40" s="65">
        <f t="shared" si="75"/>
        <v>0</v>
      </c>
      <c r="BH40" s="65">
        <f t="shared" si="76"/>
        <v>0</v>
      </c>
      <c r="BI40" s="65">
        <f t="shared" si="77"/>
        <v>0</v>
      </c>
      <c r="BJ40" s="65">
        <f t="shared" si="78"/>
        <v>0</v>
      </c>
      <c r="BK40" s="65">
        <f t="shared" si="79"/>
        <v>0</v>
      </c>
      <c r="BL40" s="65">
        <f t="shared" si="80"/>
        <v>0</v>
      </c>
      <c r="BM40" s="65">
        <f t="shared" si="81"/>
        <v>0</v>
      </c>
      <c r="BN40" s="65">
        <f t="shared" si="82"/>
        <v>0</v>
      </c>
      <c r="BO40" s="66"/>
    </row>
    <row r="41" spans="1:67" ht="13.5" customHeight="1">
      <c r="A41" s="560"/>
      <c r="B41" s="560"/>
      <c r="C41" s="63"/>
      <c r="D41" s="561"/>
      <c r="E41" s="64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5">
        <f t="shared" si="52"/>
        <v>0</v>
      </c>
      <c r="AL41" s="65">
        <f t="shared" si="54"/>
        <v>0</v>
      </c>
      <c r="AM41" s="65">
        <f t="shared" si="55"/>
        <v>0</v>
      </c>
      <c r="AN41" s="65">
        <f t="shared" si="56"/>
        <v>0</v>
      </c>
      <c r="AO41" s="65">
        <f t="shared" si="57"/>
        <v>0</v>
      </c>
      <c r="AP41" s="65">
        <f t="shared" si="58"/>
        <v>0</v>
      </c>
      <c r="AQ41" s="65">
        <f t="shared" si="59"/>
        <v>0</v>
      </c>
      <c r="AR41" s="65">
        <f t="shared" si="60"/>
        <v>0</v>
      </c>
      <c r="AS41" s="65">
        <f t="shared" si="61"/>
        <v>0</v>
      </c>
      <c r="AT41" s="65">
        <f t="shared" si="62"/>
        <v>0</v>
      </c>
      <c r="AU41" s="65">
        <f t="shared" si="63"/>
        <v>0</v>
      </c>
      <c r="AV41" s="65">
        <f t="shared" si="64"/>
        <v>0</v>
      </c>
      <c r="AW41" s="65">
        <f t="shared" si="65"/>
        <v>0</v>
      </c>
      <c r="AX41" s="65">
        <f t="shared" si="66"/>
        <v>0</v>
      </c>
      <c r="AY41" s="65">
        <f t="shared" si="67"/>
        <v>0</v>
      </c>
      <c r="AZ41" s="65">
        <f t="shared" si="68"/>
        <v>0</v>
      </c>
      <c r="BA41" s="65">
        <f t="shared" si="69"/>
        <v>0</v>
      </c>
      <c r="BB41" s="65">
        <f t="shared" si="70"/>
        <v>0</v>
      </c>
      <c r="BC41" s="65">
        <f t="shared" si="71"/>
        <v>0</v>
      </c>
      <c r="BD41" s="65">
        <f t="shared" si="72"/>
        <v>0</v>
      </c>
      <c r="BE41" s="65">
        <f t="shared" si="73"/>
        <v>0</v>
      </c>
      <c r="BF41" s="65">
        <f t="shared" si="74"/>
        <v>0</v>
      </c>
      <c r="BG41" s="65">
        <f t="shared" si="75"/>
        <v>0</v>
      </c>
      <c r="BH41" s="65">
        <f t="shared" si="76"/>
        <v>0</v>
      </c>
      <c r="BI41" s="65">
        <f t="shared" si="77"/>
        <v>0</v>
      </c>
      <c r="BJ41" s="65">
        <f t="shared" si="78"/>
        <v>0</v>
      </c>
      <c r="BK41" s="65">
        <f t="shared" si="79"/>
        <v>0</v>
      </c>
      <c r="BL41" s="65">
        <f t="shared" si="80"/>
        <v>0</v>
      </c>
      <c r="BM41" s="65">
        <f t="shared" si="81"/>
        <v>0</v>
      </c>
      <c r="BN41" s="65">
        <f t="shared" si="82"/>
        <v>0</v>
      </c>
      <c r="BO41" s="66"/>
    </row>
    <row r="42" spans="1:67" ht="13.5" customHeight="1">
      <c r="A42" s="560"/>
      <c r="B42" s="560"/>
      <c r="C42" s="63"/>
      <c r="D42" s="561"/>
      <c r="E42" s="64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5">
        <f t="shared" si="52"/>
        <v>0</v>
      </c>
      <c r="AL42" s="65">
        <f t="shared" si="54"/>
        <v>0</v>
      </c>
      <c r="AM42" s="65">
        <f t="shared" si="55"/>
        <v>0</v>
      </c>
      <c r="AN42" s="65">
        <f t="shared" si="56"/>
        <v>0</v>
      </c>
      <c r="AO42" s="65">
        <f t="shared" si="57"/>
        <v>0</v>
      </c>
      <c r="AP42" s="65">
        <f t="shared" si="58"/>
        <v>0</v>
      </c>
      <c r="AQ42" s="65">
        <f t="shared" si="59"/>
        <v>0</v>
      </c>
      <c r="AR42" s="65">
        <f t="shared" si="60"/>
        <v>0</v>
      </c>
      <c r="AS42" s="65">
        <f t="shared" si="61"/>
        <v>0</v>
      </c>
      <c r="AT42" s="65">
        <f t="shared" si="62"/>
        <v>0</v>
      </c>
      <c r="AU42" s="65">
        <f t="shared" si="63"/>
        <v>0</v>
      </c>
      <c r="AV42" s="65">
        <f t="shared" si="64"/>
        <v>0</v>
      </c>
      <c r="AW42" s="65">
        <f t="shared" si="65"/>
        <v>0</v>
      </c>
      <c r="AX42" s="65">
        <f t="shared" si="66"/>
        <v>0</v>
      </c>
      <c r="AY42" s="65">
        <f t="shared" si="67"/>
        <v>0</v>
      </c>
      <c r="AZ42" s="65">
        <f t="shared" si="68"/>
        <v>0</v>
      </c>
      <c r="BA42" s="65">
        <f t="shared" si="69"/>
        <v>0</v>
      </c>
      <c r="BB42" s="65">
        <f t="shared" si="70"/>
        <v>0</v>
      </c>
      <c r="BC42" s="65">
        <f t="shared" si="71"/>
        <v>0</v>
      </c>
      <c r="BD42" s="65">
        <f t="shared" si="72"/>
        <v>0</v>
      </c>
      <c r="BE42" s="65">
        <f t="shared" si="73"/>
        <v>0</v>
      </c>
      <c r="BF42" s="65">
        <f t="shared" si="74"/>
        <v>0</v>
      </c>
      <c r="BG42" s="65">
        <f t="shared" si="75"/>
        <v>0</v>
      </c>
      <c r="BH42" s="65">
        <f t="shared" si="76"/>
        <v>0</v>
      </c>
      <c r="BI42" s="65">
        <f t="shared" si="77"/>
        <v>0</v>
      </c>
      <c r="BJ42" s="65">
        <f t="shared" si="78"/>
        <v>0</v>
      </c>
      <c r="BK42" s="65">
        <f t="shared" si="79"/>
        <v>0</v>
      </c>
      <c r="BL42" s="65">
        <f t="shared" si="80"/>
        <v>0</v>
      </c>
      <c r="BM42" s="65">
        <f t="shared" si="81"/>
        <v>0</v>
      </c>
      <c r="BN42" s="65">
        <f t="shared" si="82"/>
        <v>0</v>
      </c>
      <c r="BO42" s="66"/>
    </row>
    <row r="43" spans="1:67" ht="13.5" customHeight="1">
      <c r="A43" s="560"/>
      <c r="B43" s="560"/>
      <c r="C43" s="63"/>
      <c r="D43" s="561"/>
      <c r="E43" s="64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5">
        <f t="shared" si="52"/>
        <v>0</v>
      </c>
      <c r="AL43" s="65">
        <f t="shared" si="54"/>
        <v>0</v>
      </c>
      <c r="AM43" s="65">
        <f t="shared" si="55"/>
        <v>0</v>
      </c>
      <c r="AN43" s="65">
        <f t="shared" si="56"/>
        <v>0</v>
      </c>
      <c r="AO43" s="65">
        <f t="shared" si="57"/>
        <v>0</v>
      </c>
      <c r="AP43" s="65">
        <f t="shared" si="58"/>
        <v>0</v>
      </c>
      <c r="AQ43" s="65">
        <f t="shared" si="59"/>
        <v>0</v>
      </c>
      <c r="AR43" s="65">
        <f t="shared" si="60"/>
        <v>0</v>
      </c>
      <c r="AS43" s="65">
        <f t="shared" si="61"/>
        <v>0</v>
      </c>
      <c r="AT43" s="65">
        <f t="shared" si="62"/>
        <v>0</v>
      </c>
      <c r="AU43" s="65">
        <f t="shared" si="63"/>
        <v>0</v>
      </c>
      <c r="AV43" s="65">
        <f t="shared" si="64"/>
        <v>0</v>
      </c>
      <c r="AW43" s="65">
        <f t="shared" si="65"/>
        <v>0</v>
      </c>
      <c r="AX43" s="65">
        <f t="shared" si="66"/>
        <v>0</v>
      </c>
      <c r="AY43" s="65">
        <f t="shared" si="67"/>
        <v>0</v>
      </c>
      <c r="AZ43" s="65">
        <f t="shared" si="68"/>
        <v>0</v>
      </c>
      <c r="BA43" s="65">
        <f t="shared" si="69"/>
        <v>0</v>
      </c>
      <c r="BB43" s="65">
        <f t="shared" si="70"/>
        <v>0</v>
      </c>
      <c r="BC43" s="65">
        <f t="shared" si="71"/>
        <v>0</v>
      </c>
      <c r="BD43" s="65">
        <f t="shared" si="72"/>
        <v>0</v>
      </c>
      <c r="BE43" s="65">
        <f t="shared" si="73"/>
        <v>0</v>
      </c>
      <c r="BF43" s="65">
        <f t="shared" si="74"/>
        <v>0</v>
      </c>
      <c r="BG43" s="65">
        <f t="shared" si="75"/>
        <v>0</v>
      </c>
      <c r="BH43" s="65">
        <f t="shared" si="76"/>
        <v>0</v>
      </c>
      <c r="BI43" s="65">
        <f t="shared" si="77"/>
        <v>0</v>
      </c>
      <c r="BJ43" s="65">
        <f t="shared" si="78"/>
        <v>0</v>
      </c>
      <c r="BK43" s="65">
        <f t="shared" si="79"/>
        <v>0</v>
      </c>
      <c r="BL43" s="65">
        <f t="shared" si="80"/>
        <v>0</v>
      </c>
      <c r="BM43" s="65">
        <f t="shared" si="81"/>
        <v>0</v>
      </c>
      <c r="BN43" s="65">
        <f t="shared" si="82"/>
        <v>0</v>
      </c>
      <c r="BO43" s="66"/>
    </row>
    <row r="44" spans="1:67" ht="13.5" customHeight="1">
      <c r="A44" s="560"/>
      <c r="B44" s="560"/>
      <c r="C44" s="63"/>
      <c r="D44" s="561"/>
      <c r="E44" s="64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5">
        <f t="shared" si="52"/>
        <v>0</v>
      </c>
      <c r="AL44" s="65">
        <f t="shared" si="54"/>
        <v>0</v>
      </c>
      <c r="AM44" s="65">
        <f t="shared" si="55"/>
        <v>0</v>
      </c>
      <c r="AN44" s="65">
        <f t="shared" si="56"/>
        <v>0</v>
      </c>
      <c r="AO44" s="65">
        <f t="shared" si="57"/>
        <v>0</v>
      </c>
      <c r="AP44" s="65">
        <f t="shared" si="58"/>
        <v>0</v>
      </c>
      <c r="AQ44" s="65">
        <f t="shared" si="59"/>
        <v>0</v>
      </c>
      <c r="AR44" s="65">
        <f t="shared" si="60"/>
        <v>0</v>
      </c>
      <c r="AS44" s="65">
        <f t="shared" si="61"/>
        <v>0</v>
      </c>
      <c r="AT44" s="65">
        <f t="shared" si="62"/>
        <v>0</v>
      </c>
      <c r="AU44" s="65">
        <f t="shared" si="63"/>
        <v>0</v>
      </c>
      <c r="AV44" s="65">
        <f t="shared" si="64"/>
        <v>0</v>
      </c>
      <c r="AW44" s="65">
        <f t="shared" si="65"/>
        <v>0</v>
      </c>
      <c r="AX44" s="65">
        <f t="shared" si="66"/>
        <v>0</v>
      </c>
      <c r="AY44" s="65">
        <f t="shared" si="67"/>
        <v>0</v>
      </c>
      <c r="AZ44" s="65">
        <f t="shared" si="68"/>
        <v>0</v>
      </c>
      <c r="BA44" s="65">
        <f t="shared" si="69"/>
        <v>0</v>
      </c>
      <c r="BB44" s="65">
        <f t="shared" si="70"/>
        <v>0</v>
      </c>
      <c r="BC44" s="65">
        <f t="shared" si="71"/>
        <v>0</v>
      </c>
      <c r="BD44" s="65">
        <f t="shared" si="72"/>
        <v>0</v>
      </c>
      <c r="BE44" s="65">
        <f t="shared" si="73"/>
        <v>0</v>
      </c>
      <c r="BF44" s="65">
        <f t="shared" si="74"/>
        <v>0</v>
      </c>
      <c r="BG44" s="65">
        <f t="shared" si="75"/>
        <v>0</v>
      </c>
      <c r="BH44" s="65">
        <f t="shared" si="76"/>
        <v>0</v>
      </c>
      <c r="BI44" s="65">
        <f t="shared" si="77"/>
        <v>0</v>
      </c>
      <c r="BJ44" s="65">
        <f t="shared" si="78"/>
        <v>0</v>
      </c>
      <c r="BK44" s="65">
        <f t="shared" si="79"/>
        <v>0</v>
      </c>
      <c r="BL44" s="65">
        <f t="shared" si="80"/>
        <v>0</v>
      </c>
      <c r="BM44" s="65">
        <f t="shared" si="81"/>
        <v>0</v>
      </c>
      <c r="BN44" s="65">
        <f t="shared" si="82"/>
        <v>0</v>
      </c>
      <c r="BO44" s="66"/>
    </row>
    <row r="45" spans="1:67" ht="13.5" customHeight="1">
      <c r="A45" s="560"/>
      <c r="B45" s="560"/>
      <c r="C45" s="63"/>
      <c r="D45" s="561"/>
      <c r="E45" s="64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5">
        <f t="shared" si="52"/>
        <v>0</v>
      </c>
      <c r="AL45" s="65">
        <f t="shared" si="54"/>
        <v>0</v>
      </c>
      <c r="AM45" s="65">
        <f t="shared" si="55"/>
        <v>0</v>
      </c>
      <c r="AN45" s="65">
        <f t="shared" si="56"/>
        <v>0</v>
      </c>
      <c r="AO45" s="65">
        <f t="shared" si="57"/>
        <v>0</v>
      </c>
      <c r="AP45" s="65">
        <f t="shared" si="58"/>
        <v>0</v>
      </c>
      <c r="AQ45" s="65">
        <f t="shared" si="59"/>
        <v>0</v>
      </c>
      <c r="AR45" s="65">
        <f t="shared" si="60"/>
        <v>0</v>
      </c>
      <c r="AS45" s="65">
        <f t="shared" si="61"/>
        <v>0</v>
      </c>
      <c r="AT45" s="65">
        <f t="shared" si="62"/>
        <v>0</v>
      </c>
      <c r="AU45" s="65">
        <f t="shared" si="63"/>
        <v>0</v>
      </c>
      <c r="AV45" s="65">
        <f t="shared" si="64"/>
        <v>0</v>
      </c>
      <c r="AW45" s="65">
        <f t="shared" si="65"/>
        <v>0</v>
      </c>
      <c r="AX45" s="65">
        <f t="shared" si="66"/>
        <v>0</v>
      </c>
      <c r="AY45" s="65">
        <f t="shared" si="67"/>
        <v>0</v>
      </c>
      <c r="AZ45" s="65">
        <f t="shared" si="68"/>
        <v>0</v>
      </c>
      <c r="BA45" s="65">
        <f t="shared" si="69"/>
        <v>0</v>
      </c>
      <c r="BB45" s="65">
        <f t="shared" si="70"/>
        <v>0</v>
      </c>
      <c r="BC45" s="65">
        <f t="shared" si="71"/>
        <v>0</v>
      </c>
      <c r="BD45" s="65">
        <f t="shared" si="72"/>
        <v>0</v>
      </c>
      <c r="BE45" s="65">
        <f t="shared" si="73"/>
        <v>0</v>
      </c>
      <c r="BF45" s="65">
        <f t="shared" si="74"/>
        <v>0</v>
      </c>
      <c r="BG45" s="65">
        <f t="shared" si="75"/>
        <v>0</v>
      </c>
      <c r="BH45" s="65">
        <f t="shared" si="76"/>
        <v>0</v>
      </c>
      <c r="BI45" s="65">
        <f t="shared" si="77"/>
        <v>0</v>
      </c>
      <c r="BJ45" s="65">
        <f t="shared" si="78"/>
        <v>0</v>
      </c>
      <c r="BK45" s="65">
        <f t="shared" si="79"/>
        <v>0</v>
      </c>
      <c r="BL45" s="65">
        <f t="shared" si="80"/>
        <v>0</v>
      </c>
      <c r="BM45" s="65">
        <f t="shared" si="81"/>
        <v>0</v>
      </c>
      <c r="BN45" s="65">
        <f t="shared" si="82"/>
        <v>0</v>
      </c>
      <c r="BO45" s="66"/>
    </row>
    <row r="46" spans="1:67" ht="13.5" customHeight="1">
      <c r="A46" s="560"/>
      <c r="B46" s="560"/>
      <c r="C46" s="63"/>
      <c r="D46" s="561"/>
      <c r="E46" s="64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5">
        <f t="shared" si="52"/>
        <v>0</v>
      </c>
      <c r="AL46" s="65">
        <f t="shared" si="54"/>
        <v>0</v>
      </c>
      <c r="AM46" s="65">
        <f t="shared" si="55"/>
        <v>0</v>
      </c>
      <c r="AN46" s="65">
        <f t="shared" si="56"/>
        <v>0</v>
      </c>
      <c r="AO46" s="65">
        <f t="shared" si="57"/>
        <v>0</v>
      </c>
      <c r="AP46" s="65">
        <f t="shared" si="58"/>
        <v>0</v>
      </c>
      <c r="AQ46" s="65">
        <f t="shared" si="59"/>
        <v>0</v>
      </c>
      <c r="AR46" s="65">
        <f t="shared" si="60"/>
        <v>0</v>
      </c>
      <c r="AS46" s="65">
        <f t="shared" si="61"/>
        <v>0</v>
      </c>
      <c r="AT46" s="65">
        <f t="shared" si="62"/>
        <v>0</v>
      </c>
      <c r="AU46" s="65">
        <f t="shared" si="63"/>
        <v>0</v>
      </c>
      <c r="AV46" s="65">
        <f t="shared" si="64"/>
        <v>0</v>
      </c>
      <c r="AW46" s="65">
        <f t="shared" si="65"/>
        <v>0</v>
      </c>
      <c r="AX46" s="65">
        <f t="shared" si="66"/>
        <v>0</v>
      </c>
      <c r="AY46" s="65">
        <f t="shared" si="67"/>
        <v>0</v>
      </c>
      <c r="AZ46" s="65">
        <f t="shared" si="68"/>
        <v>0</v>
      </c>
      <c r="BA46" s="65">
        <f t="shared" si="69"/>
        <v>0</v>
      </c>
      <c r="BB46" s="65">
        <f t="shared" si="70"/>
        <v>0</v>
      </c>
      <c r="BC46" s="65">
        <f t="shared" si="71"/>
        <v>0</v>
      </c>
      <c r="BD46" s="65">
        <f t="shared" si="72"/>
        <v>0</v>
      </c>
      <c r="BE46" s="65">
        <f t="shared" si="73"/>
        <v>0</v>
      </c>
      <c r="BF46" s="65">
        <f t="shared" si="74"/>
        <v>0</v>
      </c>
      <c r="BG46" s="65">
        <f t="shared" si="75"/>
        <v>0</v>
      </c>
      <c r="BH46" s="65">
        <f t="shared" si="76"/>
        <v>0</v>
      </c>
      <c r="BI46" s="65">
        <f t="shared" si="77"/>
        <v>0</v>
      </c>
      <c r="BJ46" s="65">
        <f t="shared" si="78"/>
        <v>0</v>
      </c>
      <c r="BK46" s="65">
        <f t="shared" si="79"/>
        <v>0</v>
      </c>
      <c r="BL46" s="65">
        <f t="shared" si="80"/>
        <v>0</v>
      </c>
      <c r="BM46" s="65">
        <f t="shared" si="81"/>
        <v>0</v>
      </c>
      <c r="BN46" s="65">
        <f t="shared" si="82"/>
        <v>0</v>
      </c>
      <c r="BO46" s="66"/>
    </row>
    <row r="47" spans="1:67" ht="13.5" customHeight="1">
      <c r="A47" s="560"/>
      <c r="B47" s="560"/>
      <c r="C47" s="63"/>
      <c r="D47" s="561"/>
      <c r="E47" s="69"/>
      <c r="F47" s="70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65">
        <f t="shared" si="52"/>
        <v>0</v>
      </c>
      <c r="AL47" s="65">
        <f t="shared" si="54"/>
        <v>0</v>
      </c>
      <c r="AM47" s="65">
        <f t="shared" si="55"/>
        <v>0</v>
      </c>
      <c r="AN47" s="65">
        <f t="shared" si="56"/>
        <v>0</v>
      </c>
      <c r="AO47" s="65">
        <f t="shared" si="57"/>
        <v>0</v>
      </c>
      <c r="AP47" s="65">
        <f t="shared" si="58"/>
        <v>0</v>
      </c>
      <c r="AQ47" s="65">
        <f t="shared" si="59"/>
        <v>0</v>
      </c>
      <c r="AR47" s="65">
        <f t="shared" si="60"/>
        <v>0</v>
      </c>
      <c r="AS47" s="65">
        <f t="shared" si="61"/>
        <v>0</v>
      </c>
      <c r="AT47" s="65">
        <f t="shared" si="62"/>
        <v>0</v>
      </c>
      <c r="AU47" s="65">
        <f t="shared" si="63"/>
        <v>0</v>
      </c>
      <c r="AV47" s="65">
        <f t="shared" si="64"/>
        <v>0</v>
      </c>
      <c r="AW47" s="65">
        <f t="shared" si="65"/>
        <v>0</v>
      </c>
      <c r="AX47" s="65">
        <f t="shared" si="66"/>
        <v>0</v>
      </c>
      <c r="AY47" s="65">
        <f t="shared" si="67"/>
        <v>0</v>
      </c>
      <c r="AZ47" s="65">
        <f t="shared" si="68"/>
        <v>0</v>
      </c>
      <c r="BA47" s="65">
        <f t="shared" si="69"/>
        <v>0</v>
      </c>
      <c r="BB47" s="65">
        <f t="shared" si="70"/>
        <v>0</v>
      </c>
      <c r="BC47" s="65">
        <f t="shared" si="71"/>
        <v>0</v>
      </c>
      <c r="BD47" s="65">
        <f t="shared" si="72"/>
        <v>0</v>
      </c>
      <c r="BE47" s="65">
        <f t="shared" si="73"/>
        <v>0</v>
      </c>
      <c r="BF47" s="65">
        <f t="shared" si="74"/>
        <v>0</v>
      </c>
      <c r="BG47" s="65">
        <f t="shared" si="75"/>
        <v>0</v>
      </c>
      <c r="BH47" s="65">
        <f t="shared" si="76"/>
        <v>0</v>
      </c>
      <c r="BI47" s="65">
        <f t="shared" si="77"/>
        <v>0</v>
      </c>
      <c r="BJ47" s="65">
        <f t="shared" si="78"/>
        <v>0</v>
      </c>
      <c r="BK47" s="65">
        <f t="shared" si="79"/>
        <v>0</v>
      </c>
      <c r="BL47" s="65">
        <f t="shared" si="80"/>
        <v>0</v>
      </c>
      <c r="BM47" s="65">
        <f t="shared" si="81"/>
        <v>0</v>
      </c>
      <c r="BN47" s="65">
        <f t="shared" si="82"/>
        <v>0</v>
      </c>
      <c r="BO47" s="72"/>
    </row>
    <row r="48" spans="1:67" ht="13.5" customHeight="1">
      <c r="A48" s="560"/>
      <c r="B48" s="560"/>
      <c r="C48" s="63"/>
      <c r="D48" s="561"/>
      <c r="E48" s="64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5">
        <f t="shared" si="52"/>
        <v>0</v>
      </c>
      <c r="AL48" s="65">
        <f t="shared" si="54"/>
        <v>0</v>
      </c>
      <c r="AM48" s="65">
        <f t="shared" si="55"/>
        <v>0</v>
      </c>
      <c r="AN48" s="65">
        <f t="shared" si="56"/>
        <v>0</v>
      </c>
      <c r="AO48" s="65">
        <f t="shared" si="57"/>
        <v>0</v>
      </c>
      <c r="AP48" s="65">
        <f t="shared" si="58"/>
        <v>0</v>
      </c>
      <c r="AQ48" s="65">
        <f t="shared" si="59"/>
        <v>0</v>
      </c>
      <c r="AR48" s="65">
        <f t="shared" si="60"/>
        <v>0</v>
      </c>
      <c r="AS48" s="65">
        <f t="shared" si="61"/>
        <v>0</v>
      </c>
      <c r="AT48" s="65">
        <f t="shared" si="62"/>
        <v>0</v>
      </c>
      <c r="AU48" s="65">
        <f t="shared" si="63"/>
        <v>0</v>
      </c>
      <c r="AV48" s="65">
        <f t="shared" si="64"/>
        <v>0</v>
      </c>
      <c r="AW48" s="65">
        <f t="shared" si="65"/>
        <v>0</v>
      </c>
      <c r="AX48" s="65">
        <f t="shared" si="66"/>
        <v>0</v>
      </c>
      <c r="AY48" s="65">
        <f t="shared" si="67"/>
        <v>0</v>
      </c>
      <c r="AZ48" s="65">
        <f t="shared" si="68"/>
        <v>0</v>
      </c>
      <c r="BA48" s="65">
        <f t="shared" si="69"/>
        <v>0</v>
      </c>
      <c r="BB48" s="65">
        <f t="shared" si="70"/>
        <v>0</v>
      </c>
      <c r="BC48" s="65">
        <f t="shared" si="71"/>
        <v>0</v>
      </c>
      <c r="BD48" s="65">
        <f t="shared" si="72"/>
        <v>0</v>
      </c>
      <c r="BE48" s="65">
        <f t="shared" si="73"/>
        <v>0</v>
      </c>
      <c r="BF48" s="65">
        <f t="shared" si="74"/>
        <v>0</v>
      </c>
      <c r="BG48" s="65">
        <f t="shared" si="75"/>
        <v>0</v>
      </c>
      <c r="BH48" s="65">
        <f t="shared" si="76"/>
        <v>0</v>
      </c>
      <c r="BI48" s="65">
        <f t="shared" si="77"/>
        <v>0</v>
      </c>
      <c r="BJ48" s="65">
        <f t="shared" si="78"/>
        <v>0</v>
      </c>
      <c r="BK48" s="65">
        <f t="shared" si="79"/>
        <v>0</v>
      </c>
      <c r="BL48" s="65">
        <f t="shared" si="80"/>
        <v>0</v>
      </c>
      <c r="BM48" s="65">
        <f t="shared" si="81"/>
        <v>0</v>
      </c>
      <c r="BN48" s="65">
        <f t="shared" si="82"/>
        <v>0</v>
      </c>
      <c r="BO48" s="66" t="s">
        <v>212</v>
      </c>
    </row>
    <row r="49" spans="1:67" ht="13.5" customHeight="1">
      <c r="A49" s="560"/>
      <c r="B49" s="560"/>
      <c r="C49" s="63"/>
      <c r="D49" s="561"/>
      <c r="E49" s="64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5">
        <f t="shared" si="52"/>
        <v>0</v>
      </c>
      <c r="AL49" s="65">
        <f t="shared" si="54"/>
        <v>0</v>
      </c>
      <c r="AM49" s="65">
        <f t="shared" si="55"/>
        <v>0</v>
      </c>
      <c r="AN49" s="65">
        <f t="shared" si="56"/>
        <v>0</v>
      </c>
      <c r="AO49" s="65">
        <f t="shared" si="57"/>
        <v>0</v>
      </c>
      <c r="AP49" s="65">
        <f t="shared" si="58"/>
        <v>0</v>
      </c>
      <c r="AQ49" s="65">
        <f t="shared" si="59"/>
        <v>0</v>
      </c>
      <c r="AR49" s="65">
        <f t="shared" si="60"/>
        <v>0</v>
      </c>
      <c r="AS49" s="65">
        <f t="shared" si="61"/>
        <v>0</v>
      </c>
      <c r="AT49" s="65">
        <f t="shared" si="62"/>
        <v>0</v>
      </c>
      <c r="AU49" s="65">
        <f t="shared" si="63"/>
        <v>0</v>
      </c>
      <c r="AV49" s="65">
        <f t="shared" si="64"/>
        <v>0</v>
      </c>
      <c r="AW49" s="65">
        <f t="shared" si="65"/>
        <v>0</v>
      </c>
      <c r="AX49" s="65">
        <f t="shared" si="66"/>
        <v>0</v>
      </c>
      <c r="AY49" s="65">
        <f t="shared" si="67"/>
        <v>0</v>
      </c>
      <c r="AZ49" s="65">
        <f t="shared" si="68"/>
        <v>0</v>
      </c>
      <c r="BA49" s="65">
        <f t="shared" si="69"/>
        <v>0</v>
      </c>
      <c r="BB49" s="65">
        <f t="shared" si="70"/>
        <v>0</v>
      </c>
      <c r="BC49" s="65">
        <f t="shared" si="71"/>
        <v>0</v>
      </c>
      <c r="BD49" s="65">
        <f t="shared" si="72"/>
        <v>0</v>
      </c>
      <c r="BE49" s="65">
        <f t="shared" si="73"/>
        <v>0</v>
      </c>
      <c r="BF49" s="65">
        <f t="shared" si="74"/>
        <v>0</v>
      </c>
      <c r="BG49" s="65">
        <f t="shared" si="75"/>
        <v>0</v>
      </c>
      <c r="BH49" s="65">
        <f t="shared" si="76"/>
        <v>0</v>
      </c>
      <c r="BI49" s="65">
        <f t="shared" si="77"/>
        <v>0</v>
      </c>
      <c r="BJ49" s="65">
        <f t="shared" si="78"/>
        <v>0</v>
      </c>
      <c r="BK49" s="65">
        <f t="shared" si="79"/>
        <v>0</v>
      </c>
      <c r="BL49" s="65">
        <f t="shared" si="80"/>
        <v>0</v>
      </c>
      <c r="BM49" s="65">
        <f t="shared" si="81"/>
        <v>0</v>
      </c>
      <c r="BN49" s="65">
        <f t="shared" si="82"/>
        <v>0</v>
      </c>
      <c r="BO49" s="66"/>
    </row>
    <row r="50" spans="1:67" ht="13.5" customHeight="1">
      <c r="A50" s="560" t="s">
        <v>213</v>
      </c>
      <c r="B50" s="560" t="s">
        <v>190</v>
      </c>
      <c r="C50" s="63" t="s">
        <v>191</v>
      </c>
      <c r="D50" s="561" t="s">
        <v>196</v>
      </c>
      <c r="E50" s="64" t="s">
        <v>147</v>
      </c>
      <c r="F50" s="63">
        <v>50000</v>
      </c>
      <c r="G50" s="63">
        <v>1</v>
      </c>
      <c r="H50" s="63">
        <v>1</v>
      </c>
      <c r="I50" s="63">
        <v>1</v>
      </c>
      <c r="J50" s="63">
        <v>1</v>
      </c>
      <c r="K50" s="63">
        <v>1</v>
      </c>
      <c r="L50" s="63">
        <v>1</v>
      </c>
      <c r="M50" s="63">
        <v>1</v>
      </c>
      <c r="N50" s="63">
        <v>1</v>
      </c>
      <c r="O50" s="63">
        <v>1</v>
      </c>
      <c r="P50" s="63">
        <v>1</v>
      </c>
      <c r="Q50" s="63">
        <v>1</v>
      </c>
      <c r="R50" s="63">
        <v>1</v>
      </c>
      <c r="S50" s="63">
        <v>1</v>
      </c>
      <c r="T50" s="63">
        <v>1</v>
      </c>
      <c r="U50" s="63">
        <v>1</v>
      </c>
      <c r="V50" s="63">
        <v>1</v>
      </c>
      <c r="W50" s="63">
        <v>1</v>
      </c>
      <c r="X50" s="63">
        <v>1</v>
      </c>
      <c r="Y50" s="63">
        <v>1</v>
      </c>
      <c r="Z50" s="63">
        <v>1</v>
      </c>
      <c r="AA50" s="63">
        <v>1</v>
      </c>
      <c r="AB50" s="63">
        <v>1</v>
      </c>
      <c r="AC50" s="63">
        <v>1</v>
      </c>
      <c r="AD50" s="63">
        <v>1</v>
      </c>
      <c r="AE50" s="63">
        <v>1</v>
      </c>
      <c r="AF50" s="63">
        <v>1</v>
      </c>
      <c r="AG50" s="63">
        <v>1</v>
      </c>
      <c r="AH50" s="63">
        <v>1</v>
      </c>
      <c r="AI50" s="63">
        <v>1</v>
      </c>
      <c r="AJ50" s="63">
        <v>1</v>
      </c>
      <c r="AK50" s="65">
        <f t="shared" si="52"/>
        <v>50000</v>
      </c>
      <c r="AL50" s="65">
        <f t="shared" si="54"/>
        <v>50000</v>
      </c>
      <c r="AM50" s="65">
        <f t="shared" si="55"/>
        <v>50000</v>
      </c>
      <c r="AN50" s="65">
        <f t="shared" si="56"/>
        <v>50000</v>
      </c>
      <c r="AO50" s="65">
        <f t="shared" si="57"/>
        <v>50000</v>
      </c>
      <c r="AP50" s="65">
        <f t="shared" si="58"/>
        <v>50000</v>
      </c>
      <c r="AQ50" s="65">
        <f t="shared" si="59"/>
        <v>50000</v>
      </c>
      <c r="AR50" s="65">
        <f t="shared" si="60"/>
        <v>50000</v>
      </c>
      <c r="AS50" s="65">
        <f t="shared" si="61"/>
        <v>50000</v>
      </c>
      <c r="AT50" s="65">
        <f t="shared" si="62"/>
        <v>50000</v>
      </c>
      <c r="AU50" s="65">
        <f t="shared" si="63"/>
        <v>50000</v>
      </c>
      <c r="AV50" s="65">
        <f t="shared" si="64"/>
        <v>50000</v>
      </c>
      <c r="AW50" s="65">
        <f t="shared" si="65"/>
        <v>50000</v>
      </c>
      <c r="AX50" s="65">
        <f t="shared" si="66"/>
        <v>50000</v>
      </c>
      <c r="AY50" s="65">
        <f t="shared" si="67"/>
        <v>50000</v>
      </c>
      <c r="AZ50" s="65">
        <f t="shared" si="68"/>
        <v>50000</v>
      </c>
      <c r="BA50" s="65">
        <f t="shared" si="69"/>
        <v>50000</v>
      </c>
      <c r="BB50" s="65">
        <f t="shared" si="70"/>
        <v>50000</v>
      </c>
      <c r="BC50" s="65">
        <f t="shared" si="71"/>
        <v>50000</v>
      </c>
      <c r="BD50" s="65">
        <f t="shared" si="72"/>
        <v>50000</v>
      </c>
      <c r="BE50" s="65">
        <f t="shared" si="73"/>
        <v>50000</v>
      </c>
      <c r="BF50" s="65">
        <f t="shared" si="74"/>
        <v>50000</v>
      </c>
      <c r="BG50" s="65">
        <f t="shared" si="75"/>
        <v>50000</v>
      </c>
      <c r="BH50" s="65">
        <f t="shared" si="76"/>
        <v>50000</v>
      </c>
      <c r="BI50" s="65">
        <f t="shared" si="77"/>
        <v>50000</v>
      </c>
      <c r="BJ50" s="65">
        <f t="shared" si="78"/>
        <v>50000</v>
      </c>
      <c r="BK50" s="65">
        <f t="shared" si="79"/>
        <v>50000</v>
      </c>
      <c r="BL50" s="65">
        <f t="shared" si="80"/>
        <v>50000</v>
      </c>
      <c r="BM50" s="65">
        <f t="shared" si="81"/>
        <v>50000</v>
      </c>
      <c r="BN50" s="65">
        <f t="shared" si="82"/>
        <v>50000</v>
      </c>
      <c r="BO50" s="66" t="s">
        <v>214</v>
      </c>
    </row>
    <row r="51" spans="1:67" ht="13.5" customHeight="1">
      <c r="A51" s="560" t="s">
        <v>215</v>
      </c>
      <c r="B51" s="560" t="s">
        <v>190</v>
      </c>
      <c r="C51" s="63" t="s">
        <v>191</v>
      </c>
      <c r="D51" s="561" t="s">
        <v>196</v>
      </c>
      <c r="E51" s="64" t="s">
        <v>216</v>
      </c>
      <c r="F51" s="63">
        <v>150000</v>
      </c>
      <c r="G51" s="63">
        <v>1</v>
      </c>
      <c r="H51" s="63">
        <v>1</v>
      </c>
      <c r="I51" s="63">
        <v>1</v>
      </c>
      <c r="J51" s="63">
        <v>1</v>
      </c>
      <c r="K51" s="63">
        <v>1</v>
      </c>
      <c r="L51" s="63">
        <v>1</v>
      </c>
      <c r="M51" s="63">
        <v>1</v>
      </c>
      <c r="N51" s="63">
        <v>1</v>
      </c>
      <c r="O51" s="63">
        <v>1</v>
      </c>
      <c r="P51" s="63">
        <v>1</v>
      </c>
      <c r="Q51" s="63">
        <v>1</v>
      </c>
      <c r="R51" s="63">
        <v>1</v>
      </c>
      <c r="S51" s="63">
        <v>1</v>
      </c>
      <c r="T51" s="63">
        <v>1</v>
      </c>
      <c r="U51" s="63">
        <v>1</v>
      </c>
      <c r="V51" s="63">
        <v>1</v>
      </c>
      <c r="W51" s="63">
        <v>1</v>
      </c>
      <c r="X51" s="63">
        <v>1</v>
      </c>
      <c r="Y51" s="63">
        <v>1</v>
      </c>
      <c r="Z51" s="63">
        <v>1</v>
      </c>
      <c r="AA51" s="63">
        <v>1</v>
      </c>
      <c r="AB51" s="63">
        <v>1</v>
      </c>
      <c r="AC51" s="63">
        <v>1</v>
      </c>
      <c r="AD51" s="63">
        <v>1</v>
      </c>
      <c r="AE51" s="63">
        <v>1</v>
      </c>
      <c r="AF51" s="63">
        <v>1</v>
      </c>
      <c r="AG51" s="63">
        <v>1</v>
      </c>
      <c r="AH51" s="63">
        <v>1</v>
      </c>
      <c r="AI51" s="63">
        <v>1</v>
      </c>
      <c r="AJ51" s="63">
        <v>1</v>
      </c>
      <c r="AK51" s="65">
        <f t="shared" si="52"/>
        <v>150000</v>
      </c>
      <c r="AL51" s="65">
        <f t="shared" si="54"/>
        <v>150000</v>
      </c>
      <c r="AM51" s="65">
        <f t="shared" si="55"/>
        <v>150000</v>
      </c>
      <c r="AN51" s="65">
        <f t="shared" si="56"/>
        <v>150000</v>
      </c>
      <c r="AO51" s="65">
        <f t="shared" si="57"/>
        <v>150000</v>
      </c>
      <c r="AP51" s="65">
        <f t="shared" si="58"/>
        <v>150000</v>
      </c>
      <c r="AQ51" s="65">
        <f t="shared" si="59"/>
        <v>150000</v>
      </c>
      <c r="AR51" s="65">
        <f t="shared" si="60"/>
        <v>150000</v>
      </c>
      <c r="AS51" s="65">
        <f t="shared" si="61"/>
        <v>150000</v>
      </c>
      <c r="AT51" s="65">
        <f t="shared" si="62"/>
        <v>150000</v>
      </c>
      <c r="AU51" s="65">
        <f t="shared" si="63"/>
        <v>150000</v>
      </c>
      <c r="AV51" s="65">
        <f t="shared" si="64"/>
        <v>150000</v>
      </c>
      <c r="AW51" s="65">
        <f t="shared" si="65"/>
        <v>150000</v>
      </c>
      <c r="AX51" s="65">
        <f t="shared" si="66"/>
        <v>150000</v>
      </c>
      <c r="AY51" s="65">
        <f t="shared" si="67"/>
        <v>150000</v>
      </c>
      <c r="AZ51" s="65">
        <f t="shared" si="68"/>
        <v>150000</v>
      </c>
      <c r="BA51" s="65">
        <f t="shared" si="69"/>
        <v>150000</v>
      </c>
      <c r="BB51" s="65">
        <f t="shared" si="70"/>
        <v>150000</v>
      </c>
      <c r="BC51" s="65">
        <f t="shared" si="71"/>
        <v>150000</v>
      </c>
      <c r="BD51" s="65">
        <f t="shared" si="72"/>
        <v>150000</v>
      </c>
      <c r="BE51" s="65">
        <f t="shared" si="73"/>
        <v>150000</v>
      </c>
      <c r="BF51" s="65">
        <f t="shared" si="74"/>
        <v>150000</v>
      </c>
      <c r="BG51" s="65">
        <f t="shared" si="75"/>
        <v>150000</v>
      </c>
      <c r="BH51" s="65">
        <f t="shared" si="76"/>
        <v>150000</v>
      </c>
      <c r="BI51" s="65">
        <f t="shared" si="77"/>
        <v>150000</v>
      </c>
      <c r="BJ51" s="65">
        <f t="shared" si="78"/>
        <v>150000</v>
      </c>
      <c r="BK51" s="65">
        <f t="shared" si="79"/>
        <v>150000</v>
      </c>
      <c r="BL51" s="65">
        <f t="shared" si="80"/>
        <v>150000</v>
      </c>
      <c r="BM51" s="65">
        <f t="shared" si="81"/>
        <v>150000</v>
      </c>
      <c r="BN51" s="65">
        <f t="shared" si="82"/>
        <v>150000</v>
      </c>
      <c r="BO51" s="66" t="s">
        <v>198</v>
      </c>
    </row>
    <row r="52" spans="1:67" ht="13.5" customHeight="1">
      <c r="A52" s="560" t="s">
        <v>217</v>
      </c>
      <c r="B52" s="560" t="s">
        <v>190</v>
      </c>
      <c r="C52" s="63" t="s">
        <v>191</v>
      </c>
      <c r="D52" s="561" t="s">
        <v>196</v>
      </c>
      <c r="E52" s="64" t="s">
        <v>218</v>
      </c>
      <c r="F52" s="73">
        <v>2E-3</v>
      </c>
      <c r="G52" s="74">
        <f>'A4 - Previsão de Receita Bruta'!C27</f>
        <v>14119245</v>
      </c>
      <c r="H52" s="74">
        <f>'A4 - Previsão de Receita Bruta'!D27</f>
        <v>42462958</v>
      </c>
      <c r="I52" s="74">
        <f>'A4 - Previsão de Receita Bruta'!E27</f>
        <v>43927732</v>
      </c>
      <c r="J52" s="74">
        <f>'A4 - Previsão de Receita Bruta'!F27</f>
        <v>45346318</v>
      </c>
      <c r="K52" s="74">
        <f>'A4 - Previsão de Receita Bruta'!G27</f>
        <v>46787450</v>
      </c>
      <c r="L52" s="74">
        <f>'A4 - Previsão de Receita Bruta'!H27</f>
        <v>48253818</v>
      </c>
      <c r="M52" s="74">
        <f>'A4 - Previsão de Receita Bruta'!I27</f>
        <v>49761776</v>
      </c>
      <c r="N52" s="74">
        <f>'A4 - Previsão de Receita Bruta'!J27</f>
        <v>51313518</v>
      </c>
      <c r="O52" s="74">
        <f>'A4 - Previsão de Receita Bruta'!K27</f>
        <v>52893606</v>
      </c>
      <c r="P52" s="74">
        <f>'A4 - Previsão de Receita Bruta'!L27</f>
        <v>54502962</v>
      </c>
      <c r="Q52" s="74">
        <f>'A4 - Previsão de Receita Bruta'!M27</f>
        <v>56162828</v>
      </c>
      <c r="R52" s="74">
        <f>'A4 - Previsão de Receita Bruta'!N27</f>
        <v>57872509</v>
      </c>
      <c r="S52" s="74">
        <f>'A4 - Previsão de Receita Bruta'!O27</f>
        <v>59636580</v>
      </c>
      <c r="T52" s="74">
        <f>'A4 - Previsão de Receita Bruta'!P27</f>
        <v>61454050</v>
      </c>
      <c r="U52" s="74">
        <f>'A4 - Previsão de Receita Bruta'!Q27</f>
        <v>63326116</v>
      </c>
      <c r="V52" s="74">
        <f>'A4 - Previsão de Receita Bruta'!R27</f>
        <v>65249452</v>
      </c>
      <c r="W52" s="74">
        <f>'A4 - Previsão de Receita Bruta'!S27</f>
        <v>67221759</v>
      </c>
      <c r="X52" s="74">
        <f>'A4 - Previsão de Receita Bruta'!T27</f>
        <v>69236294</v>
      </c>
      <c r="Y52" s="74">
        <f>'A4 - Previsão de Receita Bruta'!U27</f>
        <v>71287604</v>
      </c>
      <c r="Z52" s="74">
        <f>'A4 - Previsão de Receita Bruta'!V27</f>
        <v>73366112</v>
      </c>
      <c r="AA52" s="74">
        <f>'A4 - Previsão de Receita Bruta'!W27</f>
        <v>73366112</v>
      </c>
      <c r="AB52" s="74">
        <f>'A4 - Previsão de Receita Bruta'!X27</f>
        <v>73366112</v>
      </c>
      <c r="AC52" s="74">
        <f>'A4 - Previsão de Receita Bruta'!Y27</f>
        <v>73366112</v>
      </c>
      <c r="AD52" s="74">
        <f>'A4 - Previsão de Receita Bruta'!Z27</f>
        <v>73366112</v>
      </c>
      <c r="AE52" s="74">
        <f>'A4 - Previsão de Receita Bruta'!AA27</f>
        <v>73366112</v>
      </c>
      <c r="AF52" s="74">
        <f>'A4 - Previsão de Receita Bruta'!AB27</f>
        <v>73366112</v>
      </c>
      <c r="AG52" s="74">
        <f>'A4 - Previsão de Receita Bruta'!AC27</f>
        <v>73366112</v>
      </c>
      <c r="AH52" s="74">
        <f>'A4 - Previsão de Receita Bruta'!AD27</f>
        <v>73366112</v>
      </c>
      <c r="AI52" s="74">
        <f>'A4 - Previsão de Receita Bruta'!AE27</f>
        <v>73366112</v>
      </c>
      <c r="AJ52" s="74">
        <f>'A4 - Previsão de Receita Bruta'!AF27</f>
        <v>73366112</v>
      </c>
      <c r="AK52" s="65">
        <f t="shared" si="52"/>
        <v>28238.49</v>
      </c>
      <c r="AL52" s="65">
        <f t="shared" si="54"/>
        <v>84925.915999999997</v>
      </c>
      <c r="AM52" s="65">
        <f t="shared" si="55"/>
        <v>87855.464000000007</v>
      </c>
      <c r="AN52" s="65">
        <f t="shared" si="56"/>
        <v>90692.635999999999</v>
      </c>
      <c r="AO52" s="65">
        <f t="shared" si="57"/>
        <v>93574.900000000009</v>
      </c>
      <c r="AP52" s="65">
        <f t="shared" si="58"/>
        <v>96507.635999999999</v>
      </c>
      <c r="AQ52" s="65">
        <f t="shared" si="59"/>
        <v>99523.551999999996</v>
      </c>
      <c r="AR52" s="65">
        <f t="shared" si="60"/>
        <v>102627.03600000001</v>
      </c>
      <c r="AS52" s="65">
        <f t="shared" si="61"/>
        <v>105787.212</v>
      </c>
      <c r="AT52" s="65">
        <f t="shared" si="62"/>
        <v>109005.924</v>
      </c>
      <c r="AU52" s="65">
        <f t="shared" si="63"/>
        <v>112325.656</v>
      </c>
      <c r="AV52" s="65">
        <f t="shared" si="64"/>
        <v>115745.018</v>
      </c>
      <c r="AW52" s="65">
        <f t="shared" si="65"/>
        <v>119273.16</v>
      </c>
      <c r="AX52" s="65">
        <f t="shared" si="66"/>
        <v>122908.1</v>
      </c>
      <c r="AY52" s="65">
        <f t="shared" si="67"/>
        <v>126652.232</v>
      </c>
      <c r="AZ52" s="65">
        <f t="shared" si="68"/>
        <v>130498.90400000001</v>
      </c>
      <c r="BA52" s="65">
        <f t="shared" si="69"/>
        <v>134443.51800000001</v>
      </c>
      <c r="BB52" s="65">
        <f t="shared" si="70"/>
        <v>138472.58799999999</v>
      </c>
      <c r="BC52" s="65">
        <f t="shared" si="71"/>
        <v>142575.20800000001</v>
      </c>
      <c r="BD52" s="65">
        <f t="shared" si="72"/>
        <v>146732.22400000002</v>
      </c>
      <c r="BE52" s="65">
        <f t="shared" si="73"/>
        <v>146732.22400000002</v>
      </c>
      <c r="BF52" s="65">
        <f t="shared" si="74"/>
        <v>146732.22400000002</v>
      </c>
      <c r="BG52" s="65">
        <f t="shared" si="75"/>
        <v>146732.22400000002</v>
      </c>
      <c r="BH52" s="65">
        <f t="shared" si="76"/>
        <v>146732.22400000002</v>
      </c>
      <c r="BI52" s="65">
        <f t="shared" si="77"/>
        <v>146732.22400000002</v>
      </c>
      <c r="BJ52" s="65">
        <f t="shared" si="78"/>
        <v>146732.22400000002</v>
      </c>
      <c r="BK52" s="65">
        <f t="shared" si="79"/>
        <v>146732.22400000002</v>
      </c>
      <c r="BL52" s="65">
        <f t="shared" si="80"/>
        <v>146732.22400000002</v>
      </c>
      <c r="BM52" s="65">
        <f t="shared" si="81"/>
        <v>146732.22400000002</v>
      </c>
      <c r="BN52" s="65">
        <f t="shared" si="82"/>
        <v>146732.22400000002</v>
      </c>
      <c r="BO52" s="66"/>
    </row>
    <row r="53" spans="1:67" ht="13.5" customHeight="1">
      <c r="A53" s="560" t="s">
        <v>219</v>
      </c>
      <c r="B53" s="560" t="s">
        <v>190</v>
      </c>
      <c r="C53" s="63" t="s">
        <v>191</v>
      </c>
      <c r="D53" s="561" t="s">
        <v>196</v>
      </c>
      <c r="E53" s="64" t="s">
        <v>218</v>
      </c>
      <c r="F53" s="73">
        <v>0.03</v>
      </c>
      <c r="G53" s="74">
        <f>'A4 - Previsão de Receita Bruta'!C27</f>
        <v>14119245</v>
      </c>
      <c r="H53" s="74">
        <f>'A4 - Previsão de Receita Bruta'!D27</f>
        <v>42462958</v>
      </c>
      <c r="I53" s="74">
        <f>'A4 - Previsão de Receita Bruta'!E27</f>
        <v>43927732</v>
      </c>
      <c r="J53" s="74">
        <f>'A4 - Previsão de Receita Bruta'!F27</f>
        <v>45346318</v>
      </c>
      <c r="K53" s="74">
        <f>'A4 - Previsão de Receita Bruta'!G27</f>
        <v>46787450</v>
      </c>
      <c r="L53" s="74">
        <f>'A4 - Previsão de Receita Bruta'!H27</f>
        <v>48253818</v>
      </c>
      <c r="M53" s="74">
        <f>'A4 - Previsão de Receita Bruta'!I27</f>
        <v>49761776</v>
      </c>
      <c r="N53" s="74">
        <f>'A4 - Previsão de Receita Bruta'!J27</f>
        <v>51313518</v>
      </c>
      <c r="O53" s="74">
        <f>'A4 - Previsão de Receita Bruta'!K27</f>
        <v>52893606</v>
      </c>
      <c r="P53" s="74">
        <f>'A4 - Previsão de Receita Bruta'!L27</f>
        <v>54502962</v>
      </c>
      <c r="Q53" s="74">
        <f>'A4 - Previsão de Receita Bruta'!M27</f>
        <v>56162828</v>
      </c>
      <c r="R53" s="74">
        <f>'A4 - Previsão de Receita Bruta'!N27</f>
        <v>57872509</v>
      </c>
      <c r="S53" s="74">
        <f>'A4 - Previsão de Receita Bruta'!O27</f>
        <v>59636580</v>
      </c>
      <c r="T53" s="74">
        <f>'A4 - Previsão de Receita Bruta'!P27</f>
        <v>61454050</v>
      </c>
      <c r="U53" s="74">
        <f>'A4 - Previsão de Receita Bruta'!Q27</f>
        <v>63326116</v>
      </c>
      <c r="V53" s="74">
        <f>'A4 - Previsão de Receita Bruta'!R27</f>
        <v>65249452</v>
      </c>
      <c r="W53" s="74">
        <f>'A4 - Previsão de Receita Bruta'!S27</f>
        <v>67221759</v>
      </c>
      <c r="X53" s="74">
        <f>'A4 - Previsão de Receita Bruta'!T27</f>
        <v>69236294</v>
      </c>
      <c r="Y53" s="74">
        <f>'A4 - Previsão de Receita Bruta'!U27</f>
        <v>71287604</v>
      </c>
      <c r="Z53" s="74">
        <f>'A4 - Previsão de Receita Bruta'!V27</f>
        <v>73366112</v>
      </c>
      <c r="AA53" s="74">
        <f>'A4 - Previsão de Receita Bruta'!W27</f>
        <v>73366112</v>
      </c>
      <c r="AB53" s="74">
        <f>'A4 - Previsão de Receita Bruta'!X27</f>
        <v>73366112</v>
      </c>
      <c r="AC53" s="74">
        <f>'A4 - Previsão de Receita Bruta'!Y27</f>
        <v>73366112</v>
      </c>
      <c r="AD53" s="74">
        <f>'A4 - Previsão de Receita Bruta'!Z27</f>
        <v>73366112</v>
      </c>
      <c r="AE53" s="74">
        <f>'A4 - Previsão de Receita Bruta'!AA27</f>
        <v>73366112</v>
      </c>
      <c r="AF53" s="74">
        <f>'A4 - Previsão de Receita Bruta'!AB27</f>
        <v>73366112</v>
      </c>
      <c r="AG53" s="74">
        <f>'A4 - Previsão de Receita Bruta'!AC27</f>
        <v>73366112</v>
      </c>
      <c r="AH53" s="74">
        <f>'A4 - Previsão de Receita Bruta'!AD27</f>
        <v>73366112</v>
      </c>
      <c r="AI53" s="74">
        <f>'A4 - Previsão de Receita Bruta'!AE27</f>
        <v>73366112</v>
      </c>
      <c r="AJ53" s="74">
        <f>'A4 - Previsão de Receita Bruta'!AF27</f>
        <v>73366112</v>
      </c>
      <c r="AK53" s="65">
        <f t="shared" si="52"/>
        <v>423577.35</v>
      </c>
      <c r="AL53" s="65">
        <f t="shared" si="54"/>
        <v>1273888.74</v>
      </c>
      <c r="AM53" s="65">
        <f t="shared" si="55"/>
        <v>1317831.96</v>
      </c>
      <c r="AN53" s="65">
        <f t="shared" si="56"/>
        <v>1360389.54</v>
      </c>
      <c r="AO53" s="65">
        <f t="shared" si="57"/>
        <v>1403623.5</v>
      </c>
      <c r="AP53" s="65">
        <f t="shared" si="58"/>
        <v>1447614.54</v>
      </c>
      <c r="AQ53" s="65">
        <f t="shared" si="59"/>
        <v>1492853.28</v>
      </c>
      <c r="AR53" s="65">
        <f t="shared" si="60"/>
        <v>1539405.54</v>
      </c>
      <c r="AS53" s="65">
        <f t="shared" si="61"/>
        <v>1586808.18</v>
      </c>
      <c r="AT53" s="65">
        <f t="shared" si="62"/>
        <v>1635088.8599999999</v>
      </c>
      <c r="AU53" s="65">
        <f t="shared" si="63"/>
        <v>1684884.8399999999</v>
      </c>
      <c r="AV53" s="65">
        <f t="shared" si="64"/>
        <v>1736175.27</v>
      </c>
      <c r="AW53" s="65">
        <f t="shared" si="65"/>
        <v>1789097.4</v>
      </c>
      <c r="AX53" s="65">
        <f t="shared" si="66"/>
        <v>1843621.5</v>
      </c>
      <c r="AY53" s="65">
        <f t="shared" si="67"/>
        <v>1899783.48</v>
      </c>
      <c r="AZ53" s="65">
        <f t="shared" si="68"/>
        <v>1957483.5599999998</v>
      </c>
      <c r="BA53" s="65">
        <f t="shared" si="69"/>
        <v>2016652.77</v>
      </c>
      <c r="BB53" s="65">
        <f t="shared" si="70"/>
        <v>2077088.8199999998</v>
      </c>
      <c r="BC53" s="65">
        <f t="shared" si="71"/>
        <v>2138628.12</v>
      </c>
      <c r="BD53" s="65">
        <f t="shared" si="72"/>
        <v>2200983.36</v>
      </c>
      <c r="BE53" s="65">
        <f t="shared" si="73"/>
        <v>2200983.36</v>
      </c>
      <c r="BF53" s="65">
        <f t="shared" si="74"/>
        <v>2200983.36</v>
      </c>
      <c r="BG53" s="65">
        <f t="shared" si="75"/>
        <v>2200983.36</v>
      </c>
      <c r="BH53" s="65">
        <f t="shared" si="76"/>
        <v>2200983.36</v>
      </c>
      <c r="BI53" s="65">
        <f t="shared" si="77"/>
        <v>2200983.36</v>
      </c>
      <c r="BJ53" s="65">
        <f t="shared" si="78"/>
        <v>2200983.36</v>
      </c>
      <c r="BK53" s="65">
        <f t="shared" si="79"/>
        <v>2200983.36</v>
      </c>
      <c r="BL53" s="65">
        <f t="shared" si="80"/>
        <v>2200983.36</v>
      </c>
      <c r="BM53" s="65">
        <f t="shared" si="81"/>
        <v>2200983.36</v>
      </c>
      <c r="BN53" s="65">
        <f t="shared" si="82"/>
        <v>2200983.36</v>
      </c>
      <c r="BO53" s="66" t="s">
        <v>220</v>
      </c>
    </row>
    <row r="54" spans="1:67" ht="12.75" customHeight="1">
      <c r="A54" s="560" t="s">
        <v>221</v>
      </c>
      <c r="B54" s="560" t="s">
        <v>190</v>
      </c>
      <c r="C54" s="63" t="s">
        <v>191</v>
      </c>
      <c r="D54" s="561" t="s">
        <v>196</v>
      </c>
      <c r="E54" s="64" t="s">
        <v>222</v>
      </c>
      <c r="F54" s="63">
        <v>10000</v>
      </c>
      <c r="G54" s="63">
        <v>12</v>
      </c>
      <c r="H54" s="63">
        <v>12</v>
      </c>
      <c r="I54" s="63">
        <v>12</v>
      </c>
      <c r="J54" s="63">
        <v>12</v>
      </c>
      <c r="K54" s="63">
        <v>12</v>
      </c>
      <c r="L54" s="63">
        <v>12</v>
      </c>
      <c r="M54" s="63">
        <v>12</v>
      </c>
      <c r="N54" s="63">
        <v>12</v>
      </c>
      <c r="O54" s="63">
        <v>12</v>
      </c>
      <c r="P54" s="63">
        <v>12</v>
      </c>
      <c r="Q54" s="63">
        <v>12</v>
      </c>
      <c r="R54" s="63">
        <v>12</v>
      </c>
      <c r="S54" s="63">
        <v>12</v>
      </c>
      <c r="T54" s="63">
        <v>12</v>
      </c>
      <c r="U54" s="63">
        <v>12</v>
      </c>
      <c r="V54" s="63">
        <v>12</v>
      </c>
      <c r="W54" s="63">
        <v>12</v>
      </c>
      <c r="X54" s="63">
        <v>12</v>
      </c>
      <c r="Y54" s="63">
        <v>12</v>
      </c>
      <c r="Z54" s="63">
        <v>12</v>
      </c>
      <c r="AA54" s="63">
        <v>12</v>
      </c>
      <c r="AB54" s="63">
        <v>12</v>
      </c>
      <c r="AC54" s="63">
        <v>12</v>
      </c>
      <c r="AD54" s="63">
        <v>12</v>
      </c>
      <c r="AE54" s="63">
        <v>12</v>
      </c>
      <c r="AF54" s="63">
        <v>12</v>
      </c>
      <c r="AG54" s="63">
        <v>12</v>
      </c>
      <c r="AH54" s="63">
        <v>12</v>
      </c>
      <c r="AI54" s="63">
        <v>12</v>
      </c>
      <c r="AJ54" s="63">
        <v>12</v>
      </c>
      <c r="AK54" s="65">
        <f t="shared" si="52"/>
        <v>120000</v>
      </c>
      <c r="AL54" s="65">
        <f t="shared" si="54"/>
        <v>120000</v>
      </c>
      <c r="AM54" s="65">
        <f t="shared" si="55"/>
        <v>120000</v>
      </c>
      <c r="AN54" s="65">
        <f t="shared" si="56"/>
        <v>120000</v>
      </c>
      <c r="AO54" s="65">
        <f t="shared" si="57"/>
        <v>120000</v>
      </c>
      <c r="AP54" s="65">
        <f t="shared" si="58"/>
        <v>120000</v>
      </c>
      <c r="AQ54" s="65">
        <f t="shared" si="59"/>
        <v>120000</v>
      </c>
      <c r="AR54" s="65">
        <f t="shared" si="60"/>
        <v>120000</v>
      </c>
      <c r="AS54" s="65">
        <f t="shared" si="61"/>
        <v>120000</v>
      </c>
      <c r="AT54" s="65">
        <f t="shared" si="62"/>
        <v>120000</v>
      </c>
      <c r="AU54" s="65">
        <f t="shared" si="63"/>
        <v>120000</v>
      </c>
      <c r="AV54" s="65">
        <f t="shared" si="64"/>
        <v>120000</v>
      </c>
      <c r="AW54" s="65">
        <f t="shared" si="65"/>
        <v>120000</v>
      </c>
      <c r="AX54" s="65">
        <f t="shared" si="66"/>
        <v>120000</v>
      </c>
      <c r="AY54" s="65">
        <f t="shared" si="67"/>
        <v>120000</v>
      </c>
      <c r="AZ54" s="65">
        <f t="shared" si="68"/>
        <v>120000</v>
      </c>
      <c r="BA54" s="65">
        <f t="shared" si="69"/>
        <v>120000</v>
      </c>
      <c r="BB54" s="65">
        <f t="shared" si="70"/>
        <v>120000</v>
      </c>
      <c r="BC54" s="65">
        <f t="shared" si="71"/>
        <v>120000</v>
      </c>
      <c r="BD54" s="65">
        <f t="shared" si="72"/>
        <v>120000</v>
      </c>
      <c r="BE54" s="65">
        <f t="shared" si="73"/>
        <v>120000</v>
      </c>
      <c r="BF54" s="65">
        <f t="shared" si="74"/>
        <v>120000</v>
      </c>
      <c r="BG54" s="65">
        <f t="shared" si="75"/>
        <v>120000</v>
      </c>
      <c r="BH54" s="65">
        <f t="shared" si="76"/>
        <v>120000</v>
      </c>
      <c r="BI54" s="65">
        <f t="shared" si="77"/>
        <v>120000</v>
      </c>
      <c r="BJ54" s="65">
        <f t="shared" si="78"/>
        <v>120000</v>
      </c>
      <c r="BK54" s="65">
        <f t="shared" si="79"/>
        <v>120000</v>
      </c>
      <c r="BL54" s="65">
        <f t="shared" si="80"/>
        <v>120000</v>
      </c>
      <c r="BM54" s="65">
        <f t="shared" si="81"/>
        <v>120000</v>
      </c>
      <c r="BN54" s="65">
        <f t="shared" si="82"/>
        <v>120000</v>
      </c>
      <c r="BO54" s="66" t="s">
        <v>205</v>
      </c>
    </row>
    <row r="55" spans="1:67" ht="13.5" customHeight="1">
      <c r="A55" s="560" t="s">
        <v>223</v>
      </c>
      <c r="B55" s="560" t="s">
        <v>190</v>
      </c>
      <c r="C55" s="63" t="s">
        <v>191</v>
      </c>
      <c r="D55" s="561" t="s">
        <v>196</v>
      </c>
      <c r="E55" s="64" t="s">
        <v>222</v>
      </c>
      <c r="F55" s="63">
        <v>1000</v>
      </c>
      <c r="G55" s="63">
        <v>12</v>
      </c>
      <c r="H55" s="63">
        <v>12</v>
      </c>
      <c r="I55" s="63">
        <v>12</v>
      </c>
      <c r="J55" s="63">
        <v>12</v>
      </c>
      <c r="K55" s="63">
        <v>12</v>
      </c>
      <c r="L55" s="63">
        <v>12</v>
      </c>
      <c r="M55" s="63">
        <v>12</v>
      </c>
      <c r="N55" s="63">
        <v>12</v>
      </c>
      <c r="O55" s="63">
        <v>12</v>
      </c>
      <c r="P55" s="63">
        <v>12</v>
      </c>
      <c r="Q55" s="63">
        <v>12</v>
      </c>
      <c r="R55" s="63">
        <v>12</v>
      </c>
      <c r="S55" s="63">
        <v>12</v>
      </c>
      <c r="T55" s="63">
        <v>12</v>
      </c>
      <c r="U55" s="63">
        <v>12</v>
      </c>
      <c r="V55" s="63">
        <v>12</v>
      </c>
      <c r="W55" s="63">
        <v>12</v>
      </c>
      <c r="X55" s="63">
        <v>12</v>
      </c>
      <c r="Y55" s="63">
        <v>12</v>
      </c>
      <c r="Z55" s="63">
        <v>12</v>
      </c>
      <c r="AA55" s="63">
        <v>12</v>
      </c>
      <c r="AB55" s="63">
        <v>12</v>
      </c>
      <c r="AC55" s="63">
        <v>12</v>
      </c>
      <c r="AD55" s="63">
        <v>12</v>
      </c>
      <c r="AE55" s="63">
        <v>12</v>
      </c>
      <c r="AF55" s="63">
        <v>12</v>
      </c>
      <c r="AG55" s="63">
        <v>12</v>
      </c>
      <c r="AH55" s="63">
        <v>12</v>
      </c>
      <c r="AI55" s="63">
        <v>12</v>
      </c>
      <c r="AJ55" s="63">
        <v>12</v>
      </c>
      <c r="AK55" s="65">
        <f t="shared" ref="AK55:AK81" si="90">$F55*G55*IF(C55="Operacional",IFERROR(VLOOKUP($D55,SN_UGC,28,0),0),1)</f>
        <v>12000</v>
      </c>
      <c r="AL55" s="65">
        <f t="shared" si="54"/>
        <v>12000</v>
      </c>
      <c r="AM55" s="65">
        <f t="shared" si="55"/>
        <v>12000</v>
      </c>
      <c r="AN55" s="65">
        <f t="shared" si="56"/>
        <v>12000</v>
      </c>
      <c r="AO55" s="65">
        <f t="shared" si="57"/>
        <v>12000</v>
      </c>
      <c r="AP55" s="65">
        <f t="shared" si="58"/>
        <v>12000</v>
      </c>
      <c r="AQ55" s="65">
        <f t="shared" si="59"/>
        <v>12000</v>
      </c>
      <c r="AR55" s="65">
        <f t="shared" si="60"/>
        <v>12000</v>
      </c>
      <c r="AS55" s="65">
        <f t="shared" si="61"/>
        <v>12000</v>
      </c>
      <c r="AT55" s="65">
        <f t="shared" si="62"/>
        <v>12000</v>
      </c>
      <c r="AU55" s="65">
        <f t="shared" si="63"/>
        <v>12000</v>
      </c>
      <c r="AV55" s="65">
        <f t="shared" si="64"/>
        <v>12000</v>
      </c>
      <c r="AW55" s="65">
        <f t="shared" si="65"/>
        <v>12000</v>
      </c>
      <c r="AX55" s="65">
        <f t="shared" si="66"/>
        <v>12000</v>
      </c>
      <c r="AY55" s="65">
        <f t="shared" si="67"/>
        <v>12000</v>
      </c>
      <c r="AZ55" s="65">
        <f t="shared" si="68"/>
        <v>12000</v>
      </c>
      <c r="BA55" s="65">
        <f t="shared" si="69"/>
        <v>12000</v>
      </c>
      <c r="BB55" s="65">
        <f t="shared" si="70"/>
        <v>12000</v>
      </c>
      <c r="BC55" s="65">
        <f t="shared" si="71"/>
        <v>12000</v>
      </c>
      <c r="BD55" s="65">
        <f t="shared" si="72"/>
        <v>12000</v>
      </c>
      <c r="BE55" s="65">
        <f t="shared" si="73"/>
        <v>12000</v>
      </c>
      <c r="BF55" s="65">
        <f t="shared" si="74"/>
        <v>12000</v>
      </c>
      <c r="BG55" s="65">
        <f t="shared" si="75"/>
        <v>12000</v>
      </c>
      <c r="BH55" s="65">
        <f t="shared" si="76"/>
        <v>12000</v>
      </c>
      <c r="BI55" s="65">
        <f t="shared" si="77"/>
        <v>12000</v>
      </c>
      <c r="BJ55" s="65">
        <f t="shared" si="78"/>
        <v>12000</v>
      </c>
      <c r="BK55" s="65">
        <f t="shared" si="79"/>
        <v>12000</v>
      </c>
      <c r="BL55" s="65">
        <f t="shared" si="80"/>
        <v>12000</v>
      </c>
      <c r="BM55" s="65">
        <f t="shared" si="81"/>
        <v>12000</v>
      </c>
      <c r="BN55" s="65">
        <f t="shared" si="82"/>
        <v>12000</v>
      </c>
      <c r="BO55" s="66" t="s">
        <v>224</v>
      </c>
    </row>
    <row r="56" spans="1:67" ht="13.5" customHeight="1">
      <c r="A56" s="560" t="s">
        <v>225</v>
      </c>
      <c r="B56" s="560" t="s">
        <v>190</v>
      </c>
      <c r="C56" s="63" t="s">
        <v>191</v>
      </c>
      <c r="D56" s="561" t="s">
        <v>196</v>
      </c>
      <c r="E56" s="64" t="s">
        <v>222</v>
      </c>
      <c r="F56" s="63">
        <v>20000</v>
      </c>
      <c r="G56" s="63">
        <v>12</v>
      </c>
      <c r="H56" s="63">
        <v>12</v>
      </c>
      <c r="I56" s="63">
        <v>12</v>
      </c>
      <c r="J56" s="63">
        <v>12</v>
      </c>
      <c r="K56" s="63">
        <v>12</v>
      </c>
      <c r="L56" s="63">
        <v>12</v>
      </c>
      <c r="M56" s="63">
        <v>12</v>
      </c>
      <c r="N56" s="63">
        <v>12</v>
      </c>
      <c r="O56" s="63">
        <v>12</v>
      </c>
      <c r="P56" s="63">
        <v>12</v>
      </c>
      <c r="Q56" s="63">
        <v>12</v>
      </c>
      <c r="R56" s="63">
        <v>12</v>
      </c>
      <c r="S56" s="63">
        <v>12</v>
      </c>
      <c r="T56" s="63">
        <v>12</v>
      </c>
      <c r="U56" s="63">
        <v>12</v>
      </c>
      <c r="V56" s="63">
        <v>12</v>
      </c>
      <c r="W56" s="63">
        <v>12</v>
      </c>
      <c r="X56" s="63">
        <v>12</v>
      </c>
      <c r="Y56" s="63">
        <v>12</v>
      </c>
      <c r="Z56" s="63">
        <v>12</v>
      </c>
      <c r="AA56" s="63">
        <v>12</v>
      </c>
      <c r="AB56" s="63">
        <v>12</v>
      </c>
      <c r="AC56" s="63">
        <v>12</v>
      </c>
      <c r="AD56" s="63">
        <v>12</v>
      </c>
      <c r="AE56" s="63">
        <v>12</v>
      </c>
      <c r="AF56" s="63">
        <v>12</v>
      </c>
      <c r="AG56" s="63">
        <v>12</v>
      </c>
      <c r="AH56" s="63">
        <v>12</v>
      </c>
      <c r="AI56" s="63">
        <v>12</v>
      </c>
      <c r="AJ56" s="63">
        <v>12</v>
      </c>
      <c r="AK56" s="65">
        <f t="shared" si="90"/>
        <v>240000</v>
      </c>
      <c r="AL56" s="65">
        <f t="shared" ref="AL56:AL82" si="91">$F56*H56*IF(D56="Operacional",IFERROR(VLOOKUP($D56,SN_UGC,28,0),0),1)</f>
        <v>240000</v>
      </c>
      <c r="AM56" s="65">
        <f t="shared" ref="AM56:AM82" si="92">$F56*I56*IF(E56="Operacional",IFERROR(VLOOKUP($D56,SN_UGC,28,0),0),1)</f>
        <v>240000</v>
      </c>
      <c r="AN56" s="65">
        <f t="shared" ref="AN56:AN82" si="93">$F56*J56*IF(F56="Operacional",IFERROR(VLOOKUP($D56,SN_UGC,28,0),0),1)</f>
        <v>240000</v>
      </c>
      <c r="AO56" s="65">
        <f t="shared" ref="AO56:AO82" si="94">$F56*K56*IF(G56="Operacional",IFERROR(VLOOKUP($D56,SN_UGC,28,0),0),1)</f>
        <v>240000</v>
      </c>
      <c r="AP56" s="65">
        <f t="shared" ref="AP56:AP82" si="95">$F56*L56*IF(H56="Operacional",IFERROR(VLOOKUP($D56,SN_UGC,28,0),0),1)</f>
        <v>240000</v>
      </c>
      <c r="AQ56" s="65">
        <f t="shared" ref="AQ56:AQ82" si="96">$F56*M56*IF(I56="Operacional",IFERROR(VLOOKUP($D56,SN_UGC,28,0),0),1)</f>
        <v>240000</v>
      </c>
      <c r="AR56" s="65">
        <f t="shared" ref="AR56:AR82" si="97">$F56*N56*IF(J56="Operacional",IFERROR(VLOOKUP($D56,SN_UGC,28,0),0),1)</f>
        <v>240000</v>
      </c>
      <c r="AS56" s="65">
        <f t="shared" ref="AS56:AS82" si="98">$F56*O56*IF(K56="Operacional",IFERROR(VLOOKUP($D56,SN_UGC,28,0),0),1)</f>
        <v>240000</v>
      </c>
      <c r="AT56" s="65">
        <f t="shared" ref="AT56:AT82" si="99">$F56*P56*IF(L56="Operacional",IFERROR(VLOOKUP($D56,SN_UGC,28,0),0),1)</f>
        <v>240000</v>
      </c>
      <c r="AU56" s="65">
        <f t="shared" ref="AU56:AU82" si="100">$F56*Q56*IF(M56="Operacional",IFERROR(VLOOKUP($D56,SN_UGC,28,0),0),1)</f>
        <v>240000</v>
      </c>
      <c r="AV56" s="65">
        <f t="shared" ref="AV56:AV82" si="101">$F56*R56*IF(N56="Operacional",IFERROR(VLOOKUP($D56,SN_UGC,28,0),0),1)</f>
        <v>240000</v>
      </c>
      <c r="AW56" s="65">
        <f t="shared" ref="AW56:AW82" si="102">$F56*S56*IF(O56="Operacional",IFERROR(VLOOKUP($D56,SN_UGC,28,0),0),1)</f>
        <v>240000</v>
      </c>
      <c r="AX56" s="65">
        <f t="shared" ref="AX56:AX82" si="103">$F56*T56*IF(P56="Operacional",IFERROR(VLOOKUP($D56,SN_UGC,28,0),0),1)</f>
        <v>240000</v>
      </c>
      <c r="AY56" s="65">
        <f t="shared" ref="AY56:AY82" si="104">$F56*U56*IF(Q56="Operacional",IFERROR(VLOOKUP($D56,SN_UGC,28,0),0),1)</f>
        <v>240000</v>
      </c>
      <c r="AZ56" s="65">
        <f t="shared" ref="AZ56:AZ82" si="105">$F56*V56*IF(R56="Operacional",IFERROR(VLOOKUP($D56,SN_UGC,28,0),0),1)</f>
        <v>240000</v>
      </c>
      <c r="BA56" s="65">
        <f t="shared" ref="BA56:BA82" si="106">$F56*W56*IF(S56="Operacional",IFERROR(VLOOKUP($D56,SN_UGC,28,0),0),1)</f>
        <v>240000</v>
      </c>
      <c r="BB56" s="65">
        <f t="shared" ref="BB56:BB82" si="107">$F56*X56*IF(T56="Operacional",IFERROR(VLOOKUP($D56,SN_UGC,28,0),0),1)</f>
        <v>240000</v>
      </c>
      <c r="BC56" s="65">
        <f t="shared" ref="BC56:BC82" si="108">$F56*Y56*IF(U56="Operacional",IFERROR(VLOOKUP($D56,SN_UGC,28,0),0),1)</f>
        <v>240000</v>
      </c>
      <c r="BD56" s="65">
        <f t="shared" ref="BD56:BD82" si="109">$F56*Z56*IF(V56="Operacional",IFERROR(VLOOKUP($D56,SN_UGC,28,0),0),1)</f>
        <v>240000</v>
      </c>
      <c r="BE56" s="65">
        <f t="shared" ref="BE56:BE82" si="110">$F56*AA56*IF(W56="Operacional",IFERROR(VLOOKUP($D56,SN_UGC,28,0),0),1)</f>
        <v>240000</v>
      </c>
      <c r="BF56" s="65">
        <f t="shared" ref="BF56:BF82" si="111">$F56*AB56*IF(X56="Operacional",IFERROR(VLOOKUP($D56,SN_UGC,28,0),0),1)</f>
        <v>240000</v>
      </c>
      <c r="BG56" s="65">
        <f t="shared" ref="BG56:BG82" si="112">$F56*AC56*IF(Y56="Operacional",IFERROR(VLOOKUP($D56,SN_UGC,28,0),0),1)</f>
        <v>240000</v>
      </c>
      <c r="BH56" s="65">
        <f t="shared" ref="BH56:BH82" si="113">$F56*AD56*IF(Z56="Operacional",IFERROR(VLOOKUP($D56,SN_UGC,28,0),0),1)</f>
        <v>240000</v>
      </c>
      <c r="BI56" s="65">
        <f t="shared" ref="BI56:BI82" si="114">$F56*AE56*IF(AA56="Operacional",IFERROR(VLOOKUP($D56,SN_UGC,28,0),0),1)</f>
        <v>240000</v>
      </c>
      <c r="BJ56" s="65">
        <f t="shared" ref="BJ56:BJ82" si="115">$F56*AF56*IF(AB56="Operacional",IFERROR(VLOOKUP($D56,SN_UGC,28,0),0),1)</f>
        <v>240000</v>
      </c>
      <c r="BK56" s="65">
        <f t="shared" ref="BK56:BK82" si="116">$F56*AG56*IF(AC56="Operacional",IFERROR(VLOOKUP($D56,SN_UGC,28,0),0),1)</f>
        <v>240000</v>
      </c>
      <c r="BL56" s="65">
        <f t="shared" ref="BL56:BL82" si="117">$F56*AH56*IF(AD56="Operacional",IFERROR(VLOOKUP($D56,SN_UGC,28,0),0),1)</f>
        <v>240000</v>
      </c>
      <c r="BM56" s="65">
        <f t="shared" ref="BM56:BM82" si="118">$F56*AI56*IF(AE56="Operacional",IFERROR(VLOOKUP($D56,SN_UGC,28,0),0),1)</f>
        <v>240000</v>
      </c>
      <c r="BN56" s="65">
        <f t="shared" ref="BN56:BN82" si="119">$F56*AJ56*IF(AF56="Operacional",IFERROR(VLOOKUP($D56,SN_UGC,28,0),0),1)</f>
        <v>240000</v>
      </c>
      <c r="BO56" s="66" t="s">
        <v>226</v>
      </c>
    </row>
    <row r="57" spans="1:67" ht="13.5" customHeight="1">
      <c r="A57" s="560" t="s">
        <v>227</v>
      </c>
      <c r="B57" s="560" t="s">
        <v>190</v>
      </c>
      <c r="C57" s="63" t="s">
        <v>191</v>
      </c>
      <c r="D57" s="561" t="s">
        <v>196</v>
      </c>
      <c r="E57" s="64" t="s">
        <v>222</v>
      </c>
      <c r="F57" s="63">
        <v>5000</v>
      </c>
      <c r="G57" s="63">
        <v>12</v>
      </c>
      <c r="H57" s="63">
        <v>12</v>
      </c>
      <c r="I57" s="63">
        <v>12</v>
      </c>
      <c r="J57" s="63">
        <v>12</v>
      </c>
      <c r="K57" s="63">
        <v>12</v>
      </c>
      <c r="L57" s="63">
        <v>12</v>
      </c>
      <c r="M57" s="63">
        <v>12</v>
      </c>
      <c r="N57" s="63">
        <v>12</v>
      </c>
      <c r="O57" s="63">
        <v>12</v>
      </c>
      <c r="P57" s="63">
        <v>12</v>
      </c>
      <c r="Q57" s="63">
        <v>12</v>
      </c>
      <c r="R57" s="63">
        <v>12</v>
      </c>
      <c r="S57" s="63">
        <v>12</v>
      </c>
      <c r="T57" s="63">
        <v>12</v>
      </c>
      <c r="U57" s="63">
        <v>12</v>
      </c>
      <c r="V57" s="63">
        <v>12</v>
      </c>
      <c r="W57" s="63">
        <v>12</v>
      </c>
      <c r="X57" s="63">
        <v>12</v>
      </c>
      <c r="Y57" s="63">
        <v>12</v>
      </c>
      <c r="Z57" s="63">
        <v>12</v>
      </c>
      <c r="AA57" s="63">
        <v>12</v>
      </c>
      <c r="AB57" s="63">
        <v>12</v>
      </c>
      <c r="AC57" s="63">
        <v>12</v>
      </c>
      <c r="AD57" s="63">
        <v>12</v>
      </c>
      <c r="AE57" s="63">
        <v>12</v>
      </c>
      <c r="AF57" s="63">
        <v>12</v>
      </c>
      <c r="AG57" s="63">
        <v>12</v>
      </c>
      <c r="AH57" s="63">
        <v>12</v>
      </c>
      <c r="AI57" s="63">
        <v>12</v>
      </c>
      <c r="AJ57" s="63">
        <v>12</v>
      </c>
      <c r="AK57" s="65">
        <f t="shared" si="90"/>
        <v>60000</v>
      </c>
      <c r="AL57" s="65">
        <f t="shared" si="91"/>
        <v>60000</v>
      </c>
      <c r="AM57" s="65">
        <f t="shared" si="92"/>
        <v>60000</v>
      </c>
      <c r="AN57" s="65">
        <f t="shared" si="93"/>
        <v>60000</v>
      </c>
      <c r="AO57" s="65">
        <f t="shared" si="94"/>
        <v>60000</v>
      </c>
      <c r="AP57" s="65">
        <f t="shared" si="95"/>
        <v>60000</v>
      </c>
      <c r="AQ57" s="65">
        <f t="shared" si="96"/>
        <v>60000</v>
      </c>
      <c r="AR57" s="65">
        <f t="shared" si="97"/>
        <v>60000</v>
      </c>
      <c r="AS57" s="65">
        <f t="shared" si="98"/>
        <v>60000</v>
      </c>
      <c r="AT57" s="65">
        <f t="shared" si="99"/>
        <v>60000</v>
      </c>
      <c r="AU57" s="65">
        <f t="shared" si="100"/>
        <v>60000</v>
      </c>
      <c r="AV57" s="65">
        <f t="shared" si="101"/>
        <v>60000</v>
      </c>
      <c r="AW57" s="65">
        <f t="shared" si="102"/>
        <v>60000</v>
      </c>
      <c r="AX57" s="65">
        <f t="shared" si="103"/>
        <v>60000</v>
      </c>
      <c r="AY57" s="65">
        <f t="shared" si="104"/>
        <v>60000</v>
      </c>
      <c r="AZ57" s="65">
        <f t="shared" si="105"/>
        <v>60000</v>
      </c>
      <c r="BA57" s="65">
        <f t="shared" si="106"/>
        <v>60000</v>
      </c>
      <c r="BB57" s="65">
        <f t="shared" si="107"/>
        <v>60000</v>
      </c>
      <c r="BC57" s="65">
        <f t="shared" si="108"/>
        <v>60000</v>
      </c>
      <c r="BD57" s="65">
        <f t="shared" si="109"/>
        <v>60000</v>
      </c>
      <c r="BE57" s="65">
        <f t="shared" si="110"/>
        <v>60000</v>
      </c>
      <c r="BF57" s="65">
        <f t="shared" si="111"/>
        <v>60000</v>
      </c>
      <c r="BG57" s="65">
        <f t="shared" si="112"/>
        <v>60000</v>
      </c>
      <c r="BH57" s="65">
        <f t="shared" si="113"/>
        <v>60000</v>
      </c>
      <c r="BI57" s="65">
        <f t="shared" si="114"/>
        <v>60000</v>
      </c>
      <c r="BJ57" s="65">
        <f t="shared" si="115"/>
        <v>60000</v>
      </c>
      <c r="BK57" s="65">
        <f t="shared" si="116"/>
        <v>60000</v>
      </c>
      <c r="BL57" s="65">
        <f t="shared" si="117"/>
        <v>60000</v>
      </c>
      <c r="BM57" s="65">
        <f t="shared" si="118"/>
        <v>60000</v>
      </c>
      <c r="BN57" s="65">
        <f t="shared" si="119"/>
        <v>60000</v>
      </c>
      <c r="BO57" s="66" t="s">
        <v>214</v>
      </c>
    </row>
    <row r="58" spans="1:67" ht="13.5" customHeight="1">
      <c r="A58" s="560"/>
      <c r="B58" s="560"/>
      <c r="C58" s="63"/>
      <c r="D58" s="561"/>
      <c r="E58" s="64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5">
        <f t="shared" si="90"/>
        <v>0</v>
      </c>
      <c r="AL58" s="65">
        <f t="shared" si="91"/>
        <v>0</v>
      </c>
      <c r="AM58" s="65">
        <f t="shared" si="92"/>
        <v>0</v>
      </c>
      <c r="AN58" s="65">
        <f t="shared" si="93"/>
        <v>0</v>
      </c>
      <c r="AO58" s="65">
        <f t="shared" si="94"/>
        <v>0</v>
      </c>
      <c r="AP58" s="65">
        <f t="shared" si="95"/>
        <v>0</v>
      </c>
      <c r="AQ58" s="65">
        <f t="shared" si="96"/>
        <v>0</v>
      </c>
      <c r="AR58" s="65">
        <f t="shared" si="97"/>
        <v>0</v>
      </c>
      <c r="AS58" s="65">
        <f t="shared" si="98"/>
        <v>0</v>
      </c>
      <c r="AT58" s="65">
        <f t="shared" si="99"/>
        <v>0</v>
      </c>
      <c r="AU58" s="65">
        <f t="shared" si="100"/>
        <v>0</v>
      </c>
      <c r="AV58" s="65">
        <f t="shared" si="101"/>
        <v>0</v>
      </c>
      <c r="AW58" s="65">
        <f t="shared" si="102"/>
        <v>0</v>
      </c>
      <c r="AX58" s="65">
        <f t="shared" si="103"/>
        <v>0</v>
      </c>
      <c r="AY58" s="65">
        <f t="shared" si="104"/>
        <v>0</v>
      </c>
      <c r="AZ58" s="65">
        <f t="shared" si="105"/>
        <v>0</v>
      </c>
      <c r="BA58" s="65">
        <f t="shared" si="106"/>
        <v>0</v>
      </c>
      <c r="BB58" s="65">
        <f t="shared" si="107"/>
        <v>0</v>
      </c>
      <c r="BC58" s="65">
        <f t="shared" si="108"/>
        <v>0</v>
      </c>
      <c r="BD58" s="65">
        <f t="shared" si="109"/>
        <v>0</v>
      </c>
      <c r="BE58" s="65">
        <f t="shared" si="110"/>
        <v>0</v>
      </c>
      <c r="BF58" s="65">
        <f t="shared" si="111"/>
        <v>0</v>
      </c>
      <c r="BG58" s="65">
        <f t="shared" si="112"/>
        <v>0</v>
      </c>
      <c r="BH58" s="65">
        <f t="shared" si="113"/>
        <v>0</v>
      </c>
      <c r="BI58" s="65">
        <f t="shared" si="114"/>
        <v>0</v>
      </c>
      <c r="BJ58" s="65">
        <f t="shared" si="115"/>
        <v>0</v>
      </c>
      <c r="BK58" s="65">
        <f t="shared" si="116"/>
        <v>0</v>
      </c>
      <c r="BL58" s="65">
        <f t="shared" si="117"/>
        <v>0</v>
      </c>
      <c r="BM58" s="65">
        <f t="shared" si="118"/>
        <v>0</v>
      </c>
      <c r="BN58" s="65">
        <f t="shared" si="119"/>
        <v>0</v>
      </c>
      <c r="BO58" s="66"/>
    </row>
    <row r="59" spans="1:67" ht="13.5" customHeight="1">
      <c r="A59" s="560" t="s">
        <v>228</v>
      </c>
      <c r="B59" s="560" t="s">
        <v>190</v>
      </c>
      <c r="C59" s="63" t="s">
        <v>191</v>
      </c>
      <c r="D59" s="561" t="s">
        <v>207</v>
      </c>
      <c r="E59" s="64" t="s">
        <v>222</v>
      </c>
      <c r="F59" s="63">
        <v>10000</v>
      </c>
      <c r="G59" s="63">
        <v>12</v>
      </c>
      <c r="H59" s="63">
        <v>12</v>
      </c>
      <c r="I59" s="63">
        <v>12</v>
      </c>
      <c r="J59" s="63">
        <v>12</v>
      </c>
      <c r="K59" s="63">
        <v>12</v>
      </c>
      <c r="L59" s="63">
        <v>12</v>
      </c>
      <c r="M59" s="63">
        <v>12</v>
      </c>
      <c r="N59" s="63">
        <v>12</v>
      </c>
      <c r="O59" s="63">
        <v>12</v>
      </c>
      <c r="P59" s="63">
        <v>12</v>
      </c>
      <c r="Q59" s="63">
        <v>12</v>
      </c>
      <c r="R59" s="63">
        <v>12</v>
      </c>
      <c r="S59" s="63">
        <v>12</v>
      </c>
      <c r="T59" s="63">
        <v>12</v>
      </c>
      <c r="U59" s="63">
        <v>12</v>
      </c>
      <c r="V59" s="63">
        <v>12</v>
      </c>
      <c r="W59" s="63">
        <v>12</v>
      </c>
      <c r="X59" s="63">
        <v>12</v>
      </c>
      <c r="Y59" s="63">
        <v>12</v>
      </c>
      <c r="Z59" s="63">
        <v>12</v>
      </c>
      <c r="AA59" s="63">
        <v>12</v>
      </c>
      <c r="AB59" s="63">
        <v>12</v>
      </c>
      <c r="AC59" s="63">
        <v>12</v>
      </c>
      <c r="AD59" s="63">
        <v>12</v>
      </c>
      <c r="AE59" s="63">
        <v>12</v>
      </c>
      <c r="AF59" s="63">
        <v>12</v>
      </c>
      <c r="AG59" s="63">
        <v>12</v>
      </c>
      <c r="AH59" s="63">
        <v>12</v>
      </c>
      <c r="AI59" s="63">
        <v>12</v>
      </c>
      <c r="AJ59" s="63">
        <v>12</v>
      </c>
      <c r="AK59" s="65">
        <f t="shared" si="90"/>
        <v>120000</v>
      </c>
      <c r="AL59" s="65">
        <f t="shared" si="91"/>
        <v>120000</v>
      </c>
      <c r="AM59" s="65">
        <f t="shared" si="92"/>
        <v>120000</v>
      </c>
      <c r="AN59" s="65">
        <f t="shared" si="93"/>
        <v>120000</v>
      </c>
      <c r="AO59" s="65">
        <f t="shared" si="94"/>
        <v>120000</v>
      </c>
      <c r="AP59" s="65">
        <f t="shared" si="95"/>
        <v>120000</v>
      </c>
      <c r="AQ59" s="65">
        <f t="shared" si="96"/>
        <v>120000</v>
      </c>
      <c r="AR59" s="65">
        <f t="shared" si="97"/>
        <v>120000</v>
      </c>
      <c r="AS59" s="65">
        <f t="shared" si="98"/>
        <v>120000</v>
      </c>
      <c r="AT59" s="65">
        <f t="shared" si="99"/>
        <v>120000</v>
      </c>
      <c r="AU59" s="65">
        <f t="shared" si="100"/>
        <v>120000</v>
      </c>
      <c r="AV59" s="65">
        <f t="shared" si="101"/>
        <v>120000</v>
      </c>
      <c r="AW59" s="65">
        <f t="shared" si="102"/>
        <v>120000</v>
      </c>
      <c r="AX59" s="65">
        <f t="shared" si="103"/>
        <v>120000</v>
      </c>
      <c r="AY59" s="65">
        <f t="shared" si="104"/>
        <v>120000</v>
      </c>
      <c r="AZ59" s="65">
        <f t="shared" si="105"/>
        <v>120000</v>
      </c>
      <c r="BA59" s="65">
        <f t="shared" si="106"/>
        <v>120000</v>
      </c>
      <c r="BB59" s="65">
        <f t="shared" si="107"/>
        <v>120000</v>
      </c>
      <c r="BC59" s="65">
        <f t="shared" si="108"/>
        <v>120000</v>
      </c>
      <c r="BD59" s="65">
        <f t="shared" si="109"/>
        <v>120000</v>
      </c>
      <c r="BE59" s="65">
        <f t="shared" si="110"/>
        <v>120000</v>
      </c>
      <c r="BF59" s="65">
        <f t="shared" si="111"/>
        <v>120000</v>
      </c>
      <c r="BG59" s="65">
        <f t="shared" si="112"/>
        <v>120000</v>
      </c>
      <c r="BH59" s="65">
        <f t="shared" si="113"/>
        <v>120000</v>
      </c>
      <c r="BI59" s="65">
        <f t="shared" si="114"/>
        <v>120000</v>
      </c>
      <c r="BJ59" s="65">
        <f t="shared" si="115"/>
        <v>120000</v>
      </c>
      <c r="BK59" s="65">
        <f t="shared" si="116"/>
        <v>120000</v>
      </c>
      <c r="BL59" s="65">
        <f t="shared" si="117"/>
        <v>120000</v>
      </c>
      <c r="BM59" s="65">
        <f t="shared" si="118"/>
        <v>120000</v>
      </c>
      <c r="BN59" s="65">
        <f t="shared" si="119"/>
        <v>120000</v>
      </c>
      <c r="BO59" s="66" t="s">
        <v>229</v>
      </c>
    </row>
    <row r="60" spans="1:67" ht="13.5" customHeight="1">
      <c r="A60" s="560"/>
      <c r="B60" s="560"/>
      <c r="C60" s="63"/>
      <c r="D60" s="561"/>
      <c r="E60" s="64"/>
      <c r="F60" s="75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5">
        <f t="shared" si="90"/>
        <v>0</v>
      </c>
      <c r="AL60" s="65">
        <f t="shared" si="91"/>
        <v>0</v>
      </c>
      <c r="AM60" s="65">
        <f t="shared" si="92"/>
        <v>0</v>
      </c>
      <c r="AN60" s="65">
        <f t="shared" si="93"/>
        <v>0</v>
      </c>
      <c r="AO60" s="65">
        <f t="shared" si="94"/>
        <v>0</v>
      </c>
      <c r="AP60" s="65">
        <f t="shared" si="95"/>
        <v>0</v>
      </c>
      <c r="AQ60" s="65">
        <f t="shared" si="96"/>
        <v>0</v>
      </c>
      <c r="AR60" s="65">
        <f t="shared" si="97"/>
        <v>0</v>
      </c>
      <c r="AS60" s="65">
        <f t="shared" si="98"/>
        <v>0</v>
      </c>
      <c r="AT60" s="65">
        <f t="shared" si="99"/>
        <v>0</v>
      </c>
      <c r="AU60" s="65">
        <f t="shared" si="100"/>
        <v>0</v>
      </c>
      <c r="AV60" s="65">
        <f t="shared" si="101"/>
        <v>0</v>
      </c>
      <c r="AW60" s="65">
        <f t="shared" si="102"/>
        <v>0</v>
      </c>
      <c r="AX60" s="65">
        <f t="shared" si="103"/>
        <v>0</v>
      </c>
      <c r="AY60" s="65">
        <f t="shared" si="104"/>
        <v>0</v>
      </c>
      <c r="AZ60" s="65">
        <f t="shared" si="105"/>
        <v>0</v>
      </c>
      <c r="BA60" s="65">
        <f t="shared" si="106"/>
        <v>0</v>
      </c>
      <c r="BB60" s="65">
        <f t="shared" si="107"/>
        <v>0</v>
      </c>
      <c r="BC60" s="65">
        <f t="shared" si="108"/>
        <v>0</v>
      </c>
      <c r="BD60" s="65">
        <f t="shared" si="109"/>
        <v>0</v>
      </c>
      <c r="BE60" s="65">
        <f t="shared" si="110"/>
        <v>0</v>
      </c>
      <c r="BF60" s="65">
        <f t="shared" si="111"/>
        <v>0</v>
      </c>
      <c r="BG60" s="65">
        <f t="shared" si="112"/>
        <v>0</v>
      </c>
      <c r="BH60" s="65">
        <f t="shared" si="113"/>
        <v>0</v>
      </c>
      <c r="BI60" s="65">
        <f t="shared" si="114"/>
        <v>0</v>
      </c>
      <c r="BJ60" s="65">
        <f t="shared" si="115"/>
        <v>0</v>
      </c>
      <c r="BK60" s="65">
        <f t="shared" si="116"/>
        <v>0</v>
      </c>
      <c r="BL60" s="65">
        <f t="shared" si="117"/>
        <v>0</v>
      </c>
      <c r="BM60" s="65">
        <f t="shared" si="118"/>
        <v>0</v>
      </c>
      <c r="BN60" s="65">
        <f t="shared" si="119"/>
        <v>0</v>
      </c>
      <c r="BO60" s="66" t="s">
        <v>229</v>
      </c>
    </row>
    <row r="61" spans="1:67" ht="13.5" customHeight="1">
      <c r="A61" s="560" t="s">
        <v>230</v>
      </c>
      <c r="B61" s="560" t="s">
        <v>190</v>
      </c>
      <c r="C61" s="63" t="s">
        <v>191</v>
      </c>
      <c r="D61" s="561" t="s">
        <v>231</v>
      </c>
      <c r="E61" s="64" t="s">
        <v>147</v>
      </c>
      <c r="F61" s="63">
        <v>30000</v>
      </c>
      <c r="G61" s="63">
        <v>1</v>
      </c>
      <c r="H61" s="63">
        <v>1</v>
      </c>
      <c r="I61" s="63">
        <v>1</v>
      </c>
      <c r="J61" s="63">
        <v>1</v>
      </c>
      <c r="K61" s="63">
        <v>1</v>
      </c>
      <c r="L61" s="63">
        <v>1</v>
      </c>
      <c r="M61" s="63">
        <v>1</v>
      </c>
      <c r="N61" s="63">
        <v>1</v>
      </c>
      <c r="O61" s="63">
        <v>1</v>
      </c>
      <c r="P61" s="63">
        <v>1</v>
      </c>
      <c r="Q61" s="63">
        <v>1</v>
      </c>
      <c r="R61" s="63">
        <v>1</v>
      </c>
      <c r="S61" s="63">
        <v>1</v>
      </c>
      <c r="T61" s="63">
        <v>1</v>
      </c>
      <c r="U61" s="63">
        <v>1</v>
      </c>
      <c r="V61" s="63">
        <v>1</v>
      </c>
      <c r="W61" s="63">
        <v>1</v>
      </c>
      <c r="X61" s="63">
        <v>1</v>
      </c>
      <c r="Y61" s="63">
        <v>1</v>
      </c>
      <c r="Z61" s="63">
        <v>1</v>
      </c>
      <c r="AA61" s="63">
        <v>1</v>
      </c>
      <c r="AB61" s="63">
        <v>1</v>
      </c>
      <c r="AC61" s="63">
        <v>1</v>
      </c>
      <c r="AD61" s="63">
        <v>1</v>
      </c>
      <c r="AE61" s="63">
        <v>1</v>
      </c>
      <c r="AF61" s="63">
        <v>1</v>
      </c>
      <c r="AG61" s="63">
        <v>1</v>
      </c>
      <c r="AH61" s="63">
        <v>1</v>
      </c>
      <c r="AI61" s="63">
        <v>1</v>
      </c>
      <c r="AJ61" s="63">
        <v>1</v>
      </c>
      <c r="AK61" s="65">
        <f t="shared" si="90"/>
        <v>30000</v>
      </c>
      <c r="AL61" s="65">
        <f t="shared" si="91"/>
        <v>30000</v>
      </c>
      <c r="AM61" s="65">
        <f t="shared" si="92"/>
        <v>30000</v>
      </c>
      <c r="AN61" s="65">
        <f t="shared" si="93"/>
        <v>30000</v>
      </c>
      <c r="AO61" s="65">
        <f t="shared" si="94"/>
        <v>30000</v>
      </c>
      <c r="AP61" s="65">
        <f t="shared" si="95"/>
        <v>30000</v>
      </c>
      <c r="AQ61" s="65">
        <f t="shared" si="96"/>
        <v>30000</v>
      </c>
      <c r="AR61" s="65">
        <f t="shared" si="97"/>
        <v>30000</v>
      </c>
      <c r="AS61" s="65">
        <f t="shared" si="98"/>
        <v>30000</v>
      </c>
      <c r="AT61" s="65">
        <f t="shared" si="99"/>
        <v>30000</v>
      </c>
      <c r="AU61" s="65">
        <f t="shared" si="100"/>
        <v>30000</v>
      </c>
      <c r="AV61" s="65">
        <f t="shared" si="101"/>
        <v>30000</v>
      </c>
      <c r="AW61" s="65">
        <f t="shared" si="102"/>
        <v>30000</v>
      </c>
      <c r="AX61" s="65">
        <f t="shared" si="103"/>
        <v>30000</v>
      </c>
      <c r="AY61" s="65">
        <f t="shared" si="104"/>
        <v>30000</v>
      </c>
      <c r="AZ61" s="65">
        <f t="shared" si="105"/>
        <v>30000</v>
      </c>
      <c r="BA61" s="65">
        <f t="shared" si="106"/>
        <v>30000</v>
      </c>
      <c r="BB61" s="65">
        <f t="shared" si="107"/>
        <v>30000</v>
      </c>
      <c r="BC61" s="65">
        <f t="shared" si="108"/>
        <v>30000</v>
      </c>
      <c r="BD61" s="65">
        <f t="shared" si="109"/>
        <v>30000</v>
      </c>
      <c r="BE61" s="65">
        <f t="shared" si="110"/>
        <v>30000</v>
      </c>
      <c r="BF61" s="65">
        <f t="shared" si="111"/>
        <v>30000</v>
      </c>
      <c r="BG61" s="65">
        <f t="shared" si="112"/>
        <v>30000</v>
      </c>
      <c r="BH61" s="65">
        <f t="shared" si="113"/>
        <v>30000</v>
      </c>
      <c r="BI61" s="65">
        <f t="shared" si="114"/>
        <v>30000</v>
      </c>
      <c r="BJ61" s="65">
        <f t="shared" si="115"/>
        <v>30000</v>
      </c>
      <c r="BK61" s="65">
        <f t="shared" si="116"/>
        <v>30000</v>
      </c>
      <c r="BL61" s="65">
        <f t="shared" si="117"/>
        <v>30000</v>
      </c>
      <c r="BM61" s="65">
        <f t="shared" si="118"/>
        <v>30000</v>
      </c>
      <c r="BN61" s="65">
        <f t="shared" si="119"/>
        <v>30000</v>
      </c>
      <c r="BO61" s="66" t="s">
        <v>232</v>
      </c>
    </row>
    <row r="62" spans="1:67" ht="13.5" customHeight="1">
      <c r="A62" s="560"/>
      <c r="B62" s="560"/>
      <c r="C62" s="63"/>
      <c r="D62" s="561"/>
      <c r="E62" s="64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5">
        <f t="shared" si="90"/>
        <v>0</v>
      </c>
      <c r="AL62" s="65">
        <f t="shared" si="91"/>
        <v>0</v>
      </c>
      <c r="AM62" s="65">
        <f t="shared" si="92"/>
        <v>0</v>
      </c>
      <c r="AN62" s="65">
        <f t="shared" si="93"/>
        <v>0</v>
      </c>
      <c r="AO62" s="65">
        <f t="shared" si="94"/>
        <v>0</v>
      </c>
      <c r="AP62" s="65">
        <f t="shared" si="95"/>
        <v>0</v>
      </c>
      <c r="AQ62" s="65">
        <f t="shared" si="96"/>
        <v>0</v>
      </c>
      <c r="AR62" s="65">
        <f t="shared" si="97"/>
        <v>0</v>
      </c>
      <c r="AS62" s="65">
        <f t="shared" si="98"/>
        <v>0</v>
      </c>
      <c r="AT62" s="65">
        <f t="shared" si="99"/>
        <v>0</v>
      </c>
      <c r="AU62" s="65">
        <f t="shared" si="100"/>
        <v>0</v>
      </c>
      <c r="AV62" s="65">
        <f t="shared" si="101"/>
        <v>0</v>
      </c>
      <c r="AW62" s="65">
        <f t="shared" si="102"/>
        <v>0</v>
      </c>
      <c r="AX62" s="65">
        <f t="shared" si="103"/>
        <v>0</v>
      </c>
      <c r="AY62" s="65">
        <f t="shared" si="104"/>
        <v>0</v>
      </c>
      <c r="AZ62" s="65">
        <f t="shared" si="105"/>
        <v>0</v>
      </c>
      <c r="BA62" s="65">
        <f t="shared" si="106"/>
        <v>0</v>
      </c>
      <c r="BB62" s="65">
        <f t="shared" si="107"/>
        <v>0</v>
      </c>
      <c r="BC62" s="65">
        <f t="shared" si="108"/>
        <v>0</v>
      </c>
      <c r="BD62" s="65">
        <f t="shared" si="109"/>
        <v>0</v>
      </c>
      <c r="BE62" s="65">
        <f t="shared" si="110"/>
        <v>0</v>
      </c>
      <c r="BF62" s="65">
        <f t="shared" si="111"/>
        <v>0</v>
      </c>
      <c r="BG62" s="65">
        <f t="shared" si="112"/>
        <v>0</v>
      </c>
      <c r="BH62" s="65">
        <f t="shared" si="113"/>
        <v>0</v>
      </c>
      <c r="BI62" s="65">
        <f t="shared" si="114"/>
        <v>0</v>
      </c>
      <c r="BJ62" s="65">
        <f t="shared" si="115"/>
        <v>0</v>
      </c>
      <c r="BK62" s="65">
        <f t="shared" si="116"/>
        <v>0</v>
      </c>
      <c r="BL62" s="65">
        <f t="shared" si="117"/>
        <v>0</v>
      </c>
      <c r="BM62" s="65">
        <f t="shared" si="118"/>
        <v>0</v>
      </c>
      <c r="BN62" s="65">
        <f t="shared" si="119"/>
        <v>0</v>
      </c>
      <c r="BO62" s="66"/>
    </row>
    <row r="63" spans="1:67" ht="12.75" customHeight="1">
      <c r="A63" s="560" t="s">
        <v>233</v>
      </c>
      <c r="B63" s="560" t="s">
        <v>190</v>
      </c>
      <c r="C63" s="63" t="s">
        <v>191</v>
      </c>
      <c r="D63" s="561" t="s">
        <v>234</v>
      </c>
      <c r="E63" s="64" t="s">
        <v>235</v>
      </c>
      <c r="F63" s="63">
        <v>4.8499999999999996</v>
      </c>
      <c r="G63" s="63">
        <f t="shared" ref="G63:AJ63" si="120">4*365*4.5*2</f>
        <v>13140</v>
      </c>
      <c r="H63" s="63">
        <f t="shared" si="120"/>
        <v>13140</v>
      </c>
      <c r="I63" s="63">
        <f t="shared" si="120"/>
        <v>13140</v>
      </c>
      <c r="J63" s="63">
        <f t="shared" si="120"/>
        <v>13140</v>
      </c>
      <c r="K63" s="63">
        <f t="shared" si="120"/>
        <v>13140</v>
      </c>
      <c r="L63" s="63">
        <f t="shared" si="120"/>
        <v>13140</v>
      </c>
      <c r="M63" s="63">
        <f t="shared" si="120"/>
        <v>13140</v>
      </c>
      <c r="N63" s="63">
        <f t="shared" si="120"/>
        <v>13140</v>
      </c>
      <c r="O63" s="63">
        <f t="shared" si="120"/>
        <v>13140</v>
      </c>
      <c r="P63" s="63">
        <f t="shared" si="120"/>
        <v>13140</v>
      </c>
      <c r="Q63" s="63">
        <f t="shared" si="120"/>
        <v>13140</v>
      </c>
      <c r="R63" s="63">
        <f t="shared" si="120"/>
        <v>13140</v>
      </c>
      <c r="S63" s="63">
        <f t="shared" si="120"/>
        <v>13140</v>
      </c>
      <c r="T63" s="63">
        <f t="shared" si="120"/>
        <v>13140</v>
      </c>
      <c r="U63" s="63">
        <f t="shared" si="120"/>
        <v>13140</v>
      </c>
      <c r="V63" s="63">
        <f t="shared" si="120"/>
        <v>13140</v>
      </c>
      <c r="W63" s="63">
        <f t="shared" si="120"/>
        <v>13140</v>
      </c>
      <c r="X63" s="63">
        <f t="shared" si="120"/>
        <v>13140</v>
      </c>
      <c r="Y63" s="63">
        <f t="shared" si="120"/>
        <v>13140</v>
      </c>
      <c r="Z63" s="63">
        <f t="shared" si="120"/>
        <v>13140</v>
      </c>
      <c r="AA63" s="63">
        <f t="shared" si="120"/>
        <v>13140</v>
      </c>
      <c r="AB63" s="63">
        <f t="shared" si="120"/>
        <v>13140</v>
      </c>
      <c r="AC63" s="63">
        <f t="shared" si="120"/>
        <v>13140</v>
      </c>
      <c r="AD63" s="63">
        <f t="shared" si="120"/>
        <v>13140</v>
      </c>
      <c r="AE63" s="63">
        <f t="shared" si="120"/>
        <v>13140</v>
      </c>
      <c r="AF63" s="63">
        <f t="shared" si="120"/>
        <v>13140</v>
      </c>
      <c r="AG63" s="63">
        <f t="shared" si="120"/>
        <v>13140</v>
      </c>
      <c r="AH63" s="63">
        <f t="shared" si="120"/>
        <v>13140</v>
      </c>
      <c r="AI63" s="63">
        <f t="shared" si="120"/>
        <v>13140</v>
      </c>
      <c r="AJ63" s="63">
        <f t="shared" si="120"/>
        <v>13140</v>
      </c>
      <c r="AK63" s="65">
        <f t="shared" si="90"/>
        <v>63728.999999999993</v>
      </c>
      <c r="AL63" s="65">
        <f t="shared" si="91"/>
        <v>63728.999999999993</v>
      </c>
      <c r="AM63" s="65">
        <f t="shared" si="92"/>
        <v>63728.999999999993</v>
      </c>
      <c r="AN63" s="65">
        <f t="shared" si="93"/>
        <v>63728.999999999993</v>
      </c>
      <c r="AO63" s="65">
        <f t="shared" si="94"/>
        <v>63728.999999999993</v>
      </c>
      <c r="AP63" s="65">
        <f t="shared" si="95"/>
        <v>63728.999999999993</v>
      </c>
      <c r="AQ63" s="65">
        <f t="shared" si="96"/>
        <v>63728.999999999993</v>
      </c>
      <c r="AR63" s="65">
        <f t="shared" si="97"/>
        <v>63728.999999999993</v>
      </c>
      <c r="AS63" s="65">
        <f t="shared" si="98"/>
        <v>63728.999999999993</v>
      </c>
      <c r="AT63" s="65">
        <f t="shared" si="99"/>
        <v>63728.999999999993</v>
      </c>
      <c r="AU63" s="65">
        <f t="shared" si="100"/>
        <v>63728.999999999993</v>
      </c>
      <c r="AV63" s="65">
        <f t="shared" si="101"/>
        <v>63728.999999999993</v>
      </c>
      <c r="AW63" s="65">
        <f t="shared" si="102"/>
        <v>63728.999999999993</v>
      </c>
      <c r="AX63" s="65">
        <f t="shared" si="103"/>
        <v>63728.999999999993</v>
      </c>
      <c r="AY63" s="65">
        <f t="shared" si="104"/>
        <v>63728.999999999993</v>
      </c>
      <c r="AZ63" s="65">
        <f t="shared" si="105"/>
        <v>63728.999999999993</v>
      </c>
      <c r="BA63" s="65">
        <f t="shared" si="106"/>
        <v>63728.999999999993</v>
      </c>
      <c r="BB63" s="65">
        <f t="shared" si="107"/>
        <v>63728.999999999993</v>
      </c>
      <c r="BC63" s="65">
        <f t="shared" si="108"/>
        <v>63728.999999999993</v>
      </c>
      <c r="BD63" s="65">
        <f t="shared" si="109"/>
        <v>63728.999999999993</v>
      </c>
      <c r="BE63" s="65">
        <f t="shared" si="110"/>
        <v>63728.999999999993</v>
      </c>
      <c r="BF63" s="65">
        <f t="shared" si="111"/>
        <v>63728.999999999993</v>
      </c>
      <c r="BG63" s="65">
        <f t="shared" si="112"/>
        <v>63728.999999999993</v>
      </c>
      <c r="BH63" s="65">
        <f t="shared" si="113"/>
        <v>63728.999999999993</v>
      </c>
      <c r="BI63" s="65">
        <f t="shared" si="114"/>
        <v>63728.999999999993</v>
      </c>
      <c r="BJ63" s="65">
        <f t="shared" si="115"/>
        <v>63728.999999999993</v>
      </c>
      <c r="BK63" s="65">
        <f t="shared" si="116"/>
        <v>63728.999999999993</v>
      </c>
      <c r="BL63" s="65">
        <f t="shared" si="117"/>
        <v>63728.999999999993</v>
      </c>
      <c r="BM63" s="65">
        <f t="shared" si="118"/>
        <v>63728.999999999993</v>
      </c>
      <c r="BN63" s="65">
        <f t="shared" si="119"/>
        <v>63728.999999999993</v>
      </c>
      <c r="BO63" s="66" t="s">
        <v>236</v>
      </c>
    </row>
    <row r="64" spans="1:67" ht="13.5" customHeight="1">
      <c r="A64" s="560" t="s">
        <v>237</v>
      </c>
      <c r="B64" s="560" t="s">
        <v>190</v>
      </c>
      <c r="C64" s="63" t="s">
        <v>191</v>
      </c>
      <c r="D64" s="561" t="s">
        <v>234</v>
      </c>
      <c r="E64" s="64" t="s">
        <v>235</v>
      </c>
      <c r="F64" s="63">
        <v>7</v>
      </c>
      <c r="G64" s="63">
        <f t="shared" ref="G64:AJ64" si="121">40/20*365*2</f>
        <v>1460</v>
      </c>
      <c r="H64" s="63">
        <f t="shared" si="121"/>
        <v>1460</v>
      </c>
      <c r="I64" s="63">
        <f t="shared" si="121"/>
        <v>1460</v>
      </c>
      <c r="J64" s="63">
        <f t="shared" si="121"/>
        <v>1460</v>
      </c>
      <c r="K64" s="63">
        <f t="shared" si="121"/>
        <v>1460</v>
      </c>
      <c r="L64" s="63">
        <f t="shared" si="121"/>
        <v>1460</v>
      </c>
      <c r="M64" s="63">
        <f t="shared" si="121"/>
        <v>1460</v>
      </c>
      <c r="N64" s="63">
        <f t="shared" si="121"/>
        <v>1460</v>
      </c>
      <c r="O64" s="63">
        <f t="shared" si="121"/>
        <v>1460</v>
      </c>
      <c r="P64" s="63">
        <f t="shared" si="121"/>
        <v>1460</v>
      </c>
      <c r="Q64" s="63">
        <f t="shared" si="121"/>
        <v>1460</v>
      </c>
      <c r="R64" s="63">
        <f t="shared" si="121"/>
        <v>1460</v>
      </c>
      <c r="S64" s="63">
        <f t="shared" si="121"/>
        <v>1460</v>
      </c>
      <c r="T64" s="63">
        <f t="shared" si="121"/>
        <v>1460</v>
      </c>
      <c r="U64" s="63">
        <f t="shared" si="121"/>
        <v>1460</v>
      </c>
      <c r="V64" s="63">
        <f t="shared" si="121"/>
        <v>1460</v>
      </c>
      <c r="W64" s="63">
        <f t="shared" si="121"/>
        <v>1460</v>
      </c>
      <c r="X64" s="63">
        <f t="shared" si="121"/>
        <v>1460</v>
      </c>
      <c r="Y64" s="63">
        <f t="shared" si="121"/>
        <v>1460</v>
      </c>
      <c r="Z64" s="63">
        <f t="shared" si="121"/>
        <v>1460</v>
      </c>
      <c r="AA64" s="63">
        <f t="shared" si="121"/>
        <v>1460</v>
      </c>
      <c r="AB64" s="63">
        <f t="shared" si="121"/>
        <v>1460</v>
      </c>
      <c r="AC64" s="63">
        <f t="shared" si="121"/>
        <v>1460</v>
      </c>
      <c r="AD64" s="63">
        <f t="shared" si="121"/>
        <v>1460</v>
      </c>
      <c r="AE64" s="63">
        <f t="shared" si="121"/>
        <v>1460</v>
      </c>
      <c r="AF64" s="63">
        <f t="shared" si="121"/>
        <v>1460</v>
      </c>
      <c r="AG64" s="63">
        <f t="shared" si="121"/>
        <v>1460</v>
      </c>
      <c r="AH64" s="63">
        <f t="shared" si="121"/>
        <v>1460</v>
      </c>
      <c r="AI64" s="63">
        <f t="shared" si="121"/>
        <v>1460</v>
      </c>
      <c r="AJ64" s="63">
        <f t="shared" si="121"/>
        <v>1460</v>
      </c>
      <c r="AK64" s="65">
        <f t="shared" si="90"/>
        <v>10220</v>
      </c>
      <c r="AL64" s="65">
        <f t="shared" si="91"/>
        <v>10220</v>
      </c>
      <c r="AM64" s="65">
        <f t="shared" si="92"/>
        <v>10220</v>
      </c>
      <c r="AN64" s="65">
        <f t="shared" si="93"/>
        <v>10220</v>
      </c>
      <c r="AO64" s="65">
        <f t="shared" si="94"/>
        <v>10220</v>
      </c>
      <c r="AP64" s="65">
        <f t="shared" si="95"/>
        <v>10220</v>
      </c>
      <c r="AQ64" s="65">
        <f t="shared" si="96"/>
        <v>10220</v>
      </c>
      <c r="AR64" s="65">
        <f t="shared" si="97"/>
        <v>10220</v>
      </c>
      <c r="AS64" s="65">
        <f t="shared" si="98"/>
        <v>10220</v>
      </c>
      <c r="AT64" s="65">
        <f t="shared" si="99"/>
        <v>10220</v>
      </c>
      <c r="AU64" s="65">
        <f t="shared" si="100"/>
        <v>10220</v>
      </c>
      <c r="AV64" s="65">
        <f t="shared" si="101"/>
        <v>10220</v>
      </c>
      <c r="AW64" s="65">
        <f t="shared" si="102"/>
        <v>10220</v>
      </c>
      <c r="AX64" s="65">
        <f t="shared" si="103"/>
        <v>10220</v>
      </c>
      <c r="AY64" s="65">
        <f t="shared" si="104"/>
        <v>10220</v>
      </c>
      <c r="AZ64" s="65">
        <f t="shared" si="105"/>
        <v>10220</v>
      </c>
      <c r="BA64" s="65">
        <f t="shared" si="106"/>
        <v>10220</v>
      </c>
      <c r="BB64" s="65">
        <f t="shared" si="107"/>
        <v>10220</v>
      </c>
      <c r="BC64" s="65">
        <f t="shared" si="108"/>
        <v>10220</v>
      </c>
      <c r="BD64" s="65">
        <f t="shared" si="109"/>
        <v>10220</v>
      </c>
      <c r="BE64" s="65">
        <f t="shared" si="110"/>
        <v>10220</v>
      </c>
      <c r="BF64" s="65">
        <f t="shared" si="111"/>
        <v>10220</v>
      </c>
      <c r="BG64" s="65">
        <f t="shared" si="112"/>
        <v>10220</v>
      </c>
      <c r="BH64" s="65">
        <f t="shared" si="113"/>
        <v>10220</v>
      </c>
      <c r="BI64" s="65">
        <f t="shared" si="114"/>
        <v>10220</v>
      </c>
      <c r="BJ64" s="65">
        <f t="shared" si="115"/>
        <v>10220</v>
      </c>
      <c r="BK64" s="65">
        <f t="shared" si="116"/>
        <v>10220</v>
      </c>
      <c r="BL64" s="65">
        <f t="shared" si="117"/>
        <v>10220</v>
      </c>
      <c r="BM64" s="65">
        <f t="shared" si="118"/>
        <v>10220</v>
      </c>
      <c r="BN64" s="65">
        <f t="shared" si="119"/>
        <v>10220</v>
      </c>
      <c r="BO64" s="66" t="s">
        <v>226</v>
      </c>
    </row>
    <row r="65" spans="1:67" ht="13.5" customHeight="1">
      <c r="A65" s="560"/>
      <c r="B65" s="560"/>
      <c r="C65" s="63"/>
      <c r="D65" s="561"/>
      <c r="E65" s="64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5">
        <f t="shared" si="90"/>
        <v>0</v>
      </c>
      <c r="AL65" s="65">
        <f t="shared" si="91"/>
        <v>0</v>
      </c>
      <c r="AM65" s="65">
        <f t="shared" si="92"/>
        <v>0</v>
      </c>
      <c r="AN65" s="65">
        <f t="shared" si="93"/>
        <v>0</v>
      </c>
      <c r="AO65" s="65">
        <f t="shared" si="94"/>
        <v>0</v>
      </c>
      <c r="AP65" s="65">
        <f t="shared" si="95"/>
        <v>0</v>
      </c>
      <c r="AQ65" s="65">
        <f t="shared" si="96"/>
        <v>0</v>
      </c>
      <c r="AR65" s="65">
        <f t="shared" si="97"/>
        <v>0</v>
      </c>
      <c r="AS65" s="65">
        <f t="shared" si="98"/>
        <v>0</v>
      </c>
      <c r="AT65" s="65">
        <f t="shared" si="99"/>
        <v>0</v>
      </c>
      <c r="AU65" s="65">
        <f t="shared" si="100"/>
        <v>0</v>
      </c>
      <c r="AV65" s="65">
        <f t="shared" si="101"/>
        <v>0</v>
      </c>
      <c r="AW65" s="65">
        <f t="shared" si="102"/>
        <v>0</v>
      </c>
      <c r="AX65" s="65">
        <f t="shared" si="103"/>
        <v>0</v>
      </c>
      <c r="AY65" s="65">
        <f t="shared" si="104"/>
        <v>0</v>
      </c>
      <c r="AZ65" s="65">
        <f t="shared" si="105"/>
        <v>0</v>
      </c>
      <c r="BA65" s="65">
        <f t="shared" si="106"/>
        <v>0</v>
      </c>
      <c r="BB65" s="65">
        <f t="shared" si="107"/>
        <v>0</v>
      </c>
      <c r="BC65" s="65">
        <f t="shared" si="108"/>
        <v>0</v>
      </c>
      <c r="BD65" s="65">
        <f t="shared" si="109"/>
        <v>0</v>
      </c>
      <c r="BE65" s="65">
        <f t="shared" si="110"/>
        <v>0</v>
      </c>
      <c r="BF65" s="65">
        <f t="shared" si="111"/>
        <v>0</v>
      </c>
      <c r="BG65" s="65">
        <f t="shared" si="112"/>
        <v>0</v>
      </c>
      <c r="BH65" s="65">
        <f t="shared" si="113"/>
        <v>0</v>
      </c>
      <c r="BI65" s="65">
        <f t="shared" si="114"/>
        <v>0</v>
      </c>
      <c r="BJ65" s="65">
        <f t="shared" si="115"/>
        <v>0</v>
      </c>
      <c r="BK65" s="65">
        <f t="shared" si="116"/>
        <v>0</v>
      </c>
      <c r="BL65" s="65">
        <f t="shared" si="117"/>
        <v>0</v>
      </c>
      <c r="BM65" s="65">
        <f t="shared" si="118"/>
        <v>0</v>
      </c>
      <c r="BN65" s="65">
        <f t="shared" si="119"/>
        <v>0</v>
      </c>
      <c r="BO65" s="66"/>
    </row>
    <row r="66" spans="1:67" ht="13.5" customHeight="1">
      <c r="A66" s="560" t="s">
        <v>238</v>
      </c>
      <c r="B66" s="560" t="s">
        <v>190</v>
      </c>
      <c r="C66" s="63" t="s">
        <v>191</v>
      </c>
      <c r="D66" s="561" t="s">
        <v>239</v>
      </c>
      <c r="E66" s="64" t="s">
        <v>240</v>
      </c>
      <c r="F66" s="76">
        <v>0.01</v>
      </c>
      <c r="G66" s="63">
        <f>'D2 - Capex uso'!IQ177</f>
        <v>7178841.6449199999</v>
      </c>
      <c r="H66" s="63">
        <f>'D2 - Capex uso'!IR177</f>
        <v>6434049.6818400007</v>
      </c>
      <c r="I66" s="63">
        <f>'D2 - Capex uso'!IS177</f>
        <v>5689257.7187599996</v>
      </c>
      <c r="J66" s="63">
        <f>'D2 - Capex uso'!IT177</f>
        <v>4988025.7556800004</v>
      </c>
      <c r="K66" s="63">
        <f>'D2 - Capex uso'!IU177</f>
        <v>4243233.7926000003</v>
      </c>
      <c r="L66" s="63">
        <f>'D2 - Capex uso'!IV177</f>
        <v>6369153.8495199988</v>
      </c>
      <c r="M66" s="63">
        <f>'D2 - Capex uso'!IW177</f>
        <v>5667921.8864399996</v>
      </c>
      <c r="N66" s="63">
        <f>'D2 - Capex uso'!IX177</f>
        <v>4923129.9233600004</v>
      </c>
      <c r="O66" s="63">
        <f>'D2 - Capex uso'!IY177</f>
        <v>4178337.9602800002</v>
      </c>
      <c r="P66" s="63">
        <f>'D2 - Capex uso'!IZ177</f>
        <v>3477105.9971999996</v>
      </c>
      <c r="Q66" s="63">
        <f>'D2 - Capex uso'!JA177</f>
        <v>7164321.6449200008</v>
      </c>
      <c r="R66" s="63">
        <f>'D2 - Capex uso'!JB177</f>
        <v>6419529.6818399997</v>
      </c>
      <c r="S66" s="63">
        <f>'D2 - Capex uso'!JC177</f>
        <v>5718297.7187600005</v>
      </c>
      <c r="T66" s="63">
        <f>'D2 - Capex uso'!JD177</f>
        <v>4973505.7556799995</v>
      </c>
      <c r="U66" s="63">
        <f>'D2 - Capex uso'!JE177</f>
        <v>4228713.7926000003</v>
      </c>
      <c r="V66" s="63">
        <f>'D2 - Capex uso'!JF177</f>
        <v>6398193.8495199997</v>
      </c>
      <c r="W66" s="63">
        <f>'D2 - Capex uso'!JG177</f>
        <v>5653401.8864399996</v>
      </c>
      <c r="X66" s="63">
        <f>'D2 - Capex uso'!JH177</f>
        <v>4908609.9233599994</v>
      </c>
      <c r="Y66" s="63">
        <f>'D2 - Capex uso'!JI177</f>
        <v>4207377.9602799993</v>
      </c>
      <c r="Z66" s="63">
        <f>'D2 - Capex uso'!JJ177</f>
        <v>3462585.9971999982</v>
      </c>
      <c r="AA66" s="63">
        <f>'D2 - Capex uso'!JK177</f>
        <v>7149801.6449199989</v>
      </c>
      <c r="AB66" s="63">
        <f>'D2 - Capex uso'!JL177</f>
        <v>6448569.6818399988</v>
      </c>
      <c r="AC66" s="63">
        <f>'D2 - Capex uso'!JM177</f>
        <v>5703777.7187599977</v>
      </c>
      <c r="AD66" s="63">
        <f>'D2 - Capex uso'!JN177</f>
        <v>4958985.7556799985</v>
      </c>
      <c r="AE66" s="63">
        <f>'D2 - Capex uso'!JO177</f>
        <v>4257753.7925999984</v>
      </c>
      <c r="AF66" s="63">
        <f>'D2 - Capex uso'!JP177</f>
        <v>6383673.8495199978</v>
      </c>
      <c r="AG66" s="63">
        <f>'D2 - Capex uso'!JQ177</f>
        <v>5638881.8864399986</v>
      </c>
      <c r="AH66" s="63">
        <f>'D2 - Capex uso'!JR177</f>
        <v>4937649.9233599985</v>
      </c>
      <c r="AI66" s="63">
        <f>'D2 - Capex uso'!JS177</f>
        <v>4192857.9602799984</v>
      </c>
      <c r="AJ66" s="63">
        <f>'D2 - Capex uso'!JT177</f>
        <v>3448065.9971999982</v>
      </c>
      <c r="AK66" s="65">
        <f t="shared" si="90"/>
        <v>71788.416449199998</v>
      </c>
      <c r="AL66" s="65">
        <f t="shared" si="91"/>
        <v>64340.49681840001</v>
      </c>
      <c r="AM66" s="65">
        <f t="shared" si="92"/>
        <v>56892.5771876</v>
      </c>
      <c r="AN66" s="65">
        <f t="shared" si="93"/>
        <v>49880.257556800003</v>
      </c>
      <c r="AO66" s="65">
        <f t="shared" si="94"/>
        <v>42432.337926</v>
      </c>
      <c r="AP66" s="65">
        <f t="shared" si="95"/>
        <v>63691.538495199988</v>
      </c>
      <c r="AQ66" s="65">
        <f t="shared" si="96"/>
        <v>56679.218864399998</v>
      </c>
      <c r="AR66" s="65">
        <f t="shared" si="97"/>
        <v>49231.299233600002</v>
      </c>
      <c r="AS66" s="65">
        <f t="shared" si="98"/>
        <v>41783.3796028</v>
      </c>
      <c r="AT66" s="65">
        <f t="shared" si="99"/>
        <v>34771.059971999995</v>
      </c>
      <c r="AU66" s="65">
        <f t="shared" si="100"/>
        <v>71643.216449200016</v>
      </c>
      <c r="AV66" s="65">
        <f t="shared" si="101"/>
        <v>64195.296818399998</v>
      </c>
      <c r="AW66" s="65">
        <f t="shared" si="102"/>
        <v>57182.977187600009</v>
      </c>
      <c r="AX66" s="65">
        <f t="shared" si="103"/>
        <v>49735.057556799999</v>
      </c>
      <c r="AY66" s="65">
        <f t="shared" si="104"/>
        <v>42287.137926000003</v>
      </c>
      <c r="AZ66" s="65">
        <f t="shared" si="105"/>
        <v>63981.938495199996</v>
      </c>
      <c r="BA66" s="65">
        <f t="shared" si="106"/>
        <v>56534.018864399994</v>
      </c>
      <c r="BB66" s="65">
        <f t="shared" si="107"/>
        <v>49086.099233599998</v>
      </c>
      <c r="BC66" s="65">
        <f t="shared" si="108"/>
        <v>42073.779602799994</v>
      </c>
      <c r="BD66" s="65">
        <f t="shared" si="109"/>
        <v>34625.859971999984</v>
      </c>
      <c r="BE66" s="65">
        <f t="shared" si="110"/>
        <v>71498.016449199989</v>
      </c>
      <c r="BF66" s="65">
        <f t="shared" si="111"/>
        <v>64485.696818399992</v>
      </c>
      <c r="BG66" s="65">
        <f t="shared" si="112"/>
        <v>57037.777187599975</v>
      </c>
      <c r="BH66" s="65">
        <f t="shared" si="113"/>
        <v>49589.857556799987</v>
      </c>
      <c r="BI66" s="65">
        <f t="shared" si="114"/>
        <v>42577.537925999983</v>
      </c>
      <c r="BJ66" s="65">
        <f t="shared" si="115"/>
        <v>63836.738495199977</v>
      </c>
      <c r="BK66" s="65">
        <f t="shared" si="116"/>
        <v>56388.818864399989</v>
      </c>
      <c r="BL66" s="65">
        <f t="shared" si="117"/>
        <v>49376.499233599985</v>
      </c>
      <c r="BM66" s="65">
        <f t="shared" si="118"/>
        <v>41928.579602799982</v>
      </c>
      <c r="BN66" s="65">
        <f t="shared" si="119"/>
        <v>34480.659971999979</v>
      </c>
      <c r="BO66" s="66" t="s">
        <v>241</v>
      </c>
    </row>
    <row r="67" spans="1:67" ht="13.5" customHeight="1">
      <c r="A67" s="560" t="s">
        <v>242</v>
      </c>
      <c r="B67" s="560" t="s">
        <v>190</v>
      </c>
      <c r="C67" s="63" t="s">
        <v>191</v>
      </c>
      <c r="D67" s="561" t="s">
        <v>239</v>
      </c>
      <c r="E67" s="64" t="s">
        <v>147</v>
      </c>
      <c r="F67" s="63">
        <v>50000</v>
      </c>
      <c r="G67" s="63">
        <v>1</v>
      </c>
      <c r="H67" s="63">
        <v>1</v>
      </c>
      <c r="I67" s="63">
        <v>1</v>
      </c>
      <c r="J67" s="63">
        <v>1</v>
      </c>
      <c r="K67" s="63">
        <v>1</v>
      </c>
      <c r="L67" s="63">
        <v>1</v>
      </c>
      <c r="M67" s="63">
        <v>1</v>
      </c>
      <c r="N67" s="63">
        <v>1</v>
      </c>
      <c r="O67" s="63">
        <v>1</v>
      </c>
      <c r="P67" s="63">
        <v>1</v>
      </c>
      <c r="Q67" s="63">
        <v>1</v>
      </c>
      <c r="R67" s="63">
        <v>1</v>
      </c>
      <c r="S67" s="63">
        <v>1</v>
      </c>
      <c r="T67" s="63">
        <v>1</v>
      </c>
      <c r="U67" s="63">
        <v>1</v>
      </c>
      <c r="V67" s="63">
        <v>1</v>
      </c>
      <c r="W67" s="63">
        <v>1</v>
      </c>
      <c r="X67" s="63">
        <v>1</v>
      </c>
      <c r="Y67" s="63">
        <v>1</v>
      </c>
      <c r="Z67" s="63">
        <v>1</v>
      </c>
      <c r="AA67" s="63">
        <v>1</v>
      </c>
      <c r="AB67" s="63">
        <v>1</v>
      </c>
      <c r="AC67" s="63">
        <v>1</v>
      </c>
      <c r="AD67" s="63">
        <v>1</v>
      </c>
      <c r="AE67" s="63">
        <v>1</v>
      </c>
      <c r="AF67" s="63">
        <v>1</v>
      </c>
      <c r="AG67" s="63">
        <v>1</v>
      </c>
      <c r="AH67" s="63">
        <v>1</v>
      </c>
      <c r="AI67" s="63">
        <v>1</v>
      </c>
      <c r="AJ67" s="63">
        <v>1</v>
      </c>
      <c r="AK67" s="65">
        <f t="shared" si="90"/>
        <v>50000</v>
      </c>
      <c r="AL67" s="65">
        <f t="shared" si="91"/>
        <v>50000</v>
      </c>
      <c r="AM67" s="65">
        <f t="shared" si="92"/>
        <v>50000</v>
      </c>
      <c r="AN67" s="65">
        <f t="shared" si="93"/>
        <v>50000</v>
      </c>
      <c r="AO67" s="65">
        <f t="shared" si="94"/>
        <v>50000</v>
      </c>
      <c r="AP67" s="65">
        <f t="shared" si="95"/>
        <v>50000</v>
      </c>
      <c r="AQ67" s="65">
        <f t="shared" si="96"/>
        <v>50000</v>
      </c>
      <c r="AR67" s="65">
        <f t="shared" si="97"/>
        <v>50000</v>
      </c>
      <c r="AS67" s="65">
        <f t="shared" si="98"/>
        <v>50000</v>
      </c>
      <c r="AT67" s="65">
        <f t="shared" si="99"/>
        <v>50000</v>
      </c>
      <c r="AU67" s="65">
        <f t="shared" si="100"/>
        <v>50000</v>
      </c>
      <c r="AV67" s="65">
        <f t="shared" si="101"/>
        <v>50000</v>
      </c>
      <c r="AW67" s="65">
        <f t="shared" si="102"/>
        <v>50000</v>
      </c>
      <c r="AX67" s="65">
        <f t="shared" si="103"/>
        <v>50000</v>
      </c>
      <c r="AY67" s="65">
        <f t="shared" si="104"/>
        <v>50000</v>
      </c>
      <c r="AZ67" s="65">
        <f t="shared" si="105"/>
        <v>50000</v>
      </c>
      <c r="BA67" s="65">
        <f t="shared" si="106"/>
        <v>50000</v>
      </c>
      <c r="BB67" s="65">
        <f t="shared" si="107"/>
        <v>50000</v>
      </c>
      <c r="BC67" s="65">
        <f t="shared" si="108"/>
        <v>50000</v>
      </c>
      <c r="BD67" s="65">
        <f t="shared" si="109"/>
        <v>50000</v>
      </c>
      <c r="BE67" s="65">
        <f t="shared" si="110"/>
        <v>50000</v>
      </c>
      <c r="BF67" s="65">
        <f t="shared" si="111"/>
        <v>50000</v>
      </c>
      <c r="BG67" s="65">
        <f t="shared" si="112"/>
        <v>50000</v>
      </c>
      <c r="BH67" s="65">
        <f t="shared" si="113"/>
        <v>50000</v>
      </c>
      <c r="BI67" s="65">
        <f t="shared" si="114"/>
        <v>50000</v>
      </c>
      <c r="BJ67" s="65">
        <f t="shared" si="115"/>
        <v>50000</v>
      </c>
      <c r="BK67" s="65">
        <f t="shared" si="116"/>
        <v>50000</v>
      </c>
      <c r="BL67" s="65">
        <f t="shared" si="117"/>
        <v>50000</v>
      </c>
      <c r="BM67" s="65">
        <f t="shared" si="118"/>
        <v>50000</v>
      </c>
      <c r="BN67" s="65">
        <f t="shared" si="119"/>
        <v>50000</v>
      </c>
      <c r="BO67" s="66" t="s">
        <v>212</v>
      </c>
    </row>
    <row r="68" spans="1:67" ht="13.5" customHeight="1">
      <c r="A68" s="560"/>
      <c r="B68" s="560"/>
      <c r="C68" s="63"/>
      <c r="D68" s="561"/>
      <c r="E68" s="64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5">
        <f t="shared" si="90"/>
        <v>0</v>
      </c>
      <c r="AL68" s="65">
        <f t="shared" si="91"/>
        <v>0</v>
      </c>
      <c r="AM68" s="65">
        <f t="shared" si="92"/>
        <v>0</v>
      </c>
      <c r="AN68" s="65">
        <f t="shared" si="93"/>
        <v>0</v>
      </c>
      <c r="AO68" s="65">
        <f t="shared" si="94"/>
        <v>0</v>
      </c>
      <c r="AP68" s="65">
        <f t="shared" si="95"/>
        <v>0</v>
      </c>
      <c r="AQ68" s="65">
        <f t="shared" si="96"/>
        <v>0</v>
      </c>
      <c r="AR68" s="65">
        <f t="shared" si="97"/>
        <v>0</v>
      </c>
      <c r="AS68" s="65">
        <f t="shared" si="98"/>
        <v>0</v>
      </c>
      <c r="AT68" s="65">
        <f t="shared" si="99"/>
        <v>0</v>
      </c>
      <c r="AU68" s="65">
        <f t="shared" si="100"/>
        <v>0</v>
      </c>
      <c r="AV68" s="65">
        <f t="shared" si="101"/>
        <v>0</v>
      </c>
      <c r="AW68" s="65">
        <f t="shared" si="102"/>
        <v>0</v>
      </c>
      <c r="AX68" s="65">
        <f t="shared" si="103"/>
        <v>0</v>
      </c>
      <c r="AY68" s="65">
        <f t="shared" si="104"/>
        <v>0</v>
      </c>
      <c r="AZ68" s="65">
        <f t="shared" si="105"/>
        <v>0</v>
      </c>
      <c r="BA68" s="65">
        <f t="shared" si="106"/>
        <v>0</v>
      </c>
      <c r="BB68" s="65">
        <f t="shared" si="107"/>
        <v>0</v>
      </c>
      <c r="BC68" s="65">
        <f t="shared" si="108"/>
        <v>0</v>
      </c>
      <c r="BD68" s="65">
        <f t="shared" si="109"/>
        <v>0</v>
      </c>
      <c r="BE68" s="65">
        <f t="shared" si="110"/>
        <v>0</v>
      </c>
      <c r="BF68" s="65">
        <f t="shared" si="111"/>
        <v>0</v>
      </c>
      <c r="BG68" s="65">
        <f t="shared" si="112"/>
        <v>0</v>
      </c>
      <c r="BH68" s="65">
        <f t="shared" si="113"/>
        <v>0</v>
      </c>
      <c r="BI68" s="65">
        <f t="shared" si="114"/>
        <v>0</v>
      </c>
      <c r="BJ68" s="65">
        <f t="shared" si="115"/>
        <v>0</v>
      </c>
      <c r="BK68" s="65">
        <f t="shared" si="116"/>
        <v>0</v>
      </c>
      <c r="BL68" s="65">
        <f t="shared" si="117"/>
        <v>0</v>
      </c>
      <c r="BM68" s="65">
        <f t="shared" si="118"/>
        <v>0</v>
      </c>
      <c r="BN68" s="65">
        <f t="shared" si="119"/>
        <v>0</v>
      </c>
      <c r="BO68" s="66"/>
    </row>
    <row r="69" spans="1:67" ht="13.5" customHeight="1">
      <c r="A69" s="560" t="s">
        <v>243</v>
      </c>
      <c r="B69" s="560" t="s">
        <v>190</v>
      </c>
      <c r="C69" s="63" t="s">
        <v>209</v>
      </c>
      <c r="D69" s="561" t="s">
        <v>79</v>
      </c>
      <c r="E69" s="69">
        <v>0.02</v>
      </c>
      <c r="F69" s="70">
        <f t="shared" ref="F69:F83" si="122">80%*E69</f>
        <v>1.6E-2</v>
      </c>
      <c r="G69" s="71">
        <f>IFERROR(VLOOKUP($D69,ReceitaBruta,COLUMN('A4 - Previsão de Receita Bruta'!C$6)-1,0),0)</f>
        <v>14119245</v>
      </c>
      <c r="H69" s="71">
        <f>IFERROR(VLOOKUP($D69,ReceitaBruta,COLUMN('A4 - Previsão de Receita Bruta'!D$6)-1,0),0)</f>
        <v>29212677</v>
      </c>
      <c r="I69" s="71">
        <f>IFERROR(VLOOKUP($D69,ReceitaBruta,COLUMN('A4 - Previsão de Receita Bruta'!E$6)-1,0),0)</f>
        <v>30220317</v>
      </c>
      <c r="J69" s="71">
        <f>IFERROR(VLOOKUP($D69,ReceitaBruta,COLUMN('A4 - Previsão de Receita Bruta'!F$6)-1,0),0)</f>
        <v>31196286</v>
      </c>
      <c r="K69" s="71">
        <f>IFERROR(VLOOKUP($D69,ReceitaBruta,COLUMN('A4 - Previsão de Receita Bruta'!G$6)-1,0),0)</f>
        <v>32187753</v>
      </c>
      <c r="L69" s="71">
        <f>IFERROR(VLOOKUP($D69,ReceitaBruta,COLUMN('A4 - Previsão de Receita Bruta'!H$6)-1,0),0)</f>
        <v>33196608</v>
      </c>
      <c r="M69" s="71">
        <f>IFERROR(VLOOKUP($D69,ReceitaBruta,COLUMN('A4 - Previsão de Receita Bruta'!I$6)-1,0),0)</f>
        <v>34233894</v>
      </c>
      <c r="N69" s="71">
        <f>IFERROR(VLOOKUP($D69,ReceitaBruta,COLUMN('A4 - Previsão de Receita Bruta'!J$6)-1,0),0)</f>
        <v>35301447</v>
      </c>
      <c r="O69" s="71">
        <f>IFERROR(VLOOKUP($D69,ReceitaBruta,COLUMN('A4 - Previsão de Receita Bruta'!K$6)-1,0),0)</f>
        <v>36388440</v>
      </c>
      <c r="P69" s="71">
        <f>IFERROR(VLOOKUP($D69,ReceitaBruta,COLUMN('A4 - Previsão de Receita Bruta'!L$6)-1,0),0)</f>
        <v>37495737</v>
      </c>
      <c r="Q69" s="71">
        <f>IFERROR(VLOOKUP($D69,ReceitaBruta,COLUMN('A4 - Previsão de Receita Bruta'!M$6)-1,0),0)</f>
        <v>38637648</v>
      </c>
      <c r="R69" s="71">
        <f>IFERROR(VLOOKUP($D69,ReceitaBruta,COLUMN('A4 - Previsão de Receita Bruta'!N$6)-1,0),0)</f>
        <v>39813741</v>
      </c>
      <c r="S69" s="71">
        <f>IFERROR(VLOOKUP($D69,ReceitaBruta,COLUMN('A4 - Previsão de Receita Bruta'!O$6)-1,0),0)</f>
        <v>41027391</v>
      </c>
      <c r="T69" s="71">
        <f>IFERROR(VLOOKUP($D69,ReceitaBruta,COLUMN('A4 - Previsão de Receita Bruta'!P$6)-1,0),0)</f>
        <v>42277707</v>
      </c>
      <c r="U69" s="71">
        <f>IFERROR(VLOOKUP($D69,ReceitaBruta,COLUMN('A4 - Previsão de Receita Bruta'!Q$6)-1,0),0)</f>
        <v>43565607</v>
      </c>
      <c r="V69" s="71">
        <f>IFERROR(VLOOKUP($D69,ReceitaBruta,COLUMN('A4 - Previsão de Receita Bruta'!R$6)-1,0),0)</f>
        <v>44888823</v>
      </c>
      <c r="W69" s="71">
        <f>IFERROR(VLOOKUP($D69,ReceitaBruta,COLUMN('A4 - Previsão de Receita Bruta'!S$6)-1,0),0)</f>
        <v>46245735</v>
      </c>
      <c r="X69" s="71">
        <f>IFERROR(VLOOKUP($D69,ReceitaBruta,COLUMN('A4 - Previsão de Receita Bruta'!T$6)-1,0),0)</f>
        <v>47631537</v>
      </c>
      <c r="Y69" s="71">
        <f>IFERROR(VLOOKUP($D69,ReceitaBruta,COLUMN('A4 - Previsão de Receita Bruta'!U$6)-1,0),0)</f>
        <v>49042692</v>
      </c>
      <c r="Z69" s="71">
        <f>IFERROR(VLOOKUP($D69,ReceitaBruta,COLUMN('A4 - Previsão de Receita Bruta'!V$6)-1,0),0)</f>
        <v>50472639</v>
      </c>
      <c r="AA69" s="71">
        <f>IFERROR(VLOOKUP($D69,ReceitaBruta,COLUMN('A4 - Previsão de Receita Bruta'!W$6)-1,0),0)</f>
        <v>50472639</v>
      </c>
      <c r="AB69" s="71">
        <f>IFERROR(VLOOKUP($D69,ReceitaBruta,COLUMN('A4 - Previsão de Receita Bruta'!X$6)-1,0),0)</f>
        <v>50472639</v>
      </c>
      <c r="AC69" s="71">
        <f>IFERROR(VLOOKUP($D69,ReceitaBruta,COLUMN('A4 - Previsão de Receita Bruta'!Y$6)-1,0),0)</f>
        <v>50472639</v>
      </c>
      <c r="AD69" s="71">
        <f>IFERROR(VLOOKUP($D69,ReceitaBruta,COLUMN('A4 - Previsão de Receita Bruta'!Z$6)-1,0),0)</f>
        <v>50472639</v>
      </c>
      <c r="AE69" s="71">
        <f>IFERROR(VLOOKUP($D69,ReceitaBruta,COLUMN('A4 - Previsão de Receita Bruta'!AA$6)-1,0),0)</f>
        <v>50472639</v>
      </c>
      <c r="AF69" s="71">
        <f>IFERROR(VLOOKUP($D69,ReceitaBruta,COLUMN('A4 - Previsão de Receita Bruta'!AB$6)-1,0),0)</f>
        <v>50472639</v>
      </c>
      <c r="AG69" s="71">
        <f>IFERROR(VLOOKUP($D69,ReceitaBruta,COLUMN('A4 - Previsão de Receita Bruta'!AC$6)-1,0),0)</f>
        <v>50472639</v>
      </c>
      <c r="AH69" s="71">
        <f>IFERROR(VLOOKUP($D69,ReceitaBruta,COLUMN('A4 - Previsão de Receita Bruta'!AD$6)-1,0),0)</f>
        <v>50472639</v>
      </c>
      <c r="AI69" s="71">
        <f>IFERROR(VLOOKUP($D69,ReceitaBruta,COLUMN('A4 - Previsão de Receita Bruta'!AE$6)-1,0),0)</f>
        <v>50472639</v>
      </c>
      <c r="AJ69" s="71">
        <f>IFERROR(VLOOKUP($D69,ReceitaBruta,COLUMN('A4 - Previsão de Receita Bruta'!AF$6)-1,0),0)</f>
        <v>50472639</v>
      </c>
      <c r="AK69" s="65">
        <f t="shared" si="90"/>
        <v>225907.92</v>
      </c>
      <c r="AL69" s="65">
        <f t="shared" si="91"/>
        <v>467402.83199999999</v>
      </c>
      <c r="AM69" s="65">
        <f t="shared" si="92"/>
        <v>483525.07199999999</v>
      </c>
      <c r="AN69" s="65">
        <f t="shared" si="93"/>
        <v>499140.576</v>
      </c>
      <c r="AO69" s="65">
        <f t="shared" si="94"/>
        <v>515004.04800000001</v>
      </c>
      <c r="AP69" s="65">
        <f t="shared" si="95"/>
        <v>531145.728</v>
      </c>
      <c r="AQ69" s="65">
        <f t="shared" si="96"/>
        <v>547742.304</v>
      </c>
      <c r="AR69" s="65">
        <f t="shared" si="97"/>
        <v>564823.152</v>
      </c>
      <c r="AS69" s="65">
        <f t="shared" si="98"/>
        <v>582215.04</v>
      </c>
      <c r="AT69" s="65">
        <f t="shared" si="99"/>
        <v>599931.79200000002</v>
      </c>
      <c r="AU69" s="65">
        <f t="shared" si="100"/>
        <v>618202.36800000002</v>
      </c>
      <c r="AV69" s="65">
        <f t="shared" si="101"/>
        <v>637019.85600000003</v>
      </c>
      <c r="AW69" s="65">
        <f t="shared" si="102"/>
        <v>656438.25600000005</v>
      </c>
      <c r="AX69" s="65">
        <f t="shared" si="103"/>
        <v>676443.31200000003</v>
      </c>
      <c r="AY69" s="65">
        <f t="shared" si="104"/>
        <v>697049.71200000006</v>
      </c>
      <c r="AZ69" s="65">
        <f t="shared" si="105"/>
        <v>718221.16800000006</v>
      </c>
      <c r="BA69" s="65">
        <f t="shared" si="106"/>
        <v>739931.76</v>
      </c>
      <c r="BB69" s="65">
        <f t="shared" si="107"/>
        <v>762104.59200000006</v>
      </c>
      <c r="BC69" s="65">
        <f t="shared" si="108"/>
        <v>784683.07200000004</v>
      </c>
      <c r="BD69" s="65">
        <f t="shared" si="109"/>
        <v>807562.22400000005</v>
      </c>
      <c r="BE69" s="65">
        <f t="shared" si="110"/>
        <v>807562.22400000005</v>
      </c>
      <c r="BF69" s="65">
        <f t="shared" si="111"/>
        <v>807562.22400000005</v>
      </c>
      <c r="BG69" s="65">
        <f t="shared" si="112"/>
        <v>807562.22400000005</v>
      </c>
      <c r="BH69" s="65">
        <f t="shared" si="113"/>
        <v>807562.22400000005</v>
      </c>
      <c r="BI69" s="65">
        <f t="shared" si="114"/>
        <v>807562.22400000005</v>
      </c>
      <c r="BJ69" s="65">
        <f t="shared" si="115"/>
        <v>807562.22400000005</v>
      </c>
      <c r="BK69" s="65">
        <f t="shared" si="116"/>
        <v>807562.22400000005</v>
      </c>
      <c r="BL69" s="65">
        <f t="shared" si="117"/>
        <v>807562.22400000005</v>
      </c>
      <c r="BM69" s="65">
        <f t="shared" si="118"/>
        <v>807562.22400000005</v>
      </c>
      <c r="BN69" s="65">
        <f t="shared" si="119"/>
        <v>807562.22400000005</v>
      </c>
      <c r="BO69" s="72" t="s">
        <v>244</v>
      </c>
    </row>
    <row r="70" spans="1:67" ht="13.5" customHeight="1">
      <c r="A70" s="560" t="s">
        <v>243</v>
      </c>
      <c r="B70" s="560" t="s">
        <v>190</v>
      </c>
      <c r="C70" s="63" t="s">
        <v>209</v>
      </c>
      <c r="D70" s="561" t="s">
        <v>83</v>
      </c>
      <c r="E70" s="69">
        <v>0.02</v>
      </c>
      <c r="F70" s="70">
        <f t="shared" si="122"/>
        <v>1.6E-2</v>
      </c>
      <c r="G70" s="71">
        <f>IFERROR(VLOOKUP($D70,ReceitaBruta,COLUMN('A4 - Previsão de Receita Bruta'!C$6)-1,0),0)</f>
        <v>0</v>
      </c>
      <c r="H70" s="71">
        <f>IFERROR(VLOOKUP($D70,ReceitaBruta,COLUMN('A4 - Previsão de Receita Bruta'!D$6)-1,0),0)</f>
        <v>2163900</v>
      </c>
      <c r="I70" s="71">
        <f>IFERROR(VLOOKUP($D70,ReceitaBruta,COLUMN('A4 - Previsão de Receita Bruta'!E$6)-1,0),0)</f>
        <v>2238550</v>
      </c>
      <c r="J70" s="71">
        <f>IFERROR(VLOOKUP($D70,ReceitaBruta,COLUMN('A4 - Previsão de Receita Bruta'!F$6)-1,0),0)</f>
        <v>2310825</v>
      </c>
      <c r="K70" s="71">
        <f>IFERROR(VLOOKUP($D70,ReceitaBruta,COLUMN('A4 - Previsão de Receita Bruta'!G$6)-1,0),0)</f>
        <v>2384275</v>
      </c>
      <c r="L70" s="71">
        <f>IFERROR(VLOOKUP($D70,ReceitaBruta,COLUMN('A4 - Previsão de Receita Bruta'!H$6)-1,0),0)</f>
        <v>2459000</v>
      </c>
      <c r="M70" s="71">
        <f>IFERROR(VLOOKUP($D70,ReceitaBruta,COLUMN('A4 - Previsão de Receita Bruta'!I$6)-1,0),0)</f>
        <v>2535850</v>
      </c>
      <c r="N70" s="71">
        <f>IFERROR(VLOOKUP($D70,ReceitaBruta,COLUMN('A4 - Previsão de Receita Bruta'!J$6)-1,0),0)</f>
        <v>2614925</v>
      </c>
      <c r="O70" s="71">
        <f>IFERROR(VLOOKUP($D70,ReceitaBruta,COLUMN('A4 - Previsão de Receita Bruta'!K$6)-1,0),0)</f>
        <v>2695450</v>
      </c>
      <c r="P70" s="71">
        <f>IFERROR(VLOOKUP($D70,ReceitaBruta,COLUMN('A4 - Previsão de Receita Bruta'!L$6)-1,0),0)</f>
        <v>2777450</v>
      </c>
      <c r="Q70" s="71">
        <f>IFERROR(VLOOKUP($D70,ReceitaBruta,COLUMN('A4 - Previsão de Receita Bruta'!M$6)-1,0),0)</f>
        <v>2862050</v>
      </c>
      <c r="R70" s="71">
        <f>IFERROR(VLOOKUP($D70,ReceitaBruta,COLUMN('A4 - Previsão de Receita Bruta'!N$6)-1,0),0)</f>
        <v>2949175</v>
      </c>
      <c r="S70" s="71">
        <f>IFERROR(VLOOKUP($D70,ReceitaBruta,COLUMN('A4 - Previsão de Receita Bruta'!O$6)-1,0),0)</f>
        <v>3039075</v>
      </c>
      <c r="T70" s="71">
        <f>IFERROR(VLOOKUP($D70,ReceitaBruta,COLUMN('A4 - Previsão de Receita Bruta'!P$6)-1,0),0)</f>
        <v>3131675</v>
      </c>
      <c r="U70" s="71">
        <f>IFERROR(VLOOKUP($D70,ReceitaBruta,COLUMN('A4 - Previsão de Receita Bruta'!Q$6)-1,0),0)</f>
        <v>3227075</v>
      </c>
      <c r="V70" s="71">
        <f>IFERROR(VLOOKUP($D70,ReceitaBruta,COLUMN('A4 - Previsão de Receita Bruta'!R$6)-1,0),0)</f>
        <v>3325100</v>
      </c>
      <c r="W70" s="71">
        <f>IFERROR(VLOOKUP($D70,ReceitaBruta,COLUMN('A4 - Previsão de Receita Bruta'!S$6)-1,0),0)</f>
        <v>3425600</v>
      </c>
      <c r="X70" s="71">
        <f>IFERROR(VLOOKUP($D70,ReceitaBruta,COLUMN('A4 - Previsão de Receita Bruta'!T$6)-1,0),0)</f>
        <v>3528250</v>
      </c>
      <c r="Y70" s="71">
        <f>IFERROR(VLOOKUP($D70,ReceitaBruta,COLUMN('A4 - Previsão de Receita Bruta'!U$6)-1,0),0)</f>
        <v>3632800</v>
      </c>
      <c r="Z70" s="71">
        <f>IFERROR(VLOOKUP($D70,ReceitaBruta,COLUMN('A4 - Previsão de Receita Bruta'!V$6)-1,0),0)</f>
        <v>3738725</v>
      </c>
      <c r="AA70" s="71">
        <f>IFERROR(VLOOKUP($D70,ReceitaBruta,COLUMN('A4 - Previsão de Receita Bruta'!W$6)-1,0),0)</f>
        <v>3738725</v>
      </c>
      <c r="AB70" s="71">
        <f>IFERROR(VLOOKUP($D70,ReceitaBruta,COLUMN('A4 - Previsão de Receita Bruta'!X$6)-1,0),0)</f>
        <v>3738725</v>
      </c>
      <c r="AC70" s="71">
        <f>IFERROR(VLOOKUP($D70,ReceitaBruta,COLUMN('A4 - Previsão de Receita Bruta'!Y$6)-1,0),0)</f>
        <v>3738725</v>
      </c>
      <c r="AD70" s="71">
        <f>IFERROR(VLOOKUP($D70,ReceitaBruta,COLUMN('A4 - Previsão de Receita Bruta'!Z$6)-1,0),0)</f>
        <v>3738725</v>
      </c>
      <c r="AE70" s="71">
        <f>IFERROR(VLOOKUP($D70,ReceitaBruta,COLUMN('A4 - Previsão de Receita Bruta'!AA$6)-1,0),0)</f>
        <v>3738725</v>
      </c>
      <c r="AF70" s="71">
        <f>IFERROR(VLOOKUP($D70,ReceitaBruta,COLUMN('A4 - Previsão de Receita Bruta'!AB$6)-1,0),0)</f>
        <v>3738725</v>
      </c>
      <c r="AG70" s="71">
        <f>IFERROR(VLOOKUP($D70,ReceitaBruta,COLUMN('A4 - Previsão de Receita Bruta'!AC$6)-1,0),0)</f>
        <v>3738725</v>
      </c>
      <c r="AH70" s="71">
        <f>IFERROR(VLOOKUP($D70,ReceitaBruta,COLUMN('A4 - Previsão de Receita Bruta'!AD$6)-1,0),0)</f>
        <v>3738725</v>
      </c>
      <c r="AI70" s="71">
        <f>IFERROR(VLOOKUP($D70,ReceitaBruta,COLUMN('A4 - Previsão de Receita Bruta'!AE$6)-1,0),0)</f>
        <v>3738725</v>
      </c>
      <c r="AJ70" s="71">
        <f>IFERROR(VLOOKUP($D70,ReceitaBruta,COLUMN('A4 - Previsão de Receita Bruta'!AF$6)-1,0),0)</f>
        <v>3738725</v>
      </c>
      <c r="AK70" s="65">
        <f t="shared" si="90"/>
        <v>0</v>
      </c>
      <c r="AL70" s="65">
        <f t="shared" si="91"/>
        <v>34622.400000000001</v>
      </c>
      <c r="AM70" s="65">
        <f t="shared" si="92"/>
        <v>35816.800000000003</v>
      </c>
      <c r="AN70" s="65">
        <f t="shared" si="93"/>
        <v>36973.200000000004</v>
      </c>
      <c r="AO70" s="65">
        <f t="shared" si="94"/>
        <v>38148.400000000001</v>
      </c>
      <c r="AP70" s="65">
        <f t="shared" si="95"/>
        <v>39344</v>
      </c>
      <c r="AQ70" s="65">
        <f t="shared" si="96"/>
        <v>40573.599999999999</v>
      </c>
      <c r="AR70" s="65">
        <f t="shared" si="97"/>
        <v>41838.800000000003</v>
      </c>
      <c r="AS70" s="65">
        <f t="shared" si="98"/>
        <v>43127.200000000004</v>
      </c>
      <c r="AT70" s="65">
        <f t="shared" si="99"/>
        <v>44439.200000000004</v>
      </c>
      <c r="AU70" s="65">
        <f t="shared" si="100"/>
        <v>45792.800000000003</v>
      </c>
      <c r="AV70" s="65">
        <f t="shared" si="101"/>
        <v>47186.8</v>
      </c>
      <c r="AW70" s="65">
        <f t="shared" si="102"/>
        <v>48625.200000000004</v>
      </c>
      <c r="AX70" s="65">
        <f t="shared" si="103"/>
        <v>50106.8</v>
      </c>
      <c r="AY70" s="65">
        <f t="shared" si="104"/>
        <v>51633.200000000004</v>
      </c>
      <c r="AZ70" s="65">
        <f t="shared" si="105"/>
        <v>53201.599999999999</v>
      </c>
      <c r="BA70" s="65">
        <f t="shared" si="106"/>
        <v>54809.599999999999</v>
      </c>
      <c r="BB70" s="65">
        <f t="shared" si="107"/>
        <v>56452</v>
      </c>
      <c r="BC70" s="65">
        <f t="shared" si="108"/>
        <v>58124.800000000003</v>
      </c>
      <c r="BD70" s="65">
        <f t="shared" si="109"/>
        <v>59819.6</v>
      </c>
      <c r="BE70" s="65">
        <f t="shared" si="110"/>
        <v>59819.6</v>
      </c>
      <c r="BF70" s="65">
        <f t="shared" si="111"/>
        <v>59819.6</v>
      </c>
      <c r="BG70" s="65">
        <f t="shared" si="112"/>
        <v>59819.6</v>
      </c>
      <c r="BH70" s="65">
        <f t="shared" si="113"/>
        <v>59819.6</v>
      </c>
      <c r="BI70" s="65">
        <f t="shared" si="114"/>
        <v>59819.6</v>
      </c>
      <c r="BJ70" s="65">
        <f t="shared" si="115"/>
        <v>59819.6</v>
      </c>
      <c r="BK70" s="65">
        <f t="shared" si="116"/>
        <v>59819.6</v>
      </c>
      <c r="BL70" s="65">
        <f t="shared" si="117"/>
        <v>59819.6</v>
      </c>
      <c r="BM70" s="65">
        <f t="shared" si="118"/>
        <v>59819.6</v>
      </c>
      <c r="BN70" s="65">
        <f t="shared" si="119"/>
        <v>59819.6</v>
      </c>
      <c r="BO70" s="72" t="s">
        <v>244</v>
      </c>
    </row>
    <row r="71" spans="1:67" ht="13.5" customHeight="1">
      <c r="A71" s="560" t="s">
        <v>243</v>
      </c>
      <c r="B71" s="560" t="s">
        <v>190</v>
      </c>
      <c r="C71" s="63" t="s">
        <v>209</v>
      </c>
      <c r="D71" s="561" t="s">
        <v>85</v>
      </c>
      <c r="E71" s="69">
        <v>0.02</v>
      </c>
      <c r="F71" s="70">
        <f t="shared" si="122"/>
        <v>1.6E-2</v>
      </c>
      <c r="G71" s="71">
        <f>IFERROR(VLOOKUP($D71,ReceitaBruta,COLUMN('A4 - Previsão de Receita Bruta'!C$6)-1,0),0)</f>
        <v>0</v>
      </c>
      <c r="H71" s="71">
        <f>IFERROR(VLOOKUP($D71,ReceitaBruta,COLUMN('A4 - Previsão de Receita Bruta'!D$6)-1,0),0)</f>
        <v>721300</v>
      </c>
      <c r="I71" s="71">
        <f>IFERROR(VLOOKUP($D71,ReceitaBruta,COLUMN('A4 - Previsão de Receita Bruta'!E$6)-1,0),0)</f>
        <v>746200</v>
      </c>
      <c r="J71" s="71">
        <f>IFERROR(VLOOKUP($D71,ReceitaBruta,COLUMN('A4 - Previsão de Receita Bruta'!F$6)-1,0),0)</f>
        <v>770300</v>
      </c>
      <c r="K71" s="71">
        <f>IFERROR(VLOOKUP($D71,ReceitaBruta,COLUMN('A4 - Previsão de Receita Bruta'!G$6)-1,0),0)</f>
        <v>794750</v>
      </c>
      <c r="L71" s="71">
        <f>IFERROR(VLOOKUP($D71,ReceitaBruta,COLUMN('A4 - Previsão de Receita Bruta'!H$6)-1,0),0)</f>
        <v>819650</v>
      </c>
      <c r="M71" s="71">
        <f>IFERROR(VLOOKUP($D71,ReceitaBruta,COLUMN('A4 - Previsão de Receita Bruta'!I$6)-1,0),0)</f>
        <v>845300</v>
      </c>
      <c r="N71" s="71">
        <f>IFERROR(VLOOKUP($D71,ReceitaBruta,COLUMN('A4 - Previsão de Receita Bruta'!J$6)-1,0),0)</f>
        <v>871650</v>
      </c>
      <c r="O71" s="71">
        <f>IFERROR(VLOOKUP($D71,ReceitaBruta,COLUMN('A4 - Previsão de Receita Bruta'!K$6)-1,0),0)</f>
        <v>898500</v>
      </c>
      <c r="P71" s="71">
        <f>IFERROR(VLOOKUP($D71,ReceitaBruta,COLUMN('A4 - Previsão de Receita Bruta'!L$6)-1,0),0)</f>
        <v>925800</v>
      </c>
      <c r="Q71" s="71">
        <f>IFERROR(VLOOKUP($D71,ReceitaBruta,COLUMN('A4 - Previsão de Receita Bruta'!M$6)-1,0),0)</f>
        <v>954000</v>
      </c>
      <c r="R71" s="71">
        <f>IFERROR(VLOOKUP($D71,ReceitaBruta,COLUMN('A4 - Previsão de Receita Bruta'!N$6)-1,0),0)</f>
        <v>983050</v>
      </c>
      <c r="S71" s="71">
        <f>IFERROR(VLOOKUP($D71,ReceitaBruta,COLUMN('A4 - Previsão de Receita Bruta'!O$6)-1,0),0)</f>
        <v>1013000</v>
      </c>
      <c r="T71" s="71">
        <f>IFERROR(VLOOKUP($D71,ReceitaBruta,COLUMN('A4 - Previsão de Receita Bruta'!P$6)-1,0),0)</f>
        <v>1043900</v>
      </c>
      <c r="U71" s="71">
        <f>IFERROR(VLOOKUP($D71,ReceitaBruta,COLUMN('A4 - Previsão de Receita Bruta'!Q$6)-1,0),0)</f>
        <v>1075700</v>
      </c>
      <c r="V71" s="71">
        <f>IFERROR(VLOOKUP($D71,ReceitaBruta,COLUMN('A4 - Previsão de Receita Bruta'!R$6)-1,0),0)</f>
        <v>1108350</v>
      </c>
      <c r="W71" s="71">
        <f>IFERROR(VLOOKUP($D71,ReceitaBruta,COLUMN('A4 - Previsão de Receita Bruta'!S$6)-1,0),0)</f>
        <v>1141850</v>
      </c>
      <c r="X71" s="71">
        <f>IFERROR(VLOOKUP($D71,ReceitaBruta,COLUMN('A4 - Previsão de Receita Bruta'!T$6)-1,0),0)</f>
        <v>1176100</v>
      </c>
      <c r="Y71" s="71">
        <f>IFERROR(VLOOKUP($D71,ReceitaBruta,COLUMN('A4 - Previsão de Receita Bruta'!U$6)-1,0),0)</f>
        <v>1210950</v>
      </c>
      <c r="Z71" s="71">
        <f>IFERROR(VLOOKUP($D71,ReceitaBruta,COLUMN('A4 - Previsão de Receita Bruta'!V$6)-1,0),0)</f>
        <v>1246250</v>
      </c>
      <c r="AA71" s="71">
        <f>IFERROR(VLOOKUP($D71,ReceitaBruta,COLUMN('A4 - Previsão de Receita Bruta'!W$6)-1,0),0)</f>
        <v>1246250</v>
      </c>
      <c r="AB71" s="71">
        <f>IFERROR(VLOOKUP($D71,ReceitaBruta,COLUMN('A4 - Previsão de Receita Bruta'!X$6)-1,0),0)</f>
        <v>1246250</v>
      </c>
      <c r="AC71" s="71">
        <f>IFERROR(VLOOKUP($D71,ReceitaBruta,COLUMN('A4 - Previsão de Receita Bruta'!Y$6)-1,0),0)</f>
        <v>1246250</v>
      </c>
      <c r="AD71" s="71">
        <f>IFERROR(VLOOKUP($D71,ReceitaBruta,COLUMN('A4 - Previsão de Receita Bruta'!Z$6)-1,0),0)</f>
        <v>1246250</v>
      </c>
      <c r="AE71" s="71">
        <f>IFERROR(VLOOKUP($D71,ReceitaBruta,COLUMN('A4 - Previsão de Receita Bruta'!AA$6)-1,0),0)</f>
        <v>1246250</v>
      </c>
      <c r="AF71" s="71">
        <f>IFERROR(VLOOKUP($D71,ReceitaBruta,COLUMN('A4 - Previsão de Receita Bruta'!AB$6)-1,0),0)</f>
        <v>1246250</v>
      </c>
      <c r="AG71" s="71">
        <f>IFERROR(VLOOKUP($D71,ReceitaBruta,COLUMN('A4 - Previsão de Receita Bruta'!AC$6)-1,0),0)</f>
        <v>1246250</v>
      </c>
      <c r="AH71" s="71">
        <f>IFERROR(VLOOKUP($D71,ReceitaBruta,COLUMN('A4 - Previsão de Receita Bruta'!AD$6)-1,0),0)</f>
        <v>1246250</v>
      </c>
      <c r="AI71" s="71">
        <f>IFERROR(VLOOKUP($D71,ReceitaBruta,COLUMN('A4 - Previsão de Receita Bruta'!AE$6)-1,0),0)</f>
        <v>1246250</v>
      </c>
      <c r="AJ71" s="71">
        <f>IFERROR(VLOOKUP($D71,ReceitaBruta,COLUMN('A4 - Previsão de Receita Bruta'!AF$6)-1,0),0)</f>
        <v>1246250</v>
      </c>
      <c r="AK71" s="65">
        <f t="shared" si="90"/>
        <v>0</v>
      </c>
      <c r="AL71" s="65">
        <f t="shared" si="91"/>
        <v>11540.800000000001</v>
      </c>
      <c r="AM71" s="65">
        <f t="shared" si="92"/>
        <v>11939.2</v>
      </c>
      <c r="AN71" s="65">
        <f t="shared" si="93"/>
        <v>12324.800000000001</v>
      </c>
      <c r="AO71" s="65">
        <f t="shared" si="94"/>
        <v>12716</v>
      </c>
      <c r="AP71" s="65">
        <f t="shared" si="95"/>
        <v>13114.4</v>
      </c>
      <c r="AQ71" s="65">
        <f t="shared" si="96"/>
        <v>13524.800000000001</v>
      </c>
      <c r="AR71" s="65">
        <f t="shared" si="97"/>
        <v>13946.4</v>
      </c>
      <c r="AS71" s="65">
        <f t="shared" si="98"/>
        <v>14376</v>
      </c>
      <c r="AT71" s="65">
        <f t="shared" si="99"/>
        <v>14812.800000000001</v>
      </c>
      <c r="AU71" s="65">
        <f t="shared" si="100"/>
        <v>15264</v>
      </c>
      <c r="AV71" s="65">
        <f t="shared" si="101"/>
        <v>15728.800000000001</v>
      </c>
      <c r="AW71" s="65">
        <f t="shared" si="102"/>
        <v>16208</v>
      </c>
      <c r="AX71" s="65">
        <f t="shared" si="103"/>
        <v>16702.400000000001</v>
      </c>
      <c r="AY71" s="65">
        <f t="shared" si="104"/>
        <v>17211.2</v>
      </c>
      <c r="AZ71" s="65">
        <f t="shared" si="105"/>
        <v>17733.600000000002</v>
      </c>
      <c r="BA71" s="65">
        <f t="shared" si="106"/>
        <v>18269.600000000002</v>
      </c>
      <c r="BB71" s="65">
        <f t="shared" si="107"/>
        <v>18817.600000000002</v>
      </c>
      <c r="BC71" s="65">
        <f t="shared" si="108"/>
        <v>19375.2</v>
      </c>
      <c r="BD71" s="65">
        <f t="shared" si="109"/>
        <v>19940</v>
      </c>
      <c r="BE71" s="65">
        <f t="shared" si="110"/>
        <v>19940</v>
      </c>
      <c r="BF71" s="65">
        <f t="shared" si="111"/>
        <v>19940</v>
      </c>
      <c r="BG71" s="65">
        <f t="shared" si="112"/>
        <v>19940</v>
      </c>
      <c r="BH71" s="65">
        <f t="shared" si="113"/>
        <v>19940</v>
      </c>
      <c r="BI71" s="65">
        <f t="shared" si="114"/>
        <v>19940</v>
      </c>
      <c r="BJ71" s="65">
        <f t="shared" si="115"/>
        <v>19940</v>
      </c>
      <c r="BK71" s="65">
        <f t="shared" si="116"/>
        <v>19940</v>
      </c>
      <c r="BL71" s="65">
        <f t="shared" si="117"/>
        <v>19940</v>
      </c>
      <c r="BM71" s="65">
        <f t="shared" si="118"/>
        <v>19940</v>
      </c>
      <c r="BN71" s="65">
        <f t="shared" si="119"/>
        <v>19940</v>
      </c>
      <c r="BO71" s="72" t="s">
        <v>244</v>
      </c>
    </row>
    <row r="72" spans="1:67" ht="13.5" customHeight="1">
      <c r="A72" s="560" t="s">
        <v>243</v>
      </c>
      <c r="B72" s="560" t="s">
        <v>190</v>
      </c>
      <c r="C72" s="63" t="s">
        <v>209</v>
      </c>
      <c r="D72" s="561" t="s">
        <v>87</v>
      </c>
      <c r="E72" s="69">
        <v>0.02</v>
      </c>
      <c r="F72" s="70">
        <f t="shared" si="122"/>
        <v>1.6E-2</v>
      </c>
      <c r="G72" s="71">
        <f>IFERROR(VLOOKUP($D72,ReceitaBruta,COLUMN('A4 - Previsão de Receita Bruta'!C$6)-1,0),0)</f>
        <v>0</v>
      </c>
      <c r="H72" s="71">
        <f>IFERROR(VLOOKUP($D72,ReceitaBruta,COLUMN('A4 - Previsão de Receita Bruta'!D$6)-1,0),0)</f>
        <v>1168506</v>
      </c>
      <c r="I72" s="71">
        <f>IFERROR(VLOOKUP($D72,ReceitaBruta,COLUMN('A4 - Previsão de Receita Bruta'!E$6)-1,0),0)</f>
        <v>1208790</v>
      </c>
      <c r="J72" s="71">
        <f>IFERROR(VLOOKUP($D72,ReceitaBruta,COLUMN('A4 - Previsão de Receita Bruta'!F$6)-1,0),0)</f>
        <v>1247832</v>
      </c>
      <c r="K72" s="71">
        <f>IFERROR(VLOOKUP($D72,ReceitaBruta,COLUMN('A4 - Previsão de Receita Bruta'!G$6)-1,0),0)</f>
        <v>1287522</v>
      </c>
      <c r="L72" s="71">
        <f>IFERROR(VLOOKUP($D72,ReceitaBruta,COLUMN('A4 - Previsão de Receita Bruta'!H$6)-1,0),0)</f>
        <v>1327860</v>
      </c>
      <c r="M72" s="71">
        <f>IFERROR(VLOOKUP($D72,ReceitaBruta,COLUMN('A4 - Previsão de Receita Bruta'!I$6)-1,0),0)</f>
        <v>1369332</v>
      </c>
      <c r="N72" s="71">
        <f>IFERROR(VLOOKUP($D72,ReceitaBruta,COLUMN('A4 - Previsão de Receita Bruta'!J$6)-1,0),0)</f>
        <v>1412046</v>
      </c>
      <c r="O72" s="71">
        <f>IFERROR(VLOOKUP($D72,ReceitaBruta,COLUMN('A4 - Previsão de Receita Bruta'!K$6)-1,0),0)</f>
        <v>1455516</v>
      </c>
      <c r="P72" s="71">
        <f>IFERROR(VLOOKUP($D72,ReceitaBruta,COLUMN('A4 - Previsão de Receita Bruta'!L$6)-1,0),0)</f>
        <v>1499850</v>
      </c>
      <c r="Q72" s="71">
        <f>IFERROR(VLOOKUP($D72,ReceitaBruta,COLUMN('A4 - Previsão de Receita Bruta'!M$6)-1,0),0)</f>
        <v>1545480</v>
      </c>
      <c r="R72" s="71">
        <f>IFERROR(VLOOKUP($D72,ReceitaBruta,COLUMN('A4 - Previsão de Receita Bruta'!N$6)-1,0),0)</f>
        <v>1592568</v>
      </c>
      <c r="S72" s="71">
        <f>IFERROR(VLOOKUP($D72,ReceitaBruta,COLUMN('A4 - Previsão de Receita Bruta'!O$6)-1,0),0)</f>
        <v>1641114</v>
      </c>
      <c r="T72" s="71">
        <f>IFERROR(VLOOKUP($D72,ReceitaBruta,COLUMN('A4 - Previsão de Receita Bruta'!P$6)-1,0),0)</f>
        <v>1691118</v>
      </c>
      <c r="U72" s="71">
        <f>IFERROR(VLOOKUP($D72,ReceitaBruta,COLUMN('A4 - Previsão de Receita Bruta'!Q$6)-1,0),0)</f>
        <v>1742634</v>
      </c>
      <c r="V72" s="71">
        <f>IFERROR(VLOOKUP($D72,ReceitaBruta,COLUMN('A4 - Previsão de Receita Bruta'!R$6)-1,0),0)</f>
        <v>1795554</v>
      </c>
      <c r="W72" s="71">
        <f>IFERROR(VLOOKUP($D72,ReceitaBruta,COLUMN('A4 - Previsão de Receita Bruta'!S$6)-1,0),0)</f>
        <v>1849824</v>
      </c>
      <c r="X72" s="71">
        <f>IFERROR(VLOOKUP($D72,ReceitaBruta,COLUMN('A4 - Previsão de Receita Bruta'!T$6)-1,0),0)</f>
        <v>1905282</v>
      </c>
      <c r="Y72" s="71">
        <f>IFERROR(VLOOKUP($D72,ReceitaBruta,COLUMN('A4 - Previsão de Receita Bruta'!U$6)-1,0),0)</f>
        <v>1961712</v>
      </c>
      <c r="Z72" s="71">
        <f>IFERROR(VLOOKUP($D72,ReceitaBruta,COLUMN('A4 - Previsão de Receita Bruta'!V$6)-1,0),0)</f>
        <v>2018898</v>
      </c>
      <c r="AA72" s="71">
        <f>IFERROR(VLOOKUP($D72,ReceitaBruta,COLUMN('A4 - Previsão de Receita Bruta'!W$6)-1,0),0)</f>
        <v>2018898</v>
      </c>
      <c r="AB72" s="71">
        <f>IFERROR(VLOOKUP($D72,ReceitaBruta,COLUMN('A4 - Previsão de Receita Bruta'!X$6)-1,0),0)</f>
        <v>2018898</v>
      </c>
      <c r="AC72" s="71">
        <f>IFERROR(VLOOKUP($D72,ReceitaBruta,COLUMN('A4 - Previsão de Receita Bruta'!Y$6)-1,0),0)</f>
        <v>2018898</v>
      </c>
      <c r="AD72" s="71">
        <f>IFERROR(VLOOKUP($D72,ReceitaBruta,COLUMN('A4 - Previsão de Receita Bruta'!Z$6)-1,0),0)</f>
        <v>2018898</v>
      </c>
      <c r="AE72" s="71">
        <f>IFERROR(VLOOKUP($D72,ReceitaBruta,COLUMN('A4 - Previsão de Receita Bruta'!AA$6)-1,0),0)</f>
        <v>2018898</v>
      </c>
      <c r="AF72" s="71">
        <f>IFERROR(VLOOKUP($D72,ReceitaBruta,COLUMN('A4 - Previsão de Receita Bruta'!AB$6)-1,0),0)</f>
        <v>2018898</v>
      </c>
      <c r="AG72" s="71">
        <f>IFERROR(VLOOKUP($D72,ReceitaBruta,COLUMN('A4 - Previsão de Receita Bruta'!AC$6)-1,0),0)</f>
        <v>2018898</v>
      </c>
      <c r="AH72" s="71">
        <f>IFERROR(VLOOKUP($D72,ReceitaBruta,COLUMN('A4 - Previsão de Receita Bruta'!AD$6)-1,0),0)</f>
        <v>2018898</v>
      </c>
      <c r="AI72" s="71">
        <f>IFERROR(VLOOKUP($D72,ReceitaBruta,COLUMN('A4 - Previsão de Receita Bruta'!AE$6)-1,0),0)</f>
        <v>2018898</v>
      </c>
      <c r="AJ72" s="71">
        <f>IFERROR(VLOOKUP($D72,ReceitaBruta,COLUMN('A4 - Previsão de Receita Bruta'!AF$6)-1,0),0)</f>
        <v>2018898</v>
      </c>
      <c r="AK72" s="65">
        <f t="shared" si="90"/>
        <v>0</v>
      </c>
      <c r="AL72" s="65">
        <f t="shared" si="91"/>
        <v>18696.096000000001</v>
      </c>
      <c r="AM72" s="65">
        <f t="shared" si="92"/>
        <v>19340.64</v>
      </c>
      <c r="AN72" s="65">
        <f t="shared" si="93"/>
        <v>19965.312000000002</v>
      </c>
      <c r="AO72" s="65">
        <f t="shared" si="94"/>
        <v>20600.351999999999</v>
      </c>
      <c r="AP72" s="65">
        <f t="shared" si="95"/>
        <v>21245.760000000002</v>
      </c>
      <c r="AQ72" s="65">
        <f t="shared" si="96"/>
        <v>21909.312000000002</v>
      </c>
      <c r="AR72" s="65">
        <f t="shared" si="97"/>
        <v>22592.736000000001</v>
      </c>
      <c r="AS72" s="65">
        <f t="shared" si="98"/>
        <v>23288.256000000001</v>
      </c>
      <c r="AT72" s="65">
        <f t="shared" si="99"/>
        <v>23997.600000000002</v>
      </c>
      <c r="AU72" s="65">
        <f t="shared" si="100"/>
        <v>24727.68</v>
      </c>
      <c r="AV72" s="65">
        <f t="shared" si="101"/>
        <v>25481.088</v>
      </c>
      <c r="AW72" s="65">
        <f t="shared" si="102"/>
        <v>26257.824000000001</v>
      </c>
      <c r="AX72" s="65">
        <f t="shared" si="103"/>
        <v>27057.887999999999</v>
      </c>
      <c r="AY72" s="65">
        <f t="shared" si="104"/>
        <v>27882.144</v>
      </c>
      <c r="AZ72" s="65">
        <f t="shared" si="105"/>
        <v>28728.864000000001</v>
      </c>
      <c r="BA72" s="65">
        <f t="shared" si="106"/>
        <v>29597.184000000001</v>
      </c>
      <c r="BB72" s="65">
        <f t="shared" si="107"/>
        <v>30484.512000000002</v>
      </c>
      <c r="BC72" s="65">
        <f t="shared" si="108"/>
        <v>31387.392</v>
      </c>
      <c r="BD72" s="65">
        <f t="shared" si="109"/>
        <v>32302.368000000002</v>
      </c>
      <c r="BE72" s="65">
        <f t="shared" si="110"/>
        <v>32302.368000000002</v>
      </c>
      <c r="BF72" s="65">
        <f t="shared" si="111"/>
        <v>32302.368000000002</v>
      </c>
      <c r="BG72" s="65">
        <f t="shared" si="112"/>
        <v>32302.368000000002</v>
      </c>
      <c r="BH72" s="65">
        <f t="shared" si="113"/>
        <v>32302.368000000002</v>
      </c>
      <c r="BI72" s="65">
        <f t="shared" si="114"/>
        <v>32302.368000000002</v>
      </c>
      <c r="BJ72" s="65">
        <f t="shared" si="115"/>
        <v>32302.368000000002</v>
      </c>
      <c r="BK72" s="65">
        <f t="shared" si="116"/>
        <v>32302.368000000002</v>
      </c>
      <c r="BL72" s="65">
        <f t="shared" si="117"/>
        <v>32302.368000000002</v>
      </c>
      <c r="BM72" s="65">
        <f t="shared" si="118"/>
        <v>32302.368000000002</v>
      </c>
      <c r="BN72" s="65">
        <f t="shared" si="119"/>
        <v>32302.368000000002</v>
      </c>
      <c r="BO72" s="72" t="s">
        <v>244</v>
      </c>
    </row>
    <row r="73" spans="1:67" ht="13.5" customHeight="1">
      <c r="A73" s="560" t="s">
        <v>243</v>
      </c>
      <c r="B73" s="560" t="s">
        <v>190</v>
      </c>
      <c r="C73" s="63" t="s">
        <v>209</v>
      </c>
      <c r="D73" s="561" t="s">
        <v>88</v>
      </c>
      <c r="E73" s="69">
        <v>0.02</v>
      </c>
      <c r="F73" s="70">
        <f t="shared" si="122"/>
        <v>1.6E-2</v>
      </c>
      <c r="G73" s="71">
        <f>IFERROR(VLOOKUP($D73,ReceitaBruta,COLUMN('A4 - Previsão de Receita Bruta'!C$6)-1,0),0)</f>
        <v>0</v>
      </c>
      <c r="H73" s="71">
        <f>IFERROR(VLOOKUP($D73,ReceitaBruta,COLUMN('A4 - Previsão de Receita Bruta'!D$6)-1,0),0)</f>
        <v>2163900</v>
      </c>
      <c r="I73" s="71">
        <f>IFERROR(VLOOKUP($D73,ReceitaBruta,COLUMN('A4 - Previsão de Receita Bruta'!E$6)-1,0),0)</f>
        <v>2238550</v>
      </c>
      <c r="J73" s="71">
        <f>IFERROR(VLOOKUP($D73,ReceitaBruta,COLUMN('A4 - Previsão de Receita Bruta'!F$6)-1,0),0)</f>
        <v>2310825</v>
      </c>
      <c r="K73" s="71">
        <f>IFERROR(VLOOKUP($D73,ReceitaBruta,COLUMN('A4 - Previsão de Receita Bruta'!G$6)-1,0),0)</f>
        <v>2384275</v>
      </c>
      <c r="L73" s="71">
        <f>IFERROR(VLOOKUP($D73,ReceitaBruta,COLUMN('A4 - Previsão de Receita Bruta'!H$6)-1,0),0)</f>
        <v>2459000</v>
      </c>
      <c r="M73" s="71">
        <f>IFERROR(VLOOKUP($D73,ReceitaBruta,COLUMN('A4 - Previsão de Receita Bruta'!I$6)-1,0),0)</f>
        <v>2535850</v>
      </c>
      <c r="N73" s="71">
        <f>IFERROR(VLOOKUP($D73,ReceitaBruta,COLUMN('A4 - Previsão de Receita Bruta'!J$6)-1,0),0)</f>
        <v>2614925</v>
      </c>
      <c r="O73" s="71">
        <f>IFERROR(VLOOKUP($D73,ReceitaBruta,COLUMN('A4 - Previsão de Receita Bruta'!K$6)-1,0),0)</f>
        <v>2695450</v>
      </c>
      <c r="P73" s="71">
        <f>IFERROR(VLOOKUP($D73,ReceitaBruta,COLUMN('A4 - Previsão de Receita Bruta'!L$6)-1,0),0)</f>
        <v>2777450</v>
      </c>
      <c r="Q73" s="71">
        <f>IFERROR(VLOOKUP($D73,ReceitaBruta,COLUMN('A4 - Previsão de Receita Bruta'!M$6)-1,0),0)</f>
        <v>2862050</v>
      </c>
      <c r="R73" s="71">
        <f>IFERROR(VLOOKUP($D73,ReceitaBruta,COLUMN('A4 - Previsão de Receita Bruta'!N$6)-1,0),0)</f>
        <v>2949175</v>
      </c>
      <c r="S73" s="71">
        <f>IFERROR(VLOOKUP($D73,ReceitaBruta,COLUMN('A4 - Previsão de Receita Bruta'!O$6)-1,0),0)</f>
        <v>3039075</v>
      </c>
      <c r="T73" s="71">
        <f>IFERROR(VLOOKUP($D73,ReceitaBruta,COLUMN('A4 - Previsão de Receita Bruta'!P$6)-1,0),0)</f>
        <v>3131675</v>
      </c>
      <c r="U73" s="71">
        <f>IFERROR(VLOOKUP($D73,ReceitaBruta,COLUMN('A4 - Previsão de Receita Bruta'!Q$6)-1,0),0)</f>
        <v>3227075</v>
      </c>
      <c r="V73" s="71">
        <f>IFERROR(VLOOKUP($D73,ReceitaBruta,COLUMN('A4 - Previsão de Receita Bruta'!R$6)-1,0),0)</f>
        <v>3325100</v>
      </c>
      <c r="W73" s="71">
        <f>IFERROR(VLOOKUP($D73,ReceitaBruta,COLUMN('A4 - Previsão de Receita Bruta'!S$6)-1,0),0)</f>
        <v>3425600</v>
      </c>
      <c r="X73" s="71">
        <f>IFERROR(VLOOKUP($D73,ReceitaBruta,COLUMN('A4 - Previsão de Receita Bruta'!T$6)-1,0),0)</f>
        <v>3528250</v>
      </c>
      <c r="Y73" s="71">
        <f>IFERROR(VLOOKUP($D73,ReceitaBruta,COLUMN('A4 - Previsão de Receita Bruta'!U$6)-1,0),0)</f>
        <v>3632800</v>
      </c>
      <c r="Z73" s="71">
        <f>IFERROR(VLOOKUP($D73,ReceitaBruta,COLUMN('A4 - Previsão de Receita Bruta'!V$6)-1,0),0)</f>
        <v>3738725</v>
      </c>
      <c r="AA73" s="71">
        <f>IFERROR(VLOOKUP($D73,ReceitaBruta,COLUMN('A4 - Previsão de Receita Bruta'!W$6)-1,0),0)</f>
        <v>3738725</v>
      </c>
      <c r="AB73" s="71">
        <f>IFERROR(VLOOKUP($D73,ReceitaBruta,COLUMN('A4 - Previsão de Receita Bruta'!X$6)-1,0),0)</f>
        <v>3738725</v>
      </c>
      <c r="AC73" s="71">
        <f>IFERROR(VLOOKUP($D73,ReceitaBruta,COLUMN('A4 - Previsão de Receita Bruta'!Y$6)-1,0),0)</f>
        <v>3738725</v>
      </c>
      <c r="AD73" s="71">
        <f>IFERROR(VLOOKUP($D73,ReceitaBruta,COLUMN('A4 - Previsão de Receita Bruta'!Z$6)-1,0),0)</f>
        <v>3738725</v>
      </c>
      <c r="AE73" s="71">
        <f>IFERROR(VLOOKUP($D73,ReceitaBruta,COLUMN('A4 - Previsão de Receita Bruta'!AA$6)-1,0),0)</f>
        <v>3738725</v>
      </c>
      <c r="AF73" s="71">
        <f>IFERROR(VLOOKUP($D73,ReceitaBruta,COLUMN('A4 - Previsão de Receita Bruta'!AB$6)-1,0),0)</f>
        <v>3738725</v>
      </c>
      <c r="AG73" s="71">
        <f>IFERROR(VLOOKUP($D73,ReceitaBruta,COLUMN('A4 - Previsão de Receita Bruta'!AC$6)-1,0),0)</f>
        <v>3738725</v>
      </c>
      <c r="AH73" s="71">
        <f>IFERROR(VLOOKUP($D73,ReceitaBruta,COLUMN('A4 - Previsão de Receita Bruta'!AD$6)-1,0),0)</f>
        <v>3738725</v>
      </c>
      <c r="AI73" s="71">
        <f>IFERROR(VLOOKUP($D73,ReceitaBruta,COLUMN('A4 - Previsão de Receita Bruta'!AE$6)-1,0),0)</f>
        <v>3738725</v>
      </c>
      <c r="AJ73" s="71">
        <f>IFERROR(VLOOKUP($D73,ReceitaBruta,COLUMN('A4 - Previsão de Receita Bruta'!AF$6)-1,0),0)</f>
        <v>3738725</v>
      </c>
      <c r="AK73" s="65">
        <f t="shared" si="90"/>
        <v>0</v>
      </c>
      <c r="AL73" s="65">
        <f t="shared" si="91"/>
        <v>34622.400000000001</v>
      </c>
      <c r="AM73" s="65">
        <f t="shared" si="92"/>
        <v>35816.800000000003</v>
      </c>
      <c r="AN73" s="65">
        <f t="shared" si="93"/>
        <v>36973.200000000004</v>
      </c>
      <c r="AO73" s="65">
        <f t="shared" si="94"/>
        <v>38148.400000000001</v>
      </c>
      <c r="AP73" s="65">
        <f t="shared" si="95"/>
        <v>39344</v>
      </c>
      <c r="AQ73" s="65">
        <f t="shared" si="96"/>
        <v>40573.599999999999</v>
      </c>
      <c r="AR73" s="65">
        <f t="shared" si="97"/>
        <v>41838.800000000003</v>
      </c>
      <c r="AS73" s="65">
        <f t="shared" si="98"/>
        <v>43127.200000000004</v>
      </c>
      <c r="AT73" s="65">
        <f t="shared" si="99"/>
        <v>44439.200000000004</v>
      </c>
      <c r="AU73" s="65">
        <f t="shared" si="100"/>
        <v>45792.800000000003</v>
      </c>
      <c r="AV73" s="65">
        <f t="shared" si="101"/>
        <v>47186.8</v>
      </c>
      <c r="AW73" s="65">
        <f t="shared" si="102"/>
        <v>48625.200000000004</v>
      </c>
      <c r="AX73" s="65">
        <f t="shared" si="103"/>
        <v>50106.8</v>
      </c>
      <c r="AY73" s="65">
        <f t="shared" si="104"/>
        <v>51633.200000000004</v>
      </c>
      <c r="AZ73" s="65">
        <f t="shared" si="105"/>
        <v>53201.599999999999</v>
      </c>
      <c r="BA73" s="65">
        <f t="shared" si="106"/>
        <v>54809.599999999999</v>
      </c>
      <c r="BB73" s="65">
        <f t="shared" si="107"/>
        <v>56452</v>
      </c>
      <c r="BC73" s="65">
        <f t="shared" si="108"/>
        <v>58124.800000000003</v>
      </c>
      <c r="BD73" s="65">
        <f t="shared" si="109"/>
        <v>59819.6</v>
      </c>
      <c r="BE73" s="65">
        <f t="shared" si="110"/>
        <v>59819.6</v>
      </c>
      <c r="BF73" s="65">
        <f t="shared" si="111"/>
        <v>59819.6</v>
      </c>
      <c r="BG73" s="65">
        <f t="shared" si="112"/>
        <v>59819.6</v>
      </c>
      <c r="BH73" s="65">
        <f t="shared" si="113"/>
        <v>59819.6</v>
      </c>
      <c r="BI73" s="65">
        <f t="shared" si="114"/>
        <v>59819.6</v>
      </c>
      <c r="BJ73" s="65">
        <f t="shared" si="115"/>
        <v>59819.6</v>
      </c>
      <c r="BK73" s="65">
        <f t="shared" si="116"/>
        <v>59819.6</v>
      </c>
      <c r="BL73" s="65">
        <f t="shared" si="117"/>
        <v>59819.6</v>
      </c>
      <c r="BM73" s="65">
        <f t="shared" si="118"/>
        <v>59819.6</v>
      </c>
      <c r="BN73" s="65">
        <f t="shared" si="119"/>
        <v>59819.6</v>
      </c>
      <c r="BO73" s="72" t="s">
        <v>244</v>
      </c>
    </row>
    <row r="74" spans="1:67" ht="13.5" customHeight="1">
      <c r="A74" s="560" t="s">
        <v>243</v>
      </c>
      <c r="B74" s="560" t="s">
        <v>190</v>
      </c>
      <c r="C74" s="63" t="s">
        <v>209</v>
      </c>
      <c r="D74" s="561" t="s">
        <v>89</v>
      </c>
      <c r="E74" s="69">
        <v>0.02</v>
      </c>
      <c r="F74" s="70">
        <f t="shared" si="122"/>
        <v>1.6E-2</v>
      </c>
      <c r="G74" s="71">
        <f>IFERROR(VLOOKUP($D74,ReceitaBruta,COLUMN('A4 - Previsão de Receita Bruta'!C$6)-1,0),0)</f>
        <v>0</v>
      </c>
      <c r="H74" s="71">
        <f>IFERROR(VLOOKUP($D74,ReceitaBruta,COLUMN('A4 - Previsão de Receita Bruta'!D$6)-1,0),0)</f>
        <v>721300</v>
      </c>
      <c r="I74" s="71">
        <f>IFERROR(VLOOKUP($D74,ReceitaBruta,COLUMN('A4 - Previsão de Receita Bruta'!E$6)-1,0),0)</f>
        <v>746200</v>
      </c>
      <c r="J74" s="71">
        <f>IFERROR(VLOOKUP($D74,ReceitaBruta,COLUMN('A4 - Previsão de Receita Bruta'!F$6)-1,0),0)</f>
        <v>770300</v>
      </c>
      <c r="K74" s="71">
        <f>IFERROR(VLOOKUP($D74,ReceitaBruta,COLUMN('A4 - Previsão de Receita Bruta'!G$6)-1,0),0)</f>
        <v>794750</v>
      </c>
      <c r="L74" s="71">
        <f>IFERROR(VLOOKUP($D74,ReceitaBruta,COLUMN('A4 - Previsão de Receita Bruta'!H$6)-1,0),0)</f>
        <v>819650</v>
      </c>
      <c r="M74" s="71">
        <f>IFERROR(VLOOKUP($D74,ReceitaBruta,COLUMN('A4 - Previsão de Receita Bruta'!I$6)-1,0),0)</f>
        <v>845300</v>
      </c>
      <c r="N74" s="71">
        <f>IFERROR(VLOOKUP($D74,ReceitaBruta,COLUMN('A4 - Previsão de Receita Bruta'!J$6)-1,0),0)</f>
        <v>871650</v>
      </c>
      <c r="O74" s="71">
        <f>IFERROR(VLOOKUP($D74,ReceitaBruta,COLUMN('A4 - Previsão de Receita Bruta'!K$6)-1,0),0)</f>
        <v>898500</v>
      </c>
      <c r="P74" s="71">
        <f>IFERROR(VLOOKUP($D74,ReceitaBruta,COLUMN('A4 - Previsão de Receita Bruta'!L$6)-1,0),0)</f>
        <v>925800</v>
      </c>
      <c r="Q74" s="71">
        <f>IFERROR(VLOOKUP($D74,ReceitaBruta,COLUMN('A4 - Previsão de Receita Bruta'!M$6)-1,0),0)</f>
        <v>954000</v>
      </c>
      <c r="R74" s="71">
        <f>IFERROR(VLOOKUP($D74,ReceitaBruta,COLUMN('A4 - Previsão de Receita Bruta'!N$6)-1,0),0)</f>
        <v>983050</v>
      </c>
      <c r="S74" s="71">
        <f>IFERROR(VLOOKUP($D74,ReceitaBruta,COLUMN('A4 - Previsão de Receita Bruta'!O$6)-1,0),0)</f>
        <v>1013000</v>
      </c>
      <c r="T74" s="71">
        <f>IFERROR(VLOOKUP($D74,ReceitaBruta,COLUMN('A4 - Previsão de Receita Bruta'!P$6)-1,0),0)</f>
        <v>1043900</v>
      </c>
      <c r="U74" s="71">
        <f>IFERROR(VLOOKUP($D74,ReceitaBruta,COLUMN('A4 - Previsão de Receita Bruta'!Q$6)-1,0),0)</f>
        <v>1075700</v>
      </c>
      <c r="V74" s="71">
        <f>IFERROR(VLOOKUP($D74,ReceitaBruta,COLUMN('A4 - Previsão de Receita Bruta'!R$6)-1,0),0)</f>
        <v>1108350</v>
      </c>
      <c r="W74" s="71">
        <f>IFERROR(VLOOKUP($D74,ReceitaBruta,COLUMN('A4 - Previsão de Receita Bruta'!S$6)-1,0),0)</f>
        <v>1141850</v>
      </c>
      <c r="X74" s="71">
        <f>IFERROR(VLOOKUP($D74,ReceitaBruta,COLUMN('A4 - Previsão de Receita Bruta'!T$6)-1,0),0)</f>
        <v>1176100</v>
      </c>
      <c r="Y74" s="71">
        <f>IFERROR(VLOOKUP($D74,ReceitaBruta,COLUMN('A4 - Previsão de Receita Bruta'!U$6)-1,0),0)</f>
        <v>1210950</v>
      </c>
      <c r="Z74" s="71">
        <f>IFERROR(VLOOKUP($D74,ReceitaBruta,COLUMN('A4 - Previsão de Receita Bruta'!V$6)-1,0),0)</f>
        <v>1246250</v>
      </c>
      <c r="AA74" s="71">
        <f>IFERROR(VLOOKUP($D74,ReceitaBruta,COLUMN('A4 - Previsão de Receita Bruta'!W$6)-1,0),0)</f>
        <v>1246250</v>
      </c>
      <c r="AB74" s="71">
        <f>IFERROR(VLOOKUP($D74,ReceitaBruta,COLUMN('A4 - Previsão de Receita Bruta'!X$6)-1,0),0)</f>
        <v>1246250</v>
      </c>
      <c r="AC74" s="71">
        <f>IFERROR(VLOOKUP($D74,ReceitaBruta,COLUMN('A4 - Previsão de Receita Bruta'!Y$6)-1,0),0)</f>
        <v>1246250</v>
      </c>
      <c r="AD74" s="71">
        <f>IFERROR(VLOOKUP($D74,ReceitaBruta,COLUMN('A4 - Previsão de Receita Bruta'!Z$6)-1,0),0)</f>
        <v>1246250</v>
      </c>
      <c r="AE74" s="71">
        <f>IFERROR(VLOOKUP($D74,ReceitaBruta,COLUMN('A4 - Previsão de Receita Bruta'!AA$6)-1,0),0)</f>
        <v>1246250</v>
      </c>
      <c r="AF74" s="71">
        <f>IFERROR(VLOOKUP($D74,ReceitaBruta,COLUMN('A4 - Previsão de Receita Bruta'!AB$6)-1,0),0)</f>
        <v>1246250</v>
      </c>
      <c r="AG74" s="71">
        <f>IFERROR(VLOOKUP($D74,ReceitaBruta,COLUMN('A4 - Previsão de Receita Bruta'!AC$6)-1,0),0)</f>
        <v>1246250</v>
      </c>
      <c r="AH74" s="71">
        <f>IFERROR(VLOOKUP($D74,ReceitaBruta,COLUMN('A4 - Previsão de Receita Bruta'!AD$6)-1,0),0)</f>
        <v>1246250</v>
      </c>
      <c r="AI74" s="71">
        <f>IFERROR(VLOOKUP($D74,ReceitaBruta,COLUMN('A4 - Previsão de Receita Bruta'!AE$6)-1,0),0)</f>
        <v>1246250</v>
      </c>
      <c r="AJ74" s="71">
        <f>IFERROR(VLOOKUP($D74,ReceitaBruta,COLUMN('A4 - Previsão de Receita Bruta'!AF$6)-1,0),0)</f>
        <v>1246250</v>
      </c>
      <c r="AK74" s="65">
        <f t="shared" si="90"/>
        <v>0</v>
      </c>
      <c r="AL74" s="65">
        <f t="shared" si="91"/>
        <v>11540.800000000001</v>
      </c>
      <c r="AM74" s="65">
        <f t="shared" si="92"/>
        <v>11939.2</v>
      </c>
      <c r="AN74" s="65">
        <f t="shared" si="93"/>
        <v>12324.800000000001</v>
      </c>
      <c r="AO74" s="65">
        <f t="shared" si="94"/>
        <v>12716</v>
      </c>
      <c r="AP74" s="65">
        <f t="shared" si="95"/>
        <v>13114.4</v>
      </c>
      <c r="AQ74" s="65">
        <f t="shared" si="96"/>
        <v>13524.800000000001</v>
      </c>
      <c r="AR74" s="65">
        <f t="shared" si="97"/>
        <v>13946.4</v>
      </c>
      <c r="AS74" s="65">
        <f t="shared" si="98"/>
        <v>14376</v>
      </c>
      <c r="AT74" s="65">
        <f t="shared" si="99"/>
        <v>14812.800000000001</v>
      </c>
      <c r="AU74" s="65">
        <f t="shared" si="100"/>
        <v>15264</v>
      </c>
      <c r="AV74" s="65">
        <f t="shared" si="101"/>
        <v>15728.800000000001</v>
      </c>
      <c r="AW74" s="65">
        <f t="shared" si="102"/>
        <v>16208</v>
      </c>
      <c r="AX74" s="65">
        <f t="shared" si="103"/>
        <v>16702.400000000001</v>
      </c>
      <c r="AY74" s="65">
        <f t="shared" si="104"/>
        <v>17211.2</v>
      </c>
      <c r="AZ74" s="65">
        <f t="shared" si="105"/>
        <v>17733.600000000002</v>
      </c>
      <c r="BA74" s="65">
        <f t="shared" si="106"/>
        <v>18269.600000000002</v>
      </c>
      <c r="BB74" s="65">
        <f t="shared" si="107"/>
        <v>18817.600000000002</v>
      </c>
      <c r="BC74" s="65">
        <f t="shared" si="108"/>
        <v>19375.2</v>
      </c>
      <c r="BD74" s="65">
        <f t="shared" si="109"/>
        <v>19940</v>
      </c>
      <c r="BE74" s="65">
        <f t="shared" si="110"/>
        <v>19940</v>
      </c>
      <c r="BF74" s="65">
        <f t="shared" si="111"/>
        <v>19940</v>
      </c>
      <c r="BG74" s="65">
        <f t="shared" si="112"/>
        <v>19940</v>
      </c>
      <c r="BH74" s="65">
        <f t="shared" si="113"/>
        <v>19940</v>
      </c>
      <c r="BI74" s="65">
        <f t="shared" si="114"/>
        <v>19940</v>
      </c>
      <c r="BJ74" s="65">
        <f t="shared" si="115"/>
        <v>19940</v>
      </c>
      <c r="BK74" s="65">
        <f t="shared" si="116"/>
        <v>19940</v>
      </c>
      <c r="BL74" s="65">
        <f t="shared" si="117"/>
        <v>19940</v>
      </c>
      <c r="BM74" s="65">
        <f t="shared" si="118"/>
        <v>19940</v>
      </c>
      <c r="BN74" s="65">
        <f t="shared" si="119"/>
        <v>19940</v>
      </c>
      <c r="BO74" s="72" t="s">
        <v>244</v>
      </c>
    </row>
    <row r="75" spans="1:67" ht="13.5" customHeight="1">
      <c r="A75" s="560" t="s">
        <v>243</v>
      </c>
      <c r="B75" s="560" t="s">
        <v>190</v>
      </c>
      <c r="C75" s="63" t="s">
        <v>209</v>
      </c>
      <c r="D75" s="561" t="s">
        <v>93</v>
      </c>
      <c r="E75" s="69">
        <v>0.02</v>
      </c>
      <c r="F75" s="70">
        <f t="shared" si="122"/>
        <v>1.6E-2</v>
      </c>
      <c r="G75" s="71">
        <f>IFERROR(VLOOKUP($D75,ReceitaBruta,COLUMN('A4 - Previsão de Receita Bruta'!C$6)-1,0),0)</f>
        <v>0</v>
      </c>
      <c r="H75" s="71">
        <f>IFERROR(VLOOKUP($D75,ReceitaBruta,COLUMN('A4 - Previsão de Receita Bruta'!D$6)-1,0),0)</f>
        <v>2163900</v>
      </c>
      <c r="I75" s="71">
        <f>IFERROR(VLOOKUP($D75,ReceitaBruta,COLUMN('A4 - Previsão de Receita Bruta'!E$6)-1,0),0)</f>
        <v>2238550</v>
      </c>
      <c r="J75" s="71">
        <f>IFERROR(VLOOKUP($D75,ReceitaBruta,COLUMN('A4 - Previsão de Receita Bruta'!F$6)-1,0),0)</f>
        <v>2310825</v>
      </c>
      <c r="K75" s="71">
        <f>IFERROR(VLOOKUP($D75,ReceitaBruta,COLUMN('A4 - Previsão de Receita Bruta'!G$6)-1,0),0)</f>
        <v>2384275</v>
      </c>
      <c r="L75" s="71">
        <f>IFERROR(VLOOKUP($D75,ReceitaBruta,COLUMN('A4 - Previsão de Receita Bruta'!H$6)-1,0),0)</f>
        <v>2459000</v>
      </c>
      <c r="M75" s="71">
        <f>IFERROR(VLOOKUP($D75,ReceitaBruta,COLUMN('A4 - Previsão de Receita Bruta'!I$6)-1,0),0)</f>
        <v>2535850</v>
      </c>
      <c r="N75" s="71">
        <f>IFERROR(VLOOKUP($D75,ReceitaBruta,COLUMN('A4 - Previsão de Receita Bruta'!J$6)-1,0),0)</f>
        <v>2614925</v>
      </c>
      <c r="O75" s="71">
        <f>IFERROR(VLOOKUP($D75,ReceitaBruta,COLUMN('A4 - Previsão de Receita Bruta'!K$6)-1,0),0)</f>
        <v>2695450</v>
      </c>
      <c r="P75" s="71">
        <f>IFERROR(VLOOKUP($D75,ReceitaBruta,COLUMN('A4 - Previsão de Receita Bruta'!L$6)-1,0),0)</f>
        <v>2777450</v>
      </c>
      <c r="Q75" s="71">
        <f>IFERROR(VLOOKUP($D75,ReceitaBruta,COLUMN('A4 - Previsão de Receita Bruta'!M$6)-1,0),0)</f>
        <v>2862050</v>
      </c>
      <c r="R75" s="71">
        <f>IFERROR(VLOOKUP($D75,ReceitaBruta,COLUMN('A4 - Previsão de Receita Bruta'!N$6)-1,0),0)</f>
        <v>2949175</v>
      </c>
      <c r="S75" s="71">
        <f>IFERROR(VLOOKUP($D75,ReceitaBruta,COLUMN('A4 - Previsão de Receita Bruta'!O$6)-1,0),0)</f>
        <v>3039075</v>
      </c>
      <c r="T75" s="71">
        <f>IFERROR(VLOOKUP($D75,ReceitaBruta,COLUMN('A4 - Previsão de Receita Bruta'!P$6)-1,0),0)</f>
        <v>3131675</v>
      </c>
      <c r="U75" s="71">
        <f>IFERROR(VLOOKUP($D75,ReceitaBruta,COLUMN('A4 - Previsão de Receita Bruta'!Q$6)-1,0),0)</f>
        <v>3227075</v>
      </c>
      <c r="V75" s="71">
        <f>IFERROR(VLOOKUP($D75,ReceitaBruta,COLUMN('A4 - Previsão de Receita Bruta'!R$6)-1,0),0)</f>
        <v>3325100</v>
      </c>
      <c r="W75" s="71">
        <f>IFERROR(VLOOKUP($D75,ReceitaBruta,COLUMN('A4 - Previsão de Receita Bruta'!S$6)-1,0),0)</f>
        <v>3425600</v>
      </c>
      <c r="X75" s="71">
        <f>IFERROR(VLOOKUP($D75,ReceitaBruta,COLUMN('A4 - Previsão de Receita Bruta'!T$6)-1,0),0)</f>
        <v>3528250</v>
      </c>
      <c r="Y75" s="71">
        <f>IFERROR(VLOOKUP($D75,ReceitaBruta,COLUMN('A4 - Previsão de Receita Bruta'!U$6)-1,0),0)</f>
        <v>3632800</v>
      </c>
      <c r="Z75" s="71">
        <f>IFERROR(VLOOKUP($D75,ReceitaBruta,COLUMN('A4 - Previsão de Receita Bruta'!V$6)-1,0),0)</f>
        <v>3738725</v>
      </c>
      <c r="AA75" s="71">
        <f>IFERROR(VLOOKUP($D75,ReceitaBruta,COLUMN('A4 - Previsão de Receita Bruta'!W$6)-1,0),0)</f>
        <v>3738725</v>
      </c>
      <c r="AB75" s="71">
        <f>IFERROR(VLOOKUP($D75,ReceitaBruta,COLUMN('A4 - Previsão de Receita Bruta'!X$6)-1,0),0)</f>
        <v>3738725</v>
      </c>
      <c r="AC75" s="71">
        <f>IFERROR(VLOOKUP($D75,ReceitaBruta,COLUMN('A4 - Previsão de Receita Bruta'!Y$6)-1,0),0)</f>
        <v>3738725</v>
      </c>
      <c r="AD75" s="71">
        <f>IFERROR(VLOOKUP($D75,ReceitaBruta,COLUMN('A4 - Previsão de Receita Bruta'!Z$6)-1,0),0)</f>
        <v>3738725</v>
      </c>
      <c r="AE75" s="71">
        <f>IFERROR(VLOOKUP($D75,ReceitaBruta,COLUMN('A4 - Previsão de Receita Bruta'!AA$6)-1,0),0)</f>
        <v>3738725</v>
      </c>
      <c r="AF75" s="71">
        <f>IFERROR(VLOOKUP($D75,ReceitaBruta,COLUMN('A4 - Previsão de Receita Bruta'!AB$6)-1,0),0)</f>
        <v>3738725</v>
      </c>
      <c r="AG75" s="71">
        <f>IFERROR(VLOOKUP($D75,ReceitaBruta,COLUMN('A4 - Previsão de Receita Bruta'!AC$6)-1,0),0)</f>
        <v>3738725</v>
      </c>
      <c r="AH75" s="71">
        <f>IFERROR(VLOOKUP($D75,ReceitaBruta,COLUMN('A4 - Previsão de Receita Bruta'!AD$6)-1,0),0)</f>
        <v>3738725</v>
      </c>
      <c r="AI75" s="71">
        <f>IFERROR(VLOOKUP($D75,ReceitaBruta,COLUMN('A4 - Previsão de Receita Bruta'!AE$6)-1,0),0)</f>
        <v>3738725</v>
      </c>
      <c r="AJ75" s="71">
        <f>IFERROR(VLOOKUP($D75,ReceitaBruta,COLUMN('A4 - Previsão de Receita Bruta'!AF$6)-1,0),0)</f>
        <v>3738725</v>
      </c>
      <c r="AK75" s="65">
        <f t="shared" si="90"/>
        <v>0</v>
      </c>
      <c r="AL75" s="65">
        <f t="shared" si="91"/>
        <v>34622.400000000001</v>
      </c>
      <c r="AM75" s="65">
        <f t="shared" si="92"/>
        <v>35816.800000000003</v>
      </c>
      <c r="AN75" s="65">
        <f t="shared" si="93"/>
        <v>36973.200000000004</v>
      </c>
      <c r="AO75" s="65">
        <f t="shared" si="94"/>
        <v>38148.400000000001</v>
      </c>
      <c r="AP75" s="65">
        <f t="shared" si="95"/>
        <v>39344</v>
      </c>
      <c r="AQ75" s="65">
        <f t="shared" si="96"/>
        <v>40573.599999999999</v>
      </c>
      <c r="AR75" s="65">
        <f t="shared" si="97"/>
        <v>41838.800000000003</v>
      </c>
      <c r="AS75" s="65">
        <f t="shared" si="98"/>
        <v>43127.200000000004</v>
      </c>
      <c r="AT75" s="65">
        <f t="shared" si="99"/>
        <v>44439.200000000004</v>
      </c>
      <c r="AU75" s="65">
        <f t="shared" si="100"/>
        <v>45792.800000000003</v>
      </c>
      <c r="AV75" s="65">
        <f t="shared" si="101"/>
        <v>47186.8</v>
      </c>
      <c r="AW75" s="65">
        <f t="shared" si="102"/>
        <v>48625.200000000004</v>
      </c>
      <c r="AX75" s="65">
        <f t="shared" si="103"/>
        <v>50106.8</v>
      </c>
      <c r="AY75" s="65">
        <f t="shared" si="104"/>
        <v>51633.200000000004</v>
      </c>
      <c r="AZ75" s="65">
        <f t="shared" si="105"/>
        <v>53201.599999999999</v>
      </c>
      <c r="BA75" s="65">
        <f t="shared" si="106"/>
        <v>54809.599999999999</v>
      </c>
      <c r="BB75" s="65">
        <f t="shared" si="107"/>
        <v>56452</v>
      </c>
      <c r="BC75" s="65">
        <f t="shared" si="108"/>
        <v>58124.800000000003</v>
      </c>
      <c r="BD75" s="65">
        <f t="shared" si="109"/>
        <v>59819.6</v>
      </c>
      <c r="BE75" s="65">
        <f t="shared" si="110"/>
        <v>59819.6</v>
      </c>
      <c r="BF75" s="65">
        <f t="shared" si="111"/>
        <v>59819.6</v>
      </c>
      <c r="BG75" s="65">
        <f t="shared" si="112"/>
        <v>59819.6</v>
      </c>
      <c r="BH75" s="65">
        <f t="shared" si="113"/>
        <v>59819.6</v>
      </c>
      <c r="BI75" s="65">
        <f t="shared" si="114"/>
        <v>59819.6</v>
      </c>
      <c r="BJ75" s="65">
        <f t="shared" si="115"/>
        <v>59819.6</v>
      </c>
      <c r="BK75" s="65">
        <f t="shared" si="116"/>
        <v>59819.6</v>
      </c>
      <c r="BL75" s="65">
        <f t="shared" si="117"/>
        <v>59819.6</v>
      </c>
      <c r="BM75" s="65">
        <f t="shared" si="118"/>
        <v>59819.6</v>
      </c>
      <c r="BN75" s="65">
        <f t="shared" si="119"/>
        <v>59819.6</v>
      </c>
      <c r="BO75" s="72" t="s">
        <v>244</v>
      </c>
    </row>
    <row r="76" spans="1:67" ht="12.75" customHeight="1">
      <c r="A76" s="560" t="s">
        <v>243</v>
      </c>
      <c r="B76" s="560" t="s">
        <v>190</v>
      </c>
      <c r="C76" s="63" t="s">
        <v>209</v>
      </c>
      <c r="D76" s="561" t="s">
        <v>94</v>
      </c>
      <c r="E76" s="69">
        <v>0.02</v>
      </c>
      <c r="F76" s="70">
        <f t="shared" si="122"/>
        <v>1.6E-2</v>
      </c>
      <c r="G76" s="71">
        <f>IFERROR(VLOOKUP($D76,ReceitaBruta,COLUMN('A4 - Previsão de Receita Bruta'!C$6)-1,0),0)</f>
        <v>0</v>
      </c>
      <c r="H76" s="71">
        <f>IFERROR(VLOOKUP($D76,ReceitaBruta,COLUMN('A4 - Previsão de Receita Bruta'!D$6)-1,0),0)</f>
        <v>721300</v>
      </c>
      <c r="I76" s="71">
        <f>IFERROR(VLOOKUP($D76,ReceitaBruta,COLUMN('A4 - Previsão de Receita Bruta'!E$6)-1,0),0)</f>
        <v>746200</v>
      </c>
      <c r="J76" s="71">
        <f>IFERROR(VLOOKUP($D76,ReceitaBruta,COLUMN('A4 - Previsão de Receita Bruta'!F$6)-1,0),0)</f>
        <v>770300</v>
      </c>
      <c r="K76" s="71">
        <f>IFERROR(VLOOKUP($D76,ReceitaBruta,COLUMN('A4 - Previsão de Receita Bruta'!G$6)-1,0),0)</f>
        <v>794750</v>
      </c>
      <c r="L76" s="71">
        <f>IFERROR(VLOOKUP($D76,ReceitaBruta,COLUMN('A4 - Previsão de Receita Bruta'!H$6)-1,0),0)</f>
        <v>819650</v>
      </c>
      <c r="M76" s="71">
        <f>IFERROR(VLOOKUP($D76,ReceitaBruta,COLUMN('A4 - Previsão de Receita Bruta'!I$6)-1,0),0)</f>
        <v>845300</v>
      </c>
      <c r="N76" s="71">
        <f>IFERROR(VLOOKUP($D76,ReceitaBruta,COLUMN('A4 - Previsão de Receita Bruta'!J$6)-1,0),0)</f>
        <v>871650</v>
      </c>
      <c r="O76" s="71">
        <f>IFERROR(VLOOKUP($D76,ReceitaBruta,COLUMN('A4 - Previsão de Receita Bruta'!K$6)-1,0),0)</f>
        <v>898500</v>
      </c>
      <c r="P76" s="71">
        <f>IFERROR(VLOOKUP($D76,ReceitaBruta,COLUMN('A4 - Previsão de Receita Bruta'!L$6)-1,0),0)</f>
        <v>925800</v>
      </c>
      <c r="Q76" s="71">
        <f>IFERROR(VLOOKUP($D76,ReceitaBruta,COLUMN('A4 - Previsão de Receita Bruta'!M$6)-1,0),0)</f>
        <v>954000</v>
      </c>
      <c r="R76" s="71">
        <f>IFERROR(VLOOKUP($D76,ReceitaBruta,COLUMN('A4 - Previsão de Receita Bruta'!N$6)-1,0),0)</f>
        <v>983050</v>
      </c>
      <c r="S76" s="71">
        <f>IFERROR(VLOOKUP($D76,ReceitaBruta,COLUMN('A4 - Previsão de Receita Bruta'!O$6)-1,0),0)</f>
        <v>1013000</v>
      </c>
      <c r="T76" s="71">
        <f>IFERROR(VLOOKUP($D76,ReceitaBruta,COLUMN('A4 - Previsão de Receita Bruta'!P$6)-1,0),0)</f>
        <v>1043900</v>
      </c>
      <c r="U76" s="71">
        <f>IFERROR(VLOOKUP($D76,ReceitaBruta,COLUMN('A4 - Previsão de Receita Bruta'!Q$6)-1,0),0)</f>
        <v>1075700</v>
      </c>
      <c r="V76" s="71">
        <f>IFERROR(VLOOKUP($D76,ReceitaBruta,COLUMN('A4 - Previsão de Receita Bruta'!R$6)-1,0),0)</f>
        <v>1108350</v>
      </c>
      <c r="W76" s="71">
        <f>IFERROR(VLOOKUP($D76,ReceitaBruta,COLUMN('A4 - Previsão de Receita Bruta'!S$6)-1,0),0)</f>
        <v>1141850</v>
      </c>
      <c r="X76" s="71">
        <f>IFERROR(VLOOKUP($D76,ReceitaBruta,COLUMN('A4 - Previsão de Receita Bruta'!T$6)-1,0),0)</f>
        <v>1176100</v>
      </c>
      <c r="Y76" s="71">
        <f>IFERROR(VLOOKUP($D76,ReceitaBruta,COLUMN('A4 - Previsão de Receita Bruta'!U$6)-1,0),0)</f>
        <v>1210950</v>
      </c>
      <c r="Z76" s="71">
        <f>IFERROR(VLOOKUP($D76,ReceitaBruta,COLUMN('A4 - Previsão de Receita Bruta'!V$6)-1,0),0)</f>
        <v>1246250</v>
      </c>
      <c r="AA76" s="71">
        <f>IFERROR(VLOOKUP($D76,ReceitaBruta,COLUMN('A4 - Previsão de Receita Bruta'!W$6)-1,0),0)</f>
        <v>1246250</v>
      </c>
      <c r="AB76" s="71">
        <f>IFERROR(VLOOKUP($D76,ReceitaBruta,COLUMN('A4 - Previsão de Receita Bruta'!X$6)-1,0),0)</f>
        <v>1246250</v>
      </c>
      <c r="AC76" s="71">
        <f>IFERROR(VLOOKUP($D76,ReceitaBruta,COLUMN('A4 - Previsão de Receita Bruta'!Y$6)-1,0),0)</f>
        <v>1246250</v>
      </c>
      <c r="AD76" s="71">
        <f>IFERROR(VLOOKUP($D76,ReceitaBruta,COLUMN('A4 - Previsão de Receita Bruta'!Z$6)-1,0),0)</f>
        <v>1246250</v>
      </c>
      <c r="AE76" s="71">
        <f>IFERROR(VLOOKUP($D76,ReceitaBruta,COLUMN('A4 - Previsão de Receita Bruta'!AA$6)-1,0),0)</f>
        <v>1246250</v>
      </c>
      <c r="AF76" s="71">
        <f>IFERROR(VLOOKUP($D76,ReceitaBruta,COLUMN('A4 - Previsão de Receita Bruta'!AB$6)-1,0),0)</f>
        <v>1246250</v>
      </c>
      <c r="AG76" s="71">
        <f>IFERROR(VLOOKUP($D76,ReceitaBruta,COLUMN('A4 - Previsão de Receita Bruta'!AC$6)-1,0),0)</f>
        <v>1246250</v>
      </c>
      <c r="AH76" s="71">
        <f>IFERROR(VLOOKUP($D76,ReceitaBruta,COLUMN('A4 - Previsão de Receita Bruta'!AD$6)-1,0),0)</f>
        <v>1246250</v>
      </c>
      <c r="AI76" s="71">
        <f>IFERROR(VLOOKUP($D76,ReceitaBruta,COLUMN('A4 - Previsão de Receita Bruta'!AE$6)-1,0),0)</f>
        <v>1246250</v>
      </c>
      <c r="AJ76" s="71">
        <f>IFERROR(VLOOKUP($D76,ReceitaBruta,COLUMN('A4 - Previsão de Receita Bruta'!AF$6)-1,0),0)</f>
        <v>1246250</v>
      </c>
      <c r="AK76" s="65">
        <f t="shared" si="90"/>
        <v>0</v>
      </c>
      <c r="AL76" s="65">
        <f t="shared" si="91"/>
        <v>11540.800000000001</v>
      </c>
      <c r="AM76" s="65">
        <f t="shared" si="92"/>
        <v>11939.2</v>
      </c>
      <c r="AN76" s="65">
        <f t="shared" si="93"/>
        <v>12324.800000000001</v>
      </c>
      <c r="AO76" s="65">
        <f t="shared" si="94"/>
        <v>12716</v>
      </c>
      <c r="AP76" s="65">
        <f t="shared" si="95"/>
        <v>13114.4</v>
      </c>
      <c r="AQ76" s="65">
        <f t="shared" si="96"/>
        <v>13524.800000000001</v>
      </c>
      <c r="AR76" s="65">
        <f t="shared" si="97"/>
        <v>13946.4</v>
      </c>
      <c r="AS76" s="65">
        <f t="shared" si="98"/>
        <v>14376</v>
      </c>
      <c r="AT76" s="65">
        <f t="shared" si="99"/>
        <v>14812.800000000001</v>
      </c>
      <c r="AU76" s="65">
        <f t="shared" si="100"/>
        <v>15264</v>
      </c>
      <c r="AV76" s="65">
        <f t="shared" si="101"/>
        <v>15728.800000000001</v>
      </c>
      <c r="AW76" s="65">
        <f t="shared" si="102"/>
        <v>16208</v>
      </c>
      <c r="AX76" s="65">
        <f t="shared" si="103"/>
        <v>16702.400000000001</v>
      </c>
      <c r="AY76" s="65">
        <f t="shared" si="104"/>
        <v>17211.2</v>
      </c>
      <c r="AZ76" s="65">
        <f t="shared" si="105"/>
        <v>17733.600000000002</v>
      </c>
      <c r="BA76" s="65">
        <f t="shared" si="106"/>
        <v>18269.600000000002</v>
      </c>
      <c r="BB76" s="65">
        <f t="shared" si="107"/>
        <v>18817.600000000002</v>
      </c>
      <c r="BC76" s="65">
        <f t="shared" si="108"/>
        <v>19375.2</v>
      </c>
      <c r="BD76" s="65">
        <f t="shared" si="109"/>
        <v>19940</v>
      </c>
      <c r="BE76" s="65">
        <f t="shared" si="110"/>
        <v>19940</v>
      </c>
      <c r="BF76" s="65">
        <f t="shared" si="111"/>
        <v>19940</v>
      </c>
      <c r="BG76" s="65">
        <f t="shared" si="112"/>
        <v>19940</v>
      </c>
      <c r="BH76" s="65">
        <f t="shared" si="113"/>
        <v>19940</v>
      </c>
      <c r="BI76" s="65">
        <f t="shared" si="114"/>
        <v>19940</v>
      </c>
      <c r="BJ76" s="65">
        <f t="shared" si="115"/>
        <v>19940</v>
      </c>
      <c r="BK76" s="65">
        <f t="shared" si="116"/>
        <v>19940</v>
      </c>
      <c r="BL76" s="65">
        <f t="shared" si="117"/>
        <v>19940</v>
      </c>
      <c r="BM76" s="65">
        <f t="shared" si="118"/>
        <v>19940</v>
      </c>
      <c r="BN76" s="65">
        <f t="shared" si="119"/>
        <v>19940</v>
      </c>
      <c r="BO76" s="68"/>
    </row>
    <row r="77" spans="1:67" ht="12.75" customHeight="1">
      <c r="A77" s="560" t="s">
        <v>243</v>
      </c>
      <c r="B77" s="560" t="s">
        <v>190</v>
      </c>
      <c r="C77" s="63" t="s">
        <v>209</v>
      </c>
      <c r="D77" s="561" t="s">
        <v>95</v>
      </c>
      <c r="E77" s="69">
        <v>0.02</v>
      </c>
      <c r="F77" s="70">
        <f t="shared" si="122"/>
        <v>1.6E-2</v>
      </c>
      <c r="G77" s="71">
        <f>IFERROR(VLOOKUP($D77,ReceitaBruta,COLUMN('A4 - Previsão de Receita Bruta'!C$6)-1,0),0)</f>
        <v>0</v>
      </c>
      <c r="H77" s="71">
        <f>IFERROR(VLOOKUP($D77,ReceitaBruta,COLUMN('A4 - Previsão de Receita Bruta'!D$6)-1,0),0)</f>
        <v>2163900</v>
      </c>
      <c r="I77" s="71">
        <f>IFERROR(VLOOKUP($D77,ReceitaBruta,COLUMN('A4 - Previsão de Receita Bruta'!E$6)-1,0),0)</f>
        <v>2238550</v>
      </c>
      <c r="J77" s="71">
        <f>IFERROR(VLOOKUP($D77,ReceitaBruta,COLUMN('A4 - Previsão de Receita Bruta'!F$6)-1,0),0)</f>
        <v>2310825</v>
      </c>
      <c r="K77" s="71">
        <f>IFERROR(VLOOKUP($D77,ReceitaBruta,COLUMN('A4 - Previsão de Receita Bruta'!G$6)-1,0),0)</f>
        <v>2384275</v>
      </c>
      <c r="L77" s="71">
        <f>IFERROR(VLOOKUP($D77,ReceitaBruta,COLUMN('A4 - Previsão de Receita Bruta'!H$6)-1,0),0)</f>
        <v>2459000</v>
      </c>
      <c r="M77" s="71">
        <f>IFERROR(VLOOKUP($D77,ReceitaBruta,COLUMN('A4 - Previsão de Receita Bruta'!I$6)-1,0),0)</f>
        <v>2535850</v>
      </c>
      <c r="N77" s="71">
        <f>IFERROR(VLOOKUP($D77,ReceitaBruta,COLUMN('A4 - Previsão de Receita Bruta'!J$6)-1,0),0)</f>
        <v>2614925</v>
      </c>
      <c r="O77" s="71">
        <f>IFERROR(VLOOKUP($D77,ReceitaBruta,COLUMN('A4 - Previsão de Receita Bruta'!K$6)-1,0),0)</f>
        <v>2695450</v>
      </c>
      <c r="P77" s="71">
        <f>IFERROR(VLOOKUP($D77,ReceitaBruta,COLUMN('A4 - Previsão de Receita Bruta'!L$6)-1,0),0)</f>
        <v>2777450</v>
      </c>
      <c r="Q77" s="71">
        <f>IFERROR(VLOOKUP($D77,ReceitaBruta,COLUMN('A4 - Previsão de Receita Bruta'!M$6)-1,0),0)</f>
        <v>2862050</v>
      </c>
      <c r="R77" s="71">
        <f>IFERROR(VLOOKUP($D77,ReceitaBruta,COLUMN('A4 - Previsão de Receita Bruta'!N$6)-1,0),0)</f>
        <v>2949175</v>
      </c>
      <c r="S77" s="71">
        <f>IFERROR(VLOOKUP($D77,ReceitaBruta,COLUMN('A4 - Previsão de Receita Bruta'!O$6)-1,0),0)</f>
        <v>3039075</v>
      </c>
      <c r="T77" s="71">
        <f>IFERROR(VLOOKUP($D77,ReceitaBruta,COLUMN('A4 - Previsão de Receita Bruta'!P$6)-1,0),0)</f>
        <v>3131675</v>
      </c>
      <c r="U77" s="71">
        <f>IFERROR(VLOOKUP($D77,ReceitaBruta,COLUMN('A4 - Previsão de Receita Bruta'!Q$6)-1,0),0)</f>
        <v>3227075</v>
      </c>
      <c r="V77" s="71">
        <f>IFERROR(VLOOKUP($D77,ReceitaBruta,COLUMN('A4 - Previsão de Receita Bruta'!R$6)-1,0),0)</f>
        <v>3325100</v>
      </c>
      <c r="W77" s="71">
        <f>IFERROR(VLOOKUP($D77,ReceitaBruta,COLUMN('A4 - Previsão de Receita Bruta'!S$6)-1,0),0)</f>
        <v>3425600</v>
      </c>
      <c r="X77" s="71">
        <f>IFERROR(VLOOKUP($D77,ReceitaBruta,COLUMN('A4 - Previsão de Receita Bruta'!T$6)-1,0),0)</f>
        <v>3528250</v>
      </c>
      <c r="Y77" s="71">
        <f>IFERROR(VLOOKUP($D77,ReceitaBruta,COLUMN('A4 - Previsão de Receita Bruta'!U$6)-1,0),0)</f>
        <v>3632800</v>
      </c>
      <c r="Z77" s="71">
        <f>IFERROR(VLOOKUP($D77,ReceitaBruta,COLUMN('A4 - Previsão de Receita Bruta'!V$6)-1,0),0)</f>
        <v>3738725</v>
      </c>
      <c r="AA77" s="71">
        <f>IFERROR(VLOOKUP($D77,ReceitaBruta,COLUMN('A4 - Previsão de Receita Bruta'!W$6)-1,0),0)</f>
        <v>3738725</v>
      </c>
      <c r="AB77" s="71">
        <f>IFERROR(VLOOKUP($D77,ReceitaBruta,COLUMN('A4 - Previsão de Receita Bruta'!X$6)-1,0),0)</f>
        <v>3738725</v>
      </c>
      <c r="AC77" s="71">
        <f>IFERROR(VLOOKUP($D77,ReceitaBruta,COLUMN('A4 - Previsão de Receita Bruta'!Y$6)-1,0),0)</f>
        <v>3738725</v>
      </c>
      <c r="AD77" s="71">
        <f>IFERROR(VLOOKUP($D77,ReceitaBruta,COLUMN('A4 - Previsão de Receita Bruta'!Z$6)-1,0),0)</f>
        <v>3738725</v>
      </c>
      <c r="AE77" s="71">
        <f>IFERROR(VLOOKUP($D77,ReceitaBruta,COLUMN('A4 - Previsão de Receita Bruta'!AA$6)-1,0),0)</f>
        <v>3738725</v>
      </c>
      <c r="AF77" s="71">
        <f>IFERROR(VLOOKUP($D77,ReceitaBruta,COLUMN('A4 - Previsão de Receita Bruta'!AB$6)-1,0),0)</f>
        <v>3738725</v>
      </c>
      <c r="AG77" s="71">
        <f>IFERROR(VLOOKUP($D77,ReceitaBruta,COLUMN('A4 - Previsão de Receita Bruta'!AC$6)-1,0),0)</f>
        <v>3738725</v>
      </c>
      <c r="AH77" s="71">
        <f>IFERROR(VLOOKUP($D77,ReceitaBruta,COLUMN('A4 - Previsão de Receita Bruta'!AD$6)-1,0),0)</f>
        <v>3738725</v>
      </c>
      <c r="AI77" s="71">
        <f>IFERROR(VLOOKUP($D77,ReceitaBruta,COLUMN('A4 - Previsão de Receita Bruta'!AE$6)-1,0),0)</f>
        <v>3738725</v>
      </c>
      <c r="AJ77" s="71">
        <f>IFERROR(VLOOKUP($D77,ReceitaBruta,COLUMN('A4 - Previsão de Receita Bruta'!AF$6)-1,0),0)</f>
        <v>3738725</v>
      </c>
      <c r="AK77" s="65">
        <f t="shared" si="90"/>
        <v>0</v>
      </c>
      <c r="AL77" s="65">
        <f t="shared" si="91"/>
        <v>34622.400000000001</v>
      </c>
      <c r="AM77" s="65">
        <f t="shared" si="92"/>
        <v>35816.800000000003</v>
      </c>
      <c r="AN77" s="65">
        <f t="shared" si="93"/>
        <v>36973.200000000004</v>
      </c>
      <c r="AO77" s="65">
        <f t="shared" si="94"/>
        <v>38148.400000000001</v>
      </c>
      <c r="AP77" s="65">
        <f t="shared" si="95"/>
        <v>39344</v>
      </c>
      <c r="AQ77" s="65">
        <f t="shared" si="96"/>
        <v>40573.599999999999</v>
      </c>
      <c r="AR77" s="65">
        <f t="shared" si="97"/>
        <v>41838.800000000003</v>
      </c>
      <c r="AS77" s="65">
        <f t="shared" si="98"/>
        <v>43127.200000000004</v>
      </c>
      <c r="AT77" s="65">
        <f t="shared" si="99"/>
        <v>44439.200000000004</v>
      </c>
      <c r="AU77" s="65">
        <f t="shared" si="100"/>
        <v>45792.800000000003</v>
      </c>
      <c r="AV77" s="65">
        <f t="shared" si="101"/>
        <v>47186.8</v>
      </c>
      <c r="AW77" s="65">
        <f t="shared" si="102"/>
        <v>48625.200000000004</v>
      </c>
      <c r="AX77" s="65">
        <f t="shared" si="103"/>
        <v>50106.8</v>
      </c>
      <c r="AY77" s="65">
        <f t="shared" si="104"/>
        <v>51633.200000000004</v>
      </c>
      <c r="AZ77" s="65">
        <f t="shared" si="105"/>
        <v>53201.599999999999</v>
      </c>
      <c r="BA77" s="65">
        <f t="shared" si="106"/>
        <v>54809.599999999999</v>
      </c>
      <c r="BB77" s="65">
        <f t="shared" si="107"/>
        <v>56452</v>
      </c>
      <c r="BC77" s="65">
        <f t="shared" si="108"/>
        <v>58124.800000000003</v>
      </c>
      <c r="BD77" s="65">
        <f t="shared" si="109"/>
        <v>59819.6</v>
      </c>
      <c r="BE77" s="65">
        <f t="shared" si="110"/>
        <v>59819.6</v>
      </c>
      <c r="BF77" s="65">
        <f t="shared" si="111"/>
        <v>59819.6</v>
      </c>
      <c r="BG77" s="65">
        <f t="shared" si="112"/>
        <v>59819.6</v>
      </c>
      <c r="BH77" s="65">
        <f t="shared" si="113"/>
        <v>59819.6</v>
      </c>
      <c r="BI77" s="65">
        <f t="shared" si="114"/>
        <v>59819.6</v>
      </c>
      <c r="BJ77" s="65">
        <f t="shared" si="115"/>
        <v>59819.6</v>
      </c>
      <c r="BK77" s="65">
        <f t="shared" si="116"/>
        <v>59819.6</v>
      </c>
      <c r="BL77" s="65">
        <f t="shared" si="117"/>
        <v>59819.6</v>
      </c>
      <c r="BM77" s="65">
        <f t="shared" si="118"/>
        <v>59819.6</v>
      </c>
      <c r="BN77" s="65">
        <f t="shared" si="119"/>
        <v>59819.6</v>
      </c>
      <c r="BO77" s="66"/>
    </row>
    <row r="78" spans="1:67" ht="12.75" customHeight="1">
      <c r="A78" s="560" t="s">
        <v>243</v>
      </c>
      <c r="B78" s="560" t="s">
        <v>190</v>
      </c>
      <c r="C78" s="63" t="s">
        <v>209</v>
      </c>
      <c r="D78" s="561" t="s">
        <v>96</v>
      </c>
      <c r="E78" s="69">
        <v>0.02</v>
      </c>
      <c r="F78" s="70">
        <f t="shared" si="122"/>
        <v>1.6E-2</v>
      </c>
      <c r="G78" s="71">
        <f>IFERROR(VLOOKUP($D78,ReceitaBruta,COLUMN('A4 - Previsão de Receita Bruta'!C$6)-1,0),0)</f>
        <v>0</v>
      </c>
      <c r="H78" s="71">
        <f>IFERROR(VLOOKUP($D78,ReceitaBruta,COLUMN('A4 - Previsão de Receita Bruta'!D$6)-1,0),0)</f>
        <v>721300</v>
      </c>
      <c r="I78" s="71">
        <f>IFERROR(VLOOKUP($D78,ReceitaBruta,COLUMN('A4 - Previsão de Receita Bruta'!E$6)-1,0),0)</f>
        <v>746200</v>
      </c>
      <c r="J78" s="71">
        <f>IFERROR(VLOOKUP($D78,ReceitaBruta,COLUMN('A4 - Previsão de Receita Bruta'!F$6)-1,0),0)</f>
        <v>770300</v>
      </c>
      <c r="K78" s="71">
        <f>IFERROR(VLOOKUP($D78,ReceitaBruta,COLUMN('A4 - Previsão de Receita Bruta'!G$6)-1,0),0)</f>
        <v>794750</v>
      </c>
      <c r="L78" s="71">
        <f>IFERROR(VLOOKUP($D78,ReceitaBruta,COLUMN('A4 - Previsão de Receita Bruta'!H$6)-1,0),0)</f>
        <v>819650</v>
      </c>
      <c r="M78" s="71">
        <f>IFERROR(VLOOKUP($D78,ReceitaBruta,COLUMN('A4 - Previsão de Receita Bruta'!I$6)-1,0),0)</f>
        <v>845300</v>
      </c>
      <c r="N78" s="71">
        <f>IFERROR(VLOOKUP($D78,ReceitaBruta,COLUMN('A4 - Previsão de Receita Bruta'!J$6)-1,0),0)</f>
        <v>871650</v>
      </c>
      <c r="O78" s="71">
        <f>IFERROR(VLOOKUP($D78,ReceitaBruta,COLUMN('A4 - Previsão de Receita Bruta'!K$6)-1,0),0)</f>
        <v>898500</v>
      </c>
      <c r="P78" s="71">
        <f>IFERROR(VLOOKUP($D78,ReceitaBruta,COLUMN('A4 - Previsão de Receita Bruta'!L$6)-1,0),0)</f>
        <v>925800</v>
      </c>
      <c r="Q78" s="71">
        <f>IFERROR(VLOOKUP($D78,ReceitaBruta,COLUMN('A4 - Previsão de Receita Bruta'!M$6)-1,0),0)</f>
        <v>954000</v>
      </c>
      <c r="R78" s="71">
        <f>IFERROR(VLOOKUP($D78,ReceitaBruta,COLUMN('A4 - Previsão de Receita Bruta'!N$6)-1,0),0)</f>
        <v>983050</v>
      </c>
      <c r="S78" s="71">
        <f>IFERROR(VLOOKUP($D78,ReceitaBruta,COLUMN('A4 - Previsão de Receita Bruta'!O$6)-1,0),0)</f>
        <v>1013000</v>
      </c>
      <c r="T78" s="71">
        <f>IFERROR(VLOOKUP($D78,ReceitaBruta,COLUMN('A4 - Previsão de Receita Bruta'!P$6)-1,0),0)</f>
        <v>1043900</v>
      </c>
      <c r="U78" s="71">
        <f>IFERROR(VLOOKUP($D78,ReceitaBruta,COLUMN('A4 - Previsão de Receita Bruta'!Q$6)-1,0),0)</f>
        <v>1075700</v>
      </c>
      <c r="V78" s="71">
        <f>IFERROR(VLOOKUP($D78,ReceitaBruta,COLUMN('A4 - Previsão de Receita Bruta'!R$6)-1,0),0)</f>
        <v>1108350</v>
      </c>
      <c r="W78" s="71">
        <f>IFERROR(VLOOKUP($D78,ReceitaBruta,COLUMN('A4 - Previsão de Receita Bruta'!S$6)-1,0),0)</f>
        <v>1141850</v>
      </c>
      <c r="X78" s="71">
        <f>IFERROR(VLOOKUP($D78,ReceitaBruta,COLUMN('A4 - Previsão de Receita Bruta'!T$6)-1,0),0)</f>
        <v>1176100</v>
      </c>
      <c r="Y78" s="71">
        <f>IFERROR(VLOOKUP($D78,ReceitaBruta,COLUMN('A4 - Previsão de Receita Bruta'!U$6)-1,0),0)</f>
        <v>1210950</v>
      </c>
      <c r="Z78" s="71">
        <f>IFERROR(VLOOKUP($D78,ReceitaBruta,COLUMN('A4 - Previsão de Receita Bruta'!V$6)-1,0),0)</f>
        <v>1246250</v>
      </c>
      <c r="AA78" s="71">
        <f>IFERROR(VLOOKUP($D78,ReceitaBruta,COLUMN('A4 - Previsão de Receita Bruta'!W$6)-1,0),0)</f>
        <v>1246250</v>
      </c>
      <c r="AB78" s="71">
        <f>IFERROR(VLOOKUP($D78,ReceitaBruta,COLUMN('A4 - Previsão de Receita Bruta'!X$6)-1,0),0)</f>
        <v>1246250</v>
      </c>
      <c r="AC78" s="71">
        <f>IFERROR(VLOOKUP($D78,ReceitaBruta,COLUMN('A4 - Previsão de Receita Bruta'!Y$6)-1,0),0)</f>
        <v>1246250</v>
      </c>
      <c r="AD78" s="71">
        <f>IFERROR(VLOOKUP($D78,ReceitaBruta,COLUMN('A4 - Previsão de Receita Bruta'!Z$6)-1,0),0)</f>
        <v>1246250</v>
      </c>
      <c r="AE78" s="71">
        <f>IFERROR(VLOOKUP($D78,ReceitaBruta,COLUMN('A4 - Previsão de Receita Bruta'!AA$6)-1,0),0)</f>
        <v>1246250</v>
      </c>
      <c r="AF78" s="71">
        <f>IFERROR(VLOOKUP($D78,ReceitaBruta,COLUMN('A4 - Previsão de Receita Bruta'!AB$6)-1,0),0)</f>
        <v>1246250</v>
      </c>
      <c r="AG78" s="71">
        <f>IFERROR(VLOOKUP($D78,ReceitaBruta,COLUMN('A4 - Previsão de Receita Bruta'!AC$6)-1,0),0)</f>
        <v>1246250</v>
      </c>
      <c r="AH78" s="71">
        <f>IFERROR(VLOOKUP($D78,ReceitaBruta,COLUMN('A4 - Previsão de Receita Bruta'!AD$6)-1,0),0)</f>
        <v>1246250</v>
      </c>
      <c r="AI78" s="71">
        <f>IFERROR(VLOOKUP($D78,ReceitaBruta,COLUMN('A4 - Previsão de Receita Bruta'!AE$6)-1,0),0)</f>
        <v>1246250</v>
      </c>
      <c r="AJ78" s="71">
        <f>IFERROR(VLOOKUP($D78,ReceitaBruta,COLUMN('A4 - Previsão de Receita Bruta'!AF$6)-1,0),0)</f>
        <v>1246250</v>
      </c>
      <c r="AK78" s="65">
        <f t="shared" si="90"/>
        <v>0</v>
      </c>
      <c r="AL78" s="65">
        <f t="shared" si="91"/>
        <v>11540.800000000001</v>
      </c>
      <c r="AM78" s="65">
        <f t="shared" si="92"/>
        <v>11939.2</v>
      </c>
      <c r="AN78" s="65">
        <f t="shared" si="93"/>
        <v>12324.800000000001</v>
      </c>
      <c r="AO78" s="65">
        <f t="shared" si="94"/>
        <v>12716</v>
      </c>
      <c r="AP78" s="65">
        <f t="shared" si="95"/>
        <v>13114.4</v>
      </c>
      <c r="AQ78" s="65">
        <f t="shared" si="96"/>
        <v>13524.800000000001</v>
      </c>
      <c r="AR78" s="65">
        <f t="shared" si="97"/>
        <v>13946.4</v>
      </c>
      <c r="AS78" s="65">
        <f t="shared" si="98"/>
        <v>14376</v>
      </c>
      <c r="AT78" s="65">
        <f t="shared" si="99"/>
        <v>14812.800000000001</v>
      </c>
      <c r="AU78" s="65">
        <f t="shared" si="100"/>
        <v>15264</v>
      </c>
      <c r="AV78" s="65">
        <f t="shared" si="101"/>
        <v>15728.800000000001</v>
      </c>
      <c r="AW78" s="65">
        <f t="shared" si="102"/>
        <v>16208</v>
      </c>
      <c r="AX78" s="65">
        <f t="shared" si="103"/>
        <v>16702.400000000001</v>
      </c>
      <c r="AY78" s="65">
        <f t="shared" si="104"/>
        <v>17211.2</v>
      </c>
      <c r="AZ78" s="65">
        <f t="shared" si="105"/>
        <v>17733.600000000002</v>
      </c>
      <c r="BA78" s="65">
        <f t="shared" si="106"/>
        <v>18269.600000000002</v>
      </c>
      <c r="BB78" s="65">
        <f t="shared" si="107"/>
        <v>18817.600000000002</v>
      </c>
      <c r="BC78" s="65">
        <f t="shared" si="108"/>
        <v>19375.2</v>
      </c>
      <c r="BD78" s="65">
        <f t="shared" si="109"/>
        <v>19940</v>
      </c>
      <c r="BE78" s="65">
        <f t="shared" si="110"/>
        <v>19940</v>
      </c>
      <c r="BF78" s="65">
        <f t="shared" si="111"/>
        <v>19940</v>
      </c>
      <c r="BG78" s="65">
        <f t="shared" si="112"/>
        <v>19940</v>
      </c>
      <c r="BH78" s="65">
        <f t="shared" si="113"/>
        <v>19940</v>
      </c>
      <c r="BI78" s="65">
        <f t="shared" si="114"/>
        <v>19940</v>
      </c>
      <c r="BJ78" s="65">
        <f t="shared" si="115"/>
        <v>19940</v>
      </c>
      <c r="BK78" s="65">
        <f t="shared" si="116"/>
        <v>19940</v>
      </c>
      <c r="BL78" s="65">
        <f t="shared" si="117"/>
        <v>19940</v>
      </c>
      <c r="BM78" s="65">
        <f t="shared" si="118"/>
        <v>19940</v>
      </c>
      <c r="BN78" s="65">
        <f t="shared" si="119"/>
        <v>19940</v>
      </c>
      <c r="BO78" s="66"/>
    </row>
    <row r="79" spans="1:67" ht="12.75" customHeight="1">
      <c r="A79" s="560" t="s">
        <v>243</v>
      </c>
      <c r="B79" s="560" t="s">
        <v>190</v>
      </c>
      <c r="C79" s="63" t="s">
        <v>209</v>
      </c>
      <c r="D79" s="561"/>
      <c r="E79" s="69">
        <v>0.02</v>
      </c>
      <c r="F79" s="70">
        <f t="shared" si="122"/>
        <v>1.6E-2</v>
      </c>
      <c r="G79" s="71">
        <f>IFERROR(VLOOKUP($D79,ReceitaBruta,COLUMN('A4 - Previsão de Receita Bruta'!C$6)-1,0),0)</f>
        <v>0</v>
      </c>
      <c r="H79" s="71">
        <f>IFERROR(VLOOKUP($D79,ReceitaBruta,COLUMN('A4 - Previsão de Receita Bruta'!D$6)-1,0),0)</f>
        <v>0</v>
      </c>
      <c r="I79" s="71">
        <f>IFERROR(VLOOKUP($D79,ReceitaBruta,COLUMN('A4 - Previsão de Receita Bruta'!E$6)-1,0),0)</f>
        <v>0</v>
      </c>
      <c r="J79" s="71">
        <f>IFERROR(VLOOKUP($D79,ReceitaBruta,COLUMN('A4 - Previsão de Receita Bruta'!F$6)-1,0),0)</f>
        <v>0</v>
      </c>
      <c r="K79" s="71">
        <f>IFERROR(VLOOKUP($D79,ReceitaBruta,COLUMN('A4 - Previsão de Receita Bruta'!G$6)-1,0),0)</f>
        <v>0</v>
      </c>
      <c r="L79" s="71">
        <f>IFERROR(VLOOKUP($D79,ReceitaBruta,COLUMN('A4 - Previsão de Receita Bruta'!H$6)-1,0),0)</f>
        <v>0</v>
      </c>
      <c r="M79" s="71">
        <f>IFERROR(VLOOKUP($D79,ReceitaBruta,COLUMN('A4 - Previsão de Receita Bruta'!I$6)-1,0),0)</f>
        <v>0</v>
      </c>
      <c r="N79" s="71">
        <f>IFERROR(VLOOKUP($D79,ReceitaBruta,COLUMN('A4 - Previsão de Receita Bruta'!J$6)-1,0),0)</f>
        <v>0</v>
      </c>
      <c r="O79" s="71">
        <f>IFERROR(VLOOKUP($D79,ReceitaBruta,COLUMN('A4 - Previsão de Receita Bruta'!K$6)-1,0),0)</f>
        <v>0</v>
      </c>
      <c r="P79" s="71">
        <f>IFERROR(VLOOKUP($D79,ReceitaBruta,COLUMN('A4 - Previsão de Receita Bruta'!L$6)-1,0),0)</f>
        <v>0</v>
      </c>
      <c r="Q79" s="71">
        <f>IFERROR(VLOOKUP($D79,ReceitaBruta,COLUMN('A4 - Previsão de Receita Bruta'!M$6)-1,0),0)</f>
        <v>0</v>
      </c>
      <c r="R79" s="71">
        <f>IFERROR(VLOOKUP($D79,ReceitaBruta,COLUMN('A4 - Previsão de Receita Bruta'!N$6)-1,0),0)</f>
        <v>0</v>
      </c>
      <c r="S79" s="71">
        <f>IFERROR(VLOOKUP($D79,ReceitaBruta,COLUMN('A4 - Previsão de Receita Bruta'!O$6)-1,0),0)</f>
        <v>0</v>
      </c>
      <c r="T79" s="71">
        <f>IFERROR(VLOOKUP($D79,ReceitaBruta,COLUMN('A4 - Previsão de Receita Bruta'!P$6)-1,0),0)</f>
        <v>0</v>
      </c>
      <c r="U79" s="71">
        <f>IFERROR(VLOOKUP($D79,ReceitaBruta,COLUMN('A4 - Previsão de Receita Bruta'!Q$6)-1,0),0)</f>
        <v>0</v>
      </c>
      <c r="V79" s="71">
        <f>IFERROR(VLOOKUP($D79,ReceitaBruta,COLUMN('A4 - Previsão de Receita Bruta'!R$6)-1,0),0)</f>
        <v>0</v>
      </c>
      <c r="W79" s="71">
        <f>IFERROR(VLOOKUP($D79,ReceitaBruta,COLUMN('A4 - Previsão de Receita Bruta'!S$6)-1,0),0)</f>
        <v>0</v>
      </c>
      <c r="X79" s="71">
        <f>IFERROR(VLOOKUP($D79,ReceitaBruta,COLUMN('A4 - Previsão de Receita Bruta'!T$6)-1,0),0)</f>
        <v>0</v>
      </c>
      <c r="Y79" s="71">
        <f>IFERROR(VLOOKUP($D79,ReceitaBruta,COLUMN('A4 - Previsão de Receita Bruta'!U$6)-1,0),0)</f>
        <v>0</v>
      </c>
      <c r="Z79" s="71">
        <f>IFERROR(VLOOKUP($D79,ReceitaBruta,COLUMN('A4 - Previsão de Receita Bruta'!V$6)-1,0),0)</f>
        <v>0</v>
      </c>
      <c r="AA79" s="71">
        <f>IFERROR(VLOOKUP($D79,ReceitaBruta,COLUMN('A4 - Previsão de Receita Bruta'!W$6)-1,0),0)</f>
        <v>0</v>
      </c>
      <c r="AB79" s="71">
        <f>IFERROR(VLOOKUP($D79,ReceitaBruta,COLUMN('A4 - Previsão de Receita Bruta'!X$6)-1,0),0)</f>
        <v>0</v>
      </c>
      <c r="AC79" s="71">
        <f>IFERROR(VLOOKUP($D79,ReceitaBruta,COLUMN('A4 - Previsão de Receita Bruta'!Y$6)-1,0),0)</f>
        <v>0</v>
      </c>
      <c r="AD79" s="71">
        <f>IFERROR(VLOOKUP($D79,ReceitaBruta,COLUMN('A4 - Previsão de Receita Bruta'!Z$6)-1,0),0)</f>
        <v>0</v>
      </c>
      <c r="AE79" s="71">
        <f>IFERROR(VLOOKUP($D79,ReceitaBruta,COLUMN('A4 - Previsão de Receita Bruta'!AA$6)-1,0),0)</f>
        <v>0</v>
      </c>
      <c r="AF79" s="71">
        <f>IFERROR(VLOOKUP($D79,ReceitaBruta,COLUMN('A4 - Previsão de Receita Bruta'!AB$6)-1,0),0)</f>
        <v>0</v>
      </c>
      <c r="AG79" s="71">
        <f>IFERROR(VLOOKUP($D79,ReceitaBruta,COLUMN('A4 - Previsão de Receita Bruta'!AC$6)-1,0),0)</f>
        <v>0</v>
      </c>
      <c r="AH79" s="71">
        <f>IFERROR(VLOOKUP($D79,ReceitaBruta,COLUMN('A4 - Previsão de Receita Bruta'!AD$6)-1,0),0)</f>
        <v>0</v>
      </c>
      <c r="AI79" s="71">
        <f>IFERROR(VLOOKUP($D79,ReceitaBruta,COLUMN('A4 - Previsão de Receita Bruta'!AE$6)-1,0),0)</f>
        <v>0</v>
      </c>
      <c r="AJ79" s="71">
        <f>IFERROR(VLOOKUP($D79,ReceitaBruta,COLUMN('A4 - Previsão de Receita Bruta'!AF$6)-1,0),0)</f>
        <v>0</v>
      </c>
      <c r="AK79" s="65">
        <f t="shared" si="90"/>
        <v>0</v>
      </c>
      <c r="AL79" s="65">
        <f t="shared" si="91"/>
        <v>0</v>
      </c>
      <c r="AM79" s="65">
        <f t="shared" si="92"/>
        <v>0</v>
      </c>
      <c r="AN79" s="65">
        <f t="shared" si="93"/>
        <v>0</v>
      </c>
      <c r="AO79" s="65">
        <f t="shared" si="94"/>
        <v>0</v>
      </c>
      <c r="AP79" s="65">
        <f t="shared" si="95"/>
        <v>0</v>
      </c>
      <c r="AQ79" s="65">
        <f t="shared" si="96"/>
        <v>0</v>
      </c>
      <c r="AR79" s="65">
        <f t="shared" si="97"/>
        <v>0</v>
      </c>
      <c r="AS79" s="65">
        <f t="shared" si="98"/>
        <v>0</v>
      </c>
      <c r="AT79" s="65">
        <f t="shared" si="99"/>
        <v>0</v>
      </c>
      <c r="AU79" s="65">
        <f t="shared" si="100"/>
        <v>0</v>
      </c>
      <c r="AV79" s="65">
        <f t="shared" si="101"/>
        <v>0</v>
      </c>
      <c r="AW79" s="65">
        <f t="shared" si="102"/>
        <v>0</v>
      </c>
      <c r="AX79" s="65">
        <f t="shared" si="103"/>
        <v>0</v>
      </c>
      <c r="AY79" s="65">
        <f t="shared" si="104"/>
        <v>0</v>
      </c>
      <c r="AZ79" s="65">
        <f t="shared" si="105"/>
        <v>0</v>
      </c>
      <c r="BA79" s="65">
        <f t="shared" si="106"/>
        <v>0</v>
      </c>
      <c r="BB79" s="65">
        <f t="shared" si="107"/>
        <v>0</v>
      </c>
      <c r="BC79" s="65">
        <f t="shared" si="108"/>
        <v>0</v>
      </c>
      <c r="BD79" s="65">
        <f t="shared" si="109"/>
        <v>0</v>
      </c>
      <c r="BE79" s="65">
        <f t="shared" si="110"/>
        <v>0</v>
      </c>
      <c r="BF79" s="65">
        <f t="shared" si="111"/>
        <v>0</v>
      </c>
      <c r="BG79" s="65">
        <f t="shared" si="112"/>
        <v>0</v>
      </c>
      <c r="BH79" s="65">
        <f t="shared" si="113"/>
        <v>0</v>
      </c>
      <c r="BI79" s="65">
        <f t="shared" si="114"/>
        <v>0</v>
      </c>
      <c r="BJ79" s="65">
        <f t="shared" si="115"/>
        <v>0</v>
      </c>
      <c r="BK79" s="65">
        <f t="shared" si="116"/>
        <v>0</v>
      </c>
      <c r="BL79" s="65">
        <f t="shared" si="117"/>
        <v>0</v>
      </c>
      <c r="BM79" s="65">
        <f t="shared" si="118"/>
        <v>0</v>
      </c>
      <c r="BN79" s="65">
        <f t="shared" si="119"/>
        <v>0</v>
      </c>
      <c r="BO79" s="66"/>
    </row>
    <row r="80" spans="1:67" ht="12.75" customHeight="1">
      <c r="A80" s="560" t="s">
        <v>243</v>
      </c>
      <c r="B80" s="560" t="s">
        <v>190</v>
      </c>
      <c r="C80" s="63" t="s">
        <v>209</v>
      </c>
      <c r="D80" s="561" t="s">
        <v>100</v>
      </c>
      <c r="E80" s="69">
        <v>0.02</v>
      </c>
      <c r="F80" s="70">
        <f t="shared" si="122"/>
        <v>1.6E-2</v>
      </c>
      <c r="G80" s="71">
        <f>IFERROR(VLOOKUP($D80,ReceitaBruta,COLUMN('A4 - Previsão de Receita Bruta'!C$6)-1,0),0)</f>
        <v>0</v>
      </c>
      <c r="H80" s="71">
        <f>IFERROR(VLOOKUP($D80,ReceitaBruta,COLUMN('A4 - Previsão de Receita Bruta'!D$6)-1,0),0)</f>
        <v>540975</v>
      </c>
      <c r="I80" s="71">
        <f>IFERROR(VLOOKUP($D80,ReceitaBruta,COLUMN('A4 - Previsão de Receita Bruta'!E$6)-1,0),0)</f>
        <v>559625</v>
      </c>
      <c r="J80" s="71">
        <f>IFERROR(VLOOKUP($D80,ReceitaBruta,COLUMN('A4 - Previsão de Receita Bruta'!F$6)-1,0),0)</f>
        <v>577700</v>
      </c>
      <c r="K80" s="71">
        <f>IFERROR(VLOOKUP($D80,ReceitaBruta,COLUMN('A4 - Previsão de Receita Bruta'!G$6)-1,0),0)</f>
        <v>596075</v>
      </c>
      <c r="L80" s="71">
        <f>IFERROR(VLOOKUP($D80,ReceitaBruta,COLUMN('A4 - Previsão de Receita Bruta'!H$6)-1,0),0)</f>
        <v>614750</v>
      </c>
      <c r="M80" s="71">
        <f>IFERROR(VLOOKUP($D80,ReceitaBruta,COLUMN('A4 - Previsão de Receita Bruta'!I$6)-1,0),0)</f>
        <v>633950</v>
      </c>
      <c r="N80" s="71">
        <f>IFERROR(VLOOKUP($D80,ReceitaBruta,COLUMN('A4 - Previsão de Receita Bruta'!J$6)-1,0),0)</f>
        <v>653725</v>
      </c>
      <c r="O80" s="71">
        <f>IFERROR(VLOOKUP($D80,ReceitaBruta,COLUMN('A4 - Previsão de Receita Bruta'!K$6)-1,0),0)</f>
        <v>673850</v>
      </c>
      <c r="P80" s="71">
        <f>IFERROR(VLOOKUP($D80,ReceitaBruta,COLUMN('A4 - Previsão de Receita Bruta'!L$6)-1,0),0)</f>
        <v>694375</v>
      </c>
      <c r="Q80" s="71">
        <f>IFERROR(VLOOKUP($D80,ReceitaBruta,COLUMN('A4 - Previsão de Receita Bruta'!M$6)-1,0),0)</f>
        <v>715500</v>
      </c>
      <c r="R80" s="71">
        <f>IFERROR(VLOOKUP($D80,ReceitaBruta,COLUMN('A4 - Previsão de Receita Bruta'!N$6)-1,0),0)</f>
        <v>737300</v>
      </c>
      <c r="S80" s="71">
        <f>IFERROR(VLOOKUP($D80,ReceitaBruta,COLUMN('A4 - Previsão de Receita Bruta'!O$6)-1,0),0)</f>
        <v>759775</v>
      </c>
      <c r="T80" s="71">
        <f>IFERROR(VLOOKUP($D80,ReceitaBruta,COLUMN('A4 - Previsão de Receita Bruta'!P$6)-1,0),0)</f>
        <v>782925</v>
      </c>
      <c r="U80" s="71">
        <f>IFERROR(VLOOKUP($D80,ReceitaBruta,COLUMN('A4 - Previsão de Receita Bruta'!Q$6)-1,0),0)</f>
        <v>806775</v>
      </c>
      <c r="V80" s="71">
        <f>IFERROR(VLOOKUP($D80,ReceitaBruta,COLUMN('A4 - Previsão de Receita Bruta'!R$6)-1,0),0)</f>
        <v>831275</v>
      </c>
      <c r="W80" s="71">
        <f>IFERROR(VLOOKUP($D80,ReceitaBruta,COLUMN('A4 - Previsão de Receita Bruta'!S$6)-1,0),0)</f>
        <v>856400</v>
      </c>
      <c r="X80" s="71">
        <f>IFERROR(VLOOKUP($D80,ReceitaBruta,COLUMN('A4 - Previsão de Receita Bruta'!T$6)-1,0),0)</f>
        <v>882075</v>
      </c>
      <c r="Y80" s="71">
        <f>IFERROR(VLOOKUP($D80,ReceitaBruta,COLUMN('A4 - Previsão de Receita Bruta'!U$6)-1,0),0)</f>
        <v>908200</v>
      </c>
      <c r="Z80" s="71">
        <f>IFERROR(VLOOKUP($D80,ReceitaBruta,COLUMN('A4 - Previsão de Receita Bruta'!V$6)-1,0),0)</f>
        <v>934675</v>
      </c>
      <c r="AA80" s="71">
        <f>IFERROR(VLOOKUP($D80,ReceitaBruta,COLUMN('A4 - Previsão de Receita Bruta'!W$6)-1,0),0)</f>
        <v>934675</v>
      </c>
      <c r="AB80" s="71">
        <f>IFERROR(VLOOKUP($D80,ReceitaBruta,COLUMN('A4 - Previsão de Receita Bruta'!X$6)-1,0),0)</f>
        <v>934675</v>
      </c>
      <c r="AC80" s="71">
        <f>IFERROR(VLOOKUP($D80,ReceitaBruta,COLUMN('A4 - Previsão de Receita Bruta'!Y$6)-1,0),0)</f>
        <v>934675</v>
      </c>
      <c r="AD80" s="71">
        <f>IFERROR(VLOOKUP($D80,ReceitaBruta,COLUMN('A4 - Previsão de Receita Bruta'!Z$6)-1,0),0)</f>
        <v>934675</v>
      </c>
      <c r="AE80" s="71">
        <f>IFERROR(VLOOKUP($D80,ReceitaBruta,COLUMN('A4 - Previsão de Receita Bruta'!AA$6)-1,0),0)</f>
        <v>934675</v>
      </c>
      <c r="AF80" s="71">
        <f>IFERROR(VLOOKUP($D80,ReceitaBruta,COLUMN('A4 - Previsão de Receita Bruta'!AB$6)-1,0),0)</f>
        <v>934675</v>
      </c>
      <c r="AG80" s="71">
        <f>IFERROR(VLOOKUP($D80,ReceitaBruta,COLUMN('A4 - Previsão de Receita Bruta'!AC$6)-1,0),0)</f>
        <v>934675</v>
      </c>
      <c r="AH80" s="71">
        <f>IFERROR(VLOOKUP($D80,ReceitaBruta,COLUMN('A4 - Previsão de Receita Bruta'!AD$6)-1,0),0)</f>
        <v>934675</v>
      </c>
      <c r="AI80" s="71">
        <f>IFERROR(VLOOKUP($D80,ReceitaBruta,COLUMN('A4 - Previsão de Receita Bruta'!AE$6)-1,0),0)</f>
        <v>934675</v>
      </c>
      <c r="AJ80" s="71">
        <f>IFERROR(VLOOKUP($D80,ReceitaBruta,COLUMN('A4 - Previsão de Receita Bruta'!AF$6)-1,0),0)</f>
        <v>934675</v>
      </c>
      <c r="AK80" s="65">
        <f t="shared" si="90"/>
        <v>0</v>
      </c>
      <c r="AL80" s="65">
        <f t="shared" si="91"/>
        <v>8655.6</v>
      </c>
      <c r="AM80" s="65">
        <f t="shared" si="92"/>
        <v>8954</v>
      </c>
      <c r="AN80" s="65">
        <f t="shared" si="93"/>
        <v>9243.2000000000007</v>
      </c>
      <c r="AO80" s="65">
        <f t="shared" si="94"/>
        <v>9537.2000000000007</v>
      </c>
      <c r="AP80" s="65">
        <f t="shared" si="95"/>
        <v>9836</v>
      </c>
      <c r="AQ80" s="65">
        <f t="shared" si="96"/>
        <v>10143.200000000001</v>
      </c>
      <c r="AR80" s="65">
        <f t="shared" si="97"/>
        <v>10459.6</v>
      </c>
      <c r="AS80" s="65">
        <f t="shared" si="98"/>
        <v>10781.6</v>
      </c>
      <c r="AT80" s="65">
        <f t="shared" si="99"/>
        <v>11110</v>
      </c>
      <c r="AU80" s="65">
        <f t="shared" si="100"/>
        <v>11448</v>
      </c>
      <c r="AV80" s="65">
        <f t="shared" si="101"/>
        <v>11796.800000000001</v>
      </c>
      <c r="AW80" s="65">
        <f t="shared" si="102"/>
        <v>12156.4</v>
      </c>
      <c r="AX80" s="65">
        <f t="shared" si="103"/>
        <v>12526.800000000001</v>
      </c>
      <c r="AY80" s="65">
        <f t="shared" si="104"/>
        <v>12908.4</v>
      </c>
      <c r="AZ80" s="65">
        <f t="shared" si="105"/>
        <v>13300.4</v>
      </c>
      <c r="BA80" s="65">
        <f t="shared" si="106"/>
        <v>13702.4</v>
      </c>
      <c r="BB80" s="65">
        <f t="shared" si="107"/>
        <v>14113.2</v>
      </c>
      <c r="BC80" s="65">
        <f t="shared" si="108"/>
        <v>14531.2</v>
      </c>
      <c r="BD80" s="65">
        <f t="shared" si="109"/>
        <v>14954.800000000001</v>
      </c>
      <c r="BE80" s="65">
        <f t="shared" si="110"/>
        <v>14954.800000000001</v>
      </c>
      <c r="BF80" s="65">
        <f t="shared" si="111"/>
        <v>14954.800000000001</v>
      </c>
      <c r="BG80" s="65">
        <f t="shared" si="112"/>
        <v>14954.800000000001</v>
      </c>
      <c r="BH80" s="65">
        <f t="shared" si="113"/>
        <v>14954.800000000001</v>
      </c>
      <c r="BI80" s="65">
        <f t="shared" si="114"/>
        <v>14954.800000000001</v>
      </c>
      <c r="BJ80" s="65">
        <f t="shared" si="115"/>
        <v>14954.800000000001</v>
      </c>
      <c r="BK80" s="65">
        <f t="shared" si="116"/>
        <v>14954.800000000001</v>
      </c>
      <c r="BL80" s="65">
        <f t="shared" si="117"/>
        <v>14954.800000000001</v>
      </c>
      <c r="BM80" s="65">
        <f t="shared" si="118"/>
        <v>14954.800000000001</v>
      </c>
      <c r="BN80" s="65">
        <f t="shared" si="119"/>
        <v>14954.800000000001</v>
      </c>
      <c r="BO80" s="66"/>
    </row>
    <row r="81" spans="1:67" ht="12.75" customHeight="1">
      <c r="A81" s="560" t="s">
        <v>243</v>
      </c>
      <c r="B81" s="560" t="s">
        <v>190</v>
      </c>
      <c r="C81" s="63" t="s">
        <v>209</v>
      </c>
      <c r="D81" s="561" t="s">
        <v>101</v>
      </c>
      <c r="E81" s="69">
        <v>0.02</v>
      </c>
      <c r="F81" s="70">
        <f t="shared" si="122"/>
        <v>1.6E-2</v>
      </c>
      <c r="G81" s="71">
        <f>IFERROR(VLOOKUP($D81,ReceitaBruta,COLUMN('A4 - Previsão de Receita Bruta'!C$6)-1,0),0)</f>
        <v>0</v>
      </c>
      <c r="H81" s="71">
        <f>IFERROR(VLOOKUP($D81,ReceitaBruta,COLUMN('A4 - Previsão de Receita Bruta'!D$6)-1,0),0)</f>
        <v>0</v>
      </c>
      <c r="I81" s="71">
        <f>IFERROR(VLOOKUP($D81,ReceitaBruta,COLUMN('A4 - Previsão de Receita Bruta'!E$6)-1,0),0)</f>
        <v>0</v>
      </c>
      <c r="J81" s="71">
        <f>IFERROR(VLOOKUP($D81,ReceitaBruta,COLUMN('A4 - Previsão de Receita Bruta'!F$6)-1,0),0)</f>
        <v>0</v>
      </c>
      <c r="K81" s="71">
        <f>IFERROR(VLOOKUP($D81,ReceitaBruta,COLUMN('A4 - Previsão de Receita Bruta'!G$6)-1,0),0)</f>
        <v>0</v>
      </c>
      <c r="L81" s="71">
        <f>IFERROR(VLOOKUP($D81,ReceitaBruta,COLUMN('A4 - Previsão de Receita Bruta'!H$6)-1,0),0)</f>
        <v>0</v>
      </c>
      <c r="M81" s="71">
        <f>IFERROR(VLOOKUP($D81,ReceitaBruta,COLUMN('A4 - Previsão de Receita Bruta'!I$6)-1,0),0)</f>
        <v>0</v>
      </c>
      <c r="N81" s="71">
        <f>IFERROR(VLOOKUP($D81,ReceitaBruta,COLUMN('A4 - Previsão de Receita Bruta'!J$6)-1,0),0)</f>
        <v>0</v>
      </c>
      <c r="O81" s="71">
        <f>IFERROR(VLOOKUP($D81,ReceitaBruta,COLUMN('A4 - Previsão de Receita Bruta'!K$6)-1,0),0)</f>
        <v>0</v>
      </c>
      <c r="P81" s="71">
        <f>IFERROR(VLOOKUP($D81,ReceitaBruta,COLUMN('A4 - Previsão de Receita Bruta'!L$6)-1,0),0)</f>
        <v>0</v>
      </c>
      <c r="Q81" s="71">
        <f>IFERROR(VLOOKUP($D81,ReceitaBruta,COLUMN('A4 - Previsão de Receita Bruta'!M$6)-1,0),0)</f>
        <v>0</v>
      </c>
      <c r="R81" s="71">
        <f>IFERROR(VLOOKUP($D81,ReceitaBruta,COLUMN('A4 - Previsão de Receita Bruta'!N$6)-1,0),0)</f>
        <v>0</v>
      </c>
      <c r="S81" s="71">
        <f>IFERROR(VLOOKUP($D81,ReceitaBruta,COLUMN('A4 - Previsão de Receita Bruta'!O$6)-1,0),0)</f>
        <v>0</v>
      </c>
      <c r="T81" s="71">
        <f>IFERROR(VLOOKUP($D81,ReceitaBruta,COLUMN('A4 - Previsão de Receita Bruta'!P$6)-1,0),0)</f>
        <v>0</v>
      </c>
      <c r="U81" s="71">
        <f>IFERROR(VLOOKUP($D81,ReceitaBruta,COLUMN('A4 - Previsão de Receita Bruta'!Q$6)-1,0),0)</f>
        <v>0</v>
      </c>
      <c r="V81" s="71">
        <f>IFERROR(VLOOKUP($D81,ReceitaBruta,COLUMN('A4 - Previsão de Receita Bruta'!R$6)-1,0),0)</f>
        <v>0</v>
      </c>
      <c r="W81" s="71">
        <f>IFERROR(VLOOKUP($D81,ReceitaBruta,COLUMN('A4 - Previsão de Receita Bruta'!S$6)-1,0),0)</f>
        <v>0</v>
      </c>
      <c r="X81" s="71">
        <f>IFERROR(VLOOKUP($D81,ReceitaBruta,COLUMN('A4 - Previsão de Receita Bruta'!T$6)-1,0),0)</f>
        <v>0</v>
      </c>
      <c r="Y81" s="71">
        <f>IFERROR(VLOOKUP($D81,ReceitaBruta,COLUMN('A4 - Previsão de Receita Bruta'!U$6)-1,0),0)</f>
        <v>0</v>
      </c>
      <c r="Z81" s="71">
        <f>IFERROR(VLOOKUP($D81,ReceitaBruta,COLUMN('A4 - Previsão de Receita Bruta'!V$6)-1,0),0)</f>
        <v>0</v>
      </c>
      <c r="AA81" s="71">
        <f>IFERROR(VLOOKUP($D81,ReceitaBruta,COLUMN('A4 - Previsão de Receita Bruta'!W$6)-1,0),0)</f>
        <v>0</v>
      </c>
      <c r="AB81" s="71">
        <f>IFERROR(VLOOKUP($D81,ReceitaBruta,COLUMN('A4 - Previsão de Receita Bruta'!X$6)-1,0),0)</f>
        <v>0</v>
      </c>
      <c r="AC81" s="71">
        <f>IFERROR(VLOOKUP($D81,ReceitaBruta,COLUMN('A4 - Previsão de Receita Bruta'!Y$6)-1,0),0)</f>
        <v>0</v>
      </c>
      <c r="AD81" s="71">
        <f>IFERROR(VLOOKUP($D81,ReceitaBruta,COLUMN('A4 - Previsão de Receita Bruta'!Z$6)-1,0),0)</f>
        <v>0</v>
      </c>
      <c r="AE81" s="71">
        <f>IFERROR(VLOOKUP($D81,ReceitaBruta,COLUMN('A4 - Previsão de Receita Bruta'!AA$6)-1,0),0)</f>
        <v>0</v>
      </c>
      <c r="AF81" s="71">
        <f>IFERROR(VLOOKUP($D81,ReceitaBruta,COLUMN('A4 - Previsão de Receita Bruta'!AB$6)-1,0),0)</f>
        <v>0</v>
      </c>
      <c r="AG81" s="71">
        <f>IFERROR(VLOOKUP($D81,ReceitaBruta,COLUMN('A4 - Previsão de Receita Bruta'!AC$6)-1,0),0)</f>
        <v>0</v>
      </c>
      <c r="AH81" s="71">
        <f>IFERROR(VLOOKUP($D81,ReceitaBruta,COLUMN('A4 - Previsão de Receita Bruta'!AD$6)-1,0),0)</f>
        <v>0</v>
      </c>
      <c r="AI81" s="71">
        <f>IFERROR(VLOOKUP($D81,ReceitaBruta,COLUMN('A4 - Previsão de Receita Bruta'!AE$6)-1,0),0)</f>
        <v>0</v>
      </c>
      <c r="AJ81" s="71">
        <f>IFERROR(VLOOKUP($D81,ReceitaBruta,COLUMN('A4 - Previsão de Receita Bruta'!AF$6)-1,0),0)</f>
        <v>0</v>
      </c>
      <c r="AK81" s="65">
        <f t="shared" si="90"/>
        <v>0</v>
      </c>
      <c r="AL81" s="65">
        <f t="shared" si="91"/>
        <v>0</v>
      </c>
      <c r="AM81" s="65">
        <f t="shared" si="92"/>
        <v>0</v>
      </c>
      <c r="AN81" s="65">
        <f t="shared" si="93"/>
        <v>0</v>
      </c>
      <c r="AO81" s="65">
        <f t="shared" si="94"/>
        <v>0</v>
      </c>
      <c r="AP81" s="65">
        <f t="shared" si="95"/>
        <v>0</v>
      </c>
      <c r="AQ81" s="65">
        <f t="shared" si="96"/>
        <v>0</v>
      </c>
      <c r="AR81" s="65">
        <f t="shared" si="97"/>
        <v>0</v>
      </c>
      <c r="AS81" s="65">
        <f t="shared" si="98"/>
        <v>0</v>
      </c>
      <c r="AT81" s="65">
        <f t="shared" si="99"/>
        <v>0</v>
      </c>
      <c r="AU81" s="65">
        <f t="shared" si="100"/>
        <v>0</v>
      </c>
      <c r="AV81" s="65">
        <f t="shared" si="101"/>
        <v>0</v>
      </c>
      <c r="AW81" s="65">
        <f t="shared" si="102"/>
        <v>0</v>
      </c>
      <c r="AX81" s="65">
        <f t="shared" si="103"/>
        <v>0</v>
      </c>
      <c r="AY81" s="65">
        <f t="shared" si="104"/>
        <v>0</v>
      </c>
      <c r="AZ81" s="65">
        <f t="shared" si="105"/>
        <v>0</v>
      </c>
      <c r="BA81" s="65">
        <f t="shared" si="106"/>
        <v>0</v>
      </c>
      <c r="BB81" s="65">
        <f t="shared" si="107"/>
        <v>0</v>
      </c>
      <c r="BC81" s="65">
        <f t="shared" si="108"/>
        <v>0</v>
      </c>
      <c r="BD81" s="65">
        <f t="shared" si="109"/>
        <v>0</v>
      </c>
      <c r="BE81" s="65">
        <f t="shared" si="110"/>
        <v>0</v>
      </c>
      <c r="BF81" s="65">
        <f t="shared" si="111"/>
        <v>0</v>
      </c>
      <c r="BG81" s="65">
        <f t="shared" si="112"/>
        <v>0</v>
      </c>
      <c r="BH81" s="65">
        <f t="shared" si="113"/>
        <v>0</v>
      </c>
      <c r="BI81" s="65">
        <f t="shared" si="114"/>
        <v>0</v>
      </c>
      <c r="BJ81" s="65">
        <f t="shared" si="115"/>
        <v>0</v>
      </c>
      <c r="BK81" s="65">
        <f t="shared" si="116"/>
        <v>0</v>
      </c>
      <c r="BL81" s="65">
        <f t="shared" si="117"/>
        <v>0</v>
      </c>
      <c r="BM81" s="65">
        <f t="shared" si="118"/>
        <v>0</v>
      </c>
      <c r="BN81" s="65">
        <f t="shared" si="119"/>
        <v>0</v>
      </c>
      <c r="BO81" s="66"/>
    </row>
    <row r="82" spans="1:67" ht="12.75" customHeight="1">
      <c r="A82" s="560" t="s">
        <v>243</v>
      </c>
      <c r="B82" s="560" t="s">
        <v>190</v>
      </c>
      <c r="C82" s="63" t="s">
        <v>209</v>
      </c>
      <c r="D82" s="561" t="s">
        <v>102</v>
      </c>
      <c r="E82" s="69">
        <v>0.02</v>
      </c>
      <c r="F82" s="70">
        <f t="shared" si="122"/>
        <v>1.6E-2</v>
      </c>
      <c r="G82" s="71">
        <f>IFERROR(VLOOKUP($D82,ReceitaBruta,COLUMN('A4 - Previsão de Receita Bruta'!C$6)-1,0),0)</f>
        <v>0</v>
      </c>
      <c r="H82" s="71">
        <f>IFERROR(VLOOKUP($D82,ReceitaBruta,COLUMN('A4 - Previsão de Receita Bruta'!D$6)-1,0),0)</f>
        <v>0</v>
      </c>
      <c r="I82" s="71">
        <f>IFERROR(VLOOKUP($D82,ReceitaBruta,COLUMN('A4 - Previsão de Receita Bruta'!E$6)-1,0),0)</f>
        <v>0</v>
      </c>
      <c r="J82" s="71">
        <f>IFERROR(VLOOKUP($D82,ReceitaBruta,COLUMN('A4 - Previsão de Receita Bruta'!F$6)-1,0),0)</f>
        <v>0</v>
      </c>
      <c r="K82" s="71">
        <f>IFERROR(VLOOKUP($D82,ReceitaBruta,COLUMN('A4 - Previsão de Receita Bruta'!G$6)-1,0),0)</f>
        <v>0</v>
      </c>
      <c r="L82" s="71">
        <f>IFERROR(VLOOKUP($D82,ReceitaBruta,COLUMN('A4 - Previsão de Receita Bruta'!H$6)-1,0),0)</f>
        <v>0</v>
      </c>
      <c r="M82" s="71">
        <f>IFERROR(VLOOKUP($D82,ReceitaBruta,COLUMN('A4 - Previsão de Receita Bruta'!I$6)-1,0),0)</f>
        <v>0</v>
      </c>
      <c r="N82" s="71">
        <f>IFERROR(VLOOKUP($D82,ReceitaBruta,COLUMN('A4 - Previsão de Receita Bruta'!J$6)-1,0),0)</f>
        <v>0</v>
      </c>
      <c r="O82" s="71">
        <f>IFERROR(VLOOKUP($D82,ReceitaBruta,COLUMN('A4 - Previsão de Receita Bruta'!K$6)-1,0),0)</f>
        <v>0</v>
      </c>
      <c r="P82" s="71">
        <f>IFERROR(VLOOKUP($D82,ReceitaBruta,COLUMN('A4 - Previsão de Receita Bruta'!L$6)-1,0),0)</f>
        <v>0</v>
      </c>
      <c r="Q82" s="71">
        <f>IFERROR(VLOOKUP($D82,ReceitaBruta,COLUMN('A4 - Previsão de Receita Bruta'!M$6)-1,0),0)</f>
        <v>0</v>
      </c>
      <c r="R82" s="71">
        <f>IFERROR(VLOOKUP($D82,ReceitaBruta,COLUMN('A4 - Previsão de Receita Bruta'!N$6)-1,0),0)</f>
        <v>0</v>
      </c>
      <c r="S82" s="71">
        <f>IFERROR(VLOOKUP($D82,ReceitaBruta,COLUMN('A4 - Previsão de Receita Bruta'!O$6)-1,0),0)</f>
        <v>0</v>
      </c>
      <c r="T82" s="71">
        <f>IFERROR(VLOOKUP($D82,ReceitaBruta,COLUMN('A4 - Previsão de Receita Bruta'!P$6)-1,0),0)</f>
        <v>0</v>
      </c>
      <c r="U82" s="71">
        <f>IFERROR(VLOOKUP($D82,ReceitaBruta,COLUMN('A4 - Previsão de Receita Bruta'!Q$6)-1,0),0)</f>
        <v>0</v>
      </c>
      <c r="V82" s="71">
        <f>IFERROR(VLOOKUP($D82,ReceitaBruta,COLUMN('A4 - Previsão de Receita Bruta'!R$6)-1,0),0)</f>
        <v>0</v>
      </c>
      <c r="W82" s="71">
        <f>IFERROR(VLOOKUP($D82,ReceitaBruta,COLUMN('A4 - Previsão de Receita Bruta'!S$6)-1,0),0)</f>
        <v>0</v>
      </c>
      <c r="X82" s="71">
        <f>IFERROR(VLOOKUP($D82,ReceitaBruta,COLUMN('A4 - Previsão de Receita Bruta'!T$6)-1,0),0)</f>
        <v>0</v>
      </c>
      <c r="Y82" s="71">
        <f>IFERROR(VLOOKUP($D82,ReceitaBruta,COLUMN('A4 - Previsão de Receita Bruta'!U$6)-1,0),0)</f>
        <v>0</v>
      </c>
      <c r="Z82" s="71">
        <f>IFERROR(VLOOKUP($D82,ReceitaBruta,COLUMN('A4 - Previsão de Receita Bruta'!V$6)-1,0),0)</f>
        <v>0</v>
      </c>
      <c r="AA82" s="71">
        <f>IFERROR(VLOOKUP($D82,ReceitaBruta,COLUMN('A4 - Previsão de Receita Bruta'!W$6)-1,0),0)</f>
        <v>0</v>
      </c>
      <c r="AB82" s="71">
        <f>IFERROR(VLOOKUP($D82,ReceitaBruta,COLUMN('A4 - Previsão de Receita Bruta'!X$6)-1,0),0)</f>
        <v>0</v>
      </c>
      <c r="AC82" s="71">
        <f>IFERROR(VLOOKUP($D82,ReceitaBruta,COLUMN('A4 - Previsão de Receita Bruta'!Y$6)-1,0),0)</f>
        <v>0</v>
      </c>
      <c r="AD82" s="71">
        <f>IFERROR(VLOOKUP($D82,ReceitaBruta,COLUMN('A4 - Previsão de Receita Bruta'!Z$6)-1,0),0)</f>
        <v>0</v>
      </c>
      <c r="AE82" s="71">
        <f>IFERROR(VLOOKUP($D82,ReceitaBruta,COLUMN('A4 - Previsão de Receita Bruta'!AA$6)-1,0),0)</f>
        <v>0</v>
      </c>
      <c r="AF82" s="71">
        <f>IFERROR(VLOOKUP($D82,ReceitaBruta,COLUMN('A4 - Previsão de Receita Bruta'!AB$6)-1,0),0)</f>
        <v>0</v>
      </c>
      <c r="AG82" s="71">
        <f>IFERROR(VLOOKUP($D82,ReceitaBruta,COLUMN('A4 - Previsão de Receita Bruta'!AC$6)-1,0),0)</f>
        <v>0</v>
      </c>
      <c r="AH82" s="71">
        <f>IFERROR(VLOOKUP($D82,ReceitaBruta,COLUMN('A4 - Previsão de Receita Bruta'!AD$6)-1,0),0)</f>
        <v>0</v>
      </c>
      <c r="AI82" s="71">
        <f>IFERROR(VLOOKUP($D82,ReceitaBruta,COLUMN('A4 - Previsão de Receita Bruta'!AE$6)-1,0),0)</f>
        <v>0</v>
      </c>
      <c r="AJ82" s="71">
        <f>IFERROR(VLOOKUP($D82,ReceitaBruta,COLUMN('A4 - Previsão de Receita Bruta'!AF$6)-1,0),0)</f>
        <v>0</v>
      </c>
      <c r="AK82" s="65">
        <f t="shared" ref="AK82:AK113" si="123">$F82*G82*IF(C82="Operacional",IFERROR(VLOOKUP($D82,SN_UGC,28,0),0),1)</f>
        <v>0</v>
      </c>
      <c r="AL82" s="65">
        <f t="shared" si="91"/>
        <v>0</v>
      </c>
      <c r="AM82" s="65">
        <f t="shared" si="92"/>
        <v>0</v>
      </c>
      <c r="AN82" s="65">
        <f t="shared" si="93"/>
        <v>0</v>
      </c>
      <c r="AO82" s="65">
        <f t="shared" si="94"/>
        <v>0</v>
      </c>
      <c r="AP82" s="65">
        <f t="shared" si="95"/>
        <v>0</v>
      </c>
      <c r="AQ82" s="65">
        <f t="shared" si="96"/>
        <v>0</v>
      </c>
      <c r="AR82" s="65">
        <f t="shared" si="97"/>
        <v>0</v>
      </c>
      <c r="AS82" s="65">
        <f t="shared" si="98"/>
        <v>0</v>
      </c>
      <c r="AT82" s="65">
        <f t="shared" si="99"/>
        <v>0</v>
      </c>
      <c r="AU82" s="65">
        <f t="shared" si="100"/>
        <v>0</v>
      </c>
      <c r="AV82" s="65">
        <f t="shared" si="101"/>
        <v>0</v>
      </c>
      <c r="AW82" s="65">
        <f t="shared" si="102"/>
        <v>0</v>
      </c>
      <c r="AX82" s="65">
        <f t="shared" si="103"/>
        <v>0</v>
      </c>
      <c r="AY82" s="65">
        <f t="shared" si="104"/>
        <v>0</v>
      </c>
      <c r="AZ82" s="65">
        <f t="shared" si="105"/>
        <v>0</v>
      </c>
      <c r="BA82" s="65">
        <f t="shared" si="106"/>
        <v>0</v>
      </c>
      <c r="BB82" s="65">
        <f t="shared" si="107"/>
        <v>0</v>
      </c>
      <c r="BC82" s="65">
        <f t="shared" si="108"/>
        <v>0</v>
      </c>
      <c r="BD82" s="65">
        <f t="shared" si="109"/>
        <v>0</v>
      </c>
      <c r="BE82" s="65">
        <f t="shared" si="110"/>
        <v>0</v>
      </c>
      <c r="BF82" s="65">
        <f t="shared" si="111"/>
        <v>0</v>
      </c>
      <c r="BG82" s="65">
        <f t="shared" si="112"/>
        <v>0</v>
      </c>
      <c r="BH82" s="65">
        <f t="shared" si="113"/>
        <v>0</v>
      </c>
      <c r="BI82" s="65">
        <f t="shared" si="114"/>
        <v>0</v>
      </c>
      <c r="BJ82" s="65">
        <f t="shared" si="115"/>
        <v>0</v>
      </c>
      <c r="BK82" s="65">
        <f t="shared" si="116"/>
        <v>0</v>
      </c>
      <c r="BL82" s="65">
        <f t="shared" si="117"/>
        <v>0</v>
      </c>
      <c r="BM82" s="65">
        <f t="shared" si="118"/>
        <v>0</v>
      </c>
      <c r="BN82" s="65">
        <f t="shared" si="119"/>
        <v>0</v>
      </c>
      <c r="BO82" s="66"/>
    </row>
    <row r="83" spans="1:67" ht="12.75" customHeight="1">
      <c r="A83" s="560" t="s">
        <v>243</v>
      </c>
      <c r="B83" s="560" t="s">
        <v>190</v>
      </c>
      <c r="C83" s="63"/>
      <c r="D83" s="561"/>
      <c r="E83" s="69">
        <v>0.02</v>
      </c>
      <c r="F83" s="70">
        <f t="shared" si="122"/>
        <v>1.6E-2</v>
      </c>
      <c r="G83" s="71">
        <f>IFERROR(VLOOKUP($D83,ReceitaBruta,COLUMN('A4 - Previsão de Receita Bruta'!C$6)-1,0),0)</f>
        <v>0</v>
      </c>
      <c r="H83" s="71">
        <f>IFERROR(VLOOKUP($D83,ReceitaBruta,COLUMN('A4 - Previsão de Receita Bruta'!D$6)-1,0),0)</f>
        <v>0</v>
      </c>
      <c r="I83" s="71">
        <f>IFERROR(VLOOKUP($D83,ReceitaBruta,COLUMN('A4 - Previsão de Receita Bruta'!E$6)-1,0),0)</f>
        <v>0</v>
      </c>
      <c r="J83" s="71">
        <f>IFERROR(VLOOKUP($D83,ReceitaBruta,COLUMN('A4 - Previsão de Receita Bruta'!F$6)-1,0),0)</f>
        <v>0</v>
      </c>
      <c r="K83" s="71">
        <f>IFERROR(VLOOKUP($D83,ReceitaBruta,COLUMN('A4 - Previsão de Receita Bruta'!G$6)-1,0),0)</f>
        <v>0</v>
      </c>
      <c r="L83" s="71">
        <f>IFERROR(VLOOKUP($D83,ReceitaBruta,COLUMN('A4 - Previsão de Receita Bruta'!H$6)-1,0),0)</f>
        <v>0</v>
      </c>
      <c r="M83" s="71">
        <f>IFERROR(VLOOKUP($D83,ReceitaBruta,COLUMN('A4 - Previsão de Receita Bruta'!I$6)-1,0),0)</f>
        <v>0</v>
      </c>
      <c r="N83" s="71">
        <f>IFERROR(VLOOKUP($D83,ReceitaBruta,COLUMN('A4 - Previsão de Receita Bruta'!J$6)-1,0),0)</f>
        <v>0</v>
      </c>
      <c r="O83" s="71">
        <f>IFERROR(VLOOKUP($D83,ReceitaBruta,COLUMN('A4 - Previsão de Receita Bruta'!K$6)-1,0),0)</f>
        <v>0</v>
      </c>
      <c r="P83" s="71">
        <f>IFERROR(VLOOKUP($D83,ReceitaBruta,COLUMN('A4 - Previsão de Receita Bruta'!L$6)-1,0),0)</f>
        <v>0</v>
      </c>
      <c r="Q83" s="71">
        <f>IFERROR(VLOOKUP($D83,ReceitaBruta,COLUMN('A4 - Previsão de Receita Bruta'!M$6)-1,0),0)</f>
        <v>0</v>
      </c>
      <c r="R83" s="71">
        <f>IFERROR(VLOOKUP($D83,ReceitaBruta,COLUMN('A4 - Previsão de Receita Bruta'!N$6)-1,0),0)</f>
        <v>0</v>
      </c>
      <c r="S83" s="71">
        <f>IFERROR(VLOOKUP($D83,ReceitaBruta,COLUMN('A4 - Previsão de Receita Bruta'!O$6)-1,0),0)</f>
        <v>0</v>
      </c>
      <c r="T83" s="71">
        <f>IFERROR(VLOOKUP($D83,ReceitaBruta,COLUMN('A4 - Previsão de Receita Bruta'!P$6)-1,0),0)</f>
        <v>0</v>
      </c>
      <c r="U83" s="71">
        <f>IFERROR(VLOOKUP($D83,ReceitaBruta,COLUMN('A4 - Previsão de Receita Bruta'!Q$6)-1,0),0)</f>
        <v>0</v>
      </c>
      <c r="V83" s="71">
        <f>IFERROR(VLOOKUP($D83,ReceitaBruta,COLUMN('A4 - Previsão de Receita Bruta'!R$6)-1,0),0)</f>
        <v>0</v>
      </c>
      <c r="W83" s="71">
        <f>IFERROR(VLOOKUP($D83,ReceitaBruta,COLUMN('A4 - Previsão de Receita Bruta'!S$6)-1,0),0)</f>
        <v>0</v>
      </c>
      <c r="X83" s="71">
        <f>IFERROR(VLOOKUP($D83,ReceitaBruta,COLUMN('A4 - Previsão de Receita Bruta'!T$6)-1,0),0)</f>
        <v>0</v>
      </c>
      <c r="Y83" s="71">
        <f>IFERROR(VLOOKUP($D83,ReceitaBruta,COLUMN('A4 - Previsão de Receita Bruta'!U$6)-1,0),0)</f>
        <v>0</v>
      </c>
      <c r="Z83" s="71">
        <f>IFERROR(VLOOKUP($D83,ReceitaBruta,COLUMN('A4 - Previsão de Receita Bruta'!V$6)-1,0),0)</f>
        <v>0</v>
      </c>
      <c r="AA83" s="71">
        <f>IFERROR(VLOOKUP($D83,ReceitaBruta,COLUMN('A4 - Previsão de Receita Bruta'!W$6)-1,0),0)</f>
        <v>0</v>
      </c>
      <c r="AB83" s="71">
        <f>IFERROR(VLOOKUP($D83,ReceitaBruta,COLUMN('A4 - Previsão de Receita Bruta'!X$6)-1,0),0)</f>
        <v>0</v>
      </c>
      <c r="AC83" s="71">
        <f>IFERROR(VLOOKUP($D83,ReceitaBruta,COLUMN('A4 - Previsão de Receita Bruta'!Y$6)-1,0),0)</f>
        <v>0</v>
      </c>
      <c r="AD83" s="71">
        <f>IFERROR(VLOOKUP($D83,ReceitaBruta,COLUMN('A4 - Previsão de Receita Bruta'!Z$6)-1,0),0)</f>
        <v>0</v>
      </c>
      <c r="AE83" s="71">
        <f>IFERROR(VLOOKUP($D83,ReceitaBruta,COLUMN('A4 - Previsão de Receita Bruta'!AA$6)-1,0),0)</f>
        <v>0</v>
      </c>
      <c r="AF83" s="71">
        <f>IFERROR(VLOOKUP($D83,ReceitaBruta,COLUMN('A4 - Previsão de Receita Bruta'!AB$6)-1,0),0)</f>
        <v>0</v>
      </c>
      <c r="AG83" s="71">
        <f>IFERROR(VLOOKUP($D83,ReceitaBruta,COLUMN('A4 - Previsão de Receita Bruta'!AC$6)-1,0),0)</f>
        <v>0</v>
      </c>
      <c r="AH83" s="71">
        <f>IFERROR(VLOOKUP($D83,ReceitaBruta,COLUMN('A4 - Previsão de Receita Bruta'!AD$6)-1,0),0)</f>
        <v>0</v>
      </c>
      <c r="AI83" s="71">
        <f>IFERROR(VLOOKUP($D83,ReceitaBruta,COLUMN('A4 - Previsão de Receita Bruta'!AE$6)-1,0),0)</f>
        <v>0</v>
      </c>
      <c r="AJ83" s="71">
        <f>IFERROR(VLOOKUP($D83,ReceitaBruta,COLUMN('A4 - Previsão de Receita Bruta'!AF$6)-1,0),0)</f>
        <v>0</v>
      </c>
      <c r="AK83" s="65">
        <f t="shared" si="123"/>
        <v>0</v>
      </c>
      <c r="AL83" s="65">
        <f t="shared" ref="AL83:AL114" si="124">$F83*H83*IF(D83="Operacional",IFERROR(VLOOKUP($D83,SN_UGC,28,0),0),1)</f>
        <v>0</v>
      </c>
      <c r="AM83" s="65">
        <f t="shared" ref="AM83:AM114" si="125">$F83*I83*IF(E83="Operacional",IFERROR(VLOOKUP($D83,SN_UGC,28,0),0),1)</f>
        <v>0</v>
      </c>
      <c r="AN83" s="65">
        <f t="shared" ref="AN83:AN114" si="126">$F83*J83*IF(F83="Operacional",IFERROR(VLOOKUP($D83,SN_UGC,28,0),0),1)</f>
        <v>0</v>
      </c>
      <c r="AO83" s="65">
        <f t="shared" ref="AO83:AO114" si="127">$F83*K83*IF(G83="Operacional",IFERROR(VLOOKUP($D83,SN_UGC,28,0),0),1)</f>
        <v>0</v>
      </c>
      <c r="AP83" s="65">
        <f t="shared" ref="AP83:AP114" si="128">$F83*L83*IF(H83="Operacional",IFERROR(VLOOKUP($D83,SN_UGC,28,0),0),1)</f>
        <v>0</v>
      </c>
      <c r="AQ83" s="65">
        <f t="shared" ref="AQ83:AQ114" si="129">$F83*M83*IF(I83="Operacional",IFERROR(VLOOKUP($D83,SN_UGC,28,0),0),1)</f>
        <v>0</v>
      </c>
      <c r="AR83" s="65">
        <f t="shared" ref="AR83:AR114" si="130">$F83*N83*IF(J83="Operacional",IFERROR(VLOOKUP($D83,SN_UGC,28,0),0),1)</f>
        <v>0</v>
      </c>
      <c r="AS83" s="65">
        <f t="shared" ref="AS83:AS114" si="131">$F83*O83*IF(K83="Operacional",IFERROR(VLOOKUP($D83,SN_UGC,28,0),0),1)</f>
        <v>0</v>
      </c>
      <c r="AT83" s="65">
        <f t="shared" ref="AT83:AT114" si="132">$F83*P83*IF(L83="Operacional",IFERROR(VLOOKUP($D83,SN_UGC,28,0),0),1)</f>
        <v>0</v>
      </c>
      <c r="AU83" s="65">
        <f t="shared" ref="AU83:AU114" si="133">$F83*Q83*IF(M83="Operacional",IFERROR(VLOOKUP($D83,SN_UGC,28,0),0),1)</f>
        <v>0</v>
      </c>
      <c r="AV83" s="65">
        <f t="shared" ref="AV83:AV114" si="134">$F83*R83*IF(N83="Operacional",IFERROR(VLOOKUP($D83,SN_UGC,28,0),0),1)</f>
        <v>0</v>
      </c>
      <c r="AW83" s="65">
        <f t="shared" ref="AW83:AW114" si="135">$F83*S83*IF(O83="Operacional",IFERROR(VLOOKUP($D83,SN_UGC,28,0),0),1)</f>
        <v>0</v>
      </c>
      <c r="AX83" s="65">
        <f t="shared" ref="AX83:AX114" si="136">$F83*T83*IF(P83="Operacional",IFERROR(VLOOKUP($D83,SN_UGC,28,0),0),1)</f>
        <v>0</v>
      </c>
      <c r="AY83" s="65">
        <f t="shared" ref="AY83:AY114" si="137">$F83*U83*IF(Q83="Operacional",IFERROR(VLOOKUP($D83,SN_UGC,28,0),0),1)</f>
        <v>0</v>
      </c>
      <c r="AZ83" s="65">
        <f t="shared" ref="AZ83:AZ114" si="138">$F83*V83*IF(R83="Operacional",IFERROR(VLOOKUP($D83,SN_UGC,28,0),0),1)</f>
        <v>0</v>
      </c>
      <c r="BA83" s="65">
        <f t="shared" ref="BA83:BA114" si="139">$F83*W83*IF(S83="Operacional",IFERROR(VLOOKUP($D83,SN_UGC,28,0),0),1)</f>
        <v>0</v>
      </c>
      <c r="BB83" s="65">
        <f t="shared" ref="BB83:BB114" si="140">$F83*X83*IF(T83="Operacional",IFERROR(VLOOKUP($D83,SN_UGC,28,0),0),1)</f>
        <v>0</v>
      </c>
      <c r="BC83" s="65">
        <f t="shared" ref="BC83:BC114" si="141">$F83*Y83*IF(U83="Operacional",IFERROR(VLOOKUP($D83,SN_UGC,28,0),0),1)</f>
        <v>0</v>
      </c>
      <c r="BD83" s="65">
        <f t="shared" ref="BD83:BD114" si="142">$F83*Z83*IF(V83="Operacional",IFERROR(VLOOKUP($D83,SN_UGC,28,0),0),1)</f>
        <v>0</v>
      </c>
      <c r="BE83" s="65">
        <f t="shared" ref="BE83:BE114" si="143">$F83*AA83*IF(W83="Operacional",IFERROR(VLOOKUP($D83,SN_UGC,28,0),0),1)</f>
        <v>0</v>
      </c>
      <c r="BF83" s="65">
        <f t="shared" ref="BF83:BF114" si="144">$F83*AB83*IF(X83="Operacional",IFERROR(VLOOKUP($D83,SN_UGC,28,0),0),1)</f>
        <v>0</v>
      </c>
      <c r="BG83" s="65">
        <f t="shared" ref="BG83:BG114" si="145">$F83*AC83*IF(Y83="Operacional",IFERROR(VLOOKUP($D83,SN_UGC,28,0),0),1)</f>
        <v>0</v>
      </c>
      <c r="BH83" s="65">
        <f t="shared" ref="BH83:BH114" si="146">$F83*AD83*IF(Z83="Operacional",IFERROR(VLOOKUP($D83,SN_UGC,28,0),0),1)</f>
        <v>0</v>
      </c>
      <c r="BI83" s="65">
        <f t="shared" ref="BI83:BI114" si="147">$F83*AE83*IF(AA83="Operacional",IFERROR(VLOOKUP($D83,SN_UGC,28,0),0),1)</f>
        <v>0</v>
      </c>
      <c r="BJ83" s="65">
        <f t="shared" ref="BJ83:BJ114" si="148">$F83*AF83*IF(AB83="Operacional",IFERROR(VLOOKUP($D83,SN_UGC,28,0),0),1)</f>
        <v>0</v>
      </c>
      <c r="BK83" s="65">
        <f t="shared" ref="BK83:BK114" si="149">$F83*AG83*IF(AC83="Operacional",IFERROR(VLOOKUP($D83,SN_UGC,28,0),0),1)</f>
        <v>0</v>
      </c>
      <c r="BL83" s="65">
        <f t="shared" ref="BL83:BL114" si="150">$F83*AH83*IF(AD83="Operacional",IFERROR(VLOOKUP($D83,SN_UGC,28,0),0),1)</f>
        <v>0</v>
      </c>
      <c r="BM83" s="65">
        <f t="shared" ref="BM83:BM114" si="151">$F83*AI83*IF(AE83="Operacional",IFERROR(VLOOKUP($D83,SN_UGC,28,0),0),1)</f>
        <v>0</v>
      </c>
      <c r="BN83" s="65">
        <f t="shared" ref="BN83:BN114" si="152">$F83*AJ83*IF(AF83="Operacional",IFERROR(VLOOKUP($D83,SN_UGC,28,0),0),1)</f>
        <v>0</v>
      </c>
      <c r="BO83" s="66"/>
    </row>
    <row r="84" spans="1:67" ht="13.5" customHeight="1">
      <c r="A84" s="560"/>
      <c r="B84" s="560"/>
      <c r="C84" s="63"/>
      <c r="D84" s="561"/>
      <c r="E84" s="64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5">
        <f t="shared" si="123"/>
        <v>0</v>
      </c>
      <c r="AL84" s="65">
        <f t="shared" si="124"/>
        <v>0</v>
      </c>
      <c r="AM84" s="65">
        <f t="shared" si="125"/>
        <v>0</v>
      </c>
      <c r="AN84" s="65">
        <f t="shared" si="126"/>
        <v>0</v>
      </c>
      <c r="AO84" s="65">
        <f t="shared" si="127"/>
        <v>0</v>
      </c>
      <c r="AP84" s="65">
        <f t="shared" si="128"/>
        <v>0</v>
      </c>
      <c r="AQ84" s="65">
        <f t="shared" si="129"/>
        <v>0</v>
      </c>
      <c r="AR84" s="65">
        <f t="shared" si="130"/>
        <v>0</v>
      </c>
      <c r="AS84" s="65">
        <f t="shared" si="131"/>
        <v>0</v>
      </c>
      <c r="AT84" s="65">
        <f t="shared" si="132"/>
        <v>0</v>
      </c>
      <c r="AU84" s="65">
        <f t="shared" si="133"/>
        <v>0</v>
      </c>
      <c r="AV84" s="65">
        <f t="shared" si="134"/>
        <v>0</v>
      </c>
      <c r="AW84" s="65">
        <f t="shared" si="135"/>
        <v>0</v>
      </c>
      <c r="AX84" s="65">
        <f t="shared" si="136"/>
        <v>0</v>
      </c>
      <c r="AY84" s="65">
        <f t="shared" si="137"/>
        <v>0</v>
      </c>
      <c r="AZ84" s="65">
        <f t="shared" si="138"/>
        <v>0</v>
      </c>
      <c r="BA84" s="65">
        <f t="shared" si="139"/>
        <v>0</v>
      </c>
      <c r="BB84" s="65">
        <f t="shared" si="140"/>
        <v>0</v>
      </c>
      <c r="BC84" s="65">
        <f t="shared" si="141"/>
        <v>0</v>
      </c>
      <c r="BD84" s="65">
        <f t="shared" si="142"/>
        <v>0</v>
      </c>
      <c r="BE84" s="65">
        <f t="shared" si="143"/>
        <v>0</v>
      </c>
      <c r="BF84" s="65">
        <f t="shared" si="144"/>
        <v>0</v>
      </c>
      <c r="BG84" s="65">
        <f t="shared" si="145"/>
        <v>0</v>
      </c>
      <c r="BH84" s="65">
        <f t="shared" si="146"/>
        <v>0</v>
      </c>
      <c r="BI84" s="65">
        <f t="shared" si="147"/>
        <v>0</v>
      </c>
      <c r="BJ84" s="65">
        <f t="shared" si="148"/>
        <v>0</v>
      </c>
      <c r="BK84" s="65">
        <f t="shared" si="149"/>
        <v>0</v>
      </c>
      <c r="BL84" s="65">
        <f t="shared" si="150"/>
        <v>0</v>
      </c>
      <c r="BM84" s="65">
        <f t="shared" si="151"/>
        <v>0</v>
      </c>
      <c r="BN84" s="65">
        <f t="shared" si="152"/>
        <v>0</v>
      </c>
      <c r="BO84" s="66"/>
    </row>
    <row r="85" spans="1:67" ht="13.5" customHeight="1">
      <c r="A85" s="560" t="s">
        <v>245</v>
      </c>
      <c r="B85" s="560" t="s">
        <v>190</v>
      </c>
      <c r="C85" s="63" t="s">
        <v>191</v>
      </c>
      <c r="D85" s="561" t="s">
        <v>196</v>
      </c>
      <c r="E85" s="64" t="s">
        <v>21</v>
      </c>
      <c r="F85" s="63">
        <v>300000</v>
      </c>
      <c r="G85" s="63">
        <v>1</v>
      </c>
      <c r="H85" s="63">
        <v>1</v>
      </c>
      <c r="I85" s="63">
        <v>1</v>
      </c>
      <c r="J85" s="63">
        <v>1</v>
      </c>
      <c r="K85" s="63">
        <v>1</v>
      </c>
      <c r="L85" s="63">
        <v>1</v>
      </c>
      <c r="M85" s="63">
        <v>1</v>
      </c>
      <c r="N85" s="63">
        <v>1</v>
      </c>
      <c r="O85" s="63">
        <v>1</v>
      </c>
      <c r="P85" s="63">
        <v>1</v>
      </c>
      <c r="Q85" s="63">
        <v>1</v>
      </c>
      <c r="R85" s="63">
        <v>1</v>
      </c>
      <c r="S85" s="63">
        <v>1</v>
      </c>
      <c r="T85" s="63">
        <v>1</v>
      </c>
      <c r="U85" s="63">
        <v>1</v>
      </c>
      <c r="V85" s="63">
        <v>1</v>
      </c>
      <c r="W85" s="63">
        <v>1</v>
      </c>
      <c r="X85" s="63">
        <v>1</v>
      </c>
      <c r="Y85" s="63">
        <v>1</v>
      </c>
      <c r="Z85" s="63">
        <v>1</v>
      </c>
      <c r="AA85" s="63">
        <v>1</v>
      </c>
      <c r="AB85" s="63">
        <v>1</v>
      </c>
      <c r="AC85" s="63">
        <v>1</v>
      </c>
      <c r="AD85" s="63">
        <v>1</v>
      </c>
      <c r="AE85" s="63">
        <v>1</v>
      </c>
      <c r="AF85" s="63">
        <v>1</v>
      </c>
      <c r="AG85" s="63">
        <v>1</v>
      </c>
      <c r="AH85" s="63">
        <v>1</v>
      </c>
      <c r="AI85" s="63">
        <v>1</v>
      </c>
      <c r="AJ85" s="63">
        <v>1</v>
      </c>
      <c r="AK85" s="65">
        <f t="shared" si="123"/>
        <v>300000</v>
      </c>
      <c r="AL85" s="65">
        <f t="shared" si="124"/>
        <v>300000</v>
      </c>
      <c r="AM85" s="65">
        <f t="shared" si="125"/>
        <v>300000</v>
      </c>
      <c r="AN85" s="65">
        <f t="shared" si="126"/>
        <v>300000</v>
      </c>
      <c r="AO85" s="65">
        <f t="shared" si="127"/>
        <v>300000</v>
      </c>
      <c r="AP85" s="65">
        <f t="shared" si="128"/>
        <v>300000</v>
      </c>
      <c r="AQ85" s="65">
        <f t="shared" si="129"/>
        <v>300000</v>
      </c>
      <c r="AR85" s="65">
        <f t="shared" si="130"/>
        <v>300000</v>
      </c>
      <c r="AS85" s="65">
        <f t="shared" si="131"/>
        <v>300000</v>
      </c>
      <c r="AT85" s="65">
        <f t="shared" si="132"/>
        <v>300000</v>
      </c>
      <c r="AU85" s="65">
        <f t="shared" si="133"/>
        <v>300000</v>
      </c>
      <c r="AV85" s="65">
        <f t="shared" si="134"/>
        <v>300000</v>
      </c>
      <c r="AW85" s="65">
        <f t="shared" si="135"/>
        <v>300000</v>
      </c>
      <c r="AX85" s="65">
        <f t="shared" si="136"/>
        <v>300000</v>
      </c>
      <c r="AY85" s="65">
        <f t="shared" si="137"/>
        <v>300000</v>
      </c>
      <c r="AZ85" s="65">
        <f t="shared" si="138"/>
        <v>300000</v>
      </c>
      <c r="BA85" s="65">
        <f t="shared" si="139"/>
        <v>300000</v>
      </c>
      <c r="BB85" s="65">
        <f t="shared" si="140"/>
        <v>300000</v>
      </c>
      <c r="BC85" s="65">
        <f t="shared" si="141"/>
        <v>300000</v>
      </c>
      <c r="BD85" s="65">
        <f t="shared" si="142"/>
        <v>300000</v>
      </c>
      <c r="BE85" s="65">
        <f t="shared" si="143"/>
        <v>300000</v>
      </c>
      <c r="BF85" s="65">
        <f t="shared" si="144"/>
        <v>300000</v>
      </c>
      <c r="BG85" s="65">
        <f t="shared" si="145"/>
        <v>300000</v>
      </c>
      <c r="BH85" s="65">
        <f t="shared" si="146"/>
        <v>300000</v>
      </c>
      <c r="BI85" s="65">
        <f t="shared" si="147"/>
        <v>300000</v>
      </c>
      <c r="BJ85" s="65">
        <f t="shared" si="148"/>
        <v>300000</v>
      </c>
      <c r="BK85" s="65">
        <f t="shared" si="149"/>
        <v>300000</v>
      </c>
      <c r="BL85" s="65">
        <f t="shared" si="150"/>
        <v>300000</v>
      </c>
      <c r="BM85" s="65">
        <f t="shared" si="151"/>
        <v>300000</v>
      </c>
      <c r="BN85" s="65">
        <f t="shared" si="152"/>
        <v>300000</v>
      </c>
      <c r="BO85" s="66"/>
    </row>
    <row r="86" spans="1:67" ht="13.5" customHeight="1">
      <c r="A86" s="560"/>
      <c r="B86" s="560"/>
      <c r="C86" s="63"/>
      <c r="D86" s="561"/>
      <c r="E86" s="64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5">
        <f t="shared" si="123"/>
        <v>0</v>
      </c>
      <c r="AL86" s="65">
        <f t="shared" si="124"/>
        <v>0</v>
      </c>
      <c r="AM86" s="65">
        <f t="shared" si="125"/>
        <v>0</v>
      </c>
      <c r="AN86" s="65">
        <f t="shared" si="126"/>
        <v>0</v>
      </c>
      <c r="AO86" s="65">
        <f t="shared" si="127"/>
        <v>0</v>
      </c>
      <c r="AP86" s="65">
        <f t="shared" si="128"/>
        <v>0</v>
      </c>
      <c r="AQ86" s="65">
        <f t="shared" si="129"/>
        <v>0</v>
      </c>
      <c r="AR86" s="65">
        <f t="shared" si="130"/>
        <v>0</v>
      </c>
      <c r="AS86" s="65">
        <f t="shared" si="131"/>
        <v>0</v>
      </c>
      <c r="AT86" s="65">
        <f t="shared" si="132"/>
        <v>0</v>
      </c>
      <c r="AU86" s="65">
        <f t="shared" si="133"/>
        <v>0</v>
      </c>
      <c r="AV86" s="65">
        <f t="shared" si="134"/>
        <v>0</v>
      </c>
      <c r="AW86" s="65">
        <f t="shared" si="135"/>
        <v>0</v>
      </c>
      <c r="AX86" s="65">
        <f t="shared" si="136"/>
        <v>0</v>
      </c>
      <c r="AY86" s="65">
        <f t="shared" si="137"/>
        <v>0</v>
      </c>
      <c r="AZ86" s="65">
        <f t="shared" si="138"/>
        <v>0</v>
      </c>
      <c r="BA86" s="65">
        <f t="shared" si="139"/>
        <v>0</v>
      </c>
      <c r="BB86" s="65">
        <f t="shared" si="140"/>
        <v>0</v>
      </c>
      <c r="BC86" s="65">
        <f t="shared" si="141"/>
        <v>0</v>
      </c>
      <c r="BD86" s="65">
        <f t="shared" si="142"/>
        <v>0</v>
      </c>
      <c r="BE86" s="65">
        <f t="shared" si="143"/>
        <v>0</v>
      </c>
      <c r="BF86" s="65">
        <f t="shared" si="144"/>
        <v>0</v>
      </c>
      <c r="BG86" s="65">
        <f t="shared" si="145"/>
        <v>0</v>
      </c>
      <c r="BH86" s="65">
        <f t="shared" si="146"/>
        <v>0</v>
      </c>
      <c r="BI86" s="65">
        <f t="shared" si="147"/>
        <v>0</v>
      </c>
      <c r="BJ86" s="65">
        <f t="shared" si="148"/>
        <v>0</v>
      </c>
      <c r="BK86" s="65">
        <f t="shared" si="149"/>
        <v>0</v>
      </c>
      <c r="BL86" s="65">
        <f t="shared" si="150"/>
        <v>0</v>
      </c>
      <c r="BM86" s="65">
        <f t="shared" si="151"/>
        <v>0</v>
      </c>
      <c r="BN86" s="65">
        <f t="shared" si="152"/>
        <v>0</v>
      </c>
      <c r="BO86" s="66"/>
    </row>
    <row r="87" spans="1:67" ht="13.5" customHeight="1">
      <c r="A87" s="560" t="s">
        <v>246</v>
      </c>
      <c r="B87" s="560" t="s">
        <v>190</v>
      </c>
      <c r="C87" s="63" t="s">
        <v>191</v>
      </c>
      <c r="D87" s="561" t="s">
        <v>247</v>
      </c>
      <c r="E87" s="64" t="s">
        <v>248</v>
      </c>
      <c r="F87" s="63">
        <f>3412.02*0.05</f>
        <v>170.601</v>
      </c>
      <c r="G87" s="63">
        <v>400</v>
      </c>
      <c r="H87" s="63">
        <v>400</v>
      </c>
      <c r="I87" s="63">
        <v>400</v>
      </c>
      <c r="J87" s="63">
        <v>400</v>
      </c>
      <c r="K87" s="63">
        <v>400</v>
      </c>
      <c r="L87" s="63">
        <v>400</v>
      </c>
      <c r="M87" s="63">
        <v>400</v>
      </c>
      <c r="N87" s="63">
        <v>400</v>
      </c>
      <c r="O87" s="63">
        <v>400</v>
      </c>
      <c r="P87" s="63">
        <v>400</v>
      </c>
      <c r="Q87" s="63">
        <v>400</v>
      </c>
      <c r="R87" s="63">
        <v>400</v>
      </c>
      <c r="S87" s="63">
        <v>400</v>
      </c>
      <c r="T87" s="63">
        <v>400</v>
      </c>
      <c r="U87" s="63">
        <v>400</v>
      </c>
      <c r="V87" s="63">
        <v>400</v>
      </c>
      <c r="W87" s="63">
        <v>400</v>
      </c>
      <c r="X87" s="63">
        <v>400</v>
      </c>
      <c r="Y87" s="63">
        <v>400</v>
      </c>
      <c r="Z87" s="63">
        <v>400</v>
      </c>
      <c r="AA87" s="63">
        <v>400</v>
      </c>
      <c r="AB87" s="63">
        <v>400</v>
      </c>
      <c r="AC87" s="63">
        <v>400</v>
      </c>
      <c r="AD87" s="63">
        <v>400</v>
      </c>
      <c r="AE87" s="63">
        <v>400</v>
      </c>
      <c r="AF87" s="63">
        <v>400</v>
      </c>
      <c r="AG87" s="63">
        <v>400</v>
      </c>
      <c r="AH87" s="63">
        <v>400</v>
      </c>
      <c r="AI87" s="63">
        <v>400</v>
      </c>
      <c r="AJ87" s="63">
        <v>400</v>
      </c>
      <c r="AK87" s="65">
        <f t="shared" si="123"/>
        <v>68240.399999999994</v>
      </c>
      <c r="AL87" s="65">
        <f t="shared" si="124"/>
        <v>68240.399999999994</v>
      </c>
      <c r="AM87" s="65">
        <f t="shared" si="125"/>
        <v>68240.399999999994</v>
      </c>
      <c r="AN87" s="65">
        <f t="shared" si="126"/>
        <v>68240.399999999994</v>
      </c>
      <c r="AO87" s="65">
        <f t="shared" si="127"/>
        <v>68240.399999999994</v>
      </c>
      <c r="AP87" s="65">
        <f t="shared" si="128"/>
        <v>68240.399999999994</v>
      </c>
      <c r="AQ87" s="65">
        <f t="shared" si="129"/>
        <v>68240.399999999994</v>
      </c>
      <c r="AR87" s="65">
        <f t="shared" si="130"/>
        <v>68240.399999999994</v>
      </c>
      <c r="AS87" s="65">
        <f t="shared" si="131"/>
        <v>68240.399999999994</v>
      </c>
      <c r="AT87" s="65">
        <f t="shared" si="132"/>
        <v>68240.399999999994</v>
      </c>
      <c r="AU87" s="65">
        <f t="shared" si="133"/>
        <v>68240.399999999994</v>
      </c>
      <c r="AV87" s="65">
        <f t="shared" si="134"/>
        <v>68240.399999999994</v>
      </c>
      <c r="AW87" s="65">
        <f t="shared" si="135"/>
        <v>68240.399999999994</v>
      </c>
      <c r="AX87" s="65">
        <f t="shared" si="136"/>
        <v>68240.399999999994</v>
      </c>
      <c r="AY87" s="65">
        <f t="shared" si="137"/>
        <v>68240.399999999994</v>
      </c>
      <c r="AZ87" s="65">
        <f t="shared" si="138"/>
        <v>68240.399999999994</v>
      </c>
      <c r="BA87" s="65">
        <f t="shared" si="139"/>
        <v>68240.399999999994</v>
      </c>
      <c r="BB87" s="65">
        <f t="shared" si="140"/>
        <v>68240.399999999994</v>
      </c>
      <c r="BC87" s="65">
        <f t="shared" si="141"/>
        <v>68240.399999999994</v>
      </c>
      <c r="BD87" s="65">
        <f t="shared" si="142"/>
        <v>68240.399999999994</v>
      </c>
      <c r="BE87" s="65">
        <f t="shared" si="143"/>
        <v>68240.399999999994</v>
      </c>
      <c r="BF87" s="65">
        <f t="shared" si="144"/>
        <v>68240.399999999994</v>
      </c>
      <c r="BG87" s="65">
        <f t="shared" si="145"/>
        <v>68240.399999999994</v>
      </c>
      <c r="BH87" s="65">
        <f t="shared" si="146"/>
        <v>68240.399999999994</v>
      </c>
      <c r="BI87" s="65">
        <f t="shared" si="147"/>
        <v>68240.399999999994</v>
      </c>
      <c r="BJ87" s="65">
        <f t="shared" si="148"/>
        <v>68240.399999999994</v>
      </c>
      <c r="BK87" s="65">
        <f t="shared" si="149"/>
        <v>68240.399999999994</v>
      </c>
      <c r="BL87" s="65">
        <f t="shared" si="150"/>
        <v>68240.399999999994</v>
      </c>
      <c r="BM87" s="65">
        <f t="shared" si="151"/>
        <v>68240.399999999994</v>
      </c>
      <c r="BN87" s="65">
        <f t="shared" si="152"/>
        <v>68240.399999999994</v>
      </c>
      <c r="BO87" s="66"/>
    </row>
    <row r="88" spans="1:67" ht="13.5" customHeight="1">
      <c r="A88" s="560"/>
      <c r="B88" s="560"/>
      <c r="C88" s="63"/>
      <c r="D88" s="561"/>
      <c r="E88" s="64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5">
        <f t="shared" si="123"/>
        <v>0</v>
      </c>
      <c r="AL88" s="65">
        <f t="shared" si="124"/>
        <v>0</v>
      </c>
      <c r="AM88" s="65">
        <f t="shared" si="125"/>
        <v>0</v>
      </c>
      <c r="AN88" s="65">
        <f t="shared" si="126"/>
        <v>0</v>
      </c>
      <c r="AO88" s="65">
        <f t="shared" si="127"/>
        <v>0</v>
      </c>
      <c r="AP88" s="65">
        <f t="shared" si="128"/>
        <v>0</v>
      </c>
      <c r="AQ88" s="65">
        <f t="shared" si="129"/>
        <v>0</v>
      </c>
      <c r="AR88" s="65">
        <f t="shared" si="130"/>
        <v>0</v>
      </c>
      <c r="AS88" s="65">
        <f t="shared" si="131"/>
        <v>0</v>
      </c>
      <c r="AT88" s="65">
        <f t="shared" si="132"/>
        <v>0</v>
      </c>
      <c r="AU88" s="65">
        <f t="shared" si="133"/>
        <v>0</v>
      </c>
      <c r="AV88" s="65">
        <f t="shared" si="134"/>
        <v>0</v>
      </c>
      <c r="AW88" s="65">
        <f t="shared" si="135"/>
        <v>0</v>
      </c>
      <c r="AX88" s="65">
        <f t="shared" si="136"/>
        <v>0</v>
      </c>
      <c r="AY88" s="65">
        <f t="shared" si="137"/>
        <v>0</v>
      </c>
      <c r="AZ88" s="65">
        <f t="shared" si="138"/>
        <v>0</v>
      </c>
      <c r="BA88" s="65">
        <f t="shared" si="139"/>
        <v>0</v>
      </c>
      <c r="BB88" s="65">
        <f t="shared" si="140"/>
        <v>0</v>
      </c>
      <c r="BC88" s="65">
        <f t="shared" si="141"/>
        <v>0</v>
      </c>
      <c r="BD88" s="65">
        <f t="shared" si="142"/>
        <v>0</v>
      </c>
      <c r="BE88" s="65">
        <f t="shared" si="143"/>
        <v>0</v>
      </c>
      <c r="BF88" s="65">
        <f t="shared" si="144"/>
        <v>0</v>
      </c>
      <c r="BG88" s="65">
        <f t="shared" si="145"/>
        <v>0</v>
      </c>
      <c r="BH88" s="65">
        <f t="shared" si="146"/>
        <v>0</v>
      </c>
      <c r="BI88" s="65">
        <f t="shared" si="147"/>
        <v>0</v>
      </c>
      <c r="BJ88" s="65">
        <f t="shared" si="148"/>
        <v>0</v>
      </c>
      <c r="BK88" s="65">
        <f t="shared" si="149"/>
        <v>0</v>
      </c>
      <c r="BL88" s="65">
        <f t="shared" si="150"/>
        <v>0</v>
      </c>
      <c r="BM88" s="65">
        <f t="shared" si="151"/>
        <v>0</v>
      </c>
      <c r="BN88" s="65">
        <f t="shared" si="152"/>
        <v>0</v>
      </c>
      <c r="BO88" s="66"/>
    </row>
    <row r="89" spans="1:67" ht="13.5" customHeight="1">
      <c r="A89" s="560" t="s">
        <v>249</v>
      </c>
      <c r="B89" s="560" t="s">
        <v>208</v>
      </c>
      <c r="C89" s="63" t="s">
        <v>209</v>
      </c>
      <c r="D89" s="561" t="s">
        <v>87</v>
      </c>
      <c r="E89" s="64" t="s">
        <v>147</v>
      </c>
      <c r="F89" s="63">
        <v>12500</v>
      </c>
      <c r="G89" s="63">
        <v>1</v>
      </c>
      <c r="H89" s="63">
        <v>1</v>
      </c>
      <c r="I89" s="63">
        <v>1</v>
      </c>
      <c r="J89" s="63">
        <v>1</v>
      </c>
      <c r="K89" s="63">
        <v>1</v>
      </c>
      <c r="L89" s="63">
        <v>1</v>
      </c>
      <c r="M89" s="63">
        <v>1</v>
      </c>
      <c r="N89" s="63">
        <v>1</v>
      </c>
      <c r="O89" s="63">
        <v>1</v>
      </c>
      <c r="P89" s="63">
        <v>1</v>
      </c>
      <c r="Q89" s="63">
        <v>1</v>
      </c>
      <c r="R89" s="63">
        <v>1</v>
      </c>
      <c r="S89" s="63">
        <v>1</v>
      </c>
      <c r="T89" s="63">
        <v>1</v>
      </c>
      <c r="U89" s="63">
        <v>1</v>
      </c>
      <c r="V89" s="63">
        <v>1</v>
      </c>
      <c r="W89" s="63">
        <v>1</v>
      </c>
      <c r="X89" s="63">
        <v>1</v>
      </c>
      <c r="Y89" s="63">
        <v>1</v>
      </c>
      <c r="Z89" s="63">
        <v>1</v>
      </c>
      <c r="AA89" s="63">
        <v>1</v>
      </c>
      <c r="AB89" s="63">
        <v>1</v>
      </c>
      <c r="AC89" s="63">
        <v>1</v>
      </c>
      <c r="AD89" s="63">
        <v>1</v>
      </c>
      <c r="AE89" s="63">
        <v>1</v>
      </c>
      <c r="AF89" s="63">
        <v>1</v>
      </c>
      <c r="AG89" s="63">
        <v>1</v>
      </c>
      <c r="AH89" s="63">
        <v>1</v>
      </c>
      <c r="AI89" s="63">
        <v>1</v>
      </c>
      <c r="AJ89" s="63">
        <v>1</v>
      </c>
      <c r="AK89" s="65">
        <f t="shared" si="123"/>
        <v>12500</v>
      </c>
      <c r="AL89" s="65">
        <f t="shared" si="124"/>
        <v>12500</v>
      </c>
      <c r="AM89" s="65">
        <f t="shared" si="125"/>
        <v>12500</v>
      </c>
      <c r="AN89" s="65">
        <f t="shared" si="126"/>
        <v>12500</v>
      </c>
      <c r="AO89" s="65">
        <f t="shared" si="127"/>
        <v>12500</v>
      </c>
      <c r="AP89" s="65">
        <f t="shared" si="128"/>
        <v>12500</v>
      </c>
      <c r="AQ89" s="65">
        <f t="shared" si="129"/>
        <v>12500</v>
      </c>
      <c r="AR89" s="65">
        <f t="shared" si="130"/>
        <v>12500</v>
      </c>
      <c r="AS89" s="65">
        <f t="shared" si="131"/>
        <v>12500</v>
      </c>
      <c r="AT89" s="65">
        <f t="shared" si="132"/>
        <v>12500</v>
      </c>
      <c r="AU89" s="65">
        <f t="shared" si="133"/>
        <v>12500</v>
      </c>
      <c r="AV89" s="65">
        <f t="shared" si="134"/>
        <v>12500</v>
      </c>
      <c r="AW89" s="65">
        <f t="shared" si="135"/>
        <v>12500</v>
      </c>
      <c r="AX89" s="65">
        <f t="shared" si="136"/>
        <v>12500</v>
      </c>
      <c r="AY89" s="65">
        <f t="shared" si="137"/>
        <v>12500</v>
      </c>
      <c r="AZ89" s="65">
        <f t="shared" si="138"/>
        <v>12500</v>
      </c>
      <c r="BA89" s="65">
        <f t="shared" si="139"/>
        <v>12500</v>
      </c>
      <c r="BB89" s="65">
        <f t="shared" si="140"/>
        <v>12500</v>
      </c>
      <c r="BC89" s="65">
        <f t="shared" si="141"/>
        <v>12500</v>
      </c>
      <c r="BD89" s="65">
        <f t="shared" si="142"/>
        <v>12500</v>
      </c>
      <c r="BE89" s="65">
        <f t="shared" si="143"/>
        <v>12500</v>
      </c>
      <c r="BF89" s="65">
        <f t="shared" si="144"/>
        <v>12500</v>
      </c>
      <c r="BG89" s="65">
        <f t="shared" si="145"/>
        <v>12500</v>
      </c>
      <c r="BH89" s="65">
        <f t="shared" si="146"/>
        <v>12500</v>
      </c>
      <c r="BI89" s="65">
        <f t="shared" si="147"/>
        <v>12500</v>
      </c>
      <c r="BJ89" s="65">
        <f t="shared" si="148"/>
        <v>12500</v>
      </c>
      <c r="BK89" s="65">
        <f t="shared" si="149"/>
        <v>12500</v>
      </c>
      <c r="BL89" s="65">
        <f t="shared" si="150"/>
        <v>12500</v>
      </c>
      <c r="BM89" s="65">
        <f t="shared" si="151"/>
        <v>12500</v>
      </c>
      <c r="BN89" s="65">
        <f t="shared" si="152"/>
        <v>12500</v>
      </c>
      <c r="BO89" s="66"/>
    </row>
    <row r="90" spans="1:67" ht="13.5" customHeight="1">
      <c r="A90" s="560" t="s">
        <v>249</v>
      </c>
      <c r="B90" s="560" t="s">
        <v>208</v>
      </c>
      <c r="C90" s="63" t="s">
        <v>209</v>
      </c>
      <c r="D90" s="561" t="s">
        <v>101</v>
      </c>
      <c r="E90" s="64" t="s">
        <v>147</v>
      </c>
      <c r="F90" s="63">
        <v>12500</v>
      </c>
      <c r="G90" s="63">
        <v>1</v>
      </c>
      <c r="H90" s="63">
        <v>1</v>
      </c>
      <c r="I90" s="63">
        <v>1</v>
      </c>
      <c r="J90" s="63">
        <v>1</v>
      </c>
      <c r="K90" s="63">
        <v>1</v>
      </c>
      <c r="L90" s="63">
        <v>1</v>
      </c>
      <c r="M90" s="63">
        <v>1</v>
      </c>
      <c r="N90" s="63">
        <v>1</v>
      </c>
      <c r="O90" s="63">
        <v>1</v>
      </c>
      <c r="P90" s="63">
        <v>1</v>
      </c>
      <c r="Q90" s="63">
        <v>1</v>
      </c>
      <c r="R90" s="63">
        <v>1</v>
      </c>
      <c r="S90" s="63">
        <v>1</v>
      </c>
      <c r="T90" s="63">
        <v>1</v>
      </c>
      <c r="U90" s="63">
        <v>1</v>
      </c>
      <c r="V90" s="63">
        <v>1</v>
      </c>
      <c r="W90" s="63">
        <v>1</v>
      </c>
      <c r="X90" s="63">
        <v>1</v>
      </c>
      <c r="Y90" s="63">
        <v>1</v>
      </c>
      <c r="Z90" s="63">
        <v>1</v>
      </c>
      <c r="AA90" s="63">
        <v>1</v>
      </c>
      <c r="AB90" s="63">
        <v>1</v>
      </c>
      <c r="AC90" s="63">
        <v>1</v>
      </c>
      <c r="AD90" s="63">
        <v>1</v>
      </c>
      <c r="AE90" s="63">
        <v>1</v>
      </c>
      <c r="AF90" s="63">
        <v>1</v>
      </c>
      <c r="AG90" s="63">
        <v>1</v>
      </c>
      <c r="AH90" s="63">
        <v>1</v>
      </c>
      <c r="AI90" s="63">
        <v>1</v>
      </c>
      <c r="AJ90" s="63">
        <v>1</v>
      </c>
      <c r="AK90" s="65">
        <f t="shared" si="123"/>
        <v>12500</v>
      </c>
      <c r="AL90" s="65">
        <f t="shared" si="124"/>
        <v>12500</v>
      </c>
      <c r="AM90" s="65">
        <f t="shared" si="125"/>
        <v>12500</v>
      </c>
      <c r="AN90" s="65">
        <f t="shared" si="126"/>
        <v>12500</v>
      </c>
      <c r="AO90" s="65">
        <f t="shared" si="127"/>
        <v>12500</v>
      </c>
      <c r="AP90" s="65">
        <f t="shared" si="128"/>
        <v>12500</v>
      </c>
      <c r="AQ90" s="65">
        <f t="shared" si="129"/>
        <v>12500</v>
      </c>
      <c r="AR90" s="65">
        <f t="shared" si="130"/>
        <v>12500</v>
      </c>
      <c r="AS90" s="65">
        <f t="shared" si="131"/>
        <v>12500</v>
      </c>
      <c r="AT90" s="65">
        <f t="shared" si="132"/>
        <v>12500</v>
      </c>
      <c r="AU90" s="65">
        <f t="shared" si="133"/>
        <v>12500</v>
      </c>
      <c r="AV90" s="65">
        <f t="shared" si="134"/>
        <v>12500</v>
      </c>
      <c r="AW90" s="65">
        <f t="shared" si="135"/>
        <v>12500</v>
      </c>
      <c r="AX90" s="65">
        <f t="shared" si="136"/>
        <v>12500</v>
      </c>
      <c r="AY90" s="65">
        <f t="shared" si="137"/>
        <v>12500</v>
      </c>
      <c r="AZ90" s="65">
        <f t="shared" si="138"/>
        <v>12500</v>
      </c>
      <c r="BA90" s="65">
        <f t="shared" si="139"/>
        <v>12500</v>
      </c>
      <c r="BB90" s="65">
        <f t="shared" si="140"/>
        <v>12500</v>
      </c>
      <c r="BC90" s="65">
        <f t="shared" si="141"/>
        <v>12500</v>
      </c>
      <c r="BD90" s="65">
        <f t="shared" si="142"/>
        <v>12500</v>
      </c>
      <c r="BE90" s="65">
        <f t="shared" si="143"/>
        <v>12500</v>
      </c>
      <c r="BF90" s="65">
        <f t="shared" si="144"/>
        <v>12500</v>
      </c>
      <c r="BG90" s="65">
        <f t="shared" si="145"/>
        <v>12500</v>
      </c>
      <c r="BH90" s="65">
        <f t="shared" si="146"/>
        <v>12500</v>
      </c>
      <c r="BI90" s="65">
        <f t="shared" si="147"/>
        <v>12500</v>
      </c>
      <c r="BJ90" s="65">
        <f t="shared" si="148"/>
        <v>12500</v>
      </c>
      <c r="BK90" s="65">
        <f t="shared" si="149"/>
        <v>12500</v>
      </c>
      <c r="BL90" s="65">
        <f t="shared" si="150"/>
        <v>12500</v>
      </c>
      <c r="BM90" s="65">
        <f t="shared" si="151"/>
        <v>12500</v>
      </c>
      <c r="BN90" s="65">
        <f t="shared" si="152"/>
        <v>12500</v>
      </c>
      <c r="BO90" s="66"/>
    </row>
    <row r="91" spans="1:67" ht="13.5" customHeight="1">
      <c r="A91" s="560" t="s">
        <v>249</v>
      </c>
      <c r="B91" s="560" t="s">
        <v>208</v>
      </c>
      <c r="C91" s="63" t="s">
        <v>209</v>
      </c>
      <c r="D91" s="561" t="s">
        <v>102</v>
      </c>
      <c r="E91" s="64" t="s">
        <v>147</v>
      </c>
      <c r="F91" s="63">
        <v>12500</v>
      </c>
      <c r="G91" s="63">
        <v>1</v>
      </c>
      <c r="H91" s="63">
        <v>1</v>
      </c>
      <c r="I91" s="63">
        <v>1</v>
      </c>
      <c r="J91" s="63">
        <v>1</v>
      </c>
      <c r="K91" s="63">
        <v>1</v>
      </c>
      <c r="L91" s="63">
        <v>1</v>
      </c>
      <c r="M91" s="63">
        <v>1</v>
      </c>
      <c r="N91" s="63">
        <v>1</v>
      </c>
      <c r="O91" s="63">
        <v>1</v>
      </c>
      <c r="P91" s="63">
        <v>1</v>
      </c>
      <c r="Q91" s="63">
        <v>1</v>
      </c>
      <c r="R91" s="63">
        <v>1</v>
      </c>
      <c r="S91" s="63">
        <v>1</v>
      </c>
      <c r="T91" s="63">
        <v>1</v>
      </c>
      <c r="U91" s="63">
        <v>1</v>
      </c>
      <c r="V91" s="63">
        <v>1</v>
      </c>
      <c r="W91" s="63">
        <v>1</v>
      </c>
      <c r="X91" s="63">
        <v>1</v>
      </c>
      <c r="Y91" s="63">
        <v>1</v>
      </c>
      <c r="Z91" s="63">
        <v>1</v>
      </c>
      <c r="AA91" s="63">
        <v>1</v>
      </c>
      <c r="AB91" s="63">
        <v>1</v>
      </c>
      <c r="AC91" s="63">
        <v>1</v>
      </c>
      <c r="AD91" s="63">
        <v>1</v>
      </c>
      <c r="AE91" s="63">
        <v>1</v>
      </c>
      <c r="AF91" s="63">
        <v>1</v>
      </c>
      <c r="AG91" s="63">
        <v>1</v>
      </c>
      <c r="AH91" s="63">
        <v>1</v>
      </c>
      <c r="AI91" s="63">
        <v>1</v>
      </c>
      <c r="AJ91" s="63">
        <v>1</v>
      </c>
      <c r="AK91" s="65">
        <f t="shared" si="123"/>
        <v>12500</v>
      </c>
      <c r="AL91" s="65">
        <f t="shared" si="124"/>
        <v>12500</v>
      </c>
      <c r="AM91" s="65">
        <f t="shared" si="125"/>
        <v>12500</v>
      </c>
      <c r="AN91" s="65">
        <f t="shared" si="126"/>
        <v>12500</v>
      </c>
      <c r="AO91" s="65">
        <f t="shared" si="127"/>
        <v>12500</v>
      </c>
      <c r="AP91" s="65">
        <f t="shared" si="128"/>
        <v>12500</v>
      </c>
      <c r="AQ91" s="65">
        <f t="shared" si="129"/>
        <v>12500</v>
      </c>
      <c r="AR91" s="65">
        <f t="shared" si="130"/>
        <v>12500</v>
      </c>
      <c r="AS91" s="65">
        <f t="shared" si="131"/>
        <v>12500</v>
      </c>
      <c r="AT91" s="65">
        <f t="shared" si="132"/>
        <v>12500</v>
      </c>
      <c r="AU91" s="65">
        <f t="shared" si="133"/>
        <v>12500</v>
      </c>
      <c r="AV91" s="65">
        <f t="shared" si="134"/>
        <v>12500</v>
      </c>
      <c r="AW91" s="65">
        <f t="shared" si="135"/>
        <v>12500</v>
      </c>
      <c r="AX91" s="65">
        <f t="shared" si="136"/>
        <v>12500</v>
      </c>
      <c r="AY91" s="65">
        <f t="shared" si="137"/>
        <v>12500</v>
      </c>
      <c r="AZ91" s="65">
        <f t="shared" si="138"/>
        <v>12500</v>
      </c>
      <c r="BA91" s="65">
        <f t="shared" si="139"/>
        <v>12500</v>
      </c>
      <c r="BB91" s="65">
        <f t="shared" si="140"/>
        <v>12500</v>
      </c>
      <c r="BC91" s="65">
        <f t="shared" si="141"/>
        <v>12500</v>
      </c>
      <c r="BD91" s="65">
        <f t="shared" si="142"/>
        <v>12500</v>
      </c>
      <c r="BE91" s="65">
        <f t="shared" si="143"/>
        <v>12500</v>
      </c>
      <c r="BF91" s="65">
        <f t="shared" si="144"/>
        <v>12500</v>
      </c>
      <c r="BG91" s="65">
        <f t="shared" si="145"/>
        <v>12500</v>
      </c>
      <c r="BH91" s="65">
        <f t="shared" si="146"/>
        <v>12500</v>
      </c>
      <c r="BI91" s="65">
        <f t="shared" si="147"/>
        <v>12500</v>
      </c>
      <c r="BJ91" s="65">
        <f t="shared" si="148"/>
        <v>12500</v>
      </c>
      <c r="BK91" s="65">
        <f t="shared" si="149"/>
        <v>12500</v>
      </c>
      <c r="BL91" s="65">
        <f t="shared" si="150"/>
        <v>12500</v>
      </c>
      <c r="BM91" s="65">
        <f t="shared" si="151"/>
        <v>12500</v>
      </c>
      <c r="BN91" s="65">
        <f t="shared" si="152"/>
        <v>12500</v>
      </c>
      <c r="BO91" s="66"/>
    </row>
    <row r="92" spans="1:67" ht="13.5" customHeight="1">
      <c r="A92" s="560" t="s">
        <v>250</v>
      </c>
      <c r="B92" s="560" t="s">
        <v>190</v>
      </c>
      <c r="C92" s="63" t="s">
        <v>196</v>
      </c>
      <c r="D92" s="561" t="s">
        <v>196</v>
      </c>
      <c r="E92" s="64" t="s">
        <v>147</v>
      </c>
      <c r="F92" s="63">
        <f>800000+(1%*'Painel de controle'!B23*1000)+(1%*2000000)</f>
        <v>1520780.3092180002</v>
      </c>
      <c r="G92" s="63">
        <v>1</v>
      </c>
      <c r="H92" s="63"/>
      <c r="I92" s="63"/>
      <c r="J92" s="63"/>
      <c r="K92" s="63"/>
      <c r="L92" s="63"/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  <c r="AB92" s="63"/>
      <c r="AC92" s="63"/>
      <c r="AD92" s="63"/>
      <c r="AE92" s="63"/>
      <c r="AF92" s="63"/>
      <c r="AG92" s="63"/>
      <c r="AH92" s="63"/>
      <c r="AI92" s="63"/>
      <c r="AJ92" s="63"/>
      <c r="AK92" s="65">
        <f t="shared" si="123"/>
        <v>1520780.3092180002</v>
      </c>
      <c r="AL92" s="65">
        <f t="shared" si="124"/>
        <v>0</v>
      </c>
      <c r="AM92" s="65">
        <f t="shared" si="125"/>
        <v>0</v>
      </c>
      <c r="AN92" s="65">
        <f t="shared" si="126"/>
        <v>0</v>
      </c>
      <c r="AO92" s="65">
        <f t="shared" si="127"/>
        <v>0</v>
      </c>
      <c r="AP92" s="65">
        <f t="shared" si="128"/>
        <v>0</v>
      </c>
      <c r="AQ92" s="65">
        <f t="shared" si="129"/>
        <v>0</v>
      </c>
      <c r="AR92" s="65">
        <f t="shared" si="130"/>
        <v>0</v>
      </c>
      <c r="AS92" s="65">
        <f t="shared" si="131"/>
        <v>0</v>
      </c>
      <c r="AT92" s="65">
        <f t="shared" si="132"/>
        <v>0</v>
      </c>
      <c r="AU92" s="65">
        <f t="shared" si="133"/>
        <v>0</v>
      </c>
      <c r="AV92" s="65">
        <f t="shared" si="134"/>
        <v>0</v>
      </c>
      <c r="AW92" s="65">
        <f t="shared" si="135"/>
        <v>0</v>
      </c>
      <c r="AX92" s="65">
        <f t="shared" si="136"/>
        <v>0</v>
      </c>
      <c r="AY92" s="65">
        <f t="shared" si="137"/>
        <v>0</v>
      </c>
      <c r="AZ92" s="65">
        <f t="shared" si="138"/>
        <v>0</v>
      </c>
      <c r="BA92" s="65">
        <f t="shared" si="139"/>
        <v>0</v>
      </c>
      <c r="BB92" s="65">
        <f t="shared" si="140"/>
        <v>0</v>
      </c>
      <c r="BC92" s="65">
        <f t="shared" si="141"/>
        <v>0</v>
      </c>
      <c r="BD92" s="65">
        <f t="shared" si="142"/>
        <v>0</v>
      </c>
      <c r="BE92" s="65">
        <f t="shared" si="143"/>
        <v>0</v>
      </c>
      <c r="BF92" s="65">
        <f t="shared" si="144"/>
        <v>0</v>
      </c>
      <c r="BG92" s="65">
        <f t="shared" si="145"/>
        <v>0</v>
      </c>
      <c r="BH92" s="65">
        <f t="shared" si="146"/>
        <v>0</v>
      </c>
      <c r="BI92" s="65">
        <f t="shared" si="147"/>
        <v>0</v>
      </c>
      <c r="BJ92" s="65">
        <f t="shared" si="148"/>
        <v>0</v>
      </c>
      <c r="BK92" s="65">
        <f t="shared" si="149"/>
        <v>0</v>
      </c>
      <c r="BL92" s="65">
        <f t="shared" si="150"/>
        <v>0</v>
      </c>
      <c r="BM92" s="65">
        <f t="shared" si="151"/>
        <v>0</v>
      </c>
      <c r="BN92" s="65">
        <f t="shared" si="152"/>
        <v>0</v>
      </c>
      <c r="BO92" s="66"/>
    </row>
    <row r="93" spans="1:67" ht="13.5" customHeight="1">
      <c r="A93" s="560" t="s">
        <v>251</v>
      </c>
      <c r="B93" s="560" t="s">
        <v>190</v>
      </c>
      <c r="C93" s="63" t="s">
        <v>196</v>
      </c>
      <c r="D93" s="561" t="s">
        <v>196</v>
      </c>
      <c r="E93" s="64" t="s">
        <v>147</v>
      </c>
      <c r="F93" s="63">
        <v>500000</v>
      </c>
      <c r="G93" s="63">
        <v>1</v>
      </c>
      <c r="H93" s="63"/>
      <c r="I93" s="63"/>
      <c r="J93" s="63"/>
      <c r="K93" s="63"/>
      <c r="L93" s="63"/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  <c r="AB93" s="63"/>
      <c r="AC93" s="63"/>
      <c r="AD93" s="63"/>
      <c r="AE93" s="63"/>
      <c r="AF93" s="63"/>
      <c r="AG93" s="63"/>
      <c r="AH93" s="63"/>
      <c r="AI93" s="63"/>
      <c r="AJ93" s="63"/>
      <c r="AK93" s="65">
        <f t="shared" si="123"/>
        <v>500000</v>
      </c>
      <c r="AL93" s="65">
        <f t="shared" si="124"/>
        <v>0</v>
      </c>
      <c r="AM93" s="65">
        <f t="shared" si="125"/>
        <v>0</v>
      </c>
      <c r="AN93" s="65">
        <f t="shared" si="126"/>
        <v>0</v>
      </c>
      <c r="AO93" s="65">
        <f t="shared" si="127"/>
        <v>0</v>
      </c>
      <c r="AP93" s="65">
        <f t="shared" si="128"/>
        <v>0</v>
      </c>
      <c r="AQ93" s="65">
        <f t="shared" si="129"/>
        <v>0</v>
      </c>
      <c r="AR93" s="65">
        <f t="shared" si="130"/>
        <v>0</v>
      </c>
      <c r="AS93" s="65">
        <f t="shared" si="131"/>
        <v>0</v>
      </c>
      <c r="AT93" s="65">
        <f t="shared" si="132"/>
        <v>0</v>
      </c>
      <c r="AU93" s="65">
        <f t="shared" si="133"/>
        <v>0</v>
      </c>
      <c r="AV93" s="65">
        <f t="shared" si="134"/>
        <v>0</v>
      </c>
      <c r="AW93" s="65">
        <f t="shared" si="135"/>
        <v>0</v>
      </c>
      <c r="AX93" s="65">
        <f t="shared" si="136"/>
        <v>0</v>
      </c>
      <c r="AY93" s="65">
        <f t="shared" si="137"/>
        <v>0</v>
      </c>
      <c r="AZ93" s="65">
        <f t="shared" si="138"/>
        <v>0</v>
      </c>
      <c r="BA93" s="65">
        <f t="shared" si="139"/>
        <v>0</v>
      </c>
      <c r="BB93" s="65">
        <f t="shared" si="140"/>
        <v>0</v>
      </c>
      <c r="BC93" s="65">
        <f t="shared" si="141"/>
        <v>0</v>
      </c>
      <c r="BD93" s="65">
        <f t="shared" si="142"/>
        <v>0</v>
      </c>
      <c r="BE93" s="65">
        <f t="shared" si="143"/>
        <v>0</v>
      </c>
      <c r="BF93" s="65">
        <f t="shared" si="144"/>
        <v>0</v>
      </c>
      <c r="BG93" s="65">
        <f t="shared" si="145"/>
        <v>0</v>
      </c>
      <c r="BH93" s="65">
        <f t="shared" si="146"/>
        <v>0</v>
      </c>
      <c r="BI93" s="65">
        <f t="shared" si="147"/>
        <v>0</v>
      </c>
      <c r="BJ93" s="65">
        <f t="shared" si="148"/>
        <v>0</v>
      </c>
      <c r="BK93" s="65">
        <f t="shared" si="149"/>
        <v>0</v>
      </c>
      <c r="BL93" s="65">
        <f t="shared" si="150"/>
        <v>0</v>
      </c>
      <c r="BM93" s="65">
        <f t="shared" si="151"/>
        <v>0</v>
      </c>
      <c r="BN93" s="65">
        <f t="shared" si="152"/>
        <v>0</v>
      </c>
      <c r="BO93" s="66"/>
    </row>
    <row r="94" spans="1:67" ht="13.5" customHeight="1">
      <c r="A94" s="560"/>
      <c r="B94" s="560"/>
      <c r="C94" s="63"/>
      <c r="D94" s="561"/>
      <c r="E94" s="64"/>
      <c r="F94" s="63"/>
      <c r="G94" s="63"/>
      <c r="H94" s="63"/>
      <c r="I94" s="63"/>
      <c r="J94" s="63"/>
      <c r="K94" s="63"/>
      <c r="L94" s="63"/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  <c r="AB94" s="63"/>
      <c r="AC94" s="63"/>
      <c r="AD94" s="63"/>
      <c r="AE94" s="63"/>
      <c r="AF94" s="63"/>
      <c r="AG94" s="63"/>
      <c r="AH94" s="63"/>
      <c r="AI94" s="63"/>
      <c r="AJ94" s="63"/>
      <c r="AK94" s="65">
        <f t="shared" si="123"/>
        <v>0</v>
      </c>
      <c r="AL94" s="65">
        <f t="shared" si="124"/>
        <v>0</v>
      </c>
      <c r="AM94" s="65">
        <f t="shared" si="125"/>
        <v>0</v>
      </c>
      <c r="AN94" s="65">
        <f t="shared" si="126"/>
        <v>0</v>
      </c>
      <c r="AO94" s="65">
        <f t="shared" si="127"/>
        <v>0</v>
      </c>
      <c r="AP94" s="65">
        <f t="shared" si="128"/>
        <v>0</v>
      </c>
      <c r="AQ94" s="65">
        <f t="shared" si="129"/>
        <v>0</v>
      </c>
      <c r="AR94" s="65">
        <f t="shared" si="130"/>
        <v>0</v>
      </c>
      <c r="AS94" s="65">
        <f t="shared" si="131"/>
        <v>0</v>
      </c>
      <c r="AT94" s="65">
        <f t="shared" si="132"/>
        <v>0</v>
      </c>
      <c r="AU94" s="65">
        <f t="shared" si="133"/>
        <v>0</v>
      </c>
      <c r="AV94" s="65">
        <f t="shared" si="134"/>
        <v>0</v>
      </c>
      <c r="AW94" s="65">
        <f t="shared" si="135"/>
        <v>0</v>
      </c>
      <c r="AX94" s="65">
        <f t="shared" si="136"/>
        <v>0</v>
      </c>
      <c r="AY94" s="65">
        <f t="shared" si="137"/>
        <v>0</v>
      </c>
      <c r="AZ94" s="65">
        <f t="shared" si="138"/>
        <v>0</v>
      </c>
      <c r="BA94" s="65">
        <f t="shared" si="139"/>
        <v>0</v>
      </c>
      <c r="BB94" s="65">
        <f t="shared" si="140"/>
        <v>0</v>
      </c>
      <c r="BC94" s="65">
        <f t="shared" si="141"/>
        <v>0</v>
      </c>
      <c r="BD94" s="65">
        <f t="shared" si="142"/>
        <v>0</v>
      </c>
      <c r="BE94" s="65">
        <f t="shared" si="143"/>
        <v>0</v>
      </c>
      <c r="BF94" s="65">
        <f t="shared" si="144"/>
        <v>0</v>
      </c>
      <c r="BG94" s="65">
        <f t="shared" si="145"/>
        <v>0</v>
      </c>
      <c r="BH94" s="65">
        <f t="shared" si="146"/>
        <v>0</v>
      </c>
      <c r="BI94" s="65">
        <f t="shared" si="147"/>
        <v>0</v>
      </c>
      <c r="BJ94" s="65">
        <f t="shared" si="148"/>
        <v>0</v>
      </c>
      <c r="BK94" s="65">
        <f t="shared" si="149"/>
        <v>0</v>
      </c>
      <c r="BL94" s="65">
        <f t="shared" si="150"/>
        <v>0</v>
      </c>
      <c r="BM94" s="65">
        <f t="shared" si="151"/>
        <v>0</v>
      </c>
      <c r="BN94" s="65">
        <f t="shared" si="152"/>
        <v>0</v>
      </c>
      <c r="BO94" s="66"/>
    </row>
    <row r="95" spans="1:67" ht="13.5" customHeight="1">
      <c r="A95" s="560"/>
      <c r="B95" s="560"/>
      <c r="C95" s="63"/>
      <c r="D95" s="561"/>
      <c r="E95" s="64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5">
        <f t="shared" si="123"/>
        <v>0</v>
      </c>
      <c r="AL95" s="65">
        <f t="shared" si="124"/>
        <v>0</v>
      </c>
      <c r="AM95" s="65">
        <f t="shared" si="125"/>
        <v>0</v>
      </c>
      <c r="AN95" s="65">
        <f t="shared" si="126"/>
        <v>0</v>
      </c>
      <c r="AO95" s="65">
        <f t="shared" si="127"/>
        <v>0</v>
      </c>
      <c r="AP95" s="65">
        <f t="shared" si="128"/>
        <v>0</v>
      </c>
      <c r="AQ95" s="65">
        <f t="shared" si="129"/>
        <v>0</v>
      </c>
      <c r="AR95" s="65">
        <f t="shared" si="130"/>
        <v>0</v>
      </c>
      <c r="AS95" s="65">
        <f t="shared" si="131"/>
        <v>0</v>
      </c>
      <c r="AT95" s="65">
        <f t="shared" si="132"/>
        <v>0</v>
      </c>
      <c r="AU95" s="65">
        <f t="shared" si="133"/>
        <v>0</v>
      </c>
      <c r="AV95" s="65">
        <f t="shared" si="134"/>
        <v>0</v>
      </c>
      <c r="AW95" s="65">
        <f t="shared" si="135"/>
        <v>0</v>
      </c>
      <c r="AX95" s="65">
        <f t="shared" si="136"/>
        <v>0</v>
      </c>
      <c r="AY95" s="65">
        <f t="shared" si="137"/>
        <v>0</v>
      </c>
      <c r="AZ95" s="65">
        <f t="shared" si="138"/>
        <v>0</v>
      </c>
      <c r="BA95" s="65">
        <f t="shared" si="139"/>
        <v>0</v>
      </c>
      <c r="BB95" s="65">
        <f t="shared" si="140"/>
        <v>0</v>
      </c>
      <c r="BC95" s="65">
        <f t="shared" si="141"/>
        <v>0</v>
      </c>
      <c r="BD95" s="65">
        <f t="shared" si="142"/>
        <v>0</v>
      </c>
      <c r="BE95" s="65">
        <f t="shared" si="143"/>
        <v>0</v>
      </c>
      <c r="BF95" s="65">
        <f t="shared" si="144"/>
        <v>0</v>
      </c>
      <c r="BG95" s="65">
        <f t="shared" si="145"/>
        <v>0</v>
      </c>
      <c r="BH95" s="65">
        <f t="shared" si="146"/>
        <v>0</v>
      </c>
      <c r="BI95" s="65">
        <f t="shared" si="147"/>
        <v>0</v>
      </c>
      <c r="BJ95" s="65">
        <f t="shared" si="148"/>
        <v>0</v>
      </c>
      <c r="BK95" s="65">
        <f t="shared" si="149"/>
        <v>0</v>
      </c>
      <c r="BL95" s="65">
        <f t="shared" si="150"/>
        <v>0</v>
      </c>
      <c r="BM95" s="65">
        <f t="shared" si="151"/>
        <v>0</v>
      </c>
      <c r="BN95" s="65">
        <f t="shared" si="152"/>
        <v>0</v>
      </c>
      <c r="BO95" s="66"/>
    </row>
    <row r="96" spans="1:67" ht="13.5" customHeight="1">
      <c r="A96" s="560"/>
      <c r="B96" s="560"/>
      <c r="C96" s="63"/>
      <c r="D96" s="561"/>
      <c r="E96" s="64"/>
      <c r="F96" s="63"/>
      <c r="G96" s="63"/>
      <c r="H96" s="63"/>
      <c r="I96" s="63"/>
      <c r="J96" s="63"/>
      <c r="K96" s="63"/>
      <c r="L96" s="63"/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  <c r="AB96" s="63"/>
      <c r="AC96" s="63"/>
      <c r="AD96" s="63"/>
      <c r="AE96" s="63"/>
      <c r="AF96" s="63"/>
      <c r="AG96" s="63"/>
      <c r="AH96" s="63"/>
      <c r="AI96" s="63"/>
      <c r="AJ96" s="63"/>
      <c r="AK96" s="65">
        <f t="shared" si="123"/>
        <v>0</v>
      </c>
      <c r="AL96" s="65">
        <f t="shared" si="124"/>
        <v>0</v>
      </c>
      <c r="AM96" s="65">
        <f t="shared" si="125"/>
        <v>0</v>
      </c>
      <c r="AN96" s="65">
        <f t="shared" si="126"/>
        <v>0</v>
      </c>
      <c r="AO96" s="65">
        <f t="shared" si="127"/>
        <v>0</v>
      </c>
      <c r="AP96" s="65">
        <f t="shared" si="128"/>
        <v>0</v>
      </c>
      <c r="AQ96" s="65">
        <f t="shared" si="129"/>
        <v>0</v>
      </c>
      <c r="AR96" s="65">
        <f t="shared" si="130"/>
        <v>0</v>
      </c>
      <c r="AS96" s="65">
        <f t="shared" si="131"/>
        <v>0</v>
      </c>
      <c r="AT96" s="65">
        <f t="shared" si="132"/>
        <v>0</v>
      </c>
      <c r="AU96" s="65">
        <f t="shared" si="133"/>
        <v>0</v>
      </c>
      <c r="AV96" s="65">
        <f t="shared" si="134"/>
        <v>0</v>
      </c>
      <c r="AW96" s="65">
        <f t="shared" si="135"/>
        <v>0</v>
      </c>
      <c r="AX96" s="65">
        <f t="shared" si="136"/>
        <v>0</v>
      </c>
      <c r="AY96" s="65">
        <f t="shared" si="137"/>
        <v>0</v>
      </c>
      <c r="AZ96" s="65">
        <f t="shared" si="138"/>
        <v>0</v>
      </c>
      <c r="BA96" s="65">
        <f t="shared" si="139"/>
        <v>0</v>
      </c>
      <c r="BB96" s="65">
        <f t="shared" si="140"/>
        <v>0</v>
      </c>
      <c r="BC96" s="65">
        <f t="shared" si="141"/>
        <v>0</v>
      </c>
      <c r="BD96" s="65">
        <f t="shared" si="142"/>
        <v>0</v>
      </c>
      <c r="BE96" s="65">
        <f t="shared" si="143"/>
        <v>0</v>
      </c>
      <c r="BF96" s="65">
        <f t="shared" si="144"/>
        <v>0</v>
      </c>
      <c r="BG96" s="65">
        <f t="shared" si="145"/>
        <v>0</v>
      </c>
      <c r="BH96" s="65">
        <f t="shared" si="146"/>
        <v>0</v>
      </c>
      <c r="BI96" s="65">
        <f t="shared" si="147"/>
        <v>0</v>
      </c>
      <c r="BJ96" s="65">
        <f t="shared" si="148"/>
        <v>0</v>
      </c>
      <c r="BK96" s="65">
        <f t="shared" si="149"/>
        <v>0</v>
      </c>
      <c r="BL96" s="65">
        <f t="shared" si="150"/>
        <v>0</v>
      </c>
      <c r="BM96" s="65">
        <f t="shared" si="151"/>
        <v>0</v>
      </c>
      <c r="BN96" s="65">
        <f t="shared" si="152"/>
        <v>0</v>
      </c>
      <c r="BO96" s="66"/>
    </row>
    <row r="97" spans="1:67" ht="13.5" customHeight="1">
      <c r="A97" s="560"/>
      <c r="B97" s="560"/>
      <c r="C97" s="63"/>
      <c r="D97" s="561"/>
      <c r="E97" s="64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5">
        <f t="shared" si="123"/>
        <v>0</v>
      </c>
      <c r="AL97" s="65">
        <f t="shared" si="124"/>
        <v>0</v>
      </c>
      <c r="AM97" s="65">
        <f t="shared" si="125"/>
        <v>0</v>
      </c>
      <c r="AN97" s="65">
        <f t="shared" si="126"/>
        <v>0</v>
      </c>
      <c r="AO97" s="65">
        <f t="shared" si="127"/>
        <v>0</v>
      </c>
      <c r="AP97" s="65">
        <f t="shared" si="128"/>
        <v>0</v>
      </c>
      <c r="AQ97" s="65">
        <f t="shared" si="129"/>
        <v>0</v>
      </c>
      <c r="AR97" s="65">
        <f t="shared" si="130"/>
        <v>0</v>
      </c>
      <c r="AS97" s="65">
        <f t="shared" si="131"/>
        <v>0</v>
      </c>
      <c r="AT97" s="65">
        <f t="shared" si="132"/>
        <v>0</v>
      </c>
      <c r="AU97" s="65">
        <f t="shared" si="133"/>
        <v>0</v>
      </c>
      <c r="AV97" s="65">
        <f t="shared" si="134"/>
        <v>0</v>
      </c>
      <c r="AW97" s="65">
        <f t="shared" si="135"/>
        <v>0</v>
      </c>
      <c r="AX97" s="65">
        <f t="shared" si="136"/>
        <v>0</v>
      </c>
      <c r="AY97" s="65">
        <f t="shared" si="137"/>
        <v>0</v>
      </c>
      <c r="AZ97" s="65">
        <f t="shared" si="138"/>
        <v>0</v>
      </c>
      <c r="BA97" s="65">
        <f t="shared" si="139"/>
        <v>0</v>
      </c>
      <c r="BB97" s="65">
        <f t="shared" si="140"/>
        <v>0</v>
      </c>
      <c r="BC97" s="65">
        <f t="shared" si="141"/>
        <v>0</v>
      </c>
      <c r="BD97" s="65">
        <f t="shared" si="142"/>
        <v>0</v>
      </c>
      <c r="BE97" s="65">
        <f t="shared" si="143"/>
        <v>0</v>
      </c>
      <c r="BF97" s="65">
        <f t="shared" si="144"/>
        <v>0</v>
      </c>
      <c r="BG97" s="65">
        <f t="shared" si="145"/>
        <v>0</v>
      </c>
      <c r="BH97" s="65">
        <f t="shared" si="146"/>
        <v>0</v>
      </c>
      <c r="BI97" s="65">
        <f t="shared" si="147"/>
        <v>0</v>
      </c>
      <c r="BJ97" s="65">
        <f t="shared" si="148"/>
        <v>0</v>
      </c>
      <c r="BK97" s="65">
        <f t="shared" si="149"/>
        <v>0</v>
      </c>
      <c r="BL97" s="65">
        <f t="shared" si="150"/>
        <v>0</v>
      </c>
      <c r="BM97" s="65">
        <f t="shared" si="151"/>
        <v>0</v>
      </c>
      <c r="BN97" s="65">
        <f t="shared" si="152"/>
        <v>0</v>
      </c>
      <c r="BO97" s="66"/>
    </row>
    <row r="98" spans="1:67" ht="13.5" customHeight="1">
      <c r="A98" s="560"/>
      <c r="B98" s="560"/>
      <c r="C98" s="63"/>
      <c r="D98" s="561"/>
      <c r="E98" s="64"/>
      <c r="F98" s="63"/>
      <c r="G98" s="63"/>
      <c r="H98" s="63"/>
      <c r="I98" s="63"/>
      <c r="J98" s="63"/>
      <c r="K98" s="63"/>
      <c r="L98" s="63"/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5">
        <f t="shared" si="123"/>
        <v>0</v>
      </c>
      <c r="AL98" s="65">
        <f t="shared" si="124"/>
        <v>0</v>
      </c>
      <c r="AM98" s="65">
        <f t="shared" si="125"/>
        <v>0</v>
      </c>
      <c r="AN98" s="65">
        <f t="shared" si="126"/>
        <v>0</v>
      </c>
      <c r="AO98" s="65">
        <f t="shared" si="127"/>
        <v>0</v>
      </c>
      <c r="AP98" s="65">
        <f t="shared" si="128"/>
        <v>0</v>
      </c>
      <c r="AQ98" s="65">
        <f t="shared" si="129"/>
        <v>0</v>
      </c>
      <c r="AR98" s="65">
        <f t="shared" si="130"/>
        <v>0</v>
      </c>
      <c r="AS98" s="65">
        <f t="shared" si="131"/>
        <v>0</v>
      </c>
      <c r="AT98" s="65">
        <f t="shared" si="132"/>
        <v>0</v>
      </c>
      <c r="AU98" s="65">
        <f t="shared" si="133"/>
        <v>0</v>
      </c>
      <c r="AV98" s="65">
        <f t="shared" si="134"/>
        <v>0</v>
      </c>
      <c r="AW98" s="65">
        <f t="shared" si="135"/>
        <v>0</v>
      </c>
      <c r="AX98" s="65">
        <f t="shared" si="136"/>
        <v>0</v>
      </c>
      <c r="AY98" s="65">
        <f t="shared" si="137"/>
        <v>0</v>
      </c>
      <c r="AZ98" s="65">
        <f t="shared" si="138"/>
        <v>0</v>
      </c>
      <c r="BA98" s="65">
        <f t="shared" si="139"/>
        <v>0</v>
      </c>
      <c r="BB98" s="65">
        <f t="shared" si="140"/>
        <v>0</v>
      </c>
      <c r="BC98" s="65">
        <f t="shared" si="141"/>
        <v>0</v>
      </c>
      <c r="BD98" s="65">
        <f t="shared" si="142"/>
        <v>0</v>
      </c>
      <c r="BE98" s="65">
        <f t="shared" si="143"/>
        <v>0</v>
      </c>
      <c r="BF98" s="65">
        <f t="shared" si="144"/>
        <v>0</v>
      </c>
      <c r="BG98" s="65">
        <f t="shared" si="145"/>
        <v>0</v>
      </c>
      <c r="BH98" s="65">
        <f t="shared" si="146"/>
        <v>0</v>
      </c>
      <c r="BI98" s="65">
        <f t="shared" si="147"/>
        <v>0</v>
      </c>
      <c r="BJ98" s="65">
        <f t="shared" si="148"/>
        <v>0</v>
      </c>
      <c r="BK98" s="65">
        <f t="shared" si="149"/>
        <v>0</v>
      </c>
      <c r="BL98" s="65">
        <f t="shared" si="150"/>
        <v>0</v>
      </c>
      <c r="BM98" s="65">
        <f t="shared" si="151"/>
        <v>0</v>
      </c>
      <c r="BN98" s="65">
        <f t="shared" si="152"/>
        <v>0</v>
      </c>
      <c r="BO98" s="66"/>
    </row>
    <row r="99" spans="1:67" ht="13.5" customHeight="1">
      <c r="A99" s="560"/>
      <c r="B99" s="560"/>
      <c r="C99" s="63"/>
      <c r="D99" s="561"/>
      <c r="E99" s="64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5">
        <f t="shared" si="123"/>
        <v>0</v>
      </c>
      <c r="AL99" s="65">
        <f t="shared" si="124"/>
        <v>0</v>
      </c>
      <c r="AM99" s="65">
        <f t="shared" si="125"/>
        <v>0</v>
      </c>
      <c r="AN99" s="65">
        <f t="shared" si="126"/>
        <v>0</v>
      </c>
      <c r="AO99" s="65">
        <f t="shared" si="127"/>
        <v>0</v>
      </c>
      <c r="AP99" s="65">
        <f t="shared" si="128"/>
        <v>0</v>
      </c>
      <c r="AQ99" s="65">
        <f t="shared" si="129"/>
        <v>0</v>
      </c>
      <c r="AR99" s="65">
        <f t="shared" si="130"/>
        <v>0</v>
      </c>
      <c r="AS99" s="65">
        <f t="shared" si="131"/>
        <v>0</v>
      </c>
      <c r="AT99" s="65">
        <f t="shared" si="132"/>
        <v>0</v>
      </c>
      <c r="AU99" s="65">
        <f t="shared" si="133"/>
        <v>0</v>
      </c>
      <c r="AV99" s="65">
        <f t="shared" si="134"/>
        <v>0</v>
      </c>
      <c r="AW99" s="65">
        <f t="shared" si="135"/>
        <v>0</v>
      </c>
      <c r="AX99" s="65">
        <f t="shared" si="136"/>
        <v>0</v>
      </c>
      <c r="AY99" s="65">
        <f t="shared" si="137"/>
        <v>0</v>
      </c>
      <c r="AZ99" s="65">
        <f t="shared" si="138"/>
        <v>0</v>
      </c>
      <c r="BA99" s="65">
        <f t="shared" si="139"/>
        <v>0</v>
      </c>
      <c r="BB99" s="65">
        <f t="shared" si="140"/>
        <v>0</v>
      </c>
      <c r="BC99" s="65">
        <f t="shared" si="141"/>
        <v>0</v>
      </c>
      <c r="BD99" s="65">
        <f t="shared" si="142"/>
        <v>0</v>
      </c>
      <c r="BE99" s="65">
        <f t="shared" si="143"/>
        <v>0</v>
      </c>
      <c r="BF99" s="65">
        <f t="shared" si="144"/>
        <v>0</v>
      </c>
      <c r="BG99" s="65">
        <f t="shared" si="145"/>
        <v>0</v>
      </c>
      <c r="BH99" s="65">
        <f t="shared" si="146"/>
        <v>0</v>
      </c>
      <c r="BI99" s="65">
        <f t="shared" si="147"/>
        <v>0</v>
      </c>
      <c r="BJ99" s="65">
        <f t="shared" si="148"/>
        <v>0</v>
      </c>
      <c r="BK99" s="65">
        <f t="shared" si="149"/>
        <v>0</v>
      </c>
      <c r="BL99" s="65">
        <f t="shared" si="150"/>
        <v>0</v>
      </c>
      <c r="BM99" s="65">
        <f t="shared" si="151"/>
        <v>0</v>
      </c>
      <c r="BN99" s="65">
        <f t="shared" si="152"/>
        <v>0</v>
      </c>
      <c r="BO99" s="66"/>
    </row>
    <row r="100" spans="1:67" ht="13.5" customHeight="1">
      <c r="A100" s="560"/>
      <c r="B100" s="560"/>
      <c r="C100" s="63"/>
      <c r="D100" s="561"/>
      <c r="E100" s="64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5">
        <f t="shared" si="123"/>
        <v>0</v>
      </c>
      <c r="AL100" s="65">
        <f t="shared" si="124"/>
        <v>0</v>
      </c>
      <c r="AM100" s="65">
        <f t="shared" si="125"/>
        <v>0</v>
      </c>
      <c r="AN100" s="65">
        <f t="shared" si="126"/>
        <v>0</v>
      </c>
      <c r="AO100" s="65">
        <f t="shared" si="127"/>
        <v>0</v>
      </c>
      <c r="AP100" s="65">
        <f t="shared" si="128"/>
        <v>0</v>
      </c>
      <c r="AQ100" s="65">
        <f t="shared" si="129"/>
        <v>0</v>
      </c>
      <c r="AR100" s="65">
        <f t="shared" si="130"/>
        <v>0</v>
      </c>
      <c r="AS100" s="65">
        <f t="shared" si="131"/>
        <v>0</v>
      </c>
      <c r="AT100" s="65">
        <f t="shared" si="132"/>
        <v>0</v>
      </c>
      <c r="AU100" s="65">
        <f t="shared" si="133"/>
        <v>0</v>
      </c>
      <c r="AV100" s="65">
        <f t="shared" si="134"/>
        <v>0</v>
      </c>
      <c r="AW100" s="65">
        <f t="shared" si="135"/>
        <v>0</v>
      </c>
      <c r="AX100" s="65">
        <f t="shared" si="136"/>
        <v>0</v>
      </c>
      <c r="AY100" s="65">
        <f t="shared" si="137"/>
        <v>0</v>
      </c>
      <c r="AZ100" s="65">
        <f t="shared" si="138"/>
        <v>0</v>
      </c>
      <c r="BA100" s="65">
        <f t="shared" si="139"/>
        <v>0</v>
      </c>
      <c r="BB100" s="65">
        <f t="shared" si="140"/>
        <v>0</v>
      </c>
      <c r="BC100" s="65">
        <f t="shared" si="141"/>
        <v>0</v>
      </c>
      <c r="BD100" s="65">
        <f t="shared" si="142"/>
        <v>0</v>
      </c>
      <c r="BE100" s="65">
        <f t="shared" si="143"/>
        <v>0</v>
      </c>
      <c r="BF100" s="65">
        <f t="shared" si="144"/>
        <v>0</v>
      </c>
      <c r="BG100" s="65">
        <f t="shared" si="145"/>
        <v>0</v>
      </c>
      <c r="BH100" s="65">
        <f t="shared" si="146"/>
        <v>0</v>
      </c>
      <c r="BI100" s="65">
        <f t="shared" si="147"/>
        <v>0</v>
      </c>
      <c r="BJ100" s="65">
        <f t="shared" si="148"/>
        <v>0</v>
      </c>
      <c r="BK100" s="65">
        <f t="shared" si="149"/>
        <v>0</v>
      </c>
      <c r="BL100" s="65">
        <f t="shared" si="150"/>
        <v>0</v>
      </c>
      <c r="BM100" s="65">
        <f t="shared" si="151"/>
        <v>0</v>
      </c>
      <c r="BN100" s="65">
        <f t="shared" si="152"/>
        <v>0</v>
      </c>
      <c r="BO100" s="66"/>
    </row>
    <row r="101" spans="1:67" ht="13.5" customHeight="1">
      <c r="A101" s="560"/>
      <c r="B101" s="560"/>
      <c r="C101" s="63"/>
      <c r="D101" s="561"/>
      <c r="E101" s="64"/>
      <c r="F101" s="63"/>
      <c r="G101" s="63"/>
      <c r="H101" s="63"/>
      <c r="I101" s="63"/>
      <c r="J101" s="63"/>
      <c r="K101" s="63"/>
      <c r="L101" s="63"/>
      <c r="M101" s="63"/>
      <c r="N101" s="63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  <c r="AB101" s="63"/>
      <c r="AC101" s="63"/>
      <c r="AD101" s="63"/>
      <c r="AE101" s="63"/>
      <c r="AF101" s="63"/>
      <c r="AG101" s="63"/>
      <c r="AH101" s="63"/>
      <c r="AI101" s="63"/>
      <c r="AJ101" s="63"/>
      <c r="AK101" s="65">
        <f t="shared" si="123"/>
        <v>0</v>
      </c>
      <c r="AL101" s="65">
        <f t="shared" si="124"/>
        <v>0</v>
      </c>
      <c r="AM101" s="65">
        <f t="shared" si="125"/>
        <v>0</v>
      </c>
      <c r="AN101" s="65">
        <f t="shared" si="126"/>
        <v>0</v>
      </c>
      <c r="AO101" s="65">
        <f t="shared" si="127"/>
        <v>0</v>
      </c>
      <c r="AP101" s="65">
        <f t="shared" si="128"/>
        <v>0</v>
      </c>
      <c r="AQ101" s="65">
        <f t="shared" si="129"/>
        <v>0</v>
      </c>
      <c r="AR101" s="65">
        <f t="shared" si="130"/>
        <v>0</v>
      </c>
      <c r="AS101" s="65">
        <f t="shared" si="131"/>
        <v>0</v>
      </c>
      <c r="AT101" s="65">
        <f t="shared" si="132"/>
        <v>0</v>
      </c>
      <c r="AU101" s="65">
        <f t="shared" si="133"/>
        <v>0</v>
      </c>
      <c r="AV101" s="65">
        <f t="shared" si="134"/>
        <v>0</v>
      </c>
      <c r="AW101" s="65">
        <f t="shared" si="135"/>
        <v>0</v>
      </c>
      <c r="AX101" s="65">
        <f t="shared" si="136"/>
        <v>0</v>
      </c>
      <c r="AY101" s="65">
        <f t="shared" si="137"/>
        <v>0</v>
      </c>
      <c r="AZ101" s="65">
        <f t="shared" si="138"/>
        <v>0</v>
      </c>
      <c r="BA101" s="65">
        <f t="shared" si="139"/>
        <v>0</v>
      </c>
      <c r="BB101" s="65">
        <f t="shared" si="140"/>
        <v>0</v>
      </c>
      <c r="BC101" s="65">
        <f t="shared" si="141"/>
        <v>0</v>
      </c>
      <c r="BD101" s="65">
        <f t="shared" si="142"/>
        <v>0</v>
      </c>
      <c r="BE101" s="65">
        <f t="shared" si="143"/>
        <v>0</v>
      </c>
      <c r="BF101" s="65">
        <f t="shared" si="144"/>
        <v>0</v>
      </c>
      <c r="BG101" s="65">
        <f t="shared" si="145"/>
        <v>0</v>
      </c>
      <c r="BH101" s="65">
        <f t="shared" si="146"/>
        <v>0</v>
      </c>
      <c r="BI101" s="65">
        <f t="shared" si="147"/>
        <v>0</v>
      </c>
      <c r="BJ101" s="65">
        <f t="shared" si="148"/>
        <v>0</v>
      </c>
      <c r="BK101" s="65">
        <f t="shared" si="149"/>
        <v>0</v>
      </c>
      <c r="BL101" s="65">
        <f t="shared" si="150"/>
        <v>0</v>
      </c>
      <c r="BM101" s="65">
        <f t="shared" si="151"/>
        <v>0</v>
      </c>
      <c r="BN101" s="65">
        <f t="shared" si="152"/>
        <v>0</v>
      </c>
      <c r="BO101" s="66"/>
    </row>
    <row r="102" spans="1:67" ht="13.5" customHeight="1">
      <c r="A102" s="560"/>
      <c r="B102" s="560"/>
      <c r="C102" s="63"/>
      <c r="D102" s="561"/>
      <c r="E102" s="64"/>
      <c r="F102" s="63"/>
      <c r="G102" s="63"/>
      <c r="H102" s="63"/>
      <c r="I102" s="63"/>
      <c r="J102" s="63"/>
      <c r="K102" s="63"/>
      <c r="L102" s="63"/>
      <c r="M102" s="63"/>
      <c r="N102" s="63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5">
        <f t="shared" si="123"/>
        <v>0</v>
      </c>
      <c r="AL102" s="65">
        <f t="shared" si="124"/>
        <v>0</v>
      </c>
      <c r="AM102" s="65">
        <f t="shared" si="125"/>
        <v>0</v>
      </c>
      <c r="AN102" s="65">
        <f t="shared" si="126"/>
        <v>0</v>
      </c>
      <c r="AO102" s="65">
        <f t="shared" si="127"/>
        <v>0</v>
      </c>
      <c r="AP102" s="65">
        <f t="shared" si="128"/>
        <v>0</v>
      </c>
      <c r="AQ102" s="65">
        <f t="shared" si="129"/>
        <v>0</v>
      </c>
      <c r="AR102" s="65">
        <f t="shared" si="130"/>
        <v>0</v>
      </c>
      <c r="AS102" s="65">
        <f t="shared" si="131"/>
        <v>0</v>
      </c>
      <c r="AT102" s="65">
        <f t="shared" si="132"/>
        <v>0</v>
      </c>
      <c r="AU102" s="65">
        <f t="shared" si="133"/>
        <v>0</v>
      </c>
      <c r="AV102" s="65">
        <f t="shared" si="134"/>
        <v>0</v>
      </c>
      <c r="AW102" s="65">
        <f t="shared" si="135"/>
        <v>0</v>
      </c>
      <c r="AX102" s="65">
        <f t="shared" si="136"/>
        <v>0</v>
      </c>
      <c r="AY102" s="65">
        <f t="shared" si="137"/>
        <v>0</v>
      </c>
      <c r="AZ102" s="65">
        <f t="shared" si="138"/>
        <v>0</v>
      </c>
      <c r="BA102" s="65">
        <f t="shared" si="139"/>
        <v>0</v>
      </c>
      <c r="BB102" s="65">
        <f t="shared" si="140"/>
        <v>0</v>
      </c>
      <c r="BC102" s="65">
        <f t="shared" si="141"/>
        <v>0</v>
      </c>
      <c r="BD102" s="65">
        <f t="shared" si="142"/>
        <v>0</v>
      </c>
      <c r="BE102" s="65">
        <f t="shared" si="143"/>
        <v>0</v>
      </c>
      <c r="BF102" s="65">
        <f t="shared" si="144"/>
        <v>0</v>
      </c>
      <c r="BG102" s="65">
        <f t="shared" si="145"/>
        <v>0</v>
      </c>
      <c r="BH102" s="65">
        <f t="shared" si="146"/>
        <v>0</v>
      </c>
      <c r="BI102" s="65">
        <f t="shared" si="147"/>
        <v>0</v>
      </c>
      <c r="BJ102" s="65">
        <f t="shared" si="148"/>
        <v>0</v>
      </c>
      <c r="BK102" s="65">
        <f t="shared" si="149"/>
        <v>0</v>
      </c>
      <c r="BL102" s="65">
        <f t="shared" si="150"/>
        <v>0</v>
      </c>
      <c r="BM102" s="65">
        <f t="shared" si="151"/>
        <v>0</v>
      </c>
      <c r="BN102" s="65">
        <f t="shared" si="152"/>
        <v>0</v>
      </c>
      <c r="BO102" s="66"/>
    </row>
    <row r="103" spans="1:67" ht="13.5" customHeight="1">
      <c r="A103" s="560"/>
      <c r="B103" s="560"/>
      <c r="C103" s="63"/>
      <c r="D103" s="561"/>
      <c r="E103" s="64"/>
      <c r="F103" s="63"/>
      <c r="G103" s="63"/>
      <c r="H103" s="63"/>
      <c r="I103" s="63"/>
      <c r="J103" s="63"/>
      <c r="K103" s="63"/>
      <c r="L103" s="63"/>
      <c r="M103" s="63"/>
      <c r="N103" s="63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5">
        <f t="shared" si="123"/>
        <v>0</v>
      </c>
      <c r="AL103" s="65">
        <f t="shared" si="124"/>
        <v>0</v>
      </c>
      <c r="AM103" s="65">
        <f t="shared" si="125"/>
        <v>0</v>
      </c>
      <c r="AN103" s="65">
        <f t="shared" si="126"/>
        <v>0</v>
      </c>
      <c r="AO103" s="65">
        <f t="shared" si="127"/>
        <v>0</v>
      </c>
      <c r="AP103" s="65">
        <f t="shared" si="128"/>
        <v>0</v>
      </c>
      <c r="AQ103" s="65">
        <f t="shared" si="129"/>
        <v>0</v>
      </c>
      <c r="AR103" s="65">
        <f t="shared" si="130"/>
        <v>0</v>
      </c>
      <c r="AS103" s="65">
        <f t="shared" si="131"/>
        <v>0</v>
      </c>
      <c r="AT103" s="65">
        <f t="shared" si="132"/>
        <v>0</v>
      </c>
      <c r="AU103" s="65">
        <f t="shared" si="133"/>
        <v>0</v>
      </c>
      <c r="AV103" s="65">
        <f t="shared" si="134"/>
        <v>0</v>
      </c>
      <c r="AW103" s="65">
        <f t="shared" si="135"/>
        <v>0</v>
      </c>
      <c r="AX103" s="65">
        <f t="shared" si="136"/>
        <v>0</v>
      </c>
      <c r="AY103" s="65">
        <f t="shared" si="137"/>
        <v>0</v>
      </c>
      <c r="AZ103" s="65">
        <f t="shared" si="138"/>
        <v>0</v>
      </c>
      <c r="BA103" s="65">
        <f t="shared" si="139"/>
        <v>0</v>
      </c>
      <c r="BB103" s="65">
        <f t="shared" si="140"/>
        <v>0</v>
      </c>
      <c r="BC103" s="65">
        <f t="shared" si="141"/>
        <v>0</v>
      </c>
      <c r="BD103" s="65">
        <f t="shared" si="142"/>
        <v>0</v>
      </c>
      <c r="BE103" s="65">
        <f t="shared" si="143"/>
        <v>0</v>
      </c>
      <c r="BF103" s="65">
        <f t="shared" si="144"/>
        <v>0</v>
      </c>
      <c r="BG103" s="65">
        <f t="shared" si="145"/>
        <v>0</v>
      </c>
      <c r="BH103" s="65">
        <f t="shared" si="146"/>
        <v>0</v>
      </c>
      <c r="BI103" s="65">
        <f t="shared" si="147"/>
        <v>0</v>
      </c>
      <c r="BJ103" s="65">
        <f t="shared" si="148"/>
        <v>0</v>
      </c>
      <c r="BK103" s="65">
        <f t="shared" si="149"/>
        <v>0</v>
      </c>
      <c r="BL103" s="65">
        <f t="shared" si="150"/>
        <v>0</v>
      </c>
      <c r="BM103" s="65">
        <f t="shared" si="151"/>
        <v>0</v>
      </c>
      <c r="BN103" s="65">
        <f t="shared" si="152"/>
        <v>0</v>
      </c>
      <c r="BO103" s="66"/>
    </row>
    <row r="104" spans="1:67" ht="13.5" customHeight="1">
      <c r="A104" s="560"/>
      <c r="B104" s="560"/>
      <c r="C104" s="63"/>
      <c r="D104" s="561"/>
      <c r="E104" s="64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5">
        <f t="shared" si="123"/>
        <v>0</v>
      </c>
      <c r="AL104" s="65">
        <f t="shared" si="124"/>
        <v>0</v>
      </c>
      <c r="AM104" s="65">
        <f t="shared" si="125"/>
        <v>0</v>
      </c>
      <c r="AN104" s="65">
        <f t="shared" si="126"/>
        <v>0</v>
      </c>
      <c r="AO104" s="65">
        <f t="shared" si="127"/>
        <v>0</v>
      </c>
      <c r="AP104" s="65">
        <f t="shared" si="128"/>
        <v>0</v>
      </c>
      <c r="AQ104" s="65">
        <f t="shared" si="129"/>
        <v>0</v>
      </c>
      <c r="AR104" s="65">
        <f t="shared" si="130"/>
        <v>0</v>
      </c>
      <c r="AS104" s="65">
        <f t="shared" si="131"/>
        <v>0</v>
      </c>
      <c r="AT104" s="65">
        <f t="shared" si="132"/>
        <v>0</v>
      </c>
      <c r="AU104" s="65">
        <f t="shared" si="133"/>
        <v>0</v>
      </c>
      <c r="AV104" s="65">
        <f t="shared" si="134"/>
        <v>0</v>
      </c>
      <c r="AW104" s="65">
        <f t="shared" si="135"/>
        <v>0</v>
      </c>
      <c r="AX104" s="65">
        <f t="shared" si="136"/>
        <v>0</v>
      </c>
      <c r="AY104" s="65">
        <f t="shared" si="137"/>
        <v>0</v>
      </c>
      <c r="AZ104" s="65">
        <f t="shared" si="138"/>
        <v>0</v>
      </c>
      <c r="BA104" s="65">
        <f t="shared" si="139"/>
        <v>0</v>
      </c>
      <c r="BB104" s="65">
        <f t="shared" si="140"/>
        <v>0</v>
      </c>
      <c r="BC104" s="65">
        <f t="shared" si="141"/>
        <v>0</v>
      </c>
      <c r="BD104" s="65">
        <f t="shared" si="142"/>
        <v>0</v>
      </c>
      <c r="BE104" s="65">
        <f t="shared" si="143"/>
        <v>0</v>
      </c>
      <c r="BF104" s="65">
        <f t="shared" si="144"/>
        <v>0</v>
      </c>
      <c r="BG104" s="65">
        <f t="shared" si="145"/>
        <v>0</v>
      </c>
      <c r="BH104" s="65">
        <f t="shared" si="146"/>
        <v>0</v>
      </c>
      <c r="BI104" s="65">
        <f t="shared" si="147"/>
        <v>0</v>
      </c>
      <c r="BJ104" s="65">
        <f t="shared" si="148"/>
        <v>0</v>
      </c>
      <c r="BK104" s="65">
        <f t="shared" si="149"/>
        <v>0</v>
      </c>
      <c r="BL104" s="65">
        <f t="shared" si="150"/>
        <v>0</v>
      </c>
      <c r="BM104" s="65">
        <f t="shared" si="151"/>
        <v>0</v>
      </c>
      <c r="BN104" s="65">
        <f t="shared" si="152"/>
        <v>0</v>
      </c>
      <c r="BO104" s="66"/>
    </row>
    <row r="105" spans="1:67" ht="13.5" customHeight="1">
      <c r="A105" s="560"/>
      <c r="B105" s="560"/>
      <c r="C105" s="63"/>
      <c r="D105" s="561"/>
      <c r="E105" s="64"/>
      <c r="F105" s="63"/>
      <c r="G105" s="63"/>
      <c r="H105" s="63"/>
      <c r="I105" s="63"/>
      <c r="J105" s="63"/>
      <c r="K105" s="63"/>
      <c r="L105" s="63"/>
      <c r="M105" s="63"/>
      <c r="N105" s="63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5">
        <f t="shared" si="123"/>
        <v>0</v>
      </c>
      <c r="AL105" s="65">
        <f t="shared" si="124"/>
        <v>0</v>
      </c>
      <c r="AM105" s="65">
        <f t="shared" si="125"/>
        <v>0</v>
      </c>
      <c r="AN105" s="65">
        <f t="shared" si="126"/>
        <v>0</v>
      </c>
      <c r="AO105" s="65">
        <f t="shared" si="127"/>
        <v>0</v>
      </c>
      <c r="AP105" s="65">
        <f t="shared" si="128"/>
        <v>0</v>
      </c>
      <c r="AQ105" s="65">
        <f t="shared" si="129"/>
        <v>0</v>
      </c>
      <c r="AR105" s="65">
        <f t="shared" si="130"/>
        <v>0</v>
      </c>
      <c r="AS105" s="65">
        <f t="shared" si="131"/>
        <v>0</v>
      </c>
      <c r="AT105" s="65">
        <f t="shared" si="132"/>
        <v>0</v>
      </c>
      <c r="AU105" s="65">
        <f t="shared" si="133"/>
        <v>0</v>
      </c>
      <c r="AV105" s="65">
        <f t="shared" si="134"/>
        <v>0</v>
      </c>
      <c r="AW105" s="65">
        <f t="shared" si="135"/>
        <v>0</v>
      </c>
      <c r="AX105" s="65">
        <f t="shared" si="136"/>
        <v>0</v>
      </c>
      <c r="AY105" s="65">
        <f t="shared" si="137"/>
        <v>0</v>
      </c>
      <c r="AZ105" s="65">
        <f t="shared" si="138"/>
        <v>0</v>
      </c>
      <c r="BA105" s="65">
        <f t="shared" si="139"/>
        <v>0</v>
      </c>
      <c r="BB105" s="65">
        <f t="shared" si="140"/>
        <v>0</v>
      </c>
      <c r="BC105" s="65">
        <f t="shared" si="141"/>
        <v>0</v>
      </c>
      <c r="BD105" s="65">
        <f t="shared" si="142"/>
        <v>0</v>
      </c>
      <c r="BE105" s="65">
        <f t="shared" si="143"/>
        <v>0</v>
      </c>
      <c r="BF105" s="65">
        <f t="shared" si="144"/>
        <v>0</v>
      </c>
      <c r="BG105" s="65">
        <f t="shared" si="145"/>
        <v>0</v>
      </c>
      <c r="BH105" s="65">
        <f t="shared" si="146"/>
        <v>0</v>
      </c>
      <c r="BI105" s="65">
        <f t="shared" si="147"/>
        <v>0</v>
      </c>
      <c r="BJ105" s="65">
        <f t="shared" si="148"/>
        <v>0</v>
      </c>
      <c r="BK105" s="65">
        <f t="shared" si="149"/>
        <v>0</v>
      </c>
      <c r="BL105" s="65">
        <f t="shared" si="150"/>
        <v>0</v>
      </c>
      <c r="BM105" s="65">
        <f t="shared" si="151"/>
        <v>0</v>
      </c>
      <c r="BN105" s="65">
        <f t="shared" si="152"/>
        <v>0</v>
      </c>
      <c r="BO105" s="66"/>
    </row>
    <row r="106" spans="1:67" ht="13.5" customHeight="1">
      <c r="A106" s="560"/>
      <c r="B106" s="560"/>
      <c r="C106" s="63"/>
      <c r="D106" s="561"/>
      <c r="E106" s="64"/>
      <c r="F106" s="63"/>
      <c r="G106" s="63"/>
      <c r="H106" s="63"/>
      <c r="I106" s="63"/>
      <c r="J106" s="63"/>
      <c r="K106" s="63"/>
      <c r="L106" s="63"/>
      <c r="M106" s="63"/>
      <c r="N106" s="63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5">
        <f t="shared" si="123"/>
        <v>0</v>
      </c>
      <c r="AL106" s="65">
        <f t="shared" si="124"/>
        <v>0</v>
      </c>
      <c r="AM106" s="65">
        <f t="shared" si="125"/>
        <v>0</v>
      </c>
      <c r="AN106" s="65">
        <f t="shared" si="126"/>
        <v>0</v>
      </c>
      <c r="AO106" s="65">
        <f t="shared" si="127"/>
        <v>0</v>
      </c>
      <c r="AP106" s="65">
        <f t="shared" si="128"/>
        <v>0</v>
      </c>
      <c r="AQ106" s="65">
        <f t="shared" si="129"/>
        <v>0</v>
      </c>
      <c r="AR106" s="65">
        <f t="shared" si="130"/>
        <v>0</v>
      </c>
      <c r="AS106" s="65">
        <f t="shared" si="131"/>
        <v>0</v>
      </c>
      <c r="AT106" s="65">
        <f t="shared" si="132"/>
        <v>0</v>
      </c>
      <c r="AU106" s="65">
        <f t="shared" si="133"/>
        <v>0</v>
      </c>
      <c r="AV106" s="65">
        <f t="shared" si="134"/>
        <v>0</v>
      </c>
      <c r="AW106" s="65">
        <f t="shared" si="135"/>
        <v>0</v>
      </c>
      <c r="AX106" s="65">
        <f t="shared" si="136"/>
        <v>0</v>
      </c>
      <c r="AY106" s="65">
        <f t="shared" si="137"/>
        <v>0</v>
      </c>
      <c r="AZ106" s="65">
        <f t="shared" si="138"/>
        <v>0</v>
      </c>
      <c r="BA106" s="65">
        <f t="shared" si="139"/>
        <v>0</v>
      </c>
      <c r="BB106" s="65">
        <f t="shared" si="140"/>
        <v>0</v>
      </c>
      <c r="BC106" s="65">
        <f t="shared" si="141"/>
        <v>0</v>
      </c>
      <c r="BD106" s="65">
        <f t="shared" si="142"/>
        <v>0</v>
      </c>
      <c r="BE106" s="65">
        <f t="shared" si="143"/>
        <v>0</v>
      </c>
      <c r="BF106" s="65">
        <f t="shared" si="144"/>
        <v>0</v>
      </c>
      <c r="BG106" s="65">
        <f t="shared" si="145"/>
        <v>0</v>
      </c>
      <c r="BH106" s="65">
        <f t="shared" si="146"/>
        <v>0</v>
      </c>
      <c r="BI106" s="65">
        <f t="shared" si="147"/>
        <v>0</v>
      </c>
      <c r="BJ106" s="65">
        <f t="shared" si="148"/>
        <v>0</v>
      </c>
      <c r="BK106" s="65">
        <f t="shared" si="149"/>
        <v>0</v>
      </c>
      <c r="BL106" s="65">
        <f t="shared" si="150"/>
        <v>0</v>
      </c>
      <c r="BM106" s="65">
        <f t="shared" si="151"/>
        <v>0</v>
      </c>
      <c r="BN106" s="65">
        <f t="shared" si="152"/>
        <v>0</v>
      </c>
      <c r="BO106" s="66"/>
    </row>
    <row r="107" spans="1:67" ht="13.5" customHeight="1">
      <c r="A107" s="560"/>
      <c r="B107" s="560"/>
      <c r="C107" s="63"/>
      <c r="D107" s="561"/>
      <c r="E107" s="64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5">
        <f t="shared" si="123"/>
        <v>0</v>
      </c>
      <c r="AL107" s="65">
        <f t="shared" si="124"/>
        <v>0</v>
      </c>
      <c r="AM107" s="65">
        <f t="shared" si="125"/>
        <v>0</v>
      </c>
      <c r="AN107" s="65">
        <f t="shared" si="126"/>
        <v>0</v>
      </c>
      <c r="AO107" s="65">
        <f t="shared" si="127"/>
        <v>0</v>
      </c>
      <c r="AP107" s="65">
        <f t="shared" si="128"/>
        <v>0</v>
      </c>
      <c r="AQ107" s="65">
        <f t="shared" si="129"/>
        <v>0</v>
      </c>
      <c r="AR107" s="65">
        <f t="shared" si="130"/>
        <v>0</v>
      </c>
      <c r="AS107" s="65">
        <f t="shared" si="131"/>
        <v>0</v>
      </c>
      <c r="AT107" s="65">
        <f t="shared" si="132"/>
        <v>0</v>
      </c>
      <c r="AU107" s="65">
        <f t="shared" si="133"/>
        <v>0</v>
      </c>
      <c r="AV107" s="65">
        <f t="shared" si="134"/>
        <v>0</v>
      </c>
      <c r="AW107" s="65">
        <f t="shared" si="135"/>
        <v>0</v>
      </c>
      <c r="AX107" s="65">
        <f t="shared" si="136"/>
        <v>0</v>
      </c>
      <c r="AY107" s="65">
        <f t="shared" si="137"/>
        <v>0</v>
      </c>
      <c r="AZ107" s="65">
        <f t="shared" si="138"/>
        <v>0</v>
      </c>
      <c r="BA107" s="65">
        <f t="shared" si="139"/>
        <v>0</v>
      </c>
      <c r="BB107" s="65">
        <f t="shared" si="140"/>
        <v>0</v>
      </c>
      <c r="BC107" s="65">
        <f t="shared" si="141"/>
        <v>0</v>
      </c>
      <c r="BD107" s="65">
        <f t="shared" si="142"/>
        <v>0</v>
      </c>
      <c r="BE107" s="65">
        <f t="shared" si="143"/>
        <v>0</v>
      </c>
      <c r="BF107" s="65">
        <f t="shared" si="144"/>
        <v>0</v>
      </c>
      <c r="BG107" s="65">
        <f t="shared" si="145"/>
        <v>0</v>
      </c>
      <c r="BH107" s="65">
        <f t="shared" si="146"/>
        <v>0</v>
      </c>
      <c r="BI107" s="65">
        <f t="shared" si="147"/>
        <v>0</v>
      </c>
      <c r="BJ107" s="65">
        <f t="shared" si="148"/>
        <v>0</v>
      </c>
      <c r="BK107" s="65">
        <f t="shared" si="149"/>
        <v>0</v>
      </c>
      <c r="BL107" s="65">
        <f t="shared" si="150"/>
        <v>0</v>
      </c>
      <c r="BM107" s="65">
        <f t="shared" si="151"/>
        <v>0</v>
      </c>
      <c r="BN107" s="65">
        <f t="shared" si="152"/>
        <v>0</v>
      </c>
      <c r="BO107" s="66"/>
    </row>
    <row r="108" spans="1:67" ht="13.5" customHeight="1">
      <c r="A108" s="560"/>
      <c r="B108" s="560"/>
      <c r="C108" s="63"/>
      <c r="D108" s="561"/>
      <c r="E108" s="64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  <c r="AC108" s="63"/>
      <c r="AD108" s="63"/>
      <c r="AE108" s="63"/>
      <c r="AF108" s="63"/>
      <c r="AG108" s="63"/>
      <c r="AH108" s="63"/>
      <c r="AI108" s="63"/>
      <c r="AJ108" s="63"/>
      <c r="AK108" s="65">
        <f t="shared" si="123"/>
        <v>0</v>
      </c>
      <c r="AL108" s="65">
        <f t="shared" si="124"/>
        <v>0</v>
      </c>
      <c r="AM108" s="65">
        <f t="shared" si="125"/>
        <v>0</v>
      </c>
      <c r="AN108" s="65">
        <f t="shared" si="126"/>
        <v>0</v>
      </c>
      <c r="AO108" s="65">
        <f t="shared" si="127"/>
        <v>0</v>
      </c>
      <c r="AP108" s="65">
        <f t="shared" si="128"/>
        <v>0</v>
      </c>
      <c r="AQ108" s="65">
        <f t="shared" si="129"/>
        <v>0</v>
      </c>
      <c r="AR108" s="65">
        <f t="shared" si="130"/>
        <v>0</v>
      </c>
      <c r="AS108" s="65">
        <f t="shared" si="131"/>
        <v>0</v>
      </c>
      <c r="AT108" s="65">
        <f t="shared" si="132"/>
        <v>0</v>
      </c>
      <c r="AU108" s="65">
        <f t="shared" si="133"/>
        <v>0</v>
      </c>
      <c r="AV108" s="65">
        <f t="shared" si="134"/>
        <v>0</v>
      </c>
      <c r="AW108" s="65">
        <f t="shared" si="135"/>
        <v>0</v>
      </c>
      <c r="AX108" s="65">
        <f t="shared" si="136"/>
        <v>0</v>
      </c>
      <c r="AY108" s="65">
        <f t="shared" si="137"/>
        <v>0</v>
      </c>
      <c r="AZ108" s="65">
        <f t="shared" si="138"/>
        <v>0</v>
      </c>
      <c r="BA108" s="65">
        <f t="shared" si="139"/>
        <v>0</v>
      </c>
      <c r="BB108" s="65">
        <f t="shared" si="140"/>
        <v>0</v>
      </c>
      <c r="BC108" s="65">
        <f t="shared" si="141"/>
        <v>0</v>
      </c>
      <c r="BD108" s="65">
        <f t="shared" si="142"/>
        <v>0</v>
      </c>
      <c r="BE108" s="65">
        <f t="shared" si="143"/>
        <v>0</v>
      </c>
      <c r="BF108" s="65">
        <f t="shared" si="144"/>
        <v>0</v>
      </c>
      <c r="BG108" s="65">
        <f t="shared" si="145"/>
        <v>0</v>
      </c>
      <c r="BH108" s="65">
        <f t="shared" si="146"/>
        <v>0</v>
      </c>
      <c r="BI108" s="65">
        <f t="shared" si="147"/>
        <v>0</v>
      </c>
      <c r="BJ108" s="65">
        <f t="shared" si="148"/>
        <v>0</v>
      </c>
      <c r="BK108" s="65">
        <f t="shared" si="149"/>
        <v>0</v>
      </c>
      <c r="BL108" s="65">
        <f t="shared" si="150"/>
        <v>0</v>
      </c>
      <c r="BM108" s="65">
        <f t="shared" si="151"/>
        <v>0</v>
      </c>
      <c r="BN108" s="65">
        <f t="shared" si="152"/>
        <v>0</v>
      </c>
      <c r="BO108" s="66"/>
    </row>
    <row r="109" spans="1:67" ht="13.5" customHeight="1">
      <c r="A109" s="560"/>
      <c r="B109" s="560"/>
      <c r="C109" s="63"/>
      <c r="D109" s="561"/>
      <c r="E109" s="64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  <c r="AC109" s="63"/>
      <c r="AD109" s="63"/>
      <c r="AE109" s="63"/>
      <c r="AF109" s="63"/>
      <c r="AG109" s="63"/>
      <c r="AH109" s="63"/>
      <c r="AI109" s="63"/>
      <c r="AJ109" s="63"/>
      <c r="AK109" s="65">
        <f t="shared" si="123"/>
        <v>0</v>
      </c>
      <c r="AL109" s="65">
        <f t="shared" si="124"/>
        <v>0</v>
      </c>
      <c r="AM109" s="65">
        <f t="shared" si="125"/>
        <v>0</v>
      </c>
      <c r="AN109" s="65">
        <f t="shared" si="126"/>
        <v>0</v>
      </c>
      <c r="AO109" s="65">
        <f t="shared" si="127"/>
        <v>0</v>
      </c>
      <c r="AP109" s="65">
        <f t="shared" si="128"/>
        <v>0</v>
      </c>
      <c r="AQ109" s="65">
        <f t="shared" si="129"/>
        <v>0</v>
      </c>
      <c r="AR109" s="65">
        <f t="shared" si="130"/>
        <v>0</v>
      </c>
      <c r="AS109" s="65">
        <f t="shared" si="131"/>
        <v>0</v>
      </c>
      <c r="AT109" s="65">
        <f t="shared" si="132"/>
        <v>0</v>
      </c>
      <c r="AU109" s="65">
        <f t="shared" si="133"/>
        <v>0</v>
      </c>
      <c r="AV109" s="65">
        <f t="shared" si="134"/>
        <v>0</v>
      </c>
      <c r="AW109" s="65">
        <f t="shared" si="135"/>
        <v>0</v>
      </c>
      <c r="AX109" s="65">
        <f t="shared" si="136"/>
        <v>0</v>
      </c>
      <c r="AY109" s="65">
        <f t="shared" si="137"/>
        <v>0</v>
      </c>
      <c r="AZ109" s="65">
        <f t="shared" si="138"/>
        <v>0</v>
      </c>
      <c r="BA109" s="65">
        <f t="shared" si="139"/>
        <v>0</v>
      </c>
      <c r="BB109" s="65">
        <f t="shared" si="140"/>
        <v>0</v>
      </c>
      <c r="BC109" s="65">
        <f t="shared" si="141"/>
        <v>0</v>
      </c>
      <c r="BD109" s="65">
        <f t="shared" si="142"/>
        <v>0</v>
      </c>
      <c r="BE109" s="65">
        <f t="shared" si="143"/>
        <v>0</v>
      </c>
      <c r="BF109" s="65">
        <f t="shared" si="144"/>
        <v>0</v>
      </c>
      <c r="BG109" s="65">
        <f t="shared" si="145"/>
        <v>0</v>
      </c>
      <c r="BH109" s="65">
        <f t="shared" si="146"/>
        <v>0</v>
      </c>
      <c r="BI109" s="65">
        <f t="shared" si="147"/>
        <v>0</v>
      </c>
      <c r="BJ109" s="65">
        <f t="shared" si="148"/>
        <v>0</v>
      </c>
      <c r="BK109" s="65">
        <f t="shared" si="149"/>
        <v>0</v>
      </c>
      <c r="BL109" s="65">
        <f t="shared" si="150"/>
        <v>0</v>
      </c>
      <c r="BM109" s="65">
        <f t="shared" si="151"/>
        <v>0</v>
      </c>
      <c r="BN109" s="65">
        <f t="shared" si="152"/>
        <v>0</v>
      </c>
      <c r="BO109" s="66"/>
    </row>
    <row r="110" spans="1:67" ht="13.5" customHeight="1">
      <c r="A110" s="560"/>
      <c r="B110" s="560"/>
      <c r="C110" s="63"/>
      <c r="D110" s="561"/>
      <c r="E110" s="64"/>
      <c r="F110" s="63"/>
      <c r="G110" s="63"/>
      <c r="H110" s="63"/>
      <c r="I110" s="63"/>
      <c r="J110" s="63"/>
      <c r="K110" s="63"/>
      <c r="L110" s="63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  <c r="AC110" s="63"/>
      <c r="AD110" s="63"/>
      <c r="AE110" s="63"/>
      <c r="AF110" s="63"/>
      <c r="AG110" s="63"/>
      <c r="AH110" s="63"/>
      <c r="AI110" s="63"/>
      <c r="AJ110" s="63"/>
      <c r="AK110" s="65">
        <f t="shared" si="123"/>
        <v>0</v>
      </c>
      <c r="AL110" s="65">
        <f t="shared" si="124"/>
        <v>0</v>
      </c>
      <c r="AM110" s="65">
        <f t="shared" si="125"/>
        <v>0</v>
      </c>
      <c r="AN110" s="65">
        <f t="shared" si="126"/>
        <v>0</v>
      </c>
      <c r="AO110" s="65">
        <f t="shared" si="127"/>
        <v>0</v>
      </c>
      <c r="AP110" s="65">
        <f t="shared" si="128"/>
        <v>0</v>
      </c>
      <c r="AQ110" s="65">
        <f t="shared" si="129"/>
        <v>0</v>
      </c>
      <c r="AR110" s="65">
        <f t="shared" si="130"/>
        <v>0</v>
      </c>
      <c r="AS110" s="65">
        <f t="shared" si="131"/>
        <v>0</v>
      </c>
      <c r="AT110" s="65">
        <f t="shared" si="132"/>
        <v>0</v>
      </c>
      <c r="AU110" s="65">
        <f t="shared" si="133"/>
        <v>0</v>
      </c>
      <c r="AV110" s="65">
        <f t="shared" si="134"/>
        <v>0</v>
      </c>
      <c r="AW110" s="65">
        <f t="shared" si="135"/>
        <v>0</v>
      </c>
      <c r="AX110" s="65">
        <f t="shared" si="136"/>
        <v>0</v>
      </c>
      <c r="AY110" s="65">
        <f t="shared" si="137"/>
        <v>0</v>
      </c>
      <c r="AZ110" s="65">
        <f t="shared" si="138"/>
        <v>0</v>
      </c>
      <c r="BA110" s="65">
        <f t="shared" si="139"/>
        <v>0</v>
      </c>
      <c r="BB110" s="65">
        <f t="shared" si="140"/>
        <v>0</v>
      </c>
      <c r="BC110" s="65">
        <f t="shared" si="141"/>
        <v>0</v>
      </c>
      <c r="BD110" s="65">
        <f t="shared" si="142"/>
        <v>0</v>
      </c>
      <c r="BE110" s="65">
        <f t="shared" si="143"/>
        <v>0</v>
      </c>
      <c r="BF110" s="65">
        <f t="shared" si="144"/>
        <v>0</v>
      </c>
      <c r="BG110" s="65">
        <f t="shared" si="145"/>
        <v>0</v>
      </c>
      <c r="BH110" s="65">
        <f t="shared" si="146"/>
        <v>0</v>
      </c>
      <c r="BI110" s="65">
        <f t="shared" si="147"/>
        <v>0</v>
      </c>
      <c r="BJ110" s="65">
        <f t="shared" si="148"/>
        <v>0</v>
      </c>
      <c r="BK110" s="65">
        <f t="shared" si="149"/>
        <v>0</v>
      </c>
      <c r="BL110" s="65">
        <f t="shared" si="150"/>
        <v>0</v>
      </c>
      <c r="BM110" s="65">
        <f t="shared" si="151"/>
        <v>0</v>
      </c>
      <c r="BN110" s="65">
        <f t="shared" si="152"/>
        <v>0</v>
      </c>
      <c r="BO110" s="66"/>
    </row>
    <row r="111" spans="1:67" ht="13.5" customHeight="1">
      <c r="A111" s="560"/>
      <c r="B111" s="560"/>
      <c r="C111" s="63"/>
      <c r="D111" s="561"/>
      <c r="E111" s="64"/>
      <c r="F111" s="63"/>
      <c r="G111" s="63"/>
      <c r="H111" s="63"/>
      <c r="I111" s="63"/>
      <c r="J111" s="63"/>
      <c r="K111" s="63"/>
      <c r="L111" s="63"/>
      <c r="M111" s="63"/>
      <c r="N111" s="63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63"/>
      <c r="AI111" s="63"/>
      <c r="AJ111" s="63"/>
      <c r="AK111" s="65">
        <f t="shared" si="123"/>
        <v>0</v>
      </c>
      <c r="AL111" s="65">
        <f t="shared" si="124"/>
        <v>0</v>
      </c>
      <c r="AM111" s="65">
        <f t="shared" si="125"/>
        <v>0</v>
      </c>
      <c r="AN111" s="65">
        <f t="shared" si="126"/>
        <v>0</v>
      </c>
      <c r="AO111" s="65">
        <f t="shared" si="127"/>
        <v>0</v>
      </c>
      <c r="AP111" s="65">
        <f t="shared" si="128"/>
        <v>0</v>
      </c>
      <c r="AQ111" s="65">
        <f t="shared" si="129"/>
        <v>0</v>
      </c>
      <c r="AR111" s="65">
        <f t="shared" si="130"/>
        <v>0</v>
      </c>
      <c r="AS111" s="65">
        <f t="shared" si="131"/>
        <v>0</v>
      </c>
      <c r="AT111" s="65">
        <f t="shared" si="132"/>
        <v>0</v>
      </c>
      <c r="AU111" s="65">
        <f t="shared" si="133"/>
        <v>0</v>
      </c>
      <c r="AV111" s="65">
        <f t="shared" si="134"/>
        <v>0</v>
      </c>
      <c r="AW111" s="65">
        <f t="shared" si="135"/>
        <v>0</v>
      </c>
      <c r="AX111" s="65">
        <f t="shared" si="136"/>
        <v>0</v>
      </c>
      <c r="AY111" s="65">
        <f t="shared" si="137"/>
        <v>0</v>
      </c>
      <c r="AZ111" s="65">
        <f t="shared" si="138"/>
        <v>0</v>
      </c>
      <c r="BA111" s="65">
        <f t="shared" si="139"/>
        <v>0</v>
      </c>
      <c r="BB111" s="65">
        <f t="shared" si="140"/>
        <v>0</v>
      </c>
      <c r="BC111" s="65">
        <f t="shared" si="141"/>
        <v>0</v>
      </c>
      <c r="BD111" s="65">
        <f t="shared" si="142"/>
        <v>0</v>
      </c>
      <c r="BE111" s="65">
        <f t="shared" si="143"/>
        <v>0</v>
      </c>
      <c r="BF111" s="65">
        <f t="shared" si="144"/>
        <v>0</v>
      </c>
      <c r="BG111" s="65">
        <f t="shared" si="145"/>
        <v>0</v>
      </c>
      <c r="BH111" s="65">
        <f t="shared" si="146"/>
        <v>0</v>
      </c>
      <c r="BI111" s="65">
        <f t="shared" si="147"/>
        <v>0</v>
      </c>
      <c r="BJ111" s="65">
        <f t="shared" si="148"/>
        <v>0</v>
      </c>
      <c r="BK111" s="65">
        <f t="shared" si="149"/>
        <v>0</v>
      </c>
      <c r="BL111" s="65">
        <f t="shared" si="150"/>
        <v>0</v>
      </c>
      <c r="BM111" s="65">
        <f t="shared" si="151"/>
        <v>0</v>
      </c>
      <c r="BN111" s="65">
        <f t="shared" si="152"/>
        <v>0</v>
      </c>
      <c r="BO111" s="66"/>
    </row>
    <row r="112" spans="1:67" ht="13.5" customHeight="1">
      <c r="A112" s="560"/>
      <c r="B112" s="560"/>
      <c r="C112" s="63"/>
      <c r="D112" s="561"/>
      <c r="E112" s="64"/>
      <c r="F112" s="63"/>
      <c r="G112" s="63"/>
      <c r="H112" s="63"/>
      <c r="I112" s="63"/>
      <c r="J112" s="63"/>
      <c r="K112" s="63"/>
      <c r="L112" s="63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G112" s="63"/>
      <c r="AH112" s="63"/>
      <c r="AI112" s="63"/>
      <c r="AJ112" s="63"/>
      <c r="AK112" s="65">
        <f t="shared" si="123"/>
        <v>0</v>
      </c>
      <c r="AL112" s="65">
        <f t="shared" si="124"/>
        <v>0</v>
      </c>
      <c r="AM112" s="65">
        <f t="shared" si="125"/>
        <v>0</v>
      </c>
      <c r="AN112" s="65">
        <f t="shared" si="126"/>
        <v>0</v>
      </c>
      <c r="AO112" s="65">
        <f t="shared" si="127"/>
        <v>0</v>
      </c>
      <c r="AP112" s="65">
        <f t="shared" si="128"/>
        <v>0</v>
      </c>
      <c r="AQ112" s="65">
        <f t="shared" si="129"/>
        <v>0</v>
      </c>
      <c r="AR112" s="65">
        <f t="shared" si="130"/>
        <v>0</v>
      </c>
      <c r="AS112" s="65">
        <f t="shared" si="131"/>
        <v>0</v>
      </c>
      <c r="AT112" s="65">
        <f t="shared" si="132"/>
        <v>0</v>
      </c>
      <c r="AU112" s="65">
        <f t="shared" si="133"/>
        <v>0</v>
      </c>
      <c r="AV112" s="65">
        <f t="shared" si="134"/>
        <v>0</v>
      </c>
      <c r="AW112" s="65">
        <f t="shared" si="135"/>
        <v>0</v>
      </c>
      <c r="AX112" s="65">
        <f t="shared" si="136"/>
        <v>0</v>
      </c>
      <c r="AY112" s="65">
        <f t="shared" si="137"/>
        <v>0</v>
      </c>
      <c r="AZ112" s="65">
        <f t="shared" si="138"/>
        <v>0</v>
      </c>
      <c r="BA112" s="65">
        <f t="shared" si="139"/>
        <v>0</v>
      </c>
      <c r="BB112" s="65">
        <f t="shared" si="140"/>
        <v>0</v>
      </c>
      <c r="BC112" s="65">
        <f t="shared" si="141"/>
        <v>0</v>
      </c>
      <c r="BD112" s="65">
        <f t="shared" si="142"/>
        <v>0</v>
      </c>
      <c r="BE112" s="65">
        <f t="shared" si="143"/>
        <v>0</v>
      </c>
      <c r="BF112" s="65">
        <f t="shared" si="144"/>
        <v>0</v>
      </c>
      <c r="BG112" s="65">
        <f t="shared" si="145"/>
        <v>0</v>
      </c>
      <c r="BH112" s="65">
        <f t="shared" si="146"/>
        <v>0</v>
      </c>
      <c r="BI112" s="65">
        <f t="shared" si="147"/>
        <v>0</v>
      </c>
      <c r="BJ112" s="65">
        <f t="shared" si="148"/>
        <v>0</v>
      </c>
      <c r="BK112" s="65">
        <f t="shared" si="149"/>
        <v>0</v>
      </c>
      <c r="BL112" s="65">
        <f t="shared" si="150"/>
        <v>0</v>
      </c>
      <c r="BM112" s="65">
        <f t="shared" si="151"/>
        <v>0</v>
      </c>
      <c r="BN112" s="65">
        <f t="shared" si="152"/>
        <v>0</v>
      </c>
      <c r="BO112" s="66"/>
    </row>
    <row r="113" spans="1:67" ht="13.5" customHeight="1">
      <c r="A113" s="560"/>
      <c r="B113" s="560"/>
      <c r="C113" s="63"/>
      <c r="D113" s="561"/>
      <c r="E113" s="64"/>
      <c r="F113" s="63"/>
      <c r="G113" s="63"/>
      <c r="H113" s="63"/>
      <c r="I113" s="63"/>
      <c r="J113" s="63"/>
      <c r="K113" s="63"/>
      <c r="L113" s="63"/>
      <c r="M113" s="63"/>
      <c r="N113" s="63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3"/>
      <c r="AE113" s="63"/>
      <c r="AF113" s="63"/>
      <c r="AG113" s="63"/>
      <c r="AH113" s="63"/>
      <c r="AI113" s="63"/>
      <c r="AJ113" s="63"/>
      <c r="AK113" s="65">
        <f t="shared" si="123"/>
        <v>0</v>
      </c>
      <c r="AL113" s="65">
        <f t="shared" si="124"/>
        <v>0</v>
      </c>
      <c r="AM113" s="65">
        <f t="shared" si="125"/>
        <v>0</v>
      </c>
      <c r="AN113" s="65">
        <f t="shared" si="126"/>
        <v>0</v>
      </c>
      <c r="AO113" s="65">
        <f t="shared" si="127"/>
        <v>0</v>
      </c>
      <c r="AP113" s="65">
        <f t="shared" si="128"/>
        <v>0</v>
      </c>
      <c r="AQ113" s="65">
        <f t="shared" si="129"/>
        <v>0</v>
      </c>
      <c r="AR113" s="65">
        <f t="shared" si="130"/>
        <v>0</v>
      </c>
      <c r="AS113" s="65">
        <f t="shared" si="131"/>
        <v>0</v>
      </c>
      <c r="AT113" s="65">
        <f t="shared" si="132"/>
        <v>0</v>
      </c>
      <c r="AU113" s="65">
        <f t="shared" si="133"/>
        <v>0</v>
      </c>
      <c r="AV113" s="65">
        <f t="shared" si="134"/>
        <v>0</v>
      </c>
      <c r="AW113" s="65">
        <f t="shared" si="135"/>
        <v>0</v>
      </c>
      <c r="AX113" s="65">
        <f t="shared" si="136"/>
        <v>0</v>
      </c>
      <c r="AY113" s="65">
        <f t="shared" si="137"/>
        <v>0</v>
      </c>
      <c r="AZ113" s="65">
        <f t="shared" si="138"/>
        <v>0</v>
      </c>
      <c r="BA113" s="65">
        <f t="shared" si="139"/>
        <v>0</v>
      </c>
      <c r="BB113" s="65">
        <f t="shared" si="140"/>
        <v>0</v>
      </c>
      <c r="BC113" s="65">
        <f t="shared" si="141"/>
        <v>0</v>
      </c>
      <c r="BD113" s="65">
        <f t="shared" si="142"/>
        <v>0</v>
      </c>
      <c r="BE113" s="65">
        <f t="shared" si="143"/>
        <v>0</v>
      </c>
      <c r="BF113" s="65">
        <f t="shared" si="144"/>
        <v>0</v>
      </c>
      <c r="BG113" s="65">
        <f t="shared" si="145"/>
        <v>0</v>
      </c>
      <c r="BH113" s="65">
        <f t="shared" si="146"/>
        <v>0</v>
      </c>
      <c r="BI113" s="65">
        <f t="shared" si="147"/>
        <v>0</v>
      </c>
      <c r="BJ113" s="65">
        <f t="shared" si="148"/>
        <v>0</v>
      </c>
      <c r="BK113" s="65">
        <f t="shared" si="149"/>
        <v>0</v>
      </c>
      <c r="BL113" s="65">
        <f t="shared" si="150"/>
        <v>0</v>
      </c>
      <c r="BM113" s="65">
        <f t="shared" si="151"/>
        <v>0</v>
      </c>
      <c r="BN113" s="65">
        <f t="shared" si="152"/>
        <v>0</v>
      </c>
      <c r="BO113" s="66"/>
    </row>
    <row r="114" spans="1:67" ht="13.5" customHeight="1">
      <c r="A114" s="560"/>
      <c r="B114" s="560"/>
      <c r="C114" s="63"/>
      <c r="D114" s="561"/>
      <c r="E114" s="64"/>
      <c r="F114" s="63"/>
      <c r="G114" s="63"/>
      <c r="H114" s="63"/>
      <c r="I114" s="63"/>
      <c r="J114" s="63"/>
      <c r="K114" s="63"/>
      <c r="L114" s="63"/>
      <c r="M114" s="63"/>
      <c r="N114" s="63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5">
        <f t="shared" ref="AK114:AK148" si="153">$F114*G114*IF(C114="Operacional",IFERROR(VLOOKUP($D114,SN_UGC,28,0),0),1)</f>
        <v>0</v>
      </c>
      <c r="AL114" s="65">
        <f t="shared" si="124"/>
        <v>0</v>
      </c>
      <c r="AM114" s="65">
        <f t="shared" si="125"/>
        <v>0</v>
      </c>
      <c r="AN114" s="65">
        <f t="shared" si="126"/>
        <v>0</v>
      </c>
      <c r="AO114" s="65">
        <f t="shared" si="127"/>
        <v>0</v>
      </c>
      <c r="AP114" s="65">
        <f t="shared" si="128"/>
        <v>0</v>
      </c>
      <c r="AQ114" s="65">
        <f t="shared" si="129"/>
        <v>0</v>
      </c>
      <c r="AR114" s="65">
        <f t="shared" si="130"/>
        <v>0</v>
      </c>
      <c r="AS114" s="65">
        <f t="shared" si="131"/>
        <v>0</v>
      </c>
      <c r="AT114" s="65">
        <f t="shared" si="132"/>
        <v>0</v>
      </c>
      <c r="AU114" s="65">
        <f t="shared" si="133"/>
        <v>0</v>
      </c>
      <c r="AV114" s="65">
        <f t="shared" si="134"/>
        <v>0</v>
      </c>
      <c r="AW114" s="65">
        <f t="shared" si="135"/>
        <v>0</v>
      </c>
      <c r="AX114" s="65">
        <f t="shared" si="136"/>
        <v>0</v>
      </c>
      <c r="AY114" s="65">
        <f t="shared" si="137"/>
        <v>0</v>
      </c>
      <c r="AZ114" s="65">
        <f t="shared" si="138"/>
        <v>0</v>
      </c>
      <c r="BA114" s="65">
        <f t="shared" si="139"/>
        <v>0</v>
      </c>
      <c r="BB114" s="65">
        <f t="shared" si="140"/>
        <v>0</v>
      </c>
      <c r="BC114" s="65">
        <f t="shared" si="141"/>
        <v>0</v>
      </c>
      <c r="BD114" s="65">
        <f t="shared" si="142"/>
        <v>0</v>
      </c>
      <c r="BE114" s="65">
        <f t="shared" si="143"/>
        <v>0</v>
      </c>
      <c r="BF114" s="65">
        <f t="shared" si="144"/>
        <v>0</v>
      </c>
      <c r="BG114" s="65">
        <f t="shared" si="145"/>
        <v>0</v>
      </c>
      <c r="BH114" s="65">
        <f t="shared" si="146"/>
        <v>0</v>
      </c>
      <c r="BI114" s="65">
        <f t="shared" si="147"/>
        <v>0</v>
      </c>
      <c r="BJ114" s="65">
        <f t="shared" si="148"/>
        <v>0</v>
      </c>
      <c r="BK114" s="65">
        <f t="shared" si="149"/>
        <v>0</v>
      </c>
      <c r="BL114" s="65">
        <f t="shared" si="150"/>
        <v>0</v>
      </c>
      <c r="BM114" s="65">
        <f t="shared" si="151"/>
        <v>0</v>
      </c>
      <c r="BN114" s="65">
        <f t="shared" si="152"/>
        <v>0</v>
      </c>
      <c r="BO114" s="66"/>
    </row>
    <row r="115" spans="1:67" ht="13.5" customHeight="1">
      <c r="A115" s="560"/>
      <c r="B115" s="560"/>
      <c r="C115" s="63"/>
      <c r="D115" s="561"/>
      <c r="E115" s="64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5">
        <f t="shared" si="153"/>
        <v>0</v>
      </c>
      <c r="AL115" s="65">
        <f t="shared" ref="AL115:AL148" si="154">$F115*H115*IF(D115="Operacional",IFERROR(VLOOKUP($D115,SN_UGC,28,0),0),1)</f>
        <v>0</v>
      </c>
      <c r="AM115" s="65">
        <f t="shared" ref="AM115:AM148" si="155">$F115*I115*IF(E115="Operacional",IFERROR(VLOOKUP($D115,SN_UGC,28,0),0),1)</f>
        <v>0</v>
      </c>
      <c r="AN115" s="65">
        <f t="shared" ref="AN115:AN148" si="156">$F115*J115*IF(F115="Operacional",IFERROR(VLOOKUP($D115,SN_UGC,28,0),0),1)</f>
        <v>0</v>
      </c>
      <c r="AO115" s="65">
        <f t="shared" ref="AO115:AO148" si="157">$F115*K115*IF(G115="Operacional",IFERROR(VLOOKUP($D115,SN_UGC,28,0),0),1)</f>
        <v>0</v>
      </c>
      <c r="AP115" s="65">
        <f t="shared" ref="AP115:AP148" si="158">$F115*L115*IF(H115="Operacional",IFERROR(VLOOKUP($D115,SN_UGC,28,0),0),1)</f>
        <v>0</v>
      </c>
      <c r="AQ115" s="65">
        <f t="shared" ref="AQ115:AQ148" si="159">$F115*M115*IF(I115="Operacional",IFERROR(VLOOKUP($D115,SN_UGC,28,0),0),1)</f>
        <v>0</v>
      </c>
      <c r="AR115" s="65">
        <f t="shared" ref="AR115:AR148" si="160">$F115*N115*IF(J115="Operacional",IFERROR(VLOOKUP($D115,SN_UGC,28,0),0),1)</f>
        <v>0</v>
      </c>
      <c r="AS115" s="65">
        <f t="shared" ref="AS115:AS148" si="161">$F115*O115*IF(K115="Operacional",IFERROR(VLOOKUP($D115,SN_UGC,28,0),0),1)</f>
        <v>0</v>
      </c>
      <c r="AT115" s="65">
        <f t="shared" ref="AT115:AT148" si="162">$F115*P115*IF(L115="Operacional",IFERROR(VLOOKUP($D115,SN_UGC,28,0),0),1)</f>
        <v>0</v>
      </c>
      <c r="AU115" s="65">
        <f t="shared" ref="AU115:AU148" si="163">$F115*Q115*IF(M115="Operacional",IFERROR(VLOOKUP($D115,SN_UGC,28,0),0),1)</f>
        <v>0</v>
      </c>
      <c r="AV115" s="65">
        <f t="shared" ref="AV115:AV148" si="164">$F115*R115*IF(N115="Operacional",IFERROR(VLOOKUP($D115,SN_UGC,28,0),0),1)</f>
        <v>0</v>
      </c>
      <c r="AW115" s="65">
        <f t="shared" ref="AW115:AW148" si="165">$F115*S115*IF(O115="Operacional",IFERROR(VLOOKUP($D115,SN_UGC,28,0),0),1)</f>
        <v>0</v>
      </c>
      <c r="AX115" s="65">
        <f t="shared" ref="AX115:AX148" si="166">$F115*T115*IF(P115="Operacional",IFERROR(VLOOKUP($D115,SN_UGC,28,0),0),1)</f>
        <v>0</v>
      </c>
      <c r="AY115" s="65">
        <f t="shared" ref="AY115:AY148" si="167">$F115*U115*IF(Q115="Operacional",IFERROR(VLOOKUP($D115,SN_UGC,28,0),0),1)</f>
        <v>0</v>
      </c>
      <c r="AZ115" s="65">
        <f t="shared" ref="AZ115:AZ148" si="168">$F115*V115*IF(R115="Operacional",IFERROR(VLOOKUP($D115,SN_UGC,28,0),0),1)</f>
        <v>0</v>
      </c>
      <c r="BA115" s="65">
        <f t="shared" ref="BA115:BA148" si="169">$F115*W115*IF(S115="Operacional",IFERROR(VLOOKUP($D115,SN_UGC,28,0),0),1)</f>
        <v>0</v>
      </c>
      <c r="BB115" s="65">
        <f t="shared" ref="BB115:BB148" si="170">$F115*X115*IF(T115="Operacional",IFERROR(VLOOKUP($D115,SN_UGC,28,0),0),1)</f>
        <v>0</v>
      </c>
      <c r="BC115" s="65">
        <f t="shared" ref="BC115:BC148" si="171">$F115*Y115*IF(U115="Operacional",IFERROR(VLOOKUP($D115,SN_UGC,28,0),0),1)</f>
        <v>0</v>
      </c>
      <c r="BD115" s="65">
        <f t="shared" ref="BD115:BD148" si="172">$F115*Z115*IF(V115="Operacional",IFERROR(VLOOKUP($D115,SN_UGC,28,0),0),1)</f>
        <v>0</v>
      </c>
      <c r="BE115" s="65">
        <f t="shared" ref="BE115:BE148" si="173">$F115*AA115*IF(W115="Operacional",IFERROR(VLOOKUP($D115,SN_UGC,28,0),0),1)</f>
        <v>0</v>
      </c>
      <c r="BF115" s="65">
        <f t="shared" ref="BF115:BF148" si="174">$F115*AB115*IF(X115="Operacional",IFERROR(VLOOKUP($D115,SN_UGC,28,0),0),1)</f>
        <v>0</v>
      </c>
      <c r="BG115" s="65">
        <f t="shared" ref="BG115:BG148" si="175">$F115*AC115*IF(Y115="Operacional",IFERROR(VLOOKUP($D115,SN_UGC,28,0),0),1)</f>
        <v>0</v>
      </c>
      <c r="BH115" s="65">
        <f t="shared" ref="BH115:BH148" si="176">$F115*AD115*IF(Z115="Operacional",IFERROR(VLOOKUP($D115,SN_UGC,28,0),0),1)</f>
        <v>0</v>
      </c>
      <c r="BI115" s="65">
        <f t="shared" ref="BI115:BI148" si="177">$F115*AE115*IF(AA115="Operacional",IFERROR(VLOOKUP($D115,SN_UGC,28,0),0),1)</f>
        <v>0</v>
      </c>
      <c r="BJ115" s="65">
        <f t="shared" ref="BJ115:BJ148" si="178">$F115*AF115*IF(AB115="Operacional",IFERROR(VLOOKUP($D115,SN_UGC,28,0),0),1)</f>
        <v>0</v>
      </c>
      <c r="BK115" s="65">
        <f t="shared" ref="BK115:BK148" si="179">$F115*AG115*IF(AC115="Operacional",IFERROR(VLOOKUP($D115,SN_UGC,28,0),0),1)</f>
        <v>0</v>
      </c>
      <c r="BL115" s="65">
        <f t="shared" ref="BL115:BL148" si="180">$F115*AH115*IF(AD115="Operacional",IFERROR(VLOOKUP($D115,SN_UGC,28,0),0),1)</f>
        <v>0</v>
      </c>
      <c r="BM115" s="65">
        <f t="shared" ref="BM115:BM148" si="181">$F115*AI115*IF(AE115="Operacional",IFERROR(VLOOKUP($D115,SN_UGC,28,0),0),1)</f>
        <v>0</v>
      </c>
      <c r="BN115" s="65">
        <f t="shared" ref="BN115:BN148" si="182">$F115*AJ115*IF(AF115="Operacional",IFERROR(VLOOKUP($D115,SN_UGC,28,0),0),1)</f>
        <v>0</v>
      </c>
      <c r="BO115" s="66"/>
    </row>
    <row r="116" spans="1:67" ht="13.5" customHeight="1">
      <c r="A116" s="560"/>
      <c r="B116" s="560"/>
      <c r="C116" s="63"/>
      <c r="D116" s="561"/>
      <c r="E116" s="64"/>
      <c r="F116" s="63"/>
      <c r="G116" s="63"/>
      <c r="H116" s="63"/>
      <c r="I116" s="63"/>
      <c r="J116" s="63"/>
      <c r="K116" s="63"/>
      <c r="L116" s="63"/>
      <c r="M116" s="63"/>
      <c r="N116" s="63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  <c r="AE116" s="63"/>
      <c r="AF116" s="63"/>
      <c r="AG116" s="63"/>
      <c r="AH116" s="63"/>
      <c r="AI116" s="63"/>
      <c r="AJ116" s="63"/>
      <c r="AK116" s="65">
        <f t="shared" si="153"/>
        <v>0</v>
      </c>
      <c r="AL116" s="65">
        <f t="shared" si="154"/>
        <v>0</v>
      </c>
      <c r="AM116" s="65">
        <f t="shared" si="155"/>
        <v>0</v>
      </c>
      <c r="AN116" s="65">
        <f t="shared" si="156"/>
        <v>0</v>
      </c>
      <c r="AO116" s="65">
        <f t="shared" si="157"/>
        <v>0</v>
      </c>
      <c r="AP116" s="65">
        <f t="shared" si="158"/>
        <v>0</v>
      </c>
      <c r="AQ116" s="65">
        <f t="shared" si="159"/>
        <v>0</v>
      </c>
      <c r="AR116" s="65">
        <f t="shared" si="160"/>
        <v>0</v>
      </c>
      <c r="AS116" s="65">
        <f t="shared" si="161"/>
        <v>0</v>
      </c>
      <c r="AT116" s="65">
        <f t="shared" si="162"/>
        <v>0</v>
      </c>
      <c r="AU116" s="65">
        <f t="shared" si="163"/>
        <v>0</v>
      </c>
      <c r="AV116" s="65">
        <f t="shared" si="164"/>
        <v>0</v>
      </c>
      <c r="AW116" s="65">
        <f t="shared" si="165"/>
        <v>0</v>
      </c>
      <c r="AX116" s="65">
        <f t="shared" si="166"/>
        <v>0</v>
      </c>
      <c r="AY116" s="65">
        <f t="shared" si="167"/>
        <v>0</v>
      </c>
      <c r="AZ116" s="65">
        <f t="shared" si="168"/>
        <v>0</v>
      </c>
      <c r="BA116" s="65">
        <f t="shared" si="169"/>
        <v>0</v>
      </c>
      <c r="BB116" s="65">
        <f t="shared" si="170"/>
        <v>0</v>
      </c>
      <c r="BC116" s="65">
        <f t="shared" si="171"/>
        <v>0</v>
      </c>
      <c r="BD116" s="65">
        <f t="shared" si="172"/>
        <v>0</v>
      </c>
      <c r="BE116" s="65">
        <f t="shared" si="173"/>
        <v>0</v>
      </c>
      <c r="BF116" s="65">
        <f t="shared" si="174"/>
        <v>0</v>
      </c>
      <c r="BG116" s="65">
        <f t="shared" si="175"/>
        <v>0</v>
      </c>
      <c r="BH116" s="65">
        <f t="shared" si="176"/>
        <v>0</v>
      </c>
      <c r="BI116" s="65">
        <f t="shared" si="177"/>
        <v>0</v>
      </c>
      <c r="BJ116" s="65">
        <f t="shared" si="178"/>
        <v>0</v>
      </c>
      <c r="BK116" s="65">
        <f t="shared" si="179"/>
        <v>0</v>
      </c>
      <c r="BL116" s="65">
        <f t="shared" si="180"/>
        <v>0</v>
      </c>
      <c r="BM116" s="65">
        <f t="shared" si="181"/>
        <v>0</v>
      </c>
      <c r="BN116" s="65">
        <f t="shared" si="182"/>
        <v>0</v>
      </c>
      <c r="BO116" s="66"/>
    </row>
    <row r="117" spans="1:67" ht="13.5" customHeight="1">
      <c r="A117" s="560"/>
      <c r="B117" s="560"/>
      <c r="C117" s="63"/>
      <c r="D117" s="561"/>
      <c r="E117" s="64"/>
      <c r="F117" s="63"/>
      <c r="G117" s="63"/>
      <c r="H117" s="63"/>
      <c r="I117" s="63"/>
      <c r="J117" s="63"/>
      <c r="K117" s="63"/>
      <c r="L117" s="63"/>
      <c r="M117" s="63"/>
      <c r="N117" s="63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  <c r="AE117" s="63"/>
      <c r="AF117" s="63"/>
      <c r="AG117" s="63"/>
      <c r="AH117" s="63"/>
      <c r="AI117" s="63"/>
      <c r="AJ117" s="63"/>
      <c r="AK117" s="65">
        <f t="shared" si="153"/>
        <v>0</v>
      </c>
      <c r="AL117" s="65">
        <f t="shared" si="154"/>
        <v>0</v>
      </c>
      <c r="AM117" s="65">
        <f t="shared" si="155"/>
        <v>0</v>
      </c>
      <c r="AN117" s="65">
        <f t="shared" si="156"/>
        <v>0</v>
      </c>
      <c r="AO117" s="65">
        <f t="shared" si="157"/>
        <v>0</v>
      </c>
      <c r="AP117" s="65">
        <f t="shared" si="158"/>
        <v>0</v>
      </c>
      <c r="AQ117" s="65">
        <f t="shared" si="159"/>
        <v>0</v>
      </c>
      <c r="AR117" s="65">
        <f t="shared" si="160"/>
        <v>0</v>
      </c>
      <c r="AS117" s="65">
        <f t="shared" si="161"/>
        <v>0</v>
      </c>
      <c r="AT117" s="65">
        <f t="shared" si="162"/>
        <v>0</v>
      </c>
      <c r="AU117" s="65">
        <f t="shared" si="163"/>
        <v>0</v>
      </c>
      <c r="AV117" s="65">
        <f t="shared" si="164"/>
        <v>0</v>
      </c>
      <c r="AW117" s="65">
        <f t="shared" si="165"/>
        <v>0</v>
      </c>
      <c r="AX117" s="65">
        <f t="shared" si="166"/>
        <v>0</v>
      </c>
      <c r="AY117" s="65">
        <f t="shared" si="167"/>
        <v>0</v>
      </c>
      <c r="AZ117" s="65">
        <f t="shared" si="168"/>
        <v>0</v>
      </c>
      <c r="BA117" s="65">
        <f t="shared" si="169"/>
        <v>0</v>
      </c>
      <c r="BB117" s="65">
        <f t="shared" si="170"/>
        <v>0</v>
      </c>
      <c r="BC117" s="65">
        <f t="shared" si="171"/>
        <v>0</v>
      </c>
      <c r="BD117" s="65">
        <f t="shared" si="172"/>
        <v>0</v>
      </c>
      <c r="BE117" s="65">
        <f t="shared" si="173"/>
        <v>0</v>
      </c>
      <c r="BF117" s="65">
        <f t="shared" si="174"/>
        <v>0</v>
      </c>
      <c r="BG117" s="65">
        <f t="shared" si="175"/>
        <v>0</v>
      </c>
      <c r="BH117" s="65">
        <f t="shared" si="176"/>
        <v>0</v>
      </c>
      <c r="BI117" s="65">
        <f t="shared" si="177"/>
        <v>0</v>
      </c>
      <c r="BJ117" s="65">
        <f t="shared" si="178"/>
        <v>0</v>
      </c>
      <c r="BK117" s="65">
        <f t="shared" si="179"/>
        <v>0</v>
      </c>
      <c r="BL117" s="65">
        <f t="shared" si="180"/>
        <v>0</v>
      </c>
      <c r="BM117" s="65">
        <f t="shared" si="181"/>
        <v>0</v>
      </c>
      <c r="BN117" s="65">
        <f t="shared" si="182"/>
        <v>0</v>
      </c>
      <c r="BO117" s="66"/>
    </row>
    <row r="118" spans="1:67" ht="13.5" customHeight="1">
      <c r="A118" s="560"/>
      <c r="B118" s="560"/>
      <c r="C118" s="63"/>
      <c r="D118" s="561"/>
      <c r="E118" s="64"/>
      <c r="F118" s="63"/>
      <c r="G118" s="63"/>
      <c r="H118" s="63"/>
      <c r="I118" s="63"/>
      <c r="J118" s="63"/>
      <c r="K118" s="63"/>
      <c r="L118" s="63"/>
      <c r="M118" s="63"/>
      <c r="N118" s="63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5">
        <f t="shared" si="153"/>
        <v>0</v>
      </c>
      <c r="AL118" s="65">
        <f t="shared" si="154"/>
        <v>0</v>
      </c>
      <c r="AM118" s="65">
        <f t="shared" si="155"/>
        <v>0</v>
      </c>
      <c r="AN118" s="65">
        <f t="shared" si="156"/>
        <v>0</v>
      </c>
      <c r="AO118" s="65">
        <f t="shared" si="157"/>
        <v>0</v>
      </c>
      <c r="AP118" s="65">
        <f t="shared" si="158"/>
        <v>0</v>
      </c>
      <c r="AQ118" s="65">
        <f t="shared" si="159"/>
        <v>0</v>
      </c>
      <c r="AR118" s="65">
        <f t="shared" si="160"/>
        <v>0</v>
      </c>
      <c r="AS118" s="65">
        <f t="shared" si="161"/>
        <v>0</v>
      </c>
      <c r="AT118" s="65">
        <f t="shared" si="162"/>
        <v>0</v>
      </c>
      <c r="AU118" s="65">
        <f t="shared" si="163"/>
        <v>0</v>
      </c>
      <c r="AV118" s="65">
        <f t="shared" si="164"/>
        <v>0</v>
      </c>
      <c r="AW118" s="65">
        <f t="shared" si="165"/>
        <v>0</v>
      </c>
      <c r="AX118" s="65">
        <f t="shared" si="166"/>
        <v>0</v>
      </c>
      <c r="AY118" s="65">
        <f t="shared" si="167"/>
        <v>0</v>
      </c>
      <c r="AZ118" s="65">
        <f t="shared" si="168"/>
        <v>0</v>
      </c>
      <c r="BA118" s="65">
        <f t="shared" si="169"/>
        <v>0</v>
      </c>
      <c r="BB118" s="65">
        <f t="shared" si="170"/>
        <v>0</v>
      </c>
      <c r="BC118" s="65">
        <f t="shared" si="171"/>
        <v>0</v>
      </c>
      <c r="BD118" s="65">
        <f t="shared" si="172"/>
        <v>0</v>
      </c>
      <c r="BE118" s="65">
        <f t="shared" si="173"/>
        <v>0</v>
      </c>
      <c r="BF118" s="65">
        <f t="shared" si="174"/>
        <v>0</v>
      </c>
      <c r="BG118" s="65">
        <f t="shared" si="175"/>
        <v>0</v>
      </c>
      <c r="BH118" s="65">
        <f t="shared" si="176"/>
        <v>0</v>
      </c>
      <c r="BI118" s="65">
        <f t="shared" si="177"/>
        <v>0</v>
      </c>
      <c r="BJ118" s="65">
        <f t="shared" si="178"/>
        <v>0</v>
      </c>
      <c r="BK118" s="65">
        <f t="shared" si="179"/>
        <v>0</v>
      </c>
      <c r="BL118" s="65">
        <f t="shared" si="180"/>
        <v>0</v>
      </c>
      <c r="BM118" s="65">
        <f t="shared" si="181"/>
        <v>0</v>
      </c>
      <c r="BN118" s="65">
        <f t="shared" si="182"/>
        <v>0</v>
      </c>
      <c r="BO118" s="66"/>
    </row>
    <row r="119" spans="1:67" ht="13.5" customHeight="1">
      <c r="A119" s="560"/>
      <c r="B119" s="560"/>
      <c r="C119" s="63"/>
      <c r="D119" s="561"/>
      <c r="E119" s="64"/>
      <c r="F119" s="63"/>
      <c r="G119" s="63"/>
      <c r="H119" s="63"/>
      <c r="I119" s="63"/>
      <c r="J119" s="63"/>
      <c r="K119" s="63"/>
      <c r="L119" s="63"/>
      <c r="M119" s="63"/>
      <c r="N119" s="63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  <c r="AE119" s="63"/>
      <c r="AF119" s="63"/>
      <c r="AG119" s="63"/>
      <c r="AH119" s="63"/>
      <c r="AI119" s="63"/>
      <c r="AJ119" s="63"/>
      <c r="AK119" s="65">
        <f t="shared" si="153"/>
        <v>0</v>
      </c>
      <c r="AL119" s="65">
        <f t="shared" si="154"/>
        <v>0</v>
      </c>
      <c r="AM119" s="65">
        <f t="shared" si="155"/>
        <v>0</v>
      </c>
      <c r="AN119" s="65">
        <f t="shared" si="156"/>
        <v>0</v>
      </c>
      <c r="AO119" s="65">
        <f t="shared" si="157"/>
        <v>0</v>
      </c>
      <c r="AP119" s="65">
        <f t="shared" si="158"/>
        <v>0</v>
      </c>
      <c r="AQ119" s="65">
        <f t="shared" si="159"/>
        <v>0</v>
      </c>
      <c r="AR119" s="65">
        <f t="shared" si="160"/>
        <v>0</v>
      </c>
      <c r="AS119" s="65">
        <f t="shared" si="161"/>
        <v>0</v>
      </c>
      <c r="AT119" s="65">
        <f t="shared" si="162"/>
        <v>0</v>
      </c>
      <c r="AU119" s="65">
        <f t="shared" si="163"/>
        <v>0</v>
      </c>
      <c r="AV119" s="65">
        <f t="shared" si="164"/>
        <v>0</v>
      </c>
      <c r="AW119" s="65">
        <f t="shared" si="165"/>
        <v>0</v>
      </c>
      <c r="AX119" s="65">
        <f t="shared" si="166"/>
        <v>0</v>
      </c>
      <c r="AY119" s="65">
        <f t="shared" si="167"/>
        <v>0</v>
      </c>
      <c r="AZ119" s="65">
        <f t="shared" si="168"/>
        <v>0</v>
      </c>
      <c r="BA119" s="65">
        <f t="shared" si="169"/>
        <v>0</v>
      </c>
      <c r="BB119" s="65">
        <f t="shared" si="170"/>
        <v>0</v>
      </c>
      <c r="BC119" s="65">
        <f t="shared" si="171"/>
        <v>0</v>
      </c>
      <c r="BD119" s="65">
        <f t="shared" si="172"/>
        <v>0</v>
      </c>
      <c r="BE119" s="65">
        <f t="shared" si="173"/>
        <v>0</v>
      </c>
      <c r="BF119" s="65">
        <f t="shared" si="174"/>
        <v>0</v>
      </c>
      <c r="BG119" s="65">
        <f t="shared" si="175"/>
        <v>0</v>
      </c>
      <c r="BH119" s="65">
        <f t="shared" si="176"/>
        <v>0</v>
      </c>
      <c r="BI119" s="65">
        <f t="shared" si="177"/>
        <v>0</v>
      </c>
      <c r="BJ119" s="65">
        <f t="shared" si="178"/>
        <v>0</v>
      </c>
      <c r="BK119" s="65">
        <f t="shared" si="179"/>
        <v>0</v>
      </c>
      <c r="BL119" s="65">
        <f t="shared" si="180"/>
        <v>0</v>
      </c>
      <c r="BM119" s="65">
        <f t="shared" si="181"/>
        <v>0</v>
      </c>
      <c r="BN119" s="65">
        <f t="shared" si="182"/>
        <v>0</v>
      </c>
      <c r="BO119" s="66"/>
    </row>
    <row r="120" spans="1:67" ht="13.5" customHeight="1">
      <c r="A120" s="560"/>
      <c r="B120" s="560"/>
      <c r="C120" s="63"/>
      <c r="D120" s="561"/>
      <c r="E120" s="64"/>
      <c r="F120" s="63"/>
      <c r="G120" s="63"/>
      <c r="H120" s="63"/>
      <c r="I120" s="63"/>
      <c r="J120" s="63"/>
      <c r="K120" s="63"/>
      <c r="L120" s="63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G120" s="63"/>
      <c r="AH120" s="63"/>
      <c r="AI120" s="63"/>
      <c r="AJ120" s="63"/>
      <c r="AK120" s="65">
        <f t="shared" si="153"/>
        <v>0</v>
      </c>
      <c r="AL120" s="65">
        <f t="shared" si="154"/>
        <v>0</v>
      </c>
      <c r="AM120" s="65">
        <f t="shared" si="155"/>
        <v>0</v>
      </c>
      <c r="AN120" s="65">
        <f t="shared" si="156"/>
        <v>0</v>
      </c>
      <c r="AO120" s="65">
        <f t="shared" si="157"/>
        <v>0</v>
      </c>
      <c r="AP120" s="65">
        <f t="shared" si="158"/>
        <v>0</v>
      </c>
      <c r="AQ120" s="65">
        <f t="shared" si="159"/>
        <v>0</v>
      </c>
      <c r="AR120" s="65">
        <f t="shared" si="160"/>
        <v>0</v>
      </c>
      <c r="AS120" s="65">
        <f t="shared" si="161"/>
        <v>0</v>
      </c>
      <c r="AT120" s="65">
        <f t="shared" si="162"/>
        <v>0</v>
      </c>
      <c r="AU120" s="65">
        <f t="shared" si="163"/>
        <v>0</v>
      </c>
      <c r="AV120" s="65">
        <f t="shared" si="164"/>
        <v>0</v>
      </c>
      <c r="AW120" s="65">
        <f t="shared" si="165"/>
        <v>0</v>
      </c>
      <c r="AX120" s="65">
        <f t="shared" si="166"/>
        <v>0</v>
      </c>
      <c r="AY120" s="65">
        <f t="shared" si="167"/>
        <v>0</v>
      </c>
      <c r="AZ120" s="65">
        <f t="shared" si="168"/>
        <v>0</v>
      </c>
      <c r="BA120" s="65">
        <f t="shared" si="169"/>
        <v>0</v>
      </c>
      <c r="BB120" s="65">
        <f t="shared" si="170"/>
        <v>0</v>
      </c>
      <c r="BC120" s="65">
        <f t="shared" si="171"/>
        <v>0</v>
      </c>
      <c r="BD120" s="65">
        <f t="shared" si="172"/>
        <v>0</v>
      </c>
      <c r="BE120" s="65">
        <f t="shared" si="173"/>
        <v>0</v>
      </c>
      <c r="BF120" s="65">
        <f t="shared" si="174"/>
        <v>0</v>
      </c>
      <c r="BG120" s="65">
        <f t="shared" si="175"/>
        <v>0</v>
      </c>
      <c r="BH120" s="65">
        <f t="shared" si="176"/>
        <v>0</v>
      </c>
      <c r="BI120" s="65">
        <f t="shared" si="177"/>
        <v>0</v>
      </c>
      <c r="BJ120" s="65">
        <f t="shared" si="178"/>
        <v>0</v>
      </c>
      <c r="BK120" s="65">
        <f t="shared" si="179"/>
        <v>0</v>
      </c>
      <c r="BL120" s="65">
        <f t="shared" si="180"/>
        <v>0</v>
      </c>
      <c r="BM120" s="65">
        <f t="shared" si="181"/>
        <v>0</v>
      </c>
      <c r="BN120" s="65">
        <f t="shared" si="182"/>
        <v>0</v>
      </c>
      <c r="BO120" s="66"/>
    </row>
    <row r="121" spans="1:67" ht="13.5" customHeight="1">
      <c r="A121" s="560"/>
      <c r="B121" s="560"/>
      <c r="C121" s="63"/>
      <c r="D121" s="561"/>
      <c r="E121" s="64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5">
        <f t="shared" si="153"/>
        <v>0</v>
      </c>
      <c r="AL121" s="65">
        <f t="shared" si="154"/>
        <v>0</v>
      </c>
      <c r="AM121" s="65">
        <f t="shared" si="155"/>
        <v>0</v>
      </c>
      <c r="AN121" s="65">
        <f t="shared" si="156"/>
        <v>0</v>
      </c>
      <c r="AO121" s="65">
        <f t="shared" si="157"/>
        <v>0</v>
      </c>
      <c r="AP121" s="65">
        <f t="shared" si="158"/>
        <v>0</v>
      </c>
      <c r="AQ121" s="65">
        <f t="shared" si="159"/>
        <v>0</v>
      </c>
      <c r="AR121" s="65">
        <f t="shared" si="160"/>
        <v>0</v>
      </c>
      <c r="AS121" s="65">
        <f t="shared" si="161"/>
        <v>0</v>
      </c>
      <c r="AT121" s="65">
        <f t="shared" si="162"/>
        <v>0</v>
      </c>
      <c r="AU121" s="65">
        <f t="shared" si="163"/>
        <v>0</v>
      </c>
      <c r="AV121" s="65">
        <f t="shared" si="164"/>
        <v>0</v>
      </c>
      <c r="AW121" s="65">
        <f t="shared" si="165"/>
        <v>0</v>
      </c>
      <c r="AX121" s="65">
        <f t="shared" si="166"/>
        <v>0</v>
      </c>
      <c r="AY121" s="65">
        <f t="shared" si="167"/>
        <v>0</v>
      </c>
      <c r="AZ121" s="65">
        <f t="shared" si="168"/>
        <v>0</v>
      </c>
      <c r="BA121" s="65">
        <f t="shared" si="169"/>
        <v>0</v>
      </c>
      <c r="BB121" s="65">
        <f t="shared" si="170"/>
        <v>0</v>
      </c>
      <c r="BC121" s="65">
        <f t="shared" si="171"/>
        <v>0</v>
      </c>
      <c r="BD121" s="65">
        <f t="shared" si="172"/>
        <v>0</v>
      </c>
      <c r="BE121" s="65">
        <f t="shared" si="173"/>
        <v>0</v>
      </c>
      <c r="BF121" s="65">
        <f t="shared" si="174"/>
        <v>0</v>
      </c>
      <c r="BG121" s="65">
        <f t="shared" si="175"/>
        <v>0</v>
      </c>
      <c r="BH121" s="65">
        <f t="shared" si="176"/>
        <v>0</v>
      </c>
      <c r="BI121" s="65">
        <f t="shared" si="177"/>
        <v>0</v>
      </c>
      <c r="BJ121" s="65">
        <f t="shared" si="178"/>
        <v>0</v>
      </c>
      <c r="BK121" s="65">
        <f t="shared" si="179"/>
        <v>0</v>
      </c>
      <c r="BL121" s="65">
        <f t="shared" si="180"/>
        <v>0</v>
      </c>
      <c r="BM121" s="65">
        <f t="shared" si="181"/>
        <v>0</v>
      </c>
      <c r="BN121" s="65">
        <f t="shared" si="182"/>
        <v>0</v>
      </c>
      <c r="BO121" s="66"/>
    </row>
    <row r="122" spans="1:67" ht="13.5" customHeight="1">
      <c r="A122" s="560"/>
      <c r="B122" s="560"/>
      <c r="C122" s="63"/>
      <c r="D122" s="561"/>
      <c r="E122" s="64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5">
        <f t="shared" si="153"/>
        <v>0</v>
      </c>
      <c r="AL122" s="65">
        <f t="shared" si="154"/>
        <v>0</v>
      </c>
      <c r="AM122" s="65">
        <f t="shared" si="155"/>
        <v>0</v>
      </c>
      <c r="AN122" s="65">
        <f t="shared" si="156"/>
        <v>0</v>
      </c>
      <c r="AO122" s="65">
        <f t="shared" si="157"/>
        <v>0</v>
      </c>
      <c r="AP122" s="65">
        <f t="shared" si="158"/>
        <v>0</v>
      </c>
      <c r="AQ122" s="65">
        <f t="shared" si="159"/>
        <v>0</v>
      </c>
      <c r="AR122" s="65">
        <f t="shared" si="160"/>
        <v>0</v>
      </c>
      <c r="AS122" s="65">
        <f t="shared" si="161"/>
        <v>0</v>
      </c>
      <c r="AT122" s="65">
        <f t="shared" si="162"/>
        <v>0</v>
      </c>
      <c r="AU122" s="65">
        <f t="shared" si="163"/>
        <v>0</v>
      </c>
      <c r="AV122" s="65">
        <f t="shared" si="164"/>
        <v>0</v>
      </c>
      <c r="AW122" s="65">
        <f t="shared" si="165"/>
        <v>0</v>
      </c>
      <c r="AX122" s="65">
        <f t="shared" si="166"/>
        <v>0</v>
      </c>
      <c r="AY122" s="65">
        <f t="shared" si="167"/>
        <v>0</v>
      </c>
      <c r="AZ122" s="65">
        <f t="shared" si="168"/>
        <v>0</v>
      </c>
      <c r="BA122" s="65">
        <f t="shared" si="169"/>
        <v>0</v>
      </c>
      <c r="BB122" s="65">
        <f t="shared" si="170"/>
        <v>0</v>
      </c>
      <c r="BC122" s="65">
        <f t="shared" si="171"/>
        <v>0</v>
      </c>
      <c r="BD122" s="65">
        <f t="shared" si="172"/>
        <v>0</v>
      </c>
      <c r="BE122" s="65">
        <f t="shared" si="173"/>
        <v>0</v>
      </c>
      <c r="BF122" s="65">
        <f t="shared" si="174"/>
        <v>0</v>
      </c>
      <c r="BG122" s="65">
        <f t="shared" si="175"/>
        <v>0</v>
      </c>
      <c r="BH122" s="65">
        <f t="shared" si="176"/>
        <v>0</v>
      </c>
      <c r="BI122" s="65">
        <f t="shared" si="177"/>
        <v>0</v>
      </c>
      <c r="BJ122" s="65">
        <f t="shared" si="178"/>
        <v>0</v>
      </c>
      <c r="BK122" s="65">
        <f t="shared" si="179"/>
        <v>0</v>
      </c>
      <c r="BL122" s="65">
        <f t="shared" si="180"/>
        <v>0</v>
      </c>
      <c r="BM122" s="65">
        <f t="shared" si="181"/>
        <v>0</v>
      </c>
      <c r="BN122" s="65">
        <f t="shared" si="182"/>
        <v>0</v>
      </c>
      <c r="BO122" s="66"/>
    </row>
    <row r="123" spans="1:67" ht="13.5" customHeight="1">
      <c r="A123" s="560"/>
      <c r="B123" s="560"/>
      <c r="C123" s="63"/>
      <c r="D123" s="561"/>
      <c r="E123" s="64"/>
      <c r="F123" s="63"/>
      <c r="G123" s="63"/>
      <c r="H123" s="63"/>
      <c r="I123" s="63"/>
      <c r="J123" s="63"/>
      <c r="K123" s="63"/>
      <c r="L123" s="63"/>
      <c r="M123" s="63"/>
      <c r="N123" s="63"/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3"/>
      <c r="AA123" s="63"/>
      <c r="AB123" s="63"/>
      <c r="AC123" s="63"/>
      <c r="AD123" s="63"/>
      <c r="AE123" s="63"/>
      <c r="AF123" s="63"/>
      <c r="AG123" s="63"/>
      <c r="AH123" s="63"/>
      <c r="AI123" s="63"/>
      <c r="AJ123" s="63"/>
      <c r="AK123" s="65">
        <f t="shared" si="153"/>
        <v>0</v>
      </c>
      <c r="AL123" s="65">
        <f t="shared" si="154"/>
        <v>0</v>
      </c>
      <c r="AM123" s="65">
        <f t="shared" si="155"/>
        <v>0</v>
      </c>
      <c r="AN123" s="65">
        <f t="shared" si="156"/>
        <v>0</v>
      </c>
      <c r="AO123" s="65">
        <f t="shared" si="157"/>
        <v>0</v>
      </c>
      <c r="AP123" s="65">
        <f t="shared" si="158"/>
        <v>0</v>
      </c>
      <c r="AQ123" s="65">
        <f t="shared" si="159"/>
        <v>0</v>
      </c>
      <c r="AR123" s="65">
        <f t="shared" si="160"/>
        <v>0</v>
      </c>
      <c r="AS123" s="65">
        <f t="shared" si="161"/>
        <v>0</v>
      </c>
      <c r="AT123" s="65">
        <f t="shared" si="162"/>
        <v>0</v>
      </c>
      <c r="AU123" s="65">
        <f t="shared" si="163"/>
        <v>0</v>
      </c>
      <c r="AV123" s="65">
        <f t="shared" si="164"/>
        <v>0</v>
      </c>
      <c r="AW123" s="65">
        <f t="shared" si="165"/>
        <v>0</v>
      </c>
      <c r="AX123" s="65">
        <f t="shared" si="166"/>
        <v>0</v>
      </c>
      <c r="AY123" s="65">
        <f t="shared" si="167"/>
        <v>0</v>
      </c>
      <c r="AZ123" s="65">
        <f t="shared" si="168"/>
        <v>0</v>
      </c>
      <c r="BA123" s="65">
        <f t="shared" si="169"/>
        <v>0</v>
      </c>
      <c r="BB123" s="65">
        <f t="shared" si="170"/>
        <v>0</v>
      </c>
      <c r="BC123" s="65">
        <f t="shared" si="171"/>
        <v>0</v>
      </c>
      <c r="BD123" s="65">
        <f t="shared" si="172"/>
        <v>0</v>
      </c>
      <c r="BE123" s="65">
        <f t="shared" si="173"/>
        <v>0</v>
      </c>
      <c r="BF123" s="65">
        <f t="shared" si="174"/>
        <v>0</v>
      </c>
      <c r="BG123" s="65">
        <f t="shared" si="175"/>
        <v>0</v>
      </c>
      <c r="BH123" s="65">
        <f t="shared" si="176"/>
        <v>0</v>
      </c>
      <c r="BI123" s="65">
        <f t="shared" si="177"/>
        <v>0</v>
      </c>
      <c r="BJ123" s="65">
        <f t="shared" si="178"/>
        <v>0</v>
      </c>
      <c r="BK123" s="65">
        <f t="shared" si="179"/>
        <v>0</v>
      </c>
      <c r="BL123" s="65">
        <f t="shared" si="180"/>
        <v>0</v>
      </c>
      <c r="BM123" s="65">
        <f t="shared" si="181"/>
        <v>0</v>
      </c>
      <c r="BN123" s="65">
        <f t="shared" si="182"/>
        <v>0</v>
      </c>
      <c r="BO123" s="66"/>
    </row>
    <row r="124" spans="1:67" ht="13.5" customHeight="1">
      <c r="A124" s="560"/>
      <c r="B124" s="560"/>
      <c r="C124" s="63"/>
      <c r="D124" s="561"/>
      <c r="E124" s="64"/>
      <c r="F124" s="63"/>
      <c r="G124" s="63"/>
      <c r="H124" s="63"/>
      <c r="I124" s="63"/>
      <c r="J124" s="63"/>
      <c r="K124" s="63"/>
      <c r="L124" s="63"/>
      <c r="M124" s="63"/>
      <c r="N124" s="63"/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3"/>
      <c r="AA124" s="63"/>
      <c r="AB124" s="63"/>
      <c r="AC124" s="63"/>
      <c r="AD124" s="63"/>
      <c r="AE124" s="63"/>
      <c r="AF124" s="63"/>
      <c r="AG124" s="63"/>
      <c r="AH124" s="63"/>
      <c r="AI124" s="63"/>
      <c r="AJ124" s="63"/>
      <c r="AK124" s="65">
        <f t="shared" si="153"/>
        <v>0</v>
      </c>
      <c r="AL124" s="65">
        <f t="shared" si="154"/>
        <v>0</v>
      </c>
      <c r="AM124" s="65">
        <f t="shared" si="155"/>
        <v>0</v>
      </c>
      <c r="AN124" s="65">
        <f t="shared" si="156"/>
        <v>0</v>
      </c>
      <c r="AO124" s="65">
        <f t="shared" si="157"/>
        <v>0</v>
      </c>
      <c r="AP124" s="65">
        <f t="shared" si="158"/>
        <v>0</v>
      </c>
      <c r="AQ124" s="65">
        <f t="shared" si="159"/>
        <v>0</v>
      </c>
      <c r="AR124" s="65">
        <f t="shared" si="160"/>
        <v>0</v>
      </c>
      <c r="AS124" s="65">
        <f t="shared" si="161"/>
        <v>0</v>
      </c>
      <c r="AT124" s="65">
        <f t="shared" si="162"/>
        <v>0</v>
      </c>
      <c r="AU124" s="65">
        <f t="shared" si="163"/>
        <v>0</v>
      </c>
      <c r="AV124" s="65">
        <f t="shared" si="164"/>
        <v>0</v>
      </c>
      <c r="AW124" s="65">
        <f t="shared" si="165"/>
        <v>0</v>
      </c>
      <c r="AX124" s="65">
        <f t="shared" si="166"/>
        <v>0</v>
      </c>
      <c r="AY124" s="65">
        <f t="shared" si="167"/>
        <v>0</v>
      </c>
      <c r="AZ124" s="65">
        <f t="shared" si="168"/>
        <v>0</v>
      </c>
      <c r="BA124" s="65">
        <f t="shared" si="169"/>
        <v>0</v>
      </c>
      <c r="BB124" s="65">
        <f t="shared" si="170"/>
        <v>0</v>
      </c>
      <c r="BC124" s="65">
        <f t="shared" si="171"/>
        <v>0</v>
      </c>
      <c r="BD124" s="65">
        <f t="shared" si="172"/>
        <v>0</v>
      </c>
      <c r="BE124" s="65">
        <f t="shared" si="173"/>
        <v>0</v>
      </c>
      <c r="BF124" s="65">
        <f t="shared" si="174"/>
        <v>0</v>
      </c>
      <c r="BG124" s="65">
        <f t="shared" si="175"/>
        <v>0</v>
      </c>
      <c r="BH124" s="65">
        <f t="shared" si="176"/>
        <v>0</v>
      </c>
      <c r="BI124" s="65">
        <f t="shared" si="177"/>
        <v>0</v>
      </c>
      <c r="BJ124" s="65">
        <f t="shared" si="178"/>
        <v>0</v>
      </c>
      <c r="BK124" s="65">
        <f t="shared" si="179"/>
        <v>0</v>
      </c>
      <c r="BL124" s="65">
        <f t="shared" si="180"/>
        <v>0</v>
      </c>
      <c r="BM124" s="65">
        <f t="shared" si="181"/>
        <v>0</v>
      </c>
      <c r="BN124" s="65">
        <f t="shared" si="182"/>
        <v>0</v>
      </c>
      <c r="BO124" s="66"/>
    </row>
    <row r="125" spans="1:67" ht="13.5" customHeight="1">
      <c r="A125" s="560"/>
      <c r="B125" s="560"/>
      <c r="C125" s="63"/>
      <c r="D125" s="561"/>
      <c r="E125" s="64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5">
        <f t="shared" si="153"/>
        <v>0</v>
      </c>
      <c r="AL125" s="65">
        <f t="shared" si="154"/>
        <v>0</v>
      </c>
      <c r="AM125" s="65">
        <f t="shared" si="155"/>
        <v>0</v>
      </c>
      <c r="AN125" s="65">
        <f t="shared" si="156"/>
        <v>0</v>
      </c>
      <c r="AO125" s="65">
        <f t="shared" si="157"/>
        <v>0</v>
      </c>
      <c r="AP125" s="65">
        <f t="shared" si="158"/>
        <v>0</v>
      </c>
      <c r="AQ125" s="65">
        <f t="shared" si="159"/>
        <v>0</v>
      </c>
      <c r="AR125" s="65">
        <f t="shared" si="160"/>
        <v>0</v>
      </c>
      <c r="AS125" s="65">
        <f t="shared" si="161"/>
        <v>0</v>
      </c>
      <c r="AT125" s="65">
        <f t="shared" si="162"/>
        <v>0</v>
      </c>
      <c r="AU125" s="65">
        <f t="shared" si="163"/>
        <v>0</v>
      </c>
      <c r="AV125" s="65">
        <f t="shared" si="164"/>
        <v>0</v>
      </c>
      <c r="AW125" s="65">
        <f t="shared" si="165"/>
        <v>0</v>
      </c>
      <c r="AX125" s="65">
        <f t="shared" si="166"/>
        <v>0</v>
      </c>
      <c r="AY125" s="65">
        <f t="shared" si="167"/>
        <v>0</v>
      </c>
      <c r="AZ125" s="65">
        <f t="shared" si="168"/>
        <v>0</v>
      </c>
      <c r="BA125" s="65">
        <f t="shared" si="169"/>
        <v>0</v>
      </c>
      <c r="BB125" s="65">
        <f t="shared" si="170"/>
        <v>0</v>
      </c>
      <c r="BC125" s="65">
        <f t="shared" si="171"/>
        <v>0</v>
      </c>
      <c r="BD125" s="65">
        <f t="shared" si="172"/>
        <v>0</v>
      </c>
      <c r="BE125" s="65">
        <f t="shared" si="173"/>
        <v>0</v>
      </c>
      <c r="BF125" s="65">
        <f t="shared" si="174"/>
        <v>0</v>
      </c>
      <c r="BG125" s="65">
        <f t="shared" si="175"/>
        <v>0</v>
      </c>
      <c r="BH125" s="65">
        <f t="shared" si="176"/>
        <v>0</v>
      </c>
      <c r="BI125" s="65">
        <f t="shared" si="177"/>
        <v>0</v>
      </c>
      <c r="BJ125" s="65">
        <f t="shared" si="178"/>
        <v>0</v>
      </c>
      <c r="BK125" s="65">
        <f t="shared" si="179"/>
        <v>0</v>
      </c>
      <c r="BL125" s="65">
        <f t="shared" si="180"/>
        <v>0</v>
      </c>
      <c r="BM125" s="65">
        <f t="shared" si="181"/>
        <v>0</v>
      </c>
      <c r="BN125" s="65">
        <f t="shared" si="182"/>
        <v>0</v>
      </c>
      <c r="BO125" s="66"/>
    </row>
    <row r="126" spans="1:67" ht="13.5" customHeight="1">
      <c r="A126" s="560"/>
      <c r="B126" s="560"/>
      <c r="C126" s="63"/>
      <c r="D126" s="561"/>
      <c r="E126" s="64"/>
      <c r="F126" s="63"/>
      <c r="G126" s="63"/>
      <c r="H126" s="63"/>
      <c r="I126" s="63"/>
      <c r="J126" s="63"/>
      <c r="K126" s="63"/>
      <c r="L126" s="63"/>
      <c r="M126" s="63"/>
      <c r="N126" s="63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  <c r="AB126" s="63"/>
      <c r="AC126" s="63"/>
      <c r="AD126" s="63"/>
      <c r="AE126" s="63"/>
      <c r="AF126" s="63"/>
      <c r="AG126" s="63"/>
      <c r="AH126" s="63"/>
      <c r="AI126" s="63"/>
      <c r="AJ126" s="63"/>
      <c r="AK126" s="65">
        <f t="shared" si="153"/>
        <v>0</v>
      </c>
      <c r="AL126" s="65">
        <f t="shared" si="154"/>
        <v>0</v>
      </c>
      <c r="AM126" s="65">
        <f t="shared" si="155"/>
        <v>0</v>
      </c>
      <c r="AN126" s="65">
        <f t="shared" si="156"/>
        <v>0</v>
      </c>
      <c r="AO126" s="65">
        <f t="shared" si="157"/>
        <v>0</v>
      </c>
      <c r="AP126" s="65">
        <f t="shared" si="158"/>
        <v>0</v>
      </c>
      <c r="AQ126" s="65">
        <f t="shared" si="159"/>
        <v>0</v>
      </c>
      <c r="AR126" s="65">
        <f t="shared" si="160"/>
        <v>0</v>
      </c>
      <c r="AS126" s="65">
        <f t="shared" si="161"/>
        <v>0</v>
      </c>
      <c r="AT126" s="65">
        <f t="shared" si="162"/>
        <v>0</v>
      </c>
      <c r="AU126" s="65">
        <f t="shared" si="163"/>
        <v>0</v>
      </c>
      <c r="AV126" s="65">
        <f t="shared" si="164"/>
        <v>0</v>
      </c>
      <c r="AW126" s="65">
        <f t="shared" si="165"/>
        <v>0</v>
      </c>
      <c r="AX126" s="65">
        <f t="shared" si="166"/>
        <v>0</v>
      </c>
      <c r="AY126" s="65">
        <f t="shared" si="167"/>
        <v>0</v>
      </c>
      <c r="AZ126" s="65">
        <f t="shared" si="168"/>
        <v>0</v>
      </c>
      <c r="BA126" s="65">
        <f t="shared" si="169"/>
        <v>0</v>
      </c>
      <c r="BB126" s="65">
        <f t="shared" si="170"/>
        <v>0</v>
      </c>
      <c r="BC126" s="65">
        <f t="shared" si="171"/>
        <v>0</v>
      </c>
      <c r="BD126" s="65">
        <f t="shared" si="172"/>
        <v>0</v>
      </c>
      <c r="BE126" s="65">
        <f t="shared" si="173"/>
        <v>0</v>
      </c>
      <c r="BF126" s="65">
        <f t="shared" si="174"/>
        <v>0</v>
      </c>
      <c r="BG126" s="65">
        <f t="shared" si="175"/>
        <v>0</v>
      </c>
      <c r="BH126" s="65">
        <f t="shared" si="176"/>
        <v>0</v>
      </c>
      <c r="BI126" s="65">
        <f t="shared" si="177"/>
        <v>0</v>
      </c>
      <c r="BJ126" s="65">
        <f t="shared" si="178"/>
        <v>0</v>
      </c>
      <c r="BK126" s="65">
        <f t="shared" si="179"/>
        <v>0</v>
      </c>
      <c r="BL126" s="65">
        <f t="shared" si="180"/>
        <v>0</v>
      </c>
      <c r="BM126" s="65">
        <f t="shared" si="181"/>
        <v>0</v>
      </c>
      <c r="BN126" s="65">
        <f t="shared" si="182"/>
        <v>0</v>
      </c>
      <c r="BO126" s="66"/>
    </row>
    <row r="127" spans="1:67" ht="13.5" customHeight="1">
      <c r="A127" s="560"/>
      <c r="B127" s="560"/>
      <c r="C127" s="63"/>
      <c r="D127" s="561"/>
      <c r="E127" s="64"/>
      <c r="F127" s="63"/>
      <c r="G127" s="63"/>
      <c r="H127" s="63"/>
      <c r="I127" s="63"/>
      <c r="J127" s="63"/>
      <c r="K127" s="63"/>
      <c r="L127" s="63"/>
      <c r="M127" s="63"/>
      <c r="N127" s="63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5">
        <f t="shared" si="153"/>
        <v>0</v>
      </c>
      <c r="AL127" s="65">
        <f t="shared" si="154"/>
        <v>0</v>
      </c>
      <c r="AM127" s="65">
        <f t="shared" si="155"/>
        <v>0</v>
      </c>
      <c r="AN127" s="65">
        <f t="shared" si="156"/>
        <v>0</v>
      </c>
      <c r="AO127" s="65">
        <f t="shared" si="157"/>
        <v>0</v>
      </c>
      <c r="AP127" s="65">
        <f t="shared" si="158"/>
        <v>0</v>
      </c>
      <c r="AQ127" s="65">
        <f t="shared" si="159"/>
        <v>0</v>
      </c>
      <c r="AR127" s="65">
        <f t="shared" si="160"/>
        <v>0</v>
      </c>
      <c r="AS127" s="65">
        <f t="shared" si="161"/>
        <v>0</v>
      </c>
      <c r="AT127" s="65">
        <f t="shared" si="162"/>
        <v>0</v>
      </c>
      <c r="AU127" s="65">
        <f t="shared" si="163"/>
        <v>0</v>
      </c>
      <c r="AV127" s="65">
        <f t="shared" si="164"/>
        <v>0</v>
      </c>
      <c r="AW127" s="65">
        <f t="shared" si="165"/>
        <v>0</v>
      </c>
      <c r="AX127" s="65">
        <f t="shared" si="166"/>
        <v>0</v>
      </c>
      <c r="AY127" s="65">
        <f t="shared" si="167"/>
        <v>0</v>
      </c>
      <c r="AZ127" s="65">
        <f t="shared" si="168"/>
        <v>0</v>
      </c>
      <c r="BA127" s="65">
        <f t="shared" si="169"/>
        <v>0</v>
      </c>
      <c r="BB127" s="65">
        <f t="shared" si="170"/>
        <v>0</v>
      </c>
      <c r="BC127" s="65">
        <f t="shared" si="171"/>
        <v>0</v>
      </c>
      <c r="BD127" s="65">
        <f t="shared" si="172"/>
        <v>0</v>
      </c>
      <c r="BE127" s="65">
        <f t="shared" si="173"/>
        <v>0</v>
      </c>
      <c r="BF127" s="65">
        <f t="shared" si="174"/>
        <v>0</v>
      </c>
      <c r="BG127" s="65">
        <f t="shared" si="175"/>
        <v>0</v>
      </c>
      <c r="BH127" s="65">
        <f t="shared" si="176"/>
        <v>0</v>
      </c>
      <c r="BI127" s="65">
        <f t="shared" si="177"/>
        <v>0</v>
      </c>
      <c r="BJ127" s="65">
        <f t="shared" si="178"/>
        <v>0</v>
      </c>
      <c r="BK127" s="65">
        <f t="shared" si="179"/>
        <v>0</v>
      </c>
      <c r="BL127" s="65">
        <f t="shared" si="180"/>
        <v>0</v>
      </c>
      <c r="BM127" s="65">
        <f t="shared" si="181"/>
        <v>0</v>
      </c>
      <c r="BN127" s="65">
        <f t="shared" si="182"/>
        <v>0</v>
      </c>
      <c r="BO127" s="66"/>
    </row>
    <row r="128" spans="1:67" ht="13.5" customHeight="1">
      <c r="A128" s="560"/>
      <c r="B128" s="560"/>
      <c r="C128" s="63"/>
      <c r="D128" s="561"/>
      <c r="E128" s="64"/>
      <c r="F128" s="63"/>
      <c r="G128" s="63"/>
      <c r="H128" s="63"/>
      <c r="I128" s="63"/>
      <c r="J128" s="63"/>
      <c r="K128" s="63"/>
      <c r="L128" s="63"/>
      <c r="M128" s="63"/>
      <c r="N128" s="63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  <c r="AB128" s="63"/>
      <c r="AC128" s="63"/>
      <c r="AD128" s="63"/>
      <c r="AE128" s="63"/>
      <c r="AF128" s="63"/>
      <c r="AG128" s="63"/>
      <c r="AH128" s="63"/>
      <c r="AI128" s="63"/>
      <c r="AJ128" s="63"/>
      <c r="AK128" s="65">
        <f t="shared" si="153"/>
        <v>0</v>
      </c>
      <c r="AL128" s="65">
        <f t="shared" si="154"/>
        <v>0</v>
      </c>
      <c r="AM128" s="65">
        <f t="shared" si="155"/>
        <v>0</v>
      </c>
      <c r="AN128" s="65">
        <f t="shared" si="156"/>
        <v>0</v>
      </c>
      <c r="AO128" s="65">
        <f t="shared" si="157"/>
        <v>0</v>
      </c>
      <c r="AP128" s="65">
        <f t="shared" si="158"/>
        <v>0</v>
      </c>
      <c r="AQ128" s="65">
        <f t="shared" si="159"/>
        <v>0</v>
      </c>
      <c r="AR128" s="65">
        <f t="shared" si="160"/>
        <v>0</v>
      </c>
      <c r="AS128" s="65">
        <f t="shared" si="161"/>
        <v>0</v>
      </c>
      <c r="AT128" s="65">
        <f t="shared" si="162"/>
        <v>0</v>
      </c>
      <c r="AU128" s="65">
        <f t="shared" si="163"/>
        <v>0</v>
      </c>
      <c r="AV128" s="65">
        <f t="shared" si="164"/>
        <v>0</v>
      </c>
      <c r="AW128" s="65">
        <f t="shared" si="165"/>
        <v>0</v>
      </c>
      <c r="AX128" s="65">
        <f t="shared" si="166"/>
        <v>0</v>
      </c>
      <c r="AY128" s="65">
        <f t="shared" si="167"/>
        <v>0</v>
      </c>
      <c r="AZ128" s="65">
        <f t="shared" si="168"/>
        <v>0</v>
      </c>
      <c r="BA128" s="65">
        <f t="shared" si="169"/>
        <v>0</v>
      </c>
      <c r="BB128" s="65">
        <f t="shared" si="170"/>
        <v>0</v>
      </c>
      <c r="BC128" s="65">
        <f t="shared" si="171"/>
        <v>0</v>
      </c>
      <c r="BD128" s="65">
        <f t="shared" si="172"/>
        <v>0</v>
      </c>
      <c r="BE128" s="65">
        <f t="shared" si="173"/>
        <v>0</v>
      </c>
      <c r="BF128" s="65">
        <f t="shared" si="174"/>
        <v>0</v>
      </c>
      <c r="BG128" s="65">
        <f t="shared" si="175"/>
        <v>0</v>
      </c>
      <c r="BH128" s="65">
        <f t="shared" si="176"/>
        <v>0</v>
      </c>
      <c r="BI128" s="65">
        <f t="shared" si="177"/>
        <v>0</v>
      </c>
      <c r="BJ128" s="65">
        <f t="shared" si="178"/>
        <v>0</v>
      </c>
      <c r="BK128" s="65">
        <f t="shared" si="179"/>
        <v>0</v>
      </c>
      <c r="BL128" s="65">
        <f t="shared" si="180"/>
        <v>0</v>
      </c>
      <c r="BM128" s="65">
        <f t="shared" si="181"/>
        <v>0</v>
      </c>
      <c r="BN128" s="65">
        <f t="shared" si="182"/>
        <v>0</v>
      </c>
      <c r="BO128" s="66"/>
    </row>
    <row r="129" spans="1:67" ht="13.5" customHeight="1">
      <c r="A129" s="560"/>
      <c r="B129" s="560"/>
      <c r="C129" s="63"/>
      <c r="D129" s="561"/>
      <c r="E129" s="64"/>
      <c r="F129" s="63"/>
      <c r="G129" s="63"/>
      <c r="H129" s="63"/>
      <c r="I129" s="63"/>
      <c r="J129" s="63"/>
      <c r="K129" s="63"/>
      <c r="L129" s="63"/>
      <c r="M129" s="63"/>
      <c r="N129" s="63"/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3"/>
      <c r="AA129" s="63"/>
      <c r="AB129" s="63"/>
      <c r="AC129" s="63"/>
      <c r="AD129" s="63"/>
      <c r="AE129" s="63"/>
      <c r="AF129" s="63"/>
      <c r="AG129" s="63"/>
      <c r="AH129" s="63"/>
      <c r="AI129" s="63"/>
      <c r="AJ129" s="63"/>
      <c r="AK129" s="65">
        <f t="shared" si="153"/>
        <v>0</v>
      </c>
      <c r="AL129" s="65">
        <f t="shared" si="154"/>
        <v>0</v>
      </c>
      <c r="AM129" s="65">
        <f t="shared" si="155"/>
        <v>0</v>
      </c>
      <c r="AN129" s="65">
        <f t="shared" si="156"/>
        <v>0</v>
      </c>
      <c r="AO129" s="65">
        <f t="shared" si="157"/>
        <v>0</v>
      </c>
      <c r="AP129" s="65">
        <f t="shared" si="158"/>
        <v>0</v>
      </c>
      <c r="AQ129" s="65">
        <f t="shared" si="159"/>
        <v>0</v>
      </c>
      <c r="AR129" s="65">
        <f t="shared" si="160"/>
        <v>0</v>
      </c>
      <c r="AS129" s="65">
        <f t="shared" si="161"/>
        <v>0</v>
      </c>
      <c r="AT129" s="65">
        <f t="shared" si="162"/>
        <v>0</v>
      </c>
      <c r="AU129" s="65">
        <f t="shared" si="163"/>
        <v>0</v>
      </c>
      <c r="AV129" s="65">
        <f t="shared" si="164"/>
        <v>0</v>
      </c>
      <c r="AW129" s="65">
        <f t="shared" si="165"/>
        <v>0</v>
      </c>
      <c r="AX129" s="65">
        <f t="shared" si="166"/>
        <v>0</v>
      </c>
      <c r="AY129" s="65">
        <f t="shared" si="167"/>
        <v>0</v>
      </c>
      <c r="AZ129" s="65">
        <f t="shared" si="168"/>
        <v>0</v>
      </c>
      <c r="BA129" s="65">
        <f t="shared" si="169"/>
        <v>0</v>
      </c>
      <c r="BB129" s="65">
        <f t="shared" si="170"/>
        <v>0</v>
      </c>
      <c r="BC129" s="65">
        <f t="shared" si="171"/>
        <v>0</v>
      </c>
      <c r="BD129" s="65">
        <f t="shared" si="172"/>
        <v>0</v>
      </c>
      <c r="BE129" s="65">
        <f t="shared" si="173"/>
        <v>0</v>
      </c>
      <c r="BF129" s="65">
        <f t="shared" si="174"/>
        <v>0</v>
      </c>
      <c r="BG129" s="65">
        <f t="shared" si="175"/>
        <v>0</v>
      </c>
      <c r="BH129" s="65">
        <f t="shared" si="176"/>
        <v>0</v>
      </c>
      <c r="BI129" s="65">
        <f t="shared" si="177"/>
        <v>0</v>
      </c>
      <c r="BJ129" s="65">
        <f t="shared" si="178"/>
        <v>0</v>
      </c>
      <c r="BK129" s="65">
        <f t="shared" si="179"/>
        <v>0</v>
      </c>
      <c r="BL129" s="65">
        <f t="shared" si="180"/>
        <v>0</v>
      </c>
      <c r="BM129" s="65">
        <f t="shared" si="181"/>
        <v>0</v>
      </c>
      <c r="BN129" s="65">
        <f t="shared" si="182"/>
        <v>0</v>
      </c>
      <c r="BO129" s="66"/>
    </row>
    <row r="130" spans="1:67" ht="13.5" customHeight="1">
      <c r="A130" s="560"/>
      <c r="B130" s="560"/>
      <c r="C130" s="63"/>
      <c r="D130" s="561"/>
      <c r="E130" s="64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5">
        <f t="shared" si="153"/>
        <v>0</v>
      </c>
      <c r="AL130" s="65">
        <f t="shared" si="154"/>
        <v>0</v>
      </c>
      <c r="AM130" s="65">
        <f t="shared" si="155"/>
        <v>0</v>
      </c>
      <c r="AN130" s="65">
        <f t="shared" si="156"/>
        <v>0</v>
      </c>
      <c r="AO130" s="65">
        <f t="shared" si="157"/>
        <v>0</v>
      </c>
      <c r="AP130" s="65">
        <f t="shared" si="158"/>
        <v>0</v>
      </c>
      <c r="AQ130" s="65">
        <f t="shared" si="159"/>
        <v>0</v>
      </c>
      <c r="AR130" s="65">
        <f t="shared" si="160"/>
        <v>0</v>
      </c>
      <c r="AS130" s="65">
        <f t="shared" si="161"/>
        <v>0</v>
      </c>
      <c r="AT130" s="65">
        <f t="shared" si="162"/>
        <v>0</v>
      </c>
      <c r="AU130" s="65">
        <f t="shared" si="163"/>
        <v>0</v>
      </c>
      <c r="AV130" s="65">
        <f t="shared" si="164"/>
        <v>0</v>
      </c>
      <c r="AW130" s="65">
        <f t="shared" si="165"/>
        <v>0</v>
      </c>
      <c r="AX130" s="65">
        <f t="shared" si="166"/>
        <v>0</v>
      </c>
      <c r="AY130" s="65">
        <f t="shared" si="167"/>
        <v>0</v>
      </c>
      <c r="AZ130" s="65">
        <f t="shared" si="168"/>
        <v>0</v>
      </c>
      <c r="BA130" s="65">
        <f t="shared" si="169"/>
        <v>0</v>
      </c>
      <c r="BB130" s="65">
        <f t="shared" si="170"/>
        <v>0</v>
      </c>
      <c r="BC130" s="65">
        <f t="shared" si="171"/>
        <v>0</v>
      </c>
      <c r="BD130" s="65">
        <f t="shared" si="172"/>
        <v>0</v>
      </c>
      <c r="BE130" s="65">
        <f t="shared" si="173"/>
        <v>0</v>
      </c>
      <c r="BF130" s="65">
        <f t="shared" si="174"/>
        <v>0</v>
      </c>
      <c r="BG130" s="65">
        <f t="shared" si="175"/>
        <v>0</v>
      </c>
      <c r="BH130" s="65">
        <f t="shared" si="176"/>
        <v>0</v>
      </c>
      <c r="BI130" s="65">
        <f t="shared" si="177"/>
        <v>0</v>
      </c>
      <c r="BJ130" s="65">
        <f t="shared" si="178"/>
        <v>0</v>
      </c>
      <c r="BK130" s="65">
        <f t="shared" si="179"/>
        <v>0</v>
      </c>
      <c r="BL130" s="65">
        <f t="shared" si="180"/>
        <v>0</v>
      </c>
      <c r="BM130" s="65">
        <f t="shared" si="181"/>
        <v>0</v>
      </c>
      <c r="BN130" s="65">
        <f t="shared" si="182"/>
        <v>0</v>
      </c>
      <c r="BO130" s="66"/>
    </row>
    <row r="131" spans="1:67" ht="13.5" customHeight="1">
      <c r="A131" s="560"/>
      <c r="B131" s="560"/>
      <c r="C131" s="63"/>
      <c r="D131" s="561"/>
      <c r="E131" s="64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5">
        <f t="shared" si="153"/>
        <v>0</v>
      </c>
      <c r="AL131" s="65">
        <f t="shared" si="154"/>
        <v>0</v>
      </c>
      <c r="AM131" s="65">
        <f t="shared" si="155"/>
        <v>0</v>
      </c>
      <c r="AN131" s="65">
        <f t="shared" si="156"/>
        <v>0</v>
      </c>
      <c r="AO131" s="65">
        <f t="shared" si="157"/>
        <v>0</v>
      </c>
      <c r="AP131" s="65">
        <f t="shared" si="158"/>
        <v>0</v>
      </c>
      <c r="AQ131" s="65">
        <f t="shared" si="159"/>
        <v>0</v>
      </c>
      <c r="AR131" s="65">
        <f t="shared" si="160"/>
        <v>0</v>
      </c>
      <c r="AS131" s="65">
        <f t="shared" si="161"/>
        <v>0</v>
      </c>
      <c r="AT131" s="65">
        <f t="shared" si="162"/>
        <v>0</v>
      </c>
      <c r="AU131" s="65">
        <f t="shared" si="163"/>
        <v>0</v>
      </c>
      <c r="AV131" s="65">
        <f t="shared" si="164"/>
        <v>0</v>
      </c>
      <c r="AW131" s="65">
        <f t="shared" si="165"/>
        <v>0</v>
      </c>
      <c r="AX131" s="65">
        <f t="shared" si="166"/>
        <v>0</v>
      </c>
      <c r="AY131" s="65">
        <f t="shared" si="167"/>
        <v>0</v>
      </c>
      <c r="AZ131" s="65">
        <f t="shared" si="168"/>
        <v>0</v>
      </c>
      <c r="BA131" s="65">
        <f t="shared" si="169"/>
        <v>0</v>
      </c>
      <c r="BB131" s="65">
        <f t="shared" si="170"/>
        <v>0</v>
      </c>
      <c r="BC131" s="65">
        <f t="shared" si="171"/>
        <v>0</v>
      </c>
      <c r="BD131" s="65">
        <f t="shared" si="172"/>
        <v>0</v>
      </c>
      <c r="BE131" s="65">
        <f t="shared" si="173"/>
        <v>0</v>
      </c>
      <c r="BF131" s="65">
        <f t="shared" si="174"/>
        <v>0</v>
      </c>
      <c r="BG131" s="65">
        <f t="shared" si="175"/>
        <v>0</v>
      </c>
      <c r="BH131" s="65">
        <f t="shared" si="176"/>
        <v>0</v>
      </c>
      <c r="BI131" s="65">
        <f t="shared" si="177"/>
        <v>0</v>
      </c>
      <c r="BJ131" s="65">
        <f t="shared" si="178"/>
        <v>0</v>
      </c>
      <c r="BK131" s="65">
        <f t="shared" si="179"/>
        <v>0</v>
      </c>
      <c r="BL131" s="65">
        <f t="shared" si="180"/>
        <v>0</v>
      </c>
      <c r="BM131" s="65">
        <f t="shared" si="181"/>
        <v>0</v>
      </c>
      <c r="BN131" s="65">
        <f t="shared" si="182"/>
        <v>0</v>
      </c>
      <c r="BO131" s="66"/>
    </row>
    <row r="132" spans="1:67" ht="13.5" customHeight="1">
      <c r="A132" s="560"/>
      <c r="B132" s="560"/>
      <c r="C132" s="63"/>
      <c r="D132" s="561"/>
      <c r="E132" s="64"/>
      <c r="F132" s="63"/>
      <c r="G132" s="63"/>
      <c r="H132" s="63"/>
      <c r="I132" s="63"/>
      <c r="J132" s="63"/>
      <c r="K132" s="63"/>
      <c r="L132" s="63"/>
      <c r="M132" s="63"/>
      <c r="N132" s="63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  <c r="AB132" s="63"/>
      <c r="AC132" s="63"/>
      <c r="AD132" s="63"/>
      <c r="AE132" s="63"/>
      <c r="AF132" s="63"/>
      <c r="AG132" s="63"/>
      <c r="AH132" s="63"/>
      <c r="AI132" s="63"/>
      <c r="AJ132" s="63"/>
      <c r="AK132" s="65">
        <f t="shared" si="153"/>
        <v>0</v>
      </c>
      <c r="AL132" s="65">
        <f t="shared" si="154"/>
        <v>0</v>
      </c>
      <c r="AM132" s="65">
        <f t="shared" si="155"/>
        <v>0</v>
      </c>
      <c r="AN132" s="65">
        <f t="shared" si="156"/>
        <v>0</v>
      </c>
      <c r="AO132" s="65">
        <f t="shared" si="157"/>
        <v>0</v>
      </c>
      <c r="AP132" s="65">
        <f t="shared" si="158"/>
        <v>0</v>
      </c>
      <c r="AQ132" s="65">
        <f t="shared" si="159"/>
        <v>0</v>
      </c>
      <c r="AR132" s="65">
        <f t="shared" si="160"/>
        <v>0</v>
      </c>
      <c r="AS132" s="65">
        <f t="shared" si="161"/>
        <v>0</v>
      </c>
      <c r="AT132" s="65">
        <f t="shared" si="162"/>
        <v>0</v>
      </c>
      <c r="AU132" s="65">
        <f t="shared" si="163"/>
        <v>0</v>
      </c>
      <c r="AV132" s="65">
        <f t="shared" si="164"/>
        <v>0</v>
      </c>
      <c r="AW132" s="65">
        <f t="shared" si="165"/>
        <v>0</v>
      </c>
      <c r="AX132" s="65">
        <f t="shared" si="166"/>
        <v>0</v>
      </c>
      <c r="AY132" s="65">
        <f t="shared" si="167"/>
        <v>0</v>
      </c>
      <c r="AZ132" s="65">
        <f t="shared" si="168"/>
        <v>0</v>
      </c>
      <c r="BA132" s="65">
        <f t="shared" si="169"/>
        <v>0</v>
      </c>
      <c r="BB132" s="65">
        <f t="shared" si="170"/>
        <v>0</v>
      </c>
      <c r="BC132" s="65">
        <f t="shared" si="171"/>
        <v>0</v>
      </c>
      <c r="BD132" s="65">
        <f t="shared" si="172"/>
        <v>0</v>
      </c>
      <c r="BE132" s="65">
        <f t="shared" si="173"/>
        <v>0</v>
      </c>
      <c r="BF132" s="65">
        <f t="shared" si="174"/>
        <v>0</v>
      </c>
      <c r="BG132" s="65">
        <f t="shared" si="175"/>
        <v>0</v>
      </c>
      <c r="BH132" s="65">
        <f t="shared" si="176"/>
        <v>0</v>
      </c>
      <c r="BI132" s="65">
        <f t="shared" si="177"/>
        <v>0</v>
      </c>
      <c r="BJ132" s="65">
        <f t="shared" si="178"/>
        <v>0</v>
      </c>
      <c r="BK132" s="65">
        <f t="shared" si="179"/>
        <v>0</v>
      </c>
      <c r="BL132" s="65">
        <f t="shared" si="180"/>
        <v>0</v>
      </c>
      <c r="BM132" s="65">
        <f t="shared" si="181"/>
        <v>0</v>
      </c>
      <c r="BN132" s="65">
        <f t="shared" si="182"/>
        <v>0</v>
      </c>
      <c r="BO132" s="66"/>
    </row>
    <row r="133" spans="1:67" ht="13.5" customHeight="1">
      <c r="A133" s="560"/>
      <c r="B133" s="560"/>
      <c r="C133" s="63"/>
      <c r="D133" s="561"/>
      <c r="E133" s="64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5">
        <f t="shared" si="153"/>
        <v>0</v>
      </c>
      <c r="AL133" s="65">
        <f t="shared" si="154"/>
        <v>0</v>
      </c>
      <c r="AM133" s="65">
        <f t="shared" si="155"/>
        <v>0</v>
      </c>
      <c r="AN133" s="65">
        <f t="shared" si="156"/>
        <v>0</v>
      </c>
      <c r="AO133" s="65">
        <f t="shared" si="157"/>
        <v>0</v>
      </c>
      <c r="AP133" s="65">
        <f t="shared" si="158"/>
        <v>0</v>
      </c>
      <c r="AQ133" s="65">
        <f t="shared" si="159"/>
        <v>0</v>
      </c>
      <c r="AR133" s="65">
        <f t="shared" si="160"/>
        <v>0</v>
      </c>
      <c r="AS133" s="65">
        <f t="shared" si="161"/>
        <v>0</v>
      </c>
      <c r="AT133" s="65">
        <f t="shared" si="162"/>
        <v>0</v>
      </c>
      <c r="AU133" s="65">
        <f t="shared" si="163"/>
        <v>0</v>
      </c>
      <c r="AV133" s="65">
        <f t="shared" si="164"/>
        <v>0</v>
      </c>
      <c r="AW133" s="65">
        <f t="shared" si="165"/>
        <v>0</v>
      </c>
      <c r="AX133" s="65">
        <f t="shared" si="166"/>
        <v>0</v>
      </c>
      <c r="AY133" s="65">
        <f t="shared" si="167"/>
        <v>0</v>
      </c>
      <c r="AZ133" s="65">
        <f t="shared" si="168"/>
        <v>0</v>
      </c>
      <c r="BA133" s="65">
        <f t="shared" si="169"/>
        <v>0</v>
      </c>
      <c r="BB133" s="65">
        <f t="shared" si="170"/>
        <v>0</v>
      </c>
      <c r="BC133" s="65">
        <f t="shared" si="171"/>
        <v>0</v>
      </c>
      <c r="BD133" s="65">
        <f t="shared" si="172"/>
        <v>0</v>
      </c>
      <c r="BE133" s="65">
        <f t="shared" si="173"/>
        <v>0</v>
      </c>
      <c r="BF133" s="65">
        <f t="shared" si="174"/>
        <v>0</v>
      </c>
      <c r="BG133" s="65">
        <f t="shared" si="175"/>
        <v>0</v>
      </c>
      <c r="BH133" s="65">
        <f t="shared" si="176"/>
        <v>0</v>
      </c>
      <c r="BI133" s="65">
        <f t="shared" si="177"/>
        <v>0</v>
      </c>
      <c r="BJ133" s="65">
        <f t="shared" si="178"/>
        <v>0</v>
      </c>
      <c r="BK133" s="65">
        <f t="shared" si="179"/>
        <v>0</v>
      </c>
      <c r="BL133" s="65">
        <f t="shared" si="180"/>
        <v>0</v>
      </c>
      <c r="BM133" s="65">
        <f t="shared" si="181"/>
        <v>0</v>
      </c>
      <c r="BN133" s="65">
        <f t="shared" si="182"/>
        <v>0</v>
      </c>
      <c r="BO133" s="66"/>
    </row>
    <row r="134" spans="1:67" ht="13.5" customHeight="1">
      <c r="A134" s="560"/>
      <c r="B134" s="560"/>
      <c r="C134" s="63"/>
      <c r="D134" s="561"/>
      <c r="E134" s="64"/>
      <c r="F134" s="63"/>
      <c r="G134" s="63"/>
      <c r="H134" s="63"/>
      <c r="I134" s="63"/>
      <c r="J134" s="63"/>
      <c r="K134" s="63"/>
      <c r="L134" s="63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5">
        <f t="shared" si="153"/>
        <v>0</v>
      </c>
      <c r="AL134" s="65">
        <f t="shared" si="154"/>
        <v>0</v>
      </c>
      <c r="AM134" s="65">
        <f t="shared" si="155"/>
        <v>0</v>
      </c>
      <c r="AN134" s="65">
        <f t="shared" si="156"/>
        <v>0</v>
      </c>
      <c r="AO134" s="65">
        <f t="shared" si="157"/>
        <v>0</v>
      </c>
      <c r="AP134" s="65">
        <f t="shared" si="158"/>
        <v>0</v>
      </c>
      <c r="AQ134" s="65">
        <f t="shared" si="159"/>
        <v>0</v>
      </c>
      <c r="AR134" s="65">
        <f t="shared" si="160"/>
        <v>0</v>
      </c>
      <c r="AS134" s="65">
        <f t="shared" si="161"/>
        <v>0</v>
      </c>
      <c r="AT134" s="65">
        <f t="shared" si="162"/>
        <v>0</v>
      </c>
      <c r="AU134" s="65">
        <f t="shared" si="163"/>
        <v>0</v>
      </c>
      <c r="AV134" s="65">
        <f t="shared" si="164"/>
        <v>0</v>
      </c>
      <c r="AW134" s="65">
        <f t="shared" si="165"/>
        <v>0</v>
      </c>
      <c r="AX134" s="65">
        <f t="shared" si="166"/>
        <v>0</v>
      </c>
      <c r="AY134" s="65">
        <f t="shared" si="167"/>
        <v>0</v>
      </c>
      <c r="AZ134" s="65">
        <f t="shared" si="168"/>
        <v>0</v>
      </c>
      <c r="BA134" s="65">
        <f t="shared" si="169"/>
        <v>0</v>
      </c>
      <c r="BB134" s="65">
        <f t="shared" si="170"/>
        <v>0</v>
      </c>
      <c r="BC134" s="65">
        <f t="shared" si="171"/>
        <v>0</v>
      </c>
      <c r="BD134" s="65">
        <f t="shared" si="172"/>
        <v>0</v>
      </c>
      <c r="BE134" s="65">
        <f t="shared" si="173"/>
        <v>0</v>
      </c>
      <c r="BF134" s="65">
        <f t="shared" si="174"/>
        <v>0</v>
      </c>
      <c r="BG134" s="65">
        <f t="shared" si="175"/>
        <v>0</v>
      </c>
      <c r="BH134" s="65">
        <f t="shared" si="176"/>
        <v>0</v>
      </c>
      <c r="BI134" s="65">
        <f t="shared" si="177"/>
        <v>0</v>
      </c>
      <c r="BJ134" s="65">
        <f t="shared" si="178"/>
        <v>0</v>
      </c>
      <c r="BK134" s="65">
        <f t="shared" si="179"/>
        <v>0</v>
      </c>
      <c r="BL134" s="65">
        <f t="shared" si="180"/>
        <v>0</v>
      </c>
      <c r="BM134" s="65">
        <f t="shared" si="181"/>
        <v>0</v>
      </c>
      <c r="BN134" s="65">
        <f t="shared" si="182"/>
        <v>0</v>
      </c>
      <c r="BO134" s="66"/>
    </row>
    <row r="135" spans="1:67" ht="13.5" customHeight="1">
      <c r="A135" s="560"/>
      <c r="B135" s="560"/>
      <c r="C135" s="63"/>
      <c r="D135" s="561"/>
      <c r="E135" s="64"/>
      <c r="F135" s="63"/>
      <c r="G135" s="63"/>
      <c r="H135" s="63"/>
      <c r="I135" s="63"/>
      <c r="J135" s="63"/>
      <c r="K135" s="63"/>
      <c r="L135" s="63"/>
      <c r="M135" s="63"/>
      <c r="N135" s="63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  <c r="AB135" s="63"/>
      <c r="AC135" s="63"/>
      <c r="AD135" s="63"/>
      <c r="AE135" s="63"/>
      <c r="AF135" s="63"/>
      <c r="AG135" s="63"/>
      <c r="AH135" s="63"/>
      <c r="AI135" s="63"/>
      <c r="AJ135" s="63"/>
      <c r="AK135" s="65">
        <f t="shared" si="153"/>
        <v>0</v>
      </c>
      <c r="AL135" s="65">
        <f t="shared" si="154"/>
        <v>0</v>
      </c>
      <c r="AM135" s="65">
        <f t="shared" si="155"/>
        <v>0</v>
      </c>
      <c r="AN135" s="65">
        <f t="shared" si="156"/>
        <v>0</v>
      </c>
      <c r="AO135" s="65">
        <f t="shared" si="157"/>
        <v>0</v>
      </c>
      <c r="AP135" s="65">
        <f t="shared" si="158"/>
        <v>0</v>
      </c>
      <c r="AQ135" s="65">
        <f t="shared" si="159"/>
        <v>0</v>
      </c>
      <c r="AR135" s="65">
        <f t="shared" si="160"/>
        <v>0</v>
      </c>
      <c r="AS135" s="65">
        <f t="shared" si="161"/>
        <v>0</v>
      </c>
      <c r="AT135" s="65">
        <f t="shared" si="162"/>
        <v>0</v>
      </c>
      <c r="AU135" s="65">
        <f t="shared" si="163"/>
        <v>0</v>
      </c>
      <c r="AV135" s="65">
        <f t="shared" si="164"/>
        <v>0</v>
      </c>
      <c r="AW135" s="65">
        <f t="shared" si="165"/>
        <v>0</v>
      </c>
      <c r="AX135" s="65">
        <f t="shared" si="166"/>
        <v>0</v>
      </c>
      <c r="AY135" s="65">
        <f t="shared" si="167"/>
        <v>0</v>
      </c>
      <c r="AZ135" s="65">
        <f t="shared" si="168"/>
        <v>0</v>
      </c>
      <c r="BA135" s="65">
        <f t="shared" si="169"/>
        <v>0</v>
      </c>
      <c r="BB135" s="65">
        <f t="shared" si="170"/>
        <v>0</v>
      </c>
      <c r="BC135" s="65">
        <f t="shared" si="171"/>
        <v>0</v>
      </c>
      <c r="BD135" s="65">
        <f t="shared" si="172"/>
        <v>0</v>
      </c>
      <c r="BE135" s="65">
        <f t="shared" si="173"/>
        <v>0</v>
      </c>
      <c r="BF135" s="65">
        <f t="shared" si="174"/>
        <v>0</v>
      </c>
      <c r="BG135" s="65">
        <f t="shared" si="175"/>
        <v>0</v>
      </c>
      <c r="BH135" s="65">
        <f t="shared" si="176"/>
        <v>0</v>
      </c>
      <c r="BI135" s="65">
        <f t="shared" si="177"/>
        <v>0</v>
      </c>
      <c r="BJ135" s="65">
        <f t="shared" si="178"/>
        <v>0</v>
      </c>
      <c r="BK135" s="65">
        <f t="shared" si="179"/>
        <v>0</v>
      </c>
      <c r="BL135" s="65">
        <f t="shared" si="180"/>
        <v>0</v>
      </c>
      <c r="BM135" s="65">
        <f t="shared" si="181"/>
        <v>0</v>
      </c>
      <c r="BN135" s="65">
        <f t="shared" si="182"/>
        <v>0</v>
      </c>
      <c r="BO135" s="66"/>
    </row>
    <row r="136" spans="1:67" ht="13.5" customHeight="1">
      <c r="A136" s="560"/>
      <c r="B136" s="560"/>
      <c r="C136" s="63"/>
      <c r="D136" s="561"/>
      <c r="E136" s="64"/>
      <c r="F136" s="63"/>
      <c r="G136" s="63"/>
      <c r="H136" s="63"/>
      <c r="I136" s="63"/>
      <c r="J136" s="63"/>
      <c r="K136" s="63"/>
      <c r="L136" s="63"/>
      <c r="M136" s="63"/>
      <c r="N136" s="63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  <c r="AB136" s="63"/>
      <c r="AC136" s="63"/>
      <c r="AD136" s="63"/>
      <c r="AE136" s="63"/>
      <c r="AF136" s="63"/>
      <c r="AG136" s="63"/>
      <c r="AH136" s="63"/>
      <c r="AI136" s="63"/>
      <c r="AJ136" s="63"/>
      <c r="AK136" s="65">
        <f t="shared" si="153"/>
        <v>0</v>
      </c>
      <c r="AL136" s="65">
        <f t="shared" si="154"/>
        <v>0</v>
      </c>
      <c r="AM136" s="65">
        <f t="shared" si="155"/>
        <v>0</v>
      </c>
      <c r="AN136" s="65">
        <f t="shared" si="156"/>
        <v>0</v>
      </c>
      <c r="AO136" s="65">
        <f t="shared" si="157"/>
        <v>0</v>
      </c>
      <c r="AP136" s="65">
        <f t="shared" si="158"/>
        <v>0</v>
      </c>
      <c r="AQ136" s="65">
        <f t="shared" si="159"/>
        <v>0</v>
      </c>
      <c r="AR136" s="65">
        <f t="shared" si="160"/>
        <v>0</v>
      </c>
      <c r="AS136" s="65">
        <f t="shared" si="161"/>
        <v>0</v>
      </c>
      <c r="AT136" s="65">
        <f t="shared" si="162"/>
        <v>0</v>
      </c>
      <c r="AU136" s="65">
        <f t="shared" si="163"/>
        <v>0</v>
      </c>
      <c r="AV136" s="65">
        <f t="shared" si="164"/>
        <v>0</v>
      </c>
      <c r="AW136" s="65">
        <f t="shared" si="165"/>
        <v>0</v>
      </c>
      <c r="AX136" s="65">
        <f t="shared" si="166"/>
        <v>0</v>
      </c>
      <c r="AY136" s="65">
        <f t="shared" si="167"/>
        <v>0</v>
      </c>
      <c r="AZ136" s="65">
        <f t="shared" si="168"/>
        <v>0</v>
      </c>
      <c r="BA136" s="65">
        <f t="shared" si="169"/>
        <v>0</v>
      </c>
      <c r="BB136" s="65">
        <f t="shared" si="170"/>
        <v>0</v>
      </c>
      <c r="BC136" s="65">
        <f t="shared" si="171"/>
        <v>0</v>
      </c>
      <c r="BD136" s="65">
        <f t="shared" si="172"/>
        <v>0</v>
      </c>
      <c r="BE136" s="65">
        <f t="shared" si="173"/>
        <v>0</v>
      </c>
      <c r="BF136" s="65">
        <f t="shared" si="174"/>
        <v>0</v>
      </c>
      <c r="BG136" s="65">
        <f t="shared" si="175"/>
        <v>0</v>
      </c>
      <c r="BH136" s="65">
        <f t="shared" si="176"/>
        <v>0</v>
      </c>
      <c r="BI136" s="65">
        <f t="shared" si="177"/>
        <v>0</v>
      </c>
      <c r="BJ136" s="65">
        <f t="shared" si="178"/>
        <v>0</v>
      </c>
      <c r="BK136" s="65">
        <f t="shared" si="179"/>
        <v>0</v>
      </c>
      <c r="BL136" s="65">
        <f t="shared" si="180"/>
        <v>0</v>
      </c>
      <c r="BM136" s="65">
        <f t="shared" si="181"/>
        <v>0</v>
      </c>
      <c r="BN136" s="65">
        <f t="shared" si="182"/>
        <v>0</v>
      </c>
      <c r="BO136" s="66"/>
    </row>
    <row r="137" spans="1:67" ht="13.5" customHeight="1">
      <c r="A137" s="560"/>
      <c r="B137" s="560"/>
      <c r="C137" s="63"/>
      <c r="D137" s="561"/>
      <c r="E137" s="64"/>
      <c r="F137" s="63"/>
      <c r="G137" s="63"/>
      <c r="H137" s="63"/>
      <c r="I137" s="63"/>
      <c r="J137" s="63"/>
      <c r="K137" s="63"/>
      <c r="L137" s="63"/>
      <c r="M137" s="63"/>
      <c r="N137" s="63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  <c r="AB137" s="63"/>
      <c r="AC137" s="63"/>
      <c r="AD137" s="63"/>
      <c r="AE137" s="63"/>
      <c r="AF137" s="63"/>
      <c r="AG137" s="63"/>
      <c r="AH137" s="63"/>
      <c r="AI137" s="63"/>
      <c r="AJ137" s="63"/>
      <c r="AK137" s="65">
        <f t="shared" si="153"/>
        <v>0</v>
      </c>
      <c r="AL137" s="65">
        <f t="shared" si="154"/>
        <v>0</v>
      </c>
      <c r="AM137" s="65">
        <f t="shared" si="155"/>
        <v>0</v>
      </c>
      <c r="AN137" s="65">
        <f t="shared" si="156"/>
        <v>0</v>
      </c>
      <c r="AO137" s="65">
        <f t="shared" si="157"/>
        <v>0</v>
      </c>
      <c r="AP137" s="65">
        <f t="shared" si="158"/>
        <v>0</v>
      </c>
      <c r="AQ137" s="65">
        <f t="shared" si="159"/>
        <v>0</v>
      </c>
      <c r="AR137" s="65">
        <f t="shared" si="160"/>
        <v>0</v>
      </c>
      <c r="AS137" s="65">
        <f t="shared" si="161"/>
        <v>0</v>
      </c>
      <c r="AT137" s="65">
        <f t="shared" si="162"/>
        <v>0</v>
      </c>
      <c r="AU137" s="65">
        <f t="shared" si="163"/>
        <v>0</v>
      </c>
      <c r="AV137" s="65">
        <f t="shared" si="164"/>
        <v>0</v>
      </c>
      <c r="AW137" s="65">
        <f t="shared" si="165"/>
        <v>0</v>
      </c>
      <c r="AX137" s="65">
        <f t="shared" si="166"/>
        <v>0</v>
      </c>
      <c r="AY137" s="65">
        <f t="shared" si="167"/>
        <v>0</v>
      </c>
      <c r="AZ137" s="65">
        <f t="shared" si="168"/>
        <v>0</v>
      </c>
      <c r="BA137" s="65">
        <f t="shared" si="169"/>
        <v>0</v>
      </c>
      <c r="BB137" s="65">
        <f t="shared" si="170"/>
        <v>0</v>
      </c>
      <c r="BC137" s="65">
        <f t="shared" si="171"/>
        <v>0</v>
      </c>
      <c r="BD137" s="65">
        <f t="shared" si="172"/>
        <v>0</v>
      </c>
      <c r="BE137" s="65">
        <f t="shared" si="173"/>
        <v>0</v>
      </c>
      <c r="BF137" s="65">
        <f t="shared" si="174"/>
        <v>0</v>
      </c>
      <c r="BG137" s="65">
        <f t="shared" si="175"/>
        <v>0</v>
      </c>
      <c r="BH137" s="65">
        <f t="shared" si="176"/>
        <v>0</v>
      </c>
      <c r="BI137" s="65">
        <f t="shared" si="177"/>
        <v>0</v>
      </c>
      <c r="BJ137" s="65">
        <f t="shared" si="178"/>
        <v>0</v>
      </c>
      <c r="BK137" s="65">
        <f t="shared" si="179"/>
        <v>0</v>
      </c>
      <c r="BL137" s="65">
        <f t="shared" si="180"/>
        <v>0</v>
      </c>
      <c r="BM137" s="65">
        <f t="shared" si="181"/>
        <v>0</v>
      </c>
      <c r="BN137" s="65">
        <f t="shared" si="182"/>
        <v>0</v>
      </c>
      <c r="BO137" s="66"/>
    </row>
    <row r="138" spans="1:67" ht="13.5" customHeight="1">
      <c r="A138" s="560"/>
      <c r="B138" s="560"/>
      <c r="C138" s="63"/>
      <c r="D138" s="561"/>
      <c r="E138" s="64"/>
      <c r="F138" s="63"/>
      <c r="G138" s="63"/>
      <c r="H138" s="63"/>
      <c r="I138" s="63"/>
      <c r="J138" s="63"/>
      <c r="K138" s="63"/>
      <c r="L138" s="63"/>
      <c r="M138" s="63"/>
      <c r="N138" s="63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  <c r="AB138" s="63"/>
      <c r="AC138" s="63"/>
      <c r="AD138" s="63"/>
      <c r="AE138" s="63"/>
      <c r="AF138" s="63"/>
      <c r="AG138" s="63"/>
      <c r="AH138" s="63"/>
      <c r="AI138" s="63"/>
      <c r="AJ138" s="63"/>
      <c r="AK138" s="65">
        <f t="shared" si="153"/>
        <v>0</v>
      </c>
      <c r="AL138" s="65">
        <f t="shared" si="154"/>
        <v>0</v>
      </c>
      <c r="AM138" s="65">
        <f t="shared" si="155"/>
        <v>0</v>
      </c>
      <c r="AN138" s="65">
        <f t="shared" si="156"/>
        <v>0</v>
      </c>
      <c r="AO138" s="65">
        <f t="shared" si="157"/>
        <v>0</v>
      </c>
      <c r="AP138" s="65">
        <f t="shared" si="158"/>
        <v>0</v>
      </c>
      <c r="AQ138" s="65">
        <f t="shared" si="159"/>
        <v>0</v>
      </c>
      <c r="AR138" s="65">
        <f t="shared" si="160"/>
        <v>0</v>
      </c>
      <c r="AS138" s="65">
        <f t="shared" si="161"/>
        <v>0</v>
      </c>
      <c r="AT138" s="65">
        <f t="shared" si="162"/>
        <v>0</v>
      </c>
      <c r="AU138" s="65">
        <f t="shared" si="163"/>
        <v>0</v>
      </c>
      <c r="AV138" s="65">
        <f t="shared" si="164"/>
        <v>0</v>
      </c>
      <c r="AW138" s="65">
        <f t="shared" si="165"/>
        <v>0</v>
      </c>
      <c r="AX138" s="65">
        <f t="shared" si="166"/>
        <v>0</v>
      </c>
      <c r="AY138" s="65">
        <f t="shared" si="167"/>
        <v>0</v>
      </c>
      <c r="AZ138" s="65">
        <f t="shared" si="168"/>
        <v>0</v>
      </c>
      <c r="BA138" s="65">
        <f t="shared" si="169"/>
        <v>0</v>
      </c>
      <c r="BB138" s="65">
        <f t="shared" si="170"/>
        <v>0</v>
      </c>
      <c r="BC138" s="65">
        <f t="shared" si="171"/>
        <v>0</v>
      </c>
      <c r="BD138" s="65">
        <f t="shared" si="172"/>
        <v>0</v>
      </c>
      <c r="BE138" s="65">
        <f t="shared" si="173"/>
        <v>0</v>
      </c>
      <c r="BF138" s="65">
        <f t="shared" si="174"/>
        <v>0</v>
      </c>
      <c r="BG138" s="65">
        <f t="shared" si="175"/>
        <v>0</v>
      </c>
      <c r="BH138" s="65">
        <f t="shared" si="176"/>
        <v>0</v>
      </c>
      <c r="BI138" s="65">
        <f t="shared" si="177"/>
        <v>0</v>
      </c>
      <c r="BJ138" s="65">
        <f t="shared" si="178"/>
        <v>0</v>
      </c>
      <c r="BK138" s="65">
        <f t="shared" si="179"/>
        <v>0</v>
      </c>
      <c r="BL138" s="65">
        <f t="shared" si="180"/>
        <v>0</v>
      </c>
      <c r="BM138" s="65">
        <f t="shared" si="181"/>
        <v>0</v>
      </c>
      <c r="BN138" s="65">
        <f t="shared" si="182"/>
        <v>0</v>
      </c>
      <c r="BO138" s="66"/>
    </row>
    <row r="139" spans="1:67" ht="13.5" customHeight="1">
      <c r="A139" s="560"/>
      <c r="B139" s="560"/>
      <c r="C139" s="63"/>
      <c r="D139" s="561"/>
      <c r="E139" s="64"/>
      <c r="F139" s="63"/>
      <c r="G139" s="63"/>
      <c r="H139" s="63"/>
      <c r="I139" s="63"/>
      <c r="J139" s="63"/>
      <c r="K139" s="63"/>
      <c r="L139" s="63"/>
      <c r="M139" s="63"/>
      <c r="N139" s="63"/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3"/>
      <c r="AA139" s="63"/>
      <c r="AB139" s="63"/>
      <c r="AC139" s="63"/>
      <c r="AD139" s="63"/>
      <c r="AE139" s="63"/>
      <c r="AF139" s="63"/>
      <c r="AG139" s="63"/>
      <c r="AH139" s="63"/>
      <c r="AI139" s="63"/>
      <c r="AJ139" s="63"/>
      <c r="AK139" s="65">
        <f t="shared" si="153"/>
        <v>0</v>
      </c>
      <c r="AL139" s="65">
        <f t="shared" si="154"/>
        <v>0</v>
      </c>
      <c r="AM139" s="65">
        <f t="shared" si="155"/>
        <v>0</v>
      </c>
      <c r="AN139" s="65">
        <f t="shared" si="156"/>
        <v>0</v>
      </c>
      <c r="AO139" s="65">
        <f t="shared" si="157"/>
        <v>0</v>
      </c>
      <c r="AP139" s="65">
        <f t="shared" si="158"/>
        <v>0</v>
      </c>
      <c r="AQ139" s="65">
        <f t="shared" si="159"/>
        <v>0</v>
      </c>
      <c r="AR139" s="65">
        <f t="shared" si="160"/>
        <v>0</v>
      </c>
      <c r="AS139" s="65">
        <f t="shared" si="161"/>
        <v>0</v>
      </c>
      <c r="AT139" s="65">
        <f t="shared" si="162"/>
        <v>0</v>
      </c>
      <c r="AU139" s="65">
        <f t="shared" si="163"/>
        <v>0</v>
      </c>
      <c r="AV139" s="65">
        <f t="shared" si="164"/>
        <v>0</v>
      </c>
      <c r="AW139" s="65">
        <f t="shared" si="165"/>
        <v>0</v>
      </c>
      <c r="AX139" s="65">
        <f t="shared" si="166"/>
        <v>0</v>
      </c>
      <c r="AY139" s="65">
        <f t="shared" si="167"/>
        <v>0</v>
      </c>
      <c r="AZ139" s="65">
        <f t="shared" si="168"/>
        <v>0</v>
      </c>
      <c r="BA139" s="65">
        <f t="shared" si="169"/>
        <v>0</v>
      </c>
      <c r="BB139" s="65">
        <f t="shared" si="170"/>
        <v>0</v>
      </c>
      <c r="BC139" s="65">
        <f t="shared" si="171"/>
        <v>0</v>
      </c>
      <c r="BD139" s="65">
        <f t="shared" si="172"/>
        <v>0</v>
      </c>
      <c r="BE139" s="65">
        <f t="shared" si="173"/>
        <v>0</v>
      </c>
      <c r="BF139" s="65">
        <f t="shared" si="174"/>
        <v>0</v>
      </c>
      <c r="BG139" s="65">
        <f t="shared" si="175"/>
        <v>0</v>
      </c>
      <c r="BH139" s="65">
        <f t="shared" si="176"/>
        <v>0</v>
      </c>
      <c r="BI139" s="65">
        <f t="shared" si="177"/>
        <v>0</v>
      </c>
      <c r="BJ139" s="65">
        <f t="shared" si="178"/>
        <v>0</v>
      </c>
      <c r="BK139" s="65">
        <f t="shared" si="179"/>
        <v>0</v>
      </c>
      <c r="BL139" s="65">
        <f t="shared" si="180"/>
        <v>0</v>
      </c>
      <c r="BM139" s="65">
        <f t="shared" si="181"/>
        <v>0</v>
      </c>
      <c r="BN139" s="65">
        <f t="shared" si="182"/>
        <v>0</v>
      </c>
      <c r="BO139" s="66"/>
    </row>
    <row r="140" spans="1:67" ht="13.5" customHeight="1">
      <c r="A140" s="560"/>
      <c r="B140" s="560"/>
      <c r="C140" s="63"/>
      <c r="D140" s="561"/>
      <c r="E140" s="64"/>
      <c r="F140" s="63"/>
      <c r="G140" s="63"/>
      <c r="H140" s="63"/>
      <c r="I140" s="63"/>
      <c r="J140" s="63"/>
      <c r="K140" s="63"/>
      <c r="L140" s="63"/>
      <c r="M140" s="63"/>
      <c r="N140" s="63"/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3"/>
      <c r="AB140" s="63"/>
      <c r="AC140" s="63"/>
      <c r="AD140" s="63"/>
      <c r="AE140" s="63"/>
      <c r="AF140" s="63"/>
      <c r="AG140" s="63"/>
      <c r="AH140" s="63"/>
      <c r="AI140" s="63"/>
      <c r="AJ140" s="63"/>
      <c r="AK140" s="65">
        <f t="shared" si="153"/>
        <v>0</v>
      </c>
      <c r="AL140" s="65">
        <f t="shared" si="154"/>
        <v>0</v>
      </c>
      <c r="AM140" s="65">
        <f t="shared" si="155"/>
        <v>0</v>
      </c>
      <c r="AN140" s="65">
        <f t="shared" si="156"/>
        <v>0</v>
      </c>
      <c r="AO140" s="65">
        <f t="shared" si="157"/>
        <v>0</v>
      </c>
      <c r="AP140" s="65">
        <f t="shared" si="158"/>
        <v>0</v>
      </c>
      <c r="AQ140" s="65">
        <f t="shared" si="159"/>
        <v>0</v>
      </c>
      <c r="AR140" s="65">
        <f t="shared" si="160"/>
        <v>0</v>
      </c>
      <c r="AS140" s="65">
        <f t="shared" si="161"/>
        <v>0</v>
      </c>
      <c r="AT140" s="65">
        <f t="shared" si="162"/>
        <v>0</v>
      </c>
      <c r="AU140" s="65">
        <f t="shared" si="163"/>
        <v>0</v>
      </c>
      <c r="AV140" s="65">
        <f t="shared" si="164"/>
        <v>0</v>
      </c>
      <c r="AW140" s="65">
        <f t="shared" si="165"/>
        <v>0</v>
      </c>
      <c r="AX140" s="65">
        <f t="shared" si="166"/>
        <v>0</v>
      </c>
      <c r="AY140" s="65">
        <f t="shared" si="167"/>
        <v>0</v>
      </c>
      <c r="AZ140" s="65">
        <f t="shared" si="168"/>
        <v>0</v>
      </c>
      <c r="BA140" s="65">
        <f t="shared" si="169"/>
        <v>0</v>
      </c>
      <c r="BB140" s="65">
        <f t="shared" si="170"/>
        <v>0</v>
      </c>
      <c r="BC140" s="65">
        <f t="shared" si="171"/>
        <v>0</v>
      </c>
      <c r="BD140" s="65">
        <f t="shared" si="172"/>
        <v>0</v>
      </c>
      <c r="BE140" s="65">
        <f t="shared" si="173"/>
        <v>0</v>
      </c>
      <c r="BF140" s="65">
        <f t="shared" si="174"/>
        <v>0</v>
      </c>
      <c r="BG140" s="65">
        <f t="shared" si="175"/>
        <v>0</v>
      </c>
      <c r="BH140" s="65">
        <f t="shared" si="176"/>
        <v>0</v>
      </c>
      <c r="BI140" s="65">
        <f t="shared" si="177"/>
        <v>0</v>
      </c>
      <c r="BJ140" s="65">
        <f t="shared" si="178"/>
        <v>0</v>
      </c>
      <c r="BK140" s="65">
        <f t="shared" si="179"/>
        <v>0</v>
      </c>
      <c r="BL140" s="65">
        <f t="shared" si="180"/>
        <v>0</v>
      </c>
      <c r="BM140" s="65">
        <f t="shared" si="181"/>
        <v>0</v>
      </c>
      <c r="BN140" s="65">
        <f t="shared" si="182"/>
        <v>0</v>
      </c>
      <c r="BO140" s="66"/>
    </row>
    <row r="141" spans="1:67" ht="13.5" customHeight="1">
      <c r="A141" s="560"/>
      <c r="B141" s="560"/>
      <c r="C141" s="63"/>
      <c r="D141" s="561"/>
      <c r="E141" s="64"/>
      <c r="F141" s="63"/>
      <c r="G141" s="63"/>
      <c r="H141" s="63"/>
      <c r="I141" s="63"/>
      <c r="J141" s="63"/>
      <c r="K141" s="63"/>
      <c r="L141" s="63"/>
      <c r="M141" s="63"/>
      <c r="N141" s="63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  <c r="AB141" s="63"/>
      <c r="AC141" s="63"/>
      <c r="AD141" s="63"/>
      <c r="AE141" s="63"/>
      <c r="AF141" s="63"/>
      <c r="AG141" s="63"/>
      <c r="AH141" s="63"/>
      <c r="AI141" s="63"/>
      <c r="AJ141" s="63"/>
      <c r="AK141" s="65">
        <f t="shared" si="153"/>
        <v>0</v>
      </c>
      <c r="AL141" s="65">
        <f t="shared" si="154"/>
        <v>0</v>
      </c>
      <c r="AM141" s="65">
        <f t="shared" si="155"/>
        <v>0</v>
      </c>
      <c r="AN141" s="65">
        <f t="shared" si="156"/>
        <v>0</v>
      </c>
      <c r="AO141" s="65">
        <f t="shared" si="157"/>
        <v>0</v>
      </c>
      <c r="AP141" s="65">
        <f t="shared" si="158"/>
        <v>0</v>
      </c>
      <c r="AQ141" s="65">
        <f t="shared" si="159"/>
        <v>0</v>
      </c>
      <c r="AR141" s="65">
        <f t="shared" si="160"/>
        <v>0</v>
      </c>
      <c r="AS141" s="65">
        <f t="shared" si="161"/>
        <v>0</v>
      </c>
      <c r="AT141" s="65">
        <f t="shared" si="162"/>
        <v>0</v>
      </c>
      <c r="AU141" s="65">
        <f t="shared" si="163"/>
        <v>0</v>
      </c>
      <c r="AV141" s="65">
        <f t="shared" si="164"/>
        <v>0</v>
      </c>
      <c r="AW141" s="65">
        <f t="shared" si="165"/>
        <v>0</v>
      </c>
      <c r="AX141" s="65">
        <f t="shared" si="166"/>
        <v>0</v>
      </c>
      <c r="AY141" s="65">
        <f t="shared" si="167"/>
        <v>0</v>
      </c>
      <c r="AZ141" s="65">
        <f t="shared" si="168"/>
        <v>0</v>
      </c>
      <c r="BA141" s="65">
        <f t="shared" si="169"/>
        <v>0</v>
      </c>
      <c r="BB141" s="65">
        <f t="shared" si="170"/>
        <v>0</v>
      </c>
      <c r="BC141" s="65">
        <f t="shared" si="171"/>
        <v>0</v>
      </c>
      <c r="BD141" s="65">
        <f t="shared" si="172"/>
        <v>0</v>
      </c>
      <c r="BE141" s="65">
        <f t="shared" si="173"/>
        <v>0</v>
      </c>
      <c r="BF141" s="65">
        <f t="shared" si="174"/>
        <v>0</v>
      </c>
      <c r="BG141" s="65">
        <f t="shared" si="175"/>
        <v>0</v>
      </c>
      <c r="BH141" s="65">
        <f t="shared" si="176"/>
        <v>0</v>
      </c>
      <c r="BI141" s="65">
        <f t="shared" si="177"/>
        <v>0</v>
      </c>
      <c r="BJ141" s="65">
        <f t="shared" si="178"/>
        <v>0</v>
      </c>
      <c r="BK141" s="65">
        <f t="shared" si="179"/>
        <v>0</v>
      </c>
      <c r="BL141" s="65">
        <f t="shared" si="180"/>
        <v>0</v>
      </c>
      <c r="BM141" s="65">
        <f t="shared" si="181"/>
        <v>0</v>
      </c>
      <c r="BN141" s="65">
        <f t="shared" si="182"/>
        <v>0</v>
      </c>
      <c r="BO141" s="66"/>
    </row>
    <row r="142" spans="1:67" ht="13.5" customHeight="1">
      <c r="A142" s="560"/>
      <c r="B142" s="560"/>
      <c r="C142" s="63"/>
      <c r="D142" s="561"/>
      <c r="E142" s="64"/>
      <c r="F142" s="63"/>
      <c r="G142" s="63"/>
      <c r="H142" s="63"/>
      <c r="I142" s="63"/>
      <c r="J142" s="63"/>
      <c r="K142" s="63"/>
      <c r="L142" s="63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G142" s="63"/>
      <c r="AH142" s="63"/>
      <c r="AI142" s="63"/>
      <c r="AJ142" s="63"/>
      <c r="AK142" s="65">
        <f t="shared" si="153"/>
        <v>0</v>
      </c>
      <c r="AL142" s="65">
        <f t="shared" si="154"/>
        <v>0</v>
      </c>
      <c r="AM142" s="65">
        <f t="shared" si="155"/>
        <v>0</v>
      </c>
      <c r="AN142" s="65">
        <f t="shared" si="156"/>
        <v>0</v>
      </c>
      <c r="AO142" s="65">
        <f t="shared" si="157"/>
        <v>0</v>
      </c>
      <c r="AP142" s="65">
        <f t="shared" si="158"/>
        <v>0</v>
      </c>
      <c r="AQ142" s="65">
        <f t="shared" si="159"/>
        <v>0</v>
      </c>
      <c r="AR142" s="65">
        <f t="shared" si="160"/>
        <v>0</v>
      </c>
      <c r="AS142" s="65">
        <f t="shared" si="161"/>
        <v>0</v>
      </c>
      <c r="AT142" s="65">
        <f t="shared" si="162"/>
        <v>0</v>
      </c>
      <c r="AU142" s="65">
        <f t="shared" si="163"/>
        <v>0</v>
      </c>
      <c r="AV142" s="65">
        <f t="shared" si="164"/>
        <v>0</v>
      </c>
      <c r="AW142" s="65">
        <f t="shared" si="165"/>
        <v>0</v>
      </c>
      <c r="AX142" s="65">
        <f t="shared" si="166"/>
        <v>0</v>
      </c>
      <c r="AY142" s="65">
        <f t="shared" si="167"/>
        <v>0</v>
      </c>
      <c r="AZ142" s="65">
        <f t="shared" si="168"/>
        <v>0</v>
      </c>
      <c r="BA142" s="65">
        <f t="shared" si="169"/>
        <v>0</v>
      </c>
      <c r="BB142" s="65">
        <f t="shared" si="170"/>
        <v>0</v>
      </c>
      <c r="BC142" s="65">
        <f t="shared" si="171"/>
        <v>0</v>
      </c>
      <c r="BD142" s="65">
        <f t="shared" si="172"/>
        <v>0</v>
      </c>
      <c r="BE142" s="65">
        <f t="shared" si="173"/>
        <v>0</v>
      </c>
      <c r="BF142" s="65">
        <f t="shared" si="174"/>
        <v>0</v>
      </c>
      <c r="BG142" s="65">
        <f t="shared" si="175"/>
        <v>0</v>
      </c>
      <c r="BH142" s="65">
        <f t="shared" si="176"/>
        <v>0</v>
      </c>
      <c r="BI142" s="65">
        <f t="shared" si="177"/>
        <v>0</v>
      </c>
      <c r="BJ142" s="65">
        <f t="shared" si="178"/>
        <v>0</v>
      </c>
      <c r="BK142" s="65">
        <f t="shared" si="179"/>
        <v>0</v>
      </c>
      <c r="BL142" s="65">
        <f t="shared" si="180"/>
        <v>0</v>
      </c>
      <c r="BM142" s="65">
        <f t="shared" si="181"/>
        <v>0</v>
      </c>
      <c r="BN142" s="65">
        <f t="shared" si="182"/>
        <v>0</v>
      </c>
      <c r="BO142" s="66"/>
    </row>
    <row r="143" spans="1:67" ht="13.5" customHeight="1">
      <c r="A143" s="560"/>
      <c r="B143" s="560"/>
      <c r="C143" s="63"/>
      <c r="D143" s="561"/>
      <c r="E143" s="64"/>
      <c r="F143" s="63"/>
      <c r="G143" s="63"/>
      <c r="H143" s="63"/>
      <c r="I143" s="63"/>
      <c r="J143" s="63"/>
      <c r="K143" s="63"/>
      <c r="L143" s="63"/>
      <c r="M143" s="63"/>
      <c r="N143" s="63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  <c r="AB143" s="63"/>
      <c r="AC143" s="63"/>
      <c r="AD143" s="63"/>
      <c r="AE143" s="63"/>
      <c r="AF143" s="63"/>
      <c r="AG143" s="63"/>
      <c r="AH143" s="63"/>
      <c r="AI143" s="63"/>
      <c r="AJ143" s="63"/>
      <c r="AK143" s="65">
        <f t="shared" si="153"/>
        <v>0</v>
      </c>
      <c r="AL143" s="65">
        <f t="shared" si="154"/>
        <v>0</v>
      </c>
      <c r="AM143" s="65">
        <f t="shared" si="155"/>
        <v>0</v>
      </c>
      <c r="AN143" s="65">
        <f t="shared" si="156"/>
        <v>0</v>
      </c>
      <c r="AO143" s="65">
        <f t="shared" si="157"/>
        <v>0</v>
      </c>
      <c r="AP143" s="65">
        <f t="shared" si="158"/>
        <v>0</v>
      </c>
      <c r="AQ143" s="65">
        <f t="shared" si="159"/>
        <v>0</v>
      </c>
      <c r="AR143" s="65">
        <f t="shared" si="160"/>
        <v>0</v>
      </c>
      <c r="AS143" s="65">
        <f t="shared" si="161"/>
        <v>0</v>
      </c>
      <c r="AT143" s="65">
        <f t="shared" si="162"/>
        <v>0</v>
      </c>
      <c r="AU143" s="65">
        <f t="shared" si="163"/>
        <v>0</v>
      </c>
      <c r="AV143" s="65">
        <f t="shared" si="164"/>
        <v>0</v>
      </c>
      <c r="AW143" s="65">
        <f t="shared" si="165"/>
        <v>0</v>
      </c>
      <c r="AX143" s="65">
        <f t="shared" si="166"/>
        <v>0</v>
      </c>
      <c r="AY143" s="65">
        <f t="shared" si="167"/>
        <v>0</v>
      </c>
      <c r="AZ143" s="65">
        <f t="shared" si="168"/>
        <v>0</v>
      </c>
      <c r="BA143" s="65">
        <f t="shared" si="169"/>
        <v>0</v>
      </c>
      <c r="BB143" s="65">
        <f t="shared" si="170"/>
        <v>0</v>
      </c>
      <c r="BC143" s="65">
        <f t="shared" si="171"/>
        <v>0</v>
      </c>
      <c r="BD143" s="65">
        <f t="shared" si="172"/>
        <v>0</v>
      </c>
      <c r="BE143" s="65">
        <f t="shared" si="173"/>
        <v>0</v>
      </c>
      <c r="BF143" s="65">
        <f t="shared" si="174"/>
        <v>0</v>
      </c>
      <c r="BG143" s="65">
        <f t="shared" si="175"/>
        <v>0</v>
      </c>
      <c r="BH143" s="65">
        <f t="shared" si="176"/>
        <v>0</v>
      </c>
      <c r="BI143" s="65">
        <f t="shared" si="177"/>
        <v>0</v>
      </c>
      <c r="BJ143" s="65">
        <f t="shared" si="178"/>
        <v>0</v>
      </c>
      <c r="BK143" s="65">
        <f t="shared" si="179"/>
        <v>0</v>
      </c>
      <c r="BL143" s="65">
        <f t="shared" si="180"/>
        <v>0</v>
      </c>
      <c r="BM143" s="65">
        <f t="shared" si="181"/>
        <v>0</v>
      </c>
      <c r="BN143" s="65">
        <f t="shared" si="182"/>
        <v>0</v>
      </c>
      <c r="BO143" s="66"/>
    </row>
    <row r="144" spans="1:67" ht="13.5" customHeight="1">
      <c r="A144" s="560"/>
      <c r="B144" s="560"/>
      <c r="C144" s="63"/>
      <c r="D144" s="561"/>
      <c r="E144" s="64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  <c r="AB144" s="63"/>
      <c r="AC144" s="63"/>
      <c r="AD144" s="63"/>
      <c r="AE144" s="63"/>
      <c r="AF144" s="63"/>
      <c r="AG144" s="63"/>
      <c r="AH144" s="63"/>
      <c r="AI144" s="63"/>
      <c r="AJ144" s="63"/>
      <c r="AK144" s="65">
        <f t="shared" si="153"/>
        <v>0</v>
      </c>
      <c r="AL144" s="65">
        <f t="shared" si="154"/>
        <v>0</v>
      </c>
      <c r="AM144" s="65">
        <f t="shared" si="155"/>
        <v>0</v>
      </c>
      <c r="AN144" s="65">
        <f t="shared" si="156"/>
        <v>0</v>
      </c>
      <c r="AO144" s="65">
        <f t="shared" si="157"/>
        <v>0</v>
      </c>
      <c r="AP144" s="65">
        <f t="shared" si="158"/>
        <v>0</v>
      </c>
      <c r="AQ144" s="65">
        <f t="shared" si="159"/>
        <v>0</v>
      </c>
      <c r="AR144" s="65">
        <f t="shared" si="160"/>
        <v>0</v>
      </c>
      <c r="AS144" s="65">
        <f t="shared" si="161"/>
        <v>0</v>
      </c>
      <c r="AT144" s="65">
        <f t="shared" si="162"/>
        <v>0</v>
      </c>
      <c r="AU144" s="65">
        <f t="shared" si="163"/>
        <v>0</v>
      </c>
      <c r="AV144" s="65">
        <f t="shared" si="164"/>
        <v>0</v>
      </c>
      <c r="AW144" s="65">
        <f t="shared" si="165"/>
        <v>0</v>
      </c>
      <c r="AX144" s="65">
        <f t="shared" si="166"/>
        <v>0</v>
      </c>
      <c r="AY144" s="65">
        <f t="shared" si="167"/>
        <v>0</v>
      </c>
      <c r="AZ144" s="65">
        <f t="shared" si="168"/>
        <v>0</v>
      </c>
      <c r="BA144" s="65">
        <f t="shared" si="169"/>
        <v>0</v>
      </c>
      <c r="BB144" s="65">
        <f t="shared" si="170"/>
        <v>0</v>
      </c>
      <c r="BC144" s="65">
        <f t="shared" si="171"/>
        <v>0</v>
      </c>
      <c r="BD144" s="65">
        <f t="shared" si="172"/>
        <v>0</v>
      </c>
      <c r="BE144" s="65">
        <f t="shared" si="173"/>
        <v>0</v>
      </c>
      <c r="BF144" s="65">
        <f t="shared" si="174"/>
        <v>0</v>
      </c>
      <c r="BG144" s="65">
        <f t="shared" si="175"/>
        <v>0</v>
      </c>
      <c r="BH144" s="65">
        <f t="shared" si="176"/>
        <v>0</v>
      </c>
      <c r="BI144" s="65">
        <f t="shared" si="177"/>
        <v>0</v>
      </c>
      <c r="BJ144" s="65">
        <f t="shared" si="178"/>
        <v>0</v>
      </c>
      <c r="BK144" s="65">
        <f t="shared" si="179"/>
        <v>0</v>
      </c>
      <c r="BL144" s="65">
        <f t="shared" si="180"/>
        <v>0</v>
      </c>
      <c r="BM144" s="65">
        <f t="shared" si="181"/>
        <v>0</v>
      </c>
      <c r="BN144" s="65">
        <f t="shared" si="182"/>
        <v>0</v>
      </c>
      <c r="BO144" s="66"/>
    </row>
    <row r="145" spans="1:67" ht="13.5" customHeight="1">
      <c r="A145" s="560"/>
      <c r="B145" s="560"/>
      <c r="C145" s="63"/>
      <c r="D145" s="561"/>
      <c r="E145" s="64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3"/>
      <c r="AB145" s="63"/>
      <c r="AC145" s="63"/>
      <c r="AD145" s="63"/>
      <c r="AE145" s="63"/>
      <c r="AF145" s="63"/>
      <c r="AG145" s="63"/>
      <c r="AH145" s="63"/>
      <c r="AI145" s="63"/>
      <c r="AJ145" s="63"/>
      <c r="AK145" s="65">
        <f t="shared" si="153"/>
        <v>0</v>
      </c>
      <c r="AL145" s="65">
        <f t="shared" si="154"/>
        <v>0</v>
      </c>
      <c r="AM145" s="65">
        <f t="shared" si="155"/>
        <v>0</v>
      </c>
      <c r="AN145" s="65">
        <f t="shared" si="156"/>
        <v>0</v>
      </c>
      <c r="AO145" s="65">
        <f t="shared" si="157"/>
        <v>0</v>
      </c>
      <c r="AP145" s="65">
        <f t="shared" si="158"/>
        <v>0</v>
      </c>
      <c r="AQ145" s="65">
        <f t="shared" si="159"/>
        <v>0</v>
      </c>
      <c r="AR145" s="65">
        <f t="shared" si="160"/>
        <v>0</v>
      </c>
      <c r="AS145" s="65">
        <f t="shared" si="161"/>
        <v>0</v>
      </c>
      <c r="AT145" s="65">
        <f t="shared" si="162"/>
        <v>0</v>
      </c>
      <c r="AU145" s="65">
        <f t="shared" si="163"/>
        <v>0</v>
      </c>
      <c r="AV145" s="65">
        <f t="shared" si="164"/>
        <v>0</v>
      </c>
      <c r="AW145" s="65">
        <f t="shared" si="165"/>
        <v>0</v>
      </c>
      <c r="AX145" s="65">
        <f t="shared" si="166"/>
        <v>0</v>
      </c>
      <c r="AY145" s="65">
        <f t="shared" si="167"/>
        <v>0</v>
      </c>
      <c r="AZ145" s="65">
        <f t="shared" si="168"/>
        <v>0</v>
      </c>
      <c r="BA145" s="65">
        <f t="shared" si="169"/>
        <v>0</v>
      </c>
      <c r="BB145" s="65">
        <f t="shared" si="170"/>
        <v>0</v>
      </c>
      <c r="BC145" s="65">
        <f t="shared" si="171"/>
        <v>0</v>
      </c>
      <c r="BD145" s="65">
        <f t="shared" si="172"/>
        <v>0</v>
      </c>
      <c r="BE145" s="65">
        <f t="shared" si="173"/>
        <v>0</v>
      </c>
      <c r="BF145" s="65">
        <f t="shared" si="174"/>
        <v>0</v>
      </c>
      <c r="BG145" s="65">
        <f t="shared" si="175"/>
        <v>0</v>
      </c>
      <c r="BH145" s="65">
        <f t="shared" si="176"/>
        <v>0</v>
      </c>
      <c r="BI145" s="65">
        <f t="shared" si="177"/>
        <v>0</v>
      </c>
      <c r="BJ145" s="65">
        <f t="shared" si="178"/>
        <v>0</v>
      </c>
      <c r="BK145" s="65">
        <f t="shared" si="179"/>
        <v>0</v>
      </c>
      <c r="BL145" s="65">
        <f t="shared" si="180"/>
        <v>0</v>
      </c>
      <c r="BM145" s="65">
        <f t="shared" si="181"/>
        <v>0</v>
      </c>
      <c r="BN145" s="65">
        <f t="shared" si="182"/>
        <v>0</v>
      </c>
      <c r="BO145" s="66"/>
    </row>
    <row r="146" spans="1:67" ht="13.5" customHeight="1">
      <c r="A146" s="560"/>
      <c r="B146" s="560"/>
      <c r="C146" s="63"/>
      <c r="D146" s="561"/>
      <c r="E146" s="64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3"/>
      <c r="AB146" s="63"/>
      <c r="AC146" s="63"/>
      <c r="AD146" s="63"/>
      <c r="AE146" s="63"/>
      <c r="AF146" s="63"/>
      <c r="AG146" s="63"/>
      <c r="AH146" s="63"/>
      <c r="AI146" s="63"/>
      <c r="AJ146" s="63"/>
      <c r="AK146" s="65">
        <f t="shared" si="153"/>
        <v>0</v>
      </c>
      <c r="AL146" s="65">
        <f t="shared" si="154"/>
        <v>0</v>
      </c>
      <c r="AM146" s="65">
        <f t="shared" si="155"/>
        <v>0</v>
      </c>
      <c r="AN146" s="65">
        <f t="shared" si="156"/>
        <v>0</v>
      </c>
      <c r="AO146" s="65">
        <f t="shared" si="157"/>
        <v>0</v>
      </c>
      <c r="AP146" s="65">
        <f t="shared" si="158"/>
        <v>0</v>
      </c>
      <c r="AQ146" s="65">
        <f t="shared" si="159"/>
        <v>0</v>
      </c>
      <c r="AR146" s="65">
        <f t="shared" si="160"/>
        <v>0</v>
      </c>
      <c r="AS146" s="65">
        <f t="shared" si="161"/>
        <v>0</v>
      </c>
      <c r="AT146" s="65">
        <f t="shared" si="162"/>
        <v>0</v>
      </c>
      <c r="AU146" s="65">
        <f t="shared" si="163"/>
        <v>0</v>
      </c>
      <c r="AV146" s="65">
        <f t="shared" si="164"/>
        <v>0</v>
      </c>
      <c r="AW146" s="65">
        <f t="shared" si="165"/>
        <v>0</v>
      </c>
      <c r="AX146" s="65">
        <f t="shared" si="166"/>
        <v>0</v>
      </c>
      <c r="AY146" s="65">
        <f t="shared" si="167"/>
        <v>0</v>
      </c>
      <c r="AZ146" s="65">
        <f t="shared" si="168"/>
        <v>0</v>
      </c>
      <c r="BA146" s="65">
        <f t="shared" si="169"/>
        <v>0</v>
      </c>
      <c r="BB146" s="65">
        <f t="shared" si="170"/>
        <v>0</v>
      </c>
      <c r="BC146" s="65">
        <f t="shared" si="171"/>
        <v>0</v>
      </c>
      <c r="BD146" s="65">
        <f t="shared" si="172"/>
        <v>0</v>
      </c>
      <c r="BE146" s="65">
        <f t="shared" si="173"/>
        <v>0</v>
      </c>
      <c r="BF146" s="65">
        <f t="shared" si="174"/>
        <v>0</v>
      </c>
      <c r="BG146" s="65">
        <f t="shared" si="175"/>
        <v>0</v>
      </c>
      <c r="BH146" s="65">
        <f t="shared" si="176"/>
        <v>0</v>
      </c>
      <c r="BI146" s="65">
        <f t="shared" si="177"/>
        <v>0</v>
      </c>
      <c r="BJ146" s="65">
        <f t="shared" si="178"/>
        <v>0</v>
      </c>
      <c r="BK146" s="65">
        <f t="shared" si="179"/>
        <v>0</v>
      </c>
      <c r="BL146" s="65">
        <f t="shared" si="180"/>
        <v>0</v>
      </c>
      <c r="BM146" s="65">
        <f t="shared" si="181"/>
        <v>0</v>
      </c>
      <c r="BN146" s="65">
        <f t="shared" si="182"/>
        <v>0</v>
      </c>
      <c r="BO146" s="66"/>
    </row>
    <row r="147" spans="1:67" ht="13.5" customHeight="1">
      <c r="A147" s="560"/>
      <c r="B147" s="560"/>
      <c r="C147" s="63"/>
      <c r="D147" s="561"/>
      <c r="E147" s="64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3"/>
      <c r="AB147" s="63"/>
      <c r="AC147" s="63"/>
      <c r="AD147" s="63"/>
      <c r="AE147" s="63"/>
      <c r="AF147" s="63"/>
      <c r="AG147" s="63"/>
      <c r="AH147" s="63"/>
      <c r="AI147" s="63"/>
      <c r="AJ147" s="63"/>
      <c r="AK147" s="65">
        <f t="shared" si="153"/>
        <v>0</v>
      </c>
      <c r="AL147" s="65">
        <f t="shared" si="154"/>
        <v>0</v>
      </c>
      <c r="AM147" s="65">
        <f t="shared" si="155"/>
        <v>0</v>
      </c>
      <c r="AN147" s="65">
        <f t="shared" si="156"/>
        <v>0</v>
      </c>
      <c r="AO147" s="65">
        <f t="shared" si="157"/>
        <v>0</v>
      </c>
      <c r="AP147" s="65">
        <f t="shared" si="158"/>
        <v>0</v>
      </c>
      <c r="AQ147" s="65">
        <f t="shared" si="159"/>
        <v>0</v>
      </c>
      <c r="AR147" s="65">
        <f t="shared" si="160"/>
        <v>0</v>
      </c>
      <c r="AS147" s="65">
        <f t="shared" si="161"/>
        <v>0</v>
      </c>
      <c r="AT147" s="65">
        <f t="shared" si="162"/>
        <v>0</v>
      </c>
      <c r="AU147" s="65">
        <f t="shared" si="163"/>
        <v>0</v>
      </c>
      <c r="AV147" s="65">
        <f t="shared" si="164"/>
        <v>0</v>
      </c>
      <c r="AW147" s="65">
        <f t="shared" si="165"/>
        <v>0</v>
      </c>
      <c r="AX147" s="65">
        <f t="shared" si="166"/>
        <v>0</v>
      </c>
      <c r="AY147" s="65">
        <f t="shared" si="167"/>
        <v>0</v>
      </c>
      <c r="AZ147" s="65">
        <f t="shared" si="168"/>
        <v>0</v>
      </c>
      <c r="BA147" s="65">
        <f t="shared" si="169"/>
        <v>0</v>
      </c>
      <c r="BB147" s="65">
        <f t="shared" si="170"/>
        <v>0</v>
      </c>
      <c r="BC147" s="65">
        <f t="shared" si="171"/>
        <v>0</v>
      </c>
      <c r="BD147" s="65">
        <f t="shared" si="172"/>
        <v>0</v>
      </c>
      <c r="BE147" s="65">
        <f t="shared" si="173"/>
        <v>0</v>
      </c>
      <c r="BF147" s="65">
        <f t="shared" si="174"/>
        <v>0</v>
      </c>
      <c r="BG147" s="65">
        <f t="shared" si="175"/>
        <v>0</v>
      </c>
      <c r="BH147" s="65">
        <f t="shared" si="176"/>
        <v>0</v>
      </c>
      <c r="BI147" s="65">
        <f t="shared" si="177"/>
        <v>0</v>
      </c>
      <c r="BJ147" s="65">
        <f t="shared" si="178"/>
        <v>0</v>
      </c>
      <c r="BK147" s="65">
        <f t="shared" si="179"/>
        <v>0</v>
      </c>
      <c r="BL147" s="65">
        <f t="shared" si="180"/>
        <v>0</v>
      </c>
      <c r="BM147" s="65">
        <f t="shared" si="181"/>
        <v>0</v>
      </c>
      <c r="BN147" s="65">
        <f t="shared" si="182"/>
        <v>0</v>
      </c>
      <c r="BO147" s="66"/>
    </row>
    <row r="148" spans="1:67" ht="13.5" customHeight="1">
      <c r="A148" s="560"/>
      <c r="B148" s="560"/>
      <c r="C148" s="63"/>
      <c r="D148" s="561"/>
      <c r="E148" s="64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3"/>
      <c r="AC148" s="63"/>
      <c r="AD148" s="63"/>
      <c r="AE148" s="63"/>
      <c r="AF148" s="63"/>
      <c r="AG148" s="63"/>
      <c r="AH148" s="63"/>
      <c r="AI148" s="63"/>
      <c r="AJ148" s="63"/>
      <c r="AK148" s="65">
        <f t="shared" si="153"/>
        <v>0</v>
      </c>
      <c r="AL148" s="65">
        <f t="shared" si="154"/>
        <v>0</v>
      </c>
      <c r="AM148" s="65">
        <f t="shared" si="155"/>
        <v>0</v>
      </c>
      <c r="AN148" s="65">
        <f t="shared" si="156"/>
        <v>0</v>
      </c>
      <c r="AO148" s="65">
        <f t="shared" si="157"/>
        <v>0</v>
      </c>
      <c r="AP148" s="65">
        <f t="shared" si="158"/>
        <v>0</v>
      </c>
      <c r="AQ148" s="65">
        <f t="shared" si="159"/>
        <v>0</v>
      </c>
      <c r="AR148" s="65">
        <f t="shared" si="160"/>
        <v>0</v>
      </c>
      <c r="AS148" s="65">
        <f t="shared" si="161"/>
        <v>0</v>
      </c>
      <c r="AT148" s="65">
        <f t="shared" si="162"/>
        <v>0</v>
      </c>
      <c r="AU148" s="65">
        <f t="shared" si="163"/>
        <v>0</v>
      </c>
      <c r="AV148" s="65">
        <f t="shared" si="164"/>
        <v>0</v>
      </c>
      <c r="AW148" s="65">
        <f t="shared" si="165"/>
        <v>0</v>
      </c>
      <c r="AX148" s="65">
        <f t="shared" si="166"/>
        <v>0</v>
      </c>
      <c r="AY148" s="65">
        <f t="shared" si="167"/>
        <v>0</v>
      </c>
      <c r="AZ148" s="65">
        <f t="shared" si="168"/>
        <v>0</v>
      </c>
      <c r="BA148" s="65">
        <f t="shared" si="169"/>
        <v>0</v>
      </c>
      <c r="BB148" s="65">
        <f t="shared" si="170"/>
        <v>0</v>
      </c>
      <c r="BC148" s="65">
        <f t="shared" si="171"/>
        <v>0</v>
      </c>
      <c r="BD148" s="65">
        <f t="shared" si="172"/>
        <v>0</v>
      </c>
      <c r="BE148" s="65">
        <f t="shared" si="173"/>
        <v>0</v>
      </c>
      <c r="BF148" s="65">
        <f t="shared" si="174"/>
        <v>0</v>
      </c>
      <c r="BG148" s="65">
        <f t="shared" si="175"/>
        <v>0</v>
      </c>
      <c r="BH148" s="65">
        <f t="shared" si="176"/>
        <v>0</v>
      </c>
      <c r="BI148" s="65">
        <f t="shared" si="177"/>
        <v>0</v>
      </c>
      <c r="BJ148" s="65">
        <f t="shared" si="178"/>
        <v>0</v>
      </c>
      <c r="BK148" s="65">
        <f t="shared" si="179"/>
        <v>0</v>
      </c>
      <c r="BL148" s="65">
        <f t="shared" si="180"/>
        <v>0</v>
      </c>
      <c r="BM148" s="65">
        <f t="shared" si="181"/>
        <v>0</v>
      </c>
      <c r="BN148" s="65">
        <f t="shared" si="182"/>
        <v>0</v>
      </c>
      <c r="BO148" s="66"/>
    </row>
    <row r="149" spans="1:67" ht="13.5" customHeight="1">
      <c r="A149" s="562" t="s">
        <v>191</v>
      </c>
      <c r="B149" s="562" t="s">
        <v>190</v>
      </c>
      <c r="C149" s="563" t="s">
        <v>191</v>
      </c>
      <c r="D149" s="562"/>
      <c r="E149" s="562"/>
      <c r="F149" s="562"/>
      <c r="G149" s="562"/>
      <c r="H149" s="562"/>
      <c r="I149" s="562"/>
      <c r="J149" s="562"/>
      <c r="K149" s="562"/>
      <c r="L149" s="562"/>
      <c r="M149" s="562"/>
      <c r="N149" s="562"/>
      <c r="O149" s="562"/>
      <c r="P149" s="562"/>
      <c r="Q149" s="562"/>
      <c r="R149" s="562"/>
      <c r="S149" s="562"/>
      <c r="T149" s="562"/>
      <c r="U149" s="562"/>
      <c r="V149" s="562"/>
      <c r="W149" s="562"/>
      <c r="X149" s="562"/>
      <c r="Y149" s="562"/>
      <c r="Z149" s="562"/>
      <c r="AA149" s="562"/>
      <c r="AB149" s="562"/>
      <c r="AC149" s="562"/>
      <c r="AD149" s="562"/>
      <c r="AE149" s="562"/>
      <c r="AF149" s="562"/>
      <c r="AG149" s="562"/>
      <c r="AH149" s="562"/>
      <c r="AI149" s="562"/>
      <c r="AJ149" s="562"/>
      <c r="AK149" s="562">
        <f t="shared" ref="AK149:AT150" si="183">SUMIF($C$5:$C$148,$C149,AK$5:AK$148)</f>
        <v>2594075.5204491997</v>
      </c>
      <c r="AL149" s="562">
        <f t="shared" si="183"/>
        <v>3495430.4668184002</v>
      </c>
      <c r="AM149" s="562">
        <f t="shared" si="183"/>
        <v>3536721.3151876</v>
      </c>
      <c r="AN149" s="562">
        <f t="shared" si="183"/>
        <v>3576911.0975567997</v>
      </c>
      <c r="AO149" s="562">
        <f t="shared" si="183"/>
        <v>3617415.4519259995</v>
      </c>
      <c r="AP149" s="562">
        <f t="shared" si="183"/>
        <v>3687466.6784951999</v>
      </c>
      <c r="AQ149" s="562">
        <f t="shared" si="183"/>
        <v>3730629.9148643999</v>
      </c>
      <c r="AR149" s="562">
        <f t="shared" si="183"/>
        <v>3774814.6892336002</v>
      </c>
      <c r="AS149" s="562">
        <f t="shared" si="183"/>
        <v>3819942.5356028001</v>
      </c>
      <c r="AT149" s="562">
        <f t="shared" si="183"/>
        <v>3866480.1579719996</v>
      </c>
      <c r="AU149" s="562">
        <f t="shared" ref="AU149:BD150" si="184">SUMIF($C$5:$C$148,$C149,AU$5:AU$148)</f>
        <v>3958582.6764491997</v>
      </c>
      <c r="AV149" s="562">
        <f t="shared" si="184"/>
        <v>4008022.4988183999</v>
      </c>
      <c r="AW149" s="562">
        <f t="shared" si="184"/>
        <v>4059707.9511875999</v>
      </c>
      <c r="AX149" s="562">
        <f t="shared" si="184"/>
        <v>4112734.4715568</v>
      </c>
      <c r="AY149" s="562">
        <f t="shared" si="184"/>
        <v>4167577.6639260002</v>
      </c>
      <c r="AZ149" s="562">
        <f t="shared" si="184"/>
        <v>4253269.6164952004</v>
      </c>
      <c r="BA149" s="562">
        <f t="shared" si="184"/>
        <v>4311448.3208643999</v>
      </c>
      <c r="BB149" s="562">
        <f t="shared" si="184"/>
        <v>4371031.8212336004</v>
      </c>
      <c r="BC149" s="562">
        <f t="shared" si="184"/>
        <v>4432274.6716028005</v>
      </c>
      <c r="BD149" s="562">
        <f t="shared" si="184"/>
        <v>4493987.057972</v>
      </c>
      <c r="BE149" s="562">
        <f t="shared" ref="BE149:BN150" si="185">SUMIF($C$5:$C$148,$C149,BE$5:BE$148)</f>
        <v>4530859.2144491998</v>
      </c>
      <c r="BF149" s="562">
        <f t="shared" si="185"/>
        <v>4523846.8948184</v>
      </c>
      <c r="BG149" s="562">
        <f t="shared" si="185"/>
        <v>4516398.9751875997</v>
      </c>
      <c r="BH149" s="562">
        <f t="shared" si="185"/>
        <v>4508951.0555568002</v>
      </c>
      <c r="BI149" s="562">
        <f t="shared" si="185"/>
        <v>4501938.7359260004</v>
      </c>
      <c r="BJ149" s="562">
        <f t="shared" si="185"/>
        <v>4523197.9364951998</v>
      </c>
      <c r="BK149" s="562">
        <f t="shared" si="185"/>
        <v>4515750.0168644004</v>
      </c>
      <c r="BL149" s="562">
        <f t="shared" si="185"/>
        <v>4508737.6972335996</v>
      </c>
      <c r="BM149" s="562">
        <f t="shared" si="185"/>
        <v>4501289.7776027992</v>
      </c>
      <c r="BN149" s="562">
        <f t="shared" si="185"/>
        <v>4493841.8579719998</v>
      </c>
      <c r="BO149" s="564"/>
    </row>
    <row r="150" spans="1:67" ht="13.5" customHeight="1">
      <c r="A150" s="562" t="s">
        <v>209</v>
      </c>
      <c r="B150" s="562" t="s">
        <v>208</v>
      </c>
      <c r="C150" s="563" t="s">
        <v>209</v>
      </c>
      <c r="D150" s="562"/>
      <c r="E150" s="562"/>
      <c r="F150" s="562"/>
      <c r="G150" s="562"/>
      <c r="H150" s="562"/>
      <c r="I150" s="562"/>
      <c r="J150" s="562"/>
      <c r="K150" s="562"/>
      <c r="L150" s="562"/>
      <c r="M150" s="562"/>
      <c r="N150" s="562"/>
      <c r="O150" s="562"/>
      <c r="P150" s="562"/>
      <c r="Q150" s="562"/>
      <c r="R150" s="562"/>
      <c r="S150" s="562"/>
      <c r="T150" s="562"/>
      <c r="U150" s="562"/>
      <c r="V150" s="562"/>
      <c r="W150" s="562"/>
      <c r="X150" s="562"/>
      <c r="Y150" s="562"/>
      <c r="Z150" s="562"/>
      <c r="AA150" s="562"/>
      <c r="AB150" s="562"/>
      <c r="AC150" s="562"/>
      <c r="AD150" s="562"/>
      <c r="AE150" s="562"/>
      <c r="AF150" s="562"/>
      <c r="AG150" s="562"/>
      <c r="AH150" s="562"/>
      <c r="AI150" s="562"/>
      <c r="AJ150" s="562"/>
      <c r="AK150" s="562">
        <f t="shared" si="183"/>
        <v>377672.42000000004</v>
      </c>
      <c r="AL150" s="562">
        <f t="shared" si="183"/>
        <v>831171.82800000021</v>
      </c>
      <c r="AM150" s="562">
        <f t="shared" si="183"/>
        <v>854608.21199999994</v>
      </c>
      <c r="AN150" s="562">
        <f t="shared" si="183"/>
        <v>877305.58799999999</v>
      </c>
      <c r="AO150" s="562">
        <f t="shared" si="183"/>
        <v>900363.7</v>
      </c>
      <c r="AP150" s="562">
        <f t="shared" si="183"/>
        <v>923825.58800000011</v>
      </c>
      <c r="AQ150" s="562">
        <f t="shared" si="183"/>
        <v>947952.91600000008</v>
      </c>
      <c r="AR150" s="562">
        <f t="shared" si="183"/>
        <v>972780.78800000029</v>
      </c>
      <c r="AS150" s="562">
        <f t="shared" si="183"/>
        <v>998062.19599999988</v>
      </c>
      <c r="AT150" s="562">
        <f t="shared" si="183"/>
        <v>1023811.892</v>
      </c>
      <c r="AU150" s="562">
        <f t="shared" si="184"/>
        <v>1050369.7480000001</v>
      </c>
      <c r="AV150" s="562">
        <f t="shared" si="184"/>
        <v>1077724.6440000003</v>
      </c>
      <c r="AW150" s="562">
        <f t="shared" si="184"/>
        <v>1105949.7799999998</v>
      </c>
      <c r="AX150" s="562">
        <f t="shared" si="184"/>
        <v>1135029.3000000003</v>
      </c>
      <c r="AY150" s="562">
        <f t="shared" si="184"/>
        <v>1164982.3559999997</v>
      </c>
      <c r="AZ150" s="562">
        <f t="shared" si="184"/>
        <v>1195755.7320000003</v>
      </c>
      <c r="BA150" s="562">
        <f t="shared" si="184"/>
        <v>1227312.6440000001</v>
      </c>
      <c r="BB150" s="562">
        <f t="shared" si="184"/>
        <v>1259545.2040000001</v>
      </c>
      <c r="BC150" s="562">
        <f t="shared" si="184"/>
        <v>1292366.1639999999</v>
      </c>
      <c r="BD150" s="562">
        <f t="shared" si="184"/>
        <v>1325622.2920000004</v>
      </c>
      <c r="BE150" s="562">
        <f t="shared" si="185"/>
        <v>1325622.2920000004</v>
      </c>
      <c r="BF150" s="562">
        <f t="shared" si="185"/>
        <v>1325622.2920000004</v>
      </c>
      <c r="BG150" s="562">
        <f t="shared" si="185"/>
        <v>1325622.2920000004</v>
      </c>
      <c r="BH150" s="562">
        <f t="shared" si="185"/>
        <v>1325622.2920000004</v>
      </c>
      <c r="BI150" s="562">
        <f t="shared" si="185"/>
        <v>1325622.2920000004</v>
      </c>
      <c r="BJ150" s="562">
        <f t="shared" si="185"/>
        <v>1325622.2920000004</v>
      </c>
      <c r="BK150" s="562">
        <f t="shared" si="185"/>
        <v>1325622.2920000004</v>
      </c>
      <c r="BL150" s="562">
        <f t="shared" si="185"/>
        <v>1325622.2920000004</v>
      </c>
      <c r="BM150" s="562">
        <f t="shared" si="185"/>
        <v>1325622.2920000004</v>
      </c>
      <c r="BN150" s="562">
        <f t="shared" si="185"/>
        <v>1325622.2920000004</v>
      </c>
      <c r="BO150" s="564"/>
    </row>
  </sheetData>
  <autoFilter ref="A4:BO150" xr:uid="{00000000-0009-0000-0000-000008000000}"/>
  <mergeCells count="3">
    <mergeCell ref="A1:Z1"/>
    <mergeCell ref="G3:AJ3"/>
    <mergeCell ref="AK3:BN3"/>
  </mergeCells>
  <dataValidations count="3">
    <dataValidation type="list" allowBlank="1" showErrorMessage="1" sqref="D5:D148" xr:uid="{00000000-0002-0000-0800-000000000000}">
      <formula1>INDIRECT($C5)</formula1>
    </dataValidation>
    <dataValidation type="list" allowBlank="1" showErrorMessage="1" sqref="C5:C148" xr:uid="{00000000-0002-0000-0800-000001000000}">
      <formula1>"Operacional,Administrativo,Encargo"</formula1>
    </dataValidation>
    <dataValidation type="list" allowBlank="1" showErrorMessage="1" sqref="B5:B148" xr:uid="{00000000-0002-0000-0800-000002000000}">
      <formula1>"Custos,Despesas"</formula1>
    </dataValidation>
  </dataValidations>
  <pageMargins left="0.511811024" right="0.511811024" top="0.78740157499999996" bottom="0.78740157499999996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F22BF5518F9194589B0C61984E816FD" ma:contentTypeVersion="5" ma:contentTypeDescription="Create a new document." ma:contentTypeScope="" ma:versionID="5d2933b61a4f5e12208fad643a46f168">
  <xsd:schema xmlns:xsd="http://www.w3.org/2001/XMLSchema" xmlns:xs="http://www.w3.org/2001/XMLSchema" xmlns:p="http://schemas.microsoft.com/office/2006/metadata/properties" xmlns:ns2="e51b9a5b-616c-4708-8994-876a84d642dc" xmlns:ns3="2c5a9be5-0347-4c9f-b80e-c94cfb3af635" targetNamespace="http://schemas.microsoft.com/office/2006/metadata/properties" ma:root="true" ma:fieldsID="81883953c8ddd2c7967a4084ef3e2f61" ns2:_="" ns3:_="">
    <xsd:import namespace="e51b9a5b-616c-4708-8994-876a84d642dc"/>
    <xsd:import namespace="2c5a9be5-0347-4c9f-b80e-c94cfb3af63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1b9a5b-616c-4708-8994-876a84d642d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a9be5-0347-4c9f-b80e-c94cfb3af635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9EE3214-4614-42F4-BEE3-66A1CD69A3CC}"/>
</file>

<file path=customXml/itemProps2.xml><?xml version="1.0" encoding="utf-8"?>
<ds:datastoreItem xmlns:ds="http://schemas.openxmlformats.org/officeDocument/2006/customXml" ds:itemID="{F96988B0-459C-4AC4-8CE6-04513F388A1E}"/>
</file>

<file path=customXml/itemProps3.xml><?xml version="1.0" encoding="utf-8"?>
<ds:datastoreItem xmlns:ds="http://schemas.openxmlformats.org/officeDocument/2006/customXml" ds:itemID="{0C1F7B3A-CA52-4AA6-973D-3E6E582F7BFF}"/>
</file>

<file path=docMetadata/LabelInfo.xml><?xml version="1.0" encoding="utf-8"?>
<clbl:labelList xmlns:clbl="http://schemas.microsoft.com/office/2020/mipLabelMetadata">
  <clbl:label id="{95aee72d-2f82-48e1-9078-193c2d8a0bda}" enabled="1" method="Standard" siteId="{7e2324c6-6925-427e-b56d-4e6eda16752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Marcos Amend</dc:creator>
  <cp:keywords/>
  <dc:description/>
  <cp:lastModifiedBy>Leandro Avila Vieira</cp:lastModifiedBy>
  <cp:revision/>
  <dcterms:created xsi:type="dcterms:W3CDTF">2018-07-31T16:26:15Z</dcterms:created>
  <dcterms:modified xsi:type="dcterms:W3CDTF">2023-08-24T20:14:40Z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ContentTypeId">
    <vt:lpwstr>0x0101002F22BF5518F9194589B0C61984E816FD</vt:lpwstr>
  </property>
  <property fmtid="{D5CDD505-2E9C-101B-9397-08002B2CF9AE}" pid="4" name="financ" linkTarget="prop_financ">
    <vt:lpwstr>#REF!</vt:lpwstr>
  </property>
</Properties>
</file>